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scaneo Diario" sheetId="1" state="visible" r:id="rId1"/>
    <sheet xmlns:r="http://schemas.openxmlformats.org/officeDocument/2006/relationships" name="Historial de Escaneos" sheetId="2" state="visible" r:id="rId2"/>
    <sheet xmlns:r="http://schemas.openxmlformats.org/officeDocument/2006/relationships" name="Escaneos" sheetId="3" state="visible" r:id="rId3"/>
    <sheet xmlns:r="http://schemas.openxmlformats.org/officeDocument/2006/relationships" name="Configuración" sheetId="4" state="visible" r:id="rId4"/>
    <sheet xmlns:r="http://schemas.openxmlformats.org/officeDocument/2006/relationships" name="Productos" sheetId="5" state="visible" r:id="rId5"/>
    <sheet xmlns:r="http://schemas.openxmlformats.org/officeDocument/2006/relationships" name="Productos_Resumen" sheetId="6" state="visible" r:id="rId6"/>
    <sheet xmlns:r="http://schemas.openxmlformats.org/officeDocument/2006/relationships" name="Criterios" sheetId="7" state="visible" r:id="rId7"/>
    <sheet xmlns:r="http://schemas.openxmlformats.org/officeDocument/2006/relationships" name="Revisión Duplicados" sheetId="8" state="visible" r:id="rId8"/>
    <sheet xmlns:r="http://schemas.openxmlformats.org/officeDocument/2006/relationships" name="Stock por Ubicación" sheetId="9" state="visible" r:id="rId9"/>
    <sheet xmlns:r="http://schemas.openxmlformats.org/officeDocument/2006/relationships" name="Bodega 25" sheetId="10" state="visible" r:id="rId10"/>
    <sheet xmlns:r="http://schemas.openxmlformats.org/officeDocument/2006/relationships" name="Bodega 43" sheetId="11" state="visible" r:id="rId11"/>
    <sheet xmlns:r="http://schemas.openxmlformats.org/officeDocument/2006/relationships" name="Resumen Integración" sheetId="12" state="visible" r:id="rId12"/>
  </sheets>
  <definedNames>
    <definedName name="_xlnm._FilterDatabase" localSheetId="4" hidden="1">'Productos'!$A$1:$AR$2509</definedName>
    <definedName name="_xlnm._FilterDatabase" localSheetId="7" hidden="1">'Revisión Duplicados'!$A$1:$AU$11</definedName>
    <definedName name="_xlnm._FilterDatabase" localSheetId="8" hidden="1">'Stock por Ubicación'!$A$1:$J$3971</definedName>
  </definedNames>
  <calcPr calcId="124519" fullCalcOnLoad="1"/>
</workbook>
</file>

<file path=xl/styles.xml><?xml version="1.0" encoding="utf-8"?>
<styleSheet xmlns="http://schemas.openxmlformats.org/spreadsheetml/2006/main">
  <numFmts count="9">
    <numFmt numFmtId="164" formatCode="yyyy\-mm\-dd"/>
    <numFmt numFmtId="165" formatCode="yyyy\-mm\-dd\ hh:mm"/>
    <numFmt numFmtId="166" formatCode="yyyy\-mm\-dd\ h:mm"/>
    <numFmt numFmtId="167" formatCode="yyyy\-mm\-dd\ h:mm:ss"/>
    <numFmt numFmtId="168" formatCode="\$#,##0.00"/>
    <numFmt numFmtId="169" formatCode="&quot;$&quot;#,##0.00"/>
    <numFmt numFmtId="170" formatCode="#,##0;\(#,##0\);&quot;-&quot;"/>
    <numFmt numFmtId="171" formatCode="#,##0;\(#,##0\);\-"/>
    <numFmt numFmtId="172" formatCode="yyyy-mm-dd h:mm:ss"/>
  </numFmts>
  <fonts count="40">
    <font>
      <name val="Arial"/>
      <color rgb="FF000000"/>
      <sz val="10"/>
      <scheme val="minor"/>
    </font>
    <font>
      <name val="Arial"/>
      <b val="1"/>
      <color rgb="FFFFFFFF"/>
      <sz val="12"/>
    </font>
    <font/>
    <font>
      <name val="Arial"/>
      <i val="1"/>
      <color rgb="FF495468"/>
      <sz val="9"/>
    </font>
    <font>
      <name val="Arial"/>
      <color rgb="FF000000"/>
      <sz val="10"/>
    </font>
    <font>
      <name val="Arial"/>
      <b val="1"/>
      <color rgb="FFFFFFFF"/>
      <sz val="10"/>
    </font>
    <font>
      <name val="Google Sans"/>
      <color theme="1"/>
      <sz val="9"/>
    </font>
    <font>
      <name val="Arial"/>
      <color theme="1"/>
      <sz val="9"/>
    </font>
    <font>
      <name val="Arial"/>
      <b val="1"/>
      <color rgb="FF1D3556"/>
      <sz val="9"/>
    </font>
    <font>
      <name val="Arial"/>
      <b val="1"/>
      <color rgb="FF141E33"/>
      <sz val="15"/>
    </font>
    <font>
      <name val="Arial"/>
      <b val="1"/>
      <color rgb="FF141E33"/>
      <sz val="13"/>
    </font>
    <font>
      <name val="Google Sans"/>
      <color theme="1"/>
      <sz val="10"/>
    </font>
    <font>
      <name val="Arial"/>
      <i val="1"/>
      <color rgb="FF63728C"/>
      <sz val="8"/>
    </font>
    <font>
      <name val="Arial"/>
      <color theme="1"/>
      <sz val="10"/>
    </font>
    <font>
      <name val="Arial"/>
      <b val="1"/>
      <color rgb="FFFFFFFF"/>
      <sz val="10"/>
      <u val="single"/>
    </font>
    <font>
      <name val="Arial"/>
      <color theme="1"/>
      <scheme val="minor"/>
    </font>
    <font>
      <name val="Arial"/>
      <color rgb="FF0000FF"/>
      <sz val="10"/>
      <u val="single"/>
    </font>
    <font>
      <name val="Arial"/>
      <b val="1"/>
      <color rgb="FFFFFFFF"/>
      <sz val="16"/>
    </font>
    <font>
      <name val="Arial"/>
      <i val="1"/>
      <color rgb="FF244677"/>
      <sz val="10"/>
    </font>
    <font>
      <name val="Arial"/>
      <color rgb="FF191C21"/>
      <sz val="10"/>
    </font>
    <font>
      <name val="Arial"/>
      <i val="1"/>
      <color rgb="FF4A5A75"/>
      <sz val="9"/>
    </font>
    <font>
      <name val="Arial"/>
      <b val="1"/>
      <color rgb="FFFFFFFF"/>
      <sz val="11"/>
    </font>
    <font>
      <name val="Arial"/>
      <b val="1"/>
      <color rgb="FF1A365D"/>
      <sz val="10"/>
    </font>
    <font>
      <name val="Arial"/>
      <color rgb="FF1F4E9E"/>
      <sz val="10"/>
      <u val="single"/>
    </font>
    <font>
      <name val="Arial"/>
      <b val="1"/>
      <color rgb="FF191C21"/>
      <sz val="10"/>
    </font>
    <font>
      <name val="Arial"/>
      <color rgb="FF0000FF"/>
      <sz val="10"/>
      <u val="single"/>
    </font>
    <font>
      <name val="Arial"/>
      <color rgb="FF0000FF"/>
      <sz val="10"/>
    </font>
    <font>
      <name val="Arial"/>
      <color rgb="FFD9E2FF"/>
      <sz val="9"/>
      <u val="single"/>
    </font>
    <font>
      <name val="Arial"/>
      <i val="1"/>
      <color rgb="FF4A5A75"/>
      <sz val="10"/>
    </font>
    <font>
      <name val="Arial"/>
      <i val="1"/>
      <color rgb="FFFFFFFF"/>
      <sz val="10"/>
    </font>
    <font>
      <name val="Arial"/>
      <color rgb="FF0000FF"/>
      <sz val="10"/>
      <u val="single"/>
    </font>
    <font>
      <name val="Arial"/>
      <b val="1"/>
      <color rgb="FF1D3556"/>
      <sz val="14"/>
    </font>
    <font>
      <name val="Arial"/>
      <i val="1"/>
      <color rgb="FF595959"/>
      <sz val="10"/>
    </font>
    <font>
      <name val="Arial"/>
      <b val="1"/>
      <color rgb="FF000000"/>
      <sz val="10"/>
    </font>
    <font>
      <name val="Arial"/>
      <color rgb="FF000000"/>
      <sz val="11"/>
    </font>
    <font>
      <name val="Arial"/>
      <b val="1"/>
      <color rgb="FF000000"/>
      <sz val="11"/>
    </font>
    <font>
      <name val="Arial"/>
      <color rgb="FF252525"/>
      <sz val="10"/>
    </font>
    <font>
      <name val="Arial"/>
      <color rgb="FF252525"/>
      <sz val="10"/>
      <u val="single"/>
    </font>
    <font>
      <name val="Arial"/>
      <color rgb="FF252525"/>
      <sz val="10"/>
      <u val="single"/>
    </font>
    <font>
      <name val="Arial"/>
      <color rgb="FF252525"/>
      <sz val="10"/>
      <u val="single"/>
    </font>
  </fonts>
  <fills count="21">
    <fill>
      <patternFill/>
    </fill>
    <fill>
      <patternFill patternType="lightGray"/>
    </fill>
    <fill>
      <patternFill patternType="solid">
        <fgColor rgb="FF1D3556"/>
        <bgColor rgb="FF1D3556"/>
      </patternFill>
    </fill>
    <fill>
      <patternFill patternType="solid">
        <fgColor rgb="FFEFF4F9"/>
        <bgColor rgb="FFEFF4F9"/>
      </patternFill>
    </fill>
    <fill>
      <patternFill patternType="solid">
        <fgColor rgb="FF2A4D7C"/>
        <bgColor rgb="FF2A4D7C"/>
      </patternFill>
    </fill>
    <fill>
      <patternFill patternType="solid">
        <fgColor rgb="FFE2EAF4"/>
        <bgColor rgb="FFE2EAF4"/>
      </patternFill>
    </fill>
    <fill>
      <patternFill patternType="solid">
        <fgColor rgb="FFF4F7FC"/>
        <bgColor rgb="FFF4F7FC"/>
      </patternFill>
    </fill>
    <fill>
      <patternFill patternType="solid">
        <fgColor rgb="FFFFFFFF"/>
        <bgColor rgb="FFFFFFFF"/>
      </patternFill>
    </fill>
    <fill>
      <patternFill patternType="solid">
        <fgColor rgb="FFF5F8FC"/>
        <bgColor rgb="FFF5F8FC"/>
      </patternFill>
    </fill>
    <fill>
      <patternFill patternType="solid">
        <fgColor rgb="FF1A365D"/>
        <bgColor rgb="FF1A365D"/>
      </patternFill>
    </fill>
    <fill>
      <patternFill patternType="solid">
        <fgColor rgb="FFD9E2FF"/>
        <bgColor rgb="FFD9E2FF"/>
      </patternFill>
    </fill>
    <fill>
      <patternFill patternType="solid">
        <fgColor rgb="FFEDF2F9"/>
        <bgColor rgb="FFEDF2F9"/>
      </patternFill>
    </fill>
    <fill>
      <patternFill patternType="solid">
        <fgColor rgb="FF3E5F90"/>
        <bgColor rgb="FF3E5F90"/>
      </patternFill>
    </fill>
    <fill>
      <patternFill patternType="solid">
        <fgColor rgb="FF5B6B82"/>
        <bgColor rgb="FF5B6B82"/>
      </patternFill>
    </fill>
    <fill>
      <patternFill patternType="solid">
        <fgColor rgb="FFFFFF00"/>
        <bgColor rgb="FFFFFF00"/>
      </patternFill>
    </fill>
    <fill>
      <patternFill patternType="solid">
        <fgColor rgb="FFE6F4EA"/>
        <bgColor rgb="FFE6F4EA"/>
      </patternFill>
    </fill>
    <fill>
      <patternFill patternType="solid">
        <fgColor rgb="FFFDECEA"/>
        <bgColor rgb="FFFDECEA"/>
      </patternFill>
    </fill>
    <fill>
      <patternFill patternType="solid">
        <fgColor rgb="FFFFF4E5"/>
        <bgColor rgb="FFFFF4E5"/>
      </patternFill>
    </fill>
    <fill>
      <patternFill patternType="solid">
        <fgColor rgb="FFF1F3F4"/>
        <bgColor rgb="FFF1F3F4"/>
      </patternFill>
    </fill>
    <fill>
      <patternFill patternType="solid">
        <fgColor rgb="FFC0E6F5"/>
        <bgColor rgb="FFC0E6F5"/>
      </patternFill>
    </fill>
    <fill>
      <patternFill patternType="solid">
        <fgColor rgb="FFFFF2CC"/>
        <bgColor rgb="FFFFF2CC"/>
      </patternFill>
    </fill>
  </fills>
  <borders count="20">
    <border/>
    <border>
      <left/>
      <top/>
      <bottom/>
    </border>
    <border>
      <top/>
      <bottom/>
    </border>
    <border>
      <right/>
      <top/>
      <bottom/>
    </border>
    <border>
      <left/>
      <right/>
      <top/>
      <bottom/>
    </border>
    <border>
      <left style="thin">
        <color rgb="FFD8E0EA"/>
      </left>
      <right style="thin">
        <color rgb="FFD8E0EA"/>
      </right>
      <top style="thin">
        <color rgb="FFD8E0EA"/>
      </top>
      <bottom style="thin">
        <color rgb="FFD8E0EA"/>
      </bottom>
    </border>
    <border>
      <left style="thin">
        <color rgb="FFCCD6E5"/>
      </left>
      <right style="thin">
        <color rgb="FFCCD6E5"/>
      </right>
      <top style="thin">
        <color rgb="FFCCD6E5"/>
      </top>
      <bottom style="thin">
        <color rgb="FFE0E8F2"/>
      </bottom>
    </border>
    <border>
      <left style="thin">
        <color rgb="FFCCD6E5"/>
      </left>
      <right style="thin">
        <color rgb="FFCCD6E5"/>
      </right>
      <top style="thin">
        <color rgb="FFE0E8F2"/>
      </top>
      <bottom style="thin">
        <color rgb="FFE0E8F2"/>
      </bottom>
    </border>
    <border>
      <left style="thin">
        <color rgb="FFCCD6E5"/>
      </left>
      <right style="thin">
        <color rgb="FFCCD6E5"/>
      </right>
      <top style="thin">
        <color rgb="FFE0E8F2"/>
      </top>
      <bottom style="thin">
        <color rgb="FFCCD6E5"/>
      </bottom>
    </border>
    <border>
      <left style="thin">
        <color rgb="FF000000"/>
      </left>
      <right style="thin">
        <color rgb="FF000000"/>
      </right>
      <top style="thin">
        <color rgb="FF000000"/>
      </top>
      <bottom style="thin">
        <color rgb="FF000000"/>
      </bottom>
    </border>
    <border>
      <left style="thin">
        <color rgb="FFC9D3E3"/>
      </left>
      <right style="thin">
        <color rgb="FFC9D3E3"/>
      </right>
      <top style="thin">
        <color rgb="FFC9D3E3"/>
      </top>
      <bottom style="thin">
        <color rgb="FFC9D3E3"/>
      </bottom>
    </border>
    <border>
      <left style="thin">
        <color rgb="FFC9D3E3"/>
      </left>
      <top style="thin">
        <color rgb="FFC9D3E3"/>
      </top>
      <bottom style="thin">
        <color rgb="FFC9D3E3"/>
      </bottom>
    </border>
    <border>
      <top style="thin">
        <color rgb="FFC9D3E3"/>
      </top>
      <bottom style="thin">
        <color rgb="FFC9D3E3"/>
      </bottom>
    </border>
    <border>
      <right style="thin">
        <color rgb="FFC9D3E3"/>
      </right>
      <top style="thin">
        <color rgb="FFC9D3E3"/>
      </top>
      <bottom style="thin">
        <color rgb="FFC9D3E3"/>
      </bottom>
    </border>
    <border>
      <left style="thin">
        <color rgb="FFBFBFBF"/>
      </left>
      <right style="thin">
        <color rgb="FFBFBFBF"/>
      </right>
      <top style="thin">
        <color rgb="FFBFBFBF"/>
      </top>
      <bottom style="thin">
        <color rgb="FFBFBFBF"/>
      </bottom>
    </border>
    <border>
      <left/>
      <right/>
      <top style="thin">
        <color rgb="FF44B3E1"/>
      </top>
      <bottom style="thin">
        <color rgb="FF44B3E1"/>
      </bottom>
    </border>
    <border>
      <left style="thin">
        <color rgb="FF44B3E1"/>
      </left>
      <right/>
      <top style="thin">
        <color rgb="FF44B3E1"/>
      </top>
      <bottom style="thin">
        <color rgb="FF44B3E1"/>
      </bottom>
    </border>
    <border>
      <left/>
      <right style="thin">
        <color rgb="FF44B3E1"/>
      </right>
      <top style="thin">
        <color rgb="FF44B3E1"/>
      </top>
      <bottom style="thin">
        <color rgb="FF44B3E1"/>
      </bottom>
    </border>
    <border>
      <top style="thin">
        <color rgb="FFC9D3E3"/>
      </top>
    </border>
    <border>
      <right style="thin">
        <color rgb="FFC9D3E3"/>
      </right>
      <top style="thin">
        <color rgb="FFC9D3E3"/>
      </top>
    </border>
  </borders>
  <cellStyleXfs count="1">
    <xf numFmtId="0" fontId="0" fillId="0" borderId="0"/>
  </cellStyleXfs>
  <cellXfs count="185">
    <xf numFmtId="0" fontId="0" fillId="0" borderId="0" applyAlignment="1" pivotButton="0" quotePrefix="0" xfId="0">
      <alignment vertical="bottom"/>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3" fillId="3" borderId="1" applyAlignment="1" pivotButton="0" quotePrefix="0" xfId="0">
      <alignment horizontal="center" vertical="center"/>
    </xf>
    <xf numFmtId="0" fontId="4" fillId="0" borderId="0" pivotButton="0" quotePrefix="0" xfId="0"/>
    <xf numFmtId="0" fontId="5" fillId="4" borderId="4" applyAlignment="1" pivotButton="0" quotePrefix="0" xfId="0">
      <alignment horizontal="center" vertical="center"/>
    </xf>
    <xf numFmtId="0" fontId="5" fillId="4" borderId="4" applyAlignment="1" pivotButton="0" quotePrefix="0" xfId="0">
      <alignment horizontal="center" vertical="center" wrapText="1"/>
    </xf>
    <xf numFmtId="164" fontId="6" fillId="0" borderId="5" applyAlignment="1" pivotButton="0" quotePrefix="0" xfId="0">
      <alignment horizontal="center" vertical="center"/>
    </xf>
    <xf numFmtId="21" fontId="6" fillId="0" borderId="5" applyAlignment="1" pivotButton="0" quotePrefix="0" xfId="0">
      <alignment horizontal="center" vertical="center"/>
    </xf>
    <xf numFmtId="0" fontId="6" fillId="0" borderId="5" applyAlignment="1" pivotButton="0" quotePrefix="0" xfId="0">
      <alignment horizontal="center" vertical="center"/>
    </xf>
    <xf numFmtId="0" fontId="6" fillId="0" borderId="5" applyAlignment="1" pivotButton="0" quotePrefix="0" xfId="0">
      <alignment vertical="center"/>
    </xf>
    <xf numFmtId="0" fontId="7" fillId="0" borderId="5" applyAlignment="1" pivotButton="0" quotePrefix="0" xfId="0">
      <alignment vertical="center"/>
    </xf>
    <xf numFmtId="0" fontId="8" fillId="5" borderId="1" applyAlignment="1" pivotButton="0" quotePrefix="0" xfId="0">
      <alignment horizontal="center" vertical="center"/>
    </xf>
    <xf numFmtId="0" fontId="7" fillId="0" borderId="0" applyAlignment="1" pivotButton="0" quotePrefix="0" xfId="0">
      <alignment vertical="center"/>
    </xf>
    <xf numFmtId="0" fontId="5" fillId="2" borderId="4" applyAlignment="1" pivotButton="0" quotePrefix="0" xfId="0">
      <alignment horizontal="center" vertical="center" wrapText="1"/>
    </xf>
    <xf numFmtId="0" fontId="8" fillId="5" borderId="4" applyAlignment="1" pivotButton="0" quotePrefix="0" xfId="0">
      <alignment horizontal="center" vertical="center"/>
    </xf>
    <xf numFmtId="0" fontId="8" fillId="5" borderId="6" applyAlignment="1" pivotButton="0" quotePrefix="0" xfId="0">
      <alignment horizontal="center" vertical="center"/>
    </xf>
    <xf numFmtId="3" fontId="6" fillId="0" borderId="5" applyAlignment="1" pivotButton="0" quotePrefix="0" xfId="0">
      <alignment horizontal="right" vertical="center"/>
    </xf>
    <xf numFmtId="164" fontId="9" fillId="6" borderId="1" applyAlignment="1" pivotButton="0" quotePrefix="0" xfId="0">
      <alignment horizontal="center" vertical="center"/>
    </xf>
    <xf numFmtId="0" fontId="6" fillId="0" borderId="5" applyAlignment="1" pivotButton="0" quotePrefix="0" xfId="0">
      <alignment horizontal="left" vertical="center" wrapText="1"/>
    </xf>
    <xf numFmtId="3" fontId="9" fillId="6" borderId="1" applyAlignment="1" pivotButton="0" quotePrefix="0" xfId="0">
      <alignment horizontal="center" vertical="center"/>
    </xf>
    <xf numFmtId="0" fontId="9" fillId="6" borderId="1" applyAlignment="1" pivotButton="0" quotePrefix="0" xfId="0">
      <alignment horizontal="center" vertical="center"/>
    </xf>
    <xf numFmtId="3" fontId="9" fillId="6" borderId="4" applyAlignment="1" pivotButton="0" quotePrefix="0" xfId="0">
      <alignment horizontal="center" vertical="center"/>
    </xf>
    <xf numFmtId="0" fontId="10" fillId="6" borderId="7" applyAlignment="1" pivotButton="0" quotePrefix="0" xfId="0">
      <alignment horizontal="center" vertical="center"/>
    </xf>
    <xf numFmtId="0" fontId="11" fillId="0" borderId="0" applyAlignment="1" pivotButton="0" quotePrefix="0" xfId="0">
      <alignment horizontal="center" vertical="center"/>
    </xf>
    <xf numFmtId="0" fontId="12" fillId="6" borderId="1" applyAlignment="1" pivotButton="0" quotePrefix="0" xfId="0">
      <alignment horizontal="center" vertical="center"/>
    </xf>
    <xf numFmtId="165" fontId="11" fillId="0" borderId="0" applyAlignment="1" pivotButton="0" quotePrefix="0" xfId="0">
      <alignment horizontal="center" vertical="center"/>
    </xf>
    <xf numFmtId="0" fontId="12" fillId="6" borderId="4" applyAlignment="1" pivotButton="0" quotePrefix="0" xfId="0">
      <alignment horizontal="center" vertical="center"/>
    </xf>
    <xf numFmtId="0" fontId="11" fillId="0" borderId="0" applyAlignment="1" pivotButton="0" quotePrefix="0" xfId="0">
      <alignment horizontal="left" vertical="center"/>
    </xf>
    <xf numFmtId="0" fontId="12" fillId="6" borderId="8" applyAlignment="1" pivotButton="0" quotePrefix="0" xfId="0">
      <alignment horizontal="center" vertical="center"/>
    </xf>
    <xf numFmtId="49" fontId="11" fillId="0" borderId="0" applyAlignment="1" pivotButton="0" quotePrefix="0" xfId="0">
      <alignment horizontal="center" vertical="center"/>
    </xf>
    <xf numFmtId="0" fontId="5" fillId="2" borderId="4" applyAlignment="1" pivotButton="0" quotePrefix="0" xfId="0">
      <alignment horizontal="center" vertical="center" wrapText="1"/>
    </xf>
    <xf numFmtId="0" fontId="5" fillId="2" borderId="4" applyAlignment="1" pivotButton="0" quotePrefix="0" xfId="0">
      <alignment horizontal="center" vertical="center" wrapText="1"/>
    </xf>
    <xf numFmtId="49" fontId="6" fillId="0" borderId="5" applyAlignment="1" pivotButton="0" quotePrefix="0" xfId="0">
      <alignment horizontal="center" vertical="center"/>
    </xf>
    <xf numFmtId="3" fontId="11" fillId="0" borderId="0" applyAlignment="1" pivotButton="0" quotePrefix="0" xfId="0">
      <alignment horizontal="right" vertical="center"/>
    </xf>
    <xf numFmtId="0" fontId="11" fillId="0" borderId="0" applyAlignment="1" pivotButton="0" quotePrefix="0" xfId="0">
      <alignment horizontal="left" vertical="center" wrapText="1"/>
    </xf>
    <xf numFmtId="49" fontId="11" fillId="0" borderId="0" applyAlignment="1" pivotButton="0" quotePrefix="0" xfId="0">
      <alignment horizontal="center" vertical="center"/>
    </xf>
    <xf numFmtId="164" fontId="6" fillId="0" borderId="0" applyAlignment="1" pivotButton="0" quotePrefix="0" xfId="0">
      <alignment horizontal="center" vertical="center"/>
    </xf>
    <xf numFmtId="21" fontId="6"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3" fontId="6" fillId="0" borderId="0" applyAlignment="1" pivotButton="0" quotePrefix="0" xfId="0">
      <alignment horizontal="right" vertical="center"/>
    </xf>
    <xf numFmtId="0" fontId="11" fillId="0" borderId="5" applyAlignment="1" pivotButton="0" quotePrefix="0" xfId="0">
      <alignment horizontal="center" vertical="center"/>
    </xf>
    <xf numFmtId="3" fontId="11" fillId="0" borderId="5" applyAlignment="1" pivotButton="0" quotePrefix="0" xfId="0">
      <alignment horizontal="center" vertical="center"/>
    </xf>
    <xf numFmtId="166" fontId="6" fillId="0" borderId="5" applyAlignment="1" pivotButton="0" quotePrefix="0" xfId="0">
      <alignment horizontal="center" vertical="center"/>
    </xf>
    <xf numFmtId="49" fontId="11" fillId="0" borderId="0" applyAlignment="1" pivotButton="0" quotePrefix="0" xfId="0">
      <alignment horizontal="center" vertical="center"/>
    </xf>
    <xf numFmtId="0" fontId="13" fillId="0" borderId="0" pivotButton="0" quotePrefix="0" xfId="0"/>
    <xf numFmtId="0" fontId="5" fillId="2" borderId="9" applyAlignment="1" pivotButton="0" quotePrefix="0" xfId="0">
      <alignment horizontal="center" vertical="center" wrapText="1"/>
    </xf>
    <xf numFmtId="0" fontId="14" fillId="2" borderId="4" applyAlignment="1" pivotButton="0" quotePrefix="0" xfId="0">
      <alignment horizontal="center" vertical="center" wrapText="1"/>
    </xf>
    <xf numFmtId="49" fontId="4" fillId="7" borderId="4" applyAlignment="1" pivotButton="0" quotePrefix="0" xfId="0">
      <alignment horizontal="left"/>
    </xf>
    <xf numFmtId="0" fontId="4" fillId="7" borderId="4" applyAlignment="1" pivotButton="0" quotePrefix="0" xfId="0">
      <alignment horizontal="right"/>
    </xf>
    <xf numFmtId="0" fontId="4" fillId="7" borderId="4" pivotButton="0" quotePrefix="0" xfId="0"/>
    <xf numFmtId="167" fontId="6" fillId="0" borderId="5" applyAlignment="1" pivotButton="0" quotePrefix="0" xfId="0">
      <alignment horizontal="center" vertical="center"/>
    </xf>
    <xf numFmtId="168" fontId="4" fillId="7" borderId="4" applyAlignment="1" pivotButton="0" quotePrefix="0" xfId="0">
      <alignment horizontal="right"/>
    </xf>
    <xf numFmtId="168" fontId="4" fillId="7" borderId="4" applyAlignment="1" pivotButton="0" quotePrefix="0" xfId="0">
      <alignment horizontal="center" vertical="center"/>
    </xf>
    <xf numFmtId="168" fontId="4" fillId="7" borderId="4" applyAlignment="1" pivotButton="0" quotePrefix="0" xfId="0">
      <alignment horizontal="left" vertical="center"/>
    </xf>
    <xf numFmtId="0" fontId="4" fillId="8" borderId="4" pivotButton="0" quotePrefix="0" xfId="0"/>
    <xf numFmtId="4" fontId="4" fillId="0" borderId="0" pivotButton="0" quotePrefix="0" xfId="0"/>
    <xf numFmtId="0" fontId="4" fillId="8" borderId="4" applyAlignment="1" pivotButton="0" quotePrefix="0" xfId="0">
      <alignment horizontal="right"/>
    </xf>
    <xf numFmtId="49" fontId="4" fillId="8" borderId="4" applyAlignment="1" pivotButton="0" quotePrefix="0" xfId="0">
      <alignment horizontal="left"/>
    </xf>
    <xf numFmtId="168" fontId="4" fillId="8" borderId="4" applyAlignment="1" pivotButton="0" quotePrefix="0" xfId="0">
      <alignment horizontal="right"/>
    </xf>
    <xf numFmtId="168" fontId="4" fillId="8" borderId="4" applyAlignment="1" pivotButton="0" quotePrefix="0" xfId="0">
      <alignment horizontal="center" vertical="center"/>
    </xf>
    <xf numFmtId="49" fontId="11" fillId="0" borderId="5" applyAlignment="1" pivotButton="0" quotePrefix="0" xfId="0">
      <alignment horizontal="center" vertical="center"/>
    </xf>
    <xf numFmtId="168" fontId="4" fillId="8" borderId="4" applyAlignment="1" pivotButton="0" quotePrefix="0" xfId="0">
      <alignment horizontal="left" vertical="center"/>
    </xf>
    <xf numFmtId="0" fontId="5" fillId="2" borderId="4" applyAlignment="1" pivotButton="0" quotePrefix="0" xfId="0">
      <alignment horizontal="center" vertical="center"/>
    </xf>
    <xf numFmtId="0" fontId="13" fillId="0" borderId="0" applyAlignment="1" pivotButton="0" quotePrefix="0" xfId="0">
      <alignment horizontal="right"/>
    </xf>
    <xf numFmtId="169" fontId="13" fillId="0" borderId="0" applyAlignment="1" pivotButton="0" quotePrefix="0" xfId="0">
      <alignment horizontal="right"/>
    </xf>
    <xf numFmtId="169" fontId="13" fillId="0" borderId="0" applyAlignment="1" pivotButton="0" quotePrefix="0" xfId="0">
      <alignment horizontal="center"/>
    </xf>
    <xf numFmtId="170" fontId="13" fillId="0" borderId="0" applyAlignment="1" pivotButton="0" quotePrefix="0" xfId="0">
      <alignment horizontal="center" vertical="center"/>
    </xf>
    <xf numFmtId="170" fontId="4" fillId="0" borderId="0" pivotButton="0" quotePrefix="0" xfId="0"/>
    <xf numFmtId="0" fontId="11" fillId="0" borderId="0" applyAlignment="1" pivotButton="0" quotePrefix="0" xfId="0">
      <alignment horizontal="center" vertical="center"/>
    </xf>
    <xf numFmtId="0" fontId="11" fillId="0" borderId="0" applyAlignment="1" pivotButton="0" quotePrefix="0" xfId="0">
      <alignment horizontal="center" vertical="center"/>
    </xf>
    <xf numFmtId="16" fontId="11" fillId="0" borderId="0" applyAlignment="1" pivotButton="0" quotePrefix="0" xfId="0">
      <alignment horizontal="center" vertical="center"/>
    </xf>
    <xf numFmtId="0" fontId="11" fillId="0" borderId="0" applyAlignment="1" pivotButton="0" quotePrefix="0" xfId="0">
      <alignment horizontal="center" vertical="center"/>
    </xf>
    <xf numFmtId="165" fontId="11" fillId="0" borderId="0" applyAlignment="1" pivotButton="0" quotePrefix="0" xfId="0">
      <alignment horizontal="center" vertical="center"/>
    </xf>
    <xf numFmtId="0" fontId="11" fillId="0" borderId="0" applyAlignment="1" pivotButton="0" quotePrefix="0" xfId="0">
      <alignment horizontal="left" vertical="center"/>
    </xf>
    <xf numFmtId="49" fontId="11" fillId="0" borderId="0" applyAlignment="1" pivotButton="0" quotePrefix="0" xfId="0">
      <alignment horizontal="center" vertical="center"/>
    </xf>
    <xf numFmtId="3" fontId="11" fillId="0" borderId="0" applyAlignment="1" pivotButton="0" quotePrefix="0" xfId="0">
      <alignment horizontal="right" vertical="center"/>
    </xf>
    <xf numFmtId="0" fontId="11" fillId="0" borderId="0" applyAlignment="1" pivotButton="0" quotePrefix="0" xfId="0">
      <alignment horizontal="left" vertical="center" wrapText="1"/>
    </xf>
    <xf numFmtId="0" fontId="15" fillId="0" borderId="0" pivotButton="0" quotePrefix="0" xfId="0"/>
    <xf numFmtId="0" fontId="16" fillId="8" borderId="4" pivotButton="0" quotePrefix="0" xfId="0"/>
    <xf numFmtId="0" fontId="17" fillId="9" borderId="4" applyAlignment="1" pivotButton="0" quotePrefix="0" xfId="0">
      <alignment vertical="center"/>
    </xf>
    <xf numFmtId="0" fontId="18" fillId="10" borderId="4" applyAlignment="1" pivotButton="0" quotePrefix="0" xfId="0">
      <alignment vertical="center"/>
    </xf>
    <xf numFmtId="0" fontId="19" fillId="0" borderId="0" applyAlignment="1" pivotButton="0" quotePrefix="0" xfId="0">
      <alignment vertical="center"/>
    </xf>
    <xf numFmtId="0" fontId="20" fillId="0" borderId="0" applyAlignment="1" pivotButton="0" quotePrefix="0" xfId="0">
      <alignment wrapText="1"/>
    </xf>
    <xf numFmtId="0" fontId="21" fillId="9" borderId="4" applyAlignment="1" pivotButton="0" quotePrefix="0" xfId="0">
      <alignment horizontal="left" vertical="center"/>
    </xf>
    <xf numFmtId="0" fontId="21" fillId="9" borderId="4" applyAlignment="1" pivotButton="0" quotePrefix="0" xfId="0">
      <alignment vertical="center"/>
    </xf>
    <xf numFmtId="0" fontId="22" fillId="11" borderId="10" applyAlignment="1" pivotButton="0" quotePrefix="0" xfId="0">
      <alignment horizontal="center" vertical="center" wrapText="1"/>
    </xf>
    <xf numFmtId="0" fontId="23" fillId="0" borderId="11" applyAlignment="1" pivotButton="0" quotePrefix="0" xfId="0">
      <alignment horizontal="left" vertical="center" wrapText="1"/>
    </xf>
    <xf numFmtId="0" fontId="2" fillId="0" borderId="12" pivotButton="0" quotePrefix="0" xfId="0"/>
    <xf numFmtId="0" fontId="2" fillId="0" borderId="13" pivotButton="0" quotePrefix="0" xfId="0"/>
    <xf numFmtId="0" fontId="24" fillId="12" borderId="5" applyAlignment="1" pivotButton="0" quotePrefix="0" xfId="0">
      <alignment vertical="center" wrapText="1"/>
    </xf>
    <xf numFmtId="0" fontId="25" fillId="7" borderId="4" pivotButton="0" quotePrefix="0" xfId="0"/>
    <xf numFmtId="0" fontId="24" fillId="13" borderId="4" applyAlignment="1" pivotButton="0" quotePrefix="0" xfId="0">
      <alignment vertical="center" wrapText="1"/>
    </xf>
    <xf numFmtId="0" fontId="24" fillId="12" borderId="4" applyAlignment="1" pivotButton="0" quotePrefix="0" xfId="0">
      <alignment vertical="center" wrapText="1"/>
    </xf>
    <xf numFmtId="0" fontId="19" fillId="0" borderId="5" applyAlignment="1" pivotButton="0" quotePrefix="0" xfId="0">
      <alignment vertical="center"/>
    </xf>
    <xf numFmtId="0" fontId="19" fillId="0" borderId="5" applyAlignment="1" pivotButton="0" quotePrefix="0" xfId="0">
      <alignment horizontal="center" vertical="center"/>
    </xf>
    <xf numFmtId="0" fontId="26" fillId="0" borderId="0" applyAlignment="1" pivotButton="0" quotePrefix="0" xfId="0">
      <alignment vertical="center"/>
    </xf>
    <xf numFmtId="0" fontId="19" fillId="14" borderId="5" applyAlignment="1" pivotButton="0" quotePrefix="0" xfId="0">
      <alignment vertical="center"/>
    </xf>
    <xf numFmtId="0" fontId="24" fillId="15" borderId="5" applyAlignment="1" pivotButton="0" quotePrefix="0" xfId="0">
      <alignment vertical="center"/>
    </xf>
    <xf numFmtId="0" fontId="19" fillId="0" borderId="5" applyAlignment="1" pivotButton="0" quotePrefix="0" xfId="0">
      <alignment vertical="center" wrapText="1"/>
    </xf>
    <xf numFmtId="49" fontId="19" fillId="0" borderId="0" applyAlignment="1" pivotButton="0" quotePrefix="0" xfId="0">
      <alignment vertical="center"/>
    </xf>
    <xf numFmtId="0" fontId="24" fillId="16" borderId="5" applyAlignment="1" pivotButton="0" quotePrefix="0" xfId="0">
      <alignment vertical="center"/>
    </xf>
    <xf numFmtId="49" fontId="26" fillId="0" borderId="0" applyAlignment="1" pivotButton="0" quotePrefix="0" xfId="0">
      <alignment vertical="center"/>
    </xf>
    <xf numFmtId="0" fontId="24" fillId="17" borderId="5" applyAlignment="1" pivotButton="0" quotePrefix="0" xfId="0">
      <alignment vertical="center"/>
    </xf>
    <xf numFmtId="0" fontId="24" fillId="18" borderId="5" applyAlignment="1" pivotButton="0" quotePrefix="0" xfId="0">
      <alignment vertical="center"/>
    </xf>
    <xf numFmtId="0" fontId="19" fillId="0" borderId="0" applyAlignment="1" pivotButton="0" quotePrefix="0" xfId="0">
      <alignment horizontal="left" vertical="center" wrapText="1"/>
    </xf>
    <xf numFmtId="0" fontId="27" fillId="9" borderId="4" applyAlignment="1" pivotButton="0" quotePrefix="0" xfId="0">
      <alignment horizontal="right" vertical="center"/>
    </xf>
    <xf numFmtId="0" fontId="5" fillId="12" borderId="10" applyAlignment="1" pivotButton="0" quotePrefix="0" xfId="0">
      <alignment horizontal="center" vertical="center" wrapText="1"/>
    </xf>
    <xf numFmtId="0" fontId="5" fillId="12" borderId="10" applyAlignment="1" pivotButton="0" quotePrefix="0" xfId="0">
      <alignment horizontal="left" vertical="center" wrapText="1"/>
    </xf>
    <xf numFmtId="0" fontId="5" fillId="12" borderId="11" applyAlignment="1" pivotButton="0" quotePrefix="0" xfId="0">
      <alignment horizontal="left" vertical="center" wrapText="1"/>
    </xf>
    <xf numFmtId="0" fontId="22" fillId="0" borderId="10" applyAlignment="1" pivotButton="0" quotePrefix="0" xfId="0">
      <alignment horizontal="left" vertical="center" wrapText="1"/>
    </xf>
    <xf numFmtId="0" fontId="19" fillId="0" borderId="11" applyAlignment="1" pivotButton="0" quotePrefix="0" xfId="0">
      <alignment horizontal="left" vertical="center" wrapText="1"/>
    </xf>
    <xf numFmtId="0" fontId="19" fillId="0" borderId="11" applyAlignment="1" pivotButton="0" quotePrefix="0" xfId="0">
      <alignment horizontal="left" vertical="center" wrapText="1"/>
    </xf>
    <xf numFmtId="0" fontId="28" fillId="0" borderId="0" applyAlignment="1" pivotButton="0" quotePrefix="0" xfId="0">
      <alignment horizontal="left" vertical="center"/>
    </xf>
    <xf numFmtId="0" fontId="26" fillId="0" borderId="10" applyAlignment="1" pivotButton="0" quotePrefix="0" xfId="0">
      <alignment horizontal="left" vertical="center" wrapText="1"/>
    </xf>
    <xf numFmtId="0" fontId="19" fillId="0" borderId="0" applyAlignment="1" pivotButton="0" quotePrefix="0" xfId="0">
      <alignment horizontal="center" vertical="center"/>
    </xf>
    <xf numFmtId="171" fontId="19" fillId="0" borderId="0" applyAlignment="1" pivotButton="0" quotePrefix="0" xfId="0">
      <alignment vertical="center"/>
    </xf>
    <xf numFmtId="0" fontId="26" fillId="0" borderId="11" applyAlignment="1" pivotButton="0" quotePrefix="0" xfId="0">
      <alignment horizontal="left" vertical="center" wrapText="1"/>
    </xf>
    <xf numFmtId="0" fontId="26" fillId="0" borderId="10" applyAlignment="1" pivotButton="0" quotePrefix="0" xfId="0">
      <alignment horizontal="center" vertical="center" wrapText="1"/>
    </xf>
    <xf numFmtId="0" fontId="29" fillId="12" borderId="11" applyAlignment="1" pivotButton="0" quotePrefix="0" xfId="0">
      <alignment horizontal="left" vertical="center" wrapText="1"/>
    </xf>
    <xf numFmtId="0" fontId="19" fillId="0" borderId="10" applyAlignment="1" pivotButton="0" quotePrefix="0" xfId="0">
      <alignment horizontal="left" vertical="center" wrapText="1"/>
    </xf>
    <xf numFmtId="0" fontId="19" fillId="0" borderId="10" applyAlignment="1" pivotButton="0" quotePrefix="0" xfId="0">
      <alignment horizontal="center" vertical="center" wrapText="1"/>
    </xf>
    <xf numFmtId="49" fontId="19" fillId="0" borderId="10" applyAlignment="1" pivotButton="0" quotePrefix="0" xfId="0">
      <alignment horizontal="center" vertical="center" wrapText="1"/>
    </xf>
    <xf numFmtId="0" fontId="4" fillId="7" borderId="4" applyAlignment="1" pivotButton="0" quotePrefix="0" xfId="0">
      <alignment vertical="top"/>
    </xf>
    <xf numFmtId="0" fontId="13" fillId="8" borderId="4" pivotButton="0" quotePrefix="0" xfId="0"/>
    <xf numFmtId="0" fontId="4" fillId="8" borderId="4" applyAlignment="1" pivotButton="0" quotePrefix="0" xfId="0">
      <alignment vertical="top"/>
    </xf>
    <xf numFmtId="0" fontId="13" fillId="7" borderId="4" pivotButton="0" quotePrefix="0" xfId="0"/>
    <xf numFmtId="0" fontId="13" fillId="0" borderId="0" applyAlignment="1" pivotButton="0" quotePrefix="0" xfId="0">
      <alignment horizontal="left" vertical="center"/>
    </xf>
    <xf numFmtId="0" fontId="13" fillId="0" borderId="0" applyAlignment="1" pivotButton="0" quotePrefix="0" xfId="0">
      <alignment vertical="center"/>
    </xf>
    <xf numFmtId="168" fontId="13" fillId="0" borderId="0" applyAlignment="1" pivotButton="0" quotePrefix="0" xfId="0">
      <alignment horizontal="right" vertical="center"/>
    </xf>
    <xf numFmtId="0" fontId="30" fillId="0" borderId="0" applyAlignment="1" pivotButton="0" quotePrefix="0" xfId="0">
      <alignment vertical="center"/>
    </xf>
    <xf numFmtId="168" fontId="13" fillId="0" borderId="0" applyAlignment="1" pivotButton="0" quotePrefix="0" xfId="0">
      <alignment horizontal="right"/>
    </xf>
    <xf numFmtId="49" fontId="4" fillId="0" borderId="0" pivotButton="0" quotePrefix="0" xfId="0"/>
    <xf numFmtId="170" fontId="4" fillId="0" borderId="0" applyAlignment="1" pivotButton="0" quotePrefix="0" xfId="0">
      <alignment horizontal="center"/>
    </xf>
    <xf numFmtId="0" fontId="4" fillId="0" borderId="0" applyAlignment="1" pivotButton="0" quotePrefix="0" xfId="0">
      <alignment horizontal="center"/>
    </xf>
    <xf numFmtId="49" fontId="4" fillId="0" borderId="0" applyAlignment="1" pivotButton="0" quotePrefix="0" xfId="0">
      <alignment horizontal="center"/>
    </xf>
    <xf numFmtId="170" fontId="13" fillId="0" borderId="0" pivotButton="0" quotePrefix="0" xfId="0"/>
    <xf numFmtId="169" fontId="4"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pivotButton="0" quotePrefix="0" xfId="0"/>
    <xf numFmtId="0" fontId="26" fillId="0" borderId="0" pivotButton="0" quotePrefix="0" xfId="0"/>
    <xf numFmtId="3" fontId="4" fillId="0" borderId="0" pivotButton="0" quotePrefix="0" xfId="0"/>
    <xf numFmtId="3" fontId="33" fillId="0" borderId="0" pivotButton="0" quotePrefix="0" xfId="0"/>
    <xf numFmtId="0" fontId="5" fillId="2" borderId="4" applyAlignment="1" pivotButton="0" quotePrefix="0" xfId="0">
      <alignment wrapText="1"/>
    </xf>
    <xf numFmtId="49" fontId="4" fillId="8" borderId="4" pivotButton="0" quotePrefix="0" xfId="0"/>
    <xf numFmtId="49" fontId="4" fillId="7" borderId="4" pivotButton="0" quotePrefix="0" xfId="0"/>
    <xf numFmtId="0" fontId="34" fillId="0" borderId="0" applyAlignment="1" pivotButton="0" quotePrefix="0" xfId="0">
      <alignment vertical="top" wrapText="1"/>
    </xf>
    <xf numFmtId="0" fontId="35" fillId="0" borderId="0" pivotButton="0" quotePrefix="0" xfId="0"/>
    <xf numFmtId="0" fontId="34" fillId="0" borderId="14" applyAlignment="1" pivotButton="0" quotePrefix="0" xfId="0">
      <alignment vertical="top" wrapText="1"/>
    </xf>
    <xf numFmtId="3" fontId="34" fillId="0" borderId="14" applyAlignment="1" pivotButton="0" quotePrefix="0" xfId="0">
      <alignment horizontal="right" vertical="top"/>
    </xf>
    <xf numFmtId="0" fontId="35" fillId="8" borderId="14" applyAlignment="1" pivotButton="0" quotePrefix="0" xfId="0">
      <alignment vertical="top"/>
    </xf>
    <xf numFmtId="3" fontId="35" fillId="8" borderId="14" applyAlignment="1" pivotButton="0" quotePrefix="0" xfId="0">
      <alignment horizontal="right" vertical="top"/>
    </xf>
    <xf numFmtId="0" fontId="4" fillId="8" borderId="4" pivotButton="0" quotePrefix="0" xfId="0"/>
    <xf numFmtId="0" fontId="4" fillId="7" borderId="4" pivotButton="0" quotePrefix="0" xfId="0"/>
    <xf numFmtId="0" fontId="4" fillId="8" borderId="4" applyAlignment="1" pivotButton="0" quotePrefix="0" xfId="0">
      <alignment wrapText="1"/>
    </xf>
    <xf numFmtId="0" fontId="4" fillId="7" borderId="4" applyAlignment="1" pivotButton="0" quotePrefix="0" xfId="0">
      <alignment wrapText="1"/>
    </xf>
    <xf numFmtId="0" fontId="36" fillId="19" borderId="15" applyAlignment="1" pivotButton="0" quotePrefix="0" xfId="0">
      <alignment vertical="top"/>
    </xf>
    <xf numFmtId="0" fontId="36" fillId="7" borderId="15" applyAlignment="1" pivotButton="0" quotePrefix="0" xfId="0">
      <alignment vertical="top"/>
    </xf>
    <xf numFmtId="0" fontId="36" fillId="8" borderId="15" applyAlignment="1" pivotButton="0" quotePrefix="0" xfId="0">
      <alignment vertical="top"/>
    </xf>
    <xf numFmtId="49" fontId="4" fillId="14" borderId="4" applyAlignment="1" pivotButton="0" quotePrefix="0" xfId="0">
      <alignment horizontal="left"/>
    </xf>
    <xf numFmtId="49" fontId="26" fillId="8" borderId="4" applyAlignment="1" pivotButton="0" quotePrefix="0" xfId="0">
      <alignment horizontal="left"/>
    </xf>
    <xf numFmtId="169" fontId="4" fillId="0" borderId="0" pivotButton="0" quotePrefix="0" xfId="0"/>
    <xf numFmtId="49" fontId="36" fillId="14" borderId="16" applyAlignment="1" pivotButton="0" quotePrefix="0" xfId="0">
      <alignment horizontal="left" vertical="top"/>
    </xf>
    <xf numFmtId="0" fontId="36" fillId="20" borderId="15" applyAlignment="1" pivotButton="0" quotePrefix="0" xfId="0">
      <alignment vertical="top"/>
    </xf>
    <xf numFmtId="168" fontId="36" fillId="20" borderId="15" applyAlignment="1" pivotButton="0" quotePrefix="0" xfId="0">
      <alignment vertical="top"/>
    </xf>
    <xf numFmtId="168" fontId="36" fillId="20" borderId="17" applyAlignment="1" pivotButton="0" quotePrefix="0" xfId="0">
      <alignment vertical="top"/>
    </xf>
    <xf numFmtId="49" fontId="36" fillId="7" borderId="16" applyAlignment="1" pivotButton="0" quotePrefix="0" xfId="0">
      <alignment horizontal="left" vertical="top"/>
    </xf>
    <xf numFmtId="0" fontId="36" fillId="7" borderId="15" applyAlignment="1" pivotButton="0" quotePrefix="0" xfId="0">
      <alignment vertical="top"/>
    </xf>
    <xf numFmtId="49" fontId="36" fillId="19" borderId="16" applyAlignment="1" pivotButton="0" quotePrefix="0" xfId="0">
      <alignment horizontal="left" vertical="top"/>
    </xf>
    <xf numFmtId="0" fontId="37" fillId="19" borderId="15" applyAlignment="1" pivotButton="0" quotePrefix="0" xfId="0">
      <alignment vertical="top"/>
    </xf>
    <xf numFmtId="0" fontId="38" fillId="7" borderId="15" applyAlignment="1" pivotButton="0" quotePrefix="0" xfId="0">
      <alignment vertical="top"/>
    </xf>
    <xf numFmtId="49" fontId="36" fillId="8" borderId="16" applyAlignment="1" pivotButton="0" quotePrefix="0" xfId="0">
      <alignment horizontal="left" vertical="top"/>
    </xf>
    <xf numFmtId="0" fontId="39" fillId="8" borderId="15" applyAlignment="1" pivotButton="0" quotePrefix="0" xfId="0">
      <alignment vertical="top"/>
    </xf>
    <xf numFmtId="0" fontId="0" fillId="0" borderId="0" pivotButton="0" quotePrefix="0" xfId="0"/>
    <xf numFmtId="0" fontId="1" fillId="2" borderId="4" applyAlignment="1" pivotButton="0" quotePrefix="0" xfId="0">
      <alignment horizontal="center" vertical="center"/>
    </xf>
    <xf numFmtId="164" fontId="9" fillId="6" borderId="4" applyAlignment="1" pivotButton="0" quotePrefix="0" xfId="0">
      <alignment horizontal="center" vertical="center"/>
    </xf>
    <xf numFmtId="0" fontId="9" fillId="6" borderId="4" applyAlignment="1" pivotButton="0" quotePrefix="0" xfId="0">
      <alignment horizontal="center" vertical="center"/>
    </xf>
    <xf numFmtId="0" fontId="3" fillId="3" borderId="4" applyAlignment="1" pivotButton="0" quotePrefix="0" xfId="0">
      <alignment horizontal="center" vertical="center"/>
    </xf>
    <xf numFmtId="0" fontId="23" fillId="0" borderId="10" applyAlignment="1" pivotButton="0" quotePrefix="0" xfId="0">
      <alignment horizontal="left" vertical="center" wrapText="1"/>
    </xf>
    <xf numFmtId="0" fontId="0" fillId="0" borderId="12" pivotButton="0" quotePrefix="0" xfId="0"/>
    <xf numFmtId="0" fontId="0" fillId="0" borderId="13" pivotButton="0" quotePrefix="0" xfId="0"/>
    <xf numFmtId="0" fontId="29" fillId="12" borderId="10" applyAlignment="1" pivotButton="0" quotePrefix="0" xfId="0">
      <alignment horizontal="left" vertical="center" wrapText="1"/>
    </xf>
  </cellXfs>
  <cellStyles count="1">
    <cellStyle name="Normal" xfId="0" builtinId="0"/>
  </cellStyles>
  <dxfs count="19">
    <dxf>
      <font/>
      <fill>
        <patternFill/>
      </fill>
      <border/>
    </dxf>
    <dxf>
      <font/>
      <fill>
        <patternFill patternType="solid">
          <fgColor rgb="FFFFFFFF"/>
          <bgColor rgb="FFFFFFFF"/>
        </patternFill>
      </fill>
      <border/>
    </dxf>
    <dxf>
      <font/>
      <fill>
        <patternFill patternType="solid">
          <fgColor rgb="FF1D3556"/>
          <bgColor rgb="FF1D3556"/>
        </patternFill>
      </fill>
      <border/>
    </dxf>
    <dxf>
      <font/>
      <fill>
        <patternFill patternType="solid">
          <fgColor rgb="FFF5F8FC"/>
          <bgColor rgb="FFF5F8FC"/>
        </patternFill>
      </fill>
      <border/>
    </dxf>
    <dxf>
      <border>
        <left style="thin">
          <color rgb="FF1D3556"/>
        </left>
        <right style="thin">
          <color rgb="FF1D3556"/>
        </right>
        <top style="thin">
          <color rgb="FF1D3556"/>
        </top>
        <bottom style="thin">
          <color rgb="FF1D3556"/>
        </bottom>
      </border>
    </dxf>
    <dxf>
      <font>
        <b val="1"/>
        <color rgb="FF991B1B"/>
      </font>
      <fill>
        <patternFill patternType="solid">
          <fgColor rgb="FFFDE1E1"/>
          <bgColor rgb="FFFDE1E1"/>
        </patternFill>
      </fill>
      <border/>
    </dxf>
    <dxf>
      <font>
        <b val="1"/>
        <color rgb="FF854D0E"/>
      </font>
      <fill>
        <patternFill patternType="solid">
          <fgColor rgb="FFFEF3C7"/>
          <bgColor rgb="FFFEF3C7"/>
        </patternFill>
      </fill>
      <border/>
    </dxf>
    <dxf>
      <font>
        <b val="1"/>
        <color rgb="FF0369A1"/>
      </font>
      <fill>
        <patternFill patternType="solid">
          <fgColor rgb="FFE0F2FE"/>
          <bgColor rgb="FFE0F2FE"/>
        </patternFill>
      </fill>
      <border/>
    </dxf>
    <dxf>
      <font>
        <b val="1"/>
        <color rgb="FF156434"/>
      </font>
      <fill>
        <patternFill patternType="solid">
          <fgColor rgb="FFDBFBE7"/>
          <bgColor rgb="FFDBFBE7"/>
        </patternFill>
      </fill>
      <border/>
    </dxf>
    <dxf>
      <font>
        <color rgb="FF047857"/>
      </font>
      <fill>
        <patternFill patternType="solid">
          <fgColor rgb="FFECFDF5"/>
          <bgColor rgb="FFECFDF5"/>
        </patternFill>
      </fill>
      <border/>
    </dxf>
    <dxf>
      <font>
        <color rgb="FF475569"/>
      </font>
      <fill>
        <patternFill patternType="solid">
          <fgColor rgb="FFF1F5F9"/>
          <bgColor rgb="FFF1F5F9"/>
        </patternFill>
      </fill>
      <border/>
    </dxf>
    <dxf>
      <font/>
      <fill>
        <patternFill patternType="solid">
          <fgColor rgb="FFF3F6FB"/>
          <bgColor rgb="FFF3F6FB"/>
        </patternFill>
      </fill>
      <border/>
    </dxf>
    <dxf>
      <font>
        <b val="1"/>
      </font>
      <fill>
        <patternFill/>
      </fill>
      <border>
        <top style="thin">
          <color rgb="FF3E5F90"/>
        </top>
      </border>
    </dxf>
    <dxf>
      <font>
        <color rgb="FFB3261E"/>
      </font>
      <fill>
        <patternFill/>
      </fill>
      <border/>
    </dxf>
    <dxf>
      <font>
        <b val="1"/>
        <color rgb="FFA51C23"/>
      </font>
      <fill>
        <patternFill patternType="solid">
          <fgColor rgb="FFFCE8E5"/>
          <bgColor rgb="FFFCE8E5"/>
        </patternFill>
      </fill>
      <border/>
    </dxf>
    <dxf>
      <font>
        <b val="1"/>
        <color rgb="FF854D0E"/>
      </font>
      <fill>
        <patternFill patternType="solid">
          <fgColor rgb="FFFDF8C3"/>
          <bgColor rgb="FFFDF8C3"/>
        </patternFill>
      </fill>
      <border/>
    </dxf>
    <dxf>
      <font>
        <b val="1"/>
        <color rgb="FF14713A"/>
      </font>
      <fill>
        <patternFill patternType="solid">
          <fgColor rgb="FFD3ECDA"/>
          <bgColor rgb="FFD3ECDA"/>
        </patternFill>
      </fill>
      <border/>
    </dxf>
    <dxf>
      <font>
        <b val="1"/>
        <color rgb="FF711E25"/>
      </font>
      <fill>
        <patternFill patternType="solid">
          <fgColor rgb="FFF8D4D9"/>
          <bgColor rgb="FFF8D4D9"/>
        </patternFill>
      </fill>
      <border/>
    </dxf>
    <dxf>
      <font>
        <b val="1"/>
        <color rgb="FFA41C22"/>
      </font>
      <fill>
        <patternFill patternType="solid">
          <fgColor rgb="FFFBE8E4"/>
          <bgColor rgb="FFFBE8E4"/>
        </patternFill>
      </fill>
      <border/>
    </dxf>
  </dxfs>
  <tableStyles count="2" defaultTableStyle="TableStyleMedium9" defaultPivotStyle="PivotStyleLight16">
    <tableStyle name="Escaneo Diario-style" pivot="0" count="2">
      <tableStyleElement type="firstRowStripe" dxfId="1"/>
      <tableStyleElement type="secondRowStripe" dxfId="3"/>
    </tableStyle>
    <tableStyle name="Escaneos-style" pivot="0" count="4">
      <tableStyleElement type="headerRow" dxfId="2"/>
      <tableStyleElement type="firstRowStripe" dxfId="1"/>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tc={c80b839a-ae28-4f9f-9079-2dafa6aaa258}</author>
    <author>tc={fbb67b98-6968-4473-a351-83528d8e9213}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Source: filas pegadas en el chat por el usuario (gorras CAPSLAB, versión actualizada), 30/09/2026. 17 filas pegadas; 3 repetidas no se duplicaron.
</t>
      </text>
    </comment>
    <comment ref="J3" authorId="1" shapeId="0">
      <text>
        <t xml:space="preserve">[Threaded comment]
 Your version of Excel allows you to read this threaded comment; however, any edits to it will get removed if the file is opened in a newer version of Excel. Learn more: https://go.microsoft.com/fwlink/?linkid=870924
Comment:
	Función de Apps Script vinculada: finalizarEscaneo()
Genera folios CC-AAMMDD-XXX por ubicación, agrupa piezas por UPC y archiva en Historial y Escaneos.
</t>
      </text>
    </comment>
  </commentList>
</comments>
</file>

<file path=xl/comments/comment2.xml><?xml version="1.0" encoding="utf-8"?>
<comments xmlns="http://schemas.openxmlformats.org/spreadsheetml/2006/main">
  <authors>
    <author>tc={aa338a0a-7d43-4570-b55f-3b2e61bb10ad}</author>
    <author>tc={7eacf68d-3fb2-416f-b558-d1344d172d2e}</author>
    <author>tc={9d2ee750-7456-4e5b-892f-565b03b83794}</author>
    <author>tc={b355d826-635e-46a4-9986-d081339247fd}</author>
  </authors>
  <commentList>
    <comment ref="AL1" authorId="0" shapeId="0">
      <text>
        <t xml:space="preserve">[Threaded comment]
 Your version of Excel allows you to read this threaded comment; however, any edits to it will get removed if the file is opened in a newer version of Excel. Learn more: https://go.microsoft.com/fwlink/?linkid=870924
Comment:
	Valores fijos al 01/10/2026. Antes era un vínculo externo a Ciclico_1522_investigado.xlsx (Productos_Resumen!F) amarrado al número de fila; al mover o insertar filas se habría desalineado, por eso se congeló. Filas nuevas: vacío.
</t>
      </text>
    </comment>
    <comment ref="AM1" authorId="1" shapeId="0">
      <text>
        <t xml:space="preserve">[Threaded comment]
 Your version of Excel allows you to read this threaded comment; however, any edits to it will get removed if the file is opened in a newer version of Excel. Learn more: https://go.microsoft.com/fwlink/?linkid=870924
Comment:
	Valores fijos al 01/10/2026 (antes vínculo externo a Productos_Resumen!G por número de fila). Filas nuevas: vacío.
</t>
      </text>
    </comment>
    <comment ref="AN1" authorId="2" shapeId="0">
      <text>
        <t xml:space="preserve">[Threaded comment]
 Your version of Excel allows you to read this threaded comment; however, any edits to it will get removed if the file is opened in a newer version of Excel. Learn more: https://go.microsoft.com/fwlink/?linkid=870924
Comment:
	Plataforma + Marca/tienda donde está dado de alta el artículo (variante activa): Shopify Stetson México, Shopify Western Brothers u Odoo Universal Unique Brands. Fuente: Catalogo_Estandar_Stetson_WB_Odoo_2026-10-01_v2.xlsx.
</t>
      </text>
    </comment>
    <comment ref="AO1" authorId="3" shapeId="0">
      <text>
        <t xml:space="preserve">[Threaded comment]
 Your version of Excel allows you to read this threaded comment; however, any edits to it will get removed if the file is opened in a newer version of Excel. Learn more: https://go.microsoft.com/fwlink/?linkid=870924
Comment:
	Existencia en la plataforma según la extracción del 01/10/2026. Vacío = el artículo no está en esa plataforma.
</t>
      </text>
    </comment>
  </commentList>
</comments>
</file>

<file path=xl/comments/comment3.xml><?xml version="1.0" encoding="utf-8"?>
<comments xmlns="http://schemas.openxmlformats.org/spreadsheetml/2006/main">
  <authors>
    <author>tc={5507d121-6dbe-464e-9eab-8f9c94fff2db}</author>
    <author>tc={b2c31b9d-dc50-4202-9900-666ab29287b2}</author>
  </authors>
  <commentList>
    <comment ref="I5" authorId="0" shapeId="0">
      <text>
        <t xml:space="preserve">[Threaded comment]
 Your version of Excel allows you to read this threaded comment; however, any edits to it will get removed if the file is opened in a newer version of Excel. Learn more: https://go.microsoft.com/fwlink/?linkid=870924
Comment:
	Source: NetSuite, corte 28/09/2026 (migrado de la hoja Configuración, eliminada 30/09/2026). Valores fijos; actualizar con cada nuevo corte.
</t>
      </text>
    </comment>
    <comment ref="K5" authorId="1" shapeId="0">
      <text>
        <t xml:space="preserve">[Threaded comment]
 Your version of Excel allows you to read this threaded comment; however, any edits to it will get removed if the file is opened in a newer version of Excel. Learn more: https://go.microsoft.com/fwlink/?linkid=870924
Comment:
	[Comentario encadenado]
Su versión de Excel le permite leer este comentario encadenado; sin embargo, las ediciones que se apliquen se quitarán si el archivo se abre en una versión más reciente de Excel. Más información: https://go.microsoft.com/fwlink/?linkid=870924
Comentario:
    Asigna cada ubicación o rack a Bodega 25 o Bodega 43; las hojas 'Bodega 25' y 'Bodega 43' toman esta columna. Si se deja vacía: nombres con «B25»/«Bodega 25» van a Bodega 25 y con «G1522» a Bodega 43.
</t>
      </text>
    </comment>
  </commentList>
</comments>
</file>

<file path=xl/comments/comment4.xml><?xml version="1.0" encoding="utf-8"?>
<comments xmlns="http://schemas.openxmlformats.org/spreadsheetml/2006/main">
  <authors>
    <author>tc={9d6aba0a-0558-4d4f-862d-e9cc11d81bb3}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Generado el 02/10/2026 desde la hoja Productos: columnas AE (ubicaciones con stock NetSuite), AJ (ubicaciones en negativo) y AR (ubicaciones en plataformas). Ubicación, SKU, Stock y Sistema son valores; el resto se busca en Productos con fórmula (Fila en Productos). Si Productos cambia de nuevo, hay que regenerar esta hoja.
</t>
      </text>
    </comment>
  </commentList>
</comments>
</file>

<file path=xl/tables/table1.xml><?xml version="1.0" encoding="utf-8"?>
<table xmlns="http://schemas.openxmlformats.org/spreadsheetml/2006/main" id="1" name="Table_1" displayName="Table_1" ref="C7:J1000"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Escaneo Diario-style" showFirstColumn="1" showLastColumn="1" showRowStripes="1" showColumnStripes="0"/>
</table>
</file>

<file path=xl/tables/table2.xml><?xml version="1.0" encoding="utf-8"?>
<table xmlns="http://schemas.openxmlformats.org/spreadsheetml/2006/main" id="2" name="Table_2" displayName="Table_2" ref="A1:M215" headerRowCount="1">
  <tableColumns count="13">
    <tableColumn id="1" name="Folio de Escaneo"/>
    <tableColumn id="2" name="Fecha / Hora"/>
    <tableColumn id="3" name="Ubicación / Rack"/>
    <tableColumn id="4" name="UPC CODE"/>
    <tableColumn id="5" name="SKU"/>
    <tableColumn id="6" name="Marca"/>
    <tableColumn id="7" name="Descripción"/>
    <tableColumn id="8" name="Categoría"/>
    <tableColumn id="9" name="Talla / Size"/>
    <tableColumn id="10" name="Piezas Contadas"/>
    <tableColumn id="11" name="Auditor / Responsable"/>
    <tableColumn id="12" name="Estado de Conteo"/>
    <tableColumn id="13" name="Detalle de Modificaciones / Alertas"/>
  </tableColumns>
  <tableStyleInfo name="Escan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FF1D3A8A"/>
    <outlinePr summaryBelow="0" summaryRight="0"/>
    <pageSetUpPr/>
  </sheetPr>
  <dimension ref="A1:J1000"/>
  <sheetViews>
    <sheetView workbookViewId="0">
      <pane ySplit="6" topLeftCell="A7" activePane="bottomLeft" state="frozen"/>
      <selection pane="bottomLeft" activeCell="B8" sqref="B8"/>
    </sheetView>
  </sheetViews>
  <sheetFormatPr baseColWidth="8" defaultColWidth="12.63" defaultRowHeight="15" customHeight="1"/>
  <cols>
    <col width="17" customWidth="1" style="176" min="1" max="1"/>
    <col width="27.63" customWidth="1" style="176" min="2" max="2"/>
    <col width="15.75" customWidth="1" style="176" min="3" max="3"/>
    <col width="17.75" customWidth="1" style="176" min="4" max="4"/>
    <col width="17" customWidth="1" style="176" min="5" max="5"/>
    <col width="35.13" customWidth="1" style="176" min="6" max="6"/>
    <col width="15.13" customWidth="1" style="176" min="7" max="8"/>
    <col width="11.38" customWidth="1" style="176" min="9" max="9"/>
    <col width="33.88" customWidth="1" style="176" min="10" max="10"/>
  </cols>
  <sheetData>
    <row r="1" ht="28.5" customHeight="1" s="176">
      <c r="A1" s="177" t="inlineStr">
        <is>
          <t>GRUPO QUINCE 22   |   CONTROL DE INVENTARIOS Y CONTEO CÍCLICO DIARIO</t>
        </is>
      </c>
    </row>
    <row r="2" ht="18" customHeight="1" s="176">
      <c r="A2" s="16" t="inlineStr">
        <is>
          <t>📅 FECHA ACTUAL</t>
        </is>
      </c>
      <c r="C2" s="16" t="inlineStr">
        <is>
          <t>📦 TOTAL ESCANEOS</t>
        </is>
      </c>
      <c r="E2" s="16" t="inlineStr">
        <is>
          <t>🏷️ PRODUCTOS ÚNICOS</t>
        </is>
      </c>
      <c r="G2" s="16" t="n"/>
      <c r="H2" s="16" t="inlineStr">
        <is>
          <t>📊 TOTAL DE PIEZAS</t>
        </is>
      </c>
      <c r="J2" s="17" t="inlineStr">
        <is>
          <t>🚀 ACCIÓN OPERATIVA</t>
        </is>
      </c>
    </row>
    <row r="3" ht="27" customHeight="1" s="176">
      <c r="A3" s="178">
        <f>TODAY()</f>
        <v/>
      </c>
      <c r="C3" s="23">
        <f>COUNTIF(C7:C1000, "&lt;&gt;")</f>
        <v/>
      </c>
      <c r="E3" s="179">
        <f>IFERROR(__xludf.DUMMYFUNCTION("IFERROR(ROWS(UNIQUE(FILTER(D7:D1000, D7:D1000&lt;&gt;""""))), 0)"),0.0)</f>
        <v/>
      </c>
      <c r="G3" s="23" t="n"/>
      <c r="H3" s="23">
        <f>COUNTIF(C7:C1000, "&lt;&gt;")</f>
        <v/>
      </c>
      <c r="J3" s="24" t="inlineStr">
        <is>
          <t>FINALIZAR ESCANEO</t>
        </is>
      </c>
    </row>
    <row r="4" ht="15" customHeight="1" s="176">
      <c r="A4" s="28" t="inlineStr">
        <is>
          <t>Jornada en curso</t>
        </is>
      </c>
      <c r="C4" s="28" t="inlineStr">
        <is>
          <t>Registros capturados</t>
        </is>
      </c>
      <c r="E4" s="28" t="inlineStr">
        <is>
          <t>SKUs distintos</t>
        </is>
      </c>
      <c r="G4" s="28" t="n"/>
      <c r="H4" s="28" t="inlineStr">
        <is>
          <t>Unidades contadas</t>
        </is>
      </c>
      <c r="J4" s="30" t="inlineStr">
        <is>
          <t>Asignar Folios y Archivar</t>
        </is>
      </c>
    </row>
    <row r="5" ht="9" customHeight="1" s="176">
      <c r="A5" s="5" t="n"/>
      <c r="B5" s="5" t="n"/>
      <c r="C5" s="5" t="n"/>
      <c r="D5" s="5" t="n"/>
      <c r="E5" s="5" t="n"/>
      <c r="F5" s="5" t="n"/>
      <c r="G5" s="5" t="n"/>
      <c r="H5" s="5" t="n"/>
      <c r="I5" s="5" t="n"/>
      <c r="J5" s="5" t="n"/>
    </row>
    <row r="6" ht="21" customHeight="1" s="176">
      <c r="A6" s="33" t="inlineStr">
        <is>
          <t>Fecha/Hora</t>
        </is>
      </c>
      <c r="B6" s="33" t="inlineStr">
        <is>
          <t>Ubicación/Rack</t>
        </is>
      </c>
      <c r="C6" s="33" t="inlineStr">
        <is>
          <t>UPC CODE</t>
        </is>
      </c>
      <c r="D6" s="33" t="inlineStr">
        <is>
          <t>SKU</t>
        </is>
      </c>
      <c r="E6" s="33" t="inlineStr">
        <is>
          <t>Marca</t>
        </is>
      </c>
      <c r="F6" s="33" t="inlineStr">
        <is>
          <t>Descripción</t>
        </is>
      </c>
      <c r="G6" s="33" t="inlineStr">
        <is>
          <t>División</t>
        </is>
      </c>
      <c r="H6" s="33" t="inlineStr">
        <is>
          <t>Categoría</t>
        </is>
      </c>
      <c r="I6" s="33" t="inlineStr">
        <is>
          <t>Talla / Size</t>
        </is>
      </c>
      <c r="J6" s="33" t="inlineStr">
        <is>
          <t>Alertas y Duplicados</t>
        </is>
      </c>
    </row>
    <row r="7" ht="18" customHeight="1" s="176">
      <c r="A7" s="34" t="n"/>
      <c r="B7" s="11" t="n"/>
      <c r="C7" s="77" t="n"/>
      <c r="D7" s="43">
        <f t="array" ref="D7">IF($C7="","",IFNA(_xlfn.XLOOKUP($C7,Productos!$A:$A,Productos!$E:$E,IFNA(_xlfn.XLOOKUP(TEXT($C7,"0"),Productos!$A:$A,Productos!$E:$E,IFNA(_xlfn.XLOOKUP(IFERROR(VALUE($C7),""),Productos!$A:$A,Productos!$E:$E,_xlfn.XLOOKUP($C7,Productos!$E:$E,Productos!$E:$E,"NO ENCONTRADO")),"NO ENCONTRADO")),"NO ENCONTRADO")),"NO ENCONTRADO"))</f>
        <v/>
      </c>
      <c r="E7" s="44">
        <f t="array" ref="E7">IF(OR($D7="",$D7="NO ENCONTRADO"),"",_xlfn.XLOOKUP($D7,Productos!$E:$E,Productos!$H:$H,""))</f>
        <v/>
      </c>
      <c r="F7" s="43">
        <f t="array" ref="F7">IF(OR($D7="",$D7="NO ENCONTRADO"),"",_xlfn.XLOOKUP($D7,Productos!$E:$E,Productos!$I:$I,""))</f>
        <v/>
      </c>
      <c r="G7" s="43">
        <f t="array" ref="G7">IF(OR($D7="",$D7="NO ENCONTRADO"),"",_xlfn.XLOOKUP($D7,Productos!$E:$E,Productos!$J:$J,""))</f>
        <v/>
      </c>
      <c r="H7" s="43">
        <f t="array" ref="H7">IF(OR($D7="",$D7="NO ENCONTRADO"),"",_xlfn.XLOOKUP($D7,Productos!$E:$E,Productos!$K:$K,""))</f>
        <v/>
      </c>
      <c r="I7" s="43">
        <f t="array" ref="I7">IF(OR($D7="",$D7="NO ENCONTRADO"),"",_xlfn.XLOOKUP($D7,Productos!$E:$E,Productos!$F:$F,""))</f>
        <v/>
      </c>
      <c r="J7" s="43">
        <f>IF($C7="","",IF($D7="NO ENCONTRADO",IF(COUNTIF($C$7:$C$1000,$C7)&gt;1,"⚠️ No encontrado | Duplicado","⚠️ No encontrado"),IF(COUNTIF($C$7:$C$1000,$C7)&gt;1,"⚠️ Duplicado","Verificado")))</f>
        <v/>
      </c>
    </row>
    <row r="8" ht="18" customHeight="1" s="176">
      <c r="A8" s="45" t="n"/>
      <c r="B8" s="11" t="n"/>
      <c r="C8" s="77" t="n"/>
      <c r="D8" s="43">
        <f t="array" ref="D8">IF($C8="","",IFNA(_xlfn.XLOOKUP($C8,Productos!$A:$A,Productos!$E:$E,IFNA(_xlfn.XLOOKUP(TEXT($C8,"0"),Productos!$A:$A,Productos!$E:$E,IFNA(_xlfn.XLOOKUP(IFERROR(VALUE($C8),""),Productos!$A:$A,Productos!$E:$E,_xlfn.XLOOKUP($C8,Productos!$E:$E,Productos!$E:$E,"NO ENCONTRADO")),"NO ENCONTRADO")),"NO ENCONTRADO")),"NO ENCONTRADO"))</f>
        <v/>
      </c>
      <c r="E8" s="44">
        <f t="array" ref="E8">IF(OR($D8="",$D8="NO ENCONTRADO"),"",_xlfn.XLOOKUP($D8,Productos!$E:$E,Productos!$H:$H,""))</f>
        <v/>
      </c>
      <c r="F8" s="43">
        <f t="array" ref="F8">IF(OR($D8="",$D8="NO ENCONTRADO"),"",_xlfn.XLOOKUP($D8,Productos!$E:$E,Productos!$I:$I,""))</f>
        <v/>
      </c>
      <c r="G8" s="43">
        <f t="array" ref="G8">IF(OR($D8="",$D8="NO ENCONTRADO"),"",_xlfn.XLOOKUP($D8,Productos!$E:$E,Productos!$J:$J,""))</f>
        <v/>
      </c>
      <c r="H8" s="43">
        <f t="array" ref="H8">IF(OR($D8="",$D8="NO ENCONTRADO"),"",_xlfn.XLOOKUP($D8,Productos!$E:$E,Productos!$K:$K,""))</f>
        <v/>
      </c>
      <c r="I8" s="43">
        <f t="array" ref="I8">IF(OR($D8="",$D8="NO ENCONTRADO"),"",_xlfn.XLOOKUP($D8,Productos!$E:$E,Productos!$F:$F,""))</f>
        <v/>
      </c>
      <c r="J8" s="43">
        <f>IF($C8="","",IF($D8="NO ENCONTRADO",IF(COUNTIF($C$7:$C$1000,$C8)&gt;1,"⚠️ No encontrado | Duplicado","⚠️ No encontrado"),IF(COUNTIF($C$7:$C$1000,$C8)&gt;1,"⚠️ Duplicado","Verificado")))</f>
        <v/>
      </c>
    </row>
    <row r="9" ht="18" customHeight="1" s="176">
      <c r="A9" s="45" t="n"/>
      <c r="B9" s="11" t="n"/>
      <c r="C9" s="77" t="n"/>
      <c r="D9" s="43">
        <f t="array" ref="D9">IF($C9="","",IFNA(_xlfn.XLOOKUP($C9,Productos!$A:$A,Productos!$E:$E,IFNA(_xlfn.XLOOKUP(TEXT($C9,"0"),Productos!$A:$A,Productos!$E:$E,IFNA(_xlfn.XLOOKUP(IFERROR(VALUE($C9),""),Productos!$A:$A,Productos!$E:$E,_xlfn.XLOOKUP($C9,Productos!$E:$E,Productos!$E:$E,"NO ENCONTRADO")),"NO ENCONTRADO")),"NO ENCONTRADO")),"NO ENCONTRADO"))</f>
        <v/>
      </c>
      <c r="E9" s="44">
        <f t="array" ref="E9">IF(OR($D9="",$D9="NO ENCONTRADO"),"",_xlfn.XLOOKUP($D9,Productos!$E:$E,Productos!$H:$H,""))</f>
        <v/>
      </c>
      <c r="F9" s="43">
        <f t="array" ref="F9">IF(OR($D9="",$D9="NO ENCONTRADO"),"",_xlfn.XLOOKUP($D9,Productos!$E:$E,Productos!$I:$I,""))</f>
        <v/>
      </c>
      <c r="G9" s="43">
        <f t="array" ref="G9">IF(OR($D9="",$D9="NO ENCONTRADO"),"",_xlfn.XLOOKUP($D9,Productos!$E:$E,Productos!$J:$J,""))</f>
        <v/>
      </c>
      <c r="H9" s="43">
        <f t="array" ref="H9">IF(OR($D9="",$D9="NO ENCONTRADO"),"",_xlfn.XLOOKUP($D9,Productos!$E:$E,Productos!$K:$K,""))</f>
        <v/>
      </c>
      <c r="I9" s="43">
        <f t="array" ref="I9">IF(OR($D9="",$D9="NO ENCONTRADO"),"",_xlfn.XLOOKUP($D9,Productos!$E:$E,Productos!$F:$F,""))</f>
        <v/>
      </c>
      <c r="J9" s="43">
        <f>IF($C9="","",IF($D9="NO ENCONTRADO",IF(COUNTIF($C$7:$C$1000,$C9)&gt;1,"⚠️ No encontrado | Duplicado","⚠️ No encontrado"),IF(COUNTIF($C$7:$C$1000,$C9)&gt;1,"⚠️ Duplicado","Verificado")))</f>
        <v/>
      </c>
    </row>
    <row r="10" ht="18" customHeight="1" s="176">
      <c r="A10" s="45" t="n"/>
      <c r="B10" s="11" t="n"/>
      <c r="C10" s="77" t="n"/>
      <c r="D10" s="43">
        <f t="array" ref="D10">IF($C10="","",IFNA(_xlfn.XLOOKUP($C10,Productos!$A:$A,Productos!$E:$E,IFNA(_xlfn.XLOOKUP(TEXT($C10,"0"),Productos!$A:$A,Productos!$E:$E,IFNA(_xlfn.XLOOKUP(IFERROR(VALUE($C10),""),Productos!$A:$A,Productos!$E:$E,_xlfn.XLOOKUP($C10,Productos!$E:$E,Productos!$E:$E,"NO ENCONTRADO")),"NO ENCONTRADO")),"NO ENCONTRADO")),"NO ENCONTRADO"))</f>
        <v/>
      </c>
      <c r="E10" s="44">
        <f t="array" ref="E10">IF(OR($D10="",$D10="NO ENCONTRADO"),"",_xlfn.XLOOKUP($D10,Productos!$E:$E,Productos!$H:$H,""))</f>
        <v/>
      </c>
      <c r="F10" s="43">
        <f t="array" ref="F10">IF(OR($D10="",$D10="NO ENCONTRADO"),"",_xlfn.XLOOKUP($D10,Productos!$E:$E,Productos!$I:$I,""))</f>
        <v/>
      </c>
      <c r="G10" s="43">
        <f t="array" ref="G10">IF(OR($D10="",$D10="NO ENCONTRADO"),"",_xlfn.XLOOKUP($D10,Productos!$E:$E,Productos!$J:$J,""))</f>
        <v/>
      </c>
      <c r="H10" s="43">
        <f t="array" ref="H10">IF(OR($D10="",$D10="NO ENCONTRADO"),"",_xlfn.XLOOKUP($D10,Productos!$E:$E,Productos!$K:$K,""))</f>
        <v/>
      </c>
      <c r="I10" s="43">
        <f t="array" ref="I10">IF(OR($D10="",$D10="NO ENCONTRADO"),"",_xlfn.XLOOKUP($D10,Productos!$E:$E,Productos!$F:$F,""))</f>
        <v/>
      </c>
      <c r="J10" s="43">
        <f>IF($C10="","",IF($D10="NO ENCONTRADO",IF(COUNTIF($C$7:$C$1000,$C10)&gt;1,"⚠️ No encontrado | Duplicado","⚠️ No encontrado"),IF(COUNTIF($C$7:$C$1000,$C10)&gt;1,"⚠️ Duplicado","Verificado")))</f>
        <v/>
      </c>
    </row>
    <row r="11" ht="18" customHeight="1" s="176">
      <c r="A11" s="45" t="n"/>
      <c r="B11" s="11" t="n"/>
      <c r="C11" s="77" t="n"/>
      <c r="D11" s="43">
        <f t="array" ref="D11">IF($C11="","",IFNA(_xlfn.XLOOKUP($C11,Productos!$A:$A,Productos!$E:$E,IFNA(_xlfn.XLOOKUP(TEXT($C11,"0"),Productos!$A:$A,Productos!$E:$E,IFNA(_xlfn.XLOOKUP(IFERROR(VALUE($C11),""),Productos!$A:$A,Productos!$E:$E,_xlfn.XLOOKUP($C11,Productos!$E:$E,Productos!$E:$E,"NO ENCONTRADO")),"NO ENCONTRADO")),"NO ENCONTRADO")),"NO ENCONTRADO"))</f>
        <v/>
      </c>
      <c r="E11" s="44">
        <f t="array" ref="E11">IF(OR($D11="",$D11="NO ENCONTRADO"),"",_xlfn.XLOOKUP($D11,Productos!$E:$E,Productos!$H:$H,""))</f>
        <v/>
      </c>
      <c r="F11" s="43">
        <f t="array" ref="F11">IF(OR($D11="",$D11="NO ENCONTRADO"),"",_xlfn.XLOOKUP($D11,Productos!$E:$E,Productos!$I:$I,""))</f>
        <v/>
      </c>
      <c r="G11" s="43">
        <f t="array" ref="G11">IF(OR($D11="",$D11="NO ENCONTRADO"),"",_xlfn.XLOOKUP($D11,Productos!$E:$E,Productos!$J:$J,""))</f>
        <v/>
      </c>
      <c r="H11" s="43">
        <f t="array" ref="H11">IF(OR($D11="",$D11="NO ENCONTRADO"),"",_xlfn.XLOOKUP($D11,Productos!$E:$E,Productos!$K:$K,""))</f>
        <v/>
      </c>
      <c r="I11" s="43">
        <f t="array" ref="I11">IF(OR($D11="",$D11="NO ENCONTRADO"),"",_xlfn.XLOOKUP($D11,Productos!$E:$E,Productos!$F:$F,""))</f>
        <v/>
      </c>
      <c r="J11" s="43">
        <f>IF($C11="","",IF($D11="NO ENCONTRADO",IF(COUNTIF($C$7:$C$1000,$C11)&gt;1,"⚠️ No encontrado | Duplicado","⚠️ No encontrado"),IF(COUNTIF($C$7:$C$1000,$C11)&gt;1,"⚠️ Duplicado","Verificado")))</f>
        <v/>
      </c>
    </row>
    <row r="12" ht="18" customHeight="1" s="176">
      <c r="A12" s="45" t="n"/>
      <c r="B12" s="11" t="n"/>
      <c r="C12" s="77" t="n"/>
      <c r="D12" s="43">
        <f t="array" ref="D12">IF($C12="","",IFNA(_xlfn.XLOOKUP($C12,Productos!$A:$A,Productos!$E:$E,IFNA(_xlfn.XLOOKUP(TEXT($C12,"0"),Productos!$A:$A,Productos!$E:$E,IFNA(_xlfn.XLOOKUP(IFERROR(VALUE($C12),""),Productos!$A:$A,Productos!$E:$E,_xlfn.XLOOKUP($C12,Productos!$E:$E,Productos!$E:$E,"NO ENCONTRADO")),"NO ENCONTRADO")),"NO ENCONTRADO")),"NO ENCONTRADO"))</f>
        <v/>
      </c>
      <c r="E12" s="44">
        <f t="array" ref="E12">IF(OR($D12="",$D12="NO ENCONTRADO"),"",_xlfn.XLOOKUP($D12,Productos!$E:$E,Productos!$H:$H,""))</f>
        <v/>
      </c>
      <c r="F12" s="43">
        <f t="array" ref="F12">IF(OR($D12="",$D12="NO ENCONTRADO"),"",_xlfn.XLOOKUP($D12,Productos!$E:$E,Productos!$I:$I,""))</f>
        <v/>
      </c>
      <c r="G12" s="43">
        <f t="array" ref="G12">IF(OR($D12="",$D12="NO ENCONTRADO"),"",_xlfn.XLOOKUP($D12,Productos!$E:$E,Productos!$J:$J,""))</f>
        <v/>
      </c>
      <c r="H12" s="43">
        <f t="array" ref="H12">IF(OR($D12="",$D12="NO ENCONTRADO"),"",_xlfn.XLOOKUP($D12,Productos!$E:$E,Productos!$K:$K,""))</f>
        <v/>
      </c>
      <c r="I12" s="43">
        <f t="array" ref="I12">IF(OR($D12="",$D12="NO ENCONTRADO"),"",_xlfn.XLOOKUP($D12,Productos!$E:$E,Productos!$F:$F,""))</f>
        <v/>
      </c>
      <c r="J12" s="43">
        <f>IF($C12="","",IF($D12="NO ENCONTRADO",IF(COUNTIF($C$7:$C$1000,$C12)&gt;1,"⚠️ No encontrado | Duplicado","⚠️ No encontrado"),IF(COUNTIF($C$7:$C$1000,$C12)&gt;1,"⚠️ Duplicado","Verificado")))</f>
        <v/>
      </c>
    </row>
    <row r="13" ht="18" customHeight="1" s="176">
      <c r="A13" s="53" t="n"/>
      <c r="B13" s="11" t="n"/>
      <c r="C13" s="77" t="n"/>
      <c r="D13" s="43">
        <f t="array" ref="D13">IF($C13="","",IFNA(_xlfn.XLOOKUP($C13,Productos!$A:$A,Productos!$E:$E,IFNA(_xlfn.XLOOKUP(TEXT($C13,"0"),Productos!$A:$A,Productos!$E:$E,IFNA(_xlfn.XLOOKUP(IFERROR(VALUE($C13),""),Productos!$A:$A,Productos!$E:$E,_xlfn.XLOOKUP($C13,Productos!$E:$E,Productos!$E:$E,"NO ENCONTRADO")),"NO ENCONTRADO")),"NO ENCONTRADO")),"NO ENCONTRADO"))</f>
        <v/>
      </c>
      <c r="E13" s="44">
        <f t="array" ref="E13">IF(OR($D13="",$D13="NO ENCONTRADO"),"",_xlfn.XLOOKUP($D13,Productos!$E:$E,Productos!$H:$H,""))</f>
        <v/>
      </c>
      <c r="F13" s="43">
        <f t="array" ref="F13">IF(OR($D13="",$D13="NO ENCONTRADO"),"",_xlfn.XLOOKUP($D13,Productos!$E:$E,Productos!$I:$I,""))</f>
        <v/>
      </c>
      <c r="G13" s="43">
        <f t="array" ref="G13">IF(OR($D13="",$D13="NO ENCONTRADO"),"",_xlfn.XLOOKUP($D13,Productos!$E:$E,Productos!$J:$J,""))</f>
        <v/>
      </c>
      <c r="H13" s="43">
        <f t="array" ref="H13">IF(OR($D13="",$D13="NO ENCONTRADO"),"",_xlfn.XLOOKUP($D13,Productos!$E:$E,Productos!$K:$K,""))</f>
        <v/>
      </c>
      <c r="I13" s="43">
        <f t="array" ref="I13">IF(OR($D13="",$D13="NO ENCONTRADO"),"",_xlfn.XLOOKUP($D13,Productos!$E:$E,Productos!$F:$F,""))</f>
        <v/>
      </c>
      <c r="J13" s="43">
        <f>IF($C13="","",IF($D13="NO ENCONTRADO",IF(COUNTIF($C$7:$C$1000,$C13)&gt;1,"⚠️ No encontrado | Duplicado","⚠️ No encontrado"),IF(COUNTIF($C$7:$C$1000,$C13)&gt;1,"⚠️ Duplicado","Verificado")))</f>
        <v/>
      </c>
    </row>
    <row r="14" ht="18" customHeight="1" s="176">
      <c r="A14" s="53" t="n"/>
      <c r="B14" s="11" t="n"/>
      <c r="C14" s="77" t="n"/>
      <c r="D14" s="43">
        <f t="array" ref="D14">IF($C14="","",IFNA(_xlfn.XLOOKUP($C14,Productos!$A:$A,Productos!$E:$E,IFNA(_xlfn.XLOOKUP(TEXT($C14,"0"),Productos!$A:$A,Productos!$E:$E,IFNA(_xlfn.XLOOKUP(IFERROR(VALUE($C14),""),Productos!$A:$A,Productos!$E:$E,_xlfn.XLOOKUP($C14,Productos!$E:$E,Productos!$E:$E,"NO ENCONTRADO")),"NO ENCONTRADO")),"NO ENCONTRADO")),"NO ENCONTRADO"))</f>
        <v/>
      </c>
      <c r="E14" s="44">
        <f t="array" ref="E14">IF(OR($D14="",$D14="NO ENCONTRADO"),"",_xlfn.XLOOKUP($D14,Productos!$E:$E,Productos!$H:$H,""))</f>
        <v/>
      </c>
      <c r="F14" s="43">
        <f t="array" ref="F14">IF(OR($D14="",$D14="NO ENCONTRADO"),"",_xlfn.XLOOKUP($D14,Productos!$E:$E,Productos!$I:$I,""))</f>
        <v/>
      </c>
      <c r="G14" s="43">
        <f t="array" ref="G14">IF(OR($D14="",$D14="NO ENCONTRADO"),"",_xlfn.XLOOKUP($D14,Productos!$E:$E,Productos!$J:$J,""))</f>
        <v/>
      </c>
      <c r="H14" s="43">
        <f t="array" ref="H14">IF(OR($D14="",$D14="NO ENCONTRADO"),"",_xlfn.XLOOKUP($D14,Productos!$E:$E,Productos!$K:$K,""))</f>
        <v/>
      </c>
      <c r="I14" s="43">
        <f t="array" ref="I14">IF(OR($D14="",$D14="NO ENCONTRADO"),"",_xlfn.XLOOKUP($D14,Productos!$E:$E,Productos!$F:$F,""))</f>
        <v/>
      </c>
      <c r="J14" s="43">
        <f>IF($C14="","",IF($D14="NO ENCONTRADO",IF(COUNTIF($C$7:$C$1000,$C14)&gt;1,"⚠️ No encontrado | Duplicado","⚠️ No encontrado"),IF(COUNTIF($C$7:$C$1000,$C14)&gt;1,"⚠️ Duplicado","Verificado")))</f>
        <v/>
      </c>
    </row>
    <row r="15" ht="18" customHeight="1" s="176">
      <c r="A15" s="53" t="n"/>
      <c r="B15" s="11" t="n"/>
      <c r="C15" s="77" t="n"/>
      <c r="D15" s="43">
        <f t="array" ref="D15">IF($C15="","",IFNA(_xlfn.XLOOKUP($C15,Productos!$A:$A,Productos!$E:$E,IFNA(_xlfn.XLOOKUP(TEXT($C15,"0"),Productos!$A:$A,Productos!$E:$E,IFNA(_xlfn.XLOOKUP(IFERROR(VALUE($C15),""),Productos!$A:$A,Productos!$E:$E,_xlfn.XLOOKUP($C15,Productos!$E:$E,Productos!$E:$E,"NO ENCONTRADO")),"NO ENCONTRADO")),"NO ENCONTRADO")),"NO ENCONTRADO"))</f>
        <v/>
      </c>
      <c r="E15" s="44">
        <f t="array" ref="E15">IF(OR($D15="",$D15="NO ENCONTRADO"),"",_xlfn.XLOOKUP($D15,Productos!$E:$E,Productos!$H:$H,""))</f>
        <v/>
      </c>
      <c r="F15" s="43">
        <f t="array" ref="F15">IF(OR($D15="",$D15="NO ENCONTRADO"),"",_xlfn.XLOOKUP($D15,Productos!$E:$E,Productos!$I:$I,""))</f>
        <v/>
      </c>
      <c r="G15" s="43">
        <f t="array" ref="G15">IF(OR($D15="",$D15="NO ENCONTRADO"),"",_xlfn.XLOOKUP($D15,Productos!$E:$E,Productos!$J:$J,""))</f>
        <v/>
      </c>
      <c r="H15" s="43">
        <f t="array" ref="H15">IF(OR($D15="",$D15="NO ENCONTRADO"),"",_xlfn.XLOOKUP($D15,Productos!$E:$E,Productos!$K:$K,""))</f>
        <v/>
      </c>
      <c r="I15" s="43">
        <f t="array" ref="I15">IF(OR($D15="",$D15="NO ENCONTRADO"),"",_xlfn.XLOOKUP($D15,Productos!$E:$E,Productos!$F:$F,""))</f>
        <v/>
      </c>
      <c r="J15" s="43">
        <f>IF($C15="","",IF($D15="NO ENCONTRADO",IF(COUNTIF($C$7:$C$1000,$C15)&gt;1,"⚠️ No encontrado | Duplicado","⚠️ No encontrado"),IF(COUNTIF($C$7:$C$1000,$C15)&gt;1,"⚠️ Duplicado","Verificado")))</f>
        <v/>
      </c>
    </row>
    <row r="16" ht="18" customHeight="1" s="176">
      <c r="A16" s="53" t="n"/>
      <c r="B16" s="11" t="n"/>
      <c r="C16" s="63" t="n"/>
      <c r="D16" s="43">
        <f t="array" ref="D16">IF($C16="","",IFNA(_xlfn.XLOOKUP($C16,Productos!$A:$A,Productos!$E:$E,IFNA(_xlfn.XLOOKUP(TEXT($C16,"0"),Productos!$A:$A,Productos!$E:$E,IFNA(_xlfn.XLOOKUP(IFERROR(VALUE($C16),""),Productos!$A:$A,Productos!$E:$E,_xlfn.XLOOKUP($C16,Productos!$E:$E,Productos!$E:$E,"NO ENCONTRADO")),"NO ENCONTRADO")),"NO ENCONTRADO")),"NO ENCONTRADO"))</f>
        <v/>
      </c>
      <c r="E16" s="44">
        <f t="array" ref="E16">IF(OR($D16="",$D16="NO ENCONTRADO"),"",_xlfn.XLOOKUP($D16,Productos!$E:$E,Productos!$H:$H,""))</f>
        <v/>
      </c>
      <c r="F16" s="43">
        <f t="array" ref="F16">IF(OR($D16="",$D16="NO ENCONTRADO"),"",_xlfn.XLOOKUP($D16,Productos!$E:$E,Productos!$I:$I,""))</f>
        <v/>
      </c>
      <c r="G16" s="43">
        <f t="array" ref="G16">IF(OR($D16="",$D16="NO ENCONTRADO"),"",_xlfn.XLOOKUP($D16,Productos!$E:$E,Productos!$J:$J,""))</f>
        <v/>
      </c>
      <c r="H16" s="43">
        <f t="array" ref="H16">IF(OR($D16="",$D16="NO ENCONTRADO"),"",_xlfn.XLOOKUP($D16,Productos!$E:$E,Productos!$K:$K,""))</f>
        <v/>
      </c>
      <c r="I16" s="43">
        <f t="array" ref="I16">IF(OR($D16="",$D16="NO ENCONTRADO"),"",_xlfn.XLOOKUP($D16,Productos!$E:$E,Productos!$F:$F,""))</f>
        <v/>
      </c>
      <c r="J16" s="43">
        <f>IF($C16="","",IF($D16="NO ENCONTRADO",IF(COUNTIF($C$7:$C$1000,$C16)&gt;1,"⚠️ No encontrado | Duplicado","⚠️ No encontrado"),IF(COUNTIF($C$7:$C$1000,$C16)&gt;1,"⚠️ Duplicado","Verificado")))</f>
        <v/>
      </c>
    </row>
    <row r="17" ht="18" customHeight="1" s="176">
      <c r="A17" s="34" t="n"/>
      <c r="B17" s="11" t="n"/>
      <c r="C17" s="63" t="n"/>
      <c r="D17" s="43">
        <f t="array" ref="D17">IF($C17="","",IFNA(_xlfn.XLOOKUP($C17,Productos!$A:$A,Productos!$E:$E,IFNA(_xlfn.XLOOKUP(TEXT($C17,"0"),Productos!$A:$A,Productos!$E:$E,IFNA(_xlfn.XLOOKUP(IFERROR(VALUE($C17),""),Productos!$A:$A,Productos!$E:$E,_xlfn.XLOOKUP($C17,Productos!$E:$E,Productos!$E:$E,"NO ENCONTRADO")),"NO ENCONTRADO")),"NO ENCONTRADO")),"NO ENCONTRADO"))</f>
        <v/>
      </c>
      <c r="E17" s="44">
        <f t="array" ref="E17">IF(OR($D17="",$D17="NO ENCONTRADO"),"",_xlfn.XLOOKUP($D17,Productos!$E:$E,Productos!$H:$H,""))</f>
        <v/>
      </c>
      <c r="F17" s="43">
        <f t="array" ref="F17">IF(OR($D17="",$D17="NO ENCONTRADO"),"",_xlfn.XLOOKUP($D17,Productos!$E:$E,Productos!$I:$I,""))</f>
        <v/>
      </c>
      <c r="G17" s="43">
        <f t="array" ref="G17">IF(OR($D17="",$D17="NO ENCONTRADO"),"",_xlfn.XLOOKUP($D17,Productos!$E:$E,Productos!$J:$J,""))</f>
        <v/>
      </c>
      <c r="H17" s="43">
        <f t="array" ref="H17">IF(OR($D17="",$D17="NO ENCONTRADO"),"",_xlfn.XLOOKUP($D17,Productos!$E:$E,Productos!$K:$K,""))</f>
        <v/>
      </c>
      <c r="I17" s="43">
        <f t="array" ref="I17">IF(OR($D17="",$D17="NO ENCONTRADO"),"",_xlfn.XLOOKUP($D17,Productos!$E:$E,Productos!$F:$F,""))</f>
        <v/>
      </c>
      <c r="J17" s="43">
        <f>IF($C17="","",IF($D17="NO ENCONTRADO",IF(COUNTIF($C$7:$C$1000,$C17)&gt;1,"⚠️ No encontrado | Duplicado","⚠️ No encontrado"),IF(COUNTIF($C$7:$C$1000,$C17)&gt;1,"⚠️ Duplicado","Verificado")))</f>
        <v/>
      </c>
    </row>
    <row r="18" ht="18" customHeight="1" s="176">
      <c r="A18" s="53" t="n"/>
      <c r="B18" s="11" t="n"/>
      <c r="C18" s="63" t="n"/>
      <c r="D18" s="43">
        <f t="array" ref="D18">IF($C18="","",IFNA(_xlfn.XLOOKUP($C18,Productos!$A:$A,Productos!$E:$E,IFNA(_xlfn.XLOOKUP(TEXT($C18,"0"),Productos!$A:$A,Productos!$E:$E,IFNA(_xlfn.XLOOKUP(IFERROR(VALUE($C18),""),Productos!$A:$A,Productos!$E:$E,_xlfn.XLOOKUP($C18,Productos!$E:$E,Productos!$E:$E,"NO ENCONTRADO")),"NO ENCONTRADO")),"NO ENCONTRADO")),"NO ENCONTRADO"))</f>
        <v/>
      </c>
      <c r="E18" s="44">
        <f t="array" ref="E18">IF(OR($D18="",$D18="NO ENCONTRADO"),"",_xlfn.XLOOKUP($D18,Productos!$E:$E,Productos!$H:$H,""))</f>
        <v/>
      </c>
      <c r="F18" s="43">
        <f t="array" ref="F18">IF(OR($D18="",$D18="NO ENCONTRADO"),"",_xlfn.XLOOKUP($D18,Productos!$E:$E,Productos!$I:$I,""))</f>
        <v/>
      </c>
      <c r="G18" s="43">
        <f t="array" ref="G18">IF(OR($D18="",$D18="NO ENCONTRADO"),"",_xlfn.XLOOKUP($D18,Productos!$E:$E,Productos!$J:$J,""))</f>
        <v/>
      </c>
      <c r="H18" s="43">
        <f t="array" ref="H18">IF(OR($D18="",$D18="NO ENCONTRADO"),"",_xlfn.XLOOKUP($D18,Productos!$E:$E,Productos!$K:$K,""))</f>
        <v/>
      </c>
      <c r="I18" s="43">
        <f t="array" ref="I18">IF(OR($D18="",$D18="NO ENCONTRADO"),"",_xlfn.XLOOKUP($D18,Productos!$E:$E,Productos!$F:$F,""))</f>
        <v/>
      </c>
      <c r="J18" s="43">
        <f>IF($C18="","",IF($D18="NO ENCONTRADO",IF(COUNTIF($C$7:$C$1000,$C18)&gt;1,"⚠️ No encontrado | Duplicado","⚠️ No encontrado"),IF(COUNTIF($C$7:$C$1000,$C18)&gt;1,"⚠️ Duplicado","Verificado")))</f>
        <v/>
      </c>
    </row>
    <row r="19" ht="18" customHeight="1" s="176">
      <c r="A19" s="53" t="n"/>
      <c r="B19" s="11" t="n"/>
      <c r="C19" s="63" t="n"/>
      <c r="D19" s="43">
        <f t="array" ref="D19">IF($C19="","",IFNA(_xlfn.XLOOKUP($C19,Productos!$A:$A,Productos!$E:$E,IFNA(_xlfn.XLOOKUP(TEXT($C19,"0"),Productos!$A:$A,Productos!$E:$E,IFNA(_xlfn.XLOOKUP(IFERROR(VALUE($C19),""),Productos!$A:$A,Productos!$E:$E,_xlfn.XLOOKUP($C19,Productos!$E:$E,Productos!$E:$E,"NO ENCONTRADO")),"NO ENCONTRADO")),"NO ENCONTRADO")),"NO ENCONTRADO"))</f>
        <v/>
      </c>
      <c r="E19" s="44">
        <f t="array" ref="E19">IF(OR($D19="",$D19="NO ENCONTRADO"),"",_xlfn.XLOOKUP($D19,Productos!$E:$E,Productos!$H:$H,""))</f>
        <v/>
      </c>
      <c r="F19" s="43">
        <f t="array" ref="F19">IF(OR($D19="",$D19="NO ENCONTRADO"),"",_xlfn.XLOOKUP($D19,Productos!$E:$E,Productos!$I:$I,""))</f>
        <v/>
      </c>
      <c r="G19" s="43">
        <f t="array" ref="G19">IF(OR($D19="",$D19="NO ENCONTRADO"),"",_xlfn.XLOOKUP($D19,Productos!$E:$E,Productos!$J:$J,""))</f>
        <v/>
      </c>
      <c r="H19" s="43">
        <f t="array" ref="H19">IF(OR($D19="",$D19="NO ENCONTRADO"),"",_xlfn.XLOOKUP($D19,Productos!$E:$E,Productos!$K:$K,""))</f>
        <v/>
      </c>
      <c r="I19" s="43">
        <f t="array" ref="I19">IF(OR($D19="",$D19="NO ENCONTRADO"),"",_xlfn.XLOOKUP($D19,Productos!$E:$E,Productos!$F:$F,""))</f>
        <v/>
      </c>
      <c r="J19" s="43">
        <f>IF($C19="","",IF($D19="NO ENCONTRADO",IF(COUNTIF($C$7:$C$1000,$C19)&gt;1,"⚠️ No encontrado | Duplicado","⚠️ No encontrado"),IF(COUNTIF($C$7:$C$1000,$C19)&gt;1,"⚠️ Duplicado","Verificado")))</f>
        <v/>
      </c>
    </row>
    <row r="20" ht="18" customHeight="1" s="176">
      <c r="A20" s="53" t="n"/>
      <c r="B20" s="11" t="n"/>
      <c r="C20" s="63" t="n"/>
      <c r="D20" s="43">
        <f t="array" ref="D20">IF($C20="","",IFNA(_xlfn.XLOOKUP($C20,Productos!$A:$A,Productos!$E:$E,IFNA(_xlfn.XLOOKUP(TEXT($C20,"0"),Productos!$A:$A,Productos!$E:$E,IFNA(_xlfn.XLOOKUP(IFERROR(VALUE($C20),""),Productos!$A:$A,Productos!$E:$E,_xlfn.XLOOKUP($C20,Productos!$E:$E,Productos!$E:$E,"NO ENCONTRADO")),"NO ENCONTRADO")),"NO ENCONTRADO")),"NO ENCONTRADO"))</f>
        <v/>
      </c>
      <c r="E20" s="44">
        <f t="array" ref="E20">IF(OR($D20="",$D20="NO ENCONTRADO"),"",_xlfn.XLOOKUP($D20,Productos!$E:$E,Productos!$H:$H,""))</f>
        <v/>
      </c>
      <c r="F20" s="43">
        <f t="array" ref="F20">IF(OR($D20="",$D20="NO ENCONTRADO"),"",_xlfn.XLOOKUP($D20,Productos!$E:$E,Productos!$I:$I,""))</f>
        <v/>
      </c>
      <c r="G20" s="43">
        <f t="array" ref="G20">IF(OR($D20="",$D20="NO ENCONTRADO"),"",_xlfn.XLOOKUP($D20,Productos!$E:$E,Productos!$J:$J,""))</f>
        <v/>
      </c>
      <c r="H20" s="43">
        <f t="array" ref="H20">IF(OR($D20="",$D20="NO ENCONTRADO"),"",_xlfn.XLOOKUP($D20,Productos!$E:$E,Productos!$K:$K,""))</f>
        <v/>
      </c>
      <c r="I20" s="43">
        <f t="array" ref="I20">IF(OR($D20="",$D20="NO ENCONTRADO"),"",_xlfn.XLOOKUP($D20,Productos!$E:$E,Productos!$F:$F,""))</f>
        <v/>
      </c>
      <c r="J20" s="43">
        <f>IF($C20="","",IF($D20="NO ENCONTRADO",IF(COUNTIF($C$7:$C$1000,$C20)&gt;1,"⚠️ No encontrado | Duplicado","⚠️ No encontrado"),IF(COUNTIF($C$7:$C$1000,$C20)&gt;1,"⚠️ Duplicado","Verificado")))</f>
        <v/>
      </c>
    </row>
    <row r="21" ht="18" customHeight="1" s="176">
      <c r="A21" s="53" t="n"/>
      <c r="B21" s="11" t="n"/>
      <c r="C21" s="63" t="n"/>
      <c r="D21" s="43">
        <f t="array" ref="D21">IF($C21="","",IFNA(_xlfn.XLOOKUP($C21,Productos!$A:$A,Productos!$E:$E,IFNA(_xlfn.XLOOKUP(TEXT($C21,"0"),Productos!$A:$A,Productos!$E:$E,IFNA(_xlfn.XLOOKUP(IFERROR(VALUE($C21),""),Productos!$A:$A,Productos!$E:$E,_xlfn.XLOOKUP($C21,Productos!$E:$E,Productos!$E:$E,"NO ENCONTRADO")),"NO ENCONTRADO")),"NO ENCONTRADO")),"NO ENCONTRADO"))</f>
        <v/>
      </c>
      <c r="E21" s="44">
        <f t="array" ref="E21">IF(OR($D21="",$D21="NO ENCONTRADO"),"",_xlfn.XLOOKUP($D21,Productos!$E:$E,Productos!$H:$H,""))</f>
        <v/>
      </c>
      <c r="F21" s="43">
        <f t="array" ref="F21">IF(OR($D21="",$D21="NO ENCONTRADO"),"",_xlfn.XLOOKUP($D21,Productos!$E:$E,Productos!$I:$I,""))</f>
        <v/>
      </c>
      <c r="G21" s="43">
        <f t="array" ref="G21">IF(OR($D21="",$D21="NO ENCONTRADO"),"",_xlfn.XLOOKUP($D21,Productos!$E:$E,Productos!$J:$J,""))</f>
        <v/>
      </c>
      <c r="H21" s="43">
        <f t="array" ref="H21">IF(OR($D21="",$D21="NO ENCONTRADO"),"",_xlfn.XLOOKUP($D21,Productos!$E:$E,Productos!$K:$K,""))</f>
        <v/>
      </c>
      <c r="I21" s="43">
        <f t="array" ref="I21">IF(OR($D21="",$D21="NO ENCONTRADO"),"",_xlfn.XLOOKUP($D21,Productos!$E:$E,Productos!$F:$F,""))</f>
        <v/>
      </c>
      <c r="J21" s="43">
        <f>IF($C21="","",IF($D21="NO ENCONTRADO",IF(COUNTIF($C$7:$C$1000,$C21)&gt;1,"⚠️ No encontrado | Duplicado","⚠️ No encontrado"),IF(COUNTIF($C$7:$C$1000,$C21)&gt;1,"⚠️ Duplicado","Verificado")))</f>
        <v/>
      </c>
    </row>
    <row r="22" ht="18" customHeight="1" s="176">
      <c r="A22" s="10" t="n"/>
      <c r="B22" s="11" t="n"/>
      <c r="C22" s="63" t="n"/>
      <c r="D22" s="43">
        <f t="array" ref="D22">IF($C22="","",IFNA(_xlfn.XLOOKUP($C22,Productos!$A:$A,Productos!$E:$E,IFNA(_xlfn.XLOOKUP(TEXT($C22,"0"),Productos!$A:$A,Productos!$E:$E,IFNA(_xlfn.XLOOKUP(IFERROR(VALUE($C22),""),Productos!$A:$A,Productos!$E:$E,_xlfn.XLOOKUP($C22,Productos!$E:$E,Productos!$E:$E,"NO ENCONTRADO")),"NO ENCONTRADO")),"NO ENCONTRADO")),"NO ENCONTRADO"))</f>
        <v/>
      </c>
      <c r="E22" s="44">
        <f t="array" ref="E22">IF(OR($D22="",$D22="NO ENCONTRADO"),"",_xlfn.XLOOKUP($D22,Productos!$E:$E,Productos!$H:$H,""))</f>
        <v/>
      </c>
      <c r="F22" s="43">
        <f t="array" ref="F22">IF(OR($D22="",$D22="NO ENCONTRADO"),"",_xlfn.XLOOKUP($D22,Productos!$E:$E,Productos!$I:$I,""))</f>
        <v/>
      </c>
      <c r="G22" s="43">
        <f t="array" ref="G22">IF(OR($D22="",$D22="NO ENCONTRADO"),"",_xlfn.XLOOKUP($D22,Productos!$E:$E,Productos!$J:$J,""))</f>
        <v/>
      </c>
      <c r="H22" s="43">
        <f t="array" ref="H22">IF(OR($D22="",$D22="NO ENCONTRADO"),"",_xlfn.XLOOKUP($D22,Productos!$E:$E,Productos!$K:$K,""))</f>
        <v/>
      </c>
      <c r="I22" s="43">
        <f t="array" ref="I22">IF(OR($D22="",$D22="NO ENCONTRADO"),"",_xlfn.XLOOKUP($D22,Productos!$E:$E,Productos!$F:$F,""))</f>
        <v/>
      </c>
      <c r="J22" s="43">
        <f>IF($C22="","",IF($D22="NO ENCONTRADO",IF(COUNTIF($C$7:$C$1000,$C22)&gt;1,"⚠️ No encontrado | Duplicado","⚠️ No encontrado"),IF(COUNTIF($C$7:$C$1000,$C22)&gt;1,"⚠️ Duplicado","Verificado")))</f>
        <v/>
      </c>
    </row>
    <row r="23" ht="18" customHeight="1" s="176">
      <c r="A23" s="10" t="n"/>
      <c r="B23" s="11" t="n"/>
      <c r="C23" s="63" t="n"/>
      <c r="D23" s="43">
        <f t="array" ref="D23">IF($C23="","",IFNA(_xlfn.XLOOKUP($C23,Productos!$A:$A,Productos!$E:$E,IFNA(_xlfn.XLOOKUP(TEXT($C23,"0"),Productos!$A:$A,Productos!$E:$E,IFNA(_xlfn.XLOOKUP(IFERROR(VALUE($C23),""),Productos!$A:$A,Productos!$E:$E,_xlfn.XLOOKUP($C23,Productos!$E:$E,Productos!$E:$E,"NO ENCONTRADO")),"NO ENCONTRADO")),"NO ENCONTRADO")),"NO ENCONTRADO"))</f>
        <v/>
      </c>
      <c r="E23" s="44">
        <f t="array" ref="E23">IF(OR($D23="",$D23="NO ENCONTRADO"),"",_xlfn.XLOOKUP($D23,Productos!$E:$E,Productos!$H:$H,""))</f>
        <v/>
      </c>
      <c r="F23" s="43">
        <f t="array" ref="F23">IF(OR($D23="",$D23="NO ENCONTRADO"),"",_xlfn.XLOOKUP($D23,Productos!$E:$E,Productos!$I:$I,""))</f>
        <v/>
      </c>
      <c r="G23" s="43">
        <f t="array" ref="G23">IF(OR($D23="",$D23="NO ENCONTRADO"),"",_xlfn.XLOOKUP($D23,Productos!$E:$E,Productos!$J:$J,""))</f>
        <v/>
      </c>
      <c r="H23" s="43">
        <f t="array" ref="H23">IF(OR($D23="",$D23="NO ENCONTRADO"),"",_xlfn.XLOOKUP($D23,Productos!$E:$E,Productos!$K:$K,""))</f>
        <v/>
      </c>
      <c r="I23" s="43">
        <f t="array" ref="I23">IF(OR($D23="",$D23="NO ENCONTRADO"),"",_xlfn.XLOOKUP($D23,Productos!$E:$E,Productos!$F:$F,""))</f>
        <v/>
      </c>
      <c r="J23" s="43">
        <f>IF($C23="","",IF($D23="NO ENCONTRADO",IF(COUNTIF($C$7:$C$1000,$C23)&gt;1,"⚠️ No encontrado | Duplicado","⚠️ No encontrado"),IF(COUNTIF($C$7:$C$1000,$C23)&gt;1,"⚠️ Duplicado","Verificado")))</f>
        <v/>
      </c>
    </row>
    <row r="24" ht="18" customHeight="1" s="176">
      <c r="A24" s="10" t="n"/>
      <c r="B24" s="11" t="n"/>
      <c r="C24" s="63" t="n"/>
      <c r="D24" s="43">
        <f t="array" ref="D24">IF($C24="","",IFNA(_xlfn.XLOOKUP($C24,Productos!$A:$A,Productos!$E:$E,IFNA(_xlfn.XLOOKUP(TEXT($C24,"0"),Productos!$A:$A,Productos!$E:$E,IFNA(_xlfn.XLOOKUP(IFERROR(VALUE($C24),""),Productos!$A:$A,Productos!$E:$E,_xlfn.XLOOKUP($C24,Productos!$E:$E,Productos!$E:$E,"NO ENCONTRADO")),"NO ENCONTRADO")),"NO ENCONTRADO")),"NO ENCONTRADO"))</f>
        <v/>
      </c>
      <c r="E24" s="44">
        <f t="array" ref="E24">IF(OR($D24="",$D24="NO ENCONTRADO"),"",_xlfn.XLOOKUP($D24,Productos!$E:$E,Productos!$H:$H,""))</f>
        <v/>
      </c>
      <c r="F24" s="43">
        <f t="array" ref="F24">IF(OR($D24="",$D24="NO ENCONTRADO"),"",_xlfn.XLOOKUP($D24,Productos!$E:$E,Productos!$I:$I,""))</f>
        <v/>
      </c>
      <c r="G24" s="43">
        <f t="array" ref="G24">IF(OR($D24="",$D24="NO ENCONTRADO"),"",_xlfn.XLOOKUP($D24,Productos!$E:$E,Productos!$J:$J,""))</f>
        <v/>
      </c>
      <c r="H24" s="43">
        <f t="array" ref="H24">IF(OR($D24="",$D24="NO ENCONTRADO"),"",_xlfn.XLOOKUP($D24,Productos!$E:$E,Productos!$K:$K,""))</f>
        <v/>
      </c>
      <c r="I24" s="43">
        <f t="array" ref="I24">IF(OR($D24="",$D24="NO ENCONTRADO"),"",_xlfn.XLOOKUP($D24,Productos!$E:$E,Productos!$F:$F,""))</f>
        <v/>
      </c>
      <c r="J24" s="43">
        <f>IF($C24="","",IF($D24="NO ENCONTRADO",IF(COUNTIF($C$7:$C$1000,$C24)&gt;1,"⚠️ No encontrado | Duplicado","⚠️ No encontrado"),IF(COUNTIF($C$7:$C$1000,$C24)&gt;1,"⚠️ Duplicado","Verificado")))</f>
        <v/>
      </c>
    </row>
    <row r="25" ht="18" customHeight="1" s="176">
      <c r="A25" s="10" t="n"/>
      <c r="B25" s="11" t="n"/>
      <c r="C25" s="63" t="n"/>
      <c r="D25" s="43">
        <f t="array" ref="D25">IF($C25="","",IFNA(_xlfn.XLOOKUP($C25,Productos!$A:$A,Productos!$E:$E,IFNA(_xlfn.XLOOKUP(TEXT($C25,"0"),Productos!$A:$A,Productos!$E:$E,IFNA(_xlfn.XLOOKUP(IFERROR(VALUE($C25),""),Productos!$A:$A,Productos!$E:$E,_xlfn.XLOOKUP($C25,Productos!$E:$E,Productos!$E:$E,"NO ENCONTRADO")),"NO ENCONTRADO")),"NO ENCONTRADO")),"NO ENCONTRADO"))</f>
        <v/>
      </c>
      <c r="E25" s="44">
        <f t="array" ref="E25">IF(OR($D25="",$D25="NO ENCONTRADO"),"",_xlfn.XLOOKUP($D25,Productos!$E:$E,Productos!$H:$H,""))</f>
        <v/>
      </c>
      <c r="F25" s="43">
        <f t="array" ref="F25">IF(OR($D25="",$D25="NO ENCONTRADO"),"",_xlfn.XLOOKUP($D25,Productos!$E:$E,Productos!$I:$I,""))</f>
        <v/>
      </c>
      <c r="G25" s="43">
        <f t="array" ref="G25">IF(OR($D25="",$D25="NO ENCONTRADO"),"",_xlfn.XLOOKUP($D25,Productos!$E:$E,Productos!$J:$J,""))</f>
        <v/>
      </c>
      <c r="H25" s="43">
        <f t="array" ref="H25">IF(OR($D25="",$D25="NO ENCONTRADO"),"",_xlfn.XLOOKUP($D25,Productos!$E:$E,Productos!$K:$K,""))</f>
        <v/>
      </c>
      <c r="I25" s="43">
        <f t="array" ref="I25">IF(OR($D25="",$D25="NO ENCONTRADO"),"",_xlfn.XLOOKUP($D25,Productos!$E:$E,Productos!$F:$F,""))</f>
        <v/>
      </c>
      <c r="J25" s="43">
        <f>IF($C25="","",IF($D25="NO ENCONTRADO",IF(COUNTIF($C$7:$C$1000,$C25)&gt;1,"⚠️ No encontrado | Duplicado","⚠️ No encontrado"),IF(COUNTIF($C$7:$C$1000,$C25)&gt;1,"⚠️ Duplicado","Verificado")))</f>
        <v/>
      </c>
    </row>
    <row r="26" ht="15.75" customHeight="1" s="176">
      <c r="B26" s="47" t="n"/>
      <c r="C26" s="77" t="n"/>
      <c r="D26" s="74">
        <f t="array" ref="D26">IF($C26="","",IFNA(_xlfn.XLOOKUP($C26,Productos!$A:$A,Productos!$E:$E,IFNA(_xlfn.XLOOKUP(TEXT($C26,"0"),Productos!$A:$A,Productos!$E:$E,IFNA(_xlfn.XLOOKUP(IFERROR(VALUE($C26),""),Productos!$A:$A,Productos!$E:$E,_xlfn.XLOOKUP($C26,Productos!$E:$E,Productos!$E:$E,"NO ENCONTRADO")),"NO ENCONTRADO")),"NO ENCONTRADO")),"NO ENCONTRADO"))</f>
        <v/>
      </c>
      <c r="E26" s="74">
        <f t="array" ref="E26">IF(OR($D26="",$D26="NO ENCONTRADO"),"",_xlfn.XLOOKUP($D26,Productos!$E:$E,Productos!$H:$H,""))</f>
        <v/>
      </c>
      <c r="F26" s="74">
        <f t="array" ref="F26">IF(OR($D26="",$D26="NO ENCONTRADO"),"",_xlfn.XLOOKUP($D26,Productos!$E:$E,Productos!$I:$I,""))</f>
        <v/>
      </c>
      <c r="G26" s="74">
        <f t="array" ref="G26">IF(OR($D26="",$D26="NO ENCONTRADO"),"",_xlfn.XLOOKUP($D26,Productos!$E:$E,Productos!$J:$J,""))</f>
        <v/>
      </c>
      <c r="H26" s="74">
        <f t="array" ref="H26">IF(OR($D26="",$D26="NO ENCONTRADO"),"",_xlfn.XLOOKUP($D26,Productos!$E:$E,Productos!$K:$K,""))</f>
        <v/>
      </c>
      <c r="I26" s="74">
        <f t="array" ref="I26">IF(OR($D26="",$D26="NO ENCONTRADO"),"",_xlfn.XLOOKUP($D26,Productos!$E:$E,Productos!$F:$F,""))</f>
        <v/>
      </c>
      <c r="J26" s="74">
        <f>IF($C26="","",IF($D26="NO ENCONTRADO",IF(COUNTIF($C$7:$C$1000,$C26)&gt;1,"⚠️ No encontrado | Duplicado","⚠️ No encontrado"),IF(COUNTIF($C$7:$C$1000,$C26)&gt;1,"⚠️ Duplicado","Verificado")))</f>
        <v/>
      </c>
    </row>
    <row r="27" ht="15.75" customHeight="1" s="176">
      <c r="B27" s="47" t="n"/>
      <c r="C27" s="77" t="n"/>
      <c r="D27" s="74">
        <f t="array" ref="D27">IF($C27="","",IFNA(_xlfn.XLOOKUP($C27,Productos!$A:$A,Productos!$E:$E,IFNA(_xlfn.XLOOKUP(TEXT($C27,"0"),Productos!$A:$A,Productos!$E:$E,IFNA(_xlfn.XLOOKUP(IFERROR(VALUE($C27),""),Productos!$A:$A,Productos!$E:$E,_xlfn.XLOOKUP($C27,Productos!$E:$E,Productos!$E:$E,"NO ENCONTRADO")),"NO ENCONTRADO")),"NO ENCONTRADO")),"NO ENCONTRADO"))</f>
        <v/>
      </c>
      <c r="E27" s="74">
        <f t="array" ref="E27">IF(OR($D27="",$D27="NO ENCONTRADO"),"",_xlfn.XLOOKUP($D27,Productos!$E:$E,Productos!$H:$H,""))</f>
        <v/>
      </c>
      <c r="F27" s="74">
        <f t="array" ref="F27">IF(OR($D27="",$D27="NO ENCONTRADO"),"",_xlfn.XLOOKUP($D27,Productos!$E:$E,Productos!$I:$I,""))</f>
        <v/>
      </c>
      <c r="G27" s="74">
        <f t="array" ref="G27">IF(OR($D27="",$D27="NO ENCONTRADO"),"",_xlfn.XLOOKUP($D27,Productos!$E:$E,Productos!$J:$J,""))</f>
        <v/>
      </c>
      <c r="H27" s="74">
        <f t="array" ref="H27">IF(OR($D27="",$D27="NO ENCONTRADO"),"",_xlfn.XLOOKUP($D27,Productos!$E:$E,Productos!$K:$K,""))</f>
        <v/>
      </c>
      <c r="I27" s="74">
        <f t="array" ref="I27">IF(OR($D27="",$D27="NO ENCONTRADO"),"",_xlfn.XLOOKUP($D27,Productos!$E:$E,Productos!$F:$F,""))</f>
        <v/>
      </c>
      <c r="J27" s="74">
        <f>IF($C27="","",IF($D27="NO ENCONTRADO",IF(COUNTIF($C$7:$C$1000,$C27)&gt;1,"⚠️ No encontrado | Duplicado","⚠️ No encontrado"),IF(COUNTIF($C$7:$C$1000,$C27)&gt;1,"⚠️ Duplicado","Verificado")))</f>
        <v/>
      </c>
    </row>
    <row r="28" ht="15.75" customHeight="1" s="176">
      <c r="B28" s="47" t="n"/>
      <c r="C28" s="77" t="n"/>
      <c r="D28" s="74">
        <f t="array" ref="D28">IF($C28="","",IFNA(_xlfn.XLOOKUP($C28,Productos!$A:$A,Productos!$E:$E,IFNA(_xlfn.XLOOKUP(TEXT($C28,"0"),Productos!$A:$A,Productos!$E:$E,IFNA(_xlfn.XLOOKUP(IFERROR(VALUE($C28),""),Productos!$A:$A,Productos!$E:$E,_xlfn.XLOOKUP($C28,Productos!$E:$E,Productos!$E:$E,"NO ENCONTRADO")),"NO ENCONTRADO")),"NO ENCONTRADO")),"NO ENCONTRADO"))</f>
        <v/>
      </c>
      <c r="E28" s="74">
        <f t="array" ref="E28">IF(OR($D28="",$D28="NO ENCONTRADO"),"",_xlfn.XLOOKUP($D28,Productos!$E:$E,Productos!$H:$H,""))</f>
        <v/>
      </c>
      <c r="F28" s="74">
        <f t="array" ref="F28">IF(OR($D28="",$D28="NO ENCONTRADO"),"",_xlfn.XLOOKUP($D28,Productos!$E:$E,Productos!$I:$I,""))</f>
        <v/>
      </c>
      <c r="G28" s="74">
        <f t="array" ref="G28">IF(OR($D28="",$D28="NO ENCONTRADO"),"",_xlfn.XLOOKUP($D28,Productos!$E:$E,Productos!$J:$J,""))</f>
        <v/>
      </c>
      <c r="H28" s="74">
        <f t="array" ref="H28">IF(OR($D28="",$D28="NO ENCONTRADO"),"",_xlfn.XLOOKUP($D28,Productos!$E:$E,Productos!$K:$K,""))</f>
        <v/>
      </c>
      <c r="I28" s="74">
        <f t="array" ref="I28">IF(OR($D28="",$D28="NO ENCONTRADO"),"",_xlfn.XLOOKUP($D28,Productos!$E:$E,Productos!$F:$F,""))</f>
        <v/>
      </c>
      <c r="J28" s="74">
        <f>IF($C28="","",IF($D28="NO ENCONTRADO",IF(COUNTIF($C$7:$C$1000,$C28)&gt;1,"⚠️ No encontrado | Duplicado","⚠️ No encontrado"),IF(COUNTIF($C$7:$C$1000,$C28)&gt;1,"⚠️ Duplicado","Verificado")))</f>
        <v/>
      </c>
    </row>
    <row r="29" ht="15.75" customHeight="1" s="176">
      <c r="B29" s="47" t="n"/>
      <c r="C29" s="77" t="n"/>
      <c r="D29" s="74">
        <f t="array" ref="D29">IF($C29="","",IFNA(_xlfn.XLOOKUP($C29,Productos!$A:$A,Productos!$E:$E,IFNA(_xlfn.XLOOKUP(TEXT($C29,"0"),Productos!$A:$A,Productos!$E:$E,IFNA(_xlfn.XLOOKUP(IFERROR(VALUE($C29),""),Productos!$A:$A,Productos!$E:$E,_xlfn.XLOOKUP($C29,Productos!$E:$E,Productos!$E:$E,"NO ENCONTRADO")),"NO ENCONTRADO")),"NO ENCONTRADO")),"NO ENCONTRADO"))</f>
        <v/>
      </c>
      <c r="E29" s="74">
        <f t="array" ref="E29">IF(OR($D29="",$D29="NO ENCONTRADO"),"",_xlfn.XLOOKUP($D29,Productos!$E:$E,Productos!$H:$H,""))</f>
        <v/>
      </c>
      <c r="F29" s="74">
        <f t="array" ref="F29">IF(OR($D29="",$D29="NO ENCONTRADO"),"",_xlfn.XLOOKUP($D29,Productos!$E:$E,Productos!$I:$I,""))</f>
        <v/>
      </c>
      <c r="G29" s="74">
        <f t="array" ref="G29">IF(OR($D29="",$D29="NO ENCONTRADO"),"",_xlfn.XLOOKUP($D29,Productos!$E:$E,Productos!$J:$J,""))</f>
        <v/>
      </c>
      <c r="H29" s="74">
        <f t="array" ref="H29">IF(OR($D29="",$D29="NO ENCONTRADO"),"",_xlfn.XLOOKUP($D29,Productos!$E:$E,Productos!$K:$K,""))</f>
        <v/>
      </c>
      <c r="I29" s="74">
        <f t="array" ref="I29">IF(OR($D29="",$D29="NO ENCONTRADO"),"",_xlfn.XLOOKUP($D29,Productos!$E:$E,Productos!$F:$F,""))</f>
        <v/>
      </c>
      <c r="J29" s="74">
        <f>IF($C29="","",IF($D29="NO ENCONTRADO",IF(COUNTIF($C$7:$C$1000,$C29)&gt;1,"⚠️ No encontrado | Duplicado","⚠️ No encontrado"),IF(COUNTIF($C$7:$C$1000,$C29)&gt;1,"⚠️ Duplicado","Verificado")))</f>
        <v/>
      </c>
    </row>
    <row r="30" ht="15.75" customHeight="1" s="176">
      <c r="B30" s="47" t="n"/>
      <c r="C30" s="77" t="n"/>
      <c r="D30" s="74">
        <f t="array" ref="D30">IF($C30="","",IFNA(_xlfn.XLOOKUP($C30,Productos!$A:$A,Productos!$E:$E,IFNA(_xlfn.XLOOKUP(TEXT($C30,"0"),Productos!$A:$A,Productos!$E:$E,IFNA(_xlfn.XLOOKUP(IFERROR(VALUE($C30),""),Productos!$A:$A,Productos!$E:$E,_xlfn.XLOOKUP($C30,Productos!$E:$E,Productos!$E:$E,"NO ENCONTRADO")),"NO ENCONTRADO")),"NO ENCONTRADO")),"NO ENCONTRADO"))</f>
        <v/>
      </c>
      <c r="E30" s="74">
        <f t="array" ref="E30">IF(OR($D30="",$D30="NO ENCONTRADO"),"",_xlfn.XLOOKUP($D30,Productos!$E:$E,Productos!$H:$H,""))</f>
        <v/>
      </c>
      <c r="F30" s="74">
        <f t="array" ref="F30">IF(OR($D30="",$D30="NO ENCONTRADO"),"",_xlfn.XLOOKUP($D30,Productos!$E:$E,Productos!$I:$I,""))</f>
        <v/>
      </c>
      <c r="G30" s="74">
        <f t="array" ref="G30">IF(OR($D30="",$D30="NO ENCONTRADO"),"",_xlfn.XLOOKUP($D30,Productos!$E:$E,Productos!$J:$J,""))</f>
        <v/>
      </c>
      <c r="H30" s="74">
        <f t="array" ref="H30">IF(OR($D30="",$D30="NO ENCONTRADO"),"",_xlfn.XLOOKUP($D30,Productos!$E:$E,Productos!$K:$K,""))</f>
        <v/>
      </c>
      <c r="I30" s="74">
        <f t="array" ref="I30">IF(OR($D30="",$D30="NO ENCONTRADO"),"",_xlfn.XLOOKUP($D30,Productos!$E:$E,Productos!$F:$F,""))</f>
        <v/>
      </c>
      <c r="J30" s="74">
        <f>IF($C30="","",IF($D30="NO ENCONTRADO",IF(COUNTIF($C$7:$C$1000,$C30)&gt;1,"⚠️ No encontrado | Duplicado","⚠️ No encontrado"),IF(COUNTIF($C$7:$C$1000,$C30)&gt;1,"⚠️ Duplicado","Verificado")))</f>
        <v/>
      </c>
    </row>
    <row r="31" ht="15.75" customHeight="1" s="176">
      <c r="B31" s="47" t="n"/>
      <c r="C31" s="77" t="n"/>
      <c r="D31" s="74">
        <f t="array" ref="D31">IF($C31="","",IFNA(_xlfn.XLOOKUP($C31,Productos!$A:$A,Productos!$E:$E,IFNA(_xlfn.XLOOKUP(TEXT($C31,"0"),Productos!$A:$A,Productos!$E:$E,IFNA(_xlfn.XLOOKUP(IFERROR(VALUE($C31),""),Productos!$A:$A,Productos!$E:$E,_xlfn.XLOOKUP($C31,Productos!$E:$E,Productos!$E:$E,"NO ENCONTRADO")),"NO ENCONTRADO")),"NO ENCONTRADO")),"NO ENCONTRADO"))</f>
        <v/>
      </c>
      <c r="E31" s="74">
        <f t="array" ref="E31">IF(OR($D31="",$D31="NO ENCONTRADO"),"",_xlfn.XLOOKUP($D31,Productos!$E:$E,Productos!$H:$H,""))</f>
        <v/>
      </c>
      <c r="F31" s="74">
        <f t="array" ref="F31">IF(OR($D31="",$D31="NO ENCONTRADO"),"",_xlfn.XLOOKUP($D31,Productos!$E:$E,Productos!$I:$I,""))</f>
        <v/>
      </c>
      <c r="G31" s="74">
        <f t="array" ref="G31">IF(OR($D31="",$D31="NO ENCONTRADO"),"",_xlfn.XLOOKUP($D31,Productos!$E:$E,Productos!$J:$J,""))</f>
        <v/>
      </c>
      <c r="H31" s="74">
        <f t="array" ref="H31">IF(OR($D31="",$D31="NO ENCONTRADO"),"",_xlfn.XLOOKUP($D31,Productos!$E:$E,Productos!$K:$K,""))</f>
        <v/>
      </c>
      <c r="I31" s="74">
        <f t="array" ref="I31">IF(OR($D31="",$D31="NO ENCONTRADO"),"",_xlfn.XLOOKUP($D31,Productos!$E:$E,Productos!$F:$F,""))</f>
        <v/>
      </c>
      <c r="J31" s="74">
        <f>IF($C31="","",IF($D31="NO ENCONTRADO",IF(COUNTIF($C$7:$C$1000,$C31)&gt;1,"⚠️ No encontrado | Duplicado","⚠️ No encontrado"),IF(COUNTIF($C$7:$C$1000,$C31)&gt;1,"⚠️ Duplicado","Verificado")))</f>
        <v/>
      </c>
    </row>
    <row r="32" ht="15.75" customHeight="1" s="176">
      <c r="B32" s="47" t="n"/>
      <c r="C32" s="77" t="n"/>
      <c r="D32" s="74">
        <f t="array" ref="D32">IF($C32="","",IFNA(_xlfn.XLOOKUP($C32,Productos!$A:$A,Productos!$E:$E,IFNA(_xlfn.XLOOKUP(TEXT($C32,"0"),Productos!$A:$A,Productos!$E:$E,IFNA(_xlfn.XLOOKUP(IFERROR(VALUE($C32),""),Productos!$A:$A,Productos!$E:$E,_xlfn.XLOOKUP($C32,Productos!$E:$E,Productos!$E:$E,"NO ENCONTRADO")),"NO ENCONTRADO")),"NO ENCONTRADO")),"NO ENCONTRADO"))</f>
        <v/>
      </c>
      <c r="E32" s="74">
        <f t="array" ref="E32">IF(OR($D32="",$D32="NO ENCONTRADO"),"",_xlfn.XLOOKUP($D32,Productos!$E:$E,Productos!$H:$H,""))</f>
        <v/>
      </c>
      <c r="F32" s="74">
        <f t="array" ref="F32">IF(OR($D32="",$D32="NO ENCONTRADO"),"",_xlfn.XLOOKUP($D32,Productos!$E:$E,Productos!$I:$I,""))</f>
        <v/>
      </c>
      <c r="G32" s="74">
        <f t="array" ref="G32">IF(OR($D32="",$D32="NO ENCONTRADO"),"",_xlfn.XLOOKUP($D32,Productos!$E:$E,Productos!$J:$J,""))</f>
        <v/>
      </c>
      <c r="H32" s="74">
        <f t="array" ref="H32">IF(OR($D32="",$D32="NO ENCONTRADO"),"",_xlfn.XLOOKUP($D32,Productos!$E:$E,Productos!$K:$K,""))</f>
        <v/>
      </c>
      <c r="I32" s="74">
        <f t="array" ref="I32">IF(OR($D32="",$D32="NO ENCONTRADO"),"",_xlfn.XLOOKUP($D32,Productos!$E:$E,Productos!$F:$F,""))</f>
        <v/>
      </c>
      <c r="J32" s="74">
        <f>IF($C32="","",IF($D32="NO ENCONTRADO",IF(COUNTIF($C$7:$C$1000,$C32)&gt;1,"⚠️ No encontrado | Duplicado","⚠️ No encontrado"),IF(COUNTIF($C$7:$C$1000,$C32)&gt;1,"⚠️ Duplicado","Verificado")))</f>
        <v/>
      </c>
    </row>
    <row r="33" ht="15.75" customHeight="1" s="176">
      <c r="B33" s="47" t="n"/>
      <c r="C33" s="77" t="n"/>
      <c r="D33" s="74">
        <f t="array" ref="D33">IF($C33="","",IFNA(_xlfn.XLOOKUP($C33,Productos!$A:$A,Productos!$E:$E,IFNA(_xlfn.XLOOKUP(TEXT($C33,"0"),Productos!$A:$A,Productos!$E:$E,IFNA(_xlfn.XLOOKUP(IFERROR(VALUE($C33),""),Productos!$A:$A,Productos!$E:$E,_xlfn.XLOOKUP($C33,Productos!$E:$E,Productos!$E:$E,"NO ENCONTRADO")),"NO ENCONTRADO")),"NO ENCONTRADO")),"NO ENCONTRADO"))</f>
        <v/>
      </c>
      <c r="E33" s="74">
        <f t="array" ref="E33">IF(OR($D33="",$D33="NO ENCONTRADO"),"",_xlfn.XLOOKUP($D33,Productos!$E:$E,Productos!$H:$H,""))</f>
        <v/>
      </c>
      <c r="F33" s="74">
        <f t="array" ref="F33">IF(OR($D33="",$D33="NO ENCONTRADO"),"",_xlfn.XLOOKUP($D33,Productos!$E:$E,Productos!$I:$I,""))</f>
        <v/>
      </c>
      <c r="G33" s="74">
        <f t="array" ref="G33">IF(OR($D33="",$D33="NO ENCONTRADO"),"",_xlfn.XLOOKUP($D33,Productos!$E:$E,Productos!$J:$J,""))</f>
        <v/>
      </c>
      <c r="H33" s="74">
        <f t="array" ref="H33">IF(OR($D33="",$D33="NO ENCONTRADO"),"",_xlfn.XLOOKUP($D33,Productos!$E:$E,Productos!$K:$K,""))</f>
        <v/>
      </c>
      <c r="I33" s="74">
        <f t="array" ref="I33">IF(OR($D33="",$D33="NO ENCONTRADO"),"",_xlfn.XLOOKUP($D33,Productos!$E:$E,Productos!$F:$F,""))</f>
        <v/>
      </c>
      <c r="J33" s="74">
        <f>IF($C33="","",IF($D33="NO ENCONTRADO",IF(COUNTIF($C$7:$C$1000,$C33)&gt;1,"⚠️ No encontrado | Duplicado","⚠️ No encontrado"),IF(COUNTIF($C$7:$C$1000,$C33)&gt;1,"⚠️ Duplicado","Verificado")))</f>
        <v/>
      </c>
    </row>
    <row r="34" ht="15.75" customHeight="1" s="176">
      <c r="B34" s="47" t="n"/>
      <c r="C34" s="77" t="n"/>
      <c r="D34" s="74">
        <f t="array" ref="D34">IF($C34="","",IFNA(_xlfn.XLOOKUP($C34,Productos!$A:$A,Productos!$E:$E,IFNA(_xlfn.XLOOKUP(TEXT($C34,"0"),Productos!$A:$A,Productos!$E:$E,IFNA(_xlfn.XLOOKUP(IFERROR(VALUE($C34),""),Productos!$A:$A,Productos!$E:$E,_xlfn.XLOOKUP($C34,Productos!$E:$E,Productos!$E:$E,"NO ENCONTRADO")),"NO ENCONTRADO")),"NO ENCONTRADO")),"NO ENCONTRADO"))</f>
        <v/>
      </c>
      <c r="E34" s="74">
        <f t="array" ref="E34">IF(OR($D34="",$D34="NO ENCONTRADO"),"",_xlfn.XLOOKUP($D34,Productos!$E:$E,Productos!$H:$H,""))</f>
        <v/>
      </c>
      <c r="F34" s="74">
        <f t="array" ref="F34">IF(OR($D34="",$D34="NO ENCONTRADO"),"",_xlfn.XLOOKUP($D34,Productos!$E:$E,Productos!$I:$I,""))</f>
        <v/>
      </c>
      <c r="G34" s="74">
        <f t="array" ref="G34">IF(OR($D34="",$D34="NO ENCONTRADO"),"",_xlfn.XLOOKUP($D34,Productos!$E:$E,Productos!$J:$J,""))</f>
        <v/>
      </c>
      <c r="H34" s="74">
        <f t="array" ref="H34">IF(OR($D34="",$D34="NO ENCONTRADO"),"",_xlfn.XLOOKUP($D34,Productos!$E:$E,Productos!$K:$K,""))</f>
        <v/>
      </c>
      <c r="I34" s="74">
        <f t="array" ref="I34">IF(OR($D34="",$D34="NO ENCONTRADO"),"",_xlfn.XLOOKUP($D34,Productos!$E:$E,Productos!$F:$F,""))</f>
        <v/>
      </c>
      <c r="J34" s="74">
        <f>IF($C34="","",IF($D34="NO ENCONTRADO",IF(COUNTIF($C$7:$C$1000,$C34)&gt;1,"⚠️ No encontrado | Duplicado","⚠️ No encontrado"),IF(COUNTIF($C$7:$C$1000,$C34)&gt;1,"⚠️ Duplicado","Verificado")))</f>
        <v/>
      </c>
    </row>
    <row r="35" ht="15.75" customHeight="1" s="176">
      <c r="B35" s="47" t="n"/>
      <c r="C35" s="77" t="n"/>
      <c r="D35" s="74">
        <f t="array" ref="D35">IF($C35="","",IFNA(_xlfn.XLOOKUP($C35,Productos!$A:$A,Productos!$E:$E,IFNA(_xlfn.XLOOKUP(TEXT($C35,"0"),Productos!$A:$A,Productos!$E:$E,IFNA(_xlfn.XLOOKUP(IFERROR(VALUE($C35),""),Productos!$A:$A,Productos!$E:$E,_xlfn.XLOOKUP($C35,Productos!$E:$E,Productos!$E:$E,"NO ENCONTRADO")),"NO ENCONTRADO")),"NO ENCONTRADO")),"NO ENCONTRADO"))</f>
        <v/>
      </c>
      <c r="E35" s="74">
        <f t="array" ref="E35">IF(OR($D35="",$D35="NO ENCONTRADO"),"",_xlfn.XLOOKUP($D35,Productos!$E:$E,Productos!$H:$H,""))</f>
        <v/>
      </c>
      <c r="F35" s="74">
        <f t="array" ref="F35">IF(OR($D35="",$D35="NO ENCONTRADO"),"",_xlfn.XLOOKUP($D35,Productos!$E:$E,Productos!$I:$I,""))</f>
        <v/>
      </c>
      <c r="G35" s="74">
        <f t="array" ref="G35">IF(OR($D35="",$D35="NO ENCONTRADO"),"",_xlfn.XLOOKUP($D35,Productos!$E:$E,Productos!$J:$J,""))</f>
        <v/>
      </c>
      <c r="H35" s="74">
        <f t="array" ref="H35">IF(OR($D35="",$D35="NO ENCONTRADO"),"",_xlfn.XLOOKUP($D35,Productos!$E:$E,Productos!$K:$K,""))</f>
        <v/>
      </c>
      <c r="I35" s="74">
        <f t="array" ref="I35">IF(OR($D35="",$D35="NO ENCONTRADO"),"",_xlfn.XLOOKUP($D35,Productos!$E:$E,Productos!$F:$F,""))</f>
        <v/>
      </c>
      <c r="J35" s="74">
        <f>IF($C35="","",IF($D35="NO ENCONTRADO",IF(COUNTIF($C$7:$C$1000,$C35)&gt;1,"⚠️ No encontrado | Duplicado","⚠️ No encontrado"),IF(COUNTIF($C$7:$C$1000,$C35)&gt;1,"⚠️ Duplicado","Verificado")))</f>
        <v/>
      </c>
    </row>
    <row r="36" ht="15.75" customHeight="1" s="176">
      <c r="B36" s="47" t="n"/>
      <c r="C36" s="77" t="n"/>
      <c r="D36" s="74">
        <f t="array" ref="D36">IF($C36="","",IFNA(_xlfn.XLOOKUP($C36,Productos!$A:$A,Productos!$E:$E,IFNA(_xlfn.XLOOKUP(TEXT($C36,"0"),Productos!$A:$A,Productos!$E:$E,IFNA(_xlfn.XLOOKUP(IFERROR(VALUE($C36),""),Productos!$A:$A,Productos!$E:$E,_xlfn.XLOOKUP($C36,Productos!$E:$E,Productos!$E:$E,"NO ENCONTRADO")),"NO ENCONTRADO")),"NO ENCONTRADO")),"NO ENCONTRADO"))</f>
        <v/>
      </c>
      <c r="E36" s="74">
        <f t="array" ref="E36">IF(OR($D36="",$D36="NO ENCONTRADO"),"",_xlfn.XLOOKUP($D36,Productos!$E:$E,Productos!$H:$H,""))</f>
        <v/>
      </c>
      <c r="F36" s="74">
        <f t="array" ref="F36">IF(OR($D36="",$D36="NO ENCONTRADO"),"",_xlfn.XLOOKUP($D36,Productos!$E:$E,Productos!$I:$I,""))</f>
        <v/>
      </c>
      <c r="G36" s="74">
        <f t="array" ref="G36">IF(OR($D36="",$D36="NO ENCONTRADO"),"",_xlfn.XLOOKUP($D36,Productos!$E:$E,Productos!$J:$J,""))</f>
        <v/>
      </c>
      <c r="H36" s="74">
        <f t="array" ref="H36">IF(OR($D36="",$D36="NO ENCONTRADO"),"",_xlfn.XLOOKUP($D36,Productos!$E:$E,Productos!$K:$K,""))</f>
        <v/>
      </c>
      <c r="I36" s="74">
        <f t="array" ref="I36">IF(OR($D36="",$D36="NO ENCONTRADO"),"",_xlfn.XLOOKUP($D36,Productos!$E:$E,Productos!$F:$F,""))</f>
        <v/>
      </c>
      <c r="J36" s="74">
        <f>IF($C36="","",IF($D36="NO ENCONTRADO",IF(COUNTIF($C$7:$C$1000,$C36)&gt;1,"⚠️ No encontrado | Duplicado","⚠️ No encontrado"),IF(COUNTIF($C$7:$C$1000,$C36)&gt;1,"⚠️ Duplicado","Verificado")))</f>
        <v/>
      </c>
    </row>
    <row r="37" ht="15.75" customHeight="1" s="176">
      <c r="B37" s="47" t="n"/>
      <c r="C37" s="77" t="n"/>
      <c r="D37" s="74">
        <f t="array" ref="D37">IF($C37="","",IFNA(_xlfn.XLOOKUP($C37,Productos!$A:$A,Productos!$E:$E,IFNA(_xlfn.XLOOKUP(TEXT($C37,"0"),Productos!$A:$A,Productos!$E:$E,IFNA(_xlfn.XLOOKUP(IFERROR(VALUE($C37),""),Productos!$A:$A,Productos!$E:$E,_xlfn.XLOOKUP($C37,Productos!$E:$E,Productos!$E:$E,"NO ENCONTRADO")),"NO ENCONTRADO")),"NO ENCONTRADO")),"NO ENCONTRADO"))</f>
        <v/>
      </c>
      <c r="E37" s="74">
        <f t="array" ref="E37">IF(OR($D37="",$D37="NO ENCONTRADO"),"",_xlfn.XLOOKUP($D37,Productos!$E:$E,Productos!$H:$H,""))</f>
        <v/>
      </c>
      <c r="F37" s="74">
        <f t="array" ref="F37">IF(OR($D37="",$D37="NO ENCONTRADO"),"",_xlfn.XLOOKUP($D37,Productos!$E:$E,Productos!$I:$I,""))</f>
        <v/>
      </c>
      <c r="G37" s="74">
        <f t="array" ref="G37">IF(OR($D37="",$D37="NO ENCONTRADO"),"",_xlfn.XLOOKUP($D37,Productos!$E:$E,Productos!$J:$J,""))</f>
        <v/>
      </c>
      <c r="H37" s="74">
        <f t="array" ref="H37">IF(OR($D37="",$D37="NO ENCONTRADO"),"",_xlfn.XLOOKUP($D37,Productos!$E:$E,Productos!$K:$K,""))</f>
        <v/>
      </c>
      <c r="I37" s="74">
        <f t="array" ref="I37">IF(OR($D37="",$D37="NO ENCONTRADO"),"",_xlfn.XLOOKUP($D37,Productos!$E:$E,Productos!$F:$F,""))</f>
        <v/>
      </c>
      <c r="J37" s="74">
        <f>IF($C37="","",IF($D37="NO ENCONTRADO",IF(COUNTIF($C$7:$C$1000,$C37)&gt;1,"⚠️ No encontrado | Duplicado","⚠️ No encontrado"),IF(COUNTIF($C$7:$C$1000,$C37)&gt;1,"⚠️ Duplicado","Verificado")))</f>
        <v/>
      </c>
    </row>
    <row r="38" ht="15.75" customHeight="1" s="176">
      <c r="B38" s="47" t="n"/>
      <c r="C38" s="77" t="n"/>
      <c r="D38" s="74">
        <f t="array" ref="D38">IF($C38="","",IFNA(_xlfn.XLOOKUP($C38,Productos!$A:$A,Productos!$E:$E,IFNA(_xlfn.XLOOKUP(TEXT($C38,"0"),Productos!$A:$A,Productos!$E:$E,IFNA(_xlfn.XLOOKUP(IFERROR(VALUE($C38),""),Productos!$A:$A,Productos!$E:$E,_xlfn.XLOOKUP($C38,Productos!$E:$E,Productos!$E:$E,"NO ENCONTRADO")),"NO ENCONTRADO")),"NO ENCONTRADO")),"NO ENCONTRADO"))</f>
        <v/>
      </c>
      <c r="E38" s="74">
        <f t="array" ref="E38">IF(OR($D38="",$D38="NO ENCONTRADO"),"",_xlfn.XLOOKUP($D38,Productos!$E:$E,Productos!$H:$H,""))</f>
        <v/>
      </c>
      <c r="F38" s="74">
        <f t="array" ref="F38">IF(OR($D38="",$D38="NO ENCONTRADO"),"",_xlfn.XLOOKUP($D38,Productos!$E:$E,Productos!$I:$I,""))</f>
        <v/>
      </c>
      <c r="G38" s="74">
        <f t="array" ref="G38">IF(OR($D38="",$D38="NO ENCONTRADO"),"",_xlfn.XLOOKUP($D38,Productos!$E:$E,Productos!$J:$J,""))</f>
        <v/>
      </c>
      <c r="H38" s="74">
        <f t="array" ref="H38">IF(OR($D38="",$D38="NO ENCONTRADO"),"",_xlfn.XLOOKUP($D38,Productos!$E:$E,Productos!$K:$K,""))</f>
        <v/>
      </c>
      <c r="I38" s="74">
        <f t="array" ref="I38">IF(OR($D38="",$D38="NO ENCONTRADO"),"",_xlfn.XLOOKUP($D38,Productos!$E:$E,Productos!$F:$F,""))</f>
        <v/>
      </c>
      <c r="J38" s="74">
        <f>IF($C38="","",IF($D38="NO ENCONTRADO",IF(COUNTIF($C$7:$C$1000,$C38)&gt;1,"⚠️ No encontrado | Duplicado","⚠️ No encontrado"),IF(COUNTIF($C$7:$C$1000,$C38)&gt;1,"⚠️ Duplicado","Verificado")))</f>
        <v/>
      </c>
    </row>
    <row r="39" ht="15.75" customHeight="1" s="176">
      <c r="B39" s="47" t="n"/>
      <c r="C39" s="77" t="n"/>
      <c r="D39" s="74">
        <f t="array" ref="D39">IF($C39="","",IFNA(_xlfn.XLOOKUP($C39,Productos!$A:$A,Productos!$E:$E,IFNA(_xlfn.XLOOKUP(TEXT($C39,"0"),Productos!$A:$A,Productos!$E:$E,IFNA(_xlfn.XLOOKUP(IFERROR(VALUE($C39),""),Productos!$A:$A,Productos!$E:$E,_xlfn.XLOOKUP($C39,Productos!$E:$E,Productos!$E:$E,"NO ENCONTRADO")),"NO ENCONTRADO")),"NO ENCONTRADO")),"NO ENCONTRADO"))</f>
        <v/>
      </c>
      <c r="E39" s="74">
        <f t="array" ref="E39">IF(OR($D39="",$D39="NO ENCONTRADO"),"",_xlfn.XLOOKUP($D39,Productos!$E:$E,Productos!$H:$H,""))</f>
        <v/>
      </c>
      <c r="F39" s="74">
        <f t="array" ref="F39">IF(OR($D39="",$D39="NO ENCONTRADO"),"",_xlfn.XLOOKUP($D39,Productos!$E:$E,Productos!$I:$I,""))</f>
        <v/>
      </c>
      <c r="G39" s="74">
        <f t="array" ref="G39">IF(OR($D39="",$D39="NO ENCONTRADO"),"",_xlfn.XLOOKUP($D39,Productos!$E:$E,Productos!$J:$J,""))</f>
        <v/>
      </c>
      <c r="H39" s="74">
        <f t="array" ref="H39">IF(OR($D39="",$D39="NO ENCONTRADO"),"",_xlfn.XLOOKUP($D39,Productos!$E:$E,Productos!$K:$K,""))</f>
        <v/>
      </c>
      <c r="I39" s="74">
        <f t="array" ref="I39">IF(OR($D39="",$D39="NO ENCONTRADO"),"",_xlfn.XLOOKUP($D39,Productos!$E:$E,Productos!$F:$F,""))</f>
        <v/>
      </c>
      <c r="J39" s="74">
        <f>IF($C39="","",IF($D39="NO ENCONTRADO",IF(COUNTIF($C$7:$C$1000,$C39)&gt;1,"⚠️ No encontrado | Duplicado","⚠️ No encontrado"),IF(COUNTIF($C$7:$C$1000,$C39)&gt;1,"⚠️ Duplicado","Verificado")))</f>
        <v/>
      </c>
    </row>
    <row r="40" ht="15.75" customHeight="1" s="176">
      <c r="B40" s="47" t="n"/>
      <c r="C40" s="77" t="n"/>
      <c r="D40" s="74">
        <f t="array" ref="D40">IF($C40="","",IFNA(_xlfn.XLOOKUP($C40,Productos!$A:$A,Productos!$E:$E,IFNA(_xlfn.XLOOKUP(TEXT($C40,"0"),Productos!$A:$A,Productos!$E:$E,IFNA(_xlfn.XLOOKUP(IFERROR(VALUE($C40),""),Productos!$A:$A,Productos!$E:$E,_xlfn.XLOOKUP($C40,Productos!$E:$E,Productos!$E:$E,"NO ENCONTRADO")),"NO ENCONTRADO")),"NO ENCONTRADO")),"NO ENCONTRADO"))</f>
        <v/>
      </c>
      <c r="E40" s="74">
        <f t="array" ref="E40">IF(OR($D40="",$D40="NO ENCONTRADO"),"",_xlfn.XLOOKUP($D40,Productos!$E:$E,Productos!$H:$H,""))</f>
        <v/>
      </c>
      <c r="F40" s="74">
        <f t="array" ref="F40">IF(OR($D40="",$D40="NO ENCONTRADO"),"",_xlfn.XLOOKUP($D40,Productos!$E:$E,Productos!$I:$I,""))</f>
        <v/>
      </c>
      <c r="G40" s="74">
        <f t="array" ref="G40">IF(OR($D40="",$D40="NO ENCONTRADO"),"",_xlfn.XLOOKUP($D40,Productos!$E:$E,Productos!$J:$J,""))</f>
        <v/>
      </c>
      <c r="H40" s="74">
        <f t="array" ref="H40">IF(OR($D40="",$D40="NO ENCONTRADO"),"",_xlfn.XLOOKUP($D40,Productos!$E:$E,Productos!$K:$K,""))</f>
        <v/>
      </c>
      <c r="I40" s="74">
        <f t="array" ref="I40">IF(OR($D40="",$D40="NO ENCONTRADO"),"",_xlfn.XLOOKUP($D40,Productos!$E:$E,Productos!$F:$F,""))</f>
        <v/>
      </c>
      <c r="J40" s="74">
        <f>IF($C40="","",IF($D40="NO ENCONTRADO",IF(COUNTIF($C$7:$C$1000,$C40)&gt;1,"⚠️ No encontrado | Duplicado","⚠️ No encontrado"),IF(COUNTIF($C$7:$C$1000,$C40)&gt;1,"⚠️ Duplicado","Verificado")))</f>
        <v/>
      </c>
    </row>
    <row r="41" ht="15.75" customHeight="1" s="176">
      <c r="B41" s="47" t="n"/>
      <c r="C41" s="77" t="n"/>
      <c r="D41" s="74">
        <f t="array" ref="D41">IF($C41="","",IFNA(_xlfn.XLOOKUP($C41,Productos!$A:$A,Productos!$E:$E,IFNA(_xlfn.XLOOKUP(TEXT($C41,"0"),Productos!$A:$A,Productos!$E:$E,IFNA(_xlfn.XLOOKUP(IFERROR(VALUE($C41),""),Productos!$A:$A,Productos!$E:$E,_xlfn.XLOOKUP($C41,Productos!$E:$E,Productos!$E:$E,"NO ENCONTRADO")),"NO ENCONTRADO")),"NO ENCONTRADO")),"NO ENCONTRADO"))</f>
        <v/>
      </c>
      <c r="E41" s="74">
        <f t="array" ref="E41">IF(OR($D41="",$D41="NO ENCONTRADO"),"",_xlfn.XLOOKUP($D41,Productos!$E:$E,Productos!$H:$H,""))</f>
        <v/>
      </c>
      <c r="F41" s="74">
        <f t="array" ref="F41">IF(OR($D41="",$D41="NO ENCONTRADO"),"",_xlfn.XLOOKUP($D41,Productos!$E:$E,Productos!$I:$I,""))</f>
        <v/>
      </c>
      <c r="G41" s="74">
        <f t="array" ref="G41">IF(OR($D41="",$D41="NO ENCONTRADO"),"",_xlfn.XLOOKUP($D41,Productos!$E:$E,Productos!$J:$J,""))</f>
        <v/>
      </c>
      <c r="H41" s="74">
        <f t="array" ref="H41">IF(OR($D41="",$D41="NO ENCONTRADO"),"",_xlfn.XLOOKUP($D41,Productos!$E:$E,Productos!$K:$K,""))</f>
        <v/>
      </c>
      <c r="I41" s="74">
        <f t="array" ref="I41">IF(OR($D41="",$D41="NO ENCONTRADO"),"",_xlfn.XLOOKUP($D41,Productos!$E:$E,Productos!$F:$F,""))</f>
        <v/>
      </c>
      <c r="J41" s="74">
        <f>IF($C41="","",IF($D41="NO ENCONTRADO",IF(COUNTIF($C$7:$C$1000,$C41)&gt;1,"⚠️ No encontrado | Duplicado","⚠️ No encontrado"),IF(COUNTIF($C$7:$C$1000,$C41)&gt;1,"⚠️ Duplicado","Verificado")))</f>
        <v/>
      </c>
    </row>
    <row r="42" ht="15.75" customHeight="1" s="176">
      <c r="B42" s="47" t="n"/>
      <c r="C42" s="77" t="n"/>
      <c r="D42" s="74">
        <f t="array" ref="D42">IF($C42="","",IFNA(_xlfn.XLOOKUP($C42,Productos!$A:$A,Productos!$E:$E,IFNA(_xlfn.XLOOKUP(TEXT($C42,"0"),Productos!$A:$A,Productos!$E:$E,IFNA(_xlfn.XLOOKUP(IFERROR(VALUE($C42),""),Productos!$A:$A,Productos!$E:$E,_xlfn.XLOOKUP($C42,Productos!$E:$E,Productos!$E:$E,"NO ENCONTRADO")),"NO ENCONTRADO")),"NO ENCONTRADO")),"NO ENCONTRADO"))</f>
        <v/>
      </c>
      <c r="E42" s="74">
        <f t="array" ref="E42">IF(OR($D42="",$D42="NO ENCONTRADO"),"",_xlfn.XLOOKUP($D42,Productos!$E:$E,Productos!$H:$H,""))</f>
        <v/>
      </c>
      <c r="F42" s="74">
        <f t="array" ref="F42">IF(OR($D42="",$D42="NO ENCONTRADO"),"",_xlfn.XLOOKUP($D42,Productos!$E:$E,Productos!$I:$I,""))</f>
        <v/>
      </c>
      <c r="G42" s="74">
        <f t="array" ref="G42">IF(OR($D42="",$D42="NO ENCONTRADO"),"",_xlfn.XLOOKUP($D42,Productos!$E:$E,Productos!$J:$J,""))</f>
        <v/>
      </c>
      <c r="H42" s="74">
        <f t="array" ref="H42">IF(OR($D42="",$D42="NO ENCONTRADO"),"",_xlfn.XLOOKUP($D42,Productos!$E:$E,Productos!$K:$K,""))</f>
        <v/>
      </c>
      <c r="I42" s="74">
        <f t="array" ref="I42">IF(OR($D42="",$D42="NO ENCONTRADO"),"",_xlfn.XLOOKUP($D42,Productos!$E:$E,Productos!$F:$F,""))</f>
        <v/>
      </c>
      <c r="J42" s="74">
        <f>IF($C42="","",IF($D42="NO ENCONTRADO",IF(COUNTIF($C$7:$C$1000,$C42)&gt;1,"⚠️ No encontrado | Duplicado","⚠️ No encontrado"),IF(COUNTIF($C$7:$C$1000,$C42)&gt;1,"⚠️ Duplicado","Verificado")))</f>
        <v/>
      </c>
    </row>
    <row r="43" ht="15.75" customHeight="1" s="176">
      <c r="B43" s="47" t="n"/>
      <c r="C43" s="77" t="n"/>
      <c r="D43" s="74">
        <f t="array" ref="D43">IF($C43="","",IFNA(_xlfn.XLOOKUP($C43,Productos!$A:$A,Productos!$E:$E,IFNA(_xlfn.XLOOKUP(TEXT($C43,"0"),Productos!$A:$A,Productos!$E:$E,IFNA(_xlfn.XLOOKUP(IFERROR(VALUE($C43),""),Productos!$A:$A,Productos!$E:$E,_xlfn.XLOOKUP($C43,Productos!$E:$E,Productos!$E:$E,"NO ENCONTRADO")),"NO ENCONTRADO")),"NO ENCONTRADO")),"NO ENCONTRADO"))</f>
        <v/>
      </c>
      <c r="E43" s="74">
        <f t="array" ref="E43">IF(OR($D43="",$D43="NO ENCONTRADO"),"",_xlfn.XLOOKUP($D43,Productos!$E:$E,Productos!$H:$H,""))</f>
        <v/>
      </c>
      <c r="F43" s="74">
        <f t="array" ref="F43">IF(OR($D43="",$D43="NO ENCONTRADO"),"",_xlfn.XLOOKUP($D43,Productos!$E:$E,Productos!$I:$I,""))</f>
        <v/>
      </c>
      <c r="G43" s="74">
        <f t="array" ref="G43">IF(OR($D43="",$D43="NO ENCONTRADO"),"",_xlfn.XLOOKUP($D43,Productos!$E:$E,Productos!$J:$J,""))</f>
        <v/>
      </c>
      <c r="H43" s="74">
        <f t="array" ref="H43">IF(OR($D43="",$D43="NO ENCONTRADO"),"",_xlfn.XLOOKUP($D43,Productos!$E:$E,Productos!$K:$K,""))</f>
        <v/>
      </c>
      <c r="I43" s="74">
        <f t="array" ref="I43">IF(OR($D43="",$D43="NO ENCONTRADO"),"",_xlfn.XLOOKUP($D43,Productos!$E:$E,Productos!$F:$F,""))</f>
        <v/>
      </c>
      <c r="J43" s="74">
        <f>IF($C43="","",IF($D43="NO ENCONTRADO",IF(COUNTIF($C$7:$C$1000,$C43)&gt;1,"⚠️ No encontrado | Duplicado","⚠️ No encontrado"),IF(COUNTIF($C$7:$C$1000,$C43)&gt;1,"⚠️ Duplicado","Verificado")))</f>
        <v/>
      </c>
    </row>
    <row r="44" ht="15.75" customHeight="1" s="176">
      <c r="B44" s="47" t="n"/>
      <c r="C44" s="77" t="n"/>
      <c r="D44" s="74">
        <f t="array" ref="D44">IF($C44="","",IFNA(_xlfn.XLOOKUP($C44,Productos!$A:$A,Productos!$E:$E,IFNA(_xlfn.XLOOKUP(TEXT($C44,"0"),Productos!$A:$A,Productos!$E:$E,IFNA(_xlfn.XLOOKUP(IFERROR(VALUE($C44),""),Productos!$A:$A,Productos!$E:$E,_xlfn.XLOOKUP($C44,Productos!$E:$E,Productos!$E:$E,"NO ENCONTRADO")),"NO ENCONTRADO")),"NO ENCONTRADO")),"NO ENCONTRADO"))</f>
        <v/>
      </c>
      <c r="E44" s="74">
        <f t="array" ref="E44">IF(OR($D44="",$D44="NO ENCONTRADO"),"",_xlfn.XLOOKUP($D44,Productos!$E:$E,Productos!$H:$H,""))</f>
        <v/>
      </c>
      <c r="F44" s="74">
        <f t="array" ref="F44">IF(OR($D44="",$D44="NO ENCONTRADO"),"",_xlfn.XLOOKUP($D44,Productos!$E:$E,Productos!$I:$I,""))</f>
        <v/>
      </c>
      <c r="G44" s="74">
        <f t="array" ref="G44">IF(OR($D44="",$D44="NO ENCONTRADO"),"",_xlfn.XLOOKUP($D44,Productos!$E:$E,Productos!$J:$J,""))</f>
        <v/>
      </c>
      <c r="H44" s="74">
        <f t="array" ref="H44">IF(OR($D44="",$D44="NO ENCONTRADO"),"",_xlfn.XLOOKUP($D44,Productos!$E:$E,Productos!$K:$K,""))</f>
        <v/>
      </c>
      <c r="I44" s="74">
        <f t="array" ref="I44">IF(OR($D44="",$D44="NO ENCONTRADO"),"",_xlfn.XLOOKUP($D44,Productos!$E:$E,Productos!$F:$F,""))</f>
        <v/>
      </c>
      <c r="J44" s="74">
        <f>IF($C44="","",IF($D44="NO ENCONTRADO",IF(COUNTIF($C$7:$C$1000,$C44)&gt;1,"⚠️ No encontrado | Duplicado","⚠️ No encontrado"),IF(COUNTIF($C$7:$C$1000,$C44)&gt;1,"⚠️ Duplicado","Verificado")))</f>
        <v/>
      </c>
    </row>
    <row r="45" ht="15.75" customHeight="1" s="176">
      <c r="B45" s="47" t="n"/>
      <c r="C45" s="77" t="n"/>
      <c r="D45" s="74">
        <f t="array" ref="D45">IF($C45="","",IFNA(_xlfn.XLOOKUP($C45,Productos!$A:$A,Productos!$E:$E,IFNA(_xlfn.XLOOKUP(TEXT($C45,"0"),Productos!$A:$A,Productos!$E:$E,IFNA(_xlfn.XLOOKUP(IFERROR(VALUE($C45),""),Productos!$A:$A,Productos!$E:$E,_xlfn.XLOOKUP($C45,Productos!$E:$E,Productos!$E:$E,"NO ENCONTRADO")),"NO ENCONTRADO")),"NO ENCONTRADO")),"NO ENCONTRADO"))</f>
        <v/>
      </c>
      <c r="E45" s="74">
        <f t="array" ref="E45">IF(OR($D45="",$D45="NO ENCONTRADO"),"",_xlfn.XLOOKUP($D45,Productos!$E:$E,Productos!$H:$H,""))</f>
        <v/>
      </c>
      <c r="F45" s="74">
        <f t="array" ref="F45">IF(OR($D45="",$D45="NO ENCONTRADO"),"",_xlfn.XLOOKUP($D45,Productos!$E:$E,Productos!$I:$I,""))</f>
        <v/>
      </c>
      <c r="G45" s="74">
        <f t="array" ref="G45">IF(OR($D45="",$D45="NO ENCONTRADO"),"",_xlfn.XLOOKUP($D45,Productos!$E:$E,Productos!$J:$J,""))</f>
        <v/>
      </c>
      <c r="H45" s="74">
        <f t="array" ref="H45">IF(OR($D45="",$D45="NO ENCONTRADO"),"",_xlfn.XLOOKUP($D45,Productos!$E:$E,Productos!$K:$K,""))</f>
        <v/>
      </c>
      <c r="I45" s="74">
        <f t="array" ref="I45">IF(OR($D45="",$D45="NO ENCONTRADO"),"",_xlfn.XLOOKUP($D45,Productos!$E:$E,Productos!$F:$F,""))</f>
        <v/>
      </c>
      <c r="J45" s="74">
        <f>IF($C45="","",IF($D45="NO ENCONTRADO",IF(COUNTIF($C$7:$C$1000,$C45)&gt;1,"⚠️ No encontrado | Duplicado","⚠️ No encontrado"),IF(COUNTIF($C$7:$C$1000,$C45)&gt;1,"⚠️ Duplicado","Verificado")))</f>
        <v/>
      </c>
    </row>
    <row r="46" ht="15.75" customHeight="1" s="176">
      <c r="B46" s="47" t="n"/>
      <c r="C46" s="77" t="n"/>
      <c r="D46" s="74">
        <f t="array" ref="D46">IF($C46="","",IFNA(_xlfn.XLOOKUP($C46,Productos!$A:$A,Productos!$E:$E,IFNA(_xlfn.XLOOKUP(TEXT($C46,"0"),Productos!$A:$A,Productos!$E:$E,IFNA(_xlfn.XLOOKUP(IFERROR(VALUE($C46),""),Productos!$A:$A,Productos!$E:$E,_xlfn.XLOOKUP($C46,Productos!$E:$E,Productos!$E:$E,"NO ENCONTRADO")),"NO ENCONTRADO")),"NO ENCONTRADO")),"NO ENCONTRADO"))</f>
        <v/>
      </c>
      <c r="E46" s="74">
        <f t="array" ref="E46">IF(OR($D46="",$D46="NO ENCONTRADO"),"",_xlfn.XLOOKUP($D46,Productos!$E:$E,Productos!$H:$H,""))</f>
        <v/>
      </c>
      <c r="F46" s="74">
        <f t="array" ref="F46">IF(OR($D46="",$D46="NO ENCONTRADO"),"",_xlfn.XLOOKUP($D46,Productos!$E:$E,Productos!$I:$I,""))</f>
        <v/>
      </c>
      <c r="G46" s="74">
        <f t="array" ref="G46">IF(OR($D46="",$D46="NO ENCONTRADO"),"",_xlfn.XLOOKUP($D46,Productos!$E:$E,Productos!$J:$J,""))</f>
        <v/>
      </c>
      <c r="H46" s="74">
        <f t="array" ref="H46">IF(OR($D46="",$D46="NO ENCONTRADO"),"",_xlfn.XLOOKUP($D46,Productos!$E:$E,Productos!$K:$K,""))</f>
        <v/>
      </c>
      <c r="I46" s="74">
        <f t="array" ref="I46">IF(OR($D46="",$D46="NO ENCONTRADO"),"",_xlfn.XLOOKUP($D46,Productos!$E:$E,Productos!$F:$F,""))</f>
        <v/>
      </c>
      <c r="J46" s="74">
        <f>IF($C46="","",IF($D46="NO ENCONTRADO",IF(COUNTIF($C$7:$C$1000,$C46)&gt;1,"⚠️ No encontrado | Duplicado","⚠️ No encontrado"),IF(COUNTIF($C$7:$C$1000,$C46)&gt;1,"⚠️ Duplicado","Verificado")))</f>
        <v/>
      </c>
    </row>
    <row r="47" ht="15.75" customHeight="1" s="176">
      <c r="B47" s="47" t="n"/>
      <c r="C47" s="77" t="n"/>
      <c r="D47" s="74">
        <f t="array" ref="D47">IF($C47="","",IFNA(_xlfn.XLOOKUP($C47,Productos!$A:$A,Productos!$E:$E,IFNA(_xlfn.XLOOKUP(TEXT($C47,"0"),Productos!$A:$A,Productos!$E:$E,IFNA(_xlfn.XLOOKUP(IFERROR(VALUE($C47),""),Productos!$A:$A,Productos!$E:$E,_xlfn.XLOOKUP($C47,Productos!$E:$E,Productos!$E:$E,"NO ENCONTRADO")),"NO ENCONTRADO")),"NO ENCONTRADO")),"NO ENCONTRADO"))</f>
        <v/>
      </c>
      <c r="E47" s="74">
        <f t="array" ref="E47">IF(OR($D47="",$D47="NO ENCONTRADO"),"",_xlfn.XLOOKUP($D47,Productos!$E:$E,Productos!$H:$H,""))</f>
        <v/>
      </c>
      <c r="F47" s="74">
        <f t="array" ref="F47">IF(OR($D47="",$D47="NO ENCONTRADO"),"",_xlfn.XLOOKUP($D47,Productos!$E:$E,Productos!$I:$I,""))</f>
        <v/>
      </c>
      <c r="G47" s="74">
        <f t="array" ref="G47">IF(OR($D47="",$D47="NO ENCONTRADO"),"",_xlfn.XLOOKUP($D47,Productos!$E:$E,Productos!$J:$J,""))</f>
        <v/>
      </c>
      <c r="H47" s="74">
        <f t="array" ref="H47">IF(OR($D47="",$D47="NO ENCONTRADO"),"",_xlfn.XLOOKUP($D47,Productos!$E:$E,Productos!$K:$K,""))</f>
        <v/>
      </c>
      <c r="I47" s="74">
        <f t="array" ref="I47">IF(OR($D47="",$D47="NO ENCONTRADO"),"",_xlfn.XLOOKUP($D47,Productos!$E:$E,Productos!$F:$F,""))</f>
        <v/>
      </c>
      <c r="J47" s="74">
        <f>IF($C47="","",IF($D47="NO ENCONTRADO",IF(COUNTIF($C$7:$C$1000,$C47)&gt;1,"⚠️ No encontrado | Duplicado","⚠️ No encontrado"),IF(COUNTIF($C$7:$C$1000,$C47)&gt;1,"⚠️ Duplicado","Verificado")))</f>
        <v/>
      </c>
    </row>
    <row r="48" ht="15.75" customHeight="1" s="176">
      <c r="B48" s="47" t="n"/>
      <c r="C48" s="77" t="n"/>
      <c r="D48" s="74">
        <f t="array" ref="D48">IF($C48="","",IFNA(_xlfn.XLOOKUP($C48,Productos!$A:$A,Productos!$E:$E,IFNA(_xlfn.XLOOKUP(TEXT($C48,"0"),Productos!$A:$A,Productos!$E:$E,IFNA(_xlfn.XLOOKUP(IFERROR(VALUE($C48),""),Productos!$A:$A,Productos!$E:$E,_xlfn.XLOOKUP($C48,Productos!$E:$E,Productos!$E:$E,"NO ENCONTRADO")),"NO ENCONTRADO")),"NO ENCONTRADO")),"NO ENCONTRADO"))</f>
        <v/>
      </c>
      <c r="E48" s="74">
        <f t="array" ref="E48">IF(OR($D48="",$D48="NO ENCONTRADO"),"",_xlfn.XLOOKUP($D48,Productos!$E:$E,Productos!$H:$H,""))</f>
        <v/>
      </c>
      <c r="F48" s="74">
        <f t="array" ref="F48">IF(OR($D48="",$D48="NO ENCONTRADO"),"",_xlfn.XLOOKUP($D48,Productos!$E:$E,Productos!$I:$I,""))</f>
        <v/>
      </c>
      <c r="G48" s="74">
        <f t="array" ref="G48">IF(OR($D48="",$D48="NO ENCONTRADO"),"",_xlfn.XLOOKUP($D48,Productos!$E:$E,Productos!$J:$J,""))</f>
        <v/>
      </c>
      <c r="H48" s="74">
        <f t="array" ref="H48">IF(OR($D48="",$D48="NO ENCONTRADO"),"",_xlfn.XLOOKUP($D48,Productos!$E:$E,Productos!$K:$K,""))</f>
        <v/>
      </c>
      <c r="I48" s="74">
        <f t="array" ref="I48">IF(OR($D48="",$D48="NO ENCONTRADO"),"",_xlfn.XLOOKUP($D48,Productos!$E:$E,Productos!$F:$F,""))</f>
        <v/>
      </c>
      <c r="J48" s="74">
        <f>IF($C48="","",IF($D48="NO ENCONTRADO",IF(COUNTIF($C$7:$C$1000,$C48)&gt;1,"⚠️ No encontrado | Duplicado","⚠️ No encontrado"),IF(COUNTIF($C$7:$C$1000,$C48)&gt;1,"⚠️ Duplicado","Verificado")))</f>
        <v/>
      </c>
    </row>
    <row r="49" ht="15.75" customHeight="1" s="176">
      <c r="B49" s="47" t="n"/>
      <c r="C49" s="77" t="n"/>
      <c r="D49" s="74">
        <f t="array" ref="D49">IF($C49="","",IFNA(_xlfn.XLOOKUP($C49,Productos!$A:$A,Productos!$E:$E,IFNA(_xlfn.XLOOKUP(TEXT($C49,"0"),Productos!$A:$A,Productos!$E:$E,IFNA(_xlfn.XLOOKUP(IFERROR(VALUE($C49),""),Productos!$A:$A,Productos!$E:$E,_xlfn.XLOOKUP($C49,Productos!$E:$E,Productos!$E:$E,"NO ENCONTRADO")),"NO ENCONTRADO")),"NO ENCONTRADO")),"NO ENCONTRADO"))</f>
        <v/>
      </c>
      <c r="E49" s="74">
        <f t="array" ref="E49">IF(OR($D49="",$D49="NO ENCONTRADO"),"",_xlfn.XLOOKUP($D49,Productos!$E:$E,Productos!$H:$H,""))</f>
        <v/>
      </c>
      <c r="F49" s="74">
        <f t="array" ref="F49">IF(OR($D49="",$D49="NO ENCONTRADO"),"",_xlfn.XLOOKUP($D49,Productos!$E:$E,Productos!$I:$I,""))</f>
        <v/>
      </c>
      <c r="G49" s="74">
        <f t="array" ref="G49">IF(OR($D49="",$D49="NO ENCONTRADO"),"",_xlfn.XLOOKUP($D49,Productos!$E:$E,Productos!$J:$J,""))</f>
        <v/>
      </c>
      <c r="H49" s="74">
        <f t="array" ref="H49">IF(OR($D49="",$D49="NO ENCONTRADO"),"",_xlfn.XLOOKUP($D49,Productos!$E:$E,Productos!$K:$K,""))</f>
        <v/>
      </c>
      <c r="I49" s="74">
        <f t="array" ref="I49">IF(OR($D49="",$D49="NO ENCONTRADO"),"",_xlfn.XLOOKUP($D49,Productos!$E:$E,Productos!$F:$F,""))</f>
        <v/>
      </c>
      <c r="J49" s="74">
        <f>IF($C49="","",IF($D49="NO ENCONTRADO",IF(COUNTIF($C$7:$C$1000,$C49)&gt;1,"⚠️ No encontrado | Duplicado","⚠️ No encontrado"),IF(COUNTIF($C$7:$C$1000,$C49)&gt;1,"⚠️ Duplicado","Verificado")))</f>
        <v/>
      </c>
    </row>
    <row r="50" ht="15.75" customHeight="1" s="176">
      <c r="B50" s="47" t="n"/>
      <c r="C50" s="77" t="n"/>
      <c r="D50" s="74">
        <f t="array" ref="D50">IF($C50="","",IFNA(_xlfn.XLOOKUP($C50,Productos!$A:$A,Productos!$E:$E,IFNA(_xlfn.XLOOKUP(TEXT($C50,"0"),Productos!$A:$A,Productos!$E:$E,IFNA(_xlfn.XLOOKUP(IFERROR(VALUE($C50),""),Productos!$A:$A,Productos!$E:$E,_xlfn.XLOOKUP($C50,Productos!$E:$E,Productos!$E:$E,"NO ENCONTRADO")),"NO ENCONTRADO")),"NO ENCONTRADO")),"NO ENCONTRADO"))</f>
        <v/>
      </c>
      <c r="E50" s="74">
        <f t="array" ref="E50">IF(OR($D50="",$D50="NO ENCONTRADO"),"",_xlfn.XLOOKUP($D50,Productos!$E:$E,Productos!$H:$H,""))</f>
        <v/>
      </c>
      <c r="F50" s="74">
        <f t="array" ref="F50">IF(OR($D50="",$D50="NO ENCONTRADO"),"",_xlfn.XLOOKUP($D50,Productos!$E:$E,Productos!$I:$I,""))</f>
        <v/>
      </c>
      <c r="G50" s="74">
        <f t="array" ref="G50">IF(OR($D50="",$D50="NO ENCONTRADO"),"",_xlfn.XLOOKUP($D50,Productos!$E:$E,Productos!$J:$J,""))</f>
        <v/>
      </c>
      <c r="H50" s="74">
        <f t="array" ref="H50">IF(OR($D50="",$D50="NO ENCONTRADO"),"",_xlfn.XLOOKUP($D50,Productos!$E:$E,Productos!$K:$K,""))</f>
        <v/>
      </c>
      <c r="I50" s="74">
        <f t="array" ref="I50">IF(OR($D50="",$D50="NO ENCONTRADO"),"",_xlfn.XLOOKUP($D50,Productos!$E:$E,Productos!$F:$F,""))</f>
        <v/>
      </c>
      <c r="J50" s="74">
        <f>IF($C50="","",IF($D50="NO ENCONTRADO",IF(COUNTIF($C$7:$C$1000,$C50)&gt;1,"⚠️ No encontrado | Duplicado","⚠️ No encontrado"),IF(COUNTIF($C$7:$C$1000,$C50)&gt;1,"⚠️ Duplicado","Verificado")))</f>
        <v/>
      </c>
    </row>
    <row r="51" ht="15.75" customHeight="1" s="176">
      <c r="B51" s="47" t="n"/>
      <c r="C51" s="77" t="n"/>
      <c r="D51" s="74">
        <f t="array" ref="D51">IF($C51="","",IFNA(_xlfn.XLOOKUP($C51,Productos!$A:$A,Productos!$E:$E,IFNA(_xlfn.XLOOKUP(TEXT($C51,"0"),Productos!$A:$A,Productos!$E:$E,IFNA(_xlfn.XLOOKUP(IFERROR(VALUE($C51),""),Productos!$A:$A,Productos!$E:$E,_xlfn.XLOOKUP($C51,Productos!$E:$E,Productos!$E:$E,"NO ENCONTRADO")),"NO ENCONTRADO")),"NO ENCONTRADO")),"NO ENCONTRADO"))</f>
        <v/>
      </c>
      <c r="E51" s="74">
        <f t="array" ref="E51">IF(OR($D51="",$D51="NO ENCONTRADO"),"",_xlfn.XLOOKUP($D51,Productos!$E:$E,Productos!$H:$H,""))</f>
        <v/>
      </c>
      <c r="F51" s="74">
        <f t="array" ref="F51">IF(OR($D51="",$D51="NO ENCONTRADO"),"",_xlfn.XLOOKUP($D51,Productos!$E:$E,Productos!$I:$I,""))</f>
        <v/>
      </c>
      <c r="G51" s="74">
        <f t="array" ref="G51">IF(OR($D51="",$D51="NO ENCONTRADO"),"",_xlfn.XLOOKUP($D51,Productos!$E:$E,Productos!$J:$J,""))</f>
        <v/>
      </c>
      <c r="H51" s="74">
        <f t="array" ref="H51">IF(OR($D51="",$D51="NO ENCONTRADO"),"",_xlfn.XLOOKUP($D51,Productos!$E:$E,Productos!$K:$K,""))</f>
        <v/>
      </c>
      <c r="I51" s="74">
        <f t="array" ref="I51">IF(OR($D51="",$D51="NO ENCONTRADO"),"",_xlfn.XLOOKUP($D51,Productos!$E:$E,Productos!$F:$F,""))</f>
        <v/>
      </c>
      <c r="J51" s="74">
        <f>IF($C51="","",IF($D51="NO ENCONTRADO",IF(COUNTIF($C$7:$C$1000,$C51)&gt;1,"⚠️ No encontrado | Duplicado","⚠️ No encontrado"),IF(COUNTIF($C$7:$C$1000,$C51)&gt;1,"⚠️ Duplicado","Verificado")))</f>
        <v/>
      </c>
    </row>
    <row r="52" ht="15.75" customHeight="1" s="176">
      <c r="B52" s="47" t="n"/>
      <c r="C52" s="77" t="n"/>
      <c r="D52" s="74">
        <f t="array" ref="D52">IF($C52="","",IFNA(_xlfn.XLOOKUP($C52,Productos!$A:$A,Productos!$E:$E,IFNA(_xlfn.XLOOKUP(TEXT($C52,"0"),Productos!$A:$A,Productos!$E:$E,IFNA(_xlfn.XLOOKUP(IFERROR(VALUE($C52),""),Productos!$A:$A,Productos!$E:$E,_xlfn.XLOOKUP($C52,Productos!$E:$E,Productos!$E:$E,"NO ENCONTRADO")),"NO ENCONTRADO")),"NO ENCONTRADO")),"NO ENCONTRADO"))</f>
        <v/>
      </c>
      <c r="E52" s="74">
        <f t="array" ref="E52">IF(OR($D52="",$D52="NO ENCONTRADO"),"",_xlfn.XLOOKUP($D52,Productos!$E:$E,Productos!$H:$H,""))</f>
        <v/>
      </c>
      <c r="F52" s="74">
        <f t="array" ref="F52">IF(OR($D52="",$D52="NO ENCONTRADO"),"",_xlfn.XLOOKUP($D52,Productos!$E:$E,Productos!$I:$I,""))</f>
        <v/>
      </c>
      <c r="G52" s="74">
        <f t="array" ref="G52">IF(OR($D52="",$D52="NO ENCONTRADO"),"",_xlfn.XLOOKUP($D52,Productos!$E:$E,Productos!$J:$J,""))</f>
        <v/>
      </c>
      <c r="H52" s="74">
        <f t="array" ref="H52">IF(OR($D52="",$D52="NO ENCONTRADO"),"",_xlfn.XLOOKUP($D52,Productos!$E:$E,Productos!$K:$K,""))</f>
        <v/>
      </c>
      <c r="I52" s="74">
        <f t="array" ref="I52">IF(OR($D52="",$D52="NO ENCONTRADO"),"",_xlfn.XLOOKUP($D52,Productos!$E:$E,Productos!$F:$F,""))</f>
        <v/>
      </c>
      <c r="J52" s="74">
        <f>IF($C52="","",IF($D52="NO ENCONTRADO",IF(COUNTIF($C$7:$C$1000,$C52)&gt;1,"⚠️ No encontrado | Duplicado","⚠️ No encontrado"),IF(COUNTIF($C$7:$C$1000,$C52)&gt;1,"⚠️ Duplicado","Verificado")))</f>
        <v/>
      </c>
    </row>
    <row r="53" ht="15.75" customHeight="1" s="176">
      <c r="B53" s="47" t="n"/>
      <c r="C53" s="77" t="n"/>
      <c r="D53" s="74">
        <f t="array" ref="D53">IF($C53="","",IFNA(_xlfn.XLOOKUP($C53,Productos!$A:$A,Productos!$E:$E,IFNA(_xlfn.XLOOKUP(TEXT($C53,"0"),Productos!$A:$A,Productos!$E:$E,IFNA(_xlfn.XLOOKUP(IFERROR(VALUE($C53),""),Productos!$A:$A,Productos!$E:$E,_xlfn.XLOOKUP($C53,Productos!$E:$E,Productos!$E:$E,"NO ENCONTRADO")),"NO ENCONTRADO")),"NO ENCONTRADO")),"NO ENCONTRADO"))</f>
        <v/>
      </c>
      <c r="E53" s="74">
        <f t="array" ref="E53">IF(OR($D53="",$D53="NO ENCONTRADO"),"",_xlfn.XLOOKUP($D53,Productos!$E:$E,Productos!$H:$H,""))</f>
        <v/>
      </c>
      <c r="F53" s="74">
        <f t="array" ref="F53">IF(OR($D53="",$D53="NO ENCONTRADO"),"",_xlfn.XLOOKUP($D53,Productos!$E:$E,Productos!$I:$I,""))</f>
        <v/>
      </c>
      <c r="G53" s="74">
        <f t="array" ref="G53">IF(OR($D53="",$D53="NO ENCONTRADO"),"",_xlfn.XLOOKUP($D53,Productos!$E:$E,Productos!$J:$J,""))</f>
        <v/>
      </c>
      <c r="H53" s="74">
        <f t="array" ref="H53">IF(OR($D53="",$D53="NO ENCONTRADO"),"",_xlfn.XLOOKUP($D53,Productos!$E:$E,Productos!$K:$K,""))</f>
        <v/>
      </c>
      <c r="I53" s="74">
        <f t="array" ref="I53">IF(OR($D53="",$D53="NO ENCONTRADO"),"",_xlfn.XLOOKUP($D53,Productos!$E:$E,Productos!$F:$F,""))</f>
        <v/>
      </c>
      <c r="J53" s="74">
        <f>IF($C53="","",IF($D53="NO ENCONTRADO",IF(COUNTIF($C$7:$C$1000,$C53)&gt;1,"⚠️ No encontrado | Duplicado","⚠️ No encontrado"),IF(COUNTIF($C$7:$C$1000,$C53)&gt;1,"⚠️ Duplicado","Verificado")))</f>
        <v/>
      </c>
    </row>
    <row r="54" ht="15.75" customHeight="1" s="176">
      <c r="B54" s="47" t="n"/>
      <c r="C54" s="77" t="n"/>
      <c r="D54" s="74">
        <f t="array" ref="D54">IF($C54="","",IFNA(_xlfn.XLOOKUP($C54,Productos!$A:$A,Productos!$E:$E,IFNA(_xlfn.XLOOKUP(TEXT($C54,"0"),Productos!$A:$A,Productos!$E:$E,IFNA(_xlfn.XLOOKUP(IFERROR(VALUE($C54),""),Productos!$A:$A,Productos!$E:$E,_xlfn.XLOOKUP($C54,Productos!$E:$E,Productos!$E:$E,"NO ENCONTRADO")),"NO ENCONTRADO")),"NO ENCONTRADO")),"NO ENCONTRADO"))</f>
        <v/>
      </c>
      <c r="E54" s="74">
        <f t="array" ref="E54">IF(OR($D54="",$D54="NO ENCONTRADO"),"",_xlfn.XLOOKUP($D54,Productos!$E:$E,Productos!$H:$H,""))</f>
        <v/>
      </c>
      <c r="F54" s="74">
        <f t="array" ref="F54">IF(OR($D54="",$D54="NO ENCONTRADO"),"",_xlfn.XLOOKUP($D54,Productos!$E:$E,Productos!$I:$I,""))</f>
        <v/>
      </c>
      <c r="G54" s="74">
        <f t="array" ref="G54">IF(OR($D54="",$D54="NO ENCONTRADO"),"",_xlfn.XLOOKUP($D54,Productos!$E:$E,Productos!$J:$J,""))</f>
        <v/>
      </c>
      <c r="H54" s="74">
        <f t="array" ref="H54">IF(OR($D54="",$D54="NO ENCONTRADO"),"",_xlfn.XLOOKUP($D54,Productos!$E:$E,Productos!$K:$K,""))</f>
        <v/>
      </c>
      <c r="I54" s="74">
        <f t="array" ref="I54">IF(OR($D54="",$D54="NO ENCONTRADO"),"",_xlfn.XLOOKUP($D54,Productos!$E:$E,Productos!$F:$F,""))</f>
        <v/>
      </c>
      <c r="J54" s="74">
        <f>IF($C54="","",IF($D54="NO ENCONTRADO",IF(COUNTIF($C$7:$C$1000,$C54)&gt;1,"⚠️ No encontrado | Duplicado","⚠️ No encontrado"),IF(COUNTIF($C$7:$C$1000,$C54)&gt;1,"⚠️ Duplicado","Verificado")))</f>
        <v/>
      </c>
    </row>
    <row r="55" ht="15.75" customHeight="1" s="176">
      <c r="B55" s="47" t="n"/>
      <c r="C55" s="77" t="n"/>
      <c r="D55" s="74">
        <f t="array" ref="D55">IF($C55="","",IFNA(_xlfn.XLOOKUP($C55,Productos!$A:$A,Productos!$E:$E,IFNA(_xlfn.XLOOKUP(TEXT($C55,"0"),Productos!$A:$A,Productos!$E:$E,IFNA(_xlfn.XLOOKUP(IFERROR(VALUE($C55),""),Productos!$A:$A,Productos!$E:$E,_xlfn.XLOOKUP($C55,Productos!$E:$E,Productos!$E:$E,"NO ENCONTRADO")),"NO ENCONTRADO")),"NO ENCONTRADO")),"NO ENCONTRADO"))</f>
        <v/>
      </c>
      <c r="E55" s="74">
        <f t="array" ref="E55">IF(OR($D55="",$D55="NO ENCONTRADO"),"",_xlfn.XLOOKUP($D55,Productos!$E:$E,Productos!$H:$H,""))</f>
        <v/>
      </c>
      <c r="F55" s="74">
        <f t="array" ref="F55">IF(OR($D55="",$D55="NO ENCONTRADO"),"",_xlfn.XLOOKUP($D55,Productos!$E:$E,Productos!$I:$I,""))</f>
        <v/>
      </c>
      <c r="G55" s="74">
        <f t="array" ref="G55">IF(OR($D55="",$D55="NO ENCONTRADO"),"",_xlfn.XLOOKUP($D55,Productos!$E:$E,Productos!$J:$J,""))</f>
        <v/>
      </c>
      <c r="H55" s="74">
        <f t="array" ref="H55">IF(OR($D55="",$D55="NO ENCONTRADO"),"",_xlfn.XLOOKUP($D55,Productos!$E:$E,Productos!$K:$K,""))</f>
        <v/>
      </c>
      <c r="I55" s="74">
        <f t="array" ref="I55">IF(OR($D55="",$D55="NO ENCONTRADO"),"",_xlfn.XLOOKUP($D55,Productos!$E:$E,Productos!$F:$F,""))</f>
        <v/>
      </c>
      <c r="J55" s="74">
        <f>IF($C55="","",IF($D55="NO ENCONTRADO",IF(COUNTIF($C$7:$C$1000,$C55)&gt;1,"⚠️ No encontrado | Duplicado","⚠️ No encontrado"),IF(COUNTIF($C$7:$C$1000,$C55)&gt;1,"⚠️ Duplicado","Verificado")))</f>
        <v/>
      </c>
    </row>
    <row r="56" ht="15.75" customHeight="1" s="176">
      <c r="B56" s="47" t="n"/>
      <c r="C56" s="77" t="n"/>
      <c r="D56" s="74">
        <f t="array" ref="D56">IF($C56="","",IFNA(_xlfn.XLOOKUP($C56,Productos!$A:$A,Productos!$E:$E,IFNA(_xlfn.XLOOKUP(TEXT($C56,"0"),Productos!$A:$A,Productos!$E:$E,IFNA(_xlfn.XLOOKUP(IFERROR(VALUE($C56),""),Productos!$A:$A,Productos!$E:$E,_xlfn.XLOOKUP($C56,Productos!$E:$E,Productos!$E:$E,"NO ENCONTRADO")),"NO ENCONTRADO")),"NO ENCONTRADO")),"NO ENCONTRADO"))</f>
        <v/>
      </c>
      <c r="E56" s="74">
        <f t="array" ref="E56">IF(OR($D56="",$D56="NO ENCONTRADO"),"",_xlfn.XLOOKUP($D56,Productos!$E:$E,Productos!$H:$H,""))</f>
        <v/>
      </c>
      <c r="F56" s="74">
        <f t="array" ref="F56">IF(OR($D56="",$D56="NO ENCONTRADO"),"",_xlfn.XLOOKUP($D56,Productos!$E:$E,Productos!$I:$I,""))</f>
        <v/>
      </c>
      <c r="G56" s="74">
        <f t="array" ref="G56">IF(OR($D56="",$D56="NO ENCONTRADO"),"",_xlfn.XLOOKUP($D56,Productos!$E:$E,Productos!$J:$J,""))</f>
        <v/>
      </c>
      <c r="H56" s="74">
        <f t="array" ref="H56">IF(OR($D56="",$D56="NO ENCONTRADO"),"",_xlfn.XLOOKUP($D56,Productos!$E:$E,Productos!$K:$K,""))</f>
        <v/>
      </c>
      <c r="I56" s="74">
        <f t="array" ref="I56">IF(OR($D56="",$D56="NO ENCONTRADO"),"",_xlfn.XLOOKUP($D56,Productos!$E:$E,Productos!$F:$F,""))</f>
        <v/>
      </c>
      <c r="J56" s="74">
        <f>IF($C56="","",IF($D56="NO ENCONTRADO",IF(COUNTIF($C$7:$C$1000,$C56)&gt;1,"⚠️ No encontrado | Duplicado","⚠️ No encontrado"),IF(COUNTIF($C$7:$C$1000,$C56)&gt;1,"⚠️ Duplicado","Verificado")))</f>
        <v/>
      </c>
    </row>
    <row r="57" ht="15.75" customHeight="1" s="176">
      <c r="B57" s="47" t="n"/>
      <c r="C57" s="77" t="n"/>
      <c r="D57" s="74">
        <f t="array" ref="D57">IF($C57="","",IFNA(_xlfn.XLOOKUP($C57,Productos!$A:$A,Productos!$E:$E,IFNA(_xlfn.XLOOKUP(TEXT($C57,"0"),Productos!$A:$A,Productos!$E:$E,IFNA(_xlfn.XLOOKUP(IFERROR(VALUE($C57),""),Productos!$A:$A,Productos!$E:$E,_xlfn.XLOOKUP($C57,Productos!$E:$E,Productos!$E:$E,"NO ENCONTRADO")),"NO ENCONTRADO")),"NO ENCONTRADO")),"NO ENCONTRADO"))</f>
        <v/>
      </c>
      <c r="E57" s="74">
        <f t="array" ref="E57">IF(OR($D57="",$D57="NO ENCONTRADO"),"",_xlfn.XLOOKUP($D57,Productos!$E:$E,Productos!$H:$H,""))</f>
        <v/>
      </c>
      <c r="F57" s="74">
        <f t="array" ref="F57">IF(OR($D57="",$D57="NO ENCONTRADO"),"",_xlfn.XLOOKUP($D57,Productos!$E:$E,Productos!$I:$I,""))</f>
        <v/>
      </c>
      <c r="G57" s="74">
        <f t="array" ref="G57">IF(OR($D57="",$D57="NO ENCONTRADO"),"",_xlfn.XLOOKUP($D57,Productos!$E:$E,Productos!$J:$J,""))</f>
        <v/>
      </c>
      <c r="H57" s="74">
        <f t="array" ref="H57">IF(OR($D57="",$D57="NO ENCONTRADO"),"",_xlfn.XLOOKUP($D57,Productos!$E:$E,Productos!$K:$K,""))</f>
        <v/>
      </c>
      <c r="I57" s="74">
        <f t="array" ref="I57">IF(OR($D57="",$D57="NO ENCONTRADO"),"",_xlfn.XLOOKUP($D57,Productos!$E:$E,Productos!$F:$F,""))</f>
        <v/>
      </c>
      <c r="J57" s="74">
        <f>IF($C57="","",IF($D57="NO ENCONTRADO",IF(COUNTIF($C$7:$C$1000,$C57)&gt;1,"⚠️ No encontrado | Duplicado","⚠️ No encontrado"),IF(COUNTIF($C$7:$C$1000,$C57)&gt;1,"⚠️ Duplicado","Verificado")))</f>
        <v/>
      </c>
    </row>
    <row r="58" ht="15.75" customHeight="1" s="176">
      <c r="B58" s="47" t="n"/>
      <c r="C58" s="77" t="n"/>
      <c r="D58" s="74">
        <f t="array" ref="D58">IF($C58="","",IFNA(_xlfn.XLOOKUP($C58,Productos!$A:$A,Productos!$E:$E,IFNA(_xlfn.XLOOKUP(TEXT($C58,"0"),Productos!$A:$A,Productos!$E:$E,IFNA(_xlfn.XLOOKUP(IFERROR(VALUE($C58),""),Productos!$A:$A,Productos!$E:$E,_xlfn.XLOOKUP($C58,Productos!$E:$E,Productos!$E:$E,"NO ENCONTRADO")),"NO ENCONTRADO")),"NO ENCONTRADO")),"NO ENCONTRADO"))</f>
        <v/>
      </c>
      <c r="E58" s="74">
        <f t="array" ref="E58">IF(OR($D58="",$D58="NO ENCONTRADO"),"",_xlfn.XLOOKUP($D58,Productos!$E:$E,Productos!$H:$H,""))</f>
        <v/>
      </c>
      <c r="F58" s="74">
        <f t="array" ref="F58">IF(OR($D58="",$D58="NO ENCONTRADO"),"",_xlfn.XLOOKUP($D58,Productos!$E:$E,Productos!$I:$I,""))</f>
        <v/>
      </c>
      <c r="G58" s="74">
        <f t="array" ref="G58">IF(OR($D58="",$D58="NO ENCONTRADO"),"",_xlfn.XLOOKUP($D58,Productos!$E:$E,Productos!$J:$J,""))</f>
        <v/>
      </c>
      <c r="H58" s="74">
        <f t="array" ref="H58">IF(OR($D58="",$D58="NO ENCONTRADO"),"",_xlfn.XLOOKUP($D58,Productos!$E:$E,Productos!$K:$K,""))</f>
        <v/>
      </c>
      <c r="I58" s="74">
        <f t="array" ref="I58">IF(OR($D58="",$D58="NO ENCONTRADO"),"",_xlfn.XLOOKUP($D58,Productos!$E:$E,Productos!$F:$F,""))</f>
        <v/>
      </c>
      <c r="J58" s="74">
        <f>IF($C58="","",IF($D58="NO ENCONTRADO",IF(COUNTIF($C$7:$C$1000,$C58)&gt;1,"⚠️ No encontrado | Duplicado","⚠️ No encontrado"),IF(COUNTIF($C$7:$C$1000,$C58)&gt;1,"⚠️ Duplicado","Verificado")))</f>
        <v/>
      </c>
    </row>
    <row r="59" ht="15.75" customHeight="1" s="176">
      <c r="B59" s="47" t="n"/>
      <c r="C59" s="77" t="n"/>
      <c r="D59" s="74">
        <f t="array" ref="D59">IF($C59="","",IFNA(_xlfn.XLOOKUP($C59,Productos!$A:$A,Productos!$E:$E,IFNA(_xlfn.XLOOKUP(TEXT($C59,"0"),Productos!$A:$A,Productos!$E:$E,IFNA(_xlfn.XLOOKUP(IFERROR(VALUE($C59),""),Productos!$A:$A,Productos!$E:$E,_xlfn.XLOOKUP($C59,Productos!$E:$E,Productos!$E:$E,"NO ENCONTRADO")),"NO ENCONTRADO")),"NO ENCONTRADO")),"NO ENCONTRADO"))</f>
        <v/>
      </c>
      <c r="E59" s="74">
        <f t="array" ref="E59">IF(OR($D59="",$D59="NO ENCONTRADO"),"",_xlfn.XLOOKUP($D59,Productos!$E:$E,Productos!$H:$H,""))</f>
        <v/>
      </c>
      <c r="F59" s="74">
        <f t="array" ref="F59">IF(OR($D59="",$D59="NO ENCONTRADO"),"",_xlfn.XLOOKUP($D59,Productos!$E:$E,Productos!$I:$I,""))</f>
        <v/>
      </c>
      <c r="G59" s="74">
        <f t="array" ref="G59">IF(OR($D59="",$D59="NO ENCONTRADO"),"",_xlfn.XLOOKUP($D59,Productos!$E:$E,Productos!$J:$J,""))</f>
        <v/>
      </c>
      <c r="H59" s="74">
        <f t="array" ref="H59">IF(OR($D59="",$D59="NO ENCONTRADO"),"",_xlfn.XLOOKUP($D59,Productos!$E:$E,Productos!$K:$K,""))</f>
        <v/>
      </c>
      <c r="I59" s="74">
        <f t="array" ref="I59">IF(OR($D59="",$D59="NO ENCONTRADO"),"",_xlfn.XLOOKUP($D59,Productos!$E:$E,Productos!$F:$F,""))</f>
        <v/>
      </c>
      <c r="J59" s="74">
        <f>IF($C59="","",IF($D59="NO ENCONTRADO",IF(COUNTIF($C$7:$C$1000,$C59)&gt;1,"⚠️ No encontrado | Duplicado","⚠️ No encontrado"),IF(COUNTIF($C$7:$C$1000,$C59)&gt;1,"⚠️ Duplicado","Verificado")))</f>
        <v/>
      </c>
    </row>
    <row r="60" ht="15.75" customHeight="1" s="176">
      <c r="B60" s="47" t="n"/>
      <c r="C60" s="77" t="n"/>
      <c r="D60" s="74">
        <f t="array" ref="D60">IF($C60="","",IFNA(_xlfn.XLOOKUP($C60,Productos!$A:$A,Productos!$E:$E,IFNA(_xlfn.XLOOKUP(TEXT($C60,"0"),Productos!$A:$A,Productos!$E:$E,IFNA(_xlfn.XLOOKUP(IFERROR(VALUE($C60),""),Productos!$A:$A,Productos!$E:$E,_xlfn.XLOOKUP($C60,Productos!$E:$E,Productos!$E:$E,"NO ENCONTRADO")),"NO ENCONTRADO")),"NO ENCONTRADO")),"NO ENCONTRADO"))</f>
        <v/>
      </c>
      <c r="E60" s="74">
        <f t="array" ref="E60">IF(OR($D60="",$D60="NO ENCONTRADO"),"",_xlfn.XLOOKUP($D60,Productos!$E:$E,Productos!$H:$H,""))</f>
        <v/>
      </c>
      <c r="F60" s="74">
        <f t="array" ref="F60">IF(OR($D60="",$D60="NO ENCONTRADO"),"",_xlfn.XLOOKUP($D60,Productos!$E:$E,Productos!$I:$I,""))</f>
        <v/>
      </c>
      <c r="G60" s="74">
        <f t="array" ref="G60">IF(OR($D60="",$D60="NO ENCONTRADO"),"",_xlfn.XLOOKUP($D60,Productos!$E:$E,Productos!$J:$J,""))</f>
        <v/>
      </c>
      <c r="H60" s="74">
        <f t="array" ref="H60">IF(OR($D60="",$D60="NO ENCONTRADO"),"",_xlfn.XLOOKUP($D60,Productos!$E:$E,Productos!$K:$K,""))</f>
        <v/>
      </c>
      <c r="I60" s="74">
        <f t="array" ref="I60">IF(OR($D60="",$D60="NO ENCONTRADO"),"",_xlfn.XLOOKUP($D60,Productos!$E:$E,Productos!$F:$F,""))</f>
        <v/>
      </c>
      <c r="J60" s="74">
        <f>IF($C60="","",IF($D60="NO ENCONTRADO",IF(COUNTIF($C$7:$C$1000,$C60)&gt;1,"⚠️ No encontrado | Duplicado","⚠️ No encontrado"),IF(COUNTIF($C$7:$C$1000,$C60)&gt;1,"⚠️ Duplicado","Verificado")))</f>
        <v/>
      </c>
    </row>
    <row r="61" ht="15.75" customHeight="1" s="176">
      <c r="B61" s="47" t="n"/>
      <c r="C61" s="77" t="n"/>
      <c r="D61" s="74">
        <f t="array" ref="D61">IF($C61="","",IFNA(_xlfn.XLOOKUP($C61,Productos!$A:$A,Productos!$E:$E,IFNA(_xlfn.XLOOKUP(TEXT($C61,"0"),Productos!$A:$A,Productos!$E:$E,IFNA(_xlfn.XLOOKUP(IFERROR(VALUE($C61),""),Productos!$A:$A,Productos!$E:$E,_xlfn.XLOOKUP($C61,Productos!$E:$E,Productos!$E:$E,"NO ENCONTRADO")),"NO ENCONTRADO")),"NO ENCONTRADO")),"NO ENCONTRADO"))</f>
        <v/>
      </c>
      <c r="E61" s="74">
        <f t="array" ref="E61">IF(OR($D61="",$D61="NO ENCONTRADO"),"",_xlfn.XLOOKUP($D61,Productos!$E:$E,Productos!$H:$H,""))</f>
        <v/>
      </c>
      <c r="F61" s="74">
        <f t="array" ref="F61">IF(OR($D61="",$D61="NO ENCONTRADO"),"",_xlfn.XLOOKUP($D61,Productos!$E:$E,Productos!$I:$I,""))</f>
        <v/>
      </c>
      <c r="G61" s="74">
        <f t="array" ref="G61">IF(OR($D61="",$D61="NO ENCONTRADO"),"",_xlfn.XLOOKUP($D61,Productos!$E:$E,Productos!$J:$J,""))</f>
        <v/>
      </c>
      <c r="H61" s="74">
        <f t="array" ref="H61">IF(OR($D61="",$D61="NO ENCONTRADO"),"",_xlfn.XLOOKUP($D61,Productos!$E:$E,Productos!$K:$K,""))</f>
        <v/>
      </c>
      <c r="I61" s="74">
        <f t="array" ref="I61">IF(OR($D61="",$D61="NO ENCONTRADO"),"",_xlfn.XLOOKUP($D61,Productos!$E:$E,Productos!$F:$F,""))</f>
        <v/>
      </c>
      <c r="J61" s="74">
        <f>IF($C61="","",IF($D61="NO ENCONTRADO",IF(COUNTIF($C$7:$C$1000,$C61)&gt;1,"⚠️ No encontrado | Duplicado","⚠️ No encontrado"),IF(COUNTIF($C$7:$C$1000,$C61)&gt;1,"⚠️ Duplicado","Verificado")))</f>
        <v/>
      </c>
    </row>
    <row r="62" ht="15.75" customHeight="1" s="176">
      <c r="B62" s="47" t="n"/>
      <c r="C62" s="77" t="n"/>
      <c r="D62" s="74">
        <f t="array" ref="D62">IF($C62="","",IFNA(_xlfn.XLOOKUP($C62,Productos!$A:$A,Productos!$E:$E,IFNA(_xlfn.XLOOKUP(TEXT($C62,"0"),Productos!$A:$A,Productos!$E:$E,IFNA(_xlfn.XLOOKUP(IFERROR(VALUE($C62),""),Productos!$A:$A,Productos!$E:$E,_xlfn.XLOOKUP($C62,Productos!$E:$E,Productos!$E:$E,"NO ENCONTRADO")),"NO ENCONTRADO")),"NO ENCONTRADO")),"NO ENCONTRADO"))</f>
        <v/>
      </c>
      <c r="E62" s="74">
        <f t="array" ref="E62">IF(OR($D62="",$D62="NO ENCONTRADO"),"",_xlfn.XLOOKUP($D62,Productos!$E:$E,Productos!$H:$H,""))</f>
        <v/>
      </c>
      <c r="F62" s="74">
        <f t="array" ref="F62">IF(OR($D62="",$D62="NO ENCONTRADO"),"",_xlfn.XLOOKUP($D62,Productos!$E:$E,Productos!$I:$I,""))</f>
        <v/>
      </c>
      <c r="G62" s="74">
        <f t="array" ref="G62">IF(OR($D62="",$D62="NO ENCONTRADO"),"",_xlfn.XLOOKUP($D62,Productos!$E:$E,Productos!$J:$J,""))</f>
        <v/>
      </c>
      <c r="H62" s="74">
        <f t="array" ref="H62">IF(OR($D62="",$D62="NO ENCONTRADO"),"",_xlfn.XLOOKUP($D62,Productos!$E:$E,Productos!$K:$K,""))</f>
        <v/>
      </c>
      <c r="I62" s="74">
        <f t="array" ref="I62">IF(OR($D62="",$D62="NO ENCONTRADO"),"",_xlfn.XLOOKUP($D62,Productos!$E:$E,Productos!$F:$F,""))</f>
        <v/>
      </c>
      <c r="J62" s="74">
        <f>IF($C62="","",IF($D62="NO ENCONTRADO",IF(COUNTIF($C$7:$C$1000,$C62)&gt;1,"⚠️ No encontrado | Duplicado","⚠️ No encontrado"),IF(COUNTIF($C$7:$C$1000,$C62)&gt;1,"⚠️ Duplicado","Verificado")))</f>
        <v/>
      </c>
    </row>
    <row r="63" ht="15.75" customHeight="1" s="176">
      <c r="B63" s="47" t="n"/>
      <c r="C63" s="77" t="n"/>
      <c r="D63" s="74">
        <f t="array" ref="D63">IF($C63="","",IFNA(_xlfn.XLOOKUP($C63,Productos!$A:$A,Productos!$E:$E,IFNA(_xlfn.XLOOKUP(TEXT($C63,"0"),Productos!$A:$A,Productos!$E:$E,IFNA(_xlfn.XLOOKUP(IFERROR(VALUE($C63),""),Productos!$A:$A,Productos!$E:$E,_xlfn.XLOOKUP($C63,Productos!$E:$E,Productos!$E:$E,"NO ENCONTRADO")),"NO ENCONTRADO")),"NO ENCONTRADO")),"NO ENCONTRADO"))</f>
        <v/>
      </c>
      <c r="E63" s="74">
        <f t="array" ref="E63">IF(OR($D63="",$D63="NO ENCONTRADO"),"",_xlfn.XLOOKUP($D63,Productos!$E:$E,Productos!$H:$H,""))</f>
        <v/>
      </c>
      <c r="F63" s="74">
        <f t="array" ref="F63">IF(OR($D63="",$D63="NO ENCONTRADO"),"",_xlfn.XLOOKUP($D63,Productos!$E:$E,Productos!$I:$I,""))</f>
        <v/>
      </c>
      <c r="G63" s="74">
        <f t="array" ref="G63">IF(OR($D63="",$D63="NO ENCONTRADO"),"",_xlfn.XLOOKUP($D63,Productos!$E:$E,Productos!$J:$J,""))</f>
        <v/>
      </c>
      <c r="H63" s="74">
        <f t="array" ref="H63">IF(OR($D63="",$D63="NO ENCONTRADO"),"",_xlfn.XLOOKUP($D63,Productos!$E:$E,Productos!$K:$K,""))</f>
        <v/>
      </c>
      <c r="I63" s="74">
        <f t="array" ref="I63">IF(OR($D63="",$D63="NO ENCONTRADO"),"",_xlfn.XLOOKUP($D63,Productos!$E:$E,Productos!$F:$F,""))</f>
        <v/>
      </c>
      <c r="J63" s="74">
        <f>IF($C63="","",IF($D63="NO ENCONTRADO",IF(COUNTIF($C$7:$C$1000,$C63)&gt;1,"⚠️ No encontrado | Duplicado","⚠️ No encontrado"),IF(COUNTIF($C$7:$C$1000,$C63)&gt;1,"⚠️ Duplicado","Verificado")))</f>
        <v/>
      </c>
    </row>
    <row r="64" ht="15.75" customHeight="1" s="176">
      <c r="B64" s="47" t="n"/>
      <c r="C64" s="77" t="n"/>
      <c r="D64" s="74">
        <f t="array" ref="D64">IF($C64="","",IFNA(_xlfn.XLOOKUP($C64,Productos!$A:$A,Productos!$E:$E,IFNA(_xlfn.XLOOKUP(TEXT($C64,"0"),Productos!$A:$A,Productos!$E:$E,IFNA(_xlfn.XLOOKUP(IFERROR(VALUE($C64),""),Productos!$A:$A,Productos!$E:$E,_xlfn.XLOOKUP($C64,Productos!$E:$E,Productos!$E:$E,"NO ENCONTRADO")),"NO ENCONTRADO")),"NO ENCONTRADO")),"NO ENCONTRADO"))</f>
        <v/>
      </c>
      <c r="E64" s="74">
        <f t="array" ref="E64">IF(OR($D64="",$D64="NO ENCONTRADO"),"",_xlfn.XLOOKUP($D64,Productos!$E:$E,Productos!$H:$H,""))</f>
        <v/>
      </c>
      <c r="F64" s="74">
        <f t="array" ref="F64">IF(OR($D64="",$D64="NO ENCONTRADO"),"",_xlfn.XLOOKUP($D64,Productos!$E:$E,Productos!$I:$I,""))</f>
        <v/>
      </c>
      <c r="G64" s="74">
        <f t="array" ref="G64">IF(OR($D64="",$D64="NO ENCONTRADO"),"",_xlfn.XLOOKUP($D64,Productos!$E:$E,Productos!$J:$J,""))</f>
        <v/>
      </c>
      <c r="H64" s="74">
        <f t="array" ref="H64">IF(OR($D64="",$D64="NO ENCONTRADO"),"",_xlfn.XLOOKUP($D64,Productos!$E:$E,Productos!$K:$K,""))</f>
        <v/>
      </c>
      <c r="I64" s="74">
        <f t="array" ref="I64">IF(OR($D64="",$D64="NO ENCONTRADO"),"",_xlfn.XLOOKUP($D64,Productos!$E:$E,Productos!$F:$F,""))</f>
        <v/>
      </c>
      <c r="J64" s="74">
        <f>IF($C64="","",IF($D64="NO ENCONTRADO",IF(COUNTIF($C$7:$C$1000,$C64)&gt;1,"⚠️ No encontrado | Duplicado","⚠️ No encontrado"),IF(COUNTIF($C$7:$C$1000,$C64)&gt;1,"⚠️ Duplicado","Verificado")))</f>
        <v/>
      </c>
    </row>
    <row r="65" ht="15.75" customHeight="1" s="176">
      <c r="B65" s="47" t="n"/>
      <c r="C65" s="77" t="n"/>
      <c r="D65" s="74">
        <f t="array" ref="D65">IF($C65="","",IFNA(_xlfn.XLOOKUP($C65,Productos!$A:$A,Productos!$E:$E,IFNA(_xlfn.XLOOKUP(TEXT($C65,"0"),Productos!$A:$A,Productos!$E:$E,IFNA(_xlfn.XLOOKUP(IFERROR(VALUE($C65),""),Productos!$A:$A,Productos!$E:$E,_xlfn.XLOOKUP($C65,Productos!$E:$E,Productos!$E:$E,"NO ENCONTRADO")),"NO ENCONTRADO")),"NO ENCONTRADO")),"NO ENCONTRADO"))</f>
        <v/>
      </c>
      <c r="E65" s="74">
        <f t="array" ref="E65">IF(OR($D65="",$D65="NO ENCONTRADO"),"",_xlfn.XLOOKUP($D65,Productos!$E:$E,Productos!$H:$H,""))</f>
        <v/>
      </c>
      <c r="F65" s="74">
        <f t="array" ref="F65">IF(OR($D65="",$D65="NO ENCONTRADO"),"",_xlfn.XLOOKUP($D65,Productos!$E:$E,Productos!$I:$I,""))</f>
        <v/>
      </c>
      <c r="G65" s="74">
        <f t="array" ref="G65">IF(OR($D65="",$D65="NO ENCONTRADO"),"",_xlfn.XLOOKUP($D65,Productos!$E:$E,Productos!$J:$J,""))</f>
        <v/>
      </c>
      <c r="H65" s="74">
        <f t="array" ref="H65">IF(OR($D65="",$D65="NO ENCONTRADO"),"",_xlfn.XLOOKUP($D65,Productos!$E:$E,Productos!$K:$K,""))</f>
        <v/>
      </c>
      <c r="I65" s="74">
        <f t="array" ref="I65">IF(OR($D65="",$D65="NO ENCONTRADO"),"",_xlfn.XLOOKUP($D65,Productos!$E:$E,Productos!$F:$F,""))</f>
        <v/>
      </c>
      <c r="J65" s="74">
        <f>IF($C65="","",IF($D65="NO ENCONTRADO",IF(COUNTIF($C$7:$C$1000,$C65)&gt;1,"⚠️ No encontrado | Duplicado","⚠️ No encontrado"),IF(COUNTIF($C$7:$C$1000,$C65)&gt;1,"⚠️ Duplicado","Verificado")))</f>
        <v/>
      </c>
    </row>
    <row r="66" ht="15.75" customHeight="1" s="176">
      <c r="B66" s="47" t="n"/>
      <c r="C66" s="77" t="n"/>
      <c r="D66" s="74">
        <f t="array" ref="D66">IF($C66="","",IFNA(_xlfn.XLOOKUP($C66,Productos!$A:$A,Productos!$E:$E,IFNA(_xlfn.XLOOKUP(TEXT($C66,"0"),Productos!$A:$A,Productos!$E:$E,IFNA(_xlfn.XLOOKUP(IFERROR(VALUE($C66),""),Productos!$A:$A,Productos!$E:$E,_xlfn.XLOOKUP($C66,Productos!$E:$E,Productos!$E:$E,"NO ENCONTRADO")),"NO ENCONTRADO")),"NO ENCONTRADO")),"NO ENCONTRADO"))</f>
        <v/>
      </c>
      <c r="E66" s="74">
        <f t="array" ref="E66">IF(OR($D66="",$D66="NO ENCONTRADO"),"",_xlfn.XLOOKUP($D66,Productos!$E:$E,Productos!$H:$H,""))</f>
        <v/>
      </c>
      <c r="F66" s="74">
        <f t="array" ref="F66">IF(OR($D66="",$D66="NO ENCONTRADO"),"",_xlfn.XLOOKUP($D66,Productos!$E:$E,Productos!$I:$I,""))</f>
        <v/>
      </c>
      <c r="G66" s="74">
        <f t="array" ref="G66">IF(OR($D66="",$D66="NO ENCONTRADO"),"",_xlfn.XLOOKUP($D66,Productos!$E:$E,Productos!$J:$J,""))</f>
        <v/>
      </c>
      <c r="H66" s="74">
        <f t="array" ref="H66">IF(OR($D66="",$D66="NO ENCONTRADO"),"",_xlfn.XLOOKUP($D66,Productos!$E:$E,Productos!$K:$K,""))</f>
        <v/>
      </c>
      <c r="I66" s="74">
        <f t="array" ref="I66">IF(OR($D66="",$D66="NO ENCONTRADO"),"",_xlfn.XLOOKUP($D66,Productos!$E:$E,Productos!$F:$F,""))</f>
        <v/>
      </c>
      <c r="J66" s="74">
        <f>IF($C66="","",IF($D66="NO ENCONTRADO",IF(COUNTIF($C$7:$C$1000,$C66)&gt;1,"⚠️ No encontrado | Duplicado","⚠️ No encontrado"),IF(COUNTIF($C$7:$C$1000,$C66)&gt;1,"⚠️ Duplicado","Verificado")))</f>
        <v/>
      </c>
    </row>
    <row r="67" ht="15.75" customHeight="1" s="176">
      <c r="B67" s="47" t="n"/>
      <c r="C67" s="77" t="n"/>
      <c r="D67" s="74">
        <f t="array" ref="D67">IF($C67="","",IFNA(_xlfn.XLOOKUP($C67,Productos!$A:$A,Productos!$E:$E,IFNA(_xlfn.XLOOKUP(TEXT($C67,"0"),Productos!$A:$A,Productos!$E:$E,IFNA(_xlfn.XLOOKUP(IFERROR(VALUE($C67),""),Productos!$A:$A,Productos!$E:$E,_xlfn.XLOOKUP($C67,Productos!$E:$E,Productos!$E:$E,"NO ENCONTRADO")),"NO ENCONTRADO")),"NO ENCONTRADO")),"NO ENCONTRADO"))</f>
        <v/>
      </c>
      <c r="E67" s="74">
        <f t="array" ref="E67">IF(OR($D67="",$D67="NO ENCONTRADO"),"",_xlfn.XLOOKUP($D67,Productos!$E:$E,Productos!$H:$H,""))</f>
        <v/>
      </c>
      <c r="F67" s="74">
        <f t="array" ref="F67">IF(OR($D67="",$D67="NO ENCONTRADO"),"",_xlfn.XLOOKUP($D67,Productos!$E:$E,Productos!$I:$I,""))</f>
        <v/>
      </c>
      <c r="G67" s="74">
        <f t="array" ref="G67">IF(OR($D67="",$D67="NO ENCONTRADO"),"",_xlfn.XLOOKUP($D67,Productos!$E:$E,Productos!$J:$J,""))</f>
        <v/>
      </c>
      <c r="H67" s="74">
        <f t="array" ref="H67">IF(OR($D67="",$D67="NO ENCONTRADO"),"",_xlfn.XLOOKUP($D67,Productos!$E:$E,Productos!$K:$K,""))</f>
        <v/>
      </c>
      <c r="I67" s="74">
        <f t="array" ref="I67">IF(OR($D67="",$D67="NO ENCONTRADO"),"",_xlfn.XLOOKUP($D67,Productos!$E:$E,Productos!$F:$F,""))</f>
        <v/>
      </c>
      <c r="J67" s="74">
        <f>IF($C67="","",IF($D67="NO ENCONTRADO",IF(COUNTIF($C$7:$C$1000,$C67)&gt;1,"⚠️ No encontrado | Duplicado","⚠️ No encontrado"),IF(COUNTIF($C$7:$C$1000,$C67)&gt;1,"⚠️ Duplicado","Verificado")))</f>
        <v/>
      </c>
    </row>
    <row r="68" ht="15.75" customHeight="1" s="176">
      <c r="B68" s="47" t="n"/>
      <c r="C68" s="77" t="n"/>
      <c r="D68" s="74">
        <f t="array" ref="D68">IF($C68="","",IFNA(_xlfn.XLOOKUP($C68,Productos!$A:$A,Productos!$E:$E,IFNA(_xlfn.XLOOKUP(TEXT($C68,"0"),Productos!$A:$A,Productos!$E:$E,IFNA(_xlfn.XLOOKUP(IFERROR(VALUE($C68),""),Productos!$A:$A,Productos!$E:$E,_xlfn.XLOOKUP($C68,Productos!$E:$E,Productos!$E:$E,"NO ENCONTRADO")),"NO ENCONTRADO")),"NO ENCONTRADO")),"NO ENCONTRADO"))</f>
        <v/>
      </c>
      <c r="E68" s="74">
        <f t="array" ref="E68">IF(OR($D68="",$D68="NO ENCONTRADO"),"",_xlfn.XLOOKUP($D68,Productos!$E:$E,Productos!$H:$H,""))</f>
        <v/>
      </c>
      <c r="F68" s="74">
        <f t="array" ref="F68">IF(OR($D68="",$D68="NO ENCONTRADO"),"",_xlfn.XLOOKUP($D68,Productos!$E:$E,Productos!$I:$I,""))</f>
        <v/>
      </c>
      <c r="G68" s="74">
        <f t="array" ref="G68">IF(OR($D68="",$D68="NO ENCONTRADO"),"",_xlfn.XLOOKUP($D68,Productos!$E:$E,Productos!$J:$J,""))</f>
        <v/>
      </c>
      <c r="H68" s="74">
        <f t="array" ref="H68">IF(OR($D68="",$D68="NO ENCONTRADO"),"",_xlfn.XLOOKUP($D68,Productos!$E:$E,Productos!$K:$K,""))</f>
        <v/>
      </c>
      <c r="I68" s="74">
        <f t="array" ref="I68">IF(OR($D68="",$D68="NO ENCONTRADO"),"",_xlfn.XLOOKUP($D68,Productos!$E:$E,Productos!$F:$F,""))</f>
        <v/>
      </c>
      <c r="J68" s="74">
        <f>IF($C68="","",IF($D68="NO ENCONTRADO",IF(COUNTIF($C$7:$C$1000,$C68)&gt;1,"⚠️ No encontrado | Duplicado","⚠️ No encontrado"),IF(COUNTIF($C$7:$C$1000,$C68)&gt;1,"⚠️ Duplicado","Verificado")))</f>
        <v/>
      </c>
    </row>
    <row r="69" ht="15.75" customHeight="1" s="176">
      <c r="B69" s="47" t="n"/>
      <c r="C69" s="77" t="n"/>
      <c r="D69" s="74">
        <f t="array" ref="D69">IF($C69="","",IFNA(_xlfn.XLOOKUP($C69,Productos!$A:$A,Productos!$E:$E,IFNA(_xlfn.XLOOKUP(TEXT($C69,"0"),Productos!$A:$A,Productos!$E:$E,IFNA(_xlfn.XLOOKUP(IFERROR(VALUE($C69),""),Productos!$A:$A,Productos!$E:$E,_xlfn.XLOOKUP($C69,Productos!$E:$E,Productos!$E:$E,"NO ENCONTRADO")),"NO ENCONTRADO")),"NO ENCONTRADO")),"NO ENCONTRADO"))</f>
        <v/>
      </c>
      <c r="E69" s="74">
        <f t="array" ref="E69">IF(OR($D69="",$D69="NO ENCONTRADO"),"",_xlfn.XLOOKUP($D69,Productos!$E:$E,Productos!$H:$H,""))</f>
        <v/>
      </c>
      <c r="F69" s="74">
        <f t="array" ref="F69">IF(OR($D69="",$D69="NO ENCONTRADO"),"",_xlfn.XLOOKUP($D69,Productos!$E:$E,Productos!$I:$I,""))</f>
        <v/>
      </c>
      <c r="G69" s="74">
        <f t="array" ref="G69">IF(OR($D69="",$D69="NO ENCONTRADO"),"",_xlfn.XLOOKUP($D69,Productos!$E:$E,Productos!$J:$J,""))</f>
        <v/>
      </c>
      <c r="H69" s="74">
        <f t="array" ref="H69">IF(OR($D69="",$D69="NO ENCONTRADO"),"",_xlfn.XLOOKUP($D69,Productos!$E:$E,Productos!$K:$K,""))</f>
        <v/>
      </c>
      <c r="I69" s="74">
        <f t="array" ref="I69">IF(OR($D69="",$D69="NO ENCONTRADO"),"",_xlfn.XLOOKUP($D69,Productos!$E:$E,Productos!$F:$F,""))</f>
        <v/>
      </c>
      <c r="J69" s="74">
        <f>IF($C69="","",IF($D69="NO ENCONTRADO",IF(COUNTIF($C$7:$C$1000,$C69)&gt;1,"⚠️ No encontrado | Duplicado","⚠️ No encontrado"),IF(COUNTIF($C$7:$C$1000,$C69)&gt;1,"⚠️ Duplicado","Verificado")))</f>
        <v/>
      </c>
    </row>
    <row r="70" ht="15.75" customHeight="1" s="176">
      <c r="B70" s="47" t="n"/>
      <c r="C70" s="77" t="n"/>
      <c r="D70" s="74">
        <f t="array" ref="D70">IF($C70="","",IFNA(_xlfn.XLOOKUP($C70,Productos!$A:$A,Productos!$E:$E,IFNA(_xlfn.XLOOKUP(TEXT($C70,"0"),Productos!$A:$A,Productos!$E:$E,IFNA(_xlfn.XLOOKUP(IFERROR(VALUE($C70),""),Productos!$A:$A,Productos!$E:$E,_xlfn.XLOOKUP($C70,Productos!$E:$E,Productos!$E:$E,"NO ENCONTRADO")),"NO ENCONTRADO")),"NO ENCONTRADO")),"NO ENCONTRADO"))</f>
        <v/>
      </c>
      <c r="E70" s="74">
        <f t="array" ref="E70">IF(OR($D70="",$D70="NO ENCONTRADO"),"",_xlfn.XLOOKUP($D70,Productos!$E:$E,Productos!$H:$H,""))</f>
        <v/>
      </c>
      <c r="F70" s="74">
        <f t="array" ref="F70">IF(OR($D70="",$D70="NO ENCONTRADO"),"",_xlfn.XLOOKUP($D70,Productos!$E:$E,Productos!$I:$I,""))</f>
        <v/>
      </c>
      <c r="G70" s="74">
        <f t="array" ref="G70">IF(OR($D70="",$D70="NO ENCONTRADO"),"",_xlfn.XLOOKUP($D70,Productos!$E:$E,Productos!$J:$J,""))</f>
        <v/>
      </c>
      <c r="H70" s="74">
        <f t="array" ref="H70">IF(OR($D70="",$D70="NO ENCONTRADO"),"",_xlfn.XLOOKUP($D70,Productos!$E:$E,Productos!$K:$K,""))</f>
        <v/>
      </c>
      <c r="I70" s="74">
        <f t="array" ref="I70">IF(OR($D70="",$D70="NO ENCONTRADO"),"",_xlfn.XLOOKUP($D70,Productos!$E:$E,Productos!$F:$F,""))</f>
        <v/>
      </c>
      <c r="J70" s="74">
        <f>IF($C70="","",IF($D70="NO ENCONTRADO",IF(COUNTIF($C$7:$C$1000,$C70)&gt;1,"⚠️ No encontrado | Duplicado","⚠️ No encontrado"),IF(COUNTIF($C$7:$C$1000,$C70)&gt;1,"⚠️ Duplicado","Verificado")))</f>
        <v/>
      </c>
    </row>
    <row r="71" ht="15.75" customHeight="1" s="176">
      <c r="B71" s="47" t="n"/>
      <c r="C71" s="77" t="n"/>
      <c r="D71" s="74">
        <f t="array" ref="D71">IF($C71="","",IFNA(_xlfn.XLOOKUP($C71,Productos!$A:$A,Productos!$E:$E,IFNA(_xlfn.XLOOKUP(TEXT($C71,"0"),Productos!$A:$A,Productos!$E:$E,IFNA(_xlfn.XLOOKUP(IFERROR(VALUE($C71),""),Productos!$A:$A,Productos!$E:$E,_xlfn.XLOOKUP($C71,Productos!$E:$E,Productos!$E:$E,"NO ENCONTRADO")),"NO ENCONTRADO")),"NO ENCONTRADO")),"NO ENCONTRADO"))</f>
        <v/>
      </c>
      <c r="E71" s="74">
        <f t="array" ref="E71">IF(OR($D71="",$D71="NO ENCONTRADO"),"",_xlfn.XLOOKUP($D71,Productos!$E:$E,Productos!$H:$H,""))</f>
        <v/>
      </c>
      <c r="F71" s="74">
        <f t="array" ref="F71">IF(OR($D71="",$D71="NO ENCONTRADO"),"",_xlfn.XLOOKUP($D71,Productos!$E:$E,Productos!$I:$I,""))</f>
        <v/>
      </c>
      <c r="G71" s="74">
        <f t="array" ref="G71">IF(OR($D71="",$D71="NO ENCONTRADO"),"",_xlfn.XLOOKUP($D71,Productos!$E:$E,Productos!$J:$J,""))</f>
        <v/>
      </c>
      <c r="H71" s="74">
        <f t="array" ref="H71">IF(OR($D71="",$D71="NO ENCONTRADO"),"",_xlfn.XLOOKUP($D71,Productos!$E:$E,Productos!$K:$K,""))</f>
        <v/>
      </c>
      <c r="I71" s="74">
        <f t="array" ref="I71">IF(OR($D71="",$D71="NO ENCONTRADO"),"",_xlfn.XLOOKUP($D71,Productos!$E:$E,Productos!$F:$F,""))</f>
        <v/>
      </c>
      <c r="J71" s="74">
        <f>IF($C71="","",IF($D71="NO ENCONTRADO",IF(COUNTIF($C$7:$C$1000,$C71)&gt;1,"⚠️ No encontrado | Duplicado","⚠️ No encontrado"),IF(COUNTIF($C$7:$C$1000,$C71)&gt;1,"⚠️ Duplicado","Verificado")))</f>
        <v/>
      </c>
    </row>
    <row r="72" ht="15.75" customHeight="1" s="176">
      <c r="B72" s="47" t="n"/>
      <c r="C72" s="77" t="n"/>
      <c r="D72" s="74">
        <f t="array" ref="D72">IF($C72="","",IFNA(_xlfn.XLOOKUP($C72,Productos!$A:$A,Productos!$E:$E,IFNA(_xlfn.XLOOKUP(TEXT($C72,"0"),Productos!$A:$A,Productos!$E:$E,IFNA(_xlfn.XLOOKUP(IFERROR(VALUE($C72),""),Productos!$A:$A,Productos!$E:$E,_xlfn.XLOOKUP($C72,Productos!$E:$E,Productos!$E:$E,"NO ENCONTRADO")),"NO ENCONTRADO")),"NO ENCONTRADO")),"NO ENCONTRADO"))</f>
        <v/>
      </c>
      <c r="E72" s="74">
        <f t="array" ref="E72">IF(OR($D72="",$D72="NO ENCONTRADO"),"",_xlfn.XLOOKUP($D72,Productos!$E:$E,Productos!$H:$H,""))</f>
        <v/>
      </c>
      <c r="F72" s="74">
        <f t="array" ref="F72">IF(OR($D72="",$D72="NO ENCONTRADO"),"",_xlfn.XLOOKUP($D72,Productos!$E:$E,Productos!$I:$I,""))</f>
        <v/>
      </c>
      <c r="G72" s="74">
        <f t="array" ref="G72">IF(OR($D72="",$D72="NO ENCONTRADO"),"",_xlfn.XLOOKUP($D72,Productos!$E:$E,Productos!$J:$J,""))</f>
        <v/>
      </c>
      <c r="H72" s="74">
        <f t="array" ref="H72">IF(OR($D72="",$D72="NO ENCONTRADO"),"",_xlfn.XLOOKUP($D72,Productos!$E:$E,Productos!$K:$K,""))</f>
        <v/>
      </c>
      <c r="I72" s="74">
        <f t="array" ref="I72">IF(OR($D72="",$D72="NO ENCONTRADO"),"",_xlfn.XLOOKUP($D72,Productos!$E:$E,Productos!$F:$F,""))</f>
        <v/>
      </c>
      <c r="J72" s="74">
        <f>IF($C72="","",IF($D72="NO ENCONTRADO",IF(COUNTIF($C$7:$C$1000,$C72)&gt;1,"⚠️ No encontrado | Duplicado","⚠️ No encontrado"),IF(COUNTIF($C$7:$C$1000,$C72)&gt;1,"⚠️ Duplicado","Verificado")))</f>
        <v/>
      </c>
    </row>
    <row r="73" ht="15.75" customHeight="1" s="176">
      <c r="B73" s="47" t="n"/>
      <c r="C73" s="77" t="n"/>
      <c r="D73" s="74">
        <f t="array" ref="D73">IF($C73="","",IFNA(_xlfn.XLOOKUP($C73,Productos!$A:$A,Productos!$E:$E,IFNA(_xlfn.XLOOKUP(TEXT($C73,"0"),Productos!$A:$A,Productos!$E:$E,IFNA(_xlfn.XLOOKUP(IFERROR(VALUE($C73),""),Productos!$A:$A,Productos!$E:$E,_xlfn.XLOOKUP($C73,Productos!$E:$E,Productos!$E:$E,"NO ENCONTRADO")),"NO ENCONTRADO")),"NO ENCONTRADO")),"NO ENCONTRADO"))</f>
        <v/>
      </c>
      <c r="E73" s="74">
        <f t="array" ref="E73">IF(OR($D73="",$D73="NO ENCONTRADO"),"",_xlfn.XLOOKUP($D73,Productos!$E:$E,Productos!$H:$H,""))</f>
        <v/>
      </c>
      <c r="F73" s="74">
        <f t="array" ref="F73">IF(OR($D73="",$D73="NO ENCONTRADO"),"",_xlfn.XLOOKUP($D73,Productos!$E:$E,Productos!$I:$I,""))</f>
        <v/>
      </c>
      <c r="G73" s="74">
        <f t="array" ref="G73">IF(OR($D73="",$D73="NO ENCONTRADO"),"",_xlfn.XLOOKUP($D73,Productos!$E:$E,Productos!$J:$J,""))</f>
        <v/>
      </c>
      <c r="H73" s="74">
        <f t="array" ref="H73">IF(OR($D73="",$D73="NO ENCONTRADO"),"",_xlfn.XLOOKUP($D73,Productos!$E:$E,Productos!$K:$K,""))</f>
        <v/>
      </c>
      <c r="I73" s="74">
        <f t="array" ref="I73">IF(OR($D73="",$D73="NO ENCONTRADO"),"",_xlfn.XLOOKUP($D73,Productos!$E:$E,Productos!$F:$F,""))</f>
        <v/>
      </c>
      <c r="J73" s="74">
        <f>IF($C73="","",IF($D73="NO ENCONTRADO",IF(COUNTIF($C$7:$C$1000,$C73)&gt;1,"⚠️ No encontrado | Duplicado","⚠️ No encontrado"),IF(COUNTIF($C$7:$C$1000,$C73)&gt;1,"⚠️ Duplicado","Verificado")))</f>
        <v/>
      </c>
    </row>
    <row r="74" ht="15.75" customHeight="1" s="176">
      <c r="B74" s="47" t="n"/>
      <c r="C74" s="77" t="n"/>
      <c r="D74" s="74">
        <f t="array" ref="D74">IF($C74="","",IFNA(_xlfn.XLOOKUP($C74,Productos!$A:$A,Productos!$E:$E,IFNA(_xlfn.XLOOKUP(TEXT($C74,"0"),Productos!$A:$A,Productos!$E:$E,IFNA(_xlfn.XLOOKUP(IFERROR(VALUE($C74),""),Productos!$A:$A,Productos!$E:$E,_xlfn.XLOOKUP($C74,Productos!$E:$E,Productos!$E:$E,"NO ENCONTRADO")),"NO ENCONTRADO")),"NO ENCONTRADO")),"NO ENCONTRADO"))</f>
        <v/>
      </c>
      <c r="E74" s="74">
        <f t="array" ref="E74">IF(OR($D74="",$D74="NO ENCONTRADO"),"",_xlfn.XLOOKUP($D74,Productos!$E:$E,Productos!$H:$H,""))</f>
        <v/>
      </c>
      <c r="F74" s="74">
        <f t="array" ref="F74">IF(OR($D74="",$D74="NO ENCONTRADO"),"",_xlfn.XLOOKUP($D74,Productos!$E:$E,Productos!$I:$I,""))</f>
        <v/>
      </c>
      <c r="G74" s="74">
        <f t="array" ref="G74">IF(OR($D74="",$D74="NO ENCONTRADO"),"",_xlfn.XLOOKUP($D74,Productos!$E:$E,Productos!$J:$J,""))</f>
        <v/>
      </c>
      <c r="H74" s="74">
        <f t="array" ref="H74">IF(OR($D74="",$D74="NO ENCONTRADO"),"",_xlfn.XLOOKUP($D74,Productos!$E:$E,Productos!$K:$K,""))</f>
        <v/>
      </c>
      <c r="I74" s="74">
        <f t="array" ref="I74">IF(OR($D74="",$D74="NO ENCONTRADO"),"",_xlfn.XLOOKUP($D74,Productos!$E:$E,Productos!$F:$F,""))</f>
        <v/>
      </c>
      <c r="J74" s="74">
        <f>IF($C74="","",IF($D74="NO ENCONTRADO",IF(COUNTIF($C$7:$C$1000,$C74)&gt;1,"⚠️ No encontrado | Duplicado","⚠️ No encontrado"),IF(COUNTIF($C$7:$C$1000,$C74)&gt;1,"⚠️ Duplicado","Verificado")))</f>
        <v/>
      </c>
    </row>
    <row r="75" ht="15.75" customHeight="1" s="176">
      <c r="B75" s="47" t="n"/>
      <c r="C75" s="77" t="n"/>
      <c r="D75" s="74">
        <f t="array" ref="D75">IF($C75="","",IFNA(_xlfn.XLOOKUP($C75,Productos!$A:$A,Productos!$E:$E,IFNA(_xlfn.XLOOKUP(TEXT($C75,"0"),Productos!$A:$A,Productos!$E:$E,IFNA(_xlfn.XLOOKUP(IFERROR(VALUE($C75),""),Productos!$A:$A,Productos!$E:$E,_xlfn.XLOOKUP($C75,Productos!$E:$E,Productos!$E:$E,"NO ENCONTRADO")),"NO ENCONTRADO")),"NO ENCONTRADO")),"NO ENCONTRADO"))</f>
        <v/>
      </c>
      <c r="E75" s="74">
        <f t="array" ref="E75">IF(OR($D75="",$D75="NO ENCONTRADO"),"",_xlfn.XLOOKUP($D75,Productos!$E:$E,Productos!$H:$H,""))</f>
        <v/>
      </c>
      <c r="F75" s="74">
        <f t="array" ref="F75">IF(OR($D75="",$D75="NO ENCONTRADO"),"",_xlfn.XLOOKUP($D75,Productos!$E:$E,Productos!$I:$I,""))</f>
        <v/>
      </c>
      <c r="G75" s="74">
        <f t="array" ref="G75">IF(OR($D75="",$D75="NO ENCONTRADO"),"",_xlfn.XLOOKUP($D75,Productos!$E:$E,Productos!$J:$J,""))</f>
        <v/>
      </c>
      <c r="H75" s="74">
        <f t="array" ref="H75">IF(OR($D75="",$D75="NO ENCONTRADO"),"",_xlfn.XLOOKUP($D75,Productos!$E:$E,Productos!$K:$K,""))</f>
        <v/>
      </c>
      <c r="I75" s="74">
        <f t="array" ref="I75">IF(OR($D75="",$D75="NO ENCONTRADO"),"",_xlfn.XLOOKUP($D75,Productos!$E:$E,Productos!$F:$F,""))</f>
        <v/>
      </c>
      <c r="J75" s="74">
        <f>IF($C75="","",IF($D75="NO ENCONTRADO",IF(COUNTIF($C$7:$C$1000,$C75)&gt;1,"⚠️ No encontrado | Duplicado","⚠️ No encontrado"),IF(COUNTIF($C$7:$C$1000,$C75)&gt;1,"⚠️ Duplicado","Verificado")))</f>
        <v/>
      </c>
    </row>
    <row r="76" ht="15.75" customHeight="1" s="176">
      <c r="B76" s="47" t="n"/>
      <c r="C76" s="77" t="n"/>
      <c r="D76" s="74">
        <f t="array" ref="D76">IF($C76="","",IFNA(_xlfn.XLOOKUP($C76,Productos!$A:$A,Productos!$E:$E,IFNA(_xlfn.XLOOKUP(TEXT($C76,"0"),Productos!$A:$A,Productos!$E:$E,IFNA(_xlfn.XLOOKUP(IFERROR(VALUE($C76),""),Productos!$A:$A,Productos!$E:$E,_xlfn.XLOOKUP($C76,Productos!$E:$E,Productos!$E:$E,"NO ENCONTRADO")),"NO ENCONTRADO")),"NO ENCONTRADO")),"NO ENCONTRADO"))</f>
        <v/>
      </c>
      <c r="E76" s="74">
        <f t="array" ref="E76">IF(OR($D76="",$D76="NO ENCONTRADO"),"",_xlfn.XLOOKUP($D76,Productos!$E:$E,Productos!$H:$H,""))</f>
        <v/>
      </c>
      <c r="F76" s="74">
        <f t="array" ref="F76">IF(OR($D76="",$D76="NO ENCONTRADO"),"",_xlfn.XLOOKUP($D76,Productos!$E:$E,Productos!$I:$I,""))</f>
        <v/>
      </c>
      <c r="G76" s="74">
        <f t="array" ref="G76">IF(OR($D76="",$D76="NO ENCONTRADO"),"",_xlfn.XLOOKUP($D76,Productos!$E:$E,Productos!$J:$J,""))</f>
        <v/>
      </c>
      <c r="H76" s="74">
        <f t="array" ref="H76">IF(OR($D76="",$D76="NO ENCONTRADO"),"",_xlfn.XLOOKUP($D76,Productos!$E:$E,Productos!$K:$K,""))</f>
        <v/>
      </c>
      <c r="I76" s="74">
        <f t="array" ref="I76">IF(OR($D76="",$D76="NO ENCONTRADO"),"",_xlfn.XLOOKUP($D76,Productos!$E:$E,Productos!$F:$F,""))</f>
        <v/>
      </c>
      <c r="J76" s="74">
        <f>IF($C76="","",IF($D76="NO ENCONTRADO",IF(COUNTIF($C$7:$C$1000,$C76)&gt;1,"⚠️ No encontrado | Duplicado","⚠️ No encontrado"),IF(COUNTIF($C$7:$C$1000,$C76)&gt;1,"⚠️ Duplicado","Verificado")))</f>
        <v/>
      </c>
    </row>
    <row r="77" ht="15.75" customHeight="1" s="176">
      <c r="B77" s="47" t="n"/>
      <c r="C77" s="77" t="n"/>
      <c r="D77" s="74">
        <f t="array" ref="D77">IF($C77="","",IFNA(_xlfn.XLOOKUP($C77,Productos!$A:$A,Productos!$E:$E,IFNA(_xlfn.XLOOKUP(TEXT($C77,"0"),Productos!$A:$A,Productos!$E:$E,IFNA(_xlfn.XLOOKUP(IFERROR(VALUE($C77),""),Productos!$A:$A,Productos!$E:$E,_xlfn.XLOOKUP($C77,Productos!$E:$E,Productos!$E:$E,"NO ENCONTRADO")),"NO ENCONTRADO")),"NO ENCONTRADO")),"NO ENCONTRADO"))</f>
        <v/>
      </c>
      <c r="E77" s="74">
        <f t="array" ref="E77">IF(OR($D77="",$D77="NO ENCONTRADO"),"",_xlfn.XLOOKUP($D77,Productos!$E:$E,Productos!$H:$H,""))</f>
        <v/>
      </c>
      <c r="F77" s="74">
        <f t="array" ref="F77">IF(OR($D77="",$D77="NO ENCONTRADO"),"",_xlfn.XLOOKUP($D77,Productos!$E:$E,Productos!$I:$I,""))</f>
        <v/>
      </c>
      <c r="G77" s="74">
        <f t="array" ref="G77">IF(OR($D77="",$D77="NO ENCONTRADO"),"",_xlfn.XLOOKUP($D77,Productos!$E:$E,Productos!$J:$J,""))</f>
        <v/>
      </c>
      <c r="H77" s="74">
        <f t="array" ref="H77">IF(OR($D77="",$D77="NO ENCONTRADO"),"",_xlfn.XLOOKUP($D77,Productos!$E:$E,Productos!$K:$K,""))</f>
        <v/>
      </c>
      <c r="I77" s="74">
        <f t="array" ref="I77">IF(OR($D77="",$D77="NO ENCONTRADO"),"",_xlfn.XLOOKUP($D77,Productos!$E:$E,Productos!$F:$F,""))</f>
        <v/>
      </c>
      <c r="J77" s="74">
        <f>IF($C77="","",IF($D77="NO ENCONTRADO",IF(COUNTIF($C$7:$C$1000,$C77)&gt;1,"⚠️ No encontrado | Duplicado","⚠️ No encontrado"),IF(COUNTIF($C$7:$C$1000,$C77)&gt;1,"⚠️ Duplicado","Verificado")))</f>
        <v/>
      </c>
    </row>
    <row r="78" ht="15.75" customHeight="1" s="176">
      <c r="B78" s="47" t="n"/>
      <c r="C78" s="77" t="n"/>
      <c r="D78" s="74">
        <f t="array" ref="D78">IF($C78="","",IFNA(_xlfn.XLOOKUP($C78,Productos!$A:$A,Productos!$E:$E,IFNA(_xlfn.XLOOKUP(TEXT($C78,"0"),Productos!$A:$A,Productos!$E:$E,IFNA(_xlfn.XLOOKUP(IFERROR(VALUE($C78),""),Productos!$A:$A,Productos!$E:$E,_xlfn.XLOOKUP($C78,Productos!$E:$E,Productos!$E:$E,"NO ENCONTRADO")),"NO ENCONTRADO")),"NO ENCONTRADO")),"NO ENCONTRADO"))</f>
        <v/>
      </c>
      <c r="E78" s="74">
        <f t="array" ref="E78">IF(OR($D78="",$D78="NO ENCONTRADO"),"",_xlfn.XLOOKUP($D78,Productos!$E:$E,Productos!$H:$H,""))</f>
        <v/>
      </c>
      <c r="F78" s="74">
        <f t="array" ref="F78">IF(OR($D78="",$D78="NO ENCONTRADO"),"",_xlfn.XLOOKUP($D78,Productos!$E:$E,Productos!$I:$I,""))</f>
        <v/>
      </c>
      <c r="G78" s="74">
        <f t="array" ref="G78">IF(OR($D78="",$D78="NO ENCONTRADO"),"",_xlfn.XLOOKUP($D78,Productos!$E:$E,Productos!$J:$J,""))</f>
        <v/>
      </c>
      <c r="H78" s="74">
        <f t="array" ref="H78">IF(OR($D78="",$D78="NO ENCONTRADO"),"",_xlfn.XLOOKUP($D78,Productos!$E:$E,Productos!$K:$K,""))</f>
        <v/>
      </c>
      <c r="I78" s="74">
        <f t="array" ref="I78">IF(OR($D78="",$D78="NO ENCONTRADO"),"",_xlfn.XLOOKUP($D78,Productos!$E:$E,Productos!$F:$F,""))</f>
        <v/>
      </c>
      <c r="J78" s="74">
        <f>IF($C78="","",IF($D78="NO ENCONTRADO",IF(COUNTIF($C$7:$C$1000,$C78)&gt;1,"⚠️ No encontrado | Duplicado","⚠️ No encontrado"),IF(COUNTIF($C$7:$C$1000,$C78)&gt;1,"⚠️ Duplicado","Verificado")))</f>
        <v/>
      </c>
    </row>
    <row r="79" ht="15.75" customHeight="1" s="176">
      <c r="B79" s="47" t="n"/>
      <c r="C79" s="77" t="n"/>
      <c r="D79" s="74">
        <f t="array" ref="D79">IF($C79="","",IFNA(_xlfn.XLOOKUP($C79,Productos!$A:$A,Productos!$E:$E,IFNA(_xlfn.XLOOKUP(TEXT($C79,"0"),Productos!$A:$A,Productos!$E:$E,IFNA(_xlfn.XLOOKUP(IFERROR(VALUE($C79),""),Productos!$A:$A,Productos!$E:$E,_xlfn.XLOOKUP($C79,Productos!$E:$E,Productos!$E:$E,"NO ENCONTRADO")),"NO ENCONTRADO")),"NO ENCONTRADO")),"NO ENCONTRADO"))</f>
        <v/>
      </c>
      <c r="E79" s="74">
        <f t="array" ref="E79">IF(OR($D79="",$D79="NO ENCONTRADO"),"",_xlfn.XLOOKUP($D79,Productos!$E:$E,Productos!$H:$H,""))</f>
        <v/>
      </c>
      <c r="F79" s="74">
        <f t="array" ref="F79">IF(OR($D79="",$D79="NO ENCONTRADO"),"",_xlfn.XLOOKUP($D79,Productos!$E:$E,Productos!$I:$I,""))</f>
        <v/>
      </c>
      <c r="G79" s="74">
        <f t="array" ref="G79">IF(OR($D79="",$D79="NO ENCONTRADO"),"",_xlfn.XLOOKUP($D79,Productos!$E:$E,Productos!$J:$J,""))</f>
        <v/>
      </c>
      <c r="H79" s="74">
        <f t="array" ref="H79">IF(OR($D79="",$D79="NO ENCONTRADO"),"",_xlfn.XLOOKUP($D79,Productos!$E:$E,Productos!$K:$K,""))</f>
        <v/>
      </c>
      <c r="I79" s="74">
        <f t="array" ref="I79">IF(OR($D79="",$D79="NO ENCONTRADO"),"",_xlfn.XLOOKUP($D79,Productos!$E:$E,Productos!$F:$F,""))</f>
        <v/>
      </c>
      <c r="J79" s="74">
        <f>IF($C79="","",IF($D79="NO ENCONTRADO",IF(COUNTIF($C$7:$C$1000,$C79)&gt;1,"⚠️ No encontrado | Duplicado","⚠️ No encontrado"),IF(COUNTIF($C$7:$C$1000,$C79)&gt;1,"⚠️ Duplicado","Verificado")))</f>
        <v/>
      </c>
    </row>
    <row r="80" ht="15.75" customHeight="1" s="176">
      <c r="B80" s="47" t="n"/>
      <c r="C80" s="77" t="n"/>
      <c r="D80" s="74">
        <f t="array" ref="D80">IF($C80="","",IFNA(_xlfn.XLOOKUP($C80,Productos!$A:$A,Productos!$E:$E,IFNA(_xlfn.XLOOKUP(TEXT($C80,"0"),Productos!$A:$A,Productos!$E:$E,IFNA(_xlfn.XLOOKUP(IFERROR(VALUE($C80),""),Productos!$A:$A,Productos!$E:$E,_xlfn.XLOOKUP($C80,Productos!$E:$E,Productos!$E:$E,"NO ENCONTRADO")),"NO ENCONTRADO")),"NO ENCONTRADO")),"NO ENCONTRADO"))</f>
        <v/>
      </c>
      <c r="E80" s="74">
        <f t="array" ref="E80">IF(OR($D80="",$D80="NO ENCONTRADO"),"",_xlfn.XLOOKUP($D80,Productos!$E:$E,Productos!$H:$H,""))</f>
        <v/>
      </c>
      <c r="F80" s="74">
        <f t="array" ref="F80">IF(OR($D80="",$D80="NO ENCONTRADO"),"",_xlfn.XLOOKUP($D80,Productos!$E:$E,Productos!$I:$I,""))</f>
        <v/>
      </c>
      <c r="G80" s="74">
        <f t="array" ref="G80">IF(OR($D80="",$D80="NO ENCONTRADO"),"",_xlfn.XLOOKUP($D80,Productos!$E:$E,Productos!$J:$J,""))</f>
        <v/>
      </c>
      <c r="H80" s="74">
        <f t="array" ref="H80">IF(OR($D80="",$D80="NO ENCONTRADO"),"",_xlfn.XLOOKUP($D80,Productos!$E:$E,Productos!$K:$K,""))</f>
        <v/>
      </c>
      <c r="I80" s="74">
        <f t="array" ref="I80">IF(OR($D80="",$D80="NO ENCONTRADO"),"",_xlfn.XLOOKUP($D80,Productos!$E:$E,Productos!$F:$F,""))</f>
        <v/>
      </c>
      <c r="J80" s="74">
        <f>IF($C80="","",IF($D80="NO ENCONTRADO",IF(COUNTIF($C$7:$C$1000,$C80)&gt;1,"⚠️ No encontrado | Duplicado","⚠️ No encontrado"),IF(COUNTIF($C$7:$C$1000,$C80)&gt;1,"⚠️ Duplicado","Verificado")))</f>
        <v/>
      </c>
    </row>
    <row r="81" ht="15.75" customHeight="1" s="176">
      <c r="B81" s="47" t="n"/>
      <c r="C81" s="77" t="n"/>
      <c r="D81" s="74">
        <f t="array" ref="D81">IF($C81="","",IFNA(_xlfn.XLOOKUP($C81,Productos!$A:$A,Productos!$E:$E,IFNA(_xlfn.XLOOKUP(TEXT($C81,"0"),Productos!$A:$A,Productos!$E:$E,IFNA(_xlfn.XLOOKUP(IFERROR(VALUE($C81),""),Productos!$A:$A,Productos!$E:$E,_xlfn.XLOOKUP($C81,Productos!$E:$E,Productos!$E:$E,"NO ENCONTRADO")),"NO ENCONTRADO")),"NO ENCONTRADO")),"NO ENCONTRADO"))</f>
        <v/>
      </c>
      <c r="E81" s="74">
        <f t="array" ref="E81">IF(OR($D81="",$D81="NO ENCONTRADO"),"",_xlfn.XLOOKUP($D81,Productos!$E:$E,Productos!$H:$H,""))</f>
        <v/>
      </c>
      <c r="F81" s="74">
        <f t="array" ref="F81">IF(OR($D81="",$D81="NO ENCONTRADO"),"",_xlfn.XLOOKUP($D81,Productos!$E:$E,Productos!$I:$I,""))</f>
        <v/>
      </c>
      <c r="G81" s="74">
        <f t="array" ref="G81">IF(OR($D81="",$D81="NO ENCONTRADO"),"",_xlfn.XLOOKUP($D81,Productos!$E:$E,Productos!$J:$J,""))</f>
        <v/>
      </c>
      <c r="H81" s="74">
        <f t="array" ref="H81">IF(OR($D81="",$D81="NO ENCONTRADO"),"",_xlfn.XLOOKUP($D81,Productos!$E:$E,Productos!$K:$K,""))</f>
        <v/>
      </c>
      <c r="I81" s="74">
        <f t="array" ref="I81">IF(OR($D81="",$D81="NO ENCONTRADO"),"",_xlfn.XLOOKUP($D81,Productos!$E:$E,Productos!$F:$F,""))</f>
        <v/>
      </c>
      <c r="J81" s="74">
        <f>IF($C81="","",IF($D81="NO ENCONTRADO",IF(COUNTIF($C$7:$C$1000,$C81)&gt;1,"⚠️ No encontrado | Duplicado","⚠️ No encontrado"),IF(COUNTIF($C$7:$C$1000,$C81)&gt;1,"⚠️ Duplicado","Verificado")))</f>
        <v/>
      </c>
    </row>
    <row r="82" ht="15.75" customHeight="1" s="176">
      <c r="B82" s="47" t="n"/>
      <c r="C82" s="77" t="n"/>
      <c r="D82" s="74">
        <f t="array" ref="D82">IF($C82="","",IFNA(_xlfn.XLOOKUP($C82,Productos!$A:$A,Productos!$E:$E,IFNA(_xlfn.XLOOKUP(TEXT($C82,"0"),Productos!$A:$A,Productos!$E:$E,IFNA(_xlfn.XLOOKUP(IFERROR(VALUE($C82),""),Productos!$A:$A,Productos!$E:$E,_xlfn.XLOOKUP($C82,Productos!$E:$E,Productos!$E:$E,"NO ENCONTRADO")),"NO ENCONTRADO")),"NO ENCONTRADO")),"NO ENCONTRADO"))</f>
        <v/>
      </c>
      <c r="E82" s="74">
        <f t="array" ref="E82">IF(OR($D82="",$D82="NO ENCONTRADO"),"",_xlfn.XLOOKUP($D82,Productos!$E:$E,Productos!$H:$H,""))</f>
        <v/>
      </c>
      <c r="F82" s="74">
        <f t="array" ref="F82">IF(OR($D82="",$D82="NO ENCONTRADO"),"",_xlfn.XLOOKUP($D82,Productos!$E:$E,Productos!$I:$I,""))</f>
        <v/>
      </c>
      <c r="G82" s="74">
        <f t="array" ref="G82">IF(OR($D82="",$D82="NO ENCONTRADO"),"",_xlfn.XLOOKUP($D82,Productos!$E:$E,Productos!$J:$J,""))</f>
        <v/>
      </c>
      <c r="H82" s="74">
        <f t="array" ref="H82">IF(OR($D82="",$D82="NO ENCONTRADO"),"",_xlfn.XLOOKUP($D82,Productos!$E:$E,Productos!$K:$K,""))</f>
        <v/>
      </c>
      <c r="I82" s="74">
        <f t="array" ref="I82">IF(OR($D82="",$D82="NO ENCONTRADO"),"",_xlfn.XLOOKUP($D82,Productos!$E:$E,Productos!$F:$F,""))</f>
        <v/>
      </c>
      <c r="J82" s="74">
        <f>IF($C82="","",IF($D82="NO ENCONTRADO",IF(COUNTIF($C$7:$C$1000,$C82)&gt;1,"⚠️ No encontrado | Duplicado","⚠️ No encontrado"),IF(COUNTIF($C$7:$C$1000,$C82)&gt;1,"⚠️ Duplicado","Verificado")))</f>
        <v/>
      </c>
    </row>
    <row r="83" ht="15.75" customHeight="1" s="176">
      <c r="B83" s="47" t="n"/>
      <c r="C83" s="77" t="n"/>
      <c r="D83" s="74">
        <f t="array" ref="D83">IF($C83="","",IFNA(_xlfn.XLOOKUP($C83,Productos!$A:$A,Productos!$E:$E,IFNA(_xlfn.XLOOKUP(TEXT($C83,"0"),Productos!$A:$A,Productos!$E:$E,IFNA(_xlfn.XLOOKUP(IFERROR(VALUE($C83),""),Productos!$A:$A,Productos!$E:$E,_xlfn.XLOOKUP($C83,Productos!$E:$E,Productos!$E:$E,"NO ENCONTRADO")),"NO ENCONTRADO")),"NO ENCONTRADO")),"NO ENCONTRADO"))</f>
        <v/>
      </c>
      <c r="E83" s="74">
        <f t="array" ref="E83">IF(OR($D83="",$D83="NO ENCONTRADO"),"",_xlfn.XLOOKUP($D83,Productos!$E:$E,Productos!$H:$H,""))</f>
        <v/>
      </c>
      <c r="F83" s="74">
        <f t="array" ref="F83">IF(OR($D83="",$D83="NO ENCONTRADO"),"",_xlfn.XLOOKUP($D83,Productos!$E:$E,Productos!$I:$I,""))</f>
        <v/>
      </c>
      <c r="G83" s="74">
        <f t="array" ref="G83">IF(OR($D83="",$D83="NO ENCONTRADO"),"",_xlfn.XLOOKUP($D83,Productos!$E:$E,Productos!$J:$J,""))</f>
        <v/>
      </c>
      <c r="H83" s="74">
        <f t="array" ref="H83">IF(OR($D83="",$D83="NO ENCONTRADO"),"",_xlfn.XLOOKUP($D83,Productos!$E:$E,Productos!$K:$K,""))</f>
        <v/>
      </c>
      <c r="I83" s="74">
        <f t="array" ref="I83">IF(OR($D83="",$D83="NO ENCONTRADO"),"",_xlfn.XLOOKUP($D83,Productos!$E:$E,Productos!$F:$F,""))</f>
        <v/>
      </c>
      <c r="J83" s="74">
        <f>IF($C83="","",IF($D83="NO ENCONTRADO",IF(COUNTIF($C$7:$C$1000,$C83)&gt;1,"⚠️ No encontrado | Duplicado","⚠️ No encontrado"),IF(COUNTIF($C$7:$C$1000,$C83)&gt;1,"⚠️ Duplicado","Verificado")))</f>
        <v/>
      </c>
    </row>
    <row r="84" ht="15.75" customHeight="1" s="176">
      <c r="B84" s="47" t="n"/>
      <c r="C84" s="77" t="n"/>
      <c r="D84" s="74">
        <f t="array" ref="D84">IF($C84="","",IFNA(_xlfn.XLOOKUP($C84,Productos!$A:$A,Productos!$E:$E,IFNA(_xlfn.XLOOKUP(TEXT($C84,"0"),Productos!$A:$A,Productos!$E:$E,IFNA(_xlfn.XLOOKUP(IFERROR(VALUE($C84),""),Productos!$A:$A,Productos!$E:$E,_xlfn.XLOOKUP($C84,Productos!$E:$E,Productos!$E:$E,"NO ENCONTRADO")),"NO ENCONTRADO")),"NO ENCONTRADO")),"NO ENCONTRADO"))</f>
        <v/>
      </c>
      <c r="E84" s="74">
        <f t="array" ref="E84">IF(OR($D84="",$D84="NO ENCONTRADO"),"",_xlfn.XLOOKUP($D84,Productos!$E:$E,Productos!$H:$H,""))</f>
        <v/>
      </c>
      <c r="F84" s="74">
        <f t="array" ref="F84">IF(OR($D84="",$D84="NO ENCONTRADO"),"",_xlfn.XLOOKUP($D84,Productos!$E:$E,Productos!$I:$I,""))</f>
        <v/>
      </c>
      <c r="G84" s="74">
        <f t="array" ref="G84">IF(OR($D84="",$D84="NO ENCONTRADO"),"",_xlfn.XLOOKUP($D84,Productos!$E:$E,Productos!$J:$J,""))</f>
        <v/>
      </c>
      <c r="H84" s="74">
        <f t="array" ref="H84">IF(OR($D84="",$D84="NO ENCONTRADO"),"",_xlfn.XLOOKUP($D84,Productos!$E:$E,Productos!$K:$K,""))</f>
        <v/>
      </c>
      <c r="I84" s="74">
        <f t="array" ref="I84">IF(OR($D84="",$D84="NO ENCONTRADO"),"",_xlfn.XLOOKUP($D84,Productos!$E:$E,Productos!$F:$F,""))</f>
        <v/>
      </c>
      <c r="J84" s="74">
        <f>IF($C84="","",IF($D84="NO ENCONTRADO",IF(COUNTIF($C$7:$C$1000,$C84)&gt;1,"⚠️ No encontrado | Duplicado","⚠️ No encontrado"),IF(COUNTIF($C$7:$C$1000,$C84)&gt;1,"⚠️ Duplicado","Verificado")))</f>
        <v/>
      </c>
    </row>
    <row r="85" ht="15.75" customHeight="1" s="176">
      <c r="B85" s="47" t="n"/>
      <c r="C85" s="77" t="n"/>
      <c r="D85" s="74">
        <f t="array" ref="D85">IF($C85="","",IFNA(_xlfn.XLOOKUP($C85,Productos!$A:$A,Productos!$E:$E,IFNA(_xlfn.XLOOKUP(TEXT($C85,"0"),Productos!$A:$A,Productos!$E:$E,IFNA(_xlfn.XLOOKUP(IFERROR(VALUE($C85),""),Productos!$A:$A,Productos!$E:$E,_xlfn.XLOOKUP($C85,Productos!$E:$E,Productos!$E:$E,"NO ENCONTRADO")),"NO ENCONTRADO")),"NO ENCONTRADO")),"NO ENCONTRADO"))</f>
        <v/>
      </c>
      <c r="E85" s="74">
        <f t="array" ref="E85">IF(OR($D85="",$D85="NO ENCONTRADO"),"",_xlfn.XLOOKUP($D85,Productos!$E:$E,Productos!$H:$H,""))</f>
        <v/>
      </c>
      <c r="F85" s="74">
        <f t="array" ref="F85">IF(OR($D85="",$D85="NO ENCONTRADO"),"",_xlfn.XLOOKUP($D85,Productos!$E:$E,Productos!$I:$I,""))</f>
        <v/>
      </c>
      <c r="G85" s="74">
        <f t="array" ref="G85">IF(OR($D85="",$D85="NO ENCONTRADO"),"",_xlfn.XLOOKUP($D85,Productos!$E:$E,Productos!$J:$J,""))</f>
        <v/>
      </c>
      <c r="H85" s="74">
        <f t="array" ref="H85">IF(OR($D85="",$D85="NO ENCONTRADO"),"",_xlfn.XLOOKUP($D85,Productos!$E:$E,Productos!$K:$K,""))</f>
        <v/>
      </c>
      <c r="I85" s="74">
        <f t="array" ref="I85">IF(OR($D85="",$D85="NO ENCONTRADO"),"",_xlfn.XLOOKUP($D85,Productos!$E:$E,Productos!$F:$F,""))</f>
        <v/>
      </c>
      <c r="J85" s="74">
        <f>IF($C85="","",IF($D85="NO ENCONTRADO",IF(COUNTIF($C$7:$C$1000,$C85)&gt;1,"⚠️ No encontrado | Duplicado","⚠️ No encontrado"),IF(COUNTIF($C$7:$C$1000,$C85)&gt;1,"⚠️ Duplicado","Verificado")))</f>
        <v/>
      </c>
    </row>
    <row r="86" ht="15.75" customHeight="1" s="176">
      <c r="B86" s="47" t="n"/>
      <c r="C86" s="77" t="n"/>
      <c r="D86" s="74">
        <f t="array" ref="D86">IF($C86="","",IFNA(_xlfn.XLOOKUP($C86,Productos!$A:$A,Productos!$E:$E,IFNA(_xlfn.XLOOKUP(TEXT($C86,"0"),Productos!$A:$A,Productos!$E:$E,IFNA(_xlfn.XLOOKUP(IFERROR(VALUE($C86),""),Productos!$A:$A,Productos!$E:$E,_xlfn.XLOOKUP($C86,Productos!$E:$E,Productos!$E:$E,"NO ENCONTRADO")),"NO ENCONTRADO")),"NO ENCONTRADO")),"NO ENCONTRADO"))</f>
        <v/>
      </c>
      <c r="E86" s="74">
        <f t="array" ref="E86">IF(OR($D86="",$D86="NO ENCONTRADO"),"",_xlfn.XLOOKUP($D86,Productos!$E:$E,Productos!$H:$H,""))</f>
        <v/>
      </c>
      <c r="F86" s="74">
        <f t="array" ref="F86">IF(OR($D86="",$D86="NO ENCONTRADO"),"",_xlfn.XLOOKUP($D86,Productos!$E:$E,Productos!$I:$I,""))</f>
        <v/>
      </c>
      <c r="G86" s="74">
        <f t="array" ref="G86">IF(OR($D86="",$D86="NO ENCONTRADO"),"",_xlfn.XLOOKUP($D86,Productos!$E:$E,Productos!$J:$J,""))</f>
        <v/>
      </c>
      <c r="H86" s="74">
        <f t="array" ref="H86">IF(OR($D86="",$D86="NO ENCONTRADO"),"",_xlfn.XLOOKUP($D86,Productos!$E:$E,Productos!$K:$K,""))</f>
        <v/>
      </c>
      <c r="I86" s="74">
        <f t="array" ref="I86">IF(OR($D86="",$D86="NO ENCONTRADO"),"",_xlfn.XLOOKUP($D86,Productos!$E:$E,Productos!$F:$F,""))</f>
        <v/>
      </c>
      <c r="J86" s="74">
        <f>IF($C86="","",IF($D86="NO ENCONTRADO",IF(COUNTIF($C$7:$C$1000,$C86)&gt;1,"⚠️ No encontrado | Duplicado","⚠️ No encontrado"),IF(COUNTIF($C$7:$C$1000,$C86)&gt;1,"⚠️ Duplicado","Verificado")))</f>
        <v/>
      </c>
    </row>
    <row r="87" ht="15.75" customHeight="1" s="176">
      <c r="B87" s="47" t="n"/>
      <c r="C87" s="77" t="n"/>
      <c r="D87" s="74">
        <f t="array" ref="D87">IF($C87="","",IFNA(_xlfn.XLOOKUP($C87,Productos!$A:$A,Productos!$E:$E,IFNA(_xlfn.XLOOKUP(TEXT($C87,"0"),Productos!$A:$A,Productos!$E:$E,IFNA(_xlfn.XLOOKUP(IFERROR(VALUE($C87),""),Productos!$A:$A,Productos!$E:$E,_xlfn.XLOOKUP($C87,Productos!$E:$E,Productos!$E:$E,"NO ENCONTRADO")),"NO ENCONTRADO")),"NO ENCONTRADO")),"NO ENCONTRADO"))</f>
        <v/>
      </c>
      <c r="E87" s="74">
        <f t="array" ref="E87">IF(OR($D87="",$D87="NO ENCONTRADO"),"",_xlfn.XLOOKUP($D87,Productos!$E:$E,Productos!$H:$H,""))</f>
        <v/>
      </c>
      <c r="F87" s="74">
        <f t="array" ref="F87">IF(OR($D87="",$D87="NO ENCONTRADO"),"",_xlfn.XLOOKUP($D87,Productos!$E:$E,Productos!$I:$I,""))</f>
        <v/>
      </c>
      <c r="G87" s="74">
        <f t="array" ref="G87">IF(OR($D87="",$D87="NO ENCONTRADO"),"",_xlfn.XLOOKUP($D87,Productos!$E:$E,Productos!$J:$J,""))</f>
        <v/>
      </c>
      <c r="H87" s="74">
        <f t="array" ref="H87">IF(OR($D87="",$D87="NO ENCONTRADO"),"",_xlfn.XLOOKUP($D87,Productos!$E:$E,Productos!$K:$K,""))</f>
        <v/>
      </c>
      <c r="I87" s="74">
        <f t="array" ref="I87">IF(OR($D87="",$D87="NO ENCONTRADO"),"",_xlfn.XLOOKUP($D87,Productos!$E:$E,Productos!$F:$F,""))</f>
        <v/>
      </c>
      <c r="J87" s="74">
        <f>IF($C87="","",IF($D87="NO ENCONTRADO",IF(COUNTIF($C$7:$C$1000,$C87)&gt;1,"⚠️ No encontrado | Duplicado","⚠️ No encontrado"),IF(COUNTIF($C$7:$C$1000,$C87)&gt;1,"⚠️ Duplicado","Verificado")))</f>
        <v/>
      </c>
    </row>
    <row r="88" ht="15.75" customHeight="1" s="176">
      <c r="B88" s="47" t="n"/>
      <c r="C88" s="77" t="n"/>
      <c r="D88" s="74">
        <f t="array" ref="D88">IF($C88="","",IFNA(_xlfn.XLOOKUP($C88,Productos!$A:$A,Productos!$E:$E,IFNA(_xlfn.XLOOKUP(TEXT($C88,"0"),Productos!$A:$A,Productos!$E:$E,IFNA(_xlfn.XLOOKUP(IFERROR(VALUE($C88),""),Productos!$A:$A,Productos!$E:$E,_xlfn.XLOOKUP($C88,Productos!$E:$E,Productos!$E:$E,"NO ENCONTRADO")),"NO ENCONTRADO")),"NO ENCONTRADO")),"NO ENCONTRADO"))</f>
        <v/>
      </c>
      <c r="E88" s="74">
        <f t="array" ref="E88">IF(OR($D88="",$D88="NO ENCONTRADO"),"",_xlfn.XLOOKUP($D88,Productos!$E:$E,Productos!$H:$H,""))</f>
        <v/>
      </c>
      <c r="F88" s="74">
        <f t="array" ref="F88">IF(OR($D88="",$D88="NO ENCONTRADO"),"",_xlfn.XLOOKUP($D88,Productos!$E:$E,Productos!$I:$I,""))</f>
        <v/>
      </c>
      <c r="G88" s="74">
        <f t="array" ref="G88">IF(OR($D88="",$D88="NO ENCONTRADO"),"",_xlfn.XLOOKUP($D88,Productos!$E:$E,Productos!$J:$J,""))</f>
        <v/>
      </c>
      <c r="H88" s="74">
        <f t="array" ref="H88">IF(OR($D88="",$D88="NO ENCONTRADO"),"",_xlfn.XLOOKUP($D88,Productos!$E:$E,Productos!$K:$K,""))</f>
        <v/>
      </c>
      <c r="I88" s="74">
        <f t="array" ref="I88">IF(OR($D88="",$D88="NO ENCONTRADO"),"",_xlfn.XLOOKUP($D88,Productos!$E:$E,Productos!$F:$F,""))</f>
        <v/>
      </c>
      <c r="J88" s="74">
        <f>IF($C88="","",IF($D88="NO ENCONTRADO",IF(COUNTIF($C$7:$C$1000,$C88)&gt;1,"⚠️ No encontrado | Duplicado","⚠️ No encontrado"),IF(COUNTIF($C$7:$C$1000,$C88)&gt;1,"⚠️ Duplicado","Verificado")))</f>
        <v/>
      </c>
    </row>
    <row r="89" ht="15.75" customHeight="1" s="176">
      <c r="B89" s="47" t="n"/>
      <c r="C89" s="77" t="n"/>
      <c r="D89" s="74">
        <f t="array" ref="D89">IF($C89="","",IFNA(_xlfn.XLOOKUP($C89,Productos!$A:$A,Productos!$E:$E,IFNA(_xlfn.XLOOKUP(TEXT($C89,"0"),Productos!$A:$A,Productos!$E:$E,IFNA(_xlfn.XLOOKUP(IFERROR(VALUE($C89),""),Productos!$A:$A,Productos!$E:$E,_xlfn.XLOOKUP($C89,Productos!$E:$E,Productos!$E:$E,"NO ENCONTRADO")),"NO ENCONTRADO")),"NO ENCONTRADO")),"NO ENCONTRADO"))</f>
        <v/>
      </c>
      <c r="E89" s="74">
        <f t="array" ref="E89">IF(OR($D89="",$D89="NO ENCONTRADO"),"",_xlfn.XLOOKUP($D89,Productos!$E:$E,Productos!$H:$H,""))</f>
        <v/>
      </c>
      <c r="F89" s="74">
        <f t="array" ref="F89">IF(OR($D89="",$D89="NO ENCONTRADO"),"",_xlfn.XLOOKUP($D89,Productos!$E:$E,Productos!$I:$I,""))</f>
        <v/>
      </c>
      <c r="G89" s="74">
        <f t="array" ref="G89">IF(OR($D89="",$D89="NO ENCONTRADO"),"",_xlfn.XLOOKUP($D89,Productos!$E:$E,Productos!$J:$J,""))</f>
        <v/>
      </c>
      <c r="H89" s="74">
        <f t="array" ref="H89">IF(OR($D89="",$D89="NO ENCONTRADO"),"",_xlfn.XLOOKUP($D89,Productos!$E:$E,Productos!$K:$K,""))</f>
        <v/>
      </c>
      <c r="I89" s="74">
        <f t="array" ref="I89">IF(OR($D89="",$D89="NO ENCONTRADO"),"",_xlfn.XLOOKUP($D89,Productos!$E:$E,Productos!$F:$F,""))</f>
        <v/>
      </c>
      <c r="J89" s="74">
        <f>IF($C89="","",IF($D89="NO ENCONTRADO",IF(COUNTIF($C$7:$C$1000,$C89)&gt;1,"⚠️ No encontrado | Duplicado","⚠️ No encontrado"),IF(COUNTIF($C$7:$C$1000,$C89)&gt;1,"⚠️ Duplicado","Verificado")))</f>
        <v/>
      </c>
    </row>
    <row r="90" ht="15.75" customHeight="1" s="176">
      <c r="B90" s="47" t="n"/>
      <c r="C90" s="77" t="n"/>
      <c r="D90" s="74">
        <f t="array" ref="D90">IF($C90="","",IFNA(_xlfn.XLOOKUP($C90,Productos!$A:$A,Productos!$E:$E,IFNA(_xlfn.XLOOKUP(TEXT($C90,"0"),Productos!$A:$A,Productos!$E:$E,IFNA(_xlfn.XLOOKUP(IFERROR(VALUE($C90),""),Productos!$A:$A,Productos!$E:$E,_xlfn.XLOOKUP($C90,Productos!$E:$E,Productos!$E:$E,"NO ENCONTRADO")),"NO ENCONTRADO")),"NO ENCONTRADO")),"NO ENCONTRADO"))</f>
        <v/>
      </c>
      <c r="E90" s="74">
        <f t="array" ref="E90">IF(OR($D90="",$D90="NO ENCONTRADO"),"",_xlfn.XLOOKUP($D90,Productos!$E:$E,Productos!$H:$H,""))</f>
        <v/>
      </c>
      <c r="F90" s="74">
        <f t="array" ref="F90">IF(OR($D90="",$D90="NO ENCONTRADO"),"",_xlfn.XLOOKUP($D90,Productos!$E:$E,Productos!$I:$I,""))</f>
        <v/>
      </c>
      <c r="G90" s="74">
        <f t="array" ref="G90">IF(OR($D90="",$D90="NO ENCONTRADO"),"",_xlfn.XLOOKUP($D90,Productos!$E:$E,Productos!$J:$J,""))</f>
        <v/>
      </c>
      <c r="H90" s="74">
        <f t="array" ref="H90">IF(OR($D90="",$D90="NO ENCONTRADO"),"",_xlfn.XLOOKUP($D90,Productos!$E:$E,Productos!$K:$K,""))</f>
        <v/>
      </c>
      <c r="I90" s="74">
        <f t="array" ref="I90">IF(OR($D90="",$D90="NO ENCONTRADO"),"",_xlfn.XLOOKUP($D90,Productos!$E:$E,Productos!$F:$F,""))</f>
        <v/>
      </c>
      <c r="J90" s="74">
        <f>IF($C90="","",IF($D90="NO ENCONTRADO",IF(COUNTIF($C$7:$C$1000,$C90)&gt;1,"⚠️ No encontrado | Duplicado","⚠️ No encontrado"),IF(COUNTIF($C$7:$C$1000,$C90)&gt;1,"⚠️ Duplicado","Verificado")))</f>
        <v/>
      </c>
    </row>
    <row r="91" ht="15.75" customHeight="1" s="176">
      <c r="B91" s="47" t="n"/>
      <c r="C91" s="77" t="n"/>
      <c r="D91" s="74">
        <f t="array" ref="D91">IF($C91="","",IFNA(_xlfn.XLOOKUP($C91,Productos!$A:$A,Productos!$E:$E,IFNA(_xlfn.XLOOKUP(TEXT($C91,"0"),Productos!$A:$A,Productos!$E:$E,IFNA(_xlfn.XLOOKUP(IFERROR(VALUE($C91),""),Productos!$A:$A,Productos!$E:$E,_xlfn.XLOOKUP($C91,Productos!$E:$E,Productos!$E:$E,"NO ENCONTRADO")),"NO ENCONTRADO")),"NO ENCONTRADO")),"NO ENCONTRADO"))</f>
        <v/>
      </c>
      <c r="E91" s="74">
        <f t="array" ref="E91">IF(OR($D91="",$D91="NO ENCONTRADO"),"",_xlfn.XLOOKUP($D91,Productos!$E:$E,Productos!$H:$H,""))</f>
        <v/>
      </c>
      <c r="F91" s="74">
        <f t="array" ref="F91">IF(OR($D91="",$D91="NO ENCONTRADO"),"",_xlfn.XLOOKUP($D91,Productos!$E:$E,Productos!$I:$I,""))</f>
        <v/>
      </c>
      <c r="G91" s="74">
        <f t="array" ref="G91">IF(OR($D91="",$D91="NO ENCONTRADO"),"",_xlfn.XLOOKUP($D91,Productos!$E:$E,Productos!$J:$J,""))</f>
        <v/>
      </c>
      <c r="H91" s="74">
        <f t="array" ref="H91">IF(OR($D91="",$D91="NO ENCONTRADO"),"",_xlfn.XLOOKUP($D91,Productos!$E:$E,Productos!$K:$K,""))</f>
        <v/>
      </c>
      <c r="I91" s="74">
        <f t="array" ref="I91">IF(OR($D91="",$D91="NO ENCONTRADO"),"",_xlfn.XLOOKUP($D91,Productos!$E:$E,Productos!$F:$F,""))</f>
        <v/>
      </c>
      <c r="J91" s="74">
        <f>IF($C91="","",IF($D91="NO ENCONTRADO",IF(COUNTIF($C$7:$C$1000,$C91)&gt;1,"⚠️ No encontrado | Duplicado","⚠️ No encontrado"),IF(COUNTIF($C$7:$C$1000,$C91)&gt;1,"⚠️ Duplicado","Verificado")))</f>
        <v/>
      </c>
    </row>
    <row r="92" ht="15.75" customHeight="1" s="176">
      <c r="B92" s="47" t="n"/>
      <c r="C92" s="77" t="n"/>
      <c r="D92" s="74">
        <f t="array" ref="D92">IF($C92="","",IFNA(_xlfn.XLOOKUP($C92,Productos!$A:$A,Productos!$E:$E,IFNA(_xlfn.XLOOKUP(TEXT($C92,"0"),Productos!$A:$A,Productos!$E:$E,IFNA(_xlfn.XLOOKUP(IFERROR(VALUE($C92),""),Productos!$A:$A,Productos!$E:$E,_xlfn.XLOOKUP($C92,Productos!$E:$E,Productos!$E:$E,"NO ENCONTRADO")),"NO ENCONTRADO")),"NO ENCONTRADO")),"NO ENCONTRADO"))</f>
        <v/>
      </c>
      <c r="E92" s="74">
        <f t="array" ref="E92">IF(OR($D92="",$D92="NO ENCONTRADO"),"",_xlfn.XLOOKUP($D92,Productos!$E:$E,Productos!$H:$H,""))</f>
        <v/>
      </c>
      <c r="F92" s="74">
        <f t="array" ref="F92">IF(OR($D92="",$D92="NO ENCONTRADO"),"",_xlfn.XLOOKUP($D92,Productos!$E:$E,Productos!$I:$I,""))</f>
        <v/>
      </c>
      <c r="G92" s="74">
        <f t="array" ref="G92">IF(OR($D92="",$D92="NO ENCONTRADO"),"",_xlfn.XLOOKUP($D92,Productos!$E:$E,Productos!$J:$J,""))</f>
        <v/>
      </c>
      <c r="H92" s="74">
        <f t="array" ref="H92">IF(OR($D92="",$D92="NO ENCONTRADO"),"",_xlfn.XLOOKUP($D92,Productos!$E:$E,Productos!$K:$K,""))</f>
        <v/>
      </c>
      <c r="I92" s="74">
        <f t="array" ref="I92">IF(OR($D92="",$D92="NO ENCONTRADO"),"",_xlfn.XLOOKUP($D92,Productos!$E:$E,Productos!$F:$F,""))</f>
        <v/>
      </c>
      <c r="J92" s="74">
        <f>IF($C92="","",IF($D92="NO ENCONTRADO",IF(COUNTIF($C$7:$C$1000,$C92)&gt;1,"⚠️ No encontrado | Duplicado","⚠️ No encontrado"),IF(COUNTIF($C$7:$C$1000,$C92)&gt;1,"⚠️ Duplicado","Verificado")))</f>
        <v/>
      </c>
    </row>
    <row r="93" ht="15.75" customHeight="1" s="176">
      <c r="B93" s="47" t="n"/>
      <c r="C93" s="77" t="n"/>
      <c r="D93" s="74">
        <f t="array" ref="D93">IF($C93="","",IFNA(_xlfn.XLOOKUP($C93,Productos!$A:$A,Productos!$E:$E,IFNA(_xlfn.XLOOKUP(TEXT($C93,"0"),Productos!$A:$A,Productos!$E:$E,IFNA(_xlfn.XLOOKUP(IFERROR(VALUE($C93),""),Productos!$A:$A,Productos!$E:$E,_xlfn.XLOOKUP($C93,Productos!$E:$E,Productos!$E:$E,"NO ENCONTRADO")),"NO ENCONTRADO")),"NO ENCONTRADO")),"NO ENCONTRADO"))</f>
        <v/>
      </c>
      <c r="E93" s="74">
        <f t="array" ref="E93">IF(OR($D93="",$D93="NO ENCONTRADO"),"",_xlfn.XLOOKUP($D93,Productos!$E:$E,Productos!$H:$H,""))</f>
        <v/>
      </c>
      <c r="F93" s="74">
        <f t="array" ref="F93">IF(OR($D93="",$D93="NO ENCONTRADO"),"",_xlfn.XLOOKUP($D93,Productos!$E:$E,Productos!$I:$I,""))</f>
        <v/>
      </c>
      <c r="G93" s="74">
        <f t="array" ref="G93">IF(OR($D93="",$D93="NO ENCONTRADO"),"",_xlfn.XLOOKUP($D93,Productos!$E:$E,Productos!$J:$J,""))</f>
        <v/>
      </c>
      <c r="H93" s="74">
        <f t="array" ref="H93">IF(OR($D93="",$D93="NO ENCONTRADO"),"",_xlfn.XLOOKUP($D93,Productos!$E:$E,Productos!$K:$K,""))</f>
        <v/>
      </c>
      <c r="I93" s="74">
        <f t="array" ref="I93">IF(OR($D93="",$D93="NO ENCONTRADO"),"",_xlfn.XLOOKUP($D93,Productos!$E:$E,Productos!$F:$F,""))</f>
        <v/>
      </c>
      <c r="J93" s="74">
        <f>IF($C93="","",IF($D93="NO ENCONTRADO",IF(COUNTIF($C$7:$C$1000,$C93)&gt;1,"⚠️ No encontrado | Duplicado","⚠️ No encontrado"),IF(COUNTIF($C$7:$C$1000,$C93)&gt;1,"⚠️ Duplicado","Verificado")))</f>
        <v/>
      </c>
    </row>
    <row r="94" ht="15.75" customHeight="1" s="176">
      <c r="B94" s="47" t="n"/>
      <c r="C94" s="77" t="n"/>
      <c r="D94" s="74">
        <f t="array" ref="D94">IF($C94="","",IFNA(_xlfn.XLOOKUP($C94,Productos!$A:$A,Productos!$E:$E,IFNA(_xlfn.XLOOKUP(TEXT($C94,"0"),Productos!$A:$A,Productos!$E:$E,IFNA(_xlfn.XLOOKUP(IFERROR(VALUE($C94),""),Productos!$A:$A,Productos!$E:$E,_xlfn.XLOOKUP($C94,Productos!$E:$E,Productos!$E:$E,"NO ENCONTRADO")),"NO ENCONTRADO")),"NO ENCONTRADO")),"NO ENCONTRADO"))</f>
        <v/>
      </c>
      <c r="E94" s="74">
        <f t="array" ref="E94">IF(OR($D94="",$D94="NO ENCONTRADO"),"",_xlfn.XLOOKUP($D94,Productos!$E:$E,Productos!$H:$H,""))</f>
        <v/>
      </c>
      <c r="F94" s="74">
        <f t="array" ref="F94">IF(OR($D94="",$D94="NO ENCONTRADO"),"",_xlfn.XLOOKUP($D94,Productos!$E:$E,Productos!$I:$I,""))</f>
        <v/>
      </c>
      <c r="G94" s="74">
        <f t="array" ref="G94">IF(OR($D94="",$D94="NO ENCONTRADO"),"",_xlfn.XLOOKUP($D94,Productos!$E:$E,Productos!$J:$J,""))</f>
        <v/>
      </c>
      <c r="H94" s="74">
        <f t="array" ref="H94">IF(OR($D94="",$D94="NO ENCONTRADO"),"",_xlfn.XLOOKUP($D94,Productos!$E:$E,Productos!$K:$K,""))</f>
        <v/>
      </c>
      <c r="I94" s="74">
        <f t="array" ref="I94">IF(OR($D94="",$D94="NO ENCONTRADO"),"",_xlfn.XLOOKUP($D94,Productos!$E:$E,Productos!$F:$F,""))</f>
        <v/>
      </c>
      <c r="J94" s="74">
        <f>IF($C94="","",IF($D94="NO ENCONTRADO",IF(COUNTIF($C$7:$C$1000,$C94)&gt;1,"⚠️ No encontrado | Duplicado","⚠️ No encontrado"),IF(COUNTIF($C$7:$C$1000,$C94)&gt;1,"⚠️ Duplicado","Verificado")))</f>
        <v/>
      </c>
    </row>
    <row r="95" ht="15.75" customHeight="1" s="176">
      <c r="B95" s="47" t="n"/>
      <c r="C95" s="77" t="n"/>
      <c r="D95" s="74">
        <f t="array" ref="D95">IF($C95="","",IFNA(_xlfn.XLOOKUP($C95,Productos!$A:$A,Productos!$E:$E,IFNA(_xlfn.XLOOKUP(TEXT($C95,"0"),Productos!$A:$A,Productos!$E:$E,IFNA(_xlfn.XLOOKUP(IFERROR(VALUE($C95),""),Productos!$A:$A,Productos!$E:$E,_xlfn.XLOOKUP($C95,Productos!$E:$E,Productos!$E:$E,"NO ENCONTRADO")),"NO ENCONTRADO")),"NO ENCONTRADO")),"NO ENCONTRADO"))</f>
        <v/>
      </c>
      <c r="E95" s="74">
        <f t="array" ref="E95">IF(OR($D95="",$D95="NO ENCONTRADO"),"",_xlfn.XLOOKUP($D95,Productos!$E:$E,Productos!$H:$H,""))</f>
        <v/>
      </c>
      <c r="F95" s="74">
        <f t="array" ref="F95">IF(OR($D95="",$D95="NO ENCONTRADO"),"",_xlfn.XLOOKUP($D95,Productos!$E:$E,Productos!$I:$I,""))</f>
        <v/>
      </c>
      <c r="G95" s="74">
        <f t="array" ref="G95">IF(OR($D95="",$D95="NO ENCONTRADO"),"",_xlfn.XLOOKUP($D95,Productos!$E:$E,Productos!$J:$J,""))</f>
        <v/>
      </c>
      <c r="H95" s="74">
        <f t="array" ref="H95">IF(OR($D95="",$D95="NO ENCONTRADO"),"",_xlfn.XLOOKUP($D95,Productos!$E:$E,Productos!$K:$K,""))</f>
        <v/>
      </c>
      <c r="I95" s="74">
        <f t="array" ref="I95">IF(OR($D95="",$D95="NO ENCONTRADO"),"",_xlfn.XLOOKUP($D95,Productos!$E:$E,Productos!$F:$F,""))</f>
        <v/>
      </c>
      <c r="J95" s="74">
        <f>IF($C95="","",IF($D95="NO ENCONTRADO",IF(COUNTIF($C$7:$C$1000,$C95)&gt;1,"⚠️ No encontrado | Duplicado","⚠️ No encontrado"),IF(COUNTIF($C$7:$C$1000,$C95)&gt;1,"⚠️ Duplicado","Verificado")))</f>
        <v/>
      </c>
    </row>
    <row r="96" ht="15.75" customHeight="1" s="176">
      <c r="B96" s="47" t="n"/>
      <c r="C96" s="77" t="n"/>
      <c r="D96" s="74">
        <f t="array" ref="D96">IF($C96="","",IFNA(_xlfn.XLOOKUP($C96,Productos!$A:$A,Productos!$E:$E,IFNA(_xlfn.XLOOKUP(TEXT($C96,"0"),Productos!$A:$A,Productos!$E:$E,IFNA(_xlfn.XLOOKUP(IFERROR(VALUE($C96),""),Productos!$A:$A,Productos!$E:$E,_xlfn.XLOOKUP($C96,Productos!$E:$E,Productos!$E:$E,"NO ENCONTRADO")),"NO ENCONTRADO")),"NO ENCONTRADO")),"NO ENCONTRADO"))</f>
        <v/>
      </c>
      <c r="E96" s="74">
        <f t="array" ref="E96">IF(OR($D96="",$D96="NO ENCONTRADO"),"",_xlfn.XLOOKUP($D96,Productos!$E:$E,Productos!$H:$H,""))</f>
        <v/>
      </c>
      <c r="F96" s="74">
        <f t="array" ref="F96">IF(OR($D96="",$D96="NO ENCONTRADO"),"",_xlfn.XLOOKUP($D96,Productos!$E:$E,Productos!$I:$I,""))</f>
        <v/>
      </c>
      <c r="G96" s="74">
        <f t="array" ref="G96">IF(OR($D96="",$D96="NO ENCONTRADO"),"",_xlfn.XLOOKUP($D96,Productos!$E:$E,Productos!$J:$J,""))</f>
        <v/>
      </c>
      <c r="H96" s="74">
        <f t="array" ref="H96">IF(OR($D96="",$D96="NO ENCONTRADO"),"",_xlfn.XLOOKUP($D96,Productos!$E:$E,Productos!$K:$K,""))</f>
        <v/>
      </c>
      <c r="I96" s="74">
        <f t="array" ref="I96">IF(OR($D96="",$D96="NO ENCONTRADO"),"",_xlfn.XLOOKUP($D96,Productos!$E:$E,Productos!$F:$F,""))</f>
        <v/>
      </c>
      <c r="J96" s="74">
        <f>IF($C96="","",IF($D96="NO ENCONTRADO",IF(COUNTIF($C$7:$C$1000,$C96)&gt;1,"⚠️ No encontrado | Duplicado","⚠️ No encontrado"),IF(COUNTIF($C$7:$C$1000,$C96)&gt;1,"⚠️ Duplicado","Verificado")))</f>
        <v/>
      </c>
    </row>
    <row r="97" ht="15.75" customHeight="1" s="176">
      <c r="B97" s="47" t="n"/>
      <c r="C97" s="77" t="n"/>
      <c r="D97" s="74">
        <f t="array" ref="D97">IF($C97="","",IFNA(_xlfn.XLOOKUP($C97,Productos!$A:$A,Productos!$E:$E,IFNA(_xlfn.XLOOKUP(TEXT($C97,"0"),Productos!$A:$A,Productos!$E:$E,IFNA(_xlfn.XLOOKUP(IFERROR(VALUE($C97),""),Productos!$A:$A,Productos!$E:$E,_xlfn.XLOOKUP($C97,Productos!$E:$E,Productos!$E:$E,"NO ENCONTRADO")),"NO ENCONTRADO")),"NO ENCONTRADO")),"NO ENCONTRADO"))</f>
        <v/>
      </c>
      <c r="E97" s="74">
        <f t="array" ref="E97">IF(OR($D97="",$D97="NO ENCONTRADO"),"",_xlfn.XLOOKUP($D97,Productos!$E:$E,Productos!$H:$H,""))</f>
        <v/>
      </c>
      <c r="F97" s="74">
        <f t="array" ref="F97">IF(OR($D97="",$D97="NO ENCONTRADO"),"",_xlfn.XLOOKUP($D97,Productos!$E:$E,Productos!$I:$I,""))</f>
        <v/>
      </c>
      <c r="G97" s="74">
        <f t="array" ref="G97">IF(OR($D97="",$D97="NO ENCONTRADO"),"",_xlfn.XLOOKUP($D97,Productos!$E:$E,Productos!$J:$J,""))</f>
        <v/>
      </c>
      <c r="H97" s="74">
        <f t="array" ref="H97">IF(OR($D97="",$D97="NO ENCONTRADO"),"",_xlfn.XLOOKUP($D97,Productos!$E:$E,Productos!$K:$K,""))</f>
        <v/>
      </c>
      <c r="I97" s="74">
        <f t="array" ref="I97">IF(OR($D97="",$D97="NO ENCONTRADO"),"",_xlfn.XLOOKUP($D97,Productos!$E:$E,Productos!$F:$F,""))</f>
        <v/>
      </c>
      <c r="J97" s="74">
        <f>IF($C97="","",IF($D97="NO ENCONTRADO",IF(COUNTIF($C$7:$C$1000,$C97)&gt;1,"⚠️ No encontrado | Duplicado","⚠️ No encontrado"),IF(COUNTIF($C$7:$C$1000,$C97)&gt;1,"⚠️ Duplicado","Verificado")))</f>
        <v/>
      </c>
    </row>
    <row r="98" ht="15.75" customHeight="1" s="176">
      <c r="B98" s="47" t="n"/>
      <c r="C98" s="77" t="n"/>
      <c r="D98" s="74">
        <f t="array" ref="D98">IF($C98="","",IFNA(_xlfn.XLOOKUP($C98,Productos!$A:$A,Productos!$E:$E,IFNA(_xlfn.XLOOKUP(TEXT($C98,"0"),Productos!$A:$A,Productos!$E:$E,IFNA(_xlfn.XLOOKUP(IFERROR(VALUE($C98),""),Productos!$A:$A,Productos!$E:$E,_xlfn.XLOOKUP($C98,Productos!$E:$E,Productos!$E:$E,"NO ENCONTRADO")),"NO ENCONTRADO")),"NO ENCONTRADO")),"NO ENCONTRADO"))</f>
        <v/>
      </c>
      <c r="E98" s="74">
        <f t="array" ref="E98">IF(OR($D98="",$D98="NO ENCONTRADO"),"",_xlfn.XLOOKUP($D98,Productos!$E:$E,Productos!$H:$H,""))</f>
        <v/>
      </c>
      <c r="F98" s="74">
        <f t="array" ref="F98">IF(OR($D98="",$D98="NO ENCONTRADO"),"",_xlfn.XLOOKUP($D98,Productos!$E:$E,Productos!$I:$I,""))</f>
        <v/>
      </c>
      <c r="G98" s="74">
        <f t="array" ref="G98">IF(OR($D98="",$D98="NO ENCONTRADO"),"",_xlfn.XLOOKUP($D98,Productos!$E:$E,Productos!$J:$J,""))</f>
        <v/>
      </c>
      <c r="H98" s="74">
        <f t="array" ref="H98">IF(OR($D98="",$D98="NO ENCONTRADO"),"",_xlfn.XLOOKUP($D98,Productos!$E:$E,Productos!$K:$K,""))</f>
        <v/>
      </c>
      <c r="I98" s="74">
        <f t="array" ref="I98">IF(OR($D98="",$D98="NO ENCONTRADO"),"",_xlfn.XLOOKUP($D98,Productos!$E:$E,Productos!$F:$F,""))</f>
        <v/>
      </c>
      <c r="J98" s="74">
        <f>IF($C98="","",IF($D98="NO ENCONTRADO",IF(COUNTIF($C$7:$C$1000,$C98)&gt;1,"⚠️ No encontrado | Duplicado","⚠️ No encontrado"),IF(COUNTIF($C$7:$C$1000,$C98)&gt;1,"⚠️ Duplicado","Verificado")))</f>
        <v/>
      </c>
    </row>
    <row r="99" ht="15.75" customHeight="1" s="176">
      <c r="B99" s="47" t="n"/>
      <c r="C99" s="77" t="n"/>
      <c r="D99" s="74">
        <f t="array" ref="D99">IF($C99="","",IFNA(_xlfn.XLOOKUP($C99,Productos!$A:$A,Productos!$E:$E,IFNA(_xlfn.XLOOKUP(TEXT($C99,"0"),Productos!$A:$A,Productos!$E:$E,IFNA(_xlfn.XLOOKUP(IFERROR(VALUE($C99),""),Productos!$A:$A,Productos!$E:$E,_xlfn.XLOOKUP($C99,Productos!$E:$E,Productos!$E:$E,"NO ENCONTRADO")),"NO ENCONTRADO")),"NO ENCONTRADO")),"NO ENCONTRADO"))</f>
        <v/>
      </c>
      <c r="E99" s="74">
        <f t="array" ref="E99">IF(OR($D99="",$D99="NO ENCONTRADO"),"",_xlfn.XLOOKUP($D99,Productos!$E:$E,Productos!$H:$H,""))</f>
        <v/>
      </c>
      <c r="F99" s="74">
        <f t="array" ref="F99">IF(OR($D99="",$D99="NO ENCONTRADO"),"",_xlfn.XLOOKUP($D99,Productos!$E:$E,Productos!$I:$I,""))</f>
        <v/>
      </c>
      <c r="G99" s="74">
        <f t="array" ref="G99">IF(OR($D99="",$D99="NO ENCONTRADO"),"",_xlfn.XLOOKUP($D99,Productos!$E:$E,Productos!$J:$J,""))</f>
        <v/>
      </c>
      <c r="H99" s="74">
        <f t="array" ref="H99">IF(OR($D99="",$D99="NO ENCONTRADO"),"",_xlfn.XLOOKUP($D99,Productos!$E:$E,Productos!$K:$K,""))</f>
        <v/>
      </c>
      <c r="I99" s="74">
        <f t="array" ref="I99">IF(OR($D99="",$D99="NO ENCONTRADO"),"",_xlfn.XLOOKUP($D99,Productos!$E:$E,Productos!$F:$F,""))</f>
        <v/>
      </c>
      <c r="J99" s="74">
        <f>IF($C99="","",IF($D99="NO ENCONTRADO",IF(COUNTIF($C$7:$C$1000,$C99)&gt;1,"⚠️ No encontrado | Duplicado","⚠️ No encontrado"),IF(COUNTIF($C$7:$C$1000,$C99)&gt;1,"⚠️ Duplicado","Verificado")))</f>
        <v/>
      </c>
    </row>
    <row r="100" ht="15.75" customHeight="1" s="176">
      <c r="B100" s="47" t="n"/>
      <c r="C100" s="77" t="n"/>
      <c r="D100" s="74">
        <f t="array" ref="D100">IF($C100="","",IFNA(_xlfn.XLOOKUP($C100,Productos!$A:$A,Productos!$E:$E,IFNA(_xlfn.XLOOKUP(TEXT($C100,"0"),Productos!$A:$A,Productos!$E:$E,IFNA(_xlfn.XLOOKUP(IFERROR(VALUE($C100),""),Productos!$A:$A,Productos!$E:$E,_xlfn.XLOOKUP($C100,Productos!$E:$E,Productos!$E:$E,"NO ENCONTRADO")),"NO ENCONTRADO")),"NO ENCONTRADO")),"NO ENCONTRADO"))</f>
        <v/>
      </c>
      <c r="E100" s="74">
        <f t="array" ref="E100">IF(OR($D100="",$D100="NO ENCONTRADO"),"",_xlfn.XLOOKUP($D100,Productos!$E:$E,Productos!$H:$H,""))</f>
        <v/>
      </c>
      <c r="F100" s="74">
        <f t="array" ref="F100">IF(OR($D100="",$D100="NO ENCONTRADO"),"",_xlfn.XLOOKUP($D100,Productos!$E:$E,Productos!$I:$I,""))</f>
        <v/>
      </c>
      <c r="G100" s="74">
        <f t="array" ref="G100">IF(OR($D100="",$D100="NO ENCONTRADO"),"",_xlfn.XLOOKUP($D100,Productos!$E:$E,Productos!$J:$J,""))</f>
        <v/>
      </c>
      <c r="H100" s="74">
        <f t="array" ref="H100">IF(OR($D100="",$D100="NO ENCONTRADO"),"",_xlfn.XLOOKUP($D100,Productos!$E:$E,Productos!$K:$K,""))</f>
        <v/>
      </c>
      <c r="I100" s="74">
        <f t="array" ref="I100">IF(OR($D100="",$D100="NO ENCONTRADO"),"",_xlfn.XLOOKUP($D100,Productos!$E:$E,Productos!$F:$F,""))</f>
        <v/>
      </c>
      <c r="J100" s="74">
        <f>IF($C100="","",IF($D100="NO ENCONTRADO",IF(COUNTIF($C$7:$C$1000,$C100)&gt;1,"⚠️ No encontrado | Duplicado","⚠️ No encontrado"),IF(COUNTIF($C$7:$C$1000,$C100)&gt;1,"⚠️ Duplicado","Verificado")))</f>
        <v/>
      </c>
    </row>
    <row r="101" ht="15.75" customHeight="1" s="176">
      <c r="B101" s="80" t="n"/>
      <c r="C101" s="77" t="n"/>
      <c r="D101" s="74">
        <f t="array" ref="D101">IF($C101="","",IFNA(_xlfn.XLOOKUP($C101,Productos!$A:$A,Productos!$E:$E,IFNA(_xlfn.XLOOKUP(TEXT($C101,"0"),Productos!$A:$A,Productos!$E:$E,IFNA(_xlfn.XLOOKUP(IFERROR(VALUE($C101),""),Productos!$A:$A,Productos!$E:$E,_xlfn.XLOOKUP($C101,Productos!$E:$E,Productos!$E:$E,"NO ENCONTRADO")),"NO ENCONTRADO")),"NO ENCONTRADO")),"NO ENCONTRADO"))</f>
        <v/>
      </c>
      <c r="E101" s="74">
        <f t="array" ref="E101">IF(OR($D101="",$D101="NO ENCONTRADO"),"",_xlfn.XLOOKUP($D101,Productos!$E:$E,Productos!$H:$H,""))</f>
        <v/>
      </c>
      <c r="F101" s="74">
        <f t="array" ref="F101">IF(OR($D101="",$D101="NO ENCONTRADO"),"",_xlfn.XLOOKUP($D101,Productos!$E:$E,Productos!$I:$I,""))</f>
        <v/>
      </c>
      <c r="G101" s="74">
        <f t="array" ref="G101">IF(OR($D101="",$D101="NO ENCONTRADO"),"",_xlfn.XLOOKUP($D101,Productos!$E:$E,Productos!$J:$J,""))</f>
        <v/>
      </c>
      <c r="H101" s="74">
        <f t="array" ref="H101">IF(OR($D101="",$D101="NO ENCONTRADO"),"",_xlfn.XLOOKUP($D101,Productos!$E:$E,Productos!$K:$K,""))</f>
        <v/>
      </c>
      <c r="I101" s="74">
        <f t="array" ref="I101">IF(OR($D101="",$D101="NO ENCONTRADO"),"",_xlfn.XLOOKUP($D101,Productos!$E:$E,Productos!$F:$F,""))</f>
        <v/>
      </c>
      <c r="J101" s="74">
        <f>IF($C101="","",IF($D101="NO ENCONTRADO",IF(COUNTIF($C$7:$C$1000,$C101)&gt;1,"⚠️ No encontrado | Duplicado","⚠️ No encontrado"),IF(COUNTIF($C$7:$C$1000,$C101)&gt;1,"⚠️ Duplicado","Verificado")))</f>
        <v/>
      </c>
    </row>
    <row r="102" ht="15.75" customHeight="1" s="176">
      <c r="B102" s="80" t="n"/>
      <c r="C102" s="77" t="n"/>
      <c r="D102" s="74">
        <f t="array" ref="D102">IF($C102="","",IFNA(_xlfn.XLOOKUP($C102,Productos!$A:$A,Productos!$E:$E,IFNA(_xlfn.XLOOKUP(TEXT($C102,"0"),Productos!$A:$A,Productos!$E:$E,IFNA(_xlfn.XLOOKUP(IFERROR(VALUE($C102),""),Productos!$A:$A,Productos!$E:$E,_xlfn.XLOOKUP($C102,Productos!$E:$E,Productos!$E:$E,"NO ENCONTRADO")),"NO ENCONTRADO")),"NO ENCONTRADO")),"NO ENCONTRADO"))</f>
        <v/>
      </c>
      <c r="E102" s="74">
        <f t="array" ref="E102">IF(OR($D102="",$D102="NO ENCONTRADO"),"",_xlfn.XLOOKUP($D102,Productos!$E:$E,Productos!$H:$H,""))</f>
        <v/>
      </c>
      <c r="F102" s="74">
        <f t="array" ref="F102">IF(OR($D102="",$D102="NO ENCONTRADO"),"",_xlfn.XLOOKUP($D102,Productos!$E:$E,Productos!$I:$I,""))</f>
        <v/>
      </c>
      <c r="G102" s="74">
        <f t="array" ref="G102">IF(OR($D102="",$D102="NO ENCONTRADO"),"",_xlfn.XLOOKUP($D102,Productos!$E:$E,Productos!$J:$J,""))</f>
        <v/>
      </c>
      <c r="H102" s="74">
        <f t="array" ref="H102">IF(OR($D102="",$D102="NO ENCONTRADO"),"",_xlfn.XLOOKUP($D102,Productos!$E:$E,Productos!$K:$K,""))</f>
        <v/>
      </c>
      <c r="I102" s="74">
        <f t="array" ref="I102">IF(OR($D102="",$D102="NO ENCONTRADO"),"",_xlfn.XLOOKUP($D102,Productos!$E:$E,Productos!$F:$F,""))</f>
        <v/>
      </c>
      <c r="J102" s="74">
        <f>IF($C102="","",IF($D102="NO ENCONTRADO",IF(COUNTIF($C$7:$C$1000,$C102)&gt;1,"⚠️ No encontrado | Duplicado","⚠️ No encontrado"),IF(COUNTIF($C$7:$C$1000,$C102)&gt;1,"⚠️ Duplicado","Verificado")))</f>
        <v/>
      </c>
    </row>
    <row r="103" ht="15.75" customHeight="1" s="176">
      <c r="B103" s="80" t="n"/>
      <c r="C103" s="77" t="n"/>
      <c r="D103" s="74">
        <f t="array" ref="D103">IF($C103="","",IFNA(_xlfn.XLOOKUP($C103,Productos!$A:$A,Productos!$E:$E,IFNA(_xlfn.XLOOKUP(TEXT($C103,"0"),Productos!$A:$A,Productos!$E:$E,IFNA(_xlfn.XLOOKUP(IFERROR(VALUE($C103),""),Productos!$A:$A,Productos!$E:$E,_xlfn.XLOOKUP($C103,Productos!$E:$E,Productos!$E:$E,"NO ENCONTRADO")),"NO ENCONTRADO")),"NO ENCONTRADO")),"NO ENCONTRADO"))</f>
        <v/>
      </c>
      <c r="E103" s="74">
        <f t="array" ref="E103">IF(OR($D103="",$D103="NO ENCONTRADO"),"",_xlfn.XLOOKUP($D103,Productos!$E:$E,Productos!$H:$H,""))</f>
        <v/>
      </c>
      <c r="F103" s="74">
        <f t="array" ref="F103">IF(OR($D103="",$D103="NO ENCONTRADO"),"",_xlfn.XLOOKUP($D103,Productos!$E:$E,Productos!$I:$I,""))</f>
        <v/>
      </c>
      <c r="G103" s="74">
        <f t="array" ref="G103">IF(OR($D103="",$D103="NO ENCONTRADO"),"",_xlfn.XLOOKUP($D103,Productos!$E:$E,Productos!$J:$J,""))</f>
        <v/>
      </c>
      <c r="H103" s="74">
        <f t="array" ref="H103">IF(OR($D103="",$D103="NO ENCONTRADO"),"",_xlfn.XLOOKUP($D103,Productos!$E:$E,Productos!$K:$K,""))</f>
        <v/>
      </c>
      <c r="I103" s="74">
        <f t="array" ref="I103">IF(OR($D103="",$D103="NO ENCONTRADO"),"",_xlfn.XLOOKUP($D103,Productos!$E:$E,Productos!$F:$F,""))</f>
        <v/>
      </c>
      <c r="J103" s="74">
        <f>IF($C103="","",IF($D103="NO ENCONTRADO",IF(COUNTIF($C$7:$C$1000,$C103)&gt;1,"⚠️ No encontrado | Duplicado","⚠️ No encontrado"),IF(COUNTIF($C$7:$C$1000,$C103)&gt;1,"⚠️ Duplicado","Verificado")))</f>
        <v/>
      </c>
    </row>
    <row r="104" ht="15.75" customHeight="1" s="176">
      <c r="B104" s="80" t="n"/>
      <c r="C104" s="77" t="n"/>
      <c r="D104" s="74">
        <f t="array" ref="D104">IF($C104="","",IFNA(_xlfn.XLOOKUP($C104,Productos!$A:$A,Productos!$E:$E,IFNA(_xlfn.XLOOKUP(TEXT($C104,"0"),Productos!$A:$A,Productos!$E:$E,IFNA(_xlfn.XLOOKUP(IFERROR(VALUE($C104),""),Productos!$A:$A,Productos!$E:$E,_xlfn.XLOOKUP($C104,Productos!$E:$E,Productos!$E:$E,"NO ENCONTRADO")),"NO ENCONTRADO")),"NO ENCONTRADO")),"NO ENCONTRADO"))</f>
        <v/>
      </c>
      <c r="E104" s="74">
        <f t="array" ref="E104">IF(OR($D104="",$D104="NO ENCONTRADO"),"",_xlfn.XLOOKUP($D104,Productos!$E:$E,Productos!$H:$H,""))</f>
        <v/>
      </c>
      <c r="F104" s="74">
        <f t="array" ref="F104">IF(OR($D104="",$D104="NO ENCONTRADO"),"",_xlfn.XLOOKUP($D104,Productos!$E:$E,Productos!$I:$I,""))</f>
        <v/>
      </c>
      <c r="G104" s="74">
        <f t="array" ref="G104">IF(OR($D104="",$D104="NO ENCONTRADO"),"",_xlfn.XLOOKUP($D104,Productos!$E:$E,Productos!$J:$J,""))</f>
        <v/>
      </c>
      <c r="H104" s="74">
        <f t="array" ref="H104">IF(OR($D104="",$D104="NO ENCONTRADO"),"",_xlfn.XLOOKUP($D104,Productos!$E:$E,Productos!$K:$K,""))</f>
        <v/>
      </c>
      <c r="I104" s="74">
        <f t="array" ref="I104">IF(OR($D104="",$D104="NO ENCONTRADO"),"",_xlfn.XLOOKUP($D104,Productos!$E:$E,Productos!$F:$F,""))</f>
        <v/>
      </c>
      <c r="J104" s="74">
        <f>IF($C104="","",IF($D104="NO ENCONTRADO",IF(COUNTIF($C$7:$C$1000,$C104)&gt;1,"⚠️ No encontrado | Duplicado","⚠️ No encontrado"),IF(COUNTIF($C$7:$C$1000,$C104)&gt;1,"⚠️ Duplicado","Verificado")))</f>
        <v/>
      </c>
    </row>
    <row r="105" ht="15.75" customHeight="1" s="176">
      <c r="B105" s="80" t="n"/>
      <c r="C105" s="77" t="n"/>
      <c r="D105" s="74">
        <f t="array" ref="D105">IF($C105="","",IFNA(_xlfn.XLOOKUP($C105,Productos!$A:$A,Productos!$E:$E,IFNA(_xlfn.XLOOKUP(TEXT($C105,"0"),Productos!$A:$A,Productos!$E:$E,IFNA(_xlfn.XLOOKUP(IFERROR(VALUE($C105),""),Productos!$A:$A,Productos!$E:$E,_xlfn.XLOOKUP($C105,Productos!$E:$E,Productos!$E:$E,"NO ENCONTRADO")),"NO ENCONTRADO")),"NO ENCONTRADO")),"NO ENCONTRADO"))</f>
        <v/>
      </c>
      <c r="E105" s="74">
        <f t="array" ref="E105">IF(OR($D105="",$D105="NO ENCONTRADO"),"",_xlfn.XLOOKUP($D105,Productos!$E:$E,Productos!$H:$H,""))</f>
        <v/>
      </c>
      <c r="F105" s="74">
        <f t="array" ref="F105">IF(OR($D105="",$D105="NO ENCONTRADO"),"",_xlfn.XLOOKUP($D105,Productos!$E:$E,Productos!$I:$I,""))</f>
        <v/>
      </c>
      <c r="G105" s="74">
        <f t="array" ref="G105">IF(OR($D105="",$D105="NO ENCONTRADO"),"",_xlfn.XLOOKUP($D105,Productos!$E:$E,Productos!$J:$J,""))</f>
        <v/>
      </c>
      <c r="H105" s="74">
        <f t="array" ref="H105">IF(OR($D105="",$D105="NO ENCONTRADO"),"",_xlfn.XLOOKUP($D105,Productos!$E:$E,Productos!$K:$K,""))</f>
        <v/>
      </c>
      <c r="I105" s="74">
        <f t="array" ref="I105">IF(OR($D105="",$D105="NO ENCONTRADO"),"",_xlfn.XLOOKUP($D105,Productos!$E:$E,Productos!$F:$F,""))</f>
        <v/>
      </c>
      <c r="J105" s="74">
        <f>IF($C105="","",IF($D105="NO ENCONTRADO",IF(COUNTIF($C$7:$C$1000,$C105)&gt;1,"⚠️ No encontrado | Duplicado","⚠️ No encontrado"),IF(COUNTIF($C$7:$C$1000,$C105)&gt;1,"⚠️ Duplicado","Verificado")))</f>
        <v/>
      </c>
    </row>
    <row r="106" ht="15.75" customHeight="1" s="176">
      <c r="B106" s="80" t="n"/>
      <c r="C106" s="77" t="n"/>
      <c r="D106" s="74">
        <f t="array" ref="D106">IF($C106="","",IFNA(_xlfn.XLOOKUP($C106,Productos!$A:$A,Productos!$E:$E,IFNA(_xlfn.XLOOKUP(TEXT($C106,"0"),Productos!$A:$A,Productos!$E:$E,IFNA(_xlfn.XLOOKUP(IFERROR(VALUE($C106),""),Productos!$A:$A,Productos!$E:$E,_xlfn.XLOOKUP($C106,Productos!$E:$E,Productos!$E:$E,"NO ENCONTRADO")),"NO ENCONTRADO")),"NO ENCONTRADO")),"NO ENCONTRADO"))</f>
        <v/>
      </c>
      <c r="E106" s="74">
        <f t="array" ref="E106">IF(OR($D106="",$D106="NO ENCONTRADO"),"",_xlfn.XLOOKUP($D106,Productos!$E:$E,Productos!$H:$H,""))</f>
        <v/>
      </c>
      <c r="F106" s="74">
        <f t="array" ref="F106">IF(OR($D106="",$D106="NO ENCONTRADO"),"",_xlfn.XLOOKUP($D106,Productos!$E:$E,Productos!$I:$I,""))</f>
        <v/>
      </c>
      <c r="G106" s="74">
        <f t="array" ref="G106">IF(OR($D106="",$D106="NO ENCONTRADO"),"",_xlfn.XLOOKUP($D106,Productos!$E:$E,Productos!$J:$J,""))</f>
        <v/>
      </c>
      <c r="H106" s="74">
        <f t="array" ref="H106">IF(OR($D106="",$D106="NO ENCONTRADO"),"",_xlfn.XLOOKUP($D106,Productos!$E:$E,Productos!$K:$K,""))</f>
        <v/>
      </c>
      <c r="I106" s="74">
        <f t="array" ref="I106">IF(OR($D106="",$D106="NO ENCONTRADO"),"",_xlfn.XLOOKUP($D106,Productos!$E:$E,Productos!$F:$F,""))</f>
        <v/>
      </c>
      <c r="J106" s="74">
        <f>IF($C106="","",IF($D106="NO ENCONTRADO",IF(COUNTIF($C$7:$C$1000,$C106)&gt;1,"⚠️ No encontrado | Duplicado","⚠️ No encontrado"),IF(COUNTIF($C$7:$C$1000,$C106)&gt;1,"⚠️ Duplicado","Verificado")))</f>
        <v/>
      </c>
    </row>
    <row r="107" ht="15.75" customHeight="1" s="176">
      <c r="B107" s="80" t="n"/>
      <c r="C107" s="77" t="n"/>
      <c r="D107" s="74">
        <f t="array" ref="D107">IF($C107="","",IFNA(_xlfn.XLOOKUP($C107,Productos!$A:$A,Productos!$E:$E,IFNA(_xlfn.XLOOKUP(TEXT($C107,"0"),Productos!$A:$A,Productos!$E:$E,IFNA(_xlfn.XLOOKUP(IFERROR(VALUE($C107),""),Productos!$A:$A,Productos!$E:$E,_xlfn.XLOOKUP($C107,Productos!$E:$E,Productos!$E:$E,"NO ENCONTRADO")),"NO ENCONTRADO")),"NO ENCONTRADO")),"NO ENCONTRADO"))</f>
        <v/>
      </c>
      <c r="E107" s="74">
        <f t="array" ref="E107">IF(OR($D107="",$D107="NO ENCONTRADO"),"",_xlfn.XLOOKUP($D107,Productos!$E:$E,Productos!$H:$H,""))</f>
        <v/>
      </c>
      <c r="F107" s="74">
        <f t="array" ref="F107">IF(OR($D107="",$D107="NO ENCONTRADO"),"",_xlfn.XLOOKUP($D107,Productos!$E:$E,Productos!$I:$I,""))</f>
        <v/>
      </c>
      <c r="G107" s="74">
        <f t="array" ref="G107">IF(OR($D107="",$D107="NO ENCONTRADO"),"",_xlfn.XLOOKUP($D107,Productos!$E:$E,Productos!$J:$J,""))</f>
        <v/>
      </c>
      <c r="H107" s="74">
        <f t="array" ref="H107">IF(OR($D107="",$D107="NO ENCONTRADO"),"",_xlfn.XLOOKUP($D107,Productos!$E:$E,Productos!$K:$K,""))</f>
        <v/>
      </c>
      <c r="I107" s="74">
        <f t="array" ref="I107">IF(OR($D107="",$D107="NO ENCONTRADO"),"",_xlfn.XLOOKUP($D107,Productos!$E:$E,Productos!$F:$F,""))</f>
        <v/>
      </c>
      <c r="J107" s="74">
        <f>IF($C107="","",IF($D107="NO ENCONTRADO",IF(COUNTIF($C$7:$C$1000,$C107)&gt;1,"⚠️ No encontrado | Duplicado","⚠️ No encontrado"),IF(COUNTIF($C$7:$C$1000,$C107)&gt;1,"⚠️ Duplicado","Verificado")))</f>
        <v/>
      </c>
    </row>
    <row r="108" ht="15.75" customHeight="1" s="176">
      <c r="B108" s="80" t="n"/>
      <c r="C108" s="77" t="n"/>
      <c r="D108" s="74">
        <f t="array" ref="D108">IF($C108="","",IFNA(_xlfn.XLOOKUP($C108,Productos!$A:$A,Productos!$E:$E,IFNA(_xlfn.XLOOKUP(TEXT($C108,"0"),Productos!$A:$A,Productos!$E:$E,IFNA(_xlfn.XLOOKUP(IFERROR(VALUE($C108),""),Productos!$A:$A,Productos!$E:$E,_xlfn.XLOOKUP($C108,Productos!$E:$E,Productos!$E:$E,"NO ENCONTRADO")),"NO ENCONTRADO")),"NO ENCONTRADO")),"NO ENCONTRADO"))</f>
        <v/>
      </c>
      <c r="E108" s="74">
        <f t="array" ref="E108">IF(OR($D108="",$D108="NO ENCONTRADO"),"",_xlfn.XLOOKUP($D108,Productos!$E:$E,Productos!$H:$H,""))</f>
        <v/>
      </c>
      <c r="F108" s="74">
        <f t="array" ref="F108">IF(OR($D108="",$D108="NO ENCONTRADO"),"",_xlfn.XLOOKUP($D108,Productos!$E:$E,Productos!$I:$I,""))</f>
        <v/>
      </c>
      <c r="G108" s="74">
        <f t="array" ref="G108">IF(OR($D108="",$D108="NO ENCONTRADO"),"",_xlfn.XLOOKUP($D108,Productos!$E:$E,Productos!$J:$J,""))</f>
        <v/>
      </c>
      <c r="H108" s="74">
        <f t="array" ref="H108">IF(OR($D108="",$D108="NO ENCONTRADO"),"",_xlfn.XLOOKUP($D108,Productos!$E:$E,Productos!$K:$K,""))</f>
        <v/>
      </c>
      <c r="I108" s="74">
        <f t="array" ref="I108">IF(OR($D108="",$D108="NO ENCONTRADO"),"",_xlfn.XLOOKUP($D108,Productos!$E:$E,Productos!$F:$F,""))</f>
        <v/>
      </c>
      <c r="J108" s="74">
        <f>IF($C108="","",IF($D108="NO ENCONTRADO",IF(COUNTIF($C$7:$C$1000,$C108)&gt;1,"⚠️ No encontrado | Duplicado","⚠️ No encontrado"),IF(COUNTIF($C$7:$C$1000,$C108)&gt;1,"⚠️ Duplicado","Verificado")))</f>
        <v/>
      </c>
    </row>
    <row r="109" ht="15.75" customHeight="1" s="176">
      <c r="B109" s="80" t="n"/>
      <c r="C109" s="77" t="n"/>
      <c r="D109" s="74">
        <f t="array" ref="D109">IF($C109="","",IFNA(_xlfn.XLOOKUP($C109,Productos!$A:$A,Productos!$E:$E,IFNA(_xlfn.XLOOKUP(TEXT($C109,"0"),Productos!$A:$A,Productos!$E:$E,IFNA(_xlfn.XLOOKUP(IFERROR(VALUE($C109),""),Productos!$A:$A,Productos!$E:$E,_xlfn.XLOOKUP($C109,Productos!$E:$E,Productos!$E:$E,"NO ENCONTRADO")),"NO ENCONTRADO")),"NO ENCONTRADO")),"NO ENCONTRADO"))</f>
        <v/>
      </c>
      <c r="E109" s="74">
        <f t="array" ref="E109">IF(OR($D109="",$D109="NO ENCONTRADO"),"",_xlfn.XLOOKUP($D109,Productos!$E:$E,Productos!$H:$H,""))</f>
        <v/>
      </c>
      <c r="F109" s="74">
        <f t="array" ref="F109">IF(OR($D109="",$D109="NO ENCONTRADO"),"",_xlfn.XLOOKUP($D109,Productos!$E:$E,Productos!$I:$I,""))</f>
        <v/>
      </c>
      <c r="G109" s="74">
        <f t="array" ref="G109">IF(OR($D109="",$D109="NO ENCONTRADO"),"",_xlfn.XLOOKUP($D109,Productos!$E:$E,Productos!$J:$J,""))</f>
        <v/>
      </c>
      <c r="H109" s="74">
        <f t="array" ref="H109">IF(OR($D109="",$D109="NO ENCONTRADO"),"",_xlfn.XLOOKUP($D109,Productos!$E:$E,Productos!$K:$K,""))</f>
        <v/>
      </c>
      <c r="I109" s="74">
        <f t="array" ref="I109">IF(OR($D109="",$D109="NO ENCONTRADO"),"",_xlfn.XLOOKUP($D109,Productos!$E:$E,Productos!$F:$F,""))</f>
        <v/>
      </c>
      <c r="J109" s="74">
        <f>IF($C109="","",IF($D109="NO ENCONTRADO",IF(COUNTIF($C$7:$C$1000,$C109)&gt;1,"⚠️ No encontrado | Duplicado","⚠️ No encontrado"),IF(COUNTIF($C$7:$C$1000,$C109)&gt;1,"⚠️ Duplicado","Verificado")))</f>
        <v/>
      </c>
    </row>
    <row r="110" ht="15.75" customHeight="1" s="176">
      <c r="B110" s="80" t="n"/>
      <c r="C110" s="77" t="n"/>
      <c r="D110" s="74">
        <f t="array" ref="D110">IF($C110="","",IFNA(_xlfn.XLOOKUP($C110,Productos!$A:$A,Productos!$E:$E,IFNA(_xlfn.XLOOKUP(TEXT($C110,"0"),Productos!$A:$A,Productos!$E:$E,IFNA(_xlfn.XLOOKUP(IFERROR(VALUE($C110),""),Productos!$A:$A,Productos!$E:$E,_xlfn.XLOOKUP($C110,Productos!$E:$E,Productos!$E:$E,"NO ENCONTRADO")),"NO ENCONTRADO")),"NO ENCONTRADO")),"NO ENCONTRADO"))</f>
        <v/>
      </c>
      <c r="E110" s="74">
        <f t="array" ref="E110">IF(OR($D110="",$D110="NO ENCONTRADO"),"",_xlfn.XLOOKUP($D110,Productos!$E:$E,Productos!$H:$H,""))</f>
        <v/>
      </c>
      <c r="F110" s="74">
        <f t="array" ref="F110">IF(OR($D110="",$D110="NO ENCONTRADO"),"",_xlfn.XLOOKUP($D110,Productos!$E:$E,Productos!$I:$I,""))</f>
        <v/>
      </c>
      <c r="G110" s="74">
        <f t="array" ref="G110">IF(OR($D110="",$D110="NO ENCONTRADO"),"",_xlfn.XLOOKUP($D110,Productos!$E:$E,Productos!$J:$J,""))</f>
        <v/>
      </c>
      <c r="H110" s="74">
        <f t="array" ref="H110">IF(OR($D110="",$D110="NO ENCONTRADO"),"",_xlfn.XLOOKUP($D110,Productos!$E:$E,Productos!$K:$K,""))</f>
        <v/>
      </c>
      <c r="I110" s="74">
        <f t="array" ref="I110">IF(OR($D110="",$D110="NO ENCONTRADO"),"",_xlfn.XLOOKUP($D110,Productos!$E:$E,Productos!$F:$F,""))</f>
        <v/>
      </c>
      <c r="J110" s="74">
        <f>IF($C110="","",IF($D110="NO ENCONTRADO",IF(COUNTIF($C$7:$C$1000,$C110)&gt;1,"⚠️ No encontrado | Duplicado","⚠️ No encontrado"),IF(COUNTIF($C$7:$C$1000,$C110)&gt;1,"⚠️ Duplicado","Verificado")))</f>
        <v/>
      </c>
    </row>
    <row r="111" ht="15.75" customHeight="1" s="176">
      <c r="B111" s="80" t="n"/>
      <c r="C111" s="77" t="n"/>
      <c r="D111" s="74">
        <f t="array" ref="D111">IF($C111="","",IFNA(_xlfn.XLOOKUP($C111,Productos!$A:$A,Productos!$E:$E,IFNA(_xlfn.XLOOKUP(TEXT($C111,"0"),Productos!$A:$A,Productos!$E:$E,IFNA(_xlfn.XLOOKUP(IFERROR(VALUE($C111),""),Productos!$A:$A,Productos!$E:$E,_xlfn.XLOOKUP($C111,Productos!$E:$E,Productos!$E:$E,"NO ENCONTRADO")),"NO ENCONTRADO")),"NO ENCONTRADO")),"NO ENCONTRADO"))</f>
        <v/>
      </c>
      <c r="E111" s="74">
        <f t="array" ref="E111">IF(OR($D111="",$D111="NO ENCONTRADO"),"",_xlfn.XLOOKUP($D111,Productos!$E:$E,Productos!$H:$H,""))</f>
        <v/>
      </c>
      <c r="F111" s="74">
        <f t="array" ref="F111">IF(OR($D111="",$D111="NO ENCONTRADO"),"",_xlfn.XLOOKUP($D111,Productos!$E:$E,Productos!$I:$I,""))</f>
        <v/>
      </c>
      <c r="G111" s="74">
        <f t="array" ref="G111">IF(OR($D111="",$D111="NO ENCONTRADO"),"",_xlfn.XLOOKUP($D111,Productos!$E:$E,Productos!$J:$J,""))</f>
        <v/>
      </c>
      <c r="H111" s="74">
        <f t="array" ref="H111">IF(OR($D111="",$D111="NO ENCONTRADO"),"",_xlfn.XLOOKUP($D111,Productos!$E:$E,Productos!$K:$K,""))</f>
        <v/>
      </c>
      <c r="I111" s="74">
        <f t="array" ref="I111">IF(OR($D111="",$D111="NO ENCONTRADO"),"",_xlfn.XLOOKUP($D111,Productos!$E:$E,Productos!$F:$F,""))</f>
        <v/>
      </c>
      <c r="J111" s="74">
        <f>IF($C111="","",IF($D111="NO ENCONTRADO",IF(COUNTIF($C$7:$C$1000,$C111)&gt;1,"⚠️ No encontrado | Duplicado","⚠️ No encontrado"),IF(COUNTIF($C$7:$C$1000,$C111)&gt;1,"⚠️ Duplicado","Verificado")))</f>
        <v/>
      </c>
    </row>
    <row r="112" ht="15.75" customHeight="1" s="176">
      <c r="B112" s="80" t="n"/>
      <c r="C112" s="77" t="n"/>
      <c r="D112" s="74">
        <f t="array" ref="D112">IF($C112="","",IFNA(_xlfn.XLOOKUP($C112,Productos!$A:$A,Productos!$E:$E,IFNA(_xlfn.XLOOKUP(TEXT($C112,"0"),Productos!$A:$A,Productos!$E:$E,IFNA(_xlfn.XLOOKUP(IFERROR(VALUE($C112),""),Productos!$A:$A,Productos!$E:$E,_xlfn.XLOOKUP($C112,Productos!$E:$E,Productos!$E:$E,"NO ENCONTRADO")),"NO ENCONTRADO")),"NO ENCONTRADO")),"NO ENCONTRADO"))</f>
        <v/>
      </c>
      <c r="E112" s="74">
        <f t="array" ref="E112">IF(OR($D112="",$D112="NO ENCONTRADO"),"",_xlfn.XLOOKUP($D112,Productos!$E:$E,Productos!$H:$H,""))</f>
        <v/>
      </c>
      <c r="F112" s="74">
        <f t="array" ref="F112">IF(OR($D112="",$D112="NO ENCONTRADO"),"",_xlfn.XLOOKUP($D112,Productos!$E:$E,Productos!$I:$I,""))</f>
        <v/>
      </c>
      <c r="G112" s="74">
        <f t="array" ref="G112">IF(OR($D112="",$D112="NO ENCONTRADO"),"",_xlfn.XLOOKUP($D112,Productos!$E:$E,Productos!$J:$J,""))</f>
        <v/>
      </c>
      <c r="H112" s="74">
        <f t="array" ref="H112">IF(OR($D112="",$D112="NO ENCONTRADO"),"",_xlfn.XLOOKUP($D112,Productos!$E:$E,Productos!$K:$K,""))</f>
        <v/>
      </c>
      <c r="I112" s="74">
        <f t="array" ref="I112">IF(OR($D112="",$D112="NO ENCONTRADO"),"",_xlfn.XLOOKUP($D112,Productos!$E:$E,Productos!$F:$F,""))</f>
        <v/>
      </c>
      <c r="J112" s="74">
        <f>IF($C112="","",IF($D112="NO ENCONTRADO",IF(COUNTIF($C$7:$C$1000,$C112)&gt;1,"⚠️ No encontrado | Duplicado","⚠️ No encontrado"),IF(COUNTIF($C$7:$C$1000,$C112)&gt;1,"⚠️ Duplicado","Verificado")))</f>
        <v/>
      </c>
    </row>
    <row r="113" ht="15.75" customHeight="1" s="176">
      <c r="B113" s="80" t="n"/>
      <c r="C113" s="77" t="n"/>
      <c r="D113" s="74">
        <f t="array" ref="D113">IF($C113="","",IFNA(_xlfn.XLOOKUP($C113,Productos!$A:$A,Productos!$E:$E,IFNA(_xlfn.XLOOKUP(TEXT($C113,"0"),Productos!$A:$A,Productos!$E:$E,IFNA(_xlfn.XLOOKUP(IFERROR(VALUE($C113),""),Productos!$A:$A,Productos!$E:$E,_xlfn.XLOOKUP($C113,Productos!$E:$E,Productos!$E:$E,"NO ENCONTRADO")),"NO ENCONTRADO")),"NO ENCONTRADO")),"NO ENCONTRADO"))</f>
        <v/>
      </c>
      <c r="E113" s="74">
        <f t="array" ref="E113">IF(OR($D113="",$D113="NO ENCONTRADO"),"",_xlfn.XLOOKUP($D113,Productos!$E:$E,Productos!$H:$H,""))</f>
        <v/>
      </c>
      <c r="F113" s="74">
        <f t="array" ref="F113">IF(OR($D113="",$D113="NO ENCONTRADO"),"",_xlfn.XLOOKUP($D113,Productos!$E:$E,Productos!$I:$I,""))</f>
        <v/>
      </c>
      <c r="G113" s="74">
        <f t="array" ref="G113">IF(OR($D113="",$D113="NO ENCONTRADO"),"",_xlfn.XLOOKUP($D113,Productos!$E:$E,Productos!$J:$J,""))</f>
        <v/>
      </c>
      <c r="H113" s="74">
        <f t="array" ref="H113">IF(OR($D113="",$D113="NO ENCONTRADO"),"",_xlfn.XLOOKUP($D113,Productos!$E:$E,Productos!$K:$K,""))</f>
        <v/>
      </c>
      <c r="I113" s="74">
        <f t="array" ref="I113">IF(OR($D113="",$D113="NO ENCONTRADO"),"",_xlfn.XLOOKUP($D113,Productos!$E:$E,Productos!$F:$F,""))</f>
        <v/>
      </c>
      <c r="J113" s="74">
        <f>IF($C113="","",IF($D113="NO ENCONTRADO",IF(COUNTIF($C$7:$C$1000,$C113)&gt;1,"⚠️ No encontrado | Duplicado","⚠️ No encontrado"),IF(COUNTIF($C$7:$C$1000,$C113)&gt;1,"⚠️ Duplicado","Verificado")))</f>
        <v/>
      </c>
    </row>
    <row r="114" ht="15.75" customHeight="1" s="176">
      <c r="B114" s="80" t="n"/>
      <c r="C114" s="77" t="n"/>
      <c r="D114" s="74">
        <f t="array" ref="D114">IF($C114="","",IFNA(_xlfn.XLOOKUP($C114,Productos!$A:$A,Productos!$E:$E,IFNA(_xlfn.XLOOKUP(TEXT($C114,"0"),Productos!$A:$A,Productos!$E:$E,IFNA(_xlfn.XLOOKUP(IFERROR(VALUE($C114),""),Productos!$A:$A,Productos!$E:$E,_xlfn.XLOOKUP($C114,Productos!$E:$E,Productos!$E:$E,"NO ENCONTRADO")),"NO ENCONTRADO")),"NO ENCONTRADO")),"NO ENCONTRADO"))</f>
        <v/>
      </c>
      <c r="E114" s="74">
        <f t="array" ref="E114">IF(OR($D114="",$D114="NO ENCONTRADO"),"",_xlfn.XLOOKUP($D114,Productos!$E:$E,Productos!$H:$H,""))</f>
        <v/>
      </c>
      <c r="F114" s="74">
        <f t="array" ref="F114">IF(OR($D114="",$D114="NO ENCONTRADO"),"",_xlfn.XLOOKUP($D114,Productos!$E:$E,Productos!$I:$I,""))</f>
        <v/>
      </c>
      <c r="G114" s="74">
        <f t="array" ref="G114">IF(OR($D114="",$D114="NO ENCONTRADO"),"",_xlfn.XLOOKUP($D114,Productos!$E:$E,Productos!$J:$J,""))</f>
        <v/>
      </c>
      <c r="H114" s="74">
        <f t="array" ref="H114">IF(OR($D114="",$D114="NO ENCONTRADO"),"",_xlfn.XLOOKUP($D114,Productos!$E:$E,Productos!$K:$K,""))</f>
        <v/>
      </c>
      <c r="I114" s="74">
        <f t="array" ref="I114">IF(OR($D114="",$D114="NO ENCONTRADO"),"",_xlfn.XLOOKUP($D114,Productos!$E:$E,Productos!$F:$F,""))</f>
        <v/>
      </c>
      <c r="J114" s="74">
        <f>IF($C114="","",IF($D114="NO ENCONTRADO",IF(COUNTIF($C$7:$C$1000,$C114)&gt;1,"⚠️ No encontrado | Duplicado","⚠️ No encontrado"),IF(COUNTIF($C$7:$C$1000,$C114)&gt;1,"⚠️ Duplicado","Verificado")))</f>
        <v/>
      </c>
    </row>
    <row r="115" ht="15.75" customHeight="1" s="176">
      <c r="B115" s="80" t="n"/>
      <c r="C115" s="77" t="n"/>
      <c r="D115" s="74">
        <f t="array" ref="D115">IF($C115="","",IFNA(_xlfn.XLOOKUP($C115,Productos!$A:$A,Productos!$E:$E,IFNA(_xlfn.XLOOKUP(TEXT($C115,"0"),Productos!$A:$A,Productos!$E:$E,IFNA(_xlfn.XLOOKUP(IFERROR(VALUE($C115),""),Productos!$A:$A,Productos!$E:$E,_xlfn.XLOOKUP($C115,Productos!$E:$E,Productos!$E:$E,"NO ENCONTRADO")),"NO ENCONTRADO")),"NO ENCONTRADO")),"NO ENCONTRADO"))</f>
        <v/>
      </c>
      <c r="E115" s="74">
        <f t="array" ref="E115">IF(OR($D115="",$D115="NO ENCONTRADO"),"",_xlfn.XLOOKUP($D115,Productos!$E:$E,Productos!$H:$H,""))</f>
        <v/>
      </c>
      <c r="F115" s="74">
        <f t="array" ref="F115">IF(OR($D115="",$D115="NO ENCONTRADO"),"",_xlfn.XLOOKUP($D115,Productos!$E:$E,Productos!$I:$I,""))</f>
        <v/>
      </c>
      <c r="G115" s="74">
        <f t="array" ref="G115">IF(OR($D115="",$D115="NO ENCONTRADO"),"",_xlfn.XLOOKUP($D115,Productos!$E:$E,Productos!$J:$J,""))</f>
        <v/>
      </c>
      <c r="H115" s="74">
        <f t="array" ref="H115">IF(OR($D115="",$D115="NO ENCONTRADO"),"",_xlfn.XLOOKUP($D115,Productos!$E:$E,Productos!$K:$K,""))</f>
        <v/>
      </c>
      <c r="I115" s="74">
        <f t="array" ref="I115">IF(OR($D115="",$D115="NO ENCONTRADO"),"",_xlfn.XLOOKUP($D115,Productos!$E:$E,Productos!$F:$F,""))</f>
        <v/>
      </c>
      <c r="J115" s="74">
        <f>IF($C115="","",IF($D115="NO ENCONTRADO",IF(COUNTIF($C$7:$C$1000,$C115)&gt;1,"⚠️ No encontrado | Duplicado","⚠️ No encontrado"),IF(COUNTIF($C$7:$C$1000,$C115)&gt;1,"⚠️ Duplicado","Verificado")))</f>
        <v/>
      </c>
    </row>
    <row r="116" ht="15.75" customHeight="1" s="176">
      <c r="B116" s="80" t="n"/>
      <c r="C116" s="77" t="n"/>
      <c r="D116" s="74">
        <f t="array" ref="D116">IF($C116="","",IFNA(_xlfn.XLOOKUP($C116,Productos!$A:$A,Productos!$E:$E,IFNA(_xlfn.XLOOKUP(TEXT($C116,"0"),Productos!$A:$A,Productos!$E:$E,IFNA(_xlfn.XLOOKUP(IFERROR(VALUE($C116),""),Productos!$A:$A,Productos!$E:$E,_xlfn.XLOOKUP($C116,Productos!$E:$E,Productos!$E:$E,"NO ENCONTRADO")),"NO ENCONTRADO")),"NO ENCONTRADO")),"NO ENCONTRADO"))</f>
        <v/>
      </c>
      <c r="E116" s="74">
        <f t="array" ref="E116">IF(OR($D116="",$D116="NO ENCONTRADO"),"",_xlfn.XLOOKUP($D116,Productos!$E:$E,Productos!$H:$H,""))</f>
        <v/>
      </c>
      <c r="F116" s="74">
        <f t="array" ref="F116">IF(OR($D116="",$D116="NO ENCONTRADO"),"",_xlfn.XLOOKUP($D116,Productos!$E:$E,Productos!$I:$I,""))</f>
        <v/>
      </c>
      <c r="G116" s="74">
        <f t="array" ref="G116">IF(OR($D116="",$D116="NO ENCONTRADO"),"",_xlfn.XLOOKUP($D116,Productos!$E:$E,Productos!$J:$J,""))</f>
        <v/>
      </c>
      <c r="H116" s="74">
        <f t="array" ref="H116">IF(OR($D116="",$D116="NO ENCONTRADO"),"",_xlfn.XLOOKUP($D116,Productos!$E:$E,Productos!$K:$K,""))</f>
        <v/>
      </c>
      <c r="I116" s="74">
        <f t="array" ref="I116">IF(OR($D116="",$D116="NO ENCONTRADO"),"",_xlfn.XLOOKUP($D116,Productos!$E:$E,Productos!$F:$F,""))</f>
        <v/>
      </c>
      <c r="J116" s="74">
        <f>IF($C116="","",IF($D116="NO ENCONTRADO",IF(COUNTIF($C$7:$C$1000,$C116)&gt;1,"⚠️ No encontrado | Duplicado","⚠️ No encontrado"),IF(COUNTIF($C$7:$C$1000,$C116)&gt;1,"⚠️ Duplicado","Verificado")))</f>
        <v/>
      </c>
    </row>
    <row r="117" ht="15.75" customHeight="1" s="176">
      <c r="B117" s="80" t="n"/>
      <c r="C117" s="77" t="n"/>
      <c r="D117" s="74">
        <f t="array" ref="D117">IF($C117="","",IFNA(_xlfn.XLOOKUP($C117,Productos!$A:$A,Productos!$E:$E,IFNA(_xlfn.XLOOKUP(TEXT($C117,"0"),Productos!$A:$A,Productos!$E:$E,IFNA(_xlfn.XLOOKUP(IFERROR(VALUE($C117),""),Productos!$A:$A,Productos!$E:$E,_xlfn.XLOOKUP($C117,Productos!$E:$E,Productos!$E:$E,"NO ENCONTRADO")),"NO ENCONTRADO")),"NO ENCONTRADO")),"NO ENCONTRADO"))</f>
        <v/>
      </c>
      <c r="E117" s="74">
        <f t="array" ref="E117">IF(OR($D117="",$D117="NO ENCONTRADO"),"",_xlfn.XLOOKUP($D117,Productos!$E:$E,Productos!$H:$H,""))</f>
        <v/>
      </c>
      <c r="F117" s="74">
        <f t="array" ref="F117">IF(OR($D117="",$D117="NO ENCONTRADO"),"",_xlfn.XLOOKUP($D117,Productos!$E:$E,Productos!$I:$I,""))</f>
        <v/>
      </c>
      <c r="G117" s="74">
        <f t="array" ref="G117">IF(OR($D117="",$D117="NO ENCONTRADO"),"",_xlfn.XLOOKUP($D117,Productos!$E:$E,Productos!$J:$J,""))</f>
        <v/>
      </c>
      <c r="H117" s="74">
        <f t="array" ref="H117">IF(OR($D117="",$D117="NO ENCONTRADO"),"",_xlfn.XLOOKUP($D117,Productos!$E:$E,Productos!$K:$K,""))</f>
        <v/>
      </c>
      <c r="I117" s="74">
        <f t="array" ref="I117">IF(OR($D117="",$D117="NO ENCONTRADO"),"",_xlfn.XLOOKUP($D117,Productos!$E:$E,Productos!$F:$F,""))</f>
        <v/>
      </c>
      <c r="J117" s="74">
        <f>IF($C117="","",IF($D117="NO ENCONTRADO",IF(COUNTIF($C$7:$C$1000,$C117)&gt;1,"⚠️ No encontrado | Duplicado","⚠️ No encontrado"),IF(COUNTIF($C$7:$C$1000,$C117)&gt;1,"⚠️ Duplicado","Verificado")))</f>
        <v/>
      </c>
    </row>
    <row r="118" ht="15.75" customHeight="1" s="176">
      <c r="B118" s="80" t="n"/>
      <c r="C118" s="77" t="n"/>
      <c r="D118" s="74">
        <f t="array" ref="D118">IF($C118="","",IFNA(_xlfn.XLOOKUP($C118,Productos!$A:$A,Productos!$E:$E,IFNA(_xlfn.XLOOKUP(TEXT($C118,"0"),Productos!$A:$A,Productos!$E:$E,IFNA(_xlfn.XLOOKUP(IFERROR(VALUE($C118),""),Productos!$A:$A,Productos!$E:$E,_xlfn.XLOOKUP($C118,Productos!$E:$E,Productos!$E:$E,"NO ENCONTRADO")),"NO ENCONTRADO")),"NO ENCONTRADO")),"NO ENCONTRADO"))</f>
        <v/>
      </c>
      <c r="E118" s="74">
        <f t="array" ref="E118">IF(OR($D118="",$D118="NO ENCONTRADO"),"",_xlfn.XLOOKUP($D118,Productos!$E:$E,Productos!$H:$H,""))</f>
        <v/>
      </c>
      <c r="F118" s="74">
        <f t="array" ref="F118">IF(OR($D118="",$D118="NO ENCONTRADO"),"",_xlfn.XLOOKUP($D118,Productos!$E:$E,Productos!$I:$I,""))</f>
        <v/>
      </c>
      <c r="G118" s="74">
        <f t="array" ref="G118">IF(OR($D118="",$D118="NO ENCONTRADO"),"",_xlfn.XLOOKUP($D118,Productos!$E:$E,Productos!$J:$J,""))</f>
        <v/>
      </c>
      <c r="H118" s="74">
        <f t="array" ref="H118">IF(OR($D118="",$D118="NO ENCONTRADO"),"",_xlfn.XLOOKUP($D118,Productos!$E:$E,Productos!$K:$K,""))</f>
        <v/>
      </c>
      <c r="I118" s="74">
        <f t="array" ref="I118">IF(OR($D118="",$D118="NO ENCONTRADO"),"",_xlfn.XLOOKUP($D118,Productos!$E:$E,Productos!$F:$F,""))</f>
        <v/>
      </c>
      <c r="J118" s="74">
        <f>IF($C118="","",IF($D118="NO ENCONTRADO",IF(COUNTIF($C$7:$C$1000,$C118)&gt;1,"⚠️ No encontrado | Duplicado","⚠️ No encontrado"),IF(COUNTIF($C$7:$C$1000,$C118)&gt;1,"⚠️ Duplicado","Verificado")))</f>
        <v/>
      </c>
    </row>
    <row r="119" ht="15.75" customHeight="1" s="176">
      <c r="B119" s="80" t="n"/>
      <c r="C119" s="77" t="n"/>
      <c r="D119" s="74">
        <f t="array" ref="D119">IF($C119="","",IFNA(_xlfn.XLOOKUP($C119,Productos!$A:$A,Productos!$E:$E,IFNA(_xlfn.XLOOKUP(TEXT($C119,"0"),Productos!$A:$A,Productos!$E:$E,IFNA(_xlfn.XLOOKUP(IFERROR(VALUE($C119),""),Productos!$A:$A,Productos!$E:$E,_xlfn.XLOOKUP($C119,Productos!$E:$E,Productos!$E:$E,"NO ENCONTRADO")),"NO ENCONTRADO")),"NO ENCONTRADO")),"NO ENCONTRADO"))</f>
        <v/>
      </c>
      <c r="E119" s="74">
        <f t="array" ref="E119">IF(OR($D119="",$D119="NO ENCONTRADO"),"",_xlfn.XLOOKUP($D119,Productos!$E:$E,Productos!$H:$H,""))</f>
        <v/>
      </c>
      <c r="F119" s="74">
        <f t="array" ref="F119">IF(OR($D119="",$D119="NO ENCONTRADO"),"",_xlfn.XLOOKUP($D119,Productos!$E:$E,Productos!$I:$I,""))</f>
        <v/>
      </c>
      <c r="G119" s="74">
        <f t="array" ref="G119">IF(OR($D119="",$D119="NO ENCONTRADO"),"",_xlfn.XLOOKUP($D119,Productos!$E:$E,Productos!$J:$J,""))</f>
        <v/>
      </c>
      <c r="H119" s="74">
        <f t="array" ref="H119">IF(OR($D119="",$D119="NO ENCONTRADO"),"",_xlfn.XLOOKUP($D119,Productos!$E:$E,Productos!$K:$K,""))</f>
        <v/>
      </c>
      <c r="I119" s="74">
        <f t="array" ref="I119">IF(OR($D119="",$D119="NO ENCONTRADO"),"",_xlfn.XLOOKUP($D119,Productos!$E:$E,Productos!$F:$F,""))</f>
        <v/>
      </c>
      <c r="J119" s="74">
        <f>IF($C119="","",IF($D119="NO ENCONTRADO",IF(COUNTIF($C$7:$C$1000,$C119)&gt;1,"⚠️ No encontrado | Duplicado","⚠️ No encontrado"),IF(COUNTIF($C$7:$C$1000,$C119)&gt;1,"⚠️ Duplicado","Verificado")))</f>
        <v/>
      </c>
    </row>
    <row r="120" ht="15.75" customHeight="1" s="176">
      <c r="B120" s="80" t="n"/>
      <c r="C120" s="77" t="n"/>
      <c r="D120" s="74">
        <f t="array" ref="D120">IF($C120="","",IFNA(_xlfn.XLOOKUP($C120,Productos!$A:$A,Productos!$E:$E,IFNA(_xlfn.XLOOKUP(TEXT($C120,"0"),Productos!$A:$A,Productos!$E:$E,IFNA(_xlfn.XLOOKUP(IFERROR(VALUE($C120),""),Productos!$A:$A,Productos!$E:$E,_xlfn.XLOOKUP($C120,Productos!$E:$E,Productos!$E:$E,"NO ENCONTRADO")),"NO ENCONTRADO")),"NO ENCONTRADO")),"NO ENCONTRADO"))</f>
        <v/>
      </c>
      <c r="E120" s="74">
        <f t="array" ref="E120">IF(OR($D120="",$D120="NO ENCONTRADO"),"",_xlfn.XLOOKUP($D120,Productos!$E:$E,Productos!$H:$H,""))</f>
        <v/>
      </c>
      <c r="F120" s="74">
        <f t="array" ref="F120">IF(OR($D120="",$D120="NO ENCONTRADO"),"",_xlfn.XLOOKUP($D120,Productos!$E:$E,Productos!$I:$I,""))</f>
        <v/>
      </c>
      <c r="G120" s="74">
        <f t="array" ref="G120">IF(OR($D120="",$D120="NO ENCONTRADO"),"",_xlfn.XLOOKUP($D120,Productos!$E:$E,Productos!$J:$J,""))</f>
        <v/>
      </c>
      <c r="H120" s="74">
        <f t="array" ref="H120">IF(OR($D120="",$D120="NO ENCONTRADO"),"",_xlfn.XLOOKUP($D120,Productos!$E:$E,Productos!$K:$K,""))</f>
        <v/>
      </c>
      <c r="I120" s="74">
        <f t="array" ref="I120">IF(OR($D120="",$D120="NO ENCONTRADO"),"",_xlfn.XLOOKUP($D120,Productos!$E:$E,Productos!$F:$F,""))</f>
        <v/>
      </c>
      <c r="J120" s="74">
        <f>IF($C120="","",IF($D120="NO ENCONTRADO",IF(COUNTIF($C$7:$C$1000,$C120)&gt;1,"⚠️ No encontrado | Duplicado","⚠️ No encontrado"),IF(COUNTIF($C$7:$C$1000,$C120)&gt;1,"⚠️ Duplicado","Verificado")))</f>
        <v/>
      </c>
    </row>
    <row r="121" ht="15.75" customHeight="1" s="176">
      <c r="B121" s="80" t="n"/>
      <c r="C121" s="77" t="n"/>
      <c r="D121" s="74">
        <f t="array" ref="D121">IF($C121="","",IFNA(_xlfn.XLOOKUP($C121,Productos!$A:$A,Productos!$E:$E,IFNA(_xlfn.XLOOKUP(TEXT($C121,"0"),Productos!$A:$A,Productos!$E:$E,IFNA(_xlfn.XLOOKUP(IFERROR(VALUE($C121),""),Productos!$A:$A,Productos!$E:$E,_xlfn.XLOOKUP($C121,Productos!$E:$E,Productos!$E:$E,"NO ENCONTRADO")),"NO ENCONTRADO")),"NO ENCONTRADO")),"NO ENCONTRADO"))</f>
        <v/>
      </c>
      <c r="E121" s="74">
        <f t="array" ref="E121">IF(OR($D121="",$D121="NO ENCONTRADO"),"",_xlfn.XLOOKUP($D121,Productos!$E:$E,Productos!$H:$H,""))</f>
        <v/>
      </c>
      <c r="F121" s="74">
        <f t="array" ref="F121">IF(OR($D121="",$D121="NO ENCONTRADO"),"",_xlfn.XLOOKUP($D121,Productos!$E:$E,Productos!$I:$I,""))</f>
        <v/>
      </c>
      <c r="G121" s="74">
        <f t="array" ref="G121">IF(OR($D121="",$D121="NO ENCONTRADO"),"",_xlfn.XLOOKUP($D121,Productos!$E:$E,Productos!$J:$J,""))</f>
        <v/>
      </c>
      <c r="H121" s="74">
        <f t="array" ref="H121">IF(OR($D121="",$D121="NO ENCONTRADO"),"",_xlfn.XLOOKUP($D121,Productos!$E:$E,Productos!$K:$K,""))</f>
        <v/>
      </c>
      <c r="I121" s="74">
        <f t="array" ref="I121">IF(OR($D121="",$D121="NO ENCONTRADO"),"",_xlfn.XLOOKUP($D121,Productos!$E:$E,Productos!$F:$F,""))</f>
        <v/>
      </c>
      <c r="J121" s="74">
        <f>IF($C121="","",IF($D121="NO ENCONTRADO",IF(COUNTIF($C$7:$C$1000,$C121)&gt;1,"⚠️ No encontrado | Duplicado","⚠️ No encontrado"),IF(COUNTIF($C$7:$C$1000,$C121)&gt;1,"⚠️ Duplicado","Verificado")))</f>
        <v/>
      </c>
    </row>
    <row r="122" ht="15.75" customHeight="1" s="176">
      <c r="B122" s="80" t="n"/>
      <c r="C122" s="77" t="n"/>
      <c r="D122" s="74">
        <f t="array" ref="D122">IF($C122="","",IFNA(_xlfn.XLOOKUP($C122,Productos!$A:$A,Productos!$E:$E,IFNA(_xlfn.XLOOKUP(TEXT($C122,"0"),Productos!$A:$A,Productos!$E:$E,IFNA(_xlfn.XLOOKUP(IFERROR(VALUE($C122),""),Productos!$A:$A,Productos!$E:$E,_xlfn.XLOOKUP($C122,Productos!$E:$E,Productos!$E:$E,"NO ENCONTRADO")),"NO ENCONTRADO")),"NO ENCONTRADO")),"NO ENCONTRADO"))</f>
        <v/>
      </c>
      <c r="E122" s="74">
        <f t="array" ref="E122">IF(OR($D122="",$D122="NO ENCONTRADO"),"",_xlfn.XLOOKUP($D122,Productos!$E:$E,Productos!$H:$H,""))</f>
        <v/>
      </c>
      <c r="F122" s="74">
        <f t="array" ref="F122">IF(OR($D122="",$D122="NO ENCONTRADO"),"",_xlfn.XLOOKUP($D122,Productos!$E:$E,Productos!$I:$I,""))</f>
        <v/>
      </c>
      <c r="G122" s="74">
        <f t="array" ref="G122">IF(OR($D122="",$D122="NO ENCONTRADO"),"",_xlfn.XLOOKUP($D122,Productos!$E:$E,Productos!$J:$J,""))</f>
        <v/>
      </c>
      <c r="H122" s="74">
        <f t="array" ref="H122">IF(OR($D122="",$D122="NO ENCONTRADO"),"",_xlfn.XLOOKUP($D122,Productos!$E:$E,Productos!$K:$K,""))</f>
        <v/>
      </c>
      <c r="I122" s="74">
        <f t="array" ref="I122">IF(OR($D122="",$D122="NO ENCONTRADO"),"",_xlfn.XLOOKUP($D122,Productos!$E:$E,Productos!$F:$F,""))</f>
        <v/>
      </c>
      <c r="J122" s="74">
        <f>IF($C122="","",IF($D122="NO ENCONTRADO",IF(COUNTIF($C$7:$C$1000,$C122)&gt;1,"⚠️ No encontrado | Duplicado","⚠️ No encontrado"),IF(COUNTIF($C$7:$C$1000,$C122)&gt;1,"⚠️ Duplicado","Verificado")))</f>
        <v/>
      </c>
    </row>
    <row r="123" ht="15.75" customHeight="1" s="176">
      <c r="B123" s="80" t="n"/>
      <c r="C123" s="77" t="n"/>
      <c r="D123" s="74">
        <f t="array" ref="D123">IF($C123="","",IFNA(_xlfn.XLOOKUP($C123,Productos!$A:$A,Productos!$E:$E,IFNA(_xlfn.XLOOKUP(TEXT($C123,"0"),Productos!$A:$A,Productos!$E:$E,IFNA(_xlfn.XLOOKUP(IFERROR(VALUE($C123),""),Productos!$A:$A,Productos!$E:$E,_xlfn.XLOOKUP($C123,Productos!$E:$E,Productos!$E:$E,"NO ENCONTRADO")),"NO ENCONTRADO")),"NO ENCONTRADO")),"NO ENCONTRADO"))</f>
        <v/>
      </c>
      <c r="E123" s="74">
        <f t="array" ref="E123">IF(OR($D123="",$D123="NO ENCONTRADO"),"",_xlfn.XLOOKUP($D123,Productos!$E:$E,Productos!$H:$H,""))</f>
        <v/>
      </c>
      <c r="F123" s="74">
        <f t="array" ref="F123">IF(OR($D123="",$D123="NO ENCONTRADO"),"",_xlfn.XLOOKUP($D123,Productos!$E:$E,Productos!$I:$I,""))</f>
        <v/>
      </c>
      <c r="G123" s="74">
        <f t="array" ref="G123">IF(OR($D123="",$D123="NO ENCONTRADO"),"",_xlfn.XLOOKUP($D123,Productos!$E:$E,Productos!$J:$J,""))</f>
        <v/>
      </c>
      <c r="H123" s="74">
        <f t="array" ref="H123">IF(OR($D123="",$D123="NO ENCONTRADO"),"",_xlfn.XLOOKUP($D123,Productos!$E:$E,Productos!$K:$K,""))</f>
        <v/>
      </c>
      <c r="I123" s="74">
        <f t="array" ref="I123">IF(OR($D123="",$D123="NO ENCONTRADO"),"",_xlfn.XLOOKUP($D123,Productos!$E:$E,Productos!$F:$F,""))</f>
        <v/>
      </c>
      <c r="J123" s="74">
        <f>IF($C123="","",IF($D123="NO ENCONTRADO",IF(COUNTIF($C$7:$C$1000,$C123)&gt;1,"⚠️ No encontrado | Duplicado","⚠️ No encontrado"),IF(COUNTIF($C$7:$C$1000,$C123)&gt;1,"⚠️ Duplicado","Verificado")))</f>
        <v/>
      </c>
    </row>
    <row r="124" ht="15.75" customHeight="1" s="176">
      <c r="B124" s="80" t="n"/>
      <c r="C124" s="77" t="n"/>
      <c r="D124" s="74">
        <f t="array" ref="D124">IF($C124="","",IFNA(_xlfn.XLOOKUP($C124,Productos!$A:$A,Productos!$E:$E,IFNA(_xlfn.XLOOKUP(TEXT($C124,"0"),Productos!$A:$A,Productos!$E:$E,IFNA(_xlfn.XLOOKUP(IFERROR(VALUE($C124),""),Productos!$A:$A,Productos!$E:$E,_xlfn.XLOOKUP($C124,Productos!$E:$E,Productos!$E:$E,"NO ENCONTRADO")),"NO ENCONTRADO")),"NO ENCONTRADO")),"NO ENCONTRADO"))</f>
        <v/>
      </c>
      <c r="E124" s="74">
        <f t="array" ref="E124">IF(OR($D124="",$D124="NO ENCONTRADO"),"",_xlfn.XLOOKUP($D124,Productos!$E:$E,Productos!$H:$H,""))</f>
        <v/>
      </c>
      <c r="F124" s="74">
        <f t="array" ref="F124">IF(OR($D124="",$D124="NO ENCONTRADO"),"",_xlfn.XLOOKUP($D124,Productos!$E:$E,Productos!$I:$I,""))</f>
        <v/>
      </c>
      <c r="G124" s="74">
        <f t="array" ref="G124">IF(OR($D124="",$D124="NO ENCONTRADO"),"",_xlfn.XLOOKUP($D124,Productos!$E:$E,Productos!$J:$J,""))</f>
        <v/>
      </c>
      <c r="H124" s="74">
        <f t="array" ref="H124">IF(OR($D124="",$D124="NO ENCONTRADO"),"",_xlfn.XLOOKUP($D124,Productos!$E:$E,Productos!$K:$K,""))</f>
        <v/>
      </c>
      <c r="I124" s="74">
        <f t="array" ref="I124">IF(OR($D124="",$D124="NO ENCONTRADO"),"",_xlfn.XLOOKUP($D124,Productos!$E:$E,Productos!$F:$F,""))</f>
        <v/>
      </c>
      <c r="J124" s="74">
        <f>IF($C124="","",IF($D124="NO ENCONTRADO",IF(COUNTIF($C$7:$C$1000,$C124)&gt;1,"⚠️ No encontrado | Duplicado","⚠️ No encontrado"),IF(COUNTIF($C$7:$C$1000,$C124)&gt;1,"⚠️ Duplicado","Verificado")))</f>
        <v/>
      </c>
    </row>
    <row r="125" ht="15.75" customHeight="1" s="176">
      <c r="B125" s="80" t="n"/>
      <c r="C125" s="77" t="n"/>
      <c r="D125" s="74">
        <f t="array" ref="D125">IF($C125="","",IFNA(_xlfn.XLOOKUP($C125,Productos!$A:$A,Productos!$E:$E,IFNA(_xlfn.XLOOKUP(TEXT($C125,"0"),Productos!$A:$A,Productos!$E:$E,IFNA(_xlfn.XLOOKUP(IFERROR(VALUE($C125),""),Productos!$A:$A,Productos!$E:$E,_xlfn.XLOOKUP($C125,Productos!$E:$E,Productos!$E:$E,"NO ENCONTRADO")),"NO ENCONTRADO")),"NO ENCONTRADO")),"NO ENCONTRADO"))</f>
        <v/>
      </c>
      <c r="E125" s="74">
        <f t="array" ref="E125">IF(OR($D125="",$D125="NO ENCONTRADO"),"",_xlfn.XLOOKUP($D125,Productos!$E:$E,Productos!$H:$H,""))</f>
        <v/>
      </c>
      <c r="F125" s="74">
        <f t="array" ref="F125">IF(OR($D125="",$D125="NO ENCONTRADO"),"",_xlfn.XLOOKUP($D125,Productos!$E:$E,Productos!$I:$I,""))</f>
        <v/>
      </c>
      <c r="G125" s="74">
        <f t="array" ref="G125">IF(OR($D125="",$D125="NO ENCONTRADO"),"",_xlfn.XLOOKUP($D125,Productos!$E:$E,Productos!$J:$J,""))</f>
        <v/>
      </c>
      <c r="H125" s="74">
        <f t="array" ref="H125">IF(OR($D125="",$D125="NO ENCONTRADO"),"",_xlfn.XLOOKUP($D125,Productos!$E:$E,Productos!$K:$K,""))</f>
        <v/>
      </c>
      <c r="I125" s="74">
        <f t="array" ref="I125">IF(OR($D125="",$D125="NO ENCONTRADO"),"",_xlfn.XLOOKUP($D125,Productos!$E:$E,Productos!$F:$F,""))</f>
        <v/>
      </c>
      <c r="J125" s="74">
        <f>IF($C125="","",IF($D125="NO ENCONTRADO",IF(COUNTIF($C$7:$C$1000,$C125)&gt;1,"⚠️ No encontrado | Duplicado","⚠️ No encontrado"),IF(COUNTIF($C$7:$C$1000,$C125)&gt;1,"⚠️ Duplicado","Verificado")))</f>
        <v/>
      </c>
    </row>
    <row r="126" ht="15.75" customHeight="1" s="176">
      <c r="B126" s="80" t="n"/>
      <c r="C126" s="77" t="n"/>
      <c r="D126" s="74">
        <f t="array" ref="D126">IF($C126="","",IFNA(_xlfn.XLOOKUP($C126,Productos!$A:$A,Productos!$E:$E,IFNA(_xlfn.XLOOKUP(TEXT($C126,"0"),Productos!$A:$A,Productos!$E:$E,IFNA(_xlfn.XLOOKUP(IFERROR(VALUE($C126),""),Productos!$A:$A,Productos!$E:$E,_xlfn.XLOOKUP($C126,Productos!$E:$E,Productos!$E:$E,"NO ENCONTRADO")),"NO ENCONTRADO")),"NO ENCONTRADO")),"NO ENCONTRADO"))</f>
        <v/>
      </c>
      <c r="E126" s="74">
        <f t="array" ref="E126">IF(OR($D126="",$D126="NO ENCONTRADO"),"",_xlfn.XLOOKUP($D126,Productos!$E:$E,Productos!$H:$H,""))</f>
        <v/>
      </c>
      <c r="F126" s="74">
        <f t="array" ref="F126">IF(OR($D126="",$D126="NO ENCONTRADO"),"",_xlfn.XLOOKUP($D126,Productos!$E:$E,Productos!$I:$I,""))</f>
        <v/>
      </c>
      <c r="G126" s="74">
        <f t="array" ref="G126">IF(OR($D126="",$D126="NO ENCONTRADO"),"",_xlfn.XLOOKUP($D126,Productos!$E:$E,Productos!$J:$J,""))</f>
        <v/>
      </c>
      <c r="H126" s="74">
        <f t="array" ref="H126">IF(OR($D126="",$D126="NO ENCONTRADO"),"",_xlfn.XLOOKUP($D126,Productos!$E:$E,Productos!$K:$K,""))</f>
        <v/>
      </c>
      <c r="I126" s="74">
        <f t="array" ref="I126">IF(OR($D126="",$D126="NO ENCONTRADO"),"",_xlfn.XLOOKUP($D126,Productos!$E:$E,Productos!$F:$F,""))</f>
        <v/>
      </c>
      <c r="J126" s="74">
        <f>IF($C126="","",IF($D126="NO ENCONTRADO",IF(COUNTIF($C$7:$C$1000,$C126)&gt;1,"⚠️ No encontrado | Duplicado","⚠️ No encontrado"),IF(COUNTIF($C$7:$C$1000,$C126)&gt;1,"⚠️ Duplicado","Verificado")))</f>
        <v/>
      </c>
    </row>
    <row r="127" ht="15.75" customHeight="1" s="176">
      <c r="B127" s="80" t="n"/>
      <c r="C127" s="77" t="n"/>
      <c r="D127" s="74">
        <f t="array" ref="D127">IF($C127="","",IFNA(_xlfn.XLOOKUP($C127,Productos!$A:$A,Productos!$E:$E,IFNA(_xlfn.XLOOKUP(TEXT($C127,"0"),Productos!$A:$A,Productos!$E:$E,IFNA(_xlfn.XLOOKUP(IFERROR(VALUE($C127),""),Productos!$A:$A,Productos!$E:$E,_xlfn.XLOOKUP($C127,Productos!$E:$E,Productos!$E:$E,"NO ENCONTRADO")),"NO ENCONTRADO")),"NO ENCONTRADO")),"NO ENCONTRADO"))</f>
        <v/>
      </c>
      <c r="E127" s="74">
        <f t="array" ref="E127">IF(OR($D127="",$D127="NO ENCONTRADO"),"",_xlfn.XLOOKUP($D127,Productos!$E:$E,Productos!$H:$H,""))</f>
        <v/>
      </c>
      <c r="F127" s="74">
        <f t="array" ref="F127">IF(OR($D127="",$D127="NO ENCONTRADO"),"",_xlfn.XLOOKUP($D127,Productos!$E:$E,Productos!$I:$I,""))</f>
        <v/>
      </c>
      <c r="G127" s="74">
        <f t="array" ref="G127">IF(OR($D127="",$D127="NO ENCONTRADO"),"",_xlfn.XLOOKUP($D127,Productos!$E:$E,Productos!$J:$J,""))</f>
        <v/>
      </c>
      <c r="H127" s="74">
        <f t="array" ref="H127">IF(OR($D127="",$D127="NO ENCONTRADO"),"",_xlfn.XLOOKUP($D127,Productos!$E:$E,Productos!$K:$K,""))</f>
        <v/>
      </c>
      <c r="I127" s="74">
        <f t="array" ref="I127">IF(OR($D127="",$D127="NO ENCONTRADO"),"",_xlfn.XLOOKUP($D127,Productos!$E:$E,Productos!$F:$F,""))</f>
        <v/>
      </c>
      <c r="J127" s="74">
        <f>IF($C127="","",IF($D127="NO ENCONTRADO",IF(COUNTIF($C$7:$C$1000,$C127)&gt;1,"⚠️ No encontrado | Duplicado","⚠️ No encontrado"),IF(COUNTIF($C$7:$C$1000,$C127)&gt;1,"⚠️ Duplicado","Verificado")))</f>
        <v/>
      </c>
    </row>
    <row r="128" ht="15.75" customHeight="1" s="176">
      <c r="B128" s="80" t="n"/>
      <c r="C128" s="77" t="n"/>
      <c r="D128" s="74">
        <f t="array" ref="D128">IF($C128="","",IFNA(_xlfn.XLOOKUP($C128,Productos!$A:$A,Productos!$E:$E,IFNA(_xlfn.XLOOKUP(TEXT($C128,"0"),Productos!$A:$A,Productos!$E:$E,IFNA(_xlfn.XLOOKUP(IFERROR(VALUE($C128),""),Productos!$A:$A,Productos!$E:$E,_xlfn.XLOOKUP($C128,Productos!$E:$E,Productos!$E:$E,"NO ENCONTRADO")),"NO ENCONTRADO")),"NO ENCONTRADO")),"NO ENCONTRADO"))</f>
        <v/>
      </c>
      <c r="E128" s="74">
        <f t="array" ref="E128">IF(OR($D128="",$D128="NO ENCONTRADO"),"",_xlfn.XLOOKUP($D128,Productos!$E:$E,Productos!$H:$H,""))</f>
        <v/>
      </c>
      <c r="F128" s="74">
        <f t="array" ref="F128">IF(OR($D128="",$D128="NO ENCONTRADO"),"",_xlfn.XLOOKUP($D128,Productos!$E:$E,Productos!$I:$I,""))</f>
        <v/>
      </c>
      <c r="G128" s="74">
        <f t="array" ref="G128">IF(OR($D128="",$D128="NO ENCONTRADO"),"",_xlfn.XLOOKUP($D128,Productos!$E:$E,Productos!$J:$J,""))</f>
        <v/>
      </c>
      <c r="H128" s="74">
        <f t="array" ref="H128">IF(OR($D128="",$D128="NO ENCONTRADO"),"",_xlfn.XLOOKUP($D128,Productos!$E:$E,Productos!$K:$K,""))</f>
        <v/>
      </c>
      <c r="I128" s="74">
        <f t="array" ref="I128">IF(OR($D128="",$D128="NO ENCONTRADO"),"",_xlfn.XLOOKUP($D128,Productos!$E:$E,Productos!$F:$F,""))</f>
        <v/>
      </c>
      <c r="J128" s="74">
        <f>IF($C128="","",IF($D128="NO ENCONTRADO",IF(COUNTIF($C$7:$C$1000,$C128)&gt;1,"⚠️ No encontrado | Duplicado","⚠️ No encontrado"),IF(COUNTIF($C$7:$C$1000,$C128)&gt;1,"⚠️ Duplicado","Verificado")))</f>
        <v/>
      </c>
    </row>
    <row r="129" ht="15.75" customHeight="1" s="176">
      <c r="B129" s="80" t="n"/>
      <c r="C129" s="77" t="n"/>
      <c r="D129" s="74">
        <f t="array" ref="D129">IF($C129="","",IFNA(_xlfn.XLOOKUP($C129,Productos!$A:$A,Productos!$E:$E,IFNA(_xlfn.XLOOKUP(TEXT($C129,"0"),Productos!$A:$A,Productos!$E:$E,IFNA(_xlfn.XLOOKUP(IFERROR(VALUE($C129),""),Productos!$A:$A,Productos!$E:$E,_xlfn.XLOOKUP($C129,Productos!$E:$E,Productos!$E:$E,"NO ENCONTRADO")),"NO ENCONTRADO")),"NO ENCONTRADO")),"NO ENCONTRADO"))</f>
        <v/>
      </c>
      <c r="E129" s="74">
        <f t="array" ref="E129">IF(OR($D129="",$D129="NO ENCONTRADO"),"",_xlfn.XLOOKUP($D129,Productos!$E:$E,Productos!$H:$H,""))</f>
        <v/>
      </c>
      <c r="F129" s="74">
        <f t="array" ref="F129">IF(OR($D129="",$D129="NO ENCONTRADO"),"",_xlfn.XLOOKUP($D129,Productos!$E:$E,Productos!$I:$I,""))</f>
        <v/>
      </c>
      <c r="G129" s="74">
        <f t="array" ref="G129">IF(OR($D129="",$D129="NO ENCONTRADO"),"",_xlfn.XLOOKUP($D129,Productos!$E:$E,Productos!$J:$J,""))</f>
        <v/>
      </c>
      <c r="H129" s="74">
        <f t="array" ref="H129">IF(OR($D129="",$D129="NO ENCONTRADO"),"",_xlfn.XLOOKUP($D129,Productos!$E:$E,Productos!$K:$K,""))</f>
        <v/>
      </c>
      <c r="I129" s="74">
        <f t="array" ref="I129">IF(OR($D129="",$D129="NO ENCONTRADO"),"",_xlfn.XLOOKUP($D129,Productos!$E:$E,Productos!$F:$F,""))</f>
        <v/>
      </c>
      <c r="J129" s="74">
        <f>IF($C129="","",IF($D129="NO ENCONTRADO",IF(COUNTIF($C$7:$C$1000,$C129)&gt;1,"⚠️ No encontrado | Duplicado","⚠️ No encontrado"),IF(COUNTIF($C$7:$C$1000,$C129)&gt;1,"⚠️ Duplicado","Verificado")))</f>
        <v/>
      </c>
    </row>
    <row r="130" ht="15.75" customHeight="1" s="176">
      <c r="B130" s="80" t="n"/>
      <c r="C130" s="77" t="n"/>
      <c r="D130" s="74">
        <f t="array" ref="D130">IF($C130="","",IFNA(_xlfn.XLOOKUP($C130,Productos!$A:$A,Productos!$E:$E,IFNA(_xlfn.XLOOKUP(TEXT($C130,"0"),Productos!$A:$A,Productos!$E:$E,IFNA(_xlfn.XLOOKUP(IFERROR(VALUE($C130),""),Productos!$A:$A,Productos!$E:$E,_xlfn.XLOOKUP($C130,Productos!$E:$E,Productos!$E:$E,"NO ENCONTRADO")),"NO ENCONTRADO")),"NO ENCONTRADO")),"NO ENCONTRADO"))</f>
        <v/>
      </c>
      <c r="E130" s="74">
        <f t="array" ref="E130">IF(OR($D130="",$D130="NO ENCONTRADO"),"",_xlfn.XLOOKUP($D130,Productos!$E:$E,Productos!$H:$H,""))</f>
        <v/>
      </c>
      <c r="F130" s="74">
        <f t="array" ref="F130">IF(OR($D130="",$D130="NO ENCONTRADO"),"",_xlfn.XLOOKUP($D130,Productos!$E:$E,Productos!$I:$I,""))</f>
        <v/>
      </c>
      <c r="G130" s="74">
        <f t="array" ref="G130">IF(OR($D130="",$D130="NO ENCONTRADO"),"",_xlfn.XLOOKUP($D130,Productos!$E:$E,Productos!$J:$J,""))</f>
        <v/>
      </c>
      <c r="H130" s="74">
        <f t="array" ref="H130">IF(OR($D130="",$D130="NO ENCONTRADO"),"",_xlfn.XLOOKUP($D130,Productos!$E:$E,Productos!$K:$K,""))</f>
        <v/>
      </c>
      <c r="I130" s="74">
        <f t="array" ref="I130">IF(OR($D130="",$D130="NO ENCONTRADO"),"",_xlfn.XLOOKUP($D130,Productos!$E:$E,Productos!$F:$F,""))</f>
        <v/>
      </c>
      <c r="J130" s="74">
        <f>IF($C130="","",IF($D130="NO ENCONTRADO",IF(COUNTIF($C$7:$C$1000,$C130)&gt;1,"⚠️ No encontrado | Duplicado","⚠️ No encontrado"),IF(COUNTIF($C$7:$C$1000,$C130)&gt;1,"⚠️ Duplicado","Verificado")))</f>
        <v/>
      </c>
    </row>
    <row r="131" ht="15.75" customHeight="1" s="176">
      <c r="B131" s="80" t="n"/>
      <c r="C131" s="77" t="n"/>
      <c r="D131" s="74">
        <f t="array" ref="D131">IF($C131="","",IFNA(_xlfn.XLOOKUP($C131,Productos!$A:$A,Productos!$E:$E,IFNA(_xlfn.XLOOKUP(TEXT($C131,"0"),Productos!$A:$A,Productos!$E:$E,IFNA(_xlfn.XLOOKUP(IFERROR(VALUE($C131),""),Productos!$A:$A,Productos!$E:$E,_xlfn.XLOOKUP($C131,Productos!$E:$E,Productos!$E:$E,"NO ENCONTRADO")),"NO ENCONTRADO")),"NO ENCONTRADO")),"NO ENCONTRADO"))</f>
        <v/>
      </c>
      <c r="E131" s="74">
        <f t="array" ref="E131">IF(OR($D131="",$D131="NO ENCONTRADO"),"",_xlfn.XLOOKUP($D131,Productos!$E:$E,Productos!$H:$H,""))</f>
        <v/>
      </c>
      <c r="F131" s="74">
        <f t="array" ref="F131">IF(OR($D131="",$D131="NO ENCONTRADO"),"",_xlfn.XLOOKUP($D131,Productos!$E:$E,Productos!$I:$I,""))</f>
        <v/>
      </c>
      <c r="G131" s="74">
        <f t="array" ref="G131">IF(OR($D131="",$D131="NO ENCONTRADO"),"",_xlfn.XLOOKUP($D131,Productos!$E:$E,Productos!$J:$J,""))</f>
        <v/>
      </c>
      <c r="H131" s="74">
        <f t="array" ref="H131">IF(OR($D131="",$D131="NO ENCONTRADO"),"",_xlfn.XLOOKUP($D131,Productos!$E:$E,Productos!$K:$K,""))</f>
        <v/>
      </c>
      <c r="I131" s="74">
        <f t="array" ref="I131">IF(OR($D131="",$D131="NO ENCONTRADO"),"",_xlfn.XLOOKUP($D131,Productos!$E:$E,Productos!$F:$F,""))</f>
        <v/>
      </c>
      <c r="J131" s="74">
        <f>IF($C131="","",IF($D131="NO ENCONTRADO",IF(COUNTIF($C$7:$C$1000,$C131)&gt;1,"⚠️ No encontrado | Duplicado","⚠️ No encontrado"),IF(COUNTIF($C$7:$C$1000,$C131)&gt;1,"⚠️ Duplicado","Verificado")))</f>
        <v/>
      </c>
    </row>
    <row r="132" ht="15.75" customHeight="1" s="176">
      <c r="B132" s="80" t="n"/>
      <c r="C132" s="77" t="n"/>
      <c r="D132" s="74">
        <f t="array" ref="D132">IF($C132="","",IFNA(_xlfn.XLOOKUP($C132,Productos!$A:$A,Productos!$E:$E,IFNA(_xlfn.XLOOKUP(TEXT($C132,"0"),Productos!$A:$A,Productos!$E:$E,IFNA(_xlfn.XLOOKUP(IFERROR(VALUE($C132),""),Productos!$A:$A,Productos!$E:$E,_xlfn.XLOOKUP($C132,Productos!$E:$E,Productos!$E:$E,"NO ENCONTRADO")),"NO ENCONTRADO")),"NO ENCONTRADO")),"NO ENCONTRADO"))</f>
        <v/>
      </c>
      <c r="E132" s="74">
        <f t="array" ref="E132">IF(OR($D132="",$D132="NO ENCONTRADO"),"",_xlfn.XLOOKUP($D132,Productos!$E:$E,Productos!$H:$H,""))</f>
        <v/>
      </c>
      <c r="F132" s="74">
        <f t="array" ref="F132">IF(OR($D132="",$D132="NO ENCONTRADO"),"",_xlfn.XLOOKUP($D132,Productos!$E:$E,Productos!$I:$I,""))</f>
        <v/>
      </c>
      <c r="G132" s="74">
        <f t="array" ref="G132">IF(OR($D132="",$D132="NO ENCONTRADO"),"",_xlfn.XLOOKUP($D132,Productos!$E:$E,Productos!$J:$J,""))</f>
        <v/>
      </c>
      <c r="H132" s="74">
        <f t="array" ref="H132">IF(OR($D132="",$D132="NO ENCONTRADO"),"",_xlfn.XLOOKUP($D132,Productos!$E:$E,Productos!$K:$K,""))</f>
        <v/>
      </c>
      <c r="I132" s="74">
        <f t="array" ref="I132">IF(OR($D132="",$D132="NO ENCONTRADO"),"",_xlfn.XLOOKUP($D132,Productos!$E:$E,Productos!$F:$F,""))</f>
        <v/>
      </c>
      <c r="J132" s="74">
        <f>IF($C132="","",IF($D132="NO ENCONTRADO",IF(COUNTIF($C$7:$C$1000,$C132)&gt;1,"⚠️ No encontrado | Duplicado","⚠️ No encontrado"),IF(COUNTIF($C$7:$C$1000,$C132)&gt;1,"⚠️ Duplicado","Verificado")))</f>
        <v/>
      </c>
    </row>
    <row r="133" ht="15.75" customHeight="1" s="176">
      <c r="B133" s="80" t="n"/>
      <c r="C133" s="77" t="n"/>
      <c r="D133" s="74">
        <f t="array" ref="D133">IF($C133="","",IFNA(_xlfn.XLOOKUP($C133,Productos!$A:$A,Productos!$E:$E,IFNA(_xlfn.XLOOKUP(TEXT($C133,"0"),Productos!$A:$A,Productos!$E:$E,IFNA(_xlfn.XLOOKUP(IFERROR(VALUE($C133),""),Productos!$A:$A,Productos!$E:$E,_xlfn.XLOOKUP($C133,Productos!$E:$E,Productos!$E:$E,"NO ENCONTRADO")),"NO ENCONTRADO")),"NO ENCONTRADO")),"NO ENCONTRADO"))</f>
        <v/>
      </c>
      <c r="E133" s="74">
        <f t="array" ref="E133">IF(OR($D133="",$D133="NO ENCONTRADO"),"",_xlfn.XLOOKUP($D133,Productos!$E:$E,Productos!$H:$H,""))</f>
        <v/>
      </c>
      <c r="F133" s="74">
        <f t="array" ref="F133">IF(OR($D133="",$D133="NO ENCONTRADO"),"",_xlfn.XLOOKUP($D133,Productos!$E:$E,Productos!$I:$I,""))</f>
        <v/>
      </c>
      <c r="G133" s="74">
        <f t="array" ref="G133">IF(OR($D133="",$D133="NO ENCONTRADO"),"",_xlfn.XLOOKUP($D133,Productos!$E:$E,Productos!$J:$J,""))</f>
        <v/>
      </c>
      <c r="H133" s="74">
        <f t="array" ref="H133">IF(OR($D133="",$D133="NO ENCONTRADO"),"",_xlfn.XLOOKUP($D133,Productos!$E:$E,Productos!$K:$K,""))</f>
        <v/>
      </c>
      <c r="I133" s="74">
        <f t="array" ref="I133">IF(OR($D133="",$D133="NO ENCONTRADO"),"",_xlfn.XLOOKUP($D133,Productos!$E:$E,Productos!$F:$F,""))</f>
        <v/>
      </c>
      <c r="J133" s="74">
        <f>IF($C133="","",IF($D133="NO ENCONTRADO",IF(COUNTIF($C$7:$C$1000,$C133)&gt;1,"⚠️ No encontrado | Duplicado","⚠️ No encontrado"),IF(COUNTIF($C$7:$C$1000,$C133)&gt;1,"⚠️ Duplicado","Verificado")))</f>
        <v/>
      </c>
    </row>
    <row r="134" ht="15.75" customHeight="1" s="176">
      <c r="B134" s="80" t="n"/>
      <c r="C134" s="77" t="n"/>
      <c r="D134" s="74">
        <f t="array" ref="D134">IF($C134="","",IFNA(_xlfn.XLOOKUP($C134,Productos!$A:$A,Productos!$E:$E,IFNA(_xlfn.XLOOKUP(TEXT($C134,"0"),Productos!$A:$A,Productos!$E:$E,IFNA(_xlfn.XLOOKUP(IFERROR(VALUE($C134),""),Productos!$A:$A,Productos!$E:$E,_xlfn.XLOOKUP($C134,Productos!$E:$E,Productos!$E:$E,"NO ENCONTRADO")),"NO ENCONTRADO")),"NO ENCONTRADO")),"NO ENCONTRADO"))</f>
        <v/>
      </c>
      <c r="E134" s="74">
        <f t="array" ref="E134">IF(OR($D134="",$D134="NO ENCONTRADO"),"",_xlfn.XLOOKUP($D134,Productos!$E:$E,Productos!$H:$H,""))</f>
        <v/>
      </c>
      <c r="F134" s="74">
        <f t="array" ref="F134">IF(OR($D134="",$D134="NO ENCONTRADO"),"",_xlfn.XLOOKUP($D134,Productos!$E:$E,Productos!$I:$I,""))</f>
        <v/>
      </c>
      <c r="G134" s="74">
        <f t="array" ref="G134">IF(OR($D134="",$D134="NO ENCONTRADO"),"",_xlfn.XLOOKUP($D134,Productos!$E:$E,Productos!$J:$J,""))</f>
        <v/>
      </c>
      <c r="H134" s="74">
        <f t="array" ref="H134">IF(OR($D134="",$D134="NO ENCONTRADO"),"",_xlfn.XLOOKUP($D134,Productos!$E:$E,Productos!$K:$K,""))</f>
        <v/>
      </c>
      <c r="I134" s="74">
        <f t="array" ref="I134">IF(OR($D134="",$D134="NO ENCONTRADO"),"",_xlfn.XLOOKUP($D134,Productos!$E:$E,Productos!$F:$F,""))</f>
        <v/>
      </c>
      <c r="J134" s="74">
        <f>IF($C134="","",IF($D134="NO ENCONTRADO",IF(COUNTIF($C$7:$C$1000,$C134)&gt;1,"⚠️ No encontrado | Duplicado","⚠️ No encontrado"),IF(COUNTIF($C$7:$C$1000,$C134)&gt;1,"⚠️ Duplicado","Verificado")))</f>
        <v/>
      </c>
    </row>
    <row r="135" ht="15.75" customHeight="1" s="176">
      <c r="B135" s="80" t="n"/>
      <c r="C135" s="77" t="n"/>
      <c r="D135" s="74">
        <f t="array" ref="D135">IF($C135="","",IFNA(_xlfn.XLOOKUP($C135,Productos!$A:$A,Productos!$E:$E,IFNA(_xlfn.XLOOKUP(TEXT($C135,"0"),Productos!$A:$A,Productos!$E:$E,IFNA(_xlfn.XLOOKUP(IFERROR(VALUE($C135),""),Productos!$A:$A,Productos!$E:$E,_xlfn.XLOOKUP($C135,Productos!$E:$E,Productos!$E:$E,"NO ENCONTRADO")),"NO ENCONTRADO")),"NO ENCONTRADO")),"NO ENCONTRADO"))</f>
        <v/>
      </c>
      <c r="E135" s="74">
        <f t="array" ref="E135">IF(OR($D135="",$D135="NO ENCONTRADO"),"",_xlfn.XLOOKUP($D135,Productos!$E:$E,Productos!$H:$H,""))</f>
        <v/>
      </c>
      <c r="F135" s="74">
        <f t="array" ref="F135">IF(OR($D135="",$D135="NO ENCONTRADO"),"",_xlfn.XLOOKUP($D135,Productos!$E:$E,Productos!$I:$I,""))</f>
        <v/>
      </c>
      <c r="G135" s="74">
        <f t="array" ref="G135">IF(OR($D135="",$D135="NO ENCONTRADO"),"",_xlfn.XLOOKUP($D135,Productos!$E:$E,Productos!$J:$J,""))</f>
        <v/>
      </c>
      <c r="H135" s="74">
        <f t="array" ref="H135">IF(OR($D135="",$D135="NO ENCONTRADO"),"",_xlfn.XLOOKUP($D135,Productos!$E:$E,Productos!$K:$K,""))</f>
        <v/>
      </c>
      <c r="I135" s="74">
        <f t="array" ref="I135">IF(OR($D135="",$D135="NO ENCONTRADO"),"",_xlfn.XLOOKUP($D135,Productos!$E:$E,Productos!$F:$F,""))</f>
        <v/>
      </c>
      <c r="J135" s="74">
        <f>IF($C135="","",IF($D135="NO ENCONTRADO",IF(COUNTIF($C$7:$C$1000,$C135)&gt;1,"⚠️ No encontrado | Duplicado","⚠️ No encontrado"),IF(COUNTIF($C$7:$C$1000,$C135)&gt;1,"⚠️ Duplicado","Verificado")))</f>
        <v/>
      </c>
    </row>
    <row r="136" ht="15.75" customHeight="1" s="176">
      <c r="B136" s="80" t="n"/>
      <c r="C136" s="77" t="n"/>
      <c r="D136" s="74">
        <f t="array" ref="D136">IF($C136="","",IFNA(_xlfn.XLOOKUP($C136,Productos!$A:$A,Productos!$E:$E,IFNA(_xlfn.XLOOKUP(TEXT($C136,"0"),Productos!$A:$A,Productos!$E:$E,IFNA(_xlfn.XLOOKUP(IFERROR(VALUE($C136),""),Productos!$A:$A,Productos!$E:$E,_xlfn.XLOOKUP($C136,Productos!$E:$E,Productos!$E:$E,"NO ENCONTRADO")),"NO ENCONTRADO")),"NO ENCONTRADO")),"NO ENCONTRADO"))</f>
        <v/>
      </c>
      <c r="E136" s="74">
        <f t="array" ref="E136">IF(OR($D136="",$D136="NO ENCONTRADO"),"",_xlfn.XLOOKUP($D136,Productos!$E:$E,Productos!$H:$H,""))</f>
        <v/>
      </c>
      <c r="F136" s="74">
        <f t="array" ref="F136">IF(OR($D136="",$D136="NO ENCONTRADO"),"",_xlfn.XLOOKUP($D136,Productos!$E:$E,Productos!$I:$I,""))</f>
        <v/>
      </c>
      <c r="G136" s="74">
        <f t="array" ref="G136">IF(OR($D136="",$D136="NO ENCONTRADO"),"",_xlfn.XLOOKUP($D136,Productos!$E:$E,Productos!$J:$J,""))</f>
        <v/>
      </c>
      <c r="H136" s="74">
        <f t="array" ref="H136">IF(OR($D136="",$D136="NO ENCONTRADO"),"",_xlfn.XLOOKUP($D136,Productos!$E:$E,Productos!$K:$K,""))</f>
        <v/>
      </c>
      <c r="I136" s="74">
        <f t="array" ref="I136">IF(OR($D136="",$D136="NO ENCONTRADO"),"",_xlfn.XLOOKUP($D136,Productos!$E:$E,Productos!$F:$F,""))</f>
        <v/>
      </c>
      <c r="J136" s="74">
        <f>IF($C136="","",IF($D136="NO ENCONTRADO",IF(COUNTIF($C$7:$C$1000,$C136)&gt;1,"⚠️ No encontrado | Duplicado","⚠️ No encontrado"),IF(COUNTIF($C$7:$C$1000,$C136)&gt;1,"⚠️ Duplicado","Verificado")))</f>
        <v/>
      </c>
    </row>
    <row r="137" ht="15.75" customHeight="1" s="176">
      <c r="B137" s="80" t="n"/>
      <c r="C137" s="77" t="n"/>
      <c r="D137" s="74">
        <f t="array" ref="D137">IF($C137="","",IFNA(_xlfn.XLOOKUP($C137,Productos!$A:$A,Productos!$E:$E,IFNA(_xlfn.XLOOKUP(TEXT($C137,"0"),Productos!$A:$A,Productos!$E:$E,IFNA(_xlfn.XLOOKUP(IFERROR(VALUE($C137),""),Productos!$A:$A,Productos!$E:$E,_xlfn.XLOOKUP($C137,Productos!$E:$E,Productos!$E:$E,"NO ENCONTRADO")),"NO ENCONTRADO")),"NO ENCONTRADO")),"NO ENCONTRADO"))</f>
        <v/>
      </c>
      <c r="E137" s="74">
        <f t="array" ref="E137">IF(OR($D137="",$D137="NO ENCONTRADO"),"",_xlfn.XLOOKUP($D137,Productos!$E:$E,Productos!$H:$H,""))</f>
        <v/>
      </c>
      <c r="F137" s="74">
        <f t="array" ref="F137">IF(OR($D137="",$D137="NO ENCONTRADO"),"",_xlfn.XLOOKUP($D137,Productos!$E:$E,Productos!$I:$I,""))</f>
        <v/>
      </c>
      <c r="G137" s="74">
        <f t="array" ref="G137">IF(OR($D137="",$D137="NO ENCONTRADO"),"",_xlfn.XLOOKUP($D137,Productos!$E:$E,Productos!$J:$J,""))</f>
        <v/>
      </c>
      <c r="H137" s="74">
        <f t="array" ref="H137">IF(OR($D137="",$D137="NO ENCONTRADO"),"",_xlfn.XLOOKUP($D137,Productos!$E:$E,Productos!$K:$K,""))</f>
        <v/>
      </c>
      <c r="I137" s="74">
        <f t="array" ref="I137">IF(OR($D137="",$D137="NO ENCONTRADO"),"",_xlfn.XLOOKUP($D137,Productos!$E:$E,Productos!$F:$F,""))</f>
        <v/>
      </c>
      <c r="J137" s="74">
        <f>IF($C137="","",IF($D137="NO ENCONTRADO",IF(COUNTIF($C$7:$C$1000,$C137)&gt;1,"⚠️ No encontrado | Duplicado","⚠️ No encontrado"),IF(COUNTIF($C$7:$C$1000,$C137)&gt;1,"⚠️ Duplicado","Verificado")))</f>
        <v/>
      </c>
    </row>
    <row r="138" ht="15.75" customHeight="1" s="176">
      <c r="B138" s="80" t="n"/>
      <c r="C138" s="77" t="n"/>
      <c r="D138" s="74">
        <f t="array" ref="D138">IF($C138="","",IFNA(_xlfn.XLOOKUP($C138,Productos!$A:$A,Productos!$E:$E,IFNA(_xlfn.XLOOKUP(TEXT($C138,"0"),Productos!$A:$A,Productos!$E:$E,IFNA(_xlfn.XLOOKUP(IFERROR(VALUE($C138),""),Productos!$A:$A,Productos!$E:$E,_xlfn.XLOOKUP($C138,Productos!$E:$E,Productos!$E:$E,"NO ENCONTRADO")),"NO ENCONTRADO")),"NO ENCONTRADO")),"NO ENCONTRADO"))</f>
        <v/>
      </c>
      <c r="E138" s="74">
        <f t="array" ref="E138">IF(OR($D138="",$D138="NO ENCONTRADO"),"",_xlfn.XLOOKUP($D138,Productos!$E:$E,Productos!$H:$H,""))</f>
        <v/>
      </c>
      <c r="F138" s="74">
        <f t="array" ref="F138">IF(OR($D138="",$D138="NO ENCONTRADO"),"",_xlfn.XLOOKUP($D138,Productos!$E:$E,Productos!$I:$I,""))</f>
        <v/>
      </c>
      <c r="G138" s="74">
        <f t="array" ref="G138">IF(OR($D138="",$D138="NO ENCONTRADO"),"",_xlfn.XLOOKUP($D138,Productos!$E:$E,Productos!$J:$J,""))</f>
        <v/>
      </c>
      <c r="H138" s="74">
        <f t="array" ref="H138">IF(OR($D138="",$D138="NO ENCONTRADO"),"",_xlfn.XLOOKUP($D138,Productos!$E:$E,Productos!$K:$K,""))</f>
        <v/>
      </c>
      <c r="I138" s="74">
        <f t="array" ref="I138">IF(OR($D138="",$D138="NO ENCONTRADO"),"",_xlfn.XLOOKUP($D138,Productos!$E:$E,Productos!$F:$F,""))</f>
        <v/>
      </c>
      <c r="J138" s="74">
        <f>IF($C138="","",IF($D138="NO ENCONTRADO",IF(COUNTIF($C$7:$C$1000,$C138)&gt;1,"⚠️ No encontrado | Duplicado","⚠️ No encontrado"),IF(COUNTIF($C$7:$C$1000,$C138)&gt;1,"⚠️ Duplicado","Verificado")))</f>
        <v/>
      </c>
    </row>
    <row r="139" ht="15.75" customHeight="1" s="176">
      <c r="B139" s="80" t="n"/>
      <c r="C139" s="77" t="n"/>
      <c r="D139" s="74">
        <f t="array" ref="D139">IF($C139="","",IFNA(_xlfn.XLOOKUP($C139,Productos!$A:$A,Productos!$E:$E,IFNA(_xlfn.XLOOKUP(TEXT($C139,"0"),Productos!$A:$A,Productos!$E:$E,IFNA(_xlfn.XLOOKUP(IFERROR(VALUE($C139),""),Productos!$A:$A,Productos!$E:$E,_xlfn.XLOOKUP($C139,Productos!$E:$E,Productos!$E:$E,"NO ENCONTRADO")),"NO ENCONTRADO")),"NO ENCONTRADO")),"NO ENCONTRADO"))</f>
        <v/>
      </c>
      <c r="E139" s="74">
        <f t="array" ref="E139">IF(OR($D139="",$D139="NO ENCONTRADO"),"",_xlfn.XLOOKUP($D139,Productos!$E:$E,Productos!$H:$H,""))</f>
        <v/>
      </c>
      <c r="F139" s="74">
        <f t="array" ref="F139">IF(OR($D139="",$D139="NO ENCONTRADO"),"",_xlfn.XLOOKUP($D139,Productos!$E:$E,Productos!$I:$I,""))</f>
        <v/>
      </c>
      <c r="G139" s="74">
        <f t="array" ref="G139">IF(OR($D139="",$D139="NO ENCONTRADO"),"",_xlfn.XLOOKUP($D139,Productos!$E:$E,Productos!$J:$J,""))</f>
        <v/>
      </c>
      <c r="H139" s="74">
        <f t="array" ref="H139">IF(OR($D139="",$D139="NO ENCONTRADO"),"",_xlfn.XLOOKUP($D139,Productos!$E:$E,Productos!$K:$K,""))</f>
        <v/>
      </c>
      <c r="I139" s="74">
        <f t="array" ref="I139">IF(OR($D139="",$D139="NO ENCONTRADO"),"",_xlfn.XLOOKUP($D139,Productos!$E:$E,Productos!$F:$F,""))</f>
        <v/>
      </c>
      <c r="J139" s="74">
        <f>IF($C139="","",IF($D139="NO ENCONTRADO",IF(COUNTIF($C$7:$C$1000,$C139)&gt;1,"⚠️ No encontrado | Duplicado","⚠️ No encontrado"),IF(COUNTIF($C$7:$C$1000,$C139)&gt;1,"⚠️ Duplicado","Verificado")))</f>
        <v/>
      </c>
    </row>
    <row r="140" ht="15.75" customHeight="1" s="176">
      <c r="B140" s="80" t="n"/>
      <c r="C140" s="77" t="n"/>
      <c r="D140" s="74">
        <f t="array" ref="D140">IF($C140="","",IFNA(_xlfn.XLOOKUP($C140,Productos!$A:$A,Productos!$E:$E,IFNA(_xlfn.XLOOKUP(TEXT($C140,"0"),Productos!$A:$A,Productos!$E:$E,IFNA(_xlfn.XLOOKUP(IFERROR(VALUE($C140),""),Productos!$A:$A,Productos!$E:$E,_xlfn.XLOOKUP($C140,Productos!$E:$E,Productos!$E:$E,"NO ENCONTRADO")),"NO ENCONTRADO")),"NO ENCONTRADO")),"NO ENCONTRADO"))</f>
        <v/>
      </c>
      <c r="E140" s="74">
        <f t="array" ref="E140">IF(OR($D140="",$D140="NO ENCONTRADO"),"",_xlfn.XLOOKUP($D140,Productos!$E:$E,Productos!$H:$H,""))</f>
        <v/>
      </c>
      <c r="F140" s="74">
        <f t="array" ref="F140">IF(OR($D140="",$D140="NO ENCONTRADO"),"",_xlfn.XLOOKUP($D140,Productos!$E:$E,Productos!$I:$I,""))</f>
        <v/>
      </c>
      <c r="G140" s="74">
        <f t="array" ref="G140">IF(OR($D140="",$D140="NO ENCONTRADO"),"",_xlfn.XLOOKUP($D140,Productos!$E:$E,Productos!$J:$J,""))</f>
        <v/>
      </c>
      <c r="H140" s="74">
        <f t="array" ref="H140">IF(OR($D140="",$D140="NO ENCONTRADO"),"",_xlfn.XLOOKUP($D140,Productos!$E:$E,Productos!$K:$K,""))</f>
        <v/>
      </c>
      <c r="I140" s="74">
        <f t="array" ref="I140">IF(OR($D140="",$D140="NO ENCONTRADO"),"",_xlfn.XLOOKUP($D140,Productos!$E:$E,Productos!$F:$F,""))</f>
        <v/>
      </c>
      <c r="J140" s="74">
        <f>IF($C140="","",IF($D140="NO ENCONTRADO",IF(COUNTIF($C$7:$C$1000,$C140)&gt;1,"⚠️ No encontrado | Duplicado","⚠️ No encontrado"),IF(COUNTIF($C$7:$C$1000,$C140)&gt;1,"⚠️ Duplicado","Verificado")))</f>
        <v/>
      </c>
    </row>
    <row r="141" ht="15.75" customHeight="1" s="176">
      <c r="B141" s="80" t="n"/>
      <c r="C141" s="77" t="n"/>
      <c r="D141" s="74">
        <f t="array" ref="D141">IF($C141="","",IFNA(_xlfn.XLOOKUP($C141,Productos!$A:$A,Productos!$E:$E,IFNA(_xlfn.XLOOKUP(TEXT($C141,"0"),Productos!$A:$A,Productos!$E:$E,IFNA(_xlfn.XLOOKUP(IFERROR(VALUE($C141),""),Productos!$A:$A,Productos!$E:$E,_xlfn.XLOOKUP($C141,Productos!$E:$E,Productos!$E:$E,"NO ENCONTRADO")),"NO ENCONTRADO")),"NO ENCONTRADO")),"NO ENCONTRADO"))</f>
        <v/>
      </c>
      <c r="E141" s="74">
        <f t="array" ref="E141">IF(OR($D141="",$D141="NO ENCONTRADO"),"",_xlfn.XLOOKUP($D141,Productos!$E:$E,Productos!$H:$H,""))</f>
        <v/>
      </c>
      <c r="F141" s="74">
        <f t="array" ref="F141">IF(OR($D141="",$D141="NO ENCONTRADO"),"",_xlfn.XLOOKUP($D141,Productos!$E:$E,Productos!$I:$I,""))</f>
        <v/>
      </c>
      <c r="G141" s="74">
        <f t="array" ref="G141">IF(OR($D141="",$D141="NO ENCONTRADO"),"",_xlfn.XLOOKUP($D141,Productos!$E:$E,Productos!$J:$J,""))</f>
        <v/>
      </c>
      <c r="H141" s="74">
        <f t="array" ref="H141">IF(OR($D141="",$D141="NO ENCONTRADO"),"",_xlfn.XLOOKUP($D141,Productos!$E:$E,Productos!$K:$K,""))</f>
        <v/>
      </c>
      <c r="I141" s="74">
        <f t="array" ref="I141">IF(OR($D141="",$D141="NO ENCONTRADO"),"",_xlfn.XLOOKUP($D141,Productos!$E:$E,Productos!$F:$F,""))</f>
        <v/>
      </c>
      <c r="J141" s="74">
        <f>IF($C141="","",IF($D141="NO ENCONTRADO",IF(COUNTIF($C$7:$C$1000,$C141)&gt;1,"⚠️ No encontrado | Duplicado","⚠️ No encontrado"),IF(COUNTIF($C$7:$C$1000,$C141)&gt;1,"⚠️ Duplicado","Verificado")))</f>
        <v/>
      </c>
    </row>
    <row r="142" ht="15.75" customHeight="1" s="176">
      <c r="B142" s="80" t="n"/>
      <c r="C142" s="77" t="n"/>
      <c r="D142" s="74">
        <f t="array" ref="D142">IF($C142="","",IFNA(_xlfn.XLOOKUP($C142,Productos!$A:$A,Productos!$E:$E,IFNA(_xlfn.XLOOKUP(TEXT($C142,"0"),Productos!$A:$A,Productos!$E:$E,IFNA(_xlfn.XLOOKUP(IFERROR(VALUE($C142),""),Productos!$A:$A,Productos!$E:$E,_xlfn.XLOOKUP($C142,Productos!$E:$E,Productos!$E:$E,"NO ENCONTRADO")),"NO ENCONTRADO")),"NO ENCONTRADO")),"NO ENCONTRADO"))</f>
        <v/>
      </c>
      <c r="E142" s="74">
        <f t="array" ref="E142">IF(OR($D142="",$D142="NO ENCONTRADO"),"",_xlfn.XLOOKUP($D142,Productos!$E:$E,Productos!$H:$H,""))</f>
        <v/>
      </c>
      <c r="F142" s="74">
        <f t="array" ref="F142">IF(OR($D142="",$D142="NO ENCONTRADO"),"",_xlfn.XLOOKUP($D142,Productos!$E:$E,Productos!$I:$I,""))</f>
        <v/>
      </c>
      <c r="G142" s="74">
        <f t="array" ref="G142">IF(OR($D142="",$D142="NO ENCONTRADO"),"",_xlfn.XLOOKUP($D142,Productos!$E:$E,Productos!$J:$J,""))</f>
        <v/>
      </c>
      <c r="H142" s="74">
        <f t="array" ref="H142">IF(OR($D142="",$D142="NO ENCONTRADO"),"",_xlfn.XLOOKUP($D142,Productos!$E:$E,Productos!$K:$K,""))</f>
        <v/>
      </c>
      <c r="I142" s="74">
        <f t="array" ref="I142">IF(OR($D142="",$D142="NO ENCONTRADO"),"",_xlfn.XLOOKUP($D142,Productos!$E:$E,Productos!$F:$F,""))</f>
        <v/>
      </c>
      <c r="J142" s="74">
        <f>IF($C142="","",IF($D142="NO ENCONTRADO",IF(COUNTIF($C$7:$C$1000,$C142)&gt;1,"⚠️ No encontrado | Duplicado","⚠️ No encontrado"),IF(COUNTIF($C$7:$C$1000,$C142)&gt;1,"⚠️ Duplicado","Verificado")))</f>
        <v/>
      </c>
    </row>
    <row r="143" ht="15.75" customHeight="1" s="176">
      <c r="B143" s="80" t="n"/>
      <c r="C143" s="77" t="n"/>
      <c r="D143" s="74">
        <f t="array" ref="D143">IF($C143="","",IFNA(_xlfn.XLOOKUP($C143,Productos!$A:$A,Productos!$E:$E,IFNA(_xlfn.XLOOKUP(TEXT($C143,"0"),Productos!$A:$A,Productos!$E:$E,IFNA(_xlfn.XLOOKUP(IFERROR(VALUE($C143),""),Productos!$A:$A,Productos!$E:$E,_xlfn.XLOOKUP($C143,Productos!$E:$E,Productos!$E:$E,"NO ENCONTRADO")),"NO ENCONTRADO")),"NO ENCONTRADO")),"NO ENCONTRADO"))</f>
        <v/>
      </c>
      <c r="E143" s="74">
        <f t="array" ref="E143">IF(OR($D143="",$D143="NO ENCONTRADO"),"",_xlfn.XLOOKUP($D143,Productos!$E:$E,Productos!$H:$H,""))</f>
        <v/>
      </c>
      <c r="F143" s="74">
        <f t="array" ref="F143">IF(OR($D143="",$D143="NO ENCONTRADO"),"",_xlfn.XLOOKUP($D143,Productos!$E:$E,Productos!$I:$I,""))</f>
        <v/>
      </c>
      <c r="G143" s="74">
        <f t="array" ref="G143">IF(OR($D143="",$D143="NO ENCONTRADO"),"",_xlfn.XLOOKUP($D143,Productos!$E:$E,Productos!$J:$J,""))</f>
        <v/>
      </c>
      <c r="H143" s="74">
        <f t="array" ref="H143">IF(OR($D143="",$D143="NO ENCONTRADO"),"",_xlfn.XLOOKUP($D143,Productos!$E:$E,Productos!$K:$K,""))</f>
        <v/>
      </c>
      <c r="I143" s="74">
        <f t="array" ref="I143">IF(OR($D143="",$D143="NO ENCONTRADO"),"",_xlfn.XLOOKUP($D143,Productos!$E:$E,Productos!$F:$F,""))</f>
        <v/>
      </c>
      <c r="J143" s="74">
        <f>IF($C143="","",IF($D143="NO ENCONTRADO",IF(COUNTIF($C$7:$C$1000,$C143)&gt;1,"⚠️ No encontrado | Duplicado","⚠️ No encontrado"),IF(COUNTIF($C$7:$C$1000,$C143)&gt;1,"⚠️ Duplicado","Verificado")))</f>
        <v/>
      </c>
    </row>
    <row r="144" ht="15.75" customHeight="1" s="176">
      <c r="B144" s="80" t="n"/>
      <c r="C144" s="77" t="n"/>
      <c r="D144" s="74">
        <f t="array" ref="D144">IF($C144="","",IFNA(_xlfn.XLOOKUP($C144,Productos!$A:$A,Productos!$E:$E,IFNA(_xlfn.XLOOKUP(TEXT($C144,"0"),Productos!$A:$A,Productos!$E:$E,IFNA(_xlfn.XLOOKUP(IFERROR(VALUE($C144),""),Productos!$A:$A,Productos!$E:$E,_xlfn.XLOOKUP($C144,Productos!$E:$E,Productos!$E:$E,"NO ENCONTRADO")),"NO ENCONTRADO")),"NO ENCONTRADO")),"NO ENCONTRADO"))</f>
        <v/>
      </c>
      <c r="E144" s="74">
        <f t="array" ref="E144">IF(OR($D144="",$D144="NO ENCONTRADO"),"",_xlfn.XLOOKUP($D144,Productos!$E:$E,Productos!$H:$H,""))</f>
        <v/>
      </c>
      <c r="F144" s="74">
        <f t="array" ref="F144">IF(OR($D144="",$D144="NO ENCONTRADO"),"",_xlfn.XLOOKUP($D144,Productos!$E:$E,Productos!$I:$I,""))</f>
        <v/>
      </c>
      <c r="G144" s="74">
        <f t="array" ref="G144">IF(OR($D144="",$D144="NO ENCONTRADO"),"",_xlfn.XLOOKUP($D144,Productos!$E:$E,Productos!$J:$J,""))</f>
        <v/>
      </c>
      <c r="H144" s="74">
        <f t="array" ref="H144">IF(OR($D144="",$D144="NO ENCONTRADO"),"",_xlfn.XLOOKUP($D144,Productos!$E:$E,Productos!$K:$K,""))</f>
        <v/>
      </c>
      <c r="I144" s="74">
        <f t="array" ref="I144">IF(OR($D144="",$D144="NO ENCONTRADO"),"",_xlfn.XLOOKUP($D144,Productos!$E:$E,Productos!$F:$F,""))</f>
        <v/>
      </c>
      <c r="J144" s="74">
        <f>IF($C144="","",IF($D144="NO ENCONTRADO",IF(COUNTIF($C$7:$C$1000,$C144)&gt;1,"⚠️ No encontrado | Duplicado","⚠️ No encontrado"),IF(COUNTIF($C$7:$C$1000,$C144)&gt;1,"⚠️ Duplicado","Verificado")))</f>
        <v/>
      </c>
    </row>
    <row r="145" ht="15.75" customHeight="1" s="176">
      <c r="B145" s="80" t="n"/>
      <c r="C145" s="77" t="n"/>
      <c r="D145" s="74">
        <f t="array" ref="D145">IF($C145="","",IFNA(_xlfn.XLOOKUP($C145,Productos!$A:$A,Productos!$E:$E,IFNA(_xlfn.XLOOKUP(TEXT($C145,"0"),Productos!$A:$A,Productos!$E:$E,IFNA(_xlfn.XLOOKUP(IFERROR(VALUE($C145),""),Productos!$A:$A,Productos!$E:$E,_xlfn.XLOOKUP($C145,Productos!$E:$E,Productos!$E:$E,"NO ENCONTRADO")),"NO ENCONTRADO")),"NO ENCONTRADO")),"NO ENCONTRADO"))</f>
        <v/>
      </c>
      <c r="E145" s="74">
        <f t="array" ref="E145">IF(OR($D145="",$D145="NO ENCONTRADO"),"",_xlfn.XLOOKUP($D145,Productos!$E:$E,Productos!$H:$H,""))</f>
        <v/>
      </c>
      <c r="F145" s="74">
        <f t="array" ref="F145">IF(OR($D145="",$D145="NO ENCONTRADO"),"",_xlfn.XLOOKUP($D145,Productos!$E:$E,Productos!$I:$I,""))</f>
        <v/>
      </c>
      <c r="G145" s="74">
        <f t="array" ref="G145">IF(OR($D145="",$D145="NO ENCONTRADO"),"",_xlfn.XLOOKUP($D145,Productos!$E:$E,Productos!$J:$J,""))</f>
        <v/>
      </c>
      <c r="H145" s="74">
        <f t="array" ref="H145">IF(OR($D145="",$D145="NO ENCONTRADO"),"",_xlfn.XLOOKUP($D145,Productos!$E:$E,Productos!$K:$K,""))</f>
        <v/>
      </c>
      <c r="I145" s="74">
        <f t="array" ref="I145">IF(OR($D145="",$D145="NO ENCONTRADO"),"",_xlfn.XLOOKUP($D145,Productos!$E:$E,Productos!$F:$F,""))</f>
        <v/>
      </c>
      <c r="J145" s="74">
        <f>IF($C145="","",IF($D145="NO ENCONTRADO",IF(COUNTIF($C$7:$C$1000,$C145)&gt;1,"⚠️ No encontrado | Duplicado","⚠️ No encontrado"),IF(COUNTIF($C$7:$C$1000,$C145)&gt;1,"⚠️ Duplicado","Verificado")))</f>
        <v/>
      </c>
    </row>
    <row r="146" ht="15.75" customHeight="1" s="176">
      <c r="B146" s="80" t="n"/>
      <c r="C146" s="77" t="n"/>
      <c r="D146" s="74">
        <f t="array" ref="D146">IF($C146="","",IFNA(_xlfn.XLOOKUP($C146,Productos!$A:$A,Productos!$E:$E,IFNA(_xlfn.XLOOKUP(TEXT($C146,"0"),Productos!$A:$A,Productos!$E:$E,IFNA(_xlfn.XLOOKUP(IFERROR(VALUE($C146),""),Productos!$A:$A,Productos!$E:$E,_xlfn.XLOOKUP($C146,Productos!$E:$E,Productos!$E:$E,"NO ENCONTRADO")),"NO ENCONTRADO")),"NO ENCONTRADO")),"NO ENCONTRADO"))</f>
        <v/>
      </c>
      <c r="E146" s="74">
        <f t="array" ref="E146">IF(OR($D146="",$D146="NO ENCONTRADO"),"",_xlfn.XLOOKUP($D146,Productos!$E:$E,Productos!$H:$H,""))</f>
        <v/>
      </c>
      <c r="F146" s="74">
        <f t="array" ref="F146">IF(OR($D146="",$D146="NO ENCONTRADO"),"",_xlfn.XLOOKUP($D146,Productos!$E:$E,Productos!$I:$I,""))</f>
        <v/>
      </c>
      <c r="G146" s="74">
        <f t="array" ref="G146">IF(OR($D146="",$D146="NO ENCONTRADO"),"",_xlfn.XLOOKUP($D146,Productos!$E:$E,Productos!$J:$J,""))</f>
        <v/>
      </c>
      <c r="H146" s="74">
        <f t="array" ref="H146">IF(OR($D146="",$D146="NO ENCONTRADO"),"",_xlfn.XLOOKUP($D146,Productos!$E:$E,Productos!$K:$K,""))</f>
        <v/>
      </c>
      <c r="I146" s="74">
        <f t="array" ref="I146">IF(OR($D146="",$D146="NO ENCONTRADO"),"",_xlfn.XLOOKUP($D146,Productos!$E:$E,Productos!$F:$F,""))</f>
        <v/>
      </c>
      <c r="J146" s="74">
        <f>IF($C146="","",IF($D146="NO ENCONTRADO",IF(COUNTIF($C$7:$C$1000,$C146)&gt;1,"⚠️ No encontrado | Duplicado","⚠️ No encontrado"),IF(COUNTIF($C$7:$C$1000,$C146)&gt;1,"⚠️ Duplicado","Verificado")))</f>
        <v/>
      </c>
    </row>
    <row r="147" ht="15.75" customHeight="1" s="176">
      <c r="B147" s="80" t="n"/>
      <c r="C147" s="77" t="n"/>
      <c r="D147" s="74">
        <f t="array" ref="D147">IF($C147="","",IFNA(_xlfn.XLOOKUP($C147,Productos!$A:$A,Productos!$E:$E,IFNA(_xlfn.XLOOKUP(TEXT($C147,"0"),Productos!$A:$A,Productos!$E:$E,IFNA(_xlfn.XLOOKUP(IFERROR(VALUE($C147),""),Productos!$A:$A,Productos!$E:$E,_xlfn.XLOOKUP($C147,Productos!$E:$E,Productos!$E:$E,"NO ENCONTRADO")),"NO ENCONTRADO")),"NO ENCONTRADO")),"NO ENCONTRADO"))</f>
        <v/>
      </c>
      <c r="E147" s="74">
        <f t="array" ref="E147">IF(OR($D147="",$D147="NO ENCONTRADO"),"",_xlfn.XLOOKUP($D147,Productos!$E:$E,Productos!$H:$H,""))</f>
        <v/>
      </c>
      <c r="F147" s="74">
        <f t="array" ref="F147">IF(OR($D147="",$D147="NO ENCONTRADO"),"",_xlfn.XLOOKUP($D147,Productos!$E:$E,Productos!$I:$I,""))</f>
        <v/>
      </c>
      <c r="G147" s="74">
        <f t="array" ref="G147">IF(OR($D147="",$D147="NO ENCONTRADO"),"",_xlfn.XLOOKUP($D147,Productos!$E:$E,Productos!$J:$J,""))</f>
        <v/>
      </c>
      <c r="H147" s="74">
        <f t="array" ref="H147">IF(OR($D147="",$D147="NO ENCONTRADO"),"",_xlfn.XLOOKUP($D147,Productos!$E:$E,Productos!$K:$K,""))</f>
        <v/>
      </c>
      <c r="I147" s="74">
        <f t="array" ref="I147">IF(OR($D147="",$D147="NO ENCONTRADO"),"",_xlfn.XLOOKUP($D147,Productos!$E:$E,Productos!$F:$F,""))</f>
        <v/>
      </c>
      <c r="J147" s="74">
        <f>IF($C147="","",IF($D147="NO ENCONTRADO",IF(COUNTIF($C$7:$C$1000,$C147)&gt;1,"⚠️ No encontrado | Duplicado","⚠️ No encontrado"),IF(COUNTIF($C$7:$C$1000,$C147)&gt;1,"⚠️ Duplicado","Verificado")))</f>
        <v/>
      </c>
    </row>
    <row r="148" ht="15.75" customHeight="1" s="176">
      <c r="B148" s="80" t="n"/>
      <c r="C148" s="77" t="n"/>
      <c r="D148" s="74">
        <f t="array" ref="D148">IF($C148="","",IFNA(_xlfn.XLOOKUP($C148,Productos!$A:$A,Productos!$E:$E,IFNA(_xlfn.XLOOKUP(TEXT($C148,"0"),Productos!$A:$A,Productos!$E:$E,IFNA(_xlfn.XLOOKUP(IFERROR(VALUE($C148),""),Productos!$A:$A,Productos!$E:$E,_xlfn.XLOOKUP($C148,Productos!$E:$E,Productos!$E:$E,"NO ENCONTRADO")),"NO ENCONTRADO")),"NO ENCONTRADO")),"NO ENCONTRADO"))</f>
        <v/>
      </c>
      <c r="E148" s="74">
        <f t="array" ref="E148">IF(OR($D148="",$D148="NO ENCONTRADO"),"",_xlfn.XLOOKUP($D148,Productos!$E:$E,Productos!$H:$H,""))</f>
        <v/>
      </c>
      <c r="F148" s="74">
        <f t="array" ref="F148">IF(OR($D148="",$D148="NO ENCONTRADO"),"",_xlfn.XLOOKUP($D148,Productos!$E:$E,Productos!$I:$I,""))</f>
        <v/>
      </c>
      <c r="G148" s="74">
        <f t="array" ref="G148">IF(OR($D148="",$D148="NO ENCONTRADO"),"",_xlfn.XLOOKUP($D148,Productos!$E:$E,Productos!$J:$J,""))</f>
        <v/>
      </c>
      <c r="H148" s="74">
        <f t="array" ref="H148">IF(OR($D148="",$D148="NO ENCONTRADO"),"",_xlfn.XLOOKUP($D148,Productos!$E:$E,Productos!$K:$K,""))</f>
        <v/>
      </c>
      <c r="I148" s="74">
        <f t="array" ref="I148">IF(OR($D148="",$D148="NO ENCONTRADO"),"",_xlfn.XLOOKUP($D148,Productos!$E:$E,Productos!$F:$F,""))</f>
        <v/>
      </c>
      <c r="J148" s="74">
        <f>IF($C148="","",IF($D148="NO ENCONTRADO",IF(COUNTIF($C$7:$C$1000,$C148)&gt;1,"⚠️ No encontrado | Duplicado","⚠️ No encontrado"),IF(COUNTIF($C$7:$C$1000,$C148)&gt;1,"⚠️ Duplicado","Verificado")))</f>
        <v/>
      </c>
    </row>
    <row r="149" ht="15.75" customHeight="1" s="176">
      <c r="B149" s="80" t="n"/>
      <c r="C149" s="77" t="n"/>
      <c r="D149" s="74">
        <f t="array" ref="D149">IF($C149="","",IFNA(_xlfn.XLOOKUP($C149,Productos!$A:$A,Productos!$E:$E,IFNA(_xlfn.XLOOKUP(TEXT($C149,"0"),Productos!$A:$A,Productos!$E:$E,IFNA(_xlfn.XLOOKUP(IFERROR(VALUE($C149),""),Productos!$A:$A,Productos!$E:$E,_xlfn.XLOOKUP($C149,Productos!$E:$E,Productos!$E:$E,"NO ENCONTRADO")),"NO ENCONTRADO")),"NO ENCONTRADO")),"NO ENCONTRADO"))</f>
        <v/>
      </c>
      <c r="E149" s="74">
        <f t="array" ref="E149">IF(OR($D149="",$D149="NO ENCONTRADO"),"",_xlfn.XLOOKUP($D149,Productos!$E:$E,Productos!$H:$H,""))</f>
        <v/>
      </c>
      <c r="F149" s="74">
        <f t="array" ref="F149">IF(OR($D149="",$D149="NO ENCONTRADO"),"",_xlfn.XLOOKUP($D149,Productos!$E:$E,Productos!$I:$I,""))</f>
        <v/>
      </c>
      <c r="G149" s="74">
        <f t="array" ref="G149">IF(OR($D149="",$D149="NO ENCONTRADO"),"",_xlfn.XLOOKUP($D149,Productos!$E:$E,Productos!$J:$J,""))</f>
        <v/>
      </c>
      <c r="H149" s="74">
        <f t="array" ref="H149">IF(OR($D149="",$D149="NO ENCONTRADO"),"",_xlfn.XLOOKUP($D149,Productos!$E:$E,Productos!$K:$K,""))</f>
        <v/>
      </c>
      <c r="I149" s="74">
        <f t="array" ref="I149">IF(OR($D149="",$D149="NO ENCONTRADO"),"",_xlfn.XLOOKUP($D149,Productos!$E:$E,Productos!$F:$F,""))</f>
        <v/>
      </c>
      <c r="J149" s="74">
        <f>IF($C149="","",IF($D149="NO ENCONTRADO",IF(COUNTIF($C$7:$C$1000,$C149)&gt;1,"⚠️ No encontrado | Duplicado","⚠️ No encontrado"),IF(COUNTIF($C$7:$C$1000,$C149)&gt;1,"⚠️ Duplicado","Verificado")))</f>
        <v/>
      </c>
    </row>
    <row r="150" ht="15.75" customHeight="1" s="176">
      <c r="B150" s="80" t="n"/>
      <c r="C150" s="77" t="n"/>
      <c r="D150" s="74">
        <f t="array" ref="D150">IF($C150="","",IFNA(_xlfn.XLOOKUP($C150,Productos!$A:$A,Productos!$E:$E,IFNA(_xlfn.XLOOKUP(TEXT($C150,"0"),Productos!$A:$A,Productos!$E:$E,IFNA(_xlfn.XLOOKUP(IFERROR(VALUE($C150),""),Productos!$A:$A,Productos!$E:$E,_xlfn.XLOOKUP($C150,Productos!$E:$E,Productos!$E:$E,"NO ENCONTRADO")),"NO ENCONTRADO")),"NO ENCONTRADO")),"NO ENCONTRADO"))</f>
        <v/>
      </c>
      <c r="E150" s="74">
        <f t="array" ref="E150">IF(OR($D150="",$D150="NO ENCONTRADO"),"",_xlfn.XLOOKUP($D150,Productos!$E:$E,Productos!$H:$H,""))</f>
        <v/>
      </c>
      <c r="F150" s="74">
        <f t="array" ref="F150">IF(OR($D150="",$D150="NO ENCONTRADO"),"",_xlfn.XLOOKUP($D150,Productos!$E:$E,Productos!$I:$I,""))</f>
        <v/>
      </c>
      <c r="G150" s="74">
        <f t="array" ref="G150">IF(OR($D150="",$D150="NO ENCONTRADO"),"",_xlfn.XLOOKUP($D150,Productos!$E:$E,Productos!$J:$J,""))</f>
        <v/>
      </c>
      <c r="H150" s="74">
        <f t="array" ref="H150">IF(OR($D150="",$D150="NO ENCONTRADO"),"",_xlfn.XLOOKUP($D150,Productos!$E:$E,Productos!$K:$K,""))</f>
        <v/>
      </c>
      <c r="I150" s="74">
        <f t="array" ref="I150">IF(OR($D150="",$D150="NO ENCONTRADO"),"",_xlfn.XLOOKUP($D150,Productos!$E:$E,Productos!$F:$F,""))</f>
        <v/>
      </c>
      <c r="J150" s="74">
        <f>IF($C150="","",IF($D150="NO ENCONTRADO",IF(COUNTIF($C$7:$C$1000,$C150)&gt;1,"⚠️ No encontrado | Duplicado","⚠️ No encontrado"),IF(COUNTIF($C$7:$C$1000,$C150)&gt;1,"⚠️ Duplicado","Verificado")))</f>
        <v/>
      </c>
    </row>
    <row r="151" ht="15.75" customHeight="1" s="176">
      <c r="B151" s="80" t="n"/>
      <c r="C151" s="77" t="n"/>
      <c r="D151" s="74">
        <f t="array" ref="D151">IF($C151="","",IFNA(_xlfn.XLOOKUP($C151,Productos!$A:$A,Productos!$E:$E,IFNA(_xlfn.XLOOKUP(TEXT($C151,"0"),Productos!$A:$A,Productos!$E:$E,IFNA(_xlfn.XLOOKUP(IFERROR(VALUE($C151),""),Productos!$A:$A,Productos!$E:$E,_xlfn.XLOOKUP($C151,Productos!$E:$E,Productos!$E:$E,"NO ENCONTRADO")),"NO ENCONTRADO")),"NO ENCONTRADO")),"NO ENCONTRADO"))</f>
        <v/>
      </c>
      <c r="E151" s="74">
        <f t="array" ref="E151">IF(OR($D151="",$D151="NO ENCONTRADO"),"",_xlfn.XLOOKUP($D151,Productos!$E:$E,Productos!$H:$H,""))</f>
        <v/>
      </c>
      <c r="F151" s="74">
        <f t="array" ref="F151">IF(OR($D151="",$D151="NO ENCONTRADO"),"",_xlfn.XLOOKUP($D151,Productos!$E:$E,Productos!$I:$I,""))</f>
        <v/>
      </c>
      <c r="G151" s="74">
        <f t="array" ref="G151">IF(OR($D151="",$D151="NO ENCONTRADO"),"",_xlfn.XLOOKUP($D151,Productos!$E:$E,Productos!$J:$J,""))</f>
        <v/>
      </c>
      <c r="H151" s="74">
        <f t="array" ref="H151">IF(OR($D151="",$D151="NO ENCONTRADO"),"",_xlfn.XLOOKUP($D151,Productos!$E:$E,Productos!$K:$K,""))</f>
        <v/>
      </c>
      <c r="I151" s="74">
        <f t="array" ref="I151">IF(OR($D151="",$D151="NO ENCONTRADO"),"",_xlfn.XLOOKUP($D151,Productos!$E:$E,Productos!$F:$F,""))</f>
        <v/>
      </c>
      <c r="J151" s="74">
        <f>IF($C151="","",IF($D151="NO ENCONTRADO",IF(COUNTIF($C$7:$C$1000,$C151)&gt;1,"⚠️ No encontrado | Duplicado","⚠️ No encontrado"),IF(COUNTIF($C$7:$C$1000,$C151)&gt;1,"⚠️ Duplicado","Verificado")))</f>
        <v/>
      </c>
    </row>
    <row r="152" ht="15.75" customHeight="1" s="176">
      <c r="B152" s="80" t="n"/>
      <c r="C152" s="77" t="n"/>
      <c r="D152" s="74">
        <f t="array" ref="D152">IF($C152="","",IFNA(_xlfn.XLOOKUP($C152,Productos!$A:$A,Productos!$E:$E,IFNA(_xlfn.XLOOKUP(TEXT($C152,"0"),Productos!$A:$A,Productos!$E:$E,IFNA(_xlfn.XLOOKUP(IFERROR(VALUE($C152),""),Productos!$A:$A,Productos!$E:$E,_xlfn.XLOOKUP($C152,Productos!$E:$E,Productos!$E:$E,"NO ENCONTRADO")),"NO ENCONTRADO")),"NO ENCONTRADO")),"NO ENCONTRADO"))</f>
        <v/>
      </c>
      <c r="E152" s="74">
        <f t="array" ref="E152">IF(OR($D152="",$D152="NO ENCONTRADO"),"",_xlfn.XLOOKUP($D152,Productos!$E:$E,Productos!$H:$H,""))</f>
        <v/>
      </c>
      <c r="F152" s="74">
        <f t="array" ref="F152">IF(OR($D152="",$D152="NO ENCONTRADO"),"",_xlfn.XLOOKUP($D152,Productos!$E:$E,Productos!$I:$I,""))</f>
        <v/>
      </c>
      <c r="G152" s="74">
        <f t="array" ref="G152">IF(OR($D152="",$D152="NO ENCONTRADO"),"",_xlfn.XLOOKUP($D152,Productos!$E:$E,Productos!$J:$J,""))</f>
        <v/>
      </c>
      <c r="H152" s="74">
        <f t="array" ref="H152">IF(OR($D152="",$D152="NO ENCONTRADO"),"",_xlfn.XLOOKUP($D152,Productos!$E:$E,Productos!$K:$K,""))</f>
        <v/>
      </c>
      <c r="I152" s="74">
        <f t="array" ref="I152">IF(OR($D152="",$D152="NO ENCONTRADO"),"",_xlfn.XLOOKUP($D152,Productos!$E:$E,Productos!$F:$F,""))</f>
        <v/>
      </c>
      <c r="J152" s="74">
        <f>IF($C152="","",IF($D152="NO ENCONTRADO",IF(COUNTIF($C$7:$C$1000,$C152)&gt;1,"⚠️ No encontrado | Duplicado","⚠️ No encontrado"),IF(COUNTIF($C$7:$C$1000,$C152)&gt;1,"⚠️ Duplicado","Verificado")))</f>
        <v/>
      </c>
    </row>
    <row r="153" ht="15.75" customHeight="1" s="176">
      <c r="B153" s="80" t="n"/>
      <c r="C153" s="77" t="n"/>
      <c r="D153" s="74">
        <f t="array" ref="D153">IF($C153="","",IFNA(_xlfn.XLOOKUP($C153,Productos!$A:$A,Productos!$E:$E,IFNA(_xlfn.XLOOKUP(TEXT($C153,"0"),Productos!$A:$A,Productos!$E:$E,IFNA(_xlfn.XLOOKUP(IFERROR(VALUE($C153),""),Productos!$A:$A,Productos!$E:$E,_xlfn.XLOOKUP($C153,Productos!$E:$E,Productos!$E:$E,"NO ENCONTRADO")),"NO ENCONTRADO")),"NO ENCONTRADO")),"NO ENCONTRADO"))</f>
        <v/>
      </c>
      <c r="E153" s="74">
        <f t="array" ref="E153">IF(OR($D153="",$D153="NO ENCONTRADO"),"",_xlfn.XLOOKUP($D153,Productos!$E:$E,Productos!$H:$H,""))</f>
        <v/>
      </c>
      <c r="F153" s="74">
        <f t="array" ref="F153">IF(OR($D153="",$D153="NO ENCONTRADO"),"",_xlfn.XLOOKUP($D153,Productos!$E:$E,Productos!$I:$I,""))</f>
        <v/>
      </c>
      <c r="G153" s="74">
        <f t="array" ref="G153">IF(OR($D153="",$D153="NO ENCONTRADO"),"",_xlfn.XLOOKUP($D153,Productos!$E:$E,Productos!$J:$J,""))</f>
        <v/>
      </c>
      <c r="H153" s="74">
        <f t="array" ref="H153">IF(OR($D153="",$D153="NO ENCONTRADO"),"",_xlfn.XLOOKUP($D153,Productos!$E:$E,Productos!$K:$K,""))</f>
        <v/>
      </c>
      <c r="I153" s="74">
        <f t="array" ref="I153">IF(OR($D153="",$D153="NO ENCONTRADO"),"",_xlfn.XLOOKUP($D153,Productos!$E:$E,Productos!$F:$F,""))</f>
        <v/>
      </c>
      <c r="J153" s="74">
        <f>IF($C153="","",IF($D153="NO ENCONTRADO",IF(COUNTIF($C$7:$C$1000,$C153)&gt;1,"⚠️ No encontrado | Duplicado","⚠️ No encontrado"),IF(COUNTIF($C$7:$C$1000,$C153)&gt;1,"⚠️ Duplicado","Verificado")))</f>
        <v/>
      </c>
    </row>
    <row r="154" ht="15.75" customHeight="1" s="176">
      <c r="B154" s="80" t="n"/>
      <c r="C154" s="77" t="n"/>
      <c r="D154" s="74">
        <f t="array" ref="D154">IF($C154="","",IFNA(_xlfn.XLOOKUP($C154,Productos!$A:$A,Productos!$E:$E,IFNA(_xlfn.XLOOKUP(TEXT($C154,"0"),Productos!$A:$A,Productos!$E:$E,IFNA(_xlfn.XLOOKUP(IFERROR(VALUE($C154),""),Productos!$A:$A,Productos!$E:$E,_xlfn.XLOOKUP($C154,Productos!$E:$E,Productos!$E:$E,"NO ENCONTRADO")),"NO ENCONTRADO")),"NO ENCONTRADO")),"NO ENCONTRADO"))</f>
        <v/>
      </c>
      <c r="E154" s="74">
        <f t="array" ref="E154">IF(OR($D154="",$D154="NO ENCONTRADO"),"",_xlfn.XLOOKUP($D154,Productos!$E:$E,Productos!$H:$H,""))</f>
        <v/>
      </c>
      <c r="F154" s="74">
        <f t="array" ref="F154">IF(OR($D154="",$D154="NO ENCONTRADO"),"",_xlfn.XLOOKUP($D154,Productos!$E:$E,Productos!$I:$I,""))</f>
        <v/>
      </c>
      <c r="G154" s="74">
        <f t="array" ref="G154">IF(OR($D154="",$D154="NO ENCONTRADO"),"",_xlfn.XLOOKUP($D154,Productos!$E:$E,Productos!$J:$J,""))</f>
        <v/>
      </c>
      <c r="H154" s="74">
        <f t="array" ref="H154">IF(OR($D154="",$D154="NO ENCONTRADO"),"",_xlfn.XLOOKUP($D154,Productos!$E:$E,Productos!$K:$K,""))</f>
        <v/>
      </c>
      <c r="I154" s="74">
        <f t="array" ref="I154">IF(OR($D154="",$D154="NO ENCONTRADO"),"",_xlfn.XLOOKUP($D154,Productos!$E:$E,Productos!$F:$F,""))</f>
        <v/>
      </c>
      <c r="J154" s="74">
        <f>IF($C154="","",IF($D154="NO ENCONTRADO",IF(COUNTIF($C$7:$C$1000,$C154)&gt;1,"⚠️ No encontrado | Duplicado","⚠️ No encontrado"),IF(COUNTIF($C$7:$C$1000,$C154)&gt;1,"⚠️ Duplicado","Verificado")))</f>
        <v/>
      </c>
    </row>
    <row r="155" ht="15.75" customHeight="1" s="176">
      <c r="B155" s="80" t="n"/>
      <c r="C155" s="77" t="n"/>
      <c r="D155" s="74">
        <f t="array" ref="D155">IF($C155="","",IFNA(_xlfn.XLOOKUP($C155,Productos!$A:$A,Productos!$E:$E,IFNA(_xlfn.XLOOKUP(TEXT($C155,"0"),Productos!$A:$A,Productos!$E:$E,IFNA(_xlfn.XLOOKUP(IFERROR(VALUE($C155),""),Productos!$A:$A,Productos!$E:$E,_xlfn.XLOOKUP($C155,Productos!$E:$E,Productos!$E:$E,"NO ENCONTRADO")),"NO ENCONTRADO")),"NO ENCONTRADO")),"NO ENCONTRADO"))</f>
        <v/>
      </c>
      <c r="E155" s="74">
        <f t="array" ref="E155">IF(OR($D155="",$D155="NO ENCONTRADO"),"",_xlfn.XLOOKUP($D155,Productos!$E:$E,Productos!$H:$H,""))</f>
        <v/>
      </c>
      <c r="F155" s="74">
        <f t="array" ref="F155">IF(OR($D155="",$D155="NO ENCONTRADO"),"",_xlfn.XLOOKUP($D155,Productos!$E:$E,Productos!$I:$I,""))</f>
        <v/>
      </c>
      <c r="G155" s="74">
        <f t="array" ref="G155">IF(OR($D155="",$D155="NO ENCONTRADO"),"",_xlfn.XLOOKUP($D155,Productos!$E:$E,Productos!$J:$J,""))</f>
        <v/>
      </c>
      <c r="H155" s="74">
        <f t="array" ref="H155">IF(OR($D155="",$D155="NO ENCONTRADO"),"",_xlfn.XLOOKUP($D155,Productos!$E:$E,Productos!$K:$K,""))</f>
        <v/>
      </c>
      <c r="I155" s="74">
        <f t="array" ref="I155">IF(OR($D155="",$D155="NO ENCONTRADO"),"",_xlfn.XLOOKUP($D155,Productos!$E:$E,Productos!$F:$F,""))</f>
        <v/>
      </c>
      <c r="J155" s="74">
        <f>IF($C155="","",IF($D155="NO ENCONTRADO",IF(COUNTIF($C$7:$C$1000,$C155)&gt;1,"⚠️ No encontrado | Duplicado","⚠️ No encontrado"),IF(COUNTIF($C$7:$C$1000,$C155)&gt;1,"⚠️ Duplicado","Verificado")))</f>
        <v/>
      </c>
    </row>
    <row r="156" ht="15.75" customHeight="1" s="176">
      <c r="B156" s="80" t="n"/>
      <c r="C156" s="77" t="n"/>
      <c r="D156" s="74">
        <f t="array" ref="D156">IF($C156="","",IFNA(_xlfn.XLOOKUP($C156,Productos!$A:$A,Productos!$E:$E,IFNA(_xlfn.XLOOKUP(TEXT($C156,"0"),Productos!$A:$A,Productos!$E:$E,IFNA(_xlfn.XLOOKUP(IFERROR(VALUE($C156),""),Productos!$A:$A,Productos!$E:$E,_xlfn.XLOOKUP($C156,Productos!$E:$E,Productos!$E:$E,"NO ENCONTRADO")),"NO ENCONTRADO")),"NO ENCONTRADO")),"NO ENCONTRADO"))</f>
        <v/>
      </c>
      <c r="E156" s="74">
        <f t="array" ref="E156">IF(OR($D156="",$D156="NO ENCONTRADO"),"",_xlfn.XLOOKUP($D156,Productos!$E:$E,Productos!$H:$H,""))</f>
        <v/>
      </c>
      <c r="F156" s="74">
        <f t="array" ref="F156">IF(OR($D156="",$D156="NO ENCONTRADO"),"",_xlfn.XLOOKUP($D156,Productos!$E:$E,Productos!$I:$I,""))</f>
        <v/>
      </c>
      <c r="G156" s="74">
        <f t="array" ref="G156">IF(OR($D156="",$D156="NO ENCONTRADO"),"",_xlfn.XLOOKUP($D156,Productos!$E:$E,Productos!$J:$J,""))</f>
        <v/>
      </c>
      <c r="H156" s="74">
        <f t="array" ref="H156">IF(OR($D156="",$D156="NO ENCONTRADO"),"",_xlfn.XLOOKUP($D156,Productos!$E:$E,Productos!$K:$K,""))</f>
        <v/>
      </c>
      <c r="I156" s="74">
        <f t="array" ref="I156">IF(OR($D156="",$D156="NO ENCONTRADO"),"",_xlfn.XLOOKUP($D156,Productos!$E:$E,Productos!$F:$F,""))</f>
        <v/>
      </c>
      <c r="J156" s="74">
        <f>IF($C156="","",IF($D156="NO ENCONTRADO",IF(COUNTIF($C$7:$C$1000,$C156)&gt;1,"⚠️ No encontrado | Duplicado","⚠️ No encontrado"),IF(COUNTIF($C$7:$C$1000,$C156)&gt;1,"⚠️ Duplicado","Verificado")))</f>
        <v/>
      </c>
    </row>
    <row r="157" ht="15.75" customHeight="1" s="176">
      <c r="B157" s="80" t="n"/>
      <c r="C157" s="77" t="n"/>
      <c r="D157" s="74">
        <f t="array" ref="D157">IF($C157="","",IFNA(_xlfn.XLOOKUP($C157,Productos!$A:$A,Productos!$E:$E,IFNA(_xlfn.XLOOKUP(TEXT($C157,"0"),Productos!$A:$A,Productos!$E:$E,IFNA(_xlfn.XLOOKUP(IFERROR(VALUE($C157),""),Productos!$A:$A,Productos!$E:$E,_xlfn.XLOOKUP($C157,Productos!$E:$E,Productos!$E:$E,"NO ENCONTRADO")),"NO ENCONTRADO")),"NO ENCONTRADO")),"NO ENCONTRADO"))</f>
        <v/>
      </c>
      <c r="E157" s="74">
        <f t="array" ref="E157">IF(OR($D157="",$D157="NO ENCONTRADO"),"",_xlfn.XLOOKUP($D157,Productos!$E:$E,Productos!$H:$H,""))</f>
        <v/>
      </c>
      <c r="F157" s="74">
        <f t="array" ref="F157">IF(OR($D157="",$D157="NO ENCONTRADO"),"",_xlfn.XLOOKUP($D157,Productos!$E:$E,Productos!$I:$I,""))</f>
        <v/>
      </c>
      <c r="G157" s="74">
        <f t="array" ref="G157">IF(OR($D157="",$D157="NO ENCONTRADO"),"",_xlfn.XLOOKUP($D157,Productos!$E:$E,Productos!$J:$J,""))</f>
        <v/>
      </c>
      <c r="H157" s="74">
        <f t="array" ref="H157">IF(OR($D157="",$D157="NO ENCONTRADO"),"",_xlfn.XLOOKUP($D157,Productos!$E:$E,Productos!$K:$K,""))</f>
        <v/>
      </c>
      <c r="I157" s="74">
        <f t="array" ref="I157">IF(OR($D157="",$D157="NO ENCONTRADO"),"",_xlfn.XLOOKUP($D157,Productos!$E:$E,Productos!$F:$F,""))</f>
        <v/>
      </c>
      <c r="J157" s="74">
        <f>IF($C157="","",IF($D157="NO ENCONTRADO",IF(COUNTIF($C$7:$C$1000,$C157)&gt;1,"⚠️ No encontrado | Duplicado","⚠️ No encontrado"),IF(COUNTIF($C$7:$C$1000,$C157)&gt;1,"⚠️ Duplicado","Verificado")))</f>
        <v/>
      </c>
    </row>
    <row r="158" ht="15.75" customHeight="1" s="176">
      <c r="B158" s="80" t="n"/>
      <c r="C158" s="77" t="n"/>
      <c r="D158" s="74">
        <f t="array" ref="D158">IF($C158="","",IFNA(_xlfn.XLOOKUP($C158,Productos!$A:$A,Productos!$E:$E,IFNA(_xlfn.XLOOKUP(TEXT($C158,"0"),Productos!$A:$A,Productos!$E:$E,IFNA(_xlfn.XLOOKUP(IFERROR(VALUE($C158),""),Productos!$A:$A,Productos!$E:$E,_xlfn.XLOOKUP($C158,Productos!$E:$E,Productos!$E:$E,"NO ENCONTRADO")),"NO ENCONTRADO")),"NO ENCONTRADO")),"NO ENCONTRADO"))</f>
        <v/>
      </c>
      <c r="E158" s="74">
        <f t="array" ref="E158">IF(OR($D158="",$D158="NO ENCONTRADO"),"",_xlfn.XLOOKUP($D158,Productos!$E:$E,Productos!$H:$H,""))</f>
        <v/>
      </c>
      <c r="F158" s="74">
        <f t="array" ref="F158">IF(OR($D158="",$D158="NO ENCONTRADO"),"",_xlfn.XLOOKUP($D158,Productos!$E:$E,Productos!$I:$I,""))</f>
        <v/>
      </c>
      <c r="G158" s="74">
        <f t="array" ref="G158">IF(OR($D158="",$D158="NO ENCONTRADO"),"",_xlfn.XLOOKUP($D158,Productos!$E:$E,Productos!$J:$J,""))</f>
        <v/>
      </c>
      <c r="H158" s="74">
        <f t="array" ref="H158">IF(OR($D158="",$D158="NO ENCONTRADO"),"",_xlfn.XLOOKUP($D158,Productos!$E:$E,Productos!$K:$K,""))</f>
        <v/>
      </c>
      <c r="I158" s="74">
        <f t="array" ref="I158">IF(OR($D158="",$D158="NO ENCONTRADO"),"",_xlfn.XLOOKUP($D158,Productos!$E:$E,Productos!$F:$F,""))</f>
        <v/>
      </c>
      <c r="J158" s="74">
        <f>IF($C158="","",IF($D158="NO ENCONTRADO",IF(COUNTIF($C$7:$C$1000,$C158)&gt;1,"⚠️ No encontrado | Duplicado","⚠️ No encontrado"),IF(COUNTIF($C$7:$C$1000,$C158)&gt;1,"⚠️ Duplicado","Verificado")))</f>
        <v/>
      </c>
    </row>
    <row r="159" ht="15.75" customHeight="1" s="176">
      <c r="B159" s="80" t="n"/>
      <c r="C159" s="77" t="n"/>
      <c r="D159" s="74">
        <f t="array" ref="D159">IF($C159="","",IFNA(_xlfn.XLOOKUP($C159,Productos!$A:$A,Productos!$E:$E,IFNA(_xlfn.XLOOKUP(TEXT($C159,"0"),Productos!$A:$A,Productos!$E:$E,IFNA(_xlfn.XLOOKUP(IFERROR(VALUE($C159),""),Productos!$A:$A,Productos!$E:$E,_xlfn.XLOOKUP($C159,Productos!$E:$E,Productos!$E:$E,"NO ENCONTRADO")),"NO ENCONTRADO")),"NO ENCONTRADO")),"NO ENCONTRADO"))</f>
        <v/>
      </c>
      <c r="E159" s="74">
        <f t="array" ref="E159">IF(OR($D159="",$D159="NO ENCONTRADO"),"",_xlfn.XLOOKUP($D159,Productos!$E:$E,Productos!$H:$H,""))</f>
        <v/>
      </c>
      <c r="F159" s="74">
        <f t="array" ref="F159">IF(OR($D159="",$D159="NO ENCONTRADO"),"",_xlfn.XLOOKUP($D159,Productos!$E:$E,Productos!$I:$I,""))</f>
        <v/>
      </c>
      <c r="G159" s="74">
        <f t="array" ref="G159">IF(OR($D159="",$D159="NO ENCONTRADO"),"",_xlfn.XLOOKUP($D159,Productos!$E:$E,Productos!$J:$J,""))</f>
        <v/>
      </c>
      <c r="H159" s="74">
        <f t="array" ref="H159">IF(OR($D159="",$D159="NO ENCONTRADO"),"",_xlfn.XLOOKUP($D159,Productos!$E:$E,Productos!$K:$K,""))</f>
        <v/>
      </c>
      <c r="I159" s="74">
        <f t="array" ref="I159">IF(OR($D159="",$D159="NO ENCONTRADO"),"",_xlfn.XLOOKUP($D159,Productos!$E:$E,Productos!$F:$F,""))</f>
        <v/>
      </c>
      <c r="J159" s="74">
        <f>IF($C159="","",IF($D159="NO ENCONTRADO",IF(COUNTIF($C$7:$C$1000,$C159)&gt;1,"⚠️ No encontrado | Duplicado","⚠️ No encontrado"),IF(COUNTIF($C$7:$C$1000,$C159)&gt;1,"⚠️ Duplicado","Verificado")))</f>
        <v/>
      </c>
    </row>
    <row r="160" ht="15.75" customHeight="1" s="176">
      <c r="B160" s="80" t="n"/>
      <c r="C160" s="77" t="n"/>
      <c r="D160" s="74">
        <f t="array" ref="D160">IF($C160="","",IFNA(_xlfn.XLOOKUP($C160,Productos!$A:$A,Productos!$E:$E,IFNA(_xlfn.XLOOKUP(TEXT($C160,"0"),Productos!$A:$A,Productos!$E:$E,IFNA(_xlfn.XLOOKUP(IFERROR(VALUE($C160),""),Productos!$A:$A,Productos!$E:$E,_xlfn.XLOOKUP($C160,Productos!$E:$E,Productos!$E:$E,"NO ENCONTRADO")),"NO ENCONTRADO")),"NO ENCONTRADO")),"NO ENCONTRADO"))</f>
        <v/>
      </c>
      <c r="E160" s="74">
        <f t="array" ref="E160">IF(OR($D160="",$D160="NO ENCONTRADO"),"",_xlfn.XLOOKUP($D160,Productos!$E:$E,Productos!$H:$H,""))</f>
        <v/>
      </c>
      <c r="F160" s="74">
        <f t="array" ref="F160">IF(OR($D160="",$D160="NO ENCONTRADO"),"",_xlfn.XLOOKUP($D160,Productos!$E:$E,Productos!$I:$I,""))</f>
        <v/>
      </c>
      <c r="G160" s="74">
        <f t="array" ref="G160">IF(OR($D160="",$D160="NO ENCONTRADO"),"",_xlfn.XLOOKUP($D160,Productos!$E:$E,Productos!$J:$J,""))</f>
        <v/>
      </c>
      <c r="H160" s="74">
        <f t="array" ref="H160">IF(OR($D160="",$D160="NO ENCONTRADO"),"",_xlfn.XLOOKUP($D160,Productos!$E:$E,Productos!$K:$K,""))</f>
        <v/>
      </c>
      <c r="I160" s="74">
        <f t="array" ref="I160">IF(OR($D160="",$D160="NO ENCONTRADO"),"",_xlfn.XLOOKUP($D160,Productos!$E:$E,Productos!$F:$F,""))</f>
        <v/>
      </c>
      <c r="J160" s="74">
        <f>IF($C160="","",IF($D160="NO ENCONTRADO",IF(COUNTIF($C$7:$C$1000,$C160)&gt;1,"⚠️ No encontrado | Duplicado","⚠️ No encontrado"),IF(COUNTIF($C$7:$C$1000,$C160)&gt;1,"⚠️ Duplicado","Verificado")))</f>
        <v/>
      </c>
    </row>
    <row r="161" ht="15.75" customHeight="1" s="176">
      <c r="B161" s="80" t="n"/>
      <c r="C161" s="77" t="n"/>
      <c r="D161" s="74">
        <f t="array" ref="D161">IF($C161="","",IFNA(_xlfn.XLOOKUP($C161,Productos!$A:$A,Productos!$E:$E,IFNA(_xlfn.XLOOKUP(TEXT($C161,"0"),Productos!$A:$A,Productos!$E:$E,IFNA(_xlfn.XLOOKUP(IFERROR(VALUE($C161),""),Productos!$A:$A,Productos!$E:$E,_xlfn.XLOOKUP($C161,Productos!$E:$E,Productos!$E:$E,"NO ENCONTRADO")),"NO ENCONTRADO")),"NO ENCONTRADO")),"NO ENCONTRADO"))</f>
        <v/>
      </c>
      <c r="E161" s="74">
        <f t="array" ref="E161">IF(OR($D161="",$D161="NO ENCONTRADO"),"",_xlfn.XLOOKUP($D161,Productos!$E:$E,Productos!$H:$H,""))</f>
        <v/>
      </c>
      <c r="F161" s="74">
        <f t="array" ref="F161">IF(OR($D161="",$D161="NO ENCONTRADO"),"",_xlfn.XLOOKUP($D161,Productos!$E:$E,Productos!$I:$I,""))</f>
        <v/>
      </c>
      <c r="G161" s="74">
        <f t="array" ref="G161">IF(OR($D161="",$D161="NO ENCONTRADO"),"",_xlfn.XLOOKUP($D161,Productos!$E:$E,Productos!$J:$J,""))</f>
        <v/>
      </c>
      <c r="H161" s="74">
        <f t="array" ref="H161">IF(OR($D161="",$D161="NO ENCONTRADO"),"",_xlfn.XLOOKUP($D161,Productos!$E:$E,Productos!$K:$K,""))</f>
        <v/>
      </c>
      <c r="I161" s="74">
        <f t="array" ref="I161">IF(OR($D161="",$D161="NO ENCONTRADO"),"",_xlfn.XLOOKUP($D161,Productos!$E:$E,Productos!$F:$F,""))</f>
        <v/>
      </c>
      <c r="J161" s="74">
        <f>IF($C161="","",IF($D161="NO ENCONTRADO",IF(COUNTIF($C$7:$C$1000,$C161)&gt;1,"⚠️ No encontrado | Duplicado","⚠️ No encontrado"),IF(COUNTIF($C$7:$C$1000,$C161)&gt;1,"⚠️ Duplicado","Verificado")))</f>
        <v/>
      </c>
    </row>
    <row r="162" ht="15.75" customHeight="1" s="176">
      <c r="B162" s="80" t="n"/>
      <c r="C162" s="77" t="n"/>
      <c r="D162" s="74">
        <f t="array" ref="D162">IF($C162="","",IFNA(_xlfn.XLOOKUP($C162,Productos!$A:$A,Productos!$E:$E,IFNA(_xlfn.XLOOKUP(TEXT($C162,"0"),Productos!$A:$A,Productos!$E:$E,IFNA(_xlfn.XLOOKUP(IFERROR(VALUE($C162),""),Productos!$A:$A,Productos!$E:$E,_xlfn.XLOOKUP($C162,Productos!$E:$E,Productos!$E:$E,"NO ENCONTRADO")),"NO ENCONTRADO")),"NO ENCONTRADO")),"NO ENCONTRADO"))</f>
        <v/>
      </c>
      <c r="E162" s="74">
        <f t="array" ref="E162">IF(OR($D162="",$D162="NO ENCONTRADO"),"",_xlfn.XLOOKUP($D162,Productos!$E:$E,Productos!$H:$H,""))</f>
        <v/>
      </c>
      <c r="F162" s="74">
        <f t="array" ref="F162">IF(OR($D162="",$D162="NO ENCONTRADO"),"",_xlfn.XLOOKUP($D162,Productos!$E:$E,Productos!$I:$I,""))</f>
        <v/>
      </c>
      <c r="G162" s="74">
        <f t="array" ref="G162">IF(OR($D162="",$D162="NO ENCONTRADO"),"",_xlfn.XLOOKUP($D162,Productos!$E:$E,Productos!$J:$J,""))</f>
        <v/>
      </c>
      <c r="H162" s="74">
        <f t="array" ref="H162">IF(OR($D162="",$D162="NO ENCONTRADO"),"",_xlfn.XLOOKUP($D162,Productos!$E:$E,Productos!$K:$K,""))</f>
        <v/>
      </c>
      <c r="I162" s="74">
        <f t="array" ref="I162">IF(OR($D162="",$D162="NO ENCONTRADO"),"",_xlfn.XLOOKUP($D162,Productos!$E:$E,Productos!$F:$F,""))</f>
        <v/>
      </c>
      <c r="J162" s="74">
        <f>IF($C162="","",IF($D162="NO ENCONTRADO",IF(COUNTIF($C$7:$C$1000,$C162)&gt;1,"⚠️ No encontrado | Duplicado","⚠️ No encontrado"),IF(COUNTIF($C$7:$C$1000,$C162)&gt;1,"⚠️ Duplicado","Verificado")))</f>
        <v/>
      </c>
    </row>
    <row r="163" ht="15.75" customHeight="1" s="176">
      <c r="B163" s="80" t="n"/>
      <c r="C163" s="77" t="n"/>
      <c r="D163" s="74">
        <f t="array" ref="D163">IF($C163="","",IFNA(_xlfn.XLOOKUP($C163,Productos!$A:$A,Productos!$E:$E,IFNA(_xlfn.XLOOKUP(TEXT($C163,"0"),Productos!$A:$A,Productos!$E:$E,IFNA(_xlfn.XLOOKUP(IFERROR(VALUE($C163),""),Productos!$A:$A,Productos!$E:$E,_xlfn.XLOOKUP($C163,Productos!$E:$E,Productos!$E:$E,"NO ENCONTRADO")),"NO ENCONTRADO")),"NO ENCONTRADO")),"NO ENCONTRADO"))</f>
        <v/>
      </c>
      <c r="E163" s="74">
        <f t="array" ref="E163">IF(OR($D163="",$D163="NO ENCONTRADO"),"",_xlfn.XLOOKUP($D163,Productos!$E:$E,Productos!$H:$H,""))</f>
        <v/>
      </c>
      <c r="F163" s="74">
        <f t="array" ref="F163">IF(OR($D163="",$D163="NO ENCONTRADO"),"",_xlfn.XLOOKUP($D163,Productos!$E:$E,Productos!$I:$I,""))</f>
        <v/>
      </c>
      <c r="G163" s="74">
        <f t="array" ref="G163">IF(OR($D163="",$D163="NO ENCONTRADO"),"",_xlfn.XLOOKUP($D163,Productos!$E:$E,Productos!$J:$J,""))</f>
        <v/>
      </c>
      <c r="H163" s="74">
        <f t="array" ref="H163">IF(OR($D163="",$D163="NO ENCONTRADO"),"",_xlfn.XLOOKUP($D163,Productos!$E:$E,Productos!$K:$K,""))</f>
        <v/>
      </c>
      <c r="I163" s="74">
        <f t="array" ref="I163">IF(OR($D163="",$D163="NO ENCONTRADO"),"",_xlfn.XLOOKUP($D163,Productos!$E:$E,Productos!$F:$F,""))</f>
        <v/>
      </c>
      <c r="J163" s="74">
        <f>IF($C163="","",IF($D163="NO ENCONTRADO",IF(COUNTIF($C$7:$C$1000,$C163)&gt;1,"⚠️ No encontrado | Duplicado","⚠️ No encontrado"),IF(COUNTIF($C$7:$C$1000,$C163)&gt;1,"⚠️ Duplicado","Verificado")))</f>
        <v/>
      </c>
    </row>
    <row r="164" ht="15.75" customHeight="1" s="176">
      <c r="B164" s="80" t="n"/>
      <c r="C164" s="77" t="n"/>
      <c r="D164" s="74">
        <f t="array" ref="D164">IF($C164="","",IFNA(_xlfn.XLOOKUP($C164,Productos!$A:$A,Productos!$E:$E,IFNA(_xlfn.XLOOKUP(TEXT($C164,"0"),Productos!$A:$A,Productos!$E:$E,IFNA(_xlfn.XLOOKUP(IFERROR(VALUE($C164),""),Productos!$A:$A,Productos!$E:$E,_xlfn.XLOOKUP($C164,Productos!$E:$E,Productos!$E:$E,"NO ENCONTRADO")),"NO ENCONTRADO")),"NO ENCONTRADO")),"NO ENCONTRADO"))</f>
        <v/>
      </c>
      <c r="E164" s="74">
        <f t="array" ref="E164">IF(OR($D164="",$D164="NO ENCONTRADO"),"",_xlfn.XLOOKUP($D164,Productos!$E:$E,Productos!$H:$H,""))</f>
        <v/>
      </c>
      <c r="F164" s="74">
        <f t="array" ref="F164">IF(OR($D164="",$D164="NO ENCONTRADO"),"",_xlfn.XLOOKUP($D164,Productos!$E:$E,Productos!$I:$I,""))</f>
        <v/>
      </c>
      <c r="G164" s="74">
        <f t="array" ref="G164">IF(OR($D164="",$D164="NO ENCONTRADO"),"",_xlfn.XLOOKUP($D164,Productos!$E:$E,Productos!$J:$J,""))</f>
        <v/>
      </c>
      <c r="H164" s="74">
        <f t="array" ref="H164">IF(OR($D164="",$D164="NO ENCONTRADO"),"",_xlfn.XLOOKUP($D164,Productos!$E:$E,Productos!$K:$K,""))</f>
        <v/>
      </c>
      <c r="I164" s="74">
        <f t="array" ref="I164">IF(OR($D164="",$D164="NO ENCONTRADO"),"",_xlfn.XLOOKUP($D164,Productos!$E:$E,Productos!$F:$F,""))</f>
        <v/>
      </c>
      <c r="J164" s="74">
        <f>IF($C164="","",IF($D164="NO ENCONTRADO",IF(COUNTIF($C$7:$C$1000,$C164)&gt;1,"⚠️ No encontrado | Duplicado","⚠️ No encontrado"),IF(COUNTIF($C$7:$C$1000,$C164)&gt;1,"⚠️ Duplicado","Verificado")))</f>
        <v/>
      </c>
    </row>
    <row r="165" ht="15.75" customHeight="1" s="176">
      <c r="B165" s="80" t="n"/>
      <c r="C165" s="77" t="n"/>
      <c r="D165" s="74">
        <f t="array" ref="D165">IF($C165="","",IFNA(_xlfn.XLOOKUP($C165,Productos!$A:$A,Productos!$E:$E,IFNA(_xlfn.XLOOKUP(TEXT($C165,"0"),Productos!$A:$A,Productos!$E:$E,IFNA(_xlfn.XLOOKUP(IFERROR(VALUE($C165),""),Productos!$A:$A,Productos!$E:$E,_xlfn.XLOOKUP($C165,Productos!$E:$E,Productos!$E:$E,"NO ENCONTRADO")),"NO ENCONTRADO")),"NO ENCONTRADO")),"NO ENCONTRADO"))</f>
        <v/>
      </c>
      <c r="E165" s="74">
        <f t="array" ref="E165">IF(OR($D165="",$D165="NO ENCONTRADO"),"",_xlfn.XLOOKUP($D165,Productos!$E:$E,Productos!$H:$H,""))</f>
        <v/>
      </c>
      <c r="F165" s="74">
        <f t="array" ref="F165">IF(OR($D165="",$D165="NO ENCONTRADO"),"",_xlfn.XLOOKUP($D165,Productos!$E:$E,Productos!$I:$I,""))</f>
        <v/>
      </c>
      <c r="G165" s="74">
        <f t="array" ref="G165">IF(OR($D165="",$D165="NO ENCONTRADO"),"",_xlfn.XLOOKUP($D165,Productos!$E:$E,Productos!$J:$J,""))</f>
        <v/>
      </c>
      <c r="H165" s="74">
        <f t="array" ref="H165">IF(OR($D165="",$D165="NO ENCONTRADO"),"",_xlfn.XLOOKUP($D165,Productos!$E:$E,Productos!$K:$K,""))</f>
        <v/>
      </c>
      <c r="I165" s="74">
        <f t="array" ref="I165">IF(OR($D165="",$D165="NO ENCONTRADO"),"",_xlfn.XLOOKUP($D165,Productos!$E:$E,Productos!$F:$F,""))</f>
        <v/>
      </c>
      <c r="J165" s="74">
        <f>IF($C165="","",IF($D165="NO ENCONTRADO",IF(COUNTIF($C$7:$C$1000,$C165)&gt;1,"⚠️ No encontrado | Duplicado","⚠️ No encontrado"),IF(COUNTIF($C$7:$C$1000,$C165)&gt;1,"⚠️ Duplicado","Verificado")))</f>
        <v/>
      </c>
    </row>
    <row r="166" ht="15.75" customHeight="1" s="176">
      <c r="B166" s="80" t="n"/>
      <c r="C166" s="77" t="n"/>
      <c r="D166" s="74">
        <f t="array" ref="D166">IF($C166="","",IFNA(_xlfn.XLOOKUP($C166,Productos!$A:$A,Productos!$E:$E,IFNA(_xlfn.XLOOKUP(TEXT($C166,"0"),Productos!$A:$A,Productos!$E:$E,IFNA(_xlfn.XLOOKUP(IFERROR(VALUE($C166),""),Productos!$A:$A,Productos!$E:$E,_xlfn.XLOOKUP($C166,Productos!$E:$E,Productos!$E:$E,"NO ENCONTRADO")),"NO ENCONTRADO")),"NO ENCONTRADO")),"NO ENCONTRADO"))</f>
        <v/>
      </c>
      <c r="E166" s="74">
        <f t="array" ref="E166">IF(OR($D166="",$D166="NO ENCONTRADO"),"",_xlfn.XLOOKUP($D166,Productos!$E:$E,Productos!$H:$H,""))</f>
        <v/>
      </c>
      <c r="F166" s="74">
        <f t="array" ref="F166">IF(OR($D166="",$D166="NO ENCONTRADO"),"",_xlfn.XLOOKUP($D166,Productos!$E:$E,Productos!$I:$I,""))</f>
        <v/>
      </c>
      <c r="G166" s="74">
        <f t="array" ref="G166">IF(OR($D166="",$D166="NO ENCONTRADO"),"",_xlfn.XLOOKUP($D166,Productos!$E:$E,Productos!$J:$J,""))</f>
        <v/>
      </c>
      <c r="H166" s="74">
        <f t="array" ref="H166">IF(OR($D166="",$D166="NO ENCONTRADO"),"",_xlfn.XLOOKUP($D166,Productos!$E:$E,Productos!$K:$K,""))</f>
        <v/>
      </c>
      <c r="I166" s="74">
        <f t="array" ref="I166">IF(OR($D166="",$D166="NO ENCONTRADO"),"",_xlfn.XLOOKUP($D166,Productos!$E:$E,Productos!$F:$F,""))</f>
        <v/>
      </c>
      <c r="J166" s="74">
        <f>IF($C166="","",IF($D166="NO ENCONTRADO",IF(COUNTIF($C$7:$C$1000,$C166)&gt;1,"⚠️ No encontrado | Duplicado","⚠️ No encontrado"),IF(COUNTIF($C$7:$C$1000,$C166)&gt;1,"⚠️ Duplicado","Verificado")))</f>
        <v/>
      </c>
    </row>
    <row r="167" ht="15.75" customHeight="1" s="176">
      <c r="B167" s="80" t="n"/>
      <c r="C167" s="77" t="n"/>
      <c r="D167" s="74">
        <f t="array" ref="D167">IF($C167="","",IFNA(_xlfn.XLOOKUP($C167,Productos!$A:$A,Productos!$E:$E,IFNA(_xlfn.XLOOKUP(TEXT($C167,"0"),Productos!$A:$A,Productos!$E:$E,IFNA(_xlfn.XLOOKUP(IFERROR(VALUE($C167),""),Productos!$A:$A,Productos!$E:$E,_xlfn.XLOOKUP($C167,Productos!$E:$E,Productos!$E:$E,"NO ENCONTRADO")),"NO ENCONTRADO")),"NO ENCONTRADO")),"NO ENCONTRADO"))</f>
        <v/>
      </c>
      <c r="E167" s="74">
        <f t="array" ref="E167">IF(OR($D167="",$D167="NO ENCONTRADO"),"",_xlfn.XLOOKUP($D167,Productos!$E:$E,Productos!$H:$H,""))</f>
        <v/>
      </c>
      <c r="F167" s="74">
        <f t="array" ref="F167">IF(OR($D167="",$D167="NO ENCONTRADO"),"",_xlfn.XLOOKUP($D167,Productos!$E:$E,Productos!$I:$I,""))</f>
        <v/>
      </c>
      <c r="G167" s="74">
        <f t="array" ref="G167">IF(OR($D167="",$D167="NO ENCONTRADO"),"",_xlfn.XLOOKUP($D167,Productos!$E:$E,Productos!$J:$J,""))</f>
        <v/>
      </c>
      <c r="H167" s="74">
        <f t="array" ref="H167">IF(OR($D167="",$D167="NO ENCONTRADO"),"",_xlfn.XLOOKUP($D167,Productos!$E:$E,Productos!$K:$K,""))</f>
        <v/>
      </c>
      <c r="I167" s="74">
        <f t="array" ref="I167">IF(OR($D167="",$D167="NO ENCONTRADO"),"",_xlfn.XLOOKUP($D167,Productos!$E:$E,Productos!$F:$F,""))</f>
        <v/>
      </c>
      <c r="J167" s="74">
        <f>IF($C167="","",IF($D167="NO ENCONTRADO",IF(COUNTIF($C$7:$C$1000,$C167)&gt;1,"⚠️ No encontrado | Duplicado","⚠️ No encontrado"),IF(COUNTIF($C$7:$C$1000,$C167)&gt;1,"⚠️ Duplicado","Verificado")))</f>
        <v/>
      </c>
    </row>
    <row r="168" ht="15.75" customHeight="1" s="176">
      <c r="B168" s="80" t="n"/>
      <c r="C168" s="77" t="n"/>
      <c r="D168" s="74">
        <f t="array" ref="D168">IF($C168="","",IFNA(_xlfn.XLOOKUP($C168,Productos!$A:$A,Productos!$E:$E,IFNA(_xlfn.XLOOKUP(TEXT($C168,"0"),Productos!$A:$A,Productos!$E:$E,IFNA(_xlfn.XLOOKUP(IFERROR(VALUE($C168),""),Productos!$A:$A,Productos!$E:$E,_xlfn.XLOOKUP($C168,Productos!$E:$E,Productos!$E:$E,"NO ENCONTRADO")),"NO ENCONTRADO")),"NO ENCONTRADO")),"NO ENCONTRADO"))</f>
        <v/>
      </c>
      <c r="E168" s="74">
        <f t="array" ref="E168">IF(OR($D168="",$D168="NO ENCONTRADO"),"",_xlfn.XLOOKUP($D168,Productos!$E:$E,Productos!$H:$H,""))</f>
        <v/>
      </c>
      <c r="F168" s="74">
        <f t="array" ref="F168">IF(OR($D168="",$D168="NO ENCONTRADO"),"",_xlfn.XLOOKUP($D168,Productos!$E:$E,Productos!$I:$I,""))</f>
        <v/>
      </c>
      <c r="G168" s="74">
        <f t="array" ref="G168">IF(OR($D168="",$D168="NO ENCONTRADO"),"",_xlfn.XLOOKUP($D168,Productos!$E:$E,Productos!$J:$J,""))</f>
        <v/>
      </c>
      <c r="H168" s="74">
        <f t="array" ref="H168">IF(OR($D168="",$D168="NO ENCONTRADO"),"",_xlfn.XLOOKUP($D168,Productos!$E:$E,Productos!$K:$K,""))</f>
        <v/>
      </c>
      <c r="I168" s="74">
        <f t="array" ref="I168">IF(OR($D168="",$D168="NO ENCONTRADO"),"",_xlfn.XLOOKUP($D168,Productos!$E:$E,Productos!$F:$F,""))</f>
        <v/>
      </c>
      <c r="J168" s="74">
        <f>IF($C168="","",IF($D168="NO ENCONTRADO",IF(COUNTIF($C$7:$C$1000,$C168)&gt;1,"⚠️ No encontrado | Duplicado","⚠️ No encontrado"),IF(COUNTIF($C$7:$C$1000,$C168)&gt;1,"⚠️ Duplicado","Verificado")))</f>
        <v/>
      </c>
    </row>
    <row r="169" ht="15.75" customHeight="1" s="176">
      <c r="B169" s="80" t="n"/>
      <c r="C169" s="77" t="n"/>
      <c r="D169" s="74">
        <f t="array" ref="D169">IF($C169="","",IFNA(_xlfn.XLOOKUP($C169,Productos!$A:$A,Productos!$E:$E,IFNA(_xlfn.XLOOKUP(TEXT($C169,"0"),Productos!$A:$A,Productos!$E:$E,IFNA(_xlfn.XLOOKUP(IFERROR(VALUE($C169),""),Productos!$A:$A,Productos!$E:$E,_xlfn.XLOOKUP($C169,Productos!$E:$E,Productos!$E:$E,"NO ENCONTRADO")),"NO ENCONTRADO")),"NO ENCONTRADO")),"NO ENCONTRADO"))</f>
        <v/>
      </c>
      <c r="E169" s="74">
        <f t="array" ref="E169">IF(OR($D169="",$D169="NO ENCONTRADO"),"",_xlfn.XLOOKUP($D169,Productos!$E:$E,Productos!$H:$H,""))</f>
        <v/>
      </c>
      <c r="F169" s="74">
        <f t="array" ref="F169">IF(OR($D169="",$D169="NO ENCONTRADO"),"",_xlfn.XLOOKUP($D169,Productos!$E:$E,Productos!$I:$I,""))</f>
        <v/>
      </c>
      <c r="G169" s="74">
        <f t="array" ref="G169">IF(OR($D169="",$D169="NO ENCONTRADO"),"",_xlfn.XLOOKUP($D169,Productos!$E:$E,Productos!$J:$J,""))</f>
        <v/>
      </c>
      <c r="H169" s="74">
        <f t="array" ref="H169">IF(OR($D169="",$D169="NO ENCONTRADO"),"",_xlfn.XLOOKUP($D169,Productos!$E:$E,Productos!$K:$K,""))</f>
        <v/>
      </c>
      <c r="I169" s="74">
        <f t="array" ref="I169">IF(OR($D169="",$D169="NO ENCONTRADO"),"",_xlfn.XLOOKUP($D169,Productos!$E:$E,Productos!$F:$F,""))</f>
        <v/>
      </c>
      <c r="J169" s="74">
        <f>IF($C169="","",IF($D169="NO ENCONTRADO",IF(COUNTIF($C$7:$C$1000,$C169)&gt;1,"⚠️ No encontrado | Duplicado","⚠️ No encontrado"),IF(COUNTIF($C$7:$C$1000,$C169)&gt;1,"⚠️ Duplicado","Verificado")))</f>
        <v/>
      </c>
    </row>
    <row r="170" ht="15.75" customHeight="1" s="176">
      <c r="B170" s="80" t="n"/>
      <c r="C170" s="77" t="n"/>
      <c r="D170" s="74">
        <f t="array" ref="D170">IF($C170="","",IFNA(_xlfn.XLOOKUP($C170,Productos!$A:$A,Productos!$E:$E,IFNA(_xlfn.XLOOKUP(TEXT($C170,"0"),Productos!$A:$A,Productos!$E:$E,IFNA(_xlfn.XLOOKUP(IFERROR(VALUE($C170),""),Productos!$A:$A,Productos!$E:$E,_xlfn.XLOOKUP($C170,Productos!$E:$E,Productos!$E:$E,"NO ENCONTRADO")),"NO ENCONTRADO")),"NO ENCONTRADO")),"NO ENCONTRADO"))</f>
        <v/>
      </c>
      <c r="E170" s="74">
        <f t="array" ref="E170">IF(OR($D170="",$D170="NO ENCONTRADO"),"",_xlfn.XLOOKUP($D170,Productos!$E:$E,Productos!$H:$H,""))</f>
        <v/>
      </c>
      <c r="F170" s="74">
        <f t="array" ref="F170">IF(OR($D170="",$D170="NO ENCONTRADO"),"",_xlfn.XLOOKUP($D170,Productos!$E:$E,Productos!$I:$I,""))</f>
        <v/>
      </c>
      <c r="G170" s="74">
        <f t="array" ref="G170">IF(OR($D170="",$D170="NO ENCONTRADO"),"",_xlfn.XLOOKUP($D170,Productos!$E:$E,Productos!$J:$J,""))</f>
        <v/>
      </c>
      <c r="H170" s="74">
        <f t="array" ref="H170">IF(OR($D170="",$D170="NO ENCONTRADO"),"",_xlfn.XLOOKUP($D170,Productos!$E:$E,Productos!$K:$K,""))</f>
        <v/>
      </c>
      <c r="I170" s="74">
        <f t="array" ref="I170">IF(OR($D170="",$D170="NO ENCONTRADO"),"",_xlfn.XLOOKUP($D170,Productos!$E:$E,Productos!$F:$F,""))</f>
        <v/>
      </c>
      <c r="J170" s="74">
        <f>IF($C170="","",IF($D170="NO ENCONTRADO",IF(COUNTIF($C$7:$C$1000,$C170)&gt;1,"⚠️ No encontrado | Duplicado","⚠️ No encontrado"),IF(COUNTIF($C$7:$C$1000,$C170)&gt;1,"⚠️ Duplicado","Verificado")))</f>
        <v/>
      </c>
    </row>
    <row r="171" ht="15.75" customHeight="1" s="176">
      <c r="B171" s="80" t="n"/>
      <c r="C171" s="77" t="n"/>
      <c r="D171" s="74">
        <f t="array" ref="D171">IF($C171="","",IFNA(_xlfn.XLOOKUP($C171,Productos!$A:$A,Productos!$E:$E,IFNA(_xlfn.XLOOKUP(TEXT($C171,"0"),Productos!$A:$A,Productos!$E:$E,IFNA(_xlfn.XLOOKUP(IFERROR(VALUE($C171),""),Productos!$A:$A,Productos!$E:$E,_xlfn.XLOOKUP($C171,Productos!$E:$E,Productos!$E:$E,"NO ENCONTRADO")),"NO ENCONTRADO")),"NO ENCONTRADO")),"NO ENCONTRADO"))</f>
        <v/>
      </c>
      <c r="E171" s="74">
        <f t="array" ref="E171">IF(OR($D171="",$D171="NO ENCONTRADO"),"",_xlfn.XLOOKUP($D171,Productos!$E:$E,Productos!$H:$H,""))</f>
        <v/>
      </c>
      <c r="F171" s="74">
        <f t="array" ref="F171">IF(OR($D171="",$D171="NO ENCONTRADO"),"",_xlfn.XLOOKUP($D171,Productos!$E:$E,Productos!$I:$I,""))</f>
        <v/>
      </c>
      <c r="G171" s="74">
        <f t="array" ref="G171">IF(OR($D171="",$D171="NO ENCONTRADO"),"",_xlfn.XLOOKUP($D171,Productos!$E:$E,Productos!$J:$J,""))</f>
        <v/>
      </c>
      <c r="H171" s="74">
        <f t="array" ref="H171">IF(OR($D171="",$D171="NO ENCONTRADO"),"",_xlfn.XLOOKUP($D171,Productos!$E:$E,Productos!$K:$K,""))</f>
        <v/>
      </c>
      <c r="I171" s="74">
        <f t="array" ref="I171">IF(OR($D171="",$D171="NO ENCONTRADO"),"",_xlfn.XLOOKUP($D171,Productos!$E:$E,Productos!$F:$F,""))</f>
        <v/>
      </c>
      <c r="J171" s="74">
        <f>IF($C171="","",IF($D171="NO ENCONTRADO",IF(COUNTIF($C$7:$C$1000,$C171)&gt;1,"⚠️ No encontrado | Duplicado","⚠️ No encontrado"),IF(COUNTIF($C$7:$C$1000,$C171)&gt;1,"⚠️ Duplicado","Verificado")))</f>
        <v/>
      </c>
    </row>
    <row r="172" ht="15.75" customHeight="1" s="176">
      <c r="B172" s="80" t="n"/>
      <c r="C172" s="77" t="n"/>
      <c r="D172" s="74">
        <f t="array" ref="D172">IF($C172="","",IFNA(_xlfn.XLOOKUP($C172,Productos!$A:$A,Productos!$E:$E,IFNA(_xlfn.XLOOKUP(TEXT($C172,"0"),Productos!$A:$A,Productos!$E:$E,IFNA(_xlfn.XLOOKUP(IFERROR(VALUE($C172),""),Productos!$A:$A,Productos!$E:$E,_xlfn.XLOOKUP($C172,Productos!$E:$E,Productos!$E:$E,"NO ENCONTRADO")),"NO ENCONTRADO")),"NO ENCONTRADO")),"NO ENCONTRADO"))</f>
        <v/>
      </c>
      <c r="E172" s="74">
        <f t="array" ref="E172">IF(OR($D172="",$D172="NO ENCONTRADO"),"",_xlfn.XLOOKUP($D172,Productos!$E:$E,Productos!$H:$H,""))</f>
        <v/>
      </c>
      <c r="F172" s="74">
        <f t="array" ref="F172">IF(OR($D172="",$D172="NO ENCONTRADO"),"",_xlfn.XLOOKUP($D172,Productos!$E:$E,Productos!$I:$I,""))</f>
        <v/>
      </c>
      <c r="G172" s="74">
        <f t="array" ref="G172">IF(OR($D172="",$D172="NO ENCONTRADO"),"",_xlfn.XLOOKUP($D172,Productos!$E:$E,Productos!$J:$J,""))</f>
        <v/>
      </c>
      <c r="H172" s="74">
        <f t="array" ref="H172">IF(OR($D172="",$D172="NO ENCONTRADO"),"",_xlfn.XLOOKUP($D172,Productos!$E:$E,Productos!$K:$K,""))</f>
        <v/>
      </c>
      <c r="I172" s="74">
        <f t="array" ref="I172">IF(OR($D172="",$D172="NO ENCONTRADO"),"",_xlfn.XLOOKUP($D172,Productos!$E:$E,Productos!$F:$F,""))</f>
        <v/>
      </c>
      <c r="J172" s="74">
        <f>IF($C172="","",IF($D172="NO ENCONTRADO",IF(COUNTIF($C$7:$C$1000,$C172)&gt;1,"⚠️ No encontrado | Duplicado","⚠️ No encontrado"),IF(COUNTIF($C$7:$C$1000,$C172)&gt;1,"⚠️ Duplicado","Verificado")))</f>
        <v/>
      </c>
    </row>
    <row r="173" ht="15.75" customHeight="1" s="176">
      <c r="B173" s="80" t="n"/>
      <c r="C173" s="77" t="n"/>
      <c r="D173" s="74">
        <f t="array" ref="D173">IF($C173="","",IFNA(_xlfn.XLOOKUP($C173,Productos!$A:$A,Productos!$E:$E,IFNA(_xlfn.XLOOKUP(TEXT($C173,"0"),Productos!$A:$A,Productos!$E:$E,IFNA(_xlfn.XLOOKUP(IFERROR(VALUE($C173),""),Productos!$A:$A,Productos!$E:$E,_xlfn.XLOOKUP($C173,Productos!$E:$E,Productos!$E:$E,"NO ENCONTRADO")),"NO ENCONTRADO")),"NO ENCONTRADO")),"NO ENCONTRADO"))</f>
        <v/>
      </c>
      <c r="E173" s="74">
        <f t="array" ref="E173">IF(OR($D173="",$D173="NO ENCONTRADO"),"",_xlfn.XLOOKUP($D173,Productos!$E:$E,Productos!$H:$H,""))</f>
        <v/>
      </c>
      <c r="F173" s="74">
        <f t="array" ref="F173">IF(OR($D173="",$D173="NO ENCONTRADO"),"",_xlfn.XLOOKUP($D173,Productos!$E:$E,Productos!$I:$I,""))</f>
        <v/>
      </c>
      <c r="G173" s="74">
        <f t="array" ref="G173">IF(OR($D173="",$D173="NO ENCONTRADO"),"",_xlfn.XLOOKUP($D173,Productos!$E:$E,Productos!$J:$J,""))</f>
        <v/>
      </c>
      <c r="H173" s="74">
        <f t="array" ref="H173">IF(OR($D173="",$D173="NO ENCONTRADO"),"",_xlfn.XLOOKUP($D173,Productos!$E:$E,Productos!$K:$K,""))</f>
        <v/>
      </c>
      <c r="I173" s="74">
        <f t="array" ref="I173">IF(OR($D173="",$D173="NO ENCONTRADO"),"",_xlfn.XLOOKUP($D173,Productos!$E:$E,Productos!$F:$F,""))</f>
        <v/>
      </c>
      <c r="J173" s="74">
        <f>IF($C173="","",IF($D173="NO ENCONTRADO",IF(COUNTIF($C$7:$C$1000,$C173)&gt;1,"⚠️ No encontrado | Duplicado","⚠️ No encontrado"),IF(COUNTIF($C$7:$C$1000,$C173)&gt;1,"⚠️ Duplicado","Verificado")))</f>
        <v/>
      </c>
    </row>
    <row r="174" ht="15.75" customHeight="1" s="176">
      <c r="B174" s="80" t="n"/>
      <c r="C174" s="77" t="n"/>
      <c r="D174" s="74">
        <f t="array" ref="D174">IF($C174="","",IFNA(_xlfn.XLOOKUP($C174,Productos!$A:$A,Productos!$E:$E,IFNA(_xlfn.XLOOKUP(TEXT($C174,"0"),Productos!$A:$A,Productos!$E:$E,IFNA(_xlfn.XLOOKUP(IFERROR(VALUE($C174),""),Productos!$A:$A,Productos!$E:$E,_xlfn.XLOOKUP($C174,Productos!$E:$E,Productos!$E:$E,"NO ENCONTRADO")),"NO ENCONTRADO")),"NO ENCONTRADO")),"NO ENCONTRADO"))</f>
        <v/>
      </c>
      <c r="E174" s="74">
        <f t="array" ref="E174">IF(OR($D174="",$D174="NO ENCONTRADO"),"",_xlfn.XLOOKUP($D174,Productos!$E:$E,Productos!$H:$H,""))</f>
        <v/>
      </c>
      <c r="F174" s="74">
        <f t="array" ref="F174">IF(OR($D174="",$D174="NO ENCONTRADO"),"",_xlfn.XLOOKUP($D174,Productos!$E:$E,Productos!$I:$I,""))</f>
        <v/>
      </c>
      <c r="G174" s="74">
        <f t="array" ref="G174">IF(OR($D174="",$D174="NO ENCONTRADO"),"",_xlfn.XLOOKUP($D174,Productos!$E:$E,Productos!$J:$J,""))</f>
        <v/>
      </c>
      <c r="H174" s="74">
        <f t="array" ref="H174">IF(OR($D174="",$D174="NO ENCONTRADO"),"",_xlfn.XLOOKUP($D174,Productos!$E:$E,Productos!$K:$K,""))</f>
        <v/>
      </c>
      <c r="I174" s="74">
        <f t="array" ref="I174">IF(OR($D174="",$D174="NO ENCONTRADO"),"",_xlfn.XLOOKUP($D174,Productos!$E:$E,Productos!$F:$F,""))</f>
        <v/>
      </c>
      <c r="J174" s="74">
        <f>IF($C174="","",IF($D174="NO ENCONTRADO",IF(COUNTIF($C$7:$C$1000,$C174)&gt;1,"⚠️ No encontrado | Duplicado","⚠️ No encontrado"),IF(COUNTIF($C$7:$C$1000,$C174)&gt;1,"⚠️ Duplicado","Verificado")))</f>
        <v/>
      </c>
    </row>
    <row r="175" ht="15.75" customHeight="1" s="176">
      <c r="B175" s="80" t="n"/>
      <c r="C175" s="77" t="n"/>
      <c r="D175" s="74">
        <f t="array" ref="D175">IF($C175="","",IFNA(_xlfn.XLOOKUP($C175,Productos!$A:$A,Productos!$E:$E,IFNA(_xlfn.XLOOKUP(TEXT($C175,"0"),Productos!$A:$A,Productos!$E:$E,IFNA(_xlfn.XLOOKUP(IFERROR(VALUE($C175),""),Productos!$A:$A,Productos!$E:$E,_xlfn.XLOOKUP($C175,Productos!$E:$E,Productos!$E:$E,"NO ENCONTRADO")),"NO ENCONTRADO")),"NO ENCONTRADO")),"NO ENCONTRADO"))</f>
        <v/>
      </c>
      <c r="E175" s="74">
        <f t="array" ref="E175">IF(OR($D175="",$D175="NO ENCONTRADO"),"",_xlfn.XLOOKUP($D175,Productos!$E:$E,Productos!$H:$H,""))</f>
        <v/>
      </c>
      <c r="F175" s="74">
        <f t="array" ref="F175">IF(OR($D175="",$D175="NO ENCONTRADO"),"",_xlfn.XLOOKUP($D175,Productos!$E:$E,Productos!$I:$I,""))</f>
        <v/>
      </c>
      <c r="G175" s="74">
        <f t="array" ref="G175">IF(OR($D175="",$D175="NO ENCONTRADO"),"",_xlfn.XLOOKUP($D175,Productos!$E:$E,Productos!$J:$J,""))</f>
        <v/>
      </c>
      <c r="H175" s="74">
        <f t="array" ref="H175">IF(OR($D175="",$D175="NO ENCONTRADO"),"",_xlfn.XLOOKUP($D175,Productos!$E:$E,Productos!$K:$K,""))</f>
        <v/>
      </c>
      <c r="I175" s="74">
        <f t="array" ref="I175">IF(OR($D175="",$D175="NO ENCONTRADO"),"",_xlfn.XLOOKUP($D175,Productos!$E:$E,Productos!$F:$F,""))</f>
        <v/>
      </c>
      <c r="J175" s="74">
        <f>IF($C175="","",IF($D175="NO ENCONTRADO",IF(COUNTIF($C$7:$C$1000,$C175)&gt;1,"⚠️ No encontrado | Duplicado","⚠️ No encontrado"),IF(COUNTIF($C$7:$C$1000,$C175)&gt;1,"⚠️ Duplicado","Verificado")))</f>
        <v/>
      </c>
    </row>
    <row r="176" ht="15.75" customHeight="1" s="176">
      <c r="B176" s="80" t="n"/>
      <c r="C176" s="77" t="n"/>
      <c r="D176" s="74">
        <f t="array" ref="D176">IF($C176="","",IFNA(_xlfn.XLOOKUP($C176,Productos!$A:$A,Productos!$E:$E,IFNA(_xlfn.XLOOKUP(TEXT($C176,"0"),Productos!$A:$A,Productos!$E:$E,IFNA(_xlfn.XLOOKUP(IFERROR(VALUE($C176),""),Productos!$A:$A,Productos!$E:$E,_xlfn.XLOOKUP($C176,Productos!$E:$E,Productos!$E:$E,"NO ENCONTRADO")),"NO ENCONTRADO")),"NO ENCONTRADO")),"NO ENCONTRADO"))</f>
        <v/>
      </c>
      <c r="E176" s="74">
        <f t="array" ref="E176">IF(OR($D176="",$D176="NO ENCONTRADO"),"",_xlfn.XLOOKUP($D176,Productos!$E:$E,Productos!$H:$H,""))</f>
        <v/>
      </c>
      <c r="F176" s="74">
        <f t="array" ref="F176">IF(OR($D176="",$D176="NO ENCONTRADO"),"",_xlfn.XLOOKUP($D176,Productos!$E:$E,Productos!$I:$I,""))</f>
        <v/>
      </c>
      <c r="G176" s="74">
        <f t="array" ref="G176">IF(OR($D176="",$D176="NO ENCONTRADO"),"",_xlfn.XLOOKUP($D176,Productos!$E:$E,Productos!$J:$J,""))</f>
        <v/>
      </c>
      <c r="H176" s="74">
        <f t="array" ref="H176">IF(OR($D176="",$D176="NO ENCONTRADO"),"",_xlfn.XLOOKUP($D176,Productos!$E:$E,Productos!$K:$K,""))</f>
        <v/>
      </c>
      <c r="I176" s="74">
        <f t="array" ref="I176">IF(OR($D176="",$D176="NO ENCONTRADO"),"",_xlfn.XLOOKUP($D176,Productos!$E:$E,Productos!$F:$F,""))</f>
        <v/>
      </c>
      <c r="J176" s="74">
        <f>IF($C176="","",IF($D176="NO ENCONTRADO",IF(COUNTIF($C$7:$C$1000,$C176)&gt;1,"⚠️ No encontrado | Duplicado","⚠️ No encontrado"),IF(COUNTIF($C$7:$C$1000,$C176)&gt;1,"⚠️ Duplicado","Verificado")))</f>
        <v/>
      </c>
    </row>
    <row r="177" ht="15.75" customHeight="1" s="176">
      <c r="B177" s="80" t="n"/>
      <c r="C177" s="77" t="n"/>
      <c r="D177" s="74">
        <f t="array" ref="D177">IF($C177="","",IFNA(_xlfn.XLOOKUP($C177,Productos!$A:$A,Productos!$E:$E,IFNA(_xlfn.XLOOKUP(TEXT($C177,"0"),Productos!$A:$A,Productos!$E:$E,IFNA(_xlfn.XLOOKUP(IFERROR(VALUE($C177),""),Productos!$A:$A,Productos!$E:$E,_xlfn.XLOOKUP($C177,Productos!$E:$E,Productos!$E:$E,"NO ENCONTRADO")),"NO ENCONTRADO")),"NO ENCONTRADO")),"NO ENCONTRADO"))</f>
        <v/>
      </c>
      <c r="E177" s="74">
        <f t="array" ref="E177">IF(OR($D177="",$D177="NO ENCONTRADO"),"",_xlfn.XLOOKUP($D177,Productos!$E:$E,Productos!$H:$H,""))</f>
        <v/>
      </c>
      <c r="F177" s="74">
        <f t="array" ref="F177">IF(OR($D177="",$D177="NO ENCONTRADO"),"",_xlfn.XLOOKUP($D177,Productos!$E:$E,Productos!$I:$I,""))</f>
        <v/>
      </c>
      <c r="G177" s="74">
        <f t="array" ref="G177">IF(OR($D177="",$D177="NO ENCONTRADO"),"",_xlfn.XLOOKUP($D177,Productos!$E:$E,Productos!$J:$J,""))</f>
        <v/>
      </c>
      <c r="H177" s="74">
        <f t="array" ref="H177">IF(OR($D177="",$D177="NO ENCONTRADO"),"",_xlfn.XLOOKUP($D177,Productos!$E:$E,Productos!$K:$K,""))</f>
        <v/>
      </c>
      <c r="I177" s="74">
        <f t="array" ref="I177">IF(OR($D177="",$D177="NO ENCONTRADO"),"",_xlfn.XLOOKUP($D177,Productos!$E:$E,Productos!$F:$F,""))</f>
        <v/>
      </c>
      <c r="J177" s="74">
        <f>IF($C177="","",IF($D177="NO ENCONTRADO",IF(COUNTIF($C$7:$C$1000,$C177)&gt;1,"⚠️ No encontrado | Duplicado","⚠️ No encontrado"),IF(COUNTIF($C$7:$C$1000,$C177)&gt;1,"⚠️ Duplicado","Verificado")))</f>
        <v/>
      </c>
    </row>
    <row r="178" ht="15.75" customHeight="1" s="176">
      <c r="B178" s="80" t="n"/>
      <c r="C178" s="77" t="n"/>
      <c r="D178" s="74">
        <f t="array" ref="D178">IF($C178="","",IFNA(_xlfn.XLOOKUP($C178,Productos!$A:$A,Productos!$E:$E,IFNA(_xlfn.XLOOKUP(TEXT($C178,"0"),Productos!$A:$A,Productos!$E:$E,IFNA(_xlfn.XLOOKUP(IFERROR(VALUE($C178),""),Productos!$A:$A,Productos!$E:$E,_xlfn.XLOOKUP($C178,Productos!$E:$E,Productos!$E:$E,"NO ENCONTRADO")),"NO ENCONTRADO")),"NO ENCONTRADO")),"NO ENCONTRADO"))</f>
        <v/>
      </c>
      <c r="E178" s="74">
        <f t="array" ref="E178">IF(OR($D178="",$D178="NO ENCONTRADO"),"",_xlfn.XLOOKUP($D178,Productos!$E:$E,Productos!$H:$H,""))</f>
        <v/>
      </c>
      <c r="F178" s="74">
        <f t="array" ref="F178">IF(OR($D178="",$D178="NO ENCONTRADO"),"",_xlfn.XLOOKUP($D178,Productos!$E:$E,Productos!$I:$I,""))</f>
        <v/>
      </c>
      <c r="G178" s="74">
        <f t="array" ref="G178">IF(OR($D178="",$D178="NO ENCONTRADO"),"",_xlfn.XLOOKUP($D178,Productos!$E:$E,Productos!$J:$J,""))</f>
        <v/>
      </c>
      <c r="H178" s="74">
        <f t="array" ref="H178">IF(OR($D178="",$D178="NO ENCONTRADO"),"",_xlfn.XLOOKUP($D178,Productos!$E:$E,Productos!$K:$K,""))</f>
        <v/>
      </c>
      <c r="I178" s="74">
        <f t="array" ref="I178">IF(OR($D178="",$D178="NO ENCONTRADO"),"",_xlfn.XLOOKUP($D178,Productos!$E:$E,Productos!$F:$F,""))</f>
        <v/>
      </c>
      <c r="J178" s="74">
        <f>IF($C178="","",IF($D178="NO ENCONTRADO",IF(COUNTIF($C$7:$C$1000,$C178)&gt;1,"⚠️ No encontrado | Duplicado","⚠️ No encontrado"),IF(COUNTIF($C$7:$C$1000,$C178)&gt;1,"⚠️ Duplicado","Verificado")))</f>
        <v/>
      </c>
    </row>
    <row r="179" ht="15.75" customHeight="1" s="176">
      <c r="B179" s="80" t="n"/>
      <c r="C179" s="77" t="n"/>
      <c r="D179" s="74">
        <f t="array" ref="D179">IF($C179="","",IFNA(_xlfn.XLOOKUP($C179,Productos!$A:$A,Productos!$E:$E,IFNA(_xlfn.XLOOKUP(TEXT($C179,"0"),Productos!$A:$A,Productos!$E:$E,IFNA(_xlfn.XLOOKUP(IFERROR(VALUE($C179),""),Productos!$A:$A,Productos!$E:$E,_xlfn.XLOOKUP($C179,Productos!$E:$E,Productos!$E:$E,"NO ENCONTRADO")),"NO ENCONTRADO")),"NO ENCONTRADO")),"NO ENCONTRADO"))</f>
        <v/>
      </c>
      <c r="E179" s="74">
        <f t="array" ref="E179">IF(OR($D179="",$D179="NO ENCONTRADO"),"",_xlfn.XLOOKUP($D179,Productos!$E:$E,Productos!$H:$H,""))</f>
        <v/>
      </c>
      <c r="F179" s="74">
        <f t="array" ref="F179">IF(OR($D179="",$D179="NO ENCONTRADO"),"",_xlfn.XLOOKUP($D179,Productos!$E:$E,Productos!$I:$I,""))</f>
        <v/>
      </c>
      <c r="G179" s="74">
        <f t="array" ref="G179">IF(OR($D179="",$D179="NO ENCONTRADO"),"",_xlfn.XLOOKUP($D179,Productos!$E:$E,Productos!$J:$J,""))</f>
        <v/>
      </c>
      <c r="H179" s="74">
        <f t="array" ref="H179">IF(OR($D179="",$D179="NO ENCONTRADO"),"",_xlfn.XLOOKUP($D179,Productos!$E:$E,Productos!$K:$K,""))</f>
        <v/>
      </c>
      <c r="I179" s="74">
        <f t="array" ref="I179">IF(OR($D179="",$D179="NO ENCONTRADO"),"",_xlfn.XLOOKUP($D179,Productos!$E:$E,Productos!$F:$F,""))</f>
        <v/>
      </c>
      <c r="J179" s="74">
        <f>IF($C179="","",IF($D179="NO ENCONTRADO",IF(COUNTIF($C$7:$C$1000,$C179)&gt;1,"⚠️ No encontrado | Duplicado","⚠️ No encontrado"),IF(COUNTIF($C$7:$C$1000,$C179)&gt;1,"⚠️ Duplicado","Verificado")))</f>
        <v/>
      </c>
    </row>
    <row r="180" ht="15.75" customHeight="1" s="176">
      <c r="B180" s="80" t="n"/>
      <c r="C180" s="77" t="n"/>
      <c r="D180" s="74">
        <f t="array" ref="D180">IF($C180="","",IFNA(_xlfn.XLOOKUP($C180,Productos!$A:$A,Productos!$E:$E,IFNA(_xlfn.XLOOKUP(TEXT($C180,"0"),Productos!$A:$A,Productos!$E:$E,IFNA(_xlfn.XLOOKUP(IFERROR(VALUE($C180),""),Productos!$A:$A,Productos!$E:$E,_xlfn.XLOOKUP($C180,Productos!$E:$E,Productos!$E:$E,"NO ENCONTRADO")),"NO ENCONTRADO")),"NO ENCONTRADO")),"NO ENCONTRADO"))</f>
        <v/>
      </c>
      <c r="E180" s="74">
        <f t="array" ref="E180">IF(OR($D180="",$D180="NO ENCONTRADO"),"",_xlfn.XLOOKUP($D180,Productos!$E:$E,Productos!$H:$H,""))</f>
        <v/>
      </c>
      <c r="F180" s="74">
        <f t="array" ref="F180">IF(OR($D180="",$D180="NO ENCONTRADO"),"",_xlfn.XLOOKUP($D180,Productos!$E:$E,Productos!$I:$I,""))</f>
        <v/>
      </c>
      <c r="G180" s="74">
        <f t="array" ref="G180">IF(OR($D180="",$D180="NO ENCONTRADO"),"",_xlfn.XLOOKUP($D180,Productos!$E:$E,Productos!$J:$J,""))</f>
        <v/>
      </c>
      <c r="H180" s="74">
        <f t="array" ref="H180">IF(OR($D180="",$D180="NO ENCONTRADO"),"",_xlfn.XLOOKUP($D180,Productos!$E:$E,Productos!$K:$K,""))</f>
        <v/>
      </c>
      <c r="I180" s="74">
        <f t="array" ref="I180">IF(OR($D180="",$D180="NO ENCONTRADO"),"",_xlfn.XLOOKUP($D180,Productos!$E:$E,Productos!$F:$F,""))</f>
        <v/>
      </c>
      <c r="J180" s="74">
        <f>IF($C180="","",IF($D180="NO ENCONTRADO",IF(COUNTIF($C$7:$C$1000,$C180)&gt;1,"⚠️ No encontrado | Duplicado","⚠️ No encontrado"),IF(COUNTIF($C$7:$C$1000,$C180)&gt;1,"⚠️ Duplicado","Verificado")))</f>
        <v/>
      </c>
    </row>
    <row r="181" ht="15.75" customHeight="1" s="176">
      <c r="B181" s="80" t="n"/>
      <c r="C181" s="77" t="n"/>
      <c r="D181" s="74">
        <f t="array" ref="D181">IF($C181="","",IFNA(_xlfn.XLOOKUP($C181,Productos!$A:$A,Productos!$E:$E,IFNA(_xlfn.XLOOKUP(TEXT($C181,"0"),Productos!$A:$A,Productos!$E:$E,IFNA(_xlfn.XLOOKUP(IFERROR(VALUE($C181),""),Productos!$A:$A,Productos!$E:$E,_xlfn.XLOOKUP($C181,Productos!$E:$E,Productos!$E:$E,"NO ENCONTRADO")),"NO ENCONTRADO")),"NO ENCONTRADO")),"NO ENCONTRADO"))</f>
        <v/>
      </c>
      <c r="E181" s="74">
        <f t="array" ref="E181">IF(OR($D181="",$D181="NO ENCONTRADO"),"",_xlfn.XLOOKUP($D181,Productos!$E:$E,Productos!$H:$H,""))</f>
        <v/>
      </c>
      <c r="F181" s="74">
        <f t="array" ref="F181">IF(OR($D181="",$D181="NO ENCONTRADO"),"",_xlfn.XLOOKUP($D181,Productos!$E:$E,Productos!$I:$I,""))</f>
        <v/>
      </c>
      <c r="G181" s="74">
        <f t="array" ref="G181">IF(OR($D181="",$D181="NO ENCONTRADO"),"",_xlfn.XLOOKUP($D181,Productos!$E:$E,Productos!$J:$J,""))</f>
        <v/>
      </c>
      <c r="H181" s="74">
        <f t="array" ref="H181">IF(OR($D181="",$D181="NO ENCONTRADO"),"",_xlfn.XLOOKUP($D181,Productos!$E:$E,Productos!$K:$K,""))</f>
        <v/>
      </c>
      <c r="I181" s="74">
        <f t="array" ref="I181">IF(OR($D181="",$D181="NO ENCONTRADO"),"",_xlfn.XLOOKUP($D181,Productos!$E:$E,Productos!$F:$F,""))</f>
        <v/>
      </c>
      <c r="J181" s="74">
        <f>IF($C181="","",IF($D181="NO ENCONTRADO",IF(COUNTIF($C$7:$C$1000,$C181)&gt;1,"⚠️ No encontrado | Duplicado","⚠️ No encontrado"),IF(COUNTIF($C$7:$C$1000,$C181)&gt;1,"⚠️ Duplicado","Verificado")))</f>
        <v/>
      </c>
    </row>
    <row r="182" ht="15.75" customHeight="1" s="176">
      <c r="B182" s="80" t="n"/>
      <c r="C182" s="77" t="n"/>
      <c r="D182" s="74">
        <f t="array" ref="D182">IF($C182="","",IFNA(_xlfn.XLOOKUP($C182,Productos!$A:$A,Productos!$E:$E,IFNA(_xlfn.XLOOKUP(TEXT($C182,"0"),Productos!$A:$A,Productos!$E:$E,IFNA(_xlfn.XLOOKUP(IFERROR(VALUE($C182),""),Productos!$A:$A,Productos!$E:$E,_xlfn.XLOOKUP($C182,Productos!$E:$E,Productos!$E:$E,"NO ENCONTRADO")),"NO ENCONTRADO")),"NO ENCONTRADO")),"NO ENCONTRADO"))</f>
        <v/>
      </c>
      <c r="E182" s="74">
        <f t="array" ref="E182">IF(OR($D182="",$D182="NO ENCONTRADO"),"",_xlfn.XLOOKUP($D182,Productos!$E:$E,Productos!$H:$H,""))</f>
        <v/>
      </c>
      <c r="F182" s="74">
        <f t="array" ref="F182">IF(OR($D182="",$D182="NO ENCONTRADO"),"",_xlfn.XLOOKUP($D182,Productos!$E:$E,Productos!$I:$I,""))</f>
        <v/>
      </c>
      <c r="G182" s="74">
        <f t="array" ref="G182">IF(OR($D182="",$D182="NO ENCONTRADO"),"",_xlfn.XLOOKUP($D182,Productos!$E:$E,Productos!$J:$J,""))</f>
        <v/>
      </c>
      <c r="H182" s="74">
        <f t="array" ref="H182">IF(OR($D182="",$D182="NO ENCONTRADO"),"",_xlfn.XLOOKUP($D182,Productos!$E:$E,Productos!$K:$K,""))</f>
        <v/>
      </c>
      <c r="I182" s="74">
        <f t="array" ref="I182">IF(OR($D182="",$D182="NO ENCONTRADO"),"",_xlfn.XLOOKUP($D182,Productos!$E:$E,Productos!$F:$F,""))</f>
        <v/>
      </c>
      <c r="J182" s="74">
        <f>IF($C182="","",IF($D182="NO ENCONTRADO",IF(COUNTIF($C$7:$C$1000,$C182)&gt;1,"⚠️ No encontrado | Duplicado","⚠️ No encontrado"),IF(COUNTIF($C$7:$C$1000,$C182)&gt;1,"⚠️ Duplicado","Verificado")))</f>
        <v/>
      </c>
    </row>
    <row r="183" ht="15.75" customHeight="1" s="176">
      <c r="B183" s="80" t="n"/>
      <c r="C183" s="77" t="n"/>
      <c r="D183" s="74">
        <f t="array" ref="D183">IF($C183="","",IFNA(_xlfn.XLOOKUP($C183,Productos!$A:$A,Productos!$E:$E,IFNA(_xlfn.XLOOKUP(TEXT($C183,"0"),Productos!$A:$A,Productos!$E:$E,IFNA(_xlfn.XLOOKUP(IFERROR(VALUE($C183),""),Productos!$A:$A,Productos!$E:$E,_xlfn.XLOOKUP($C183,Productos!$E:$E,Productos!$E:$E,"NO ENCONTRADO")),"NO ENCONTRADO")),"NO ENCONTRADO")),"NO ENCONTRADO"))</f>
        <v/>
      </c>
      <c r="E183" s="74">
        <f t="array" ref="E183">IF(OR($D183="",$D183="NO ENCONTRADO"),"",_xlfn.XLOOKUP($D183,Productos!$E:$E,Productos!$H:$H,""))</f>
        <v/>
      </c>
      <c r="F183" s="74">
        <f t="array" ref="F183">IF(OR($D183="",$D183="NO ENCONTRADO"),"",_xlfn.XLOOKUP($D183,Productos!$E:$E,Productos!$I:$I,""))</f>
        <v/>
      </c>
      <c r="G183" s="74">
        <f t="array" ref="G183">IF(OR($D183="",$D183="NO ENCONTRADO"),"",_xlfn.XLOOKUP($D183,Productos!$E:$E,Productos!$J:$J,""))</f>
        <v/>
      </c>
      <c r="H183" s="74">
        <f t="array" ref="H183">IF(OR($D183="",$D183="NO ENCONTRADO"),"",_xlfn.XLOOKUP($D183,Productos!$E:$E,Productos!$K:$K,""))</f>
        <v/>
      </c>
      <c r="I183" s="74">
        <f t="array" ref="I183">IF(OR($D183="",$D183="NO ENCONTRADO"),"",_xlfn.XLOOKUP($D183,Productos!$E:$E,Productos!$F:$F,""))</f>
        <v/>
      </c>
      <c r="J183" s="74">
        <f>IF($C183="","",IF($D183="NO ENCONTRADO",IF(COUNTIF($C$7:$C$1000,$C183)&gt;1,"⚠️ No encontrado | Duplicado","⚠️ No encontrado"),IF(COUNTIF($C$7:$C$1000,$C183)&gt;1,"⚠️ Duplicado","Verificado")))</f>
        <v/>
      </c>
    </row>
    <row r="184" ht="15.75" customHeight="1" s="176">
      <c r="B184" s="80" t="n"/>
      <c r="C184" s="77" t="n"/>
      <c r="D184" s="74">
        <f t="array" ref="D184">IF($C184="","",IFNA(_xlfn.XLOOKUP($C184,Productos!$A:$A,Productos!$E:$E,IFNA(_xlfn.XLOOKUP(TEXT($C184,"0"),Productos!$A:$A,Productos!$E:$E,IFNA(_xlfn.XLOOKUP(IFERROR(VALUE($C184),""),Productos!$A:$A,Productos!$E:$E,_xlfn.XLOOKUP($C184,Productos!$E:$E,Productos!$E:$E,"NO ENCONTRADO")),"NO ENCONTRADO")),"NO ENCONTRADO")),"NO ENCONTRADO"))</f>
        <v/>
      </c>
      <c r="E184" s="74">
        <f t="array" ref="E184">IF(OR($D184="",$D184="NO ENCONTRADO"),"",_xlfn.XLOOKUP($D184,Productos!$E:$E,Productos!$H:$H,""))</f>
        <v/>
      </c>
      <c r="F184" s="74">
        <f t="array" ref="F184">IF(OR($D184="",$D184="NO ENCONTRADO"),"",_xlfn.XLOOKUP($D184,Productos!$E:$E,Productos!$I:$I,""))</f>
        <v/>
      </c>
      <c r="G184" s="74">
        <f t="array" ref="G184">IF(OR($D184="",$D184="NO ENCONTRADO"),"",_xlfn.XLOOKUP($D184,Productos!$E:$E,Productos!$J:$J,""))</f>
        <v/>
      </c>
      <c r="H184" s="74">
        <f t="array" ref="H184">IF(OR($D184="",$D184="NO ENCONTRADO"),"",_xlfn.XLOOKUP($D184,Productos!$E:$E,Productos!$K:$K,""))</f>
        <v/>
      </c>
      <c r="I184" s="74">
        <f t="array" ref="I184">IF(OR($D184="",$D184="NO ENCONTRADO"),"",_xlfn.XLOOKUP($D184,Productos!$E:$E,Productos!$F:$F,""))</f>
        <v/>
      </c>
      <c r="J184" s="74">
        <f>IF($C184="","",IF($D184="NO ENCONTRADO",IF(COUNTIF($C$7:$C$1000,$C184)&gt;1,"⚠️ No encontrado | Duplicado","⚠️ No encontrado"),IF(COUNTIF($C$7:$C$1000,$C184)&gt;1,"⚠️ Duplicado","Verificado")))</f>
        <v/>
      </c>
    </row>
    <row r="185" ht="15.75" customHeight="1" s="176">
      <c r="B185" s="80" t="n"/>
      <c r="C185" s="77" t="n"/>
      <c r="D185" s="74">
        <f t="array" ref="D185">IF($C185="","",IFNA(_xlfn.XLOOKUP($C185,Productos!$A:$A,Productos!$E:$E,IFNA(_xlfn.XLOOKUP(TEXT($C185,"0"),Productos!$A:$A,Productos!$E:$E,IFNA(_xlfn.XLOOKUP(IFERROR(VALUE($C185),""),Productos!$A:$A,Productos!$E:$E,_xlfn.XLOOKUP($C185,Productos!$E:$E,Productos!$E:$E,"NO ENCONTRADO")),"NO ENCONTRADO")),"NO ENCONTRADO")),"NO ENCONTRADO"))</f>
        <v/>
      </c>
      <c r="E185" s="74">
        <f t="array" ref="E185">IF(OR($D185="",$D185="NO ENCONTRADO"),"",_xlfn.XLOOKUP($D185,Productos!$E:$E,Productos!$H:$H,""))</f>
        <v/>
      </c>
      <c r="F185" s="74">
        <f t="array" ref="F185">IF(OR($D185="",$D185="NO ENCONTRADO"),"",_xlfn.XLOOKUP($D185,Productos!$E:$E,Productos!$I:$I,""))</f>
        <v/>
      </c>
      <c r="G185" s="74">
        <f t="array" ref="G185">IF(OR($D185="",$D185="NO ENCONTRADO"),"",_xlfn.XLOOKUP($D185,Productos!$E:$E,Productos!$J:$J,""))</f>
        <v/>
      </c>
      <c r="H185" s="74">
        <f t="array" ref="H185">IF(OR($D185="",$D185="NO ENCONTRADO"),"",_xlfn.XLOOKUP($D185,Productos!$E:$E,Productos!$K:$K,""))</f>
        <v/>
      </c>
      <c r="I185" s="74">
        <f t="array" ref="I185">IF(OR($D185="",$D185="NO ENCONTRADO"),"",_xlfn.XLOOKUP($D185,Productos!$E:$E,Productos!$F:$F,""))</f>
        <v/>
      </c>
      <c r="J185" s="74">
        <f>IF($C185="","",IF($D185="NO ENCONTRADO",IF(COUNTIF($C$7:$C$1000,$C185)&gt;1,"⚠️ No encontrado | Duplicado","⚠️ No encontrado"),IF(COUNTIF($C$7:$C$1000,$C185)&gt;1,"⚠️ Duplicado","Verificado")))</f>
        <v/>
      </c>
    </row>
    <row r="186" ht="15.75" customHeight="1" s="176">
      <c r="B186" s="80" t="n"/>
      <c r="C186" s="77" t="n"/>
      <c r="D186" s="74">
        <f t="array" ref="D186">IF($C186="","",IFNA(_xlfn.XLOOKUP($C186,Productos!$A:$A,Productos!$E:$E,IFNA(_xlfn.XLOOKUP(TEXT($C186,"0"),Productos!$A:$A,Productos!$E:$E,IFNA(_xlfn.XLOOKUP(IFERROR(VALUE($C186),""),Productos!$A:$A,Productos!$E:$E,_xlfn.XLOOKUP($C186,Productos!$E:$E,Productos!$E:$E,"NO ENCONTRADO")),"NO ENCONTRADO")),"NO ENCONTRADO")),"NO ENCONTRADO"))</f>
        <v/>
      </c>
      <c r="E186" s="74">
        <f t="array" ref="E186">IF(OR($D186="",$D186="NO ENCONTRADO"),"",_xlfn.XLOOKUP($D186,Productos!$E:$E,Productos!$H:$H,""))</f>
        <v/>
      </c>
      <c r="F186" s="74">
        <f t="array" ref="F186">IF(OR($D186="",$D186="NO ENCONTRADO"),"",_xlfn.XLOOKUP($D186,Productos!$E:$E,Productos!$I:$I,""))</f>
        <v/>
      </c>
      <c r="G186" s="74">
        <f t="array" ref="G186">IF(OR($D186="",$D186="NO ENCONTRADO"),"",_xlfn.XLOOKUP($D186,Productos!$E:$E,Productos!$J:$J,""))</f>
        <v/>
      </c>
      <c r="H186" s="74">
        <f t="array" ref="H186">IF(OR($D186="",$D186="NO ENCONTRADO"),"",_xlfn.XLOOKUP($D186,Productos!$E:$E,Productos!$K:$K,""))</f>
        <v/>
      </c>
      <c r="I186" s="74">
        <f t="array" ref="I186">IF(OR($D186="",$D186="NO ENCONTRADO"),"",_xlfn.XLOOKUP($D186,Productos!$E:$E,Productos!$F:$F,""))</f>
        <v/>
      </c>
      <c r="J186" s="74">
        <f>IF($C186="","",IF($D186="NO ENCONTRADO",IF(COUNTIF($C$7:$C$1000,$C186)&gt;1,"⚠️ No encontrado | Duplicado","⚠️ No encontrado"),IF(COUNTIF($C$7:$C$1000,$C186)&gt;1,"⚠️ Duplicado","Verificado")))</f>
        <v/>
      </c>
    </row>
    <row r="187" ht="15.75" customHeight="1" s="176">
      <c r="B187" s="80" t="n"/>
      <c r="C187" s="77" t="n"/>
      <c r="D187" s="74">
        <f t="array" ref="D187">IF($C187="","",IFNA(_xlfn.XLOOKUP($C187,Productos!$A:$A,Productos!$E:$E,IFNA(_xlfn.XLOOKUP(TEXT($C187,"0"),Productos!$A:$A,Productos!$E:$E,IFNA(_xlfn.XLOOKUP(IFERROR(VALUE($C187),""),Productos!$A:$A,Productos!$E:$E,_xlfn.XLOOKUP($C187,Productos!$E:$E,Productos!$E:$E,"NO ENCONTRADO")),"NO ENCONTRADO")),"NO ENCONTRADO")),"NO ENCONTRADO"))</f>
        <v/>
      </c>
      <c r="E187" s="74">
        <f t="array" ref="E187">IF(OR($D187="",$D187="NO ENCONTRADO"),"",_xlfn.XLOOKUP($D187,Productos!$E:$E,Productos!$H:$H,""))</f>
        <v/>
      </c>
      <c r="F187" s="74">
        <f t="array" ref="F187">IF(OR($D187="",$D187="NO ENCONTRADO"),"",_xlfn.XLOOKUP($D187,Productos!$E:$E,Productos!$I:$I,""))</f>
        <v/>
      </c>
      <c r="G187" s="74">
        <f t="array" ref="G187">IF(OR($D187="",$D187="NO ENCONTRADO"),"",_xlfn.XLOOKUP($D187,Productos!$E:$E,Productos!$J:$J,""))</f>
        <v/>
      </c>
      <c r="H187" s="74">
        <f t="array" ref="H187">IF(OR($D187="",$D187="NO ENCONTRADO"),"",_xlfn.XLOOKUP($D187,Productos!$E:$E,Productos!$K:$K,""))</f>
        <v/>
      </c>
      <c r="I187" s="74">
        <f t="array" ref="I187">IF(OR($D187="",$D187="NO ENCONTRADO"),"",_xlfn.XLOOKUP($D187,Productos!$E:$E,Productos!$F:$F,""))</f>
        <v/>
      </c>
      <c r="J187" s="74">
        <f>IF($C187="","",IF($D187="NO ENCONTRADO",IF(COUNTIF($C$7:$C$1000,$C187)&gt;1,"⚠️ No encontrado | Duplicado","⚠️ No encontrado"),IF(COUNTIF($C$7:$C$1000,$C187)&gt;1,"⚠️ Duplicado","Verificado")))</f>
        <v/>
      </c>
    </row>
    <row r="188" ht="15.75" customHeight="1" s="176">
      <c r="B188" s="80" t="n"/>
      <c r="C188" s="77" t="n"/>
      <c r="D188" s="74">
        <f t="array" ref="D188">IF($C188="","",IFNA(_xlfn.XLOOKUP($C188,Productos!$A:$A,Productos!$E:$E,IFNA(_xlfn.XLOOKUP(TEXT($C188,"0"),Productos!$A:$A,Productos!$E:$E,IFNA(_xlfn.XLOOKUP(IFERROR(VALUE($C188),""),Productos!$A:$A,Productos!$E:$E,_xlfn.XLOOKUP($C188,Productos!$E:$E,Productos!$E:$E,"NO ENCONTRADO")),"NO ENCONTRADO")),"NO ENCONTRADO")),"NO ENCONTRADO"))</f>
        <v/>
      </c>
      <c r="E188" s="74">
        <f t="array" ref="E188">IF(OR($D188="",$D188="NO ENCONTRADO"),"",_xlfn.XLOOKUP($D188,Productos!$E:$E,Productos!$H:$H,""))</f>
        <v/>
      </c>
      <c r="F188" s="74">
        <f t="array" ref="F188">IF(OR($D188="",$D188="NO ENCONTRADO"),"",_xlfn.XLOOKUP($D188,Productos!$E:$E,Productos!$I:$I,""))</f>
        <v/>
      </c>
      <c r="G188" s="74">
        <f t="array" ref="G188">IF(OR($D188="",$D188="NO ENCONTRADO"),"",_xlfn.XLOOKUP($D188,Productos!$E:$E,Productos!$J:$J,""))</f>
        <v/>
      </c>
      <c r="H188" s="74">
        <f t="array" ref="H188">IF(OR($D188="",$D188="NO ENCONTRADO"),"",_xlfn.XLOOKUP($D188,Productos!$E:$E,Productos!$K:$K,""))</f>
        <v/>
      </c>
      <c r="I188" s="74">
        <f t="array" ref="I188">IF(OR($D188="",$D188="NO ENCONTRADO"),"",_xlfn.XLOOKUP($D188,Productos!$E:$E,Productos!$F:$F,""))</f>
        <v/>
      </c>
      <c r="J188" s="74">
        <f>IF($C188="","",IF($D188="NO ENCONTRADO",IF(COUNTIF($C$7:$C$1000,$C188)&gt;1,"⚠️ No encontrado | Duplicado","⚠️ No encontrado"),IF(COUNTIF($C$7:$C$1000,$C188)&gt;1,"⚠️ Duplicado","Verificado")))</f>
        <v/>
      </c>
    </row>
    <row r="189" ht="15.75" customHeight="1" s="176">
      <c r="B189" s="80" t="n"/>
      <c r="C189" s="77" t="n"/>
      <c r="D189" s="74">
        <f t="array" ref="D189">IF($C189="","",IFNA(_xlfn.XLOOKUP($C189,Productos!$A:$A,Productos!$E:$E,IFNA(_xlfn.XLOOKUP(TEXT($C189,"0"),Productos!$A:$A,Productos!$E:$E,IFNA(_xlfn.XLOOKUP(IFERROR(VALUE($C189),""),Productos!$A:$A,Productos!$E:$E,_xlfn.XLOOKUP($C189,Productos!$E:$E,Productos!$E:$E,"NO ENCONTRADO")),"NO ENCONTRADO")),"NO ENCONTRADO")),"NO ENCONTRADO"))</f>
        <v/>
      </c>
      <c r="E189" s="74">
        <f t="array" ref="E189">IF(OR($D189="",$D189="NO ENCONTRADO"),"",_xlfn.XLOOKUP($D189,Productos!$E:$E,Productos!$H:$H,""))</f>
        <v/>
      </c>
      <c r="F189" s="74">
        <f t="array" ref="F189">IF(OR($D189="",$D189="NO ENCONTRADO"),"",_xlfn.XLOOKUP($D189,Productos!$E:$E,Productos!$I:$I,""))</f>
        <v/>
      </c>
      <c r="G189" s="74">
        <f t="array" ref="G189">IF(OR($D189="",$D189="NO ENCONTRADO"),"",_xlfn.XLOOKUP($D189,Productos!$E:$E,Productos!$J:$J,""))</f>
        <v/>
      </c>
      <c r="H189" s="74">
        <f t="array" ref="H189">IF(OR($D189="",$D189="NO ENCONTRADO"),"",_xlfn.XLOOKUP($D189,Productos!$E:$E,Productos!$K:$K,""))</f>
        <v/>
      </c>
      <c r="I189" s="74">
        <f t="array" ref="I189">IF(OR($D189="",$D189="NO ENCONTRADO"),"",_xlfn.XLOOKUP($D189,Productos!$E:$E,Productos!$F:$F,""))</f>
        <v/>
      </c>
      <c r="J189" s="74">
        <f>IF($C189="","",IF($D189="NO ENCONTRADO",IF(COUNTIF($C$7:$C$1000,$C189)&gt;1,"⚠️ No encontrado | Duplicado","⚠️ No encontrado"),IF(COUNTIF($C$7:$C$1000,$C189)&gt;1,"⚠️ Duplicado","Verificado")))</f>
        <v/>
      </c>
    </row>
    <row r="190" ht="15.75" customHeight="1" s="176">
      <c r="B190" s="80" t="n"/>
      <c r="C190" s="77" t="n"/>
      <c r="D190" s="74">
        <f t="array" ref="D190">IF($C190="","",IFNA(_xlfn.XLOOKUP($C190,Productos!$A:$A,Productos!$E:$E,IFNA(_xlfn.XLOOKUP(TEXT($C190,"0"),Productos!$A:$A,Productos!$E:$E,IFNA(_xlfn.XLOOKUP(IFERROR(VALUE($C190),""),Productos!$A:$A,Productos!$E:$E,_xlfn.XLOOKUP($C190,Productos!$E:$E,Productos!$E:$E,"NO ENCONTRADO")),"NO ENCONTRADO")),"NO ENCONTRADO")),"NO ENCONTRADO"))</f>
        <v/>
      </c>
      <c r="E190" s="74">
        <f t="array" ref="E190">IF(OR($D190="",$D190="NO ENCONTRADO"),"",_xlfn.XLOOKUP($D190,Productos!$E:$E,Productos!$H:$H,""))</f>
        <v/>
      </c>
      <c r="F190" s="74">
        <f t="array" ref="F190">IF(OR($D190="",$D190="NO ENCONTRADO"),"",_xlfn.XLOOKUP($D190,Productos!$E:$E,Productos!$I:$I,""))</f>
        <v/>
      </c>
      <c r="G190" s="74">
        <f t="array" ref="G190">IF(OR($D190="",$D190="NO ENCONTRADO"),"",_xlfn.XLOOKUP($D190,Productos!$E:$E,Productos!$J:$J,""))</f>
        <v/>
      </c>
      <c r="H190" s="74">
        <f t="array" ref="H190">IF(OR($D190="",$D190="NO ENCONTRADO"),"",_xlfn.XLOOKUP($D190,Productos!$E:$E,Productos!$K:$K,""))</f>
        <v/>
      </c>
      <c r="I190" s="74">
        <f t="array" ref="I190">IF(OR($D190="",$D190="NO ENCONTRADO"),"",_xlfn.XLOOKUP($D190,Productos!$E:$E,Productos!$F:$F,""))</f>
        <v/>
      </c>
      <c r="J190" s="74">
        <f>IF($C190="","",IF($D190="NO ENCONTRADO",IF(COUNTIF($C$7:$C$1000,$C190)&gt;1,"⚠️ No encontrado | Duplicado","⚠️ No encontrado"),IF(COUNTIF($C$7:$C$1000,$C190)&gt;1,"⚠️ Duplicado","Verificado")))</f>
        <v/>
      </c>
    </row>
    <row r="191" ht="15.75" customHeight="1" s="176">
      <c r="B191" s="80" t="n"/>
      <c r="C191" s="77" t="n"/>
      <c r="D191" s="74">
        <f t="array" ref="D191">IF($C191="","",IFNA(_xlfn.XLOOKUP($C191,Productos!$A:$A,Productos!$E:$E,IFNA(_xlfn.XLOOKUP(TEXT($C191,"0"),Productos!$A:$A,Productos!$E:$E,IFNA(_xlfn.XLOOKUP(IFERROR(VALUE($C191),""),Productos!$A:$A,Productos!$E:$E,_xlfn.XLOOKUP($C191,Productos!$E:$E,Productos!$E:$E,"NO ENCONTRADO")),"NO ENCONTRADO")),"NO ENCONTRADO")),"NO ENCONTRADO"))</f>
        <v/>
      </c>
      <c r="E191" s="74">
        <f t="array" ref="E191">IF(OR($D191="",$D191="NO ENCONTRADO"),"",_xlfn.XLOOKUP($D191,Productos!$E:$E,Productos!$H:$H,""))</f>
        <v/>
      </c>
      <c r="F191" s="74">
        <f t="array" ref="F191">IF(OR($D191="",$D191="NO ENCONTRADO"),"",_xlfn.XLOOKUP($D191,Productos!$E:$E,Productos!$I:$I,""))</f>
        <v/>
      </c>
      <c r="G191" s="74">
        <f t="array" ref="G191">IF(OR($D191="",$D191="NO ENCONTRADO"),"",_xlfn.XLOOKUP($D191,Productos!$E:$E,Productos!$J:$J,""))</f>
        <v/>
      </c>
      <c r="H191" s="74">
        <f t="array" ref="H191">IF(OR($D191="",$D191="NO ENCONTRADO"),"",_xlfn.XLOOKUP($D191,Productos!$E:$E,Productos!$K:$K,""))</f>
        <v/>
      </c>
      <c r="I191" s="74">
        <f t="array" ref="I191">IF(OR($D191="",$D191="NO ENCONTRADO"),"",_xlfn.XLOOKUP($D191,Productos!$E:$E,Productos!$F:$F,""))</f>
        <v/>
      </c>
      <c r="J191" s="74">
        <f>IF($C191="","",IF($D191="NO ENCONTRADO",IF(COUNTIF($C$7:$C$1000,$C191)&gt;1,"⚠️ No encontrado | Duplicado","⚠️ No encontrado"),IF(COUNTIF($C$7:$C$1000,$C191)&gt;1,"⚠️ Duplicado","Verificado")))</f>
        <v/>
      </c>
    </row>
    <row r="192" ht="15.75" customHeight="1" s="176">
      <c r="B192" s="80" t="n"/>
      <c r="C192" s="77" t="n"/>
      <c r="D192" s="74">
        <f t="array" ref="D192">IF($C192="","",IFNA(_xlfn.XLOOKUP($C192,Productos!$A:$A,Productos!$E:$E,IFNA(_xlfn.XLOOKUP(TEXT($C192,"0"),Productos!$A:$A,Productos!$E:$E,IFNA(_xlfn.XLOOKUP(IFERROR(VALUE($C192),""),Productos!$A:$A,Productos!$E:$E,_xlfn.XLOOKUP($C192,Productos!$E:$E,Productos!$E:$E,"NO ENCONTRADO")),"NO ENCONTRADO")),"NO ENCONTRADO")),"NO ENCONTRADO"))</f>
        <v/>
      </c>
      <c r="E192" s="74">
        <f t="array" ref="E192">IF(OR($D192="",$D192="NO ENCONTRADO"),"",_xlfn.XLOOKUP($D192,Productos!$E:$E,Productos!$H:$H,""))</f>
        <v/>
      </c>
      <c r="F192" s="74">
        <f t="array" ref="F192">IF(OR($D192="",$D192="NO ENCONTRADO"),"",_xlfn.XLOOKUP($D192,Productos!$E:$E,Productos!$I:$I,""))</f>
        <v/>
      </c>
      <c r="G192" s="74">
        <f t="array" ref="G192">IF(OR($D192="",$D192="NO ENCONTRADO"),"",_xlfn.XLOOKUP($D192,Productos!$E:$E,Productos!$J:$J,""))</f>
        <v/>
      </c>
      <c r="H192" s="74">
        <f t="array" ref="H192">IF(OR($D192="",$D192="NO ENCONTRADO"),"",_xlfn.XLOOKUP($D192,Productos!$E:$E,Productos!$K:$K,""))</f>
        <v/>
      </c>
      <c r="I192" s="74">
        <f t="array" ref="I192">IF(OR($D192="",$D192="NO ENCONTRADO"),"",_xlfn.XLOOKUP($D192,Productos!$E:$E,Productos!$F:$F,""))</f>
        <v/>
      </c>
      <c r="J192" s="74">
        <f>IF($C192="","",IF($D192="NO ENCONTRADO",IF(COUNTIF($C$7:$C$1000,$C192)&gt;1,"⚠️ No encontrado | Duplicado","⚠️ No encontrado"),IF(COUNTIF($C$7:$C$1000,$C192)&gt;1,"⚠️ Duplicado","Verificado")))</f>
        <v/>
      </c>
    </row>
    <row r="193" ht="15.75" customHeight="1" s="176">
      <c r="B193" s="80" t="n"/>
      <c r="C193" s="77" t="n"/>
      <c r="D193" s="74">
        <f t="array" ref="D193">IF($C193="","",IFNA(_xlfn.XLOOKUP($C193,Productos!$A:$A,Productos!$E:$E,IFNA(_xlfn.XLOOKUP(TEXT($C193,"0"),Productos!$A:$A,Productos!$E:$E,IFNA(_xlfn.XLOOKUP(IFERROR(VALUE($C193),""),Productos!$A:$A,Productos!$E:$E,_xlfn.XLOOKUP($C193,Productos!$E:$E,Productos!$E:$E,"NO ENCONTRADO")),"NO ENCONTRADO")),"NO ENCONTRADO")),"NO ENCONTRADO"))</f>
        <v/>
      </c>
      <c r="E193" s="74">
        <f t="array" ref="E193">IF(OR($D193="",$D193="NO ENCONTRADO"),"",_xlfn.XLOOKUP($D193,Productos!$E:$E,Productos!$H:$H,""))</f>
        <v/>
      </c>
      <c r="F193" s="74">
        <f t="array" ref="F193">IF(OR($D193="",$D193="NO ENCONTRADO"),"",_xlfn.XLOOKUP($D193,Productos!$E:$E,Productos!$I:$I,""))</f>
        <v/>
      </c>
      <c r="G193" s="74">
        <f t="array" ref="G193">IF(OR($D193="",$D193="NO ENCONTRADO"),"",_xlfn.XLOOKUP($D193,Productos!$E:$E,Productos!$J:$J,""))</f>
        <v/>
      </c>
      <c r="H193" s="74">
        <f t="array" ref="H193">IF(OR($D193="",$D193="NO ENCONTRADO"),"",_xlfn.XLOOKUP($D193,Productos!$E:$E,Productos!$K:$K,""))</f>
        <v/>
      </c>
      <c r="I193" s="74">
        <f t="array" ref="I193">IF(OR($D193="",$D193="NO ENCONTRADO"),"",_xlfn.XLOOKUP($D193,Productos!$E:$E,Productos!$F:$F,""))</f>
        <v/>
      </c>
      <c r="J193" s="74">
        <f>IF($C193="","",IF($D193="NO ENCONTRADO",IF(COUNTIF($C$7:$C$1000,$C193)&gt;1,"⚠️ No encontrado | Duplicado","⚠️ No encontrado"),IF(COUNTIF($C$7:$C$1000,$C193)&gt;1,"⚠️ Duplicado","Verificado")))</f>
        <v/>
      </c>
    </row>
    <row r="194" ht="15.75" customHeight="1" s="176">
      <c r="B194" s="80" t="n"/>
      <c r="C194" s="77" t="n"/>
      <c r="D194" s="74">
        <f t="array" ref="D194">IF($C194="","",IFNA(_xlfn.XLOOKUP($C194,Productos!$A:$A,Productos!$E:$E,IFNA(_xlfn.XLOOKUP(TEXT($C194,"0"),Productos!$A:$A,Productos!$E:$E,IFNA(_xlfn.XLOOKUP(IFERROR(VALUE($C194),""),Productos!$A:$A,Productos!$E:$E,_xlfn.XLOOKUP($C194,Productos!$E:$E,Productos!$E:$E,"NO ENCONTRADO")),"NO ENCONTRADO")),"NO ENCONTRADO")),"NO ENCONTRADO"))</f>
        <v/>
      </c>
      <c r="E194" s="74">
        <f t="array" ref="E194">IF(OR($D194="",$D194="NO ENCONTRADO"),"",_xlfn.XLOOKUP($D194,Productos!$E:$E,Productos!$H:$H,""))</f>
        <v/>
      </c>
      <c r="F194" s="74">
        <f t="array" ref="F194">IF(OR($D194="",$D194="NO ENCONTRADO"),"",_xlfn.XLOOKUP($D194,Productos!$E:$E,Productos!$I:$I,""))</f>
        <v/>
      </c>
      <c r="G194" s="74">
        <f t="array" ref="G194">IF(OR($D194="",$D194="NO ENCONTRADO"),"",_xlfn.XLOOKUP($D194,Productos!$E:$E,Productos!$J:$J,""))</f>
        <v/>
      </c>
      <c r="H194" s="74">
        <f t="array" ref="H194">IF(OR($D194="",$D194="NO ENCONTRADO"),"",_xlfn.XLOOKUP($D194,Productos!$E:$E,Productos!$K:$K,""))</f>
        <v/>
      </c>
      <c r="I194" s="74">
        <f t="array" ref="I194">IF(OR($D194="",$D194="NO ENCONTRADO"),"",_xlfn.XLOOKUP($D194,Productos!$E:$E,Productos!$F:$F,""))</f>
        <v/>
      </c>
      <c r="J194" s="74">
        <f>IF($C194="","",IF($D194="NO ENCONTRADO",IF(COUNTIF($C$7:$C$1000,$C194)&gt;1,"⚠️ No encontrado | Duplicado","⚠️ No encontrado"),IF(COUNTIF($C$7:$C$1000,$C194)&gt;1,"⚠️ Duplicado","Verificado")))</f>
        <v/>
      </c>
    </row>
    <row r="195" ht="15.75" customHeight="1" s="176">
      <c r="B195" s="80" t="n"/>
      <c r="C195" s="77" t="n"/>
      <c r="D195" s="74">
        <f t="array" ref="D195">IF($C195="","",IFNA(_xlfn.XLOOKUP($C195,Productos!$A:$A,Productos!$E:$E,IFNA(_xlfn.XLOOKUP(TEXT($C195,"0"),Productos!$A:$A,Productos!$E:$E,IFNA(_xlfn.XLOOKUP(IFERROR(VALUE($C195),""),Productos!$A:$A,Productos!$E:$E,_xlfn.XLOOKUP($C195,Productos!$E:$E,Productos!$E:$E,"NO ENCONTRADO")),"NO ENCONTRADO")),"NO ENCONTRADO")),"NO ENCONTRADO"))</f>
        <v/>
      </c>
      <c r="E195" s="74">
        <f t="array" ref="E195">IF(OR($D195="",$D195="NO ENCONTRADO"),"",_xlfn.XLOOKUP($D195,Productos!$E:$E,Productos!$H:$H,""))</f>
        <v/>
      </c>
      <c r="F195" s="74">
        <f t="array" ref="F195">IF(OR($D195="",$D195="NO ENCONTRADO"),"",_xlfn.XLOOKUP($D195,Productos!$E:$E,Productos!$I:$I,""))</f>
        <v/>
      </c>
      <c r="G195" s="74">
        <f t="array" ref="G195">IF(OR($D195="",$D195="NO ENCONTRADO"),"",_xlfn.XLOOKUP($D195,Productos!$E:$E,Productos!$J:$J,""))</f>
        <v/>
      </c>
      <c r="H195" s="74">
        <f t="array" ref="H195">IF(OR($D195="",$D195="NO ENCONTRADO"),"",_xlfn.XLOOKUP($D195,Productos!$E:$E,Productos!$K:$K,""))</f>
        <v/>
      </c>
      <c r="I195" s="74">
        <f t="array" ref="I195">IF(OR($D195="",$D195="NO ENCONTRADO"),"",_xlfn.XLOOKUP($D195,Productos!$E:$E,Productos!$F:$F,""))</f>
        <v/>
      </c>
      <c r="J195" s="74">
        <f>IF($C195="","",IF($D195="NO ENCONTRADO",IF(COUNTIF($C$7:$C$1000,$C195)&gt;1,"⚠️ No encontrado | Duplicado","⚠️ No encontrado"),IF(COUNTIF($C$7:$C$1000,$C195)&gt;1,"⚠️ Duplicado","Verificado")))</f>
        <v/>
      </c>
    </row>
    <row r="196" ht="15.75" customHeight="1" s="176">
      <c r="B196" s="80" t="n"/>
      <c r="C196" s="77" t="n"/>
      <c r="D196" s="74">
        <f t="array" ref="D196">IF($C196="","",IFNA(_xlfn.XLOOKUP($C196,Productos!$A:$A,Productos!$E:$E,IFNA(_xlfn.XLOOKUP(TEXT($C196,"0"),Productos!$A:$A,Productos!$E:$E,IFNA(_xlfn.XLOOKUP(IFERROR(VALUE($C196),""),Productos!$A:$A,Productos!$E:$E,_xlfn.XLOOKUP($C196,Productos!$E:$E,Productos!$E:$E,"NO ENCONTRADO")),"NO ENCONTRADO")),"NO ENCONTRADO")),"NO ENCONTRADO"))</f>
        <v/>
      </c>
      <c r="E196" s="74">
        <f t="array" ref="E196">IF(OR($D196="",$D196="NO ENCONTRADO"),"",_xlfn.XLOOKUP($D196,Productos!$E:$E,Productos!$H:$H,""))</f>
        <v/>
      </c>
      <c r="F196" s="74">
        <f t="array" ref="F196">IF(OR($D196="",$D196="NO ENCONTRADO"),"",_xlfn.XLOOKUP($D196,Productos!$E:$E,Productos!$I:$I,""))</f>
        <v/>
      </c>
      <c r="G196" s="74">
        <f t="array" ref="G196">IF(OR($D196="",$D196="NO ENCONTRADO"),"",_xlfn.XLOOKUP($D196,Productos!$E:$E,Productos!$J:$J,""))</f>
        <v/>
      </c>
      <c r="H196" s="74">
        <f t="array" ref="H196">IF(OR($D196="",$D196="NO ENCONTRADO"),"",_xlfn.XLOOKUP($D196,Productos!$E:$E,Productos!$K:$K,""))</f>
        <v/>
      </c>
      <c r="I196" s="74">
        <f t="array" ref="I196">IF(OR($D196="",$D196="NO ENCONTRADO"),"",_xlfn.XLOOKUP($D196,Productos!$E:$E,Productos!$F:$F,""))</f>
        <v/>
      </c>
      <c r="J196" s="74">
        <f>IF($C196="","",IF($D196="NO ENCONTRADO",IF(COUNTIF($C$7:$C$1000,$C196)&gt;1,"⚠️ No encontrado | Duplicado","⚠️ No encontrado"),IF(COUNTIF($C$7:$C$1000,$C196)&gt;1,"⚠️ Duplicado","Verificado")))</f>
        <v/>
      </c>
    </row>
    <row r="197" ht="15.75" customHeight="1" s="176">
      <c r="B197" s="80" t="n"/>
      <c r="C197" s="77" t="n"/>
      <c r="D197" s="74">
        <f t="array" ref="D197">IF($C197="","",IFNA(_xlfn.XLOOKUP($C197,Productos!$A:$A,Productos!$E:$E,IFNA(_xlfn.XLOOKUP(TEXT($C197,"0"),Productos!$A:$A,Productos!$E:$E,IFNA(_xlfn.XLOOKUP(IFERROR(VALUE($C197),""),Productos!$A:$A,Productos!$E:$E,_xlfn.XLOOKUP($C197,Productos!$E:$E,Productos!$E:$E,"NO ENCONTRADO")),"NO ENCONTRADO")),"NO ENCONTRADO")),"NO ENCONTRADO"))</f>
        <v/>
      </c>
      <c r="E197" s="74">
        <f t="array" ref="E197">IF(OR($D197="",$D197="NO ENCONTRADO"),"",_xlfn.XLOOKUP($D197,Productos!$E:$E,Productos!$H:$H,""))</f>
        <v/>
      </c>
      <c r="F197" s="74">
        <f t="array" ref="F197">IF(OR($D197="",$D197="NO ENCONTRADO"),"",_xlfn.XLOOKUP($D197,Productos!$E:$E,Productos!$I:$I,""))</f>
        <v/>
      </c>
      <c r="G197" s="74">
        <f t="array" ref="G197">IF(OR($D197="",$D197="NO ENCONTRADO"),"",_xlfn.XLOOKUP($D197,Productos!$E:$E,Productos!$J:$J,""))</f>
        <v/>
      </c>
      <c r="H197" s="74">
        <f t="array" ref="H197">IF(OR($D197="",$D197="NO ENCONTRADO"),"",_xlfn.XLOOKUP($D197,Productos!$E:$E,Productos!$K:$K,""))</f>
        <v/>
      </c>
      <c r="I197" s="74">
        <f t="array" ref="I197">IF(OR($D197="",$D197="NO ENCONTRADO"),"",_xlfn.XLOOKUP($D197,Productos!$E:$E,Productos!$F:$F,""))</f>
        <v/>
      </c>
      <c r="J197" s="74">
        <f>IF($C197="","",IF($D197="NO ENCONTRADO",IF(COUNTIF($C$7:$C$1000,$C197)&gt;1,"⚠️ No encontrado | Duplicado","⚠️ No encontrado"),IF(COUNTIF($C$7:$C$1000,$C197)&gt;1,"⚠️ Duplicado","Verificado")))</f>
        <v/>
      </c>
    </row>
    <row r="198" ht="15.75" customHeight="1" s="176">
      <c r="B198" s="80" t="n"/>
      <c r="C198" s="77" t="n"/>
      <c r="D198" s="74">
        <f t="array" ref="D198">IF($C198="","",IFNA(_xlfn.XLOOKUP($C198,Productos!$A:$A,Productos!$E:$E,IFNA(_xlfn.XLOOKUP(TEXT($C198,"0"),Productos!$A:$A,Productos!$E:$E,IFNA(_xlfn.XLOOKUP(IFERROR(VALUE($C198),""),Productos!$A:$A,Productos!$E:$E,_xlfn.XLOOKUP($C198,Productos!$E:$E,Productos!$E:$E,"NO ENCONTRADO")),"NO ENCONTRADO")),"NO ENCONTRADO")),"NO ENCONTRADO"))</f>
        <v/>
      </c>
      <c r="E198" s="74">
        <f t="array" ref="E198">IF(OR($D198="",$D198="NO ENCONTRADO"),"",_xlfn.XLOOKUP($D198,Productos!$E:$E,Productos!$H:$H,""))</f>
        <v/>
      </c>
      <c r="F198" s="74">
        <f t="array" ref="F198">IF(OR($D198="",$D198="NO ENCONTRADO"),"",_xlfn.XLOOKUP($D198,Productos!$E:$E,Productos!$I:$I,""))</f>
        <v/>
      </c>
      <c r="G198" s="74">
        <f t="array" ref="G198">IF(OR($D198="",$D198="NO ENCONTRADO"),"",_xlfn.XLOOKUP($D198,Productos!$E:$E,Productos!$J:$J,""))</f>
        <v/>
      </c>
      <c r="H198" s="74">
        <f t="array" ref="H198">IF(OR($D198="",$D198="NO ENCONTRADO"),"",_xlfn.XLOOKUP($D198,Productos!$E:$E,Productos!$K:$K,""))</f>
        <v/>
      </c>
      <c r="I198" s="74">
        <f t="array" ref="I198">IF(OR($D198="",$D198="NO ENCONTRADO"),"",_xlfn.XLOOKUP($D198,Productos!$E:$E,Productos!$F:$F,""))</f>
        <v/>
      </c>
      <c r="J198" s="74">
        <f>IF($C198="","",IF($D198="NO ENCONTRADO",IF(COUNTIF($C$7:$C$1000,$C198)&gt;1,"⚠️ No encontrado | Duplicado","⚠️ No encontrado"),IF(COUNTIF($C$7:$C$1000,$C198)&gt;1,"⚠️ Duplicado","Verificado")))</f>
        <v/>
      </c>
    </row>
    <row r="199" ht="15.75" customHeight="1" s="176">
      <c r="B199" s="80" t="n"/>
      <c r="C199" s="77" t="n"/>
      <c r="D199" s="74">
        <f t="array" ref="D199">IF($C199="","",IFNA(_xlfn.XLOOKUP($C199,Productos!$A:$A,Productos!$E:$E,IFNA(_xlfn.XLOOKUP(TEXT($C199,"0"),Productos!$A:$A,Productos!$E:$E,IFNA(_xlfn.XLOOKUP(IFERROR(VALUE($C199),""),Productos!$A:$A,Productos!$E:$E,_xlfn.XLOOKUP($C199,Productos!$E:$E,Productos!$E:$E,"NO ENCONTRADO")),"NO ENCONTRADO")),"NO ENCONTRADO")),"NO ENCONTRADO"))</f>
        <v/>
      </c>
      <c r="E199" s="74">
        <f t="array" ref="E199">IF(OR($D199="",$D199="NO ENCONTRADO"),"",_xlfn.XLOOKUP($D199,Productos!$E:$E,Productos!$H:$H,""))</f>
        <v/>
      </c>
      <c r="F199" s="74">
        <f t="array" ref="F199">IF(OR($D199="",$D199="NO ENCONTRADO"),"",_xlfn.XLOOKUP($D199,Productos!$E:$E,Productos!$I:$I,""))</f>
        <v/>
      </c>
      <c r="G199" s="74">
        <f t="array" ref="G199">IF(OR($D199="",$D199="NO ENCONTRADO"),"",_xlfn.XLOOKUP($D199,Productos!$E:$E,Productos!$J:$J,""))</f>
        <v/>
      </c>
      <c r="H199" s="74">
        <f t="array" ref="H199">IF(OR($D199="",$D199="NO ENCONTRADO"),"",_xlfn.XLOOKUP($D199,Productos!$E:$E,Productos!$K:$K,""))</f>
        <v/>
      </c>
      <c r="I199" s="74">
        <f t="array" ref="I199">IF(OR($D199="",$D199="NO ENCONTRADO"),"",_xlfn.XLOOKUP($D199,Productos!$E:$E,Productos!$F:$F,""))</f>
        <v/>
      </c>
      <c r="J199" s="74">
        <f>IF($C199="","",IF($D199="NO ENCONTRADO",IF(COUNTIF($C$7:$C$1000,$C199)&gt;1,"⚠️ No encontrado | Duplicado","⚠️ No encontrado"),IF(COUNTIF($C$7:$C$1000,$C199)&gt;1,"⚠️ Duplicado","Verificado")))</f>
        <v/>
      </c>
    </row>
    <row r="200" ht="15.75" customHeight="1" s="176">
      <c r="B200" s="80" t="n"/>
      <c r="C200" s="77" t="n"/>
      <c r="D200" s="74">
        <f t="array" ref="D200">IF($C200="","",IFNA(_xlfn.XLOOKUP($C200,Productos!$A:$A,Productos!$E:$E,IFNA(_xlfn.XLOOKUP(TEXT($C200,"0"),Productos!$A:$A,Productos!$E:$E,IFNA(_xlfn.XLOOKUP(IFERROR(VALUE($C200),""),Productos!$A:$A,Productos!$E:$E,_xlfn.XLOOKUP($C200,Productos!$E:$E,Productos!$E:$E,"NO ENCONTRADO")),"NO ENCONTRADO")),"NO ENCONTRADO")),"NO ENCONTRADO"))</f>
        <v/>
      </c>
      <c r="E200" s="74">
        <f t="array" ref="E200">IF(OR($D200="",$D200="NO ENCONTRADO"),"",_xlfn.XLOOKUP($D200,Productos!$E:$E,Productos!$H:$H,""))</f>
        <v/>
      </c>
      <c r="F200" s="74">
        <f t="array" ref="F200">IF(OR($D200="",$D200="NO ENCONTRADO"),"",_xlfn.XLOOKUP($D200,Productos!$E:$E,Productos!$I:$I,""))</f>
        <v/>
      </c>
      <c r="G200" s="74">
        <f t="array" ref="G200">IF(OR($D200="",$D200="NO ENCONTRADO"),"",_xlfn.XLOOKUP($D200,Productos!$E:$E,Productos!$J:$J,""))</f>
        <v/>
      </c>
      <c r="H200" s="74">
        <f t="array" ref="H200">IF(OR($D200="",$D200="NO ENCONTRADO"),"",_xlfn.XLOOKUP($D200,Productos!$E:$E,Productos!$K:$K,""))</f>
        <v/>
      </c>
      <c r="I200" s="74">
        <f t="array" ref="I200">IF(OR($D200="",$D200="NO ENCONTRADO"),"",_xlfn.XLOOKUP($D200,Productos!$E:$E,Productos!$F:$F,""))</f>
        <v/>
      </c>
      <c r="J200" s="74">
        <f>IF($C200="","",IF($D200="NO ENCONTRADO",IF(COUNTIF($C$7:$C$1000,$C200)&gt;1,"⚠️ No encontrado | Duplicado","⚠️ No encontrado"),IF(COUNTIF($C$7:$C$1000,$C200)&gt;1,"⚠️ Duplicado","Verificado")))</f>
        <v/>
      </c>
    </row>
    <row r="201" ht="15.75" customHeight="1" s="176">
      <c r="B201" s="80" t="n"/>
      <c r="C201" s="77" t="n"/>
      <c r="D201" s="74">
        <f t="array" ref="D201">IF($C201="","",IFNA(_xlfn.XLOOKUP($C201,Productos!$A:$A,Productos!$E:$E,IFNA(_xlfn.XLOOKUP(TEXT($C201,"0"),Productos!$A:$A,Productos!$E:$E,IFNA(_xlfn.XLOOKUP(IFERROR(VALUE($C201),""),Productos!$A:$A,Productos!$E:$E,_xlfn.XLOOKUP($C201,Productos!$E:$E,Productos!$E:$E,"NO ENCONTRADO")),"NO ENCONTRADO")),"NO ENCONTRADO")),"NO ENCONTRADO"))</f>
        <v/>
      </c>
      <c r="E201" s="74">
        <f t="array" ref="E201">IF(OR($D201="",$D201="NO ENCONTRADO"),"",_xlfn.XLOOKUP($D201,Productos!$E:$E,Productos!$H:$H,""))</f>
        <v/>
      </c>
      <c r="F201" s="74">
        <f t="array" ref="F201">IF(OR($D201="",$D201="NO ENCONTRADO"),"",_xlfn.XLOOKUP($D201,Productos!$E:$E,Productos!$I:$I,""))</f>
        <v/>
      </c>
      <c r="G201" s="74">
        <f t="array" ref="G201">IF(OR($D201="",$D201="NO ENCONTRADO"),"",_xlfn.XLOOKUP($D201,Productos!$E:$E,Productos!$J:$J,""))</f>
        <v/>
      </c>
      <c r="H201" s="74">
        <f t="array" ref="H201">IF(OR($D201="",$D201="NO ENCONTRADO"),"",_xlfn.XLOOKUP($D201,Productos!$E:$E,Productos!$K:$K,""))</f>
        <v/>
      </c>
      <c r="I201" s="74">
        <f t="array" ref="I201">IF(OR($D201="",$D201="NO ENCONTRADO"),"",_xlfn.XLOOKUP($D201,Productos!$E:$E,Productos!$F:$F,""))</f>
        <v/>
      </c>
      <c r="J201" s="74">
        <f>IF($C201="","",IF($D201="NO ENCONTRADO",IF(COUNTIF($C$7:$C$1000,$C201)&gt;1,"⚠️ No encontrado | Duplicado","⚠️ No encontrado"),IF(COUNTIF($C$7:$C$1000,$C201)&gt;1,"⚠️ Duplicado","Verificado")))</f>
        <v/>
      </c>
    </row>
    <row r="202" ht="15.75" customHeight="1" s="176">
      <c r="B202" s="80" t="n"/>
      <c r="C202" s="77" t="n"/>
      <c r="D202" s="74">
        <f t="array" ref="D202">IF($C202="","",IFNA(_xlfn.XLOOKUP($C202,Productos!$A:$A,Productos!$E:$E,IFNA(_xlfn.XLOOKUP(TEXT($C202,"0"),Productos!$A:$A,Productos!$E:$E,IFNA(_xlfn.XLOOKUP(IFERROR(VALUE($C202),""),Productos!$A:$A,Productos!$E:$E,_xlfn.XLOOKUP($C202,Productos!$E:$E,Productos!$E:$E,"NO ENCONTRADO")),"NO ENCONTRADO")),"NO ENCONTRADO")),"NO ENCONTRADO"))</f>
        <v/>
      </c>
      <c r="E202" s="74">
        <f t="array" ref="E202">IF(OR($D202="",$D202="NO ENCONTRADO"),"",_xlfn.XLOOKUP($D202,Productos!$E:$E,Productos!$H:$H,""))</f>
        <v/>
      </c>
      <c r="F202" s="74">
        <f t="array" ref="F202">IF(OR($D202="",$D202="NO ENCONTRADO"),"",_xlfn.XLOOKUP($D202,Productos!$E:$E,Productos!$I:$I,""))</f>
        <v/>
      </c>
      <c r="G202" s="74">
        <f t="array" ref="G202">IF(OR($D202="",$D202="NO ENCONTRADO"),"",_xlfn.XLOOKUP($D202,Productos!$E:$E,Productos!$J:$J,""))</f>
        <v/>
      </c>
      <c r="H202" s="74">
        <f t="array" ref="H202">IF(OR($D202="",$D202="NO ENCONTRADO"),"",_xlfn.XLOOKUP($D202,Productos!$E:$E,Productos!$K:$K,""))</f>
        <v/>
      </c>
      <c r="I202" s="74">
        <f t="array" ref="I202">IF(OR($D202="",$D202="NO ENCONTRADO"),"",_xlfn.XLOOKUP($D202,Productos!$E:$E,Productos!$F:$F,""))</f>
        <v/>
      </c>
      <c r="J202" s="74">
        <f>IF($C202="","",IF($D202="NO ENCONTRADO",IF(COUNTIF($C$7:$C$1000,$C202)&gt;1,"⚠️ No encontrado | Duplicado","⚠️ No encontrado"),IF(COUNTIF($C$7:$C$1000,$C202)&gt;1,"⚠️ Duplicado","Verificado")))</f>
        <v/>
      </c>
    </row>
    <row r="203" ht="15.75" customHeight="1" s="176">
      <c r="B203" s="80" t="n"/>
      <c r="C203" s="77" t="n"/>
      <c r="D203" s="74">
        <f t="array" ref="D203">IF($C203="","",IFNA(_xlfn.XLOOKUP($C203,Productos!$A:$A,Productos!$E:$E,IFNA(_xlfn.XLOOKUP(TEXT($C203,"0"),Productos!$A:$A,Productos!$E:$E,IFNA(_xlfn.XLOOKUP(IFERROR(VALUE($C203),""),Productos!$A:$A,Productos!$E:$E,_xlfn.XLOOKUP($C203,Productos!$E:$E,Productos!$E:$E,"NO ENCONTRADO")),"NO ENCONTRADO")),"NO ENCONTRADO")),"NO ENCONTRADO"))</f>
        <v/>
      </c>
      <c r="E203" s="74">
        <f t="array" ref="E203">IF(OR($D203="",$D203="NO ENCONTRADO"),"",_xlfn.XLOOKUP($D203,Productos!$E:$E,Productos!$H:$H,""))</f>
        <v/>
      </c>
      <c r="F203" s="74">
        <f t="array" ref="F203">IF(OR($D203="",$D203="NO ENCONTRADO"),"",_xlfn.XLOOKUP($D203,Productos!$E:$E,Productos!$I:$I,""))</f>
        <v/>
      </c>
      <c r="G203" s="74">
        <f t="array" ref="G203">IF(OR($D203="",$D203="NO ENCONTRADO"),"",_xlfn.XLOOKUP($D203,Productos!$E:$E,Productos!$J:$J,""))</f>
        <v/>
      </c>
      <c r="H203" s="74">
        <f t="array" ref="H203">IF(OR($D203="",$D203="NO ENCONTRADO"),"",_xlfn.XLOOKUP($D203,Productos!$E:$E,Productos!$K:$K,""))</f>
        <v/>
      </c>
      <c r="I203" s="74">
        <f t="array" ref="I203">IF(OR($D203="",$D203="NO ENCONTRADO"),"",_xlfn.XLOOKUP($D203,Productos!$E:$E,Productos!$F:$F,""))</f>
        <v/>
      </c>
      <c r="J203" s="74">
        <f>IF($C203="","",IF($D203="NO ENCONTRADO",IF(COUNTIF($C$7:$C$1000,$C203)&gt;1,"⚠️ No encontrado | Duplicado","⚠️ No encontrado"),IF(COUNTIF($C$7:$C$1000,$C203)&gt;1,"⚠️ Duplicado","Verificado")))</f>
        <v/>
      </c>
    </row>
    <row r="204" ht="15.75" customHeight="1" s="176">
      <c r="B204" s="80" t="n"/>
      <c r="C204" s="77" t="n"/>
      <c r="D204" s="74">
        <f t="array" ref="D204">IF($C204="","",IFNA(_xlfn.XLOOKUP($C204,Productos!$A:$A,Productos!$E:$E,IFNA(_xlfn.XLOOKUP(TEXT($C204,"0"),Productos!$A:$A,Productos!$E:$E,IFNA(_xlfn.XLOOKUP(IFERROR(VALUE($C204),""),Productos!$A:$A,Productos!$E:$E,_xlfn.XLOOKUP($C204,Productos!$E:$E,Productos!$E:$E,"NO ENCONTRADO")),"NO ENCONTRADO")),"NO ENCONTRADO")),"NO ENCONTRADO"))</f>
        <v/>
      </c>
      <c r="E204" s="74">
        <f t="array" ref="E204">IF(OR($D204="",$D204="NO ENCONTRADO"),"",_xlfn.XLOOKUP($D204,Productos!$E:$E,Productos!$H:$H,""))</f>
        <v/>
      </c>
      <c r="F204" s="74">
        <f t="array" ref="F204">IF(OR($D204="",$D204="NO ENCONTRADO"),"",_xlfn.XLOOKUP($D204,Productos!$E:$E,Productos!$I:$I,""))</f>
        <v/>
      </c>
      <c r="G204" s="74">
        <f t="array" ref="G204">IF(OR($D204="",$D204="NO ENCONTRADO"),"",_xlfn.XLOOKUP($D204,Productos!$E:$E,Productos!$J:$J,""))</f>
        <v/>
      </c>
      <c r="H204" s="74">
        <f t="array" ref="H204">IF(OR($D204="",$D204="NO ENCONTRADO"),"",_xlfn.XLOOKUP($D204,Productos!$E:$E,Productos!$K:$K,""))</f>
        <v/>
      </c>
      <c r="I204" s="74">
        <f t="array" ref="I204">IF(OR($D204="",$D204="NO ENCONTRADO"),"",_xlfn.XLOOKUP($D204,Productos!$E:$E,Productos!$F:$F,""))</f>
        <v/>
      </c>
      <c r="J204" s="74">
        <f>IF($C204="","",IF($D204="NO ENCONTRADO",IF(COUNTIF($C$7:$C$1000,$C204)&gt;1,"⚠️ No encontrado | Duplicado","⚠️ No encontrado"),IF(COUNTIF($C$7:$C$1000,$C204)&gt;1,"⚠️ Duplicado","Verificado")))</f>
        <v/>
      </c>
    </row>
    <row r="205" ht="15.75" customHeight="1" s="176">
      <c r="B205" s="80" t="n"/>
      <c r="C205" s="77" t="n"/>
      <c r="D205" s="74">
        <f t="array" ref="D205">IF($C205="","",IFNA(_xlfn.XLOOKUP($C205,Productos!$A:$A,Productos!$E:$E,IFNA(_xlfn.XLOOKUP(TEXT($C205,"0"),Productos!$A:$A,Productos!$E:$E,IFNA(_xlfn.XLOOKUP(IFERROR(VALUE($C205),""),Productos!$A:$A,Productos!$E:$E,_xlfn.XLOOKUP($C205,Productos!$E:$E,Productos!$E:$E,"NO ENCONTRADO")),"NO ENCONTRADO")),"NO ENCONTRADO")),"NO ENCONTRADO"))</f>
        <v/>
      </c>
      <c r="E205" s="74">
        <f t="array" ref="E205">IF(OR($D205="",$D205="NO ENCONTRADO"),"",_xlfn.XLOOKUP($D205,Productos!$E:$E,Productos!$H:$H,""))</f>
        <v/>
      </c>
      <c r="F205" s="74">
        <f t="array" ref="F205">IF(OR($D205="",$D205="NO ENCONTRADO"),"",_xlfn.XLOOKUP($D205,Productos!$E:$E,Productos!$I:$I,""))</f>
        <v/>
      </c>
      <c r="G205" s="74">
        <f t="array" ref="G205">IF(OR($D205="",$D205="NO ENCONTRADO"),"",_xlfn.XLOOKUP($D205,Productos!$E:$E,Productos!$J:$J,""))</f>
        <v/>
      </c>
      <c r="H205" s="74">
        <f t="array" ref="H205">IF(OR($D205="",$D205="NO ENCONTRADO"),"",_xlfn.XLOOKUP($D205,Productos!$E:$E,Productos!$K:$K,""))</f>
        <v/>
      </c>
      <c r="I205" s="74">
        <f t="array" ref="I205">IF(OR($D205="",$D205="NO ENCONTRADO"),"",_xlfn.XLOOKUP($D205,Productos!$E:$E,Productos!$F:$F,""))</f>
        <v/>
      </c>
      <c r="J205" s="74">
        <f>IF($C205="","",IF($D205="NO ENCONTRADO",IF(COUNTIF($C$7:$C$1000,$C205)&gt;1,"⚠️ No encontrado | Duplicado","⚠️ No encontrado"),IF(COUNTIF($C$7:$C$1000,$C205)&gt;1,"⚠️ Duplicado","Verificado")))</f>
        <v/>
      </c>
    </row>
    <row r="206" ht="15.75" customHeight="1" s="176">
      <c r="B206" s="80" t="n"/>
      <c r="C206" s="77" t="n"/>
      <c r="D206" s="74">
        <f t="array" ref="D206">IF($C206="","",IFNA(_xlfn.XLOOKUP($C206,Productos!$A:$A,Productos!$E:$E,IFNA(_xlfn.XLOOKUP(TEXT($C206,"0"),Productos!$A:$A,Productos!$E:$E,IFNA(_xlfn.XLOOKUP(IFERROR(VALUE($C206),""),Productos!$A:$A,Productos!$E:$E,_xlfn.XLOOKUP($C206,Productos!$E:$E,Productos!$E:$E,"NO ENCONTRADO")),"NO ENCONTRADO")),"NO ENCONTRADO")),"NO ENCONTRADO"))</f>
        <v/>
      </c>
      <c r="E206" s="74">
        <f t="array" ref="E206">IF(OR($D206="",$D206="NO ENCONTRADO"),"",_xlfn.XLOOKUP($D206,Productos!$E:$E,Productos!$H:$H,""))</f>
        <v/>
      </c>
      <c r="F206" s="74">
        <f t="array" ref="F206">IF(OR($D206="",$D206="NO ENCONTRADO"),"",_xlfn.XLOOKUP($D206,Productos!$E:$E,Productos!$I:$I,""))</f>
        <v/>
      </c>
      <c r="G206" s="74">
        <f t="array" ref="G206">IF(OR($D206="",$D206="NO ENCONTRADO"),"",_xlfn.XLOOKUP($D206,Productos!$E:$E,Productos!$J:$J,""))</f>
        <v/>
      </c>
      <c r="H206" s="74">
        <f t="array" ref="H206">IF(OR($D206="",$D206="NO ENCONTRADO"),"",_xlfn.XLOOKUP($D206,Productos!$E:$E,Productos!$K:$K,""))</f>
        <v/>
      </c>
      <c r="I206" s="74">
        <f t="array" ref="I206">IF(OR($D206="",$D206="NO ENCONTRADO"),"",_xlfn.XLOOKUP($D206,Productos!$E:$E,Productos!$F:$F,""))</f>
        <v/>
      </c>
      <c r="J206" s="74">
        <f>IF($C206="","",IF($D206="NO ENCONTRADO",IF(COUNTIF($C$7:$C$1000,$C206)&gt;1,"⚠️ No encontrado | Duplicado","⚠️ No encontrado"),IF(COUNTIF($C$7:$C$1000,$C206)&gt;1,"⚠️ Duplicado","Verificado")))</f>
        <v/>
      </c>
    </row>
    <row r="207" ht="15.75" customHeight="1" s="176">
      <c r="B207" s="80" t="n"/>
      <c r="C207" s="77" t="n"/>
      <c r="D207" s="74">
        <f t="array" ref="D207">IF($C207="","",IFNA(_xlfn.XLOOKUP($C207,Productos!$A:$A,Productos!$E:$E,IFNA(_xlfn.XLOOKUP(TEXT($C207,"0"),Productos!$A:$A,Productos!$E:$E,IFNA(_xlfn.XLOOKUP(IFERROR(VALUE($C207),""),Productos!$A:$A,Productos!$E:$E,_xlfn.XLOOKUP($C207,Productos!$E:$E,Productos!$E:$E,"NO ENCONTRADO")),"NO ENCONTRADO")),"NO ENCONTRADO")),"NO ENCONTRADO"))</f>
        <v/>
      </c>
      <c r="E207" s="74">
        <f t="array" ref="E207">IF(OR($D207="",$D207="NO ENCONTRADO"),"",_xlfn.XLOOKUP($D207,Productos!$E:$E,Productos!$H:$H,""))</f>
        <v/>
      </c>
      <c r="F207" s="74">
        <f t="array" ref="F207">IF(OR($D207="",$D207="NO ENCONTRADO"),"",_xlfn.XLOOKUP($D207,Productos!$E:$E,Productos!$I:$I,""))</f>
        <v/>
      </c>
      <c r="G207" s="74">
        <f t="array" ref="G207">IF(OR($D207="",$D207="NO ENCONTRADO"),"",_xlfn.XLOOKUP($D207,Productos!$E:$E,Productos!$J:$J,""))</f>
        <v/>
      </c>
      <c r="H207" s="74">
        <f t="array" ref="H207">IF(OR($D207="",$D207="NO ENCONTRADO"),"",_xlfn.XLOOKUP($D207,Productos!$E:$E,Productos!$K:$K,""))</f>
        <v/>
      </c>
      <c r="I207" s="74">
        <f t="array" ref="I207">IF(OR($D207="",$D207="NO ENCONTRADO"),"",_xlfn.XLOOKUP($D207,Productos!$E:$E,Productos!$F:$F,""))</f>
        <v/>
      </c>
      <c r="J207" s="74">
        <f>IF($C207="","",IF($D207="NO ENCONTRADO",IF(COUNTIF($C$7:$C$1000,$C207)&gt;1,"⚠️ No encontrado | Duplicado","⚠️ No encontrado"),IF(COUNTIF($C$7:$C$1000,$C207)&gt;1,"⚠️ Duplicado","Verificado")))</f>
        <v/>
      </c>
    </row>
    <row r="208" ht="15.75" customHeight="1" s="176">
      <c r="B208" s="80" t="n"/>
      <c r="C208" s="77" t="n"/>
      <c r="D208" s="74">
        <f t="array" ref="D208">IF($C208="","",IFNA(_xlfn.XLOOKUP($C208,Productos!$A:$A,Productos!$E:$E,IFNA(_xlfn.XLOOKUP(TEXT($C208,"0"),Productos!$A:$A,Productos!$E:$E,IFNA(_xlfn.XLOOKUP(IFERROR(VALUE($C208),""),Productos!$A:$A,Productos!$E:$E,_xlfn.XLOOKUP($C208,Productos!$E:$E,Productos!$E:$E,"NO ENCONTRADO")),"NO ENCONTRADO")),"NO ENCONTRADO")),"NO ENCONTRADO"))</f>
        <v/>
      </c>
      <c r="E208" s="74">
        <f t="array" ref="E208">IF(OR($D208="",$D208="NO ENCONTRADO"),"",_xlfn.XLOOKUP($D208,Productos!$E:$E,Productos!$H:$H,""))</f>
        <v/>
      </c>
      <c r="F208" s="74">
        <f t="array" ref="F208">IF(OR($D208="",$D208="NO ENCONTRADO"),"",_xlfn.XLOOKUP($D208,Productos!$E:$E,Productos!$I:$I,""))</f>
        <v/>
      </c>
      <c r="G208" s="74">
        <f t="array" ref="G208">IF(OR($D208="",$D208="NO ENCONTRADO"),"",_xlfn.XLOOKUP($D208,Productos!$E:$E,Productos!$J:$J,""))</f>
        <v/>
      </c>
      <c r="H208" s="74">
        <f t="array" ref="H208">IF(OR($D208="",$D208="NO ENCONTRADO"),"",_xlfn.XLOOKUP($D208,Productos!$E:$E,Productos!$K:$K,""))</f>
        <v/>
      </c>
      <c r="I208" s="74">
        <f t="array" ref="I208">IF(OR($D208="",$D208="NO ENCONTRADO"),"",_xlfn.XLOOKUP($D208,Productos!$E:$E,Productos!$F:$F,""))</f>
        <v/>
      </c>
      <c r="J208" s="74">
        <f>IF($C208="","",IF($D208="NO ENCONTRADO",IF(COUNTIF($C$7:$C$1000,$C208)&gt;1,"⚠️ No encontrado | Duplicado","⚠️ No encontrado"),IF(COUNTIF($C$7:$C$1000,$C208)&gt;1,"⚠️ Duplicado","Verificado")))</f>
        <v/>
      </c>
    </row>
    <row r="209" ht="15.75" customHeight="1" s="176">
      <c r="B209" s="80" t="n"/>
      <c r="C209" s="77" t="n"/>
      <c r="D209" s="74">
        <f t="array" ref="D209">IF($C209="","",IFNA(_xlfn.XLOOKUP($C209,Productos!$A:$A,Productos!$E:$E,IFNA(_xlfn.XLOOKUP(TEXT($C209,"0"),Productos!$A:$A,Productos!$E:$E,IFNA(_xlfn.XLOOKUP(IFERROR(VALUE($C209),""),Productos!$A:$A,Productos!$E:$E,_xlfn.XLOOKUP($C209,Productos!$E:$E,Productos!$E:$E,"NO ENCONTRADO")),"NO ENCONTRADO")),"NO ENCONTRADO")),"NO ENCONTRADO"))</f>
        <v/>
      </c>
      <c r="E209" s="74">
        <f t="array" ref="E209">IF(OR($D209="",$D209="NO ENCONTRADO"),"",_xlfn.XLOOKUP($D209,Productos!$E:$E,Productos!$H:$H,""))</f>
        <v/>
      </c>
      <c r="F209" s="74">
        <f t="array" ref="F209">IF(OR($D209="",$D209="NO ENCONTRADO"),"",_xlfn.XLOOKUP($D209,Productos!$E:$E,Productos!$I:$I,""))</f>
        <v/>
      </c>
      <c r="G209" s="74">
        <f t="array" ref="G209">IF(OR($D209="",$D209="NO ENCONTRADO"),"",_xlfn.XLOOKUP($D209,Productos!$E:$E,Productos!$J:$J,""))</f>
        <v/>
      </c>
      <c r="H209" s="74">
        <f t="array" ref="H209">IF(OR($D209="",$D209="NO ENCONTRADO"),"",_xlfn.XLOOKUP($D209,Productos!$E:$E,Productos!$K:$K,""))</f>
        <v/>
      </c>
      <c r="I209" s="74">
        <f t="array" ref="I209">IF(OR($D209="",$D209="NO ENCONTRADO"),"",_xlfn.XLOOKUP($D209,Productos!$E:$E,Productos!$F:$F,""))</f>
        <v/>
      </c>
      <c r="J209" s="74">
        <f>IF($C209="","",IF($D209="NO ENCONTRADO",IF(COUNTIF($C$7:$C$1000,$C209)&gt;1,"⚠️ No encontrado | Duplicado","⚠️ No encontrado"),IF(COUNTIF($C$7:$C$1000,$C209)&gt;1,"⚠️ Duplicado","Verificado")))</f>
        <v/>
      </c>
    </row>
    <row r="210" ht="15.75" customHeight="1" s="176">
      <c r="B210" s="80" t="n"/>
      <c r="C210" s="77" t="n"/>
      <c r="D210" s="74">
        <f t="array" ref="D210">IF($C210="","",IFNA(_xlfn.XLOOKUP($C210,Productos!$A:$A,Productos!$E:$E,IFNA(_xlfn.XLOOKUP(TEXT($C210,"0"),Productos!$A:$A,Productos!$E:$E,IFNA(_xlfn.XLOOKUP(IFERROR(VALUE($C210),""),Productos!$A:$A,Productos!$E:$E,_xlfn.XLOOKUP($C210,Productos!$E:$E,Productos!$E:$E,"NO ENCONTRADO")),"NO ENCONTRADO")),"NO ENCONTRADO")),"NO ENCONTRADO"))</f>
        <v/>
      </c>
      <c r="E210" s="74">
        <f t="array" ref="E210">IF(OR($D210="",$D210="NO ENCONTRADO"),"",_xlfn.XLOOKUP($D210,Productos!$E:$E,Productos!$H:$H,""))</f>
        <v/>
      </c>
      <c r="F210" s="74">
        <f t="array" ref="F210">IF(OR($D210="",$D210="NO ENCONTRADO"),"",_xlfn.XLOOKUP($D210,Productos!$E:$E,Productos!$I:$I,""))</f>
        <v/>
      </c>
      <c r="G210" s="74">
        <f t="array" ref="G210">IF(OR($D210="",$D210="NO ENCONTRADO"),"",_xlfn.XLOOKUP($D210,Productos!$E:$E,Productos!$J:$J,""))</f>
        <v/>
      </c>
      <c r="H210" s="74">
        <f t="array" ref="H210">IF(OR($D210="",$D210="NO ENCONTRADO"),"",_xlfn.XLOOKUP($D210,Productos!$E:$E,Productos!$K:$K,""))</f>
        <v/>
      </c>
      <c r="I210" s="74">
        <f t="array" ref="I210">IF(OR($D210="",$D210="NO ENCONTRADO"),"",_xlfn.XLOOKUP($D210,Productos!$E:$E,Productos!$F:$F,""))</f>
        <v/>
      </c>
      <c r="J210" s="74">
        <f>IF($C210="","",IF($D210="NO ENCONTRADO",IF(COUNTIF($C$7:$C$1000,$C210)&gt;1,"⚠️ No encontrado | Duplicado","⚠️ No encontrado"),IF(COUNTIF($C$7:$C$1000,$C210)&gt;1,"⚠️ Duplicado","Verificado")))</f>
        <v/>
      </c>
    </row>
    <row r="211" ht="15.75" customHeight="1" s="176">
      <c r="B211" s="80" t="n"/>
      <c r="C211" s="77" t="n"/>
      <c r="D211" s="74">
        <f t="array" ref="D211">IF($C211="","",IFNA(_xlfn.XLOOKUP($C211,Productos!$A:$A,Productos!$E:$E,IFNA(_xlfn.XLOOKUP(TEXT($C211,"0"),Productos!$A:$A,Productos!$E:$E,IFNA(_xlfn.XLOOKUP(IFERROR(VALUE($C211),""),Productos!$A:$A,Productos!$E:$E,_xlfn.XLOOKUP($C211,Productos!$E:$E,Productos!$E:$E,"NO ENCONTRADO")),"NO ENCONTRADO")),"NO ENCONTRADO")),"NO ENCONTRADO"))</f>
        <v/>
      </c>
      <c r="E211" s="74">
        <f t="array" ref="E211">IF(OR($D211="",$D211="NO ENCONTRADO"),"",_xlfn.XLOOKUP($D211,Productos!$E:$E,Productos!$H:$H,""))</f>
        <v/>
      </c>
      <c r="F211" s="74">
        <f t="array" ref="F211">IF(OR($D211="",$D211="NO ENCONTRADO"),"",_xlfn.XLOOKUP($D211,Productos!$E:$E,Productos!$I:$I,""))</f>
        <v/>
      </c>
      <c r="G211" s="74">
        <f t="array" ref="G211">IF(OR($D211="",$D211="NO ENCONTRADO"),"",_xlfn.XLOOKUP($D211,Productos!$E:$E,Productos!$J:$J,""))</f>
        <v/>
      </c>
      <c r="H211" s="74">
        <f t="array" ref="H211">IF(OR($D211="",$D211="NO ENCONTRADO"),"",_xlfn.XLOOKUP($D211,Productos!$E:$E,Productos!$K:$K,""))</f>
        <v/>
      </c>
      <c r="I211" s="74">
        <f t="array" ref="I211">IF(OR($D211="",$D211="NO ENCONTRADO"),"",_xlfn.XLOOKUP($D211,Productos!$E:$E,Productos!$F:$F,""))</f>
        <v/>
      </c>
      <c r="J211" s="74">
        <f>IF($C211="","",IF($D211="NO ENCONTRADO",IF(COUNTIF($C$7:$C$1000,$C211)&gt;1,"⚠️ No encontrado | Duplicado","⚠️ No encontrado"),IF(COUNTIF($C$7:$C$1000,$C211)&gt;1,"⚠️ Duplicado","Verificado")))</f>
        <v/>
      </c>
    </row>
    <row r="212" ht="15.75" customHeight="1" s="176">
      <c r="B212" s="80" t="n"/>
      <c r="C212" s="77" t="n"/>
      <c r="D212" s="74">
        <f t="array" ref="D212">IF($C212="","",IFNA(_xlfn.XLOOKUP($C212,Productos!$A:$A,Productos!$E:$E,IFNA(_xlfn.XLOOKUP(TEXT($C212,"0"),Productos!$A:$A,Productos!$E:$E,IFNA(_xlfn.XLOOKUP(IFERROR(VALUE($C212),""),Productos!$A:$A,Productos!$E:$E,_xlfn.XLOOKUP($C212,Productos!$E:$E,Productos!$E:$E,"NO ENCONTRADO")),"NO ENCONTRADO")),"NO ENCONTRADO")),"NO ENCONTRADO"))</f>
        <v/>
      </c>
      <c r="E212" s="74">
        <f t="array" ref="E212">IF(OR($D212="",$D212="NO ENCONTRADO"),"",_xlfn.XLOOKUP($D212,Productos!$E:$E,Productos!$H:$H,""))</f>
        <v/>
      </c>
      <c r="F212" s="74">
        <f t="array" ref="F212">IF(OR($D212="",$D212="NO ENCONTRADO"),"",_xlfn.XLOOKUP($D212,Productos!$E:$E,Productos!$I:$I,""))</f>
        <v/>
      </c>
      <c r="G212" s="74">
        <f t="array" ref="G212">IF(OR($D212="",$D212="NO ENCONTRADO"),"",_xlfn.XLOOKUP($D212,Productos!$E:$E,Productos!$J:$J,""))</f>
        <v/>
      </c>
      <c r="H212" s="74">
        <f t="array" ref="H212">IF(OR($D212="",$D212="NO ENCONTRADO"),"",_xlfn.XLOOKUP($D212,Productos!$E:$E,Productos!$K:$K,""))</f>
        <v/>
      </c>
      <c r="I212" s="74">
        <f t="array" ref="I212">IF(OR($D212="",$D212="NO ENCONTRADO"),"",_xlfn.XLOOKUP($D212,Productos!$E:$E,Productos!$F:$F,""))</f>
        <v/>
      </c>
      <c r="J212" s="74">
        <f>IF($C212="","",IF($D212="NO ENCONTRADO",IF(COUNTIF($C$7:$C$1000,$C212)&gt;1,"⚠️ No encontrado | Duplicado","⚠️ No encontrado"),IF(COUNTIF($C$7:$C$1000,$C212)&gt;1,"⚠️ Duplicado","Verificado")))</f>
        <v/>
      </c>
    </row>
    <row r="213" ht="15.75" customHeight="1" s="176">
      <c r="B213" s="80" t="n"/>
      <c r="C213" s="77" t="n"/>
      <c r="D213" s="74">
        <f t="array" ref="D213">IF($C213="","",IFNA(_xlfn.XLOOKUP($C213,Productos!$A:$A,Productos!$E:$E,IFNA(_xlfn.XLOOKUP(TEXT($C213,"0"),Productos!$A:$A,Productos!$E:$E,IFNA(_xlfn.XLOOKUP(IFERROR(VALUE($C213),""),Productos!$A:$A,Productos!$E:$E,_xlfn.XLOOKUP($C213,Productos!$E:$E,Productos!$E:$E,"NO ENCONTRADO")),"NO ENCONTRADO")),"NO ENCONTRADO")),"NO ENCONTRADO"))</f>
        <v/>
      </c>
      <c r="E213" s="74">
        <f t="array" ref="E213">IF(OR($D213="",$D213="NO ENCONTRADO"),"",_xlfn.XLOOKUP($D213,Productos!$E:$E,Productos!$H:$H,""))</f>
        <v/>
      </c>
      <c r="F213" s="74">
        <f t="array" ref="F213">IF(OR($D213="",$D213="NO ENCONTRADO"),"",_xlfn.XLOOKUP($D213,Productos!$E:$E,Productos!$I:$I,""))</f>
        <v/>
      </c>
      <c r="G213" s="74">
        <f t="array" ref="G213">IF(OR($D213="",$D213="NO ENCONTRADO"),"",_xlfn.XLOOKUP($D213,Productos!$E:$E,Productos!$J:$J,""))</f>
        <v/>
      </c>
      <c r="H213" s="74">
        <f t="array" ref="H213">IF(OR($D213="",$D213="NO ENCONTRADO"),"",_xlfn.XLOOKUP($D213,Productos!$E:$E,Productos!$K:$K,""))</f>
        <v/>
      </c>
      <c r="I213" s="74">
        <f t="array" ref="I213">IF(OR($D213="",$D213="NO ENCONTRADO"),"",_xlfn.XLOOKUP($D213,Productos!$E:$E,Productos!$F:$F,""))</f>
        <v/>
      </c>
      <c r="J213" s="74">
        <f>IF($C213="","",IF($D213="NO ENCONTRADO",IF(COUNTIF($C$7:$C$1000,$C213)&gt;1,"⚠️ No encontrado | Duplicado","⚠️ No encontrado"),IF(COUNTIF($C$7:$C$1000,$C213)&gt;1,"⚠️ Duplicado","Verificado")))</f>
        <v/>
      </c>
    </row>
    <row r="214" ht="15.75" customHeight="1" s="176">
      <c r="B214" s="80" t="n"/>
      <c r="C214" s="77" t="n"/>
      <c r="D214" s="74">
        <f t="array" ref="D214">IF($C214="","",IFNA(_xlfn.XLOOKUP($C214,Productos!$A:$A,Productos!$E:$E,IFNA(_xlfn.XLOOKUP(TEXT($C214,"0"),Productos!$A:$A,Productos!$E:$E,IFNA(_xlfn.XLOOKUP(IFERROR(VALUE($C214),""),Productos!$A:$A,Productos!$E:$E,_xlfn.XLOOKUP($C214,Productos!$E:$E,Productos!$E:$E,"NO ENCONTRADO")),"NO ENCONTRADO")),"NO ENCONTRADO")),"NO ENCONTRADO"))</f>
        <v/>
      </c>
      <c r="E214" s="74">
        <f t="array" ref="E214">IF(OR($D214="",$D214="NO ENCONTRADO"),"",_xlfn.XLOOKUP($D214,Productos!$E:$E,Productos!$H:$H,""))</f>
        <v/>
      </c>
      <c r="F214" s="74">
        <f t="array" ref="F214">IF(OR($D214="",$D214="NO ENCONTRADO"),"",_xlfn.XLOOKUP($D214,Productos!$E:$E,Productos!$I:$I,""))</f>
        <v/>
      </c>
      <c r="G214" s="74">
        <f t="array" ref="G214">IF(OR($D214="",$D214="NO ENCONTRADO"),"",_xlfn.XLOOKUP($D214,Productos!$E:$E,Productos!$J:$J,""))</f>
        <v/>
      </c>
      <c r="H214" s="74">
        <f t="array" ref="H214">IF(OR($D214="",$D214="NO ENCONTRADO"),"",_xlfn.XLOOKUP($D214,Productos!$E:$E,Productos!$K:$K,""))</f>
        <v/>
      </c>
      <c r="I214" s="74">
        <f t="array" ref="I214">IF(OR($D214="",$D214="NO ENCONTRADO"),"",_xlfn.XLOOKUP($D214,Productos!$E:$E,Productos!$F:$F,""))</f>
        <v/>
      </c>
      <c r="J214" s="74">
        <f>IF($C214="","",IF($D214="NO ENCONTRADO",IF(COUNTIF($C$7:$C$1000,$C214)&gt;1,"⚠️ No encontrado | Duplicado","⚠️ No encontrado"),IF(COUNTIF($C$7:$C$1000,$C214)&gt;1,"⚠️ Duplicado","Verificado")))</f>
        <v/>
      </c>
    </row>
    <row r="215" ht="15.75" customHeight="1" s="176">
      <c r="B215" s="80" t="n"/>
      <c r="C215" s="77" t="n"/>
      <c r="D215" s="74">
        <f t="array" ref="D215">IF($C215="","",IFNA(_xlfn.XLOOKUP($C215,Productos!$A:$A,Productos!$E:$E,IFNA(_xlfn.XLOOKUP(TEXT($C215,"0"),Productos!$A:$A,Productos!$E:$E,IFNA(_xlfn.XLOOKUP(IFERROR(VALUE($C215),""),Productos!$A:$A,Productos!$E:$E,_xlfn.XLOOKUP($C215,Productos!$E:$E,Productos!$E:$E,"NO ENCONTRADO")),"NO ENCONTRADO")),"NO ENCONTRADO")),"NO ENCONTRADO"))</f>
        <v/>
      </c>
      <c r="E215" s="74">
        <f t="array" ref="E215">IF(OR($D215="",$D215="NO ENCONTRADO"),"",_xlfn.XLOOKUP($D215,Productos!$E:$E,Productos!$H:$H,""))</f>
        <v/>
      </c>
      <c r="F215" s="74">
        <f t="array" ref="F215">IF(OR($D215="",$D215="NO ENCONTRADO"),"",_xlfn.XLOOKUP($D215,Productos!$E:$E,Productos!$I:$I,""))</f>
        <v/>
      </c>
      <c r="G215" s="74">
        <f t="array" ref="G215">IF(OR($D215="",$D215="NO ENCONTRADO"),"",_xlfn.XLOOKUP($D215,Productos!$E:$E,Productos!$J:$J,""))</f>
        <v/>
      </c>
      <c r="H215" s="74">
        <f t="array" ref="H215">IF(OR($D215="",$D215="NO ENCONTRADO"),"",_xlfn.XLOOKUP($D215,Productos!$E:$E,Productos!$K:$K,""))</f>
        <v/>
      </c>
      <c r="I215" s="74">
        <f t="array" ref="I215">IF(OR($D215="",$D215="NO ENCONTRADO"),"",_xlfn.XLOOKUP($D215,Productos!$E:$E,Productos!$F:$F,""))</f>
        <v/>
      </c>
      <c r="J215" s="74">
        <f>IF($C215="","",IF($D215="NO ENCONTRADO",IF(COUNTIF($C$7:$C$1000,$C215)&gt;1,"⚠️ No encontrado | Duplicado","⚠️ No encontrado"),IF(COUNTIF($C$7:$C$1000,$C215)&gt;1,"⚠️ Duplicado","Verificado")))</f>
        <v/>
      </c>
    </row>
    <row r="216" ht="15.75" customHeight="1" s="176">
      <c r="B216" s="80" t="n"/>
      <c r="C216" s="77" t="n"/>
      <c r="D216" s="74">
        <f t="array" ref="D216">IF($C216="","",IFNA(_xlfn.XLOOKUP($C216,Productos!$A:$A,Productos!$E:$E,IFNA(_xlfn.XLOOKUP(TEXT($C216,"0"),Productos!$A:$A,Productos!$E:$E,IFNA(_xlfn.XLOOKUP(IFERROR(VALUE($C216),""),Productos!$A:$A,Productos!$E:$E,_xlfn.XLOOKUP($C216,Productos!$E:$E,Productos!$E:$E,"NO ENCONTRADO")),"NO ENCONTRADO")),"NO ENCONTRADO")),"NO ENCONTRADO"))</f>
        <v/>
      </c>
      <c r="E216" s="74">
        <f t="array" ref="E216">IF(OR($D216="",$D216="NO ENCONTRADO"),"",_xlfn.XLOOKUP($D216,Productos!$E:$E,Productos!$H:$H,""))</f>
        <v/>
      </c>
      <c r="F216" s="74">
        <f t="array" ref="F216">IF(OR($D216="",$D216="NO ENCONTRADO"),"",_xlfn.XLOOKUP($D216,Productos!$E:$E,Productos!$I:$I,""))</f>
        <v/>
      </c>
      <c r="G216" s="74">
        <f t="array" ref="G216">IF(OR($D216="",$D216="NO ENCONTRADO"),"",_xlfn.XLOOKUP($D216,Productos!$E:$E,Productos!$J:$J,""))</f>
        <v/>
      </c>
      <c r="H216" s="74">
        <f t="array" ref="H216">IF(OR($D216="",$D216="NO ENCONTRADO"),"",_xlfn.XLOOKUP($D216,Productos!$E:$E,Productos!$K:$K,""))</f>
        <v/>
      </c>
      <c r="I216" s="74">
        <f t="array" ref="I216">IF(OR($D216="",$D216="NO ENCONTRADO"),"",_xlfn.XLOOKUP($D216,Productos!$E:$E,Productos!$F:$F,""))</f>
        <v/>
      </c>
      <c r="J216" s="74">
        <f>IF($C216="","",IF($D216="NO ENCONTRADO",IF(COUNTIF($C$7:$C$1000,$C216)&gt;1,"⚠️ No encontrado | Duplicado","⚠️ No encontrado"),IF(COUNTIF($C$7:$C$1000,$C216)&gt;1,"⚠️ Duplicado","Verificado")))</f>
        <v/>
      </c>
    </row>
    <row r="217" ht="15.75" customHeight="1" s="176">
      <c r="B217" s="80" t="n"/>
      <c r="C217" s="77" t="n"/>
      <c r="D217" s="74">
        <f t="array" ref="D217">IF($C217="","",IFNA(_xlfn.XLOOKUP($C217,Productos!$A:$A,Productos!$E:$E,IFNA(_xlfn.XLOOKUP(TEXT($C217,"0"),Productos!$A:$A,Productos!$E:$E,IFNA(_xlfn.XLOOKUP(IFERROR(VALUE($C217),""),Productos!$A:$A,Productos!$E:$E,_xlfn.XLOOKUP($C217,Productos!$E:$E,Productos!$E:$E,"NO ENCONTRADO")),"NO ENCONTRADO")),"NO ENCONTRADO")),"NO ENCONTRADO"))</f>
        <v/>
      </c>
      <c r="E217" s="74">
        <f t="array" ref="E217">IF(OR($D217="",$D217="NO ENCONTRADO"),"",_xlfn.XLOOKUP($D217,Productos!$E:$E,Productos!$H:$H,""))</f>
        <v/>
      </c>
      <c r="F217" s="74">
        <f t="array" ref="F217">IF(OR($D217="",$D217="NO ENCONTRADO"),"",_xlfn.XLOOKUP($D217,Productos!$E:$E,Productos!$I:$I,""))</f>
        <v/>
      </c>
      <c r="G217" s="74">
        <f t="array" ref="G217">IF(OR($D217="",$D217="NO ENCONTRADO"),"",_xlfn.XLOOKUP($D217,Productos!$E:$E,Productos!$J:$J,""))</f>
        <v/>
      </c>
      <c r="H217" s="74">
        <f t="array" ref="H217">IF(OR($D217="",$D217="NO ENCONTRADO"),"",_xlfn.XLOOKUP($D217,Productos!$E:$E,Productos!$K:$K,""))</f>
        <v/>
      </c>
      <c r="I217" s="74">
        <f t="array" ref="I217">IF(OR($D217="",$D217="NO ENCONTRADO"),"",_xlfn.XLOOKUP($D217,Productos!$E:$E,Productos!$F:$F,""))</f>
        <v/>
      </c>
      <c r="J217" s="74">
        <f>IF($C217="","",IF($D217="NO ENCONTRADO",IF(COUNTIF($C$7:$C$1000,$C217)&gt;1,"⚠️ No encontrado | Duplicado","⚠️ No encontrado"),IF(COUNTIF($C$7:$C$1000,$C217)&gt;1,"⚠️ Duplicado","Verificado")))</f>
        <v/>
      </c>
    </row>
    <row r="218" ht="15.75" customHeight="1" s="176">
      <c r="B218" s="80" t="n"/>
      <c r="C218" s="77" t="n"/>
      <c r="D218" s="74">
        <f t="array" ref="D218">IF($C218="","",IFNA(_xlfn.XLOOKUP($C218,Productos!$A:$A,Productos!$E:$E,IFNA(_xlfn.XLOOKUP(TEXT($C218,"0"),Productos!$A:$A,Productos!$E:$E,IFNA(_xlfn.XLOOKUP(IFERROR(VALUE($C218),""),Productos!$A:$A,Productos!$E:$E,_xlfn.XLOOKUP($C218,Productos!$E:$E,Productos!$E:$E,"NO ENCONTRADO")),"NO ENCONTRADO")),"NO ENCONTRADO")),"NO ENCONTRADO"))</f>
        <v/>
      </c>
      <c r="E218" s="74">
        <f t="array" ref="E218">IF(OR($D218="",$D218="NO ENCONTRADO"),"",_xlfn.XLOOKUP($D218,Productos!$E:$E,Productos!$H:$H,""))</f>
        <v/>
      </c>
      <c r="F218" s="74">
        <f t="array" ref="F218">IF(OR($D218="",$D218="NO ENCONTRADO"),"",_xlfn.XLOOKUP($D218,Productos!$E:$E,Productos!$I:$I,""))</f>
        <v/>
      </c>
      <c r="G218" s="74">
        <f t="array" ref="G218">IF(OR($D218="",$D218="NO ENCONTRADO"),"",_xlfn.XLOOKUP($D218,Productos!$E:$E,Productos!$J:$J,""))</f>
        <v/>
      </c>
      <c r="H218" s="74">
        <f t="array" ref="H218">IF(OR($D218="",$D218="NO ENCONTRADO"),"",_xlfn.XLOOKUP($D218,Productos!$E:$E,Productos!$K:$K,""))</f>
        <v/>
      </c>
      <c r="I218" s="74">
        <f t="array" ref="I218">IF(OR($D218="",$D218="NO ENCONTRADO"),"",_xlfn.XLOOKUP($D218,Productos!$E:$E,Productos!$F:$F,""))</f>
        <v/>
      </c>
      <c r="J218" s="74">
        <f>IF($C218="","",IF($D218="NO ENCONTRADO",IF(COUNTIF($C$7:$C$1000,$C218)&gt;1,"⚠️ No encontrado | Duplicado","⚠️ No encontrado"),IF(COUNTIF($C$7:$C$1000,$C218)&gt;1,"⚠️ Duplicado","Verificado")))</f>
        <v/>
      </c>
    </row>
    <row r="219" ht="15.75" customHeight="1" s="176">
      <c r="B219" s="80" t="n"/>
      <c r="C219" s="77" t="n"/>
      <c r="D219" s="74">
        <f t="array" ref="D219">IF($C219="","",IFNA(_xlfn.XLOOKUP($C219,Productos!$A:$A,Productos!$E:$E,IFNA(_xlfn.XLOOKUP(TEXT($C219,"0"),Productos!$A:$A,Productos!$E:$E,IFNA(_xlfn.XLOOKUP(IFERROR(VALUE($C219),""),Productos!$A:$A,Productos!$E:$E,_xlfn.XLOOKUP($C219,Productos!$E:$E,Productos!$E:$E,"NO ENCONTRADO")),"NO ENCONTRADO")),"NO ENCONTRADO")),"NO ENCONTRADO"))</f>
        <v/>
      </c>
      <c r="E219" s="74">
        <f t="array" ref="E219">IF(OR($D219="",$D219="NO ENCONTRADO"),"",_xlfn.XLOOKUP($D219,Productos!$E:$E,Productos!$H:$H,""))</f>
        <v/>
      </c>
      <c r="F219" s="74">
        <f t="array" ref="F219">IF(OR($D219="",$D219="NO ENCONTRADO"),"",_xlfn.XLOOKUP($D219,Productos!$E:$E,Productos!$I:$I,""))</f>
        <v/>
      </c>
      <c r="G219" s="74">
        <f t="array" ref="G219">IF(OR($D219="",$D219="NO ENCONTRADO"),"",_xlfn.XLOOKUP($D219,Productos!$E:$E,Productos!$J:$J,""))</f>
        <v/>
      </c>
      <c r="H219" s="74">
        <f t="array" ref="H219">IF(OR($D219="",$D219="NO ENCONTRADO"),"",_xlfn.XLOOKUP($D219,Productos!$E:$E,Productos!$K:$K,""))</f>
        <v/>
      </c>
      <c r="I219" s="74">
        <f t="array" ref="I219">IF(OR($D219="",$D219="NO ENCONTRADO"),"",_xlfn.XLOOKUP($D219,Productos!$E:$E,Productos!$F:$F,""))</f>
        <v/>
      </c>
      <c r="J219" s="74">
        <f>IF($C219="","",IF($D219="NO ENCONTRADO",IF(COUNTIF($C$7:$C$1000,$C219)&gt;1,"⚠️ No encontrado | Duplicado","⚠️ No encontrado"),IF(COUNTIF($C$7:$C$1000,$C219)&gt;1,"⚠️ Duplicado","Verificado")))</f>
        <v/>
      </c>
    </row>
    <row r="220" ht="15.75" customHeight="1" s="176">
      <c r="B220" s="80" t="n"/>
      <c r="C220" s="77" t="n"/>
      <c r="D220" s="74">
        <f t="array" ref="D220">IF($C220="","",IFNA(_xlfn.XLOOKUP($C220,Productos!$A:$A,Productos!$E:$E,IFNA(_xlfn.XLOOKUP(TEXT($C220,"0"),Productos!$A:$A,Productos!$E:$E,IFNA(_xlfn.XLOOKUP(IFERROR(VALUE($C220),""),Productos!$A:$A,Productos!$E:$E,_xlfn.XLOOKUP($C220,Productos!$E:$E,Productos!$E:$E,"NO ENCONTRADO")),"NO ENCONTRADO")),"NO ENCONTRADO")),"NO ENCONTRADO"))</f>
        <v/>
      </c>
      <c r="E220" s="74">
        <f t="array" ref="E220">IF(OR($D220="",$D220="NO ENCONTRADO"),"",_xlfn.XLOOKUP($D220,Productos!$E:$E,Productos!$H:$H,""))</f>
        <v/>
      </c>
      <c r="F220" s="74">
        <f t="array" ref="F220">IF(OR($D220="",$D220="NO ENCONTRADO"),"",_xlfn.XLOOKUP($D220,Productos!$E:$E,Productos!$I:$I,""))</f>
        <v/>
      </c>
      <c r="G220" s="74">
        <f t="array" ref="G220">IF(OR($D220="",$D220="NO ENCONTRADO"),"",_xlfn.XLOOKUP($D220,Productos!$E:$E,Productos!$J:$J,""))</f>
        <v/>
      </c>
      <c r="H220" s="74">
        <f t="array" ref="H220">IF(OR($D220="",$D220="NO ENCONTRADO"),"",_xlfn.XLOOKUP($D220,Productos!$E:$E,Productos!$K:$K,""))</f>
        <v/>
      </c>
      <c r="I220" s="74">
        <f t="array" ref="I220">IF(OR($D220="",$D220="NO ENCONTRADO"),"",_xlfn.XLOOKUP($D220,Productos!$E:$E,Productos!$F:$F,""))</f>
        <v/>
      </c>
      <c r="J220" s="74">
        <f>IF($C220="","",IF($D220="NO ENCONTRADO",IF(COUNTIF($C$7:$C$1000,$C220)&gt;1,"⚠️ No encontrado | Duplicado","⚠️ No encontrado"),IF(COUNTIF($C$7:$C$1000,$C220)&gt;1,"⚠️ Duplicado","Verificado")))</f>
        <v/>
      </c>
    </row>
    <row r="221" ht="15.75" customHeight="1" s="176">
      <c r="B221" s="80" t="n"/>
      <c r="C221" s="74" t="n"/>
      <c r="D221" s="74">
        <f t="array" ref="D221">IF($C221="","",IFNA(_xlfn.XLOOKUP($C221,Productos!$A:$A,Productos!$E:$E,IFNA(_xlfn.XLOOKUP(TEXT($C221,"0"),Productos!$A:$A,Productos!$E:$E,IFNA(_xlfn.XLOOKUP(IFERROR(VALUE($C221),""),Productos!$A:$A,Productos!$E:$E,_xlfn.XLOOKUP($C221,Productos!$E:$E,Productos!$E:$E,"NO ENCONTRADO")),"NO ENCONTRADO")),"NO ENCONTRADO")),"NO ENCONTRADO"))</f>
        <v/>
      </c>
      <c r="E221" s="74">
        <f t="array" ref="E221">IF(OR($D221="",$D221="NO ENCONTRADO"),"",_xlfn.XLOOKUP($D221,Productos!$E:$E,Productos!$H:$H,""))</f>
        <v/>
      </c>
      <c r="F221" s="74">
        <f t="array" ref="F221">IF(OR($D221="",$D221="NO ENCONTRADO"),"",_xlfn.XLOOKUP($D221,Productos!$E:$E,Productos!$I:$I,""))</f>
        <v/>
      </c>
      <c r="G221" s="74">
        <f t="array" ref="G221">IF(OR($D221="",$D221="NO ENCONTRADO"),"",_xlfn.XLOOKUP($D221,Productos!$E:$E,Productos!$J:$J,""))</f>
        <v/>
      </c>
      <c r="H221" s="74">
        <f t="array" ref="H221">IF(OR($D221="",$D221="NO ENCONTRADO"),"",_xlfn.XLOOKUP($D221,Productos!$E:$E,Productos!$K:$K,""))</f>
        <v/>
      </c>
      <c r="I221" s="74">
        <f t="array" ref="I221">IF(OR($D221="",$D221="NO ENCONTRADO"),"",_xlfn.XLOOKUP($D221,Productos!$E:$E,Productos!$F:$F,""))</f>
        <v/>
      </c>
      <c r="J221" s="74">
        <f>IF($C221="","",IF($D221="NO ENCONTRADO",IF(COUNTIF($C$7:$C$1000,$C221)&gt;1,"⚠️ No encontrado | Duplicado","⚠️ No encontrado"),IF(COUNTIF($C$7:$C$1000,$C221)&gt;1,"⚠️ Duplicado","Verificado")))</f>
        <v/>
      </c>
    </row>
    <row r="222" ht="15.75" customHeight="1" s="176">
      <c r="B222" s="80" t="n"/>
      <c r="C222" s="74" t="n"/>
      <c r="D222" s="74">
        <f t="array" ref="D222">IF($C222="","",IFNA(_xlfn.XLOOKUP($C222,Productos!$A:$A,Productos!$E:$E,IFNA(_xlfn.XLOOKUP(TEXT($C222,"0"),Productos!$A:$A,Productos!$E:$E,IFNA(_xlfn.XLOOKUP(IFERROR(VALUE($C222),""),Productos!$A:$A,Productos!$E:$E,_xlfn.XLOOKUP($C222,Productos!$E:$E,Productos!$E:$E,"NO ENCONTRADO")),"NO ENCONTRADO")),"NO ENCONTRADO")),"NO ENCONTRADO"))</f>
        <v/>
      </c>
      <c r="E222" s="74">
        <f t="array" ref="E222">IF(OR($D222="",$D222="NO ENCONTRADO"),"",_xlfn.XLOOKUP($D222,Productos!$E:$E,Productos!$H:$H,""))</f>
        <v/>
      </c>
      <c r="F222" s="74">
        <f t="array" ref="F222">IF(OR($D222="",$D222="NO ENCONTRADO"),"",_xlfn.XLOOKUP($D222,Productos!$E:$E,Productos!$I:$I,""))</f>
        <v/>
      </c>
      <c r="G222" s="74">
        <f t="array" ref="G222">IF(OR($D222="",$D222="NO ENCONTRADO"),"",_xlfn.XLOOKUP($D222,Productos!$E:$E,Productos!$J:$J,""))</f>
        <v/>
      </c>
      <c r="H222" s="74">
        <f t="array" ref="H222">IF(OR($D222="",$D222="NO ENCONTRADO"),"",_xlfn.XLOOKUP($D222,Productos!$E:$E,Productos!$K:$K,""))</f>
        <v/>
      </c>
      <c r="I222" s="74">
        <f t="array" ref="I222">IF(OR($D222="",$D222="NO ENCONTRADO"),"",_xlfn.XLOOKUP($D222,Productos!$E:$E,Productos!$F:$F,""))</f>
        <v/>
      </c>
      <c r="J222" s="74">
        <f>IF($C222="","",IF($D222="NO ENCONTRADO",IF(COUNTIF($C$7:$C$1000,$C222)&gt;1,"⚠️ No encontrado | Duplicado","⚠️ No encontrado"),IF(COUNTIF($C$7:$C$1000,$C222)&gt;1,"⚠️ Duplicado","Verificado")))</f>
        <v/>
      </c>
    </row>
    <row r="223" ht="15.75" customHeight="1" s="176">
      <c r="B223" s="80" t="n"/>
      <c r="C223" s="74" t="n"/>
      <c r="D223" s="74">
        <f t="array" ref="D223">IF($C223="","",IFNA(_xlfn.XLOOKUP($C223,Productos!$A:$A,Productos!$E:$E,IFNA(_xlfn.XLOOKUP(TEXT($C223,"0"),Productos!$A:$A,Productos!$E:$E,IFNA(_xlfn.XLOOKUP(IFERROR(VALUE($C223),""),Productos!$A:$A,Productos!$E:$E,_xlfn.XLOOKUP($C223,Productos!$E:$E,Productos!$E:$E,"NO ENCONTRADO")),"NO ENCONTRADO")),"NO ENCONTRADO")),"NO ENCONTRADO"))</f>
        <v/>
      </c>
      <c r="E223" s="74">
        <f t="array" ref="E223">IF(OR($D223="",$D223="NO ENCONTRADO"),"",_xlfn.XLOOKUP($D223,Productos!$E:$E,Productos!$H:$H,""))</f>
        <v/>
      </c>
      <c r="F223" s="74">
        <f t="array" ref="F223">IF(OR($D223="",$D223="NO ENCONTRADO"),"",_xlfn.XLOOKUP($D223,Productos!$E:$E,Productos!$I:$I,""))</f>
        <v/>
      </c>
      <c r="G223" s="74">
        <f t="array" ref="G223">IF(OR($D223="",$D223="NO ENCONTRADO"),"",_xlfn.XLOOKUP($D223,Productos!$E:$E,Productos!$J:$J,""))</f>
        <v/>
      </c>
      <c r="H223" s="74">
        <f t="array" ref="H223">IF(OR($D223="",$D223="NO ENCONTRADO"),"",_xlfn.XLOOKUP($D223,Productos!$E:$E,Productos!$K:$K,""))</f>
        <v/>
      </c>
      <c r="I223" s="74">
        <f t="array" ref="I223">IF(OR($D223="",$D223="NO ENCONTRADO"),"",_xlfn.XLOOKUP($D223,Productos!$E:$E,Productos!$F:$F,""))</f>
        <v/>
      </c>
      <c r="J223" s="74">
        <f>IF($C223="","",IF($D223="NO ENCONTRADO",IF(COUNTIF($C$7:$C$1000,$C223)&gt;1,"⚠️ No encontrado | Duplicado","⚠️ No encontrado"),IF(COUNTIF($C$7:$C$1000,$C223)&gt;1,"⚠️ Duplicado","Verificado")))</f>
        <v/>
      </c>
    </row>
    <row r="224" ht="15.75" customHeight="1" s="176">
      <c r="B224" s="80" t="n"/>
      <c r="C224" s="74" t="n"/>
      <c r="D224" s="74">
        <f t="array" ref="D224">IF($C224="","",IFNA(_xlfn.XLOOKUP($C224,Productos!$A:$A,Productos!$E:$E,IFNA(_xlfn.XLOOKUP(TEXT($C224,"0"),Productos!$A:$A,Productos!$E:$E,IFNA(_xlfn.XLOOKUP(IFERROR(VALUE($C224),""),Productos!$A:$A,Productos!$E:$E,_xlfn.XLOOKUP($C224,Productos!$E:$E,Productos!$E:$E,"NO ENCONTRADO")),"NO ENCONTRADO")),"NO ENCONTRADO")),"NO ENCONTRADO"))</f>
        <v/>
      </c>
      <c r="E224" s="74">
        <f t="array" ref="E224">IF(OR($D224="",$D224="NO ENCONTRADO"),"",_xlfn.XLOOKUP($D224,Productos!$E:$E,Productos!$H:$H,""))</f>
        <v/>
      </c>
      <c r="F224" s="74">
        <f t="array" ref="F224">IF(OR($D224="",$D224="NO ENCONTRADO"),"",_xlfn.XLOOKUP($D224,Productos!$E:$E,Productos!$I:$I,""))</f>
        <v/>
      </c>
      <c r="G224" s="74">
        <f t="array" ref="G224">IF(OR($D224="",$D224="NO ENCONTRADO"),"",_xlfn.XLOOKUP($D224,Productos!$E:$E,Productos!$J:$J,""))</f>
        <v/>
      </c>
      <c r="H224" s="74">
        <f t="array" ref="H224">IF(OR($D224="",$D224="NO ENCONTRADO"),"",_xlfn.XLOOKUP($D224,Productos!$E:$E,Productos!$K:$K,""))</f>
        <v/>
      </c>
      <c r="I224" s="74">
        <f t="array" ref="I224">IF(OR($D224="",$D224="NO ENCONTRADO"),"",_xlfn.XLOOKUP($D224,Productos!$E:$E,Productos!$F:$F,""))</f>
        <v/>
      </c>
      <c r="J224" s="74">
        <f>IF($C224="","",IF($D224="NO ENCONTRADO",IF(COUNTIF($C$7:$C$1000,$C224)&gt;1,"⚠️ No encontrado | Duplicado","⚠️ No encontrado"),IF(COUNTIF($C$7:$C$1000,$C224)&gt;1,"⚠️ Duplicado","Verificado")))</f>
        <v/>
      </c>
    </row>
    <row r="225" ht="15.75" customHeight="1" s="176">
      <c r="B225" s="80" t="n"/>
      <c r="C225" s="74" t="n"/>
      <c r="D225" s="74">
        <f t="array" ref="D225">IF($C225="","",IFNA(_xlfn.XLOOKUP($C225,Productos!$A:$A,Productos!$E:$E,IFNA(_xlfn.XLOOKUP(TEXT($C225,"0"),Productos!$A:$A,Productos!$E:$E,IFNA(_xlfn.XLOOKUP(IFERROR(VALUE($C225),""),Productos!$A:$A,Productos!$E:$E,_xlfn.XLOOKUP($C225,Productos!$E:$E,Productos!$E:$E,"NO ENCONTRADO")),"NO ENCONTRADO")),"NO ENCONTRADO")),"NO ENCONTRADO"))</f>
        <v/>
      </c>
      <c r="E225" s="74">
        <f t="array" ref="E225">IF(OR($D225="",$D225="NO ENCONTRADO"),"",_xlfn.XLOOKUP($D225,Productos!$E:$E,Productos!$H:$H,""))</f>
        <v/>
      </c>
      <c r="F225" s="74">
        <f t="array" ref="F225">IF(OR($D225="",$D225="NO ENCONTRADO"),"",_xlfn.XLOOKUP($D225,Productos!$E:$E,Productos!$I:$I,""))</f>
        <v/>
      </c>
      <c r="G225" s="74">
        <f t="array" ref="G225">IF(OR($D225="",$D225="NO ENCONTRADO"),"",_xlfn.XLOOKUP($D225,Productos!$E:$E,Productos!$J:$J,""))</f>
        <v/>
      </c>
      <c r="H225" s="74">
        <f t="array" ref="H225">IF(OR($D225="",$D225="NO ENCONTRADO"),"",_xlfn.XLOOKUP($D225,Productos!$E:$E,Productos!$K:$K,""))</f>
        <v/>
      </c>
      <c r="I225" s="74">
        <f t="array" ref="I225">IF(OR($D225="",$D225="NO ENCONTRADO"),"",_xlfn.XLOOKUP($D225,Productos!$E:$E,Productos!$F:$F,""))</f>
        <v/>
      </c>
      <c r="J225" s="74">
        <f>IF($C225="","",IF($D225="NO ENCONTRADO",IF(COUNTIF($C$7:$C$1000,$C225)&gt;1,"⚠️ No encontrado | Duplicado","⚠️ No encontrado"),IF(COUNTIF($C$7:$C$1000,$C225)&gt;1,"⚠️ Duplicado","Verificado")))</f>
        <v/>
      </c>
    </row>
    <row r="226" ht="15.75" customHeight="1" s="176">
      <c r="B226" s="80" t="n"/>
      <c r="C226" s="74" t="n"/>
      <c r="D226" s="74">
        <f t="array" ref="D226">IF($C226="","",IFNA(_xlfn.XLOOKUP($C226,Productos!$A:$A,Productos!$E:$E,IFNA(_xlfn.XLOOKUP(TEXT($C226,"0"),Productos!$A:$A,Productos!$E:$E,IFNA(_xlfn.XLOOKUP(IFERROR(VALUE($C226),""),Productos!$A:$A,Productos!$E:$E,_xlfn.XLOOKUP($C226,Productos!$E:$E,Productos!$E:$E,"NO ENCONTRADO")),"NO ENCONTRADO")),"NO ENCONTRADO")),"NO ENCONTRADO"))</f>
        <v/>
      </c>
      <c r="E226" s="74">
        <f t="array" ref="E226">IF(OR($D226="",$D226="NO ENCONTRADO"),"",_xlfn.XLOOKUP($D226,Productos!$E:$E,Productos!$H:$H,""))</f>
        <v/>
      </c>
      <c r="F226" s="74">
        <f t="array" ref="F226">IF(OR($D226="",$D226="NO ENCONTRADO"),"",_xlfn.XLOOKUP($D226,Productos!$E:$E,Productos!$I:$I,""))</f>
        <v/>
      </c>
      <c r="G226" s="74">
        <f t="array" ref="G226">IF(OR($D226="",$D226="NO ENCONTRADO"),"",_xlfn.XLOOKUP($D226,Productos!$E:$E,Productos!$J:$J,""))</f>
        <v/>
      </c>
      <c r="H226" s="74">
        <f t="array" ref="H226">IF(OR($D226="",$D226="NO ENCONTRADO"),"",_xlfn.XLOOKUP($D226,Productos!$E:$E,Productos!$K:$K,""))</f>
        <v/>
      </c>
      <c r="I226" s="74">
        <f t="array" ref="I226">IF(OR($D226="",$D226="NO ENCONTRADO"),"",_xlfn.XLOOKUP($D226,Productos!$E:$E,Productos!$F:$F,""))</f>
        <v/>
      </c>
      <c r="J226" s="74">
        <f>IF($C226="","",IF($D226="NO ENCONTRADO",IF(COUNTIF($C$7:$C$1000,$C226)&gt;1,"⚠️ No encontrado | Duplicado","⚠️ No encontrado"),IF(COUNTIF($C$7:$C$1000,$C226)&gt;1,"⚠️ Duplicado","Verificado")))</f>
        <v/>
      </c>
    </row>
    <row r="227" ht="15.75" customHeight="1" s="176">
      <c r="B227" s="80" t="n"/>
      <c r="C227" s="74" t="n"/>
      <c r="D227" s="74">
        <f t="array" ref="D227">IF($C227="","",IFNA(_xlfn.XLOOKUP($C227,Productos!$A:$A,Productos!$E:$E,IFNA(_xlfn.XLOOKUP(TEXT($C227,"0"),Productos!$A:$A,Productos!$E:$E,IFNA(_xlfn.XLOOKUP(IFERROR(VALUE($C227),""),Productos!$A:$A,Productos!$E:$E,_xlfn.XLOOKUP($C227,Productos!$E:$E,Productos!$E:$E,"NO ENCONTRADO")),"NO ENCONTRADO")),"NO ENCONTRADO")),"NO ENCONTRADO"))</f>
        <v/>
      </c>
      <c r="E227" s="74">
        <f t="array" ref="E227">IF(OR($D227="",$D227="NO ENCONTRADO"),"",_xlfn.XLOOKUP($D227,Productos!$E:$E,Productos!$H:$H,""))</f>
        <v/>
      </c>
      <c r="F227" s="74">
        <f t="array" ref="F227">IF(OR($D227="",$D227="NO ENCONTRADO"),"",_xlfn.XLOOKUP($D227,Productos!$E:$E,Productos!$I:$I,""))</f>
        <v/>
      </c>
      <c r="G227" s="74">
        <f t="array" ref="G227">IF(OR($D227="",$D227="NO ENCONTRADO"),"",_xlfn.XLOOKUP($D227,Productos!$E:$E,Productos!$J:$J,""))</f>
        <v/>
      </c>
      <c r="H227" s="74">
        <f t="array" ref="H227">IF(OR($D227="",$D227="NO ENCONTRADO"),"",_xlfn.XLOOKUP($D227,Productos!$E:$E,Productos!$K:$K,""))</f>
        <v/>
      </c>
      <c r="I227" s="74">
        <f t="array" ref="I227">IF(OR($D227="",$D227="NO ENCONTRADO"),"",_xlfn.XLOOKUP($D227,Productos!$E:$E,Productos!$F:$F,""))</f>
        <v/>
      </c>
      <c r="J227" s="74">
        <f>IF($C227="","",IF($D227="NO ENCONTRADO",IF(COUNTIF($C$7:$C$1000,$C227)&gt;1,"⚠️ No encontrado | Duplicado","⚠️ No encontrado"),IF(COUNTIF($C$7:$C$1000,$C227)&gt;1,"⚠️ Duplicado","Verificado")))</f>
        <v/>
      </c>
    </row>
    <row r="228" ht="15.75" customHeight="1" s="176">
      <c r="B228" s="80" t="n"/>
      <c r="C228" s="74" t="n"/>
      <c r="D228" s="74">
        <f t="array" ref="D228">IF($C228="","",IFNA(_xlfn.XLOOKUP($C228,Productos!$A:$A,Productos!$E:$E,IFNA(_xlfn.XLOOKUP(TEXT($C228,"0"),Productos!$A:$A,Productos!$E:$E,IFNA(_xlfn.XLOOKUP(IFERROR(VALUE($C228),""),Productos!$A:$A,Productos!$E:$E,_xlfn.XLOOKUP($C228,Productos!$E:$E,Productos!$E:$E,"NO ENCONTRADO")),"NO ENCONTRADO")),"NO ENCONTRADO")),"NO ENCONTRADO"))</f>
        <v/>
      </c>
      <c r="E228" s="74">
        <f t="array" ref="E228">IF(OR($D228="",$D228="NO ENCONTRADO"),"",_xlfn.XLOOKUP($D228,Productos!$E:$E,Productos!$H:$H,""))</f>
        <v/>
      </c>
      <c r="F228" s="74">
        <f t="array" ref="F228">IF(OR($D228="",$D228="NO ENCONTRADO"),"",_xlfn.XLOOKUP($D228,Productos!$E:$E,Productos!$I:$I,""))</f>
        <v/>
      </c>
      <c r="G228" s="74">
        <f t="array" ref="G228">IF(OR($D228="",$D228="NO ENCONTRADO"),"",_xlfn.XLOOKUP($D228,Productos!$E:$E,Productos!$J:$J,""))</f>
        <v/>
      </c>
      <c r="H228" s="74">
        <f t="array" ref="H228">IF(OR($D228="",$D228="NO ENCONTRADO"),"",_xlfn.XLOOKUP($D228,Productos!$E:$E,Productos!$K:$K,""))</f>
        <v/>
      </c>
      <c r="I228" s="74">
        <f t="array" ref="I228">IF(OR($D228="",$D228="NO ENCONTRADO"),"",_xlfn.XLOOKUP($D228,Productos!$E:$E,Productos!$F:$F,""))</f>
        <v/>
      </c>
      <c r="J228" s="74">
        <f>IF($C228="","",IF($D228="NO ENCONTRADO",IF(COUNTIF($C$7:$C$1000,$C228)&gt;1,"⚠️ No encontrado | Duplicado","⚠️ No encontrado"),IF(COUNTIF($C$7:$C$1000,$C228)&gt;1,"⚠️ Duplicado","Verificado")))</f>
        <v/>
      </c>
    </row>
    <row r="229" ht="15.75" customHeight="1" s="176">
      <c r="B229" s="80" t="n"/>
      <c r="C229" s="74" t="n"/>
      <c r="D229" s="74">
        <f t="array" ref="D229">IF($C229="","",IFNA(_xlfn.XLOOKUP($C229,Productos!$A:$A,Productos!$E:$E,IFNA(_xlfn.XLOOKUP(TEXT($C229,"0"),Productos!$A:$A,Productos!$E:$E,IFNA(_xlfn.XLOOKUP(IFERROR(VALUE($C229),""),Productos!$A:$A,Productos!$E:$E,_xlfn.XLOOKUP($C229,Productos!$E:$E,Productos!$E:$E,"NO ENCONTRADO")),"NO ENCONTRADO")),"NO ENCONTRADO")),"NO ENCONTRADO"))</f>
        <v/>
      </c>
      <c r="E229" s="74">
        <f t="array" ref="E229">IF(OR($D229="",$D229="NO ENCONTRADO"),"",_xlfn.XLOOKUP($D229,Productos!$E:$E,Productos!$H:$H,""))</f>
        <v/>
      </c>
      <c r="F229" s="74">
        <f t="array" ref="F229">IF(OR($D229="",$D229="NO ENCONTRADO"),"",_xlfn.XLOOKUP($D229,Productos!$E:$E,Productos!$I:$I,""))</f>
        <v/>
      </c>
      <c r="G229" s="74">
        <f t="array" ref="G229">IF(OR($D229="",$D229="NO ENCONTRADO"),"",_xlfn.XLOOKUP($D229,Productos!$E:$E,Productos!$J:$J,""))</f>
        <v/>
      </c>
      <c r="H229" s="74">
        <f t="array" ref="H229">IF(OR($D229="",$D229="NO ENCONTRADO"),"",_xlfn.XLOOKUP($D229,Productos!$E:$E,Productos!$K:$K,""))</f>
        <v/>
      </c>
      <c r="I229" s="74">
        <f t="array" ref="I229">IF(OR($D229="",$D229="NO ENCONTRADO"),"",_xlfn.XLOOKUP($D229,Productos!$E:$E,Productos!$F:$F,""))</f>
        <v/>
      </c>
      <c r="J229" s="74">
        <f>IF($C229="","",IF($D229="NO ENCONTRADO",IF(COUNTIF($C$7:$C$1000,$C229)&gt;1,"⚠️ No encontrado | Duplicado","⚠️ No encontrado"),IF(COUNTIF($C$7:$C$1000,$C229)&gt;1,"⚠️ Duplicado","Verificado")))</f>
        <v/>
      </c>
    </row>
    <row r="230" ht="15.75" customHeight="1" s="176">
      <c r="B230" s="80" t="n"/>
      <c r="C230" s="74" t="n"/>
      <c r="D230" s="74">
        <f t="array" ref="D230">IF($C230="","",IFNA(_xlfn.XLOOKUP($C230,Productos!$A:$A,Productos!$E:$E,IFNA(_xlfn.XLOOKUP(TEXT($C230,"0"),Productos!$A:$A,Productos!$E:$E,IFNA(_xlfn.XLOOKUP(IFERROR(VALUE($C230),""),Productos!$A:$A,Productos!$E:$E,_xlfn.XLOOKUP($C230,Productos!$E:$E,Productos!$E:$E,"NO ENCONTRADO")),"NO ENCONTRADO")),"NO ENCONTRADO")),"NO ENCONTRADO"))</f>
        <v/>
      </c>
      <c r="E230" s="74">
        <f t="array" ref="E230">IF(OR($D230="",$D230="NO ENCONTRADO"),"",_xlfn.XLOOKUP($D230,Productos!$E:$E,Productos!$H:$H,""))</f>
        <v/>
      </c>
      <c r="F230" s="74">
        <f t="array" ref="F230">IF(OR($D230="",$D230="NO ENCONTRADO"),"",_xlfn.XLOOKUP($D230,Productos!$E:$E,Productos!$I:$I,""))</f>
        <v/>
      </c>
      <c r="G230" s="74">
        <f t="array" ref="G230">IF(OR($D230="",$D230="NO ENCONTRADO"),"",_xlfn.XLOOKUP($D230,Productos!$E:$E,Productos!$J:$J,""))</f>
        <v/>
      </c>
      <c r="H230" s="74">
        <f t="array" ref="H230">IF(OR($D230="",$D230="NO ENCONTRADO"),"",_xlfn.XLOOKUP($D230,Productos!$E:$E,Productos!$K:$K,""))</f>
        <v/>
      </c>
      <c r="I230" s="74">
        <f t="array" ref="I230">IF(OR($D230="",$D230="NO ENCONTRADO"),"",_xlfn.XLOOKUP($D230,Productos!$E:$E,Productos!$F:$F,""))</f>
        <v/>
      </c>
      <c r="J230" s="74">
        <f>IF($C230="","",IF($D230="NO ENCONTRADO",IF(COUNTIF($C$7:$C$1000,$C230)&gt;1,"⚠️ No encontrado | Duplicado","⚠️ No encontrado"),IF(COUNTIF($C$7:$C$1000,$C230)&gt;1,"⚠️ Duplicado","Verificado")))</f>
        <v/>
      </c>
    </row>
    <row r="231" ht="15.75" customHeight="1" s="176">
      <c r="B231" s="80" t="n"/>
      <c r="C231" s="74" t="n"/>
      <c r="D231" s="74">
        <f t="array" ref="D231">IF($C231="","",IFNA(_xlfn.XLOOKUP($C231,Productos!$A:$A,Productos!$E:$E,IFNA(_xlfn.XLOOKUP(TEXT($C231,"0"),Productos!$A:$A,Productos!$E:$E,IFNA(_xlfn.XLOOKUP(IFERROR(VALUE($C231),""),Productos!$A:$A,Productos!$E:$E,_xlfn.XLOOKUP($C231,Productos!$E:$E,Productos!$E:$E,"NO ENCONTRADO")),"NO ENCONTRADO")),"NO ENCONTRADO")),"NO ENCONTRADO"))</f>
        <v/>
      </c>
      <c r="E231" s="74">
        <f t="array" ref="E231">IF(OR($D231="",$D231="NO ENCONTRADO"),"",_xlfn.XLOOKUP($D231,Productos!$E:$E,Productos!$H:$H,""))</f>
        <v/>
      </c>
      <c r="F231" s="74">
        <f t="array" ref="F231">IF(OR($D231="",$D231="NO ENCONTRADO"),"",_xlfn.XLOOKUP($D231,Productos!$E:$E,Productos!$I:$I,""))</f>
        <v/>
      </c>
      <c r="G231" s="74">
        <f t="array" ref="G231">IF(OR($D231="",$D231="NO ENCONTRADO"),"",_xlfn.XLOOKUP($D231,Productos!$E:$E,Productos!$J:$J,""))</f>
        <v/>
      </c>
      <c r="H231" s="74">
        <f t="array" ref="H231">IF(OR($D231="",$D231="NO ENCONTRADO"),"",_xlfn.XLOOKUP($D231,Productos!$E:$E,Productos!$K:$K,""))</f>
        <v/>
      </c>
      <c r="I231" s="74">
        <f t="array" ref="I231">IF(OR($D231="",$D231="NO ENCONTRADO"),"",_xlfn.XLOOKUP($D231,Productos!$E:$E,Productos!$F:$F,""))</f>
        <v/>
      </c>
      <c r="J231" s="74">
        <f>IF($C231="","",IF($D231="NO ENCONTRADO",IF(COUNTIF($C$7:$C$1000,$C231)&gt;1,"⚠️ No encontrado | Duplicado","⚠️ No encontrado"),IF(COUNTIF($C$7:$C$1000,$C231)&gt;1,"⚠️ Duplicado","Verificado")))</f>
        <v/>
      </c>
    </row>
    <row r="232" ht="15.75" customHeight="1" s="176">
      <c r="B232" s="80" t="n"/>
      <c r="C232" s="74" t="n"/>
      <c r="D232" s="74">
        <f t="array" ref="D232">IF($C232="","",IFNA(_xlfn.XLOOKUP($C232,Productos!$A:$A,Productos!$E:$E,IFNA(_xlfn.XLOOKUP(TEXT($C232,"0"),Productos!$A:$A,Productos!$E:$E,IFNA(_xlfn.XLOOKUP(IFERROR(VALUE($C232),""),Productos!$A:$A,Productos!$E:$E,_xlfn.XLOOKUP($C232,Productos!$E:$E,Productos!$E:$E,"NO ENCONTRADO")),"NO ENCONTRADO")),"NO ENCONTRADO")),"NO ENCONTRADO"))</f>
        <v/>
      </c>
      <c r="E232" s="74">
        <f t="array" ref="E232">IF(OR($D232="",$D232="NO ENCONTRADO"),"",_xlfn.XLOOKUP($D232,Productos!$E:$E,Productos!$H:$H,""))</f>
        <v/>
      </c>
      <c r="F232" s="74">
        <f t="array" ref="F232">IF(OR($D232="",$D232="NO ENCONTRADO"),"",_xlfn.XLOOKUP($D232,Productos!$E:$E,Productos!$I:$I,""))</f>
        <v/>
      </c>
      <c r="G232" s="74">
        <f t="array" ref="G232">IF(OR($D232="",$D232="NO ENCONTRADO"),"",_xlfn.XLOOKUP($D232,Productos!$E:$E,Productos!$J:$J,""))</f>
        <v/>
      </c>
      <c r="H232" s="74">
        <f t="array" ref="H232">IF(OR($D232="",$D232="NO ENCONTRADO"),"",_xlfn.XLOOKUP($D232,Productos!$E:$E,Productos!$K:$K,""))</f>
        <v/>
      </c>
      <c r="I232" s="74">
        <f t="array" ref="I232">IF(OR($D232="",$D232="NO ENCONTRADO"),"",_xlfn.XLOOKUP($D232,Productos!$E:$E,Productos!$F:$F,""))</f>
        <v/>
      </c>
      <c r="J232" s="74">
        <f>IF($C232="","",IF($D232="NO ENCONTRADO",IF(COUNTIF($C$7:$C$1000,$C232)&gt;1,"⚠️ No encontrado | Duplicado","⚠️ No encontrado"),IF(COUNTIF($C$7:$C$1000,$C232)&gt;1,"⚠️ Duplicado","Verificado")))</f>
        <v/>
      </c>
    </row>
    <row r="233" ht="15.75" customHeight="1" s="176">
      <c r="B233" s="80" t="n"/>
      <c r="C233" s="74" t="n"/>
      <c r="D233" s="74">
        <f t="array" ref="D233">IF($C233="","",IFNA(_xlfn.XLOOKUP($C233,Productos!$A:$A,Productos!$E:$E,IFNA(_xlfn.XLOOKUP(TEXT($C233,"0"),Productos!$A:$A,Productos!$E:$E,IFNA(_xlfn.XLOOKUP(IFERROR(VALUE($C233),""),Productos!$A:$A,Productos!$E:$E,_xlfn.XLOOKUP($C233,Productos!$E:$E,Productos!$E:$E,"NO ENCONTRADO")),"NO ENCONTRADO")),"NO ENCONTRADO")),"NO ENCONTRADO"))</f>
        <v/>
      </c>
      <c r="E233" s="74">
        <f t="array" ref="E233">IF(OR($D233="",$D233="NO ENCONTRADO"),"",_xlfn.XLOOKUP($D233,Productos!$E:$E,Productos!$H:$H,""))</f>
        <v/>
      </c>
      <c r="F233" s="74">
        <f t="array" ref="F233">IF(OR($D233="",$D233="NO ENCONTRADO"),"",_xlfn.XLOOKUP($D233,Productos!$E:$E,Productos!$I:$I,""))</f>
        <v/>
      </c>
      <c r="G233" s="74">
        <f t="array" ref="G233">IF(OR($D233="",$D233="NO ENCONTRADO"),"",_xlfn.XLOOKUP($D233,Productos!$E:$E,Productos!$J:$J,""))</f>
        <v/>
      </c>
      <c r="H233" s="74">
        <f t="array" ref="H233">IF(OR($D233="",$D233="NO ENCONTRADO"),"",_xlfn.XLOOKUP($D233,Productos!$E:$E,Productos!$K:$K,""))</f>
        <v/>
      </c>
      <c r="I233" s="74">
        <f t="array" ref="I233">IF(OR($D233="",$D233="NO ENCONTRADO"),"",_xlfn.XLOOKUP($D233,Productos!$E:$E,Productos!$F:$F,""))</f>
        <v/>
      </c>
      <c r="J233" s="74">
        <f>IF($C233="","",IF($D233="NO ENCONTRADO",IF(COUNTIF($C$7:$C$1000,$C233)&gt;1,"⚠️ No encontrado | Duplicado","⚠️ No encontrado"),IF(COUNTIF($C$7:$C$1000,$C233)&gt;1,"⚠️ Duplicado","Verificado")))</f>
        <v/>
      </c>
    </row>
    <row r="234" ht="15.75" customHeight="1" s="176">
      <c r="B234" s="80" t="n"/>
      <c r="C234" s="74" t="n"/>
      <c r="D234" s="74">
        <f t="array" ref="D234">IF($C234="","",IFNA(_xlfn.XLOOKUP($C234,Productos!$A:$A,Productos!$E:$E,IFNA(_xlfn.XLOOKUP(TEXT($C234,"0"),Productos!$A:$A,Productos!$E:$E,IFNA(_xlfn.XLOOKUP(IFERROR(VALUE($C234),""),Productos!$A:$A,Productos!$E:$E,_xlfn.XLOOKUP($C234,Productos!$E:$E,Productos!$E:$E,"NO ENCONTRADO")),"NO ENCONTRADO")),"NO ENCONTRADO")),"NO ENCONTRADO"))</f>
        <v/>
      </c>
      <c r="E234" s="74">
        <f t="array" ref="E234">IF(OR($D234="",$D234="NO ENCONTRADO"),"",_xlfn.XLOOKUP($D234,Productos!$E:$E,Productos!$H:$H,""))</f>
        <v/>
      </c>
      <c r="F234" s="74">
        <f t="array" ref="F234">IF(OR($D234="",$D234="NO ENCONTRADO"),"",_xlfn.XLOOKUP($D234,Productos!$E:$E,Productos!$I:$I,""))</f>
        <v/>
      </c>
      <c r="G234" s="74">
        <f t="array" ref="G234">IF(OR($D234="",$D234="NO ENCONTRADO"),"",_xlfn.XLOOKUP($D234,Productos!$E:$E,Productos!$J:$J,""))</f>
        <v/>
      </c>
      <c r="H234" s="74">
        <f t="array" ref="H234">IF(OR($D234="",$D234="NO ENCONTRADO"),"",_xlfn.XLOOKUP($D234,Productos!$E:$E,Productos!$K:$K,""))</f>
        <v/>
      </c>
      <c r="I234" s="74">
        <f t="array" ref="I234">IF(OR($D234="",$D234="NO ENCONTRADO"),"",_xlfn.XLOOKUP($D234,Productos!$E:$E,Productos!$F:$F,""))</f>
        <v/>
      </c>
      <c r="J234" s="74">
        <f>IF($C234="","",IF($D234="NO ENCONTRADO",IF(COUNTIF($C$7:$C$1000,$C234)&gt;1,"⚠️ No encontrado | Duplicado","⚠️ No encontrado"),IF(COUNTIF($C$7:$C$1000,$C234)&gt;1,"⚠️ Duplicado","Verificado")))</f>
        <v/>
      </c>
    </row>
    <row r="235" ht="15.75" customHeight="1" s="176">
      <c r="B235" s="80" t="n"/>
      <c r="C235" s="74" t="n"/>
      <c r="D235" s="74">
        <f t="array" ref="D235">IF($C235="","",IFNA(_xlfn.XLOOKUP($C235,Productos!$A:$A,Productos!$E:$E,IFNA(_xlfn.XLOOKUP(TEXT($C235,"0"),Productos!$A:$A,Productos!$E:$E,IFNA(_xlfn.XLOOKUP(IFERROR(VALUE($C235),""),Productos!$A:$A,Productos!$E:$E,_xlfn.XLOOKUP($C235,Productos!$E:$E,Productos!$E:$E,"NO ENCONTRADO")),"NO ENCONTRADO")),"NO ENCONTRADO")),"NO ENCONTRADO"))</f>
        <v/>
      </c>
      <c r="E235" s="74">
        <f t="array" ref="E235">IF(OR($D235="",$D235="NO ENCONTRADO"),"",_xlfn.XLOOKUP($D235,Productos!$E:$E,Productos!$H:$H,""))</f>
        <v/>
      </c>
      <c r="F235" s="74">
        <f t="array" ref="F235">IF(OR($D235="",$D235="NO ENCONTRADO"),"",_xlfn.XLOOKUP($D235,Productos!$E:$E,Productos!$I:$I,""))</f>
        <v/>
      </c>
      <c r="G235" s="74">
        <f t="array" ref="G235">IF(OR($D235="",$D235="NO ENCONTRADO"),"",_xlfn.XLOOKUP($D235,Productos!$E:$E,Productos!$J:$J,""))</f>
        <v/>
      </c>
      <c r="H235" s="74">
        <f t="array" ref="H235">IF(OR($D235="",$D235="NO ENCONTRADO"),"",_xlfn.XLOOKUP($D235,Productos!$E:$E,Productos!$K:$K,""))</f>
        <v/>
      </c>
      <c r="I235" s="74">
        <f t="array" ref="I235">IF(OR($D235="",$D235="NO ENCONTRADO"),"",_xlfn.XLOOKUP($D235,Productos!$E:$E,Productos!$F:$F,""))</f>
        <v/>
      </c>
      <c r="J235" s="74">
        <f>IF($C235="","",IF($D235="NO ENCONTRADO",IF(COUNTIF($C$7:$C$1000,$C235)&gt;1,"⚠️ No encontrado | Duplicado","⚠️ No encontrado"),IF(COUNTIF($C$7:$C$1000,$C235)&gt;1,"⚠️ Duplicado","Verificado")))</f>
        <v/>
      </c>
    </row>
    <row r="236" ht="15.75" customHeight="1" s="176">
      <c r="B236" s="80" t="n"/>
      <c r="C236" s="74" t="n"/>
      <c r="D236" s="74">
        <f t="array" ref="D236">IF($C236="","",IFNA(_xlfn.XLOOKUP($C236,Productos!$A:$A,Productos!$E:$E,IFNA(_xlfn.XLOOKUP(TEXT($C236,"0"),Productos!$A:$A,Productos!$E:$E,IFNA(_xlfn.XLOOKUP(IFERROR(VALUE($C236),""),Productos!$A:$A,Productos!$E:$E,_xlfn.XLOOKUP($C236,Productos!$E:$E,Productos!$E:$E,"NO ENCONTRADO")),"NO ENCONTRADO")),"NO ENCONTRADO")),"NO ENCONTRADO"))</f>
        <v/>
      </c>
      <c r="E236" s="74">
        <f t="array" ref="E236">IF(OR($D236="",$D236="NO ENCONTRADO"),"",_xlfn.XLOOKUP($D236,Productos!$E:$E,Productos!$H:$H,""))</f>
        <v/>
      </c>
      <c r="F236" s="74">
        <f t="array" ref="F236">IF(OR($D236="",$D236="NO ENCONTRADO"),"",_xlfn.XLOOKUP($D236,Productos!$E:$E,Productos!$I:$I,""))</f>
        <v/>
      </c>
      <c r="G236" s="74">
        <f t="array" ref="G236">IF(OR($D236="",$D236="NO ENCONTRADO"),"",_xlfn.XLOOKUP($D236,Productos!$E:$E,Productos!$J:$J,""))</f>
        <v/>
      </c>
      <c r="H236" s="74">
        <f t="array" ref="H236">IF(OR($D236="",$D236="NO ENCONTRADO"),"",_xlfn.XLOOKUP($D236,Productos!$E:$E,Productos!$K:$K,""))</f>
        <v/>
      </c>
      <c r="I236" s="74">
        <f t="array" ref="I236">IF(OR($D236="",$D236="NO ENCONTRADO"),"",_xlfn.XLOOKUP($D236,Productos!$E:$E,Productos!$F:$F,""))</f>
        <v/>
      </c>
      <c r="J236" s="74">
        <f>IF($C236="","",IF($D236="NO ENCONTRADO",IF(COUNTIF($C$7:$C$1000,$C236)&gt;1,"⚠️ No encontrado | Duplicado","⚠️ No encontrado"),IF(COUNTIF($C$7:$C$1000,$C236)&gt;1,"⚠️ Duplicado","Verificado")))</f>
        <v/>
      </c>
    </row>
    <row r="237" ht="15.75" customHeight="1" s="176">
      <c r="B237" s="80" t="n"/>
      <c r="C237" s="74" t="n"/>
      <c r="D237" s="74">
        <f t="array" ref="D237">IF($C237="","",IFNA(_xlfn.XLOOKUP($C237,Productos!$A:$A,Productos!$E:$E,IFNA(_xlfn.XLOOKUP(TEXT($C237,"0"),Productos!$A:$A,Productos!$E:$E,IFNA(_xlfn.XLOOKUP(IFERROR(VALUE($C237),""),Productos!$A:$A,Productos!$E:$E,_xlfn.XLOOKUP($C237,Productos!$E:$E,Productos!$E:$E,"NO ENCONTRADO")),"NO ENCONTRADO")),"NO ENCONTRADO")),"NO ENCONTRADO"))</f>
        <v/>
      </c>
      <c r="E237" s="74">
        <f t="array" ref="E237">IF(OR($D237="",$D237="NO ENCONTRADO"),"",_xlfn.XLOOKUP($D237,Productos!$E:$E,Productos!$H:$H,""))</f>
        <v/>
      </c>
      <c r="F237" s="74">
        <f t="array" ref="F237">IF(OR($D237="",$D237="NO ENCONTRADO"),"",_xlfn.XLOOKUP($D237,Productos!$E:$E,Productos!$I:$I,""))</f>
        <v/>
      </c>
      <c r="G237" s="74">
        <f t="array" ref="G237">IF(OR($D237="",$D237="NO ENCONTRADO"),"",_xlfn.XLOOKUP($D237,Productos!$E:$E,Productos!$J:$J,""))</f>
        <v/>
      </c>
      <c r="H237" s="74">
        <f t="array" ref="H237">IF(OR($D237="",$D237="NO ENCONTRADO"),"",_xlfn.XLOOKUP($D237,Productos!$E:$E,Productos!$K:$K,""))</f>
        <v/>
      </c>
      <c r="I237" s="74">
        <f t="array" ref="I237">IF(OR($D237="",$D237="NO ENCONTRADO"),"",_xlfn.XLOOKUP($D237,Productos!$E:$E,Productos!$F:$F,""))</f>
        <v/>
      </c>
      <c r="J237" s="74">
        <f>IF($C237="","",IF($D237="NO ENCONTRADO",IF(COUNTIF($C$7:$C$1000,$C237)&gt;1,"⚠️ No encontrado | Duplicado","⚠️ No encontrado"),IF(COUNTIF($C$7:$C$1000,$C237)&gt;1,"⚠️ Duplicado","Verificado")))</f>
        <v/>
      </c>
    </row>
    <row r="238" ht="15.75" customHeight="1" s="176">
      <c r="B238" s="80" t="n"/>
      <c r="C238" s="74" t="n"/>
      <c r="D238" s="74">
        <f t="array" ref="D238">IF($C238="","",IFNA(_xlfn.XLOOKUP($C238,Productos!$A:$A,Productos!$E:$E,IFNA(_xlfn.XLOOKUP(TEXT($C238,"0"),Productos!$A:$A,Productos!$E:$E,IFNA(_xlfn.XLOOKUP(IFERROR(VALUE($C238),""),Productos!$A:$A,Productos!$E:$E,_xlfn.XLOOKUP($C238,Productos!$E:$E,Productos!$E:$E,"NO ENCONTRADO")),"NO ENCONTRADO")),"NO ENCONTRADO")),"NO ENCONTRADO"))</f>
        <v/>
      </c>
      <c r="E238" s="74">
        <f t="array" ref="E238">IF(OR($D238="",$D238="NO ENCONTRADO"),"",_xlfn.XLOOKUP($D238,Productos!$E:$E,Productos!$H:$H,""))</f>
        <v/>
      </c>
      <c r="F238" s="74">
        <f t="array" ref="F238">IF(OR($D238="",$D238="NO ENCONTRADO"),"",_xlfn.XLOOKUP($D238,Productos!$E:$E,Productos!$I:$I,""))</f>
        <v/>
      </c>
      <c r="G238" s="74">
        <f t="array" ref="G238">IF(OR($D238="",$D238="NO ENCONTRADO"),"",_xlfn.XLOOKUP($D238,Productos!$E:$E,Productos!$J:$J,""))</f>
        <v/>
      </c>
      <c r="H238" s="74">
        <f t="array" ref="H238">IF(OR($D238="",$D238="NO ENCONTRADO"),"",_xlfn.XLOOKUP($D238,Productos!$E:$E,Productos!$K:$K,""))</f>
        <v/>
      </c>
      <c r="I238" s="74">
        <f t="array" ref="I238">IF(OR($D238="",$D238="NO ENCONTRADO"),"",_xlfn.XLOOKUP($D238,Productos!$E:$E,Productos!$F:$F,""))</f>
        <v/>
      </c>
      <c r="J238" s="74">
        <f>IF($C238="","",IF($D238="NO ENCONTRADO",IF(COUNTIF($C$7:$C$1000,$C238)&gt;1,"⚠️ No encontrado | Duplicado","⚠️ No encontrado"),IF(COUNTIF($C$7:$C$1000,$C238)&gt;1,"⚠️ Duplicado","Verificado")))</f>
        <v/>
      </c>
    </row>
    <row r="239" ht="15.75" customHeight="1" s="176">
      <c r="B239" s="80" t="n"/>
      <c r="C239" s="74" t="n"/>
      <c r="D239" s="74">
        <f t="array" ref="D239">IF($C239="","",IFNA(_xlfn.XLOOKUP($C239,Productos!$A:$A,Productos!$E:$E,IFNA(_xlfn.XLOOKUP(TEXT($C239,"0"),Productos!$A:$A,Productos!$E:$E,IFNA(_xlfn.XLOOKUP(IFERROR(VALUE($C239),""),Productos!$A:$A,Productos!$E:$E,_xlfn.XLOOKUP($C239,Productos!$E:$E,Productos!$E:$E,"NO ENCONTRADO")),"NO ENCONTRADO")),"NO ENCONTRADO")),"NO ENCONTRADO"))</f>
        <v/>
      </c>
      <c r="E239" s="74">
        <f t="array" ref="E239">IF(OR($D239="",$D239="NO ENCONTRADO"),"",_xlfn.XLOOKUP($D239,Productos!$E:$E,Productos!$H:$H,""))</f>
        <v/>
      </c>
      <c r="F239" s="74">
        <f t="array" ref="F239">IF(OR($D239="",$D239="NO ENCONTRADO"),"",_xlfn.XLOOKUP($D239,Productos!$E:$E,Productos!$I:$I,""))</f>
        <v/>
      </c>
      <c r="G239" s="74">
        <f t="array" ref="G239">IF(OR($D239="",$D239="NO ENCONTRADO"),"",_xlfn.XLOOKUP($D239,Productos!$E:$E,Productos!$J:$J,""))</f>
        <v/>
      </c>
      <c r="H239" s="74">
        <f t="array" ref="H239">IF(OR($D239="",$D239="NO ENCONTRADO"),"",_xlfn.XLOOKUP($D239,Productos!$E:$E,Productos!$K:$K,""))</f>
        <v/>
      </c>
      <c r="I239" s="74">
        <f t="array" ref="I239">IF(OR($D239="",$D239="NO ENCONTRADO"),"",_xlfn.XLOOKUP($D239,Productos!$E:$E,Productos!$F:$F,""))</f>
        <v/>
      </c>
      <c r="J239" s="74">
        <f>IF($C239="","",IF($D239="NO ENCONTRADO",IF(COUNTIF($C$7:$C$1000,$C239)&gt;1,"⚠️ No encontrado | Duplicado","⚠️ No encontrado"),IF(COUNTIF($C$7:$C$1000,$C239)&gt;1,"⚠️ Duplicado","Verificado")))</f>
        <v/>
      </c>
    </row>
    <row r="240" ht="15.75" customHeight="1" s="176">
      <c r="B240" s="80" t="n"/>
      <c r="C240" s="74" t="n"/>
      <c r="D240" s="74">
        <f t="array" ref="D240">IF($C240="","",IFNA(_xlfn.XLOOKUP($C240,Productos!$A:$A,Productos!$E:$E,IFNA(_xlfn.XLOOKUP(TEXT($C240,"0"),Productos!$A:$A,Productos!$E:$E,IFNA(_xlfn.XLOOKUP(IFERROR(VALUE($C240),""),Productos!$A:$A,Productos!$E:$E,_xlfn.XLOOKUP($C240,Productos!$E:$E,Productos!$E:$E,"NO ENCONTRADO")),"NO ENCONTRADO")),"NO ENCONTRADO")),"NO ENCONTRADO"))</f>
        <v/>
      </c>
      <c r="E240" s="74">
        <f t="array" ref="E240">IF(OR($D240="",$D240="NO ENCONTRADO"),"",_xlfn.XLOOKUP($D240,Productos!$E:$E,Productos!$H:$H,""))</f>
        <v/>
      </c>
      <c r="F240" s="74">
        <f t="array" ref="F240">IF(OR($D240="",$D240="NO ENCONTRADO"),"",_xlfn.XLOOKUP($D240,Productos!$E:$E,Productos!$I:$I,""))</f>
        <v/>
      </c>
      <c r="G240" s="74">
        <f t="array" ref="G240">IF(OR($D240="",$D240="NO ENCONTRADO"),"",_xlfn.XLOOKUP($D240,Productos!$E:$E,Productos!$J:$J,""))</f>
        <v/>
      </c>
      <c r="H240" s="74">
        <f t="array" ref="H240">IF(OR($D240="",$D240="NO ENCONTRADO"),"",_xlfn.XLOOKUP($D240,Productos!$E:$E,Productos!$K:$K,""))</f>
        <v/>
      </c>
      <c r="I240" s="74">
        <f t="array" ref="I240">IF(OR($D240="",$D240="NO ENCONTRADO"),"",_xlfn.XLOOKUP($D240,Productos!$E:$E,Productos!$F:$F,""))</f>
        <v/>
      </c>
      <c r="J240" s="74">
        <f>IF($C240="","",IF($D240="NO ENCONTRADO",IF(COUNTIF($C$7:$C$1000,$C240)&gt;1,"⚠️ No encontrado | Duplicado","⚠️ No encontrado"),IF(COUNTIF($C$7:$C$1000,$C240)&gt;1,"⚠️ Duplicado","Verificado")))</f>
        <v/>
      </c>
    </row>
    <row r="241" ht="15.75" customHeight="1" s="176">
      <c r="B241" s="80" t="n"/>
      <c r="C241" s="74" t="n"/>
      <c r="D241" s="74">
        <f t="array" ref="D241">IF($C241="","",IFNA(_xlfn.XLOOKUP($C241,Productos!$A:$A,Productos!$E:$E,IFNA(_xlfn.XLOOKUP(TEXT($C241,"0"),Productos!$A:$A,Productos!$E:$E,IFNA(_xlfn.XLOOKUP(IFERROR(VALUE($C241),""),Productos!$A:$A,Productos!$E:$E,_xlfn.XLOOKUP($C241,Productos!$E:$E,Productos!$E:$E,"NO ENCONTRADO")),"NO ENCONTRADO")),"NO ENCONTRADO")),"NO ENCONTRADO"))</f>
        <v/>
      </c>
      <c r="E241" s="74">
        <f t="array" ref="E241">IF(OR($D241="",$D241="NO ENCONTRADO"),"",_xlfn.XLOOKUP($D241,Productos!$E:$E,Productos!$H:$H,""))</f>
        <v/>
      </c>
      <c r="F241" s="74">
        <f t="array" ref="F241">IF(OR($D241="",$D241="NO ENCONTRADO"),"",_xlfn.XLOOKUP($D241,Productos!$E:$E,Productos!$I:$I,""))</f>
        <v/>
      </c>
      <c r="G241" s="74">
        <f t="array" ref="G241">IF(OR($D241="",$D241="NO ENCONTRADO"),"",_xlfn.XLOOKUP($D241,Productos!$E:$E,Productos!$J:$J,""))</f>
        <v/>
      </c>
      <c r="H241" s="74">
        <f t="array" ref="H241">IF(OR($D241="",$D241="NO ENCONTRADO"),"",_xlfn.XLOOKUP($D241,Productos!$E:$E,Productos!$K:$K,""))</f>
        <v/>
      </c>
      <c r="I241" s="74">
        <f t="array" ref="I241">IF(OR($D241="",$D241="NO ENCONTRADO"),"",_xlfn.XLOOKUP($D241,Productos!$E:$E,Productos!$F:$F,""))</f>
        <v/>
      </c>
      <c r="J241" s="74">
        <f>IF($C241="","",IF($D241="NO ENCONTRADO",IF(COUNTIF($C$7:$C$1000,$C241)&gt;1,"⚠️ No encontrado | Duplicado","⚠️ No encontrado"),IF(COUNTIF($C$7:$C$1000,$C241)&gt;1,"⚠️ Duplicado","Verificado")))</f>
        <v/>
      </c>
    </row>
    <row r="242" ht="15.75" customHeight="1" s="176">
      <c r="B242" s="80" t="n"/>
      <c r="C242" s="74" t="n"/>
      <c r="D242" s="74">
        <f t="array" ref="D242">IF($C242="","",IFNA(_xlfn.XLOOKUP($C242,Productos!$A:$A,Productos!$E:$E,IFNA(_xlfn.XLOOKUP(TEXT($C242,"0"),Productos!$A:$A,Productos!$E:$E,IFNA(_xlfn.XLOOKUP(IFERROR(VALUE($C242),""),Productos!$A:$A,Productos!$E:$E,_xlfn.XLOOKUP($C242,Productos!$E:$E,Productos!$E:$E,"NO ENCONTRADO")),"NO ENCONTRADO")),"NO ENCONTRADO")),"NO ENCONTRADO"))</f>
        <v/>
      </c>
      <c r="E242" s="74">
        <f t="array" ref="E242">IF(OR($D242="",$D242="NO ENCONTRADO"),"",_xlfn.XLOOKUP($D242,Productos!$E:$E,Productos!$H:$H,""))</f>
        <v/>
      </c>
      <c r="F242" s="74">
        <f t="array" ref="F242">IF(OR($D242="",$D242="NO ENCONTRADO"),"",_xlfn.XLOOKUP($D242,Productos!$E:$E,Productos!$I:$I,""))</f>
        <v/>
      </c>
      <c r="G242" s="74">
        <f t="array" ref="G242">IF(OR($D242="",$D242="NO ENCONTRADO"),"",_xlfn.XLOOKUP($D242,Productos!$E:$E,Productos!$J:$J,""))</f>
        <v/>
      </c>
      <c r="H242" s="74">
        <f t="array" ref="H242">IF(OR($D242="",$D242="NO ENCONTRADO"),"",_xlfn.XLOOKUP($D242,Productos!$E:$E,Productos!$K:$K,""))</f>
        <v/>
      </c>
      <c r="I242" s="74">
        <f t="array" ref="I242">IF(OR($D242="",$D242="NO ENCONTRADO"),"",_xlfn.XLOOKUP($D242,Productos!$E:$E,Productos!$F:$F,""))</f>
        <v/>
      </c>
      <c r="J242" s="74">
        <f>IF($C242="","",IF($D242="NO ENCONTRADO",IF(COUNTIF($C$7:$C$1000,$C242)&gt;1,"⚠️ No encontrado | Duplicado","⚠️ No encontrado"),IF(COUNTIF($C$7:$C$1000,$C242)&gt;1,"⚠️ Duplicado","Verificado")))</f>
        <v/>
      </c>
    </row>
    <row r="243" ht="15.75" customHeight="1" s="176">
      <c r="B243" s="80" t="n"/>
      <c r="C243" s="74" t="n"/>
      <c r="D243" s="74">
        <f t="array" ref="D243">IF($C243="","",IFNA(_xlfn.XLOOKUP($C243,Productos!$A:$A,Productos!$E:$E,IFNA(_xlfn.XLOOKUP(TEXT($C243,"0"),Productos!$A:$A,Productos!$E:$E,IFNA(_xlfn.XLOOKUP(IFERROR(VALUE($C243),""),Productos!$A:$A,Productos!$E:$E,_xlfn.XLOOKUP($C243,Productos!$E:$E,Productos!$E:$E,"NO ENCONTRADO")),"NO ENCONTRADO")),"NO ENCONTRADO")),"NO ENCONTRADO"))</f>
        <v/>
      </c>
      <c r="E243" s="74">
        <f t="array" ref="E243">IF(OR($D243="",$D243="NO ENCONTRADO"),"",_xlfn.XLOOKUP($D243,Productos!$E:$E,Productos!$H:$H,""))</f>
        <v/>
      </c>
      <c r="F243" s="74">
        <f t="array" ref="F243">IF(OR($D243="",$D243="NO ENCONTRADO"),"",_xlfn.XLOOKUP($D243,Productos!$E:$E,Productos!$I:$I,""))</f>
        <v/>
      </c>
      <c r="G243" s="74">
        <f t="array" ref="G243">IF(OR($D243="",$D243="NO ENCONTRADO"),"",_xlfn.XLOOKUP($D243,Productos!$E:$E,Productos!$J:$J,""))</f>
        <v/>
      </c>
      <c r="H243" s="74">
        <f t="array" ref="H243">IF(OR($D243="",$D243="NO ENCONTRADO"),"",_xlfn.XLOOKUP($D243,Productos!$E:$E,Productos!$K:$K,""))</f>
        <v/>
      </c>
      <c r="I243" s="74">
        <f t="array" ref="I243">IF(OR($D243="",$D243="NO ENCONTRADO"),"",_xlfn.XLOOKUP($D243,Productos!$E:$E,Productos!$F:$F,""))</f>
        <v/>
      </c>
      <c r="J243" s="74">
        <f>IF($C243="","",IF($D243="NO ENCONTRADO",IF(COUNTIF($C$7:$C$1000,$C243)&gt;1,"⚠️ No encontrado | Duplicado","⚠️ No encontrado"),IF(COUNTIF($C$7:$C$1000,$C243)&gt;1,"⚠️ Duplicado","Verificado")))</f>
        <v/>
      </c>
    </row>
    <row r="244" ht="15.75" customHeight="1" s="176">
      <c r="B244" s="80" t="n"/>
      <c r="C244" s="74" t="n"/>
      <c r="D244" s="74">
        <f t="array" ref="D244">IF($C244="","",IFNA(_xlfn.XLOOKUP($C244,Productos!$A:$A,Productos!$E:$E,IFNA(_xlfn.XLOOKUP(TEXT($C244,"0"),Productos!$A:$A,Productos!$E:$E,IFNA(_xlfn.XLOOKUP(IFERROR(VALUE($C244),""),Productos!$A:$A,Productos!$E:$E,_xlfn.XLOOKUP($C244,Productos!$E:$E,Productos!$E:$E,"NO ENCONTRADO")),"NO ENCONTRADO")),"NO ENCONTRADO")),"NO ENCONTRADO"))</f>
        <v/>
      </c>
      <c r="E244" s="74">
        <f t="array" ref="E244">IF(OR($D244="",$D244="NO ENCONTRADO"),"",_xlfn.XLOOKUP($D244,Productos!$E:$E,Productos!$H:$H,""))</f>
        <v/>
      </c>
      <c r="F244" s="74">
        <f t="array" ref="F244">IF(OR($D244="",$D244="NO ENCONTRADO"),"",_xlfn.XLOOKUP($D244,Productos!$E:$E,Productos!$I:$I,""))</f>
        <v/>
      </c>
      <c r="G244" s="74">
        <f t="array" ref="G244">IF(OR($D244="",$D244="NO ENCONTRADO"),"",_xlfn.XLOOKUP($D244,Productos!$E:$E,Productos!$J:$J,""))</f>
        <v/>
      </c>
      <c r="H244" s="74">
        <f t="array" ref="H244">IF(OR($D244="",$D244="NO ENCONTRADO"),"",_xlfn.XLOOKUP($D244,Productos!$E:$E,Productos!$K:$K,""))</f>
        <v/>
      </c>
      <c r="I244" s="74">
        <f t="array" ref="I244">IF(OR($D244="",$D244="NO ENCONTRADO"),"",_xlfn.XLOOKUP($D244,Productos!$E:$E,Productos!$F:$F,""))</f>
        <v/>
      </c>
      <c r="J244" s="74">
        <f>IF($C244="","",IF($D244="NO ENCONTRADO",IF(COUNTIF($C$7:$C$1000,$C244)&gt;1,"⚠️ No encontrado | Duplicado","⚠️ No encontrado"),IF(COUNTIF($C$7:$C$1000,$C244)&gt;1,"⚠️ Duplicado","Verificado")))</f>
        <v/>
      </c>
    </row>
    <row r="245" ht="15.75" customHeight="1" s="176">
      <c r="B245" s="80" t="n"/>
      <c r="C245" s="74" t="n"/>
      <c r="D245" s="74">
        <f t="array" ref="D245">IF($C245="","",IFNA(_xlfn.XLOOKUP($C245,Productos!$A:$A,Productos!$E:$E,IFNA(_xlfn.XLOOKUP(TEXT($C245,"0"),Productos!$A:$A,Productos!$E:$E,IFNA(_xlfn.XLOOKUP(IFERROR(VALUE($C245),""),Productos!$A:$A,Productos!$E:$E,_xlfn.XLOOKUP($C245,Productos!$E:$E,Productos!$E:$E,"NO ENCONTRADO")),"NO ENCONTRADO")),"NO ENCONTRADO")),"NO ENCONTRADO"))</f>
        <v/>
      </c>
      <c r="E245" s="74">
        <f t="array" ref="E245">IF(OR($D245="",$D245="NO ENCONTRADO"),"",_xlfn.XLOOKUP($D245,Productos!$E:$E,Productos!$H:$H,""))</f>
        <v/>
      </c>
      <c r="F245" s="74">
        <f t="array" ref="F245">IF(OR($D245="",$D245="NO ENCONTRADO"),"",_xlfn.XLOOKUP($D245,Productos!$E:$E,Productos!$I:$I,""))</f>
        <v/>
      </c>
      <c r="G245" s="74">
        <f t="array" ref="G245">IF(OR($D245="",$D245="NO ENCONTRADO"),"",_xlfn.XLOOKUP($D245,Productos!$E:$E,Productos!$J:$J,""))</f>
        <v/>
      </c>
      <c r="H245" s="74">
        <f t="array" ref="H245">IF(OR($D245="",$D245="NO ENCONTRADO"),"",_xlfn.XLOOKUP($D245,Productos!$E:$E,Productos!$K:$K,""))</f>
        <v/>
      </c>
      <c r="I245" s="74">
        <f t="array" ref="I245">IF(OR($D245="",$D245="NO ENCONTRADO"),"",_xlfn.XLOOKUP($D245,Productos!$E:$E,Productos!$F:$F,""))</f>
        <v/>
      </c>
      <c r="J245" s="74">
        <f>IF($C245="","",IF($D245="NO ENCONTRADO",IF(COUNTIF($C$7:$C$1000,$C245)&gt;1,"⚠️ No encontrado | Duplicado","⚠️ No encontrado"),IF(COUNTIF($C$7:$C$1000,$C245)&gt;1,"⚠️ Duplicado","Verificado")))</f>
        <v/>
      </c>
    </row>
    <row r="246" ht="15.75" customHeight="1" s="176">
      <c r="B246" s="80" t="n"/>
      <c r="C246" s="74" t="n"/>
      <c r="D246" s="74">
        <f t="array" ref="D246">IF($C246="","",IFNA(_xlfn.XLOOKUP($C246,Productos!$A:$A,Productos!$E:$E,IFNA(_xlfn.XLOOKUP(TEXT($C246,"0"),Productos!$A:$A,Productos!$E:$E,IFNA(_xlfn.XLOOKUP(IFERROR(VALUE($C246),""),Productos!$A:$A,Productos!$E:$E,_xlfn.XLOOKUP($C246,Productos!$E:$E,Productos!$E:$E,"NO ENCONTRADO")),"NO ENCONTRADO")),"NO ENCONTRADO")),"NO ENCONTRADO"))</f>
        <v/>
      </c>
      <c r="E246" s="74">
        <f t="array" ref="E246">IF(OR($D246="",$D246="NO ENCONTRADO"),"",_xlfn.XLOOKUP($D246,Productos!$E:$E,Productos!$H:$H,""))</f>
        <v/>
      </c>
      <c r="F246" s="74">
        <f t="array" ref="F246">IF(OR($D246="",$D246="NO ENCONTRADO"),"",_xlfn.XLOOKUP($D246,Productos!$E:$E,Productos!$I:$I,""))</f>
        <v/>
      </c>
      <c r="G246" s="74">
        <f t="array" ref="G246">IF(OR($D246="",$D246="NO ENCONTRADO"),"",_xlfn.XLOOKUP($D246,Productos!$E:$E,Productos!$J:$J,""))</f>
        <v/>
      </c>
      <c r="H246" s="74">
        <f t="array" ref="H246">IF(OR($D246="",$D246="NO ENCONTRADO"),"",_xlfn.XLOOKUP($D246,Productos!$E:$E,Productos!$K:$K,""))</f>
        <v/>
      </c>
      <c r="I246" s="74">
        <f t="array" ref="I246">IF(OR($D246="",$D246="NO ENCONTRADO"),"",_xlfn.XLOOKUP($D246,Productos!$E:$E,Productos!$F:$F,""))</f>
        <v/>
      </c>
      <c r="J246" s="74">
        <f>IF($C246="","",IF($D246="NO ENCONTRADO",IF(COUNTIF($C$7:$C$1000,$C246)&gt;1,"⚠️ No encontrado | Duplicado","⚠️ No encontrado"),IF(COUNTIF($C$7:$C$1000,$C246)&gt;1,"⚠️ Duplicado","Verificado")))</f>
        <v/>
      </c>
    </row>
    <row r="247" ht="15.75" customHeight="1" s="176">
      <c r="B247" s="80" t="n"/>
      <c r="C247" s="74" t="n"/>
      <c r="D247" s="74">
        <f t="array" ref="D247">IF($C247="","",IFNA(_xlfn.XLOOKUP($C247,Productos!$A:$A,Productos!$E:$E,IFNA(_xlfn.XLOOKUP(TEXT($C247,"0"),Productos!$A:$A,Productos!$E:$E,IFNA(_xlfn.XLOOKUP(IFERROR(VALUE($C247),""),Productos!$A:$A,Productos!$E:$E,_xlfn.XLOOKUP($C247,Productos!$E:$E,Productos!$E:$E,"NO ENCONTRADO")),"NO ENCONTRADO")),"NO ENCONTRADO")),"NO ENCONTRADO"))</f>
        <v/>
      </c>
      <c r="E247" s="74">
        <f t="array" ref="E247">IF(OR($D247="",$D247="NO ENCONTRADO"),"",_xlfn.XLOOKUP($D247,Productos!$E:$E,Productos!$H:$H,""))</f>
        <v/>
      </c>
      <c r="F247" s="74">
        <f t="array" ref="F247">IF(OR($D247="",$D247="NO ENCONTRADO"),"",_xlfn.XLOOKUP($D247,Productos!$E:$E,Productos!$I:$I,""))</f>
        <v/>
      </c>
      <c r="G247" s="74">
        <f t="array" ref="G247">IF(OR($D247="",$D247="NO ENCONTRADO"),"",_xlfn.XLOOKUP($D247,Productos!$E:$E,Productos!$J:$J,""))</f>
        <v/>
      </c>
      <c r="H247" s="74">
        <f t="array" ref="H247">IF(OR($D247="",$D247="NO ENCONTRADO"),"",_xlfn.XLOOKUP($D247,Productos!$E:$E,Productos!$K:$K,""))</f>
        <v/>
      </c>
      <c r="I247" s="74">
        <f t="array" ref="I247">IF(OR($D247="",$D247="NO ENCONTRADO"),"",_xlfn.XLOOKUP($D247,Productos!$E:$E,Productos!$F:$F,""))</f>
        <v/>
      </c>
      <c r="J247" s="74">
        <f>IF($C247="","",IF($D247="NO ENCONTRADO",IF(COUNTIF($C$7:$C$1000,$C247)&gt;1,"⚠️ No encontrado | Duplicado","⚠️ No encontrado"),IF(COUNTIF($C$7:$C$1000,$C247)&gt;1,"⚠️ Duplicado","Verificado")))</f>
        <v/>
      </c>
    </row>
    <row r="248" ht="15.75" customHeight="1" s="176">
      <c r="B248" s="80" t="n"/>
      <c r="C248" s="74" t="n"/>
      <c r="D248" s="74">
        <f t="array" ref="D248">IF($C248="","",IFNA(_xlfn.XLOOKUP($C248,Productos!$A:$A,Productos!$E:$E,IFNA(_xlfn.XLOOKUP(TEXT($C248,"0"),Productos!$A:$A,Productos!$E:$E,IFNA(_xlfn.XLOOKUP(IFERROR(VALUE($C248),""),Productos!$A:$A,Productos!$E:$E,_xlfn.XLOOKUP($C248,Productos!$E:$E,Productos!$E:$E,"NO ENCONTRADO")),"NO ENCONTRADO")),"NO ENCONTRADO")),"NO ENCONTRADO"))</f>
        <v/>
      </c>
      <c r="E248" s="74">
        <f t="array" ref="E248">IF(OR($D248="",$D248="NO ENCONTRADO"),"",_xlfn.XLOOKUP($D248,Productos!$E:$E,Productos!$H:$H,""))</f>
        <v/>
      </c>
      <c r="F248" s="74">
        <f t="array" ref="F248">IF(OR($D248="",$D248="NO ENCONTRADO"),"",_xlfn.XLOOKUP($D248,Productos!$E:$E,Productos!$I:$I,""))</f>
        <v/>
      </c>
      <c r="G248" s="74">
        <f t="array" ref="G248">IF(OR($D248="",$D248="NO ENCONTRADO"),"",_xlfn.XLOOKUP($D248,Productos!$E:$E,Productos!$J:$J,""))</f>
        <v/>
      </c>
      <c r="H248" s="74">
        <f t="array" ref="H248">IF(OR($D248="",$D248="NO ENCONTRADO"),"",_xlfn.XLOOKUP($D248,Productos!$E:$E,Productos!$K:$K,""))</f>
        <v/>
      </c>
      <c r="I248" s="74">
        <f t="array" ref="I248">IF(OR($D248="",$D248="NO ENCONTRADO"),"",_xlfn.XLOOKUP($D248,Productos!$E:$E,Productos!$F:$F,""))</f>
        <v/>
      </c>
      <c r="J248" s="74">
        <f>IF($C248="","",IF($D248="NO ENCONTRADO",IF(COUNTIF($C$7:$C$1000,$C248)&gt;1,"⚠️ No encontrado | Duplicado","⚠️ No encontrado"),IF(COUNTIF($C$7:$C$1000,$C248)&gt;1,"⚠️ Duplicado","Verificado")))</f>
        <v/>
      </c>
    </row>
    <row r="249" ht="15.75" customHeight="1" s="176">
      <c r="B249" s="80" t="n"/>
      <c r="C249" s="74" t="n"/>
      <c r="D249" s="74">
        <f t="array" ref="D249">IF($C249="","",IFNA(_xlfn.XLOOKUP($C249,Productos!$A:$A,Productos!$E:$E,IFNA(_xlfn.XLOOKUP(TEXT($C249,"0"),Productos!$A:$A,Productos!$E:$E,IFNA(_xlfn.XLOOKUP(IFERROR(VALUE($C249),""),Productos!$A:$A,Productos!$E:$E,_xlfn.XLOOKUP($C249,Productos!$E:$E,Productos!$E:$E,"NO ENCONTRADO")),"NO ENCONTRADO")),"NO ENCONTRADO")),"NO ENCONTRADO"))</f>
        <v/>
      </c>
      <c r="E249" s="74">
        <f t="array" ref="E249">IF(OR($D249="",$D249="NO ENCONTRADO"),"",_xlfn.XLOOKUP($D249,Productos!$E:$E,Productos!$H:$H,""))</f>
        <v/>
      </c>
      <c r="F249" s="74">
        <f t="array" ref="F249">IF(OR($D249="",$D249="NO ENCONTRADO"),"",_xlfn.XLOOKUP($D249,Productos!$E:$E,Productos!$I:$I,""))</f>
        <v/>
      </c>
      <c r="G249" s="74">
        <f t="array" ref="G249">IF(OR($D249="",$D249="NO ENCONTRADO"),"",_xlfn.XLOOKUP($D249,Productos!$E:$E,Productos!$J:$J,""))</f>
        <v/>
      </c>
      <c r="H249" s="74">
        <f t="array" ref="H249">IF(OR($D249="",$D249="NO ENCONTRADO"),"",_xlfn.XLOOKUP($D249,Productos!$E:$E,Productos!$K:$K,""))</f>
        <v/>
      </c>
      <c r="I249" s="74">
        <f t="array" ref="I249">IF(OR($D249="",$D249="NO ENCONTRADO"),"",_xlfn.XLOOKUP($D249,Productos!$E:$E,Productos!$F:$F,""))</f>
        <v/>
      </c>
      <c r="J249" s="74">
        <f>IF($C249="","",IF($D249="NO ENCONTRADO",IF(COUNTIF($C$7:$C$1000,$C249)&gt;1,"⚠️ No encontrado | Duplicado","⚠️ No encontrado"),IF(COUNTIF($C$7:$C$1000,$C249)&gt;1,"⚠️ Duplicado","Verificado")))</f>
        <v/>
      </c>
    </row>
    <row r="250" ht="15.75" customHeight="1" s="176">
      <c r="B250" s="80" t="n"/>
      <c r="C250" s="74" t="n"/>
      <c r="D250" s="74">
        <f t="array" ref="D250">IF($C250="","",IFNA(_xlfn.XLOOKUP($C250,Productos!$A:$A,Productos!$E:$E,IFNA(_xlfn.XLOOKUP(TEXT($C250,"0"),Productos!$A:$A,Productos!$E:$E,IFNA(_xlfn.XLOOKUP(IFERROR(VALUE($C250),""),Productos!$A:$A,Productos!$E:$E,_xlfn.XLOOKUP($C250,Productos!$E:$E,Productos!$E:$E,"NO ENCONTRADO")),"NO ENCONTRADO")),"NO ENCONTRADO")),"NO ENCONTRADO"))</f>
        <v/>
      </c>
      <c r="E250" s="74">
        <f t="array" ref="E250">IF(OR($D250="",$D250="NO ENCONTRADO"),"",_xlfn.XLOOKUP($D250,Productos!$E:$E,Productos!$H:$H,""))</f>
        <v/>
      </c>
      <c r="F250" s="74">
        <f t="array" ref="F250">IF(OR($D250="",$D250="NO ENCONTRADO"),"",_xlfn.XLOOKUP($D250,Productos!$E:$E,Productos!$I:$I,""))</f>
        <v/>
      </c>
      <c r="G250" s="74">
        <f t="array" ref="G250">IF(OR($D250="",$D250="NO ENCONTRADO"),"",_xlfn.XLOOKUP($D250,Productos!$E:$E,Productos!$J:$J,""))</f>
        <v/>
      </c>
      <c r="H250" s="74">
        <f t="array" ref="H250">IF(OR($D250="",$D250="NO ENCONTRADO"),"",_xlfn.XLOOKUP($D250,Productos!$E:$E,Productos!$K:$K,""))</f>
        <v/>
      </c>
      <c r="I250" s="74">
        <f t="array" ref="I250">IF(OR($D250="",$D250="NO ENCONTRADO"),"",_xlfn.XLOOKUP($D250,Productos!$E:$E,Productos!$F:$F,""))</f>
        <v/>
      </c>
      <c r="J250" s="74">
        <f>IF($C250="","",IF($D250="NO ENCONTRADO",IF(COUNTIF($C$7:$C$1000,$C250)&gt;1,"⚠️ No encontrado | Duplicado","⚠️ No encontrado"),IF(COUNTIF($C$7:$C$1000,$C250)&gt;1,"⚠️ Duplicado","Verificado")))</f>
        <v/>
      </c>
    </row>
    <row r="251" ht="15.75" customHeight="1" s="176">
      <c r="B251" s="80" t="n"/>
      <c r="C251" s="74" t="n"/>
      <c r="D251" s="74">
        <f t="array" ref="D251">IF($C251="","",IFNA(_xlfn.XLOOKUP($C251,Productos!$A:$A,Productos!$E:$E,IFNA(_xlfn.XLOOKUP(TEXT($C251,"0"),Productos!$A:$A,Productos!$E:$E,IFNA(_xlfn.XLOOKUP(IFERROR(VALUE($C251),""),Productos!$A:$A,Productos!$E:$E,_xlfn.XLOOKUP($C251,Productos!$E:$E,Productos!$E:$E,"NO ENCONTRADO")),"NO ENCONTRADO")),"NO ENCONTRADO")),"NO ENCONTRADO"))</f>
        <v/>
      </c>
      <c r="E251" s="74">
        <f t="array" ref="E251">IF(OR($D251="",$D251="NO ENCONTRADO"),"",_xlfn.XLOOKUP($D251,Productos!$E:$E,Productos!$H:$H,""))</f>
        <v/>
      </c>
      <c r="F251" s="74">
        <f t="array" ref="F251">IF(OR($D251="",$D251="NO ENCONTRADO"),"",_xlfn.XLOOKUP($D251,Productos!$E:$E,Productos!$I:$I,""))</f>
        <v/>
      </c>
      <c r="G251" s="74">
        <f t="array" ref="G251">IF(OR($D251="",$D251="NO ENCONTRADO"),"",_xlfn.XLOOKUP($D251,Productos!$E:$E,Productos!$J:$J,""))</f>
        <v/>
      </c>
      <c r="H251" s="74">
        <f t="array" ref="H251">IF(OR($D251="",$D251="NO ENCONTRADO"),"",_xlfn.XLOOKUP($D251,Productos!$E:$E,Productos!$K:$K,""))</f>
        <v/>
      </c>
      <c r="I251" s="74">
        <f t="array" ref="I251">IF(OR($D251="",$D251="NO ENCONTRADO"),"",_xlfn.XLOOKUP($D251,Productos!$E:$E,Productos!$F:$F,""))</f>
        <v/>
      </c>
      <c r="J251" s="74">
        <f>IF($C251="","",IF($D251="NO ENCONTRADO",IF(COUNTIF($C$7:$C$1000,$C251)&gt;1,"⚠️ No encontrado | Duplicado","⚠️ No encontrado"),IF(COUNTIF($C$7:$C$1000,$C251)&gt;1,"⚠️ Duplicado","Verificado")))</f>
        <v/>
      </c>
    </row>
    <row r="252" ht="15.75" customHeight="1" s="176">
      <c r="B252" s="80" t="n"/>
      <c r="C252" s="74" t="n"/>
      <c r="D252" s="74">
        <f t="array" ref="D252">IF($C252="","",IFNA(_xlfn.XLOOKUP($C252,Productos!$A:$A,Productos!$E:$E,IFNA(_xlfn.XLOOKUP(TEXT($C252,"0"),Productos!$A:$A,Productos!$E:$E,IFNA(_xlfn.XLOOKUP(IFERROR(VALUE($C252),""),Productos!$A:$A,Productos!$E:$E,_xlfn.XLOOKUP($C252,Productos!$E:$E,Productos!$E:$E,"NO ENCONTRADO")),"NO ENCONTRADO")),"NO ENCONTRADO")),"NO ENCONTRADO"))</f>
        <v/>
      </c>
      <c r="E252" s="74">
        <f t="array" ref="E252">IF(OR($D252="",$D252="NO ENCONTRADO"),"",_xlfn.XLOOKUP($D252,Productos!$E:$E,Productos!$H:$H,""))</f>
        <v/>
      </c>
      <c r="F252" s="74">
        <f t="array" ref="F252">IF(OR($D252="",$D252="NO ENCONTRADO"),"",_xlfn.XLOOKUP($D252,Productos!$E:$E,Productos!$I:$I,""))</f>
        <v/>
      </c>
      <c r="G252" s="74">
        <f t="array" ref="G252">IF(OR($D252="",$D252="NO ENCONTRADO"),"",_xlfn.XLOOKUP($D252,Productos!$E:$E,Productos!$J:$J,""))</f>
        <v/>
      </c>
      <c r="H252" s="74">
        <f t="array" ref="H252">IF(OR($D252="",$D252="NO ENCONTRADO"),"",_xlfn.XLOOKUP($D252,Productos!$E:$E,Productos!$K:$K,""))</f>
        <v/>
      </c>
      <c r="I252" s="74">
        <f t="array" ref="I252">IF(OR($D252="",$D252="NO ENCONTRADO"),"",_xlfn.XLOOKUP($D252,Productos!$E:$E,Productos!$F:$F,""))</f>
        <v/>
      </c>
      <c r="J252" s="74">
        <f>IF($C252="","",IF($D252="NO ENCONTRADO",IF(COUNTIF($C$7:$C$1000,$C252)&gt;1,"⚠️ No encontrado | Duplicado","⚠️ No encontrado"),IF(COUNTIF($C$7:$C$1000,$C252)&gt;1,"⚠️ Duplicado","Verificado")))</f>
        <v/>
      </c>
    </row>
    <row r="253" ht="15.75" customHeight="1" s="176">
      <c r="B253" s="80" t="n"/>
      <c r="C253" s="74" t="n"/>
      <c r="D253" s="74">
        <f t="array" ref="D253">IF($C253="","",IFNA(_xlfn.XLOOKUP($C253,Productos!$A:$A,Productos!$E:$E,IFNA(_xlfn.XLOOKUP(TEXT($C253,"0"),Productos!$A:$A,Productos!$E:$E,IFNA(_xlfn.XLOOKUP(IFERROR(VALUE($C253),""),Productos!$A:$A,Productos!$E:$E,_xlfn.XLOOKUP($C253,Productos!$E:$E,Productos!$E:$E,"NO ENCONTRADO")),"NO ENCONTRADO")),"NO ENCONTRADO")),"NO ENCONTRADO"))</f>
        <v/>
      </c>
      <c r="E253" s="74">
        <f t="array" ref="E253">IF(OR($D253="",$D253="NO ENCONTRADO"),"",_xlfn.XLOOKUP($D253,Productos!$E:$E,Productos!$H:$H,""))</f>
        <v/>
      </c>
      <c r="F253" s="74">
        <f t="array" ref="F253">IF(OR($D253="",$D253="NO ENCONTRADO"),"",_xlfn.XLOOKUP($D253,Productos!$E:$E,Productos!$I:$I,""))</f>
        <v/>
      </c>
      <c r="G253" s="74">
        <f t="array" ref="G253">IF(OR($D253="",$D253="NO ENCONTRADO"),"",_xlfn.XLOOKUP($D253,Productos!$E:$E,Productos!$J:$J,""))</f>
        <v/>
      </c>
      <c r="H253" s="74">
        <f t="array" ref="H253">IF(OR($D253="",$D253="NO ENCONTRADO"),"",_xlfn.XLOOKUP($D253,Productos!$E:$E,Productos!$K:$K,""))</f>
        <v/>
      </c>
      <c r="I253" s="74">
        <f t="array" ref="I253">IF(OR($D253="",$D253="NO ENCONTRADO"),"",_xlfn.XLOOKUP($D253,Productos!$E:$E,Productos!$F:$F,""))</f>
        <v/>
      </c>
      <c r="J253" s="74">
        <f>IF($C253="","",IF($D253="NO ENCONTRADO",IF(COUNTIF($C$7:$C$1000,$C253)&gt;1,"⚠️ No encontrado | Duplicado","⚠️ No encontrado"),IF(COUNTIF($C$7:$C$1000,$C253)&gt;1,"⚠️ Duplicado","Verificado")))</f>
        <v/>
      </c>
    </row>
    <row r="254" ht="15.75" customHeight="1" s="176">
      <c r="B254" s="80" t="n"/>
      <c r="C254" s="74" t="n"/>
      <c r="D254" s="74">
        <f t="array" ref="D254">IF($C254="","",IFNA(_xlfn.XLOOKUP($C254,Productos!$A:$A,Productos!$E:$E,IFNA(_xlfn.XLOOKUP(TEXT($C254,"0"),Productos!$A:$A,Productos!$E:$E,IFNA(_xlfn.XLOOKUP(IFERROR(VALUE($C254),""),Productos!$A:$A,Productos!$E:$E,_xlfn.XLOOKUP($C254,Productos!$E:$E,Productos!$E:$E,"NO ENCONTRADO")),"NO ENCONTRADO")),"NO ENCONTRADO")),"NO ENCONTRADO"))</f>
        <v/>
      </c>
      <c r="E254" s="74">
        <f t="array" ref="E254">IF(OR($D254="",$D254="NO ENCONTRADO"),"",_xlfn.XLOOKUP($D254,Productos!$E:$E,Productos!$H:$H,""))</f>
        <v/>
      </c>
      <c r="F254" s="74">
        <f t="array" ref="F254">IF(OR($D254="",$D254="NO ENCONTRADO"),"",_xlfn.XLOOKUP($D254,Productos!$E:$E,Productos!$I:$I,""))</f>
        <v/>
      </c>
      <c r="G254" s="74">
        <f t="array" ref="G254">IF(OR($D254="",$D254="NO ENCONTRADO"),"",_xlfn.XLOOKUP($D254,Productos!$E:$E,Productos!$J:$J,""))</f>
        <v/>
      </c>
      <c r="H254" s="74">
        <f t="array" ref="H254">IF(OR($D254="",$D254="NO ENCONTRADO"),"",_xlfn.XLOOKUP($D254,Productos!$E:$E,Productos!$K:$K,""))</f>
        <v/>
      </c>
      <c r="I254" s="74">
        <f t="array" ref="I254">IF(OR($D254="",$D254="NO ENCONTRADO"),"",_xlfn.XLOOKUP($D254,Productos!$E:$E,Productos!$F:$F,""))</f>
        <v/>
      </c>
      <c r="J254" s="74">
        <f>IF($C254="","",IF($D254="NO ENCONTRADO",IF(COUNTIF($C$7:$C$1000,$C254)&gt;1,"⚠️ No encontrado | Duplicado","⚠️ No encontrado"),IF(COUNTIF($C$7:$C$1000,$C254)&gt;1,"⚠️ Duplicado","Verificado")))</f>
        <v/>
      </c>
    </row>
    <row r="255" ht="15.75" customHeight="1" s="176">
      <c r="B255" s="80" t="n"/>
      <c r="C255" s="74" t="n"/>
      <c r="D255" s="74">
        <f t="array" ref="D255">IF($C255="","",IFNA(_xlfn.XLOOKUP($C255,Productos!$A:$A,Productos!$E:$E,IFNA(_xlfn.XLOOKUP(TEXT($C255,"0"),Productos!$A:$A,Productos!$E:$E,IFNA(_xlfn.XLOOKUP(IFERROR(VALUE($C255),""),Productos!$A:$A,Productos!$E:$E,_xlfn.XLOOKUP($C255,Productos!$E:$E,Productos!$E:$E,"NO ENCONTRADO")),"NO ENCONTRADO")),"NO ENCONTRADO")),"NO ENCONTRADO"))</f>
        <v/>
      </c>
      <c r="E255" s="74">
        <f t="array" ref="E255">IF(OR($D255="",$D255="NO ENCONTRADO"),"",_xlfn.XLOOKUP($D255,Productos!$E:$E,Productos!$H:$H,""))</f>
        <v/>
      </c>
      <c r="F255" s="74">
        <f t="array" ref="F255">IF(OR($D255="",$D255="NO ENCONTRADO"),"",_xlfn.XLOOKUP($D255,Productos!$E:$E,Productos!$I:$I,""))</f>
        <v/>
      </c>
      <c r="G255" s="74">
        <f t="array" ref="G255">IF(OR($D255="",$D255="NO ENCONTRADO"),"",_xlfn.XLOOKUP($D255,Productos!$E:$E,Productos!$J:$J,""))</f>
        <v/>
      </c>
      <c r="H255" s="74">
        <f t="array" ref="H255">IF(OR($D255="",$D255="NO ENCONTRADO"),"",_xlfn.XLOOKUP($D255,Productos!$E:$E,Productos!$K:$K,""))</f>
        <v/>
      </c>
      <c r="I255" s="74">
        <f t="array" ref="I255">IF(OR($D255="",$D255="NO ENCONTRADO"),"",_xlfn.XLOOKUP($D255,Productos!$E:$E,Productos!$F:$F,""))</f>
        <v/>
      </c>
      <c r="J255" s="74">
        <f>IF($C255="","",IF($D255="NO ENCONTRADO",IF(COUNTIF($C$7:$C$1000,$C255)&gt;1,"⚠️ No encontrado | Duplicado","⚠️ No encontrado"),IF(COUNTIF($C$7:$C$1000,$C255)&gt;1,"⚠️ Duplicado","Verificado")))</f>
        <v/>
      </c>
    </row>
    <row r="256" ht="15.75" customHeight="1" s="176">
      <c r="B256" s="80" t="n"/>
      <c r="C256" s="74" t="n"/>
      <c r="D256" s="74">
        <f t="array" ref="D256">IF($C256="","",IFNA(_xlfn.XLOOKUP($C256,Productos!$A:$A,Productos!$E:$E,IFNA(_xlfn.XLOOKUP(TEXT($C256,"0"),Productos!$A:$A,Productos!$E:$E,IFNA(_xlfn.XLOOKUP(IFERROR(VALUE($C256),""),Productos!$A:$A,Productos!$E:$E,_xlfn.XLOOKUP($C256,Productos!$E:$E,Productos!$E:$E,"NO ENCONTRADO")),"NO ENCONTRADO")),"NO ENCONTRADO")),"NO ENCONTRADO"))</f>
        <v/>
      </c>
      <c r="E256" s="74">
        <f t="array" ref="E256">IF(OR($D256="",$D256="NO ENCONTRADO"),"",_xlfn.XLOOKUP($D256,Productos!$E:$E,Productos!$H:$H,""))</f>
        <v/>
      </c>
      <c r="F256" s="74">
        <f t="array" ref="F256">IF(OR($D256="",$D256="NO ENCONTRADO"),"",_xlfn.XLOOKUP($D256,Productos!$E:$E,Productos!$I:$I,""))</f>
        <v/>
      </c>
      <c r="G256" s="74">
        <f t="array" ref="G256">IF(OR($D256="",$D256="NO ENCONTRADO"),"",_xlfn.XLOOKUP($D256,Productos!$E:$E,Productos!$J:$J,""))</f>
        <v/>
      </c>
      <c r="H256" s="74">
        <f t="array" ref="H256">IF(OR($D256="",$D256="NO ENCONTRADO"),"",_xlfn.XLOOKUP($D256,Productos!$E:$E,Productos!$K:$K,""))</f>
        <v/>
      </c>
      <c r="I256" s="74">
        <f t="array" ref="I256">IF(OR($D256="",$D256="NO ENCONTRADO"),"",_xlfn.XLOOKUP($D256,Productos!$E:$E,Productos!$F:$F,""))</f>
        <v/>
      </c>
      <c r="J256" s="74">
        <f>IF($C256="","",IF($D256="NO ENCONTRADO",IF(COUNTIF($C$7:$C$1000,$C256)&gt;1,"⚠️ No encontrado | Duplicado","⚠️ No encontrado"),IF(COUNTIF($C$7:$C$1000,$C256)&gt;1,"⚠️ Duplicado","Verificado")))</f>
        <v/>
      </c>
    </row>
    <row r="257" ht="15.75" customHeight="1" s="176">
      <c r="B257" s="80" t="n"/>
      <c r="C257" s="74" t="n"/>
      <c r="D257" s="74">
        <f t="array" ref="D257">IF($C257="","",IFNA(_xlfn.XLOOKUP($C257,Productos!$A:$A,Productos!$E:$E,IFNA(_xlfn.XLOOKUP(TEXT($C257,"0"),Productos!$A:$A,Productos!$E:$E,IFNA(_xlfn.XLOOKUP(IFERROR(VALUE($C257),""),Productos!$A:$A,Productos!$E:$E,_xlfn.XLOOKUP($C257,Productos!$E:$E,Productos!$E:$E,"NO ENCONTRADO")),"NO ENCONTRADO")),"NO ENCONTRADO")),"NO ENCONTRADO"))</f>
        <v/>
      </c>
      <c r="E257" s="74">
        <f t="array" ref="E257">IF(OR($D257="",$D257="NO ENCONTRADO"),"",_xlfn.XLOOKUP($D257,Productos!$E:$E,Productos!$H:$H,""))</f>
        <v/>
      </c>
      <c r="F257" s="74">
        <f t="array" ref="F257">IF(OR($D257="",$D257="NO ENCONTRADO"),"",_xlfn.XLOOKUP($D257,Productos!$E:$E,Productos!$I:$I,""))</f>
        <v/>
      </c>
      <c r="G257" s="74">
        <f t="array" ref="G257">IF(OR($D257="",$D257="NO ENCONTRADO"),"",_xlfn.XLOOKUP($D257,Productos!$E:$E,Productos!$J:$J,""))</f>
        <v/>
      </c>
      <c r="H257" s="74">
        <f t="array" ref="H257">IF(OR($D257="",$D257="NO ENCONTRADO"),"",_xlfn.XLOOKUP($D257,Productos!$E:$E,Productos!$K:$K,""))</f>
        <v/>
      </c>
      <c r="I257" s="74">
        <f t="array" ref="I257">IF(OR($D257="",$D257="NO ENCONTRADO"),"",_xlfn.XLOOKUP($D257,Productos!$E:$E,Productos!$F:$F,""))</f>
        <v/>
      </c>
      <c r="J257" s="74">
        <f>IF($C257="","",IF($D257="NO ENCONTRADO",IF(COUNTIF($C$7:$C$1000,$C257)&gt;1,"⚠️ No encontrado | Duplicado","⚠️ No encontrado"),IF(COUNTIF($C$7:$C$1000,$C257)&gt;1,"⚠️ Duplicado","Verificado")))</f>
        <v/>
      </c>
    </row>
    <row r="258" ht="15.75" customHeight="1" s="176">
      <c r="B258" s="80" t="n"/>
      <c r="C258" s="74" t="n"/>
      <c r="D258" s="74">
        <f t="array" ref="D258">IF($C258="","",IFNA(_xlfn.XLOOKUP($C258,Productos!$A:$A,Productos!$E:$E,IFNA(_xlfn.XLOOKUP(TEXT($C258,"0"),Productos!$A:$A,Productos!$E:$E,IFNA(_xlfn.XLOOKUP(IFERROR(VALUE($C258),""),Productos!$A:$A,Productos!$E:$E,_xlfn.XLOOKUP($C258,Productos!$E:$E,Productos!$E:$E,"NO ENCONTRADO")),"NO ENCONTRADO")),"NO ENCONTRADO")),"NO ENCONTRADO"))</f>
        <v/>
      </c>
      <c r="E258" s="74">
        <f t="array" ref="E258">IF(OR($D258="",$D258="NO ENCONTRADO"),"",_xlfn.XLOOKUP($D258,Productos!$E:$E,Productos!$H:$H,""))</f>
        <v/>
      </c>
      <c r="F258" s="74">
        <f t="array" ref="F258">IF(OR($D258="",$D258="NO ENCONTRADO"),"",_xlfn.XLOOKUP($D258,Productos!$E:$E,Productos!$I:$I,""))</f>
        <v/>
      </c>
      <c r="G258" s="74">
        <f t="array" ref="G258">IF(OR($D258="",$D258="NO ENCONTRADO"),"",_xlfn.XLOOKUP($D258,Productos!$E:$E,Productos!$J:$J,""))</f>
        <v/>
      </c>
      <c r="H258" s="74">
        <f t="array" ref="H258">IF(OR($D258="",$D258="NO ENCONTRADO"),"",_xlfn.XLOOKUP($D258,Productos!$E:$E,Productos!$K:$K,""))</f>
        <v/>
      </c>
      <c r="I258" s="74">
        <f t="array" ref="I258">IF(OR($D258="",$D258="NO ENCONTRADO"),"",_xlfn.XLOOKUP($D258,Productos!$E:$E,Productos!$F:$F,""))</f>
        <v/>
      </c>
      <c r="J258" s="74">
        <f>IF($C258="","",IF($D258="NO ENCONTRADO",IF(COUNTIF($C$7:$C$1000,$C258)&gt;1,"⚠️ No encontrado | Duplicado","⚠️ No encontrado"),IF(COUNTIF($C$7:$C$1000,$C258)&gt;1,"⚠️ Duplicado","Verificado")))</f>
        <v/>
      </c>
    </row>
    <row r="259" ht="15.75" customHeight="1" s="176">
      <c r="B259" s="80" t="n"/>
      <c r="C259" s="74" t="n"/>
      <c r="D259" s="74">
        <f t="array" ref="D259">IF($C259="","",IFNA(_xlfn.XLOOKUP($C259,Productos!$A:$A,Productos!$E:$E,IFNA(_xlfn.XLOOKUP(TEXT($C259,"0"),Productos!$A:$A,Productos!$E:$E,IFNA(_xlfn.XLOOKUP(IFERROR(VALUE($C259),""),Productos!$A:$A,Productos!$E:$E,_xlfn.XLOOKUP($C259,Productos!$E:$E,Productos!$E:$E,"NO ENCONTRADO")),"NO ENCONTRADO")),"NO ENCONTRADO")),"NO ENCONTRADO"))</f>
        <v/>
      </c>
      <c r="E259" s="74">
        <f t="array" ref="E259">IF(OR($D259="",$D259="NO ENCONTRADO"),"",_xlfn.XLOOKUP($D259,Productos!$E:$E,Productos!$H:$H,""))</f>
        <v/>
      </c>
      <c r="F259" s="74">
        <f t="array" ref="F259">IF(OR($D259="",$D259="NO ENCONTRADO"),"",_xlfn.XLOOKUP($D259,Productos!$E:$E,Productos!$I:$I,""))</f>
        <v/>
      </c>
      <c r="G259" s="74">
        <f t="array" ref="G259">IF(OR($D259="",$D259="NO ENCONTRADO"),"",_xlfn.XLOOKUP($D259,Productos!$E:$E,Productos!$J:$J,""))</f>
        <v/>
      </c>
      <c r="H259" s="74">
        <f t="array" ref="H259">IF(OR($D259="",$D259="NO ENCONTRADO"),"",_xlfn.XLOOKUP($D259,Productos!$E:$E,Productos!$K:$K,""))</f>
        <v/>
      </c>
      <c r="I259" s="74">
        <f t="array" ref="I259">IF(OR($D259="",$D259="NO ENCONTRADO"),"",_xlfn.XLOOKUP($D259,Productos!$E:$E,Productos!$F:$F,""))</f>
        <v/>
      </c>
      <c r="J259" s="74">
        <f>IF($C259="","",IF($D259="NO ENCONTRADO",IF(COUNTIF($C$7:$C$1000,$C259)&gt;1,"⚠️ No encontrado | Duplicado","⚠️ No encontrado"),IF(COUNTIF($C$7:$C$1000,$C259)&gt;1,"⚠️ Duplicado","Verificado")))</f>
        <v/>
      </c>
    </row>
    <row r="260" ht="15.75" customHeight="1" s="176">
      <c r="B260" s="80" t="n"/>
      <c r="C260" s="74" t="n"/>
      <c r="D260" s="74">
        <f t="array" ref="D260">IF($C260="","",IFNA(_xlfn.XLOOKUP($C260,Productos!$A:$A,Productos!$E:$E,IFNA(_xlfn.XLOOKUP(TEXT($C260,"0"),Productos!$A:$A,Productos!$E:$E,IFNA(_xlfn.XLOOKUP(IFERROR(VALUE($C260),""),Productos!$A:$A,Productos!$E:$E,_xlfn.XLOOKUP($C260,Productos!$E:$E,Productos!$E:$E,"NO ENCONTRADO")),"NO ENCONTRADO")),"NO ENCONTRADO")),"NO ENCONTRADO"))</f>
        <v/>
      </c>
      <c r="E260" s="74">
        <f t="array" ref="E260">IF(OR($D260="",$D260="NO ENCONTRADO"),"",_xlfn.XLOOKUP($D260,Productos!$E:$E,Productos!$H:$H,""))</f>
        <v/>
      </c>
      <c r="F260" s="74">
        <f t="array" ref="F260">IF(OR($D260="",$D260="NO ENCONTRADO"),"",_xlfn.XLOOKUP($D260,Productos!$E:$E,Productos!$I:$I,""))</f>
        <v/>
      </c>
      <c r="G260" s="74">
        <f t="array" ref="G260">IF(OR($D260="",$D260="NO ENCONTRADO"),"",_xlfn.XLOOKUP($D260,Productos!$E:$E,Productos!$J:$J,""))</f>
        <v/>
      </c>
      <c r="H260" s="74">
        <f t="array" ref="H260">IF(OR($D260="",$D260="NO ENCONTRADO"),"",_xlfn.XLOOKUP($D260,Productos!$E:$E,Productos!$K:$K,""))</f>
        <v/>
      </c>
      <c r="I260" s="74">
        <f t="array" ref="I260">IF(OR($D260="",$D260="NO ENCONTRADO"),"",_xlfn.XLOOKUP($D260,Productos!$E:$E,Productos!$F:$F,""))</f>
        <v/>
      </c>
      <c r="J260" s="74">
        <f>IF($C260="","",IF($D260="NO ENCONTRADO",IF(COUNTIF($C$7:$C$1000,$C260)&gt;1,"⚠️ No encontrado | Duplicado","⚠️ No encontrado"),IF(COUNTIF($C$7:$C$1000,$C260)&gt;1,"⚠️ Duplicado","Verificado")))</f>
        <v/>
      </c>
    </row>
    <row r="261" ht="15.75" customHeight="1" s="176">
      <c r="B261" s="80" t="n"/>
      <c r="C261" s="74" t="n"/>
      <c r="D261" s="74">
        <f t="array" ref="D261">IF($C261="","",IFNA(_xlfn.XLOOKUP($C261,Productos!$A:$A,Productos!$E:$E,IFNA(_xlfn.XLOOKUP(TEXT($C261,"0"),Productos!$A:$A,Productos!$E:$E,IFNA(_xlfn.XLOOKUP(IFERROR(VALUE($C261),""),Productos!$A:$A,Productos!$E:$E,_xlfn.XLOOKUP($C261,Productos!$E:$E,Productos!$E:$E,"NO ENCONTRADO")),"NO ENCONTRADO")),"NO ENCONTRADO")),"NO ENCONTRADO"))</f>
        <v/>
      </c>
      <c r="E261" s="74">
        <f t="array" ref="E261">IF(OR($D261="",$D261="NO ENCONTRADO"),"",_xlfn.XLOOKUP($D261,Productos!$E:$E,Productos!$H:$H,""))</f>
        <v/>
      </c>
      <c r="F261" s="74">
        <f t="array" ref="F261">IF(OR($D261="",$D261="NO ENCONTRADO"),"",_xlfn.XLOOKUP($D261,Productos!$E:$E,Productos!$I:$I,""))</f>
        <v/>
      </c>
      <c r="G261" s="74">
        <f t="array" ref="G261">IF(OR($D261="",$D261="NO ENCONTRADO"),"",_xlfn.XLOOKUP($D261,Productos!$E:$E,Productos!$J:$J,""))</f>
        <v/>
      </c>
      <c r="H261" s="74">
        <f t="array" ref="H261">IF(OR($D261="",$D261="NO ENCONTRADO"),"",_xlfn.XLOOKUP($D261,Productos!$E:$E,Productos!$K:$K,""))</f>
        <v/>
      </c>
      <c r="I261" s="74">
        <f t="array" ref="I261">IF(OR($D261="",$D261="NO ENCONTRADO"),"",_xlfn.XLOOKUP($D261,Productos!$E:$E,Productos!$F:$F,""))</f>
        <v/>
      </c>
      <c r="J261" s="74">
        <f>IF($C261="","",IF($D261="NO ENCONTRADO",IF(COUNTIF($C$7:$C$1000,$C261)&gt;1,"⚠️ No encontrado | Duplicado","⚠️ No encontrado"),IF(COUNTIF($C$7:$C$1000,$C261)&gt;1,"⚠️ Duplicado","Verificado")))</f>
        <v/>
      </c>
    </row>
    <row r="262" ht="15.75" customHeight="1" s="176">
      <c r="B262" s="80" t="n"/>
      <c r="C262" s="74" t="n"/>
      <c r="D262" s="74">
        <f t="array" ref="D262">IF($C262="","",IFNA(_xlfn.XLOOKUP($C262,Productos!$A:$A,Productos!$E:$E,IFNA(_xlfn.XLOOKUP(TEXT($C262,"0"),Productos!$A:$A,Productos!$E:$E,IFNA(_xlfn.XLOOKUP(IFERROR(VALUE($C262),""),Productos!$A:$A,Productos!$E:$E,_xlfn.XLOOKUP($C262,Productos!$E:$E,Productos!$E:$E,"NO ENCONTRADO")),"NO ENCONTRADO")),"NO ENCONTRADO")),"NO ENCONTRADO"))</f>
        <v/>
      </c>
      <c r="E262" s="74">
        <f t="array" ref="E262">IF(OR($D262="",$D262="NO ENCONTRADO"),"",_xlfn.XLOOKUP($D262,Productos!$E:$E,Productos!$H:$H,""))</f>
        <v/>
      </c>
      <c r="F262" s="74">
        <f t="array" ref="F262">IF(OR($D262="",$D262="NO ENCONTRADO"),"",_xlfn.XLOOKUP($D262,Productos!$E:$E,Productos!$I:$I,""))</f>
        <v/>
      </c>
      <c r="G262" s="74">
        <f t="array" ref="G262">IF(OR($D262="",$D262="NO ENCONTRADO"),"",_xlfn.XLOOKUP($D262,Productos!$E:$E,Productos!$J:$J,""))</f>
        <v/>
      </c>
      <c r="H262" s="74">
        <f t="array" ref="H262">IF(OR($D262="",$D262="NO ENCONTRADO"),"",_xlfn.XLOOKUP($D262,Productos!$E:$E,Productos!$K:$K,""))</f>
        <v/>
      </c>
      <c r="I262" s="74">
        <f t="array" ref="I262">IF(OR($D262="",$D262="NO ENCONTRADO"),"",_xlfn.XLOOKUP($D262,Productos!$E:$E,Productos!$F:$F,""))</f>
        <v/>
      </c>
      <c r="J262" s="74">
        <f>IF($C262="","",IF($D262="NO ENCONTRADO",IF(COUNTIF($C$7:$C$1000,$C262)&gt;1,"⚠️ No encontrado | Duplicado","⚠️ No encontrado"),IF(COUNTIF($C$7:$C$1000,$C262)&gt;1,"⚠️ Duplicado","Verificado")))</f>
        <v/>
      </c>
    </row>
    <row r="263" ht="15.75" customHeight="1" s="176">
      <c r="B263" s="80" t="n"/>
      <c r="C263" s="74" t="n"/>
      <c r="D263" s="74">
        <f t="array" ref="D263">IF($C263="","",IFNA(_xlfn.XLOOKUP($C263,Productos!$A:$A,Productos!$E:$E,IFNA(_xlfn.XLOOKUP(TEXT($C263,"0"),Productos!$A:$A,Productos!$E:$E,IFNA(_xlfn.XLOOKUP(IFERROR(VALUE($C263),""),Productos!$A:$A,Productos!$E:$E,_xlfn.XLOOKUP($C263,Productos!$E:$E,Productos!$E:$E,"NO ENCONTRADO")),"NO ENCONTRADO")),"NO ENCONTRADO")),"NO ENCONTRADO"))</f>
        <v/>
      </c>
      <c r="E263" s="74">
        <f t="array" ref="E263">IF(OR($D263="",$D263="NO ENCONTRADO"),"",_xlfn.XLOOKUP($D263,Productos!$E:$E,Productos!$H:$H,""))</f>
        <v/>
      </c>
      <c r="F263" s="74">
        <f t="array" ref="F263">IF(OR($D263="",$D263="NO ENCONTRADO"),"",_xlfn.XLOOKUP($D263,Productos!$E:$E,Productos!$I:$I,""))</f>
        <v/>
      </c>
      <c r="G263" s="74">
        <f t="array" ref="G263">IF(OR($D263="",$D263="NO ENCONTRADO"),"",_xlfn.XLOOKUP($D263,Productos!$E:$E,Productos!$J:$J,""))</f>
        <v/>
      </c>
      <c r="H263" s="74">
        <f t="array" ref="H263">IF(OR($D263="",$D263="NO ENCONTRADO"),"",_xlfn.XLOOKUP($D263,Productos!$E:$E,Productos!$K:$K,""))</f>
        <v/>
      </c>
      <c r="I263" s="74">
        <f t="array" ref="I263">IF(OR($D263="",$D263="NO ENCONTRADO"),"",_xlfn.XLOOKUP($D263,Productos!$E:$E,Productos!$F:$F,""))</f>
        <v/>
      </c>
      <c r="J263" s="74">
        <f>IF($C263="","",IF($D263="NO ENCONTRADO",IF(COUNTIF($C$7:$C$1000,$C263)&gt;1,"⚠️ No encontrado | Duplicado","⚠️ No encontrado"),IF(COUNTIF($C$7:$C$1000,$C263)&gt;1,"⚠️ Duplicado","Verificado")))</f>
        <v/>
      </c>
    </row>
    <row r="264" ht="15.75" customHeight="1" s="176">
      <c r="B264" s="80" t="n"/>
      <c r="C264" s="74" t="n"/>
      <c r="D264" s="74">
        <f t="array" ref="D264">IF($C264="","",IFNA(_xlfn.XLOOKUP($C264,Productos!$A:$A,Productos!$E:$E,IFNA(_xlfn.XLOOKUP(TEXT($C264,"0"),Productos!$A:$A,Productos!$E:$E,IFNA(_xlfn.XLOOKUP(IFERROR(VALUE($C264),""),Productos!$A:$A,Productos!$E:$E,_xlfn.XLOOKUP($C264,Productos!$E:$E,Productos!$E:$E,"NO ENCONTRADO")),"NO ENCONTRADO")),"NO ENCONTRADO")),"NO ENCONTRADO"))</f>
        <v/>
      </c>
      <c r="E264" s="74">
        <f t="array" ref="E264">IF(OR($D264="",$D264="NO ENCONTRADO"),"",_xlfn.XLOOKUP($D264,Productos!$E:$E,Productos!$H:$H,""))</f>
        <v/>
      </c>
      <c r="F264" s="74">
        <f t="array" ref="F264">IF(OR($D264="",$D264="NO ENCONTRADO"),"",_xlfn.XLOOKUP($D264,Productos!$E:$E,Productos!$I:$I,""))</f>
        <v/>
      </c>
      <c r="G264" s="74">
        <f t="array" ref="G264">IF(OR($D264="",$D264="NO ENCONTRADO"),"",_xlfn.XLOOKUP($D264,Productos!$E:$E,Productos!$J:$J,""))</f>
        <v/>
      </c>
      <c r="H264" s="74">
        <f t="array" ref="H264">IF(OR($D264="",$D264="NO ENCONTRADO"),"",_xlfn.XLOOKUP($D264,Productos!$E:$E,Productos!$K:$K,""))</f>
        <v/>
      </c>
      <c r="I264" s="74">
        <f t="array" ref="I264">IF(OR($D264="",$D264="NO ENCONTRADO"),"",_xlfn.XLOOKUP($D264,Productos!$E:$E,Productos!$F:$F,""))</f>
        <v/>
      </c>
      <c r="J264" s="74">
        <f>IF($C264="","",IF($D264="NO ENCONTRADO",IF(COUNTIF($C$7:$C$1000,$C264)&gt;1,"⚠️ No encontrado | Duplicado","⚠️ No encontrado"),IF(COUNTIF($C$7:$C$1000,$C264)&gt;1,"⚠️ Duplicado","Verificado")))</f>
        <v/>
      </c>
    </row>
    <row r="265" ht="15.75" customHeight="1" s="176">
      <c r="B265" s="80" t="n"/>
      <c r="C265" s="74" t="n"/>
      <c r="D265" s="74">
        <f t="array" ref="D265">IF($C265="","",IFNA(_xlfn.XLOOKUP($C265,Productos!$A:$A,Productos!$E:$E,IFNA(_xlfn.XLOOKUP(TEXT($C265,"0"),Productos!$A:$A,Productos!$E:$E,IFNA(_xlfn.XLOOKUP(IFERROR(VALUE($C265),""),Productos!$A:$A,Productos!$E:$E,_xlfn.XLOOKUP($C265,Productos!$E:$E,Productos!$E:$E,"NO ENCONTRADO")),"NO ENCONTRADO")),"NO ENCONTRADO")),"NO ENCONTRADO"))</f>
        <v/>
      </c>
      <c r="E265" s="74">
        <f t="array" ref="E265">IF(OR($D265="",$D265="NO ENCONTRADO"),"",_xlfn.XLOOKUP($D265,Productos!$E:$E,Productos!$H:$H,""))</f>
        <v/>
      </c>
      <c r="F265" s="74">
        <f t="array" ref="F265">IF(OR($D265="",$D265="NO ENCONTRADO"),"",_xlfn.XLOOKUP($D265,Productos!$E:$E,Productos!$I:$I,""))</f>
        <v/>
      </c>
      <c r="G265" s="74">
        <f t="array" ref="G265">IF(OR($D265="",$D265="NO ENCONTRADO"),"",_xlfn.XLOOKUP($D265,Productos!$E:$E,Productos!$J:$J,""))</f>
        <v/>
      </c>
      <c r="H265" s="74">
        <f t="array" ref="H265">IF(OR($D265="",$D265="NO ENCONTRADO"),"",_xlfn.XLOOKUP($D265,Productos!$E:$E,Productos!$K:$K,""))</f>
        <v/>
      </c>
      <c r="I265" s="74">
        <f t="array" ref="I265">IF(OR($D265="",$D265="NO ENCONTRADO"),"",_xlfn.XLOOKUP($D265,Productos!$E:$E,Productos!$F:$F,""))</f>
        <v/>
      </c>
      <c r="J265" s="74">
        <f>IF($C265="","",IF($D265="NO ENCONTRADO",IF(COUNTIF($C$7:$C$1000,$C265)&gt;1,"⚠️ No encontrado | Duplicado","⚠️ No encontrado"),IF(COUNTIF($C$7:$C$1000,$C265)&gt;1,"⚠️ Duplicado","Verificado")))</f>
        <v/>
      </c>
    </row>
    <row r="266" ht="15.75" customHeight="1" s="176">
      <c r="B266" s="80" t="n"/>
      <c r="C266" s="74" t="n"/>
      <c r="D266" s="74">
        <f t="array" ref="D266">IF($C266="","",IFNA(_xlfn.XLOOKUP($C266,Productos!$A:$A,Productos!$E:$E,IFNA(_xlfn.XLOOKUP(TEXT($C266,"0"),Productos!$A:$A,Productos!$E:$E,IFNA(_xlfn.XLOOKUP(IFERROR(VALUE($C266),""),Productos!$A:$A,Productos!$E:$E,_xlfn.XLOOKUP($C266,Productos!$E:$E,Productos!$E:$E,"NO ENCONTRADO")),"NO ENCONTRADO")),"NO ENCONTRADO")),"NO ENCONTRADO"))</f>
        <v/>
      </c>
      <c r="E266" s="74">
        <f t="array" ref="E266">IF(OR($D266="",$D266="NO ENCONTRADO"),"",_xlfn.XLOOKUP($D266,Productos!$E:$E,Productos!$H:$H,""))</f>
        <v/>
      </c>
      <c r="F266" s="74">
        <f t="array" ref="F266">IF(OR($D266="",$D266="NO ENCONTRADO"),"",_xlfn.XLOOKUP($D266,Productos!$E:$E,Productos!$I:$I,""))</f>
        <v/>
      </c>
      <c r="G266" s="74">
        <f t="array" ref="G266">IF(OR($D266="",$D266="NO ENCONTRADO"),"",_xlfn.XLOOKUP($D266,Productos!$E:$E,Productos!$J:$J,""))</f>
        <v/>
      </c>
      <c r="H266" s="74">
        <f t="array" ref="H266">IF(OR($D266="",$D266="NO ENCONTRADO"),"",_xlfn.XLOOKUP($D266,Productos!$E:$E,Productos!$K:$K,""))</f>
        <v/>
      </c>
      <c r="I266" s="74">
        <f t="array" ref="I266">IF(OR($D266="",$D266="NO ENCONTRADO"),"",_xlfn.XLOOKUP($D266,Productos!$E:$E,Productos!$F:$F,""))</f>
        <v/>
      </c>
      <c r="J266" s="74">
        <f>IF($C266="","",IF($D266="NO ENCONTRADO",IF(COUNTIF($C$7:$C$1000,$C266)&gt;1,"⚠️ No encontrado | Duplicado","⚠️ No encontrado"),IF(COUNTIF($C$7:$C$1000,$C266)&gt;1,"⚠️ Duplicado","Verificado")))</f>
        <v/>
      </c>
    </row>
    <row r="267" ht="15.75" customHeight="1" s="176">
      <c r="B267" s="80" t="n"/>
      <c r="C267" s="74" t="n"/>
      <c r="D267" s="74">
        <f t="array" ref="D267">IF($C267="","",IFNA(_xlfn.XLOOKUP($C267,Productos!$A:$A,Productos!$E:$E,IFNA(_xlfn.XLOOKUP(TEXT($C267,"0"),Productos!$A:$A,Productos!$E:$E,IFNA(_xlfn.XLOOKUP(IFERROR(VALUE($C267),""),Productos!$A:$A,Productos!$E:$E,_xlfn.XLOOKUP($C267,Productos!$E:$E,Productos!$E:$E,"NO ENCONTRADO")),"NO ENCONTRADO")),"NO ENCONTRADO")),"NO ENCONTRADO"))</f>
        <v/>
      </c>
      <c r="E267" s="74">
        <f t="array" ref="E267">IF(OR($D267="",$D267="NO ENCONTRADO"),"",_xlfn.XLOOKUP($D267,Productos!$E:$E,Productos!$H:$H,""))</f>
        <v/>
      </c>
      <c r="F267" s="74">
        <f t="array" ref="F267">IF(OR($D267="",$D267="NO ENCONTRADO"),"",_xlfn.XLOOKUP($D267,Productos!$E:$E,Productos!$I:$I,""))</f>
        <v/>
      </c>
      <c r="G267" s="74">
        <f t="array" ref="G267">IF(OR($D267="",$D267="NO ENCONTRADO"),"",_xlfn.XLOOKUP($D267,Productos!$E:$E,Productos!$J:$J,""))</f>
        <v/>
      </c>
      <c r="H267" s="74">
        <f t="array" ref="H267">IF(OR($D267="",$D267="NO ENCONTRADO"),"",_xlfn.XLOOKUP($D267,Productos!$E:$E,Productos!$K:$K,""))</f>
        <v/>
      </c>
      <c r="I267" s="74">
        <f t="array" ref="I267">IF(OR($D267="",$D267="NO ENCONTRADO"),"",_xlfn.XLOOKUP($D267,Productos!$E:$E,Productos!$F:$F,""))</f>
        <v/>
      </c>
      <c r="J267" s="74">
        <f>IF($C267="","",IF($D267="NO ENCONTRADO",IF(COUNTIF($C$7:$C$1000,$C267)&gt;1,"⚠️ No encontrado | Duplicado","⚠️ No encontrado"),IF(COUNTIF($C$7:$C$1000,$C267)&gt;1,"⚠️ Duplicado","Verificado")))</f>
        <v/>
      </c>
    </row>
    <row r="268" ht="15.75" customHeight="1" s="176">
      <c r="B268" s="80" t="n"/>
      <c r="C268" s="74" t="n"/>
      <c r="D268" s="74">
        <f t="array" ref="D268">IF($C268="","",IFNA(_xlfn.XLOOKUP($C268,Productos!$A:$A,Productos!$E:$E,IFNA(_xlfn.XLOOKUP(TEXT($C268,"0"),Productos!$A:$A,Productos!$E:$E,IFNA(_xlfn.XLOOKUP(IFERROR(VALUE($C268),""),Productos!$A:$A,Productos!$E:$E,_xlfn.XLOOKUP($C268,Productos!$E:$E,Productos!$E:$E,"NO ENCONTRADO")),"NO ENCONTRADO")),"NO ENCONTRADO")),"NO ENCONTRADO"))</f>
        <v/>
      </c>
      <c r="E268" s="74">
        <f t="array" ref="E268">IF(OR($D268="",$D268="NO ENCONTRADO"),"",_xlfn.XLOOKUP($D268,Productos!$E:$E,Productos!$H:$H,""))</f>
        <v/>
      </c>
      <c r="F268" s="74">
        <f t="array" ref="F268">IF(OR($D268="",$D268="NO ENCONTRADO"),"",_xlfn.XLOOKUP($D268,Productos!$E:$E,Productos!$I:$I,""))</f>
        <v/>
      </c>
      <c r="G268" s="74">
        <f t="array" ref="G268">IF(OR($D268="",$D268="NO ENCONTRADO"),"",_xlfn.XLOOKUP($D268,Productos!$E:$E,Productos!$J:$J,""))</f>
        <v/>
      </c>
      <c r="H268" s="74">
        <f t="array" ref="H268">IF(OR($D268="",$D268="NO ENCONTRADO"),"",_xlfn.XLOOKUP($D268,Productos!$E:$E,Productos!$K:$K,""))</f>
        <v/>
      </c>
      <c r="I268" s="74">
        <f t="array" ref="I268">IF(OR($D268="",$D268="NO ENCONTRADO"),"",_xlfn.XLOOKUP($D268,Productos!$E:$E,Productos!$F:$F,""))</f>
        <v/>
      </c>
      <c r="J268" s="74">
        <f>IF($C268="","",IF($D268="NO ENCONTRADO",IF(COUNTIF($C$7:$C$1000,$C268)&gt;1,"⚠️ No encontrado | Duplicado","⚠️ No encontrado"),IF(COUNTIF($C$7:$C$1000,$C268)&gt;1,"⚠️ Duplicado","Verificado")))</f>
        <v/>
      </c>
    </row>
    <row r="269" ht="15.75" customHeight="1" s="176">
      <c r="B269" s="80" t="n"/>
      <c r="C269" s="74" t="n"/>
      <c r="D269" s="74">
        <f t="array" ref="D269">IF($C269="","",IFNA(_xlfn.XLOOKUP($C269,Productos!$A:$A,Productos!$E:$E,IFNA(_xlfn.XLOOKUP(TEXT($C269,"0"),Productos!$A:$A,Productos!$E:$E,IFNA(_xlfn.XLOOKUP(IFERROR(VALUE($C269),""),Productos!$A:$A,Productos!$E:$E,_xlfn.XLOOKUP($C269,Productos!$E:$E,Productos!$E:$E,"NO ENCONTRADO")),"NO ENCONTRADO")),"NO ENCONTRADO")),"NO ENCONTRADO"))</f>
        <v/>
      </c>
      <c r="E269" s="74">
        <f t="array" ref="E269">IF(OR($D269="",$D269="NO ENCONTRADO"),"",_xlfn.XLOOKUP($D269,Productos!$E:$E,Productos!$H:$H,""))</f>
        <v/>
      </c>
      <c r="F269" s="74">
        <f t="array" ref="F269">IF(OR($D269="",$D269="NO ENCONTRADO"),"",_xlfn.XLOOKUP($D269,Productos!$E:$E,Productos!$I:$I,""))</f>
        <v/>
      </c>
      <c r="G269" s="74">
        <f t="array" ref="G269">IF(OR($D269="",$D269="NO ENCONTRADO"),"",_xlfn.XLOOKUP($D269,Productos!$E:$E,Productos!$J:$J,""))</f>
        <v/>
      </c>
      <c r="H269" s="74">
        <f t="array" ref="H269">IF(OR($D269="",$D269="NO ENCONTRADO"),"",_xlfn.XLOOKUP($D269,Productos!$E:$E,Productos!$K:$K,""))</f>
        <v/>
      </c>
      <c r="I269" s="74">
        <f t="array" ref="I269">IF(OR($D269="",$D269="NO ENCONTRADO"),"",_xlfn.XLOOKUP($D269,Productos!$E:$E,Productos!$F:$F,""))</f>
        <v/>
      </c>
      <c r="J269" s="74">
        <f>IF($C269="","",IF($D269="NO ENCONTRADO",IF(COUNTIF($C$7:$C$1000,$C269)&gt;1,"⚠️ No encontrado | Duplicado","⚠️ No encontrado"),IF(COUNTIF($C$7:$C$1000,$C269)&gt;1,"⚠️ Duplicado","Verificado")))</f>
        <v/>
      </c>
    </row>
    <row r="270" ht="15.75" customHeight="1" s="176">
      <c r="B270" s="80" t="n"/>
      <c r="C270" s="74" t="n"/>
      <c r="D270" s="74">
        <f t="array" ref="D270">IF($C270="","",IFNA(_xlfn.XLOOKUP($C270,Productos!$A:$A,Productos!$E:$E,IFNA(_xlfn.XLOOKUP(TEXT($C270,"0"),Productos!$A:$A,Productos!$E:$E,IFNA(_xlfn.XLOOKUP(IFERROR(VALUE($C270),""),Productos!$A:$A,Productos!$E:$E,_xlfn.XLOOKUP($C270,Productos!$E:$E,Productos!$E:$E,"NO ENCONTRADO")),"NO ENCONTRADO")),"NO ENCONTRADO")),"NO ENCONTRADO"))</f>
        <v/>
      </c>
      <c r="E270" s="74">
        <f t="array" ref="E270">IF(OR($D270="",$D270="NO ENCONTRADO"),"",_xlfn.XLOOKUP($D270,Productos!$E:$E,Productos!$H:$H,""))</f>
        <v/>
      </c>
      <c r="F270" s="74">
        <f t="array" ref="F270">IF(OR($D270="",$D270="NO ENCONTRADO"),"",_xlfn.XLOOKUP($D270,Productos!$E:$E,Productos!$I:$I,""))</f>
        <v/>
      </c>
      <c r="G270" s="74">
        <f t="array" ref="G270">IF(OR($D270="",$D270="NO ENCONTRADO"),"",_xlfn.XLOOKUP($D270,Productos!$E:$E,Productos!$J:$J,""))</f>
        <v/>
      </c>
      <c r="H270" s="74">
        <f t="array" ref="H270">IF(OR($D270="",$D270="NO ENCONTRADO"),"",_xlfn.XLOOKUP($D270,Productos!$E:$E,Productos!$K:$K,""))</f>
        <v/>
      </c>
      <c r="I270" s="74">
        <f t="array" ref="I270">IF(OR($D270="",$D270="NO ENCONTRADO"),"",_xlfn.XLOOKUP($D270,Productos!$E:$E,Productos!$F:$F,""))</f>
        <v/>
      </c>
      <c r="J270" s="74">
        <f>IF($C270="","",IF($D270="NO ENCONTRADO",IF(COUNTIF($C$7:$C$1000,$C270)&gt;1,"⚠️ No encontrado | Duplicado","⚠️ No encontrado"),IF(COUNTIF($C$7:$C$1000,$C270)&gt;1,"⚠️ Duplicado","Verificado")))</f>
        <v/>
      </c>
    </row>
    <row r="271" ht="15.75" customHeight="1" s="176">
      <c r="B271" s="80" t="n"/>
      <c r="C271" s="74" t="n"/>
      <c r="D271" s="74">
        <f t="array" ref="D271">IF($C271="","",IFNA(_xlfn.XLOOKUP($C271,Productos!$A:$A,Productos!$E:$E,IFNA(_xlfn.XLOOKUP(TEXT($C271,"0"),Productos!$A:$A,Productos!$E:$E,IFNA(_xlfn.XLOOKUP(IFERROR(VALUE($C271),""),Productos!$A:$A,Productos!$E:$E,_xlfn.XLOOKUP($C271,Productos!$E:$E,Productos!$E:$E,"NO ENCONTRADO")),"NO ENCONTRADO")),"NO ENCONTRADO")),"NO ENCONTRADO"))</f>
        <v/>
      </c>
      <c r="E271" s="74">
        <f t="array" ref="E271">IF(OR($D271="",$D271="NO ENCONTRADO"),"",_xlfn.XLOOKUP($D271,Productos!$E:$E,Productos!$H:$H,""))</f>
        <v/>
      </c>
      <c r="F271" s="74">
        <f t="array" ref="F271">IF(OR($D271="",$D271="NO ENCONTRADO"),"",_xlfn.XLOOKUP($D271,Productos!$E:$E,Productos!$I:$I,""))</f>
        <v/>
      </c>
      <c r="G271" s="74">
        <f t="array" ref="G271">IF(OR($D271="",$D271="NO ENCONTRADO"),"",_xlfn.XLOOKUP($D271,Productos!$E:$E,Productos!$J:$J,""))</f>
        <v/>
      </c>
      <c r="H271" s="74">
        <f t="array" ref="H271">IF(OR($D271="",$D271="NO ENCONTRADO"),"",_xlfn.XLOOKUP($D271,Productos!$E:$E,Productos!$K:$K,""))</f>
        <v/>
      </c>
      <c r="I271" s="74">
        <f t="array" ref="I271">IF(OR($D271="",$D271="NO ENCONTRADO"),"",_xlfn.XLOOKUP($D271,Productos!$E:$E,Productos!$F:$F,""))</f>
        <v/>
      </c>
      <c r="J271" s="74">
        <f>IF($C271="","",IF($D271="NO ENCONTRADO",IF(COUNTIF($C$7:$C$1000,$C271)&gt;1,"⚠️ No encontrado | Duplicado","⚠️ No encontrado"),IF(COUNTIF($C$7:$C$1000,$C271)&gt;1,"⚠️ Duplicado","Verificado")))</f>
        <v/>
      </c>
    </row>
    <row r="272" ht="15.75" customHeight="1" s="176">
      <c r="B272" s="80" t="n"/>
      <c r="C272" s="74" t="n"/>
      <c r="D272" s="74">
        <f t="array" ref="D272">IF($C272="","",IFNA(_xlfn.XLOOKUP($C272,Productos!$A:$A,Productos!$E:$E,IFNA(_xlfn.XLOOKUP(TEXT($C272,"0"),Productos!$A:$A,Productos!$E:$E,IFNA(_xlfn.XLOOKUP(IFERROR(VALUE($C272),""),Productos!$A:$A,Productos!$E:$E,_xlfn.XLOOKUP($C272,Productos!$E:$E,Productos!$E:$E,"NO ENCONTRADO")),"NO ENCONTRADO")),"NO ENCONTRADO")),"NO ENCONTRADO"))</f>
        <v/>
      </c>
      <c r="E272" s="74">
        <f t="array" ref="E272">IF(OR($D272="",$D272="NO ENCONTRADO"),"",_xlfn.XLOOKUP($D272,Productos!$E:$E,Productos!$H:$H,""))</f>
        <v/>
      </c>
      <c r="F272" s="74">
        <f t="array" ref="F272">IF(OR($D272="",$D272="NO ENCONTRADO"),"",_xlfn.XLOOKUP($D272,Productos!$E:$E,Productos!$I:$I,""))</f>
        <v/>
      </c>
      <c r="G272" s="74">
        <f t="array" ref="G272">IF(OR($D272="",$D272="NO ENCONTRADO"),"",_xlfn.XLOOKUP($D272,Productos!$E:$E,Productos!$J:$J,""))</f>
        <v/>
      </c>
      <c r="H272" s="74">
        <f t="array" ref="H272">IF(OR($D272="",$D272="NO ENCONTRADO"),"",_xlfn.XLOOKUP($D272,Productos!$E:$E,Productos!$K:$K,""))</f>
        <v/>
      </c>
      <c r="I272" s="74">
        <f t="array" ref="I272">IF(OR($D272="",$D272="NO ENCONTRADO"),"",_xlfn.XLOOKUP($D272,Productos!$E:$E,Productos!$F:$F,""))</f>
        <v/>
      </c>
      <c r="J272" s="74">
        <f>IF($C272="","",IF($D272="NO ENCONTRADO",IF(COUNTIF($C$7:$C$1000,$C272)&gt;1,"⚠️ No encontrado | Duplicado","⚠️ No encontrado"),IF(COUNTIF($C$7:$C$1000,$C272)&gt;1,"⚠️ Duplicado","Verificado")))</f>
        <v/>
      </c>
    </row>
    <row r="273" ht="15.75" customHeight="1" s="176">
      <c r="B273" s="80" t="n"/>
      <c r="C273" s="74" t="n"/>
      <c r="D273" s="74">
        <f t="array" ref="D273">IF($C273="","",IFNA(_xlfn.XLOOKUP($C273,Productos!$A:$A,Productos!$E:$E,IFNA(_xlfn.XLOOKUP(TEXT($C273,"0"),Productos!$A:$A,Productos!$E:$E,IFNA(_xlfn.XLOOKUP(IFERROR(VALUE($C273),""),Productos!$A:$A,Productos!$E:$E,_xlfn.XLOOKUP($C273,Productos!$E:$E,Productos!$E:$E,"NO ENCONTRADO")),"NO ENCONTRADO")),"NO ENCONTRADO")),"NO ENCONTRADO"))</f>
        <v/>
      </c>
      <c r="E273" s="74">
        <f t="array" ref="E273">IF(OR($D273="",$D273="NO ENCONTRADO"),"",_xlfn.XLOOKUP($D273,Productos!$E:$E,Productos!$H:$H,""))</f>
        <v/>
      </c>
      <c r="F273" s="74">
        <f t="array" ref="F273">IF(OR($D273="",$D273="NO ENCONTRADO"),"",_xlfn.XLOOKUP($D273,Productos!$E:$E,Productos!$I:$I,""))</f>
        <v/>
      </c>
      <c r="G273" s="74">
        <f t="array" ref="G273">IF(OR($D273="",$D273="NO ENCONTRADO"),"",_xlfn.XLOOKUP($D273,Productos!$E:$E,Productos!$J:$J,""))</f>
        <v/>
      </c>
      <c r="H273" s="74">
        <f t="array" ref="H273">IF(OR($D273="",$D273="NO ENCONTRADO"),"",_xlfn.XLOOKUP($D273,Productos!$E:$E,Productos!$K:$K,""))</f>
        <v/>
      </c>
      <c r="I273" s="74">
        <f t="array" ref="I273">IF(OR($D273="",$D273="NO ENCONTRADO"),"",_xlfn.XLOOKUP($D273,Productos!$E:$E,Productos!$F:$F,""))</f>
        <v/>
      </c>
      <c r="J273" s="74">
        <f>IF($C273="","",IF($D273="NO ENCONTRADO",IF(COUNTIF($C$7:$C$1000,$C273)&gt;1,"⚠️ No encontrado | Duplicado","⚠️ No encontrado"),IF(COUNTIF($C$7:$C$1000,$C273)&gt;1,"⚠️ Duplicado","Verificado")))</f>
        <v/>
      </c>
    </row>
    <row r="274" ht="15.75" customHeight="1" s="176">
      <c r="B274" s="80" t="n"/>
      <c r="C274" s="74" t="n"/>
      <c r="D274" s="74">
        <f t="array" ref="D274">IF($C274="","",IFNA(_xlfn.XLOOKUP($C274,Productos!$A:$A,Productos!$E:$E,IFNA(_xlfn.XLOOKUP(TEXT($C274,"0"),Productos!$A:$A,Productos!$E:$E,IFNA(_xlfn.XLOOKUP(IFERROR(VALUE($C274),""),Productos!$A:$A,Productos!$E:$E,_xlfn.XLOOKUP($C274,Productos!$E:$E,Productos!$E:$E,"NO ENCONTRADO")),"NO ENCONTRADO")),"NO ENCONTRADO")),"NO ENCONTRADO"))</f>
        <v/>
      </c>
      <c r="E274" s="74">
        <f t="array" ref="E274">IF(OR($D274="",$D274="NO ENCONTRADO"),"",_xlfn.XLOOKUP($D274,Productos!$E:$E,Productos!$H:$H,""))</f>
        <v/>
      </c>
      <c r="F274" s="74">
        <f t="array" ref="F274">IF(OR($D274="",$D274="NO ENCONTRADO"),"",_xlfn.XLOOKUP($D274,Productos!$E:$E,Productos!$I:$I,""))</f>
        <v/>
      </c>
      <c r="G274" s="74">
        <f t="array" ref="G274">IF(OR($D274="",$D274="NO ENCONTRADO"),"",_xlfn.XLOOKUP($D274,Productos!$E:$E,Productos!$J:$J,""))</f>
        <v/>
      </c>
      <c r="H274" s="74">
        <f t="array" ref="H274">IF(OR($D274="",$D274="NO ENCONTRADO"),"",_xlfn.XLOOKUP($D274,Productos!$E:$E,Productos!$K:$K,""))</f>
        <v/>
      </c>
      <c r="I274" s="74">
        <f t="array" ref="I274">IF(OR($D274="",$D274="NO ENCONTRADO"),"",_xlfn.XLOOKUP($D274,Productos!$E:$E,Productos!$F:$F,""))</f>
        <v/>
      </c>
      <c r="J274" s="74">
        <f>IF($C274="","",IF($D274="NO ENCONTRADO",IF(COUNTIF($C$7:$C$1000,$C274)&gt;1,"⚠️ No encontrado | Duplicado","⚠️ No encontrado"),IF(COUNTIF($C$7:$C$1000,$C274)&gt;1,"⚠️ Duplicado","Verificado")))</f>
        <v/>
      </c>
    </row>
    <row r="275" ht="15.75" customHeight="1" s="176">
      <c r="B275" s="80" t="n"/>
      <c r="C275" s="74" t="n"/>
      <c r="D275" s="74">
        <f t="array" ref="D275">IF($C275="","",IFNA(_xlfn.XLOOKUP($C275,Productos!$A:$A,Productos!$E:$E,IFNA(_xlfn.XLOOKUP(TEXT($C275,"0"),Productos!$A:$A,Productos!$E:$E,IFNA(_xlfn.XLOOKUP(IFERROR(VALUE($C275),""),Productos!$A:$A,Productos!$E:$E,_xlfn.XLOOKUP($C275,Productos!$E:$E,Productos!$E:$E,"NO ENCONTRADO")),"NO ENCONTRADO")),"NO ENCONTRADO")),"NO ENCONTRADO"))</f>
        <v/>
      </c>
      <c r="E275" s="74">
        <f t="array" ref="E275">IF(OR($D275="",$D275="NO ENCONTRADO"),"",_xlfn.XLOOKUP($D275,Productos!$E:$E,Productos!$H:$H,""))</f>
        <v/>
      </c>
      <c r="F275" s="74">
        <f t="array" ref="F275">IF(OR($D275="",$D275="NO ENCONTRADO"),"",_xlfn.XLOOKUP($D275,Productos!$E:$E,Productos!$I:$I,""))</f>
        <v/>
      </c>
      <c r="G275" s="74">
        <f t="array" ref="G275">IF(OR($D275="",$D275="NO ENCONTRADO"),"",_xlfn.XLOOKUP($D275,Productos!$E:$E,Productos!$J:$J,""))</f>
        <v/>
      </c>
      <c r="H275" s="74">
        <f t="array" ref="H275">IF(OR($D275="",$D275="NO ENCONTRADO"),"",_xlfn.XLOOKUP($D275,Productos!$E:$E,Productos!$K:$K,""))</f>
        <v/>
      </c>
      <c r="I275" s="74">
        <f t="array" ref="I275">IF(OR($D275="",$D275="NO ENCONTRADO"),"",_xlfn.XLOOKUP($D275,Productos!$E:$E,Productos!$F:$F,""))</f>
        <v/>
      </c>
      <c r="J275" s="74">
        <f>IF($C275="","",IF($D275="NO ENCONTRADO",IF(COUNTIF($C$7:$C$1000,$C275)&gt;1,"⚠️ No encontrado | Duplicado","⚠️ No encontrado"),IF(COUNTIF($C$7:$C$1000,$C275)&gt;1,"⚠️ Duplicado","Verificado")))</f>
        <v/>
      </c>
    </row>
    <row r="276" ht="15.75" customHeight="1" s="176">
      <c r="B276" s="80" t="n"/>
      <c r="C276" s="74" t="n"/>
      <c r="D276" s="74">
        <f t="array" ref="D276">IF($C276="","",IFNA(_xlfn.XLOOKUP($C276,Productos!$A:$A,Productos!$E:$E,IFNA(_xlfn.XLOOKUP(TEXT($C276,"0"),Productos!$A:$A,Productos!$E:$E,IFNA(_xlfn.XLOOKUP(IFERROR(VALUE($C276),""),Productos!$A:$A,Productos!$E:$E,_xlfn.XLOOKUP($C276,Productos!$E:$E,Productos!$E:$E,"NO ENCONTRADO")),"NO ENCONTRADO")),"NO ENCONTRADO")),"NO ENCONTRADO"))</f>
        <v/>
      </c>
      <c r="E276" s="74">
        <f t="array" ref="E276">IF(OR($D276="",$D276="NO ENCONTRADO"),"",_xlfn.XLOOKUP($D276,Productos!$E:$E,Productos!$H:$H,""))</f>
        <v/>
      </c>
      <c r="F276" s="74">
        <f t="array" ref="F276">IF(OR($D276="",$D276="NO ENCONTRADO"),"",_xlfn.XLOOKUP($D276,Productos!$E:$E,Productos!$I:$I,""))</f>
        <v/>
      </c>
      <c r="G276" s="74">
        <f t="array" ref="G276">IF(OR($D276="",$D276="NO ENCONTRADO"),"",_xlfn.XLOOKUP($D276,Productos!$E:$E,Productos!$J:$J,""))</f>
        <v/>
      </c>
      <c r="H276" s="74">
        <f t="array" ref="H276">IF(OR($D276="",$D276="NO ENCONTRADO"),"",_xlfn.XLOOKUP($D276,Productos!$E:$E,Productos!$K:$K,""))</f>
        <v/>
      </c>
      <c r="I276" s="74">
        <f t="array" ref="I276">IF(OR($D276="",$D276="NO ENCONTRADO"),"",_xlfn.XLOOKUP($D276,Productos!$E:$E,Productos!$F:$F,""))</f>
        <v/>
      </c>
      <c r="J276" s="74">
        <f>IF($C276="","",IF($D276="NO ENCONTRADO",IF(COUNTIF($C$7:$C$1000,$C276)&gt;1,"⚠️ No encontrado | Duplicado","⚠️ No encontrado"),IF(COUNTIF($C$7:$C$1000,$C276)&gt;1,"⚠️ Duplicado","Verificado")))</f>
        <v/>
      </c>
    </row>
    <row r="277" ht="15.75" customHeight="1" s="176">
      <c r="B277" s="80" t="n"/>
      <c r="C277" s="74" t="n"/>
      <c r="D277" s="74">
        <f t="array" ref="D277">IF($C277="","",IFNA(_xlfn.XLOOKUP($C277,Productos!$A:$A,Productos!$E:$E,IFNA(_xlfn.XLOOKUP(TEXT($C277,"0"),Productos!$A:$A,Productos!$E:$E,IFNA(_xlfn.XLOOKUP(IFERROR(VALUE($C277),""),Productos!$A:$A,Productos!$E:$E,_xlfn.XLOOKUP($C277,Productos!$E:$E,Productos!$E:$E,"NO ENCONTRADO")),"NO ENCONTRADO")),"NO ENCONTRADO")),"NO ENCONTRADO"))</f>
        <v/>
      </c>
      <c r="E277" s="74">
        <f t="array" ref="E277">IF(OR($D277="",$D277="NO ENCONTRADO"),"",_xlfn.XLOOKUP($D277,Productos!$E:$E,Productos!$H:$H,""))</f>
        <v/>
      </c>
      <c r="F277" s="74">
        <f t="array" ref="F277">IF(OR($D277="",$D277="NO ENCONTRADO"),"",_xlfn.XLOOKUP($D277,Productos!$E:$E,Productos!$I:$I,""))</f>
        <v/>
      </c>
      <c r="G277" s="74">
        <f t="array" ref="G277">IF(OR($D277="",$D277="NO ENCONTRADO"),"",_xlfn.XLOOKUP($D277,Productos!$E:$E,Productos!$J:$J,""))</f>
        <v/>
      </c>
      <c r="H277" s="74">
        <f t="array" ref="H277">IF(OR($D277="",$D277="NO ENCONTRADO"),"",_xlfn.XLOOKUP($D277,Productos!$E:$E,Productos!$K:$K,""))</f>
        <v/>
      </c>
      <c r="I277" s="74">
        <f t="array" ref="I277">IF(OR($D277="",$D277="NO ENCONTRADO"),"",_xlfn.XLOOKUP($D277,Productos!$E:$E,Productos!$F:$F,""))</f>
        <v/>
      </c>
      <c r="J277" s="74">
        <f>IF($C277="","",IF($D277="NO ENCONTRADO",IF(COUNTIF($C$7:$C$1000,$C277)&gt;1,"⚠️ No encontrado | Duplicado","⚠️ No encontrado"),IF(COUNTIF($C$7:$C$1000,$C277)&gt;1,"⚠️ Duplicado","Verificado")))</f>
        <v/>
      </c>
    </row>
    <row r="278" ht="15.75" customHeight="1" s="176">
      <c r="B278" s="80" t="n"/>
      <c r="C278" s="74" t="n"/>
      <c r="D278" s="74">
        <f t="array" ref="D278">IF($C278="","",IFNA(_xlfn.XLOOKUP($C278,Productos!$A:$A,Productos!$E:$E,IFNA(_xlfn.XLOOKUP(TEXT($C278,"0"),Productos!$A:$A,Productos!$E:$E,IFNA(_xlfn.XLOOKUP(IFERROR(VALUE($C278),""),Productos!$A:$A,Productos!$E:$E,_xlfn.XLOOKUP($C278,Productos!$E:$E,Productos!$E:$E,"NO ENCONTRADO")),"NO ENCONTRADO")),"NO ENCONTRADO")),"NO ENCONTRADO"))</f>
        <v/>
      </c>
      <c r="E278" s="74">
        <f t="array" ref="E278">IF(OR($D278="",$D278="NO ENCONTRADO"),"",_xlfn.XLOOKUP($D278,Productos!$E:$E,Productos!$H:$H,""))</f>
        <v/>
      </c>
      <c r="F278" s="74">
        <f t="array" ref="F278">IF(OR($D278="",$D278="NO ENCONTRADO"),"",_xlfn.XLOOKUP($D278,Productos!$E:$E,Productos!$I:$I,""))</f>
        <v/>
      </c>
      <c r="G278" s="74">
        <f t="array" ref="G278">IF(OR($D278="",$D278="NO ENCONTRADO"),"",_xlfn.XLOOKUP($D278,Productos!$E:$E,Productos!$J:$J,""))</f>
        <v/>
      </c>
      <c r="H278" s="74">
        <f t="array" ref="H278">IF(OR($D278="",$D278="NO ENCONTRADO"),"",_xlfn.XLOOKUP($D278,Productos!$E:$E,Productos!$K:$K,""))</f>
        <v/>
      </c>
      <c r="I278" s="74">
        <f t="array" ref="I278">IF(OR($D278="",$D278="NO ENCONTRADO"),"",_xlfn.XLOOKUP($D278,Productos!$E:$E,Productos!$F:$F,""))</f>
        <v/>
      </c>
      <c r="J278" s="74">
        <f>IF($C278="","",IF($D278="NO ENCONTRADO",IF(COUNTIF($C$7:$C$1000,$C278)&gt;1,"⚠️ No encontrado | Duplicado","⚠️ No encontrado"),IF(COUNTIF($C$7:$C$1000,$C278)&gt;1,"⚠️ Duplicado","Verificado")))</f>
        <v/>
      </c>
    </row>
    <row r="279" ht="15.75" customHeight="1" s="176">
      <c r="B279" s="80" t="n"/>
      <c r="C279" s="74" t="n"/>
      <c r="D279" s="74">
        <f t="array" ref="D279">IF($C279="","",IFNA(_xlfn.XLOOKUP($C279,Productos!$A:$A,Productos!$E:$E,IFNA(_xlfn.XLOOKUP(TEXT($C279,"0"),Productos!$A:$A,Productos!$E:$E,IFNA(_xlfn.XLOOKUP(IFERROR(VALUE($C279),""),Productos!$A:$A,Productos!$E:$E,_xlfn.XLOOKUP($C279,Productos!$E:$E,Productos!$E:$E,"NO ENCONTRADO")),"NO ENCONTRADO")),"NO ENCONTRADO")),"NO ENCONTRADO"))</f>
        <v/>
      </c>
      <c r="E279" s="74">
        <f t="array" ref="E279">IF(OR($D279="",$D279="NO ENCONTRADO"),"",_xlfn.XLOOKUP($D279,Productos!$E:$E,Productos!$H:$H,""))</f>
        <v/>
      </c>
      <c r="F279" s="74">
        <f t="array" ref="F279">IF(OR($D279="",$D279="NO ENCONTRADO"),"",_xlfn.XLOOKUP($D279,Productos!$E:$E,Productos!$I:$I,""))</f>
        <v/>
      </c>
      <c r="G279" s="74">
        <f t="array" ref="G279">IF(OR($D279="",$D279="NO ENCONTRADO"),"",_xlfn.XLOOKUP($D279,Productos!$E:$E,Productos!$J:$J,""))</f>
        <v/>
      </c>
      <c r="H279" s="74">
        <f t="array" ref="H279">IF(OR($D279="",$D279="NO ENCONTRADO"),"",_xlfn.XLOOKUP($D279,Productos!$E:$E,Productos!$K:$K,""))</f>
        <v/>
      </c>
      <c r="I279" s="74">
        <f t="array" ref="I279">IF(OR($D279="",$D279="NO ENCONTRADO"),"",_xlfn.XLOOKUP($D279,Productos!$E:$E,Productos!$F:$F,""))</f>
        <v/>
      </c>
      <c r="J279" s="74">
        <f>IF($C279="","",IF($D279="NO ENCONTRADO",IF(COUNTIF($C$7:$C$1000,$C279)&gt;1,"⚠️ No encontrado | Duplicado","⚠️ No encontrado"),IF(COUNTIF($C$7:$C$1000,$C279)&gt;1,"⚠️ Duplicado","Verificado")))</f>
        <v/>
      </c>
    </row>
    <row r="280" ht="15.75" customHeight="1" s="176">
      <c r="B280" s="80" t="n"/>
      <c r="C280" s="74" t="n"/>
      <c r="D280" s="74">
        <f t="array" ref="D280">IF($C280="","",IFNA(_xlfn.XLOOKUP($C280,Productos!$A:$A,Productos!$E:$E,IFNA(_xlfn.XLOOKUP(TEXT($C280,"0"),Productos!$A:$A,Productos!$E:$E,IFNA(_xlfn.XLOOKUP(IFERROR(VALUE($C280),""),Productos!$A:$A,Productos!$E:$E,_xlfn.XLOOKUP($C280,Productos!$E:$E,Productos!$E:$E,"NO ENCONTRADO")),"NO ENCONTRADO")),"NO ENCONTRADO")),"NO ENCONTRADO"))</f>
        <v/>
      </c>
      <c r="E280" s="74">
        <f t="array" ref="E280">IF(OR($D280="",$D280="NO ENCONTRADO"),"",_xlfn.XLOOKUP($D280,Productos!$E:$E,Productos!$H:$H,""))</f>
        <v/>
      </c>
      <c r="F280" s="74">
        <f t="array" ref="F280">IF(OR($D280="",$D280="NO ENCONTRADO"),"",_xlfn.XLOOKUP($D280,Productos!$E:$E,Productos!$I:$I,""))</f>
        <v/>
      </c>
      <c r="G280" s="74">
        <f t="array" ref="G280">IF(OR($D280="",$D280="NO ENCONTRADO"),"",_xlfn.XLOOKUP($D280,Productos!$E:$E,Productos!$J:$J,""))</f>
        <v/>
      </c>
      <c r="H280" s="74">
        <f t="array" ref="H280">IF(OR($D280="",$D280="NO ENCONTRADO"),"",_xlfn.XLOOKUP($D280,Productos!$E:$E,Productos!$K:$K,""))</f>
        <v/>
      </c>
      <c r="I280" s="74">
        <f t="array" ref="I280">IF(OR($D280="",$D280="NO ENCONTRADO"),"",_xlfn.XLOOKUP($D280,Productos!$E:$E,Productos!$F:$F,""))</f>
        <v/>
      </c>
      <c r="J280" s="74">
        <f>IF($C280="","",IF($D280="NO ENCONTRADO",IF(COUNTIF($C$7:$C$1000,$C280)&gt;1,"⚠️ No encontrado | Duplicado","⚠️ No encontrado"),IF(COUNTIF($C$7:$C$1000,$C280)&gt;1,"⚠️ Duplicado","Verificado")))</f>
        <v/>
      </c>
    </row>
    <row r="281" ht="15.75" customHeight="1" s="176">
      <c r="B281" s="80" t="n"/>
      <c r="C281" s="74" t="n"/>
      <c r="D281" s="74">
        <f t="array" ref="D281">IF($C281="","",IFNA(_xlfn.XLOOKUP($C281,Productos!$A:$A,Productos!$E:$E,IFNA(_xlfn.XLOOKUP(TEXT($C281,"0"),Productos!$A:$A,Productos!$E:$E,IFNA(_xlfn.XLOOKUP(IFERROR(VALUE($C281),""),Productos!$A:$A,Productos!$E:$E,_xlfn.XLOOKUP($C281,Productos!$E:$E,Productos!$E:$E,"NO ENCONTRADO")),"NO ENCONTRADO")),"NO ENCONTRADO")),"NO ENCONTRADO"))</f>
        <v/>
      </c>
      <c r="E281" s="74">
        <f t="array" ref="E281">IF(OR($D281="",$D281="NO ENCONTRADO"),"",_xlfn.XLOOKUP($D281,Productos!$E:$E,Productos!$H:$H,""))</f>
        <v/>
      </c>
      <c r="F281" s="74">
        <f t="array" ref="F281">IF(OR($D281="",$D281="NO ENCONTRADO"),"",_xlfn.XLOOKUP($D281,Productos!$E:$E,Productos!$I:$I,""))</f>
        <v/>
      </c>
      <c r="G281" s="74">
        <f t="array" ref="G281">IF(OR($D281="",$D281="NO ENCONTRADO"),"",_xlfn.XLOOKUP($D281,Productos!$E:$E,Productos!$J:$J,""))</f>
        <v/>
      </c>
      <c r="H281" s="74">
        <f t="array" ref="H281">IF(OR($D281="",$D281="NO ENCONTRADO"),"",_xlfn.XLOOKUP($D281,Productos!$E:$E,Productos!$K:$K,""))</f>
        <v/>
      </c>
      <c r="I281" s="74">
        <f t="array" ref="I281">IF(OR($D281="",$D281="NO ENCONTRADO"),"",_xlfn.XLOOKUP($D281,Productos!$E:$E,Productos!$F:$F,""))</f>
        <v/>
      </c>
      <c r="J281" s="74">
        <f>IF($C281="","",IF($D281="NO ENCONTRADO",IF(COUNTIF($C$7:$C$1000,$C281)&gt;1,"⚠️ No encontrado | Duplicado","⚠️ No encontrado"),IF(COUNTIF($C$7:$C$1000,$C281)&gt;1,"⚠️ Duplicado","Verificado")))</f>
        <v/>
      </c>
    </row>
    <row r="282" ht="15.75" customHeight="1" s="176">
      <c r="B282" s="80" t="n"/>
      <c r="C282" s="74" t="n"/>
      <c r="D282" s="74">
        <f t="array" ref="D282">IF($C282="","",IFNA(_xlfn.XLOOKUP($C282,Productos!$A:$A,Productos!$E:$E,IFNA(_xlfn.XLOOKUP(TEXT($C282,"0"),Productos!$A:$A,Productos!$E:$E,IFNA(_xlfn.XLOOKUP(IFERROR(VALUE($C282),""),Productos!$A:$A,Productos!$E:$E,_xlfn.XLOOKUP($C282,Productos!$E:$E,Productos!$E:$E,"NO ENCONTRADO")),"NO ENCONTRADO")),"NO ENCONTRADO")),"NO ENCONTRADO"))</f>
        <v/>
      </c>
      <c r="E282" s="74">
        <f t="array" ref="E282">IF(OR($D282="",$D282="NO ENCONTRADO"),"",_xlfn.XLOOKUP($D282,Productos!$E:$E,Productos!$H:$H,""))</f>
        <v/>
      </c>
      <c r="F282" s="74">
        <f t="array" ref="F282">IF(OR($D282="",$D282="NO ENCONTRADO"),"",_xlfn.XLOOKUP($D282,Productos!$E:$E,Productos!$I:$I,""))</f>
        <v/>
      </c>
      <c r="G282" s="74">
        <f t="array" ref="G282">IF(OR($D282="",$D282="NO ENCONTRADO"),"",_xlfn.XLOOKUP($D282,Productos!$E:$E,Productos!$J:$J,""))</f>
        <v/>
      </c>
      <c r="H282" s="74">
        <f t="array" ref="H282">IF(OR($D282="",$D282="NO ENCONTRADO"),"",_xlfn.XLOOKUP($D282,Productos!$E:$E,Productos!$K:$K,""))</f>
        <v/>
      </c>
      <c r="I282" s="74">
        <f t="array" ref="I282">IF(OR($D282="",$D282="NO ENCONTRADO"),"",_xlfn.XLOOKUP($D282,Productos!$E:$E,Productos!$F:$F,""))</f>
        <v/>
      </c>
      <c r="J282" s="74">
        <f>IF($C282="","",IF($D282="NO ENCONTRADO",IF(COUNTIF($C$7:$C$1000,$C282)&gt;1,"⚠️ No encontrado | Duplicado","⚠️ No encontrado"),IF(COUNTIF($C$7:$C$1000,$C282)&gt;1,"⚠️ Duplicado","Verificado")))</f>
        <v/>
      </c>
    </row>
    <row r="283" ht="15.75" customHeight="1" s="176">
      <c r="B283" s="80" t="n"/>
      <c r="C283" s="74" t="n"/>
      <c r="D283" s="74">
        <f t="array" ref="D283">IF($C283="","",IFNA(_xlfn.XLOOKUP($C283,Productos!$A:$A,Productos!$E:$E,IFNA(_xlfn.XLOOKUP(TEXT($C283,"0"),Productos!$A:$A,Productos!$E:$E,IFNA(_xlfn.XLOOKUP(IFERROR(VALUE($C283),""),Productos!$A:$A,Productos!$E:$E,_xlfn.XLOOKUP($C283,Productos!$E:$E,Productos!$E:$E,"NO ENCONTRADO")),"NO ENCONTRADO")),"NO ENCONTRADO")),"NO ENCONTRADO"))</f>
        <v/>
      </c>
      <c r="E283" s="74">
        <f t="array" ref="E283">IF(OR($D283="",$D283="NO ENCONTRADO"),"",_xlfn.XLOOKUP($D283,Productos!$E:$E,Productos!$H:$H,""))</f>
        <v/>
      </c>
      <c r="F283" s="74">
        <f t="array" ref="F283">IF(OR($D283="",$D283="NO ENCONTRADO"),"",_xlfn.XLOOKUP($D283,Productos!$E:$E,Productos!$I:$I,""))</f>
        <v/>
      </c>
      <c r="G283" s="74">
        <f t="array" ref="G283">IF(OR($D283="",$D283="NO ENCONTRADO"),"",_xlfn.XLOOKUP($D283,Productos!$E:$E,Productos!$J:$J,""))</f>
        <v/>
      </c>
      <c r="H283" s="74">
        <f t="array" ref="H283">IF(OR($D283="",$D283="NO ENCONTRADO"),"",_xlfn.XLOOKUP($D283,Productos!$E:$E,Productos!$K:$K,""))</f>
        <v/>
      </c>
      <c r="I283" s="74">
        <f t="array" ref="I283">IF(OR($D283="",$D283="NO ENCONTRADO"),"",_xlfn.XLOOKUP($D283,Productos!$E:$E,Productos!$F:$F,""))</f>
        <v/>
      </c>
      <c r="J283" s="74">
        <f>IF($C283="","",IF($D283="NO ENCONTRADO",IF(COUNTIF($C$7:$C$1000,$C283)&gt;1,"⚠️ No encontrado | Duplicado","⚠️ No encontrado"),IF(COUNTIF($C$7:$C$1000,$C283)&gt;1,"⚠️ Duplicado","Verificado")))</f>
        <v/>
      </c>
    </row>
    <row r="284" ht="15.75" customHeight="1" s="176">
      <c r="B284" s="80" t="n"/>
      <c r="C284" s="74" t="n"/>
      <c r="D284" s="74">
        <f t="array" ref="D284">IF($C284="","",IFNA(_xlfn.XLOOKUP($C284,Productos!$A:$A,Productos!$E:$E,IFNA(_xlfn.XLOOKUP(TEXT($C284,"0"),Productos!$A:$A,Productos!$E:$E,IFNA(_xlfn.XLOOKUP(IFERROR(VALUE($C284),""),Productos!$A:$A,Productos!$E:$E,_xlfn.XLOOKUP($C284,Productos!$E:$E,Productos!$E:$E,"NO ENCONTRADO")),"NO ENCONTRADO")),"NO ENCONTRADO")),"NO ENCONTRADO"))</f>
        <v/>
      </c>
      <c r="E284" s="74">
        <f t="array" ref="E284">IF(OR($D284="",$D284="NO ENCONTRADO"),"",_xlfn.XLOOKUP($D284,Productos!$E:$E,Productos!$H:$H,""))</f>
        <v/>
      </c>
      <c r="F284" s="74">
        <f t="array" ref="F284">IF(OR($D284="",$D284="NO ENCONTRADO"),"",_xlfn.XLOOKUP($D284,Productos!$E:$E,Productos!$I:$I,""))</f>
        <v/>
      </c>
      <c r="G284" s="74">
        <f t="array" ref="G284">IF(OR($D284="",$D284="NO ENCONTRADO"),"",_xlfn.XLOOKUP($D284,Productos!$E:$E,Productos!$J:$J,""))</f>
        <v/>
      </c>
      <c r="H284" s="74">
        <f t="array" ref="H284">IF(OR($D284="",$D284="NO ENCONTRADO"),"",_xlfn.XLOOKUP($D284,Productos!$E:$E,Productos!$K:$K,""))</f>
        <v/>
      </c>
      <c r="I284" s="74">
        <f t="array" ref="I284">IF(OR($D284="",$D284="NO ENCONTRADO"),"",_xlfn.XLOOKUP($D284,Productos!$E:$E,Productos!$F:$F,""))</f>
        <v/>
      </c>
      <c r="J284" s="74">
        <f>IF($C284="","",IF($D284="NO ENCONTRADO",IF(COUNTIF($C$7:$C$1000,$C284)&gt;1,"⚠️ No encontrado | Duplicado","⚠️ No encontrado"),IF(COUNTIF($C$7:$C$1000,$C284)&gt;1,"⚠️ Duplicado","Verificado")))</f>
        <v/>
      </c>
    </row>
    <row r="285" ht="15.75" customHeight="1" s="176">
      <c r="B285" s="80" t="n"/>
      <c r="C285" s="74" t="n"/>
      <c r="D285" s="74">
        <f t="array" ref="D285">IF($C285="","",IFNA(_xlfn.XLOOKUP($C285,Productos!$A:$A,Productos!$E:$E,IFNA(_xlfn.XLOOKUP(TEXT($C285,"0"),Productos!$A:$A,Productos!$E:$E,IFNA(_xlfn.XLOOKUP(IFERROR(VALUE($C285),""),Productos!$A:$A,Productos!$E:$E,_xlfn.XLOOKUP($C285,Productos!$E:$E,Productos!$E:$E,"NO ENCONTRADO")),"NO ENCONTRADO")),"NO ENCONTRADO")),"NO ENCONTRADO"))</f>
        <v/>
      </c>
      <c r="E285" s="74">
        <f t="array" ref="E285">IF(OR($D285="",$D285="NO ENCONTRADO"),"",_xlfn.XLOOKUP($D285,Productos!$E:$E,Productos!$H:$H,""))</f>
        <v/>
      </c>
      <c r="F285" s="74">
        <f t="array" ref="F285">IF(OR($D285="",$D285="NO ENCONTRADO"),"",_xlfn.XLOOKUP($D285,Productos!$E:$E,Productos!$I:$I,""))</f>
        <v/>
      </c>
      <c r="G285" s="74">
        <f t="array" ref="G285">IF(OR($D285="",$D285="NO ENCONTRADO"),"",_xlfn.XLOOKUP($D285,Productos!$E:$E,Productos!$J:$J,""))</f>
        <v/>
      </c>
      <c r="H285" s="74">
        <f t="array" ref="H285">IF(OR($D285="",$D285="NO ENCONTRADO"),"",_xlfn.XLOOKUP($D285,Productos!$E:$E,Productos!$K:$K,""))</f>
        <v/>
      </c>
      <c r="I285" s="74">
        <f t="array" ref="I285">IF(OR($D285="",$D285="NO ENCONTRADO"),"",_xlfn.XLOOKUP($D285,Productos!$E:$E,Productos!$F:$F,""))</f>
        <v/>
      </c>
      <c r="J285" s="74">
        <f>IF($C285="","",IF($D285="NO ENCONTRADO",IF(COUNTIF($C$7:$C$1000,$C285)&gt;1,"⚠️ No encontrado | Duplicado","⚠️ No encontrado"),IF(COUNTIF($C$7:$C$1000,$C285)&gt;1,"⚠️ Duplicado","Verificado")))</f>
        <v/>
      </c>
    </row>
    <row r="286" ht="15.75" customHeight="1" s="176">
      <c r="B286" s="80" t="n"/>
      <c r="C286" s="74" t="n"/>
      <c r="D286" s="74">
        <f t="array" ref="D286">IF($C286="","",IFNA(_xlfn.XLOOKUP($C286,Productos!$A:$A,Productos!$E:$E,IFNA(_xlfn.XLOOKUP(TEXT($C286,"0"),Productos!$A:$A,Productos!$E:$E,IFNA(_xlfn.XLOOKUP(IFERROR(VALUE($C286),""),Productos!$A:$A,Productos!$E:$E,_xlfn.XLOOKUP($C286,Productos!$E:$E,Productos!$E:$E,"NO ENCONTRADO")),"NO ENCONTRADO")),"NO ENCONTRADO")),"NO ENCONTRADO"))</f>
        <v/>
      </c>
      <c r="E286" s="74">
        <f t="array" ref="E286">IF(OR($D286="",$D286="NO ENCONTRADO"),"",_xlfn.XLOOKUP($D286,Productos!$E:$E,Productos!$H:$H,""))</f>
        <v/>
      </c>
      <c r="F286" s="74">
        <f t="array" ref="F286">IF(OR($D286="",$D286="NO ENCONTRADO"),"",_xlfn.XLOOKUP($D286,Productos!$E:$E,Productos!$I:$I,""))</f>
        <v/>
      </c>
      <c r="G286" s="74">
        <f t="array" ref="G286">IF(OR($D286="",$D286="NO ENCONTRADO"),"",_xlfn.XLOOKUP($D286,Productos!$E:$E,Productos!$J:$J,""))</f>
        <v/>
      </c>
      <c r="H286" s="74">
        <f t="array" ref="H286">IF(OR($D286="",$D286="NO ENCONTRADO"),"",_xlfn.XLOOKUP($D286,Productos!$E:$E,Productos!$K:$K,""))</f>
        <v/>
      </c>
      <c r="I286" s="74">
        <f t="array" ref="I286">IF(OR($D286="",$D286="NO ENCONTRADO"),"",_xlfn.XLOOKUP($D286,Productos!$E:$E,Productos!$F:$F,""))</f>
        <v/>
      </c>
      <c r="J286" s="74">
        <f>IF($C286="","",IF($D286="NO ENCONTRADO",IF(COUNTIF($C$7:$C$1000,$C286)&gt;1,"⚠️ No encontrado | Duplicado","⚠️ No encontrado"),IF(COUNTIF($C$7:$C$1000,$C286)&gt;1,"⚠️ Duplicado","Verificado")))</f>
        <v/>
      </c>
    </row>
    <row r="287" ht="15.75" customHeight="1" s="176">
      <c r="B287" s="80" t="n"/>
      <c r="C287" s="74" t="n"/>
      <c r="D287" s="74">
        <f t="array" ref="D287">IF($C287="","",IFNA(_xlfn.XLOOKUP($C287,Productos!$A:$A,Productos!$E:$E,IFNA(_xlfn.XLOOKUP(TEXT($C287,"0"),Productos!$A:$A,Productos!$E:$E,IFNA(_xlfn.XLOOKUP(IFERROR(VALUE($C287),""),Productos!$A:$A,Productos!$E:$E,_xlfn.XLOOKUP($C287,Productos!$E:$E,Productos!$E:$E,"NO ENCONTRADO")),"NO ENCONTRADO")),"NO ENCONTRADO")),"NO ENCONTRADO"))</f>
        <v/>
      </c>
      <c r="E287" s="74">
        <f t="array" ref="E287">IF(OR($D287="",$D287="NO ENCONTRADO"),"",_xlfn.XLOOKUP($D287,Productos!$E:$E,Productos!$H:$H,""))</f>
        <v/>
      </c>
      <c r="F287" s="74">
        <f t="array" ref="F287">IF(OR($D287="",$D287="NO ENCONTRADO"),"",_xlfn.XLOOKUP($D287,Productos!$E:$E,Productos!$I:$I,""))</f>
        <v/>
      </c>
      <c r="G287" s="74">
        <f t="array" ref="G287">IF(OR($D287="",$D287="NO ENCONTRADO"),"",_xlfn.XLOOKUP($D287,Productos!$E:$E,Productos!$J:$J,""))</f>
        <v/>
      </c>
      <c r="H287" s="74">
        <f t="array" ref="H287">IF(OR($D287="",$D287="NO ENCONTRADO"),"",_xlfn.XLOOKUP($D287,Productos!$E:$E,Productos!$K:$K,""))</f>
        <v/>
      </c>
      <c r="I287" s="74">
        <f t="array" ref="I287">IF(OR($D287="",$D287="NO ENCONTRADO"),"",_xlfn.XLOOKUP($D287,Productos!$E:$E,Productos!$F:$F,""))</f>
        <v/>
      </c>
      <c r="J287" s="74">
        <f>IF($C287="","",IF($D287="NO ENCONTRADO",IF(COUNTIF($C$7:$C$1000,$C287)&gt;1,"⚠️ No encontrado | Duplicado","⚠️ No encontrado"),IF(COUNTIF($C$7:$C$1000,$C287)&gt;1,"⚠️ Duplicado","Verificado")))</f>
        <v/>
      </c>
    </row>
    <row r="288" ht="15.75" customHeight="1" s="176">
      <c r="B288" s="80" t="n"/>
      <c r="C288" s="74" t="n"/>
      <c r="D288" s="74">
        <f t="array" ref="D288">IF($C288="","",IFNA(_xlfn.XLOOKUP($C288,Productos!$A:$A,Productos!$E:$E,IFNA(_xlfn.XLOOKUP(TEXT($C288,"0"),Productos!$A:$A,Productos!$E:$E,IFNA(_xlfn.XLOOKUP(IFERROR(VALUE($C288),""),Productos!$A:$A,Productos!$E:$E,_xlfn.XLOOKUP($C288,Productos!$E:$E,Productos!$E:$E,"NO ENCONTRADO")),"NO ENCONTRADO")),"NO ENCONTRADO")),"NO ENCONTRADO"))</f>
        <v/>
      </c>
      <c r="E288" s="74">
        <f t="array" ref="E288">IF(OR($D288="",$D288="NO ENCONTRADO"),"",_xlfn.XLOOKUP($D288,Productos!$E:$E,Productos!$H:$H,""))</f>
        <v/>
      </c>
      <c r="F288" s="74">
        <f t="array" ref="F288">IF(OR($D288="",$D288="NO ENCONTRADO"),"",_xlfn.XLOOKUP($D288,Productos!$E:$E,Productos!$I:$I,""))</f>
        <v/>
      </c>
      <c r="G288" s="74">
        <f t="array" ref="G288">IF(OR($D288="",$D288="NO ENCONTRADO"),"",_xlfn.XLOOKUP($D288,Productos!$E:$E,Productos!$J:$J,""))</f>
        <v/>
      </c>
      <c r="H288" s="74">
        <f t="array" ref="H288">IF(OR($D288="",$D288="NO ENCONTRADO"),"",_xlfn.XLOOKUP($D288,Productos!$E:$E,Productos!$K:$K,""))</f>
        <v/>
      </c>
      <c r="I288" s="74">
        <f t="array" ref="I288">IF(OR($D288="",$D288="NO ENCONTRADO"),"",_xlfn.XLOOKUP($D288,Productos!$E:$E,Productos!$F:$F,""))</f>
        <v/>
      </c>
      <c r="J288" s="74">
        <f>IF($C288="","",IF($D288="NO ENCONTRADO",IF(COUNTIF($C$7:$C$1000,$C288)&gt;1,"⚠️ No encontrado | Duplicado","⚠️ No encontrado"),IF(COUNTIF($C$7:$C$1000,$C288)&gt;1,"⚠️ Duplicado","Verificado")))</f>
        <v/>
      </c>
    </row>
    <row r="289" ht="15.75" customHeight="1" s="176">
      <c r="B289" s="80" t="n"/>
      <c r="C289" s="74" t="n"/>
      <c r="D289" s="74">
        <f t="array" ref="D289">IF($C289="","",IFNA(_xlfn.XLOOKUP($C289,Productos!$A:$A,Productos!$E:$E,IFNA(_xlfn.XLOOKUP(TEXT($C289,"0"),Productos!$A:$A,Productos!$E:$E,IFNA(_xlfn.XLOOKUP(IFERROR(VALUE($C289),""),Productos!$A:$A,Productos!$E:$E,_xlfn.XLOOKUP($C289,Productos!$E:$E,Productos!$E:$E,"NO ENCONTRADO")),"NO ENCONTRADO")),"NO ENCONTRADO")),"NO ENCONTRADO"))</f>
        <v/>
      </c>
      <c r="E289" s="74">
        <f t="array" ref="E289">IF(OR($D289="",$D289="NO ENCONTRADO"),"",_xlfn.XLOOKUP($D289,Productos!$E:$E,Productos!$H:$H,""))</f>
        <v/>
      </c>
      <c r="F289" s="74">
        <f t="array" ref="F289">IF(OR($D289="",$D289="NO ENCONTRADO"),"",_xlfn.XLOOKUP($D289,Productos!$E:$E,Productos!$I:$I,""))</f>
        <v/>
      </c>
      <c r="G289" s="74">
        <f t="array" ref="G289">IF(OR($D289="",$D289="NO ENCONTRADO"),"",_xlfn.XLOOKUP($D289,Productos!$E:$E,Productos!$J:$J,""))</f>
        <v/>
      </c>
      <c r="H289" s="74">
        <f t="array" ref="H289">IF(OR($D289="",$D289="NO ENCONTRADO"),"",_xlfn.XLOOKUP($D289,Productos!$E:$E,Productos!$K:$K,""))</f>
        <v/>
      </c>
      <c r="I289" s="74">
        <f t="array" ref="I289">IF(OR($D289="",$D289="NO ENCONTRADO"),"",_xlfn.XLOOKUP($D289,Productos!$E:$E,Productos!$F:$F,""))</f>
        <v/>
      </c>
      <c r="J289" s="74">
        <f>IF($C289="","",IF($D289="NO ENCONTRADO",IF(COUNTIF($C$7:$C$1000,$C289)&gt;1,"⚠️ No encontrado | Duplicado","⚠️ No encontrado"),IF(COUNTIF($C$7:$C$1000,$C289)&gt;1,"⚠️ Duplicado","Verificado")))</f>
        <v/>
      </c>
    </row>
    <row r="290" ht="15.75" customHeight="1" s="176">
      <c r="B290" s="80" t="n"/>
      <c r="C290" s="74" t="n"/>
      <c r="D290" s="74">
        <f t="array" ref="D290">IF($C290="","",IFNA(_xlfn.XLOOKUP($C290,Productos!$A:$A,Productos!$E:$E,IFNA(_xlfn.XLOOKUP(TEXT($C290,"0"),Productos!$A:$A,Productos!$E:$E,IFNA(_xlfn.XLOOKUP(IFERROR(VALUE($C290),""),Productos!$A:$A,Productos!$E:$E,_xlfn.XLOOKUP($C290,Productos!$E:$E,Productos!$E:$E,"NO ENCONTRADO")),"NO ENCONTRADO")),"NO ENCONTRADO")),"NO ENCONTRADO"))</f>
        <v/>
      </c>
      <c r="E290" s="74">
        <f t="array" ref="E290">IF(OR($D290="",$D290="NO ENCONTRADO"),"",_xlfn.XLOOKUP($D290,Productos!$E:$E,Productos!$H:$H,""))</f>
        <v/>
      </c>
      <c r="F290" s="74">
        <f t="array" ref="F290">IF(OR($D290="",$D290="NO ENCONTRADO"),"",_xlfn.XLOOKUP($D290,Productos!$E:$E,Productos!$I:$I,""))</f>
        <v/>
      </c>
      <c r="G290" s="74">
        <f t="array" ref="G290">IF(OR($D290="",$D290="NO ENCONTRADO"),"",_xlfn.XLOOKUP($D290,Productos!$E:$E,Productos!$J:$J,""))</f>
        <v/>
      </c>
      <c r="H290" s="74">
        <f t="array" ref="H290">IF(OR($D290="",$D290="NO ENCONTRADO"),"",_xlfn.XLOOKUP($D290,Productos!$E:$E,Productos!$K:$K,""))</f>
        <v/>
      </c>
      <c r="I290" s="74">
        <f t="array" ref="I290">IF(OR($D290="",$D290="NO ENCONTRADO"),"",_xlfn.XLOOKUP($D290,Productos!$E:$E,Productos!$F:$F,""))</f>
        <v/>
      </c>
      <c r="J290" s="74">
        <f>IF($C290="","",IF($D290="NO ENCONTRADO",IF(COUNTIF($C$7:$C$1000,$C290)&gt;1,"⚠️ No encontrado | Duplicado","⚠️ No encontrado"),IF(COUNTIF($C$7:$C$1000,$C290)&gt;1,"⚠️ Duplicado","Verificado")))</f>
        <v/>
      </c>
    </row>
    <row r="291" ht="15.75" customHeight="1" s="176">
      <c r="B291" s="80" t="n"/>
      <c r="C291" s="74" t="n"/>
      <c r="D291" s="74">
        <f t="array" ref="D291">IF($C291="","",IFNA(_xlfn.XLOOKUP($C291,Productos!$A:$A,Productos!$E:$E,IFNA(_xlfn.XLOOKUP(TEXT($C291,"0"),Productos!$A:$A,Productos!$E:$E,IFNA(_xlfn.XLOOKUP(IFERROR(VALUE($C291),""),Productos!$A:$A,Productos!$E:$E,_xlfn.XLOOKUP($C291,Productos!$E:$E,Productos!$E:$E,"NO ENCONTRADO")),"NO ENCONTRADO")),"NO ENCONTRADO")),"NO ENCONTRADO"))</f>
        <v/>
      </c>
      <c r="E291" s="74">
        <f t="array" ref="E291">IF(OR($D291="",$D291="NO ENCONTRADO"),"",_xlfn.XLOOKUP($D291,Productos!$E:$E,Productos!$H:$H,""))</f>
        <v/>
      </c>
      <c r="F291" s="74">
        <f t="array" ref="F291">IF(OR($D291="",$D291="NO ENCONTRADO"),"",_xlfn.XLOOKUP($D291,Productos!$E:$E,Productos!$I:$I,""))</f>
        <v/>
      </c>
      <c r="G291" s="74">
        <f t="array" ref="G291">IF(OR($D291="",$D291="NO ENCONTRADO"),"",_xlfn.XLOOKUP($D291,Productos!$E:$E,Productos!$J:$J,""))</f>
        <v/>
      </c>
      <c r="H291" s="74">
        <f t="array" ref="H291">IF(OR($D291="",$D291="NO ENCONTRADO"),"",_xlfn.XLOOKUP($D291,Productos!$E:$E,Productos!$K:$K,""))</f>
        <v/>
      </c>
      <c r="I291" s="74">
        <f t="array" ref="I291">IF(OR($D291="",$D291="NO ENCONTRADO"),"",_xlfn.XLOOKUP($D291,Productos!$E:$E,Productos!$F:$F,""))</f>
        <v/>
      </c>
      <c r="J291" s="74">
        <f>IF($C291="","",IF($D291="NO ENCONTRADO",IF(COUNTIF($C$7:$C$1000,$C291)&gt;1,"⚠️ No encontrado | Duplicado","⚠️ No encontrado"),IF(COUNTIF($C$7:$C$1000,$C291)&gt;1,"⚠️ Duplicado","Verificado")))</f>
        <v/>
      </c>
    </row>
    <row r="292" ht="15.75" customHeight="1" s="176">
      <c r="B292" s="80" t="n"/>
      <c r="C292" s="74" t="n"/>
      <c r="D292" s="74">
        <f t="array" ref="D292">IF($C292="","",IFNA(_xlfn.XLOOKUP($C292,Productos!$A:$A,Productos!$E:$E,IFNA(_xlfn.XLOOKUP(TEXT($C292,"0"),Productos!$A:$A,Productos!$E:$E,IFNA(_xlfn.XLOOKUP(IFERROR(VALUE($C292),""),Productos!$A:$A,Productos!$E:$E,_xlfn.XLOOKUP($C292,Productos!$E:$E,Productos!$E:$E,"NO ENCONTRADO")),"NO ENCONTRADO")),"NO ENCONTRADO")),"NO ENCONTRADO"))</f>
        <v/>
      </c>
      <c r="E292" s="74">
        <f t="array" ref="E292">IF(OR($D292="",$D292="NO ENCONTRADO"),"",_xlfn.XLOOKUP($D292,Productos!$E:$E,Productos!$H:$H,""))</f>
        <v/>
      </c>
      <c r="F292" s="74">
        <f t="array" ref="F292">IF(OR($D292="",$D292="NO ENCONTRADO"),"",_xlfn.XLOOKUP($D292,Productos!$E:$E,Productos!$I:$I,""))</f>
        <v/>
      </c>
      <c r="G292" s="74">
        <f t="array" ref="G292">IF(OR($D292="",$D292="NO ENCONTRADO"),"",_xlfn.XLOOKUP($D292,Productos!$E:$E,Productos!$J:$J,""))</f>
        <v/>
      </c>
      <c r="H292" s="74">
        <f t="array" ref="H292">IF(OR($D292="",$D292="NO ENCONTRADO"),"",_xlfn.XLOOKUP($D292,Productos!$E:$E,Productos!$K:$K,""))</f>
        <v/>
      </c>
      <c r="I292" s="74">
        <f t="array" ref="I292">IF(OR($D292="",$D292="NO ENCONTRADO"),"",_xlfn.XLOOKUP($D292,Productos!$E:$E,Productos!$F:$F,""))</f>
        <v/>
      </c>
      <c r="J292" s="74">
        <f>IF($C292="","",IF($D292="NO ENCONTRADO",IF(COUNTIF($C$7:$C$1000,$C292)&gt;1,"⚠️ No encontrado | Duplicado","⚠️ No encontrado"),IF(COUNTIF($C$7:$C$1000,$C292)&gt;1,"⚠️ Duplicado","Verificado")))</f>
        <v/>
      </c>
    </row>
    <row r="293" ht="15.75" customHeight="1" s="176">
      <c r="B293" s="80" t="n"/>
      <c r="C293" s="74" t="n"/>
      <c r="D293" s="74">
        <f t="array" ref="D293">IF($C293="","",IFNA(_xlfn.XLOOKUP($C293,Productos!$A:$A,Productos!$E:$E,IFNA(_xlfn.XLOOKUP(TEXT($C293,"0"),Productos!$A:$A,Productos!$E:$E,IFNA(_xlfn.XLOOKUP(IFERROR(VALUE($C293),""),Productos!$A:$A,Productos!$E:$E,_xlfn.XLOOKUP($C293,Productos!$E:$E,Productos!$E:$E,"NO ENCONTRADO")),"NO ENCONTRADO")),"NO ENCONTRADO")),"NO ENCONTRADO"))</f>
        <v/>
      </c>
      <c r="E293" s="74">
        <f t="array" ref="E293">IF(OR($D293="",$D293="NO ENCONTRADO"),"",_xlfn.XLOOKUP($D293,Productos!$E:$E,Productos!$H:$H,""))</f>
        <v/>
      </c>
      <c r="F293" s="74">
        <f t="array" ref="F293">IF(OR($D293="",$D293="NO ENCONTRADO"),"",_xlfn.XLOOKUP($D293,Productos!$E:$E,Productos!$I:$I,""))</f>
        <v/>
      </c>
      <c r="G293" s="74">
        <f t="array" ref="G293">IF(OR($D293="",$D293="NO ENCONTRADO"),"",_xlfn.XLOOKUP($D293,Productos!$E:$E,Productos!$J:$J,""))</f>
        <v/>
      </c>
      <c r="H293" s="74">
        <f t="array" ref="H293">IF(OR($D293="",$D293="NO ENCONTRADO"),"",_xlfn.XLOOKUP($D293,Productos!$E:$E,Productos!$K:$K,""))</f>
        <v/>
      </c>
      <c r="I293" s="74">
        <f t="array" ref="I293">IF(OR($D293="",$D293="NO ENCONTRADO"),"",_xlfn.XLOOKUP($D293,Productos!$E:$E,Productos!$F:$F,""))</f>
        <v/>
      </c>
      <c r="J293" s="74">
        <f>IF($C293="","",IF($D293="NO ENCONTRADO",IF(COUNTIF($C$7:$C$1000,$C293)&gt;1,"⚠️ No encontrado | Duplicado","⚠️ No encontrado"),IF(COUNTIF($C$7:$C$1000,$C293)&gt;1,"⚠️ Duplicado","Verificado")))</f>
        <v/>
      </c>
    </row>
    <row r="294" ht="15.75" customHeight="1" s="176">
      <c r="B294" s="80" t="n"/>
      <c r="C294" s="74" t="n"/>
      <c r="D294" s="74">
        <f t="array" ref="D294">IF($C294="","",IFNA(_xlfn.XLOOKUP($C294,Productos!$A:$A,Productos!$E:$E,IFNA(_xlfn.XLOOKUP(TEXT($C294,"0"),Productos!$A:$A,Productos!$E:$E,IFNA(_xlfn.XLOOKUP(IFERROR(VALUE($C294),""),Productos!$A:$A,Productos!$E:$E,_xlfn.XLOOKUP($C294,Productos!$E:$E,Productos!$E:$E,"NO ENCONTRADO")),"NO ENCONTRADO")),"NO ENCONTRADO")),"NO ENCONTRADO"))</f>
        <v/>
      </c>
      <c r="E294" s="74">
        <f t="array" ref="E294">IF(OR($D294="",$D294="NO ENCONTRADO"),"",_xlfn.XLOOKUP($D294,Productos!$E:$E,Productos!$H:$H,""))</f>
        <v/>
      </c>
      <c r="F294" s="74">
        <f t="array" ref="F294">IF(OR($D294="",$D294="NO ENCONTRADO"),"",_xlfn.XLOOKUP($D294,Productos!$E:$E,Productos!$I:$I,""))</f>
        <v/>
      </c>
      <c r="G294" s="74">
        <f t="array" ref="G294">IF(OR($D294="",$D294="NO ENCONTRADO"),"",_xlfn.XLOOKUP($D294,Productos!$E:$E,Productos!$J:$J,""))</f>
        <v/>
      </c>
      <c r="H294" s="74">
        <f t="array" ref="H294">IF(OR($D294="",$D294="NO ENCONTRADO"),"",_xlfn.XLOOKUP($D294,Productos!$E:$E,Productos!$K:$K,""))</f>
        <v/>
      </c>
      <c r="I294" s="74">
        <f t="array" ref="I294">IF(OR($D294="",$D294="NO ENCONTRADO"),"",_xlfn.XLOOKUP($D294,Productos!$E:$E,Productos!$F:$F,""))</f>
        <v/>
      </c>
      <c r="J294" s="74">
        <f>IF($C294="","",IF($D294="NO ENCONTRADO",IF(COUNTIF($C$7:$C$1000,$C294)&gt;1,"⚠️ No encontrado | Duplicado","⚠️ No encontrado"),IF(COUNTIF($C$7:$C$1000,$C294)&gt;1,"⚠️ Duplicado","Verificado")))</f>
        <v/>
      </c>
    </row>
    <row r="295" ht="15.75" customHeight="1" s="176">
      <c r="B295" s="80" t="n"/>
      <c r="C295" s="74" t="n"/>
      <c r="D295" s="74">
        <f t="array" ref="D295">IF($C295="","",IFNA(_xlfn.XLOOKUP($C295,Productos!$A:$A,Productos!$E:$E,IFNA(_xlfn.XLOOKUP(TEXT($C295,"0"),Productos!$A:$A,Productos!$E:$E,IFNA(_xlfn.XLOOKUP(IFERROR(VALUE($C295),""),Productos!$A:$A,Productos!$E:$E,_xlfn.XLOOKUP($C295,Productos!$E:$E,Productos!$E:$E,"NO ENCONTRADO")),"NO ENCONTRADO")),"NO ENCONTRADO")),"NO ENCONTRADO"))</f>
        <v/>
      </c>
      <c r="E295" s="74">
        <f t="array" ref="E295">IF(OR($D295="",$D295="NO ENCONTRADO"),"",_xlfn.XLOOKUP($D295,Productos!$E:$E,Productos!$H:$H,""))</f>
        <v/>
      </c>
      <c r="F295" s="74">
        <f t="array" ref="F295">IF(OR($D295="",$D295="NO ENCONTRADO"),"",_xlfn.XLOOKUP($D295,Productos!$E:$E,Productos!$I:$I,""))</f>
        <v/>
      </c>
      <c r="G295" s="74">
        <f t="array" ref="G295">IF(OR($D295="",$D295="NO ENCONTRADO"),"",_xlfn.XLOOKUP($D295,Productos!$E:$E,Productos!$J:$J,""))</f>
        <v/>
      </c>
      <c r="H295" s="74">
        <f t="array" ref="H295">IF(OR($D295="",$D295="NO ENCONTRADO"),"",_xlfn.XLOOKUP($D295,Productos!$E:$E,Productos!$K:$K,""))</f>
        <v/>
      </c>
      <c r="I295" s="74">
        <f t="array" ref="I295">IF(OR($D295="",$D295="NO ENCONTRADO"),"",_xlfn.XLOOKUP($D295,Productos!$E:$E,Productos!$F:$F,""))</f>
        <v/>
      </c>
      <c r="J295" s="74">
        <f>IF($C295="","",IF($D295="NO ENCONTRADO",IF(COUNTIF($C$7:$C$1000,$C295)&gt;1,"⚠️ No encontrado | Duplicado","⚠️ No encontrado"),IF(COUNTIF($C$7:$C$1000,$C295)&gt;1,"⚠️ Duplicado","Verificado")))</f>
        <v/>
      </c>
    </row>
    <row r="296" ht="15.75" customHeight="1" s="176">
      <c r="B296" s="80" t="n"/>
      <c r="C296" s="74" t="n"/>
      <c r="D296" s="74">
        <f t="array" ref="D296">IF($C296="","",IFNA(_xlfn.XLOOKUP($C296,Productos!$A:$A,Productos!$E:$E,IFNA(_xlfn.XLOOKUP(TEXT($C296,"0"),Productos!$A:$A,Productos!$E:$E,IFNA(_xlfn.XLOOKUP(IFERROR(VALUE($C296),""),Productos!$A:$A,Productos!$E:$E,_xlfn.XLOOKUP($C296,Productos!$E:$E,Productos!$E:$E,"NO ENCONTRADO")),"NO ENCONTRADO")),"NO ENCONTRADO")),"NO ENCONTRADO"))</f>
        <v/>
      </c>
      <c r="E296" s="74">
        <f t="array" ref="E296">IF(OR($D296="",$D296="NO ENCONTRADO"),"",_xlfn.XLOOKUP($D296,Productos!$E:$E,Productos!$H:$H,""))</f>
        <v/>
      </c>
      <c r="F296" s="74">
        <f t="array" ref="F296">IF(OR($D296="",$D296="NO ENCONTRADO"),"",_xlfn.XLOOKUP($D296,Productos!$E:$E,Productos!$I:$I,""))</f>
        <v/>
      </c>
      <c r="G296" s="74">
        <f t="array" ref="G296">IF(OR($D296="",$D296="NO ENCONTRADO"),"",_xlfn.XLOOKUP($D296,Productos!$E:$E,Productos!$J:$J,""))</f>
        <v/>
      </c>
      <c r="H296" s="74">
        <f t="array" ref="H296">IF(OR($D296="",$D296="NO ENCONTRADO"),"",_xlfn.XLOOKUP($D296,Productos!$E:$E,Productos!$K:$K,""))</f>
        <v/>
      </c>
      <c r="I296" s="74">
        <f t="array" ref="I296">IF(OR($D296="",$D296="NO ENCONTRADO"),"",_xlfn.XLOOKUP($D296,Productos!$E:$E,Productos!$F:$F,""))</f>
        <v/>
      </c>
      <c r="J296" s="74">
        <f>IF($C296="","",IF($D296="NO ENCONTRADO",IF(COUNTIF($C$7:$C$1000,$C296)&gt;1,"⚠️ No encontrado | Duplicado","⚠️ No encontrado"),IF(COUNTIF($C$7:$C$1000,$C296)&gt;1,"⚠️ Duplicado","Verificado")))</f>
        <v/>
      </c>
    </row>
    <row r="297" ht="15.75" customHeight="1" s="176">
      <c r="B297" s="80" t="n"/>
      <c r="C297" s="74" t="n"/>
      <c r="D297" s="74">
        <f t="array" ref="D297">IF($C297="","",IFNA(_xlfn.XLOOKUP($C297,Productos!$A:$A,Productos!$E:$E,IFNA(_xlfn.XLOOKUP(TEXT($C297,"0"),Productos!$A:$A,Productos!$E:$E,IFNA(_xlfn.XLOOKUP(IFERROR(VALUE($C297),""),Productos!$A:$A,Productos!$E:$E,_xlfn.XLOOKUP($C297,Productos!$E:$E,Productos!$E:$E,"NO ENCONTRADO")),"NO ENCONTRADO")),"NO ENCONTRADO")),"NO ENCONTRADO"))</f>
        <v/>
      </c>
      <c r="E297" s="74">
        <f t="array" ref="E297">IF(OR($D297="",$D297="NO ENCONTRADO"),"",_xlfn.XLOOKUP($D297,Productos!$E:$E,Productos!$H:$H,""))</f>
        <v/>
      </c>
      <c r="F297" s="74">
        <f t="array" ref="F297">IF(OR($D297="",$D297="NO ENCONTRADO"),"",_xlfn.XLOOKUP($D297,Productos!$E:$E,Productos!$I:$I,""))</f>
        <v/>
      </c>
      <c r="G297" s="74">
        <f t="array" ref="G297">IF(OR($D297="",$D297="NO ENCONTRADO"),"",_xlfn.XLOOKUP($D297,Productos!$E:$E,Productos!$J:$J,""))</f>
        <v/>
      </c>
      <c r="H297" s="74">
        <f t="array" ref="H297">IF(OR($D297="",$D297="NO ENCONTRADO"),"",_xlfn.XLOOKUP($D297,Productos!$E:$E,Productos!$K:$K,""))</f>
        <v/>
      </c>
      <c r="I297" s="74">
        <f t="array" ref="I297">IF(OR($D297="",$D297="NO ENCONTRADO"),"",_xlfn.XLOOKUP($D297,Productos!$E:$E,Productos!$F:$F,""))</f>
        <v/>
      </c>
      <c r="J297" s="74">
        <f>IF($C297="","",IF($D297="NO ENCONTRADO",IF(COUNTIF($C$7:$C$1000,$C297)&gt;1,"⚠️ No encontrado | Duplicado","⚠️ No encontrado"),IF(COUNTIF($C$7:$C$1000,$C297)&gt;1,"⚠️ Duplicado","Verificado")))</f>
        <v/>
      </c>
    </row>
    <row r="298" ht="15.75" customHeight="1" s="176">
      <c r="B298" s="80" t="n"/>
      <c r="C298" s="74" t="n"/>
      <c r="D298" s="74">
        <f t="array" ref="D298">IF($C298="","",IFNA(_xlfn.XLOOKUP($C298,Productos!$A:$A,Productos!$E:$E,IFNA(_xlfn.XLOOKUP(TEXT($C298,"0"),Productos!$A:$A,Productos!$E:$E,IFNA(_xlfn.XLOOKUP(IFERROR(VALUE($C298),""),Productos!$A:$A,Productos!$E:$E,_xlfn.XLOOKUP($C298,Productos!$E:$E,Productos!$E:$E,"NO ENCONTRADO")),"NO ENCONTRADO")),"NO ENCONTRADO")),"NO ENCONTRADO"))</f>
        <v/>
      </c>
      <c r="E298" s="74">
        <f t="array" ref="E298">IF(OR($D298="",$D298="NO ENCONTRADO"),"",_xlfn.XLOOKUP($D298,Productos!$E:$E,Productos!$H:$H,""))</f>
        <v/>
      </c>
      <c r="F298" s="74">
        <f t="array" ref="F298">IF(OR($D298="",$D298="NO ENCONTRADO"),"",_xlfn.XLOOKUP($D298,Productos!$E:$E,Productos!$I:$I,""))</f>
        <v/>
      </c>
      <c r="G298" s="74">
        <f t="array" ref="G298">IF(OR($D298="",$D298="NO ENCONTRADO"),"",_xlfn.XLOOKUP($D298,Productos!$E:$E,Productos!$J:$J,""))</f>
        <v/>
      </c>
      <c r="H298" s="74">
        <f t="array" ref="H298">IF(OR($D298="",$D298="NO ENCONTRADO"),"",_xlfn.XLOOKUP($D298,Productos!$E:$E,Productos!$K:$K,""))</f>
        <v/>
      </c>
      <c r="I298" s="74">
        <f t="array" ref="I298">IF(OR($D298="",$D298="NO ENCONTRADO"),"",_xlfn.XLOOKUP($D298,Productos!$E:$E,Productos!$F:$F,""))</f>
        <v/>
      </c>
      <c r="J298" s="74">
        <f>IF($C298="","",IF($D298="NO ENCONTRADO",IF(COUNTIF($C$7:$C$1000,$C298)&gt;1,"⚠️ No encontrado | Duplicado","⚠️ No encontrado"),IF(COUNTIF($C$7:$C$1000,$C298)&gt;1,"⚠️ Duplicado","Verificado")))</f>
        <v/>
      </c>
    </row>
    <row r="299" ht="15.75" customHeight="1" s="176">
      <c r="B299" s="80" t="n"/>
      <c r="C299" s="74" t="n"/>
      <c r="D299" s="74">
        <f t="array" ref="D299">IF($C299="","",IFNA(_xlfn.XLOOKUP($C299,Productos!$A:$A,Productos!$E:$E,IFNA(_xlfn.XLOOKUP(TEXT($C299,"0"),Productos!$A:$A,Productos!$E:$E,IFNA(_xlfn.XLOOKUP(IFERROR(VALUE($C299),""),Productos!$A:$A,Productos!$E:$E,_xlfn.XLOOKUP($C299,Productos!$E:$E,Productos!$E:$E,"NO ENCONTRADO")),"NO ENCONTRADO")),"NO ENCONTRADO")),"NO ENCONTRADO"))</f>
        <v/>
      </c>
      <c r="E299" s="74">
        <f t="array" ref="E299">IF(OR($D299="",$D299="NO ENCONTRADO"),"",_xlfn.XLOOKUP($D299,Productos!$E:$E,Productos!$H:$H,""))</f>
        <v/>
      </c>
      <c r="F299" s="74">
        <f t="array" ref="F299">IF(OR($D299="",$D299="NO ENCONTRADO"),"",_xlfn.XLOOKUP($D299,Productos!$E:$E,Productos!$I:$I,""))</f>
        <v/>
      </c>
      <c r="G299" s="74">
        <f t="array" ref="G299">IF(OR($D299="",$D299="NO ENCONTRADO"),"",_xlfn.XLOOKUP($D299,Productos!$E:$E,Productos!$J:$J,""))</f>
        <v/>
      </c>
      <c r="H299" s="74">
        <f t="array" ref="H299">IF(OR($D299="",$D299="NO ENCONTRADO"),"",_xlfn.XLOOKUP($D299,Productos!$E:$E,Productos!$K:$K,""))</f>
        <v/>
      </c>
      <c r="I299" s="74">
        <f t="array" ref="I299">IF(OR($D299="",$D299="NO ENCONTRADO"),"",_xlfn.XLOOKUP($D299,Productos!$E:$E,Productos!$F:$F,""))</f>
        <v/>
      </c>
      <c r="J299" s="74">
        <f>IF($C299="","",IF($D299="NO ENCONTRADO",IF(COUNTIF($C$7:$C$1000,$C299)&gt;1,"⚠️ No encontrado | Duplicado","⚠️ No encontrado"),IF(COUNTIF($C$7:$C$1000,$C299)&gt;1,"⚠️ Duplicado","Verificado")))</f>
        <v/>
      </c>
    </row>
    <row r="300" ht="15.75" customHeight="1" s="176">
      <c r="B300" s="80" t="n"/>
      <c r="C300" s="74" t="n"/>
      <c r="D300" s="74">
        <f t="array" ref="D300">IF($C300="","",IFNA(_xlfn.XLOOKUP($C300,Productos!$A:$A,Productos!$E:$E,IFNA(_xlfn.XLOOKUP(TEXT($C300,"0"),Productos!$A:$A,Productos!$E:$E,IFNA(_xlfn.XLOOKUP(IFERROR(VALUE($C300),""),Productos!$A:$A,Productos!$E:$E,_xlfn.XLOOKUP($C300,Productos!$E:$E,Productos!$E:$E,"NO ENCONTRADO")),"NO ENCONTRADO")),"NO ENCONTRADO")),"NO ENCONTRADO"))</f>
        <v/>
      </c>
      <c r="E300" s="74">
        <f t="array" ref="E300">IF(OR($D300="",$D300="NO ENCONTRADO"),"",_xlfn.XLOOKUP($D300,Productos!$E:$E,Productos!$H:$H,""))</f>
        <v/>
      </c>
      <c r="F300" s="74">
        <f t="array" ref="F300">IF(OR($D300="",$D300="NO ENCONTRADO"),"",_xlfn.XLOOKUP($D300,Productos!$E:$E,Productos!$I:$I,""))</f>
        <v/>
      </c>
      <c r="G300" s="74">
        <f t="array" ref="G300">IF(OR($D300="",$D300="NO ENCONTRADO"),"",_xlfn.XLOOKUP($D300,Productos!$E:$E,Productos!$J:$J,""))</f>
        <v/>
      </c>
      <c r="H300" s="74">
        <f t="array" ref="H300">IF(OR($D300="",$D300="NO ENCONTRADO"),"",_xlfn.XLOOKUP($D300,Productos!$E:$E,Productos!$K:$K,""))</f>
        <v/>
      </c>
      <c r="I300" s="74">
        <f t="array" ref="I300">IF(OR($D300="",$D300="NO ENCONTRADO"),"",_xlfn.XLOOKUP($D300,Productos!$E:$E,Productos!$F:$F,""))</f>
        <v/>
      </c>
      <c r="J300" s="74">
        <f>IF($C300="","",IF($D300="NO ENCONTRADO",IF(COUNTIF($C$7:$C$1000,$C300)&gt;1,"⚠️ No encontrado | Duplicado","⚠️ No encontrado"),IF(COUNTIF($C$7:$C$1000,$C300)&gt;1,"⚠️ Duplicado","Verificado")))</f>
        <v/>
      </c>
    </row>
    <row r="301" ht="15.75" customHeight="1" s="176">
      <c r="B301" s="80" t="n"/>
      <c r="C301" s="74" t="n"/>
      <c r="D301" s="74">
        <f t="array" ref="D301">IF($C301="","",IFNA(_xlfn.XLOOKUP($C301,Productos!$A:$A,Productos!$E:$E,IFNA(_xlfn.XLOOKUP(TEXT($C301,"0"),Productos!$A:$A,Productos!$E:$E,IFNA(_xlfn.XLOOKUP(IFERROR(VALUE($C301),""),Productos!$A:$A,Productos!$E:$E,_xlfn.XLOOKUP($C301,Productos!$E:$E,Productos!$E:$E,"NO ENCONTRADO")),"NO ENCONTRADO")),"NO ENCONTRADO")),"NO ENCONTRADO"))</f>
        <v/>
      </c>
      <c r="E301" s="74">
        <f t="array" ref="E301">IF(OR($D301="",$D301="NO ENCONTRADO"),"",_xlfn.XLOOKUP($D301,Productos!$E:$E,Productos!$H:$H,""))</f>
        <v/>
      </c>
      <c r="F301" s="74">
        <f t="array" ref="F301">IF(OR($D301="",$D301="NO ENCONTRADO"),"",_xlfn.XLOOKUP($D301,Productos!$E:$E,Productos!$I:$I,""))</f>
        <v/>
      </c>
      <c r="G301" s="74">
        <f t="array" ref="G301">IF(OR($D301="",$D301="NO ENCONTRADO"),"",_xlfn.XLOOKUP($D301,Productos!$E:$E,Productos!$J:$J,""))</f>
        <v/>
      </c>
      <c r="H301" s="74">
        <f t="array" ref="H301">IF(OR($D301="",$D301="NO ENCONTRADO"),"",_xlfn.XLOOKUP($D301,Productos!$E:$E,Productos!$K:$K,""))</f>
        <v/>
      </c>
      <c r="I301" s="74">
        <f t="array" ref="I301">IF(OR($D301="",$D301="NO ENCONTRADO"),"",_xlfn.XLOOKUP($D301,Productos!$E:$E,Productos!$F:$F,""))</f>
        <v/>
      </c>
      <c r="J301" s="74">
        <f>IF($C301="","",IF($D301="NO ENCONTRADO",IF(COUNTIF($C$7:$C$1000,$C301)&gt;1,"⚠️ No encontrado | Duplicado","⚠️ No encontrado"),IF(COUNTIF($C$7:$C$1000,$C301)&gt;1,"⚠️ Duplicado","Verificado")))</f>
        <v/>
      </c>
    </row>
    <row r="302" ht="15.75" customHeight="1" s="176">
      <c r="B302" s="80" t="n"/>
      <c r="C302" s="74" t="n"/>
      <c r="D302" s="74">
        <f t="array" ref="D302">IF($C302="","",IFNA(_xlfn.XLOOKUP($C302,Productos!$A:$A,Productos!$E:$E,IFNA(_xlfn.XLOOKUP(TEXT($C302,"0"),Productos!$A:$A,Productos!$E:$E,IFNA(_xlfn.XLOOKUP(IFERROR(VALUE($C302),""),Productos!$A:$A,Productos!$E:$E,_xlfn.XLOOKUP($C302,Productos!$E:$E,Productos!$E:$E,"NO ENCONTRADO")),"NO ENCONTRADO")),"NO ENCONTRADO")),"NO ENCONTRADO"))</f>
        <v/>
      </c>
      <c r="E302" s="74">
        <f t="array" ref="E302">IF(OR($D302="",$D302="NO ENCONTRADO"),"",_xlfn.XLOOKUP($D302,Productos!$E:$E,Productos!$H:$H,""))</f>
        <v/>
      </c>
      <c r="F302" s="74">
        <f t="array" ref="F302">IF(OR($D302="",$D302="NO ENCONTRADO"),"",_xlfn.XLOOKUP($D302,Productos!$E:$E,Productos!$I:$I,""))</f>
        <v/>
      </c>
      <c r="G302" s="74">
        <f t="array" ref="G302">IF(OR($D302="",$D302="NO ENCONTRADO"),"",_xlfn.XLOOKUP($D302,Productos!$E:$E,Productos!$J:$J,""))</f>
        <v/>
      </c>
      <c r="H302" s="74">
        <f t="array" ref="H302">IF(OR($D302="",$D302="NO ENCONTRADO"),"",_xlfn.XLOOKUP($D302,Productos!$E:$E,Productos!$K:$K,""))</f>
        <v/>
      </c>
      <c r="I302" s="74">
        <f t="array" ref="I302">IF(OR($D302="",$D302="NO ENCONTRADO"),"",_xlfn.XLOOKUP($D302,Productos!$E:$E,Productos!$F:$F,""))</f>
        <v/>
      </c>
      <c r="J302" s="74">
        <f>IF($C302="","",IF($D302="NO ENCONTRADO",IF(COUNTIF($C$7:$C$1000,$C302)&gt;1,"⚠️ No encontrado | Duplicado","⚠️ No encontrado"),IF(COUNTIF($C$7:$C$1000,$C302)&gt;1,"⚠️ Duplicado","Verificado")))</f>
        <v/>
      </c>
    </row>
    <row r="303" ht="15.75" customHeight="1" s="176">
      <c r="B303" s="80" t="n"/>
      <c r="C303" s="74" t="n"/>
      <c r="D303" s="74">
        <f t="array" ref="D303">IF($C303="","",IFNA(_xlfn.XLOOKUP($C303,Productos!$A:$A,Productos!$E:$E,IFNA(_xlfn.XLOOKUP(TEXT($C303,"0"),Productos!$A:$A,Productos!$E:$E,IFNA(_xlfn.XLOOKUP(IFERROR(VALUE($C303),""),Productos!$A:$A,Productos!$E:$E,_xlfn.XLOOKUP($C303,Productos!$E:$E,Productos!$E:$E,"NO ENCONTRADO")),"NO ENCONTRADO")),"NO ENCONTRADO")),"NO ENCONTRADO"))</f>
        <v/>
      </c>
      <c r="E303" s="74">
        <f t="array" ref="E303">IF(OR($D303="",$D303="NO ENCONTRADO"),"",_xlfn.XLOOKUP($D303,Productos!$E:$E,Productos!$H:$H,""))</f>
        <v/>
      </c>
      <c r="F303" s="74">
        <f t="array" ref="F303">IF(OR($D303="",$D303="NO ENCONTRADO"),"",_xlfn.XLOOKUP($D303,Productos!$E:$E,Productos!$I:$I,""))</f>
        <v/>
      </c>
      <c r="G303" s="74">
        <f t="array" ref="G303">IF(OR($D303="",$D303="NO ENCONTRADO"),"",_xlfn.XLOOKUP($D303,Productos!$E:$E,Productos!$J:$J,""))</f>
        <v/>
      </c>
      <c r="H303" s="74">
        <f t="array" ref="H303">IF(OR($D303="",$D303="NO ENCONTRADO"),"",_xlfn.XLOOKUP($D303,Productos!$E:$E,Productos!$K:$K,""))</f>
        <v/>
      </c>
      <c r="I303" s="74">
        <f t="array" ref="I303">IF(OR($D303="",$D303="NO ENCONTRADO"),"",_xlfn.XLOOKUP($D303,Productos!$E:$E,Productos!$F:$F,""))</f>
        <v/>
      </c>
      <c r="J303" s="74">
        <f>IF($C303="","",IF($D303="NO ENCONTRADO",IF(COUNTIF($C$7:$C$1000,$C303)&gt;1,"⚠️ No encontrado | Duplicado","⚠️ No encontrado"),IF(COUNTIF($C$7:$C$1000,$C303)&gt;1,"⚠️ Duplicado","Verificado")))</f>
        <v/>
      </c>
    </row>
    <row r="304" ht="15.75" customHeight="1" s="176">
      <c r="B304" s="80" t="n"/>
      <c r="C304" s="74" t="n"/>
      <c r="D304" s="74">
        <f t="array" ref="D304">IF($C304="","",IFNA(_xlfn.XLOOKUP($C304,Productos!$A:$A,Productos!$E:$E,IFNA(_xlfn.XLOOKUP(TEXT($C304,"0"),Productos!$A:$A,Productos!$E:$E,IFNA(_xlfn.XLOOKUP(IFERROR(VALUE($C304),""),Productos!$A:$A,Productos!$E:$E,_xlfn.XLOOKUP($C304,Productos!$E:$E,Productos!$E:$E,"NO ENCONTRADO")),"NO ENCONTRADO")),"NO ENCONTRADO")),"NO ENCONTRADO"))</f>
        <v/>
      </c>
      <c r="E304" s="74">
        <f t="array" ref="E304">IF(OR($D304="",$D304="NO ENCONTRADO"),"",_xlfn.XLOOKUP($D304,Productos!$E:$E,Productos!$H:$H,""))</f>
        <v/>
      </c>
      <c r="F304" s="74">
        <f t="array" ref="F304">IF(OR($D304="",$D304="NO ENCONTRADO"),"",_xlfn.XLOOKUP($D304,Productos!$E:$E,Productos!$I:$I,""))</f>
        <v/>
      </c>
      <c r="G304" s="74">
        <f t="array" ref="G304">IF(OR($D304="",$D304="NO ENCONTRADO"),"",_xlfn.XLOOKUP($D304,Productos!$E:$E,Productos!$J:$J,""))</f>
        <v/>
      </c>
      <c r="H304" s="74">
        <f t="array" ref="H304">IF(OR($D304="",$D304="NO ENCONTRADO"),"",_xlfn.XLOOKUP($D304,Productos!$E:$E,Productos!$K:$K,""))</f>
        <v/>
      </c>
      <c r="I304" s="74">
        <f t="array" ref="I304">IF(OR($D304="",$D304="NO ENCONTRADO"),"",_xlfn.XLOOKUP($D304,Productos!$E:$E,Productos!$F:$F,""))</f>
        <v/>
      </c>
      <c r="J304" s="74">
        <f>IF($C304="","",IF($D304="NO ENCONTRADO",IF(COUNTIF($C$7:$C$1000,$C304)&gt;1,"⚠️ No encontrado | Duplicado","⚠️ No encontrado"),IF(COUNTIF($C$7:$C$1000,$C304)&gt;1,"⚠️ Duplicado","Verificado")))</f>
        <v/>
      </c>
    </row>
    <row r="305" ht="15.75" customHeight="1" s="176">
      <c r="B305" s="80" t="n"/>
      <c r="C305" s="74" t="n"/>
      <c r="D305" s="74">
        <f t="array" ref="D305">IF($C305="","",IFNA(_xlfn.XLOOKUP($C305,Productos!$A:$A,Productos!$E:$E,IFNA(_xlfn.XLOOKUP(TEXT($C305,"0"),Productos!$A:$A,Productos!$E:$E,IFNA(_xlfn.XLOOKUP(IFERROR(VALUE($C305),""),Productos!$A:$A,Productos!$E:$E,_xlfn.XLOOKUP($C305,Productos!$E:$E,Productos!$E:$E,"NO ENCONTRADO")),"NO ENCONTRADO")),"NO ENCONTRADO")),"NO ENCONTRADO"))</f>
        <v/>
      </c>
      <c r="E305" s="74">
        <f t="array" ref="E305">IF(OR($D305="",$D305="NO ENCONTRADO"),"",_xlfn.XLOOKUP($D305,Productos!$E:$E,Productos!$H:$H,""))</f>
        <v/>
      </c>
      <c r="F305" s="74">
        <f t="array" ref="F305">IF(OR($D305="",$D305="NO ENCONTRADO"),"",_xlfn.XLOOKUP($D305,Productos!$E:$E,Productos!$I:$I,""))</f>
        <v/>
      </c>
      <c r="G305" s="74">
        <f t="array" ref="G305">IF(OR($D305="",$D305="NO ENCONTRADO"),"",_xlfn.XLOOKUP($D305,Productos!$E:$E,Productos!$J:$J,""))</f>
        <v/>
      </c>
      <c r="H305" s="74">
        <f t="array" ref="H305">IF(OR($D305="",$D305="NO ENCONTRADO"),"",_xlfn.XLOOKUP($D305,Productos!$E:$E,Productos!$K:$K,""))</f>
        <v/>
      </c>
      <c r="I305" s="74">
        <f t="array" ref="I305">IF(OR($D305="",$D305="NO ENCONTRADO"),"",_xlfn.XLOOKUP($D305,Productos!$E:$E,Productos!$F:$F,""))</f>
        <v/>
      </c>
      <c r="J305" s="74">
        <f>IF($C305="","",IF($D305="NO ENCONTRADO",IF(COUNTIF($C$7:$C$1000,$C305)&gt;1,"⚠️ No encontrado | Duplicado","⚠️ No encontrado"),IF(COUNTIF($C$7:$C$1000,$C305)&gt;1,"⚠️ Duplicado","Verificado")))</f>
        <v/>
      </c>
    </row>
    <row r="306" ht="15.75" customHeight="1" s="176">
      <c r="B306" s="80" t="n"/>
      <c r="C306" s="74" t="n"/>
      <c r="D306" s="74">
        <f t="array" ref="D306">IF($C306="","",IFNA(_xlfn.XLOOKUP($C306,Productos!$A:$A,Productos!$E:$E,IFNA(_xlfn.XLOOKUP(TEXT($C306,"0"),Productos!$A:$A,Productos!$E:$E,IFNA(_xlfn.XLOOKUP(IFERROR(VALUE($C306),""),Productos!$A:$A,Productos!$E:$E,_xlfn.XLOOKUP($C306,Productos!$E:$E,Productos!$E:$E,"NO ENCONTRADO")),"NO ENCONTRADO")),"NO ENCONTRADO")),"NO ENCONTRADO"))</f>
        <v/>
      </c>
      <c r="E306" s="74">
        <f t="array" ref="E306">IF(OR($D306="",$D306="NO ENCONTRADO"),"",_xlfn.XLOOKUP($D306,Productos!$E:$E,Productos!$H:$H,""))</f>
        <v/>
      </c>
      <c r="F306" s="74">
        <f t="array" ref="F306">IF(OR($D306="",$D306="NO ENCONTRADO"),"",_xlfn.XLOOKUP($D306,Productos!$E:$E,Productos!$I:$I,""))</f>
        <v/>
      </c>
      <c r="G306" s="74">
        <f t="array" ref="G306">IF(OR($D306="",$D306="NO ENCONTRADO"),"",_xlfn.XLOOKUP($D306,Productos!$E:$E,Productos!$J:$J,""))</f>
        <v/>
      </c>
      <c r="H306" s="74">
        <f t="array" ref="H306">IF(OR($D306="",$D306="NO ENCONTRADO"),"",_xlfn.XLOOKUP($D306,Productos!$E:$E,Productos!$K:$K,""))</f>
        <v/>
      </c>
      <c r="I306" s="74">
        <f t="array" ref="I306">IF(OR($D306="",$D306="NO ENCONTRADO"),"",_xlfn.XLOOKUP($D306,Productos!$E:$E,Productos!$F:$F,""))</f>
        <v/>
      </c>
      <c r="J306" s="74">
        <f>IF($C306="","",IF($D306="NO ENCONTRADO",IF(COUNTIF($C$7:$C$1000,$C306)&gt;1,"⚠️ No encontrado | Duplicado","⚠️ No encontrado"),IF(COUNTIF($C$7:$C$1000,$C306)&gt;1,"⚠️ Duplicado","Verificado")))</f>
        <v/>
      </c>
    </row>
    <row r="307" ht="15.75" customHeight="1" s="176">
      <c r="B307" s="80" t="n"/>
      <c r="C307" s="74" t="n"/>
      <c r="D307" s="74">
        <f t="array" ref="D307">IF($C307="","",IFNA(_xlfn.XLOOKUP($C307,Productos!$A:$A,Productos!$E:$E,IFNA(_xlfn.XLOOKUP(TEXT($C307,"0"),Productos!$A:$A,Productos!$E:$E,IFNA(_xlfn.XLOOKUP(IFERROR(VALUE($C307),""),Productos!$A:$A,Productos!$E:$E,_xlfn.XLOOKUP($C307,Productos!$E:$E,Productos!$E:$E,"NO ENCONTRADO")),"NO ENCONTRADO")),"NO ENCONTRADO")),"NO ENCONTRADO"))</f>
        <v/>
      </c>
      <c r="E307" s="74">
        <f t="array" ref="E307">IF(OR($D307="",$D307="NO ENCONTRADO"),"",_xlfn.XLOOKUP($D307,Productos!$E:$E,Productos!$H:$H,""))</f>
        <v/>
      </c>
      <c r="F307" s="74">
        <f t="array" ref="F307">IF(OR($D307="",$D307="NO ENCONTRADO"),"",_xlfn.XLOOKUP($D307,Productos!$E:$E,Productos!$I:$I,""))</f>
        <v/>
      </c>
      <c r="G307" s="74">
        <f t="array" ref="G307">IF(OR($D307="",$D307="NO ENCONTRADO"),"",_xlfn.XLOOKUP($D307,Productos!$E:$E,Productos!$J:$J,""))</f>
        <v/>
      </c>
      <c r="H307" s="74">
        <f t="array" ref="H307">IF(OR($D307="",$D307="NO ENCONTRADO"),"",_xlfn.XLOOKUP($D307,Productos!$E:$E,Productos!$K:$K,""))</f>
        <v/>
      </c>
      <c r="I307" s="74">
        <f t="array" ref="I307">IF(OR($D307="",$D307="NO ENCONTRADO"),"",_xlfn.XLOOKUP($D307,Productos!$E:$E,Productos!$F:$F,""))</f>
        <v/>
      </c>
      <c r="J307" s="74">
        <f>IF($C307="","",IF($D307="NO ENCONTRADO",IF(COUNTIF($C$7:$C$1000,$C307)&gt;1,"⚠️ No encontrado | Duplicado","⚠️ No encontrado"),IF(COUNTIF($C$7:$C$1000,$C307)&gt;1,"⚠️ Duplicado","Verificado")))</f>
        <v/>
      </c>
    </row>
    <row r="308" ht="15.75" customHeight="1" s="176">
      <c r="B308" s="80" t="n"/>
      <c r="C308" s="74" t="n"/>
      <c r="D308" s="74">
        <f t="array" ref="D308">IF($C308="","",IFNA(_xlfn.XLOOKUP($C308,Productos!$A:$A,Productos!$E:$E,IFNA(_xlfn.XLOOKUP(TEXT($C308,"0"),Productos!$A:$A,Productos!$E:$E,IFNA(_xlfn.XLOOKUP(IFERROR(VALUE($C308),""),Productos!$A:$A,Productos!$E:$E,_xlfn.XLOOKUP($C308,Productos!$E:$E,Productos!$E:$E,"NO ENCONTRADO")),"NO ENCONTRADO")),"NO ENCONTRADO")),"NO ENCONTRADO"))</f>
        <v/>
      </c>
      <c r="E308" s="74">
        <f t="array" ref="E308">IF(OR($D308="",$D308="NO ENCONTRADO"),"",_xlfn.XLOOKUP($D308,Productos!$E:$E,Productos!$H:$H,""))</f>
        <v/>
      </c>
      <c r="F308" s="74">
        <f t="array" ref="F308">IF(OR($D308="",$D308="NO ENCONTRADO"),"",_xlfn.XLOOKUP($D308,Productos!$E:$E,Productos!$I:$I,""))</f>
        <v/>
      </c>
      <c r="G308" s="74">
        <f t="array" ref="G308">IF(OR($D308="",$D308="NO ENCONTRADO"),"",_xlfn.XLOOKUP($D308,Productos!$E:$E,Productos!$J:$J,""))</f>
        <v/>
      </c>
      <c r="H308" s="74">
        <f t="array" ref="H308">IF(OR($D308="",$D308="NO ENCONTRADO"),"",_xlfn.XLOOKUP($D308,Productos!$E:$E,Productos!$K:$K,""))</f>
        <v/>
      </c>
      <c r="I308" s="74">
        <f t="array" ref="I308">IF(OR($D308="",$D308="NO ENCONTRADO"),"",_xlfn.XLOOKUP($D308,Productos!$E:$E,Productos!$F:$F,""))</f>
        <v/>
      </c>
      <c r="J308" s="74">
        <f>IF($C308="","",IF($D308="NO ENCONTRADO",IF(COUNTIF($C$7:$C$1000,$C308)&gt;1,"⚠️ No encontrado | Duplicado","⚠️ No encontrado"),IF(COUNTIF($C$7:$C$1000,$C308)&gt;1,"⚠️ Duplicado","Verificado")))</f>
        <v/>
      </c>
    </row>
    <row r="309" ht="15.75" customHeight="1" s="176">
      <c r="B309" s="80" t="n"/>
      <c r="C309" s="74" t="n"/>
      <c r="D309" s="74">
        <f t="array" ref="D309">IF($C309="","",IFNA(_xlfn.XLOOKUP($C309,Productos!$A:$A,Productos!$E:$E,IFNA(_xlfn.XLOOKUP(TEXT($C309,"0"),Productos!$A:$A,Productos!$E:$E,IFNA(_xlfn.XLOOKUP(IFERROR(VALUE($C309),""),Productos!$A:$A,Productos!$E:$E,_xlfn.XLOOKUP($C309,Productos!$E:$E,Productos!$E:$E,"NO ENCONTRADO")),"NO ENCONTRADO")),"NO ENCONTRADO")),"NO ENCONTRADO"))</f>
        <v/>
      </c>
      <c r="E309" s="74">
        <f t="array" ref="E309">IF(OR($D309="",$D309="NO ENCONTRADO"),"",_xlfn.XLOOKUP($D309,Productos!$E:$E,Productos!$H:$H,""))</f>
        <v/>
      </c>
      <c r="F309" s="74">
        <f t="array" ref="F309">IF(OR($D309="",$D309="NO ENCONTRADO"),"",_xlfn.XLOOKUP($D309,Productos!$E:$E,Productos!$I:$I,""))</f>
        <v/>
      </c>
      <c r="G309" s="74">
        <f t="array" ref="G309">IF(OR($D309="",$D309="NO ENCONTRADO"),"",_xlfn.XLOOKUP($D309,Productos!$E:$E,Productos!$J:$J,""))</f>
        <v/>
      </c>
      <c r="H309" s="74">
        <f t="array" ref="H309">IF(OR($D309="",$D309="NO ENCONTRADO"),"",_xlfn.XLOOKUP($D309,Productos!$E:$E,Productos!$K:$K,""))</f>
        <v/>
      </c>
      <c r="I309" s="74">
        <f t="array" ref="I309">IF(OR($D309="",$D309="NO ENCONTRADO"),"",_xlfn.XLOOKUP($D309,Productos!$E:$E,Productos!$F:$F,""))</f>
        <v/>
      </c>
      <c r="J309" s="74">
        <f>IF($C309="","",IF($D309="NO ENCONTRADO",IF(COUNTIF($C$7:$C$1000,$C309)&gt;1,"⚠️ No encontrado | Duplicado","⚠️ No encontrado"),IF(COUNTIF($C$7:$C$1000,$C309)&gt;1,"⚠️ Duplicado","Verificado")))</f>
        <v/>
      </c>
    </row>
    <row r="310" ht="15.75" customHeight="1" s="176">
      <c r="B310" s="80" t="n"/>
      <c r="C310" s="74" t="n"/>
      <c r="D310" s="74">
        <f t="array" ref="D310">IF($C310="","",IFNA(_xlfn.XLOOKUP($C310,Productos!$A:$A,Productos!$E:$E,IFNA(_xlfn.XLOOKUP(TEXT($C310,"0"),Productos!$A:$A,Productos!$E:$E,IFNA(_xlfn.XLOOKUP(IFERROR(VALUE($C310),""),Productos!$A:$A,Productos!$E:$E,_xlfn.XLOOKUP($C310,Productos!$E:$E,Productos!$E:$E,"NO ENCONTRADO")),"NO ENCONTRADO")),"NO ENCONTRADO")),"NO ENCONTRADO"))</f>
        <v/>
      </c>
      <c r="E310" s="74">
        <f t="array" ref="E310">IF(OR($D310="",$D310="NO ENCONTRADO"),"",_xlfn.XLOOKUP($D310,Productos!$E:$E,Productos!$H:$H,""))</f>
        <v/>
      </c>
      <c r="F310" s="74">
        <f t="array" ref="F310">IF(OR($D310="",$D310="NO ENCONTRADO"),"",_xlfn.XLOOKUP($D310,Productos!$E:$E,Productos!$I:$I,""))</f>
        <v/>
      </c>
      <c r="G310" s="74">
        <f t="array" ref="G310">IF(OR($D310="",$D310="NO ENCONTRADO"),"",_xlfn.XLOOKUP($D310,Productos!$E:$E,Productos!$J:$J,""))</f>
        <v/>
      </c>
      <c r="H310" s="74">
        <f t="array" ref="H310">IF(OR($D310="",$D310="NO ENCONTRADO"),"",_xlfn.XLOOKUP($D310,Productos!$E:$E,Productos!$K:$K,""))</f>
        <v/>
      </c>
      <c r="I310" s="74">
        <f t="array" ref="I310">IF(OR($D310="",$D310="NO ENCONTRADO"),"",_xlfn.XLOOKUP($D310,Productos!$E:$E,Productos!$F:$F,""))</f>
        <v/>
      </c>
      <c r="J310" s="74">
        <f>IF($C310="","",IF($D310="NO ENCONTRADO",IF(COUNTIF($C$7:$C$1000,$C310)&gt;1,"⚠️ No encontrado | Duplicado","⚠️ No encontrado"),IF(COUNTIF($C$7:$C$1000,$C310)&gt;1,"⚠️ Duplicado","Verificado")))</f>
        <v/>
      </c>
    </row>
    <row r="311" ht="15.75" customHeight="1" s="176">
      <c r="B311" s="80" t="n"/>
      <c r="C311" s="74" t="n"/>
      <c r="D311" s="74">
        <f t="array" ref="D311">IF($C311="","",IFNA(_xlfn.XLOOKUP($C311,Productos!$A:$A,Productos!$E:$E,IFNA(_xlfn.XLOOKUP(TEXT($C311,"0"),Productos!$A:$A,Productos!$E:$E,IFNA(_xlfn.XLOOKUP(IFERROR(VALUE($C311),""),Productos!$A:$A,Productos!$E:$E,_xlfn.XLOOKUP($C311,Productos!$E:$E,Productos!$E:$E,"NO ENCONTRADO")),"NO ENCONTRADO")),"NO ENCONTRADO")),"NO ENCONTRADO"))</f>
        <v/>
      </c>
      <c r="E311" s="74">
        <f t="array" ref="E311">IF(OR($D311="",$D311="NO ENCONTRADO"),"",_xlfn.XLOOKUP($D311,Productos!$E:$E,Productos!$H:$H,""))</f>
        <v/>
      </c>
      <c r="F311" s="74">
        <f t="array" ref="F311">IF(OR($D311="",$D311="NO ENCONTRADO"),"",_xlfn.XLOOKUP($D311,Productos!$E:$E,Productos!$I:$I,""))</f>
        <v/>
      </c>
      <c r="G311" s="74">
        <f t="array" ref="G311">IF(OR($D311="",$D311="NO ENCONTRADO"),"",_xlfn.XLOOKUP($D311,Productos!$E:$E,Productos!$J:$J,""))</f>
        <v/>
      </c>
      <c r="H311" s="74">
        <f t="array" ref="H311">IF(OR($D311="",$D311="NO ENCONTRADO"),"",_xlfn.XLOOKUP($D311,Productos!$E:$E,Productos!$K:$K,""))</f>
        <v/>
      </c>
      <c r="I311" s="74">
        <f t="array" ref="I311">IF(OR($D311="",$D311="NO ENCONTRADO"),"",_xlfn.XLOOKUP($D311,Productos!$E:$E,Productos!$F:$F,""))</f>
        <v/>
      </c>
      <c r="J311" s="74">
        <f>IF($C311="","",IF($D311="NO ENCONTRADO",IF(COUNTIF($C$7:$C$1000,$C311)&gt;1,"⚠️ No encontrado | Duplicado","⚠️ No encontrado"),IF(COUNTIF($C$7:$C$1000,$C311)&gt;1,"⚠️ Duplicado","Verificado")))</f>
        <v/>
      </c>
    </row>
    <row r="312" ht="15.75" customHeight="1" s="176">
      <c r="B312" s="80" t="n"/>
      <c r="C312" s="74" t="n"/>
      <c r="D312" s="74">
        <f t="array" ref="D312">IF($C312="","",IFNA(_xlfn.XLOOKUP($C312,Productos!$A:$A,Productos!$E:$E,IFNA(_xlfn.XLOOKUP(TEXT($C312,"0"),Productos!$A:$A,Productos!$E:$E,IFNA(_xlfn.XLOOKUP(IFERROR(VALUE($C312),""),Productos!$A:$A,Productos!$E:$E,_xlfn.XLOOKUP($C312,Productos!$E:$E,Productos!$E:$E,"NO ENCONTRADO")),"NO ENCONTRADO")),"NO ENCONTRADO")),"NO ENCONTRADO"))</f>
        <v/>
      </c>
      <c r="E312" s="74">
        <f t="array" ref="E312">IF(OR($D312="",$D312="NO ENCONTRADO"),"",_xlfn.XLOOKUP($D312,Productos!$E:$E,Productos!$H:$H,""))</f>
        <v/>
      </c>
      <c r="F312" s="74">
        <f t="array" ref="F312">IF(OR($D312="",$D312="NO ENCONTRADO"),"",_xlfn.XLOOKUP($D312,Productos!$E:$E,Productos!$I:$I,""))</f>
        <v/>
      </c>
      <c r="G312" s="74">
        <f t="array" ref="G312">IF(OR($D312="",$D312="NO ENCONTRADO"),"",_xlfn.XLOOKUP($D312,Productos!$E:$E,Productos!$J:$J,""))</f>
        <v/>
      </c>
      <c r="H312" s="74">
        <f t="array" ref="H312">IF(OR($D312="",$D312="NO ENCONTRADO"),"",_xlfn.XLOOKUP($D312,Productos!$E:$E,Productos!$K:$K,""))</f>
        <v/>
      </c>
      <c r="I312" s="74">
        <f t="array" ref="I312">IF(OR($D312="",$D312="NO ENCONTRADO"),"",_xlfn.XLOOKUP($D312,Productos!$E:$E,Productos!$F:$F,""))</f>
        <v/>
      </c>
      <c r="J312" s="74">
        <f>IF($C312="","",IF($D312="NO ENCONTRADO",IF(COUNTIF($C$7:$C$1000,$C312)&gt;1,"⚠️ No encontrado | Duplicado","⚠️ No encontrado"),IF(COUNTIF($C$7:$C$1000,$C312)&gt;1,"⚠️ Duplicado","Verificado")))</f>
        <v/>
      </c>
    </row>
    <row r="313" ht="15.75" customHeight="1" s="176">
      <c r="B313" s="80" t="n"/>
      <c r="C313" s="74" t="n"/>
      <c r="D313" s="74">
        <f t="array" ref="D313">IF($C313="","",IFNA(_xlfn.XLOOKUP($C313,Productos!$A:$A,Productos!$E:$E,IFNA(_xlfn.XLOOKUP(TEXT($C313,"0"),Productos!$A:$A,Productos!$E:$E,IFNA(_xlfn.XLOOKUP(IFERROR(VALUE($C313),""),Productos!$A:$A,Productos!$E:$E,_xlfn.XLOOKUP($C313,Productos!$E:$E,Productos!$E:$E,"NO ENCONTRADO")),"NO ENCONTRADO")),"NO ENCONTRADO")),"NO ENCONTRADO"))</f>
        <v/>
      </c>
      <c r="E313" s="74">
        <f t="array" ref="E313">IF(OR($D313="",$D313="NO ENCONTRADO"),"",_xlfn.XLOOKUP($D313,Productos!$E:$E,Productos!$H:$H,""))</f>
        <v/>
      </c>
      <c r="F313" s="74">
        <f t="array" ref="F313">IF(OR($D313="",$D313="NO ENCONTRADO"),"",_xlfn.XLOOKUP($D313,Productos!$E:$E,Productos!$I:$I,""))</f>
        <v/>
      </c>
      <c r="G313" s="74">
        <f t="array" ref="G313">IF(OR($D313="",$D313="NO ENCONTRADO"),"",_xlfn.XLOOKUP($D313,Productos!$E:$E,Productos!$J:$J,""))</f>
        <v/>
      </c>
      <c r="H313" s="74">
        <f t="array" ref="H313">IF(OR($D313="",$D313="NO ENCONTRADO"),"",_xlfn.XLOOKUP($D313,Productos!$E:$E,Productos!$K:$K,""))</f>
        <v/>
      </c>
      <c r="I313" s="74">
        <f t="array" ref="I313">IF(OR($D313="",$D313="NO ENCONTRADO"),"",_xlfn.XLOOKUP($D313,Productos!$E:$E,Productos!$F:$F,""))</f>
        <v/>
      </c>
      <c r="J313" s="74">
        <f>IF($C313="","",IF($D313="NO ENCONTRADO",IF(COUNTIF($C$7:$C$1000,$C313)&gt;1,"⚠️ No encontrado | Duplicado","⚠️ No encontrado"),IF(COUNTIF($C$7:$C$1000,$C313)&gt;1,"⚠️ Duplicado","Verificado")))</f>
        <v/>
      </c>
    </row>
    <row r="314" ht="15.75" customHeight="1" s="176">
      <c r="B314" s="80" t="n"/>
      <c r="C314" s="74" t="n"/>
      <c r="D314" s="74">
        <f t="array" ref="D314">IF($C314="","",IFNA(_xlfn.XLOOKUP($C314,Productos!$A:$A,Productos!$E:$E,IFNA(_xlfn.XLOOKUP(TEXT($C314,"0"),Productos!$A:$A,Productos!$E:$E,IFNA(_xlfn.XLOOKUP(IFERROR(VALUE($C314),""),Productos!$A:$A,Productos!$E:$E,_xlfn.XLOOKUP($C314,Productos!$E:$E,Productos!$E:$E,"NO ENCONTRADO")),"NO ENCONTRADO")),"NO ENCONTRADO")),"NO ENCONTRADO"))</f>
        <v/>
      </c>
      <c r="E314" s="74">
        <f t="array" ref="E314">IF(OR($D314="",$D314="NO ENCONTRADO"),"",_xlfn.XLOOKUP($D314,Productos!$E:$E,Productos!$H:$H,""))</f>
        <v/>
      </c>
      <c r="F314" s="74">
        <f t="array" ref="F314">IF(OR($D314="",$D314="NO ENCONTRADO"),"",_xlfn.XLOOKUP($D314,Productos!$E:$E,Productos!$I:$I,""))</f>
        <v/>
      </c>
      <c r="G314" s="74">
        <f t="array" ref="G314">IF(OR($D314="",$D314="NO ENCONTRADO"),"",_xlfn.XLOOKUP($D314,Productos!$E:$E,Productos!$J:$J,""))</f>
        <v/>
      </c>
      <c r="H314" s="74">
        <f t="array" ref="H314">IF(OR($D314="",$D314="NO ENCONTRADO"),"",_xlfn.XLOOKUP($D314,Productos!$E:$E,Productos!$K:$K,""))</f>
        <v/>
      </c>
      <c r="I314" s="74">
        <f t="array" ref="I314">IF(OR($D314="",$D314="NO ENCONTRADO"),"",_xlfn.XLOOKUP($D314,Productos!$E:$E,Productos!$F:$F,""))</f>
        <v/>
      </c>
      <c r="J314" s="74">
        <f>IF($C314="","",IF($D314="NO ENCONTRADO",IF(COUNTIF($C$7:$C$1000,$C314)&gt;1,"⚠️ No encontrado | Duplicado","⚠️ No encontrado"),IF(COUNTIF($C$7:$C$1000,$C314)&gt;1,"⚠️ Duplicado","Verificado")))</f>
        <v/>
      </c>
    </row>
    <row r="315" ht="15.75" customHeight="1" s="176">
      <c r="B315" s="80" t="n"/>
      <c r="C315" s="74" t="n"/>
      <c r="D315" s="74">
        <f t="array" ref="D315">IF($C315="","",IFNA(_xlfn.XLOOKUP($C315,Productos!$A:$A,Productos!$E:$E,IFNA(_xlfn.XLOOKUP(TEXT($C315,"0"),Productos!$A:$A,Productos!$E:$E,IFNA(_xlfn.XLOOKUP(IFERROR(VALUE($C315),""),Productos!$A:$A,Productos!$E:$E,_xlfn.XLOOKUP($C315,Productos!$E:$E,Productos!$E:$E,"NO ENCONTRADO")),"NO ENCONTRADO")),"NO ENCONTRADO")),"NO ENCONTRADO"))</f>
        <v/>
      </c>
      <c r="E315" s="74">
        <f t="array" ref="E315">IF(OR($D315="",$D315="NO ENCONTRADO"),"",_xlfn.XLOOKUP($D315,Productos!$E:$E,Productos!$H:$H,""))</f>
        <v/>
      </c>
      <c r="F315" s="74">
        <f t="array" ref="F315">IF(OR($D315="",$D315="NO ENCONTRADO"),"",_xlfn.XLOOKUP($D315,Productos!$E:$E,Productos!$I:$I,""))</f>
        <v/>
      </c>
      <c r="G315" s="74">
        <f t="array" ref="G315">IF(OR($D315="",$D315="NO ENCONTRADO"),"",_xlfn.XLOOKUP($D315,Productos!$E:$E,Productos!$J:$J,""))</f>
        <v/>
      </c>
      <c r="H315" s="74">
        <f t="array" ref="H315">IF(OR($D315="",$D315="NO ENCONTRADO"),"",_xlfn.XLOOKUP($D315,Productos!$E:$E,Productos!$K:$K,""))</f>
        <v/>
      </c>
      <c r="I315" s="74">
        <f t="array" ref="I315">IF(OR($D315="",$D315="NO ENCONTRADO"),"",_xlfn.XLOOKUP($D315,Productos!$E:$E,Productos!$F:$F,""))</f>
        <v/>
      </c>
      <c r="J315" s="74">
        <f>IF($C315="","",IF($D315="NO ENCONTRADO",IF(COUNTIF($C$7:$C$1000,$C315)&gt;1,"⚠️ No encontrado | Duplicado","⚠️ No encontrado"),IF(COUNTIF($C$7:$C$1000,$C315)&gt;1,"⚠️ Duplicado","Verificado")))</f>
        <v/>
      </c>
    </row>
    <row r="316" ht="15.75" customHeight="1" s="176">
      <c r="B316" s="80" t="n"/>
      <c r="C316" s="74" t="n"/>
      <c r="D316" s="74">
        <f t="array" ref="D316">IF($C316="","",IFNA(_xlfn.XLOOKUP($C316,Productos!$A:$A,Productos!$E:$E,IFNA(_xlfn.XLOOKUP(TEXT($C316,"0"),Productos!$A:$A,Productos!$E:$E,IFNA(_xlfn.XLOOKUP(IFERROR(VALUE($C316),""),Productos!$A:$A,Productos!$E:$E,_xlfn.XLOOKUP($C316,Productos!$E:$E,Productos!$E:$E,"NO ENCONTRADO")),"NO ENCONTRADO")),"NO ENCONTRADO")),"NO ENCONTRADO"))</f>
        <v/>
      </c>
      <c r="E316" s="74">
        <f t="array" ref="E316">IF(OR($D316="",$D316="NO ENCONTRADO"),"",_xlfn.XLOOKUP($D316,Productos!$E:$E,Productos!$H:$H,""))</f>
        <v/>
      </c>
      <c r="F316" s="74">
        <f t="array" ref="F316">IF(OR($D316="",$D316="NO ENCONTRADO"),"",_xlfn.XLOOKUP($D316,Productos!$E:$E,Productos!$I:$I,""))</f>
        <v/>
      </c>
      <c r="G316" s="74">
        <f t="array" ref="G316">IF(OR($D316="",$D316="NO ENCONTRADO"),"",_xlfn.XLOOKUP($D316,Productos!$E:$E,Productos!$J:$J,""))</f>
        <v/>
      </c>
      <c r="H316" s="74">
        <f t="array" ref="H316">IF(OR($D316="",$D316="NO ENCONTRADO"),"",_xlfn.XLOOKUP($D316,Productos!$E:$E,Productos!$K:$K,""))</f>
        <v/>
      </c>
      <c r="I316" s="74">
        <f t="array" ref="I316">IF(OR($D316="",$D316="NO ENCONTRADO"),"",_xlfn.XLOOKUP($D316,Productos!$E:$E,Productos!$F:$F,""))</f>
        <v/>
      </c>
      <c r="J316" s="74">
        <f>IF($C316="","",IF($D316="NO ENCONTRADO",IF(COUNTIF($C$7:$C$1000,$C316)&gt;1,"⚠️ No encontrado | Duplicado","⚠️ No encontrado"),IF(COUNTIF($C$7:$C$1000,$C316)&gt;1,"⚠️ Duplicado","Verificado")))</f>
        <v/>
      </c>
    </row>
    <row r="317" ht="15.75" customHeight="1" s="176">
      <c r="B317" s="80" t="n"/>
      <c r="C317" s="74" t="n"/>
      <c r="D317" s="74">
        <f t="array" ref="D317">IF($C317="","",IFNA(_xlfn.XLOOKUP($C317,Productos!$A:$A,Productos!$E:$E,IFNA(_xlfn.XLOOKUP(TEXT($C317,"0"),Productos!$A:$A,Productos!$E:$E,IFNA(_xlfn.XLOOKUP(IFERROR(VALUE($C317),""),Productos!$A:$A,Productos!$E:$E,_xlfn.XLOOKUP($C317,Productos!$E:$E,Productos!$E:$E,"NO ENCONTRADO")),"NO ENCONTRADO")),"NO ENCONTRADO")),"NO ENCONTRADO"))</f>
        <v/>
      </c>
      <c r="E317" s="74">
        <f t="array" ref="E317">IF(OR($D317="",$D317="NO ENCONTRADO"),"",_xlfn.XLOOKUP($D317,Productos!$E:$E,Productos!$H:$H,""))</f>
        <v/>
      </c>
      <c r="F317" s="74">
        <f t="array" ref="F317">IF(OR($D317="",$D317="NO ENCONTRADO"),"",_xlfn.XLOOKUP($D317,Productos!$E:$E,Productos!$I:$I,""))</f>
        <v/>
      </c>
      <c r="G317" s="74">
        <f t="array" ref="G317">IF(OR($D317="",$D317="NO ENCONTRADO"),"",_xlfn.XLOOKUP($D317,Productos!$E:$E,Productos!$J:$J,""))</f>
        <v/>
      </c>
      <c r="H317" s="74">
        <f t="array" ref="H317">IF(OR($D317="",$D317="NO ENCONTRADO"),"",_xlfn.XLOOKUP($D317,Productos!$E:$E,Productos!$K:$K,""))</f>
        <v/>
      </c>
      <c r="I317" s="74">
        <f t="array" ref="I317">IF(OR($D317="",$D317="NO ENCONTRADO"),"",_xlfn.XLOOKUP($D317,Productos!$E:$E,Productos!$F:$F,""))</f>
        <v/>
      </c>
      <c r="J317" s="74">
        <f>IF($C317="","",IF($D317="NO ENCONTRADO",IF(COUNTIF($C$7:$C$1000,$C317)&gt;1,"⚠️ No encontrado | Duplicado","⚠️ No encontrado"),IF(COUNTIF($C$7:$C$1000,$C317)&gt;1,"⚠️ Duplicado","Verificado")))</f>
        <v/>
      </c>
    </row>
    <row r="318" ht="15.75" customHeight="1" s="176">
      <c r="B318" s="80" t="n"/>
      <c r="C318" s="74" t="n"/>
      <c r="D318" s="74">
        <f t="array" ref="D318">IF($C318="","",IFNA(_xlfn.XLOOKUP($C318,Productos!$A:$A,Productos!$E:$E,IFNA(_xlfn.XLOOKUP(TEXT($C318,"0"),Productos!$A:$A,Productos!$E:$E,IFNA(_xlfn.XLOOKUP(IFERROR(VALUE($C318),""),Productos!$A:$A,Productos!$E:$E,_xlfn.XLOOKUP($C318,Productos!$E:$E,Productos!$E:$E,"NO ENCONTRADO")),"NO ENCONTRADO")),"NO ENCONTRADO")),"NO ENCONTRADO"))</f>
        <v/>
      </c>
      <c r="E318" s="74">
        <f t="array" ref="E318">IF(OR($D318="",$D318="NO ENCONTRADO"),"",_xlfn.XLOOKUP($D318,Productos!$E:$E,Productos!$H:$H,""))</f>
        <v/>
      </c>
      <c r="F318" s="74">
        <f t="array" ref="F318">IF(OR($D318="",$D318="NO ENCONTRADO"),"",_xlfn.XLOOKUP($D318,Productos!$E:$E,Productos!$I:$I,""))</f>
        <v/>
      </c>
      <c r="G318" s="74">
        <f t="array" ref="G318">IF(OR($D318="",$D318="NO ENCONTRADO"),"",_xlfn.XLOOKUP($D318,Productos!$E:$E,Productos!$J:$J,""))</f>
        <v/>
      </c>
      <c r="H318" s="74">
        <f t="array" ref="H318">IF(OR($D318="",$D318="NO ENCONTRADO"),"",_xlfn.XLOOKUP($D318,Productos!$E:$E,Productos!$K:$K,""))</f>
        <v/>
      </c>
      <c r="I318" s="74">
        <f t="array" ref="I318">IF(OR($D318="",$D318="NO ENCONTRADO"),"",_xlfn.XLOOKUP($D318,Productos!$E:$E,Productos!$F:$F,""))</f>
        <v/>
      </c>
      <c r="J318" s="74">
        <f>IF($C318="","",IF($D318="NO ENCONTRADO",IF(COUNTIF($C$7:$C$1000,$C318)&gt;1,"⚠️ No encontrado | Duplicado","⚠️ No encontrado"),IF(COUNTIF($C$7:$C$1000,$C318)&gt;1,"⚠️ Duplicado","Verificado")))</f>
        <v/>
      </c>
    </row>
    <row r="319" ht="15.75" customHeight="1" s="176">
      <c r="B319" s="80" t="n"/>
      <c r="C319" s="74" t="n"/>
      <c r="D319" s="74">
        <f t="array" ref="D319">IF($C319="","",IFNA(_xlfn.XLOOKUP($C319,Productos!$A:$A,Productos!$E:$E,IFNA(_xlfn.XLOOKUP(TEXT($C319,"0"),Productos!$A:$A,Productos!$E:$E,IFNA(_xlfn.XLOOKUP(IFERROR(VALUE($C319),""),Productos!$A:$A,Productos!$E:$E,_xlfn.XLOOKUP($C319,Productos!$E:$E,Productos!$E:$E,"NO ENCONTRADO")),"NO ENCONTRADO")),"NO ENCONTRADO")),"NO ENCONTRADO"))</f>
        <v/>
      </c>
      <c r="E319" s="74">
        <f t="array" ref="E319">IF(OR($D319="",$D319="NO ENCONTRADO"),"",_xlfn.XLOOKUP($D319,Productos!$E:$E,Productos!$H:$H,""))</f>
        <v/>
      </c>
      <c r="F319" s="74">
        <f t="array" ref="F319">IF(OR($D319="",$D319="NO ENCONTRADO"),"",_xlfn.XLOOKUP($D319,Productos!$E:$E,Productos!$I:$I,""))</f>
        <v/>
      </c>
      <c r="G319" s="74">
        <f t="array" ref="G319">IF(OR($D319="",$D319="NO ENCONTRADO"),"",_xlfn.XLOOKUP($D319,Productos!$E:$E,Productos!$J:$J,""))</f>
        <v/>
      </c>
      <c r="H319" s="74">
        <f t="array" ref="H319">IF(OR($D319="",$D319="NO ENCONTRADO"),"",_xlfn.XLOOKUP($D319,Productos!$E:$E,Productos!$K:$K,""))</f>
        <v/>
      </c>
      <c r="I319" s="74">
        <f t="array" ref="I319">IF(OR($D319="",$D319="NO ENCONTRADO"),"",_xlfn.XLOOKUP($D319,Productos!$E:$E,Productos!$F:$F,""))</f>
        <v/>
      </c>
      <c r="J319" s="74">
        <f>IF($C319="","",IF($D319="NO ENCONTRADO",IF(COUNTIF($C$7:$C$1000,$C319)&gt;1,"⚠️ No encontrado | Duplicado","⚠️ No encontrado"),IF(COUNTIF($C$7:$C$1000,$C319)&gt;1,"⚠️ Duplicado","Verificado")))</f>
        <v/>
      </c>
    </row>
    <row r="320" ht="15.75" customHeight="1" s="176">
      <c r="B320" s="80" t="n"/>
      <c r="C320" s="74" t="n"/>
      <c r="D320" s="74">
        <f t="array" ref="D320">IF($C320="","",IFNA(_xlfn.XLOOKUP($C320,Productos!$A:$A,Productos!$E:$E,IFNA(_xlfn.XLOOKUP(TEXT($C320,"0"),Productos!$A:$A,Productos!$E:$E,IFNA(_xlfn.XLOOKUP(IFERROR(VALUE($C320),""),Productos!$A:$A,Productos!$E:$E,_xlfn.XLOOKUP($C320,Productos!$E:$E,Productos!$E:$E,"NO ENCONTRADO")),"NO ENCONTRADO")),"NO ENCONTRADO")),"NO ENCONTRADO"))</f>
        <v/>
      </c>
      <c r="E320" s="74">
        <f t="array" ref="E320">IF(OR($D320="",$D320="NO ENCONTRADO"),"",_xlfn.XLOOKUP($D320,Productos!$E:$E,Productos!$H:$H,""))</f>
        <v/>
      </c>
      <c r="F320" s="74">
        <f t="array" ref="F320">IF(OR($D320="",$D320="NO ENCONTRADO"),"",_xlfn.XLOOKUP($D320,Productos!$E:$E,Productos!$I:$I,""))</f>
        <v/>
      </c>
      <c r="G320" s="74">
        <f t="array" ref="G320">IF(OR($D320="",$D320="NO ENCONTRADO"),"",_xlfn.XLOOKUP($D320,Productos!$E:$E,Productos!$J:$J,""))</f>
        <v/>
      </c>
      <c r="H320" s="74">
        <f t="array" ref="H320">IF(OR($D320="",$D320="NO ENCONTRADO"),"",_xlfn.XLOOKUP($D320,Productos!$E:$E,Productos!$K:$K,""))</f>
        <v/>
      </c>
      <c r="I320" s="74">
        <f t="array" ref="I320">IF(OR($D320="",$D320="NO ENCONTRADO"),"",_xlfn.XLOOKUP($D320,Productos!$E:$E,Productos!$F:$F,""))</f>
        <v/>
      </c>
      <c r="J320" s="74">
        <f>IF($C320="","",IF($D320="NO ENCONTRADO",IF(COUNTIF($C$7:$C$1000,$C320)&gt;1,"⚠️ No encontrado | Duplicado","⚠️ No encontrado"),IF(COUNTIF($C$7:$C$1000,$C320)&gt;1,"⚠️ Duplicado","Verificado")))</f>
        <v/>
      </c>
    </row>
    <row r="321" ht="15.75" customHeight="1" s="176">
      <c r="B321" s="80" t="n"/>
      <c r="C321" s="74" t="n"/>
      <c r="D321" s="74">
        <f t="array" ref="D321">IF($C321="","",IFNA(_xlfn.XLOOKUP($C321,Productos!$A:$A,Productos!$E:$E,IFNA(_xlfn.XLOOKUP(TEXT($C321,"0"),Productos!$A:$A,Productos!$E:$E,IFNA(_xlfn.XLOOKUP(IFERROR(VALUE($C321),""),Productos!$A:$A,Productos!$E:$E,_xlfn.XLOOKUP($C321,Productos!$E:$E,Productos!$E:$E,"NO ENCONTRADO")),"NO ENCONTRADO")),"NO ENCONTRADO")),"NO ENCONTRADO"))</f>
        <v/>
      </c>
      <c r="E321" s="74">
        <f t="array" ref="E321">IF(OR($D321="",$D321="NO ENCONTRADO"),"",_xlfn.XLOOKUP($D321,Productos!$E:$E,Productos!$H:$H,""))</f>
        <v/>
      </c>
      <c r="F321" s="74">
        <f t="array" ref="F321">IF(OR($D321="",$D321="NO ENCONTRADO"),"",_xlfn.XLOOKUP($D321,Productos!$E:$E,Productos!$I:$I,""))</f>
        <v/>
      </c>
      <c r="G321" s="74">
        <f t="array" ref="G321">IF(OR($D321="",$D321="NO ENCONTRADO"),"",_xlfn.XLOOKUP($D321,Productos!$E:$E,Productos!$J:$J,""))</f>
        <v/>
      </c>
      <c r="H321" s="74">
        <f t="array" ref="H321">IF(OR($D321="",$D321="NO ENCONTRADO"),"",_xlfn.XLOOKUP($D321,Productos!$E:$E,Productos!$K:$K,""))</f>
        <v/>
      </c>
      <c r="I321" s="74">
        <f t="array" ref="I321">IF(OR($D321="",$D321="NO ENCONTRADO"),"",_xlfn.XLOOKUP($D321,Productos!$E:$E,Productos!$F:$F,""))</f>
        <v/>
      </c>
      <c r="J321" s="74">
        <f>IF($C321="","",IF($D321="NO ENCONTRADO",IF(COUNTIF($C$7:$C$1000,$C321)&gt;1,"⚠️ No encontrado | Duplicado","⚠️ No encontrado"),IF(COUNTIF($C$7:$C$1000,$C321)&gt;1,"⚠️ Duplicado","Verificado")))</f>
        <v/>
      </c>
    </row>
    <row r="322" ht="15.75" customHeight="1" s="176">
      <c r="B322" s="80" t="n"/>
      <c r="C322" s="74" t="n"/>
      <c r="D322" s="74">
        <f t="array" ref="D322">IF($C322="","",IFNA(_xlfn.XLOOKUP($C322,Productos!$A:$A,Productos!$E:$E,IFNA(_xlfn.XLOOKUP(TEXT($C322,"0"),Productos!$A:$A,Productos!$E:$E,IFNA(_xlfn.XLOOKUP(IFERROR(VALUE($C322),""),Productos!$A:$A,Productos!$E:$E,_xlfn.XLOOKUP($C322,Productos!$E:$E,Productos!$E:$E,"NO ENCONTRADO")),"NO ENCONTRADO")),"NO ENCONTRADO")),"NO ENCONTRADO"))</f>
        <v/>
      </c>
      <c r="E322" s="74">
        <f t="array" ref="E322">IF(OR($D322="",$D322="NO ENCONTRADO"),"",_xlfn.XLOOKUP($D322,Productos!$E:$E,Productos!$H:$H,""))</f>
        <v/>
      </c>
      <c r="F322" s="74">
        <f t="array" ref="F322">IF(OR($D322="",$D322="NO ENCONTRADO"),"",_xlfn.XLOOKUP($D322,Productos!$E:$E,Productos!$I:$I,""))</f>
        <v/>
      </c>
      <c r="G322" s="74">
        <f t="array" ref="G322">IF(OR($D322="",$D322="NO ENCONTRADO"),"",_xlfn.XLOOKUP($D322,Productos!$E:$E,Productos!$J:$J,""))</f>
        <v/>
      </c>
      <c r="H322" s="74">
        <f t="array" ref="H322">IF(OR($D322="",$D322="NO ENCONTRADO"),"",_xlfn.XLOOKUP($D322,Productos!$E:$E,Productos!$K:$K,""))</f>
        <v/>
      </c>
      <c r="I322" s="74">
        <f t="array" ref="I322">IF(OR($D322="",$D322="NO ENCONTRADO"),"",_xlfn.XLOOKUP($D322,Productos!$E:$E,Productos!$F:$F,""))</f>
        <v/>
      </c>
      <c r="J322" s="74">
        <f>IF($C322="","",IF($D322="NO ENCONTRADO",IF(COUNTIF($C$7:$C$1000,$C322)&gt;1,"⚠️ No encontrado | Duplicado","⚠️ No encontrado"),IF(COUNTIF($C$7:$C$1000,$C322)&gt;1,"⚠️ Duplicado","Verificado")))</f>
        <v/>
      </c>
    </row>
    <row r="323" ht="15.75" customHeight="1" s="176">
      <c r="B323" s="80" t="n"/>
      <c r="C323" s="74" t="n"/>
      <c r="D323" s="74">
        <f t="array" ref="D323">IF($C323="","",IFNA(_xlfn.XLOOKUP($C323,Productos!$A:$A,Productos!$E:$E,IFNA(_xlfn.XLOOKUP(TEXT($C323,"0"),Productos!$A:$A,Productos!$E:$E,IFNA(_xlfn.XLOOKUP(IFERROR(VALUE($C323),""),Productos!$A:$A,Productos!$E:$E,_xlfn.XLOOKUP($C323,Productos!$E:$E,Productos!$E:$E,"NO ENCONTRADO")),"NO ENCONTRADO")),"NO ENCONTRADO")),"NO ENCONTRADO"))</f>
        <v/>
      </c>
      <c r="E323" s="74">
        <f t="array" ref="E323">IF(OR($D323="",$D323="NO ENCONTRADO"),"",_xlfn.XLOOKUP($D323,Productos!$E:$E,Productos!$H:$H,""))</f>
        <v/>
      </c>
      <c r="F323" s="74">
        <f t="array" ref="F323">IF(OR($D323="",$D323="NO ENCONTRADO"),"",_xlfn.XLOOKUP($D323,Productos!$E:$E,Productos!$I:$I,""))</f>
        <v/>
      </c>
      <c r="G323" s="74">
        <f t="array" ref="G323">IF(OR($D323="",$D323="NO ENCONTRADO"),"",_xlfn.XLOOKUP($D323,Productos!$E:$E,Productos!$J:$J,""))</f>
        <v/>
      </c>
      <c r="H323" s="74">
        <f t="array" ref="H323">IF(OR($D323="",$D323="NO ENCONTRADO"),"",_xlfn.XLOOKUP($D323,Productos!$E:$E,Productos!$K:$K,""))</f>
        <v/>
      </c>
      <c r="I323" s="74">
        <f t="array" ref="I323">IF(OR($D323="",$D323="NO ENCONTRADO"),"",_xlfn.XLOOKUP($D323,Productos!$E:$E,Productos!$F:$F,""))</f>
        <v/>
      </c>
      <c r="J323" s="74">
        <f>IF($C323="","",IF($D323="NO ENCONTRADO",IF(COUNTIF($C$7:$C$1000,$C323)&gt;1,"⚠️ No encontrado | Duplicado","⚠️ No encontrado"),IF(COUNTIF($C$7:$C$1000,$C323)&gt;1,"⚠️ Duplicado","Verificado")))</f>
        <v/>
      </c>
    </row>
    <row r="324" ht="15.75" customHeight="1" s="176">
      <c r="B324" s="80" t="n"/>
      <c r="C324" s="74" t="n"/>
      <c r="D324" s="74">
        <f t="array" ref="D324">IF($C324="","",IFNA(_xlfn.XLOOKUP($C324,Productos!$A:$A,Productos!$E:$E,IFNA(_xlfn.XLOOKUP(TEXT($C324,"0"),Productos!$A:$A,Productos!$E:$E,IFNA(_xlfn.XLOOKUP(IFERROR(VALUE($C324),""),Productos!$A:$A,Productos!$E:$E,_xlfn.XLOOKUP($C324,Productos!$E:$E,Productos!$E:$E,"NO ENCONTRADO")),"NO ENCONTRADO")),"NO ENCONTRADO")),"NO ENCONTRADO"))</f>
        <v/>
      </c>
      <c r="E324" s="74">
        <f t="array" ref="E324">IF(OR($D324="",$D324="NO ENCONTRADO"),"",_xlfn.XLOOKUP($D324,Productos!$E:$E,Productos!$H:$H,""))</f>
        <v/>
      </c>
      <c r="F324" s="74">
        <f t="array" ref="F324">IF(OR($D324="",$D324="NO ENCONTRADO"),"",_xlfn.XLOOKUP($D324,Productos!$E:$E,Productos!$I:$I,""))</f>
        <v/>
      </c>
      <c r="G324" s="74">
        <f t="array" ref="G324">IF(OR($D324="",$D324="NO ENCONTRADO"),"",_xlfn.XLOOKUP($D324,Productos!$E:$E,Productos!$J:$J,""))</f>
        <v/>
      </c>
      <c r="H324" s="74">
        <f t="array" ref="H324">IF(OR($D324="",$D324="NO ENCONTRADO"),"",_xlfn.XLOOKUP($D324,Productos!$E:$E,Productos!$K:$K,""))</f>
        <v/>
      </c>
      <c r="I324" s="74">
        <f t="array" ref="I324">IF(OR($D324="",$D324="NO ENCONTRADO"),"",_xlfn.XLOOKUP($D324,Productos!$E:$E,Productos!$F:$F,""))</f>
        <v/>
      </c>
      <c r="J324" s="74">
        <f>IF($C324="","",IF($D324="NO ENCONTRADO",IF(COUNTIF($C$7:$C$1000,$C324)&gt;1,"⚠️ No encontrado | Duplicado","⚠️ No encontrado"),IF(COUNTIF($C$7:$C$1000,$C324)&gt;1,"⚠️ Duplicado","Verificado")))</f>
        <v/>
      </c>
    </row>
    <row r="325" ht="15.75" customHeight="1" s="176">
      <c r="B325" s="80" t="n"/>
      <c r="C325" s="74" t="n"/>
      <c r="D325" s="74">
        <f t="array" ref="D325">IF($C325="","",IFNA(_xlfn.XLOOKUP($C325,Productos!$A:$A,Productos!$E:$E,IFNA(_xlfn.XLOOKUP(TEXT($C325,"0"),Productos!$A:$A,Productos!$E:$E,IFNA(_xlfn.XLOOKUP(IFERROR(VALUE($C325),""),Productos!$A:$A,Productos!$E:$E,_xlfn.XLOOKUP($C325,Productos!$E:$E,Productos!$E:$E,"NO ENCONTRADO")),"NO ENCONTRADO")),"NO ENCONTRADO")),"NO ENCONTRADO"))</f>
        <v/>
      </c>
      <c r="E325" s="74">
        <f t="array" ref="E325">IF(OR($D325="",$D325="NO ENCONTRADO"),"",_xlfn.XLOOKUP($D325,Productos!$E:$E,Productos!$H:$H,""))</f>
        <v/>
      </c>
      <c r="F325" s="74">
        <f t="array" ref="F325">IF(OR($D325="",$D325="NO ENCONTRADO"),"",_xlfn.XLOOKUP($D325,Productos!$E:$E,Productos!$I:$I,""))</f>
        <v/>
      </c>
      <c r="G325" s="74">
        <f t="array" ref="G325">IF(OR($D325="",$D325="NO ENCONTRADO"),"",_xlfn.XLOOKUP($D325,Productos!$E:$E,Productos!$J:$J,""))</f>
        <v/>
      </c>
      <c r="H325" s="74">
        <f t="array" ref="H325">IF(OR($D325="",$D325="NO ENCONTRADO"),"",_xlfn.XLOOKUP($D325,Productos!$E:$E,Productos!$K:$K,""))</f>
        <v/>
      </c>
      <c r="I325" s="74">
        <f t="array" ref="I325">IF(OR($D325="",$D325="NO ENCONTRADO"),"",_xlfn.XLOOKUP($D325,Productos!$E:$E,Productos!$F:$F,""))</f>
        <v/>
      </c>
      <c r="J325" s="74">
        <f>IF($C325="","",IF($D325="NO ENCONTRADO",IF(COUNTIF($C$7:$C$1000,$C325)&gt;1,"⚠️ No encontrado | Duplicado","⚠️ No encontrado"),IF(COUNTIF($C$7:$C$1000,$C325)&gt;1,"⚠️ Duplicado","Verificado")))</f>
        <v/>
      </c>
    </row>
    <row r="326" ht="15.75" customHeight="1" s="176">
      <c r="B326" s="80" t="n"/>
      <c r="C326" s="74" t="n"/>
      <c r="D326" s="74">
        <f t="array" ref="D326">IF($C326="","",IFNA(_xlfn.XLOOKUP($C326,Productos!$A:$A,Productos!$E:$E,IFNA(_xlfn.XLOOKUP(TEXT($C326,"0"),Productos!$A:$A,Productos!$E:$E,IFNA(_xlfn.XLOOKUP(IFERROR(VALUE($C326),""),Productos!$A:$A,Productos!$E:$E,_xlfn.XLOOKUP($C326,Productos!$E:$E,Productos!$E:$E,"NO ENCONTRADO")),"NO ENCONTRADO")),"NO ENCONTRADO")),"NO ENCONTRADO"))</f>
        <v/>
      </c>
      <c r="E326" s="74">
        <f t="array" ref="E326">IF(OR($D326="",$D326="NO ENCONTRADO"),"",_xlfn.XLOOKUP($D326,Productos!$E:$E,Productos!$H:$H,""))</f>
        <v/>
      </c>
      <c r="F326" s="74">
        <f t="array" ref="F326">IF(OR($D326="",$D326="NO ENCONTRADO"),"",_xlfn.XLOOKUP($D326,Productos!$E:$E,Productos!$I:$I,""))</f>
        <v/>
      </c>
      <c r="G326" s="74">
        <f t="array" ref="G326">IF(OR($D326="",$D326="NO ENCONTRADO"),"",_xlfn.XLOOKUP($D326,Productos!$E:$E,Productos!$J:$J,""))</f>
        <v/>
      </c>
      <c r="H326" s="74">
        <f t="array" ref="H326">IF(OR($D326="",$D326="NO ENCONTRADO"),"",_xlfn.XLOOKUP($D326,Productos!$E:$E,Productos!$K:$K,""))</f>
        <v/>
      </c>
      <c r="I326" s="74">
        <f t="array" ref="I326">IF(OR($D326="",$D326="NO ENCONTRADO"),"",_xlfn.XLOOKUP($D326,Productos!$E:$E,Productos!$F:$F,""))</f>
        <v/>
      </c>
      <c r="J326" s="74">
        <f>IF($C326="","",IF($D326="NO ENCONTRADO",IF(COUNTIF($C$7:$C$1000,$C326)&gt;1,"⚠️ No encontrado | Duplicado","⚠️ No encontrado"),IF(COUNTIF($C$7:$C$1000,$C326)&gt;1,"⚠️ Duplicado","Verificado")))</f>
        <v/>
      </c>
    </row>
    <row r="327" ht="15.75" customHeight="1" s="176">
      <c r="B327" s="80" t="n"/>
      <c r="C327" s="74" t="n"/>
      <c r="D327" s="74">
        <f t="array" ref="D327">IF($C327="","",IFNA(_xlfn.XLOOKUP($C327,Productos!$A:$A,Productos!$E:$E,IFNA(_xlfn.XLOOKUP(TEXT($C327,"0"),Productos!$A:$A,Productos!$E:$E,IFNA(_xlfn.XLOOKUP(IFERROR(VALUE($C327),""),Productos!$A:$A,Productos!$E:$E,_xlfn.XLOOKUP($C327,Productos!$E:$E,Productos!$E:$E,"NO ENCONTRADO")),"NO ENCONTRADO")),"NO ENCONTRADO")),"NO ENCONTRADO"))</f>
        <v/>
      </c>
      <c r="E327" s="74">
        <f t="array" ref="E327">IF(OR($D327="",$D327="NO ENCONTRADO"),"",_xlfn.XLOOKUP($D327,Productos!$E:$E,Productos!$H:$H,""))</f>
        <v/>
      </c>
      <c r="F327" s="74">
        <f t="array" ref="F327">IF(OR($D327="",$D327="NO ENCONTRADO"),"",_xlfn.XLOOKUP($D327,Productos!$E:$E,Productos!$I:$I,""))</f>
        <v/>
      </c>
      <c r="G327" s="74">
        <f t="array" ref="G327">IF(OR($D327="",$D327="NO ENCONTRADO"),"",_xlfn.XLOOKUP($D327,Productos!$E:$E,Productos!$J:$J,""))</f>
        <v/>
      </c>
      <c r="H327" s="74">
        <f t="array" ref="H327">IF(OR($D327="",$D327="NO ENCONTRADO"),"",_xlfn.XLOOKUP($D327,Productos!$E:$E,Productos!$K:$K,""))</f>
        <v/>
      </c>
      <c r="I327" s="74">
        <f t="array" ref="I327">IF(OR($D327="",$D327="NO ENCONTRADO"),"",_xlfn.XLOOKUP($D327,Productos!$E:$E,Productos!$F:$F,""))</f>
        <v/>
      </c>
      <c r="J327" s="74">
        <f>IF($C327="","",IF($D327="NO ENCONTRADO",IF(COUNTIF($C$7:$C$1000,$C327)&gt;1,"⚠️ No encontrado | Duplicado","⚠️ No encontrado"),IF(COUNTIF($C$7:$C$1000,$C327)&gt;1,"⚠️ Duplicado","Verificado")))</f>
        <v/>
      </c>
    </row>
    <row r="328" ht="15.75" customHeight="1" s="176">
      <c r="B328" s="80" t="n"/>
      <c r="C328" s="74" t="n"/>
      <c r="D328" s="74">
        <f t="array" ref="D328">IF($C328="","",IFNA(_xlfn.XLOOKUP($C328,Productos!$A:$A,Productos!$E:$E,IFNA(_xlfn.XLOOKUP(TEXT($C328,"0"),Productos!$A:$A,Productos!$E:$E,IFNA(_xlfn.XLOOKUP(IFERROR(VALUE($C328),""),Productos!$A:$A,Productos!$E:$E,_xlfn.XLOOKUP($C328,Productos!$E:$E,Productos!$E:$E,"NO ENCONTRADO")),"NO ENCONTRADO")),"NO ENCONTRADO")),"NO ENCONTRADO"))</f>
        <v/>
      </c>
      <c r="E328" s="74">
        <f t="array" ref="E328">IF(OR($D328="",$D328="NO ENCONTRADO"),"",_xlfn.XLOOKUP($D328,Productos!$E:$E,Productos!$H:$H,""))</f>
        <v/>
      </c>
      <c r="F328" s="74">
        <f t="array" ref="F328">IF(OR($D328="",$D328="NO ENCONTRADO"),"",_xlfn.XLOOKUP($D328,Productos!$E:$E,Productos!$I:$I,""))</f>
        <v/>
      </c>
      <c r="G328" s="74">
        <f t="array" ref="G328">IF(OR($D328="",$D328="NO ENCONTRADO"),"",_xlfn.XLOOKUP($D328,Productos!$E:$E,Productos!$J:$J,""))</f>
        <v/>
      </c>
      <c r="H328" s="74">
        <f t="array" ref="H328">IF(OR($D328="",$D328="NO ENCONTRADO"),"",_xlfn.XLOOKUP($D328,Productos!$E:$E,Productos!$K:$K,""))</f>
        <v/>
      </c>
      <c r="I328" s="74">
        <f t="array" ref="I328">IF(OR($D328="",$D328="NO ENCONTRADO"),"",_xlfn.XLOOKUP($D328,Productos!$E:$E,Productos!$F:$F,""))</f>
        <v/>
      </c>
      <c r="J328" s="74">
        <f>IF($C328="","",IF($D328="NO ENCONTRADO",IF(COUNTIF($C$7:$C$1000,$C328)&gt;1,"⚠️ No encontrado | Duplicado","⚠️ No encontrado"),IF(COUNTIF($C$7:$C$1000,$C328)&gt;1,"⚠️ Duplicado","Verificado")))</f>
        <v/>
      </c>
    </row>
    <row r="329" ht="15.75" customHeight="1" s="176">
      <c r="B329" s="80" t="n"/>
      <c r="C329" s="74" t="n"/>
      <c r="D329" s="74">
        <f t="array" ref="D329">IF($C329="","",IFNA(_xlfn.XLOOKUP($C329,Productos!$A:$A,Productos!$E:$E,IFNA(_xlfn.XLOOKUP(TEXT($C329,"0"),Productos!$A:$A,Productos!$E:$E,IFNA(_xlfn.XLOOKUP(IFERROR(VALUE($C329),""),Productos!$A:$A,Productos!$E:$E,_xlfn.XLOOKUP($C329,Productos!$E:$E,Productos!$E:$E,"NO ENCONTRADO")),"NO ENCONTRADO")),"NO ENCONTRADO")),"NO ENCONTRADO"))</f>
        <v/>
      </c>
      <c r="E329" s="74">
        <f t="array" ref="E329">IF(OR($D329="",$D329="NO ENCONTRADO"),"",_xlfn.XLOOKUP($D329,Productos!$E:$E,Productos!$H:$H,""))</f>
        <v/>
      </c>
      <c r="F329" s="74">
        <f t="array" ref="F329">IF(OR($D329="",$D329="NO ENCONTRADO"),"",_xlfn.XLOOKUP($D329,Productos!$E:$E,Productos!$I:$I,""))</f>
        <v/>
      </c>
      <c r="G329" s="74">
        <f t="array" ref="G329">IF(OR($D329="",$D329="NO ENCONTRADO"),"",_xlfn.XLOOKUP($D329,Productos!$E:$E,Productos!$J:$J,""))</f>
        <v/>
      </c>
      <c r="H329" s="74">
        <f t="array" ref="H329">IF(OR($D329="",$D329="NO ENCONTRADO"),"",_xlfn.XLOOKUP($D329,Productos!$E:$E,Productos!$K:$K,""))</f>
        <v/>
      </c>
      <c r="I329" s="74">
        <f t="array" ref="I329">IF(OR($D329="",$D329="NO ENCONTRADO"),"",_xlfn.XLOOKUP($D329,Productos!$E:$E,Productos!$F:$F,""))</f>
        <v/>
      </c>
      <c r="J329" s="74">
        <f>IF($C329="","",IF($D329="NO ENCONTRADO",IF(COUNTIF($C$7:$C$1000,$C329)&gt;1,"⚠️ No encontrado | Duplicado","⚠️ No encontrado"),IF(COUNTIF($C$7:$C$1000,$C329)&gt;1,"⚠️ Duplicado","Verificado")))</f>
        <v/>
      </c>
    </row>
    <row r="330" ht="15.75" customHeight="1" s="176">
      <c r="B330" s="80" t="n"/>
      <c r="C330" s="74" t="n"/>
      <c r="D330" s="74">
        <f t="array" ref="D330">IF($C330="","",IFNA(_xlfn.XLOOKUP($C330,Productos!$A:$A,Productos!$E:$E,IFNA(_xlfn.XLOOKUP(TEXT($C330,"0"),Productos!$A:$A,Productos!$E:$E,IFNA(_xlfn.XLOOKUP(IFERROR(VALUE($C330),""),Productos!$A:$A,Productos!$E:$E,_xlfn.XLOOKUP($C330,Productos!$E:$E,Productos!$E:$E,"NO ENCONTRADO")),"NO ENCONTRADO")),"NO ENCONTRADO")),"NO ENCONTRADO"))</f>
        <v/>
      </c>
      <c r="E330" s="74">
        <f t="array" ref="E330">IF(OR($D330="",$D330="NO ENCONTRADO"),"",_xlfn.XLOOKUP($D330,Productos!$E:$E,Productos!$H:$H,""))</f>
        <v/>
      </c>
      <c r="F330" s="74">
        <f t="array" ref="F330">IF(OR($D330="",$D330="NO ENCONTRADO"),"",_xlfn.XLOOKUP($D330,Productos!$E:$E,Productos!$I:$I,""))</f>
        <v/>
      </c>
      <c r="G330" s="74">
        <f t="array" ref="G330">IF(OR($D330="",$D330="NO ENCONTRADO"),"",_xlfn.XLOOKUP($D330,Productos!$E:$E,Productos!$J:$J,""))</f>
        <v/>
      </c>
      <c r="H330" s="74">
        <f t="array" ref="H330">IF(OR($D330="",$D330="NO ENCONTRADO"),"",_xlfn.XLOOKUP($D330,Productos!$E:$E,Productos!$K:$K,""))</f>
        <v/>
      </c>
      <c r="I330" s="74">
        <f t="array" ref="I330">IF(OR($D330="",$D330="NO ENCONTRADO"),"",_xlfn.XLOOKUP($D330,Productos!$E:$E,Productos!$F:$F,""))</f>
        <v/>
      </c>
      <c r="J330" s="74">
        <f>IF($C330="","",IF($D330="NO ENCONTRADO",IF(COUNTIF($C$7:$C$1000,$C330)&gt;1,"⚠️ No encontrado | Duplicado","⚠️ No encontrado"),IF(COUNTIF($C$7:$C$1000,$C330)&gt;1,"⚠️ Duplicado","Verificado")))</f>
        <v/>
      </c>
    </row>
    <row r="331" ht="15.75" customHeight="1" s="176">
      <c r="B331" s="80" t="n"/>
      <c r="C331" s="74" t="n"/>
      <c r="D331" s="74">
        <f t="array" ref="D331">IF($C331="","",IFNA(_xlfn.XLOOKUP($C331,Productos!$A:$A,Productos!$E:$E,IFNA(_xlfn.XLOOKUP(TEXT($C331,"0"),Productos!$A:$A,Productos!$E:$E,IFNA(_xlfn.XLOOKUP(IFERROR(VALUE($C331),""),Productos!$A:$A,Productos!$E:$E,_xlfn.XLOOKUP($C331,Productos!$E:$E,Productos!$E:$E,"NO ENCONTRADO")),"NO ENCONTRADO")),"NO ENCONTRADO")),"NO ENCONTRADO"))</f>
        <v/>
      </c>
      <c r="E331" s="74">
        <f t="array" ref="E331">IF(OR($D331="",$D331="NO ENCONTRADO"),"",_xlfn.XLOOKUP($D331,Productos!$E:$E,Productos!$H:$H,""))</f>
        <v/>
      </c>
      <c r="F331" s="74">
        <f t="array" ref="F331">IF(OR($D331="",$D331="NO ENCONTRADO"),"",_xlfn.XLOOKUP($D331,Productos!$E:$E,Productos!$I:$I,""))</f>
        <v/>
      </c>
      <c r="G331" s="74">
        <f t="array" ref="G331">IF(OR($D331="",$D331="NO ENCONTRADO"),"",_xlfn.XLOOKUP($D331,Productos!$E:$E,Productos!$J:$J,""))</f>
        <v/>
      </c>
      <c r="H331" s="74">
        <f t="array" ref="H331">IF(OR($D331="",$D331="NO ENCONTRADO"),"",_xlfn.XLOOKUP($D331,Productos!$E:$E,Productos!$K:$K,""))</f>
        <v/>
      </c>
      <c r="I331" s="74">
        <f t="array" ref="I331">IF(OR($D331="",$D331="NO ENCONTRADO"),"",_xlfn.XLOOKUP($D331,Productos!$E:$E,Productos!$F:$F,""))</f>
        <v/>
      </c>
      <c r="J331" s="74">
        <f>IF($C331="","",IF($D331="NO ENCONTRADO",IF(COUNTIF($C$7:$C$1000,$C331)&gt;1,"⚠️ No encontrado | Duplicado","⚠️ No encontrado"),IF(COUNTIF($C$7:$C$1000,$C331)&gt;1,"⚠️ Duplicado","Verificado")))</f>
        <v/>
      </c>
    </row>
    <row r="332" ht="15.75" customHeight="1" s="176">
      <c r="B332" s="80" t="n"/>
      <c r="C332" s="74" t="n"/>
      <c r="D332" s="74">
        <f t="array" ref="D332">IF($C332="","",IFNA(_xlfn.XLOOKUP($C332,Productos!$A:$A,Productos!$E:$E,IFNA(_xlfn.XLOOKUP(TEXT($C332,"0"),Productos!$A:$A,Productos!$E:$E,IFNA(_xlfn.XLOOKUP(IFERROR(VALUE($C332),""),Productos!$A:$A,Productos!$E:$E,_xlfn.XLOOKUP($C332,Productos!$E:$E,Productos!$E:$E,"NO ENCONTRADO")),"NO ENCONTRADO")),"NO ENCONTRADO")),"NO ENCONTRADO"))</f>
        <v/>
      </c>
      <c r="E332" s="74">
        <f t="array" ref="E332">IF(OR($D332="",$D332="NO ENCONTRADO"),"",_xlfn.XLOOKUP($D332,Productos!$E:$E,Productos!$H:$H,""))</f>
        <v/>
      </c>
      <c r="F332" s="74">
        <f t="array" ref="F332">IF(OR($D332="",$D332="NO ENCONTRADO"),"",_xlfn.XLOOKUP($D332,Productos!$E:$E,Productos!$I:$I,""))</f>
        <v/>
      </c>
      <c r="G332" s="74">
        <f t="array" ref="G332">IF(OR($D332="",$D332="NO ENCONTRADO"),"",_xlfn.XLOOKUP($D332,Productos!$E:$E,Productos!$J:$J,""))</f>
        <v/>
      </c>
      <c r="H332" s="74">
        <f t="array" ref="H332">IF(OR($D332="",$D332="NO ENCONTRADO"),"",_xlfn.XLOOKUP($D332,Productos!$E:$E,Productos!$K:$K,""))</f>
        <v/>
      </c>
      <c r="I332" s="74">
        <f t="array" ref="I332">IF(OR($D332="",$D332="NO ENCONTRADO"),"",_xlfn.XLOOKUP($D332,Productos!$E:$E,Productos!$F:$F,""))</f>
        <v/>
      </c>
      <c r="J332" s="74">
        <f>IF($C332="","",IF($D332="NO ENCONTRADO",IF(COUNTIF($C$7:$C$1000,$C332)&gt;1,"⚠️ No encontrado | Duplicado","⚠️ No encontrado"),IF(COUNTIF($C$7:$C$1000,$C332)&gt;1,"⚠️ Duplicado","Verificado")))</f>
        <v/>
      </c>
    </row>
    <row r="333" ht="15.75" customHeight="1" s="176">
      <c r="B333" s="80" t="n"/>
      <c r="C333" s="74" t="n"/>
      <c r="D333" s="74">
        <f t="array" ref="D333">IF($C333="","",IFNA(_xlfn.XLOOKUP($C333,Productos!$A:$A,Productos!$E:$E,IFNA(_xlfn.XLOOKUP(TEXT($C333,"0"),Productos!$A:$A,Productos!$E:$E,IFNA(_xlfn.XLOOKUP(IFERROR(VALUE($C333),""),Productos!$A:$A,Productos!$E:$E,_xlfn.XLOOKUP($C333,Productos!$E:$E,Productos!$E:$E,"NO ENCONTRADO")),"NO ENCONTRADO")),"NO ENCONTRADO")),"NO ENCONTRADO"))</f>
        <v/>
      </c>
      <c r="E333" s="74">
        <f t="array" ref="E333">IF(OR($D333="",$D333="NO ENCONTRADO"),"",_xlfn.XLOOKUP($D333,Productos!$E:$E,Productos!$H:$H,""))</f>
        <v/>
      </c>
      <c r="F333" s="74">
        <f t="array" ref="F333">IF(OR($D333="",$D333="NO ENCONTRADO"),"",_xlfn.XLOOKUP($D333,Productos!$E:$E,Productos!$I:$I,""))</f>
        <v/>
      </c>
      <c r="G333" s="74">
        <f t="array" ref="G333">IF(OR($D333="",$D333="NO ENCONTRADO"),"",_xlfn.XLOOKUP($D333,Productos!$E:$E,Productos!$J:$J,""))</f>
        <v/>
      </c>
      <c r="H333" s="74">
        <f t="array" ref="H333">IF(OR($D333="",$D333="NO ENCONTRADO"),"",_xlfn.XLOOKUP($D333,Productos!$E:$E,Productos!$K:$K,""))</f>
        <v/>
      </c>
      <c r="I333" s="74">
        <f t="array" ref="I333">IF(OR($D333="",$D333="NO ENCONTRADO"),"",_xlfn.XLOOKUP($D333,Productos!$E:$E,Productos!$F:$F,""))</f>
        <v/>
      </c>
      <c r="J333" s="74">
        <f>IF($C333="","",IF($D333="NO ENCONTRADO",IF(COUNTIF($C$7:$C$1000,$C333)&gt;1,"⚠️ No encontrado | Duplicado","⚠️ No encontrado"),IF(COUNTIF($C$7:$C$1000,$C333)&gt;1,"⚠️ Duplicado","Verificado")))</f>
        <v/>
      </c>
    </row>
    <row r="334" ht="15.75" customHeight="1" s="176">
      <c r="B334" s="80" t="n"/>
      <c r="C334" s="74" t="n"/>
      <c r="D334" s="74">
        <f t="array" ref="D334">IF($C334="","",IFNA(_xlfn.XLOOKUP($C334,Productos!$A:$A,Productos!$E:$E,IFNA(_xlfn.XLOOKUP(TEXT($C334,"0"),Productos!$A:$A,Productos!$E:$E,IFNA(_xlfn.XLOOKUP(IFERROR(VALUE($C334),""),Productos!$A:$A,Productos!$E:$E,_xlfn.XLOOKUP($C334,Productos!$E:$E,Productos!$E:$E,"NO ENCONTRADO")),"NO ENCONTRADO")),"NO ENCONTRADO")),"NO ENCONTRADO"))</f>
        <v/>
      </c>
      <c r="E334" s="74">
        <f t="array" ref="E334">IF(OR($D334="",$D334="NO ENCONTRADO"),"",_xlfn.XLOOKUP($D334,Productos!$E:$E,Productos!$H:$H,""))</f>
        <v/>
      </c>
      <c r="F334" s="74">
        <f t="array" ref="F334">IF(OR($D334="",$D334="NO ENCONTRADO"),"",_xlfn.XLOOKUP($D334,Productos!$E:$E,Productos!$I:$I,""))</f>
        <v/>
      </c>
      <c r="G334" s="74">
        <f t="array" ref="G334">IF(OR($D334="",$D334="NO ENCONTRADO"),"",_xlfn.XLOOKUP($D334,Productos!$E:$E,Productos!$J:$J,""))</f>
        <v/>
      </c>
      <c r="H334" s="74">
        <f t="array" ref="H334">IF(OR($D334="",$D334="NO ENCONTRADO"),"",_xlfn.XLOOKUP($D334,Productos!$E:$E,Productos!$K:$K,""))</f>
        <v/>
      </c>
      <c r="I334" s="74">
        <f t="array" ref="I334">IF(OR($D334="",$D334="NO ENCONTRADO"),"",_xlfn.XLOOKUP($D334,Productos!$E:$E,Productos!$F:$F,""))</f>
        <v/>
      </c>
      <c r="J334" s="74">
        <f>IF($C334="","",IF($D334="NO ENCONTRADO",IF(COUNTIF($C$7:$C$1000,$C334)&gt;1,"⚠️ No encontrado | Duplicado","⚠️ No encontrado"),IF(COUNTIF($C$7:$C$1000,$C334)&gt;1,"⚠️ Duplicado","Verificado")))</f>
        <v/>
      </c>
    </row>
    <row r="335" ht="15.75" customHeight="1" s="176">
      <c r="B335" s="80" t="n"/>
      <c r="C335" s="74" t="n"/>
      <c r="D335" s="74">
        <f t="array" ref="D335">IF($C335="","",IFNA(_xlfn.XLOOKUP($C335,Productos!$A:$A,Productos!$E:$E,IFNA(_xlfn.XLOOKUP(TEXT($C335,"0"),Productos!$A:$A,Productos!$E:$E,IFNA(_xlfn.XLOOKUP(IFERROR(VALUE($C335),""),Productos!$A:$A,Productos!$E:$E,_xlfn.XLOOKUP($C335,Productos!$E:$E,Productos!$E:$E,"NO ENCONTRADO")),"NO ENCONTRADO")),"NO ENCONTRADO")),"NO ENCONTRADO"))</f>
        <v/>
      </c>
      <c r="E335" s="74">
        <f t="array" ref="E335">IF(OR($D335="",$D335="NO ENCONTRADO"),"",_xlfn.XLOOKUP($D335,Productos!$E:$E,Productos!$H:$H,""))</f>
        <v/>
      </c>
      <c r="F335" s="74">
        <f t="array" ref="F335">IF(OR($D335="",$D335="NO ENCONTRADO"),"",_xlfn.XLOOKUP($D335,Productos!$E:$E,Productos!$I:$I,""))</f>
        <v/>
      </c>
      <c r="G335" s="74">
        <f t="array" ref="G335">IF(OR($D335="",$D335="NO ENCONTRADO"),"",_xlfn.XLOOKUP($D335,Productos!$E:$E,Productos!$J:$J,""))</f>
        <v/>
      </c>
      <c r="H335" s="74">
        <f t="array" ref="H335">IF(OR($D335="",$D335="NO ENCONTRADO"),"",_xlfn.XLOOKUP($D335,Productos!$E:$E,Productos!$K:$K,""))</f>
        <v/>
      </c>
      <c r="I335" s="74">
        <f t="array" ref="I335">IF(OR($D335="",$D335="NO ENCONTRADO"),"",_xlfn.XLOOKUP($D335,Productos!$E:$E,Productos!$F:$F,""))</f>
        <v/>
      </c>
      <c r="J335" s="74">
        <f>IF($C335="","",IF($D335="NO ENCONTRADO",IF(COUNTIF($C$7:$C$1000,$C335)&gt;1,"⚠️ No encontrado | Duplicado","⚠️ No encontrado"),IF(COUNTIF($C$7:$C$1000,$C335)&gt;1,"⚠️ Duplicado","Verificado")))</f>
        <v/>
      </c>
    </row>
    <row r="336" ht="15.75" customHeight="1" s="176">
      <c r="B336" s="80" t="n"/>
      <c r="C336" s="74" t="n"/>
      <c r="D336" s="74">
        <f t="array" ref="D336">IF($C336="","",IFNA(_xlfn.XLOOKUP($C336,Productos!$A:$A,Productos!$E:$E,IFNA(_xlfn.XLOOKUP(TEXT($C336,"0"),Productos!$A:$A,Productos!$E:$E,IFNA(_xlfn.XLOOKUP(IFERROR(VALUE($C336),""),Productos!$A:$A,Productos!$E:$E,_xlfn.XLOOKUP($C336,Productos!$E:$E,Productos!$E:$E,"NO ENCONTRADO")),"NO ENCONTRADO")),"NO ENCONTRADO")),"NO ENCONTRADO"))</f>
        <v/>
      </c>
      <c r="E336" s="74">
        <f t="array" ref="E336">IF(OR($D336="",$D336="NO ENCONTRADO"),"",_xlfn.XLOOKUP($D336,Productos!$E:$E,Productos!$H:$H,""))</f>
        <v/>
      </c>
      <c r="F336" s="74">
        <f t="array" ref="F336">IF(OR($D336="",$D336="NO ENCONTRADO"),"",_xlfn.XLOOKUP($D336,Productos!$E:$E,Productos!$I:$I,""))</f>
        <v/>
      </c>
      <c r="G336" s="74">
        <f t="array" ref="G336">IF(OR($D336="",$D336="NO ENCONTRADO"),"",_xlfn.XLOOKUP($D336,Productos!$E:$E,Productos!$J:$J,""))</f>
        <v/>
      </c>
      <c r="H336" s="74">
        <f t="array" ref="H336">IF(OR($D336="",$D336="NO ENCONTRADO"),"",_xlfn.XLOOKUP($D336,Productos!$E:$E,Productos!$K:$K,""))</f>
        <v/>
      </c>
      <c r="I336" s="74">
        <f t="array" ref="I336">IF(OR($D336="",$D336="NO ENCONTRADO"),"",_xlfn.XLOOKUP($D336,Productos!$E:$E,Productos!$F:$F,""))</f>
        <v/>
      </c>
      <c r="J336" s="74">
        <f>IF($C336="","",IF($D336="NO ENCONTRADO",IF(COUNTIF($C$7:$C$1000,$C336)&gt;1,"⚠️ No encontrado | Duplicado","⚠️ No encontrado"),IF(COUNTIF($C$7:$C$1000,$C336)&gt;1,"⚠️ Duplicado","Verificado")))</f>
        <v/>
      </c>
    </row>
    <row r="337" ht="15.75" customHeight="1" s="176">
      <c r="B337" s="80" t="n"/>
      <c r="C337" s="74" t="n"/>
      <c r="D337" s="74">
        <f t="array" ref="D337">IF($C337="","",IFNA(_xlfn.XLOOKUP($C337,Productos!$A:$A,Productos!$E:$E,IFNA(_xlfn.XLOOKUP(TEXT($C337,"0"),Productos!$A:$A,Productos!$E:$E,IFNA(_xlfn.XLOOKUP(IFERROR(VALUE($C337),""),Productos!$A:$A,Productos!$E:$E,_xlfn.XLOOKUP($C337,Productos!$E:$E,Productos!$E:$E,"NO ENCONTRADO")),"NO ENCONTRADO")),"NO ENCONTRADO")),"NO ENCONTRADO"))</f>
        <v/>
      </c>
      <c r="E337" s="74">
        <f t="array" ref="E337">IF(OR($D337="",$D337="NO ENCONTRADO"),"",_xlfn.XLOOKUP($D337,Productos!$E:$E,Productos!$H:$H,""))</f>
        <v/>
      </c>
      <c r="F337" s="74">
        <f t="array" ref="F337">IF(OR($D337="",$D337="NO ENCONTRADO"),"",_xlfn.XLOOKUP($D337,Productos!$E:$E,Productos!$I:$I,""))</f>
        <v/>
      </c>
      <c r="G337" s="74">
        <f t="array" ref="G337">IF(OR($D337="",$D337="NO ENCONTRADO"),"",_xlfn.XLOOKUP($D337,Productos!$E:$E,Productos!$J:$J,""))</f>
        <v/>
      </c>
      <c r="H337" s="74">
        <f t="array" ref="H337">IF(OR($D337="",$D337="NO ENCONTRADO"),"",_xlfn.XLOOKUP($D337,Productos!$E:$E,Productos!$K:$K,""))</f>
        <v/>
      </c>
      <c r="I337" s="74">
        <f t="array" ref="I337">IF(OR($D337="",$D337="NO ENCONTRADO"),"",_xlfn.XLOOKUP($D337,Productos!$E:$E,Productos!$F:$F,""))</f>
        <v/>
      </c>
      <c r="J337" s="74">
        <f>IF($C337="","",IF($D337="NO ENCONTRADO",IF(COUNTIF($C$7:$C$1000,$C337)&gt;1,"⚠️ No encontrado | Duplicado","⚠️ No encontrado"),IF(COUNTIF($C$7:$C$1000,$C337)&gt;1,"⚠️ Duplicado","Verificado")))</f>
        <v/>
      </c>
    </row>
    <row r="338" ht="15.75" customHeight="1" s="176">
      <c r="B338" s="80" t="n"/>
      <c r="C338" s="74" t="n"/>
      <c r="D338" s="74">
        <f t="array" ref="D338">IF($C338="","",IFNA(_xlfn.XLOOKUP($C338,Productos!$A:$A,Productos!$E:$E,IFNA(_xlfn.XLOOKUP(TEXT($C338,"0"),Productos!$A:$A,Productos!$E:$E,IFNA(_xlfn.XLOOKUP(IFERROR(VALUE($C338),""),Productos!$A:$A,Productos!$E:$E,_xlfn.XLOOKUP($C338,Productos!$E:$E,Productos!$E:$E,"NO ENCONTRADO")),"NO ENCONTRADO")),"NO ENCONTRADO")),"NO ENCONTRADO"))</f>
        <v/>
      </c>
      <c r="E338" s="74">
        <f t="array" ref="E338">IF(OR($D338="",$D338="NO ENCONTRADO"),"",_xlfn.XLOOKUP($D338,Productos!$E:$E,Productos!$H:$H,""))</f>
        <v/>
      </c>
      <c r="F338" s="74">
        <f t="array" ref="F338">IF(OR($D338="",$D338="NO ENCONTRADO"),"",_xlfn.XLOOKUP($D338,Productos!$E:$E,Productos!$I:$I,""))</f>
        <v/>
      </c>
      <c r="G338" s="74">
        <f t="array" ref="G338">IF(OR($D338="",$D338="NO ENCONTRADO"),"",_xlfn.XLOOKUP($D338,Productos!$E:$E,Productos!$J:$J,""))</f>
        <v/>
      </c>
      <c r="H338" s="74">
        <f t="array" ref="H338">IF(OR($D338="",$D338="NO ENCONTRADO"),"",_xlfn.XLOOKUP($D338,Productos!$E:$E,Productos!$K:$K,""))</f>
        <v/>
      </c>
      <c r="I338" s="74">
        <f t="array" ref="I338">IF(OR($D338="",$D338="NO ENCONTRADO"),"",_xlfn.XLOOKUP($D338,Productos!$E:$E,Productos!$F:$F,""))</f>
        <v/>
      </c>
      <c r="J338" s="74">
        <f>IF($C338="","",IF($D338="NO ENCONTRADO",IF(COUNTIF($C$7:$C$1000,$C338)&gt;1,"⚠️ No encontrado | Duplicado","⚠️ No encontrado"),IF(COUNTIF($C$7:$C$1000,$C338)&gt;1,"⚠️ Duplicado","Verificado")))</f>
        <v/>
      </c>
    </row>
    <row r="339" ht="15.75" customHeight="1" s="176">
      <c r="B339" s="80" t="n"/>
      <c r="C339" s="74" t="n"/>
      <c r="D339" s="74">
        <f t="array" ref="D339">IF($C339="","",IFNA(_xlfn.XLOOKUP($C339,Productos!$A:$A,Productos!$E:$E,IFNA(_xlfn.XLOOKUP(TEXT($C339,"0"),Productos!$A:$A,Productos!$E:$E,IFNA(_xlfn.XLOOKUP(IFERROR(VALUE($C339),""),Productos!$A:$A,Productos!$E:$E,_xlfn.XLOOKUP($C339,Productos!$E:$E,Productos!$E:$E,"NO ENCONTRADO")),"NO ENCONTRADO")),"NO ENCONTRADO")),"NO ENCONTRADO"))</f>
        <v/>
      </c>
      <c r="E339" s="74">
        <f t="array" ref="E339">IF(OR($D339="",$D339="NO ENCONTRADO"),"",_xlfn.XLOOKUP($D339,Productos!$E:$E,Productos!$H:$H,""))</f>
        <v/>
      </c>
      <c r="F339" s="74">
        <f t="array" ref="F339">IF(OR($D339="",$D339="NO ENCONTRADO"),"",_xlfn.XLOOKUP($D339,Productos!$E:$E,Productos!$I:$I,""))</f>
        <v/>
      </c>
      <c r="G339" s="74">
        <f t="array" ref="G339">IF(OR($D339="",$D339="NO ENCONTRADO"),"",_xlfn.XLOOKUP($D339,Productos!$E:$E,Productos!$J:$J,""))</f>
        <v/>
      </c>
      <c r="H339" s="74">
        <f t="array" ref="H339">IF(OR($D339="",$D339="NO ENCONTRADO"),"",_xlfn.XLOOKUP($D339,Productos!$E:$E,Productos!$K:$K,""))</f>
        <v/>
      </c>
      <c r="I339" s="74">
        <f t="array" ref="I339">IF(OR($D339="",$D339="NO ENCONTRADO"),"",_xlfn.XLOOKUP($D339,Productos!$E:$E,Productos!$F:$F,""))</f>
        <v/>
      </c>
      <c r="J339" s="74">
        <f>IF($C339="","",IF($D339="NO ENCONTRADO",IF(COUNTIF($C$7:$C$1000,$C339)&gt;1,"⚠️ No encontrado | Duplicado","⚠️ No encontrado"),IF(COUNTIF($C$7:$C$1000,$C339)&gt;1,"⚠️ Duplicado","Verificado")))</f>
        <v/>
      </c>
    </row>
    <row r="340" ht="15.75" customHeight="1" s="176">
      <c r="B340" s="80" t="n"/>
      <c r="C340" s="74" t="n"/>
      <c r="D340" s="74">
        <f t="array" ref="D340">IF($C340="","",IFNA(_xlfn.XLOOKUP($C340,Productos!$A:$A,Productos!$E:$E,IFNA(_xlfn.XLOOKUP(TEXT($C340,"0"),Productos!$A:$A,Productos!$E:$E,IFNA(_xlfn.XLOOKUP(IFERROR(VALUE($C340),""),Productos!$A:$A,Productos!$E:$E,_xlfn.XLOOKUP($C340,Productos!$E:$E,Productos!$E:$E,"NO ENCONTRADO")),"NO ENCONTRADO")),"NO ENCONTRADO")),"NO ENCONTRADO"))</f>
        <v/>
      </c>
      <c r="E340" s="74">
        <f t="array" ref="E340">IF(OR($D340="",$D340="NO ENCONTRADO"),"",_xlfn.XLOOKUP($D340,Productos!$E:$E,Productos!$H:$H,""))</f>
        <v/>
      </c>
      <c r="F340" s="74">
        <f t="array" ref="F340">IF(OR($D340="",$D340="NO ENCONTRADO"),"",_xlfn.XLOOKUP($D340,Productos!$E:$E,Productos!$I:$I,""))</f>
        <v/>
      </c>
      <c r="G340" s="74">
        <f t="array" ref="G340">IF(OR($D340="",$D340="NO ENCONTRADO"),"",_xlfn.XLOOKUP($D340,Productos!$E:$E,Productos!$J:$J,""))</f>
        <v/>
      </c>
      <c r="H340" s="74">
        <f t="array" ref="H340">IF(OR($D340="",$D340="NO ENCONTRADO"),"",_xlfn.XLOOKUP($D340,Productos!$E:$E,Productos!$K:$K,""))</f>
        <v/>
      </c>
      <c r="I340" s="74">
        <f t="array" ref="I340">IF(OR($D340="",$D340="NO ENCONTRADO"),"",_xlfn.XLOOKUP($D340,Productos!$E:$E,Productos!$F:$F,""))</f>
        <v/>
      </c>
      <c r="J340" s="74">
        <f>IF($C340="","",IF($D340="NO ENCONTRADO",IF(COUNTIF($C$7:$C$1000,$C340)&gt;1,"⚠️ No encontrado | Duplicado","⚠️ No encontrado"),IF(COUNTIF($C$7:$C$1000,$C340)&gt;1,"⚠️ Duplicado","Verificado")))</f>
        <v/>
      </c>
    </row>
    <row r="341" ht="15.75" customHeight="1" s="176">
      <c r="B341" s="80" t="n"/>
      <c r="C341" s="74" t="n"/>
      <c r="D341" s="74">
        <f t="array" ref="D341">IF($C341="","",IFNA(_xlfn.XLOOKUP($C341,Productos!$A:$A,Productos!$E:$E,IFNA(_xlfn.XLOOKUP(TEXT($C341,"0"),Productos!$A:$A,Productos!$E:$E,IFNA(_xlfn.XLOOKUP(IFERROR(VALUE($C341),""),Productos!$A:$A,Productos!$E:$E,_xlfn.XLOOKUP($C341,Productos!$E:$E,Productos!$E:$E,"NO ENCONTRADO")),"NO ENCONTRADO")),"NO ENCONTRADO")),"NO ENCONTRADO"))</f>
        <v/>
      </c>
      <c r="E341" s="74">
        <f t="array" ref="E341">IF(OR($D341="",$D341="NO ENCONTRADO"),"",_xlfn.XLOOKUP($D341,Productos!$E:$E,Productos!$H:$H,""))</f>
        <v/>
      </c>
      <c r="F341" s="74">
        <f t="array" ref="F341">IF(OR($D341="",$D341="NO ENCONTRADO"),"",_xlfn.XLOOKUP($D341,Productos!$E:$E,Productos!$I:$I,""))</f>
        <v/>
      </c>
      <c r="G341" s="74">
        <f t="array" ref="G341">IF(OR($D341="",$D341="NO ENCONTRADO"),"",_xlfn.XLOOKUP($D341,Productos!$E:$E,Productos!$J:$J,""))</f>
        <v/>
      </c>
      <c r="H341" s="74">
        <f t="array" ref="H341">IF(OR($D341="",$D341="NO ENCONTRADO"),"",_xlfn.XLOOKUP($D341,Productos!$E:$E,Productos!$K:$K,""))</f>
        <v/>
      </c>
      <c r="I341" s="74">
        <f t="array" ref="I341">IF(OR($D341="",$D341="NO ENCONTRADO"),"",_xlfn.XLOOKUP($D341,Productos!$E:$E,Productos!$F:$F,""))</f>
        <v/>
      </c>
      <c r="J341" s="74">
        <f>IF($C341="","",IF($D341="NO ENCONTRADO",IF(COUNTIF($C$7:$C$1000,$C341)&gt;1,"⚠️ No encontrado | Duplicado","⚠️ No encontrado"),IF(COUNTIF($C$7:$C$1000,$C341)&gt;1,"⚠️ Duplicado","Verificado")))</f>
        <v/>
      </c>
    </row>
    <row r="342" ht="15.75" customHeight="1" s="176">
      <c r="B342" s="80" t="n"/>
      <c r="C342" s="74" t="n"/>
      <c r="D342" s="74">
        <f t="array" ref="D342">IF($C342="","",IFNA(_xlfn.XLOOKUP($C342,Productos!$A:$A,Productos!$E:$E,IFNA(_xlfn.XLOOKUP(TEXT($C342,"0"),Productos!$A:$A,Productos!$E:$E,IFNA(_xlfn.XLOOKUP(IFERROR(VALUE($C342),""),Productos!$A:$A,Productos!$E:$E,_xlfn.XLOOKUP($C342,Productos!$E:$E,Productos!$E:$E,"NO ENCONTRADO")),"NO ENCONTRADO")),"NO ENCONTRADO")),"NO ENCONTRADO"))</f>
        <v/>
      </c>
      <c r="E342" s="74">
        <f t="array" ref="E342">IF(OR($D342="",$D342="NO ENCONTRADO"),"",_xlfn.XLOOKUP($D342,Productos!$E:$E,Productos!$H:$H,""))</f>
        <v/>
      </c>
      <c r="F342" s="74">
        <f t="array" ref="F342">IF(OR($D342="",$D342="NO ENCONTRADO"),"",_xlfn.XLOOKUP($D342,Productos!$E:$E,Productos!$I:$I,""))</f>
        <v/>
      </c>
      <c r="G342" s="74">
        <f t="array" ref="G342">IF(OR($D342="",$D342="NO ENCONTRADO"),"",_xlfn.XLOOKUP($D342,Productos!$E:$E,Productos!$J:$J,""))</f>
        <v/>
      </c>
      <c r="H342" s="74">
        <f t="array" ref="H342">IF(OR($D342="",$D342="NO ENCONTRADO"),"",_xlfn.XLOOKUP($D342,Productos!$E:$E,Productos!$K:$K,""))</f>
        <v/>
      </c>
      <c r="I342" s="74">
        <f t="array" ref="I342">IF(OR($D342="",$D342="NO ENCONTRADO"),"",_xlfn.XLOOKUP($D342,Productos!$E:$E,Productos!$F:$F,""))</f>
        <v/>
      </c>
      <c r="J342" s="74">
        <f>IF($C342="","",IF($D342="NO ENCONTRADO",IF(COUNTIF($C$7:$C$1000,$C342)&gt;1,"⚠️ No encontrado | Duplicado","⚠️ No encontrado"),IF(COUNTIF($C$7:$C$1000,$C342)&gt;1,"⚠️ Duplicado","Verificado")))</f>
        <v/>
      </c>
    </row>
    <row r="343" ht="15.75" customHeight="1" s="176">
      <c r="B343" s="80" t="n"/>
      <c r="C343" s="74" t="n"/>
      <c r="D343" s="74">
        <f t="array" ref="D343">IF($C343="","",IFNA(_xlfn.XLOOKUP($C343,Productos!$A:$A,Productos!$E:$E,IFNA(_xlfn.XLOOKUP(TEXT($C343,"0"),Productos!$A:$A,Productos!$E:$E,IFNA(_xlfn.XLOOKUP(IFERROR(VALUE($C343),""),Productos!$A:$A,Productos!$E:$E,_xlfn.XLOOKUP($C343,Productos!$E:$E,Productos!$E:$E,"NO ENCONTRADO")),"NO ENCONTRADO")),"NO ENCONTRADO")),"NO ENCONTRADO"))</f>
        <v/>
      </c>
      <c r="E343" s="74">
        <f t="array" ref="E343">IF(OR($D343="",$D343="NO ENCONTRADO"),"",_xlfn.XLOOKUP($D343,Productos!$E:$E,Productos!$H:$H,""))</f>
        <v/>
      </c>
      <c r="F343" s="74">
        <f t="array" ref="F343">IF(OR($D343="",$D343="NO ENCONTRADO"),"",_xlfn.XLOOKUP($D343,Productos!$E:$E,Productos!$I:$I,""))</f>
        <v/>
      </c>
      <c r="G343" s="74">
        <f t="array" ref="G343">IF(OR($D343="",$D343="NO ENCONTRADO"),"",_xlfn.XLOOKUP($D343,Productos!$E:$E,Productos!$J:$J,""))</f>
        <v/>
      </c>
      <c r="H343" s="74">
        <f t="array" ref="H343">IF(OR($D343="",$D343="NO ENCONTRADO"),"",_xlfn.XLOOKUP($D343,Productos!$E:$E,Productos!$K:$K,""))</f>
        <v/>
      </c>
      <c r="I343" s="74">
        <f t="array" ref="I343">IF(OR($D343="",$D343="NO ENCONTRADO"),"",_xlfn.XLOOKUP($D343,Productos!$E:$E,Productos!$F:$F,""))</f>
        <v/>
      </c>
      <c r="J343" s="74">
        <f>IF($C343="","",IF($D343="NO ENCONTRADO",IF(COUNTIF($C$7:$C$1000,$C343)&gt;1,"⚠️ No encontrado | Duplicado","⚠️ No encontrado"),IF(COUNTIF($C$7:$C$1000,$C343)&gt;1,"⚠️ Duplicado","Verificado")))</f>
        <v/>
      </c>
    </row>
    <row r="344" ht="15.75" customHeight="1" s="176">
      <c r="B344" s="80" t="n"/>
      <c r="C344" s="74" t="n"/>
      <c r="D344" s="74">
        <f t="array" ref="D344">IF($C344="","",IFNA(_xlfn.XLOOKUP($C344,Productos!$A:$A,Productos!$E:$E,IFNA(_xlfn.XLOOKUP(TEXT($C344,"0"),Productos!$A:$A,Productos!$E:$E,IFNA(_xlfn.XLOOKUP(IFERROR(VALUE($C344),""),Productos!$A:$A,Productos!$E:$E,_xlfn.XLOOKUP($C344,Productos!$E:$E,Productos!$E:$E,"NO ENCONTRADO")),"NO ENCONTRADO")),"NO ENCONTRADO")),"NO ENCONTRADO"))</f>
        <v/>
      </c>
      <c r="E344" s="74">
        <f t="array" ref="E344">IF(OR($D344="",$D344="NO ENCONTRADO"),"",_xlfn.XLOOKUP($D344,Productos!$E:$E,Productos!$H:$H,""))</f>
        <v/>
      </c>
      <c r="F344" s="74">
        <f t="array" ref="F344">IF(OR($D344="",$D344="NO ENCONTRADO"),"",_xlfn.XLOOKUP($D344,Productos!$E:$E,Productos!$I:$I,""))</f>
        <v/>
      </c>
      <c r="G344" s="74">
        <f t="array" ref="G344">IF(OR($D344="",$D344="NO ENCONTRADO"),"",_xlfn.XLOOKUP($D344,Productos!$E:$E,Productos!$J:$J,""))</f>
        <v/>
      </c>
      <c r="H344" s="74">
        <f t="array" ref="H344">IF(OR($D344="",$D344="NO ENCONTRADO"),"",_xlfn.XLOOKUP($D344,Productos!$E:$E,Productos!$K:$K,""))</f>
        <v/>
      </c>
      <c r="I344" s="74">
        <f t="array" ref="I344">IF(OR($D344="",$D344="NO ENCONTRADO"),"",_xlfn.XLOOKUP($D344,Productos!$E:$E,Productos!$F:$F,""))</f>
        <v/>
      </c>
      <c r="J344" s="74">
        <f>IF($C344="","",IF($D344="NO ENCONTRADO",IF(COUNTIF($C$7:$C$1000,$C344)&gt;1,"⚠️ No encontrado | Duplicado","⚠️ No encontrado"),IF(COUNTIF($C$7:$C$1000,$C344)&gt;1,"⚠️ Duplicado","Verificado")))</f>
        <v/>
      </c>
    </row>
    <row r="345" ht="15.75" customHeight="1" s="176">
      <c r="B345" s="80" t="n"/>
      <c r="C345" s="74" t="n"/>
      <c r="D345" s="74">
        <f t="array" ref="D345">IF($C345="","",IFNA(_xlfn.XLOOKUP($C345,Productos!$A:$A,Productos!$E:$E,IFNA(_xlfn.XLOOKUP(TEXT($C345,"0"),Productos!$A:$A,Productos!$E:$E,IFNA(_xlfn.XLOOKUP(IFERROR(VALUE($C345),""),Productos!$A:$A,Productos!$E:$E,_xlfn.XLOOKUP($C345,Productos!$E:$E,Productos!$E:$E,"NO ENCONTRADO")),"NO ENCONTRADO")),"NO ENCONTRADO")),"NO ENCONTRADO"))</f>
        <v/>
      </c>
      <c r="E345" s="74">
        <f t="array" ref="E345">IF(OR($D345="",$D345="NO ENCONTRADO"),"",_xlfn.XLOOKUP($D345,Productos!$E:$E,Productos!$H:$H,""))</f>
        <v/>
      </c>
      <c r="F345" s="74">
        <f t="array" ref="F345">IF(OR($D345="",$D345="NO ENCONTRADO"),"",_xlfn.XLOOKUP($D345,Productos!$E:$E,Productos!$I:$I,""))</f>
        <v/>
      </c>
      <c r="G345" s="74">
        <f t="array" ref="G345">IF(OR($D345="",$D345="NO ENCONTRADO"),"",_xlfn.XLOOKUP($D345,Productos!$E:$E,Productos!$J:$J,""))</f>
        <v/>
      </c>
      <c r="H345" s="74">
        <f t="array" ref="H345">IF(OR($D345="",$D345="NO ENCONTRADO"),"",_xlfn.XLOOKUP($D345,Productos!$E:$E,Productos!$K:$K,""))</f>
        <v/>
      </c>
      <c r="I345" s="74">
        <f t="array" ref="I345">IF(OR($D345="",$D345="NO ENCONTRADO"),"",_xlfn.XLOOKUP($D345,Productos!$E:$E,Productos!$F:$F,""))</f>
        <v/>
      </c>
      <c r="J345" s="74">
        <f>IF($C345="","",IF($D345="NO ENCONTRADO",IF(COUNTIF($C$7:$C$1000,$C345)&gt;1,"⚠️ No encontrado | Duplicado","⚠️ No encontrado"),IF(COUNTIF($C$7:$C$1000,$C345)&gt;1,"⚠️ Duplicado","Verificado")))</f>
        <v/>
      </c>
    </row>
    <row r="346" ht="15.75" customHeight="1" s="176">
      <c r="B346" s="80" t="n"/>
      <c r="C346" s="74" t="n"/>
      <c r="D346" s="74">
        <f t="array" ref="D346">IF($C346="","",IFNA(_xlfn.XLOOKUP($C346,Productos!$A:$A,Productos!$E:$E,IFNA(_xlfn.XLOOKUP(TEXT($C346,"0"),Productos!$A:$A,Productos!$E:$E,IFNA(_xlfn.XLOOKUP(IFERROR(VALUE($C346),""),Productos!$A:$A,Productos!$E:$E,_xlfn.XLOOKUP($C346,Productos!$E:$E,Productos!$E:$E,"NO ENCONTRADO")),"NO ENCONTRADO")),"NO ENCONTRADO")),"NO ENCONTRADO"))</f>
        <v/>
      </c>
      <c r="E346" s="74">
        <f t="array" ref="E346">IF(OR($D346="",$D346="NO ENCONTRADO"),"",_xlfn.XLOOKUP($D346,Productos!$E:$E,Productos!$H:$H,""))</f>
        <v/>
      </c>
      <c r="F346" s="74">
        <f t="array" ref="F346">IF(OR($D346="",$D346="NO ENCONTRADO"),"",_xlfn.XLOOKUP($D346,Productos!$E:$E,Productos!$I:$I,""))</f>
        <v/>
      </c>
      <c r="G346" s="74">
        <f t="array" ref="G346">IF(OR($D346="",$D346="NO ENCONTRADO"),"",_xlfn.XLOOKUP($D346,Productos!$E:$E,Productos!$J:$J,""))</f>
        <v/>
      </c>
      <c r="H346" s="74">
        <f t="array" ref="H346">IF(OR($D346="",$D346="NO ENCONTRADO"),"",_xlfn.XLOOKUP($D346,Productos!$E:$E,Productos!$K:$K,""))</f>
        <v/>
      </c>
      <c r="I346" s="74">
        <f t="array" ref="I346">IF(OR($D346="",$D346="NO ENCONTRADO"),"",_xlfn.XLOOKUP($D346,Productos!$E:$E,Productos!$F:$F,""))</f>
        <v/>
      </c>
      <c r="J346" s="74">
        <f>IF($C346="","",IF($D346="NO ENCONTRADO",IF(COUNTIF($C$7:$C$1000,$C346)&gt;1,"⚠️ No encontrado | Duplicado","⚠️ No encontrado"),IF(COUNTIF($C$7:$C$1000,$C346)&gt;1,"⚠️ Duplicado","Verificado")))</f>
        <v/>
      </c>
    </row>
    <row r="347" ht="15.75" customHeight="1" s="176">
      <c r="B347" s="80" t="n"/>
      <c r="C347" s="74" t="n"/>
      <c r="D347" s="74">
        <f t="array" ref="D347">IF($C347="","",IFNA(_xlfn.XLOOKUP($C347,Productos!$A:$A,Productos!$E:$E,IFNA(_xlfn.XLOOKUP(TEXT($C347,"0"),Productos!$A:$A,Productos!$E:$E,IFNA(_xlfn.XLOOKUP(IFERROR(VALUE($C347),""),Productos!$A:$A,Productos!$E:$E,_xlfn.XLOOKUP($C347,Productos!$E:$E,Productos!$E:$E,"NO ENCONTRADO")),"NO ENCONTRADO")),"NO ENCONTRADO")),"NO ENCONTRADO"))</f>
        <v/>
      </c>
      <c r="E347" s="74">
        <f t="array" ref="E347">IF(OR($D347="",$D347="NO ENCONTRADO"),"",_xlfn.XLOOKUP($D347,Productos!$E:$E,Productos!$H:$H,""))</f>
        <v/>
      </c>
      <c r="F347" s="74">
        <f t="array" ref="F347">IF(OR($D347="",$D347="NO ENCONTRADO"),"",_xlfn.XLOOKUP($D347,Productos!$E:$E,Productos!$I:$I,""))</f>
        <v/>
      </c>
      <c r="G347" s="74">
        <f t="array" ref="G347">IF(OR($D347="",$D347="NO ENCONTRADO"),"",_xlfn.XLOOKUP($D347,Productos!$E:$E,Productos!$J:$J,""))</f>
        <v/>
      </c>
      <c r="H347" s="74">
        <f t="array" ref="H347">IF(OR($D347="",$D347="NO ENCONTRADO"),"",_xlfn.XLOOKUP($D347,Productos!$E:$E,Productos!$K:$K,""))</f>
        <v/>
      </c>
      <c r="I347" s="74">
        <f t="array" ref="I347">IF(OR($D347="",$D347="NO ENCONTRADO"),"",_xlfn.XLOOKUP($D347,Productos!$E:$E,Productos!$F:$F,""))</f>
        <v/>
      </c>
      <c r="J347" s="74">
        <f>IF($C347="","",IF($D347="NO ENCONTRADO",IF(COUNTIF($C$7:$C$1000,$C347)&gt;1,"⚠️ No encontrado | Duplicado","⚠️ No encontrado"),IF(COUNTIF($C$7:$C$1000,$C347)&gt;1,"⚠️ Duplicado","Verificado")))</f>
        <v/>
      </c>
    </row>
    <row r="348" ht="15.75" customHeight="1" s="176">
      <c r="B348" s="80" t="n"/>
      <c r="C348" s="74" t="n"/>
      <c r="D348" s="74">
        <f t="array" ref="D348">IF($C348="","",IFNA(_xlfn.XLOOKUP($C348,Productos!$A:$A,Productos!$E:$E,IFNA(_xlfn.XLOOKUP(TEXT($C348,"0"),Productos!$A:$A,Productos!$E:$E,IFNA(_xlfn.XLOOKUP(IFERROR(VALUE($C348),""),Productos!$A:$A,Productos!$E:$E,_xlfn.XLOOKUP($C348,Productos!$E:$E,Productos!$E:$E,"NO ENCONTRADO")),"NO ENCONTRADO")),"NO ENCONTRADO")),"NO ENCONTRADO"))</f>
        <v/>
      </c>
      <c r="E348" s="74">
        <f t="array" ref="E348">IF(OR($D348="",$D348="NO ENCONTRADO"),"",_xlfn.XLOOKUP($D348,Productos!$E:$E,Productos!$H:$H,""))</f>
        <v/>
      </c>
      <c r="F348" s="74">
        <f t="array" ref="F348">IF(OR($D348="",$D348="NO ENCONTRADO"),"",_xlfn.XLOOKUP($D348,Productos!$E:$E,Productos!$I:$I,""))</f>
        <v/>
      </c>
      <c r="G348" s="74">
        <f t="array" ref="G348">IF(OR($D348="",$D348="NO ENCONTRADO"),"",_xlfn.XLOOKUP($D348,Productos!$E:$E,Productos!$J:$J,""))</f>
        <v/>
      </c>
      <c r="H348" s="74">
        <f t="array" ref="H348">IF(OR($D348="",$D348="NO ENCONTRADO"),"",_xlfn.XLOOKUP($D348,Productos!$E:$E,Productos!$K:$K,""))</f>
        <v/>
      </c>
      <c r="I348" s="74">
        <f t="array" ref="I348">IF(OR($D348="",$D348="NO ENCONTRADO"),"",_xlfn.XLOOKUP($D348,Productos!$E:$E,Productos!$F:$F,""))</f>
        <v/>
      </c>
      <c r="J348" s="74">
        <f>IF($C348="","",IF($D348="NO ENCONTRADO",IF(COUNTIF($C$7:$C$1000,$C348)&gt;1,"⚠️ No encontrado | Duplicado","⚠️ No encontrado"),IF(COUNTIF($C$7:$C$1000,$C348)&gt;1,"⚠️ Duplicado","Verificado")))</f>
        <v/>
      </c>
    </row>
    <row r="349" ht="15.75" customHeight="1" s="176">
      <c r="B349" s="80" t="n"/>
      <c r="C349" s="74" t="n"/>
      <c r="D349" s="74">
        <f t="array" ref="D349">IF($C349="","",IFNA(_xlfn.XLOOKUP($C349,Productos!$A:$A,Productos!$E:$E,IFNA(_xlfn.XLOOKUP(TEXT($C349,"0"),Productos!$A:$A,Productos!$E:$E,IFNA(_xlfn.XLOOKUP(IFERROR(VALUE($C349),""),Productos!$A:$A,Productos!$E:$E,_xlfn.XLOOKUP($C349,Productos!$E:$E,Productos!$E:$E,"NO ENCONTRADO")),"NO ENCONTRADO")),"NO ENCONTRADO")),"NO ENCONTRADO"))</f>
        <v/>
      </c>
      <c r="E349" s="74">
        <f t="array" ref="E349">IF(OR($D349="",$D349="NO ENCONTRADO"),"",_xlfn.XLOOKUP($D349,Productos!$E:$E,Productos!$H:$H,""))</f>
        <v/>
      </c>
      <c r="F349" s="74">
        <f t="array" ref="F349">IF(OR($D349="",$D349="NO ENCONTRADO"),"",_xlfn.XLOOKUP($D349,Productos!$E:$E,Productos!$I:$I,""))</f>
        <v/>
      </c>
      <c r="G349" s="74">
        <f t="array" ref="G349">IF(OR($D349="",$D349="NO ENCONTRADO"),"",_xlfn.XLOOKUP($D349,Productos!$E:$E,Productos!$J:$J,""))</f>
        <v/>
      </c>
      <c r="H349" s="74">
        <f t="array" ref="H349">IF(OR($D349="",$D349="NO ENCONTRADO"),"",_xlfn.XLOOKUP($D349,Productos!$E:$E,Productos!$K:$K,""))</f>
        <v/>
      </c>
      <c r="I349" s="74">
        <f t="array" ref="I349">IF(OR($D349="",$D349="NO ENCONTRADO"),"",_xlfn.XLOOKUP($D349,Productos!$E:$E,Productos!$F:$F,""))</f>
        <v/>
      </c>
      <c r="J349" s="74">
        <f>IF($C349="","",IF($D349="NO ENCONTRADO",IF(COUNTIF($C$7:$C$1000,$C349)&gt;1,"⚠️ No encontrado | Duplicado","⚠️ No encontrado"),IF(COUNTIF($C$7:$C$1000,$C349)&gt;1,"⚠️ Duplicado","Verificado")))</f>
        <v/>
      </c>
    </row>
    <row r="350" ht="15.75" customHeight="1" s="176">
      <c r="B350" s="80" t="n"/>
      <c r="C350" s="74" t="n"/>
      <c r="D350" s="74">
        <f t="array" ref="D350">IF($C350="","",IFNA(_xlfn.XLOOKUP($C350,Productos!$A:$A,Productos!$E:$E,IFNA(_xlfn.XLOOKUP(TEXT($C350,"0"),Productos!$A:$A,Productos!$E:$E,IFNA(_xlfn.XLOOKUP(IFERROR(VALUE($C350),""),Productos!$A:$A,Productos!$E:$E,_xlfn.XLOOKUP($C350,Productos!$E:$E,Productos!$E:$E,"NO ENCONTRADO")),"NO ENCONTRADO")),"NO ENCONTRADO")),"NO ENCONTRADO"))</f>
        <v/>
      </c>
      <c r="E350" s="74">
        <f t="array" ref="E350">IF(OR($D350="",$D350="NO ENCONTRADO"),"",_xlfn.XLOOKUP($D350,Productos!$E:$E,Productos!$H:$H,""))</f>
        <v/>
      </c>
      <c r="F350" s="74">
        <f t="array" ref="F350">IF(OR($D350="",$D350="NO ENCONTRADO"),"",_xlfn.XLOOKUP($D350,Productos!$E:$E,Productos!$I:$I,""))</f>
        <v/>
      </c>
      <c r="G350" s="74">
        <f t="array" ref="G350">IF(OR($D350="",$D350="NO ENCONTRADO"),"",_xlfn.XLOOKUP($D350,Productos!$E:$E,Productos!$J:$J,""))</f>
        <v/>
      </c>
      <c r="H350" s="74">
        <f t="array" ref="H350">IF(OR($D350="",$D350="NO ENCONTRADO"),"",_xlfn.XLOOKUP($D350,Productos!$E:$E,Productos!$K:$K,""))</f>
        <v/>
      </c>
      <c r="I350" s="74">
        <f t="array" ref="I350">IF(OR($D350="",$D350="NO ENCONTRADO"),"",_xlfn.XLOOKUP($D350,Productos!$E:$E,Productos!$F:$F,""))</f>
        <v/>
      </c>
      <c r="J350" s="74">
        <f>IF($C350="","",IF($D350="NO ENCONTRADO",IF(COUNTIF($C$7:$C$1000,$C350)&gt;1,"⚠️ No encontrado | Duplicado","⚠️ No encontrado"),IF(COUNTIF($C$7:$C$1000,$C350)&gt;1,"⚠️ Duplicado","Verificado")))</f>
        <v/>
      </c>
    </row>
    <row r="351" ht="15.75" customHeight="1" s="176">
      <c r="B351" s="80" t="n"/>
      <c r="C351" s="74" t="n"/>
      <c r="D351" s="74">
        <f t="array" ref="D351">IF($C351="","",IFNA(_xlfn.XLOOKUP($C351,Productos!$A:$A,Productos!$E:$E,IFNA(_xlfn.XLOOKUP(TEXT($C351,"0"),Productos!$A:$A,Productos!$E:$E,IFNA(_xlfn.XLOOKUP(IFERROR(VALUE($C351),""),Productos!$A:$A,Productos!$E:$E,_xlfn.XLOOKUP($C351,Productos!$E:$E,Productos!$E:$E,"NO ENCONTRADO")),"NO ENCONTRADO")),"NO ENCONTRADO")),"NO ENCONTRADO"))</f>
        <v/>
      </c>
      <c r="E351" s="74">
        <f t="array" ref="E351">IF(OR($D351="",$D351="NO ENCONTRADO"),"",_xlfn.XLOOKUP($D351,Productos!$E:$E,Productos!$H:$H,""))</f>
        <v/>
      </c>
      <c r="F351" s="74">
        <f t="array" ref="F351">IF(OR($D351="",$D351="NO ENCONTRADO"),"",_xlfn.XLOOKUP($D351,Productos!$E:$E,Productos!$I:$I,""))</f>
        <v/>
      </c>
      <c r="G351" s="74">
        <f t="array" ref="G351">IF(OR($D351="",$D351="NO ENCONTRADO"),"",_xlfn.XLOOKUP($D351,Productos!$E:$E,Productos!$J:$J,""))</f>
        <v/>
      </c>
      <c r="H351" s="74">
        <f t="array" ref="H351">IF(OR($D351="",$D351="NO ENCONTRADO"),"",_xlfn.XLOOKUP($D351,Productos!$E:$E,Productos!$K:$K,""))</f>
        <v/>
      </c>
      <c r="I351" s="74">
        <f t="array" ref="I351">IF(OR($D351="",$D351="NO ENCONTRADO"),"",_xlfn.XLOOKUP($D351,Productos!$E:$E,Productos!$F:$F,""))</f>
        <v/>
      </c>
      <c r="J351" s="74">
        <f>IF($C351="","",IF($D351="NO ENCONTRADO",IF(COUNTIF($C$7:$C$1000,$C351)&gt;1,"⚠️ No encontrado | Duplicado","⚠️ No encontrado"),IF(COUNTIF($C$7:$C$1000,$C351)&gt;1,"⚠️ Duplicado","Verificado")))</f>
        <v/>
      </c>
    </row>
    <row r="352" ht="15.75" customHeight="1" s="176">
      <c r="B352" s="80" t="n"/>
      <c r="C352" s="74" t="n"/>
      <c r="D352" s="74">
        <f t="array" ref="D352">IF($C352="","",IFNA(_xlfn.XLOOKUP($C352,Productos!$A:$A,Productos!$E:$E,IFNA(_xlfn.XLOOKUP(TEXT($C352,"0"),Productos!$A:$A,Productos!$E:$E,IFNA(_xlfn.XLOOKUP(IFERROR(VALUE($C352),""),Productos!$A:$A,Productos!$E:$E,_xlfn.XLOOKUP($C352,Productos!$E:$E,Productos!$E:$E,"NO ENCONTRADO")),"NO ENCONTRADO")),"NO ENCONTRADO")),"NO ENCONTRADO"))</f>
        <v/>
      </c>
      <c r="E352" s="74">
        <f t="array" ref="E352">IF(OR($D352="",$D352="NO ENCONTRADO"),"",_xlfn.XLOOKUP($D352,Productos!$E:$E,Productos!$H:$H,""))</f>
        <v/>
      </c>
      <c r="F352" s="74">
        <f t="array" ref="F352">IF(OR($D352="",$D352="NO ENCONTRADO"),"",_xlfn.XLOOKUP($D352,Productos!$E:$E,Productos!$I:$I,""))</f>
        <v/>
      </c>
      <c r="G352" s="74">
        <f t="array" ref="G352">IF(OR($D352="",$D352="NO ENCONTRADO"),"",_xlfn.XLOOKUP($D352,Productos!$E:$E,Productos!$J:$J,""))</f>
        <v/>
      </c>
      <c r="H352" s="74">
        <f t="array" ref="H352">IF(OR($D352="",$D352="NO ENCONTRADO"),"",_xlfn.XLOOKUP($D352,Productos!$E:$E,Productos!$K:$K,""))</f>
        <v/>
      </c>
      <c r="I352" s="74">
        <f t="array" ref="I352">IF(OR($D352="",$D352="NO ENCONTRADO"),"",_xlfn.XLOOKUP($D352,Productos!$E:$E,Productos!$F:$F,""))</f>
        <v/>
      </c>
      <c r="J352" s="74">
        <f>IF($C352="","",IF($D352="NO ENCONTRADO",IF(COUNTIF($C$7:$C$1000,$C352)&gt;1,"⚠️ No encontrado | Duplicado","⚠️ No encontrado"),IF(COUNTIF($C$7:$C$1000,$C352)&gt;1,"⚠️ Duplicado","Verificado")))</f>
        <v/>
      </c>
    </row>
    <row r="353" ht="15.75" customHeight="1" s="176">
      <c r="B353" s="80" t="n"/>
      <c r="C353" s="74" t="n"/>
      <c r="D353" s="74">
        <f t="array" ref="D353">IF($C353="","",IFNA(_xlfn.XLOOKUP($C353,Productos!$A:$A,Productos!$E:$E,IFNA(_xlfn.XLOOKUP(TEXT($C353,"0"),Productos!$A:$A,Productos!$E:$E,IFNA(_xlfn.XLOOKUP(IFERROR(VALUE($C353),""),Productos!$A:$A,Productos!$E:$E,_xlfn.XLOOKUP($C353,Productos!$E:$E,Productos!$E:$E,"NO ENCONTRADO")),"NO ENCONTRADO")),"NO ENCONTRADO")),"NO ENCONTRADO"))</f>
        <v/>
      </c>
      <c r="E353" s="74">
        <f t="array" ref="E353">IF(OR($D353="",$D353="NO ENCONTRADO"),"",_xlfn.XLOOKUP($D353,Productos!$E:$E,Productos!$H:$H,""))</f>
        <v/>
      </c>
      <c r="F353" s="74">
        <f t="array" ref="F353">IF(OR($D353="",$D353="NO ENCONTRADO"),"",_xlfn.XLOOKUP($D353,Productos!$E:$E,Productos!$I:$I,""))</f>
        <v/>
      </c>
      <c r="G353" s="74">
        <f t="array" ref="G353">IF(OR($D353="",$D353="NO ENCONTRADO"),"",_xlfn.XLOOKUP($D353,Productos!$E:$E,Productos!$J:$J,""))</f>
        <v/>
      </c>
      <c r="H353" s="74">
        <f t="array" ref="H353">IF(OR($D353="",$D353="NO ENCONTRADO"),"",_xlfn.XLOOKUP($D353,Productos!$E:$E,Productos!$K:$K,""))</f>
        <v/>
      </c>
      <c r="I353" s="74">
        <f t="array" ref="I353">IF(OR($D353="",$D353="NO ENCONTRADO"),"",_xlfn.XLOOKUP($D353,Productos!$E:$E,Productos!$F:$F,""))</f>
        <v/>
      </c>
      <c r="J353" s="74">
        <f>IF($C353="","",IF($D353="NO ENCONTRADO",IF(COUNTIF($C$7:$C$1000,$C353)&gt;1,"⚠️ No encontrado | Duplicado","⚠️ No encontrado"),IF(COUNTIF($C$7:$C$1000,$C353)&gt;1,"⚠️ Duplicado","Verificado")))</f>
        <v/>
      </c>
    </row>
    <row r="354" ht="15.75" customHeight="1" s="176">
      <c r="B354" s="80" t="n"/>
      <c r="C354" s="74" t="n"/>
      <c r="D354" s="74">
        <f t="array" ref="D354">IF($C354="","",IFNA(_xlfn.XLOOKUP($C354,Productos!$A:$A,Productos!$E:$E,IFNA(_xlfn.XLOOKUP(TEXT($C354,"0"),Productos!$A:$A,Productos!$E:$E,IFNA(_xlfn.XLOOKUP(IFERROR(VALUE($C354),""),Productos!$A:$A,Productos!$E:$E,_xlfn.XLOOKUP($C354,Productos!$E:$E,Productos!$E:$E,"NO ENCONTRADO")),"NO ENCONTRADO")),"NO ENCONTRADO")),"NO ENCONTRADO"))</f>
        <v/>
      </c>
      <c r="E354" s="74">
        <f t="array" ref="E354">IF(OR($D354="",$D354="NO ENCONTRADO"),"",_xlfn.XLOOKUP($D354,Productos!$E:$E,Productos!$H:$H,""))</f>
        <v/>
      </c>
      <c r="F354" s="74">
        <f t="array" ref="F354">IF(OR($D354="",$D354="NO ENCONTRADO"),"",_xlfn.XLOOKUP($D354,Productos!$E:$E,Productos!$I:$I,""))</f>
        <v/>
      </c>
      <c r="G354" s="74">
        <f t="array" ref="G354">IF(OR($D354="",$D354="NO ENCONTRADO"),"",_xlfn.XLOOKUP($D354,Productos!$E:$E,Productos!$J:$J,""))</f>
        <v/>
      </c>
      <c r="H354" s="74">
        <f t="array" ref="H354">IF(OR($D354="",$D354="NO ENCONTRADO"),"",_xlfn.XLOOKUP($D354,Productos!$E:$E,Productos!$K:$K,""))</f>
        <v/>
      </c>
      <c r="I354" s="74">
        <f t="array" ref="I354">IF(OR($D354="",$D354="NO ENCONTRADO"),"",_xlfn.XLOOKUP($D354,Productos!$E:$E,Productos!$F:$F,""))</f>
        <v/>
      </c>
      <c r="J354" s="74">
        <f>IF($C354="","",IF($D354="NO ENCONTRADO",IF(COUNTIF($C$7:$C$1000,$C354)&gt;1,"⚠️ No encontrado | Duplicado","⚠️ No encontrado"),IF(COUNTIF($C$7:$C$1000,$C354)&gt;1,"⚠️ Duplicado","Verificado")))</f>
        <v/>
      </c>
    </row>
    <row r="355" ht="15.75" customHeight="1" s="176">
      <c r="B355" s="80" t="n"/>
      <c r="C355" s="74" t="n"/>
      <c r="D355" s="74">
        <f t="array" ref="D355">IF($C355="","",IFNA(_xlfn.XLOOKUP($C355,Productos!$A:$A,Productos!$E:$E,IFNA(_xlfn.XLOOKUP(TEXT($C355,"0"),Productos!$A:$A,Productos!$E:$E,IFNA(_xlfn.XLOOKUP(IFERROR(VALUE($C355),""),Productos!$A:$A,Productos!$E:$E,_xlfn.XLOOKUP($C355,Productos!$E:$E,Productos!$E:$E,"NO ENCONTRADO")),"NO ENCONTRADO")),"NO ENCONTRADO")),"NO ENCONTRADO"))</f>
        <v/>
      </c>
      <c r="E355" s="74">
        <f t="array" ref="E355">IF(OR($D355="",$D355="NO ENCONTRADO"),"",_xlfn.XLOOKUP($D355,Productos!$E:$E,Productos!$H:$H,""))</f>
        <v/>
      </c>
      <c r="F355" s="74">
        <f t="array" ref="F355">IF(OR($D355="",$D355="NO ENCONTRADO"),"",_xlfn.XLOOKUP($D355,Productos!$E:$E,Productos!$I:$I,""))</f>
        <v/>
      </c>
      <c r="G355" s="74">
        <f t="array" ref="G355">IF(OR($D355="",$D355="NO ENCONTRADO"),"",_xlfn.XLOOKUP($D355,Productos!$E:$E,Productos!$J:$J,""))</f>
        <v/>
      </c>
      <c r="H355" s="74">
        <f t="array" ref="H355">IF(OR($D355="",$D355="NO ENCONTRADO"),"",_xlfn.XLOOKUP($D355,Productos!$E:$E,Productos!$K:$K,""))</f>
        <v/>
      </c>
      <c r="I355" s="74">
        <f t="array" ref="I355">IF(OR($D355="",$D355="NO ENCONTRADO"),"",_xlfn.XLOOKUP($D355,Productos!$E:$E,Productos!$F:$F,""))</f>
        <v/>
      </c>
      <c r="J355" s="74">
        <f>IF($C355="","",IF($D355="NO ENCONTRADO",IF(COUNTIF($C$7:$C$1000,$C355)&gt;1,"⚠️ No encontrado | Duplicado","⚠️ No encontrado"),IF(COUNTIF($C$7:$C$1000,$C355)&gt;1,"⚠️ Duplicado","Verificado")))</f>
        <v/>
      </c>
    </row>
    <row r="356" ht="15.75" customHeight="1" s="176">
      <c r="B356" s="80" t="n"/>
      <c r="C356" s="74" t="n"/>
      <c r="D356" s="74">
        <f t="array" ref="D356">IF($C356="","",IFNA(_xlfn.XLOOKUP($C356,Productos!$A:$A,Productos!$E:$E,IFNA(_xlfn.XLOOKUP(TEXT($C356,"0"),Productos!$A:$A,Productos!$E:$E,IFNA(_xlfn.XLOOKUP(IFERROR(VALUE($C356),""),Productos!$A:$A,Productos!$E:$E,_xlfn.XLOOKUP($C356,Productos!$E:$E,Productos!$E:$E,"NO ENCONTRADO")),"NO ENCONTRADO")),"NO ENCONTRADO")),"NO ENCONTRADO"))</f>
        <v/>
      </c>
      <c r="E356" s="74">
        <f t="array" ref="E356">IF(OR($D356="",$D356="NO ENCONTRADO"),"",_xlfn.XLOOKUP($D356,Productos!$E:$E,Productos!$H:$H,""))</f>
        <v/>
      </c>
      <c r="F356" s="74">
        <f t="array" ref="F356">IF(OR($D356="",$D356="NO ENCONTRADO"),"",_xlfn.XLOOKUP($D356,Productos!$E:$E,Productos!$I:$I,""))</f>
        <v/>
      </c>
      <c r="G356" s="74">
        <f t="array" ref="G356">IF(OR($D356="",$D356="NO ENCONTRADO"),"",_xlfn.XLOOKUP($D356,Productos!$E:$E,Productos!$J:$J,""))</f>
        <v/>
      </c>
      <c r="H356" s="74">
        <f t="array" ref="H356">IF(OR($D356="",$D356="NO ENCONTRADO"),"",_xlfn.XLOOKUP($D356,Productos!$E:$E,Productos!$K:$K,""))</f>
        <v/>
      </c>
      <c r="I356" s="74">
        <f t="array" ref="I356">IF(OR($D356="",$D356="NO ENCONTRADO"),"",_xlfn.XLOOKUP($D356,Productos!$E:$E,Productos!$F:$F,""))</f>
        <v/>
      </c>
      <c r="J356" s="74">
        <f>IF($C356="","",IF($D356="NO ENCONTRADO",IF(COUNTIF($C$7:$C$1000,$C356)&gt;1,"⚠️ No encontrado | Duplicado","⚠️ No encontrado"),IF(COUNTIF($C$7:$C$1000,$C356)&gt;1,"⚠️ Duplicado","Verificado")))</f>
        <v/>
      </c>
    </row>
    <row r="357" ht="15.75" customHeight="1" s="176">
      <c r="B357" s="80" t="n"/>
      <c r="C357" s="74" t="n"/>
      <c r="D357" s="74">
        <f t="array" ref="D357">IF($C357="","",IFNA(_xlfn.XLOOKUP($C357,Productos!$A:$A,Productos!$E:$E,IFNA(_xlfn.XLOOKUP(TEXT($C357,"0"),Productos!$A:$A,Productos!$E:$E,IFNA(_xlfn.XLOOKUP(IFERROR(VALUE($C357),""),Productos!$A:$A,Productos!$E:$E,_xlfn.XLOOKUP($C357,Productos!$E:$E,Productos!$E:$E,"NO ENCONTRADO")),"NO ENCONTRADO")),"NO ENCONTRADO")),"NO ENCONTRADO"))</f>
        <v/>
      </c>
      <c r="E357" s="74">
        <f t="array" ref="E357">IF(OR($D357="",$D357="NO ENCONTRADO"),"",_xlfn.XLOOKUP($D357,Productos!$E:$E,Productos!$H:$H,""))</f>
        <v/>
      </c>
      <c r="F357" s="74">
        <f t="array" ref="F357">IF(OR($D357="",$D357="NO ENCONTRADO"),"",_xlfn.XLOOKUP($D357,Productos!$E:$E,Productos!$I:$I,""))</f>
        <v/>
      </c>
      <c r="G357" s="74">
        <f t="array" ref="G357">IF(OR($D357="",$D357="NO ENCONTRADO"),"",_xlfn.XLOOKUP($D357,Productos!$E:$E,Productos!$J:$J,""))</f>
        <v/>
      </c>
      <c r="H357" s="74">
        <f t="array" ref="H357">IF(OR($D357="",$D357="NO ENCONTRADO"),"",_xlfn.XLOOKUP($D357,Productos!$E:$E,Productos!$K:$K,""))</f>
        <v/>
      </c>
      <c r="I357" s="74">
        <f t="array" ref="I357">IF(OR($D357="",$D357="NO ENCONTRADO"),"",_xlfn.XLOOKUP($D357,Productos!$E:$E,Productos!$F:$F,""))</f>
        <v/>
      </c>
      <c r="J357" s="74">
        <f>IF($C357="","",IF($D357="NO ENCONTRADO",IF(COUNTIF($C$7:$C$1000,$C357)&gt;1,"⚠️ No encontrado | Duplicado","⚠️ No encontrado"),IF(COUNTIF($C$7:$C$1000,$C357)&gt;1,"⚠️ Duplicado","Verificado")))</f>
        <v/>
      </c>
    </row>
    <row r="358" ht="15.75" customHeight="1" s="176">
      <c r="B358" s="80" t="n"/>
      <c r="C358" s="74" t="n"/>
      <c r="D358" s="74">
        <f t="array" ref="D358">IF($C358="","",IFNA(_xlfn.XLOOKUP($C358,Productos!$A:$A,Productos!$E:$E,IFNA(_xlfn.XLOOKUP(TEXT($C358,"0"),Productos!$A:$A,Productos!$E:$E,IFNA(_xlfn.XLOOKUP(IFERROR(VALUE($C358),""),Productos!$A:$A,Productos!$E:$E,_xlfn.XLOOKUP($C358,Productos!$E:$E,Productos!$E:$E,"NO ENCONTRADO")),"NO ENCONTRADO")),"NO ENCONTRADO")),"NO ENCONTRADO"))</f>
        <v/>
      </c>
      <c r="E358" s="74">
        <f t="array" ref="E358">IF(OR($D358="",$D358="NO ENCONTRADO"),"",_xlfn.XLOOKUP($D358,Productos!$E:$E,Productos!$H:$H,""))</f>
        <v/>
      </c>
      <c r="F358" s="74">
        <f t="array" ref="F358">IF(OR($D358="",$D358="NO ENCONTRADO"),"",_xlfn.XLOOKUP($D358,Productos!$E:$E,Productos!$I:$I,""))</f>
        <v/>
      </c>
      <c r="G358" s="74">
        <f t="array" ref="G358">IF(OR($D358="",$D358="NO ENCONTRADO"),"",_xlfn.XLOOKUP($D358,Productos!$E:$E,Productos!$J:$J,""))</f>
        <v/>
      </c>
      <c r="H358" s="74">
        <f t="array" ref="H358">IF(OR($D358="",$D358="NO ENCONTRADO"),"",_xlfn.XLOOKUP($D358,Productos!$E:$E,Productos!$K:$K,""))</f>
        <v/>
      </c>
      <c r="I358" s="74">
        <f t="array" ref="I358">IF(OR($D358="",$D358="NO ENCONTRADO"),"",_xlfn.XLOOKUP($D358,Productos!$E:$E,Productos!$F:$F,""))</f>
        <v/>
      </c>
      <c r="J358" s="74">
        <f>IF($C358="","",IF($D358="NO ENCONTRADO",IF(COUNTIF($C$7:$C$1000,$C358)&gt;1,"⚠️ No encontrado | Duplicado","⚠️ No encontrado"),IF(COUNTIF($C$7:$C$1000,$C358)&gt;1,"⚠️ Duplicado","Verificado")))</f>
        <v/>
      </c>
    </row>
    <row r="359" ht="15.75" customHeight="1" s="176">
      <c r="B359" s="80" t="n"/>
      <c r="C359" s="74" t="n"/>
      <c r="D359" s="74">
        <f t="array" ref="D359">IF($C359="","",IFNA(_xlfn.XLOOKUP($C359,Productos!$A:$A,Productos!$E:$E,IFNA(_xlfn.XLOOKUP(TEXT($C359,"0"),Productos!$A:$A,Productos!$E:$E,IFNA(_xlfn.XLOOKUP(IFERROR(VALUE($C359),""),Productos!$A:$A,Productos!$E:$E,_xlfn.XLOOKUP($C359,Productos!$E:$E,Productos!$E:$E,"NO ENCONTRADO")),"NO ENCONTRADO")),"NO ENCONTRADO")),"NO ENCONTRADO"))</f>
        <v/>
      </c>
      <c r="E359" s="74">
        <f t="array" ref="E359">IF(OR($D359="",$D359="NO ENCONTRADO"),"",_xlfn.XLOOKUP($D359,Productos!$E:$E,Productos!$H:$H,""))</f>
        <v/>
      </c>
      <c r="F359" s="74">
        <f t="array" ref="F359">IF(OR($D359="",$D359="NO ENCONTRADO"),"",_xlfn.XLOOKUP($D359,Productos!$E:$E,Productos!$I:$I,""))</f>
        <v/>
      </c>
      <c r="G359" s="74">
        <f t="array" ref="G359">IF(OR($D359="",$D359="NO ENCONTRADO"),"",_xlfn.XLOOKUP($D359,Productos!$E:$E,Productos!$J:$J,""))</f>
        <v/>
      </c>
      <c r="H359" s="74">
        <f t="array" ref="H359">IF(OR($D359="",$D359="NO ENCONTRADO"),"",_xlfn.XLOOKUP($D359,Productos!$E:$E,Productos!$K:$K,""))</f>
        <v/>
      </c>
      <c r="I359" s="74">
        <f t="array" ref="I359">IF(OR($D359="",$D359="NO ENCONTRADO"),"",_xlfn.XLOOKUP($D359,Productos!$E:$E,Productos!$F:$F,""))</f>
        <v/>
      </c>
      <c r="J359" s="74">
        <f>IF($C359="","",IF($D359="NO ENCONTRADO",IF(COUNTIF($C$7:$C$1000,$C359)&gt;1,"⚠️ No encontrado | Duplicado","⚠️ No encontrado"),IF(COUNTIF($C$7:$C$1000,$C359)&gt;1,"⚠️ Duplicado","Verificado")))</f>
        <v/>
      </c>
    </row>
    <row r="360" ht="15.75" customHeight="1" s="176">
      <c r="B360" s="80" t="n"/>
      <c r="C360" s="74" t="n"/>
      <c r="D360" s="74">
        <f t="array" ref="D360">IF($C360="","",IFNA(_xlfn.XLOOKUP($C360,Productos!$A:$A,Productos!$E:$E,IFNA(_xlfn.XLOOKUP(TEXT($C360,"0"),Productos!$A:$A,Productos!$E:$E,IFNA(_xlfn.XLOOKUP(IFERROR(VALUE($C360),""),Productos!$A:$A,Productos!$E:$E,_xlfn.XLOOKUP($C360,Productos!$E:$E,Productos!$E:$E,"NO ENCONTRADO")),"NO ENCONTRADO")),"NO ENCONTRADO")),"NO ENCONTRADO"))</f>
        <v/>
      </c>
      <c r="E360" s="74">
        <f t="array" ref="E360">IF(OR($D360="",$D360="NO ENCONTRADO"),"",_xlfn.XLOOKUP($D360,Productos!$E:$E,Productos!$H:$H,""))</f>
        <v/>
      </c>
      <c r="F360" s="74">
        <f t="array" ref="F360">IF(OR($D360="",$D360="NO ENCONTRADO"),"",_xlfn.XLOOKUP($D360,Productos!$E:$E,Productos!$I:$I,""))</f>
        <v/>
      </c>
      <c r="G360" s="74">
        <f t="array" ref="G360">IF(OR($D360="",$D360="NO ENCONTRADO"),"",_xlfn.XLOOKUP($D360,Productos!$E:$E,Productos!$J:$J,""))</f>
        <v/>
      </c>
      <c r="H360" s="74">
        <f t="array" ref="H360">IF(OR($D360="",$D360="NO ENCONTRADO"),"",_xlfn.XLOOKUP($D360,Productos!$E:$E,Productos!$K:$K,""))</f>
        <v/>
      </c>
      <c r="I360" s="74">
        <f t="array" ref="I360">IF(OR($D360="",$D360="NO ENCONTRADO"),"",_xlfn.XLOOKUP($D360,Productos!$E:$E,Productos!$F:$F,""))</f>
        <v/>
      </c>
      <c r="J360" s="74">
        <f>IF($C360="","",IF($D360="NO ENCONTRADO",IF(COUNTIF($C$7:$C$1000,$C360)&gt;1,"⚠️ No encontrado | Duplicado","⚠️ No encontrado"),IF(COUNTIF($C$7:$C$1000,$C360)&gt;1,"⚠️ Duplicado","Verificado")))</f>
        <v/>
      </c>
    </row>
    <row r="361" ht="15.75" customHeight="1" s="176">
      <c r="B361" s="80" t="n"/>
      <c r="C361" s="74" t="n"/>
      <c r="D361" s="74">
        <f t="array" ref="D361">IF($C361="","",IFNA(_xlfn.XLOOKUP($C361,Productos!$A:$A,Productos!$E:$E,IFNA(_xlfn.XLOOKUP(TEXT($C361,"0"),Productos!$A:$A,Productos!$E:$E,IFNA(_xlfn.XLOOKUP(IFERROR(VALUE($C361),""),Productos!$A:$A,Productos!$E:$E,_xlfn.XLOOKUP($C361,Productos!$E:$E,Productos!$E:$E,"NO ENCONTRADO")),"NO ENCONTRADO")),"NO ENCONTRADO")),"NO ENCONTRADO"))</f>
        <v/>
      </c>
      <c r="E361" s="74">
        <f t="array" ref="E361">IF(OR($D361="",$D361="NO ENCONTRADO"),"",_xlfn.XLOOKUP($D361,Productos!$E:$E,Productos!$H:$H,""))</f>
        <v/>
      </c>
      <c r="F361" s="74">
        <f t="array" ref="F361">IF(OR($D361="",$D361="NO ENCONTRADO"),"",_xlfn.XLOOKUP($D361,Productos!$E:$E,Productos!$I:$I,""))</f>
        <v/>
      </c>
      <c r="G361" s="74">
        <f t="array" ref="G361">IF(OR($D361="",$D361="NO ENCONTRADO"),"",_xlfn.XLOOKUP($D361,Productos!$E:$E,Productos!$J:$J,""))</f>
        <v/>
      </c>
      <c r="H361" s="74">
        <f t="array" ref="H361">IF(OR($D361="",$D361="NO ENCONTRADO"),"",_xlfn.XLOOKUP($D361,Productos!$E:$E,Productos!$K:$K,""))</f>
        <v/>
      </c>
      <c r="I361" s="74">
        <f t="array" ref="I361">IF(OR($D361="",$D361="NO ENCONTRADO"),"",_xlfn.XLOOKUP($D361,Productos!$E:$E,Productos!$F:$F,""))</f>
        <v/>
      </c>
      <c r="J361" s="74">
        <f>IF($C361="","",IF($D361="NO ENCONTRADO",IF(COUNTIF($C$7:$C$1000,$C361)&gt;1,"⚠️ No encontrado | Duplicado","⚠️ No encontrado"),IF(COUNTIF($C$7:$C$1000,$C361)&gt;1,"⚠️ Duplicado","Verificado")))</f>
        <v/>
      </c>
    </row>
    <row r="362" ht="15.75" customHeight="1" s="176">
      <c r="B362" s="80" t="n"/>
      <c r="C362" s="74" t="n"/>
      <c r="D362" s="74">
        <f t="array" ref="D362">IF($C362="","",IFNA(_xlfn.XLOOKUP($C362,Productos!$A:$A,Productos!$E:$E,IFNA(_xlfn.XLOOKUP(TEXT($C362,"0"),Productos!$A:$A,Productos!$E:$E,IFNA(_xlfn.XLOOKUP(IFERROR(VALUE($C362),""),Productos!$A:$A,Productos!$E:$E,_xlfn.XLOOKUP($C362,Productos!$E:$E,Productos!$E:$E,"NO ENCONTRADO")),"NO ENCONTRADO")),"NO ENCONTRADO")),"NO ENCONTRADO"))</f>
        <v/>
      </c>
      <c r="E362" s="74">
        <f t="array" ref="E362">IF(OR($D362="",$D362="NO ENCONTRADO"),"",_xlfn.XLOOKUP($D362,Productos!$E:$E,Productos!$H:$H,""))</f>
        <v/>
      </c>
      <c r="F362" s="74">
        <f t="array" ref="F362">IF(OR($D362="",$D362="NO ENCONTRADO"),"",_xlfn.XLOOKUP($D362,Productos!$E:$E,Productos!$I:$I,""))</f>
        <v/>
      </c>
      <c r="G362" s="74">
        <f t="array" ref="G362">IF(OR($D362="",$D362="NO ENCONTRADO"),"",_xlfn.XLOOKUP($D362,Productos!$E:$E,Productos!$J:$J,""))</f>
        <v/>
      </c>
      <c r="H362" s="74">
        <f t="array" ref="H362">IF(OR($D362="",$D362="NO ENCONTRADO"),"",_xlfn.XLOOKUP($D362,Productos!$E:$E,Productos!$K:$K,""))</f>
        <v/>
      </c>
      <c r="I362" s="74">
        <f t="array" ref="I362">IF(OR($D362="",$D362="NO ENCONTRADO"),"",_xlfn.XLOOKUP($D362,Productos!$E:$E,Productos!$F:$F,""))</f>
        <v/>
      </c>
      <c r="J362" s="74">
        <f>IF($C362="","",IF($D362="NO ENCONTRADO",IF(COUNTIF($C$7:$C$1000,$C362)&gt;1,"⚠️ No encontrado | Duplicado","⚠️ No encontrado"),IF(COUNTIF($C$7:$C$1000,$C362)&gt;1,"⚠️ Duplicado","Verificado")))</f>
        <v/>
      </c>
    </row>
    <row r="363" ht="15.75" customHeight="1" s="176">
      <c r="B363" s="80" t="n"/>
      <c r="C363" s="74" t="n"/>
      <c r="D363" s="74">
        <f t="array" ref="D363">IF($C363="","",IFNA(_xlfn.XLOOKUP($C363,Productos!$A:$A,Productos!$E:$E,IFNA(_xlfn.XLOOKUP(TEXT($C363,"0"),Productos!$A:$A,Productos!$E:$E,IFNA(_xlfn.XLOOKUP(IFERROR(VALUE($C363),""),Productos!$A:$A,Productos!$E:$E,_xlfn.XLOOKUP($C363,Productos!$E:$E,Productos!$E:$E,"NO ENCONTRADO")),"NO ENCONTRADO")),"NO ENCONTRADO")),"NO ENCONTRADO"))</f>
        <v/>
      </c>
      <c r="E363" s="74">
        <f t="array" ref="E363">IF(OR($D363="",$D363="NO ENCONTRADO"),"",_xlfn.XLOOKUP($D363,Productos!$E:$E,Productos!$H:$H,""))</f>
        <v/>
      </c>
      <c r="F363" s="74">
        <f t="array" ref="F363">IF(OR($D363="",$D363="NO ENCONTRADO"),"",_xlfn.XLOOKUP($D363,Productos!$E:$E,Productos!$I:$I,""))</f>
        <v/>
      </c>
      <c r="G363" s="74">
        <f t="array" ref="G363">IF(OR($D363="",$D363="NO ENCONTRADO"),"",_xlfn.XLOOKUP($D363,Productos!$E:$E,Productos!$J:$J,""))</f>
        <v/>
      </c>
      <c r="H363" s="74">
        <f t="array" ref="H363">IF(OR($D363="",$D363="NO ENCONTRADO"),"",_xlfn.XLOOKUP($D363,Productos!$E:$E,Productos!$K:$K,""))</f>
        <v/>
      </c>
      <c r="I363" s="74">
        <f t="array" ref="I363">IF(OR($D363="",$D363="NO ENCONTRADO"),"",_xlfn.XLOOKUP($D363,Productos!$E:$E,Productos!$F:$F,""))</f>
        <v/>
      </c>
      <c r="J363" s="74">
        <f>IF($C363="","",IF($D363="NO ENCONTRADO",IF(COUNTIF($C$7:$C$1000,$C363)&gt;1,"⚠️ No encontrado | Duplicado","⚠️ No encontrado"),IF(COUNTIF($C$7:$C$1000,$C363)&gt;1,"⚠️ Duplicado","Verificado")))</f>
        <v/>
      </c>
    </row>
    <row r="364" ht="15.75" customHeight="1" s="176">
      <c r="B364" s="80" t="n"/>
      <c r="C364" s="74" t="n"/>
      <c r="D364" s="74">
        <f t="array" ref="D364">IF($C364="","",IFNA(_xlfn.XLOOKUP($C364,Productos!$A:$A,Productos!$E:$E,IFNA(_xlfn.XLOOKUP(TEXT($C364,"0"),Productos!$A:$A,Productos!$E:$E,IFNA(_xlfn.XLOOKUP(IFERROR(VALUE($C364),""),Productos!$A:$A,Productos!$E:$E,_xlfn.XLOOKUP($C364,Productos!$E:$E,Productos!$E:$E,"NO ENCONTRADO")),"NO ENCONTRADO")),"NO ENCONTRADO")),"NO ENCONTRADO"))</f>
        <v/>
      </c>
      <c r="E364" s="74">
        <f t="array" ref="E364">IF(OR($D364="",$D364="NO ENCONTRADO"),"",_xlfn.XLOOKUP($D364,Productos!$E:$E,Productos!$H:$H,""))</f>
        <v/>
      </c>
      <c r="F364" s="74">
        <f t="array" ref="F364">IF(OR($D364="",$D364="NO ENCONTRADO"),"",_xlfn.XLOOKUP($D364,Productos!$E:$E,Productos!$I:$I,""))</f>
        <v/>
      </c>
      <c r="G364" s="74">
        <f t="array" ref="G364">IF(OR($D364="",$D364="NO ENCONTRADO"),"",_xlfn.XLOOKUP($D364,Productos!$E:$E,Productos!$J:$J,""))</f>
        <v/>
      </c>
      <c r="H364" s="74">
        <f t="array" ref="H364">IF(OR($D364="",$D364="NO ENCONTRADO"),"",_xlfn.XLOOKUP($D364,Productos!$E:$E,Productos!$K:$K,""))</f>
        <v/>
      </c>
      <c r="I364" s="74">
        <f t="array" ref="I364">IF(OR($D364="",$D364="NO ENCONTRADO"),"",_xlfn.XLOOKUP($D364,Productos!$E:$E,Productos!$F:$F,""))</f>
        <v/>
      </c>
      <c r="J364" s="74">
        <f>IF($C364="","",IF($D364="NO ENCONTRADO",IF(COUNTIF($C$7:$C$1000,$C364)&gt;1,"⚠️ No encontrado | Duplicado","⚠️ No encontrado"),IF(COUNTIF($C$7:$C$1000,$C364)&gt;1,"⚠️ Duplicado","Verificado")))</f>
        <v/>
      </c>
    </row>
    <row r="365" ht="15.75" customHeight="1" s="176">
      <c r="B365" s="80" t="n"/>
      <c r="C365" s="74" t="n"/>
      <c r="D365" s="74">
        <f t="array" ref="D365">IF($C365="","",IFNA(_xlfn.XLOOKUP($C365,Productos!$A:$A,Productos!$E:$E,IFNA(_xlfn.XLOOKUP(TEXT($C365,"0"),Productos!$A:$A,Productos!$E:$E,IFNA(_xlfn.XLOOKUP(IFERROR(VALUE($C365),""),Productos!$A:$A,Productos!$E:$E,_xlfn.XLOOKUP($C365,Productos!$E:$E,Productos!$E:$E,"NO ENCONTRADO")),"NO ENCONTRADO")),"NO ENCONTRADO")),"NO ENCONTRADO"))</f>
        <v/>
      </c>
      <c r="E365" s="74">
        <f t="array" ref="E365">IF(OR($D365="",$D365="NO ENCONTRADO"),"",_xlfn.XLOOKUP($D365,Productos!$E:$E,Productos!$H:$H,""))</f>
        <v/>
      </c>
      <c r="F365" s="74">
        <f t="array" ref="F365">IF(OR($D365="",$D365="NO ENCONTRADO"),"",_xlfn.XLOOKUP($D365,Productos!$E:$E,Productos!$I:$I,""))</f>
        <v/>
      </c>
      <c r="G365" s="74">
        <f t="array" ref="G365">IF(OR($D365="",$D365="NO ENCONTRADO"),"",_xlfn.XLOOKUP($D365,Productos!$E:$E,Productos!$J:$J,""))</f>
        <v/>
      </c>
      <c r="H365" s="74">
        <f t="array" ref="H365">IF(OR($D365="",$D365="NO ENCONTRADO"),"",_xlfn.XLOOKUP($D365,Productos!$E:$E,Productos!$K:$K,""))</f>
        <v/>
      </c>
      <c r="I365" s="74">
        <f t="array" ref="I365">IF(OR($D365="",$D365="NO ENCONTRADO"),"",_xlfn.XLOOKUP($D365,Productos!$E:$E,Productos!$F:$F,""))</f>
        <v/>
      </c>
      <c r="J365" s="74">
        <f>IF($C365="","",IF($D365="NO ENCONTRADO",IF(COUNTIF($C$7:$C$1000,$C365)&gt;1,"⚠️ No encontrado | Duplicado","⚠️ No encontrado"),IF(COUNTIF($C$7:$C$1000,$C365)&gt;1,"⚠️ Duplicado","Verificado")))</f>
        <v/>
      </c>
    </row>
    <row r="366" ht="15.75" customHeight="1" s="176">
      <c r="B366" s="80" t="n"/>
      <c r="C366" s="74" t="n"/>
      <c r="D366" s="74">
        <f t="array" ref="D366">IF($C366="","",IFNA(_xlfn.XLOOKUP($C366,Productos!$A:$A,Productos!$E:$E,IFNA(_xlfn.XLOOKUP(TEXT($C366,"0"),Productos!$A:$A,Productos!$E:$E,IFNA(_xlfn.XLOOKUP(IFERROR(VALUE($C366),""),Productos!$A:$A,Productos!$E:$E,_xlfn.XLOOKUP($C366,Productos!$E:$E,Productos!$E:$E,"NO ENCONTRADO")),"NO ENCONTRADO")),"NO ENCONTRADO")),"NO ENCONTRADO"))</f>
        <v/>
      </c>
      <c r="E366" s="74">
        <f t="array" ref="E366">IF(OR($D366="",$D366="NO ENCONTRADO"),"",_xlfn.XLOOKUP($D366,Productos!$E:$E,Productos!$H:$H,""))</f>
        <v/>
      </c>
      <c r="F366" s="74">
        <f t="array" ref="F366">IF(OR($D366="",$D366="NO ENCONTRADO"),"",_xlfn.XLOOKUP($D366,Productos!$E:$E,Productos!$I:$I,""))</f>
        <v/>
      </c>
      <c r="G366" s="74">
        <f t="array" ref="G366">IF(OR($D366="",$D366="NO ENCONTRADO"),"",_xlfn.XLOOKUP($D366,Productos!$E:$E,Productos!$J:$J,""))</f>
        <v/>
      </c>
      <c r="H366" s="74">
        <f t="array" ref="H366">IF(OR($D366="",$D366="NO ENCONTRADO"),"",_xlfn.XLOOKUP($D366,Productos!$E:$E,Productos!$K:$K,""))</f>
        <v/>
      </c>
      <c r="I366" s="74">
        <f t="array" ref="I366">IF(OR($D366="",$D366="NO ENCONTRADO"),"",_xlfn.XLOOKUP($D366,Productos!$E:$E,Productos!$F:$F,""))</f>
        <v/>
      </c>
      <c r="J366" s="74">
        <f>IF($C366="","",IF($D366="NO ENCONTRADO",IF(COUNTIF($C$7:$C$1000,$C366)&gt;1,"⚠️ No encontrado | Duplicado","⚠️ No encontrado"),IF(COUNTIF($C$7:$C$1000,$C366)&gt;1,"⚠️ Duplicado","Verificado")))</f>
        <v/>
      </c>
    </row>
    <row r="367" ht="15.75" customHeight="1" s="176">
      <c r="B367" s="80" t="n"/>
      <c r="C367" s="74" t="n"/>
      <c r="D367" s="74">
        <f t="array" ref="D367">IF($C367="","",IFNA(_xlfn.XLOOKUP($C367,Productos!$A:$A,Productos!$E:$E,IFNA(_xlfn.XLOOKUP(TEXT($C367,"0"),Productos!$A:$A,Productos!$E:$E,IFNA(_xlfn.XLOOKUP(IFERROR(VALUE($C367),""),Productos!$A:$A,Productos!$E:$E,_xlfn.XLOOKUP($C367,Productos!$E:$E,Productos!$E:$E,"NO ENCONTRADO")),"NO ENCONTRADO")),"NO ENCONTRADO")),"NO ENCONTRADO"))</f>
        <v/>
      </c>
      <c r="E367" s="74">
        <f t="array" ref="E367">IF(OR($D367="",$D367="NO ENCONTRADO"),"",_xlfn.XLOOKUP($D367,Productos!$E:$E,Productos!$H:$H,""))</f>
        <v/>
      </c>
      <c r="F367" s="74">
        <f t="array" ref="F367">IF(OR($D367="",$D367="NO ENCONTRADO"),"",_xlfn.XLOOKUP($D367,Productos!$E:$E,Productos!$I:$I,""))</f>
        <v/>
      </c>
      <c r="G367" s="74">
        <f t="array" ref="G367">IF(OR($D367="",$D367="NO ENCONTRADO"),"",_xlfn.XLOOKUP($D367,Productos!$E:$E,Productos!$J:$J,""))</f>
        <v/>
      </c>
      <c r="H367" s="74">
        <f t="array" ref="H367">IF(OR($D367="",$D367="NO ENCONTRADO"),"",_xlfn.XLOOKUP($D367,Productos!$E:$E,Productos!$K:$K,""))</f>
        <v/>
      </c>
      <c r="I367" s="74">
        <f t="array" ref="I367">IF(OR($D367="",$D367="NO ENCONTRADO"),"",_xlfn.XLOOKUP($D367,Productos!$E:$E,Productos!$F:$F,""))</f>
        <v/>
      </c>
      <c r="J367" s="74">
        <f>IF($C367="","",IF($D367="NO ENCONTRADO",IF(COUNTIF($C$7:$C$1000,$C367)&gt;1,"⚠️ No encontrado | Duplicado","⚠️ No encontrado"),IF(COUNTIF($C$7:$C$1000,$C367)&gt;1,"⚠️ Duplicado","Verificado")))</f>
        <v/>
      </c>
    </row>
    <row r="368" ht="15.75" customHeight="1" s="176">
      <c r="B368" s="80" t="n"/>
      <c r="C368" s="74" t="n"/>
      <c r="D368" s="74">
        <f t="array" ref="D368">IF($C368="","",IFNA(_xlfn.XLOOKUP($C368,Productos!$A:$A,Productos!$E:$E,IFNA(_xlfn.XLOOKUP(TEXT($C368,"0"),Productos!$A:$A,Productos!$E:$E,IFNA(_xlfn.XLOOKUP(IFERROR(VALUE($C368),""),Productos!$A:$A,Productos!$E:$E,_xlfn.XLOOKUP($C368,Productos!$E:$E,Productos!$E:$E,"NO ENCONTRADO")),"NO ENCONTRADO")),"NO ENCONTRADO")),"NO ENCONTRADO"))</f>
        <v/>
      </c>
      <c r="E368" s="74">
        <f t="array" ref="E368">IF(OR($D368="",$D368="NO ENCONTRADO"),"",_xlfn.XLOOKUP($D368,Productos!$E:$E,Productos!$H:$H,""))</f>
        <v/>
      </c>
      <c r="F368" s="74">
        <f t="array" ref="F368">IF(OR($D368="",$D368="NO ENCONTRADO"),"",_xlfn.XLOOKUP($D368,Productos!$E:$E,Productos!$I:$I,""))</f>
        <v/>
      </c>
      <c r="G368" s="74">
        <f t="array" ref="G368">IF(OR($D368="",$D368="NO ENCONTRADO"),"",_xlfn.XLOOKUP($D368,Productos!$E:$E,Productos!$J:$J,""))</f>
        <v/>
      </c>
      <c r="H368" s="74">
        <f t="array" ref="H368">IF(OR($D368="",$D368="NO ENCONTRADO"),"",_xlfn.XLOOKUP($D368,Productos!$E:$E,Productos!$K:$K,""))</f>
        <v/>
      </c>
      <c r="I368" s="74">
        <f t="array" ref="I368">IF(OR($D368="",$D368="NO ENCONTRADO"),"",_xlfn.XLOOKUP($D368,Productos!$E:$E,Productos!$F:$F,""))</f>
        <v/>
      </c>
      <c r="J368" s="74">
        <f>IF($C368="","",IF($D368="NO ENCONTRADO",IF(COUNTIF($C$7:$C$1000,$C368)&gt;1,"⚠️ No encontrado | Duplicado","⚠️ No encontrado"),IF(COUNTIF($C$7:$C$1000,$C368)&gt;1,"⚠️ Duplicado","Verificado")))</f>
        <v/>
      </c>
    </row>
    <row r="369" ht="15.75" customHeight="1" s="176">
      <c r="B369" s="80" t="n"/>
      <c r="C369" s="74" t="n"/>
      <c r="D369" s="74">
        <f t="array" ref="D369">IF($C369="","",IFNA(_xlfn.XLOOKUP($C369,Productos!$A:$A,Productos!$E:$E,IFNA(_xlfn.XLOOKUP(TEXT($C369,"0"),Productos!$A:$A,Productos!$E:$E,IFNA(_xlfn.XLOOKUP(IFERROR(VALUE($C369),""),Productos!$A:$A,Productos!$E:$E,_xlfn.XLOOKUP($C369,Productos!$E:$E,Productos!$E:$E,"NO ENCONTRADO")),"NO ENCONTRADO")),"NO ENCONTRADO")),"NO ENCONTRADO"))</f>
        <v/>
      </c>
      <c r="E369" s="74">
        <f t="array" ref="E369">IF(OR($D369="",$D369="NO ENCONTRADO"),"",_xlfn.XLOOKUP($D369,Productos!$E:$E,Productos!$H:$H,""))</f>
        <v/>
      </c>
      <c r="F369" s="74">
        <f t="array" ref="F369">IF(OR($D369="",$D369="NO ENCONTRADO"),"",_xlfn.XLOOKUP($D369,Productos!$E:$E,Productos!$I:$I,""))</f>
        <v/>
      </c>
      <c r="G369" s="74">
        <f t="array" ref="G369">IF(OR($D369="",$D369="NO ENCONTRADO"),"",_xlfn.XLOOKUP($D369,Productos!$E:$E,Productos!$J:$J,""))</f>
        <v/>
      </c>
      <c r="H369" s="74">
        <f t="array" ref="H369">IF(OR($D369="",$D369="NO ENCONTRADO"),"",_xlfn.XLOOKUP($D369,Productos!$E:$E,Productos!$K:$K,""))</f>
        <v/>
      </c>
      <c r="I369" s="74">
        <f t="array" ref="I369">IF(OR($D369="",$D369="NO ENCONTRADO"),"",_xlfn.XLOOKUP($D369,Productos!$E:$E,Productos!$F:$F,""))</f>
        <v/>
      </c>
      <c r="J369" s="74">
        <f>IF($C369="","",IF($D369="NO ENCONTRADO",IF(COUNTIF($C$7:$C$1000,$C369)&gt;1,"⚠️ No encontrado | Duplicado","⚠️ No encontrado"),IF(COUNTIF($C$7:$C$1000,$C369)&gt;1,"⚠️ Duplicado","Verificado")))</f>
        <v/>
      </c>
    </row>
    <row r="370" ht="15.75" customHeight="1" s="176">
      <c r="B370" s="80" t="n"/>
      <c r="C370" s="74" t="n"/>
      <c r="D370" s="74">
        <f t="array" ref="D370">IF($C370="","",IFNA(_xlfn.XLOOKUP($C370,Productos!$A:$A,Productos!$E:$E,IFNA(_xlfn.XLOOKUP(TEXT($C370,"0"),Productos!$A:$A,Productos!$E:$E,IFNA(_xlfn.XLOOKUP(IFERROR(VALUE($C370),""),Productos!$A:$A,Productos!$E:$E,_xlfn.XLOOKUP($C370,Productos!$E:$E,Productos!$E:$E,"NO ENCONTRADO")),"NO ENCONTRADO")),"NO ENCONTRADO")),"NO ENCONTRADO"))</f>
        <v/>
      </c>
      <c r="E370" s="74">
        <f t="array" ref="E370">IF(OR($D370="",$D370="NO ENCONTRADO"),"",_xlfn.XLOOKUP($D370,Productos!$E:$E,Productos!$H:$H,""))</f>
        <v/>
      </c>
      <c r="F370" s="74">
        <f t="array" ref="F370">IF(OR($D370="",$D370="NO ENCONTRADO"),"",_xlfn.XLOOKUP($D370,Productos!$E:$E,Productos!$I:$I,""))</f>
        <v/>
      </c>
      <c r="G370" s="74">
        <f t="array" ref="G370">IF(OR($D370="",$D370="NO ENCONTRADO"),"",_xlfn.XLOOKUP($D370,Productos!$E:$E,Productos!$J:$J,""))</f>
        <v/>
      </c>
      <c r="H370" s="74">
        <f t="array" ref="H370">IF(OR($D370="",$D370="NO ENCONTRADO"),"",_xlfn.XLOOKUP($D370,Productos!$E:$E,Productos!$K:$K,""))</f>
        <v/>
      </c>
      <c r="I370" s="74">
        <f t="array" ref="I370">IF(OR($D370="",$D370="NO ENCONTRADO"),"",_xlfn.XLOOKUP($D370,Productos!$E:$E,Productos!$F:$F,""))</f>
        <v/>
      </c>
      <c r="J370" s="74">
        <f>IF($C370="","",IF($D370="NO ENCONTRADO",IF(COUNTIF($C$7:$C$1000,$C370)&gt;1,"⚠️ No encontrado | Duplicado","⚠️ No encontrado"),IF(COUNTIF($C$7:$C$1000,$C370)&gt;1,"⚠️ Duplicado","Verificado")))</f>
        <v/>
      </c>
    </row>
    <row r="371" ht="15.75" customHeight="1" s="176">
      <c r="B371" s="80" t="n"/>
      <c r="C371" s="74" t="n"/>
      <c r="D371" s="74">
        <f t="array" ref="D371">IF($C371="","",IFNA(_xlfn.XLOOKUP($C371,Productos!$A:$A,Productos!$E:$E,IFNA(_xlfn.XLOOKUP(TEXT($C371,"0"),Productos!$A:$A,Productos!$E:$E,IFNA(_xlfn.XLOOKUP(IFERROR(VALUE($C371),""),Productos!$A:$A,Productos!$E:$E,_xlfn.XLOOKUP($C371,Productos!$E:$E,Productos!$E:$E,"NO ENCONTRADO")),"NO ENCONTRADO")),"NO ENCONTRADO")),"NO ENCONTRADO"))</f>
        <v/>
      </c>
      <c r="E371" s="74">
        <f t="array" ref="E371">IF(OR($D371="",$D371="NO ENCONTRADO"),"",_xlfn.XLOOKUP($D371,Productos!$E:$E,Productos!$H:$H,""))</f>
        <v/>
      </c>
      <c r="F371" s="74">
        <f t="array" ref="F371">IF(OR($D371="",$D371="NO ENCONTRADO"),"",_xlfn.XLOOKUP($D371,Productos!$E:$E,Productos!$I:$I,""))</f>
        <v/>
      </c>
      <c r="G371" s="74">
        <f t="array" ref="G371">IF(OR($D371="",$D371="NO ENCONTRADO"),"",_xlfn.XLOOKUP($D371,Productos!$E:$E,Productos!$J:$J,""))</f>
        <v/>
      </c>
      <c r="H371" s="74">
        <f t="array" ref="H371">IF(OR($D371="",$D371="NO ENCONTRADO"),"",_xlfn.XLOOKUP($D371,Productos!$E:$E,Productos!$K:$K,""))</f>
        <v/>
      </c>
      <c r="I371" s="74">
        <f t="array" ref="I371">IF(OR($D371="",$D371="NO ENCONTRADO"),"",_xlfn.XLOOKUP($D371,Productos!$E:$E,Productos!$F:$F,""))</f>
        <v/>
      </c>
      <c r="J371" s="74">
        <f>IF($C371="","",IF($D371="NO ENCONTRADO",IF(COUNTIF($C$7:$C$1000,$C371)&gt;1,"⚠️ No encontrado | Duplicado","⚠️ No encontrado"),IF(COUNTIF($C$7:$C$1000,$C371)&gt;1,"⚠️ Duplicado","Verificado")))</f>
        <v/>
      </c>
    </row>
    <row r="372" ht="15.75" customHeight="1" s="176">
      <c r="B372" s="80" t="n"/>
      <c r="C372" s="74" t="n"/>
      <c r="D372" s="74">
        <f t="array" ref="D372">IF($C372="","",IFNA(_xlfn.XLOOKUP($C372,Productos!$A:$A,Productos!$E:$E,IFNA(_xlfn.XLOOKUP(TEXT($C372,"0"),Productos!$A:$A,Productos!$E:$E,IFNA(_xlfn.XLOOKUP(IFERROR(VALUE($C372),""),Productos!$A:$A,Productos!$E:$E,_xlfn.XLOOKUP($C372,Productos!$E:$E,Productos!$E:$E,"NO ENCONTRADO")),"NO ENCONTRADO")),"NO ENCONTRADO")),"NO ENCONTRADO"))</f>
        <v/>
      </c>
      <c r="E372" s="74">
        <f t="array" ref="E372">IF(OR($D372="",$D372="NO ENCONTRADO"),"",_xlfn.XLOOKUP($D372,Productos!$E:$E,Productos!$H:$H,""))</f>
        <v/>
      </c>
      <c r="F372" s="74">
        <f t="array" ref="F372">IF(OR($D372="",$D372="NO ENCONTRADO"),"",_xlfn.XLOOKUP($D372,Productos!$E:$E,Productos!$I:$I,""))</f>
        <v/>
      </c>
      <c r="G372" s="74">
        <f t="array" ref="G372">IF(OR($D372="",$D372="NO ENCONTRADO"),"",_xlfn.XLOOKUP($D372,Productos!$E:$E,Productos!$J:$J,""))</f>
        <v/>
      </c>
      <c r="H372" s="74">
        <f t="array" ref="H372">IF(OR($D372="",$D372="NO ENCONTRADO"),"",_xlfn.XLOOKUP($D372,Productos!$E:$E,Productos!$K:$K,""))</f>
        <v/>
      </c>
      <c r="I372" s="74">
        <f t="array" ref="I372">IF(OR($D372="",$D372="NO ENCONTRADO"),"",_xlfn.XLOOKUP($D372,Productos!$E:$E,Productos!$F:$F,""))</f>
        <v/>
      </c>
      <c r="J372" s="74">
        <f>IF($C372="","",IF($D372="NO ENCONTRADO",IF(COUNTIF($C$7:$C$1000,$C372)&gt;1,"⚠️ No encontrado | Duplicado","⚠️ No encontrado"),IF(COUNTIF($C$7:$C$1000,$C372)&gt;1,"⚠️ Duplicado","Verificado")))</f>
        <v/>
      </c>
    </row>
    <row r="373" ht="15.75" customHeight="1" s="176">
      <c r="B373" s="80" t="n"/>
      <c r="C373" s="74" t="n"/>
      <c r="D373" s="74">
        <f t="array" ref="D373">IF($C373="","",IFNA(_xlfn.XLOOKUP($C373,Productos!$A:$A,Productos!$E:$E,IFNA(_xlfn.XLOOKUP(TEXT($C373,"0"),Productos!$A:$A,Productos!$E:$E,IFNA(_xlfn.XLOOKUP(IFERROR(VALUE($C373),""),Productos!$A:$A,Productos!$E:$E,_xlfn.XLOOKUP($C373,Productos!$E:$E,Productos!$E:$E,"NO ENCONTRADO")),"NO ENCONTRADO")),"NO ENCONTRADO")),"NO ENCONTRADO"))</f>
        <v/>
      </c>
      <c r="E373" s="74">
        <f t="array" ref="E373">IF(OR($D373="",$D373="NO ENCONTRADO"),"",_xlfn.XLOOKUP($D373,Productos!$E:$E,Productos!$H:$H,""))</f>
        <v/>
      </c>
      <c r="F373" s="74">
        <f t="array" ref="F373">IF(OR($D373="",$D373="NO ENCONTRADO"),"",_xlfn.XLOOKUP($D373,Productos!$E:$E,Productos!$I:$I,""))</f>
        <v/>
      </c>
      <c r="G373" s="74">
        <f t="array" ref="G373">IF(OR($D373="",$D373="NO ENCONTRADO"),"",_xlfn.XLOOKUP($D373,Productos!$E:$E,Productos!$J:$J,""))</f>
        <v/>
      </c>
      <c r="H373" s="74">
        <f t="array" ref="H373">IF(OR($D373="",$D373="NO ENCONTRADO"),"",_xlfn.XLOOKUP($D373,Productos!$E:$E,Productos!$K:$K,""))</f>
        <v/>
      </c>
      <c r="I373" s="74">
        <f t="array" ref="I373">IF(OR($D373="",$D373="NO ENCONTRADO"),"",_xlfn.XLOOKUP($D373,Productos!$E:$E,Productos!$F:$F,""))</f>
        <v/>
      </c>
      <c r="J373" s="74">
        <f>IF($C373="","",IF($D373="NO ENCONTRADO",IF(COUNTIF($C$7:$C$1000,$C373)&gt;1,"⚠️ No encontrado | Duplicado","⚠️ No encontrado"),IF(COUNTIF($C$7:$C$1000,$C373)&gt;1,"⚠️ Duplicado","Verificado")))</f>
        <v/>
      </c>
    </row>
    <row r="374" ht="15.75" customHeight="1" s="176">
      <c r="B374" s="80" t="n"/>
      <c r="C374" s="74" t="n"/>
      <c r="D374" s="74">
        <f t="array" ref="D374">IF($C374="","",IFNA(_xlfn.XLOOKUP($C374,Productos!$A:$A,Productos!$E:$E,IFNA(_xlfn.XLOOKUP(TEXT($C374,"0"),Productos!$A:$A,Productos!$E:$E,IFNA(_xlfn.XLOOKUP(IFERROR(VALUE($C374),""),Productos!$A:$A,Productos!$E:$E,_xlfn.XLOOKUP($C374,Productos!$E:$E,Productos!$E:$E,"NO ENCONTRADO")),"NO ENCONTRADO")),"NO ENCONTRADO")),"NO ENCONTRADO"))</f>
        <v/>
      </c>
      <c r="E374" s="74">
        <f t="array" ref="E374">IF(OR($D374="",$D374="NO ENCONTRADO"),"",_xlfn.XLOOKUP($D374,Productos!$E:$E,Productos!$H:$H,""))</f>
        <v/>
      </c>
      <c r="F374" s="74">
        <f t="array" ref="F374">IF(OR($D374="",$D374="NO ENCONTRADO"),"",_xlfn.XLOOKUP($D374,Productos!$E:$E,Productos!$I:$I,""))</f>
        <v/>
      </c>
      <c r="G374" s="74">
        <f t="array" ref="G374">IF(OR($D374="",$D374="NO ENCONTRADO"),"",_xlfn.XLOOKUP($D374,Productos!$E:$E,Productos!$J:$J,""))</f>
        <v/>
      </c>
      <c r="H374" s="74">
        <f t="array" ref="H374">IF(OR($D374="",$D374="NO ENCONTRADO"),"",_xlfn.XLOOKUP($D374,Productos!$E:$E,Productos!$K:$K,""))</f>
        <v/>
      </c>
      <c r="I374" s="74">
        <f t="array" ref="I374">IF(OR($D374="",$D374="NO ENCONTRADO"),"",_xlfn.XLOOKUP($D374,Productos!$E:$E,Productos!$F:$F,""))</f>
        <v/>
      </c>
      <c r="J374" s="74">
        <f>IF($C374="","",IF($D374="NO ENCONTRADO",IF(COUNTIF($C$7:$C$1000,$C374)&gt;1,"⚠️ No encontrado | Duplicado","⚠️ No encontrado"),IF(COUNTIF($C$7:$C$1000,$C374)&gt;1,"⚠️ Duplicado","Verificado")))</f>
        <v/>
      </c>
    </row>
    <row r="375" ht="15.75" customHeight="1" s="176">
      <c r="B375" s="80" t="n"/>
      <c r="C375" s="74" t="n"/>
      <c r="D375" s="74">
        <f t="array" ref="D375">IF($C375="","",IFNA(_xlfn.XLOOKUP($C375,Productos!$A:$A,Productos!$E:$E,IFNA(_xlfn.XLOOKUP(TEXT($C375,"0"),Productos!$A:$A,Productos!$E:$E,IFNA(_xlfn.XLOOKUP(IFERROR(VALUE($C375),""),Productos!$A:$A,Productos!$E:$E,_xlfn.XLOOKUP($C375,Productos!$E:$E,Productos!$E:$E,"NO ENCONTRADO")),"NO ENCONTRADO")),"NO ENCONTRADO")),"NO ENCONTRADO"))</f>
        <v/>
      </c>
      <c r="E375" s="74">
        <f t="array" ref="E375">IF(OR($D375="",$D375="NO ENCONTRADO"),"",_xlfn.XLOOKUP($D375,Productos!$E:$E,Productos!$H:$H,""))</f>
        <v/>
      </c>
      <c r="F375" s="74">
        <f t="array" ref="F375">IF(OR($D375="",$D375="NO ENCONTRADO"),"",_xlfn.XLOOKUP($D375,Productos!$E:$E,Productos!$I:$I,""))</f>
        <v/>
      </c>
      <c r="G375" s="74">
        <f t="array" ref="G375">IF(OR($D375="",$D375="NO ENCONTRADO"),"",_xlfn.XLOOKUP($D375,Productos!$E:$E,Productos!$J:$J,""))</f>
        <v/>
      </c>
      <c r="H375" s="74">
        <f t="array" ref="H375">IF(OR($D375="",$D375="NO ENCONTRADO"),"",_xlfn.XLOOKUP($D375,Productos!$E:$E,Productos!$K:$K,""))</f>
        <v/>
      </c>
      <c r="I375" s="74">
        <f t="array" ref="I375">IF(OR($D375="",$D375="NO ENCONTRADO"),"",_xlfn.XLOOKUP($D375,Productos!$E:$E,Productos!$F:$F,""))</f>
        <v/>
      </c>
      <c r="J375" s="74">
        <f>IF($C375="","",IF($D375="NO ENCONTRADO",IF(COUNTIF($C$7:$C$1000,$C375)&gt;1,"⚠️ No encontrado | Duplicado","⚠️ No encontrado"),IF(COUNTIF($C$7:$C$1000,$C375)&gt;1,"⚠️ Duplicado","Verificado")))</f>
        <v/>
      </c>
    </row>
    <row r="376" ht="15.75" customHeight="1" s="176">
      <c r="B376" s="80" t="n"/>
      <c r="C376" s="74" t="n"/>
      <c r="D376" s="74">
        <f t="array" ref="D376">IF($C376="","",IFNA(_xlfn.XLOOKUP($C376,Productos!$A:$A,Productos!$E:$E,IFNA(_xlfn.XLOOKUP(TEXT($C376,"0"),Productos!$A:$A,Productos!$E:$E,IFNA(_xlfn.XLOOKUP(IFERROR(VALUE($C376),""),Productos!$A:$A,Productos!$E:$E,_xlfn.XLOOKUP($C376,Productos!$E:$E,Productos!$E:$E,"NO ENCONTRADO")),"NO ENCONTRADO")),"NO ENCONTRADO")),"NO ENCONTRADO"))</f>
        <v/>
      </c>
      <c r="E376" s="74">
        <f t="array" ref="E376">IF(OR($D376="",$D376="NO ENCONTRADO"),"",_xlfn.XLOOKUP($D376,Productos!$E:$E,Productos!$H:$H,""))</f>
        <v/>
      </c>
      <c r="F376" s="74">
        <f t="array" ref="F376">IF(OR($D376="",$D376="NO ENCONTRADO"),"",_xlfn.XLOOKUP($D376,Productos!$E:$E,Productos!$I:$I,""))</f>
        <v/>
      </c>
      <c r="G376" s="74">
        <f t="array" ref="G376">IF(OR($D376="",$D376="NO ENCONTRADO"),"",_xlfn.XLOOKUP($D376,Productos!$E:$E,Productos!$J:$J,""))</f>
        <v/>
      </c>
      <c r="H376" s="74">
        <f t="array" ref="H376">IF(OR($D376="",$D376="NO ENCONTRADO"),"",_xlfn.XLOOKUP($D376,Productos!$E:$E,Productos!$K:$K,""))</f>
        <v/>
      </c>
      <c r="I376" s="74">
        <f t="array" ref="I376">IF(OR($D376="",$D376="NO ENCONTRADO"),"",_xlfn.XLOOKUP($D376,Productos!$E:$E,Productos!$F:$F,""))</f>
        <v/>
      </c>
      <c r="J376" s="74">
        <f>IF($C376="","",IF($D376="NO ENCONTRADO",IF(COUNTIF($C$7:$C$1000,$C376)&gt;1,"⚠️ No encontrado | Duplicado","⚠️ No encontrado"),IF(COUNTIF($C$7:$C$1000,$C376)&gt;1,"⚠️ Duplicado","Verificado")))</f>
        <v/>
      </c>
    </row>
    <row r="377" ht="15.75" customHeight="1" s="176">
      <c r="B377" s="80" t="n"/>
      <c r="C377" s="74" t="n"/>
      <c r="D377" s="74">
        <f t="array" ref="D377">IF($C377="","",IFNA(_xlfn.XLOOKUP($C377,Productos!$A:$A,Productos!$E:$E,IFNA(_xlfn.XLOOKUP(TEXT($C377,"0"),Productos!$A:$A,Productos!$E:$E,IFNA(_xlfn.XLOOKUP(IFERROR(VALUE($C377),""),Productos!$A:$A,Productos!$E:$E,_xlfn.XLOOKUP($C377,Productos!$E:$E,Productos!$E:$E,"NO ENCONTRADO")),"NO ENCONTRADO")),"NO ENCONTRADO")),"NO ENCONTRADO"))</f>
        <v/>
      </c>
      <c r="E377" s="74">
        <f t="array" ref="E377">IF(OR($D377="",$D377="NO ENCONTRADO"),"",_xlfn.XLOOKUP($D377,Productos!$E:$E,Productos!$H:$H,""))</f>
        <v/>
      </c>
      <c r="F377" s="74">
        <f t="array" ref="F377">IF(OR($D377="",$D377="NO ENCONTRADO"),"",_xlfn.XLOOKUP($D377,Productos!$E:$E,Productos!$I:$I,""))</f>
        <v/>
      </c>
      <c r="G377" s="74">
        <f t="array" ref="G377">IF(OR($D377="",$D377="NO ENCONTRADO"),"",_xlfn.XLOOKUP($D377,Productos!$E:$E,Productos!$J:$J,""))</f>
        <v/>
      </c>
      <c r="H377" s="74">
        <f t="array" ref="H377">IF(OR($D377="",$D377="NO ENCONTRADO"),"",_xlfn.XLOOKUP($D377,Productos!$E:$E,Productos!$K:$K,""))</f>
        <v/>
      </c>
      <c r="I377" s="74">
        <f t="array" ref="I377">IF(OR($D377="",$D377="NO ENCONTRADO"),"",_xlfn.XLOOKUP($D377,Productos!$E:$E,Productos!$F:$F,""))</f>
        <v/>
      </c>
      <c r="J377" s="74">
        <f>IF($C377="","",IF($D377="NO ENCONTRADO",IF(COUNTIF($C$7:$C$1000,$C377)&gt;1,"⚠️ No encontrado | Duplicado","⚠️ No encontrado"),IF(COUNTIF($C$7:$C$1000,$C377)&gt;1,"⚠️ Duplicado","Verificado")))</f>
        <v/>
      </c>
    </row>
    <row r="378" ht="15.75" customHeight="1" s="176">
      <c r="B378" s="80" t="n"/>
      <c r="C378" s="74" t="n"/>
      <c r="D378" s="74">
        <f t="array" ref="D378">IF($C378="","",IFNA(_xlfn.XLOOKUP($C378,Productos!$A:$A,Productos!$E:$E,IFNA(_xlfn.XLOOKUP(TEXT($C378,"0"),Productos!$A:$A,Productos!$E:$E,IFNA(_xlfn.XLOOKUP(IFERROR(VALUE($C378),""),Productos!$A:$A,Productos!$E:$E,_xlfn.XLOOKUP($C378,Productos!$E:$E,Productos!$E:$E,"NO ENCONTRADO")),"NO ENCONTRADO")),"NO ENCONTRADO")),"NO ENCONTRADO"))</f>
        <v/>
      </c>
      <c r="E378" s="74">
        <f t="array" ref="E378">IF(OR($D378="",$D378="NO ENCONTRADO"),"",_xlfn.XLOOKUP($D378,Productos!$E:$E,Productos!$H:$H,""))</f>
        <v/>
      </c>
      <c r="F378" s="74">
        <f t="array" ref="F378">IF(OR($D378="",$D378="NO ENCONTRADO"),"",_xlfn.XLOOKUP($D378,Productos!$E:$E,Productos!$I:$I,""))</f>
        <v/>
      </c>
      <c r="G378" s="74">
        <f t="array" ref="G378">IF(OR($D378="",$D378="NO ENCONTRADO"),"",_xlfn.XLOOKUP($D378,Productos!$E:$E,Productos!$J:$J,""))</f>
        <v/>
      </c>
      <c r="H378" s="74">
        <f t="array" ref="H378">IF(OR($D378="",$D378="NO ENCONTRADO"),"",_xlfn.XLOOKUP($D378,Productos!$E:$E,Productos!$K:$K,""))</f>
        <v/>
      </c>
      <c r="I378" s="74">
        <f t="array" ref="I378">IF(OR($D378="",$D378="NO ENCONTRADO"),"",_xlfn.XLOOKUP($D378,Productos!$E:$E,Productos!$F:$F,""))</f>
        <v/>
      </c>
      <c r="J378" s="74">
        <f>IF($C378="","",IF($D378="NO ENCONTRADO",IF(COUNTIF($C$7:$C$1000,$C378)&gt;1,"⚠️ No encontrado | Duplicado","⚠️ No encontrado"),IF(COUNTIF($C$7:$C$1000,$C378)&gt;1,"⚠️ Duplicado","Verificado")))</f>
        <v/>
      </c>
    </row>
    <row r="379" ht="15.75" customHeight="1" s="176">
      <c r="B379" s="80" t="n"/>
      <c r="C379" s="74" t="n"/>
      <c r="D379" s="74">
        <f t="array" ref="D379">IF($C379="","",IFNA(_xlfn.XLOOKUP($C379,Productos!$A:$A,Productos!$E:$E,IFNA(_xlfn.XLOOKUP(TEXT($C379,"0"),Productos!$A:$A,Productos!$E:$E,IFNA(_xlfn.XLOOKUP(IFERROR(VALUE($C379),""),Productos!$A:$A,Productos!$E:$E,_xlfn.XLOOKUP($C379,Productos!$E:$E,Productos!$E:$E,"NO ENCONTRADO")),"NO ENCONTRADO")),"NO ENCONTRADO")),"NO ENCONTRADO"))</f>
        <v/>
      </c>
      <c r="E379" s="74">
        <f t="array" ref="E379">IF(OR($D379="",$D379="NO ENCONTRADO"),"",_xlfn.XLOOKUP($D379,Productos!$E:$E,Productos!$H:$H,""))</f>
        <v/>
      </c>
      <c r="F379" s="74">
        <f t="array" ref="F379">IF(OR($D379="",$D379="NO ENCONTRADO"),"",_xlfn.XLOOKUP($D379,Productos!$E:$E,Productos!$I:$I,""))</f>
        <v/>
      </c>
      <c r="G379" s="74">
        <f t="array" ref="G379">IF(OR($D379="",$D379="NO ENCONTRADO"),"",_xlfn.XLOOKUP($D379,Productos!$E:$E,Productos!$J:$J,""))</f>
        <v/>
      </c>
      <c r="H379" s="74">
        <f t="array" ref="H379">IF(OR($D379="",$D379="NO ENCONTRADO"),"",_xlfn.XLOOKUP($D379,Productos!$E:$E,Productos!$K:$K,""))</f>
        <v/>
      </c>
      <c r="I379" s="74">
        <f t="array" ref="I379">IF(OR($D379="",$D379="NO ENCONTRADO"),"",_xlfn.XLOOKUP($D379,Productos!$E:$E,Productos!$F:$F,""))</f>
        <v/>
      </c>
      <c r="J379" s="74">
        <f>IF($C379="","",IF($D379="NO ENCONTRADO",IF(COUNTIF($C$7:$C$1000,$C379)&gt;1,"⚠️ No encontrado | Duplicado","⚠️ No encontrado"),IF(COUNTIF($C$7:$C$1000,$C379)&gt;1,"⚠️ Duplicado","Verificado")))</f>
        <v/>
      </c>
    </row>
    <row r="380" ht="15.75" customHeight="1" s="176">
      <c r="B380" s="80" t="n"/>
      <c r="C380" s="74" t="n"/>
      <c r="D380" s="74">
        <f t="array" ref="D380">IF($C380="","",IFNA(_xlfn.XLOOKUP($C380,Productos!$A:$A,Productos!$E:$E,IFNA(_xlfn.XLOOKUP(TEXT($C380,"0"),Productos!$A:$A,Productos!$E:$E,IFNA(_xlfn.XLOOKUP(IFERROR(VALUE($C380),""),Productos!$A:$A,Productos!$E:$E,_xlfn.XLOOKUP($C380,Productos!$E:$E,Productos!$E:$E,"NO ENCONTRADO")),"NO ENCONTRADO")),"NO ENCONTRADO")),"NO ENCONTRADO"))</f>
        <v/>
      </c>
      <c r="E380" s="74">
        <f t="array" ref="E380">IF(OR($D380="",$D380="NO ENCONTRADO"),"",_xlfn.XLOOKUP($D380,Productos!$E:$E,Productos!$H:$H,""))</f>
        <v/>
      </c>
      <c r="F380" s="74">
        <f t="array" ref="F380">IF(OR($D380="",$D380="NO ENCONTRADO"),"",_xlfn.XLOOKUP($D380,Productos!$E:$E,Productos!$I:$I,""))</f>
        <v/>
      </c>
      <c r="G380" s="74">
        <f t="array" ref="G380">IF(OR($D380="",$D380="NO ENCONTRADO"),"",_xlfn.XLOOKUP($D380,Productos!$E:$E,Productos!$J:$J,""))</f>
        <v/>
      </c>
      <c r="H380" s="74">
        <f t="array" ref="H380">IF(OR($D380="",$D380="NO ENCONTRADO"),"",_xlfn.XLOOKUP($D380,Productos!$E:$E,Productos!$K:$K,""))</f>
        <v/>
      </c>
      <c r="I380" s="74">
        <f t="array" ref="I380">IF(OR($D380="",$D380="NO ENCONTRADO"),"",_xlfn.XLOOKUP($D380,Productos!$E:$E,Productos!$F:$F,""))</f>
        <v/>
      </c>
      <c r="J380" s="74">
        <f>IF($C380="","",IF($D380="NO ENCONTRADO",IF(COUNTIF($C$7:$C$1000,$C380)&gt;1,"⚠️ No encontrado | Duplicado","⚠️ No encontrado"),IF(COUNTIF($C$7:$C$1000,$C380)&gt;1,"⚠️ Duplicado","Verificado")))</f>
        <v/>
      </c>
    </row>
    <row r="381" ht="15.75" customHeight="1" s="176">
      <c r="B381" s="80" t="n"/>
      <c r="C381" s="74" t="n"/>
      <c r="D381" s="74">
        <f t="array" ref="D381">IF($C381="","",IFNA(_xlfn.XLOOKUP($C381,Productos!$A:$A,Productos!$E:$E,IFNA(_xlfn.XLOOKUP(TEXT($C381,"0"),Productos!$A:$A,Productos!$E:$E,IFNA(_xlfn.XLOOKUP(IFERROR(VALUE($C381),""),Productos!$A:$A,Productos!$E:$E,_xlfn.XLOOKUP($C381,Productos!$E:$E,Productos!$E:$E,"NO ENCONTRADO")),"NO ENCONTRADO")),"NO ENCONTRADO")),"NO ENCONTRADO"))</f>
        <v/>
      </c>
      <c r="E381" s="74">
        <f t="array" ref="E381">IF(OR($D381="",$D381="NO ENCONTRADO"),"",_xlfn.XLOOKUP($D381,Productos!$E:$E,Productos!$H:$H,""))</f>
        <v/>
      </c>
      <c r="F381" s="74">
        <f t="array" ref="F381">IF(OR($D381="",$D381="NO ENCONTRADO"),"",_xlfn.XLOOKUP($D381,Productos!$E:$E,Productos!$I:$I,""))</f>
        <v/>
      </c>
      <c r="G381" s="74">
        <f t="array" ref="G381">IF(OR($D381="",$D381="NO ENCONTRADO"),"",_xlfn.XLOOKUP($D381,Productos!$E:$E,Productos!$J:$J,""))</f>
        <v/>
      </c>
      <c r="H381" s="74">
        <f t="array" ref="H381">IF(OR($D381="",$D381="NO ENCONTRADO"),"",_xlfn.XLOOKUP($D381,Productos!$E:$E,Productos!$K:$K,""))</f>
        <v/>
      </c>
      <c r="I381" s="74">
        <f t="array" ref="I381">IF(OR($D381="",$D381="NO ENCONTRADO"),"",_xlfn.XLOOKUP($D381,Productos!$E:$E,Productos!$F:$F,""))</f>
        <v/>
      </c>
      <c r="J381" s="74">
        <f>IF($C381="","",IF($D381="NO ENCONTRADO",IF(COUNTIF($C$7:$C$1000,$C381)&gt;1,"⚠️ No encontrado | Duplicado","⚠️ No encontrado"),IF(COUNTIF($C$7:$C$1000,$C381)&gt;1,"⚠️ Duplicado","Verificado")))</f>
        <v/>
      </c>
    </row>
    <row r="382" ht="15.75" customHeight="1" s="176">
      <c r="B382" s="80" t="n"/>
      <c r="C382" s="74" t="n"/>
      <c r="D382" s="74">
        <f t="array" ref="D382">IF($C382="","",IFNA(_xlfn.XLOOKUP($C382,Productos!$A:$A,Productos!$E:$E,IFNA(_xlfn.XLOOKUP(TEXT($C382,"0"),Productos!$A:$A,Productos!$E:$E,IFNA(_xlfn.XLOOKUP(IFERROR(VALUE($C382),""),Productos!$A:$A,Productos!$E:$E,_xlfn.XLOOKUP($C382,Productos!$E:$E,Productos!$E:$E,"NO ENCONTRADO")),"NO ENCONTRADO")),"NO ENCONTRADO")),"NO ENCONTRADO"))</f>
        <v/>
      </c>
      <c r="E382" s="74">
        <f t="array" ref="E382">IF(OR($D382="",$D382="NO ENCONTRADO"),"",_xlfn.XLOOKUP($D382,Productos!$E:$E,Productos!$H:$H,""))</f>
        <v/>
      </c>
      <c r="F382" s="74">
        <f t="array" ref="F382">IF(OR($D382="",$D382="NO ENCONTRADO"),"",_xlfn.XLOOKUP($D382,Productos!$E:$E,Productos!$I:$I,""))</f>
        <v/>
      </c>
      <c r="G382" s="74">
        <f t="array" ref="G382">IF(OR($D382="",$D382="NO ENCONTRADO"),"",_xlfn.XLOOKUP($D382,Productos!$E:$E,Productos!$J:$J,""))</f>
        <v/>
      </c>
      <c r="H382" s="74">
        <f t="array" ref="H382">IF(OR($D382="",$D382="NO ENCONTRADO"),"",_xlfn.XLOOKUP($D382,Productos!$E:$E,Productos!$K:$K,""))</f>
        <v/>
      </c>
      <c r="I382" s="74">
        <f t="array" ref="I382">IF(OR($D382="",$D382="NO ENCONTRADO"),"",_xlfn.XLOOKUP($D382,Productos!$E:$E,Productos!$F:$F,""))</f>
        <v/>
      </c>
      <c r="J382" s="74">
        <f>IF($C382="","",IF($D382="NO ENCONTRADO",IF(COUNTIF($C$7:$C$1000,$C382)&gt;1,"⚠️ No encontrado | Duplicado","⚠️ No encontrado"),IF(COUNTIF($C$7:$C$1000,$C382)&gt;1,"⚠️ Duplicado","Verificado")))</f>
        <v/>
      </c>
    </row>
    <row r="383" ht="15.75" customHeight="1" s="176">
      <c r="B383" s="80" t="n"/>
      <c r="C383" s="74" t="n"/>
      <c r="D383" s="74">
        <f t="array" ref="D383">IF($C383="","",IFNA(_xlfn.XLOOKUP($C383,Productos!$A:$A,Productos!$E:$E,IFNA(_xlfn.XLOOKUP(TEXT($C383,"0"),Productos!$A:$A,Productos!$E:$E,IFNA(_xlfn.XLOOKUP(IFERROR(VALUE($C383),""),Productos!$A:$A,Productos!$E:$E,_xlfn.XLOOKUP($C383,Productos!$E:$E,Productos!$E:$E,"NO ENCONTRADO")),"NO ENCONTRADO")),"NO ENCONTRADO")),"NO ENCONTRADO"))</f>
        <v/>
      </c>
      <c r="E383" s="74">
        <f t="array" ref="E383">IF(OR($D383="",$D383="NO ENCONTRADO"),"",_xlfn.XLOOKUP($D383,Productos!$E:$E,Productos!$H:$H,""))</f>
        <v/>
      </c>
      <c r="F383" s="74">
        <f t="array" ref="F383">IF(OR($D383="",$D383="NO ENCONTRADO"),"",_xlfn.XLOOKUP($D383,Productos!$E:$E,Productos!$I:$I,""))</f>
        <v/>
      </c>
      <c r="G383" s="74">
        <f t="array" ref="G383">IF(OR($D383="",$D383="NO ENCONTRADO"),"",_xlfn.XLOOKUP($D383,Productos!$E:$E,Productos!$J:$J,""))</f>
        <v/>
      </c>
      <c r="H383" s="74">
        <f t="array" ref="H383">IF(OR($D383="",$D383="NO ENCONTRADO"),"",_xlfn.XLOOKUP($D383,Productos!$E:$E,Productos!$K:$K,""))</f>
        <v/>
      </c>
      <c r="I383" s="74">
        <f t="array" ref="I383">IF(OR($D383="",$D383="NO ENCONTRADO"),"",_xlfn.XLOOKUP($D383,Productos!$E:$E,Productos!$F:$F,""))</f>
        <v/>
      </c>
      <c r="J383" s="74">
        <f>IF($C383="","",IF($D383="NO ENCONTRADO",IF(COUNTIF($C$7:$C$1000,$C383)&gt;1,"⚠️ No encontrado | Duplicado","⚠️ No encontrado"),IF(COUNTIF($C$7:$C$1000,$C383)&gt;1,"⚠️ Duplicado","Verificado")))</f>
        <v/>
      </c>
    </row>
    <row r="384" ht="15.75" customHeight="1" s="176">
      <c r="B384" s="80" t="n"/>
      <c r="C384" s="74" t="n"/>
      <c r="D384" s="74">
        <f t="array" ref="D384">IF($C384="","",IFNA(_xlfn.XLOOKUP($C384,Productos!$A:$A,Productos!$E:$E,IFNA(_xlfn.XLOOKUP(TEXT($C384,"0"),Productos!$A:$A,Productos!$E:$E,IFNA(_xlfn.XLOOKUP(IFERROR(VALUE($C384),""),Productos!$A:$A,Productos!$E:$E,_xlfn.XLOOKUP($C384,Productos!$E:$E,Productos!$E:$E,"NO ENCONTRADO")),"NO ENCONTRADO")),"NO ENCONTRADO")),"NO ENCONTRADO"))</f>
        <v/>
      </c>
      <c r="E384" s="74">
        <f t="array" ref="E384">IF(OR($D384="",$D384="NO ENCONTRADO"),"",_xlfn.XLOOKUP($D384,Productos!$E:$E,Productos!$H:$H,""))</f>
        <v/>
      </c>
      <c r="F384" s="74">
        <f t="array" ref="F384">IF(OR($D384="",$D384="NO ENCONTRADO"),"",_xlfn.XLOOKUP($D384,Productos!$E:$E,Productos!$I:$I,""))</f>
        <v/>
      </c>
      <c r="G384" s="74">
        <f t="array" ref="G384">IF(OR($D384="",$D384="NO ENCONTRADO"),"",_xlfn.XLOOKUP($D384,Productos!$E:$E,Productos!$J:$J,""))</f>
        <v/>
      </c>
      <c r="H384" s="74">
        <f t="array" ref="H384">IF(OR($D384="",$D384="NO ENCONTRADO"),"",_xlfn.XLOOKUP($D384,Productos!$E:$E,Productos!$K:$K,""))</f>
        <v/>
      </c>
      <c r="I384" s="74">
        <f t="array" ref="I384">IF(OR($D384="",$D384="NO ENCONTRADO"),"",_xlfn.XLOOKUP($D384,Productos!$E:$E,Productos!$F:$F,""))</f>
        <v/>
      </c>
      <c r="J384" s="74">
        <f>IF($C384="","",IF($D384="NO ENCONTRADO",IF(COUNTIF($C$7:$C$1000,$C384)&gt;1,"⚠️ No encontrado | Duplicado","⚠️ No encontrado"),IF(COUNTIF($C$7:$C$1000,$C384)&gt;1,"⚠️ Duplicado","Verificado")))</f>
        <v/>
      </c>
    </row>
    <row r="385" ht="15.75" customHeight="1" s="176">
      <c r="B385" s="80" t="n"/>
      <c r="C385" s="74" t="n"/>
      <c r="D385" s="74">
        <f t="array" ref="D385">IF($C385="","",IFNA(_xlfn.XLOOKUP($C385,Productos!$A:$A,Productos!$E:$E,IFNA(_xlfn.XLOOKUP(TEXT($C385,"0"),Productos!$A:$A,Productos!$E:$E,IFNA(_xlfn.XLOOKUP(IFERROR(VALUE($C385),""),Productos!$A:$A,Productos!$E:$E,_xlfn.XLOOKUP($C385,Productos!$E:$E,Productos!$E:$E,"NO ENCONTRADO")),"NO ENCONTRADO")),"NO ENCONTRADO")),"NO ENCONTRADO"))</f>
        <v/>
      </c>
      <c r="E385" s="74">
        <f t="array" ref="E385">IF(OR($D385="",$D385="NO ENCONTRADO"),"",_xlfn.XLOOKUP($D385,Productos!$E:$E,Productos!$H:$H,""))</f>
        <v/>
      </c>
      <c r="F385" s="74">
        <f t="array" ref="F385">IF(OR($D385="",$D385="NO ENCONTRADO"),"",_xlfn.XLOOKUP($D385,Productos!$E:$E,Productos!$I:$I,""))</f>
        <v/>
      </c>
      <c r="G385" s="74">
        <f t="array" ref="G385">IF(OR($D385="",$D385="NO ENCONTRADO"),"",_xlfn.XLOOKUP($D385,Productos!$E:$E,Productos!$J:$J,""))</f>
        <v/>
      </c>
      <c r="H385" s="74">
        <f t="array" ref="H385">IF(OR($D385="",$D385="NO ENCONTRADO"),"",_xlfn.XLOOKUP($D385,Productos!$E:$E,Productos!$K:$K,""))</f>
        <v/>
      </c>
      <c r="I385" s="74">
        <f t="array" ref="I385">IF(OR($D385="",$D385="NO ENCONTRADO"),"",_xlfn.XLOOKUP($D385,Productos!$E:$E,Productos!$F:$F,""))</f>
        <v/>
      </c>
      <c r="J385" s="74">
        <f>IF($C385="","",IF($D385="NO ENCONTRADO",IF(COUNTIF($C$7:$C$1000,$C385)&gt;1,"⚠️ No encontrado | Duplicado","⚠️ No encontrado"),IF(COUNTIF($C$7:$C$1000,$C385)&gt;1,"⚠️ Duplicado","Verificado")))</f>
        <v/>
      </c>
    </row>
    <row r="386" ht="15.75" customHeight="1" s="176">
      <c r="B386" s="80" t="n"/>
      <c r="C386" s="74" t="n"/>
      <c r="D386" s="74">
        <f t="array" ref="D386">IF($C386="","",IFNA(_xlfn.XLOOKUP($C386,Productos!$A:$A,Productos!$E:$E,IFNA(_xlfn.XLOOKUP(TEXT($C386,"0"),Productos!$A:$A,Productos!$E:$E,IFNA(_xlfn.XLOOKUP(IFERROR(VALUE($C386),""),Productos!$A:$A,Productos!$E:$E,_xlfn.XLOOKUP($C386,Productos!$E:$E,Productos!$E:$E,"NO ENCONTRADO")),"NO ENCONTRADO")),"NO ENCONTRADO")),"NO ENCONTRADO"))</f>
        <v/>
      </c>
      <c r="E386" s="74">
        <f t="array" ref="E386">IF(OR($D386="",$D386="NO ENCONTRADO"),"",_xlfn.XLOOKUP($D386,Productos!$E:$E,Productos!$H:$H,""))</f>
        <v/>
      </c>
      <c r="F386" s="74">
        <f t="array" ref="F386">IF(OR($D386="",$D386="NO ENCONTRADO"),"",_xlfn.XLOOKUP($D386,Productos!$E:$E,Productos!$I:$I,""))</f>
        <v/>
      </c>
      <c r="G386" s="74">
        <f t="array" ref="G386">IF(OR($D386="",$D386="NO ENCONTRADO"),"",_xlfn.XLOOKUP($D386,Productos!$E:$E,Productos!$J:$J,""))</f>
        <v/>
      </c>
      <c r="H386" s="74">
        <f t="array" ref="H386">IF(OR($D386="",$D386="NO ENCONTRADO"),"",_xlfn.XLOOKUP($D386,Productos!$E:$E,Productos!$K:$K,""))</f>
        <v/>
      </c>
      <c r="I386" s="74">
        <f t="array" ref="I386">IF(OR($D386="",$D386="NO ENCONTRADO"),"",_xlfn.XLOOKUP($D386,Productos!$E:$E,Productos!$F:$F,""))</f>
        <v/>
      </c>
      <c r="J386" s="74">
        <f>IF($C386="","",IF($D386="NO ENCONTRADO",IF(COUNTIF($C$7:$C$1000,$C386)&gt;1,"⚠️ No encontrado | Duplicado","⚠️ No encontrado"),IF(COUNTIF($C$7:$C$1000,$C386)&gt;1,"⚠️ Duplicado","Verificado")))</f>
        <v/>
      </c>
    </row>
    <row r="387" ht="15.75" customHeight="1" s="176">
      <c r="B387" s="80" t="n"/>
      <c r="C387" s="74" t="n"/>
      <c r="D387" s="74">
        <f t="array" ref="D387">IF($C387="","",IFNA(_xlfn.XLOOKUP($C387,Productos!$A:$A,Productos!$E:$E,IFNA(_xlfn.XLOOKUP(TEXT($C387,"0"),Productos!$A:$A,Productos!$E:$E,IFNA(_xlfn.XLOOKUP(IFERROR(VALUE($C387),""),Productos!$A:$A,Productos!$E:$E,_xlfn.XLOOKUP($C387,Productos!$E:$E,Productos!$E:$E,"NO ENCONTRADO")),"NO ENCONTRADO")),"NO ENCONTRADO")),"NO ENCONTRADO"))</f>
        <v/>
      </c>
      <c r="E387" s="74">
        <f t="array" ref="E387">IF(OR($D387="",$D387="NO ENCONTRADO"),"",_xlfn.XLOOKUP($D387,Productos!$E:$E,Productos!$H:$H,""))</f>
        <v/>
      </c>
      <c r="F387" s="74">
        <f t="array" ref="F387">IF(OR($D387="",$D387="NO ENCONTRADO"),"",_xlfn.XLOOKUP($D387,Productos!$E:$E,Productos!$I:$I,""))</f>
        <v/>
      </c>
      <c r="G387" s="74">
        <f t="array" ref="G387">IF(OR($D387="",$D387="NO ENCONTRADO"),"",_xlfn.XLOOKUP($D387,Productos!$E:$E,Productos!$J:$J,""))</f>
        <v/>
      </c>
      <c r="H387" s="74">
        <f t="array" ref="H387">IF(OR($D387="",$D387="NO ENCONTRADO"),"",_xlfn.XLOOKUP($D387,Productos!$E:$E,Productos!$K:$K,""))</f>
        <v/>
      </c>
      <c r="I387" s="74">
        <f t="array" ref="I387">IF(OR($D387="",$D387="NO ENCONTRADO"),"",_xlfn.XLOOKUP($D387,Productos!$E:$E,Productos!$F:$F,""))</f>
        <v/>
      </c>
      <c r="J387" s="74">
        <f>IF($C387="","",IF($D387="NO ENCONTRADO",IF(COUNTIF($C$7:$C$1000,$C387)&gt;1,"⚠️ No encontrado | Duplicado","⚠️ No encontrado"),IF(COUNTIF($C$7:$C$1000,$C387)&gt;1,"⚠️ Duplicado","Verificado")))</f>
        <v/>
      </c>
    </row>
    <row r="388" ht="15.75" customHeight="1" s="176">
      <c r="B388" s="80" t="n"/>
      <c r="C388" s="74" t="n"/>
      <c r="D388" s="74">
        <f t="array" ref="D388">IF($C388="","",IFNA(_xlfn.XLOOKUP($C388,Productos!$A:$A,Productos!$E:$E,IFNA(_xlfn.XLOOKUP(TEXT($C388,"0"),Productos!$A:$A,Productos!$E:$E,IFNA(_xlfn.XLOOKUP(IFERROR(VALUE($C388),""),Productos!$A:$A,Productos!$E:$E,_xlfn.XLOOKUP($C388,Productos!$E:$E,Productos!$E:$E,"NO ENCONTRADO")),"NO ENCONTRADO")),"NO ENCONTRADO")),"NO ENCONTRADO"))</f>
        <v/>
      </c>
      <c r="E388" s="74">
        <f t="array" ref="E388">IF(OR($D388="",$D388="NO ENCONTRADO"),"",_xlfn.XLOOKUP($D388,Productos!$E:$E,Productos!$H:$H,""))</f>
        <v/>
      </c>
      <c r="F388" s="74">
        <f t="array" ref="F388">IF(OR($D388="",$D388="NO ENCONTRADO"),"",_xlfn.XLOOKUP($D388,Productos!$E:$E,Productos!$I:$I,""))</f>
        <v/>
      </c>
      <c r="G388" s="74">
        <f t="array" ref="G388">IF(OR($D388="",$D388="NO ENCONTRADO"),"",_xlfn.XLOOKUP($D388,Productos!$E:$E,Productos!$J:$J,""))</f>
        <v/>
      </c>
      <c r="H388" s="74">
        <f t="array" ref="H388">IF(OR($D388="",$D388="NO ENCONTRADO"),"",_xlfn.XLOOKUP($D388,Productos!$E:$E,Productos!$K:$K,""))</f>
        <v/>
      </c>
      <c r="I388" s="74">
        <f t="array" ref="I388">IF(OR($D388="",$D388="NO ENCONTRADO"),"",_xlfn.XLOOKUP($D388,Productos!$E:$E,Productos!$F:$F,""))</f>
        <v/>
      </c>
      <c r="J388" s="74">
        <f>IF($C388="","",IF($D388="NO ENCONTRADO",IF(COUNTIF($C$7:$C$1000,$C388)&gt;1,"⚠️ No encontrado | Duplicado","⚠️ No encontrado"),IF(COUNTIF($C$7:$C$1000,$C388)&gt;1,"⚠️ Duplicado","Verificado")))</f>
        <v/>
      </c>
    </row>
    <row r="389" ht="15.75" customHeight="1" s="176">
      <c r="B389" s="80" t="n"/>
      <c r="C389" s="74" t="n"/>
      <c r="D389" s="74">
        <f t="array" ref="D389">IF($C389="","",IFNA(_xlfn.XLOOKUP($C389,Productos!$A:$A,Productos!$E:$E,IFNA(_xlfn.XLOOKUP(TEXT($C389,"0"),Productos!$A:$A,Productos!$E:$E,IFNA(_xlfn.XLOOKUP(IFERROR(VALUE($C389),""),Productos!$A:$A,Productos!$E:$E,_xlfn.XLOOKUP($C389,Productos!$E:$E,Productos!$E:$E,"NO ENCONTRADO")),"NO ENCONTRADO")),"NO ENCONTRADO")),"NO ENCONTRADO"))</f>
        <v/>
      </c>
      <c r="E389" s="74">
        <f t="array" ref="E389">IF(OR($D389="",$D389="NO ENCONTRADO"),"",_xlfn.XLOOKUP($D389,Productos!$E:$E,Productos!$H:$H,""))</f>
        <v/>
      </c>
      <c r="F389" s="74">
        <f t="array" ref="F389">IF(OR($D389="",$D389="NO ENCONTRADO"),"",_xlfn.XLOOKUP($D389,Productos!$E:$E,Productos!$I:$I,""))</f>
        <v/>
      </c>
      <c r="G389" s="74">
        <f t="array" ref="G389">IF(OR($D389="",$D389="NO ENCONTRADO"),"",_xlfn.XLOOKUP($D389,Productos!$E:$E,Productos!$J:$J,""))</f>
        <v/>
      </c>
      <c r="H389" s="74">
        <f t="array" ref="H389">IF(OR($D389="",$D389="NO ENCONTRADO"),"",_xlfn.XLOOKUP($D389,Productos!$E:$E,Productos!$K:$K,""))</f>
        <v/>
      </c>
      <c r="I389" s="74">
        <f t="array" ref="I389">IF(OR($D389="",$D389="NO ENCONTRADO"),"",_xlfn.XLOOKUP($D389,Productos!$E:$E,Productos!$F:$F,""))</f>
        <v/>
      </c>
      <c r="J389" s="74">
        <f>IF($C389="","",IF($D389="NO ENCONTRADO",IF(COUNTIF($C$7:$C$1000,$C389)&gt;1,"⚠️ No encontrado | Duplicado","⚠️ No encontrado"),IF(COUNTIF($C$7:$C$1000,$C389)&gt;1,"⚠️ Duplicado","Verificado")))</f>
        <v/>
      </c>
    </row>
    <row r="390" ht="15.75" customHeight="1" s="176">
      <c r="B390" s="80" t="n"/>
      <c r="C390" s="74" t="n"/>
      <c r="D390" s="74">
        <f t="array" ref="D390">IF($C390="","",IFNA(_xlfn.XLOOKUP($C390,Productos!$A:$A,Productos!$E:$E,IFNA(_xlfn.XLOOKUP(TEXT($C390,"0"),Productos!$A:$A,Productos!$E:$E,IFNA(_xlfn.XLOOKUP(IFERROR(VALUE($C390),""),Productos!$A:$A,Productos!$E:$E,_xlfn.XLOOKUP($C390,Productos!$E:$E,Productos!$E:$E,"NO ENCONTRADO")),"NO ENCONTRADO")),"NO ENCONTRADO")),"NO ENCONTRADO"))</f>
        <v/>
      </c>
      <c r="E390" s="74">
        <f t="array" ref="E390">IF(OR($D390="",$D390="NO ENCONTRADO"),"",_xlfn.XLOOKUP($D390,Productos!$E:$E,Productos!$H:$H,""))</f>
        <v/>
      </c>
      <c r="F390" s="74">
        <f t="array" ref="F390">IF(OR($D390="",$D390="NO ENCONTRADO"),"",_xlfn.XLOOKUP($D390,Productos!$E:$E,Productos!$I:$I,""))</f>
        <v/>
      </c>
      <c r="G390" s="74">
        <f t="array" ref="G390">IF(OR($D390="",$D390="NO ENCONTRADO"),"",_xlfn.XLOOKUP($D390,Productos!$E:$E,Productos!$J:$J,""))</f>
        <v/>
      </c>
      <c r="H390" s="74">
        <f t="array" ref="H390">IF(OR($D390="",$D390="NO ENCONTRADO"),"",_xlfn.XLOOKUP($D390,Productos!$E:$E,Productos!$K:$K,""))</f>
        <v/>
      </c>
      <c r="I390" s="74">
        <f t="array" ref="I390">IF(OR($D390="",$D390="NO ENCONTRADO"),"",_xlfn.XLOOKUP($D390,Productos!$E:$E,Productos!$F:$F,""))</f>
        <v/>
      </c>
      <c r="J390" s="74">
        <f>IF($C390="","",IF($D390="NO ENCONTRADO",IF(COUNTIF($C$7:$C$1000,$C390)&gt;1,"⚠️ No encontrado | Duplicado","⚠️ No encontrado"),IF(COUNTIF($C$7:$C$1000,$C390)&gt;1,"⚠️ Duplicado","Verificado")))</f>
        <v/>
      </c>
    </row>
    <row r="391" ht="15.75" customHeight="1" s="176">
      <c r="B391" s="80" t="n"/>
      <c r="C391" s="74" t="n"/>
      <c r="D391" s="74">
        <f t="array" ref="D391">IF($C391="","",IFNA(_xlfn.XLOOKUP($C391,Productos!$A:$A,Productos!$E:$E,IFNA(_xlfn.XLOOKUP(TEXT($C391,"0"),Productos!$A:$A,Productos!$E:$E,IFNA(_xlfn.XLOOKUP(IFERROR(VALUE($C391),""),Productos!$A:$A,Productos!$E:$E,_xlfn.XLOOKUP($C391,Productos!$E:$E,Productos!$E:$E,"NO ENCONTRADO")),"NO ENCONTRADO")),"NO ENCONTRADO")),"NO ENCONTRADO"))</f>
        <v/>
      </c>
      <c r="E391" s="74">
        <f t="array" ref="E391">IF(OR($D391="",$D391="NO ENCONTRADO"),"",_xlfn.XLOOKUP($D391,Productos!$E:$E,Productos!$H:$H,""))</f>
        <v/>
      </c>
      <c r="F391" s="74">
        <f t="array" ref="F391">IF(OR($D391="",$D391="NO ENCONTRADO"),"",_xlfn.XLOOKUP($D391,Productos!$E:$E,Productos!$I:$I,""))</f>
        <v/>
      </c>
      <c r="G391" s="74">
        <f t="array" ref="G391">IF(OR($D391="",$D391="NO ENCONTRADO"),"",_xlfn.XLOOKUP($D391,Productos!$E:$E,Productos!$J:$J,""))</f>
        <v/>
      </c>
      <c r="H391" s="74">
        <f t="array" ref="H391">IF(OR($D391="",$D391="NO ENCONTRADO"),"",_xlfn.XLOOKUP($D391,Productos!$E:$E,Productos!$K:$K,""))</f>
        <v/>
      </c>
      <c r="I391" s="74">
        <f t="array" ref="I391">IF(OR($D391="",$D391="NO ENCONTRADO"),"",_xlfn.XLOOKUP($D391,Productos!$E:$E,Productos!$F:$F,""))</f>
        <v/>
      </c>
      <c r="J391" s="74">
        <f>IF($C391="","",IF($D391="NO ENCONTRADO",IF(COUNTIF($C$7:$C$1000,$C391)&gt;1,"⚠️ No encontrado | Duplicado","⚠️ No encontrado"),IF(COUNTIF($C$7:$C$1000,$C391)&gt;1,"⚠️ Duplicado","Verificado")))</f>
        <v/>
      </c>
    </row>
    <row r="392" ht="15.75" customHeight="1" s="176">
      <c r="B392" s="80" t="n"/>
      <c r="C392" s="74" t="n"/>
      <c r="D392" s="74">
        <f t="array" ref="D392">IF($C392="","",IFNA(_xlfn.XLOOKUP($C392,Productos!$A:$A,Productos!$E:$E,IFNA(_xlfn.XLOOKUP(TEXT($C392,"0"),Productos!$A:$A,Productos!$E:$E,IFNA(_xlfn.XLOOKUP(IFERROR(VALUE($C392),""),Productos!$A:$A,Productos!$E:$E,_xlfn.XLOOKUP($C392,Productos!$E:$E,Productos!$E:$E,"NO ENCONTRADO")),"NO ENCONTRADO")),"NO ENCONTRADO")),"NO ENCONTRADO"))</f>
        <v/>
      </c>
      <c r="E392" s="74">
        <f t="array" ref="E392">IF(OR($D392="",$D392="NO ENCONTRADO"),"",_xlfn.XLOOKUP($D392,Productos!$E:$E,Productos!$H:$H,""))</f>
        <v/>
      </c>
      <c r="F392" s="74">
        <f t="array" ref="F392">IF(OR($D392="",$D392="NO ENCONTRADO"),"",_xlfn.XLOOKUP($D392,Productos!$E:$E,Productos!$I:$I,""))</f>
        <v/>
      </c>
      <c r="G392" s="74">
        <f t="array" ref="G392">IF(OR($D392="",$D392="NO ENCONTRADO"),"",_xlfn.XLOOKUP($D392,Productos!$E:$E,Productos!$J:$J,""))</f>
        <v/>
      </c>
      <c r="H392" s="74">
        <f t="array" ref="H392">IF(OR($D392="",$D392="NO ENCONTRADO"),"",_xlfn.XLOOKUP($D392,Productos!$E:$E,Productos!$K:$K,""))</f>
        <v/>
      </c>
      <c r="I392" s="74">
        <f t="array" ref="I392">IF(OR($D392="",$D392="NO ENCONTRADO"),"",_xlfn.XLOOKUP($D392,Productos!$E:$E,Productos!$F:$F,""))</f>
        <v/>
      </c>
      <c r="J392" s="74">
        <f>IF($C392="","",IF($D392="NO ENCONTRADO",IF(COUNTIF($C$7:$C$1000,$C392)&gt;1,"⚠️ No encontrado | Duplicado","⚠️ No encontrado"),IF(COUNTIF($C$7:$C$1000,$C392)&gt;1,"⚠️ Duplicado","Verificado")))</f>
        <v/>
      </c>
    </row>
    <row r="393" ht="15.75" customHeight="1" s="176">
      <c r="B393" s="80" t="n"/>
      <c r="C393" s="74" t="n"/>
      <c r="D393" s="74">
        <f t="array" ref="D393">IF($C393="","",IFNA(_xlfn.XLOOKUP($C393,Productos!$A:$A,Productos!$E:$E,IFNA(_xlfn.XLOOKUP(TEXT($C393,"0"),Productos!$A:$A,Productos!$E:$E,IFNA(_xlfn.XLOOKUP(IFERROR(VALUE($C393),""),Productos!$A:$A,Productos!$E:$E,_xlfn.XLOOKUP($C393,Productos!$E:$E,Productos!$E:$E,"NO ENCONTRADO")),"NO ENCONTRADO")),"NO ENCONTRADO")),"NO ENCONTRADO"))</f>
        <v/>
      </c>
      <c r="E393" s="74">
        <f t="array" ref="E393">IF(OR($D393="",$D393="NO ENCONTRADO"),"",_xlfn.XLOOKUP($D393,Productos!$E:$E,Productos!$H:$H,""))</f>
        <v/>
      </c>
      <c r="F393" s="74">
        <f t="array" ref="F393">IF(OR($D393="",$D393="NO ENCONTRADO"),"",_xlfn.XLOOKUP($D393,Productos!$E:$E,Productos!$I:$I,""))</f>
        <v/>
      </c>
      <c r="G393" s="74">
        <f t="array" ref="G393">IF(OR($D393="",$D393="NO ENCONTRADO"),"",_xlfn.XLOOKUP($D393,Productos!$E:$E,Productos!$J:$J,""))</f>
        <v/>
      </c>
      <c r="H393" s="74">
        <f t="array" ref="H393">IF(OR($D393="",$D393="NO ENCONTRADO"),"",_xlfn.XLOOKUP($D393,Productos!$E:$E,Productos!$K:$K,""))</f>
        <v/>
      </c>
      <c r="I393" s="74">
        <f t="array" ref="I393">IF(OR($D393="",$D393="NO ENCONTRADO"),"",_xlfn.XLOOKUP($D393,Productos!$E:$E,Productos!$F:$F,""))</f>
        <v/>
      </c>
      <c r="J393" s="74">
        <f>IF($C393="","",IF($D393="NO ENCONTRADO",IF(COUNTIF($C$7:$C$1000,$C393)&gt;1,"⚠️ No encontrado | Duplicado","⚠️ No encontrado"),IF(COUNTIF($C$7:$C$1000,$C393)&gt;1,"⚠️ Duplicado","Verificado")))</f>
        <v/>
      </c>
    </row>
    <row r="394" ht="15.75" customHeight="1" s="176">
      <c r="B394" s="80" t="n"/>
      <c r="C394" s="74" t="n"/>
      <c r="D394" s="74">
        <f t="array" ref="D394">IF($C394="","",IFNA(_xlfn.XLOOKUP($C394,Productos!$A:$A,Productos!$E:$E,IFNA(_xlfn.XLOOKUP(TEXT($C394,"0"),Productos!$A:$A,Productos!$E:$E,IFNA(_xlfn.XLOOKUP(IFERROR(VALUE($C394),""),Productos!$A:$A,Productos!$E:$E,_xlfn.XLOOKUP($C394,Productos!$E:$E,Productos!$E:$E,"NO ENCONTRADO")),"NO ENCONTRADO")),"NO ENCONTRADO")),"NO ENCONTRADO"))</f>
        <v/>
      </c>
      <c r="E394" s="74">
        <f t="array" ref="E394">IF(OR($D394="",$D394="NO ENCONTRADO"),"",_xlfn.XLOOKUP($D394,Productos!$E:$E,Productos!$H:$H,""))</f>
        <v/>
      </c>
      <c r="F394" s="74">
        <f t="array" ref="F394">IF(OR($D394="",$D394="NO ENCONTRADO"),"",_xlfn.XLOOKUP($D394,Productos!$E:$E,Productos!$I:$I,""))</f>
        <v/>
      </c>
      <c r="G394" s="74">
        <f t="array" ref="G394">IF(OR($D394="",$D394="NO ENCONTRADO"),"",_xlfn.XLOOKUP($D394,Productos!$E:$E,Productos!$J:$J,""))</f>
        <v/>
      </c>
      <c r="H394" s="74">
        <f t="array" ref="H394">IF(OR($D394="",$D394="NO ENCONTRADO"),"",_xlfn.XLOOKUP($D394,Productos!$E:$E,Productos!$K:$K,""))</f>
        <v/>
      </c>
      <c r="I394" s="74">
        <f t="array" ref="I394">IF(OR($D394="",$D394="NO ENCONTRADO"),"",_xlfn.XLOOKUP($D394,Productos!$E:$E,Productos!$F:$F,""))</f>
        <v/>
      </c>
      <c r="J394" s="74">
        <f>IF($C394="","",IF($D394="NO ENCONTRADO",IF(COUNTIF($C$7:$C$1000,$C394)&gt;1,"⚠️ No encontrado | Duplicado","⚠️ No encontrado"),IF(COUNTIF($C$7:$C$1000,$C394)&gt;1,"⚠️ Duplicado","Verificado")))</f>
        <v/>
      </c>
    </row>
    <row r="395" ht="15.75" customHeight="1" s="176">
      <c r="B395" s="80" t="n"/>
      <c r="C395" s="74" t="n"/>
      <c r="D395" s="74">
        <f t="array" ref="D395">IF($C395="","",IFNA(_xlfn.XLOOKUP($C395,Productos!$A:$A,Productos!$E:$E,IFNA(_xlfn.XLOOKUP(TEXT($C395,"0"),Productos!$A:$A,Productos!$E:$E,IFNA(_xlfn.XLOOKUP(IFERROR(VALUE($C395),""),Productos!$A:$A,Productos!$E:$E,_xlfn.XLOOKUP($C395,Productos!$E:$E,Productos!$E:$E,"NO ENCONTRADO")),"NO ENCONTRADO")),"NO ENCONTRADO")),"NO ENCONTRADO"))</f>
        <v/>
      </c>
      <c r="E395" s="74">
        <f t="array" ref="E395">IF(OR($D395="",$D395="NO ENCONTRADO"),"",_xlfn.XLOOKUP($D395,Productos!$E:$E,Productos!$H:$H,""))</f>
        <v/>
      </c>
      <c r="F395" s="74">
        <f t="array" ref="F395">IF(OR($D395="",$D395="NO ENCONTRADO"),"",_xlfn.XLOOKUP($D395,Productos!$E:$E,Productos!$I:$I,""))</f>
        <v/>
      </c>
      <c r="G395" s="74">
        <f t="array" ref="G395">IF(OR($D395="",$D395="NO ENCONTRADO"),"",_xlfn.XLOOKUP($D395,Productos!$E:$E,Productos!$J:$J,""))</f>
        <v/>
      </c>
      <c r="H395" s="74">
        <f t="array" ref="H395">IF(OR($D395="",$D395="NO ENCONTRADO"),"",_xlfn.XLOOKUP($D395,Productos!$E:$E,Productos!$K:$K,""))</f>
        <v/>
      </c>
      <c r="I395" s="74">
        <f t="array" ref="I395">IF(OR($D395="",$D395="NO ENCONTRADO"),"",_xlfn.XLOOKUP($D395,Productos!$E:$E,Productos!$F:$F,""))</f>
        <v/>
      </c>
      <c r="J395" s="74">
        <f>IF($C395="","",IF($D395="NO ENCONTRADO",IF(COUNTIF($C$7:$C$1000,$C395)&gt;1,"⚠️ No encontrado | Duplicado","⚠️ No encontrado"),IF(COUNTIF($C$7:$C$1000,$C395)&gt;1,"⚠️ Duplicado","Verificado")))</f>
        <v/>
      </c>
    </row>
    <row r="396" ht="15.75" customHeight="1" s="176">
      <c r="B396" s="80" t="n"/>
      <c r="C396" s="74" t="n"/>
      <c r="D396" s="74">
        <f t="array" ref="D396">IF($C396="","",IFNA(_xlfn.XLOOKUP($C396,Productos!$A:$A,Productos!$E:$E,IFNA(_xlfn.XLOOKUP(TEXT($C396,"0"),Productos!$A:$A,Productos!$E:$E,IFNA(_xlfn.XLOOKUP(IFERROR(VALUE($C396),""),Productos!$A:$A,Productos!$E:$E,_xlfn.XLOOKUP($C396,Productos!$E:$E,Productos!$E:$E,"NO ENCONTRADO")),"NO ENCONTRADO")),"NO ENCONTRADO")),"NO ENCONTRADO"))</f>
        <v/>
      </c>
      <c r="E396" s="74">
        <f t="array" ref="E396">IF(OR($D396="",$D396="NO ENCONTRADO"),"",_xlfn.XLOOKUP($D396,Productos!$E:$E,Productos!$H:$H,""))</f>
        <v/>
      </c>
      <c r="F396" s="74">
        <f t="array" ref="F396">IF(OR($D396="",$D396="NO ENCONTRADO"),"",_xlfn.XLOOKUP($D396,Productos!$E:$E,Productos!$I:$I,""))</f>
        <v/>
      </c>
      <c r="G396" s="74">
        <f t="array" ref="G396">IF(OR($D396="",$D396="NO ENCONTRADO"),"",_xlfn.XLOOKUP($D396,Productos!$E:$E,Productos!$J:$J,""))</f>
        <v/>
      </c>
      <c r="H396" s="74">
        <f t="array" ref="H396">IF(OR($D396="",$D396="NO ENCONTRADO"),"",_xlfn.XLOOKUP($D396,Productos!$E:$E,Productos!$K:$K,""))</f>
        <v/>
      </c>
      <c r="I396" s="74">
        <f t="array" ref="I396">IF(OR($D396="",$D396="NO ENCONTRADO"),"",_xlfn.XLOOKUP($D396,Productos!$E:$E,Productos!$F:$F,""))</f>
        <v/>
      </c>
      <c r="J396" s="74">
        <f>IF($C396="","",IF($D396="NO ENCONTRADO",IF(COUNTIF($C$7:$C$1000,$C396)&gt;1,"⚠️ No encontrado | Duplicado","⚠️ No encontrado"),IF(COUNTIF($C$7:$C$1000,$C396)&gt;1,"⚠️ Duplicado","Verificado")))</f>
        <v/>
      </c>
    </row>
    <row r="397" ht="15.75" customHeight="1" s="176">
      <c r="B397" s="80" t="n"/>
      <c r="C397" s="74" t="n"/>
      <c r="D397" s="74">
        <f t="array" ref="D397">IF($C397="","",IFNA(_xlfn.XLOOKUP($C397,Productos!$A:$A,Productos!$E:$E,IFNA(_xlfn.XLOOKUP(TEXT($C397,"0"),Productos!$A:$A,Productos!$E:$E,IFNA(_xlfn.XLOOKUP(IFERROR(VALUE($C397),""),Productos!$A:$A,Productos!$E:$E,_xlfn.XLOOKUP($C397,Productos!$E:$E,Productos!$E:$E,"NO ENCONTRADO")),"NO ENCONTRADO")),"NO ENCONTRADO")),"NO ENCONTRADO"))</f>
        <v/>
      </c>
      <c r="E397" s="74">
        <f t="array" ref="E397">IF(OR($D397="",$D397="NO ENCONTRADO"),"",_xlfn.XLOOKUP($D397,Productos!$E:$E,Productos!$H:$H,""))</f>
        <v/>
      </c>
      <c r="F397" s="74">
        <f t="array" ref="F397">IF(OR($D397="",$D397="NO ENCONTRADO"),"",_xlfn.XLOOKUP($D397,Productos!$E:$E,Productos!$I:$I,""))</f>
        <v/>
      </c>
      <c r="G397" s="74">
        <f t="array" ref="G397">IF(OR($D397="",$D397="NO ENCONTRADO"),"",_xlfn.XLOOKUP($D397,Productos!$E:$E,Productos!$J:$J,""))</f>
        <v/>
      </c>
      <c r="H397" s="74">
        <f t="array" ref="H397">IF(OR($D397="",$D397="NO ENCONTRADO"),"",_xlfn.XLOOKUP($D397,Productos!$E:$E,Productos!$K:$K,""))</f>
        <v/>
      </c>
      <c r="I397" s="74">
        <f t="array" ref="I397">IF(OR($D397="",$D397="NO ENCONTRADO"),"",_xlfn.XLOOKUP($D397,Productos!$E:$E,Productos!$F:$F,""))</f>
        <v/>
      </c>
      <c r="J397" s="74">
        <f>IF($C397="","",IF($D397="NO ENCONTRADO",IF(COUNTIF($C$7:$C$1000,$C397)&gt;1,"⚠️ No encontrado | Duplicado","⚠️ No encontrado"),IF(COUNTIF($C$7:$C$1000,$C397)&gt;1,"⚠️ Duplicado","Verificado")))</f>
        <v/>
      </c>
    </row>
    <row r="398" ht="15.75" customHeight="1" s="176">
      <c r="B398" s="80" t="n"/>
      <c r="C398" s="74" t="n"/>
      <c r="D398" s="74">
        <f t="array" ref="D398">IF($C398="","",IFNA(_xlfn.XLOOKUP($C398,Productos!$A:$A,Productos!$E:$E,IFNA(_xlfn.XLOOKUP(TEXT($C398,"0"),Productos!$A:$A,Productos!$E:$E,IFNA(_xlfn.XLOOKUP(IFERROR(VALUE($C398),""),Productos!$A:$A,Productos!$E:$E,_xlfn.XLOOKUP($C398,Productos!$E:$E,Productos!$E:$E,"NO ENCONTRADO")),"NO ENCONTRADO")),"NO ENCONTRADO")),"NO ENCONTRADO"))</f>
        <v/>
      </c>
      <c r="E398" s="74">
        <f t="array" ref="E398">IF(OR($D398="",$D398="NO ENCONTRADO"),"",_xlfn.XLOOKUP($D398,Productos!$E:$E,Productos!$H:$H,""))</f>
        <v/>
      </c>
      <c r="F398" s="74">
        <f t="array" ref="F398">IF(OR($D398="",$D398="NO ENCONTRADO"),"",_xlfn.XLOOKUP($D398,Productos!$E:$E,Productos!$I:$I,""))</f>
        <v/>
      </c>
      <c r="G398" s="74">
        <f t="array" ref="G398">IF(OR($D398="",$D398="NO ENCONTRADO"),"",_xlfn.XLOOKUP($D398,Productos!$E:$E,Productos!$J:$J,""))</f>
        <v/>
      </c>
      <c r="H398" s="74">
        <f t="array" ref="H398">IF(OR($D398="",$D398="NO ENCONTRADO"),"",_xlfn.XLOOKUP($D398,Productos!$E:$E,Productos!$K:$K,""))</f>
        <v/>
      </c>
      <c r="I398" s="74">
        <f t="array" ref="I398">IF(OR($D398="",$D398="NO ENCONTRADO"),"",_xlfn.XLOOKUP($D398,Productos!$E:$E,Productos!$F:$F,""))</f>
        <v/>
      </c>
      <c r="J398" s="74">
        <f>IF($C398="","",IF($D398="NO ENCONTRADO",IF(COUNTIF($C$7:$C$1000,$C398)&gt;1,"⚠️ No encontrado | Duplicado","⚠️ No encontrado"),IF(COUNTIF($C$7:$C$1000,$C398)&gt;1,"⚠️ Duplicado","Verificado")))</f>
        <v/>
      </c>
    </row>
    <row r="399" ht="15.75" customHeight="1" s="176">
      <c r="B399" s="80" t="n"/>
      <c r="C399" s="74" t="n"/>
      <c r="D399" s="74">
        <f t="array" ref="D399">IF($C399="","",IFNA(_xlfn.XLOOKUP($C399,Productos!$A:$A,Productos!$E:$E,IFNA(_xlfn.XLOOKUP(TEXT($C399,"0"),Productos!$A:$A,Productos!$E:$E,IFNA(_xlfn.XLOOKUP(IFERROR(VALUE($C399),""),Productos!$A:$A,Productos!$E:$E,_xlfn.XLOOKUP($C399,Productos!$E:$E,Productos!$E:$E,"NO ENCONTRADO")),"NO ENCONTRADO")),"NO ENCONTRADO")),"NO ENCONTRADO"))</f>
        <v/>
      </c>
      <c r="E399" s="74">
        <f t="array" ref="E399">IF(OR($D399="",$D399="NO ENCONTRADO"),"",_xlfn.XLOOKUP($D399,Productos!$E:$E,Productos!$H:$H,""))</f>
        <v/>
      </c>
      <c r="F399" s="74">
        <f t="array" ref="F399">IF(OR($D399="",$D399="NO ENCONTRADO"),"",_xlfn.XLOOKUP($D399,Productos!$E:$E,Productos!$I:$I,""))</f>
        <v/>
      </c>
      <c r="G399" s="74">
        <f t="array" ref="G399">IF(OR($D399="",$D399="NO ENCONTRADO"),"",_xlfn.XLOOKUP($D399,Productos!$E:$E,Productos!$J:$J,""))</f>
        <v/>
      </c>
      <c r="H399" s="74">
        <f t="array" ref="H399">IF(OR($D399="",$D399="NO ENCONTRADO"),"",_xlfn.XLOOKUP($D399,Productos!$E:$E,Productos!$K:$K,""))</f>
        <v/>
      </c>
      <c r="I399" s="74">
        <f t="array" ref="I399">IF(OR($D399="",$D399="NO ENCONTRADO"),"",_xlfn.XLOOKUP($D399,Productos!$E:$E,Productos!$F:$F,""))</f>
        <v/>
      </c>
      <c r="J399" s="74">
        <f>IF($C399="","",IF($D399="NO ENCONTRADO",IF(COUNTIF($C$7:$C$1000,$C399)&gt;1,"⚠️ No encontrado | Duplicado","⚠️ No encontrado"),IF(COUNTIF($C$7:$C$1000,$C399)&gt;1,"⚠️ Duplicado","Verificado")))</f>
        <v/>
      </c>
    </row>
    <row r="400" ht="15.75" customHeight="1" s="176">
      <c r="B400" s="80" t="n"/>
      <c r="C400" s="74" t="n"/>
      <c r="D400" s="74">
        <f t="array" ref="D400">IF($C400="","",IFNA(_xlfn.XLOOKUP($C400,Productos!$A:$A,Productos!$E:$E,IFNA(_xlfn.XLOOKUP(TEXT($C400,"0"),Productos!$A:$A,Productos!$E:$E,IFNA(_xlfn.XLOOKUP(IFERROR(VALUE($C400),""),Productos!$A:$A,Productos!$E:$E,_xlfn.XLOOKUP($C400,Productos!$E:$E,Productos!$E:$E,"NO ENCONTRADO")),"NO ENCONTRADO")),"NO ENCONTRADO")),"NO ENCONTRADO"))</f>
        <v/>
      </c>
      <c r="E400" s="74">
        <f t="array" ref="E400">IF(OR($D400="",$D400="NO ENCONTRADO"),"",_xlfn.XLOOKUP($D400,Productos!$E:$E,Productos!$H:$H,""))</f>
        <v/>
      </c>
      <c r="F400" s="74">
        <f t="array" ref="F400">IF(OR($D400="",$D400="NO ENCONTRADO"),"",_xlfn.XLOOKUP($D400,Productos!$E:$E,Productos!$I:$I,""))</f>
        <v/>
      </c>
      <c r="G400" s="74">
        <f t="array" ref="G400">IF(OR($D400="",$D400="NO ENCONTRADO"),"",_xlfn.XLOOKUP($D400,Productos!$E:$E,Productos!$J:$J,""))</f>
        <v/>
      </c>
      <c r="H400" s="74">
        <f t="array" ref="H400">IF(OR($D400="",$D400="NO ENCONTRADO"),"",_xlfn.XLOOKUP($D400,Productos!$E:$E,Productos!$K:$K,""))</f>
        <v/>
      </c>
      <c r="I400" s="74">
        <f t="array" ref="I400">IF(OR($D400="",$D400="NO ENCONTRADO"),"",_xlfn.XLOOKUP($D400,Productos!$E:$E,Productos!$F:$F,""))</f>
        <v/>
      </c>
      <c r="J400" s="74">
        <f>IF($C400="","",IF($D400="NO ENCONTRADO",IF(COUNTIF($C$7:$C$1000,$C400)&gt;1,"⚠️ No encontrado | Duplicado","⚠️ No encontrado"),IF(COUNTIF($C$7:$C$1000,$C400)&gt;1,"⚠️ Duplicado","Verificado")))</f>
        <v/>
      </c>
    </row>
    <row r="401" ht="15.75" customHeight="1" s="176">
      <c r="B401" s="80" t="n"/>
      <c r="C401" s="74" t="n"/>
      <c r="D401" s="74">
        <f t="array" ref="D401">IF($C401="","",IFNA(_xlfn.XLOOKUP($C401,Productos!$A:$A,Productos!$E:$E,IFNA(_xlfn.XLOOKUP(TEXT($C401,"0"),Productos!$A:$A,Productos!$E:$E,IFNA(_xlfn.XLOOKUP(IFERROR(VALUE($C401),""),Productos!$A:$A,Productos!$E:$E,_xlfn.XLOOKUP($C401,Productos!$E:$E,Productos!$E:$E,"NO ENCONTRADO")),"NO ENCONTRADO")),"NO ENCONTRADO")),"NO ENCONTRADO"))</f>
        <v/>
      </c>
      <c r="E401" s="74">
        <f t="array" ref="E401">IF(OR($D401="",$D401="NO ENCONTRADO"),"",_xlfn.XLOOKUP($D401,Productos!$E:$E,Productos!$H:$H,""))</f>
        <v/>
      </c>
      <c r="F401" s="74">
        <f t="array" ref="F401">IF(OR($D401="",$D401="NO ENCONTRADO"),"",_xlfn.XLOOKUP($D401,Productos!$E:$E,Productos!$I:$I,""))</f>
        <v/>
      </c>
      <c r="G401" s="74">
        <f t="array" ref="G401">IF(OR($D401="",$D401="NO ENCONTRADO"),"",_xlfn.XLOOKUP($D401,Productos!$E:$E,Productos!$J:$J,""))</f>
        <v/>
      </c>
      <c r="H401" s="74">
        <f t="array" ref="H401">IF(OR($D401="",$D401="NO ENCONTRADO"),"",_xlfn.XLOOKUP($D401,Productos!$E:$E,Productos!$K:$K,""))</f>
        <v/>
      </c>
      <c r="I401" s="74">
        <f t="array" ref="I401">IF(OR($D401="",$D401="NO ENCONTRADO"),"",_xlfn.XLOOKUP($D401,Productos!$E:$E,Productos!$F:$F,""))</f>
        <v/>
      </c>
      <c r="J401" s="74">
        <f>IF($C401="","",IF($D401="NO ENCONTRADO",IF(COUNTIF($C$7:$C$1000,$C401)&gt;1,"⚠️ No encontrado | Duplicado","⚠️ No encontrado"),IF(COUNTIF($C$7:$C$1000,$C401)&gt;1,"⚠️ Duplicado","Verificado")))</f>
        <v/>
      </c>
    </row>
    <row r="402" ht="15.75" customHeight="1" s="176">
      <c r="B402" s="80" t="n"/>
      <c r="C402" s="74" t="n"/>
      <c r="D402" s="74">
        <f t="array" ref="D402">IF($C402="","",IFNA(_xlfn.XLOOKUP($C402,Productos!$A:$A,Productos!$E:$E,IFNA(_xlfn.XLOOKUP(TEXT($C402,"0"),Productos!$A:$A,Productos!$E:$E,IFNA(_xlfn.XLOOKUP(IFERROR(VALUE($C402),""),Productos!$A:$A,Productos!$E:$E,_xlfn.XLOOKUP($C402,Productos!$E:$E,Productos!$E:$E,"NO ENCONTRADO")),"NO ENCONTRADO")),"NO ENCONTRADO")),"NO ENCONTRADO"))</f>
        <v/>
      </c>
      <c r="E402" s="74">
        <f t="array" ref="E402">IF(OR($D402="",$D402="NO ENCONTRADO"),"",_xlfn.XLOOKUP($D402,Productos!$E:$E,Productos!$H:$H,""))</f>
        <v/>
      </c>
      <c r="F402" s="74">
        <f t="array" ref="F402">IF(OR($D402="",$D402="NO ENCONTRADO"),"",_xlfn.XLOOKUP($D402,Productos!$E:$E,Productos!$I:$I,""))</f>
        <v/>
      </c>
      <c r="G402" s="74">
        <f t="array" ref="G402">IF(OR($D402="",$D402="NO ENCONTRADO"),"",_xlfn.XLOOKUP($D402,Productos!$E:$E,Productos!$J:$J,""))</f>
        <v/>
      </c>
      <c r="H402" s="74">
        <f t="array" ref="H402">IF(OR($D402="",$D402="NO ENCONTRADO"),"",_xlfn.XLOOKUP($D402,Productos!$E:$E,Productos!$K:$K,""))</f>
        <v/>
      </c>
      <c r="I402" s="74">
        <f t="array" ref="I402">IF(OR($D402="",$D402="NO ENCONTRADO"),"",_xlfn.XLOOKUP($D402,Productos!$E:$E,Productos!$F:$F,""))</f>
        <v/>
      </c>
      <c r="J402" s="74">
        <f>IF($C402="","",IF($D402="NO ENCONTRADO",IF(COUNTIF($C$7:$C$1000,$C402)&gt;1,"⚠️ No encontrado | Duplicado","⚠️ No encontrado"),IF(COUNTIF($C$7:$C$1000,$C402)&gt;1,"⚠️ Duplicado","Verificado")))</f>
        <v/>
      </c>
    </row>
    <row r="403" ht="15.75" customHeight="1" s="176">
      <c r="B403" s="80" t="n"/>
      <c r="C403" s="74" t="n"/>
      <c r="D403" s="74">
        <f t="array" ref="D403">IF($C403="","",IFNA(_xlfn.XLOOKUP($C403,Productos!$A:$A,Productos!$E:$E,IFNA(_xlfn.XLOOKUP(TEXT($C403,"0"),Productos!$A:$A,Productos!$E:$E,IFNA(_xlfn.XLOOKUP(IFERROR(VALUE($C403),""),Productos!$A:$A,Productos!$E:$E,_xlfn.XLOOKUP($C403,Productos!$E:$E,Productos!$E:$E,"NO ENCONTRADO")),"NO ENCONTRADO")),"NO ENCONTRADO")),"NO ENCONTRADO"))</f>
        <v/>
      </c>
      <c r="E403" s="74">
        <f t="array" ref="E403">IF(OR($D403="",$D403="NO ENCONTRADO"),"",_xlfn.XLOOKUP($D403,Productos!$E:$E,Productos!$H:$H,""))</f>
        <v/>
      </c>
      <c r="F403" s="74">
        <f t="array" ref="F403">IF(OR($D403="",$D403="NO ENCONTRADO"),"",_xlfn.XLOOKUP($D403,Productos!$E:$E,Productos!$I:$I,""))</f>
        <v/>
      </c>
      <c r="G403" s="74">
        <f t="array" ref="G403">IF(OR($D403="",$D403="NO ENCONTRADO"),"",_xlfn.XLOOKUP($D403,Productos!$E:$E,Productos!$J:$J,""))</f>
        <v/>
      </c>
      <c r="H403" s="74">
        <f t="array" ref="H403">IF(OR($D403="",$D403="NO ENCONTRADO"),"",_xlfn.XLOOKUP($D403,Productos!$E:$E,Productos!$K:$K,""))</f>
        <v/>
      </c>
      <c r="I403" s="74">
        <f t="array" ref="I403">IF(OR($D403="",$D403="NO ENCONTRADO"),"",_xlfn.XLOOKUP($D403,Productos!$E:$E,Productos!$F:$F,""))</f>
        <v/>
      </c>
      <c r="J403" s="74">
        <f>IF($C403="","",IF($D403="NO ENCONTRADO",IF(COUNTIF($C$7:$C$1000,$C403)&gt;1,"⚠️ No encontrado | Duplicado","⚠️ No encontrado"),IF(COUNTIF($C$7:$C$1000,$C403)&gt;1,"⚠️ Duplicado","Verificado")))</f>
        <v/>
      </c>
    </row>
    <row r="404" ht="15.75" customHeight="1" s="176">
      <c r="B404" s="80" t="n"/>
      <c r="C404" s="74" t="n"/>
      <c r="D404" s="74">
        <f t="array" ref="D404">IF($C404="","",IFNA(_xlfn.XLOOKUP($C404,Productos!$A:$A,Productos!$E:$E,IFNA(_xlfn.XLOOKUP(TEXT($C404,"0"),Productos!$A:$A,Productos!$E:$E,IFNA(_xlfn.XLOOKUP(IFERROR(VALUE($C404),""),Productos!$A:$A,Productos!$E:$E,_xlfn.XLOOKUP($C404,Productos!$E:$E,Productos!$E:$E,"NO ENCONTRADO")),"NO ENCONTRADO")),"NO ENCONTRADO")),"NO ENCONTRADO"))</f>
        <v/>
      </c>
      <c r="E404" s="74">
        <f t="array" ref="E404">IF(OR($D404="",$D404="NO ENCONTRADO"),"",_xlfn.XLOOKUP($D404,Productos!$E:$E,Productos!$H:$H,""))</f>
        <v/>
      </c>
      <c r="F404" s="74">
        <f t="array" ref="F404">IF(OR($D404="",$D404="NO ENCONTRADO"),"",_xlfn.XLOOKUP($D404,Productos!$E:$E,Productos!$I:$I,""))</f>
        <v/>
      </c>
      <c r="G404" s="74">
        <f t="array" ref="G404">IF(OR($D404="",$D404="NO ENCONTRADO"),"",_xlfn.XLOOKUP($D404,Productos!$E:$E,Productos!$J:$J,""))</f>
        <v/>
      </c>
      <c r="H404" s="74">
        <f t="array" ref="H404">IF(OR($D404="",$D404="NO ENCONTRADO"),"",_xlfn.XLOOKUP($D404,Productos!$E:$E,Productos!$K:$K,""))</f>
        <v/>
      </c>
      <c r="I404" s="74">
        <f t="array" ref="I404">IF(OR($D404="",$D404="NO ENCONTRADO"),"",_xlfn.XLOOKUP($D404,Productos!$E:$E,Productos!$F:$F,""))</f>
        <v/>
      </c>
      <c r="J404" s="74">
        <f>IF($C404="","",IF($D404="NO ENCONTRADO",IF(COUNTIF($C$7:$C$1000,$C404)&gt;1,"⚠️ No encontrado | Duplicado","⚠️ No encontrado"),IF(COUNTIF($C$7:$C$1000,$C404)&gt;1,"⚠️ Duplicado","Verificado")))</f>
        <v/>
      </c>
    </row>
    <row r="405" ht="15.75" customHeight="1" s="176">
      <c r="B405" s="80" t="n"/>
      <c r="C405" s="74" t="n"/>
      <c r="D405" s="74">
        <f t="array" ref="D405">IF($C405="","",IFNA(_xlfn.XLOOKUP($C405,Productos!$A:$A,Productos!$E:$E,IFNA(_xlfn.XLOOKUP(TEXT($C405,"0"),Productos!$A:$A,Productos!$E:$E,IFNA(_xlfn.XLOOKUP(IFERROR(VALUE($C405),""),Productos!$A:$A,Productos!$E:$E,_xlfn.XLOOKUP($C405,Productos!$E:$E,Productos!$E:$E,"NO ENCONTRADO")),"NO ENCONTRADO")),"NO ENCONTRADO")),"NO ENCONTRADO"))</f>
        <v/>
      </c>
      <c r="E405" s="74">
        <f t="array" ref="E405">IF(OR($D405="",$D405="NO ENCONTRADO"),"",_xlfn.XLOOKUP($D405,Productos!$E:$E,Productos!$H:$H,""))</f>
        <v/>
      </c>
      <c r="F405" s="74">
        <f t="array" ref="F405">IF(OR($D405="",$D405="NO ENCONTRADO"),"",_xlfn.XLOOKUP($D405,Productos!$E:$E,Productos!$I:$I,""))</f>
        <v/>
      </c>
      <c r="G405" s="74">
        <f t="array" ref="G405">IF(OR($D405="",$D405="NO ENCONTRADO"),"",_xlfn.XLOOKUP($D405,Productos!$E:$E,Productos!$J:$J,""))</f>
        <v/>
      </c>
      <c r="H405" s="74">
        <f t="array" ref="H405">IF(OR($D405="",$D405="NO ENCONTRADO"),"",_xlfn.XLOOKUP($D405,Productos!$E:$E,Productos!$K:$K,""))</f>
        <v/>
      </c>
      <c r="I405" s="74">
        <f t="array" ref="I405">IF(OR($D405="",$D405="NO ENCONTRADO"),"",_xlfn.XLOOKUP($D405,Productos!$E:$E,Productos!$F:$F,""))</f>
        <v/>
      </c>
      <c r="J405" s="74">
        <f>IF($C405="","",IF($D405="NO ENCONTRADO",IF(COUNTIF($C$7:$C$1000,$C405)&gt;1,"⚠️ No encontrado | Duplicado","⚠️ No encontrado"),IF(COUNTIF($C$7:$C$1000,$C405)&gt;1,"⚠️ Duplicado","Verificado")))</f>
        <v/>
      </c>
    </row>
    <row r="406" ht="15.75" customHeight="1" s="176">
      <c r="B406" s="80" t="n"/>
      <c r="C406" s="74" t="n"/>
      <c r="D406" s="74">
        <f t="array" ref="D406">IF($C406="","",IFNA(_xlfn.XLOOKUP($C406,Productos!$A:$A,Productos!$E:$E,IFNA(_xlfn.XLOOKUP(TEXT($C406,"0"),Productos!$A:$A,Productos!$E:$E,IFNA(_xlfn.XLOOKUP(IFERROR(VALUE($C406),""),Productos!$A:$A,Productos!$E:$E,_xlfn.XLOOKUP($C406,Productos!$E:$E,Productos!$E:$E,"NO ENCONTRADO")),"NO ENCONTRADO")),"NO ENCONTRADO")),"NO ENCONTRADO"))</f>
        <v/>
      </c>
      <c r="E406" s="74">
        <f t="array" ref="E406">IF(OR($D406="",$D406="NO ENCONTRADO"),"",_xlfn.XLOOKUP($D406,Productos!$E:$E,Productos!$H:$H,""))</f>
        <v/>
      </c>
      <c r="F406" s="74">
        <f t="array" ref="F406">IF(OR($D406="",$D406="NO ENCONTRADO"),"",_xlfn.XLOOKUP($D406,Productos!$E:$E,Productos!$I:$I,""))</f>
        <v/>
      </c>
      <c r="G406" s="74">
        <f t="array" ref="G406">IF(OR($D406="",$D406="NO ENCONTRADO"),"",_xlfn.XLOOKUP($D406,Productos!$E:$E,Productos!$J:$J,""))</f>
        <v/>
      </c>
      <c r="H406" s="74">
        <f t="array" ref="H406">IF(OR($D406="",$D406="NO ENCONTRADO"),"",_xlfn.XLOOKUP($D406,Productos!$E:$E,Productos!$K:$K,""))</f>
        <v/>
      </c>
      <c r="I406" s="74">
        <f t="array" ref="I406">IF(OR($D406="",$D406="NO ENCONTRADO"),"",_xlfn.XLOOKUP($D406,Productos!$E:$E,Productos!$F:$F,""))</f>
        <v/>
      </c>
      <c r="J406" s="74">
        <f>IF($C406="","",IF($D406="NO ENCONTRADO",IF(COUNTIF($C$7:$C$1000,$C406)&gt;1,"⚠️ No encontrado | Duplicado","⚠️ No encontrado"),IF(COUNTIF($C$7:$C$1000,$C406)&gt;1,"⚠️ Duplicado","Verificado")))</f>
        <v/>
      </c>
    </row>
    <row r="407" ht="15.75" customHeight="1" s="176">
      <c r="B407" s="80" t="n"/>
      <c r="C407" s="74" t="n"/>
      <c r="D407" s="74">
        <f t="array" ref="D407">IF($C407="","",IFNA(_xlfn.XLOOKUP($C407,Productos!$A:$A,Productos!$E:$E,IFNA(_xlfn.XLOOKUP(TEXT($C407,"0"),Productos!$A:$A,Productos!$E:$E,IFNA(_xlfn.XLOOKUP(IFERROR(VALUE($C407),""),Productos!$A:$A,Productos!$E:$E,_xlfn.XLOOKUP($C407,Productos!$E:$E,Productos!$E:$E,"NO ENCONTRADO")),"NO ENCONTRADO")),"NO ENCONTRADO")),"NO ENCONTRADO"))</f>
        <v/>
      </c>
      <c r="E407" s="74">
        <f t="array" ref="E407">IF(OR($D407="",$D407="NO ENCONTRADO"),"",_xlfn.XLOOKUP($D407,Productos!$E:$E,Productos!$H:$H,""))</f>
        <v/>
      </c>
      <c r="F407" s="74">
        <f t="array" ref="F407">IF(OR($D407="",$D407="NO ENCONTRADO"),"",_xlfn.XLOOKUP($D407,Productos!$E:$E,Productos!$I:$I,""))</f>
        <v/>
      </c>
      <c r="G407" s="74">
        <f t="array" ref="G407">IF(OR($D407="",$D407="NO ENCONTRADO"),"",_xlfn.XLOOKUP($D407,Productos!$E:$E,Productos!$J:$J,""))</f>
        <v/>
      </c>
      <c r="H407" s="74">
        <f t="array" ref="H407">IF(OR($D407="",$D407="NO ENCONTRADO"),"",_xlfn.XLOOKUP($D407,Productos!$E:$E,Productos!$K:$K,""))</f>
        <v/>
      </c>
      <c r="I407" s="74">
        <f t="array" ref="I407">IF(OR($D407="",$D407="NO ENCONTRADO"),"",_xlfn.XLOOKUP($D407,Productos!$E:$E,Productos!$F:$F,""))</f>
        <v/>
      </c>
      <c r="J407" s="74">
        <f>IF($C407="","",IF($D407="NO ENCONTRADO",IF(COUNTIF($C$7:$C$1000,$C407)&gt;1,"⚠️ No encontrado | Duplicado","⚠️ No encontrado"),IF(COUNTIF($C$7:$C$1000,$C407)&gt;1,"⚠️ Duplicado","Verificado")))</f>
        <v/>
      </c>
    </row>
    <row r="408" ht="15.75" customHeight="1" s="176">
      <c r="B408" s="80" t="n"/>
      <c r="C408" s="74" t="n"/>
      <c r="D408" s="74">
        <f t="array" ref="D408">IF($C408="","",IFNA(_xlfn.XLOOKUP($C408,Productos!$A:$A,Productos!$E:$E,IFNA(_xlfn.XLOOKUP(TEXT($C408,"0"),Productos!$A:$A,Productos!$E:$E,IFNA(_xlfn.XLOOKUP(IFERROR(VALUE($C408),""),Productos!$A:$A,Productos!$E:$E,_xlfn.XLOOKUP($C408,Productos!$E:$E,Productos!$E:$E,"NO ENCONTRADO")),"NO ENCONTRADO")),"NO ENCONTRADO")),"NO ENCONTRADO"))</f>
        <v/>
      </c>
      <c r="E408" s="74">
        <f t="array" ref="E408">IF(OR($D408="",$D408="NO ENCONTRADO"),"",_xlfn.XLOOKUP($D408,Productos!$E:$E,Productos!$H:$H,""))</f>
        <v/>
      </c>
      <c r="F408" s="74">
        <f t="array" ref="F408">IF(OR($D408="",$D408="NO ENCONTRADO"),"",_xlfn.XLOOKUP($D408,Productos!$E:$E,Productos!$I:$I,""))</f>
        <v/>
      </c>
      <c r="G408" s="74">
        <f t="array" ref="G408">IF(OR($D408="",$D408="NO ENCONTRADO"),"",_xlfn.XLOOKUP($D408,Productos!$E:$E,Productos!$J:$J,""))</f>
        <v/>
      </c>
      <c r="H408" s="74">
        <f t="array" ref="H408">IF(OR($D408="",$D408="NO ENCONTRADO"),"",_xlfn.XLOOKUP($D408,Productos!$E:$E,Productos!$K:$K,""))</f>
        <v/>
      </c>
      <c r="I408" s="74">
        <f t="array" ref="I408">IF(OR($D408="",$D408="NO ENCONTRADO"),"",_xlfn.XLOOKUP($D408,Productos!$E:$E,Productos!$F:$F,""))</f>
        <v/>
      </c>
      <c r="J408" s="74">
        <f>IF($C408="","",IF($D408="NO ENCONTRADO",IF(COUNTIF($C$7:$C$1000,$C408)&gt;1,"⚠️ No encontrado | Duplicado","⚠️ No encontrado"),IF(COUNTIF($C$7:$C$1000,$C408)&gt;1,"⚠️ Duplicado","Verificado")))</f>
        <v/>
      </c>
    </row>
    <row r="409" ht="15.75" customHeight="1" s="176">
      <c r="B409" s="80" t="n"/>
      <c r="C409" s="74" t="n"/>
      <c r="D409" s="74">
        <f t="array" ref="D409">IF($C409="","",IFNA(_xlfn.XLOOKUP($C409,Productos!$A:$A,Productos!$E:$E,IFNA(_xlfn.XLOOKUP(TEXT($C409,"0"),Productos!$A:$A,Productos!$E:$E,IFNA(_xlfn.XLOOKUP(IFERROR(VALUE($C409),""),Productos!$A:$A,Productos!$E:$E,_xlfn.XLOOKUP($C409,Productos!$E:$E,Productos!$E:$E,"NO ENCONTRADO")),"NO ENCONTRADO")),"NO ENCONTRADO")),"NO ENCONTRADO"))</f>
        <v/>
      </c>
      <c r="E409" s="74">
        <f t="array" ref="E409">IF(OR($D409="",$D409="NO ENCONTRADO"),"",_xlfn.XLOOKUP($D409,Productos!$E:$E,Productos!$H:$H,""))</f>
        <v/>
      </c>
      <c r="F409" s="74">
        <f t="array" ref="F409">IF(OR($D409="",$D409="NO ENCONTRADO"),"",_xlfn.XLOOKUP($D409,Productos!$E:$E,Productos!$I:$I,""))</f>
        <v/>
      </c>
      <c r="G409" s="74">
        <f t="array" ref="G409">IF(OR($D409="",$D409="NO ENCONTRADO"),"",_xlfn.XLOOKUP($D409,Productos!$E:$E,Productos!$J:$J,""))</f>
        <v/>
      </c>
      <c r="H409" s="74">
        <f t="array" ref="H409">IF(OR($D409="",$D409="NO ENCONTRADO"),"",_xlfn.XLOOKUP($D409,Productos!$E:$E,Productos!$K:$K,""))</f>
        <v/>
      </c>
      <c r="I409" s="74">
        <f t="array" ref="I409">IF(OR($D409="",$D409="NO ENCONTRADO"),"",_xlfn.XLOOKUP($D409,Productos!$E:$E,Productos!$F:$F,""))</f>
        <v/>
      </c>
      <c r="J409" s="74">
        <f>IF($C409="","",IF($D409="NO ENCONTRADO",IF(COUNTIF($C$7:$C$1000,$C409)&gt;1,"⚠️ No encontrado | Duplicado","⚠️ No encontrado"),IF(COUNTIF($C$7:$C$1000,$C409)&gt;1,"⚠️ Duplicado","Verificado")))</f>
        <v/>
      </c>
    </row>
    <row r="410" ht="15.75" customHeight="1" s="176">
      <c r="B410" s="80" t="n"/>
      <c r="C410" s="74" t="n"/>
      <c r="D410" s="74">
        <f t="array" ref="D410">IF($C410="","",IFNA(_xlfn.XLOOKUP($C410,Productos!$A:$A,Productos!$E:$E,IFNA(_xlfn.XLOOKUP(TEXT($C410,"0"),Productos!$A:$A,Productos!$E:$E,IFNA(_xlfn.XLOOKUP(IFERROR(VALUE($C410),""),Productos!$A:$A,Productos!$E:$E,_xlfn.XLOOKUP($C410,Productos!$E:$E,Productos!$E:$E,"NO ENCONTRADO")),"NO ENCONTRADO")),"NO ENCONTRADO")),"NO ENCONTRADO"))</f>
        <v/>
      </c>
      <c r="E410" s="74">
        <f t="array" ref="E410">IF(OR($D410="",$D410="NO ENCONTRADO"),"",_xlfn.XLOOKUP($D410,Productos!$E:$E,Productos!$H:$H,""))</f>
        <v/>
      </c>
      <c r="F410" s="74">
        <f t="array" ref="F410">IF(OR($D410="",$D410="NO ENCONTRADO"),"",_xlfn.XLOOKUP($D410,Productos!$E:$E,Productos!$I:$I,""))</f>
        <v/>
      </c>
      <c r="G410" s="74">
        <f t="array" ref="G410">IF(OR($D410="",$D410="NO ENCONTRADO"),"",_xlfn.XLOOKUP($D410,Productos!$E:$E,Productos!$J:$J,""))</f>
        <v/>
      </c>
      <c r="H410" s="74">
        <f t="array" ref="H410">IF(OR($D410="",$D410="NO ENCONTRADO"),"",_xlfn.XLOOKUP($D410,Productos!$E:$E,Productos!$K:$K,""))</f>
        <v/>
      </c>
      <c r="I410" s="74">
        <f t="array" ref="I410">IF(OR($D410="",$D410="NO ENCONTRADO"),"",_xlfn.XLOOKUP($D410,Productos!$E:$E,Productos!$F:$F,""))</f>
        <v/>
      </c>
      <c r="J410" s="74">
        <f>IF($C410="","",IF($D410="NO ENCONTRADO",IF(COUNTIF($C$7:$C$1000,$C410)&gt;1,"⚠️ No encontrado | Duplicado","⚠️ No encontrado"),IF(COUNTIF($C$7:$C$1000,$C410)&gt;1,"⚠️ Duplicado","Verificado")))</f>
        <v/>
      </c>
    </row>
    <row r="411" ht="15.75" customHeight="1" s="176">
      <c r="B411" s="80" t="n"/>
      <c r="C411" s="74" t="n"/>
      <c r="D411" s="74">
        <f t="array" ref="D411">IF($C411="","",IFNA(_xlfn.XLOOKUP($C411,Productos!$A:$A,Productos!$E:$E,IFNA(_xlfn.XLOOKUP(TEXT($C411,"0"),Productos!$A:$A,Productos!$E:$E,IFNA(_xlfn.XLOOKUP(IFERROR(VALUE($C411),""),Productos!$A:$A,Productos!$E:$E,_xlfn.XLOOKUP($C411,Productos!$E:$E,Productos!$E:$E,"NO ENCONTRADO")),"NO ENCONTRADO")),"NO ENCONTRADO")),"NO ENCONTRADO"))</f>
        <v/>
      </c>
      <c r="E411" s="74">
        <f t="array" ref="E411">IF(OR($D411="",$D411="NO ENCONTRADO"),"",_xlfn.XLOOKUP($D411,Productos!$E:$E,Productos!$H:$H,""))</f>
        <v/>
      </c>
      <c r="F411" s="74">
        <f t="array" ref="F411">IF(OR($D411="",$D411="NO ENCONTRADO"),"",_xlfn.XLOOKUP($D411,Productos!$E:$E,Productos!$I:$I,""))</f>
        <v/>
      </c>
      <c r="G411" s="74">
        <f t="array" ref="G411">IF(OR($D411="",$D411="NO ENCONTRADO"),"",_xlfn.XLOOKUP($D411,Productos!$E:$E,Productos!$J:$J,""))</f>
        <v/>
      </c>
      <c r="H411" s="74">
        <f t="array" ref="H411">IF(OR($D411="",$D411="NO ENCONTRADO"),"",_xlfn.XLOOKUP($D411,Productos!$E:$E,Productos!$K:$K,""))</f>
        <v/>
      </c>
      <c r="I411" s="74">
        <f t="array" ref="I411">IF(OR($D411="",$D411="NO ENCONTRADO"),"",_xlfn.XLOOKUP($D411,Productos!$E:$E,Productos!$F:$F,""))</f>
        <v/>
      </c>
      <c r="J411" s="74">
        <f>IF($C411="","",IF($D411="NO ENCONTRADO",IF(COUNTIF($C$7:$C$1000,$C411)&gt;1,"⚠️ No encontrado | Duplicado","⚠️ No encontrado"),IF(COUNTIF($C$7:$C$1000,$C411)&gt;1,"⚠️ Duplicado","Verificado")))</f>
        <v/>
      </c>
    </row>
    <row r="412" ht="15.75" customHeight="1" s="176">
      <c r="B412" s="80" t="n"/>
      <c r="C412" s="74" t="n"/>
      <c r="D412" s="74">
        <f t="array" ref="D412">IF($C412="","",IFNA(_xlfn.XLOOKUP($C412,Productos!$A:$A,Productos!$E:$E,IFNA(_xlfn.XLOOKUP(TEXT($C412,"0"),Productos!$A:$A,Productos!$E:$E,IFNA(_xlfn.XLOOKUP(IFERROR(VALUE($C412),""),Productos!$A:$A,Productos!$E:$E,_xlfn.XLOOKUP($C412,Productos!$E:$E,Productos!$E:$E,"NO ENCONTRADO")),"NO ENCONTRADO")),"NO ENCONTRADO")),"NO ENCONTRADO"))</f>
        <v/>
      </c>
      <c r="E412" s="74">
        <f t="array" ref="E412">IF(OR($D412="",$D412="NO ENCONTRADO"),"",_xlfn.XLOOKUP($D412,Productos!$E:$E,Productos!$H:$H,""))</f>
        <v/>
      </c>
      <c r="F412" s="74">
        <f t="array" ref="F412">IF(OR($D412="",$D412="NO ENCONTRADO"),"",_xlfn.XLOOKUP($D412,Productos!$E:$E,Productos!$I:$I,""))</f>
        <v/>
      </c>
      <c r="G412" s="74">
        <f t="array" ref="G412">IF(OR($D412="",$D412="NO ENCONTRADO"),"",_xlfn.XLOOKUP($D412,Productos!$E:$E,Productos!$J:$J,""))</f>
        <v/>
      </c>
      <c r="H412" s="74">
        <f t="array" ref="H412">IF(OR($D412="",$D412="NO ENCONTRADO"),"",_xlfn.XLOOKUP($D412,Productos!$E:$E,Productos!$K:$K,""))</f>
        <v/>
      </c>
      <c r="I412" s="74">
        <f t="array" ref="I412">IF(OR($D412="",$D412="NO ENCONTRADO"),"",_xlfn.XLOOKUP($D412,Productos!$E:$E,Productos!$F:$F,""))</f>
        <v/>
      </c>
      <c r="J412" s="74">
        <f>IF($C412="","",IF($D412="NO ENCONTRADO",IF(COUNTIF($C$7:$C$1000,$C412)&gt;1,"⚠️ No encontrado | Duplicado","⚠️ No encontrado"),IF(COUNTIF($C$7:$C$1000,$C412)&gt;1,"⚠️ Duplicado","Verificado")))</f>
        <v/>
      </c>
    </row>
    <row r="413" ht="15.75" customHeight="1" s="176">
      <c r="B413" s="80" t="n"/>
      <c r="C413" s="74" t="n"/>
      <c r="D413" s="74">
        <f t="array" ref="D413">IF($C413="","",IFNA(_xlfn.XLOOKUP($C413,Productos!$A:$A,Productos!$E:$E,IFNA(_xlfn.XLOOKUP(TEXT($C413,"0"),Productos!$A:$A,Productos!$E:$E,IFNA(_xlfn.XLOOKUP(IFERROR(VALUE($C413),""),Productos!$A:$A,Productos!$E:$E,_xlfn.XLOOKUP($C413,Productos!$E:$E,Productos!$E:$E,"NO ENCONTRADO")),"NO ENCONTRADO")),"NO ENCONTRADO")),"NO ENCONTRADO"))</f>
        <v/>
      </c>
      <c r="E413" s="74">
        <f t="array" ref="E413">IF(OR($D413="",$D413="NO ENCONTRADO"),"",_xlfn.XLOOKUP($D413,Productos!$E:$E,Productos!$H:$H,""))</f>
        <v/>
      </c>
      <c r="F413" s="74">
        <f t="array" ref="F413">IF(OR($D413="",$D413="NO ENCONTRADO"),"",_xlfn.XLOOKUP($D413,Productos!$E:$E,Productos!$I:$I,""))</f>
        <v/>
      </c>
      <c r="G413" s="74">
        <f t="array" ref="G413">IF(OR($D413="",$D413="NO ENCONTRADO"),"",_xlfn.XLOOKUP($D413,Productos!$E:$E,Productos!$J:$J,""))</f>
        <v/>
      </c>
      <c r="H413" s="74">
        <f t="array" ref="H413">IF(OR($D413="",$D413="NO ENCONTRADO"),"",_xlfn.XLOOKUP($D413,Productos!$E:$E,Productos!$K:$K,""))</f>
        <v/>
      </c>
      <c r="I413" s="74">
        <f t="array" ref="I413">IF(OR($D413="",$D413="NO ENCONTRADO"),"",_xlfn.XLOOKUP($D413,Productos!$E:$E,Productos!$F:$F,""))</f>
        <v/>
      </c>
      <c r="J413" s="74">
        <f>IF($C413="","",IF($D413="NO ENCONTRADO",IF(COUNTIF($C$7:$C$1000,$C413)&gt;1,"⚠️ No encontrado | Duplicado","⚠️ No encontrado"),IF(COUNTIF($C$7:$C$1000,$C413)&gt;1,"⚠️ Duplicado","Verificado")))</f>
        <v/>
      </c>
    </row>
    <row r="414" ht="15.75" customHeight="1" s="176">
      <c r="B414" s="80" t="n"/>
      <c r="C414" s="74" t="n"/>
      <c r="D414" s="74">
        <f t="array" ref="D414">IF($C414="","",IFNA(_xlfn.XLOOKUP($C414,Productos!$A:$A,Productos!$E:$E,IFNA(_xlfn.XLOOKUP(TEXT($C414,"0"),Productos!$A:$A,Productos!$E:$E,IFNA(_xlfn.XLOOKUP(IFERROR(VALUE($C414),""),Productos!$A:$A,Productos!$E:$E,_xlfn.XLOOKUP($C414,Productos!$E:$E,Productos!$E:$E,"NO ENCONTRADO")),"NO ENCONTRADO")),"NO ENCONTRADO")),"NO ENCONTRADO"))</f>
        <v/>
      </c>
      <c r="E414" s="74">
        <f t="array" ref="E414">IF(OR($D414="",$D414="NO ENCONTRADO"),"",_xlfn.XLOOKUP($D414,Productos!$E:$E,Productos!$H:$H,""))</f>
        <v/>
      </c>
      <c r="F414" s="74">
        <f t="array" ref="F414">IF(OR($D414="",$D414="NO ENCONTRADO"),"",_xlfn.XLOOKUP($D414,Productos!$E:$E,Productos!$I:$I,""))</f>
        <v/>
      </c>
      <c r="G414" s="74">
        <f t="array" ref="G414">IF(OR($D414="",$D414="NO ENCONTRADO"),"",_xlfn.XLOOKUP($D414,Productos!$E:$E,Productos!$J:$J,""))</f>
        <v/>
      </c>
      <c r="H414" s="74">
        <f t="array" ref="H414">IF(OR($D414="",$D414="NO ENCONTRADO"),"",_xlfn.XLOOKUP($D414,Productos!$E:$E,Productos!$K:$K,""))</f>
        <v/>
      </c>
      <c r="I414" s="74">
        <f t="array" ref="I414">IF(OR($D414="",$D414="NO ENCONTRADO"),"",_xlfn.XLOOKUP($D414,Productos!$E:$E,Productos!$F:$F,""))</f>
        <v/>
      </c>
      <c r="J414" s="74">
        <f>IF($C414="","",IF($D414="NO ENCONTRADO",IF(COUNTIF($C$7:$C$1000,$C414)&gt;1,"⚠️ No encontrado | Duplicado","⚠️ No encontrado"),IF(COUNTIF($C$7:$C$1000,$C414)&gt;1,"⚠️ Duplicado","Verificado")))</f>
        <v/>
      </c>
    </row>
    <row r="415" ht="15.75" customHeight="1" s="176">
      <c r="B415" s="80" t="n"/>
      <c r="C415" s="74" t="n"/>
      <c r="D415" s="74">
        <f t="array" ref="D415">IF($C415="","",IFNA(_xlfn.XLOOKUP($C415,Productos!$A:$A,Productos!$E:$E,IFNA(_xlfn.XLOOKUP(TEXT($C415,"0"),Productos!$A:$A,Productos!$E:$E,IFNA(_xlfn.XLOOKUP(IFERROR(VALUE($C415),""),Productos!$A:$A,Productos!$E:$E,_xlfn.XLOOKUP($C415,Productos!$E:$E,Productos!$E:$E,"NO ENCONTRADO")),"NO ENCONTRADO")),"NO ENCONTRADO")),"NO ENCONTRADO"))</f>
        <v/>
      </c>
      <c r="E415" s="74">
        <f t="array" ref="E415">IF(OR($D415="",$D415="NO ENCONTRADO"),"",_xlfn.XLOOKUP($D415,Productos!$E:$E,Productos!$H:$H,""))</f>
        <v/>
      </c>
      <c r="F415" s="74">
        <f t="array" ref="F415">IF(OR($D415="",$D415="NO ENCONTRADO"),"",_xlfn.XLOOKUP($D415,Productos!$E:$E,Productos!$I:$I,""))</f>
        <v/>
      </c>
      <c r="G415" s="74">
        <f t="array" ref="G415">IF(OR($D415="",$D415="NO ENCONTRADO"),"",_xlfn.XLOOKUP($D415,Productos!$E:$E,Productos!$J:$J,""))</f>
        <v/>
      </c>
      <c r="H415" s="74">
        <f t="array" ref="H415">IF(OR($D415="",$D415="NO ENCONTRADO"),"",_xlfn.XLOOKUP($D415,Productos!$E:$E,Productos!$K:$K,""))</f>
        <v/>
      </c>
      <c r="I415" s="74">
        <f t="array" ref="I415">IF(OR($D415="",$D415="NO ENCONTRADO"),"",_xlfn.XLOOKUP($D415,Productos!$E:$E,Productos!$F:$F,""))</f>
        <v/>
      </c>
      <c r="J415" s="74">
        <f>IF($C415="","",IF($D415="NO ENCONTRADO",IF(COUNTIF($C$7:$C$1000,$C415)&gt;1,"⚠️ No encontrado | Duplicado","⚠️ No encontrado"),IF(COUNTIF($C$7:$C$1000,$C415)&gt;1,"⚠️ Duplicado","Verificado")))</f>
        <v/>
      </c>
    </row>
    <row r="416" ht="15.75" customHeight="1" s="176">
      <c r="B416" s="80" t="n"/>
      <c r="C416" s="74" t="n"/>
      <c r="D416" s="74">
        <f t="array" ref="D416">IF($C416="","",IFNA(_xlfn.XLOOKUP($C416,Productos!$A:$A,Productos!$E:$E,IFNA(_xlfn.XLOOKUP(TEXT($C416,"0"),Productos!$A:$A,Productos!$E:$E,IFNA(_xlfn.XLOOKUP(IFERROR(VALUE($C416),""),Productos!$A:$A,Productos!$E:$E,_xlfn.XLOOKUP($C416,Productos!$E:$E,Productos!$E:$E,"NO ENCONTRADO")),"NO ENCONTRADO")),"NO ENCONTRADO")),"NO ENCONTRADO"))</f>
        <v/>
      </c>
      <c r="E416" s="74">
        <f t="array" ref="E416">IF(OR($D416="",$D416="NO ENCONTRADO"),"",_xlfn.XLOOKUP($D416,Productos!$E:$E,Productos!$H:$H,""))</f>
        <v/>
      </c>
      <c r="F416" s="74">
        <f t="array" ref="F416">IF(OR($D416="",$D416="NO ENCONTRADO"),"",_xlfn.XLOOKUP($D416,Productos!$E:$E,Productos!$I:$I,""))</f>
        <v/>
      </c>
      <c r="G416" s="74">
        <f t="array" ref="G416">IF(OR($D416="",$D416="NO ENCONTRADO"),"",_xlfn.XLOOKUP($D416,Productos!$E:$E,Productos!$J:$J,""))</f>
        <v/>
      </c>
      <c r="H416" s="74">
        <f t="array" ref="H416">IF(OR($D416="",$D416="NO ENCONTRADO"),"",_xlfn.XLOOKUP($D416,Productos!$E:$E,Productos!$K:$K,""))</f>
        <v/>
      </c>
      <c r="I416" s="74">
        <f t="array" ref="I416">IF(OR($D416="",$D416="NO ENCONTRADO"),"",_xlfn.XLOOKUP($D416,Productos!$E:$E,Productos!$F:$F,""))</f>
        <v/>
      </c>
      <c r="J416" s="74">
        <f>IF($C416="","",IF($D416="NO ENCONTRADO",IF(COUNTIF($C$7:$C$1000,$C416)&gt;1,"⚠️ No encontrado | Duplicado","⚠️ No encontrado"),IF(COUNTIF($C$7:$C$1000,$C416)&gt;1,"⚠️ Duplicado","Verificado")))</f>
        <v/>
      </c>
    </row>
    <row r="417" ht="15.75" customHeight="1" s="176">
      <c r="B417" s="80" t="n"/>
      <c r="C417" s="74" t="n"/>
      <c r="D417" s="74">
        <f t="array" ref="D417">IF($C417="","",IFNA(_xlfn.XLOOKUP($C417,Productos!$A:$A,Productos!$E:$E,IFNA(_xlfn.XLOOKUP(TEXT($C417,"0"),Productos!$A:$A,Productos!$E:$E,IFNA(_xlfn.XLOOKUP(IFERROR(VALUE($C417),""),Productos!$A:$A,Productos!$E:$E,_xlfn.XLOOKUP($C417,Productos!$E:$E,Productos!$E:$E,"NO ENCONTRADO")),"NO ENCONTRADO")),"NO ENCONTRADO")),"NO ENCONTRADO"))</f>
        <v/>
      </c>
      <c r="E417" s="74">
        <f t="array" ref="E417">IF(OR($D417="",$D417="NO ENCONTRADO"),"",_xlfn.XLOOKUP($D417,Productos!$E:$E,Productos!$H:$H,""))</f>
        <v/>
      </c>
      <c r="F417" s="74">
        <f t="array" ref="F417">IF(OR($D417="",$D417="NO ENCONTRADO"),"",_xlfn.XLOOKUP($D417,Productos!$E:$E,Productos!$I:$I,""))</f>
        <v/>
      </c>
      <c r="G417" s="74">
        <f t="array" ref="G417">IF(OR($D417="",$D417="NO ENCONTRADO"),"",_xlfn.XLOOKUP($D417,Productos!$E:$E,Productos!$J:$J,""))</f>
        <v/>
      </c>
      <c r="H417" s="74">
        <f t="array" ref="H417">IF(OR($D417="",$D417="NO ENCONTRADO"),"",_xlfn.XLOOKUP($D417,Productos!$E:$E,Productos!$K:$K,""))</f>
        <v/>
      </c>
      <c r="I417" s="74">
        <f t="array" ref="I417">IF(OR($D417="",$D417="NO ENCONTRADO"),"",_xlfn.XLOOKUP($D417,Productos!$E:$E,Productos!$F:$F,""))</f>
        <v/>
      </c>
      <c r="J417" s="74">
        <f>IF($C417="","",IF($D417="NO ENCONTRADO",IF(COUNTIF($C$7:$C$1000,$C417)&gt;1,"⚠️ No encontrado | Duplicado","⚠️ No encontrado"),IF(COUNTIF($C$7:$C$1000,$C417)&gt;1,"⚠️ Duplicado","Verificado")))</f>
        <v/>
      </c>
    </row>
    <row r="418" ht="15.75" customHeight="1" s="176">
      <c r="B418" s="80" t="n"/>
      <c r="C418" s="74" t="n"/>
      <c r="D418" s="74">
        <f t="array" ref="D418">IF($C418="","",IFNA(_xlfn.XLOOKUP($C418,Productos!$A:$A,Productos!$E:$E,IFNA(_xlfn.XLOOKUP(TEXT($C418,"0"),Productos!$A:$A,Productos!$E:$E,IFNA(_xlfn.XLOOKUP(IFERROR(VALUE($C418),""),Productos!$A:$A,Productos!$E:$E,_xlfn.XLOOKUP($C418,Productos!$E:$E,Productos!$E:$E,"NO ENCONTRADO")),"NO ENCONTRADO")),"NO ENCONTRADO")),"NO ENCONTRADO"))</f>
        <v/>
      </c>
      <c r="E418" s="74">
        <f t="array" ref="E418">IF(OR($D418="",$D418="NO ENCONTRADO"),"",_xlfn.XLOOKUP($D418,Productos!$E:$E,Productos!$H:$H,""))</f>
        <v/>
      </c>
      <c r="F418" s="74">
        <f t="array" ref="F418">IF(OR($D418="",$D418="NO ENCONTRADO"),"",_xlfn.XLOOKUP($D418,Productos!$E:$E,Productos!$I:$I,""))</f>
        <v/>
      </c>
      <c r="G418" s="74">
        <f t="array" ref="G418">IF(OR($D418="",$D418="NO ENCONTRADO"),"",_xlfn.XLOOKUP($D418,Productos!$E:$E,Productos!$J:$J,""))</f>
        <v/>
      </c>
      <c r="H418" s="74">
        <f t="array" ref="H418">IF(OR($D418="",$D418="NO ENCONTRADO"),"",_xlfn.XLOOKUP($D418,Productos!$E:$E,Productos!$K:$K,""))</f>
        <v/>
      </c>
      <c r="I418" s="74">
        <f t="array" ref="I418">IF(OR($D418="",$D418="NO ENCONTRADO"),"",_xlfn.XLOOKUP($D418,Productos!$E:$E,Productos!$F:$F,""))</f>
        <v/>
      </c>
      <c r="J418" s="74">
        <f>IF($C418="","",IF($D418="NO ENCONTRADO",IF(COUNTIF($C$7:$C$1000,$C418)&gt;1,"⚠️ No encontrado | Duplicado","⚠️ No encontrado"),IF(COUNTIF($C$7:$C$1000,$C418)&gt;1,"⚠️ Duplicado","Verificado")))</f>
        <v/>
      </c>
    </row>
    <row r="419" ht="15.75" customHeight="1" s="176">
      <c r="B419" s="80" t="n"/>
      <c r="C419" s="74" t="n"/>
      <c r="D419" s="74">
        <f t="array" ref="D419">IF($C419="","",IFNA(_xlfn.XLOOKUP($C419,Productos!$A:$A,Productos!$E:$E,IFNA(_xlfn.XLOOKUP(TEXT($C419,"0"),Productos!$A:$A,Productos!$E:$E,IFNA(_xlfn.XLOOKUP(IFERROR(VALUE($C419),""),Productos!$A:$A,Productos!$E:$E,_xlfn.XLOOKUP($C419,Productos!$E:$E,Productos!$E:$E,"NO ENCONTRADO")),"NO ENCONTRADO")),"NO ENCONTRADO")),"NO ENCONTRADO"))</f>
        <v/>
      </c>
      <c r="E419" s="74">
        <f t="array" ref="E419">IF(OR($D419="",$D419="NO ENCONTRADO"),"",_xlfn.XLOOKUP($D419,Productos!$E:$E,Productos!$H:$H,""))</f>
        <v/>
      </c>
      <c r="F419" s="74">
        <f t="array" ref="F419">IF(OR($D419="",$D419="NO ENCONTRADO"),"",_xlfn.XLOOKUP($D419,Productos!$E:$E,Productos!$I:$I,""))</f>
        <v/>
      </c>
      <c r="G419" s="74">
        <f t="array" ref="G419">IF(OR($D419="",$D419="NO ENCONTRADO"),"",_xlfn.XLOOKUP($D419,Productos!$E:$E,Productos!$J:$J,""))</f>
        <v/>
      </c>
      <c r="H419" s="74">
        <f t="array" ref="H419">IF(OR($D419="",$D419="NO ENCONTRADO"),"",_xlfn.XLOOKUP($D419,Productos!$E:$E,Productos!$K:$K,""))</f>
        <v/>
      </c>
      <c r="I419" s="74">
        <f t="array" ref="I419">IF(OR($D419="",$D419="NO ENCONTRADO"),"",_xlfn.XLOOKUP($D419,Productos!$E:$E,Productos!$F:$F,""))</f>
        <v/>
      </c>
      <c r="J419" s="74">
        <f>IF($C419="","",IF($D419="NO ENCONTRADO",IF(COUNTIF($C$7:$C$1000,$C419)&gt;1,"⚠️ No encontrado | Duplicado","⚠️ No encontrado"),IF(COUNTIF($C$7:$C$1000,$C419)&gt;1,"⚠️ Duplicado","Verificado")))</f>
        <v/>
      </c>
    </row>
    <row r="420" ht="15.75" customHeight="1" s="176">
      <c r="B420" s="80" t="n"/>
      <c r="C420" s="74" t="n"/>
      <c r="D420" s="74">
        <f t="array" ref="D420">IF($C420="","",IFNA(_xlfn.XLOOKUP($C420,Productos!$A:$A,Productos!$E:$E,IFNA(_xlfn.XLOOKUP(TEXT($C420,"0"),Productos!$A:$A,Productos!$E:$E,IFNA(_xlfn.XLOOKUP(IFERROR(VALUE($C420),""),Productos!$A:$A,Productos!$E:$E,_xlfn.XLOOKUP($C420,Productos!$E:$E,Productos!$E:$E,"NO ENCONTRADO")),"NO ENCONTRADO")),"NO ENCONTRADO")),"NO ENCONTRADO"))</f>
        <v/>
      </c>
      <c r="E420" s="74">
        <f t="array" ref="E420">IF(OR($D420="",$D420="NO ENCONTRADO"),"",_xlfn.XLOOKUP($D420,Productos!$E:$E,Productos!$H:$H,""))</f>
        <v/>
      </c>
      <c r="F420" s="74">
        <f t="array" ref="F420">IF(OR($D420="",$D420="NO ENCONTRADO"),"",_xlfn.XLOOKUP($D420,Productos!$E:$E,Productos!$I:$I,""))</f>
        <v/>
      </c>
      <c r="G420" s="74">
        <f t="array" ref="G420">IF(OR($D420="",$D420="NO ENCONTRADO"),"",_xlfn.XLOOKUP($D420,Productos!$E:$E,Productos!$J:$J,""))</f>
        <v/>
      </c>
      <c r="H420" s="74">
        <f t="array" ref="H420">IF(OR($D420="",$D420="NO ENCONTRADO"),"",_xlfn.XLOOKUP($D420,Productos!$E:$E,Productos!$K:$K,""))</f>
        <v/>
      </c>
      <c r="I420" s="74">
        <f t="array" ref="I420">IF(OR($D420="",$D420="NO ENCONTRADO"),"",_xlfn.XLOOKUP($D420,Productos!$E:$E,Productos!$F:$F,""))</f>
        <v/>
      </c>
      <c r="J420" s="74">
        <f>IF($C420="","",IF($D420="NO ENCONTRADO",IF(COUNTIF($C$7:$C$1000,$C420)&gt;1,"⚠️ No encontrado | Duplicado","⚠️ No encontrado"),IF(COUNTIF($C$7:$C$1000,$C420)&gt;1,"⚠️ Duplicado","Verificado")))</f>
        <v/>
      </c>
    </row>
    <row r="421" ht="15.75" customHeight="1" s="176">
      <c r="B421" s="80" t="n"/>
      <c r="C421" s="74" t="n"/>
      <c r="D421" s="74">
        <f t="array" ref="D421">IF($C421="","",IFNA(_xlfn.XLOOKUP($C421,Productos!$A:$A,Productos!$E:$E,IFNA(_xlfn.XLOOKUP(TEXT($C421,"0"),Productos!$A:$A,Productos!$E:$E,IFNA(_xlfn.XLOOKUP(IFERROR(VALUE($C421),""),Productos!$A:$A,Productos!$E:$E,_xlfn.XLOOKUP($C421,Productos!$E:$E,Productos!$E:$E,"NO ENCONTRADO")),"NO ENCONTRADO")),"NO ENCONTRADO")),"NO ENCONTRADO"))</f>
        <v/>
      </c>
      <c r="E421" s="74">
        <f t="array" ref="E421">IF(OR($D421="",$D421="NO ENCONTRADO"),"",_xlfn.XLOOKUP($D421,Productos!$E:$E,Productos!$H:$H,""))</f>
        <v/>
      </c>
      <c r="F421" s="74">
        <f t="array" ref="F421">IF(OR($D421="",$D421="NO ENCONTRADO"),"",_xlfn.XLOOKUP($D421,Productos!$E:$E,Productos!$I:$I,""))</f>
        <v/>
      </c>
      <c r="G421" s="74">
        <f t="array" ref="G421">IF(OR($D421="",$D421="NO ENCONTRADO"),"",_xlfn.XLOOKUP($D421,Productos!$E:$E,Productos!$J:$J,""))</f>
        <v/>
      </c>
      <c r="H421" s="74">
        <f t="array" ref="H421">IF(OR($D421="",$D421="NO ENCONTRADO"),"",_xlfn.XLOOKUP($D421,Productos!$E:$E,Productos!$K:$K,""))</f>
        <v/>
      </c>
      <c r="I421" s="74">
        <f t="array" ref="I421">IF(OR($D421="",$D421="NO ENCONTRADO"),"",_xlfn.XLOOKUP($D421,Productos!$E:$E,Productos!$F:$F,""))</f>
        <v/>
      </c>
      <c r="J421" s="74">
        <f>IF($C421="","",IF($D421="NO ENCONTRADO",IF(COUNTIF($C$7:$C$1000,$C421)&gt;1,"⚠️ No encontrado | Duplicado","⚠️ No encontrado"),IF(COUNTIF($C$7:$C$1000,$C421)&gt;1,"⚠️ Duplicado","Verificado")))</f>
        <v/>
      </c>
    </row>
    <row r="422" ht="15.75" customHeight="1" s="176">
      <c r="B422" s="80" t="n"/>
      <c r="C422" s="74" t="n"/>
      <c r="D422" s="74">
        <f t="array" ref="D422">IF($C422="","",IFNA(_xlfn.XLOOKUP($C422,Productos!$A:$A,Productos!$E:$E,IFNA(_xlfn.XLOOKUP(TEXT($C422,"0"),Productos!$A:$A,Productos!$E:$E,IFNA(_xlfn.XLOOKUP(IFERROR(VALUE($C422),""),Productos!$A:$A,Productos!$E:$E,_xlfn.XLOOKUP($C422,Productos!$E:$E,Productos!$E:$E,"NO ENCONTRADO")),"NO ENCONTRADO")),"NO ENCONTRADO")),"NO ENCONTRADO"))</f>
        <v/>
      </c>
      <c r="E422" s="74">
        <f t="array" ref="E422">IF(OR($D422="",$D422="NO ENCONTRADO"),"",_xlfn.XLOOKUP($D422,Productos!$E:$E,Productos!$H:$H,""))</f>
        <v/>
      </c>
      <c r="F422" s="74">
        <f t="array" ref="F422">IF(OR($D422="",$D422="NO ENCONTRADO"),"",_xlfn.XLOOKUP($D422,Productos!$E:$E,Productos!$I:$I,""))</f>
        <v/>
      </c>
      <c r="G422" s="74">
        <f t="array" ref="G422">IF(OR($D422="",$D422="NO ENCONTRADO"),"",_xlfn.XLOOKUP($D422,Productos!$E:$E,Productos!$J:$J,""))</f>
        <v/>
      </c>
      <c r="H422" s="74">
        <f t="array" ref="H422">IF(OR($D422="",$D422="NO ENCONTRADO"),"",_xlfn.XLOOKUP($D422,Productos!$E:$E,Productos!$K:$K,""))</f>
        <v/>
      </c>
      <c r="I422" s="74">
        <f t="array" ref="I422">IF(OR($D422="",$D422="NO ENCONTRADO"),"",_xlfn.XLOOKUP($D422,Productos!$E:$E,Productos!$F:$F,""))</f>
        <v/>
      </c>
      <c r="J422" s="74">
        <f>IF($C422="","",IF($D422="NO ENCONTRADO",IF(COUNTIF($C$7:$C$1000,$C422)&gt;1,"⚠️ No encontrado | Duplicado","⚠️ No encontrado"),IF(COUNTIF($C$7:$C$1000,$C422)&gt;1,"⚠️ Duplicado","Verificado")))</f>
        <v/>
      </c>
    </row>
    <row r="423" ht="15.75" customHeight="1" s="176">
      <c r="B423" s="80" t="n"/>
      <c r="C423" s="74" t="n"/>
      <c r="D423" s="74">
        <f t="array" ref="D423">IF($C423="","",IFNA(_xlfn.XLOOKUP($C423,Productos!$A:$A,Productos!$E:$E,IFNA(_xlfn.XLOOKUP(TEXT($C423,"0"),Productos!$A:$A,Productos!$E:$E,IFNA(_xlfn.XLOOKUP(IFERROR(VALUE($C423),""),Productos!$A:$A,Productos!$E:$E,_xlfn.XLOOKUP($C423,Productos!$E:$E,Productos!$E:$E,"NO ENCONTRADO")),"NO ENCONTRADO")),"NO ENCONTRADO")),"NO ENCONTRADO"))</f>
        <v/>
      </c>
      <c r="E423" s="74">
        <f t="array" ref="E423">IF(OR($D423="",$D423="NO ENCONTRADO"),"",_xlfn.XLOOKUP($D423,Productos!$E:$E,Productos!$H:$H,""))</f>
        <v/>
      </c>
      <c r="F423" s="74">
        <f t="array" ref="F423">IF(OR($D423="",$D423="NO ENCONTRADO"),"",_xlfn.XLOOKUP($D423,Productos!$E:$E,Productos!$I:$I,""))</f>
        <v/>
      </c>
      <c r="G423" s="74">
        <f t="array" ref="G423">IF(OR($D423="",$D423="NO ENCONTRADO"),"",_xlfn.XLOOKUP($D423,Productos!$E:$E,Productos!$J:$J,""))</f>
        <v/>
      </c>
      <c r="H423" s="74">
        <f t="array" ref="H423">IF(OR($D423="",$D423="NO ENCONTRADO"),"",_xlfn.XLOOKUP($D423,Productos!$E:$E,Productos!$K:$K,""))</f>
        <v/>
      </c>
      <c r="I423" s="74">
        <f t="array" ref="I423">IF(OR($D423="",$D423="NO ENCONTRADO"),"",_xlfn.XLOOKUP($D423,Productos!$E:$E,Productos!$F:$F,""))</f>
        <v/>
      </c>
      <c r="J423" s="74">
        <f>IF($C423="","",IF($D423="NO ENCONTRADO",IF(COUNTIF($C$7:$C$1000,$C423)&gt;1,"⚠️ No encontrado | Duplicado","⚠️ No encontrado"),IF(COUNTIF($C$7:$C$1000,$C423)&gt;1,"⚠️ Duplicado","Verificado")))</f>
        <v/>
      </c>
    </row>
    <row r="424" ht="15.75" customHeight="1" s="176">
      <c r="B424" s="80" t="n"/>
      <c r="C424" s="74" t="n"/>
      <c r="D424" s="74">
        <f t="array" ref="D424">IF($C424="","",IFNA(_xlfn.XLOOKUP($C424,Productos!$A:$A,Productos!$E:$E,IFNA(_xlfn.XLOOKUP(TEXT($C424,"0"),Productos!$A:$A,Productos!$E:$E,IFNA(_xlfn.XLOOKUP(IFERROR(VALUE($C424),""),Productos!$A:$A,Productos!$E:$E,_xlfn.XLOOKUP($C424,Productos!$E:$E,Productos!$E:$E,"NO ENCONTRADO")),"NO ENCONTRADO")),"NO ENCONTRADO")),"NO ENCONTRADO"))</f>
        <v/>
      </c>
      <c r="E424" s="74">
        <f t="array" ref="E424">IF(OR($D424="",$D424="NO ENCONTRADO"),"",_xlfn.XLOOKUP($D424,Productos!$E:$E,Productos!$H:$H,""))</f>
        <v/>
      </c>
      <c r="F424" s="74">
        <f t="array" ref="F424">IF(OR($D424="",$D424="NO ENCONTRADO"),"",_xlfn.XLOOKUP($D424,Productos!$E:$E,Productos!$I:$I,""))</f>
        <v/>
      </c>
      <c r="G424" s="74">
        <f t="array" ref="G424">IF(OR($D424="",$D424="NO ENCONTRADO"),"",_xlfn.XLOOKUP($D424,Productos!$E:$E,Productos!$J:$J,""))</f>
        <v/>
      </c>
      <c r="H424" s="74">
        <f t="array" ref="H424">IF(OR($D424="",$D424="NO ENCONTRADO"),"",_xlfn.XLOOKUP($D424,Productos!$E:$E,Productos!$K:$K,""))</f>
        <v/>
      </c>
      <c r="I424" s="74">
        <f t="array" ref="I424">IF(OR($D424="",$D424="NO ENCONTRADO"),"",_xlfn.XLOOKUP($D424,Productos!$E:$E,Productos!$F:$F,""))</f>
        <v/>
      </c>
      <c r="J424" s="74">
        <f>IF($C424="","",IF($D424="NO ENCONTRADO",IF(COUNTIF($C$7:$C$1000,$C424)&gt;1,"⚠️ No encontrado | Duplicado","⚠️ No encontrado"),IF(COUNTIF($C$7:$C$1000,$C424)&gt;1,"⚠️ Duplicado","Verificado")))</f>
        <v/>
      </c>
    </row>
    <row r="425" ht="15.75" customHeight="1" s="176">
      <c r="B425" s="80" t="n"/>
      <c r="C425" s="74" t="n"/>
      <c r="D425" s="74">
        <f t="array" ref="D425">IF($C425="","",IFNA(_xlfn.XLOOKUP($C425,Productos!$A:$A,Productos!$E:$E,IFNA(_xlfn.XLOOKUP(TEXT($C425,"0"),Productos!$A:$A,Productos!$E:$E,IFNA(_xlfn.XLOOKUP(IFERROR(VALUE($C425),""),Productos!$A:$A,Productos!$E:$E,_xlfn.XLOOKUP($C425,Productos!$E:$E,Productos!$E:$E,"NO ENCONTRADO")),"NO ENCONTRADO")),"NO ENCONTRADO")),"NO ENCONTRADO"))</f>
        <v/>
      </c>
      <c r="E425" s="74">
        <f t="array" ref="E425">IF(OR($D425="",$D425="NO ENCONTRADO"),"",_xlfn.XLOOKUP($D425,Productos!$E:$E,Productos!$H:$H,""))</f>
        <v/>
      </c>
      <c r="F425" s="74">
        <f t="array" ref="F425">IF(OR($D425="",$D425="NO ENCONTRADO"),"",_xlfn.XLOOKUP($D425,Productos!$E:$E,Productos!$I:$I,""))</f>
        <v/>
      </c>
      <c r="G425" s="74">
        <f t="array" ref="G425">IF(OR($D425="",$D425="NO ENCONTRADO"),"",_xlfn.XLOOKUP($D425,Productos!$E:$E,Productos!$J:$J,""))</f>
        <v/>
      </c>
      <c r="H425" s="74">
        <f t="array" ref="H425">IF(OR($D425="",$D425="NO ENCONTRADO"),"",_xlfn.XLOOKUP($D425,Productos!$E:$E,Productos!$K:$K,""))</f>
        <v/>
      </c>
      <c r="I425" s="74">
        <f t="array" ref="I425">IF(OR($D425="",$D425="NO ENCONTRADO"),"",_xlfn.XLOOKUP($D425,Productos!$E:$E,Productos!$F:$F,""))</f>
        <v/>
      </c>
      <c r="J425" s="74">
        <f>IF($C425="","",IF($D425="NO ENCONTRADO",IF(COUNTIF($C$7:$C$1000,$C425)&gt;1,"⚠️ No encontrado | Duplicado","⚠️ No encontrado"),IF(COUNTIF($C$7:$C$1000,$C425)&gt;1,"⚠️ Duplicado","Verificado")))</f>
        <v/>
      </c>
    </row>
    <row r="426" ht="15.75" customHeight="1" s="176">
      <c r="B426" s="80" t="n"/>
      <c r="C426" s="74" t="n"/>
      <c r="D426" s="74">
        <f t="array" ref="D426">IF($C426="","",IFNA(_xlfn.XLOOKUP($C426,Productos!$A:$A,Productos!$E:$E,IFNA(_xlfn.XLOOKUP(TEXT($C426,"0"),Productos!$A:$A,Productos!$E:$E,IFNA(_xlfn.XLOOKUP(IFERROR(VALUE($C426),""),Productos!$A:$A,Productos!$E:$E,_xlfn.XLOOKUP($C426,Productos!$E:$E,Productos!$E:$E,"NO ENCONTRADO")),"NO ENCONTRADO")),"NO ENCONTRADO")),"NO ENCONTRADO"))</f>
        <v/>
      </c>
      <c r="E426" s="74">
        <f t="array" ref="E426">IF(OR($D426="",$D426="NO ENCONTRADO"),"",_xlfn.XLOOKUP($D426,Productos!$E:$E,Productos!$H:$H,""))</f>
        <v/>
      </c>
      <c r="F426" s="74">
        <f t="array" ref="F426">IF(OR($D426="",$D426="NO ENCONTRADO"),"",_xlfn.XLOOKUP($D426,Productos!$E:$E,Productos!$I:$I,""))</f>
        <v/>
      </c>
      <c r="G426" s="74">
        <f t="array" ref="G426">IF(OR($D426="",$D426="NO ENCONTRADO"),"",_xlfn.XLOOKUP($D426,Productos!$E:$E,Productos!$J:$J,""))</f>
        <v/>
      </c>
      <c r="H426" s="74">
        <f t="array" ref="H426">IF(OR($D426="",$D426="NO ENCONTRADO"),"",_xlfn.XLOOKUP($D426,Productos!$E:$E,Productos!$K:$K,""))</f>
        <v/>
      </c>
      <c r="I426" s="74">
        <f t="array" ref="I426">IF(OR($D426="",$D426="NO ENCONTRADO"),"",_xlfn.XLOOKUP($D426,Productos!$E:$E,Productos!$F:$F,""))</f>
        <v/>
      </c>
      <c r="J426" s="74">
        <f>IF($C426="","",IF($D426="NO ENCONTRADO",IF(COUNTIF($C$7:$C$1000,$C426)&gt;1,"⚠️ No encontrado | Duplicado","⚠️ No encontrado"),IF(COUNTIF($C$7:$C$1000,$C426)&gt;1,"⚠️ Duplicado","Verificado")))</f>
        <v/>
      </c>
    </row>
    <row r="427" ht="15.75" customHeight="1" s="176">
      <c r="B427" s="80" t="n"/>
      <c r="C427" s="74" t="n"/>
      <c r="D427" s="74">
        <f t="array" ref="D427">IF($C427="","",IFNA(_xlfn.XLOOKUP($C427,Productos!$A:$A,Productos!$E:$E,IFNA(_xlfn.XLOOKUP(TEXT($C427,"0"),Productos!$A:$A,Productos!$E:$E,IFNA(_xlfn.XLOOKUP(IFERROR(VALUE($C427),""),Productos!$A:$A,Productos!$E:$E,_xlfn.XLOOKUP($C427,Productos!$E:$E,Productos!$E:$E,"NO ENCONTRADO")),"NO ENCONTRADO")),"NO ENCONTRADO")),"NO ENCONTRADO"))</f>
        <v/>
      </c>
      <c r="E427" s="74">
        <f t="array" ref="E427">IF(OR($D427="",$D427="NO ENCONTRADO"),"",_xlfn.XLOOKUP($D427,Productos!$E:$E,Productos!$H:$H,""))</f>
        <v/>
      </c>
      <c r="F427" s="74">
        <f t="array" ref="F427">IF(OR($D427="",$D427="NO ENCONTRADO"),"",_xlfn.XLOOKUP($D427,Productos!$E:$E,Productos!$I:$I,""))</f>
        <v/>
      </c>
      <c r="G427" s="74">
        <f t="array" ref="G427">IF(OR($D427="",$D427="NO ENCONTRADO"),"",_xlfn.XLOOKUP($D427,Productos!$E:$E,Productos!$J:$J,""))</f>
        <v/>
      </c>
      <c r="H427" s="74">
        <f t="array" ref="H427">IF(OR($D427="",$D427="NO ENCONTRADO"),"",_xlfn.XLOOKUP($D427,Productos!$E:$E,Productos!$K:$K,""))</f>
        <v/>
      </c>
      <c r="I427" s="74">
        <f t="array" ref="I427">IF(OR($D427="",$D427="NO ENCONTRADO"),"",_xlfn.XLOOKUP($D427,Productos!$E:$E,Productos!$F:$F,""))</f>
        <v/>
      </c>
      <c r="J427" s="74">
        <f>IF($C427="","",IF($D427="NO ENCONTRADO",IF(COUNTIF($C$7:$C$1000,$C427)&gt;1,"⚠️ No encontrado | Duplicado","⚠️ No encontrado"),IF(COUNTIF($C$7:$C$1000,$C427)&gt;1,"⚠️ Duplicado","Verificado")))</f>
        <v/>
      </c>
    </row>
    <row r="428" ht="15.75" customHeight="1" s="176">
      <c r="B428" s="80" t="n"/>
      <c r="C428" s="74" t="n"/>
      <c r="D428" s="74">
        <f t="array" ref="D428">IF($C428="","",IFNA(_xlfn.XLOOKUP($C428,Productos!$A:$A,Productos!$E:$E,IFNA(_xlfn.XLOOKUP(TEXT($C428,"0"),Productos!$A:$A,Productos!$E:$E,IFNA(_xlfn.XLOOKUP(IFERROR(VALUE($C428),""),Productos!$A:$A,Productos!$E:$E,_xlfn.XLOOKUP($C428,Productos!$E:$E,Productos!$E:$E,"NO ENCONTRADO")),"NO ENCONTRADO")),"NO ENCONTRADO")),"NO ENCONTRADO"))</f>
        <v/>
      </c>
      <c r="E428" s="74">
        <f t="array" ref="E428">IF(OR($D428="",$D428="NO ENCONTRADO"),"",_xlfn.XLOOKUP($D428,Productos!$E:$E,Productos!$H:$H,""))</f>
        <v/>
      </c>
      <c r="F428" s="74">
        <f t="array" ref="F428">IF(OR($D428="",$D428="NO ENCONTRADO"),"",_xlfn.XLOOKUP($D428,Productos!$E:$E,Productos!$I:$I,""))</f>
        <v/>
      </c>
      <c r="G428" s="74">
        <f t="array" ref="G428">IF(OR($D428="",$D428="NO ENCONTRADO"),"",_xlfn.XLOOKUP($D428,Productos!$E:$E,Productos!$J:$J,""))</f>
        <v/>
      </c>
      <c r="H428" s="74">
        <f t="array" ref="H428">IF(OR($D428="",$D428="NO ENCONTRADO"),"",_xlfn.XLOOKUP($D428,Productos!$E:$E,Productos!$K:$K,""))</f>
        <v/>
      </c>
      <c r="I428" s="74">
        <f t="array" ref="I428">IF(OR($D428="",$D428="NO ENCONTRADO"),"",_xlfn.XLOOKUP($D428,Productos!$E:$E,Productos!$F:$F,""))</f>
        <v/>
      </c>
      <c r="J428" s="74">
        <f>IF($C428="","",IF($D428="NO ENCONTRADO",IF(COUNTIF($C$7:$C$1000,$C428)&gt;1,"⚠️ No encontrado | Duplicado","⚠️ No encontrado"),IF(COUNTIF($C$7:$C$1000,$C428)&gt;1,"⚠️ Duplicado","Verificado")))</f>
        <v/>
      </c>
    </row>
    <row r="429" ht="15.75" customHeight="1" s="176">
      <c r="B429" s="80" t="n"/>
      <c r="C429" s="74" t="n"/>
      <c r="D429" s="74">
        <f t="array" ref="D429">IF($C429="","",IFNA(_xlfn.XLOOKUP($C429,Productos!$A:$A,Productos!$E:$E,IFNA(_xlfn.XLOOKUP(TEXT($C429,"0"),Productos!$A:$A,Productos!$E:$E,IFNA(_xlfn.XLOOKUP(IFERROR(VALUE($C429),""),Productos!$A:$A,Productos!$E:$E,_xlfn.XLOOKUP($C429,Productos!$E:$E,Productos!$E:$E,"NO ENCONTRADO")),"NO ENCONTRADO")),"NO ENCONTRADO")),"NO ENCONTRADO"))</f>
        <v/>
      </c>
      <c r="E429" s="74">
        <f t="array" ref="E429">IF(OR($D429="",$D429="NO ENCONTRADO"),"",_xlfn.XLOOKUP($D429,Productos!$E:$E,Productos!$H:$H,""))</f>
        <v/>
      </c>
      <c r="F429" s="74">
        <f t="array" ref="F429">IF(OR($D429="",$D429="NO ENCONTRADO"),"",_xlfn.XLOOKUP($D429,Productos!$E:$E,Productos!$I:$I,""))</f>
        <v/>
      </c>
      <c r="G429" s="74">
        <f t="array" ref="G429">IF(OR($D429="",$D429="NO ENCONTRADO"),"",_xlfn.XLOOKUP($D429,Productos!$E:$E,Productos!$J:$J,""))</f>
        <v/>
      </c>
      <c r="H429" s="74">
        <f t="array" ref="H429">IF(OR($D429="",$D429="NO ENCONTRADO"),"",_xlfn.XLOOKUP($D429,Productos!$E:$E,Productos!$K:$K,""))</f>
        <v/>
      </c>
      <c r="I429" s="74">
        <f t="array" ref="I429">IF(OR($D429="",$D429="NO ENCONTRADO"),"",_xlfn.XLOOKUP($D429,Productos!$E:$E,Productos!$F:$F,""))</f>
        <v/>
      </c>
      <c r="J429" s="74">
        <f>IF($C429="","",IF($D429="NO ENCONTRADO",IF(COUNTIF($C$7:$C$1000,$C429)&gt;1,"⚠️ No encontrado | Duplicado","⚠️ No encontrado"),IF(COUNTIF($C$7:$C$1000,$C429)&gt;1,"⚠️ Duplicado","Verificado")))</f>
        <v/>
      </c>
    </row>
    <row r="430" ht="15.75" customHeight="1" s="176">
      <c r="B430" s="80" t="n"/>
      <c r="C430" s="74" t="n"/>
      <c r="D430" s="74">
        <f t="array" ref="D430">IF($C430="","",IFNA(_xlfn.XLOOKUP($C430,Productos!$A:$A,Productos!$E:$E,IFNA(_xlfn.XLOOKUP(TEXT($C430,"0"),Productos!$A:$A,Productos!$E:$E,IFNA(_xlfn.XLOOKUP(IFERROR(VALUE($C430),""),Productos!$A:$A,Productos!$E:$E,_xlfn.XLOOKUP($C430,Productos!$E:$E,Productos!$E:$E,"NO ENCONTRADO")),"NO ENCONTRADO")),"NO ENCONTRADO")),"NO ENCONTRADO"))</f>
        <v/>
      </c>
      <c r="E430" s="74">
        <f t="array" ref="E430">IF(OR($D430="",$D430="NO ENCONTRADO"),"",_xlfn.XLOOKUP($D430,Productos!$E:$E,Productos!$H:$H,""))</f>
        <v/>
      </c>
      <c r="F430" s="74">
        <f t="array" ref="F430">IF(OR($D430="",$D430="NO ENCONTRADO"),"",_xlfn.XLOOKUP($D430,Productos!$E:$E,Productos!$I:$I,""))</f>
        <v/>
      </c>
      <c r="G430" s="74">
        <f t="array" ref="G430">IF(OR($D430="",$D430="NO ENCONTRADO"),"",_xlfn.XLOOKUP($D430,Productos!$E:$E,Productos!$J:$J,""))</f>
        <v/>
      </c>
      <c r="H430" s="74">
        <f t="array" ref="H430">IF(OR($D430="",$D430="NO ENCONTRADO"),"",_xlfn.XLOOKUP($D430,Productos!$E:$E,Productos!$K:$K,""))</f>
        <v/>
      </c>
      <c r="I430" s="74">
        <f t="array" ref="I430">IF(OR($D430="",$D430="NO ENCONTRADO"),"",_xlfn.XLOOKUP($D430,Productos!$E:$E,Productos!$F:$F,""))</f>
        <v/>
      </c>
      <c r="J430" s="74">
        <f>IF($C430="","",IF($D430="NO ENCONTRADO",IF(COUNTIF($C$7:$C$1000,$C430)&gt;1,"⚠️ No encontrado | Duplicado","⚠️ No encontrado"),IF(COUNTIF($C$7:$C$1000,$C430)&gt;1,"⚠️ Duplicado","Verificado")))</f>
        <v/>
      </c>
    </row>
    <row r="431" ht="15.75" customHeight="1" s="176">
      <c r="B431" s="80" t="n"/>
      <c r="C431" s="74" t="n"/>
      <c r="D431" s="74">
        <f t="array" ref="D431">IF($C431="","",IFNA(_xlfn.XLOOKUP($C431,Productos!$A:$A,Productos!$E:$E,IFNA(_xlfn.XLOOKUP(TEXT($C431,"0"),Productos!$A:$A,Productos!$E:$E,IFNA(_xlfn.XLOOKUP(IFERROR(VALUE($C431),""),Productos!$A:$A,Productos!$E:$E,_xlfn.XLOOKUP($C431,Productos!$E:$E,Productos!$E:$E,"NO ENCONTRADO")),"NO ENCONTRADO")),"NO ENCONTRADO")),"NO ENCONTRADO"))</f>
        <v/>
      </c>
      <c r="E431" s="74">
        <f t="array" ref="E431">IF(OR($D431="",$D431="NO ENCONTRADO"),"",_xlfn.XLOOKUP($D431,Productos!$E:$E,Productos!$H:$H,""))</f>
        <v/>
      </c>
      <c r="F431" s="74">
        <f t="array" ref="F431">IF(OR($D431="",$D431="NO ENCONTRADO"),"",_xlfn.XLOOKUP($D431,Productos!$E:$E,Productos!$I:$I,""))</f>
        <v/>
      </c>
      <c r="G431" s="74">
        <f t="array" ref="G431">IF(OR($D431="",$D431="NO ENCONTRADO"),"",_xlfn.XLOOKUP($D431,Productos!$E:$E,Productos!$J:$J,""))</f>
        <v/>
      </c>
      <c r="H431" s="74">
        <f t="array" ref="H431">IF(OR($D431="",$D431="NO ENCONTRADO"),"",_xlfn.XLOOKUP($D431,Productos!$E:$E,Productos!$K:$K,""))</f>
        <v/>
      </c>
      <c r="I431" s="74">
        <f t="array" ref="I431">IF(OR($D431="",$D431="NO ENCONTRADO"),"",_xlfn.XLOOKUP($D431,Productos!$E:$E,Productos!$F:$F,""))</f>
        <v/>
      </c>
      <c r="J431" s="74">
        <f>IF($C431="","",IF($D431="NO ENCONTRADO",IF(COUNTIF($C$7:$C$1000,$C431)&gt;1,"⚠️ No encontrado | Duplicado","⚠️ No encontrado"),IF(COUNTIF($C$7:$C$1000,$C431)&gt;1,"⚠️ Duplicado","Verificado")))</f>
        <v/>
      </c>
    </row>
    <row r="432" ht="15.75" customHeight="1" s="176">
      <c r="B432" s="80" t="n"/>
      <c r="C432" s="74" t="n"/>
      <c r="D432" s="74">
        <f t="array" ref="D432">IF($C432="","",IFNA(_xlfn.XLOOKUP($C432,Productos!$A:$A,Productos!$E:$E,IFNA(_xlfn.XLOOKUP(TEXT($C432,"0"),Productos!$A:$A,Productos!$E:$E,IFNA(_xlfn.XLOOKUP(IFERROR(VALUE($C432),""),Productos!$A:$A,Productos!$E:$E,_xlfn.XLOOKUP($C432,Productos!$E:$E,Productos!$E:$E,"NO ENCONTRADO")),"NO ENCONTRADO")),"NO ENCONTRADO")),"NO ENCONTRADO"))</f>
        <v/>
      </c>
      <c r="E432" s="74">
        <f t="array" ref="E432">IF(OR($D432="",$D432="NO ENCONTRADO"),"",_xlfn.XLOOKUP($D432,Productos!$E:$E,Productos!$H:$H,""))</f>
        <v/>
      </c>
      <c r="F432" s="74">
        <f t="array" ref="F432">IF(OR($D432="",$D432="NO ENCONTRADO"),"",_xlfn.XLOOKUP($D432,Productos!$E:$E,Productos!$I:$I,""))</f>
        <v/>
      </c>
      <c r="G432" s="74">
        <f t="array" ref="G432">IF(OR($D432="",$D432="NO ENCONTRADO"),"",_xlfn.XLOOKUP($D432,Productos!$E:$E,Productos!$J:$J,""))</f>
        <v/>
      </c>
      <c r="H432" s="74">
        <f t="array" ref="H432">IF(OR($D432="",$D432="NO ENCONTRADO"),"",_xlfn.XLOOKUP($D432,Productos!$E:$E,Productos!$K:$K,""))</f>
        <v/>
      </c>
      <c r="I432" s="74">
        <f t="array" ref="I432">IF(OR($D432="",$D432="NO ENCONTRADO"),"",_xlfn.XLOOKUP($D432,Productos!$E:$E,Productos!$F:$F,""))</f>
        <v/>
      </c>
      <c r="J432" s="74">
        <f>IF($C432="","",IF($D432="NO ENCONTRADO",IF(COUNTIF($C$7:$C$1000,$C432)&gt;1,"⚠️ No encontrado | Duplicado","⚠️ No encontrado"),IF(COUNTIF($C$7:$C$1000,$C432)&gt;1,"⚠️ Duplicado","Verificado")))</f>
        <v/>
      </c>
    </row>
    <row r="433" ht="15.75" customHeight="1" s="176">
      <c r="B433" s="80" t="n"/>
      <c r="C433" s="74" t="n"/>
      <c r="D433" s="74">
        <f t="array" ref="D433">IF($C433="","",IFNA(_xlfn.XLOOKUP($C433,Productos!$A:$A,Productos!$E:$E,IFNA(_xlfn.XLOOKUP(TEXT($C433,"0"),Productos!$A:$A,Productos!$E:$E,IFNA(_xlfn.XLOOKUP(IFERROR(VALUE($C433),""),Productos!$A:$A,Productos!$E:$E,_xlfn.XLOOKUP($C433,Productos!$E:$E,Productos!$E:$E,"NO ENCONTRADO")),"NO ENCONTRADO")),"NO ENCONTRADO")),"NO ENCONTRADO"))</f>
        <v/>
      </c>
      <c r="E433" s="74">
        <f t="array" ref="E433">IF(OR($D433="",$D433="NO ENCONTRADO"),"",_xlfn.XLOOKUP($D433,Productos!$E:$E,Productos!$H:$H,""))</f>
        <v/>
      </c>
      <c r="F433" s="74">
        <f t="array" ref="F433">IF(OR($D433="",$D433="NO ENCONTRADO"),"",_xlfn.XLOOKUP($D433,Productos!$E:$E,Productos!$I:$I,""))</f>
        <v/>
      </c>
      <c r="G433" s="74">
        <f t="array" ref="G433">IF(OR($D433="",$D433="NO ENCONTRADO"),"",_xlfn.XLOOKUP($D433,Productos!$E:$E,Productos!$J:$J,""))</f>
        <v/>
      </c>
      <c r="H433" s="74">
        <f t="array" ref="H433">IF(OR($D433="",$D433="NO ENCONTRADO"),"",_xlfn.XLOOKUP($D433,Productos!$E:$E,Productos!$K:$K,""))</f>
        <v/>
      </c>
      <c r="I433" s="74">
        <f t="array" ref="I433">IF(OR($D433="",$D433="NO ENCONTRADO"),"",_xlfn.XLOOKUP($D433,Productos!$E:$E,Productos!$F:$F,""))</f>
        <v/>
      </c>
      <c r="J433" s="74">
        <f>IF($C433="","",IF($D433="NO ENCONTRADO",IF(COUNTIF($C$7:$C$1000,$C433)&gt;1,"⚠️ No encontrado | Duplicado","⚠️ No encontrado"),IF(COUNTIF($C$7:$C$1000,$C433)&gt;1,"⚠️ Duplicado","Verificado")))</f>
        <v/>
      </c>
    </row>
    <row r="434" ht="15.75" customHeight="1" s="176">
      <c r="B434" s="80" t="n"/>
      <c r="C434" s="74" t="n"/>
      <c r="D434" s="74">
        <f t="array" ref="D434">IF($C434="","",IFNA(_xlfn.XLOOKUP($C434,Productos!$A:$A,Productos!$E:$E,IFNA(_xlfn.XLOOKUP(TEXT($C434,"0"),Productos!$A:$A,Productos!$E:$E,IFNA(_xlfn.XLOOKUP(IFERROR(VALUE($C434),""),Productos!$A:$A,Productos!$E:$E,_xlfn.XLOOKUP($C434,Productos!$E:$E,Productos!$E:$E,"NO ENCONTRADO")),"NO ENCONTRADO")),"NO ENCONTRADO")),"NO ENCONTRADO"))</f>
        <v/>
      </c>
      <c r="E434" s="74">
        <f t="array" ref="E434">IF(OR($D434="",$D434="NO ENCONTRADO"),"",_xlfn.XLOOKUP($D434,Productos!$E:$E,Productos!$H:$H,""))</f>
        <v/>
      </c>
      <c r="F434" s="74">
        <f t="array" ref="F434">IF(OR($D434="",$D434="NO ENCONTRADO"),"",_xlfn.XLOOKUP($D434,Productos!$E:$E,Productos!$I:$I,""))</f>
        <v/>
      </c>
      <c r="G434" s="74">
        <f t="array" ref="G434">IF(OR($D434="",$D434="NO ENCONTRADO"),"",_xlfn.XLOOKUP($D434,Productos!$E:$E,Productos!$J:$J,""))</f>
        <v/>
      </c>
      <c r="H434" s="74">
        <f t="array" ref="H434">IF(OR($D434="",$D434="NO ENCONTRADO"),"",_xlfn.XLOOKUP($D434,Productos!$E:$E,Productos!$K:$K,""))</f>
        <v/>
      </c>
      <c r="I434" s="74">
        <f t="array" ref="I434">IF(OR($D434="",$D434="NO ENCONTRADO"),"",_xlfn.XLOOKUP($D434,Productos!$E:$E,Productos!$F:$F,""))</f>
        <v/>
      </c>
      <c r="J434" s="74">
        <f>IF($C434="","",IF($D434="NO ENCONTRADO",IF(COUNTIF($C$7:$C$1000,$C434)&gt;1,"⚠️ No encontrado | Duplicado","⚠️ No encontrado"),IF(COUNTIF($C$7:$C$1000,$C434)&gt;1,"⚠️ Duplicado","Verificado")))</f>
        <v/>
      </c>
    </row>
    <row r="435" ht="15.75" customHeight="1" s="176">
      <c r="B435" s="80" t="n"/>
      <c r="C435" s="74" t="n"/>
      <c r="D435" s="74">
        <f t="array" ref="D435">IF($C435="","",IFNA(_xlfn.XLOOKUP($C435,Productos!$A:$A,Productos!$E:$E,IFNA(_xlfn.XLOOKUP(TEXT($C435,"0"),Productos!$A:$A,Productos!$E:$E,IFNA(_xlfn.XLOOKUP(IFERROR(VALUE($C435),""),Productos!$A:$A,Productos!$E:$E,_xlfn.XLOOKUP($C435,Productos!$E:$E,Productos!$E:$E,"NO ENCONTRADO")),"NO ENCONTRADO")),"NO ENCONTRADO")),"NO ENCONTRADO"))</f>
        <v/>
      </c>
      <c r="E435" s="74">
        <f t="array" ref="E435">IF(OR($D435="",$D435="NO ENCONTRADO"),"",_xlfn.XLOOKUP($D435,Productos!$E:$E,Productos!$H:$H,""))</f>
        <v/>
      </c>
      <c r="F435" s="74">
        <f t="array" ref="F435">IF(OR($D435="",$D435="NO ENCONTRADO"),"",_xlfn.XLOOKUP($D435,Productos!$E:$E,Productos!$I:$I,""))</f>
        <v/>
      </c>
      <c r="G435" s="74">
        <f t="array" ref="G435">IF(OR($D435="",$D435="NO ENCONTRADO"),"",_xlfn.XLOOKUP($D435,Productos!$E:$E,Productos!$J:$J,""))</f>
        <v/>
      </c>
      <c r="H435" s="74">
        <f t="array" ref="H435">IF(OR($D435="",$D435="NO ENCONTRADO"),"",_xlfn.XLOOKUP($D435,Productos!$E:$E,Productos!$K:$K,""))</f>
        <v/>
      </c>
      <c r="I435" s="74">
        <f t="array" ref="I435">IF(OR($D435="",$D435="NO ENCONTRADO"),"",_xlfn.XLOOKUP($D435,Productos!$E:$E,Productos!$F:$F,""))</f>
        <v/>
      </c>
      <c r="J435" s="74">
        <f>IF($C435="","",IF($D435="NO ENCONTRADO",IF(COUNTIF($C$7:$C$1000,$C435)&gt;1,"⚠️ No encontrado | Duplicado","⚠️ No encontrado"),IF(COUNTIF($C$7:$C$1000,$C435)&gt;1,"⚠️ Duplicado","Verificado")))</f>
        <v/>
      </c>
    </row>
    <row r="436" ht="15.75" customHeight="1" s="176">
      <c r="B436" s="80" t="n"/>
      <c r="C436" s="74" t="n"/>
      <c r="D436" s="74">
        <f t="array" ref="D436">IF($C436="","",IFNA(_xlfn.XLOOKUP($C436,Productos!$A:$A,Productos!$E:$E,IFNA(_xlfn.XLOOKUP(TEXT($C436,"0"),Productos!$A:$A,Productos!$E:$E,IFNA(_xlfn.XLOOKUP(IFERROR(VALUE($C436),""),Productos!$A:$A,Productos!$E:$E,_xlfn.XLOOKUP($C436,Productos!$E:$E,Productos!$E:$E,"NO ENCONTRADO")),"NO ENCONTRADO")),"NO ENCONTRADO")),"NO ENCONTRADO"))</f>
        <v/>
      </c>
      <c r="E436" s="74">
        <f t="array" ref="E436">IF(OR($D436="",$D436="NO ENCONTRADO"),"",_xlfn.XLOOKUP($D436,Productos!$E:$E,Productos!$H:$H,""))</f>
        <v/>
      </c>
      <c r="F436" s="74">
        <f t="array" ref="F436">IF(OR($D436="",$D436="NO ENCONTRADO"),"",_xlfn.XLOOKUP($D436,Productos!$E:$E,Productos!$I:$I,""))</f>
        <v/>
      </c>
      <c r="G436" s="74">
        <f t="array" ref="G436">IF(OR($D436="",$D436="NO ENCONTRADO"),"",_xlfn.XLOOKUP($D436,Productos!$E:$E,Productos!$J:$J,""))</f>
        <v/>
      </c>
      <c r="H436" s="74">
        <f t="array" ref="H436">IF(OR($D436="",$D436="NO ENCONTRADO"),"",_xlfn.XLOOKUP($D436,Productos!$E:$E,Productos!$K:$K,""))</f>
        <v/>
      </c>
      <c r="I436" s="74">
        <f t="array" ref="I436">IF(OR($D436="",$D436="NO ENCONTRADO"),"",_xlfn.XLOOKUP($D436,Productos!$E:$E,Productos!$F:$F,""))</f>
        <v/>
      </c>
      <c r="J436" s="74">
        <f>IF($C436="","",IF($D436="NO ENCONTRADO",IF(COUNTIF($C$7:$C$1000,$C436)&gt;1,"⚠️ No encontrado | Duplicado","⚠️ No encontrado"),IF(COUNTIF($C$7:$C$1000,$C436)&gt;1,"⚠️ Duplicado","Verificado")))</f>
        <v/>
      </c>
    </row>
    <row r="437" ht="15.75" customHeight="1" s="176">
      <c r="B437" s="80" t="n"/>
      <c r="C437" s="74" t="n"/>
      <c r="D437" s="74">
        <f t="array" ref="D437">IF($C437="","",IFNA(_xlfn.XLOOKUP($C437,Productos!$A:$A,Productos!$E:$E,IFNA(_xlfn.XLOOKUP(TEXT($C437,"0"),Productos!$A:$A,Productos!$E:$E,IFNA(_xlfn.XLOOKUP(IFERROR(VALUE($C437),""),Productos!$A:$A,Productos!$E:$E,_xlfn.XLOOKUP($C437,Productos!$E:$E,Productos!$E:$E,"NO ENCONTRADO")),"NO ENCONTRADO")),"NO ENCONTRADO")),"NO ENCONTRADO"))</f>
        <v/>
      </c>
      <c r="E437" s="74">
        <f t="array" ref="E437">IF(OR($D437="",$D437="NO ENCONTRADO"),"",_xlfn.XLOOKUP($D437,Productos!$E:$E,Productos!$H:$H,""))</f>
        <v/>
      </c>
      <c r="F437" s="74">
        <f t="array" ref="F437">IF(OR($D437="",$D437="NO ENCONTRADO"),"",_xlfn.XLOOKUP($D437,Productos!$E:$E,Productos!$I:$I,""))</f>
        <v/>
      </c>
      <c r="G437" s="74">
        <f t="array" ref="G437">IF(OR($D437="",$D437="NO ENCONTRADO"),"",_xlfn.XLOOKUP($D437,Productos!$E:$E,Productos!$J:$J,""))</f>
        <v/>
      </c>
      <c r="H437" s="74">
        <f t="array" ref="H437">IF(OR($D437="",$D437="NO ENCONTRADO"),"",_xlfn.XLOOKUP($D437,Productos!$E:$E,Productos!$K:$K,""))</f>
        <v/>
      </c>
      <c r="I437" s="74">
        <f t="array" ref="I437">IF(OR($D437="",$D437="NO ENCONTRADO"),"",_xlfn.XLOOKUP($D437,Productos!$E:$E,Productos!$F:$F,""))</f>
        <v/>
      </c>
      <c r="J437" s="74">
        <f>IF($C437="","",IF($D437="NO ENCONTRADO",IF(COUNTIF($C$7:$C$1000,$C437)&gt;1,"⚠️ No encontrado | Duplicado","⚠️ No encontrado"),IF(COUNTIF($C$7:$C$1000,$C437)&gt;1,"⚠️ Duplicado","Verificado")))</f>
        <v/>
      </c>
    </row>
    <row r="438" ht="15.75" customHeight="1" s="176">
      <c r="B438" s="80" t="n"/>
      <c r="C438" s="74" t="n"/>
      <c r="D438" s="74">
        <f t="array" ref="D438">IF($C438="","",IFNA(_xlfn.XLOOKUP($C438,Productos!$A:$A,Productos!$E:$E,IFNA(_xlfn.XLOOKUP(TEXT($C438,"0"),Productos!$A:$A,Productos!$E:$E,IFNA(_xlfn.XLOOKUP(IFERROR(VALUE($C438),""),Productos!$A:$A,Productos!$E:$E,_xlfn.XLOOKUP($C438,Productos!$E:$E,Productos!$E:$E,"NO ENCONTRADO")),"NO ENCONTRADO")),"NO ENCONTRADO")),"NO ENCONTRADO"))</f>
        <v/>
      </c>
      <c r="E438" s="74">
        <f t="array" ref="E438">IF(OR($D438="",$D438="NO ENCONTRADO"),"",_xlfn.XLOOKUP($D438,Productos!$E:$E,Productos!$H:$H,""))</f>
        <v/>
      </c>
      <c r="F438" s="74">
        <f t="array" ref="F438">IF(OR($D438="",$D438="NO ENCONTRADO"),"",_xlfn.XLOOKUP($D438,Productos!$E:$E,Productos!$I:$I,""))</f>
        <v/>
      </c>
      <c r="G438" s="74">
        <f t="array" ref="G438">IF(OR($D438="",$D438="NO ENCONTRADO"),"",_xlfn.XLOOKUP($D438,Productos!$E:$E,Productos!$J:$J,""))</f>
        <v/>
      </c>
      <c r="H438" s="74">
        <f t="array" ref="H438">IF(OR($D438="",$D438="NO ENCONTRADO"),"",_xlfn.XLOOKUP($D438,Productos!$E:$E,Productos!$K:$K,""))</f>
        <v/>
      </c>
      <c r="I438" s="74">
        <f t="array" ref="I438">IF(OR($D438="",$D438="NO ENCONTRADO"),"",_xlfn.XLOOKUP($D438,Productos!$E:$E,Productos!$F:$F,""))</f>
        <v/>
      </c>
      <c r="J438" s="74">
        <f>IF($C438="","",IF($D438="NO ENCONTRADO",IF(COUNTIF($C$7:$C$1000,$C438)&gt;1,"⚠️ No encontrado | Duplicado","⚠️ No encontrado"),IF(COUNTIF($C$7:$C$1000,$C438)&gt;1,"⚠️ Duplicado","Verificado")))</f>
        <v/>
      </c>
    </row>
    <row r="439" ht="15.75" customHeight="1" s="176">
      <c r="B439" s="80" t="n"/>
      <c r="C439" s="74" t="n"/>
      <c r="D439" s="74">
        <f t="array" ref="D439">IF($C439="","",IFNA(_xlfn.XLOOKUP($C439,Productos!$A:$A,Productos!$E:$E,IFNA(_xlfn.XLOOKUP(TEXT($C439,"0"),Productos!$A:$A,Productos!$E:$E,IFNA(_xlfn.XLOOKUP(IFERROR(VALUE($C439),""),Productos!$A:$A,Productos!$E:$E,_xlfn.XLOOKUP($C439,Productos!$E:$E,Productos!$E:$E,"NO ENCONTRADO")),"NO ENCONTRADO")),"NO ENCONTRADO")),"NO ENCONTRADO"))</f>
        <v/>
      </c>
      <c r="E439" s="74">
        <f t="array" ref="E439">IF(OR($D439="",$D439="NO ENCONTRADO"),"",_xlfn.XLOOKUP($D439,Productos!$E:$E,Productos!$H:$H,""))</f>
        <v/>
      </c>
      <c r="F439" s="74">
        <f t="array" ref="F439">IF(OR($D439="",$D439="NO ENCONTRADO"),"",_xlfn.XLOOKUP($D439,Productos!$E:$E,Productos!$I:$I,""))</f>
        <v/>
      </c>
      <c r="G439" s="74">
        <f t="array" ref="G439">IF(OR($D439="",$D439="NO ENCONTRADO"),"",_xlfn.XLOOKUP($D439,Productos!$E:$E,Productos!$J:$J,""))</f>
        <v/>
      </c>
      <c r="H439" s="74">
        <f t="array" ref="H439">IF(OR($D439="",$D439="NO ENCONTRADO"),"",_xlfn.XLOOKUP($D439,Productos!$E:$E,Productos!$K:$K,""))</f>
        <v/>
      </c>
      <c r="I439" s="74">
        <f t="array" ref="I439">IF(OR($D439="",$D439="NO ENCONTRADO"),"",_xlfn.XLOOKUP($D439,Productos!$E:$E,Productos!$F:$F,""))</f>
        <v/>
      </c>
      <c r="J439" s="74">
        <f>IF($C439="","",IF($D439="NO ENCONTRADO",IF(COUNTIF($C$7:$C$1000,$C439)&gt;1,"⚠️ No encontrado | Duplicado","⚠️ No encontrado"),IF(COUNTIF($C$7:$C$1000,$C439)&gt;1,"⚠️ Duplicado","Verificado")))</f>
        <v/>
      </c>
    </row>
    <row r="440" ht="15.75" customHeight="1" s="176">
      <c r="B440" s="80" t="n"/>
      <c r="C440" s="74" t="n"/>
      <c r="D440" s="74">
        <f t="array" ref="D440">IF($C440="","",IFNA(_xlfn.XLOOKUP($C440,Productos!$A:$A,Productos!$E:$E,IFNA(_xlfn.XLOOKUP(TEXT($C440,"0"),Productos!$A:$A,Productos!$E:$E,IFNA(_xlfn.XLOOKUP(IFERROR(VALUE($C440),""),Productos!$A:$A,Productos!$E:$E,_xlfn.XLOOKUP($C440,Productos!$E:$E,Productos!$E:$E,"NO ENCONTRADO")),"NO ENCONTRADO")),"NO ENCONTRADO")),"NO ENCONTRADO"))</f>
        <v/>
      </c>
      <c r="E440" s="74">
        <f t="array" ref="E440">IF(OR($D440="",$D440="NO ENCONTRADO"),"",_xlfn.XLOOKUP($D440,Productos!$E:$E,Productos!$H:$H,""))</f>
        <v/>
      </c>
      <c r="F440" s="74">
        <f t="array" ref="F440">IF(OR($D440="",$D440="NO ENCONTRADO"),"",_xlfn.XLOOKUP($D440,Productos!$E:$E,Productos!$I:$I,""))</f>
        <v/>
      </c>
      <c r="G440" s="74">
        <f t="array" ref="G440">IF(OR($D440="",$D440="NO ENCONTRADO"),"",_xlfn.XLOOKUP($D440,Productos!$E:$E,Productos!$J:$J,""))</f>
        <v/>
      </c>
      <c r="H440" s="74">
        <f t="array" ref="H440">IF(OR($D440="",$D440="NO ENCONTRADO"),"",_xlfn.XLOOKUP($D440,Productos!$E:$E,Productos!$K:$K,""))</f>
        <v/>
      </c>
      <c r="I440" s="74">
        <f t="array" ref="I440">IF(OR($D440="",$D440="NO ENCONTRADO"),"",_xlfn.XLOOKUP($D440,Productos!$E:$E,Productos!$F:$F,""))</f>
        <v/>
      </c>
      <c r="J440" s="74">
        <f>IF($C440="","",IF($D440="NO ENCONTRADO",IF(COUNTIF($C$7:$C$1000,$C440)&gt;1,"⚠️ No encontrado | Duplicado","⚠️ No encontrado"),IF(COUNTIF($C$7:$C$1000,$C440)&gt;1,"⚠️ Duplicado","Verificado")))</f>
        <v/>
      </c>
    </row>
    <row r="441" ht="15.75" customHeight="1" s="176">
      <c r="B441" s="80" t="n"/>
      <c r="C441" s="74" t="n"/>
      <c r="D441" s="74">
        <f t="array" ref="D441">IF($C441="","",IFNA(_xlfn.XLOOKUP($C441,Productos!$A:$A,Productos!$E:$E,IFNA(_xlfn.XLOOKUP(TEXT($C441,"0"),Productos!$A:$A,Productos!$E:$E,IFNA(_xlfn.XLOOKUP(IFERROR(VALUE($C441),""),Productos!$A:$A,Productos!$E:$E,_xlfn.XLOOKUP($C441,Productos!$E:$E,Productos!$E:$E,"NO ENCONTRADO")),"NO ENCONTRADO")),"NO ENCONTRADO")),"NO ENCONTRADO"))</f>
        <v/>
      </c>
      <c r="E441" s="74">
        <f t="array" ref="E441">IF(OR($D441="",$D441="NO ENCONTRADO"),"",_xlfn.XLOOKUP($D441,Productos!$E:$E,Productos!$H:$H,""))</f>
        <v/>
      </c>
      <c r="F441" s="74">
        <f t="array" ref="F441">IF(OR($D441="",$D441="NO ENCONTRADO"),"",_xlfn.XLOOKUP($D441,Productos!$E:$E,Productos!$I:$I,""))</f>
        <v/>
      </c>
      <c r="G441" s="74">
        <f t="array" ref="G441">IF(OR($D441="",$D441="NO ENCONTRADO"),"",_xlfn.XLOOKUP($D441,Productos!$E:$E,Productos!$J:$J,""))</f>
        <v/>
      </c>
      <c r="H441" s="74">
        <f t="array" ref="H441">IF(OR($D441="",$D441="NO ENCONTRADO"),"",_xlfn.XLOOKUP($D441,Productos!$E:$E,Productos!$K:$K,""))</f>
        <v/>
      </c>
      <c r="I441" s="74">
        <f t="array" ref="I441">IF(OR($D441="",$D441="NO ENCONTRADO"),"",_xlfn.XLOOKUP($D441,Productos!$E:$E,Productos!$F:$F,""))</f>
        <v/>
      </c>
      <c r="J441" s="74">
        <f>IF($C441="","",IF($D441="NO ENCONTRADO",IF(COUNTIF($C$7:$C$1000,$C441)&gt;1,"⚠️ No encontrado | Duplicado","⚠️ No encontrado"),IF(COUNTIF($C$7:$C$1000,$C441)&gt;1,"⚠️ Duplicado","Verificado")))</f>
        <v/>
      </c>
    </row>
    <row r="442" ht="15.75" customHeight="1" s="176">
      <c r="B442" s="80" t="n"/>
      <c r="C442" s="74" t="n"/>
      <c r="D442" s="74">
        <f t="array" ref="D442">IF($C442="","",IFNA(_xlfn.XLOOKUP($C442,Productos!$A:$A,Productos!$E:$E,IFNA(_xlfn.XLOOKUP(TEXT($C442,"0"),Productos!$A:$A,Productos!$E:$E,IFNA(_xlfn.XLOOKUP(IFERROR(VALUE($C442),""),Productos!$A:$A,Productos!$E:$E,_xlfn.XLOOKUP($C442,Productos!$E:$E,Productos!$E:$E,"NO ENCONTRADO")),"NO ENCONTRADO")),"NO ENCONTRADO")),"NO ENCONTRADO"))</f>
        <v/>
      </c>
      <c r="E442" s="74">
        <f t="array" ref="E442">IF(OR($D442="",$D442="NO ENCONTRADO"),"",_xlfn.XLOOKUP($D442,Productos!$E:$E,Productos!$H:$H,""))</f>
        <v/>
      </c>
      <c r="F442" s="74">
        <f t="array" ref="F442">IF(OR($D442="",$D442="NO ENCONTRADO"),"",_xlfn.XLOOKUP($D442,Productos!$E:$E,Productos!$I:$I,""))</f>
        <v/>
      </c>
      <c r="G442" s="74">
        <f t="array" ref="G442">IF(OR($D442="",$D442="NO ENCONTRADO"),"",_xlfn.XLOOKUP($D442,Productos!$E:$E,Productos!$J:$J,""))</f>
        <v/>
      </c>
      <c r="H442" s="74">
        <f t="array" ref="H442">IF(OR($D442="",$D442="NO ENCONTRADO"),"",_xlfn.XLOOKUP($D442,Productos!$E:$E,Productos!$K:$K,""))</f>
        <v/>
      </c>
      <c r="I442" s="74">
        <f t="array" ref="I442">IF(OR($D442="",$D442="NO ENCONTRADO"),"",_xlfn.XLOOKUP($D442,Productos!$E:$E,Productos!$F:$F,""))</f>
        <v/>
      </c>
      <c r="J442" s="74">
        <f>IF($C442="","",IF($D442="NO ENCONTRADO",IF(COUNTIF($C$7:$C$1000,$C442)&gt;1,"⚠️ No encontrado | Duplicado","⚠️ No encontrado"),IF(COUNTIF($C$7:$C$1000,$C442)&gt;1,"⚠️ Duplicado","Verificado")))</f>
        <v/>
      </c>
    </row>
    <row r="443" ht="15.75" customHeight="1" s="176">
      <c r="B443" s="80" t="n"/>
      <c r="C443" s="74" t="n"/>
      <c r="D443" s="74">
        <f t="array" ref="D443">IF($C443="","",IFNA(_xlfn.XLOOKUP($C443,Productos!$A:$A,Productos!$E:$E,IFNA(_xlfn.XLOOKUP(TEXT($C443,"0"),Productos!$A:$A,Productos!$E:$E,IFNA(_xlfn.XLOOKUP(IFERROR(VALUE($C443),""),Productos!$A:$A,Productos!$E:$E,_xlfn.XLOOKUP($C443,Productos!$E:$E,Productos!$E:$E,"NO ENCONTRADO")),"NO ENCONTRADO")),"NO ENCONTRADO")),"NO ENCONTRADO"))</f>
        <v/>
      </c>
      <c r="E443" s="74">
        <f t="array" ref="E443">IF(OR($D443="",$D443="NO ENCONTRADO"),"",_xlfn.XLOOKUP($D443,Productos!$E:$E,Productos!$H:$H,""))</f>
        <v/>
      </c>
      <c r="F443" s="74">
        <f t="array" ref="F443">IF(OR($D443="",$D443="NO ENCONTRADO"),"",_xlfn.XLOOKUP($D443,Productos!$E:$E,Productos!$I:$I,""))</f>
        <v/>
      </c>
      <c r="G443" s="74">
        <f t="array" ref="G443">IF(OR($D443="",$D443="NO ENCONTRADO"),"",_xlfn.XLOOKUP($D443,Productos!$E:$E,Productos!$J:$J,""))</f>
        <v/>
      </c>
      <c r="H443" s="74">
        <f t="array" ref="H443">IF(OR($D443="",$D443="NO ENCONTRADO"),"",_xlfn.XLOOKUP($D443,Productos!$E:$E,Productos!$K:$K,""))</f>
        <v/>
      </c>
      <c r="I443" s="74">
        <f t="array" ref="I443">IF(OR($D443="",$D443="NO ENCONTRADO"),"",_xlfn.XLOOKUP($D443,Productos!$E:$E,Productos!$F:$F,""))</f>
        <v/>
      </c>
      <c r="J443" s="74">
        <f>IF($C443="","",IF($D443="NO ENCONTRADO",IF(COUNTIF($C$7:$C$1000,$C443)&gt;1,"⚠️ No encontrado | Duplicado","⚠️ No encontrado"),IF(COUNTIF($C$7:$C$1000,$C443)&gt;1,"⚠️ Duplicado","Verificado")))</f>
        <v/>
      </c>
    </row>
    <row r="444" ht="15.75" customHeight="1" s="176">
      <c r="B444" s="80" t="n"/>
      <c r="C444" s="74" t="n"/>
      <c r="D444" s="74">
        <f t="array" ref="D444">IF($C444="","",IFNA(_xlfn.XLOOKUP($C444,Productos!$A:$A,Productos!$E:$E,IFNA(_xlfn.XLOOKUP(TEXT($C444,"0"),Productos!$A:$A,Productos!$E:$E,IFNA(_xlfn.XLOOKUP(IFERROR(VALUE($C444),""),Productos!$A:$A,Productos!$E:$E,_xlfn.XLOOKUP($C444,Productos!$E:$E,Productos!$E:$E,"NO ENCONTRADO")),"NO ENCONTRADO")),"NO ENCONTRADO")),"NO ENCONTRADO"))</f>
        <v/>
      </c>
      <c r="E444" s="74">
        <f t="array" ref="E444">IF(OR($D444="",$D444="NO ENCONTRADO"),"",_xlfn.XLOOKUP($D444,Productos!$E:$E,Productos!$H:$H,""))</f>
        <v/>
      </c>
      <c r="F444" s="74">
        <f t="array" ref="F444">IF(OR($D444="",$D444="NO ENCONTRADO"),"",_xlfn.XLOOKUP($D444,Productos!$E:$E,Productos!$I:$I,""))</f>
        <v/>
      </c>
      <c r="G444" s="74">
        <f t="array" ref="G444">IF(OR($D444="",$D444="NO ENCONTRADO"),"",_xlfn.XLOOKUP($D444,Productos!$E:$E,Productos!$J:$J,""))</f>
        <v/>
      </c>
      <c r="H444" s="74">
        <f t="array" ref="H444">IF(OR($D444="",$D444="NO ENCONTRADO"),"",_xlfn.XLOOKUP($D444,Productos!$E:$E,Productos!$K:$K,""))</f>
        <v/>
      </c>
      <c r="I444" s="74">
        <f t="array" ref="I444">IF(OR($D444="",$D444="NO ENCONTRADO"),"",_xlfn.XLOOKUP($D444,Productos!$E:$E,Productos!$F:$F,""))</f>
        <v/>
      </c>
      <c r="J444" s="74">
        <f>IF($C444="","",IF($D444="NO ENCONTRADO",IF(COUNTIF($C$7:$C$1000,$C444)&gt;1,"⚠️ No encontrado | Duplicado","⚠️ No encontrado"),IF(COUNTIF($C$7:$C$1000,$C444)&gt;1,"⚠️ Duplicado","Verificado")))</f>
        <v/>
      </c>
    </row>
    <row r="445" ht="15.75" customHeight="1" s="176">
      <c r="B445" s="80" t="n"/>
      <c r="C445" s="74" t="n"/>
      <c r="D445" s="74">
        <f t="array" ref="D445">IF($C445="","",IFNA(_xlfn.XLOOKUP($C445,Productos!$A:$A,Productos!$E:$E,IFNA(_xlfn.XLOOKUP(TEXT($C445,"0"),Productos!$A:$A,Productos!$E:$E,IFNA(_xlfn.XLOOKUP(IFERROR(VALUE($C445),""),Productos!$A:$A,Productos!$E:$E,_xlfn.XLOOKUP($C445,Productos!$E:$E,Productos!$E:$E,"NO ENCONTRADO")),"NO ENCONTRADO")),"NO ENCONTRADO")),"NO ENCONTRADO"))</f>
        <v/>
      </c>
      <c r="E445" s="74">
        <f t="array" ref="E445">IF(OR($D445="",$D445="NO ENCONTRADO"),"",_xlfn.XLOOKUP($D445,Productos!$E:$E,Productos!$H:$H,""))</f>
        <v/>
      </c>
      <c r="F445" s="74">
        <f t="array" ref="F445">IF(OR($D445="",$D445="NO ENCONTRADO"),"",_xlfn.XLOOKUP($D445,Productos!$E:$E,Productos!$I:$I,""))</f>
        <v/>
      </c>
      <c r="G445" s="74">
        <f t="array" ref="G445">IF(OR($D445="",$D445="NO ENCONTRADO"),"",_xlfn.XLOOKUP($D445,Productos!$E:$E,Productos!$J:$J,""))</f>
        <v/>
      </c>
      <c r="H445" s="74">
        <f t="array" ref="H445">IF(OR($D445="",$D445="NO ENCONTRADO"),"",_xlfn.XLOOKUP($D445,Productos!$E:$E,Productos!$K:$K,""))</f>
        <v/>
      </c>
      <c r="I445" s="74">
        <f t="array" ref="I445">IF(OR($D445="",$D445="NO ENCONTRADO"),"",_xlfn.XLOOKUP($D445,Productos!$E:$E,Productos!$F:$F,""))</f>
        <v/>
      </c>
      <c r="J445" s="74">
        <f>IF($C445="","",IF($D445="NO ENCONTRADO",IF(COUNTIF($C$7:$C$1000,$C445)&gt;1,"⚠️ No encontrado | Duplicado","⚠️ No encontrado"),IF(COUNTIF($C$7:$C$1000,$C445)&gt;1,"⚠️ Duplicado","Verificado")))</f>
        <v/>
      </c>
    </row>
    <row r="446" ht="15.75" customHeight="1" s="176">
      <c r="B446" s="80" t="n"/>
      <c r="C446" s="74" t="n"/>
      <c r="D446" s="74">
        <f t="array" ref="D446">IF($C446="","",IFNA(_xlfn.XLOOKUP($C446,Productos!$A:$A,Productos!$E:$E,IFNA(_xlfn.XLOOKUP(TEXT($C446,"0"),Productos!$A:$A,Productos!$E:$E,IFNA(_xlfn.XLOOKUP(IFERROR(VALUE($C446),""),Productos!$A:$A,Productos!$E:$E,_xlfn.XLOOKUP($C446,Productos!$E:$E,Productos!$E:$E,"NO ENCONTRADO")),"NO ENCONTRADO")),"NO ENCONTRADO")),"NO ENCONTRADO"))</f>
        <v/>
      </c>
      <c r="E446" s="74">
        <f t="array" ref="E446">IF(OR($D446="",$D446="NO ENCONTRADO"),"",_xlfn.XLOOKUP($D446,Productos!$E:$E,Productos!$H:$H,""))</f>
        <v/>
      </c>
      <c r="F446" s="74">
        <f t="array" ref="F446">IF(OR($D446="",$D446="NO ENCONTRADO"),"",_xlfn.XLOOKUP($D446,Productos!$E:$E,Productos!$I:$I,""))</f>
        <v/>
      </c>
      <c r="G446" s="74">
        <f t="array" ref="G446">IF(OR($D446="",$D446="NO ENCONTRADO"),"",_xlfn.XLOOKUP($D446,Productos!$E:$E,Productos!$J:$J,""))</f>
        <v/>
      </c>
      <c r="H446" s="74">
        <f t="array" ref="H446">IF(OR($D446="",$D446="NO ENCONTRADO"),"",_xlfn.XLOOKUP($D446,Productos!$E:$E,Productos!$K:$K,""))</f>
        <v/>
      </c>
      <c r="I446" s="74">
        <f t="array" ref="I446">IF(OR($D446="",$D446="NO ENCONTRADO"),"",_xlfn.XLOOKUP($D446,Productos!$E:$E,Productos!$F:$F,""))</f>
        <v/>
      </c>
      <c r="J446" s="74">
        <f>IF($C446="","",IF($D446="NO ENCONTRADO",IF(COUNTIF($C$7:$C$1000,$C446)&gt;1,"⚠️ No encontrado | Duplicado","⚠️ No encontrado"),IF(COUNTIF($C$7:$C$1000,$C446)&gt;1,"⚠️ Duplicado","Verificado")))</f>
        <v/>
      </c>
    </row>
    <row r="447" ht="15.75" customHeight="1" s="176">
      <c r="B447" s="80" t="n"/>
      <c r="C447" s="74" t="n"/>
      <c r="D447" s="74">
        <f t="array" ref="D447">IF($C447="","",IFNA(_xlfn.XLOOKUP($C447,Productos!$A:$A,Productos!$E:$E,IFNA(_xlfn.XLOOKUP(TEXT($C447,"0"),Productos!$A:$A,Productos!$E:$E,IFNA(_xlfn.XLOOKUP(IFERROR(VALUE($C447),""),Productos!$A:$A,Productos!$E:$E,_xlfn.XLOOKUP($C447,Productos!$E:$E,Productos!$E:$E,"NO ENCONTRADO")),"NO ENCONTRADO")),"NO ENCONTRADO")),"NO ENCONTRADO"))</f>
        <v/>
      </c>
      <c r="E447" s="74">
        <f t="array" ref="E447">IF(OR($D447="",$D447="NO ENCONTRADO"),"",_xlfn.XLOOKUP($D447,Productos!$E:$E,Productos!$H:$H,""))</f>
        <v/>
      </c>
      <c r="F447" s="74">
        <f t="array" ref="F447">IF(OR($D447="",$D447="NO ENCONTRADO"),"",_xlfn.XLOOKUP($D447,Productos!$E:$E,Productos!$I:$I,""))</f>
        <v/>
      </c>
      <c r="G447" s="74">
        <f t="array" ref="G447">IF(OR($D447="",$D447="NO ENCONTRADO"),"",_xlfn.XLOOKUP($D447,Productos!$E:$E,Productos!$J:$J,""))</f>
        <v/>
      </c>
      <c r="H447" s="74">
        <f t="array" ref="H447">IF(OR($D447="",$D447="NO ENCONTRADO"),"",_xlfn.XLOOKUP($D447,Productos!$E:$E,Productos!$K:$K,""))</f>
        <v/>
      </c>
      <c r="I447" s="74">
        <f t="array" ref="I447">IF(OR($D447="",$D447="NO ENCONTRADO"),"",_xlfn.XLOOKUP($D447,Productos!$E:$E,Productos!$F:$F,""))</f>
        <v/>
      </c>
      <c r="J447" s="74">
        <f>IF($C447="","",IF($D447="NO ENCONTRADO",IF(COUNTIF($C$7:$C$1000,$C447)&gt;1,"⚠️ No encontrado | Duplicado","⚠️ No encontrado"),IF(COUNTIF($C$7:$C$1000,$C447)&gt;1,"⚠️ Duplicado","Verificado")))</f>
        <v/>
      </c>
    </row>
    <row r="448" ht="15.75" customHeight="1" s="176">
      <c r="B448" s="80" t="n"/>
      <c r="C448" s="74" t="n"/>
      <c r="D448" s="74">
        <f t="array" ref="D448">IF($C448="","",IFNA(_xlfn.XLOOKUP($C448,Productos!$A:$A,Productos!$E:$E,IFNA(_xlfn.XLOOKUP(TEXT($C448,"0"),Productos!$A:$A,Productos!$E:$E,IFNA(_xlfn.XLOOKUP(IFERROR(VALUE($C448),""),Productos!$A:$A,Productos!$E:$E,_xlfn.XLOOKUP($C448,Productos!$E:$E,Productos!$E:$E,"NO ENCONTRADO")),"NO ENCONTRADO")),"NO ENCONTRADO")),"NO ENCONTRADO"))</f>
        <v/>
      </c>
      <c r="E448" s="74">
        <f t="array" ref="E448">IF(OR($D448="",$D448="NO ENCONTRADO"),"",_xlfn.XLOOKUP($D448,Productos!$E:$E,Productos!$H:$H,""))</f>
        <v/>
      </c>
      <c r="F448" s="74">
        <f t="array" ref="F448">IF(OR($D448="",$D448="NO ENCONTRADO"),"",_xlfn.XLOOKUP($D448,Productos!$E:$E,Productos!$I:$I,""))</f>
        <v/>
      </c>
      <c r="G448" s="74">
        <f t="array" ref="G448">IF(OR($D448="",$D448="NO ENCONTRADO"),"",_xlfn.XLOOKUP($D448,Productos!$E:$E,Productos!$J:$J,""))</f>
        <v/>
      </c>
      <c r="H448" s="74">
        <f t="array" ref="H448">IF(OR($D448="",$D448="NO ENCONTRADO"),"",_xlfn.XLOOKUP($D448,Productos!$E:$E,Productos!$K:$K,""))</f>
        <v/>
      </c>
      <c r="I448" s="74">
        <f t="array" ref="I448">IF(OR($D448="",$D448="NO ENCONTRADO"),"",_xlfn.XLOOKUP($D448,Productos!$E:$E,Productos!$F:$F,""))</f>
        <v/>
      </c>
      <c r="J448" s="74">
        <f>IF($C448="","",IF($D448="NO ENCONTRADO",IF(COUNTIF($C$7:$C$1000,$C448)&gt;1,"⚠️ No encontrado | Duplicado","⚠️ No encontrado"),IF(COUNTIF($C$7:$C$1000,$C448)&gt;1,"⚠️ Duplicado","Verificado")))</f>
        <v/>
      </c>
    </row>
    <row r="449" ht="15.75" customHeight="1" s="176">
      <c r="B449" s="80" t="n"/>
      <c r="C449" s="74" t="n"/>
      <c r="D449" s="74">
        <f t="array" ref="D449">IF($C449="","",IFNA(_xlfn.XLOOKUP($C449,Productos!$A:$A,Productos!$E:$E,IFNA(_xlfn.XLOOKUP(TEXT($C449,"0"),Productos!$A:$A,Productos!$E:$E,IFNA(_xlfn.XLOOKUP(IFERROR(VALUE($C449),""),Productos!$A:$A,Productos!$E:$E,_xlfn.XLOOKUP($C449,Productos!$E:$E,Productos!$E:$E,"NO ENCONTRADO")),"NO ENCONTRADO")),"NO ENCONTRADO")),"NO ENCONTRADO"))</f>
        <v/>
      </c>
      <c r="E449" s="74">
        <f t="array" ref="E449">IF(OR($D449="",$D449="NO ENCONTRADO"),"",_xlfn.XLOOKUP($D449,Productos!$E:$E,Productos!$H:$H,""))</f>
        <v/>
      </c>
      <c r="F449" s="74">
        <f t="array" ref="F449">IF(OR($D449="",$D449="NO ENCONTRADO"),"",_xlfn.XLOOKUP($D449,Productos!$E:$E,Productos!$I:$I,""))</f>
        <v/>
      </c>
      <c r="G449" s="74">
        <f t="array" ref="G449">IF(OR($D449="",$D449="NO ENCONTRADO"),"",_xlfn.XLOOKUP($D449,Productos!$E:$E,Productos!$J:$J,""))</f>
        <v/>
      </c>
      <c r="H449" s="74">
        <f t="array" ref="H449">IF(OR($D449="",$D449="NO ENCONTRADO"),"",_xlfn.XLOOKUP($D449,Productos!$E:$E,Productos!$K:$K,""))</f>
        <v/>
      </c>
      <c r="I449" s="74">
        <f t="array" ref="I449">IF(OR($D449="",$D449="NO ENCONTRADO"),"",_xlfn.XLOOKUP($D449,Productos!$E:$E,Productos!$F:$F,""))</f>
        <v/>
      </c>
      <c r="J449" s="74">
        <f>IF($C449="","",IF($D449="NO ENCONTRADO",IF(COUNTIF($C$7:$C$1000,$C449)&gt;1,"⚠️ No encontrado | Duplicado","⚠️ No encontrado"),IF(COUNTIF($C$7:$C$1000,$C449)&gt;1,"⚠️ Duplicado","Verificado")))</f>
        <v/>
      </c>
    </row>
    <row r="450" ht="15.75" customHeight="1" s="176">
      <c r="B450" s="80" t="n"/>
      <c r="C450" s="74" t="n"/>
      <c r="D450" s="74">
        <f t="array" ref="D450">IF($C450="","",IFNA(_xlfn.XLOOKUP($C450,Productos!$A:$A,Productos!$E:$E,IFNA(_xlfn.XLOOKUP(TEXT($C450,"0"),Productos!$A:$A,Productos!$E:$E,IFNA(_xlfn.XLOOKUP(IFERROR(VALUE($C450),""),Productos!$A:$A,Productos!$E:$E,_xlfn.XLOOKUP($C450,Productos!$E:$E,Productos!$E:$E,"NO ENCONTRADO")),"NO ENCONTRADO")),"NO ENCONTRADO")),"NO ENCONTRADO"))</f>
        <v/>
      </c>
      <c r="E450" s="74">
        <f t="array" ref="E450">IF(OR($D450="",$D450="NO ENCONTRADO"),"",_xlfn.XLOOKUP($D450,Productos!$E:$E,Productos!$H:$H,""))</f>
        <v/>
      </c>
      <c r="F450" s="74">
        <f t="array" ref="F450">IF(OR($D450="",$D450="NO ENCONTRADO"),"",_xlfn.XLOOKUP($D450,Productos!$E:$E,Productos!$I:$I,""))</f>
        <v/>
      </c>
      <c r="G450" s="74">
        <f t="array" ref="G450">IF(OR($D450="",$D450="NO ENCONTRADO"),"",_xlfn.XLOOKUP($D450,Productos!$E:$E,Productos!$J:$J,""))</f>
        <v/>
      </c>
      <c r="H450" s="74">
        <f t="array" ref="H450">IF(OR($D450="",$D450="NO ENCONTRADO"),"",_xlfn.XLOOKUP($D450,Productos!$E:$E,Productos!$K:$K,""))</f>
        <v/>
      </c>
      <c r="I450" s="74">
        <f t="array" ref="I450">IF(OR($D450="",$D450="NO ENCONTRADO"),"",_xlfn.XLOOKUP($D450,Productos!$E:$E,Productos!$F:$F,""))</f>
        <v/>
      </c>
      <c r="J450" s="74">
        <f>IF($C450="","",IF($D450="NO ENCONTRADO",IF(COUNTIF($C$7:$C$1000,$C450)&gt;1,"⚠️ No encontrado | Duplicado","⚠️ No encontrado"),IF(COUNTIF($C$7:$C$1000,$C450)&gt;1,"⚠️ Duplicado","Verificado")))</f>
        <v/>
      </c>
    </row>
    <row r="451" ht="15.75" customHeight="1" s="176">
      <c r="B451" s="80" t="n"/>
      <c r="C451" s="74" t="n"/>
      <c r="D451" s="74">
        <f t="array" ref="D451">IF($C451="","",IFNA(_xlfn.XLOOKUP($C451,Productos!$A:$A,Productos!$E:$E,IFNA(_xlfn.XLOOKUP(TEXT($C451,"0"),Productos!$A:$A,Productos!$E:$E,IFNA(_xlfn.XLOOKUP(IFERROR(VALUE($C451),""),Productos!$A:$A,Productos!$E:$E,_xlfn.XLOOKUP($C451,Productos!$E:$E,Productos!$E:$E,"NO ENCONTRADO")),"NO ENCONTRADO")),"NO ENCONTRADO")),"NO ENCONTRADO"))</f>
        <v/>
      </c>
      <c r="E451" s="74">
        <f t="array" ref="E451">IF(OR($D451="",$D451="NO ENCONTRADO"),"",_xlfn.XLOOKUP($D451,Productos!$E:$E,Productos!$H:$H,""))</f>
        <v/>
      </c>
      <c r="F451" s="74">
        <f t="array" ref="F451">IF(OR($D451="",$D451="NO ENCONTRADO"),"",_xlfn.XLOOKUP($D451,Productos!$E:$E,Productos!$I:$I,""))</f>
        <v/>
      </c>
      <c r="G451" s="74">
        <f t="array" ref="G451">IF(OR($D451="",$D451="NO ENCONTRADO"),"",_xlfn.XLOOKUP($D451,Productos!$E:$E,Productos!$J:$J,""))</f>
        <v/>
      </c>
      <c r="H451" s="74">
        <f t="array" ref="H451">IF(OR($D451="",$D451="NO ENCONTRADO"),"",_xlfn.XLOOKUP($D451,Productos!$E:$E,Productos!$K:$K,""))</f>
        <v/>
      </c>
      <c r="I451" s="74">
        <f t="array" ref="I451">IF(OR($D451="",$D451="NO ENCONTRADO"),"",_xlfn.XLOOKUP($D451,Productos!$E:$E,Productos!$F:$F,""))</f>
        <v/>
      </c>
      <c r="J451" s="74">
        <f>IF($C451="","",IF($D451="NO ENCONTRADO",IF(COUNTIF($C$7:$C$1000,$C451)&gt;1,"⚠️ No encontrado | Duplicado","⚠️ No encontrado"),IF(COUNTIF($C$7:$C$1000,$C451)&gt;1,"⚠️ Duplicado","Verificado")))</f>
        <v/>
      </c>
    </row>
    <row r="452" ht="15.75" customHeight="1" s="176">
      <c r="B452" s="80" t="n"/>
      <c r="C452" s="74" t="n"/>
      <c r="D452" s="74">
        <f t="array" ref="D452">IF($C452="","",IFNA(_xlfn.XLOOKUP($C452,Productos!$A:$A,Productos!$E:$E,IFNA(_xlfn.XLOOKUP(TEXT($C452,"0"),Productos!$A:$A,Productos!$E:$E,IFNA(_xlfn.XLOOKUP(IFERROR(VALUE($C452),""),Productos!$A:$A,Productos!$E:$E,_xlfn.XLOOKUP($C452,Productos!$E:$E,Productos!$E:$E,"NO ENCONTRADO")),"NO ENCONTRADO")),"NO ENCONTRADO")),"NO ENCONTRADO"))</f>
        <v/>
      </c>
      <c r="E452" s="74">
        <f t="array" ref="E452">IF(OR($D452="",$D452="NO ENCONTRADO"),"",_xlfn.XLOOKUP($D452,Productos!$E:$E,Productos!$H:$H,""))</f>
        <v/>
      </c>
      <c r="F452" s="74">
        <f t="array" ref="F452">IF(OR($D452="",$D452="NO ENCONTRADO"),"",_xlfn.XLOOKUP($D452,Productos!$E:$E,Productos!$I:$I,""))</f>
        <v/>
      </c>
      <c r="G452" s="74">
        <f t="array" ref="G452">IF(OR($D452="",$D452="NO ENCONTRADO"),"",_xlfn.XLOOKUP($D452,Productos!$E:$E,Productos!$J:$J,""))</f>
        <v/>
      </c>
      <c r="H452" s="74">
        <f t="array" ref="H452">IF(OR($D452="",$D452="NO ENCONTRADO"),"",_xlfn.XLOOKUP($D452,Productos!$E:$E,Productos!$K:$K,""))</f>
        <v/>
      </c>
      <c r="I452" s="74">
        <f t="array" ref="I452">IF(OR($D452="",$D452="NO ENCONTRADO"),"",_xlfn.XLOOKUP($D452,Productos!$E:$E,Productos!$F:$F,""))</f>
        <v/>
      </c>
      <c r="J452" s="74">
        <f>IF($C452="","",IF($D452="NO ENCONTRADO",IF(COUNTIF($C$7:$C$1000,$C452)&gt;1,"⚠️ No encontrado | Duplicado","⚠️ No encontrado"),IF(COUNTIF($C$7:$C$1000,$C452)&gt;1,"⚠️ Duplicado","Verificado")))</f>
        <v/>
      </c>
    </row>
    <row r="453" ht="15.75" customHeight="1" s="176">
      <c r="B453" s="80" t="n"/>
      <c r="C453" s="74" t="n"/>
      <c r="D453" s="74">
        <f t="array" ref="D453">IF($C453="","",IFNA(_xlfn.XLOOKUP($C453,Productos!$A:$A,Productos!$E:$E,IFNA(_xlfn.XLOOKUP(TEXT($C453,"0"),Productos!$A:$A,Productos!$E:$E,IFNA(_xlfn.XLOOKUP(IFERROR(VALUE($C453),""),Productos!$A:$A,Productos!$E:$E,_xlfn.XLOOKUP($C453,Productos!$E:$E,Productos!$E:$E,"NO ENCONTRADO")),"NO ENCONTRADO")),"NO ENCONTRADO")),"NO ENCONTRADO"))</f>
        <v/>
      </c>
      <c r="E453" s="74">
        <f t="array" ref="E453">IF(OR($D453="",$D453="NO ENCONTRADO"),"",_xlfn.XLOOKUP($D453,Productos!$E:$E,Productos!$H:$H,""))</f>
        <v/>
      </c>
      <c r="F453" s="74">
        <f t="array" ref="F453">IF(OR($D453="",$D453="NO ENCONTRADO"),"",_xlfn.XLOOKUP($D453,Productos!$E:$E,Productos!$I:$I,""))</f>
        <v/>
      </c>
      <c r="G453" s="74">
        <f t="array" ref="G453">IF(OR($D453="",$D453="NO ENCONTRADO"),"",_xlfn.XLOOKUP($D453,Productos!$E:$E,Productos!$J:$J,""))</f>
        <v/>
      </c>
      <c r="H453" s="74">
        <f t="array" ref="H453">IF(OR($D453="",$D453="NO ENCONTRADO"),"",_xlfn.XLOOKUP($D453,Productos!$E:$E,Productos!$K:$K,""))</f>
        <v/>
      </c>
      <c r="I453" s="74">
        <f t="array" ref="I453">IF(OR($D453="",$D453="NO ENCONTRADO"),"",_xlfn.XLOOKUP($D453,Productos!$E:$E,Productos!$F:$F,""))</f>
        <v/>
      </c>
      <c r="J453" s="74">
        <f>IF($C453="","",IF($D453="NO ENCONTRADO",IF(COUNTIF($C$7:$C$1000,$C453)&gt;1,"⚠️ No encontrado | Duplicado","⚠️ No encontrado"),IF(COUNTIF($C$7:$C$1000,$C453)&gt;1,"⚠️ Duplicado","Verificado")))</f>
        <v/>
      </c>
    </row>
    <row r="454" ht="15.75" customHeight="1" s="176">
      <c r="B454" s="80" t="n"/>
      <c r="C454" s="74" t="n"/>
      <c r="D454" s="74">
        <f t="array" ref="D454">IF($C454="","",IFNA(_xlfn.XLOOKUP($C454,Productos!$A:$A,Productos!$E:$E,IFNA(_xlfn.XLOOKUP(TEXT($C454,"0"),Productos!$A:$A,Productos!$E:$E,IFNA(_xlfn.XLOOKUP(IFERROR(VALUE($C454),""),Productos!$A:$A,Productos!$E:$E,_xlfn.XLOOKUP($C454,Productos!$E:$E,Productos!$E:$E,"NO ENCONTRADO")),"NO ENCONTRADO")),"NO ENCONTRADO")),"NO ENCONTRADO"))</f>
        <v/>
      </c>
      <c r="E454" s="74">
        <f t="array" ref="E454">IF(OR($D454="",$D454="NO ENCONTRADO"),"",_xlfn.XLOOKUP($D454,Productos!$E:$E,Productos!$H:$H,""))</f>
        <v/>
      </c>
      <c r="F454" s="74">
        <f t="array" ref="F454">IF(OR($D454="",$D454="NO ENCONTRADO"),"",_xlfn.XLOOKUP($D454,Productos!$E:$E,Productos!$I:$I,""))</f>
        <v/>
      </c>
      <c r="G454" s="74">
        <f t="array" ref="G454">IF(OR($D454="",$D454="NO ENCONTRADO"),"",_xlfn.XLOOKUP($D454,Productos!$E:$E,Productos!$J:$J,""))</f>
        <v/>
      </c>
      <c r="H454" s="74">
        <f t="array" ref="H454">IF(OR($D454="",$D454="NO ENCONTRADO"),"",_xlfn.XLOOKUP($D454,Productos!$E:$E,Productos!$K:$K,""))</f>
        <v/>
      </c>
      <c r="I454" s="74">
        <f t="array" ref="I454">IF(OR($D454="",$D454="NO ENCONTRADO"),"",_xlfn.XLOOKUP($D454,Productos!$E:$E,Productos!$F:$F,""))</f>
        <v/>
      </c>
      <c r="J454" s="74">
        <f>IF($C454="","",IF($D454="NO ENCONTRADO",IF(COUNTIF($C$7:$C$1000,$C454)&gt;1,"⚠️ No encontrado | Duplicado","⚠️ No encontrado"),IF(COUNTIF($C$7:$C$1000,$C454)&gt;1,"⚠️ Duplicado","Verificado")))</f>
        <v/>
      </c>
    </row>
    <row r="455" ht="15.75" customHeight="1" s="176">
      <c r="B455" s="80" t="n"/>
      <c r="C455" s="74" t="n"/>
      <c r="D455" s="74">
        <f t="array" ref="D455">IF($C455="","",IFNA(_xlfn.XLOOKUP($C455,Productos!$A:$A,Productos!$E:$E,IFNA(_xlfn.XLOOKUP(TEXT($C455,"0"),Productos!$A:$A,Productos!$E:$E,IFNA(_xlfn.XLOOKUP(IFERROR(VALUE($C455),""),Productos!$A:$A,Productos!$E:$E,_xlfn.XLOOKUP($C455,Productos!$E:$E,Productos!$E:$E,"NO ENCONTRADO")),"NO ENCONTRADO")),"NO ENCONTRADO")),"NO ENCONTRADO"))</f>
        <v/>
      </c>
      <c r="E455" s="74">
        <f t="array" ref="E455">IF(OR($D455="",$D455="NO ENCONTRADO"),"",_xlfn.XLOOKUP($D455,Productos!$E:$E,Productos!$H:$H,""))</f>
        <v/>
      </c>
      <c r="F455" s="74">
        <f t="array" ref="F455">IF(OR($D455="",$D455="NO ENCONTRADO"),"",_xlfn.XLOOKUP($D455,Productos!$E:$E,Productos!$I:$I,""))</f>
        <v/>
      </c>
      <c r="G455" s="74">
        <f t="array" ref="G455">IF(OR($D455="",$D455="NO ENCONTRADO"),"",_xlfn.XLOOKUP($D455,Productos!$E:$E,Productos!$J:$J,""))</f>
        <v/>
      </c>
      <c r="H455" s="74">
        <f t="array" ref="H455">IF(OR($D455="",$D455="NO ENCONTRADO"),"",_xlfn.XLOOKUP($D455,Productos!$E:$E,Productos!$K:$K,""))</f>
        <v/>
      </c>
      <c r="I455" s="74">
        <f t="array" ref="I455">IF(OR($D455="",$D455="NO ENCONTRADO"),"",_xlfn.XLOOKUP($D455,Productos!$E:$E,Productos!$F:$F,""))</f>
        <v/>
      </c>
      <c r="J455" s="74">
        <f>IF($C455="","",IF($D455="NO ENCONTRADO",IF(COUNTIF($C$7:$C$1000,$C455)&gt;1,"⚠️ No encontrado | Duplicado","⚠️ No encontrado"),IF(COUNTIF($C$7:$C$1000,$C455)&gt;1,"⚠️ Duplicado","Verificado")))</f>
        <v/>
      </c>
    </row>
    <row r="456" ht="15.75" customHeight="1" s="176">
      <c r="B456" s="80" t="n"/>
      <c r="C456" s="74" t="n"/>
      <c r="D456" s="74">
        <f t="array" ref="D456">IF($C456="","",IFNA(_xlfn.XLOOKUP($C456,Productos!$A:$A,Productos!$E:$E,IFNA(_xlfn.XLOOKUP(TEXT($C456,"0"),Productos!$A:$A,Productos!$E:$E,IFNA(_xlfn.XLOOKUP(IFERROR(VALUE($C456),""),Productos!$A:$A,Productos!$E:$E,_xlfn.XLOOKUP($C456,Productos!$E:$E,Productos!$E:$E,"NO ENCONTRADO")),"NO ENCONTRADO")),"NO ENCONTRADO")),"NO ENCONTRADO"))</f>
        <v/>
      </c>
      <c r="E456" s="74">
        <f t="array" ref="E456">IF(OR($D456="",$D456="NO ENCONTRADO"),"",_xlfn.XLOOKUP($D456,Productos!$E:$E,Productos!$H:$H,""))</f>
        <v/>
      </c>
      <c r="F456" s="74">
        <f t="array" ref="F456">IF(OR($D456="",$D456="NO ENCONTRADO"),"",_xlfn.XLOOKUP($D456,Productos!$E:$E,Productos!$I:$I,""))</f>
        <v/>
      </c>
      <c r="G456" s="74">
        <f t="array" ref="G456">IF(OR($D456="",$D456="NO ENCONTRADO"),"",_xlfn.XLOOKUP($D456,Productos!$E:$E,Productos!$J:$J,""))</f>
        <v/>
      </c>
      <c r="H456" s="74">
        <f t="array" ref="H456">IF(OR($D456="",$D456="NO ENCONTRADO"),"",_xlfn.XLOOKUP($D456,Productos!$E:$E,Productos!$K:$K,""))</f>
        <v/>
      </c>
      <c r="I456" s="74">
        <f t="array" ref="I456">IF(OR($D456="",$D456="NO ENCONTRADO"),"",_xlfn.XLOOKUP($D456,Productos!$E:$E,Productos!$F:$F,""))</f>
        <v/>
      </c>
      <c r="J456" s="74">
        <f>IF($C456="","",IF($D456="NO ENCONTRADO",IF(COUNTIF($C$7:$C$1000,$C456)&gt;1,"⚠️ No encontrado | Duplicado","⚠️ No encontrado"),IF(COUNTIF($C$7:$C$1000,$C456)&gt;1,"⚠️ Duplicado","Verificado")))</f>
        <v/>
      </c>
    </row>
    <row r="457" ht="15.75" customHeight="1" s="176">
      <c r="B457" s="80" t="n"/>
      <c r="C457" s="74" t="n"/>
      <c r="D457" s="74">
        <f t="array" ref="D457">IF($C457="","",IFNA(_xlfn.XLOOKUP($C457,Productos!$A:$A,Productos!$E:$E,IFNA(_xlfn.XLOOKUP(TEXT($C457,"0"),Productos!$A:$A,Productos!$E:$E,IFNA(_xlfn.XLOOKUP(IFERROR(VALUE($C457),""),Productos!$A:$A,Productos!$E:$E,_xlfn.XLOOKUP($C457,Productos!$E:$E,Productos!$E:$E,"NO ENCONTRADO")),"NO ENCONTRADO")),"NO ENCONTRADO")),"NO ENCONTRADO"))</f>
        <v/>
      </c>
      <c r="E457" s="74">
        <f t="array" ref="E457">IF(OR($D457="",$D457="NO ENCONTRADO"),"",_xlfn.XLOOKUP($D457,Productos!$E:$E,Productos!$H:$H,""))</f>
        <v/>
      </c>
      <c r="F457" s="74">
        <f t="array" ref="F457">IF(OR($D457="",$D457="NO ENCONTRADO"),"",_xlfn.XLOOKUP($D457,Productos!$E:$E,Productos!$I:$I,""))</f>
        <v/>
      </c>
      <c r="G457" s="74">
        <f t="array" ref="G457">IF(OR($D457="",$D457="NO ENCONTRADO"),"",_xlfn.XLOOKUP($D457,Productos!$E:$E,Productos!$J:$J,""))</f>
        <v/>
      </c>
      <c r="H457" s="74">
        <f t="array" ref="H457">IF(OR($D457="",$D457="NO ENCONTRADO"),"",_xlfn.XLOOKUP($D457,Productos!$E:$E,Productos!$K:$K,""))</f>
        <v/>
      </c>
      <c r="I457" s="74">
        <f t="array" ref="I457">IF(OR($D457="",$D457="NO ENCONTRADO"),"",_xlfn.XLOOKUP($D457,Productos!$E:$E,Productos!$F:$F,""))</f>
        <v/>
      </c>
      <c r="J457" s="74">
        <f>IF($C457="","",IF($D457="NO ENCONTRADO",IF(COUNTIF($C$7:$C$1000,$C457)&gt;1,"⚠️ No encontrado | Duplicado","⚠️ No encontrado"),IF(COUNTIF($C$7:$C$1000,$C457)&gt;1,"⚠️ Duplicado","Verificado")))</f>
        <v/>
      </c>
    </row>
    <row r="458" ht="15.75" customHeight="1" s="176">
      <c r="B458" s="80" t="n"/>
      <c r="C458" s="74" t="n"/>
      <c r="D458" s="74">
        <f t="array" ref="D458">IF($C458="","",IFNA(_xlfn.XLOOKUP($C458,Productos!$A:$A,Productos!$E:$E,IFNA(_xlfn.XLOOKUP(TEXT($C458,"0"),Productos!$A:$A,Productos!$E:$E,IFNA(_xlfn.XLOOKUP(IFERROR(VALUE($C458),""),Productos!$A:$A,Productos!$E:$E,_xlfn.XLOOKUP($C458,Productos!$E:$E,Productos!$E:$E,"NO ENCONTRADO")),"NO ENCONTRADO")),"NO ENCONTRADO")),"NO ENCONTRADO"))</f>
        <v/>
      </c>
      <c r="E458" s="74">
        <f t="array" ref="E458">IF(OR($D458="",$D458="NO ENCONTRADO"),"",_xlfn.XLOOKUP($D458,Productos!$E:$E,Productos!$H:$H,""))</f>
        <v/>
      </c>
      <c r="F458" s="74">
        <f t="array" ref="F458">IF(OR($D458="",$D458="NO ENCONTRADO"),"",_xlfn.XLOOKUP($D458,Productos!$E:$E,Productos!$I:$I,""))</f>
        <v/>
      </c>
      <c r="G458" s="74">
        <f t="array" ref="G458">IF(OR($D458="",$D458="NO ENCONTRADO"),"",_xlfn.XLOOKUP($D458,Productos!$E:$E,Productos!$J:$J,""))</f>
        <v/>
      </c>
      <c r="H458" s="74">
        <f t="array" ref="H458">IF(OR($D458="",$D458="NO ENCONTRADO"),"",_xlfn.XLOOKUP($D458,Productos!$E:$E,Productos!$K:$K,""))</f>
        <v/>
      </c>
      <c r="I458" s="74">
        <f t="array" ref="I458">IF(OR($D458="",$D458="NO ENCONTRADO"),"",_xlfn.XLOOKUP($D458,Productos!$E:$E,Productos!$F:$F,""))</f>
        <v/>
      </c>
      <c r="J458" s="74">
        <f>IF($C458="","",IF($D458="NO ENCONTRADO",IF(COUNTIF($C$7:$C$1000,$C458)&gt;1,"⚠️ No encontrado | Duplicado","⚠️ No encontrado"),IF(COUNTIF($C$7:$C$1000,$C458)&gt;1,"⚠️ Duplicado","Verificado")))</f>
        <v/>
      </c>
    </row>
    <row r="459" ht="15.75" customHeight="1" s="176">
      <c r="B459" s="80" t="n"/>
      <c r="C459" s="74" t="n"/>
      <c r="D459" s="74">
        <f t="array" ref="D459">IF($C459="","",IFNA(_xlfn.XLOOKUP($C459,Productos!$A:$A,Productos!$E:$E,IFNA(_xlfn.XLOOKUP(TEXT($C459,"0"),Productos!$A:$A,Productos!$E:$E,IFNA(_xlfn.XLOOKUP(IFERROR(VALUE($C459),""),Productos!$A:$A,Productos!$E:$E,_xlfn.XLOOKUP($C459,Productos!$E:$E,Productos!$E:$E,"NO ENCONTRADO")),"NO ENCONTRADO")),"NO ENCONTRADO")),"NO ENCONTRADO"))</f>
        <v/>
      </c>
      <c r="E459" s="74">
        <f t="array" ref="E459">IF(OR($D459="",$D459="NO ENCONTRADO"),"",_xlfn.XLOOKUP($D459,Productos!$E:$E,Productos!$H:$H,""))</f>
        <v/>
      </c>
      <c r="F459" s="74">
        <f t="array" ref="F459">IF(OR($D459="",$D459="NO ENCONTRADO"),"",_xlfn.XLOOKUP($D459,Productos!$E:$E,Productos!$I:$I,""))</f>
        <v/>
      </c>
      <c r="G459" s="74">
        <f t="array" ref="G459">IF(OR($D459="",$D459="NO ENCONTRADO"),"",_xlfn.XLOOKUP($D459,Productos!$E:$E,Productos!$J:$J,""))</f>
        <v/>
      </c>
      <c r="H459" s="74">
        <f t="array" ref="H459">IF(OR($D459="",$D459="NO ENCONTRADO"),"",_xlfn.XLOOKUP($D459,Productos!$E:$E,Productos!$K:$K,""))</f>
        <v/>
      </c>
      <c r="I459" s="74">
        <f t="array" ref="I459">IF(OR($D459="",$D459="NO ENCONTRADO"),"",_xlfn.XLOOKUP($D459,Productos!$E:$E,Productos!$F:$F,""))</f>
        <v/>
      </c>
      <c r="J459" s="74">
        <f>IF($C459="","",IF($D459="NO ENCONTRADO",IF(COUNTIF($C$7:$C$1000,$C459)&gt;1,"⚠️ No encontrado | Duplicado","⚠️ No encontrado"),IF(COUNTIF($C$7:$C$1000,$C459)&gt;1,"⚠️ Duplicado","Verificado")))</f>
        <v/>
      </c>
    </row>
    <row r="460" ht="15.75" customHeight="1" s="176">
      <c r="B460" s="80" t="n"/>
      <c r="C460" s="74" t="n"/>
      <c r="D460" s="74">
        <f t="array" ref="D460">IF($C460="","",IFNA(_xlfn.XLOOKUP($C460,Productos!$A:$A,Productos!$E:$E,IFNA(_xlfn.XLOOKUP(TEXT($C460,"0"),Productos!$A:$A,Productos!$E:$E,IFNA(_xlfn.XLOOKUP(IFERROR(VALUE($C460),""),Productos!$A:$A,Productos!$E:$E,_xlfn.XLOOKUP($C460,Productos!$E:$E,Productos!$E:$E,"NO ENCONTRADO")),"NO ENCONTRADO")),"NO ENCONTRADO")),"NO ENCONTRADO"))</f>
        <v/>
      </c>
      <c r="E460" s="74">
        <f t="array" ref="E460">IF(OR($D460="",$D460="NO ENCONTRADO"),"",_xlfn.XLOOKUP($D460,Productos!$E:$E,Productos!$H:$H,""))</f>
        <v/>
      </c>
      <c r="F460" s="74">
        <f t="array" ref="F460">IF(OR($D460="",$D460="NO ENCONTRADO"),"",_xlfn.XLOOKUP($D460,Productos!$E:$E,Productos!$I:$I,""))</f>
        <v/>
      </c>
      <c r="G460" s="74">
        <f t="array" ref="G460">IF(OR($D460="",$D460="NO ENCONTRADO"),"",_xlfn.XLOOKUP($D460,Productos!$E:$E,Productos!$J:$J,""))</f>
        <v/>
      </c>
      <c r="H460" s="74">
        <f t="array" ref="H460">IF(OR($D460="",$D460="NO ENCONTRADO"),"",_xlfn.XLOOKUP($D460,Productos!$E:$E,Productos!$K:$K,""))</f>
        <v/>
      </c>
      <c r="I460" s="74">
        <f t="array" ref="I460">IF(OR($D460="",$D460="NO ENCONTRADO"),"",_xlfn.XLOOKUP($D460,Productos!$E:$E,Productos!$F:$F,""))</f>
        <v/>
      </c>
      <c r="J460" s="74">
        <f>IF($C460="","",IF($D460="NO ENCONTRADO",IF(COUNTIF($C$7:$C$1000,$C460)&gt;1,"⚠️ No encontrado | Duplicado","⚠️ No encontrado"),IF(COUNTIF($C$7:$C$1000,$C460)&gt;1,"⚠️ Duplicado","Verificado")))</f>
        <v/>
      </c>
    </row>
    <row r="461" ht="15.75" customHeight="1" s="176">
      <c r="B461" s="80" t="n"/>
      <c r="C461" s="74" t="n"/>
      <c r="D461" s="74">
        <f t="array" ref="D461">IF($C461="","",IFNA(_xlfn.XLOOKUP($C461,Productos!$A:$A,Productos!$E:$E,IFNA(_xlfn.XLOOKUP(TEXT($C461,"0"),Productos!$A:$A,Productos!$E:$E,IFNA(_xlfn.XLOOKUP(IFERROR(VALUE($C461),""),Productos!$A:$A,Productos!$E:$E,_xlfn.XLOOKUP($C461,Productos!$E:$E,Productos!$E:$E,"NO ENCONTRADO")),"NO ENCONTRADO")),"NO ENCONTRADO")),"NO ENCONTRADO"))</f>
        <v/>
      </c>
      <c r="E461" s="74">
        <f t="array" ref="E461">IF(OR($D461="",$D461="NO ENCONTRADO"),"",_xlfn.XLOOKUP($D461,Productos!$E:$E,Productos!$H:$H,""))</f>
        <v/>
      </c>
      <c r="F461" s="74">
        <f t="array" ref="F461">IF(OR($D461="",$D461="NO ENCONTRADO"),"",_xlfn.XLOOKUP($D461,Productos!$E:$E,Productos!$I:$I,""))</f>
        <v/>
      </c>
      <c r="G461" s="74">
        <f t="array" ref="G461">IF(OR($D461="",$D461="NO ENCONTRADO"),"",_xlfn.XLOOKUP($D461,Productos!$E:$E,Productos!$J:$J,""))</f>
        <v/>
      </c>
      <c r="H461" s="74">
        <f t="array" ref="H461">IF(OR($D461="",$D461="NO ENCONTRADO"),"",_xlfn.XLOOKUP($D461,Productos!$E:$E,Productos!$K:$K,""))</f>
        <v/>
      </c>
      <c r="I461" s="74">
        <f t="array" ref="I461">IF(OR($D461="",$D461="NO ENCONTRADO"),"",_xlfn.XLOOKUP($D461,Productos!$E:$E,Productos!$F:$F,""))</f>
        <v/>
      </c>
      <c r="J461" s="74">
        <f>IF($C461="","",IF($D461="NO ENCONTRADO",IF(COUNTIF($C$7:$C$1000,$C461)&gt;1,"⚠️ No encontrado | Duplicado","⚠️ No encontrado"),IF(COUNTIF($C$7:$C$1000,$C461)&gt;1,"⚠️ Duplicado","Verificado")))</f>
        <v/>
      </c>
    </row>
    <row r="462" ht="15.75" customHeight="1" s="176">
      <c r="B462" s="80" t="n"/>
      <c r="C462" s="74" t="n"/>
      <c r="D462" s="74">
        <f t="array" ref="D462">IF($C462="","",IFNA(_xlfn.XLOOKUP($C462,Productos!$A:$A,Productos!$E:$E,IFNA(_xlfn.XLOOKUP(TEXT($C462,"0"),Productos!$A:$A,Productos!$E:$E,IFNA(_xlfn.XLOOKUP(IFERROR(VALUE($C462),""),Productos!$A:$A,Productos!$E:$E,_xlfn.XLOOKUP($C462,Productos!$E:$E,Productos!$E:$E,"NO ENCONTRADO")),"NO ENCONTRADO")),"NO ENCONTRADO")),"NO ENCONTRADO"))</f>
        <v/>
      </c>
      <c r="E462" s="74">
        <f t="array" ref="E462">IF(OR($D462="",$D462="NO ENCONTRADO"),"",_xlfn.XLOOKUP($D462,Productos!$E:$E,Productos!$H:$H,""))</f>
        <v/>
      </c>
      <c r="F462" s="74">
        <f t="array" ref="F462">IF(OR($D462="",$D462="NO ENCONTRADO"),"",_xlfn.XLOOKUP($D462,Productos!$E:$E,Productos!$I:$I,""))</f>
        <v/>
      </c>
      <c r="G462" s="74">
        <f t="array" ref="G462">IF(OR($D462="",$D462="NO ENCONTRADO"),"",_xlfn.XLOOKUP($D462,Productos!$E:$E,Productos!$J:$J,""))</f>
        <v/>
      </c>
      <c r="H462" s="74">
        <f t="array" ref="H462">IF(OR($D462="",$D462="NO ENCONTRADO"),"",_xlfn.XLOOKUP($D462,Productos!$E:$E,Productos!$K:$K,""))</f>
        <v/>
      </c>
      <c r="I462" s="74">
        <f t="array" ref="I462">IF(OR($D462="",$D462="NO ENCONTRADO"),"",_xlfn.XLOOKUP($D462,Productos!$E:$E,Productos!$F:$F,""))</f>
        <v/>
      </c>
      <c r="J462" s="74">
        <f>IF($C462="","",IF($D462="NO ENCONTRADO",IF(COUNTIF($C$7:$C$1000,$C462)&gt;1,"⚠️ No encontrado | Duplicado","⚠️ No encontrado"),IF(COUNTIF($C$7:$C$1000,$C462)&gt;1,"⚠️ Duplicado","Verificado")))</f>
        <v/>
      </c>
    </row>
    <row r="463" ht="15.75" customHeight="1" s="176">
      <c r="B463" s="80" t="n"/>
      <c r="C463" s="74" t="n"/>
      <c r="D463" s="74">
        <f t="array" ref="D463">IF($C463="","",IFNA(_xlfn.XLOOKUP($C463,Productos!$A:$A,Productos!$E:$E,IFNA(_xlfn.XLOOKUP(TEXT($C463,"0"),Productos!$A:$A,Productos!$E:$E,IFNA(_xlfn.XLOOKUP(IFERROR(VALUE($C463),""),Productos!$A:$A,Productos!$E:$E,_xlfn.XLOOKUP($C463,Productos!$E:$E,Productos!$E:$E,"NO ENCONTRADO")),"NO ENCONTRADO")),"NO ENCONTRADO")),"NO ENCONTRADO"))</f>
        <v/>
      </c>
      <c r="E463" s="74">
        <f t="array" ref="E463">IF(OR($D463="",$D463="NO ENCONTRADO"),"",_xlfn.XLOOKUP($D463,Productos!$E:$E,Productos!$H:$H,""))</f>
        <v/>
      </c>
      <c r="F463" s="74">
        <f t="array" ref="F463">IF(OR($D463="",$D463="NO ENCONTRADO"),"",_xlfn.XLOOKUP($D463,Productos!$E:$E,Productos!$I:$I,""))</f>
        <v/>
      </c>
      <c r="G463" s="74">
        <f t="array" ref="G463">IF(OR($D463="",$D463="NO ENCONTRADO"),"",_xlfn.XLOOKUP($D463,Productos!$E:$E,Productos!$J:$J,""))</f>
        <v/>
      </c>
      <c r="H463" s="74">
        <f t="array" ref="H463">IF(OR($D463="",$D463="NO ENCONTRADO"),"",_xlfn.XLOOKUP($D463,Productos!$E:$E,Productos!$K:$K,""))</f>
        <v/>
      </c>
      <c r="I463" s="74">
        <f t="array" ref="I463">IF(OR($D463="",$D463="NO ENCONTRADO"),"",_xlfn.XLOOKUP($D463,Productos!$E:$E,Productos!$F:$F,""))</f>
        <v/>
      </c>
      <c r="J463" s="74">
        <f>IF($C463="","",IF($D463="NO ENCONTRADO",IF(COUNTIF($C$7:$C$1000,$C463)&gt;1,"⚠️ No encontrado | Duplicado","⚠️ No encontrado"),IF(COUNTIF($C$7:$C$1000,$C463)&gt;1,"⚠️ Duplicado","Verificado")))</f>
        <v/>
      </c>
    </row>
    <row r="464" ht="15.75" customHeight="1" s="176">
      <c r="B464" s="80" t="n"/>
      <c r="C464" s="74" t="n"/>
      <c r="D464" s="74">
        <f t="array" ref="D464">IF($C464="","",IFNA(_xlfn.XLOOKUP($C464,Productos!$A:$A,Productos!$E:$E,IFNA(_xlfn.XLOOKUP(TEXT($C464,"0"),Productos!$A:$A,Productos!$E:$E,IFNA(_xlfn.XLOOKUP(IFERROR(VALUE($C464),""),Productos!$A:$A,Productos!$E:$E,_xlfn.XLOOKUP($C464,Productos!$E:$E,Productos!$E:$E,"NO ENCONTRADO")),"NO ENCONTRADO")),"NO ENCONTRADO")),"NO ENCONTRADO"))</f>
        <v/>
      </c>
      <c r="E464" s="74">
        <f t="array" ref="E464">IF(OR($D464="",$D464="NO ENCONTRADO"),"",_xlfn.XLOOKUP($D464,Productos!$E:$E,Productos!$H:$H,""))</f>
        <v/>
      </c>
      <c r="F464" s="74">
        <f t="array" ref="F464">IF(OR($D464="",$D464="NO ENCONTRADO"),"",_xlfn.XLOOKUP($D464,Productos!$E:$E,Productos!$I:$I,""))</f>
        <v/>
      </c>
      <c r="G464" s="74">
        <f t="array" ref="G464">IF(OR($D464="",$D464="NO ENCONTRADO"),"",_xlfn.XLOOKUP($D464,Productos!$E:$E,Productos!$J:$J,""))</f>
        <v/>
      </c>
      <c r="H464" s="74">
        <f t="array" ref="H464">IF(OR($D464="",$D464="NO ENCONTRADO"),"",_xlfn.XLOOKUP($D464,Productos!$E:$E,Productos!$K:$K,""))</f>
        <v/>
      </c>
      <c r="I464" s="74">
        <f t="array" ref="I464">IF(OR($D464="",$D464="NO ENCONTRADO"),"",_xlfn.XLOOKUP($D464,Productos!$E:$E,Productos!$F:$F,""))</f>
        <v/>
      </c>
      <c r="J464" s="74">
        <f>IF($C464="","",IF($D464="NO ENCONTRADO",IF(COUNTIF($C$7:$C$1000,$C464)&gt;1,"⚠️ No encontrado | Duplicado","⚠️ No encontrado"),IF(COUNTIF($C$7:$C$1000,$C464)&gt;1,"⚠️ Duplicado","Verificado")))</f>
        <v/>
      </c>
    </row>
    <row r="465" ht="15.75" customHeight="1" s="176">
      <c r="B465" s="80" t="n"/>
      <c r="C465" s="74" t="n"/>
      <c r="D465" s="74">
        <f t="array" ref="D465">IF($C465="","",IFNA(_xlfn.XLOOKUP($C465,Productos!$A:$A,Productos!$E:$E,IFNA(_xlfn.XLOOKUP(TEXT($C465,"0"),Productos!$A:$A,Productos!$E:$E,IFNA(_xlfn.XLOOKUP(IFERROR(VALUE($C465),""),Productos!$A:$A,Productos!$E:$E,_xlfn.XLOOKUP($C465,Productos!$E:$E,Productos!$E:$E,"NO ENCONTRADO")),"NO ENCONTRADO")),"NO ENCONTRADO")),"NO ENCONTRADO"))</f>
        <v/>
      </c>
      <c r="E465" s="74">
        <f t="array" ref="E465">IF(OR($D465="",$D465="NO ENCONTRADO"),"",_xlfn.XLOOKUP($D465,Productos!$E:$E,Productos!$H:$H,""))</f>
        <v/>
      </c>
      <c r="F465" s="74">
        <f t="array" ref="F465">IF(OR($D465="",$D465="NO ENCONTRADO"),"",_xlfn.XLOOKUP($D465,Productos!$E:$E,Productos!$I:$I,""))</f>
        <v/>
      </c>
      <c r="G465" s="74">
        <f t="array" ref="G465">IF(OR($D465="",$D465="NO ENCONTRADO"),"",_xlfn.XLOOKUP($D465,Productos!$E:$E,Productos!$J:$J,""))</f>
        <v/>
      </c>
      <c r="H465" s="74">
        <f t="array" ref="H465">IF(OR($D465="",$D465="NO ENCONTRADO"),"",_xlfn.XLOOKUP($D465,Productos!$E:$E,Productos!$K:$K,""))</f>
        <v/>
      </c>
      <c r="I465" s="74">
        <f t="array" ref="I465">IF(OR($D465="",$D465="NO ENCONTRADO"),"",_xlfn.XLOOKUP($D465,Productos!$E:$E,Productos!$F:$F,""))</f>
        <v/>
      </c>
      <c r="J465" s="74">
        <f>IF($C465="","",IF($D465="NO ENCONTRADO",IF(COUNTIF($C$7:$C$1000,$C465)&gt;1,"⚠️ No encontrado | Duplicado","⚠️ No encontrado"),IF(COUNTIF($C$7:$C$1000,$C465)&gt;1,"⚠️ Duplicado","Verificado")))</f>
        <v/>
      </c>
    </row>
    <row r="466" ht="15.75" customHeight="1" s="176">
      <c r="B466" s="80" t="n"/>
      <c r="C466" s="74" t="n"/>
      <c r="D466" s="74">
        <f t="array" ref="D466">IF($C466="","",IFNA(_xlfn.XLOOKUP($C466,Productos!$A:$A,Productos!$E:$E,IFNA(_xlfn.XLOOKUP(TEXT($C466,"0"),Productos!$A:$A,Productos!$E:$E,IFNA(_xlfn.XLOOKUP(IFERROR(VALUE($C466),""),Productos!$A:$A,Productos!$E:$E,_xlfn.XLOOKUP($C466,Productos!$E:$E,Productos!$E:$E,"NO ENCONTRADO")),"NO ENCONTRADO")),"NO ENCONTRADO")),"NO ENCONTRADO"))</f>
        <v/>
      </c>
      <c r="E466" s="74">
        <f t="array" ref="E466">IF(OR($D466="",$D466="NO ENCONTRADO"),"",_xlfn.XLOOKUP($D466,Productos!$E:$E,Productos!$H:$H,""))</f>
        <v/>
      </c>
      <c r="F466" s="74">
        <f t="array" ref="F466">IF(OR($D466="",$D466="NO ENCONTRADO"),"",_xlfn.XLOOKUP($D466,Productos!$E:$E,Productos!$I:$I,""))</f>
        <v/>
      </c>
      <c r="G466" s="74">
        <f t="array" ref="G466">IF(OR($D466="",$D466="NO ENCONTRADO"),"",_xlfn.XLOOKUP($D466,Productos!$E:$E,Productos!$J:$J,""))</f>
        <v/>
      </c>
      <c r="H466" s="74">
        <f t="array" ref="H466">IF(OR($D466="",$D466="NO ENCONTRADO"),"",_xlfn.XLOOKUP($D466,Productos!$E:$E,Productos!$K:$K,""))</f>
        <v/>
      </c>
      <c r="I466" s="74">
        <f t="array" ref="I466">IF(OR($D466="",$D466="NO ENCONTRADO"),"",_xlfn.XLOOKUP($D466,Productos!$E:$E,Productos!$F:$F,""))</f>
        <v/>
      </c>
      <c r="J466" s="74">
        <f>IF($C466="","",IF($D466="NO ENCONTRADO",IF(COUNTIF($C$7:$C$1000,$C466)&gt;1,"⚠️ No encontrado | Duplicado","⚠️ No encontrado"),IF(COUNTIF($C$7:$C$1000,$C466)&gt;1,"⚠️ Duplicado","Verificado")))</f>
        <v/>
      </c>
    </row>
    <row r="467" ht="15.75" customHeight="1" s="176">
      <c r="B467" s="80" t="n"/>
      <c r="C467" s="74" t="n"/>
      <c r="D467" s="74">
        <f t="array" ref="D467">IF($C467="","",IFNA(_xlfn.XLOOKUP($C467,Productos!$A:$A,Productos!$E:$E,IFNA(_xlfn.XLOOKUP(TEXT($C467,"0"),Productos!$A:$A,Productos!$E:$E,IFNA(_xlfn.XLOOKUP(IFERROR(VALUE($C467),""),Productos!$A:$A,Productos!$E:$E,_xlfn.XLOOKUP($C467,Productos!$E:$E,Productos!$E:$E,"NO ENCONTRADO")),"NO ENCONTRADO")),"NO ENCONTRADO")),"NO ENCONTRADO"))</f>
        <v/>
      </c>
      <c r="E467" s="74">
        <f t="array" ref="E467">IF(OR($D467="",$D467="NO ENCONTRADO"),"",_xlfn.XLOOKUP($D467,Productos!$E:$E,Productos!$H:$H,""))</f>
        <v/>
      </c>
      <c r="F467" s="74">
        <f t="array" ref="F467">IF(OR($D467="",$D467="NO ENCONTRADO"),"",_xlfn.XLOOKUP($D467,Productos!$E:$E,Productos!$I:$I,""))</f>
        <v/>
      </c>
      <c r="G467" s="74">
        <f t="array" ref="G467">IF(OR($D467="",$D467="NO ENCONTRADO"),"",_xlfn.XLOOKUP($D467,Productos!$E:$E,Productos!$J:$J,""))</f>
        <v/>
      </c>
      <c r="H467" s="74">
        <f t="array" ref="H467">IF(OR($D467="",$D467="NO ENCONTRADO"),"",_xlfn.XLOOKUP($D467,Productos!$E:$E,Productos!$K:$K,""))</f>
        <v/>
      </c>
      <c r="I467" s="74">
        <f t="array" ref="I467">IF(OR($D467="",$D467="NO ENCONTRADO"),"",_xlfn.XLOOKUP($D467,Productos!$E:$E,Productos!$F:$F,""))</f>
        <v/>
      </c>
      <c r="J467" s="74">
        <f>IF($C467="","",IF($D467="NO ENCONTRADO",IF(COUNTIF($C$7:$C$1000,$C467)&gt;1,"⚠️ No encontrado | Duplicado","⚠️ No encontrado"),IF(COUNTIF($C$7:$C$1000,$C467)&gt;1,"⚠️ Duplicado","Verificado")))</f>
        <v/>
      </c>
    </row>
    <row r="468" ht="15.75" customHeight="1" s="176">
      <c r="B468" s="80" t="n"/>
      <c r="C468" s="74" t="n"/>
      <c r="D468" s="74">
        <f t="array" ref="D468">IF($C468="","",IFNA(_xlfn.XLOOKUP($C468,Productos!$A:$A,Productos!$E:$E,IFNA(_xlfn.XLOOKUP(TEXT($C468,"0"),Productos!$A:$A,Productos!$E:$E,IFNA(_xlfn.XLOOKUP(IFERROR(VALUE($C468),""),Productos!$A:$A,Productos!$E:$E,_xlfn.XLOOKUP($C468,Productos!$E:$E,Productos!$E:$E,"NO ENCONTRADO")),"NO ENCONTRADO")),"NO ENCONTRADO")),"NO ENCONTRADO"))</f>
        <v/>
      </c>
      <c r="E468" s="74">
        <f t="array" ref="E468">IF(OR($D468="",$D468="NO ENCONTRADO"),"",_xlfn.XLOOKUP($D468,Productos!$E:$E,Productos!$H:$H,""))</f>
        <v/>
      </c>
      <c r="F468" s="74">
        <f t="array" ref="F468">IF(OR($D468="",$D468="NO ENCONTRADO"),"",_xlfn.XLOOKUP($D468,Productos!$E:$E,Productos!$I:$I,""))</f>
        <v/>
      </c>
      <c r="G468" s="74">
        <f t="array" ref="G468">IF(OR($D468="",$D468="NO ENCONTRADO"),"",_xlfn.XLOOKUP($D468,Productos!$E:$E,Productos!$J:$J,""))</f>
        <v/>
      </c>
      <c r="H468" s="74">
        <f t="array" ref="H468">IF(OR($D468="",$D468="NO ENCONTRADO"),"",_xlfn.XLOOKUP($D468,Productos!$E:$E,Productos!$K:$K,""))</f>
        <v/>
      </c>
      <c r="I468" s="74">
        <f t="array" ref="I468">IF(OR($D468="",$D468="NO ENCONTRADO"),"",_xlfn.XLOOKUP($D468,Productos!$E:$E,Productos!$F:$F,""))</f>
        <v/>
      </c>
      <c r="J468" s="74">
        <f>IF($C468="","",IF($D468="NO ENCONTRADO",IF(COUNTIF($C$7:$C$1000,$C468)&gt;1,"⚠️ No encontrado | Duplicado","⚠️ No encontrado"),IF(COUNTIF($C$7:$C$1000,$C468)&gt;1,"⚠️ Duplicado","Verificado")))</f>
        <v/>
      </c>
    </row>
    <row r="469" ht="15.75" customHeight="1" s="176">
      <c r="B469" s="80" t="n"/>
      <c r="C469" s="74" t="n"/>
      <c r="D469" s="74">
        <f t="array" ref="D469">IF($C469="","",IFNA(_xlfn.XLOOKUP($C469,Productos!$A:$A,Productos!$E:$E,IFNA(_xlfn.XLOOKUP(TEXT($C469,"0"),Productos!$A:$A,Productos!$E:$E,IFNA(_xlfn.XLOOKUP(IFERROR(VALUE($C469),""),Productos!$A:$A,Productos!$E:$E,_xlfn.XLOOKUP($C469,Productos!$E:$E,Productos!$E:$E,"NO ENCONTRADO")),"NO ENCONTRADO")),"NO ENCONTRADO")),"NO ENCONTRADO"))</f>
        <v/>
      </c>
      <c r="E469" s="74">
        <f t="array" ref="E469">IF(OR($D469="",$D469="NO ENCONTRADO"),"",_xlfn.XLOOKUP($D469,Productos!$E:$E,Productos!$H:$H,""))</f>
        <v/>
      </c>
      <c r="F469" s="74">
        <f t="array" ref="F469">IF(OR($D469="",$D469="NO ENCONTRADO"),"",_xlfn.XLOOKUP($D469,Productos!$E:$E,Productos!$I:$I,""))</f>
        <v/>
      </c>
      <c r="G469" s="74">
        <f t="array" ref="G469">IF(OR($D469="",$D469="NO ENCONTRADO"),"",_xlfn.XLOOKUP($D469,Productos!$E:$E,Productos!$J:$J,""))</f>
        <v/>
      </c>
      <c r="H469" s="74">
        <f t="array" ref="H469">IF(OR($D469="",$D469="NO ENCONTRADO"),"",_xlfn.XLOOKUP($D469,Productos!$E:$E,Productos!$K:$K,""))</f>
        <v/>
      </c>
      <c r="I469" s="74">
        <f t="array" ref="I469">IF(OR($D469="",$D469="NO ENCONTRADO"),"",_xlfn.XLOOKUP($D469,Productos!$E:$E,Productos!$F:$F,""))</f>
        <v/>
      </c>
      <c r="J469" s="74">
        <f>IF($C469="","",IF($D469="NO ENCONTRADO",IF(COUNTIF($C$7:$C$1000,$C469)&gt;1,"⚠️ No encontrado | Duplicado","⚠️ No encontrado"),IF(COUNTIF($C$7:$C$1000,$C469)&gt;1,"⚠️ Duplicado","Verificado")))</f>
        <v/>
      </c>
    </row>
    <row r="470" ht="15.75" customHeight="1" s="176">
      <c r="B470" s="80" t="n"/>
      <c r="C470" s="74" t="n"/>
      <c r="D470" s="74">
        <f t="array" ref="D470">IF($C470="","",IFNA(_xlfn.XLOOKUP($C470,Productos!$A:$A,Productos!$E:$E,IFNA(_xlfn.XLOOKUP(TEXT($C470,"0"),Productos!$A:$A,Productos!$E:$E,IFNA(_xlfn.XLOOKUP(IFERROR(VALUE($C470),""),Productos!$A:$A,Productos!$E:$E,_xlfn.XLOOKUP($C470,Productos!$E:$E,Productos!$E:$E,"NO ENCONTRADO")),"NO ENCONTRADO")),"NO ENCONTRADO")),"NO ENCONTRADO"))</f>
        <v/>
      </c>
      <c r="E470" s="74">
        <f t="array" ref="E470">IF(OR($D470="",$D470="NO ENCONTRADO"),"",_xlfn.XLOOKUP($D470,Productos!$E:$E,Productos!$H:$H,""))</f>
        <v/>
      </c>
      <c r="F470" s="74">
        <f t="array" ref="F470">IF(OR($D470="",$D470="NO ENCONTRADO"),"",_xlfn.XLOOKUP($D470,Productos!$E:$E,Productos!$I:$I,""))</f>
        <v/>
      </c>
      <c r="G470" s="74">
        <f t="array" ref="G470">IF(OR($D470="",$D470="NO ENCONTRADO"),"",_xlfn.XLOOKUP($D470,Productos!$E:$E,Productos!$J:$J,""))</f>
        <v/>
      </c>
      <c r="H470" s="74">
        <f t="array" ref="H470">IF(OR($D470="",$D470="NO ENCONTRADO"),"",_xlfn.XLOOKUP($D470,Productos!$E:$E,Productos!$K:$K,""))</f>
        <v/>
      </c>
      <c r="I470" s="74">
        <f t="array" ref="I470">IF(OR($D470="",$D470="NO ENCONTRADO"),"",_xlfn.XLOOKUP($D470,Productos!$E:$E,Productos!$F:$F,""))</f>
        <v/>
      </c>
      <c r="J470" s="74">
        <f>IF($C470="","",IF($D470="NO ENCONTRADO",IF(COUNTIF($C$7:$C$1000,$C470)&gt;1,"⚠️ No encontrado | Duplicado","⚠️ No encontrado"),IF(COUNTIF($C$7:$C$1000,$C470)&gt;1,"⚠️ Duplicado","Verificado")))</f>
        <v/>
      </c>
    </row>
    <row r="471" ht="15.75" customHeight="1" s="176">
      <c r="B471" s="80" t="n"/>
      <c r="C471" s="74" t="n"/>
      <c r="D471" s="74">
        <f t="array" ref="D471">IF($C471="","",IFNA(_xlfn.XLOOKUP($C471,Productos!$A:$A,Productos!$E:$E,IFNA(_xlfn.XLOOKUP(TEXT($C471,"0"),Productos!$A:$A,Productos!$E:$E,IFNA(_xlfn.XLOOKUP(IFERROR(VALUE($C471),""),Productos!$A:$A,Productos!$E:$E,_xlfn.XLOOKUP($C471,Productos!$E:$E,Productos!$E:$E,"NO ENCONTRADO")),"NO ENCONTRADO")),"NO ENCONTRADO")),"NO ENCONTRADO"))</f>
        <v/>
      </c>
      <c r="E471" s="74">
        <f t="array" ref="E471">IF(OR($D471="",$D471="NO ENCONTRADO"),"",_xlfn.XLOOKUP($D471,Productos!$E:$E,Productos!$H:$H,""))</f>
        <v/>
      </c>
      <c r="F471" s="74">
        <f t="array" ref="F471">IF(OR($D471="",$D471="NO ENCONTRADO"),"",_xlfn.XLOOKUP($D471,Productos!$E:$E,Productos!$I:$I,""))</f>
        <v/>
      </c>
      <c r="G471" s="74">
        <f t="array" ref="G471">IF(OR($D471="",$D471="NO ENCONTRADO"),"",_xlfn.XLOOKUP($D471,Productos!$E:$E,Productos!$J:$J,""))</f>
        <v/>
      </c>
      <c r="H471" s="74">
        <f t="array" ref="H471">IF(OR($D471="",$D471="NO ENCONTRADO"),"",_xlfn.XLOOKUP($D471,Productos!$E:$E,Productos!$K:$K,""))</f>
        <v/>
      </c>
      <c r="I471" s="74">
        <f t="array" ref="I471">IF(OR($D471="",$D471="NO ENCONTRADO"),"",_xlfn.XLOOKUP($D471,Productos!$E:$E,Productos!$F:$F,""))</f>
        <v/>
      </c>
      <c r="J471" s="74">
        <f>IF($C471="","",IF($D471="NO ENCONTRADO",IF(COUNTIF($C$7:$C$1000,$C471)&gt;1,"⚠️ No encontrado | Duplicado","⚠️ No encontrado"),IF(COUNTIF($C$7:$C$1000,$C471)&gt;1,"⚠️ Duplicado","Verificado")))</f>
        <v/>
      </c>
    </row>
    <row r="472" ht="15.75" customHeight="1" s="176">
      <c r="B472" s="80" t="n"/>
      <c r="C472" s="74" t="n"/>
      <c r="D472" s="74">
        <f t="array" ref="D472">IF($C472="","",IFNA(_xlfn.XLOOKUP($C472,Productos!$A:$A,Productos!$E:$E,IFNA(_xlfn.XLOOKUP(TEXT($C472,"0"),Productos!$A:$A,Productos!$E:$E,IFNA(_xlfn.XLOOKUP(IFERROR(VALUE($C472),""),Productos!$A:$A,Productos!$E:$E,_xlfn.XLOOKUP($C472,Productos!$E:$E,Productos!$E:$E,"NO ENCONTRADO")),"NO ENCONTRADO")),"NO ENCONTRADO")),"NO ENCONTRADO"))</f>
        <v/>
      </c>
      <c r="E472" s="74">
        <f t="array" ref="E472">IF(OR($D472="",$D472="NO ENCONTRADO"),"",_xlfn.XLOOKUP($D472,Productos!$E:$E,Productos!$H:$H,""))</f>
        <v/>
      </c>
      <c r="F472" s="74">
        <f t="array" ref="F472">IF(OR($D472="",$D472="NO ENCONTRADO"),"",_xlfn.XLOOKUP($D472,Productos!$E:$E,Productos!$I:$I,""))</f>
        <v/>
      </c>
      <c r="G472" s="74">
        <f t="array" ref="G472">IF(OR($D472="",$D472="NO ENCONTRADO"),"",_xlfn.XLOOKUP($D472,Productos!$E:$E,Productos!$J:$J,""))</f>
        <v/>
      </c>
      <c r="H472" s="74">
        <f t="array" ref="H472">IF(OR($D472="",$D472="NO ENCONTRADO"),"",_xlfn.XLOOKUP($D472,Productos!$E:$E,Productos!$K:$K,""))</f>
        <v/>
      </c>
      <c r="I472" s="74">
        <f t="array" ref="I472">IF(OR($D472="",$D472="NO ENCONTRADO"),"",_xlfn.XLOOKUP($D472,Productos!$E:$E,Productos!$F:$F,""))</f>
        <v/>
      </c>
      <c r="J472" s="74">
        <f>IF($C472="","",IF($D472="NO ENCONTRADO",IF(COUNTIF($C$7:$C$1000,$C472)&gt;1,"⚠️ No encontrado | Duplicado","⚠️ No encontrado"),IF(COUNTIF($C$7:$C$1000,$C472)&gt;1,"⚠️ Duplicado","Verificado")))</f>
        <v/>
      </c>
    </row>
    <row r="473" ht="15.75" customHeight="1" s="176">
      <c r="B473" s="80" t="n"/>
      <c r="C473" s="74" t="n"/>
      <c r="D473" s="74">
        <f t="array" ref="D473">IF($C473="","",IFNA(_xlfn.XLOOKUP($C473,Productos!$A:$A,Productos!$E:$E,IFNA(_xlfn.XLOOKUP(TEXT($C473,"0"),Productos!$A:$A,Productos!$E:$E,IFNA(_xlfn.XLOOKUP(IFERROR(VALUE($C473),""),Productos!$A:$A,Productos!$E:$E,_xlfn.XLOOKUP($C473,Productos!$E:$E,Productos!$E:$E,"NO ENCONTRADO")),"NO ENCONTRADO")),"NO ENCONTRADO")),"NO ENCONTRADO"))</f>
        <v/>
      </c>
      <c r="E473" s="74">
        <f t="array" ref="E473">IF(OR($D473="",$D473="NO ENCONTRADO"),"",_xlfn.XLOOKUP($D473,Productos!$E:$E,Productos!$H:$H,""))</f>
        <v/>
      </c>
      <c r="F473" s="74">
        <f t="array" ref="F473">IF(OR($D473="",$D473="NO ENCONTRADO"),"",_xlfn.XLOOKUP($D473,Productos!$E:$E,Productos!$I:$I,""))</f>
        <v/>
      </c>
      <c r="G473" s="74">
        <f t="array" ref="G473">IF(OR($D473="",$D473="NO ENCONTRADO"),"",_xlfn.XLOOKUP($D473,Productos!$E:$E,Productos!$J:$J,""))</f>
        <v/>
      </c>
      <c r="H473" s="74">
        <f t="array" ref="H473">IF(OR($D473="",$D473="NO ENCONTRADO"),"",_xlfn.XLOOKUP($D473,Productos!$E:$E,Productos!$K:$K,""))</f>
        <v/>
      </c>
      <c r="I473" s="74">
        <f t="array" ref="I473">IF(OR($D473="",$D473="NO ENCONTRADO"),"",_xlfn.XLOOKUP($D473,Productos!$E:$E,Productos!$F:$F,""))</f>
        <v/>
      </c>
      <c r="J473" s="74">
        <f>IF($C473="","",IF($D473="NO ENCONTRADO",IF(COUNTIF($C$7:$C$1000,$C473)&gt;1,"⚠️ No encontrado | Duplicado","⚠️ No encontrado"),IF(COUNTIF($C$7:$C$1000,$C473)&gt;1,"⚠️ Duplicado","Verificado")))</f>
        <v/>
      </c>
    </row>
    <row r="474" ht="15.75" customHeight="1" s="176">
      <c r="B474" s="80" t="n"/>
      <c r="C474" s="74" t="n"/>
      <c r="D474" s="74">
        <f t="array" ref="D474">IF($C474="","",IFNA(_xlfn.XLOOKUP($C474,Productos!$A:$A,Productos!$E:$E,IFNA(_xlfn.XLOOKUP(TEXT($C474,"0"),Productos!$A:$A,Productos!$E:$E,IFNA(_xlfn.XLOOKUP(IFERROR(VALUE($C474),""),Productos!$A:$A,Productos!$E:$E,_xlfn.XLOOKUP($C474,Productos!$E:$E,Productos!$E:$E,"NO ENCONTRADO")),"NO ENCONTRADO")),"NO ENCONTRADO")),"NO ENCONTRADO"))</f>
        <v/>
      </c>
      <c r="E474" s="74">
        <f t="array" ref="E474">IF(OR($D474="",$D474="NO ENCONTRADO"),"",_xlfn.XLOOKUP($D474,Productos!$E:$E,Productos!$H:$H,""))</f>
        <v/>
      </c>
      <c r="F474" s="74">
        <f t="array" ref="F474">IF(OR($D474="",$D474="NO ENCONTRADO"),"",_xlfn.XLOOKUP($D474,Productos!$E:$E,Productos!$I:$I,""))</f>
        <v/>
      </c>
      <c r="G474" s="74">
        <f t="array" ref="G474">IF(OR($D474="",$D474="NO ENCONTRADO"),"",_xlfn.XLOOKUP($D474,Productos!$E:$E,Productos!$J:$J,""))</f>
        <v/>
      </c>
      <c r="H474" s="74">
        <f t="array" ref="H474">IF(OR($D474="",$D474="NO ENCONTRADO"),"",_xlfn.XLOOKUP($D474,Productos!$E:$E,Productos!$K:$K,""))</f>
        <v/>
      </c>
      <c r="I474" s="74">
        <f t="array" ref="I474">IF(OR($D474="",$D474="NO ENCONTRADO"),"",_xlfn.XLOOKUP($D474,Productos!$E:$E,Productos!$F:$F,""))</f>
        <v/>
      </c>
      <c r="J474" s="74">
        <f>IF($C474="","",IF($D474="NO ENCONTRADO",IF(COUNTIF($C$7:$C$1000,$C474)&gt;1,"⚠️ No encontrado | Duplicado","⚠️ No encontrado"),IF(COUNTIF($C$7:$C$1000,$C474)&gt;1,"⚠️ Duplicado","Verificado")))</f>
        <v/>
      </c>
    </row>
    <row r="475" ht="15.75" customHeight="1" s="176">
      <c r="B475" s="80" t="n"/>
      <c r="C475" s="74" t="n"/>
      <c r="D475" s="74">
        <f t="array" ref="D475">IF($C475="","",IFNA(_xlfn.XLOOKUP($C475,Productos!$A:$A,Productos!$E:$E,IFNA(_xlfn.XLOOKUP(TEXT($C475,"0"),Productos!$A:$A,Productos!$E:$E,IFNA(_xlfn.XLOOKUP(IFERROR(VALUE($C475),""),Productos!$A:$A,Productos!$E:$E,_xlfn.XLOOKUP($C475,Productos!$E:$E,Productos!$E:$E,"NO ENCONTRADO")),"NO ENCONTRADO")),"NO ENCONTRADO")),"NO ENCONTRADO"))</f>
        <v/>
      </c>
      <c r="E475" s="74">
        <f t="array" ref="E475">IF(OR($D475="",$D475="NO ENCONTRADO"),"",_xlfn.XLOOKUP($D475,Productos!$E:$E,Productos!$H:$H,""))</f>
        <v/>
      </c>
      <c r="F475" s="74">
        <f t="array" ref="F475">IF(OR($D475="",$D475="NO ENCONTRADO"),"",_xlfn.XLOOKUP($D475,Productos!$E:$E,Productos!$I:$I,""))</f>
        <v/>
      </c>
      <c r="G475" s="74">
        <f t="array" ref="G475">IF(OR($D475="",$D475="NO ENCONTRADO"),"",_xlfn.XLOOKUP($D475,Productos!$E:$E,Productos!$J:$J,""))</f>
        <v/>
      </c>
      <c r="H475" s="74">
        <f t="array" ref="H475">IF(OR($D475="",$D475="NO ENCONTRADO"),"",_xlfn.XLOOKUP($D475,Productos!$E:$E,Productos!$K:$K,""))</f>
        <v/>
      </c>
      <c r="I475" s="74">
        <f t="array" ref="I475">IF(OR($D475="",$D475="NO ENCONTRADO"),"",_xlfn.XLOOKUP($D475,Productos!$E:$E,Productos!$F:$F,""))</f>
        <v/>
      </c>
      <c r="J475" s="74">
        <f>IF($C475="","",IF($D475="NO ENCONTRADO",IF(COUNTIF($C$7:$C$1000,$C475)&gt;1,"⚠️ No encontrado | Duplicado","⚠️ No encontrado"),IF(COUNTIF($C$7:$C$1000,$C475)&gt;1,"⚠️ Duplicado","Verificado")))</f>
        <v/>
      </c>
    </row>
    <row r="476" ht="15.75" customHeight="1" s="176">
      <c r="B476" s="80" t="n"/>
      <c r="C476" s="74" t="n"/>
      <c r="D476" s="74">
        <f t="array" ref="D476">IF($C476="","",IFNA(_xlfn.XLOOKUP($C476,Productos!$A:$A,Productos!$E:$E,IFNA(_xlfn.XLOOKUP(TEXT($C476,"0"),Productos!$A:$A,Productos!$E:$E,IFNA(_xlfn.XLOOKUP(IFERROR(VALUE($C476),""),Productos!$A:$A,Productos!$E:$E,_xlfn.XLOOKUP($C476,Productos!$E:$E,Productos!$E:$E,"NO ENCONTRADO")),"NO ENCONTRADO")),"NO ENCONTRADO")),"NO ENCONTRADO"))</f>
        <v/>
      </c>
      <c r="E476" s="74">
        <f t="array" ref="E476">IF(OR($D476="",$D476="NO ENCONTRADO"),"",_xlfn.XLOOKUP($D476,Productos!$E:$E,Productos!$H:$H,""))</f>
        <v/>
      </c>
      <c r="F476" s="74">
        <f t="array" ref="F476">IF(OR($D476="",$D476="NO ENCONTRADO"),"",_xlfn.XLOOKUP($D476,Productos!$E:$E,Productos!$I:$I,""))</f>
        <v/>
      </c>
      <c r="G476" s="74">
        <f t="array" ref="G476">IF(OR($D476="",$D476="NO ENCONTRADO"),"",_xlfn.XLOOKUP($D476,Productos!$E:$E,Productos!$J:$J,""))</f>
        <v/>
      </c>
      <c r="H476" s="74">
        <f t="array" ref="H476">IF(OR($D476="",$D476="NO ENCONTRADO"),"",_xlfn.XLOOKUP($D476,Productos!$E:$E,Productos!$K:$K,""))</f>
        <v/>
      </c>
      <c r="I476" s="74">
        <f t="array" ref="I476">IF(OR($D476="",$D476="NO ENCONTRADO"),"",_xlfn.XLOOKUP($D476,Productos!$E:$E,Productos!$F:$F,""))</f>
        <v/>
      </c>
      <c r="J476" s="74">
        <f>IF($C476="","",IF($D476="NO ENCONTRADO",IF(COUNTIF($C$7:$C$1000,$C476)&gt;1,"⚠️ No encontrado | Duplicado","⚠️ No encontrado"),IF(COUNTIF($C$7:$C$1000,$C476)&gt;1,"⚠️ Duplicado","Verificado")))</f>
        <v/>
      </c>
    </row>
    <row r="477" ht="15.75" customHeight="1" s="176">
      <c r="B477" s="80" t="n"/>
      <c r="C477" s="74" t="n"/>
      <c r="D477" s="74">
        <f t="array" ref="D477">IF($C477="","",IFNA(_xlfn.XLOOKUP($C477,Productos!$A:$A,Productos!$E:$E,IFNA(_xlfn.XLOOKUP(TEXT($C477,"0"),Productos!$A:$A,Productos!$E:$E,IFNA(_xlfn.XLOOKUP(IFERROR(VALUE($C477),""),Productos!$A:$A,Productos!$E:$E,_xlfn.XLOOKUP($C477,Productos!$E:$E,Productos!$E:$E,"NO ENCONTRADO")),"NO ENCONTRADO")),"NO ENCONTRADO")),"NO ENCONTRADO"))</f>
        <v/>
      </c>
      <c r="E477" s="74">
        <f t="array" ref="E477">IF(OR($D477="",$D477="NO ENCONTRADO"),"",_xlfn.XLOOKUP($D477,Productos!$E:$E,Productos!$H:$H,""))</f>
        <v/>
      </c>
      <c r="F477" s="74">
        <f t="array" ref="F477">IF(OR($D477="",$D477="NO ENCONTRADO"),"",_xlfn.XLOOKUP($D477,Productos!$E:$E,Productos!$I:$I,""))</f>
        <v/>
      </c>
      <c r="G477" s="74">
        <f t="array" ref="G477">IF(OR($D477="",$D477="NO ENCONTRADO"),"",_xlfn.XLOOKUP($D477,Productos!$E:$E,Productos!$J:$J,""))</f>
        <v/>
      </c>
      <c r="H477" s="74">
        <f t="array" ref="H477">IF(OR($D477="",$D477="NO ENCONTRADO"),"",_xlfn.XLOOKUP($D477,Productos!$E:$E,Productos!$K:$K,""))</f>
        <v/>
      </c>
      <c r="I477" s="74">
        <f t="array" ref="I477">IF(OR($D477="",$D477="NO ENCONTRADO"),"",_xlfn.XLOOKUP($D477,Productos!$E:$E,Productos!$F:$F,""))</f>
        <v/>
      </c>
      <c r="J477" s="74">
        <f>IF($C477="","",IF($D477="NO ENCONTRADO",IF(COUNTIF($C$7:$C$1000,$C477)&gt;1,"⚠️ No encontrado | Duplicado","⚠️ No encontrado"),IF(COUNTIF($C$7:$C$1000,$C477)&gt;1,"⚠️ Duplicado","Verificado")))</f>
        <v/>
      </c>
    </row>
    <row r="478" ht="15.75" customHeight="1" s="176">
      <c r="B478" s="80" t="n"/>
      <c r="C478" s="74" t="n"/>
      <c r="D478" s="74">
        <f t="array" ref="D478">IF($C478="","",IFNA(_xlfn.XLOOKUP($C478,Productos!$A:$A,Productos!$E:$E,IFNA(_xlfn.XLOOKUP(TEXT($C478,"0"),Productos!$A:$A,Productos!$E:$E,IFNA(_xlfn.XLOOKUP(IFERROR(VALUE($C478),""),Productos!$A:$A,Productos!$E:$E,_xlfn.XLOOKUP($C478,Productos!$E:$E,Productos!$E:$E,"NO ENCONTRADO")),"NO ENCONTRADO")),"NO ENCONTRADO")),"NO ENCONTRADO"))</f>
        <v/>
      </c>
      <c r="E478" s="74">
        <f t="array" ref="E478">IF(OR($D478="",$D478="NO ENCONTRADO"),"",_xlfn.XLOOKUP($D478,Productos!$E:$E,Productos!$H:$H,""))</f>
        <v/>
      </c>
      <c r="F478" s="74">
        <f t="array" ref="F478">IF(OR($D478="",$D478="NO ENCONTRADO"),"",_xlfn.XLOOKUP($D478,Productos!$E:$E,Productos!$I:$I,""))</f>
        <v/>
      </c>
      <c r="G478" s="74">
        <f t="array" ref="G478">IF(OR($D478="",$D478="NO ENCONTRADO"),"",_xlfn.XLOOKUP($D478,Productos!$E:$E,Productos!$J:$J,""))</f>
        <v/>
      </c>
      <c r="H478" s="74">
        <f t="array" ref="H478">IF(OR($D478="",$D478="NO ENCONTRADO"),"",_xlfn.XLOOKUP($D478,Productos!$E:$E,Productos!$K:$K,""))</f>
        <v/>
      </c>
      <c r="I478" s="74">
        <f t="array" ref="I478">IF(OR($D478="",$D478="NO ENCONTRADO"),"",_xlfn.XLOOKUP($D478,Productos!$E:$E,Productos!$F:$F,""))</f>
        <v/>
      </c>
      <c r="J478" s="74">
        <f>IF($C478="","",IF($D478="NO ENCONTRADO",IF(COUNTIF($C$7:$C$1000,$C478)&gt;1,"⚠️ No encontrado | Duplicado","⚠️ No encontrado"),IF(COUNTIF($C$7:$C$1000,$C478)&gt;1,"⚠️ Duplicado","Verificado")))</f>
        <v/>
      </c>
    </row>
    <row r="479" ht="15.75" customHeight="1" s="176">
      <c r="B479" s="80" t="n"/>
      <c r="C479" s="74" t="n"/>
      <c r="D479" s="74">
        <f t="array" ref="D479">IF($C479="","",IFNA(_xlfn.XLOOKUP($C479,Productos!$A:$A,Productos!$E:$E,IFNA(_xlfn.XLOOKUP(TEXT($C479,"0"),Productos!$A:$A,Productos!$E:$E,IFNA(_xlfn.XLOOKUP(IFERROR(VALUE($C479),""),Productos!$A:$A,Productos!$E:$E,_xlfn.XLOOKUP($C479,Productos!$E:$E,Productos!$E:$E,"NO ENCONTRADO")),"NO ENCONTRADO")),"NO ENCONTRADO")),"NO ENCONTRADO"))</f>
        <v/>
      </c>
      <c r="E479" s="74">
        <f t="array" ref="E479">IF(OR($D479="",$D479="NO ENCONTRADO"),"",_xlfn.XLOOKUP($D479,Productos!$E:$E,Productos!$H:$H,""))</f>
        <v/>
      </c>
      <c r="F479" s="74">
        <f t="array" ref="F479">IF(OR($D479="",$D479="NO ENCONTRADO"),"",_xlfn.XLOOKUP($D479,Productos!$E:$E,Productos!$I:$I,""))</f>
        <v/>
      </c>
      <c r="G479" s="74">
        <f t="array" ref="G479">IF(OR($D479="",$D479="NO ENCONTRADO"),"",_xlfn.XLOOKUP($D479,Productos!$E:$E,Productos!$J:$J,""))</f>
        <v/>
      </c>
      <c r="H479" s="74">
        <f t="array" ref="H479">IF(OR($D479="",$D479="NO ENCONTRADO"),"",_xlfn.XLOOKUP($D479,Productos!$E:$E,Productos!$K:$K,""))</f>
        <v/>
      </c>
      <c r="I479" s="74">
        <f t="array" ref="I479">IF(OR($D479="",$D479="NO ENCONTRADO"),"",_xlfn.XLOOKUP($D479,Productos!$E:$E,Productos!$F:$F,""))</f>
        <v/>
      </c>
      <c r="J479" s="74">
        <f>IF($C479="","",IF($D479="NO ENCONTRADO",IF(COUNTIF($C$7:$C$1000,$C479)&gt;1,"⚠️ No encontrado | Duplicado","⚠️ No encontrado"),IF(COUNTIF($C$7:$C$1000,$C479)&gt;1,"⚠️ Duplicado","Verificado")))</f>
        <v/>
      </c>
    </row>
    <row r="480" ht="15.75" customHeight="1" s="176">
      <c r="B480" s="80" t="n"/>
      <c r="C480" s="74" t="n"/>
      <c r="D480" s="74">
        <f t="array" ref="D480">IF($C480="","",IFNA(_xlfn.XLOOKUP($C480,Productos!$A:$A,Productos!$E:$E,IFNA(_xlfn.XLOOKUP(TEXT($C480,"0"),Productos!$A:$A,Productos!$E:$E,IFNA(_xlfn.XLOOKUP(IFERROR(VALUE($C480),""),Productos!$A:$A,Productos!$E:$E,_xlfn.XLOOKUP($C480,Productos!$E:$E,Productos!$E:$E,"NO ENCONTRADO")),"NO ENCONTRADO")),"NO ENCONTRADO")),"NO ENCONTRADO"))</f>
        <v/>
      </c>
      <c r="E480" s="74">
        <f t="array" ref="E480">IF(OR($D480="",$D480="NO ENCONTRADO"),"",_xlfn.XLOOKUP($D480,Productos!$E:$E,Productos!$H:$H,""))</f>
        <v/>
      </c>
      <c r="F480" s="74">
        <f t="array" ref="F480">IF(OR($D480="",$D480="NO ENCONTRADO"),"",_xlfn.XLOOKUP($D480,Productos!$E:$E,Productos!$I:$I,""))</f>
        <v/>
      </c>
      <c r="G480" s="74">
        <f t="array" ref="G480">IF(OR($D480="",$D480="NO ENCONTRADO"),"",_xlfn.XLOOKUP($D480,Productos!$E:$E,Productos!$J:$J,""))</f>
        <v/>
      </c>
      <c r="H480" s="74">
        <f t="array" ref="H480">IF(OR($D480="",$D480="NO ENCONTRADO"),"",_xlfn.XLOOKUP($D480,Productos!$E:$E,Productos!$K:$K,""))</f>
        <v/>
      </c>
      <c r="I480" s="74">
        <f t="array" ref="I480">IF(OR($D480="",$D480="NO ENCONTRADO"),"",_xlfn.XLOOKUP($D480,Productos!$E:$E,Productos!$F:$F,""))</f>
        <v/>
      </c>
      <c r="J480" s="74">
        <f>IF($C480="","",IF($D480="NO ENCONTRADO",IF(COUNTIF($C$7:$C$1000,$C480)&gt;1,"⚠️ No encontrado | Duplicado","⚠️ No encontrado"),IF(COUNTIF($C$7:$C$1000,$C480)&gt;1,"⚠️ Duplicado","Verificado")))</f>
        <v/>
      </c>
    </row>
    <row r="481" ht="15.75" customHeight="1" s="176">
      <c r="B481" s="80" t="n"/>
      <c r="C481" s="74" t="n"/>
      <c r="D481" s="74">
        <f t="array" ref="D481">IF($C481="","",IFNA(_xlfn.XLOOKUP($C481,Productos!$A:$A,Productos!$E:$E,IFNA(_xlfn.XLOOKUP(TEXT($C481,"0"),Productos!$A:$A,Productos!$E:$E,IFNA(_xlfn.XLOOKUP(IFERROR(VALUE($C481),""),Productos!$A:$A,Productos!$E:$E,_xlfn.XLOOKUP($C481,Productos!$E:$E,Productos!$E:$E,"NO ENCONTRADO")),"NO ENCONTRADO")),"NO ENCONTRADO")),"NO ENCONTRADO"))</f>
        <v/>
      </c>
      <c r="E481" s="74">
        <f t="array" ref="E481">IF(OR($D481="",$D481="NO ENCONTRADO"),"",_xlfn.XLOOKUP($D481,Productos!$E:$E,Productos!$H:$H,""))</f>
        <v/>
      </c>
      <c r="F481" s="74">
        <f t="array" ref="F481">IF(OR($D481="",$D481="NO ENCONTRADO"),"",_xlfn.XLOOKUP($D481,Productos!$E:$E,Productos!$I:$I,""))</f>
        <v/>
      </c>
      <c r="G481" s="74">
        <f t="array" ref="G481">IF(OR($D481="",$D481="NO ENCONTRADO"),"",_xlfn.XLOOKUP($D481,Productos!$E:$E,Productos!$J:$J,""))</f>
        <v/>
      </c>
      <c r="H481" s="74">
        <f t="array" ref="H481">IF(OR($D481="",$D481="NO ENCONTRADO"),"",_xlfn.XLOOKUP($D481,Productos!$E:$E,Productos!$K:$K,""))</f>
        <v/>
      </c>
      <c r="I481" s="74">
        <f t="array" ref="I481">IF(OR($D481="",$D481="NO ENCONTRADO"),"",_xlfn.XLOOKUP($D481,Productos!$E:$E,Productos!$F:$F,""))</f>
        <v/>
      </c>
      <c r="J481" s="74">
        <f>IF($C481="","",IF($D481="NO ENCONTRADO",IF(COUNTIF($C$7:$C$1000,$C481)&gt;1,"⚠️ No encontrado | Duplicado","⚠️ No encontrado"),IF(COUNTIF($C$7:$C$1000,$C481)&gt;1,"⚠️ Duplicado","Verificado")))</f>
        <v/>
      </c>
    </row>
    <row r="482" ht="15.75" customHeight="1" s="176">
      <c r="B482" s="80" t="n"/>
      <c r="C482" s="74" t="n"/>
      <c r="D482" s="74">
        <f t="array" ref="D482">IF($C482="","",IFNA(_xlfn.XLOOKUP($C482,Productos!$A:$A,Productos!$E:$E,IFNA(_xlfn.XLOOKUP(TEXT($C482,"0"),Productos!$A:$A,Productos!$E:$E,IFNA(_xlfn.XLOOKUP(IFERROR(VALUE($C482),""),Productos!$A:$A,Productos!$E:$E,_xlfn.XLOOKUP($C482,Productos!$E:$E,Productos!$E:$E,"NO ENCONTRADO")),"NO ENCONTRADO")),"NO ENCONTRADO")),"NO ENCONTRADO"))</f>
        <v/>
      </c>
      <c r="E482" s="74">
        <f t="array" ref="E482">IF(OR($D482="",$D482="NO ENCONTRADO"),"",_xlfn.XLOOKUP($D482,Productos!$E:$E,Productos!$H:$H,""))</f>
        <v/>
      </c>
      <c r="F482" s="74">
        <f t="array" ref="F482">IF(OR($D482="",$D482="NO ENCONTRADO"),"",_xlfn.XLOOKUP($D482,Productos!$E:$E,Productos!$I:$I,""))</f>
        <v/>
      </c>
      <c r="G482" s="74">
        <f t="array" ref="G482">IF(OR($D482="",$D482="NO ENCONTRADO"),"",_xlfn.XLOOKUP($D482,Productos!$E:$E,Productos!$J:$J,""))</f>
        <v/>
      </c>
      <c r="H482" s="74">
        <f t="array" ref="H482">IF(OR($D482="",$D482="NO ENCONTRADO"),"",_xlfn.XLOOKUP($D482,Productos!$E:$E,Productos!$K:$K,""))</f>
        <v/>
      </c>
      <c r="I482" s="74">
        <f t="array" ref="I482">IF(OR($D482="",$D482="NO ENCONTRADO"),"",_xlfn.XLOOKUP($D482,Productos!$E:$E,Productos!$F:$F,""))</f>
        <v/>
      </c>
      <c r="J482" s="74">
        <f>IF($C482="","",IF($D482="NO ENCONTRADO",IF(COUNTIF($C$7:$C$1000,$C482)&gt;1,"⚠️ No encontrado | Duplicado","⚠️ No encontrado"),IF(COUNTIF($C$7:$C$1000,$C482)&gt;1,"⚠️ Duplicado","Verificado")))</f>
        <v/>
      </c>
    </row>
    <row r="483" ht="15.75" customHeight="1" s="176">
      <c r="B483" s="80" t="n"/>
      <c r="C483" s="74" t="n"/>
      <c r="D483" s="74">
        <f t="array" ref="D483">IF($C483="","",IFNA(_xlfn.XLOOKUP($C483,Productos!$A:$A,Productos!$E:$E,IFNA(_xlfn.XLOOKUP(TEXT($C483,"0"),Productos!$A:$A,Productos!$E:$E,IFNA(_xlfn.XLOOKUP(IFERROR(VALUE($C483),""),Productos!$A:$A,Productos!$E:$E,_xlfn.XLOOKUP($C483,Productos!$E:$E,Productos!$E:$E,"NO ENCONTRADO")),"NO ENCONTRADO")),"NO ENCONTRADO")),"NO ENCONTRADO"))</f>
        <v/>
      </c>
      <c r="E483" s="74">
        <f t="array" ref="E483">IF(OR($D483="",$D483="NO ENCONTRADO"),"",_xlfn.XLOOKUP($D483,Productos!$E:$E,Productos!$H:$H,""))</f>
        <v/>
      </c>
      <c r="F483" s="74">
        <f t="array" ref="F483">IF(OR($D483="",$D483="NO ENCONTRADO"),"",_xlfn.XLOOKUP($D483,Productos!$E:$E,Productos!$I:$I,""))</f>
        <v/>
      </c>
      <c r="G483" s="74">
        <f t="array" ref="G483">IF(OR($D483="",$D483="NO ENCONTRADO"),"",_xlfn.XLOOKUP($D483,Productos!$E:$E,Productos!$J:$J,""))</f>
        <v/>
      </c>
      <c r="H483" s="74">
        <f t="array" ref="H483">IF(OR($D483="",$D483="NO ENCONTRADO"),"",_xlfn.XLOOKUP($D483,Productos!$E:$E,Productos!$K:$K,""))</f>
        <v/>
      </c>
      <c r="I483" s="74">
        <f t="array" ref="I483">IF(OR($D483="",$D483="NO ENCONTRADO"),"",_xlfn.XLOOKUP($D483,Productos!$E:$E,Productos!$F:$F,""))</f>
        <v/>
      </c>
      <c r="J483" s="74">
        <f>IF($C483="","",IF($D483="NO ENCONTRADO",IF(COUNTIF($C$7:$C$1000,$C483)&gt;1,"⚠️ No encontrado | Duplicado","⚠️ No encontrado"),IF(COUNTIF($C$7:$C$1000,$C483)&gt;1,"⚠️ Duplicado","Verificado")))</f>
        <v/>
      </c>
    </row>
    <row r="484" ht="15.75" customHeight="1" s="176">
      <c r="B484" s="80" t="n"/>
      <c r="C484" s="74" t="n"/>
      <c r="D484" s="74">
        <f t="array" ref="D484">IF($C484="","",IFNA(_xlfn.XLOOKUP($C484,Productos!$A:$A,Productos!$E:$E,IFNA(_xlfn.XLOOKUP(TEXT($C484,"0"),Productos!$A:$A,Productos!$E:$E,IFNA(_xlfn.XLOOKUP(IFERROR(VALUE($C484),""),Productos!$A:$A,Productos!$E:$E,_xlfn.XLOOKUP($C484,Productos!$E:$E,Productos!$E:$E,"NO ENCONTRADO")),"NO ENCONTRADO")),"NO ENCONTRADO")),"NO ENCONTRADO"))</f>
        <v/>
      </c>
      <c r="E484" s="74">
        <f t="array" ref="E484">IF(OR($D484="",$D484="NO ENCONTRADO"),"",_xlfn.XLOOKUP($D484,Productos!$E:$E,Productos!$H:$H,""))</f>
        <v/>
      </c>
      <c r="F484" s="74">
        <f t="array" ref="F484">IF(OR($D484="",$D484="NO ENCONTRADO"),"",_xlfn.XLOOKUP($D484,Productos!$E:$E,Productos!$I:$I,""))</f>
        <v/>
      </c>
      <c r="G484" s="74">
        <f t="array" ref="G484">IF(OR($D484="",$D484="NO ENCONTRADO"),"",_xlfn.XLOOKUP($D484,Productos!$E:$E,Productos!$J:$J,""))</f>
        <v/>
      </c>
      <c r="H484" s="74">
        <f t="array" ref="H484">IF(OR($D484="",$D484="NO ENCONTRADO"),"",_xlfn.XLOOKUP($D484,Productos!$E:$E,Productos!$K:$K,""))</f>
        <v/>
      </c>
      <c r="I484" s="74">
        <f t="array" ref="I484">IF(OR($D484="",$D484="NO ENCONTRADO"),"",_xlfn.XLOOKUP($D484,Productos!$E:$E,Productos!$F:$F,""))</f>
        <v/>
      </c>
      <c r="J484" s="74">
        <f>IF($C484="","",IF($D484="NO ENCONTRADO",IF(COUNTIF($C$7:$C$1000,$C484)&gt;1,"⚠️ No encontrado | Duplicado","⚠️ No encontrado"),IF(COUNTIF($C$7:$C$1000,$C484)&gt;1,"⚠️ Duplicado","Verificado")))</f>
        <v/>
      </c>
    </row>
    <row r="485" ht="15.75" customHeight="1" s="176">
      <c r="B485" s="80" t="n"/>
      <c r="C485" s="74" t="n"/>
      <c r="D485" s="74">
        <f t="array" ref="D485">IF($C485="","",IFNA(_xlfn.XLOOKUP($C485,Productos!$A:$A,Productos!$E:$E,IFNA(_xlfn.XLOOKUP(TEXT($C485,"0"),Productos!$A:$A,Productos!$E:$E,IFNA(_xlfn.XLOOKUP(IFERROR(VALUE($C485),""),Productos!$A:$A,Productos!$E:$E,_xlfn.XLOOKUP($C485,Productos!$E:$E,Productos!$E:$E,"NO ENCONTRADO")),"NO ENCONTRADO")),"NO ENCONTRADO")),"NO ENCONTRADO"))</f>
        <v/>
      </c>
      <c r="E485" s="74">
        <f t="array" ref="E485">IF(OR($D485="",$D485="NO ENCONTRADO"),"",_xlfn.XLOOKUP($D485,Productos!$E:$E,Productos!$H:$H,""))</f>
        <v/>
      </c>
      <c r="F485" s="74">
        <f t="array" ref="F485">IF(OR($D485="",$D485="NO ENCONTRADO"),"",_xlfn.XLOOKUP($D485,Productos!$E:$E,Productos!$I:$I,""))</f>
        <v/>
      </c>
      <c r="G485" s="74">
        <f t="array" ref="G485">IF(OR($D485="",$D485="NO ENCONTRADO"),"",_xlfn.XLOOKUP($D485,Productos!$E:$E,Productos!$J:$J,""))</f>
        <v/>
      </c>
      <c r="H485" s="74">
        <f t="array" ref="H485">IF(OR($D485="",$D485="NO ENCONTRADO"),"",_xlfn.XLOOKUP($D485,Productos!$E:$E,Productos!$K:$K,""))</f>
        <v/>
      </c>
      <c r="I485" s="74">
        <f t="array" ref="I485">IF(OR($D485="",$D485="NO ENCONTRADO"),"",_xlfn.XLOOKUP($D485,Productos!$E:$E,Productos!$F:$F,""))</f>
        <v/>
      </c>
      <c r="J485" s="74">
        <f>IF($C485="","",IF($D485="NO ENCONTRADO",IF(COUNTIF($C$7:$C$1000,$C485)&gt;1,"⚠️ No encontrado | Duplicado","⚠️ No encontrado"),IF(COUNTIF($C$7:$C$1000,$C485)&gt;1,"⚠️ Duplicado","Verificado")))</f>
        <v/>
      </c>
    </row>
    <row r="486" ht="15.75" customHeight="1" s="176">
      <c r="B486" s="80" t="n"/>
      <c r="C486" s="74" t="n"/>
      <c r="D486" s="74">
        <f t="array" ref="D486">IF($C486="","",IFNA(_xlfn.XLOOKUP($C486,Productos!$A:$A,Productos!$E:$E,IFNA(_xlfn.XLOOKUP(TEXT($C486,"0"),Productos!$A:$A,Productos!$E:$E,IFNA(_xlfn.XLOOKUP(IFERROR(VALUE($C486),""),Productos!$A:$A,Productos!$E:$E,_xlfn.XLOOKUP($C486,Productos!$E:$E,Productos!$E:$E,"NO ENCONTRADO")),"NO ENCONTRADO")),"NO ENCONTRADO")),"NO ENCONTRADO"))</f>
        <v/>
      </c>
      <c r="E486" s="74">
        <f t="array" ref="E486">IF(OR($D486="",$D486="NO ENCONTRADO"),"",_xlfn.XLOOKUP($D486,Productos!$E:$E,Productos!$H:$H,""))</f>
        <v/>
      </c>
      <c r="F486" s="74">
        <f t="array" ref="F486">IF(OR($D486="",$D486="NO ENCONTRADO"),"",_xlfn.XLOOKUP($D486,Productos!$E:$E,Productos!$I:$I,""))</f>
        <v/>
      </c>
      <c r="G486" s="74">
        <f t="array" ref="G486">IF(OR($D486="",$D486="NO ENCONTRADO"),"",_xlfn.XLOOKUP($D486,Productos!$E:$E,Productos!$J:$J,""))</f>
        <v/>
      </c>
      <c r="H486" s="74">
        <f t="array" ref="H486">IF(OR($D486="",$D486="NO ENCONTRADO"),"",_xlfn.XLOOKUP($D486,Productos!$E:$E,Productos!$K:$K,""))</f>
        <v/>
      </c>
      <c r="I486" s="74">
        <f t="array" ref="I486">IF(OR($D486="",$D486="NO ENCONTRADO"),"",_xlfn.XLOOKUP($D486,Productos!$E:$E,Productos!$F:$F,""))</f>
        <v/>
      </c>
      <c r="J486" s="74">
        <f>IF($C486="","",IF($D486="NO ENCONTRADO",IF(COUNTIF($C$7:$C$1000,$C486)&gt;1,"⚠️ No encontrado | Duplicado","⚠️ No encontrado"),IF(COUNTIF($C$7:$C$1000,$C486)&gt;1,"⚠️ Duplicado","Verificado")))</f>
        <v/>
      </c>
    </row>
    <row r="487" ht="15.75" customHeight="1" s="176">
      <c r="B487" s="80" t="n"/>
      <c r="C487" s="74" t="n"/>
      <c r="D487" s="74">
        <f t="array" ref="D487">IF($C487="","",IFNA(_xlfn.XLOOKUP($C487,Productos!$A:$A,Productos!$E:$E,IFNA(_xlfn.XLOOKUP(TEXT($C487,"0"),Productos!$A:$A,Productos!$E:$E,IFNA(_xlfn.XLOOKUP(IFERROR(VALUE($C487),""),Productos!$A:$A,Productos!$E:$E,_xlfn.XLOOKUP($C487,Productos!$E:$E,Productos!$E:$E,"NO ENCONTRADO")),"NO ENCONTRADO")),"NO ENCONTRADO")),"NO ENCONTRADO"))</f>
        <v/>
      </c>
      <c r="E487" s="74">
        <f t="array" ref="E487">IF(OR($D487="",$D487="NO ENCONTRADO"),"",_xlfn.XLOOKUP($D487,Productos!$E:$E,Productos!$H:$H,""))</f>
        <v/>
      </c>
      <c r="F487" s="74">
        <f t="array" ref="F487">IF(OR($D487="",$D487="NO ENCONTRADO"),"",_xlfn.XLOOKUP($D487,Productos!$E:$E,Productos!$I:$I,""))</f>
        <v/>
      </c>
      <c r="G487" s="74">
        <f t="array" ref="G487">IF(OR($D487="",$D487="NO ENCONTRADO"),"",_xlfn.XLOOKUP($D487,Productos!$E:$E,Productos!$J:$J,""))</f>
        <v/>
      </c>
      <c r="H487" s="74">
        <f t="array" ref="H487">IF(OR($D487="",$D487="NO ENCONTRADO"),"",_xlfn.XLOOKUP($D487,Productos!$E:$E,Productos!$K:$K,""))</f>
        <v/>
      </c>
      <c r="I487" s="74">
        <f t="array" ref="I487">IF(OR($D487="",$D487="NO ENCONTRADO"),"",_xlfn.XLOOKUP($D487,Productos!$E:$E,Productos!$F:$F,""))</f>
        <v/>
      </c>
      <c r="J487" s="74">
        <f>IF($C487="","",IF($D487="NO ENCONTRADO",IF(COUNTIF($C$7:$C$1000,$C487)&gt;1,"⚠️ No encontrado | Duplicado","⚠️ No encontrado"),IF(COUNTIF($C$7:$C$1000,$C487)&gt;1,"⚠️ Duplicado","Verificado")))</f>
        <v/>
      </c>
    </row>
    <row r="488" ht="15.75" customHeight="1" s="176">
      <c r="B488" s="80" t="n"/>
      <c r="C488" s="74" t="n"/>
      <c r="D488" s="74">
        <f t="array" ref="D488">IF($C488="","",IFNA(_xlfn.XLOOKUP($C488,Productos!$A:$A,Productos!$E:$E,IFNA(_xlfn.XLOOKUP(TEXT($C488,"0"),Productos!$A:$A,Productos!$E:$E,IFNA(_xlfn.XLOOKUP(IFERROR(VALUE($C488),""),Productos!$A:$A,Productos!$E:$E,_xlfn.XLOOKUP($C488,Productos!$E:$E,Productos!$E:$E,"NO ENCONTRADO")),"NO ENCONTRADO")),"NO ENCONTRADO")),"NO ENCONTRADO"))</f>
        <v/>
      </c>
      <c r="E488" s="74">
        <f t="array" ref="E488">IF(OR($D488="",$D488="NO ENCONTRADO"),"",_xlfn.XLOOKUP($D488,Productos!$E:$E,Productos!$H:$H,""))</f>
        <v/>
      </c>
      <c r="F488" s="74">
        <f t="array" ref="F488">IF(OR($D488="",$D488="NO ENCONTRADO"),"",_xlfn.XLOOKUP($D488,Productos!$E:$E,Productos!$I:$I,""))</f>
        <v/>
      </c>
      <c r="G488" s="74">
        <f t="array" ref="G488">IF(OR($D488="",$D488="NO ENCONTRADO"),"",_xlfn.XLOOKUP($D488,Productos!$E:$E,Productos!$J:$J,""))</f>
        <v/>
      </c>
      <c r="H488" s="74">
        <f t="array" ref="H488">IF(OR($D488="",$D488="NO ENCONTRADO"),"",_xlfn.XLOOKUP($D488,Productos!$E:$E,Productos!$K:$K,""))</f>
        <v/>
      </c>
      <c r="I488" s="74">
        <f t="array" ref="I488">IF(OR($D488="",$D488="NO ENCONTRADO"),"",_xlfn.XLOOKUP($D488,Productos!$E:$E,Productos!$F:$F,""))</f>
        <v/>
      </c>
      <c r="J488" s="74">
        <f>IF($C488="","",IF($D488="NO ENCONTRADO",IF(COUNTIF($C$7:$C$1000,$C488)&gt;1,"⚠️ No encontrado | Duplicado","⚠️ No encontrado"),IF(COUNTIF($C$7:$C$1000,$C488)&gt;1,"⚠️ Duplicado","Verificado")))</f>
        <v/>
      </c>
    </row>
    <row r="489" ht="15.75" customHeight="1" s="176">
      <c r="B489" s="80" t="n"/>
      <c r="C489" s="74" t="n"/>
      <c r="D489" s="74">
        <f t="array" ref="D489">IF($C489="","",IFNA(_xlfn.XLOOKUP($C489,Productos!$A:$A,Productos!$E:$E,IFNA(_xlfn.XLOOKUP(TEXT($C489,"0"),Productos!$A:$A,Productos!$E:$E,IFNA(_xlfn.XLOOKUP(IFERROR(VALUE($C489),""),Productos!$A:$A,Productos!$E:$E,_xlfn.XLOOKUP($C489,Productos!$E:$E,Productos!$E:$E,"NO ENCONTRADO")),"NO ENCONTRADO")),"NO ENCONTRADO")),"NO ENCONTRADO"))</f>
        <v/>
      </c>
      <c r="E489" s="74">
        <f t="array" ref="E489">IF(OR($D489="",$D489="NO ENCONTRADO"),"",_xlfn.XLOOKUP($D489,Productos!$E:$E,Productos!$H:$H,""))</f>
        <v/>
      </c>
      <c r="F489" s="74">
        <f t="array" ref="F489">IF(OR($D489="",$D489="NO ENCONTRADO"),"",_xlfn.XLOOKUP($D489,Productos!$E:$E,Productos!$I:$I,""))</f>
        <v/>
      </c>
      <c r="G489" s="74">
        <f t="array" ref="G489">IF(OR($D489="",$D489="NO ENCONTRADO"),"",_xlfn.XLOOKUP($D489,Productos!$E:$E,Productos!$J:$J,""))</f>
        <v/>
      </c>
      <c r="H489" s="74">
        <f t="array" ref="H489">IF(OR($D489="",$D489="NO ENCONTRADO"),"",_xlfn.XLOOKUP($D489,Productos!$E:$E,Productos!$K:$K,""))</f>
        <v/>
      </c>
      <c r="I489" s="74">
        <f t="array" ref="I489">IF(OR($D489="",$D489="NO ENCONTRADO"),"",_xlfn.XLOOKUP($D489,Productos!$E:$E,Productos!$F:$F,""))</f>
        <v/>
      </c>
      <c r="J489" s="74">
        <f>IF($C489="","",IF($D489="NO ENCONTRADO",IF(COUNTIF($C$7:$C$1000,$C489)&gt;1,"⚠️ No encontrado | Duplicado","⚠️ No encontrado"),IF(COUNTIF($C$7:$C$1000,$C489)&gt;1,"⚠️ Duplicado","Verificado")))</f>
        <v/>
      </c>
    </row>
    <row r="490" ht="15.75" customHeight="1" s="176">
      <c r="B490" s="80" t="n"/>
      <c r="C490" s="74" t="n"/>
      <c r="D490" s="74">
        <f t="array" ref="D490">IF($C490="","",IFNA(_xlfn.XLOOKUP($C490,Productos!$A:$A,Productos!$E:$E,IFNA(_xlfn.XLOOKUP(TEXT($C490,"0"),Productos!$A:$A,Productos!$E:$E,IFNA(_xlfn.XLOOKUP(IFERROR(VALUE($C490),""),Productos!$A:$A,Productos!$E:$E,_xlfn.XLOOKUP($C490,Productos!$E:$E,Productos!$E:$E,"NO ENCONTRADO")),"NO ENCONTRADO")),"NO ENCONTRADO")),"NO ENCONTRADO"))</f>
        <v/>
      </c>
      <c r="E490" s="74">
        <f t="array" ref="E490">IF(OR($D490="",$D490="NO ENCONTRADO"),"",_xlfn.XLOOKUP($D490,Productos!$E:$E,Productos!$H:$H,""))</f>
        <v/>
      </c>
      <c r="F490" s="74">
        <f t="array" ref="F490">IF(OR($D490="",$D490="NO ENCONTRADO"),"",_xlfn.XLOOKUP($D490,Productos!$E:$E,Productos!$I:$I,""))</f>
        <v/>
      </c>
      <c r="G490" s="74">
        <f t="array" ref="G490">IF(OR($D490="",$D490="NO ENCONTRADO"),"",_xlfn.XLOOKUP($D490,Productos!$E:$E,Productos!$J:$J,""))</f>
        <v/>
      </c>
      <c r="H490" s="74">
        <f t="array" ref="H490">IF(OR($D490="",$D490="NO ENCONTRADO"),"",_xlfn.XLOOKUP($D490,Productos!$E:$E,Productos!$K:$K,""))</f>
        <v/>
      </c>
      <c r="I490" s="74">
        <f t="array" ref="I490">IF(OR($D490="",$D490="NO ENCONTRADO"),"",_xlfn.XLOOKUP($D490,Productos!$E:$E,Productos!$F:$F,""))</f>
        <v/>
      </c>
      <c r="J490" s="74">
        <f>IF($C490="","",IF($D490="NO ENCONTRADO",IF(COUNTIF($C$7:$C$1000,$C490)&gt;1,"⚠️ No encontrado | Duplicado","⚠️ No encontrado"),IF(COUNTIF($C$7:$C$1000,$C490)&gt;1,"⚠️ Duplicado","Verificado")))</f>
        <v/>
      </c>
    </row>
    <row r="491" ht="15.75" customHeight="1" s="176">
      <c r="B491" s="80" t="n"/>
      <c r="C491" s="74" t="n"/>
      <c r="D491" s="74">
        <f t="array" ref="D491">IF($C491="","",IFNA(_xlfn.XLOOKUP($C491,Productos!$A:$A,Productos!$E:$E,IFNA(_xlfn.XLOOKUP(TEXT($C491,"0"),Productos!$A:$A,Productos!$E:$E,IFNA(_xlfn.XLOOKUP(IFERROR(VALUE($C491),""),Productos!$A:$A,Productos!$E:$E,_xlfn.XLOOKUP($C491,Productos!$E:$E,Productos!$E:$E,"NO ENCONTRADO")),"NO ENCONTRADO")),"NO ENCONTRADO")),"NO ENCONTRADO"))</f>
        <v/>
      </c>
      <c r="E491" s="74">
        <f t="array" ref="E491">IF(OR($D491="",$D491="NO ENCONTRADO"),"",_xlfn.XLOOKUP($D491,Productos!$E:$E,Productos!$H:$H,""))</f>
        <v/>
      </c>
      <c r="F491" s="74">
        <f t="array" ref="F491">IF(OR($D491="",$D491="NO ENCONTRADO"),"",_xlfn.XLOOKUP($D491,Productos!$E:$E,Productos!$I:$I,""))</f>
        <v/>
      </c>
      <c r="G491" s="74">
        <f t="array" ref="G491">IF(OR($D491="",$D491="NO ENCONTRADO"),"",_xlfn.XLOOKUP($D491,Productos!$E:$E,Productos!$J:$J,""))</f>
        <v/>
      </c>
      <c r="H491" s="74">
        <f t="array" ref="H491">IF(OR($D491="",$D491="NO ENCONTRADO"),"",_xlfn.XLOOKUP($D491,Productos!$E:$E,Productos!$K:$K,""))</f>
        <v/>
      </c>
      <c r="I491" s="74">
        <f t="array" ref="I491">IF(OR($D491="",$D491="NO ENCONTRADO"),"",_xlfn.XLOOKUP($D491,Productos!$E:$E,Productos!$F:$F,""))</f>
        <v/>
      </c>
      <c r="J491" s="74">
        <f>IF($C491="","",IF($D491="NO ENCONTRADO",IF(COUNTIF($C$7:$C$1000,$C491)&gt;1,"⚠️ No encontrado | Duplicado","⚠️ No encontrado"),IF(COUNTIF($C$7:$C$1000,$C491)&gt;1,"⚠️ Duplicado","Verificado")))</f>
        <v/>
      </c>
    </row>
    <row r="492" ht="15.75" customHeight="1" s="176">
      <c r="B492" s="80" t="n"/>
      <c r="C492" s="74" t="n"/>
      <c r="D492" s="74">
        <f t="array" ref="D492">IF($C492="","",IFNA(_xlfn.XLOOKUP($C492,Productos!$A:$A,Productos!$E:$E,IFNA(_xlfn.XLOOKUP(TEXT($C492,"0"),Productos!$A:$A,Productos!$E:$E,IFNA(_xlfn.XLOOKUP(IFERROR(VALUE($C492),""),Productos!$A:$A,Productos!$E:$E,_xlfn.XLOOKUP($C492,Productos!$E:$E,Productos!$E:$E,"NO ENCONTRADO")),"NO ENCONTRADO")),"NO ENCONTRADO")),"NO ENCONTRADO"))</f>
        <v/>
      </c>
      <c r="E492" s="74">
        <f t="array" ref="E492">IF(OR($D492="",$D492="NO ENCONTRADO"),"",_xlfn.XLOOKUP($D492,Productos!$E:$E,Productos!$H:$H,""))</f>
        <v/>
      </c>
      <c r="F492" s="74">
        <f t="array" ref="F492">IF(OR($D492="",$D492="NO ENCONTRADO"),"",_xlfn.XLOOKUP($D492,Productos!$E:$E,Productos!$I:$I,""))</f>
        <v/>
      </c>
      <c r="G492" s="74">
        <f t="array" ref="G492">IF(OR($D492="",$D492="NO ENCONTRADO"),"",_xlfn.XLOOKUP($D492,Productos!$E:$E,Productos!$J:$J,""))</f>
        <v/>
      </c>
      <c r="H492" s="74">
        <f t="array" ref="H492">IF(OR($D492="",$D492="NO ENCONTRADO"),"",_xlfn.XLOOKUP($D492,Productos!$E:$E,Productos!$K:$K,""))</f>
        <v/>
      </c>
      <c r="I492" s="74">
        <f t="array" ref="I492">IF(OR($D492="",$D492="NO ENCONTRADO"),"",_xlfn.XLOOKUP($D492,Productos!$E:$E,Productos!$F:$F,""))</f>
        <v/>
      </c>
      <c r="J492" s="74">
        <f>IF($C492="","",IF($D492="NO ENCONTRADO",IF(COUNTIF($C$7:$C$1000,$C492)&gt;1,"⚠️ No encontrado | Duplicado","⚠️ No encontrado"),IF(COUNTIF($C$7:$C$1000,$C492)&gt;1,"⚠️ Duplicado","Verificado")))</f>
        <v/>
      </c>
    </row>
    <row r="493" ht="15.75" customHeight="1" s="176">
      <c r="B493" s="80" t="n"/>
      <c r="C493" s="74" t="n"/>
      <c r="D493" s="74">
        <f t="array" ref="D493">IF($C493="","",IFNA(_xlfn.XLOOKUP($C493,Productos!$A:$A,Productos!$E:$E,IFNA(_xlfn.XLOOKUP(TEXT($C493,"0"),Productos!$A:$A,Productos!$E:$E,IFNA(_xlfn.XLOOKUP(IFERROR(VALUE($C493),""),Productos!$A:$A,Productos!$E:$E,_xlfn.XLOOKUP($C493,Productos!$E:$E,Productos!$E:$E,"NO ENCONTRADO")),"NO ENCONTRADO")),"NO ENCONTRADO")),"NO ENCONTRADO"))</f>
        <v/>
      </c>
      <c r="E493" s="74">
        <f t="array" ref="E493">IF(OR($D493="",$D493="NO ENCONTRADO"),"",_xlfn.XLOOKUP($D493,Productos!$E:$E,Productos!$H:$H,""))</f>
        <v/>
      </c>
      <c r="F493" s="74">
        <f t="array" ref="F493">IF(OR($D493="",$D493="NO ENCONTRADO"),"",_xlfn.XLOOKUP($D493,Productos!$E:$E,Productos!$I:$I,""))</f>
        <v/>
      </c>
      <c r="G493" s="74">
        <f t="array" ref="G493">IF(OR($D493="",$D493="NO ENCONTRADO"),"",_xlfn.XLOOKUP($D493,Productos!$E:$E,Productos!$J:$J,""))</f>
        <v/>
      </c>
      <c r="H493" s="74">
        <f t="array" ref="H493">IF(OR($D493="",$D493="NO ENCONTRADO"),"",_xlfn.XLOOKUP($D493,Productos!$E:$E,Productos!$K:$K,""))</f>
        <v/>
      </c>
      <c r="I493" s="74">
        <f t="array" ref="I493">IF(OR($D493="",$D493="NO ENCONTRADO"),"",_xlfn.XLOOKUP($D493,Productos!$E:$E,Productos!$F:$F,""))</f>
        <v/>
      </c>
      <c r="J493" s="74">
        <f>IF($C493="","",IF($D493="NO ENCONTRADO",IF(COUNTIF($C$7:$C$1000,$C493)&gt;1,"⚠️ No encontrado | Duplicado","⚠️ No encontrado"),IF(COUNTIF($C$7:$C$1000,$C493)&gt;1,"⚠️ Duplicado","Verificado")))</f>
        <v/>
      </c>
    </row>
    <row r="494" ht="15.75" customHeight="1" s="176">
      <c r="B494" s="80" t="n"/>
      <c r="C494" s="74" t="n"/>
      <c r="D494" s="74">
        <f t="array" ref="D494">IF($C494="","",IFNA(_xlfn.XLOOKUP($C494,Productos!$A:$A,Productos!$E:$E,IFNA(_xlfn.XLOOKUP(TEXT($C494,"0"),Productos!$A:$A,Productos!$E:$E,IFNA(_xlfn.XLOOKUP(IFERROR(VALUE($C494),""),Productos!$A:$A,Productos!$E:$E,_xlfn.XLOOKUP($C494,Productos!$E:$E,Productos!$E:$E,"NO ENCONTRADO")),"NO ENCONTRADO")),"NO ENCONTRADO")),"NO ENCONTRADO"))</f>
        <v/>
      </c>
      <c r="E494" s="74">
        <f t="array" ref="E494">IF(OR($D494="",$D494="NO ENCONTRADO"),"",_xlfn.XLOOKUP($D494,Productos!$E:$E,Productos!$H:$H,""))</f>
        <v/>
      </c>
      <c r="F494" s="74">
        <f t="array" ref="F494">IF(OR($D494="",$D494="NO ENCONTRADO"),"",_xlfn.XLOOKUP($D494,Productos!$E:$E,Productos!$I:$I,""))</f>
        <v/>
      </c>
      <c r="G494" s="74">
        <f t="array" ref="G494">IF(OR($D494="",$D494="NO ENCONTRADO"),"",_xlfn.XLOOKUP($D494,Productos!$E:$E,Productos!$J:$J,""))</f>
        <v/>
      </c>
      <c r="H494" s="74">
        <f t="array" ref="H494">IF(OR($D494="",$D494="NO ENCONTRADO"),"",_xlfn.XLOOKUP($D494,Productos!$E:$E,Productos!$K:$K,""))</f>
        <v/>
      </c>
      <c r="I494" s="74">
        <f t="array" ref="I494">IF(OR($D494="",$D494="NO ENCONTRADO"),"",_xlfn.XLOOKUP($D494,Productos!$E:$E,Productos!$F:$F,""))</f>
        <v/>
      </c>
      <c r="J494" s="74">
        <f>IF($C494="","",IF($D494="NO ENCONTRADO",IF(COUNTIF($C$7:$C$1000,$C494)&gt;1,"⚠️ No encontrado | Duplicado","⚠️ No encontrado"),IF(COUNTIF($C$7:$C$1000,$C494)&gt;1,"⚠️ Duplicado","Verificado")))</f>
        <v/>
      </c>
    </row>
    <row r="495" ht="15.75" customHeight="1" s="176">
      <c r="B495" s="80" t="n"/>
      <c r="C495" s="74" t="n"/>
      <c r="D495" s="74">
        <f t="array" ref="D495">IF($C495="","",IFNA(_xlfn.XLOOKUP($C495,Productos!$A:$A,Productos!$E:$E,IFNA(_xlfn.XLOOKUP(TEXT($C495,"0"),Productos!$A:$A,Productos!$E:$E,IFNA(_xlfn.XLOOKUP(IFERROR(VALUE($C495),""),Productos!$A:$A,Productos!$E:$E,_xlfn.XLOOKUP($C495,Productos!$E:$E,Productos!$E:$E,"NO ENCONTRADO")),"NO ENCONTRADO")),"NO ENCONTRADO")),"NO ENCONTRADO"))</f>
        <v/>
      </c>
      <c r="E495" s="74">
        <f t="array" ref="E495">IF(OR($D495="",$D495="NO ENCONTRADO"),"",_xlfn.XLOOKUP($D495,Productos!$E:$E,Productos!$H:$H,""))</f>
        <v/>
      </c>
      <c r="F495" s="74">
        <f t="array" ref="F495">IF(OR($D495="",$D495="NO ENCONTRADO"),"",_xlfn.XLOOKUP($D495,Productos!$E:$E,Productos!$I:$I,""))</f>
        <v/>
      </c>
      <c r="G495" s="74">
        <f t="array" ref="G495">IF(OR($D495="",$D495="NO ENCONTRADO"),"",_xlfn.XLOOKUP($D495,Productos!$E:$E,Productos!$J:$J,""))</f>
        <v/>
      </c>
      <c r="H495" s="74">
        <f t="array" ref="H495">IF(OR($D495="",$D495="NO ENCONTRADO"),"",_xlfn.XLOOKUP($D495,Productos!$E:$E,Productos!$K:$K,""))</f>
        <v/>
      </c>
      <c r="I495" s="74">
        <f t="array" ref="I495">IF(OR($D495="",$D495="NO ENCONTRADO"),"",_xlfn.XLOOKUP($D495,Productos!$E:$E,Productos!$F:$F,""))</f>
        <v/>
      </c>
      <c r="J495" s="74">
        <f>IF($C495="","",IF($D495="NO ENCONTRADO",IF(COUNTIF($C$7:$C$1000,$C495)&gt;1,"⚠️ No encontrado | Duplicado","⚠️ No encontrado"),IF(COUNTIF($C$7:$C$1000,$C495)&gt;1,"⚠️ Duplicado","Verificado")))</f>
        <v/>
      </c>
    </row>
    <row r="496" ht="15.75" customHeight="1" s="176">
      <c r="B496" s="80" t="n"/>
      <c r="C496" s="74" t="n"/>
      <c r="D496" s="74">
        <f t="array" ref="D496">IF($C496="","",IFNA(_xlfn.XLOOKUP($C496,Productos!$A:$A,Productos!$E:$E,IFNA(_xlfn.XLOOKUP(TEXT($C496,"0"),Productos!$A:$A,Productos!$E:$E,IFNA(_xlfn.XLOOKUP(IFERROR(VALUE($C496),""),Productos!$A:$A,Productos!$E:$E,_xlfn.XLOOKUP($C496,Productos!$E:$E,Productos!$E:$E,"NO ENCONTRADO")),"NO ENCONTRADO")),"NO ENCONTRADO")),"NO ENCONTRADO"))</f>
        <v/>
      </c>
      <c r="E496" s="74">
        <f t="array" ref="E496">IF(OR($D496="",$D496="NO ENCONTRADO"),"",_xlfn.XLOOKUP($D496,Productos!$E:$E,Productos!$H:$H,""))</f>
        <v/>
      </c>
      <c r="F496" s="74">
        <f t="array" ref="F496">IF(OR($D496="",$D496="NO ENCONTRADO"),"",_xlfn.XLOOKUP($D496,Productos!$E:$E,Productos!$I:$I,""))</f>
        <v/>
      </c>
      <c r="G496" s="74">
        <f t="array" ref="G496">IF(OR($D496="",$D496="NO ENCONTRADO"),"",_xlfn.XLOOKUP($D496,Productos!$E:$E,Productos!$J:$J,""))</f>
        <v/>
      </c>
      <c r="H496" s="74">
        <f t="array" ref="H496">IF(OR($D496="",$D496="NO ENCONTRADO"),"",_xlfn.XLOOKUP($D496,Productos!$E:$E,Productos!$K:$K,""))</f>
        <v/>
      </c>
      <c r="I496" s="74">
        <f t="array" ref="I496">IF(OR($D496="",$D496="NO ENCONTRADO"),"",_xlfn.XLOOKUP($D496,Productos!$E:$E,Productos!$F:$F,""))</f>
        <v/>
      </c>
      <c r="J496" s="74">
        <f>IF($C496="","",IF($D496="NO ENCONTRADO",IF(COUNTIF($C$7:$C$1000,$C496)&gt;1,"⚠️ No encontrado | Duplicado","⚠️ No encontrado"),IF(COUNTIF($C$7:$C$1000,$C496)&gt;1,"⚠️ Duplicado","Verificado")))</f>
        <v/>
      </c>
    </row>
    <row r="497" ht="15.75" customHeight="1" s="176">
      <c r="B497" s="80" t="n"/>
      <c r="C497" s="74" t="n"/>
      <c r="D497" s="74">
        <f t="array" ref="D497">IF($C497="","",IFNA(_xlfn.XLOOKUP($C497,Productos!$A:$A,Productos!$E:$E,IFNA(_xlfn.XLOOKUP(TEXT($C497,"0"),Productos!$A:$A,Productos!$E:$E,IFNA(_xlfn.XLOOKUP(IFERROR(VALUE($C497),""),Productos!$A:$A,Productos!$E:$E,_xlfn.XLOOKUP($C497,Productos!$E:$E,Productos!$E:$E,"NO ENCONTRADO")),"NO ENCONTRADO")),"NO ENCONTRADO")),"NO ENCONTRADO"))</f>
        <v/>
      </c>
      <c r="E497" s="74">
        <f t="array" ref="E497">IF(OR($D497="",$D497="NO ENCONTRADO"),"",_xlfn.XLOOKUP($D497,Productos!$E:$E,Productos!$H:$H,""))</f>
        <v/>
      </c>
      <c r="F497" s="74">
        <f t="array" ref="F497">IF(OR($D497="",$D497="NO ENCONTRADO"),"",_xlfn.XLOOKUP($D497,Productos!$E:$E,Productos!$I:$I,""))</f>
        <v/>
      </c>
      <c r="G497" s="74">
        <f t="array" ref="G497">IF(OR($D497="",$D497="NO ENCONTRADO"),"",_xlfn.XLOOKUP($D497,Productos!$E:$E,Productos!$J:$J,""))</f>
        <v/>
      </c>
      <c r="H497" s="74">
        <f t="array" ref="H497">IF(OR($D497="",$D497="NO ENCONTRADO"),"",_xlfn.XLOOKUP($D497,Productos!$E:$E,Productos!$K:$K,""))</f>
        <v/>
      </c>
      <c r="I497" s="74">
        <f t="array" ref="I497">IF(OR($D497="",$D497="NO ENCONTRADO"),"",_xlfn.XLOOKUP($D497,Productos!$E:$E,Productos!$F:$F,""))</f>
        <v/>
      </c>
      <c r="J497" s="74">
        <f>IF($C497="","",IF($D497="NO ENCONTRADO",IF(COUNTIF($C$7:$C$1000,$C497)&gt;1,"⚠️ No encontrado | Duplicado","⚠️ No encontrado"),IF(COUNTIF($C$7:$C$1000,$C497)&gt;1,"⚠️ Duplicado","Verificado")))</f>
        <v/>
      </c>
    </row>
    <row r="498" ht="15.75" customHeight="1" s="176">
      <c r="B498" s="80" t="n"/>
      <c r="C498" s="74" t="n"/>
      <c r="D498" s="74">
        <f t="array" ref="D498">IF($C498="","",IFNA(_xlfn.XLOOKUP($C498,Productos!$A:$A,Productos!$E:$E,IFNA(_xlfn.XLOOKUP(TEXT($C498,"0"),Productos!$A:$A,Productos!$E:$E,IFNA(_xlfn.XLOOKUP(IFERROR(VALUE($C498),""),Productos!$A:$A,Productos!$E:$E,_xlfn.XLOOKUP($C498,Productos!$E:$E,Productos!$E:$E,"NO ENCONTRADO")),"NO ENCONTRADO")),"NO ENCONTRADO")),"NO ENCONTRADO"))</f>
        <v/>
      </c>
      <c r="E498" s="74">
        <f t="array" ref="E498">IF(OR($D498="",$D498="NO ENCONTRADO"),"",_xlfn.XLOOKUP($D498,Productos!$E:$E,Productos!$H:$H,""))</f>
        <v/>
      </c>
      <c r="F498" s="74">
        <f t="array" ref="F498">IF(OR($D498="",$D498="NO ENCONTRADO"),"",_xlfn.XLOOKUP($D498,Productos!$E:$E,Productos!$I:$I,""))</f>
        <v/>
      </c>
      <c r="G498" s="74">
        <f t="array" ref="G498">IF(OR($D498="",$D498="NO ENCONTRADO"),"",_xlfn.XLOOKUP($D498,Productos!$E:$E,Productos!$J:$J,""))</f>
        <v/>
      </c>
      <c r="H498" s="74">
        <f t="array" ref="H498">IF(OR($D498="",$D498="NO ENCONTRADO"),"",_xlfn.XLOOKUP($D498,Productos!$E:$E,Productos!$K:$K,""))</f>
        <v/>
      </c>
      <c r="I498" s="74">
        <f t="array" ref="I498">IF(OR($D498="",$D498="NO ENCONTRADO"),"",_xlfn.XLOOKUP($D498,Productos!$E:$E,Productos!$F:$F,""))</f>
        <v/>
      </c>
      <c r="J498" s="74">
        <f>IF($C498="","",IF($D498="NO ENCONTRADO",IF(COUNTIF($C$7:$C$1000,$C498)&gt;1,"⚠️ No encontrado | Duplicado","⚠️ No encontrado"),IF(COUNTIF($C$7:$C$1000,$C498)&gt;1,"⚠️ Duplicado","Verificado")))</f>
        <v/>
      </c>
    </row>
    <row r="499" ht="15.75" customHeight="1" s="176">
      <c r="B499" s="80" t="n"/>
      <c r="C499" s="74" t="n"/>
      <c r="D499" s="74">
        <f t="array" ref="D499">IF($C499="","",IFNA(_xlfn.XLOOKUP($C499,Productos!$A:$A,Productos!$E:$E,IFNA(_xlfn.XLOOKUP(TEXT($C499,"0"),Productos!$A:$A,Productos!$E:$E,IFNA(_xlfn.XLOOKUP(IFERROR(VALUE($C499),""),Productos!$A:$A,Productos!$E:$E,_xlfn.XLOOKUP($C499,Productos!$E:$E,Productos!$E:$E,"NO ENCONTRADO")),"NO ENCONTRADO")),"NO ENCONTRADO")),"NO ENCONTRADO"))</f>
        <v/>
      </c>
      <c r="E499" s="74">
        <f t="array" ref="E499">IF(OR($D499="",$D499="NO ENCONTRADO"),"",_xlfn.XLOOKUP($D499,Productos!$E:$E,Productos!$H:$H,""))</f>
        <v/>
      </c>
      <c r="F499" s="74">
        <f t="array" ref="F499">IF(OR($D499="",$D499="NO ENCONTRADO"),"",_xlfn.XLOOKUP($D499,Productos!$E:$E,Productos!$I:$I,""))</f>
        <v/>
      </c>
      <c r="G499" s="74">
        <f t="array" ref="G499">IF(OR($D499="",$D499="NO ENCONTRADO"),"",_xlfn.XLOOKUP($D499,Productos!$E:$E,Productos!$J:$J,""))</f>
        <v/>
      </c>
      <c r="H499" s="74">
        <f t="array" ref="H499">IF(OR($D499="",$D499="NO ENCONTRADO"),"",_xlfn.XLOOKUP($D499,Productos!$E:$E,Productos!$K:$K,""))</f>
        <v/>
      </c>
      <c r="I499" s="74">
        <f t="array" ref="I499">IF(OR($D499="",$D499="NO ENCONTRADO"),"",_xlfn.XLOOKUP($D499,Productos!$E:$E,Productos!$F:$F,""))</f>
        <v/>
      </c>
      <c r="J499" s="74">
        <f>IF($C499="","",IF($D499="NO ENCONTRADO",IF(COUNTIF($C$7:$C$1000,$C499)&gt;1,"⚠️ No encontrado | Duplicado","⚠️ No encontrado"),IF(COUNTIF($C$7:$C$1000,$C499)&gt;1,"⚠️ Duplicado","Verificado")))</f>
        <v/>
      </c>
    </row>
    <row r="500" ht="15.75" customHeight="1" s="176">
      <c r="B500" s="80" t="n"/>
      <c r="C500" s="74" t="n"/>
      <c r="D500" s="74">
        <f t="array" ref="D500">IF($C500="","",IFNA(_xlfn.XLOOKUP($C500,Productos!$A:$A,Productos!$E:$E,IFNA(_xlfn.XLOOKUP(TEXT($C500,"0"),Productos!$A:$A,Productos!$E:$E,IFNA(_xlfn.XLOOKUP(IFERROR(VALUE($C500),""),Productos!$A:$A,Productos!$E:$E,_xlfn.XLOOKUP($C500,Productos!$E:$E,Productos!$E:$E,"NO ENCONTRADO")),"NO ENCONTRADO")),"NO ENCONTRADO")),"NO ENCONTRADO"))</f>
        <v/>
      </c>
      <c r="E500" s="74">
        <f t="array" ref="E500">IF(OR($D500="",$D500="NO ENCONTRADO"),"",_xlfn.XLOOKUP($D500,Productos!$E:$E,Productos!$H:$H,""))</f>
        <v/>
      </c>
      <c r="F500" s="74">
        <f t="array" ref="F500">IF(OR($D500="",$D500="NO ENCONTRADO"),"",_xlfn.XLOOKUP($D500,Productos!$E:$E,Productos!$I:$I,""))</f>
        <v/>
      </c>
      <c r="G500" s="74">
        <f t="array" ref="G500">IF(OR($D500="",$D500="NO ENCONTRADO"),"",_xlfn.XLOOKUP($D500,Productos!$E:$E,Productos!$J:$J,""))</f>
        <v/>
      </c>
      <c r="H500" s="74">
        <f t="array" ref="H500">IF(OR($D500="",$D500="NO ENCONTRADO"),"",_xlfn.XLOOKUP($D500,Productos!$E:$E,Productos!$K:$K,""))</f>
        <v/>
      </c>
      <c r="I500" s="74">
        <f t="array" ref="I500">IF(OR($D500="",$D500="NO ENCONTRADO"),"",_xlfn.XLOOKUP($D500,Productos!$E:$E,Productos!$F:$F,""))</f>
        <v/>
      </c>
      <c r="J500" s="74">
        <f>IF($C500="","",IF($D500="NO ENCONTRADO",IF(COUNTIF($C$7:$C$1000,$C500)&gt;1,"⚠️ No encontrado | Duplicado","⚠️ No encontrado"),IF(COUNTIF($C$7:$C$1000,$C500)&gt;1,"⚠️ Duplicado","Verificado")))</f>
        <v/>
      </c>
    </row>
    <row r="501" ht="15.75" customHeight="1" s="176">
      <c r="B501" s="80" t="n"/>
      <c r="C501" s="74" t="n"/>
      <c r="D501" s="74">
        <f t="array" ref="D501">IF($C501="","",IFNA(_xlfn.XLOOKUP($C501,Productos!$A:$A,Productos!$E:$E,IFNA(_xlfn.XLOOKUP(TEXT($C501,"0"),Productos!$A:$A,Productos!$E:$E,IFNA(_xlfn.XLOOKUP(IFERROR(VALUE($C501),""),Productos!$A:$A,Productos!$E:$E,_xlfn.XLOOKUP($C501,Productos!$E:$E,Productos!$E:$E,"NO ENCONTRADO")),"NO ENCONTRADO")),"NO ENCONTRADO")),"NO ENCONTRADO"))</f>
        <v/>
      </c>
      <c r="E501" s="74">
        <f t="array" ref="E501">IF(OR($D501="",$D501="NO ENCONTRADO"),"",_xlfn.XLOOKUP($D501,Productos!$E:$E,Productos!$H:$H,""))</f>
        <v/>
      </c>
      <c r="F501" s="74">
        <f t="array" ref="F501">IF(OR($D501="",$D501="NO ENCONTRADO"),"",_xlfn.XLOOKUP($D501,Productos!$E:$E,Productos!$I:$I,""))</f>
        <v/>
      </c>
      <c r="G501" s="74">
        <f t="array" ref="G501">IF(OR($D501="",$D501="NO ENCONTRADO"),"",_xlfn.XLOOKUP($D501,Productos!$E:$E,Productos!$J:$J,""))</f>
        <v/>
      </c>
      <c r="H501" s="74">
        <f t="array" ref="H501">IF(OR($D501="",$D501="NO ENCONTRADO"),"",_xlfn.XLOOKUP($D501,Productos!$E:$E,Productos!$K:$K,""))</f>
        <v/>
      </c>
      <c r="I501" s="74">
        <f t="array" ref="I501">IF(OR($D501="",$D501="NO ENCONTRADO"),"",_xlfn.XLOOKUP($D501,Productos!$E:$E,Productos!$F:$F,""))</f>
        <v/>
      </c>
      <c r="J501" s="74">
        <f>IF($C501="","",IF($D501="NO ENCONTRADO",IF(COUNTIF($C$7:$C$1000,$C501)&gt;1,"⚠️ No encontrado | Duplicado","⚠️ No encontrado"),IF(COUNTIF($C$7:$C$1000,$C501)&gt;1,"⚠️ Duplicado","Verificado")))</f>
        <v/>
      </c>
    </row>
    <row r="502" ht="15.75" customHeight="1" s="176">
      <c r="B502" s="80" t="n"/>
      <c r="C502" s="74" t="n"/>
      <c r="D502" s="74">
        <f t="array" ref="D502">IF($C502="","",IFNA(_xlfn.XLOOKUP($C502,Productos!$A:$A,Productos!$E:$E,IFNA(_xlfn.XLOOKUP(TEXT($C502,"0"),Productos!$A:$A,Productos!$E:$E,IFNA(_xlfn.XLOOKUP(IFERROR(VALUE($C502),""),Productos!$A:$A,Productos!$E:$E,_xlfn.XLOOKUP($C502,Productos!$E:$E,Productos!$E:$E,"NO ENCONTRADO")),"NO ENCONTRADO")),"NO ENCONTRADO")),"NO ENCONTRADO"))</f>
        <v/>
      </c>
      <c r="E502" s="74">
        <f t="array" ref="E502">IF(OR($D502="",$D502="NO ENCONTRADO"),"",_xlfn.XLOOKUP($D502,Productos!$E:$E,Productos!$H:$H,""))</f>
        <v/>
      </c>
      <c r="F502" s="74">
        <f t="array" ref="F502">IF(OR($D502="",$D502="NO ENCONTRADO"),"",_xlfn.XLOOKUP($D502,Productos!$E:$E,Productos!$I:$I,""))</f>
        <v/>
      </c>
      <c r="G502" s="74">
        <f t="array" ref="G502">IF(OR($D502="",$D502="NO ENCONTRADO"),"",_xlfn.XLOOKUP($D502,Productos!$E:$E,Productos!$J:$J,""))</f>
        <v/>
      </c>
      <c r="H502" s="74">
        <f t="array" ref="H502">IF(OR($D502="",$D502="NO ENCONTRADO"),"",_xlfn.XLOOKUP($D502,Productos!$E:$E,Productos!$K:$K,""))</f>
        <v/>
      </c>
      <c r="I502" s="74">
        <f t="array" ref="I502">IF(OR($D502="",$D502="NO ENCONTRADO"),"",_xlfn.XLOOKUP($D502,Productos!$E:$E,Productos!$F:$F,""))</f>
        <v/>
      </c>
      <c r="J502" s="74">
        <f>IF($C502="","",IF($D502="NO ENCONTRADO",IF(COUNTIF($C$7:$C$1000,$C502)&gt;1,"⚠️ No encontrado | Duplicado","⚠️ No encontrado"),IF(COUNTIF($C$7:$C$1000,$C502)&gt;1,"⚠️ Duplicado","Verificado")))</f>
        <v/>
      </c>
    </row>
    <row r="503" ht="15.75" customHeight="1" s="176">
      <c r="B503" s="80" t="n"/>
      <c r="C503" s="74" t="n"/>
      <c r="D503" s="74">
        <f t="array" ref="D503">IF($C503="","",IFNA(_xlfn.XLOOKUP($C503,Productos!$A:$A,Productos!$E:$E,IFNA(_xlfn.XLOOKUP(TEXT($C503,"0"),Productos!$A:$A,Productos!$E:$E,IFNA(_xlfn.XLOOKUP(IFERROR(VALUE($C503),""),Productos!$A:$A,Productos!$E:$E,_xlfn.XLOOKUP($C503,Productos!$E:$E,Productos!$E:$E,"NO ENCONTRADO")),"NO ENCONTRADO")),"NO ENCONTRADO")),"NO ENCONTRADO"))</f>
        <v/>
      </c>
      <c r="E503" s="74">
        <f t="array" ref="E503">IF(OR($D503="",$D503="NO ENCONTRADO"),"",_xlfn.XLOOKUP($D503,Productos!$E:$E,Productos!$H:$H,""))</f>
        <v/>
      </c>
      <c r="F503" s="74">
        <f t="array" ref="F503">IF(OR($D503="",$D503="NO ENCONTRADO"),"",_xlfn.XLOOKUP($D503,Productos!$E:$E,Productos!$I:$I,""))</f>
        <v/>
      </c>
      <c r="G503" s="74">
        <f t="array" ref="G503">IF(OR($D503="",$D503="NO ENCONTRADO"),"",_xlfn.XLOOKUP($D503,Productos!$E:$E,Productos!$J:$J,""))</f>
        <v/>
      </c>
      <c r="H503" s="74">
        <f t="array" ref="H503">IF(OR($D503="",$D503="NO ENCONTRADO"),"",_xlfn.XLOOKUP($D503,Productos!$E:$E,Productos!$K:$K,""))</f>
        <v/>
      </c>
      <c r="I503" s="74">
        <f t="array" ref="I503">IF(OR($D503="",$D503="NO ENCONTRADO"),"",_xlfn.XLOOKUP($D503,Productos!$E:$E,Productos!$F:$F,""))</f>
        <v/>
      </c>
      <c r="J503" s="74">
        <f>IF($C503="","",IF($D503="NO ENCONTRADO",IF(COUNTIF($C$7:$C$1000,$C503)&gt;1,"⚠️ No encontrado | Duplicado","⚠️ No encontrado"),IF(COUNTIF($C$7:$C$1000,$C503)&gt;1,"⚠️ Duplicado","Verificado")))</f>
        <v/>
      </c>
    </row>
    <row r="504" ht="15.75" customHeight="1" s="176">
      <c r="B504" s="80" t="n"/>
      <c r="C504" s="74" t="n"/>
      <c r="D504" s="74">
        <f t="array" ref="D504">IF($C504="","",IFNA(_xlfn.XLOOKUP($C504,Productos!$A:$A,Productos!$E:$E,IFNA(_xlfn.XLOOKUP(TEXT($C504,"0"),Productos!$A:$A,Productos!$E:$E,IFNA(_xlfn.XLOOKUP(IFERROR(VALUE($C504),""),Productos!$A:$A,Productos!$E:$E,_xlfn.XLOOKUP($C504,Productos!$E:$E,Productos!$E:$E,"NO ENCONTRADO")),"NO ENCONTRADO")),"NO ENCONTRADO")),"NO ENCONTRADO"))</f>
        <v/>
      </c>
      <c r="E504" s="74">
        <f t="array" ref="E504">IF(OR($D504="",$D504="NO ENCONTRADO"),"",_xlfn.XLOOKUP($D504,Productos!$E:$E,Productos!$H:$H,""))</f>
        <v/>
      </c>
      <c r="F504" s="74">
        <f t="array" ref="F504">IF(OR($D504="",$D504="NO ENCONTRADO"),"",_xlfn.XLOOKUP($D504,Productos!$E:$E,Productos!$I:$I,""))</f>
        <v/>
      </c>
      <c r="G504" s="74">
        <f t="array" ref="G504">IF(OR($D504="",$D504="NO ENCONTRADO"),"",_xlfn.XLOOKUP($D504,Productos!$E:$E,Productos!$J:$J,""))</f>
        <v/>
      </c>
      <c r="H504" s="74">
        <f t="array" ref="H504">IF(OR($D504="",$D504="NO ENCONTRADO"),"",_xlfn.XLOOKUP($D504,Productos!$E:$E,Productos!$K:$K,""))</f>
        <v/>
      </c>
      <c r="I504" s="74">
        <f t="array" ref="I504">IF(OR($D504="",$D504="NO ENCONTRADO"),"",_xlfn.XLOOKUP($D504,Productos!$E:$E,Productos!$F:$F,""))</f>
        <v/>
      </c>
      <c r="J504" s="74">
        <f>IF($C504="","",IF($D504="NO ENCONTRADO",IF(COUNTIF($C$7:$C$1000,$C504)&gt;1,"⚠️ No encontrado | Duplicado","⚠️ No encontrado"),IF(COUNTIF($C$7:$C$1000,$C504)&gt;1,"⚠️ Duplicado","Verificado")))</f>
        <v/>
      </c>
    </row>
    <row r="505" ht="15.75" customHeight="1" s="176">
      <c r="B505" s="80" t="n"/>
      <c r="C505" s="74" t="n"/>
      <c r="D505" s="74">
        <f t="array" ref="D505">IF($C505="","",IFNA(_xlfn.XLOOKUP($C505,Productos!$A:$A,Productos!$E:$E,IFNA(_xlfn.XLOOKUP(TEXT($C505,"0"),Productos!$A:$A,Productos!$E:$E,IFNA(_xlfn.XLOOKUP(IFERROR(VALUE($C505),""),Productos!$A:$A,Productos!$E:$E,_xlfn.XLOOKUP($C505,Productos!$E:$E,Productos!$E:$E,"NO ENCONTRADO")),"NO ENCONTRADO")),"NO ENCONTRADO")),"NO ENCONTRADO"))</f>
        <v/>
      </c>
      <c r="E505" s="74">
        <f t="array" ref="E505">IF(OR($D505="",$D505="NO ENCONTRADO"),"",_xlfn.XLOOKUP($D505,Productos!$E:$E,Productos!$H:$H,""))</f>
        <v/>
      </c>
      <c r="F505" s="74">
        <f t="array" ref="F505">IF(OR($D505="",$D505="NO ENCONTRADO"),"",_xlfn.XLOOKUP($D505,Productos!$E:$E,Productos!$I:$I,""))</f>
        <v/>
      </c>
      <c r="G505" s="74">
        <f t="array" ref="G505">IF(OR($D505="",$D505="NO ENCONTRADO"),"",_xlfn.XLOOKUP($D505,Productos!$E:$E,Productos!$J:$J,""))</f>
        <v/>
      </c>
      <c r="H505" s="74">
        <f t="array" ref="H505">IF(OR($D505="",$D505="NO ENCONTRADO"),"",_xlfn.XLOOKUP($D505,Productos!$E:$E,Productos!$K:$K,""))</f>
        <v/>
      </c>
      <c r="I505" s="74">
        <f t="array" ref="I505">IF(OR($D505="",$D505="NO ENCONTRADO"),"",_xlfn.XLOOKUP($D505,Productos!$E:$E,Productos!$F:$F,""))</f>
        <v/>
      </c>
      <c r="J505" s="74">
        <f>IF($C505="","",IF($D505="NO ENCONTRADO",IF(COUNTIF($C$7:$C$1000,$C505)&gt;1,"⚠️ No encontrado | Duplicado","⚠️ No encontrado"),IF(COUNTIF($C$7:$C$1000,$C505)&gt;1,"⚠️ Duplicado","Verificado")))</f>
        <v/>
      </c>
    </row>
    <row r="506" ht="15.75" customHeight="1" s="176">
      <c r="B506" s="80" t="n"/>
      <c r="C506" s="74" t="n"/>
      <c r="D506" s="74">
        <f t="array" ref="D506">IF($C506="","",IFNA(_xlfn.XLOOKUP($C506,Productos!$A:$A,Productos!$E:$E,IFNA(_xlfn.XLOOKUP(TEXT($C506,"0"),Productos!$A:$A,Productos!$E:$E,IFNA(_xlfn.XLOOKUP(IFERROR(VALUE($C506),""),Productos!$A:$A,Productos!$E:$E,_xlfn.XLOOKUP($C506,Productos!$E:$E,Productos!$E:$E,"NO ENCONTRADO")),"NO ENCONTRADO")),"NO ENCONTRADO")),"NO ENCONTRADO"))</f>
        <v/>
      </c>
      <c r="E506" s="74">
        <f t="array" ref="E506">IF(OR($D506="",$D506="NO ENCONTRADO"),"",_xlfn.XLOOKUP($D506,Productos!$E:$E,Productos!$H:$H,""))</f>
        <v/>
      </c>
      <c r="F506" s="74">
        <f t="array" ref="F506">IF(OR($D506="",$D506="NO ENCONTRADO"),"",_xlfn.XLOOKUP($D506,Productos!$E:$E,Productos!$I:$I,""))</f>
        <v/>
      </c>
      <c r="G506" s="74">
        <f t="array" ref="G506">IF(OR($D506="",$D506="NO ENCONTRADO"),"",_xlfn.XLOOKUP($D506,Productos!$E:$E,Productos!$J:$J,""))</f>
        <v/>
      </c>
      <c r="H506" s="74">
        <f t="array" ref="H506">IF(OR($D506="",$D506="NO ENCONTRADO"),"",_xlfn.XLOOKUP($D506,Productos!$E:$E,Productos!$K:$K,""))</f>
        <v/>
      </c>
      <c r="I506" s="74">
        <f t="array" ref="I506">IF(OR($D506="",$D506="NO ENCONTRADO"),"",_xlfn.XLOOKUP($D506,Productos!$E:$E,Productos!$F:$F,""))</f>
        <v/>
      </c>
      <c r="J506" s="74">
        <f>IF($C506="","",IF($D506="NO ENCONTRADO",IF(COUNTIF($C$7:$C$1000,$C506)&gt;1,"⚠️ No encontrado | Duplicado","⚠️ No encontrado"),IF(COUNTIF($C$7:$C$1000,$C506)&gt;1,"⚠️ Duplicado","Verificado")))</f>
        <v/>
      </c>
    </row>
    <row r="507" ht="15.75" customHeight="1" s="176">
      <c r="B507" s="80" t="n"/>
      <c r="C507" s="74" t="n"/>
      <c r="D507" s="74">
        <f t="array" ref="D507">IF($C507="","",IFNA(_xlfn.XLOOKUP($C507,Productos!$A:$A,Productos!$E:$E,IFNA(_xlfn.XLOOKUP(TEXT($C507,"0"),Productos!$A:$A,Productos!$E:$E,IFNA(_xlfn.XLOOKUP(IFERROR(VALUE($C507),""),Productos!$A:$A,Productos!$E:$E,_xlfn.XLOOKUP($C507,Productos!$E:$E,Productos!$E:$E,"NO ENCONTRADO")),"NO ENCONTRADO")),"NO ENCONTRADO")),"NO ENCONTRADO"))</f>
        <v/>
      </c>
      <c r="E507" s="74">
        <f t="array" ref="E507">IF(OR($D507="",$D507="NO ENCONTRADO"),"",_xlfn.XLOOKUP($D507,Productos!$E:$E,Productos!$H:$H,""))</f>
        <v/>
      </c>
      <c r="F507" s="74">
        <f t="array" ref="F507">IF(OR($D507="",$D507="NO ENCONTRADO"),"",_xlfn.XLOOKUP($D507,Productos!$E:$E,Productos!$I:$I,""))</f>
        <v/>
      </c>
      <c r="G507" s="74">
        <f t="array" ref="G507">IF(OR($D507="",$D507="NO ENCONTRADO"),"",_xlfn.XLOOKUP($D507,Productos!$E:$E,Productos!$J:$J,""))</f>
        <v/>
      </c>
      <c r="H507" s="74">
        <f t="array" ref="H507">IF(OR($D507="",$D507="NO ENCONTRADO"),"",_xlfn.XLOOKUP($D507,Productos!$E:$E,Productos!$K:$K,""))</f>
        <v/>
      </c>
      <c r="I507" s="74">
        <f t="array" ref="I507">IF(OR($D507="",$D507="NO ENCONTRADO"),"",_xlfn.XLOOKUP($D507,Productos!$E:$E,Productos!$F:$F,""))</f>
        <v/>
      </c>
      <c r="J507" s="74">
        <f>IF($C507="","",IF($D507="NO ENCONTRADO",IF(COUNTIF($C$7:$C$1000,$C507)&gt;1,"⚠️ No encontrado | Duplicado","⚠️ No encontrado"),IF(COUNTIF($C$7:$C$1000,$C507)&gt;1,"⚠️ Duplicado","Verificado")))</f>
        <v/>
      </c>
    </row>
    <row r="508" ht="15.75" customHeight="1" s="176">
      <c r="B508" s="80" t="n"/>
      <c r="C508" s="74" t="n"/>
      <c r="D508" s="74">
        <f t="array" ref="D508">IF($C508="","",IFNA(_xlfn.XLOOKUP($C508,Productos!$A:$A,Productos!$E:$E,IFNA(_xlfn.XLOOKUP(TEXT($C508,"0"),Productos!$A:$A,Productos!$E:$E,IFNA(_xlfn.XLOOKUP(IFERROR(VALUE($C508),""),Productos!$A:$A,Productos!$E:$E,_xlfn.XLOOKUP($C508,Productos!$E:$E,Productos!$E:$E,"NO ENCONTRADO")),"NO ENCONTRADO")),"NO ENCONTRADO")),"NO ENCONTRADO"))</f>
        <v/>
      </c>
      <c r="E508" s="74">
        <f t="array" ref="E508">IF(OR($D508="",$D508="NO ENCONTRADO"),"",_xlfn.XLOOKUP($D508,Productos!$E:$E,Productos!$H:$H,""))</f>
        <v/>
      </c>
      <c r="F508" s="74">
        <f t="array" ref="F508">IF(OR($D508="",$D508="NO ENCONTRADO"),"",_xlfn.XLOOKUP($D508,Productos!$E:$E,Productos!$I:$I,""))</f>
        <v/>
      </c>
      <c r="G508" s="74">
        <f t="array" ref="G508">IF(OR($D508="",$D508="NO ENCONTRADO"),"",_xlfn.XLOOKUP($D508,Productos!$E:$E,Productos!$J:$J,""))</f>
        <v/>
      </c>
      <c r="H508" s="74">
        <f t="array" ref="H508">IF(OR($D508="",$D508="NO ENCONTRADO"),"",_xlfn.XLOOKUP($D508,Productos!$E:$E,Productos!$K:$K,""))</f>
        <v/>
      </c>
      <c r="I508" s="74">
        <f t="array" ref="I508">IF(OR($D508="",$D508="NO ENCONTRADO"),"",_xlfn.XLOOKUP($D508,Productos!$E:$E,Productos!$F:$F,""))</f>
        <v/>
      </c>
      <c r="J508" s="74">
        <f>IF($C508="","",IF($D508="NO ENCONTRADO",IF(COUNTIF($C$7:$C$1000,$C508)&gt;1,"⚠️ No encontrado | Duplicado","⚠️ No encontrado"),IF(COUNTIF($C$7:$C$1000,$C508)&gt;1,"⚠️ Duplicado","Verificado")))</f>
        <v/>
      </c>
    </row>
    <row r="509" ht="15.75" customHeight="1" s="176">
      <c r="B509" s="80" t="n"/>
      <c r="C509" s="74" t="n"/>
      <c r="D509" s="74">
        <f t="array" ref="D509">IF($C509="","",IFNA(_xlfn.XLOOKUP($C509,Productos!$A:$A,Productos!$E:$E,IFNA(_xlfn.XLOOKUP(TEXT($C509,"0"),Productos!$A:$A,Productos!$E:$E,IFNA(_xlfn.XLOOKUP(IFERROR(VALUE($C509),""),Productos!$A:$A,Productos!$E:$E,_xlfn.XLOOKUP($C509,Productos!$E:$E,Productos!$E:$E,"NO ENCONTRADO")),"NO ENCONTRADO")),"NO ENCONTRADO")),"NO ENCONTRADO"))</f>
        <v/>
      </c>
      <c r="E509" s="74">
        <f t="array" ref="E509">IF(OR($D509="",$D509="NO ENCONTRADO"),"",_xlfn.XLOOKUP($D509,Productos!$E:$E,Productos!$H:$H,""))</f>
        <v/>
      </c>
      <c r="F509" s="74">
        <f t="array" ref="F509">IF(OR($D509="",$D509="NO ENCONTRADO"),"",_xlfn.XLOOKUP($D509,Productos!$E:$E,Productos!$I:$I,""))</f>
        <v/>
      </c>
      <c r="G509" s="74">
        <f t="array" ref="G509">IF(OR($D509="",$D509="NO ENCONTRADO"),"",_xlfn.XLOOKUP($D509,Productos!$E:$E,Productos!$J:$J,""))</f>
        <v/>
      </c>
      <c r="H509" s="74">
        <f t="array" ref="H509">IF(OR($D509="",$D509="NO ENCONTRADO"),"",_xlfn.XLOOKUP($D509,Productos!$E:$E,Productos!$K:$K,""))</f>
        <v/>
      </c>
      <c r="I509" s="74">
        <f t="array" ref="I509">IF(OR($D509="",$D509="NO ENCONTRADO"),"",_xlfn.XLOOKUP($D509,Productos!$E:$E,Productos!$F:$F,""))</f>
        <v/>
      </c>
      <c r="J509" s="74">
        <f>IF($C509="","",IF($D509="NO ENCONTRADO",IF(COUNTIF($C$7:$C$1000,$C509)&gt;1,"⚠️ No encontrado | Duplicado","⚠️ No encontrado"),IF(COUNTIF($C$7:$C$1000,$C509)&gt;1,"⚠️ Duplicado","Verificado")))</f>
        <v/>
      </c>
    </row>
    <row r="510" ht="15.75" customHeight="1" s="176">
      <c r="B510" s="80" t="n"/>
      <c r="C510" s="74" t="n"/>
      <c r="D510" s="74">
        <f t="array" ref="D510">IF($C510="","",IFNA(_xlfn.XLOOKUP($C510,Productos!$A:$A,Productos!$E:$E,IFNA(_xlfn.XLOOKUP(TEXT($C510,"0"),Productos!$A:$A,Productos!$E:$E,IFNA(_xlfn.XLOOKUP(IFERROR(VALUE($C510),""),Productos!$A:$A,Productos!$E:$E,_xlfn.XLOOKUP($C510,Productos!$E:$E,Productos!$E:$E,"NO ENCONTRADO")),"NO ENCONTRADO")),"NO ENCONTRADO")),"NO ENCONTRADO"))</f>
        <v/>
      </c>
      <c r="E510" s="74">
        <f t="array" ref="E510">IF(OR($D510="",$D510="NO ENCONTRADO"),"",_xlfn.XLOOKUP($D510,Productos!$E:$E,Productos!$H:$H,""))</f>
        <v/>
      </c>
      <c r="F510" s="74">
        <f t="array" ref="F510">IF(OR($D510="",$D510="NO ENCONTRADO"),"",_xlfn.XLOOKUP($D510,Productos!$E:$E,Productos!$I:$I,""))</f>
        <v/>
      </c>
      <c r="G510" s="74">
        <f t="array" ref="G510">IF(OR($D510="",$D510="NO ENCONTRADO"),"",_xlfn.XLOOKUP($D510,Productos!$E:$E,Productos!$J:$J,""))</f>
        <v/>
      </c>
      <c r="H510" s="74">
        <f t="array" ref="H510">IF(OR($D510="",$D510="NO ENCONTRADO"),"",_xlfn.XLOOKUP($D510,Productos!$E:$E,Productos!$K:$K,""))</f>
        <v/>
      </c>
      <c r="I510" s="74">
        <f t="array" ref="I510">IF(OR($D510="",$D510="NO ENCONTRADO"),"",_xlfn.XLOOKUP($D510,Productos!$E:$E,Productos!$F:$F,""))</f>
        <v/>
      </c>
      <c r="J510" s="74">
        <f>IF($C510="","",IF($D510="NO ENCONTRADO",IF(COUNTIF($C$7:$C$1000,$C510)&gt;1,"⚠️ No encontrado | Duplicado","⚠️ No encontrado"),IF(COUNTIF($C$7:$C$1000,$C510)&gt;1,"⚠️ Duplicado","Verificado")))</f>
        <v/>
      </c>
    </row>
    <row r="511" ht="15.75" customHeight="1" s="176">
      <c r="B511" s="80" t="n"/>
      <c r="C511" s="74" t="n"/>
      <c r="D511" s="74">
        <f t="array" ref="D511">IF($C511="","",IFNA(_xlfn.XLOOKUP($C511,Productos!$A:$A,Productos!$E:$E,IFNA(_xlfn.XLOOKUP(TEXT($C511,"0"),Productos!$A:$A,Productos!$E:$E,IFNA(_xlfn.XLOOKUP(IFERROR(VALUE($C511),""),Productos!$A:$A,Productos!$E:$E,_xlfn.XLOOKUP($C511,Productos!$E:$E,Productos!$E:$E,"NO ENCONTRADO")),"NO ENCONTRADO")),"NO ENCONTRADO")),"NO ENCONTRADO"))</f>
        <v/>
      </c>
      <c r="E511" s="74">
        <f t="array" ref="E511">IF(OR($D511="",$D511="NO ENCONTRADO"),"",_xlfn.XLOOKUP($D511,Productos!$E:$E,Productos!$H:$H,""))</f>
        <v/>
      </c>
      <c r="F511" s="74">
        <f t="array" ref="F511">IF(OR($D511="",$D511="NO ENCONTRADO"),"",_xlfn.XLOOKUP($D511,Productos!$E:$E,Productos!$I:$I,""))</f>
        <v/>
      </c>
      <c r="G511" s="74">
        <f t="array" ref="G511">IF(OR($D511="",$D511="NO ENCONTRADO"),"",_xlfn.XLOOKUP($D511,Productos!$E:$E,Productos!$J:$J,""))</f>
        <v/>
      </c>
      <c r="H511" s="74">
        <f t="array" ref="H511">IF(OR($D511="",$D511="NO ENCONTRADO"),"",_xlfn.XLOOKUP($D511,Productos!$E:$E,Productos!$K:$K,""))</f>
        <v/>
      </c>
      <c r="I511" s="74">
        <f t="array" ref="I511">IF(OR($D511="",$D511="NO ENCONTRADO"),"",_xlfn.XLOOKUP($D511,Productos!$E:$E,Productos!$F:$F,""))</f>
        <v/>
      </c>
      <c r="J511" s="74">
        <f>IF($C511="","",IF($D511="NO ENCONTRADO",IF(COUNTIF($C$7:$C$1000,$C511)&gt;1,"⚠️ No encontrado | Duplicado","⚠️ No encontrado"),IF(COUNTIF($C$7:$C$1000,$C511)&gt;1,"⚠️ Duplicado","Verificado")))</f>
        <v/>
      </c>
    </row>
    <row r="512" ht="15.75" customHeight="1" s="176">
      <c r="B512" s="80" t="n"/>
      <c r="C512" s="74" t="n"/>
      <c r="D512" s="74">
        <f t="array" ref="D512">IF($C512="","",IFNA(_xlfn.XLOOKUP($C512,Productos!$A:$A,Productos!$E:$E,IFNA(_xlfn.XLOOKUP(TEXT($C512,"0"),Productos!$A:$A,Productos!$E:$E,IFNA(_xlfn.XLOOKUP(IFERROR(VALUE($C512),""),Productos!$A:$A,Productos!$E:$E,_xlfn.XLOOKUP($C512,Productos!$E:$E,Productos!$E:$E,"NO ENCONTRADO")),"NO ENCONTRADO")),"NO ENCONTRADO")),"NO ENCONTRADO"))</f>
        <v/>
      </c>
      <c r="E512" s="74">
        <f t="array" ref="E512">IF(OR($D512="",$D512="NO ENCONTRADO"),"",_xlfn.XLOOKUP($D512,Productos!$E:$E,Productos!$H:$H,""))</f>
        <v/>
      </c>
      <c r="F512" s="74">
        <f t="array" ref="F512">IF(OR($D512="",$D512="NO ENCONTRADO"),"",_xlfn.XLOOKUP($D512,Productos!$E:$E,Productos!$I:$I,""))</f>
        <v/>
      </c>
      <c r="G512" s="74">
        <f t="array" ref="G512">IF(OR($D512="",$D512="NO ENCONTRADO"),"",_xlfn.XLOOKUP($D512,Productos!$E:$E,Productos!$J:$J,""))</f>
        <v/>
      </c>
      <c r="H512" s="74">
        <f t="array" ref="H512">IF(OR($D512="",$D512="NO ENCONTRADO"),"",_xlfn.XLOOKUP($D512,Productos!$E:$E,Productos!$K:$K,""))</f>
        <v/>
      </c>
      <c r="I512" s="74">
        <f t="array" ref="I512">IF(OR($D512="",$D512="NO ENCONTRADO"),"",_xlfn.XLOOKUP($D512,Productos!$E:$E,Productos!$F:$F,""))</f>
        <v/>
      </c>
      <c r="J512" s="74">
        <f>IF($C512="","",IF($D512="NO ENCONTRADO",IF(COUNTIF($C$7:$C$1000,$C512)&gt;1,"⚠️ No encontrado | Duplicado","⚠️ No encontrado"),IF(COUNTIF($C$7:$C$1000,$C512)&gt;1,"⚠️ Duplicado","Verificado")))</f>
        <v/>
      </c>
    </row>
    <row r="513" ht="15.75" customHeight="1" s="176">
      <c r="B513" s="80" t="n"/>
      <c r="C513" s="74" t="n"/>
      <c r="D513" s="74">
        <f t="array" ref="D513">IF($C513="","",IFNA(_xlfn.XLOOKUP($C513,Productos!$A:$A,Productos!$E:$E,IFNA(_xlfn.XLOOKUP(TEXT($C513,"0"),Productos!$A:$A,Productos!$E:$E,IFNA(_xlfn.XLOOKUP(IFERROR(VALUE($C513),""),Productos!$A:$A,Productos!$E:$E,_xlfn.XLOOKUP($C513,Productos!$E:$E,Productos!$E:$E,"NO ENCONTRADO")),"NO ENCONTRADO")),"NO ENCONTRADO")),"NO ENCONTRADO"))</f>
        <v/>
      </c>
      <c r="E513" s="74">
        <f t="array" ref="E513">IF(OR($D513="",$D513="NO ENCONTRADO"),"",_xlfn.XLOOKUP($D513,Productos!$E:$E,Productos!$H:$H,""))</f>
        <v/>
      </c>
      <c r="F513" s="74">
        <f t="array" ref="F513">IF(OR($D513="",$D513="NO ENCONTRADO"),"",_xlfn.XLOOKUP($D513,Productos!$E:$E,Productos!$I:$I,""))</f>
        <v/>
      </c>
      <c r="G513" s="74">
        <f t="array" ref="G513">IF(OR($D513="",$D513="NO ENCONTRADO"),"",_xlfn.XLOOKUP($D513,Productos!$E:$E,Productos!$J:$J,""))</f>
        <v/>
      </c>
      <c r="H513" s="74">
        <f t="array" ref="H513">IF(OR($D513="",$D513="NO ENCONTRADO"),"",_xlfn.XLOOKUP($D513,Productos!$E:$E,Productos!$K:$K,""))</f>
        <v/>
      </c>
      <c r="I513" s="74">
        <f t="array" ref="I513">IF(OR($D513="",$D513="NO ENCONTRADO"),"",_xlfn.XLOOKUP($D513,Productos!$E:$E,Productos!$F:$F,""))</f>
        <v/>
      </c>
      <c r="J513" s="74">
        <f>IF($C513="","",IF($D513="NO ENCONTRADO",IF(COUNTIF($C$7:$C$1000,$C513)&gt;1,"⚠️ No encontrado | Duplicado","⚠️ No encontrado"),IF(COUNTIF($C$7:$C$1000,$C513)&gt;1,"⚠️ Duplicado","Verificado")))</f>
        <v/>
      </c>
    </row>
    <row r="514" ht="15.75" customHeight="1" s="176">
      <c r="B514" s="80" t="n"/>
      <c r="C514" s="74" t="n"/>
      <c r="D514" s="74">
        <f t="array" ref="D514">IF($C514="","",IFNA(_xlfn.XLOOKUP($C514,Productos!$A:$A,Productos!$E:$E,IFNA(_xlfn.XLOOKUP(TEXT($C514,"0"),Productos!$A:$A,Productos!$E:$E,IFNA(_xlfn.XLOOKUP(IFERROR(VALUE($C514),""),Productos!$A:$A,Productos!$E:$E,_xlfn.XLOOKUP($C514,Productos!$E:$E,Productos!$E:$E,"NO ENCONTRADO")),"NO ENCONTRADO")),"NO ENCONTRADO")),"NO ENCONTRADO"))</f>
        <v/>
      </c>
      <c r="E514" s="74">
        <f t="array" ref="E514">IF(OR($D514="",$D514="NO ENCONTRADO"),"",_xlfn.XLOOKUP($D514,Productos!$E:$E,Productos!$H:$H,""))</f>
        <v/>
      </c>
      <c r="F514" s="74">
        <f t="array" ref="F514">IF(OR($D514="",$D514="NO ENCONTRADO"),"",_xlfn.XLOOKUP($D514,Productos!$E:$E,Productos!$I:$I,""))</f>
        <v/>
      </c>
      <c r="G514" s="74">
        <f t="array" ref="G514">IF(OR($D514="",$D514="NO ENCONTRADO"),"",_xlfn.XLOOKUP($D514,Productos!$E:$E,Productos!$J:$J,""))</f>
        <v/>
      </c>
      <c r="H514" s="74">
        <f t="array" ref="H514">IF(OR($D514="",$D514="NO ENCONTRADO"),"",_xlfn.XLOOKUP($D514,Productos!$E:$E,Productos!$K:$K,""))</f>
        <v/>
      </c>
      <c r="I514" s="74">
        <f t="array" ref="I514">IF(OR($D514="",$D514="NO ENCONTRADO"),"",_xlfn.XLOOKUP($D514,Productos!$E:$E,Productos!$F:$F,""))</f>
        <v/>
      </c>
      <c r="J514" s="74">
        <f>IF($C514="","",IF($D514="NO ENCONTRADO",IF(COUNTIF($C$7:$C$1000,$C514)&gt;1,"⚠️ No encontrado | Duplicado","⚠️ No encontrado"),IF(COUNTIF($C$7:$C$1000,$C514)&gt;1,"⚠️ Duplicado","Verificado")))</f>
        <v/>
      </c>
    </row>
    <row r="515" ht="15.75" customHeight="1" s="176">
      <c r="B515" s="80" t="n"/>
      <c r="C515" s="74" t="n"/>
      <c r="D515" s="74">
        <f t="array" ref="D515">IF($C515="","",IFNA(_xlfn.XLOOKUP($C515,Productos!$A:$A,Productos!$E:$E,IFNA(_xlfn.XLOOKUP(TEXT($C515,"0"),Productos!$A:$A,Productos!$E:$E,IFNA(_xlfn.XLOOKUP(IFERROR(VALUE($C515),""),Productos!$A:$A,Productos!$E:$E,_xlfn.XLOOKUP($C515,Productos!$E:$E,Productos!$E:$E,"NO ENCONTRADO")),"NO ENCONTRADO")),"NO ENCONTRADO")),"NO ENCONTRADO"))</f>
        <v/>
      </c>
      <c r="E515" s="74">
        <f t="array" ref="E515">IF(OR($D515="",$D515="NO ENCONTRADO"),"",_xlfn.XLOOKUP($D515,Productos!$E:$E,Productos!$H:$H,""))</f>
        <v/>
      </c>
      <c r="F515" s="74">
        <f t="array" ref="F515">IF(OR($D515="",$D515="NO ENCONTRADO"),"",_xlfn.XLOOKUP($D515,Productos!$E:$E,Productos!$I:$I,""))</f>
        <v/>
      </c>
      <c r="G515" s="74">
        <f t="array" ref="G515">IF(OR($D515="",$D515="NO ENCONTRADO"),"",_xlfn.XLOOKUP($D515,Productos!$E:$E,Productos!$J:$J,""))</f>
        <v/>
      </c>
      <c r="H515" s="74">
        <f t="array" ref="H515">IF(OR($D515="",$D515="NO ENCONTRADO"),"",_xlfn.XLOOKUP($D515,Productos!$E:$E,Productos!$K:$K,""))</f>
        <v/>
      </c>
      <c r="I515" s="74">
        <f t="array" ref="I515">IF(OR($D515="",$D515="NO ENCONTRADO"),"",_xlfn.XLOOKUP($D515,Productos!$E:$E,Productos!$F:$F,""))</f>
        <v/>
      </c>
      <c r="J515" s="74">
        <f>IF($C515="","",IF($D515="NO ENCONTRADO",IF(COUNTIF($C$7:$C$1000,$C515)&gt;1,"⚠️ No encontrado | Duplicado","⚠️ No encontrado"),IF(COUNTIF($C$7:$C$1000,$C515)&gt;1,"⚠️ Duplicado","Verificado")))</f>
        <v/>
      </c>
    </row>
    <row r="516" ht="15.75" customHeight="1" s="176">
      <c r="B516" s="80" t="n"/>
      <c r="C516" s="74" t="n"/>
      <c r="D516" s="74">
        <f t="array" ref="D516">IF($C516="","",IFNA(_xlfn.XLOOKUP($C516,Productos!$A:$A,Productos!$E:$E,IFNA(_xlfn.XLOOKUP(TEXT($C516,"0"),Productos!$A:$A,Productos!$E:$E,IFNA(_xlfn.XLOOKUP(IFERROR(VALUE($C516),""),Productos!$A:$A,Productos!$E:$E,_xlfn.XLOOKUP($C516,Productos!$E:$E,Productos!$E:$E,"NO ENCONTRADO")),"NO ENCONTRADO")),"NO ENCONTRADO")),"NO ENCONTRADO"))</f>
        <v/>
      </c>
      <c r="E516" s="74">
        <f t="array" ref="E516">IF(OR($D516="",$D516="NO ENCONTRADO"),"",_xlfn.XLOOKUP($D516,Productos!$E:$E,Productos!$H:$H,""))</f>
        <v/>
      </c>
      <c r="F516" s="74">
        <f t="array" ref="F516">IF(OR($D516="",$D516="NO ENCONTRADO"),"",_xlfn.XLOOKUP($D516,Productos!$E:$E,Productos!$I:$I,""))</f>
        <v/>
      </c>
      <c r="G516" s="74">
        <f t="array" ref="G516">IF(OR($D516="",$D516="NO ENCONTRADO"),"",_xlfn.XLOOKUP($D516,Productos!$E:$E,Productos!$J:$J,""))</f>
        <v/>
      </c>
      <c r="H516" s="74">
        <f t="array" ref="H516">IF(OR($D516="",$D516="NO ENCONTRADO"),"",_xlfn.XLOOKUP($D516,Productos!$E:$E,Productos!$K:$K,""))</f>
        <v/>
      </c>
      <c r="I516" s="74">
        <f t="array" ref="I516">IF(OR($D516="",$D516="NO ENCONTRADO"),"",_xlfn.XLOOKUP($D516,Productos!$E:$E,Productos!$F:$F,""))</f>
        <v/>
      </c>
      <c r="J516" s="74">
        <f>IF($C516="","",IF($D516="NO ENCONTRADO",IF(COUNTIF($C$7:$C$1000,$C516)&gt;1,"⚠️ No encontrado | Duplicado","⚠️ No encontrado"),IF(COUNTIF($C$7:$C$1000,$C516)&gt;1,"⚠️ Duplicado","Verificado")))</f>
        <v/>
      </c>
    </row>
    <row r="517" ht="15.75" customHeight="1" s="176">
      <c r="B517" s="80" t="n"/>
      <c r="C517" s="74" t="n"/>
      <c r="D517" s="74">
        <f t="array" ref="D517">IF($C517="","",IFNA(_xlfn.XLOOKUP($C517,Productos!$A:$A,Productos!$E:$E,IFNA(_xlfn.XLOOKUP(TEXT($C517,"0"),Productos!$A:$A,Productos!$E:$E,IFNA(_xlfn.XLOOKUP(IFERROR(VALUE($C517),""),Productos!$A:$A,Productos!$E:$E,_xlfn.XLOOKUP($C517,Productos!$E:$E,Productos!$E:$E,"NO ENCONTRADO")),"NO ENCONTRADO")),"NO ENCONTRADO")),"NO ENCONTRADO"))</f>
        <v/>
      </c>
      <c r="E517" s="74">
        <f t="array" ref="E517">IF(OR($D517="",$D517="NO ENCONTRADO"),"",_xlfn.XLOOKUP($D517,Productos!$E:$E,Productos!$H:$H,""))</f>
        <v/>
      </c>
      <c r="F517" s="74">
        <f t="array" ref="F517">IF(OR($D517="",$D517="NO ENCONTRADO"),"",_xlfn.XLOOKUP($D517,Productos!$E:$E,Productos!$I:$I,""))</f>
        <v/>
      </c>
      <c r="G517" s="74">
        <f t="array" ref="G517">IF(OR($D517="",$D517="NO ENCONTRADO"),"",_xlfn.XLOOKUP($D517,Productos!$E:$E,Productos!$J:$J,""))</f>
        <v/>
      </c>
      <c r="H517" s="74">
        <f t="array" ref="H517">IF(OR($D517="",$D517="NO ENCONTRADO"),"",_xlfn.XLOOKUP($D517,Productos!$E:$E,Productos!$K:$K,""))</f>
        <v/>
      </c>
      <c r="I517" s="74">
        <f t="array" ref="I517">IF(OR($D517="",$D517="NO ENCONTRADO"),"",_xlfn.XLOOKUP($D517,Productos!$E:$E,Productos!$F:$F,""))</f>
        <v/>
      </c>
      <c r="J517" s="74">
        <f>IF($C517="","",IF($D517="NO ENCONTRADO",IF(COUNTIF($C$7:$C$1000,$C517)&gt;1,"⚠️ No encontrado | Duplicado","⚠️ No encontrado"),IF(COUNTIF($C$7:$C$1000,$C517)&gt;1,"⚠️ Duplicado","Verificado")))</f>
        <v/>
      </c>
    </row>
    <row r="518" ht="15.75" customHeight="1" s="176">
      <c r="B518" s="80" t="n"/>
      <c r="C518" s="74" t="n"/>
      <c r="D518" s="74">
        <f t="array" ref="D518">IF($C518="","",IFNA(_xlfn.XLOOKUP($C518,Productos!$A:$A,Productos!$E:$E,IFNA(_xlfn.XLOOKUP(TEXT($C518,"0"),Productos!$A:$A,Productos!$E:$E,IFNA(_xlfn.XLOOKUP(IFERROR(VALUE($C518),""),Productos!$A:$A,Productos!$E:$E,_xlfn.XLOOKUP($C518,Productos!$E:$E,Productos!$E:$E,"NO ENCONTRADO")),"NO ENCONTRADO")),"NO ENCONTRADO")),"NO ENCONTRADO"))</f>
        <v/>
      </c>
      <c r="E518" s="74">
        <f t="array" ref="E518">IF(OR($D518="",$D518="NO ENCONTRADO"),"",_xlfn.XLOOKUP($D518,Productos!$E:$E,Productos!$H:$H,""))</f>
        <v/>
      </c>
      <c r="F518" s="74">
        <f t="array" ref="F518">IF(OR($D518="",$D518="NO ENCONTRADO"),"",_xlfn.XLOOKUP($D518,Productos!$E:$E,Productos!$I:$I,""))</f>
        <v/>
      </c>
      <c r="G518" s="74">
        <f t="array" ref="G518">IF(OR($D518="",$D518="NO ENCONTRADO"),"",_xlfn.XLOOKUP($D518,Productos!$E:$E,Productos!$J:$J,""))</f>
        <v/>
      </c>
      <c r="H518" s="74">
        <f t="array" ref="H518">IF(OR($D518="",$D518="NO ENCONTRADO"),"",_xlfn.XLOOKUP($D518,Productos!$E:$E,Productos!$K:$K,""))</f>
        <v/>
      </c>
      <c r="I518" s="74">
        <f t="array" ref="I518">IF(OR($D518="",$D518="NO ENCONTRADO"),"",_xlfn.XLOOKUP($D518,Productos!$E:$E,Productos!$F:$F,""))</f>
        <v/>
      </c>
      <c r="J518" s="74">
        <f>IF($C518="","",IF($D518="NO ENCONTRADO",IF(COUNTIF($C$7:$C$1000,$C518)&gt;1,"⚠️ No encontrado | Duplicado","⚠️ No encontrado"),IF(COUNTIF($C$7:$C$1000,$C518)&gt;1,"⚠️ Duplicado","Verificado")))</f>
        <v/>
      </c>
    </row>
    <row r="519" ht="15.75" customHeight="1" s="176">
      <c r="B519" s="80" t="n"/>
      <c r="C519" s="74" t="n"/>
      <c r="D519" s="74">
        <f t="array" ref="D519">IF($C519="","",IFNA(_xlfn.XLOOKUP($C519,Productos!$A:$A,Productos!$E:$E,IFNA(_xlfn.XLOOKUP(TEXT($C519,"0"),Productos!$A:$A,Productos!$E:$E,IFNA(_xlfn.XLOOKUP(IFERROR(VALUE($C519),""),Productos!$A:$A,Productos!$E:$E,_xlfn.XLOOKUP($C519,Productos!$E:$E,Productos!$E:$E,"NO ENCONTRADO")),"NO ENCONTRADO")),"NO ENCONTRADO")),"NO ENCONTRADO"))</f>
        <v/>
      </c>
      <c r="E519" s="74">
        <f t="array" ref="E519">IF(OR($D519="",$D519="NO ENCONTRADO"),"",_xlfn.XLOOKUP($D519,Productos!$E:$E,Productos!$H:$H,""))</f>
        <v/>
      </c>
      <c r="F519" s="74">
        <f t="array" ref="F519">IF(OR($D519="",$D519="NO ENCONTRADO"),"",_xlfn.XLOOKUP($D519,Productos!$E:$E,Productos!$I:$I,""))</f>
        <v/>
      </c>
      <c r="G519" s="74">
        <f t="array" ref="G519">IF(OR($D519="",$D519="NO ENCONTRADO"),"",_xlfn.XLOOKUP($D519,Productos!$E:$E,Productos!$J:$J,""))</f>
        <v/>
      </c>
      <c r="H519" s="74">
        <f t="array" ref="H519">IF(OR($D519="",$D519="NO ENCONTRADO"),"",_xlfn.XLOOKUP($D519,Productos!$E:$E,Productos!$K:$K,""))</f>
        <v/>
      </c>
      <c r="I519" s="74">
        <f t="array" ref="I519">IF(OR($D519="",$D519="NO ENCONTRADO"),"",_xlfn.XLOOKUP($D519,Productos!$E:$E,Productos!$F:$F,""))</f>
        <v/>
      </c>
      <c r="J519" s="74">
        <f>IF($C519="","",IF($D519="NO ENCONTRADO",IF(COUNTIF($C$7:$C$1000,$C519)&gt;1,"⚠️ No encontrado | Duplicado","⚠️ No encontrado"),IF(COUNTIF($C$7:$C$1000,$C519)&gt;1,"⚠️ Duplicado","Verificado")))</f>
        <v/>
      </c>
    </row>
    <row r="520" ht="15.75" customHeight="1" s="176">
      <c r="B520" s="80" t="n"/>
      <c r="C520" s="74" t="n"/>
      <c r="D520" s="74">
        <f t="array" ref="D520">IF($C520="","",IFNA(_xlfn.XLOOKUP($C520,Productos!$A:$A,Productos!$E:$E,IFNA(_xlfn.XLOOKUP(TEXT($C520,"0"),Productos!$A:$A,Productos!$E:$E,IFNA(_xlfn.XLOOKUP(IFERROR(VALUE($C520),""),Productos!$A:$A,Productos!$E:$E,_xlfn.XLOOKUP($C520,Productos!$E:$E,Productos!$E:$E,"NO ENCONTRADO")),"NO ENCONTRADO")),"NO ENCONTRADO")),"NO ENCONTRADO"))</f>
        <v/>
      </c>
      <c r="E520" s="74">
        <f t="array" ref="E520">IF(OR($D520="",$D520="NO ENCONTRADO"),"",_xlfn.XLOOKUP($D520,Productos!$E:$E,Productos!$H:$H,""))</f>
        <v/>
      </c>
      <c r="F520" s="74">
        <f t="array" ref="F520">IF(OR($D520="",$D520="NO ENCONTRADO"),"",_xlfn.XLOOKUP($D520,Productos!$E:$E,Productos!$I:$I,""))</f>
        <v/>
      </c>
      <c r="G520" s="74">
        <f t="array" ref="G520">IF(OR($D520="",$D520="NO ENCONTRADO"),"",_xlfn.XLOOKUP($D520,Productos!$E:$E,Productos!$J:$J,""))</f>
        <v/>
      </c>
      <c r="H520" s="74">
        <f t="array" ref="H520">IF(OR($D520="",$D520="NO ENCONTRADO"),"",_xlfn.XLOOKUP($D520,Productos!$E:$E,Productos!$K:$K,""))</f>
        <v/>
      </c>
      <c r="I520" s="74">
        <f t="array" ref="I520">IF(OR($D520="",$D520="NO ENCONTRADO"),"",_xlfn.XLOOKUP($D520,Productos!$E:$E,Productos!$F:$F,""))</f>
        <v/>
      </c>
      <c r="J520" s="74">
        <f>IF($C520="","",IF($D520="NO ENCONTRADO",IF(COUNTIF($C$7:$C$1000,$C520)&gt;1,"⚠️ No encontrado | Duplicado","⚠️ No encontrado"),IF(COUNTIF($C$7:$C$1000,$C520)&gt;1,"⚠️ Duplicado","Verificado")))</f>
        <v/>
      </c>
    </row>
    <row r="521" ht="15.75" customHeight="1" s="176">
      <c r="B521" s="80" t="n"/>
      <c r="C521" s="74" t="n"/>
      <c r="D521" s="74">
        <f t="array" ref="D521">IF($C521="","",IFNA(_xlfn.XLOOKUP($C521,Productos!$A:$A,Productos!$E:$E,IFNA(_xlfn.XLOOKUP(TEXT($C521,"0"),Productos!$A:$A,Productos!$E:$E,IFNA(_xlfn.XLOOKUP(IFERROR(VALUE($C521),""),Productos!$A:$A,Productos!$E:$E,_xlfn.XLOOKUP($C521,Productos!$E:$E,Productos!$E:$E,"NO ENCONTRADO")),"NO ENCONTRADO")),"NO ENCONTRADO")),"NO ENCONTRADO"))</f>
        <v/>
      </c>
      <c r="E521" s="74">
        <f t="array" ref="E521">IF(OR($D521="",$D521="NO ENCONTRADO"),"",_xlfn.XLOOKUP($D521,Productos!$E:$E,Productos!$H:$H,""))</f>
        <v/>
      </c>
      <c r="F521" s="74">
        <f t="array" ref="F521">IF(OR($D521="",$D521="NO ENCONTRADO"),"",_xlfn.XLOOKUP($D521,Productos!$E:$E,Productos!$I:$I,""))</f>
        <v/>
      </c>
      <c r="G521" s="74">
        <f t="array" ref="G521">IF(OR($D521="",$D521="NO ENCONTRADO"),"",_xlfn.XLOOKUP($D521,Productos!$E:$E,Productos!$J:$J,""))</f>
        <v/>
      </c>
      <c r="H521" s="74">
        <f t="array" ref="H521">IF(OR($D521="",$D521="NO ENCONTRADO"),"",_xlfn.XLOOKUP($D521,Productos!$E:$E,Productos!$K:$K,""))</f>
        <v/>
      </c>
      <c r="I521" s="74">
        <f t="array" ref="I521">IF(OR($D521="",$D521="NO ENCONTRADO"),"",_xlfn.XLOOKUP($D521,Productos!$E:$E,Productos!$F:$F,""))</f>
        <v/>
      </c>
      <c r="J521" s="74">
        <f>IF($C521="","",IF($D521="NO ENCONTRADO",IF(COUNTIF($C$7:$C$1000,$C521)&gt;1,"⚠️ No encontrado | Duplicado","⚠️ No encontrado"),IF(COUNTIF($C$7:$C$1000,$C521)&gt;1,"⚠️ Duplicado","Verificado")))</f>
        <v/>
      </c>
    </row>
    <row r="522" ht="15.75" customHeight="1" s="176">
      <c r="B522" s="80" t="n"/>
      <c r="C522" s="74" t="n"/>
      <c r="D522" s="74">
        <f t="array" ref="D522">IF($C522="","",IFNA(_xlfn.XLOOKUP($C522,Productos!$A:$A,Productos!$E:$E,IFNA(_xlfn.XLOOKUP(TEXT($C522,"0"),Productos!$A:$A,Productos!$E:$E,IFNA(_xlfn.XLOOKUP(IFERROR(VALUE($C522),""),Productos!$A:$A,Productos!$E:$E,_xlfn.XLOOKUP($C522,Productos!$E:$E,Productos!$E:$E,"NO ENCONTRADO")),"NO ENCONTRADO")),"NO ENCONTRADO")),"NO ENCONTRADO"))</f>
        <v/>
      </c>
      <c r="E522" s="74">
        <f t="array" ref="E522">IF(OR($D522="",$D522="NO ENCONTRADO"),"",_xlfn.XLOOKUP($D522,Productos!$E:$E,Productos!$H:$H,""))</f>
        <v/>
      </c>
      <c r="F522" s="74">
        <f t="array" ref="F522">IF(OR($D522="",$D522="NO ENCONTRADO"),"",_xlfn.XLOOKUP($D522,Productos!$E:$E,Productos!$I:$I,""))</f>
        <v/>
      </c>
      <c r="G522" s="74">
        <f t="array" ref="G522">IF(OR($D522="",$D522="NO ENCONTRADO"),"",_xlfn.XLOOKUP($D522,Productos!$E:$E,Productos!$J:$J,""))</f>
        <v/>
      </c>
      <c r="H522" s="74">
        <f t="array" ref="H522">IF(OR($D522="",$D522="NO ENCONTRADO"),"",_xlfn.XLOOKUP($D522,Productos!$E:$E,Productos!$K:$K,""))</f>
        <v/>
      </c>
      <c r="I522" s="74">
        <f t="array" ref="I522">IF(OR($D522="",$D522="NO ENCONTRADO"),"",_xlfn.XLOOKUP($D522,Productos!$E:$E,Productos!$F:$F,""))</f>
        <v/>
      </c>
      <c r="J522" s="74">
        <f>IF($C522="","",IF($D522="NO ENCONTRADO",IF(COUNTIF($C$7:$C$1000,$C522)&gt;1,"⚠️ No encontrado | Duplicado","⚠️ No encontrado"),IF(COUNTIF($C$7:$C$1000,$C522)&gt;1,"⚠️ Duplicado","Verificado")))</f>
        <v/>
      </c>
    </row>
    <row r="523" ht="15.75" customHeight="1" s="176">
      <c r="B523" s="80" t="n"/>
      <c r="C523" s="74" t="n"/>
      <c r="D523" s="74">
        <f t="array" ref="D523">IF($C523="","",IFNA(_xlfn.XLOOKUP($C523,Productos!$A:$A,Productos!$E:$E,IFNA(_xlfn.XLOOKUP(TEXT($C523,"0"),Productos!$A:$A,Productos!$E:$E,IFNA(_xlfn.XLOOKUP(IFERROR(VALUE($C523),""),Productos!$A:$A,Productos!$E:$E,_xlfn.XLOOKUP($C523,Productos!$E:$E,Productos!$E:$E,"NO ENCONTRADO")),"NO ENCONTRADO")),"NO ENCONTRADO")),"NO ENCONTRADO"))</f>
        <v/>
      </c>
      <c r="E523" s="74">
        <f t="array" ref="E523">IF(OR($D523="",$D523="NO ENCONTRADO"),"",_xlfn.XLOOKUP($D523,Productos!$E:$E,Productos!$H:$H,""))</f>
        <v/>
      </c>
      <c r="F523" s="74">
        <f t="array" ref="F523">IF(OR($D523="",$D523="NO ENCONTRADO"),"",_xlfn.XLOOKUP($D523,Productos!$E:$E,Productos!$I:$I,""))</f>
        <v/>
      </c>
      <c r="G523" s="74">
        <f t="array" ref="G523">IF(OR($D523="",$D523="NO ENCONTRADO"),"",_xlfn.XLOOKUP($D523,Productos!$E:$E,Productos!$J:$J,""))</f>
        <v/>
      </c>
      <c r="H523" s="74">
        <f t="array" ref="H523">IF(OR($D523="",$D523="NO ENCONTRADO"),"",_xlfn.XLOOKUP($D523,Productos!$E:$E,Productos!$K:$K,""))</f>
        <v/>
      </c>
      <c r="I523" s="74">
        <f t="array" ref="I523">IF(OR($D523="",$D523="NO ENCONTRADO"),"",_xlfn.XLOOKUP($D523,Productos!$E:$E,Productos!$F:$F,""))</f>
        <v/>
      </c>
      <c r="J523" s="74">
        <f>IF($C523="","",IF($D523="NO ENCONTRADO",IF(COUNTIF($C$7:$C$1000,$C523)&gt;1,"⚠️ No encontrado | Duplicado","⚠️ No encontrado"),IF(COUNTIF($C$7:$C$1000,$C523)&gt;1,"⚠️ Duplicado","Verificado")))</f>
        <v/>
      </c>
    </row>
    <row r="524" ht="15.75" customHeight="1" s="176">
      <c r="B524" s="80" t="n"/>
      <c r="C524" s="74" t="n"/>
      <c r="D524" s="74">
        <f t="array" ref="D524">IF($C524="","",IFNA(_xlfn.XLOOKUP($C524,Productos!$A:$A,Productos!$E:$E,IFNA(_xlfn.XLOOKUP(TEXT($C524,"0"),Productos!$A:$A,Productos!$E:$E,IFNA(_xlfn.XLOOKUP(IFERROR(VALUE($C524),""),Productos!$A:$A,Productos!$E:$E,_xlfn.XLOOKUP($C524,Productos!$E:$E,Productos!$E:$E,"NO ENCONTRADO")),"NO ENCONTRADO")),"NO ENCONTRADO")),"NO ENCONTRADO"))</f>
        <v/>
      </c>
      <c r="E524" s="74">
        <f t="array" ref="E524">IF(OR($D524="",$D524="NO ENCONTRADO"),"",_xlfn.XLOOKUP($D524,Productos!$E:$E,Productos!$H:$H,""))</f>
        <v/>
      </c>
      <c r="F524" s="74">
        <f t="array" ref="F524">IF(OR($D524="",$D524="NO ENCONTRADO"),"",_xlfn.XLOOKUP($D524,Productos!$E:$E,Productos!$I:$I,""))</f>
        <v/>
      </c>
      <c r="G524" s="74">
        <f t="array" ref="G524">IF(OR($D524="",$D524="NO ENCONTRADO"),"",_xlfn.XLOOKUP($D524,Productos!$E:$E,Productos!$J:$J,""))</f>
        <v/>
      </c>
      <c r="H524" s="74">
        <f t="array" ref="H524">IF(OR($D524="",$D524="NO ENCONTRADO"),"",_xlfn.XLOOKUP($D524,Productos!$E:$E,Productos!$K:$K,""))</f>
        <v/>
      </c>
      <c r="I524" s="74">
        <f t="array" ref="I524">IF(OR($D524="",$D524="NO ENCONTRADO"),"",_xlfn.XLOOKUP($D524,Productos!$E:$E,Productos!$F:$F,""))</f>
        <v/>
      </c>
      <c r="J524" s="74">
        <f>IF($C524="","",IF($D524="NO ENCONTRADO",IF(COUNTIF($C$7:$C$1000,$C524)&gt;1,"⚠️ No encontrado | Duplicado","⚠️ No encontrado"),IF(COUNTIF($C$7:$C$1000,$C524)&gt;1,"⚠️ Duplicado","Verificado")))</f>
        <v/>
      </c>
    </row>
    <row r="525" ht="15.75" customHeight="1" s="176">
      <c r="B525" s="80" t="n"/>
      <c r="C525" s="74" t="n"/>
      <c r="D525" s="74">
        <f t="array" ref="D525">IF($C525="","",IFNA(_xlfn.XLOOKUP($C525,Productos!$A:$A,Productos!$E:$E,IFNA(_xlfn.XLOOKUP(TEXT($C525,"0"),Productos!$A:$A,Productos!$E:$E,IFNA(_xlfn.XLOOKUP(IFERROR(VALUE($C525),""),Productos!$A:$A,Productos!$E:$E,_xlfn.XLOOKUP($C525,Productos!$E:$E,Productos!$E:$E,"NO ENCONTRADO")),"NO ENCONTRADO")),"NO ENCONTRADO")),"NO ENCONTRADO"))</f>
        <v/>
      </c>
      <c r="E525" s="74">
        <f t="array" ref="E525">IF(OR($D525="",$D525="NO ENCONTRADO"),"",_xlfn.XLOOKUP($D525,Productos!$E:$E,Productos!$H:$H,""))</f>
        <v/>
      </c>
      <c r="F525" s="74">
        <f t="array" ref="F525">IF(OR($D525="",$D525="NO ENCONTRADO"),"",_xlfn.XLOOKUP($D525,Productos!$E:$E,Productos!$I:$I,""))</f>
        <v/>
      </c>
      <c r="G525" s="74">
        <f t="array" ref="G525">IF(OR($D525="",$D525="NO ENCONTRADO"),"",_xlfn.XLOOKUP($D525,Productos!$E:$E,Productos!$J:$J,""))</f>
        <v/>
      </c>
      <c r="H525" s="74">
        <f t="array" ref="H525">IF(OR($D525="",$D525="NO ENCONTRADO"),"",_xlfn.XLOOKUP($D525,Productos!$E:$E,Productos!$K:$K,""))</f>
        <v/>
      </c>
      <c r="I525" s="74">
        <f t="array" ref="I525">IF(OR($D525="",$D525="NO ENCONTRADO"),"",_xlfn.XLOOKUP($D525,Productos!$E:$E,Productos!$F:$F,""))</f>
        <v/>
      </c>
      <c r="J525" s="74">
        <f>IF($C525="","",IF($D525="NO ENCONTRADO",IF(COUNTIF($C$7:$C$1000,$C525)&gt;1,"⚠️ No encontrado | Duplicado","⚠️ No encontrado"),IF(COUNTIF($C$7:$C$1000,$C525)&gt;1,"⚠️ Duplicado","Verificado")))</f>
        <v/>
      </c>
    </row>
    <row r="526" ht="15.75" customHeight="1" s="176">
      <c r="B526" s="80" t="n"/>
      <c r="C526" s="74" t="n"/>
      <c r="D526" s="74">
        <f t="array" ref="D526">IF($C526="","",IFNA(_xlfn.XLOOKUP($C526,Productos!$A:$A,Productos!$E:$E,IFNA(_xlfn.XLOOKUP(TEXT($C526,"0"),Productos!$A:$A,Productos!$E:$E,IFNA(_xlfn.XLOOKUP(IFERROR(VALUE($C526),""),Productos!$A:$A,Productos!$E:$E,_xlfn.XLOOKUP($C526,Productos!$E:$E,Productos!$E:$E,"NO ENCONTRADO")),"NO ENCONTRADO")),"NO ENCONTRADO")),"NO ENCONTRADO"))</f>
        <v/>
      </c>
      <c r="E526" s="74">
        <f t="array" ref="E526">IF(OR($D526="",$D526="NO ENCONTRADO"),"",_xlfn.XLOOKUP($D526,Productos!$E:$E,Productos!$H:$H,""))</f>
        <v/>
      </c>
      <c r="F526" s="74">
        <f t="array" ref="F526">IF(OR($D526="",$D526="NO ENCONTRADO"),"",_xlfn.XLOOKUP($D526,Productos!$E:$E,Productos!$I:$I,""))</f>
        <v/>
      </c>
      <c r="G526" s="74">
        <f t="array" ref="G526">IF(OR($D526="",$D526="NO ENCONTRADO"),"",_xlfn.XLOOKUP($D526,Productos!$E:$E,Productos!$J:$J,""))</f>
        <v/>
      </c>
      <c r="H526" s="74">
        <f t="array" ref="H526">IF(OR($D526="",$D526="NO ENCONTRADO"),"",_xlfn.XLOOKUP($D526,Productos!$E:$E,Productos!$K:$K,""))</f>
        <v/>
      </c>
      <c r="I526" s="74">
        <f t="array" ref="I526">IF(OR($D526="",$D526="NO ENCONTRADO"),"",_xlfn.XLOOKUP($D526,Productos!$E:$E,Productos!$F:$F,""))</f>
        <v/>
      </c>
      <c r="J526" s="74">
        <f>IF($C526="","",IF($D526="NO ENCONTRADO",IF(COUNTIF($C$7:$C$1000,$C526)&gt;1,"⚠️ No encontrado | Duplicado","⚠️ No encontrado"),IF(COUNTIF($C$7:$C$1000,$C526)&gt;1,"⚠️ Duplicado","Verificado")))</f>
        <v/>
      </c>
    </row>
    <row r="527" ht="15.75" customHeight="1" s="176">
      <c r="B527" s="80" t="n"/>
      <c r="C527" s="74" t="n"/>
      <c r="D527" s="74">
        <f t="array" ref="D527">IF($C527="","",IFNA(_xlfn.XLOOKUP($C527,Productos!$A:$A,Productos!$E:$E,IFNA(_xlfn.XLOOKUP(TEXT($C527,"0"),Productos!$A:$A,Productos!$E:$E,IFNA(_xlfn.XLOOKUP(IFERROR(VALUE($C527),""),Productos!$A:$A,Productos!$E:$E,_xlfn.XLOOKUP($C527,Productos!$E:$E,Productos!$E:$E,"NO ENCONTRADO")),"NO ENCONTRADO")),"NO ENCONTRADO")),"NO ENCONTRADO"))</f>
        <v/>
      </c>
      <c r="E527" s="74">
        <f t="array" ref="E527">IF(OR($D527="",$D527="NO ENCONTRADO"),"",_xlfn.XLOOKUP($D527,Productos!$E:$E,Productos!$H:$H,""))</f>
        <v/>
      </c>
      <c r="F527" s="74">
        <f t="array" ref="F527">IF(OR($D527="",$D527="NO ENCONTRADO"),"",_xlfn.XLOOKUP($D527,Productos!$E:$E,Productos!$I:$I,""))</f>
        <v/>
      </c>
      <c r="G527" s="74">
        <f t="array" ref="G527">IF(OR($D527="",$D527="NO ENCONTRADO"),"",_xlfn.XLOOKUP($D527,Productos!$E:$E,Productos!$J:$J,""))</f>
        <v/>
      </c>
      <c r="H527" s="74">
        <f t="array" ref="H527">IF(OR($D527="",$D527="NO ENCONTRADO"),"",_xlfn.XLOOKUP($D527,Productos!$E:$E,Productos!$K:$K,""))</f>
        <v/>
      </c>
      <c r="I527" s="74">
        <f t="array" ref="I527">IF(OR($D527="",$D527="NO ENCONTRADO"),"",_xlfn.XLOOKUP($D527,Productos!$E:$E,Productos!$F:$F,""))</f>
        <v/>
      </c>
      <c r="J527" s="74">
        <f>IF($C527="","",IF($D527="NO ENCONTRADO",IF(COUNTIF($C$7:$C$1000,$C527)&gt;1,"⚠️ No encontrado | Duplicado","⚠️ No encontrado"),IF(COUNTIF($C$7:$C$1000,$C527)&gt;1,"⚠️ Duplicado","Verificado")))</f>
        <v/>
      </c>
    </row>
    <row r="528" ht="15.75" customHeight="1" s="176">
      <c r="B528" s="80" t="n"/>
      <c r="C528" s="74" t="n"/>
      <c r="D528" s="74">
        <f t="array" ref="D528">IF($C528="","",IFNA(_xlfn.XLOOKUP($C528,Productos!$A:$A,Productos!$E:$E,IFNA(_xlfn.XLOOKUP(TEXT($C528,"0"),Productos!$A:$A,Productos!$E:$E,IFNA(_xlfn.XLOOKUP(IFERROR(VALUE($C528),""),Productos!$A:$A,Productos!$E:$E,_xlfn.XLOOKUP($C528,Productos!$E:$E,Productos!$E:$E,"NO ENCONTRADO")),"NO ENCONTRADO")),"NO ENCONTRADO")),"NO ENCONTRADO"))</f>
        <v/>
      </c>
      <c r="E528" s="74">
        <f t="array" ref="E528">IF(OR($D528="",$D528="NO ENCONTRADO"),"",_xlfn.XLOOKUP($D528,Productos!$E:$E,Productos!$H:$H,""))</f>
        <v/>
      </c>
      <c r="F528" s="74">
        <f t="array" ref="F528">IF(OR($D528="",$D528="NO ENCONTRADO"),"",_xlfn.XLOOKUP($D528,Productos!$E:$E,Productos!$I:$I,""))</f>
        <v/>
      </c>
      <c r="G528" s="74">
        <f t="array" ref="G528">IF(OR($D528="",$D528="NO ENCONTRADO"),"",_xlfn.XLOOKUP($D528,Productos!$E:$E,Productos!$J:$J,""))</f>
        <v/>
      </c>
      <c r="H528" s="74">
        <f t="array" ref="H528">IF(OR($D528="",$D528="NO ENCONTRADO"),"",_xlfn.XLOOKUP($D528,Productos!$E:$E,Productos!$K:$K,""))</f>
        <v/>
      </c>
      <c r="I528" s="74">
        <f t="array" ref="I528">IF(OR($D528="",$D528="NO ENCONTRADO"),"",_xlfn.XLOOKUP($D528,Productos!$E:$E,Productos!$F:$F,""))</f>
        <v/>
      </c>
      <c r="J528" s="74">
        <f>IF($C528="","",IF($D528="NO ENCONTRADO",IF(COUNTIF($C$7:$C$1000,$C528)&gt;1,"⚠️ No encontrado | Duplicado","⚠️ No encontrado"),IF(COUNTIF($C$7:$C$1000,$C528)&gt;1,"⚠️ Duplicado","Verificado")))</f>
        <v/>
      </c>
    </row>
    <row r="529" ht="15.75" customHeight="1" s="176">
      <c r="B529" s="80" t="n"/>
      <c r="C529" s="74" t="n"/>
      <c r="D529" s="74">
        <f t="array" ref="D529">IF($C529="","",IFNA(_xlfn.XLOOKUP($C529,Productos!$A:$A,Productos!$E:$E,IFNA(_xlfn.XLOOKUP(TEXT($C529,"0"),Productos!$A:$A,Productos!$E:$E,IFNA(_xlfn.XLOOKUP(IFERROR(VALUE($C529),""),Productos!$A:$A,Productos!$E:$E,_xlfn.XLOOKUP($C529,Productos!$E:$E,Productos!$E:$E,"NO ENCONTRADO")),"NO ENCONTRADO")),"NO ENCONTRADO")),"NO ENCONTRADO"))</f>
        <v/>
      </c>
      <c r="E529" s="74">
        <f t="array" ref="E529">IF(OR($D529="",$D529="NO ENCONTRADO"),"",_xlfn.XLOOKUP($D529,Productos!$E:$E,Productos!$H:$H,""))</f>
        <v/>
      </c>
      <c r="F529" s="74">
        <f t="array" ref="F529">IF(OR($D529="",$D529="NO ENCONTRADO"),"",_xlfn.XLOOKUP($D529,Productos!$E:$E,Productos!$I:$I,""))</f>
        <v/>
      </c>
      <c r="G529" s="74">
        <f t="array" ref="G529">IF(OR($D529="",$D529="NO ENCONTRADO"),"",_xlfn.XLOOKUP($D529,Productos!$E:$E,Productos!$J:$J,""))</f>
        <v/>
      </c>
      <c r="H529" s="74">
        <f t="array" ref="H529">IF(OR($D529="",$D529="NO ENCONTRADO"),"",_xlfn.XLOOKUP($D529,Productos!$E:$E,Productos!$K:$K,""))</f>
        <v/>
      </c>
      <c r="I529" s="74">
        <f t="array" ref="I529">IF(OR($D529="",$D529="NO ENCONTRADO"),"",_xlfn.XLOOKUP($D529,Productos!$E:$E,Productos!$F:$F,""))</f>
        <v/>
      </c>
      <c r="J529" s="74">
        <f>IF($C529="","",IF($D529="NO ENCONTRADO",IF(COUNTIF($C$7:$C$1000,$C529)&gt;1,"⚠️ No encontrado | Duplicado","⚠️ No encontrado"),IF(COUNTIF($C$7:$C$1000,$C529)&gt;1,"⚠️ Duplicado","Verificado")))</f>
        <v/>
      </c>
    </row>
    <row r="530" ht="15.75" customHeight="1" s="176">
      <c r="B530" s="80" t="n"/>
      <c r="C530" s="74" t="n"/>
      <c r="D530" s="74">
        <f t="array" ref="D530">IF($C530="","",IFNA(_xlfn.XLOOKUP($C530,Productos!$A:$A,Productos!$E:$E,IFNA(_xlfn.XLOOKUP(TEXT($C530,"0"),Productos!$A:$A,Productos!$E:$E,IFNA(_xlfn.XLOOKUP(IFERROR(VALUE($C530),""),Productos!$A:$A,Productos!$E:$E,_xlfn.XLOOKUP($C530,Productos!$E:$E,Productos!$E:$E,"NO ENCONTRADO")),"NO ENCONTRADO")),"NO ENCONTRADO")),"NO ENCONTRADO"))</f>
        <v/>
      </c>
      <c r="E530" s="74">
        <f t="array" ref="E530">IF(OR($D530="",$D530="NO ENCONTRADO"),"",_xlfn.XLOOKUP($D530,Productos!$E:$E,Productos!$H:$H,""))</f>
        <v/>
      </c>
      <c r="F530" s="74">
        <f t="array" ref="F530">IF(OR($D530="",$D530="NO ENCONTRADO"),"",_xlfn.XLOOKUP($D530,Productos!$E:$E,Productos!$I:$I,""))</f>
        <v/>
      </c>
      <c r="G530" s="74">
        <f t="array" ref="G530">IF(OR($D530="",$D530="NO ENCONTRADO"),"",_xlfn.XLOOKUP($D530,Productos!$E:$E,Productos!$J:$J,""))</f>
        <v/>
      </c>
      <c r="H530" s="74">
        <f t="array" ref="H530">IF(OR($D530="",$D530="NO ENCONTRADO"),"",_xlfn.XLOOKUP($D530,Productos!$E:$E,Productos!$K:$K,""))</f>
        <v/>
      </c>
      <c r="I530" s="74">
        <f t="array" ref="I530">IF(OR($D530="",$D530="NO ENCONTRADO"),"",_xlfn.XLOOKUP($D530,Productos!$E:$E,Productos!$F:$F,""))</f>
        <v/>
      </c>
      <c r="J530" s="74">
        <f>IF($C530="","",IF($D530="NO ENCONTRADO",IF(COUNTIF($C$7:$C$1000,$C530)&gt;1,"⚠️ No encontrado | Duplicado","⚠️ No encontrado"),IF(COUNTIF($C$7:$C$1000,$C530)&gt;1,"⚠️ Duplicado","Verificado")))</f>
        <v/>
      </c>
    </row>
    <row r="531" ht="15.75" customHeight="1" s="176">
      <c r="B531" s="80" t="n"/>
      <c r="C531" s="74" t="n"/>
      <c r="D531" s="74">
        <f t="array" ref="D531">IF($C531="","",IFNA(_xlfn.XLOOKUP($C531,Productos!$A:$A,Productos!$E:$E,IFNA(_xlfn.XLOOKUP(TEXT($C531,"0"),Productos!$A:$A,Productos!$E:$E,IFNA(_xlfn.XLOOKUP(IFERROR(VALUE($C531),""),Productos!$A:$A,Productos!$E:$E,_xlfn.XLOOKUP($C531,Productos!$E:$E,Productos!$E:$E,"NO ENCONTRADO")),"NO ENCONTRADO")),"NO ENCONTRADO")),"NO ENCONTRADO"))</f>
        <v/>
      </c>
      <c r="E531" s="74">
        <f t="array" ref="E531">IF(OR($D531="",$D531="NO ENCONTRADO"),"",_xlfn.XLOOKUP($D531,Productos!$E:$E,Productos!$H:$H,""))</f>
        <v/>
      </c>
      <c r="F531" s="74">
        <f t="array" ref="F531">IF(OR($D531="",$D531="NO ENCONTRADO"),"",_xlfn.XLOOKUP($D531,Productos!$E:$E,Productos!$I:$I,""))</f>
        <v/>
      </c>
      <c r="G531" s="74">
        <f t="array" ref="G531">IF(OR($D531="",$D531="NO ENCONTRADO"),"",_xlfn.XLOOKUP($D531,Productos!$E:$E,Productos!$J:$J,""))</f>
        <v/>
      </c>
      <c r="H531" s="74">
        <f t="array" ref="H531">IF(OR($D531="",$D531="NO ENCONTRADO"),"",_xlfn.XLOOKUP($D531,Productos!$E:$E,Productos!$K:$K,""))</f>
        <v/>
      </c>
      <c r="I531" s="74">
        <f t="array" ref="I531">IF(OR($D531="",$D531="NO ENCONTRADO"),"",_xlfn.XLOOKUP($D531,Productos!$E:$E,Productos!$F:$F,""))</f>
        <v/>
      </c>
      <c r="J531" s="74">
        <f>IF($C531="","",IF($D531="NO ENCONTRADO",IF(COUNTIF($C$7:$C$1000,$C531)&gt;1,"⚠️ No encontrado | Duplicado","⚠️ No encontrado"),IF(COUNTIF($C$7:$C$1000,$C531)&gt;1,"⚠️ Duplicado","Verificado")))</f>
        <v/>
      </c>
    </row>
    <row r="532" ht="15.75" customHeight="1" s="176">
      <c r="B532" s="80" t="n"/>
      <c r="C532" s="74" t="n"/>
      <c r="D532" s="74">
        <f t="array" ref="D532">IF($C532="","",IFNA(_xlfn.XLOOKUP($C532,Productos!$A:$A,Productos!$E:$E,IFNA(_xlfn.XLOOKUP(TEXT($C532,"0"),Productos!$A:$A,Productos!$E:$E,IFNA(_xlfn.XLOOKUP(IFERROR(VALUE($C532),""),Productos!$A:$A,Productos!$E:$E,_xlfn.XLOOKUP($C532,Productos!$E:$E,Productos!$E:$E,"NO ENCONTRADO")),"NO ENCONTRADO")),"NO ENCONTRADO")),"NO ENCONTRADO"))</f>
        <v/>
      </c>
      <c r="E532" s="74">
        <f t="array" ref="E532">IF(OR($D532="",$D532="NO ENCONTRADO"),"",_xlfn.XLOOKUP($D532,Productos!$E:$E,Productos!$H:$H,""))</f>
        <v/>
      </c>
      <c r="F532" s="74">
        <f t="array" ref="F532">IF(OR($D532="",$D532="NO ENCONTRADO"),"",_xlfn.XLOOKUP($D532,Productos!$E:$E,Productos!$I:$I,""))</f>
        <v/>
      </c>
      <c r="G532" s="74">
        <f t="array" ref="G532">IF(OR($D532="",$D532="NO ENCONTRADO"),"",_xlfn.XLOOKUP($D532,Productos!$E:$E,Productos!$J:$J,""))</f>
        <v/>
      </c>
      <c r="H532" s="74">
        <f t="array" ref="H532">IF(OR($D532="",$D532="NO ENCONTRADO"),"",_xlfn.XLOOKUP($D532,Productos!$E:$E,Productos!$K:$K,""))</f>
        <v/>
      </c>
      <c r="I532" s="74">
        <f t="array" ref="I532">IF(OR($D532="",$D532="NO ENCONTRADO"),"",_xlfn.XLOOKUP($D532,Productos!$E:$E,Productos!$F:$F,""))</f>
        <v/>
      </c>
      <c r="J532" s="74">
        <f>IF($C532="","",IF($D532="NO ENCONTRADO",IF(COUNTIF($C$7:$C$1000,$C532)&gt;1,"⚠️ No encontrado | Duplicado","⚠️ No encontrado"),IF(COUNTIF($C$7:$C$1000,$C532)&gt;1,"⚠️ Duplicado","Verificado")))</f>
        <v/>
      </c>
    </row>
    <row r="533" ht="15.75" customHeight="1" s="176">
      <c r="B533" s="80" t="n"/>
      <c r="C533" s="74" t="n"/>
      <c r="D533" s="74">
        <f t="array" ref="D533">IF($C533="","",IFNA(_xlfn.XLOOKUP($C533,Productos!$A:$A,Productos!$E:$E,IFNA(_xlfn.XLOOKUP(TEXT($C533,"0"),Productos!$A:$A,Productos!$E:$E,IFNA(_xlfn.XLOOKUP(IFERROR(VALUE($C533),""),Productos!$A:$A,Productos!$E:$E,_xlfn.XLOOKUP($C533,Productos!$E:$E,Productos!$E:$E,"NO ENCONTRADO")),"NO ENCONTRADO")),"NO ENCONTRADO")),"NO ENCONTRADO"))</f>
        <v/>
      </c>
      <c r="E533" s="74">
        <f t="array" ref="E533">IF(OR($D533="",$D533="NO ENCONTRADO"),"",_xlfn.XLOOKUP($D533,Productos!$E:$E,Productos!$H:$H,""))</f>
        <v/>
      </c>
      <c r="F533" s="74">
        <f t="array" ref="F533">IF(OR($D533="",$D533="NO ENCONTRADO"),"",_xlfn.XLOOKUP($D533,Productos!$E:$E,Productos!$I:$I,""))</f>
        <v/>
      </c>
      <c r="G533" s="74">
        <f t="array" ref="G533">IF(OR($D533="",$D533="NO ENCONTRADO"),"",_xlfn.XLOOKUP($D533,Productos!$E:$E,Productos!$J:$J,""))</f>
        <v/>
      </c>
      <c r="H533" s="74">
        <f t="array" ref="H533">IF(OR($D533="",$D533="NO ENCONTRADO"),"",_xlfn.XLOOKUP($D533,Productos!$E:$E,Productos!$K:$K,""))</f>
        <v/>
      </c>
      <c r="I533" s="74">
        <f t="array" ref="I533">IF(OR($D533="",$D533="NO ENCONTRADO"),"",_xlfn.XLOOKUP($D533,Productos!$E:$E,Productos!$F:$F,""))</f>
        <v/>
      </c>
      <c r="J533" s="74">
        <f>IF($C533="","",IF($D533="NO ENCONTRADO",IF(COUNTIF($C$7:$C$1000,$C533)&gt;1,"⚠️ No encontrado | Duplicado","⚠️ No encontrado"),IF(COUNTIF($C$7:$C$1000,$C533)&gt;1,"⚠️ Duplicado","Verificado")))</f>
        <v/>
      </c>
    </row>
    <row r="534" ht="15.75" customHeight="1" s="176">
      <c r="B534" s="80" t="n"/>
      <c r="C534" s="74" t="n"/>
      <c r="D534" s="74">
        <f t="array" ref="D534">IF($C534="","",IFNA(_xlfn.XLOOKUP($C534,Productos!$A:$A,Productos!$E:$E,IFNA(_xlfn.XLOOKUP(TEXT($C534,"0"),Productos!$A:$A,Productos!$E:$E,IFNA(_xlfn.XLOOKUP(IFERROR(VALUE($C534),""),Productos!$A:$A,Productos!$E:$E,_xlfn.XLOOKUP($C534,Productos!$E:$E,Productos!$E:$E,"NO ENCONTRADO")),"NO ENCONTRADO")),"NO ENCONTRADO")),"NO ENCONTRADO"))</f>
        <v/>
      </c>
      <c r="E534" s="74">
        <f t="array" ref="E534">IF(OR($D534="",$D534="NO ENCONTRADO"),"",_xlfn.XLOOKUP($D534,Productos!$E:$E,Productos!$H:$H,""))</f>
        <v/>
      </c>
      <c r="F534" s="74">
        <f t="array" ref="F534">IF(OR($D534="",$D534="NO ENCONTRADO"),"",_xlfn.XLOOKUP($D534,Productos!$E:$E,Productos!$I:$I,""))</f>
        <v/>
      </c>
      <c r="G534" s="74">
        <f t="array" ref="G534">IF(OR($D534="",$D534="NO ENCONTRADO"),"",_xlfn.XLOOKUP($D534,Productos!$E:$E,Productos!$J:$J,""))</f>
        <v/>
      </c>
      <c r="H534" s="74">
        <f t="array" ref="H534">IF(OR($D534="",$D534="NO ENCONTRADO"),"",_xlfn.XLOOKUP($D534,Productos!$E:$E,Productos!$K:$K,""))</f>
        <v/>
      </c>
      <c r="I534" s="74">
        <f t="array" ref="I534">IF(OR($D534="",$D534="NO ENCONTRADO"),"",_xlfn.XLOOKUP($D534,Productos!$E:$E,Productos!$F:$F,""))</f>
        <v/>
      </c>
      <c r="J534" s="74">
        <f>IF($C534="","",IF($D534="NO ENCONTRADO",IF(COUNTIF($C$7:$C$1000,$C534)&gt;1,"⚠️ No encontrado | Duplicado","⚠️ No encontrado"),IF(COUNTIF($C$7:$C$1000,$C534)&gt;1,"⚠️ Duplicado","Verificado")))</f>
        <v/>
      </c>
    </row>
    <row r="535" ht="15.75" customHeight="1" s="176">
      <c r="B535" s="80" t="n"/>
      <c r="C535" s="74" t="n"/>
      <c r="D535" s="74">
        <f t="array" ref="D535">IF($C535="","",IFNA(_xlfn.XLOOKUP($C535,Productos!$A:$A,Productos!$E:$E,IFNA(_xlfn.XLOOKUP(TEXT($C535,"0"),Productos!$A:$A,Productos!$E:$E,IFNA(_xlfn.XLOOKUP(IFERROR(VALUE($C535),""),Productos!$A:$A,Productos!$E:$E,_xlfn.XLOOKUP($C535,Productos!$E:$E,Productos!$E:$E,"NO ENCONTRADO")),"NO ENCONTRADO")),"NO ENCONTRADO")),"NO ENCONTRADO"))</f>
        <v/>
      </c>
      <c r="E535" s="74">
        <f t="array" ref="E535">IF(OR($D535="",$D535="NO ENCONTRADO"),"",_xlfn.XLOOKUP($D535,Productos!$E:$E,Productos!$H:$H,""))</f>
        <v/>
      </c>
      <c r="F535" s="74">
        <f t="array" ref="F535">IF(OR($D535="",$D535="NO ENCONTRADO"),"",_xlfn.XLOOKUP($D535,Productos!$E:$E,Productos!$I:$I,""))</f>
        <v/>
      </c>
      <c r="G535" s="74">
        <f t="array" ref="G535">IF(OR($D535="",$D535="NO ENCONTRADO"),"",_xlfn.XLOOKUP($D535,Productos!$E:$E,Productos!$J:$J,""))</f>
        <v/>
      </c>
      <c r="H535" s="74">
        <f t="array" ref="H535">IF(OR($D535="",$D535="NO ENCONTRADO"),"",_xlfn.XLOOKUP($D535,Productos!$E:$E,Productos!$K:$K,""))</f>
        <v/>
      </c>
      <c r="I535" s="74">
        <f t="array" ref="I535">IF(OR($D535="",$D535="NO ENCONTRADO"),"",_xlfn.XLOOKUP($D535,Productos!$E:$E,Productos!$F:$F,""))</f>
        <v/>
      </c>
      <c r="J535" s="74">
        <f>IF($C535="","",IF($D535="NO ENCONTRADO",IF(COUNTIF($C$7:$C$1000,$C535)&gt;1,"⚠️ No encontrado | Duplicado","⚠️ No encontrado"),IF(COUNTIF($C$7:$C$1000,$C535)&gt;1,"⚠️ Duplicado","Verificado")))</f>
        <v/>
      </c>
    </row>
    <row r="536" ht="15.75" customHeight="1" s="176">
      <c r="B536" s="80" t="n"/>
      <c r="C536" s="74" t="n"/>
      <c r="D536" s="74">
        <f t="array" ref="D536">IF($C536="","",IFNA(_xlfn.XLOOKUP($C536,Productos!$A:$A,Productos!$E:$E,IFNA(_xlfn.XLOOKUP(TEXT($C536,"0"),Productos!$A:$A,Productos!$E:$E,IFNA(_xlfn.XLOOKUP(IFERROR(VALUE($C536),""),Productos!$A:$A,Productos!$E:$E,_xlfn.XLOOKUP($C536,Productos!$E:$E,Productos!$E:$E,"NO ENCONTRADO")),"NO ENCONTRADO")),"NO ENCONTRADO")),"NO ENCONTRADO"))</f>
        <v/>
      </c>
      <c r="E536" s="74">
        <f t="array" ref="E536">IF(OR($D536="",$D536="NO ENCONTRADO"),"",_xlfn.XLOOKUP($D536,Productos!$E:$E,Productos!$H:$H,""))</f>
        <v/>
      </c>
      <c r="F536" s="74">
        <f t="array" ref="F536">IF(OR($D536="",$D536="NO ENCONTRADO"),"",_xlfn.XLOOKUP($D536,Productos!$E:$E,Productos!$I:$I,""))</f>
        <v/>
      </c>
      <c r="G536" s="74">
        <f t="array" ref="G536">IF(OR($D536="",$D536="NO ENCONTRADO"),"",_xlfn.XLOOKUP($D536,Productos!$E:$E,Productos!$J:$J,""))</f>
        <v/>
      </c>
      <c r="H536" s="74">
        <f t="array" ref="H536">IF(OR($D536="",$D536="NO ENCONTRADO"),"",_xlfn.XLOOKUP($D536,Productos!$E:$E,Productos!$K:$K,""))</f>
        <v/>
      </c>
      <c r="I536" s="74">
        <f t="array" ref="I536">IF(OR($D536="",$D536="NO ENCONTRADO"),"",_xlfn.XLOOKUP($D536,Productos!$E:$E,Productos!$F:$F,""))</f>
        <v/>
      </c>
      <c r="J536" s="74">
        <f>IF($C536="","",IF($D536="NO ENCONTRADO",IF(COUNTIF($C$7:$C$1000,$C536)&gt;1,"⚠️ No encontrado | Duplicado","⚠️ No encontrado"),IF(COUNTIF($C$7:$C$1000,$C536)&gt;1,"⚠️ Duplicado","Verificado")))</f>
        <v/>
      </c>
    </row>
    <row r="537" ht="15.75" customHeight="1" s="176">
      <c r="B537" s="80" t="n"/>
      <c r="C537" s="74" t="n"/>
      <c r="D537" s="74">
        <f t="array" ref="D537">IF($C537="","",IFNA(_xlfn.XLOOKUP($C537,Productos!$A:$A,Productos!$E:$E,IFNA(_xlfn.XLOOKUP(TEXT($C537,"0"),Productos!$A:$A,Productos!$E:$E,IFNA(_xlfn.XLOOKUP(IFERROR(VALUE($C537),""),Productos!$A:$A,Productos!$E:$E,_xlfn.XLOOKUP($C537,Productos!$E:$E,Productos!$E:$E,"NO ENCONTRADO")),"NO ENCONTRADO")),"NO ENCONTRADO")),"NO ENCONTRADO"))</f>
        <v/>
      </c>
      <c r="E537" s="74">
        <f t="array" ref="E537">IF(OR($D537="",$D537="NO ENCONTRADO"),"",_xlfn.XLOOKUP($D537,Productos!$E:$E,Productos!$H:$H,""))</f>
        <v/>
      </c>
      <c r="F537" s="74">
        <f t="array" ref="F537">IF(OR($D537="",$D537="NO ENCONTRADO"),"",_xlfn.XLOOKUP($D537,Productos!$E:$E,Productos!$I:$I,""))</f>
        <v/>
      </c>
      <c r="G537" s="74">
        <f t="array" ref="G537">IF(OR($D537="",$D537="NO ENCONTRADO"),"",_xlfn.XLOOKUP($D537,Productos!$E:$E,Productos!$J:$J,""))</f>
        <v/>
      </c>
      <c r="H537" s="74">
        <f t="array" ref="H537">IF(OR($D537="",$D537="NO ENCONTRADO"),"",_xlfn.XLOOKUP($D537,Productos!$E:$E,Productos!$K:$K,""))</f>
        <v/>
      </c>
      <c r="I537" s="74">
        <f t="array" ref="I537">IF(OR($D537="",$D537="NO ENCONTRADO"),"",_xlfn.XLOOKUP($D537,Productos!$E:$E,Productos!$F:$F,""))</f>
        <v/>
      </c>
      <c r="J537" s="74">
        <f>IF($C537="","",IF($D537="NO ENCONTRADO",IF(COUNTIF($C$7:$C$1000,$C537)&gt;1,"⚠️ No encontrado | Duplicado","⚠️ No encontrado"),IF(COUNTIF($C$7:$C$1000,$C537)&gt;1,"⚠️ Duplicado","Verificado")))</f>
        <v/>
      </c>
    </row>
    <row r="538" ht="15.75" customHeight="1" s="176">
      <c r="B538" s="80" t="n"/>
      <c r="C538" s="74" t="n"/>
      <c r="D538" s="74">
        <f t="array" ref="D538">IF($C538="","",IFNA(_xlfn.XLOOKUP($C538,Productos!$A:$A,Productos!$E:$E,IFNA(_xlfn.XLOOKUP(TEXT($C538,"0"),Productos!$A:$A,Productos!$E:$E,IFNA(_xlfn.XLOOKUP(IFERROR(VALUE($C538),""),Productos!$A:$A,Productos!$E:$E,_xlfn.XLOOKUP($C538,Productos!$E:$E,Productos!$E:$E,"NO ENCONTRADO")),"NO ENCONTRADO")),"NO ENCONTRADO")),"NO ENCONTRADO"))</f>
        <v/>
      </c>
      <c r="E538" s="74">
        <f t="array" ref="E538">IF(OR($D538="",$D538="NO ENCONTRADO"),"",_xlfn.XLOOKUP($D538,Productos!$E:$E,Productos!$H:$H,""))</f>
        <v/>
      </c>
      <c r="F538" s="74">
        <f t="array" ref="F538">IF(OR($D538="",$D538="NO ENCONTRADO"),"",_xlfn.XLOOKUP($D538,Productos!$E:$E,Productos!$I:$I,""))</f>
        <v/>
      </c>
      <c r="G538" s="74">
        <f t="array" ref="G538">IF(OR($D538="",$D538="NO ENCONTRADO"),"",_xlfn.XLOOKUP($D538,Productos!$E:$E,Productos!$J:$J,""))</f>
        <v/>
      </c>
      <c r="H538" s="74">
        <f t="array" ref="H538">IF(OR($D538="",$D538="NO ENCONTRADO"),"",_xlfn.XLOOKUP($D538,Productos!$E:$E,Productos!$K:$K,""))</f>
        <v/>
      </c>
      <c r="I538" s="74">
        <f t="array" ref="I538">IF(OR($D538="",$D538="NO ENCONTRADO"),"",_xlfn.XLOOKUP($D538,Productos!$E:$E,Productos!$F:$F,""))</f>
        <v/>
      </c>
      <c r="J538" s="74">
        <f>IF($C538="","",IF($D538="NO ENCONTRADO",IF(COUNTIF($C$7:$C$1000,$C538)&gt;1,"⚠️ No encontrado | Duplicado","⚠️ No encontrado"),IF(COUNTIF($C$7:$C$1000,$C538)&gt;1,"⚠️ Duplicado","Verificado")))</f>
        <v/>
      </c>
    </row>
    <row r="539" ht="15.75" customHeight="1" s="176">
      <c r="B539" s="80" t="n"/>
      <c r="C539" s="74" t="n"/>
      <c r="D539" s="74">
        <f t="array" ref="D539">IF($C539="","",IFNA(_xlfn.XLOOKUP($C539,Productos!$A:$A,Productos!$E:$E,IFNA(_xlfn.XLOOKUP(TEXT($C539,"0"),Productos!$A:$A,Productos!$E:$E,IFNA(_xlfn.XLOOKUP(IFERROR(VALUE($C539),""),Productos!$A:$A,Productos!$E:$E,_xlfn.XLOOKUP($C539,Productos!$E:$E,Productos!$E:$E,"NO ENCONTRADO")),"NO ENCONTRADO")),"NO ENCONTRADO")),"NO ENCONTRADO"))</f>
        <v/>
      </c>
      <c r="E539" s="74">
        <f t="array" ref="E539">IF(OR($D539="",$D539="NO ENCONTRADO"),"",_xlfn.XLOOKUP($D539,Productos!$E:$E,Productos!$H:$H,""))</f>
        <v/>
      </c>
      <c r="F539" s="74">
        <f t="array" ref="F539">IF(OR($D539="",$D539="NO ENCONTRADO"),"",_xlfn.XLOOKUP($D539,Productos!$E:$E,Productos!$I:$I,""))</f>
        <v/>
      </c>
      <c r="G539" s="74">
        <f t="array" ref="G539">IF(OR($D539="",$D539="NO ENCONTRADO"),"",_xlfn.XLOOKUP($D539,Productos!$E:$E,Productos!$J:$J,""))</f>
        <v/>
      </c>
      <c r="H539" s="74">
        <f t="array" ref="H539">IF(OR($D539="",$D539="NO ENCONTRADO"),"",_xlfn.XLOOKUP($D539,Productos!$E:$E,Productos!$K:$K,""))</f>
        <v/>
      </c>
      <c r="I539" s="74">
        <f t="array" ref="I539">IF(OR($D539="",$D539="NO ENCONTRADO"),"",_xlfn.XLOOKUP($D539,Productos!$E:$E,Productos!$F:$F,""))</f>
        <v/>
      </c>
      <c r="J539" s="74">
        <f>IF($C539="","",IF($D539="NO ENCONTRADO",IF(COUNTIF($C$7:$C$1000,$C539)&gt;1,"⚠️ No encontrado | Duplicado","⚠️ No encontrado"),IF(COUNTIF($C$7:$C$1000,$C539)&gt;1,"⚠️ Duplicado","Verificado")))</f>
        <v/>
      </c>
    </row>
    <row r="540" ht="15.75" customHeight="1" s="176">
      <c r="B540" s="80" t="n"/>
      <c r="C540" s="74" t="n"/>
      <c r="D540" s="74">
        <f t="array" ref="D540">IF($C540="","",IFNA(_xlfn.XLOOKUP($C540,Productos!$A:$A,Productos!$E:$E,IFNA(_xlfn.XLOOKUP(TEXT($C540,"0"),Productos!$A:$A,Productos!$E:$E,IFNA(_xlfn.XLOOKUP(IFERROR(VALUE($C540),""),Productos!$A:$A,Productos!$E:$E,_xlfn.XLOOKUP($C540,Productos!$E:$E,Productos!$E:$E,"NO ENCONTRADO")),"NO ENCONTRADO")),"NO ENCONTRADO")),"NO ENCONTRADO"))</f>
        <v/>
      </c>
      <c r="E540" s="74">
        <f t="array" ref="E540">IF(OR($D540="",$D540="NO ENCONTRADO"),"",_xlfn.XLOOKUP($D540,Productos!$E:$E,Productos!$H:$H,""))</f>
        <v/>
      </c>
      <c r="F540" s="74">
        <f t="array" ref="F540">IF(OR($D540="",$D540="NO ENCONTRADO"),"",_xlfn.XLOOKUP($D540,Productos!$E:$E,Productos!$I:$I,""))</f>
        <v/>
      </c>
      <c r="G540" s="74">
        <f t="array" ref="G540">IF(OR($D540="",$D540="NO ENCONTRADO"),"",_xlfn.XLOOKUP($D540,Productos!$E:$E,Productos!$J:$J,""))</f>
        <v/>
      </c>
      <c r="H540" s="74">
        <f t="array" ref="H540">IF(OR($D540="",$D540="NO ENCONTRADO"),"",_xlfn.XLOOKUP($D540,Productos!$E:$E,Productos!$K:$K,""))</f>
        <v/>
      </c>
      <c r="I540" s="74">
        <f t="array" ref="I540">IF(OR($D540="",$D540="NO ENCONTRADO"),"",_xlfn.XLOOKUP($D540,Productos!$E:$E,Productos!$F:$F,""))</f>
        <v/>
      </c>
      <c r="J540" s="74">
        <f>IF($C540="","",IF($D540="NO ENCONTRADO",IF(COUNTIF($C$7:$C$1000,$C540)&gt;1,"⚠️ No encontrado | Duplicado","⚠️ No encontrado"),IF(COUNTIF($C$7:$C$1000,$C540)&gt;1,"⚠️ Duplicado","Verificado")))</f>
        <v/>
      </c>
    </row>
    <row r="541" ht="15.75" customHeight="1" s="176">
      <c r="B541" s="80" t="n"/>
      <c r="C541" s="74" t="n"/>
      <c r="D541" s="74">
        <f t="array" ref="D541">IF($C541="","",IFNA(_xlfn.XLOOKUP($C541,Productos!$A:$A,Productos!$E:$E,IFNA(_xlfn.XLOOKUP(TEXT($C541,"0"),Productos!$A:$A,Productos!$E:$E,IFNA(_xlfn.XLOOKUP(IFERROR(VALUE($C541),""),Productos!$A:$A,Productos!$E:$E,_xlfn.XLOOKUP($C541,Productos!$E:$E,Productos!$E:$E,"NO ENCONTRADO")),"NO ENCONTRADO")),"NO ENCONTRADO")),"NO ENCONTRADO"))</f>
        <v/>
      </c>
      <c r="E541" s="74">
        <f t="array" ref="E541">IF(OR($D541="",$D541="NO ENCONTRADO"),"",_xlfn.XLOOKUP($D541,Productos!$E:$E,Productos!$H:$H,""))</f>
        <v/>
      </c>
      <c r="F541" s="74">
        <f t="array" ref="F541">IF(OR($D541="",$D541="NO ENCONTRADO"),"",_xlfn.XLOOKUP($D541,Productos!$E:$E,Productos!$I:$I,""))</f>
        <v/>
      </c>
      <c r="G541" s="74">
        <f t="array" ref="G541">IF(OR($D541="",$D541="NO ENCONTRADO"),"",_xlfn.XLOOKUP($D541,Productos!$E:$E,Productos!$J:$J,""))</f>
        <v/>
      </c>
      <c r="H541" s="74">
        <f t="array" ref="H541">IF(OR($D541="",$D541="NO ENCONTRADO"),"",_xlfn.XLOOKUP($D541,Productos!$E:$E,Productos!$K:$K,""))</f>
        <v/>
      </c>
      <c r="I541" s="74">
        <f t="array" ref="I541">IF(OR($D541="",$D541="NO ENCONTRADO"),"",_xlfn.XLOOKUP($D541,Productos!$E:$E,Productos!$F:$F,""))</f>
        <v/>
      </c>
      <c r="J541" s="74">
        <f>IF($C541="","",IF($D541="NO ENCONTRADO",IF(COUNTIF($C$7:$C$1000,$C541)&gt;1,"⚠️ No encontrado | Duplicado","⚠️ No encontrado"),IF(COUNTIF($C$7:$C$1000,$C541)&gt;1,"⚠️ Duplicado","Verificado")))</f>
        <v/>
      </c>
    </row>
    <row r="542" ht="15.75" customHeight="1" s="176">
      <c r="B542" s="80" t="n"/>
      <c r="C542" s="74" t="n"/>
      <c r="D542" s="74">
        <f t="array" ref="D542">IF($C542="","",IFNA(_xlfn.XLOOKUP($C542,Productos!$A:$A,Productos!$E:$E,IFNA(_xlfn.XLOOKUP(TEXT($C542,"0"),Productos!$A:$A,Productos!$E:$E,IFNA(_xlfn.XLOOKUP(IFERROR(VALUE($C542),""),Productos!$A:$A,Productos!$E:$E,_xlfn.XLOOKUP($C542,Productos!$E:$E,Productos!$E:$E,"NO ENCONTRADO")),"NO ENCONTRADO")),"NO ENCONTRADO")),"NO ENCONTRADO"))</f>
        <v/>
      </c>
      <c r="E542" s="74">
        <f t="array" ref="E542">IF(OR($D542="",$D542="NO ENCONTRADO"),"",_xlfn.XLOOKUP($D542,Productos!$E:$E,Productos!$H:$H,""))</f>
        <v/>
      </c>
      <c r="F542" s="74">
        <f t="array" ref="F542">IF(OR($D542="",$D542="NO ENCONTRADO"),"",_xlfn.XLOOKUP($D542,Productos!$E:$E,Productos!$I:$I,""))</f>
        <v/>
      </c>
      <c r="G542" s="74">
        <f t="array" ref="G542">IF(OR($D542="",$D542="NO ENCONTRADO"),"",_xlfn.XLOOKUP($D542,Productos!$E:$E,Productos!$J:$J,""))</f>
        <v/>
      </c>
      <c r="H542" s="74">
        <f t="array" ref="H542">IF(OR($D542="",$D542="NO ENCONTRADO"),"",_xlfn.XLOOKUP($D542,Productos!$E:$E,Productos!$K:$K,""))</f>
        <v/>
      </c>
      <c r="I542" s="74">
        <f t="array" ref="I542">IF(OR($D542="",$D542="NO ENCONTRADO"),"",_xlfn.XLOOKUP($D542,Productos!$E:$E,Productos!$F:$F,""))</f>
        <v/>
      </c>
      <c r="J542" s="74">
        <f>IF($C542="","",IF($D542="NO ENCONTRADO",IF(COUNTIF($C$7:$C$1000,$C542)&gt;1,"⚠️ No encontrado | Duplicado","⚠️ No encontrado"),IF(COUNTIF($C$7:$C$1000,$C542)&gt;1,"⚠️ Duplicado","Verificado")))</f>
        <v/>
      </c>
    </row>
    <row r="543" ht="15.75" customHeight="1" s="176">
      <c r="B543" s="80" t="n"/>
      <c r="C543" s="74" t="n"/>
      <c r="D543" s="74">
        <f t="array" ref="D543">IF($C543="","",IFNA(_xlfn.XLOOKUP($C543,Productos!$A:$A,Productos!$E:$E,IFNA(_xlfn.XLOOKUP(TEXT($C543,"0"),Productos!$A:$A,Productos!$E:$E,IFNA(_xlfn.XLOOKUP(IFERROR(VALUE($C543),""),Productos!$A:$A,Productos!$E:$E,_xlfn.XLOOKUP($C543,Productos!$E:$E,Productos!$E:$E,"NO ENCONTRADO")),"NO ENCONTRADO")),"NO ENCONTRADO")),"NO ENCONTRADO"))</f>
        <v/>
      </c>
      <c r="E543" s="74">
        <f t="array" ref="E543">IF(OR($D543="",$D543="NO ENCONTRADO"),"",_xlfn.XLOOKUP($D543,Productos!$E:$E,Productos!$H:$H,""))</f>
        <v/>
      </c>
      <c r="F543" s="74">
        <f t="array" ref="F543">IF(OR($D543="",$D543="NO ENCONTRADO"),"",_xlfn.XLOOKUP($D543,Productos!$E:$E,Productos!$I:$I,""))</f>
        <v/>
      </c>
      <c r="G543" s="74">
        <f t="array" ref="G543">IF(OR($D543="",$D543="NO ENCONTRADO"),"",_xlfn.XLOOKUP($D543,Productos!$E:$E,Productos!$J:$J,""))</f>
        <v/>
      </c>
      <c r="H543" s="74">
        <f t="array" ref="H543">IF(OR($D543="",$D543="NO ENCONTRADO"),"",_xlfn.XLOOKUP($D543,Productos!$E:$E,Productos!$K:$K,""))</f>
        <v/>
      </c>
      <c r="I543" s="74">
        <f t="array" ref="I543">IF(OR($D543="",$D543="NO ENCONTRADO"),"",_xlfn.XLOOKUP($D543,Productos!$E:$E,Productos!$F:$F,""))</f>
        <v/>
      </c>
      <c r="J543" s="74">
        <f>IF($C543="","",IF($D543="NO ENCONTRADO",IF(COUNTIF($C$7:$C$1000,$C543)&gt;1,"⚠️ No encontrado | Duplicado","⚠️ No encontrado"),IF(COUNTIF($C$7:$C$1000,$C543)&gt;1,"⚠️ Duplicado","Verificado")))</f>
        <v/>
      </c>
    </row>
    <row r="544" ht="15.75" customHeight="1" s="176">
      <c r="B544" s="80" t="n"/>
      <c r="C544" s="74" t="n"/>
      <c r="D544" s="74">
        <f t="array" ref="D544">IF($C544="","",IFNA(_xlfn.XLOOKUP($C544,Productos!$A:$A,Productos!$E:$E,IFNA(_xlfn.XLOOKUP(TEXT($C544,"0"),Productos!$A:$A,Productos!$E:$E,IFNA(_xlfn.XLOOKUP(IFERROR(VALUE($C544),""),Productos!$A:$A,Productos!$E:$E,_xlfn.XLOOKUP($C544,Productos!$E:$E,Productos!$E:$E,"NO ENCONTRADO")),"NO ENCONTRADO")),"NO ENCONTRADO")),"NO ENCONTRADO"))</f>
        <v/>
      </c>
      <c r="E544" s="74">
        <f t="array" ref="E544">IF(OR($D544="",$D544="NO ENCONTRADO"),"",_xlfn.XLOOKUP($D544,Productos!$E:$E,Productos!$H:$H,""))</f>
        <v/>
      </c>
      <c r="F544" s="74">
        <f t="array" ref="F544">IF(OR($D544="",$D544="NO ENCONTRADO"),"",_xlfn.XLOOKUP($D544,Productos!$E:$E,Productos!$I:$I,""))</f>
        <v/>
      </c>
      <c r="G544" s="74">
        <f t="array" ref="G544">IF(OR($D544="",$D544="NO ENCONTRADO"),"",_xlfn.XLOOKUP($D544,Productos!$E:$E,Productos!$J:$J,""))</f>
        <v/>
      </c>
      <c r="H544" s="74">
        <f t="array" ref="H544">IF(OR($D544="",$D544="NO ENCONTRADO"),"",_xlfn.XLOOKUP($D544,Productos!$E:$E,Productos!$K:$K,""))</f>
        <v/>
      </c>
      <c r="I544" s="74">
        <f t="array" ref="I544">IF(OR($D544="",$D544="NO ENCONTRADO"),"",_xlfn.XLOOKUP($D544,Productos!$E:$E,Productos!$F:$F,""))</f>
        <v/>
      </c>
      <c r="J544" s="74">
        <f>IF($C544="","",IF($D544="NO ENCONTRADO",IF(COUNTIF($C$7:$C$1000,$C544)&gt;1,"⚠️ No encontrado | Duplicado","⚠️ No encontrado"),IF(COUNTIF($C$7:$C$1000,$C544)&gt;1,"⚠️ Duplicado","Verificado")))</f>
        <v/>
      </c>
    </row>
    <row r="545" ht="15.75" customHeight="1" s="176">
      <c r="B545" s="80" t="n"/>
      <c r="C545" s="74" t="n"/>
      <c r="D545" s="74">
        <f t="array" ref="D545">IF($C545="","",IFNA(_xlfn.XLOOKUP($C545,Productos!$A:$A,Productos!$E:$E,IFNA(_xlfn.XLOOKUP(TEXT($C545,"0"),Productos!$A:$A,Productos!$E:$E,IFNA(_xlfn.XLOOKUP(IFERROR(VALUE($C545),""),Productos!$A:$A,Productos!$E:$E,_xlfn.XLOOKUP($C545,Productos!$E:$E,Productos!$E:$E,"NO ENCONTRADO")),"NO ENCONTRADO")),"NO ENCONTRADO")),"NO ENCONTRADO"))</f>
        <v/>
      </c>
      <c r="E545" s="74">
        <f t="array" ref="E545">IF(OR($D545="",$D545="NO ENCONTRADO"),"",_xlfn.XLOOKUP($D545,Productos!$E:$E,Productos!$H:$H,""))</f>
        <v/>
      </c>
      <c r="F545" s="74">
        <f t="array" ref="F545">IF(OR($D545="",$D545="NO ENCONTRADO"),"",_xlfn.XLOOKUP($D545,Productos!$E:$E,Productos!$I:$I,""))</f>
        <v/>
      </c>
      <c r="G545" s="74">
        <f t="array" ref="G545">IF(OR($D545="",$D545="NO ENCONTRADO"),"",_xlfn.XLOOKUP($D545,Productos!$E:$E,Productos!$J:$J,""))</f>
        <v/>
      </c>
      <c r="H545" s="74">
        <f t="array" ref="H545">IF(OR($D545="",$D545="NO ENCONTRADO"),"",_xlfn.XLOOKUP($D545,Productos!$E:$E,Productos!$K:$K,""))</f>
        <v/>
      </c>
      <c r="I545" s="74">
        <f t="array" ref="I545">IF(OR($D545="",$D545="NO ENCONTRADO"),"",_xlfn.XLOOKUP($D545,Productos!$E:$E,Productos!$F:$F,""))</f>
        <v/>
      </c>
      <c r="J545" s="74">
        <f>IF($C545="","",IF($D545="NO ENCONTRADO",IF(COUNTIF($C$7:$C$1000,$C545)&gt;1,"⚠️ No encontrado | Duplicado","⚠️ No encontrado"),IF(COUNTIF($C$7:$C$1000,$C545)&gt;1,"⚠️ Duplicado","Verificado")))</f>
        <v/>
      </c>
    </row>
    <row r="546" ht="15.75" customHeight="1" s="176">
      <c r="B546" s="80" t="n"/>
      <c r="C546" s="74" t="n"/>
      <c r="D546" s="74">
        <f t="array" ref="D546">IF($C546="","",IFNA(_xlfn.XLOOKUP($C546,Productos!$A:$A,Productos!$E:$E,IFNA(_xlfn.XLOOKUP(TEXT($C546,"0"),Productos!$A:$A,Productos!$E:$E,IFNA(_xlfn.XLOOKUP(IFERROR(VALUE($C546),""),Productos!$A:$A,Productos!$E:$E,_xlfn.XLOOKUP($C546,Productos!$E:$E,Productos!$E:$E,"NO ENCONTRADO")),"NO ENCONTRADO")),"NO ENCONTRADO")),"NO ENCONTRADO"))</f>
        <v/>
      </c>
      <c r="E546" s="74">
        <f t="array" ref="E546">IF(OR($D546="",$D546="NO ENCONTRADO"),"",_xlfn.XLOOKUP($D546,Productos!$E:$E,Productos!$H:$H,""))</f>
        <v/>
      </c>
      <c r="F546" s="74">
        <f t="array" ref="F546">IF(OR($D546="",$D546="NO ENCONTRADO"),"",_xlfn.XLOOKUP($D546,Productos!$E:$E,Productos!$I:$I,""))</f>
        <v/>
      </c>
      <c r="G546" s="74">
        <f t="array" ref="G546">IF(OR($D546="",$D546="NO ENCONTRADO"),"",_xlfn.XLOOKUP($D546,Productos!$E:$E,Productos!$J:$J,""))</f>
        <v/>
      </c>
      <c r="H546" s="74">
        <f t="array" ref="H546">IF(OR($D546="",$D546="NO ENCONTRADO"),"",_xlfn.XLOOKUP($D546,Productos!$E:$E,Productos!$K:$K,""))</f>
        <v/>
      </c>
      <c r="I546" s="74">
        <f t="array" ref="I546">IF(OR($D546="",$D546="NO ENCONTRADO"),"",_xlfn.XLOOKUP($D546,Productos!$E:$E,Productos!$F:$F,""))</f>
        <v/>
      </c>
      <c r="J546" s="74">
        <f>IF($C546="","",IF($D546="NO ENCONTRADO",IF(COUNTIF($C$7:$C$1000,$C546)&gt;1,"⚠️ No encontrado | Duplicado","⚠️ No encontrado"),IF(COUNTIF($C$7:$C$1000,$C546)&gt;1,"⚠️ Duplicado","Verificado")))</f>
        <v/>
      </c>
    </row>
    <row r="547" ht="15.75" customHeight="1" s="176">
      <c r="B547" s="80" t="n"/>
      <c r="C547" s="74" t="n"/>
      <c r="D547" s="74">
        <f t="array" ref="D547">IF($C547="","",IFNA(_xlfn.XLOOKUP($C547,Productos!$A:$A,Productos!$E:$E,IFNA(_xlfn.XLOOKUP(TEXT($C547,"0"),Productos!$A:$A,Productos!$E:$E,IFNA(_xlfn.XLOOKUP(IFERROR(VALUE($C547),""),Productos!$A:$A,Productos!$E:$E,_xlfn.XLOOKUP($C547,Productos!$E:$E,Productos!$E:$E,"NO ENCONTRADO")),"NO ENCONTRADO")),"NO ENCONTRADO")),"NO ENCONTRADO"))</f>
        <v/>
      </c>
      <c r="E547" s="74">
        <f t="array" ref="E547">IF(OR($D547="",$D547="NO ENCONTRADO"),"",_xlfn.XLOOKUP($D547,Productos!$E:$E,Productos!$H:$H,""))</f>
        <v/>
      </c>
      <c r="F547" s="74">
        <f t="array" ref="F547">IF(OR($D547="",$D547="NO ENCONTRADO"),"",_xlfn.XLOOKUP($D547,Productos!$E:$E,Productos!$I:$I,""))</f>
        <v/>
      </c>
      <c r="G547" s="74">
        <f t="array" ref="G547">IF(OR($D547="",$D547="NO ENCONTRADO"),"",_xlfn.XLOOKUP($D547,Productos!$E:$E,Productos!$J:$J,""))</f>
        <v/>
      </c>
      <c r="H547" s="74">
        <f t="array" ref="H547">IF(OR($D547="",$D547="NO ENCONTRADO"),"",_xlfn.XLOOKUP($D547,Productos!$E:$E,Productos!$K:$K,""))</f>
        <v/>
      </c>
      <c r="I547" s="74">
        <f t="array" ref="I547">IF(OR($D547="",$D547="NO ENCONTRADO"),"",_xlfn.XLOOKUP($D547,Productos!$E:$E,Productos!$F:$F,""))</f>
        <v/>
      </c>
      <c r="J547" s="74">
        <f>IF($C547="","",IF($D547="NO ENCONTRADO",IF(COUNTIF($C$7:$C$1000,$C547)&gt;1,"⚠️ No encontrado | Duplicado","⚠️ No encontrado"),IF(COUNTIF($C$7:$C$1000,$C547)&gt;1,"⚠️ Duplicado","Verificado")))</f>
        <v/>
      </c>
    </row>
    <row r="548" ht="15.75" customHeight="1" s="176">
      <c r="B548" s="80" t="n"/>
      <c r="C548" s="74" t="n"/>
      <c r="D548" s="74">
        <f t="array" ref="D548">IF($C548="","",IFNA(_xlfn.XLOOKUP($C548,Productos!$A:$A,Productos!$E:$E,IFNA(_xlfn.XLOOKUP(TEXT($C548,"0"),Productos!$A:$A,Productos!$E:$E,IFNA(_xlfn.XLOOKUP(IFERROR(VALUE($C548),""),Productos!$A:$A,Productos!$E:$E,_xlfn.XLOOKUP($C548,Productos!$E:$E,Productos!$E:$E,"NO ENCONTRADO")),"NO ENCONTRADO")),"NO ENCONTRADO")),"NO ENCONTRADO"))</f>
        <v/>
      </c>
      <c r="E548" s="74">
        <f t="array" ref="E548">IF(OR($D548="",$D548="NO ENCONTRADO"),"",_xlfn.XLOOKUP($D548,Productos!$E:$E,Productos!$H:$H,""))</f>
        <v/>
      </c>
      <c r="F548" s="74">
        <f t="array" ref="F548">IF(OR($D548="",$D548="NO ENCONTRADO"),"",_xlfn.XLOOKUP($D548,Productos!$E:$E,Productos!$I:$I,""))</f>
        <v/>
      </c>
      <c r="G548" s="74">
        <f t="array" ref="G548">IF(OR($D548="",$D548="NO ENCONTRADO"),"",_xlfn.XLOOKUP($D548,Productos!$E:$E,Productos!$J:$J,""))</f>
        <v/>
      </c>
      <c r="H548" s="74">
        <f t="array" ref="H548">IF(OR($D548="",$D548="NO ENCONTRADO"),"",_xlfn.XLOOKUP($D548,Productos!$E:$E,Productos!$K:$K,""))</f>
        <v/>
      </c>
      <c r="I548" s="74">
        <f t="array" ref="I548">IF(OR($D548="",$D548="NO ENCONTRADO"),"",_xlfn.XLOOKUP($D548,Productos!$E:$E,Productos!$F:$F,""))</f>
        <v/>
      </c>
      <c r="J548" s="74">
        <f>IF($C548="","",IF($D548="NO ENCONTRADO",IF(COUNTIF($C$7:$C$1000,$C548)&gt;1,"⚠️ No encontrado | Duplicado","⚠️ No encontrado"),IF(COUNTIF($C$7:$C$1000,$C548)&gt;1,"⚠️ Duplicado","Verificado")))</f>
        <v/>
      </c>
    </row>
    <row r="549" ht="15.75" customHeight="1" s="176">
      <c r="B549" s="80" t="n"/>
      <c r="C549" s="74" t="n"/>
      <c r="D549" s="74">
        <f t="array" ref="D549">IF($C549="","",IFNA(_xlfn.XLOOKUP($C549,Productos!$A:$A,Productos!$E:$E,IFNA(_xlfn.XLOOKUP(TEXT($C549,"0"),Productos!$A:$A,Productos!$E:$E,IFNA(_xlfn.XLOOKUP(IFERROR(VALUE($C549),""),Productos!$A:$A,Productos!$E:$E,_xlfn.XLOOKUP($C549,Productos!$E:$E,Productos!$E:$E,"NO ENCONTRADO")),"NO ENCONTRADO")),"NO ENCONTRADO")),"NO ENCONTRADO"))</f>
        <v/>
      </c>
      <c r="E549" s="74">
        <f t="array" ref="E549">IF(OR($D549="",$D549="NO ENCONTRADO"),"",_xlfn.XLOOKUP($D549,Productos!$E:$E,Productos!$H:$H,""))</f>
        <v/>
      </c>
      <c r="F549" s="74">
        <f t="array" ref="F549">IF(OR($D549="",$D549="NO ENCONTRADO"),"",_xlfn.XLOOKUP($D549,Productos!$E:$E,Productos!$I:$I,""))</f>
        <v/>
      </c>
      <c r="G549" s="74">
        <f t="array" ref="G549">IF(OR($D549="",$D549="NO ENCONTRADO"),"",_xlfn.XLOOKUP($D549,Productos!$E:$E,Productos!$J:$J,""))</f>
        <v/>
      </c>
      <c r="H549" s="74">
        <f t="array" ref="H549">IF(OR($D549="",$D549="NO ENCONTRADO"),"",_xlfn.XLOOKUP($D549,Productos!$E:$E,Productos!$K:$K,""))</f>
        <v/>
      </c>
      <c r="I549" s="74">
        <f t="array" ref="I549">IF(OR($D549="",$D549="NO ENCONTRADO"),"",_xlfn.XLOOKUP($D549,Productos!$E:$E,Productos!$F:$F,""))</f>
        <v/>
      </c>
      <c r="J549" s="74">
        <f>IF($C549="","",IF($D549="NO ENCONTRADO",IF(COUNTIF($C$7:$C$1000,$C549)&gt;1,"⚠️ No encontrado | Duplicado","⚠️ No encontrado"),IF(COUNTIF($C$7:$C$1000,$C549)&gt;1,"⚠️ Duplicado","Verificado")))</f>
        <v/>
      </c>
    </row>
    <row r="550" ht="15.75" customHeight="1" s="176">
      <c r="B550" s="80" t="n"/>
      <c r="C550" s="74" t="n"/>
      <c r="D550" s="74">
        <f t="array" ref="D550">IF($C550="","",IFNA(_xlfn.XLOOKUP($C550,Productos!$A:$A,Productos!$E:$E,IFNA(_xlfn.XLOOKUP(TEXT($C550,"0"),Productos!$A:$A,Productos!$E:$E,IFNA(_xlfn.XLOOKUP(IFERROR(VALUE($C550),""),Productos!$A:$A,Productos!$E:$E,_xlfn.XLOOKUP($C550,Productos!$E:$E,Productos!$E:$E,"NO ENCONTRADO")),"NO ENCONTRADO")),"NO ENCONTRADO")),"NO ENCONTRADO"))</f>
        <v/>
      </c>
      <c r="E550" s="74">
        <f t="array" ref="E550">IF(OR($D550="",$D550="NO ENCONTRADO"),"",_xlfn.XLOOKUP($D550,Productos!$E:$E,Productos!$H:$H,""))</f>
        <v/>
      </c>
      <c r="F550" s="74">
        <f t="array" ref="F550">IF(OR($D550="",$D550="NO ENCONTRADO"),"",_xlfn.XLOOKUP($D550,Productos!$E:$E,Productos!$I:$I,""))</f>
        <v/>
      </c>
      <c r="G550" s="74">
        <f t="array" ref="G550">IF(OR($D550="",$D550="NO ENCONTRADO"),"",_xlfn.XLOOKUP($D550,Productos!$E:$E,Productos!$J:$J,""))</f>
        <v/>
      </c>
      <c r="H550" s="74">
        <f t="array" ref="H550">IF(OR($D550="",$D550="NO ENCONTRADO"),"",_xlfn.XLOOKUP($D550,Productos!$E:$E,Productos!$K:$K,""))</f>
        <v/>
      </c>
      <c r="I550" s="74">
        <f t="array" ref="I550">IF(OR($D550="",$D550="NO ENCONTRADO"),"",_xlfn.XLOOKUP($D550,Productos!$E:$E,Productos!$F:$F,""))</f>
        <v/>
      </c>
      <c r="J550" s="74">
        <f>IF($C550="","",IF($D550="NO ENCONTRADO",IF(COUNTIF($C$7:$C$1000,$C550)&gt;1,"⚠️ No encontrado | Duplicado","⚠️ No encontrado"),IF(COUNTIF($C$7:$C$1000,$C550)&gt;1,"⚠️ Duplicado","Verificado")))</f>
        <v/>
      </c>
    </row>
    <row r="551" ht="15.75" customHeight="1" s="176">
      <c r="B551" s="80" t="n"/>
      <c r="C551" s="74" t="n"/>
      <c r="D551" s="74">
        <f t="array" ref="D551">IF($C551="","",IFNA(_xlfn.XLOOKUP($C551,Productos!$A:$A,Productos!$E:$E,IFNA(_xlfn.XLOOKUP(TEXT($C551,"0"),Productos!$A:$A,Productos!$E:$E,IFNA(_xlfn.XLOOKUP(IFERROR(VALUE($C551),""),Productos!$A:$A,Productos!$E:$E,_xlfn.XLOOKUP($C551,Productos!$E:$E,Productos!$E:$E,"NO ENCONTRADO")),"NO ENCONTRADO")),"NO ENCONTRADO")),"NO ENCONTRADO"))</f>
        <v/>
      </c>
      <c r="E551" s="74">
        <f t="array" ref="E551">IF(OR($D551="",$D551="NO ENCONTRADO"),"",_xlfn.XLOOKUP($D551,Productos!$E:$E,Productos!$H:$H,""))</f>
        <v/>
      </c>
      <c r="F551" s="74">
        <f t="array" ref="F551">IF(OR($D551="",$D551="NO ENCONTRADO"),"",_xlfn.XLOOKUP($D551,Productos!$E:$E,Productos!$I:$I,""))</f>
        <v/>
      </c>
      <c r="G551" s="74">
        <f t="array" ref="G551">IF(OR($D551="",$D551="NO ENCONTRADO"),"",_xlfn.XLOOKUP($D551,Productos!$E:$E,Productos!$J:$J,""))</f>
        <v/>
      </c>
      <c r="H551" s="74">
        <f t="array" ref="H551">IF(OR($D551="",$D551="NO ENCONTRADO"),"",_xlfn.XLOOKUP($D551,Productos!$E:$E,Productos!$K:$K,""))</f>
        <v/>
      </c>
      <c r="I551" s="74">
        <f t="array" ref="I551">IF(OR($D551="",$D551="NO ENCONTRADO"),"",_xlfn.XLOOKUP($D551,Productos!$E:$E,Productos!$F:$F,""))</f>
        <v/>
      </c>
      <c r="J551" s="74">
        <f>IF($C551="","",IF($D551="NO ENCONTRADO",IF(COUNTIF($C$7:$C$1000,$C551)&gt;1,"⚠️ No encontrado | Duplicado","⚠️ No encontrado"),IF(COUNTIF($C$7:$C$1000,$C551)&gt;1,"⚠️ Duplicado","Verificado")))</f>
        <v/>
      </c>
    </row>
    <row r="552" ht="15.75" customHeight="1" s="176">
      <c r="B552" s="80" t="n"/>
      <c r="C552" s="74" t="n"/>
      <c r="D552" s="74">
        <f t="array" ref="D552">IF($C552="","",IFNA(_xlfn.XLOOKUP($C552,Productos!$A:$A,Productos!$E:$E,IFNA(_xlfn.XLOOKUP(TEXT($C552,"0"),Productos!$A:$A,Productos!$E:$E,IFNA(_xlfn.XLOOKUP(IFERROR(VALUE($C552),""),Productos!$A:$A,Productos!$E:$E,_xlfn.XLOOKUP($C552,Productos!$E:$E,Productos!$E:$E,"NO ENCONTRADO")),"NO ENCONTRADO")),"NO ENCONTRADO")),"NO ENCONTRADO"))</f>
        <v/>
      </c>
      <c r="E552" s="74">
        <f t="array" ref="E552">IF(OR($D552="",$D552="NO ENCONTRADO"),"",_xlfn.XLOOKUP($D552,Productos!$E:$E,Productos!$H:$H,""))</f>
        <v/>
      </c>
      <c r="F552" s="74">
        <f t="array" ref="F552">IF(OR($D552="",$D552="NO ENCONTRADO"),"",_xlfn.XLOOKUP($D552,Productos!$E:$E,Productos!$I:$I,""))</f>
        <v/>
      </c>
      <c r="G552" s="74">
        <f t="array" ref="G552">IF(OR($D552="",$D552="NO ENCONTRADO"),"",_xlfn.XLOOKUP($D552,Productos!$E:$E,Productos!$J:$J,""))</f>
        <v/>
      </c>
      <c r="H552" s="74">
        <f t="array" ref="H552">IF(OR($D552="",$D552="NO ENCONTRADO"),"",_xlfn.XLOOKUP($D552,Productos!$E:$E,Productos!$K:$K,""))</f>
        <v/>
      </c>
      <c r="I552" s="74">
        <f t="array" ref="I552">IF(OR($D552="",$D552="NO ENCONTRADO"),"",_xlfn.XLOOKUP($D552,Productos!$E:$E,Productos!$F:$F,""))</f>
        <v/>
      </c>
      <c r="J552" s="74">
        <f>IF($C552="","",IF($D552="NO ENCONTRADO",IF(COUNTIF($C$7:$C$1000,$C552)&gt;1,"⚠️ No encontrado | Duplicado","⚠️ No encontrado"),IF(COUNTIF($C$7:$C$1000,$C552)&gt;1,"⚠️ Duplicado","Verificado")))</f>
        <v/>
      </c>
    </row>
    <row r="553" ht="15.75" customHeight="1" s="176">
      <c r="B553" s="80" t="n"/>
      <c r="C553" s="74" t="n"/>
      <c r="D553" s="74">
        <f t="array" ref="D553">IF($C553="","",IFNA(_xlfn.XLOOKUP($C553,Productos!$A:$A,Productos!$E:$E,IFNA(_xlfn.XLOOKUP(TEXT($C553,"0"),Productos!$A:$A,Productos!$E:$E,IFNA(_xlfn.XLOOKUP(IFERROR(VALUE($C553),""),Productos!$A:$A,Productos!$E:$E,_xlfn.XLOOKUP($C553,Productos!$E:$E,Productos!$E:$E,"NO ENCONTRADO")),"NO ENCONTRADO")),"NO ENCONTRADO")),"NO ENCONTRADO"))</f>
        <v/>
      </c>
      <c r="E553" s="74">
        <f t="array" ref="E553">IF(OR($D553="",$D553="NO ENCONTRADO"),"",_xlfn.XLOOKUP($D553,Productos!$E:$E,Productos!$H:$H,""))</f>
        <v/>
      </c>
      <c r="F553" s="74">
        <f t="array" ref="F553">IF(OR($D553="",$D553="NO ENCONTRADO"),"",_xlfn.XLOOKUP($D553,Productos!$E:$E,Productos!$I:$I,""))</f>
        <v/>
      </c>
      <c r="G553" s="74">
        <f t="array" ref="G553">IF(OR($D553="",$D553="NO ENCONTRADO"),"",_xlfn.XLOOKUP($D553,Productos!$E:$E,Productos!$J:$J,""))</f>
        <v/>
      </c>
      <c r="H553" s="74">
        <f t="array" ref="H553">IF(OR($D553="",$D553="NO ENCONTRADO"),"",_xlfn.XLOOKUP($D553,Productos!$E:$E,Productos!$K:$K,""))</f>
        <v/>
      </c>
      <c r="I553" s="74">
        <f t="array" ref="I553">IF(OR($D553="",$D553="NO ENCONTRADO"),"",_xlfn.XLOOKUP($D553,Productos!$E:$E,Productos!$F:$F,""))</f>
        <v/>
      </c>
      <c r="J553" s="74">
        <f>IF($C553="","",IF($D553="NO ENCONTRADO",IF(COUNTIF($C$7:$C$1000,$C553)&gt;1,"⚠️ No encontrado | Duplicado","⚠️ No encontrado"),IF(COUNTIF($C$7:$C$1000,$C553)&gt;1,"⚠️ Duplicado","Verificado")))</f>
        <v/>
      </c>
    </row>
    <row r="554" ht="15.75" customHeight="1" s="176">
      <c r="B554" s="80" t="n"/>
      <c r="C554" s="74" t="n"/>
      <c r="D554" s="74">
        <f t="array" ref="D554">IF($C554="","",IFNA(_xlfn.XLOOKUP($C554,Productos!$A:$A,Productos!$E:$E,IFNA(_xlfn.XLOOKUP(TEXT($C554,"0"),Productos!$A:$A,Productos!$E:$E,IFNA(_xlfn.XLOOKUP(IFERROR(VALUE($C554),""),Productos!$A:$A,Productos!$E:$E,_xlfn.XLOOKUP($C554,Productos!$E:$E,Productos!$E:$E,"NO ENCONTRADO")),"NO ENCONTRADO")),"NO ENCONTRADO")),"NO ENCONTRADO"))</f>
        <v/>
      </c>
      <c r="E554" s="74">
        <f t="array" ref="E554">IF(OR($D554="",$D554="NO ENCONTRADO"),"",_xlfn.XLOOKUP($D554,Productos!$E:$E,Productos!$H:$H,""))</f>
        <v/>
      </c>
      <c r="F554" s="74">
        <f t="array" ref="F554">IF(OR($D554="",$D554="NO ENCONTRADO"),"",_xlfn.XLOOKUP($D554,Productos!$E:$E,Productos!$I:$I,""))</f>
        <v/>
      </c>
      <c r="G554" s="74">
        <f t="array" ref="G554">IF(OR($D554="",$D554="NO ENCONTRADO"),"",_xlfn.XLOOKUP($D554,Productos!$E:$E,Productos!$J:$J,""))</f>
        <v/>
      </c>
      <c r="H554" s="74">
        <f t="array" ref="H554">IF(OR($D554="",$D554="NO ENCONTRADO"),"",_xlfn.XLOOKUP($D554,Productos!$E:$E,Productos!$K:$K,""))</f>
        <v/>
      </c>
      <c r="I554" s="74">
        <f t="array" ref="I554">IF(OR($D554="",$D554="NO ENCONTRADO"),"",_xlfn.XLOOKUP($D554,Productos!$E:$E,Productos!$F:$F,""))</f>
        <v/>
      </c>
      <c r="J554" s="74">
        <f>IF($C554="","",IF($D554="NO ENCONTRADO",IF(COUNTIF($C$7:$C$1000,$C554)&gt;1,"⚠️ No encontrado | Duplicado","⚠️ No encontrado"),IF(COUNTIF($C$7:$C$1000,$C554)&gt;1,"⚠️ Duplicado","Verificado")))</f>
        <v/>
      </c>
    </row>
    <row r="555" ht="15.75" customHeight="1" s="176">
      <c r="B555" s="80" t="n"/>
      <c r="C555" s="74" t="n"/>
      <c r="D555" s="74">
        <f t="array" ref="D555">IF($C555="","",IFNA(_xlfn.XLOOKUP($C555,Productos!$A:$A,Productos!$E:$E,IFNA(_xlfn.XLOOKUP(TEXT($C555,"0"),Productos!$A:$A,Productos!$E:$E,IFNA(_xlfn.XLOOKUP(IFERROR(VALUE($C555),""),Productos!$A:$A,Productos!$E:$E,_xlfn.XLOOKUP($C555,Productos!$E:$E,Productos!$E:$E,"NO ENCONTRADO")),"NO ENCONTRADO")),"NO ENCONTRADO")),"NO ENCONTRADO"))</f>
        <v/>
      </c>
      <c r="E555" s="74">
        <f t="array" ref="E555">IF(OR($D555="",$D555="NO ENCONTRADO"),"",_xlfn.XLOOKUP($D555,Productos!$E:$E,Productos!$H:$H,""))</f>
        <v/>
      </c>
      <c r="F555" s="74">
        <f t="array" ref="F555">IF(OR($D555="",$D555="NO ENCONTRADO"),"",_xlfn.XLOOKUP($D555,Productos!$E:$E,Productos!$I:$I,""))</f>
        <v/>
      </c>
      <c r="G555" s="74">
        <f t="array" ref="G555">IF(OR($D555="",$D555="NO ENCONTRADO"),"",_xlfn.XLOOKUP($D555,Productos!$E:$E,Productos!$J:$J,""))</f>
        <v/>
      </c>
      <c r="H555" s="74">
        <f t="array" ref="H555">IF(OR($D555="",$D555="NO ENCONTRADO"),"",_xlfn.XLOOKUP($D555,Productos!$E:$E,Productos!$K:$K,""))</f>
        <v/>
      </c>
      <c r="I555" s="74">
        <f t="array" ref="I555">IF(OR($D555="",$D555="NO ENCONTRADO"),"",_xlfn.XLOOKUP($D555,Productos!$E:$E,Productos!$F:$F,""))</f>
        <v/>
      </c>
      <c r="J555" s="74">
        <f>IF($C555="","",IF($D555="NO ENCONTRADO",IF(COUNTIF($C$7:$C$1000,$C555)&gt;1,"⚠️ No encontrado | Duplicado","⚠️ No encontrado"),IF(COUNTIF($C$7:$C$1000,$C555)&gt;1,"⚠️ Duplicado","Verificado")))</f>
        <v/>
      </c>
    </row>
    <row r="556" ht="15.75" customHeight="1" s="176">
      <c r="B556" s="80" t="n"/>
      <c r="C556" s="74" t="n"/>
      <c r="D556" s="74">
        <f t="array" ref="D556">IF($C556="","",IFNA(_xlfn.XLOOKUP($C556,Productos!$A:$A,Productos!$E:$E,IFNA(_xlfn.XLOOKUP(TEXT($C556,"0"),Productos!$A:$A,Productos!$E:$E,IFNA(_xlfn.XLOOKUP(IFERROR(VALUE($C556),""),Productos!$A:$A,Productos!$E:$E,_xlfn.XLOOKUP($C556,Productos!$E:$E,Productos!$E:$E,"NO ENCONTRADO")),"NO ENCONTRADO")),"NO ENCONTRADO")),"NO ENCONTRADO"))</f>
        <v/>
      </c>
      <c r="E556" s="74">
        <f t="array" ref="E556">IF(OR($D556="",$D556="NO ENCONTRADO"),"",_xlfn.XLOOKUP($D556,Productos!$E:$E,Productos!$H:$H,""))</f>
        <v/>
      </c>
      <c r="F556" s="74">
        <f t="array" ref="F556">IF(OR($D556="",$D556="NO ENCONTRADO"),"",_xlfn.XLOOKUP($D556,Productos!$E:$E,Productos!$I:$I,""))</f>
        <v/>
      </c>
      <c r="G556" s="74">
        <f t="array" ref="G556">IF(OR($D556="",$D556="NO ENCONTRADO"),"",_xlfn.XLOOKUP($D556,Productos!$E:$E,Productos!$J:$J,""))</f>
        <v/>
      </c>
      <c r="H556" s="74">
        <f t="array" ref="H556">IF(OR($D556="",$D556="NO ENCONTRADO"),"",_xlfn.XLOOKUP($D556,Productos!$E:$E,Productos!$K:$K,""))</f>
        <v/>
      </c>
      <c r="I556" s="74">
        <f t="array" ref="I556">IF(OR($D556="",$D556="NO ENCONTRADO"),"",_xlfn.XLOOKUP($D556,Productos!$E:$E,Productos!$F:$F,""))</f>
        <v/>
      </c>
      <c r="J556" s="74">
        <f>IF($C556="","",IF($D556="NO ENCONTRADO",IF(COUNTIF($C$7:$C$1000,$C556)&gt;1,"⚠️ No encontrado | Duplicado","⚠️ No encontrado"),IF(COUNTIF($C$7:$C$1000,$C556)&gt;1,"⚠️ Duplicado","Verificado")))</f>
        <v/>
      </c>
    </row>
    <row r="557" ht="15.75" customHeight="1" s="176">
      <c r="B557" s="80" t="n"/>
      <c r="C557" s="74" t="n"/>
      <c r="D557" s="74">
        <f t="array" ref="D557">IF($C557="","",IFNA(_xlfn.XLOOKUP($C557,Productos!$A:$A,Productos!$E:$E,IFNA(_xlfn.XLOOKUP(TEXT($C557,"0"),Productos!$A:$A,Productos!$E:$E,IFNA(_xlfn.XLOOKUP(IFERROR(VALUE($C557),""),Productos!$A:$A,Productos!$E:$E,_xlfn.XLOOKUP($C557,Productos!$E:$E,Productos!$E:$E,"NO ENCONTRADO")),"NO ENCONTRADO")),"NO ENCONTRADO")),"NO ENCONTRADO"))</f>
        <v/>
      </c>
      <c r="E557" s="74">
        <f t="array" ref="E557">IF(OR($D557="",$D557="NO ENCONTRADO"),"",_xlfn.XLOOKUP($D557,Productos!$E:$E,Productos!$H:$H,""))</f>
        <v/>
      </c>
      <c r="F557" s="74">
        <f t="array" ref="F557">IF(OR($D557="",$D557="NO ENCONTRADO"),"",_xlfn.XLOOKUP($D557,Productos!$E:$E,Productos!$I:$I,""))</f>
        <v/>
      </c>
      <c r="G557" s="74">
        <f t="array" ref="G557">IF(OR($D557="",$D557="NO ENCONTRADO"),"",_xlfn.XLOOKUP($D557,Productos!$E:$E,Productos!$J:$J,""))</f>
        <v/>
      </c>
      <c r="H557" s="74">
        <f t="array" ref="H557">IF(OR($D557="",$D557="NO ENCONTRADO"),"",_xlfn.XLOOKUP($D557,Productos!$E:$E,Productos!$K:$K,""))</f>
        <v/>
      </c>
      <c r="I557" s="74">
        <f t="array" ref="I557">IF(OR($D557="",$D557="NO ENCONTRADO"),"",_xlfn.XLOOKUP($D557,Productos!$E:$E,Productos!$F:$F,""))</f>
        <v/>
      </c>
      <c r="J557" s="74">
        <f>IF($C557="","",IF($D557="NO ENCONTRADO",IF(COUNTIF($C$7:$C$1000,$C557)&gt;1,"⚠️ No encontrado | Duplicado","⚠️ No encontrado"),IF(COUNTIF($C$7:$C$1000,$C557)&gt;1,"⚠️ Duplicado","Verificado")))</f>
        <v/>
      </c>
    </row>
    <row r="558" ht="15.75" customHeight="1" s="176">
      <c r="B558" s="80" t="n"/>
      <c r="C558" s="74" t="n"/>
      <c r="D558" s="74">
        <f t="array" ref="D558">IF($C558="","",IFNA(_xlfn.XLOOKUP($C558,Productos!$A:$A,Productos!$E:$E,IFNA(_xlfn.XLOOKUP(TEXT($C558,"0"),Productos!$A:$A,Productos!$E:$E,IFNA(_xlfn.XLOOKUP(IFERROR(VALUE($C558),""),Productos!$A:$A,Productos!$E:$E,_xlfn.XLOOKUP($C558,Productos!$E:$E,Productos!$E:$E,"NO ENCONTRADO")),"NO ENCONTRADO")),"NO ENCONTRADO")),"NO ENCONTRADO"))</f>
        <v/>
      </c>
      <c r="E558" s="74">
        <f t="array" ref="E558">IF(OR($D558="",$D558="NO ENCONTRADO"),"",_xlfn.XLOOKUP($D558,Productos!$E:$E,Productos!$H:$H,""))</f>
        <v/>
      </c>
      <c r="F558" s="74">
        <f t="array" ref="F558">IF(OR($D558="",$D558="NO ENCONTRADO"),"",_xlfn.XLOOKUP($D558,Productos!$E:$E,Productos!$I:$I,""))</f>
        <v/>
      </c>
      <c r="G558" s="74">
        <f t="array" ref="G558">IF(OR($D558="",$D558="NO ENCONTRADO"),"",_xlfn.XLOOKUP($D558,Productos!$E:$E,Productos!$J:$J,""))</f>
        <v/>
      </c>
      <c r="H558" s="74">
        <f t="array" ref="H558">IF(OR($D558="",$D558="NO ENCONTRADO"),"",_xlfn.XLOOKUP($D558,Productos!$E:$E,Productos!$K:$K,""))</f>
        <v/>
      </c>
      <c r="I558" s="74">
        <f t="array" ref="I558">IF(OR($D558="",$D558="NO ENCONTRADO"),"",_xlfn.XLOOKUP($D558,Productos!$E:$E,Productos!$F:$F,""))</f>
        <v/>
      </c>
      <c r="J558" s="74">
        <f>IF($C558="","",IF($D558="NO ENCONTRADO",IF(COUNTIF($C$7:$C$1000,$C558)&gt;1,"⚠️ No encontrado | Duplicado","⚠️ No encontrado"),IF(COUNTIF($C$7:$C$1000,$C558)&gt;1,"⚠️ Duplicado","Verificado")))</f>
        <v/>
      </c>
    </row>
    <row r="559" ht="15.75" customHeight="1" s="176">
      <c r="B559" s="80" t="n"/>
      <c r="C559" s="74" t="n"/>
      <c r="D559" s="74">
        <f t="array" ref="D559">IF($C559="","",IFNA(_xlfn.XLOOKUP($C559,Productos!$A:$A,Productos!$E:$E,IFNA(_xlfn.XLOOKUP(TEXT($C559,"0"),Productos!$A:$A,Productos!$E:$E,IFNA(_xlfn.XLOOKUP(IFERROR(VALUE($C559),""),Productos!$A:$A,Productos!$E:$E,_xlfn.XLOOKUP($C559,Productos!$E:$E,Productos!$E:$E,"NO ENCONTRADO")),"NO ENCONTRADO")),"NO ENCONTRADO")),"NO ENCONTRADO"))</f>
        <v/>
      </c>
      <c r="E559" s="74">
        <f t="array" ref="E559">IF(OR($D559="",$D559="NO ENCONTRADO"),"",_xlfn.XLOOKUP($D559,Productos!$E:$E,Productos!$H:$H,""))</f>
        <v/>
      </c>
      <c r="F559" s="74">
        <f t="array" ref="F559">IF(OR($D559="",$D559="NO ENCONTRADO"),"",_xlfn.XLOOKUP($D559,Productos!$E:$E,Productos!$I:$I,""))</f>
        <v/>
      </c>
      <c r="G559" s="74">
        <f t="array" ref="G559">IF(OR($D559="",$D559="NO ENCONTRADO"),"",_xlfn.XLOOKUP($D559,Productos!$E:$E,Productos!$J:$J,""))</f>
        <v/>
      </c>
      <c r="H559" s="74">
        <f t="array" ref="H559">IF(OR($D559="",$D559="NO ENCONTRADO"),"",_xlfn.XLOOKUP($D559,Productos!$E:$E,Productos!$K:$K,""))</f>
        <v/>
      </c>
      <c r="I559" s="74">
        <f t="array" ref="I559">IF(OR($D559="",$D559="NO ENCONTRADO"),"",_xlfn.XLOOKUP($D559,Productos!$E:$E,Productos!$F:$F,""))</f>
        <v/>
      </c>
      <c r="J559" s="74">
        <f>IF($C559="","",IF($D559="NO ENCONTRADO",IF(COUNTIF($C$7:$C$1000,$C559)&gt;1,"⚠️ No encontrado | Duplicado","⚠️ No encontrado"),IF(COUNTIF($C$7:$C$1000,$C559)&gt;1,"⚠️ Duplicado","Verificado")))</f>
        <v/>
      </c>
    </row>
    <row r="560" ht="15.75" customHeight="1" s="176">
      <c r="B560" s="80" t="n"/>
      <c r="C560" s="74" t="n"/>
      <c r="D560" s="74">
        <f t="array" ref="D560">IF($C560="","",IFNA(_xlfn.XLOOKUP($C560,Productos!$A:$A,Productos!$E:$E,IFNA(_xlfn.XLOOKUP(TEXT($C560,"0"),Productos!$A:$A,Productos!$E:$E,IFNA(_xlfn.XLOOKUP(IFERROR(VALUE($C560),""),Productos!$A:$A,Productos!$E:$E,_xlfn.XLOOKUP($C560,Productos!$E:$E,Productos!$E:$E,"NO ENCONTRADO")),"NO ENCONTRADO")),"NO ENCONTRADO")),"NO ENCONTRADO"))</f>
        <v/>
      </c>
      <c r="E560" s="74">
        <f t="array" ref="E560">IF(OR($D560="",$D560="NO ENCONTRADO"),"",_xlfn.XLOOKUP($D560,Productos!$E:$E,Productos!$H:$H,""))</f>
        <v/>
      </c>
      <c r="F560" s="74">
        <f t="array" ref="F560">IF(OR($D560="",$D560="NO ENCONTRADO"),"",_xlfn.XLOOKUP($D560,Productos!$E:$E,Productos!$I:$I,""))</f>
        <v/>
      </c>
      <c r="G560" s="74">
        <f t="array" ref="G560">IF(OR($D560="",$D560="NO ENCONTRADO"),"",_xlfn.XLOOKUP($D560,Productos!$E:$E,Productos!$J:$J,""))</f>
        <v/>
      </c>
      <c r="H560" s="74">
        <f t="array" ref="H560">IF(OR($D560="",$D560="NO ENCONTRADO"),"",_xlfn.XLOOKUP($D560,Productos!$E:$E,Productos!$K:$K,""))</f>
        <v/>
      </c>
      <c r="I560" s="74">
        <f t="array" ref="I560">IF(OR($D560="",$D560="NO ENCONTRADO"),"",_xlfn.XLOOKUP($D560,Productos!$E:$E,Productos!$F:$F,""))</f>
        <v/>
      </c>
      <c r="J560" s="74">
        <f>IF($C560="","",IF($D560="NO ENCONTRADO",IF(COUNTIF($C$7:$C$1000,$C560)&gt;1,"⚠️ No encontrado | Duplicado","⚠️ No encontrado"),IF(COUNTIF($C$7:$C$1000,$C560)&gt;1,"⚠️ Duplicado","Verificado")))</f>
        <v/>
      </c>
    </row>
    <row r="561" ht="15.75" customHeight="1" s="176">
      <c r="B561" s="80" t="n"/>
      <c r="C561" s="74" t="n"/>
      <c r="D561" s="74">
        <f t="array" ref="D561">IF($C561="","",IFNA(_xlfn.XLOOKUP($C561,Productos!$A:$A,Productos!$E:$E,IFNA(_xlfn.XLOOKUP(TEXT($C561,"0"),Productos!$A:$A,Productos!$E:$E,IFNA(_xlfn.XLOOKUP(IFERROR(VALUE($C561),""),Productos!$A:$A,Productos!$E:$E,_xlfn.XLOOKUP($C561,Productos!$E:$E,Productos!$E:$E,"NO ENCONTRADO")),"NO ENCONTRADO")),"NO ENCONTRADO")),"NO ENCONTRADO"))</f>
        <v/>
      </c>
      <c r="E561" s="74">
        <f t="array" ref="E561">IF(OR($D561="",$D561="NO ENCONTRADO"),"",_xlfn.XLOOKUP($D561,Productos!$E:$E,Productos!$H:$H,""))</f>
        <v/>
      </c>
      <c r="F561" s="74">
        <f t="array" ref="F561">IF(OR($D561="",$D561="NO ENCONTRADO"),"",_xlfn.XLOOKUP($D561,Productos!$E:$E,Productos!$I:$I,""))</f>
        <v/>
      </c>
      <c r="G561" s="74">
        <f t="array" ref="G561">IF(OR($D561="",$D561="NO ENCONTRADO"),"",_xlfn.XLOOKUP($D561,Productos!$E:$E,Productos!$J:$J,""))</f>
        <v/>
      </c>
      <c r="H561" s="74">
        <f t="array" ref="H561">IF(OR($D561="",$D561="NO ENCONTRADO"),"",_xlfn.XLOOKUP($D561,Productos!$E:$E,Productos!$K:$K,""))</f>
        <v/>
      </c>
      <c r="I561" s="74">
        <f t="array" ref="I561">IF(OR($D561="",$D561="NO ENCONTRADO"),"",_xlfn.XLOOKUP($D561,Productos!$E:$E,Productos!$F:$F,""))</f>
        <v/>
      </c>
      <c r="J561" s="74">
        <f>IF($C561="","",IF($D561="NO ENCONTRADO",IF(COUNTIF($C$7:$C$1000,$C561)&gt;1,"⚠️ No encontrado | Duplicado","⚠️ No encontrado"),IF(COUNTIF($C$7:$C$1000,$C561)&gt;1,"⚠️ Duplicado","Verificado")))</f>
        <v/>
      </c>
    </row>
    <row r="562" ht="15.75" customHeight="1" s="176">
      <c r="B562" s="80" t="n"/>
      <c r="C562" s="74" t="n"/>
      <c r="D562" s="74">
        <f t="array" ref="D562">IF($C562="","",IFNA(_xlfn.XLOOKUP($C562,Productos!$A:$A,Productos!$E:$E,IFNA(_xlfn.XLOOKUP(TEXT($C562,"0"),Productos!$A:$A,Productos!$E:$E,IFNA(_xlfn.XLOOKUP(IFERROR(VALUE($C562),""),Productos!$A:$A,Productos!$E:$E,_xlfn.XLOOKUP($C562,Productos!$E:$E,Productos!$E:$E,"NO ENCONTRADO")),"NO ENCONTRADO")),"NO ENCONTRADO")),"NO ENCONTRADO"))</f>
        <v/>
      </c>
      <c r="E562" s="74">
        <f t="array" ref="E562">IF(OR($D562="",$D562="NO ENCONTRADO"),"",_xlfn.XLOOKUP($D562,Productos!$E:$E,Productos!$H:$H,""))</f>
        <v/>
      </c>
      <c r="F562" s="74">
        <f t="array" ref="F562">IF(OR($D562="",$D562="NO ENCONTRADO"),"",_xlfn.XLOOKUP($D562,Productos!$E:$E,Productos!$I:$I,""))</f>
        <v/>
      </c>
      <c r="G562" s="74">
        <f t="array" ref="G562">IF(OR($D562="",$D562="NO ENCONTRADO"),"",_xlfn.XLOOKUP($D562,Productos!$E:$E,Productos!$J:$J,""))</f>
        <v/>
      </c>
      <c r="H562" s="74">
        <f t="array" ref="H562">IF(OR($D562="",$D562="NO ENCONTRADO"),"",_xlfn.XLOOKUP($D562,Productos!$E:$E,Productos!$K:$K,""))</f>
        <v/>
      </c>
      <c r="I562" s="74">
        <f t="array" ref="I562">IF(OR($D562="",$D562="NO ENCONTRADO"),"",_xlfn.XLOOKUP($D562,Productos!$E:$E,Productos!$F:$F,""))</f>
        <v/>
      </c>
      <c r="J562" s="74">
        <f>IF($C562="","",IF($D562="NO ENCONTRADO",IF(COUNTIF($C$7:$C$1000,$C562)&gt;1,"⚠️ No encontrado | Duplicado","⚠️ No encontrado"),IF(COUNTIF($C$7:$C$1000,$C562)&gt;1,"⚠️ Duplicado","Verificado")))</f>
        <v/>
      </c>
    </row>
    <row r="563" ht="15.75" customHeight="1" s="176">
      <c r="B563" s="80" t="n"/>
      <c r="C563" s="74" t="n"/>
      <c r="D563" s="74">
        <f t="array" ref="D563">IF($C563="","",IFNA(_xlfn.XLOOKUP($C563,Productos!$A:$A,Productos!$E:$E,IFNA(_xlfn.XLOOKUP(TEXT($C563,"0"),Productos!$A:$A,Productos!$E:$E,IFNA(_xlfn.XLOOKUP(IFERROR(VALUE($C563),""),Productos!$A:$A,Productos!$E:$E,_xlfn.XLOOKUP($C563,Productos!$E:$E,Productos!$E:$E,"NO ENCONTRADO")),"NO ENCONTRADO")),"NO ENCONTRADO")),"NO ENCONTRADO"))</f>
        <v/>
      </c>
      <c r="E563" s="74">
        <f t="array" ref="E563">IF(OR($D563="",$D563="NO ENCONTRADO"),"",_xlfn.XLOOKUP($D563,Productos!$E:$E,Productos!$H:$H,""))</f>
        <v/>
      </c>
      <c r="F563" s="74">
        <f t="array" ref="F563">IF(OR($D563="",$D563="NO ENCONTRADO"),"",_xlfn.XLOOKUP($D563,Productos!$E:$E,Productos!$I:$I,""))</f>
        <v/>
      </c>
      <c r="G563" s="74">
        <f t="array" ref="G563">IF(OR($D563="",$D563="NO ENCONTRADO"),"",_xlfn.XLOOKUP($D563,Productos!$E:$E,Productos!$J:$J,""))</f>
        <v/>
      </c>
      <c r="H563" s="74">
        <f t="array" ref="H563">IF(OR($D563="",$D563="NO ENCONTRADO"),"",_xlfn.XLOOKUP($D563,Productos!$E:$E,Productos!$K:$K,""))</f>
        <v/>
      </c>
      <c r="I563" s="74">
        <f t="array" ref="I563">IF(OR($D563="",$D563="NO ENCONTRADO"),"",_xlfn.XLOOKUP($D563,Productos!$E:$E,Productos!$F:$F,""))</f>
        <v/>
      </c>
      <c r="J563" s="74">
        <f>IF($C563="","",IF($D563="NO ENCONTRADO",IF(COUNTIF($C$7:$C$1000,$C563)&gt;1,"⚠️ No encontrado | Duplicado","⚠️ No encontrado"),IF(COUNTIF($C$7:$C$1000,$C563)&gt;1,"⚠️ Duplicado","Verificado")))</f>
        <v/>
      </c>
    </row>
    <row r="564" ht="15.75" customHeight="1" s="176">
      <c r="B564" s="80" t="n"/>
      <c r="C564" s="74" t="n"/>
      <c r="D564" s="74">
        <f t="array" ref="D564">IF($C564="","",IFNA(_xlfn.XLOOKUP($C564,Productos!$A:$A,Productos!$E:$E,IFNA(_xlfn.XLOOKUP(TEXT($C564,"0"),Productos!$A:$A,Productos!$E:$E,IFNA(_xlfn.XLOOKUP(IFERROR(VALUE($C564),""),Productos!$A:$A,Productos!$E:$E,_xlfn.XLOOKUP($C564,Productos!$E:$E,Productos!$E:$E,"NO ENCONTRADO")),"NO ENCONTRADO")),"NO ENCONTRADO")),"NO ENCONTRADO"))</f>
        <v/>
      </c>
      <c r="E564" s="74">
        <f t="array" ref="E564">IF(OR($D564="",$D564="NO ENCONTRADO"),"",_xlfn.XLOOKUP($D564,Productos!$E:$E,Productos!$H:$H,""))</f>
        <v/>
      </c>
      <c r="F564" s="74">
        <f t="array" ref="F564">IF(OR($D564="",$D564="NO ENCONTRADO"),"",_xlfn.XLOOKUP($D564,Productos!$E:$E,Productos!$I:$I,""))</f>
        <v/>
      </c>
      <c r="G564" s="74">
        <f t="array" ref="G564">IF(OR($D564="",$D564="NO ENCONTRADO"),"",_xlfn.XLOOKUP($D564,Productos!$E:$E,Productos!$J:$J,""))</f>
        <v/>
      </c>
      <c r="H564" s="74">
        <f t="array" ref="H564">IF(OR($D564="",$D564="NO ENCONTRADO"),"",_xlfn.XLOOKUP($D564,Productos!$E:$E,Productos!$K:$K,""))</f>
        <v/>
      </c>
      <c r="I564" s="74">
        <f t="array" ref="I564">IF(OR($D564="",$D564="NO ENCONTRADO"),"",_xlfn.XLOOKUP($D564,Productos!$E:$E,Productos!$F:$F,""))</f>
        <v/>
      </c>
      <c r="J564" s="74">
        <f>IF($C564="","",IF($D564="NO ENCONTRADO",IF(COUNTIF($C$7:$C$1000,$C564)&gt;1,"⚠️ No encontrado | Duplicado","⚠️ No encontrado"),IF(COUNTIF($C$7:$C$1000,$C564)&gt;1,"⚠️ Duplicado","Verificado")))</f>
        <v/>
      </c>
    </row>
    <row r="565" ht="15.75" customHeight="1" s="176">
      <c r="B565" s="80" t="n"/>
      <c r="C565" s="74" t="n"/>
      <c r="D565" s="74">
        <f t="array" ref="D565">IF($C565="","",IFNA(_xlfn.XLOOKUP($C565,Productos!$A:$A,Productos!$E:$E,IFNA(_xlfn.XLOOKUP(TEXT($C565,"0"),Productos!$A:$A,Productos!$E:$E,IFNA(_xlfn.XLOOKUP(IFERROR(VALUE($C565),""),Productos!$A:$A,Productos!$E:$E,_xlfn.XLOOKUP($C565,Productos!$E:$E,Productos!$E:$E,"NO ENCONTRADO")),"NO ENCONTRADO")),"NO ENCONTRADO")),"NO ENCONTRADO"))</f>
        <v/>
      </c>
      <c r="E565" s="74">
        <f t="array" ref="E565">IF(OR($D565="",$D565="NO ENCONTRADO"),"",_xlfn.XLOOKUP($D565,Productos!$E:$E,Productos!$H:$H,""))</f>
        <v/>
      </c>
      <c r="F565" s="74">
        <f t="array" ref="F565">IF(OR($D565="",$D565="NO ENCONTRADO"),"",_xlfn.XLOOKUP($D565,Productos!$E:$E,Productos!$I:$I,""))</f>
        <v/>
      </c>
      <c r="G565" s="74">
        <f t="array" ref="G565">IF(OR($D565="",$D565="NO ENCONTRADO"),"",_xlfn.XLOOKUP($D565,Productos!$E:$E,Productos!$J:$J,""))</f>
        <v/>
      </c>
      <c r="H565" s="74">
        <f t="array" ref="H565">IF(OR($D565="",$D565="NO ENCONTRADO"),"",_xlfn.XLOOKUP($D565,Productos!$E:$E,Productos!$K:$K,""))</f>
        <v/>
      </c>
      <c r="I565" s="74">
        <f t="array" ref="I565">IF(OR($D565="",$D565="NO ENCONTRADO"),"",_xlfn.XLOOKUP($D565,Productos!$E:$E,Productos!$F:$F,""))</f>
        <v/>
      </c>
      <c r="J565" s="74">
        <f>IF($C565="","",IF($D565="NO ENCONTRADO",IF(COUNTIF($C$7:$C$1000,$C565)&gt;1,"⚠️ No encontrado | Duplicado","⚠️ No encontrado"),IF(COUNTIF($C$7:$C$1000,$C565)&gt;1,"⚠️ Duplicado","Verificado")))</f>
        <v/>
      </c>
    </row>
    <row r="566" ht="15.75" customHeight="1" s="176">
      <c r="B566" s="80" t="n"/>
      <c r="C566" s="74" t="n"/>
      <c r="D566" s="74">
        <f t="array" ref="D566">IF($C566="","",IFNA(_xlfn.XLOOKUP($C566,Productos!$A:$A,Productos!$E:$E,IFNA(_xlfn.XLOOKUP(TEXT($C566,"0"),Productos!$A:$A,Productos!$E:$E,IFNA(_xlfn.XLOOKUP(IFERROR(VALUE($C566),""),Productos!$A:$A,Productos!$E:$E,_xlfn.XLOOKUP($C566,Productos!$E:$E,Productos!$E:$E,"NO ENCONTRADO")),"NO ENCONTRADO")),"NO ENCONTRADO")),"NO ENCONTRADO"))</f>
        <v/>
      </c>
      <c r="E566" s="74">
        <f t="array" ref="E566">IF(OR($D566="",$D566="NO ENCONTRADO"),"",_xlfn.XLOOKUP($D566,Productos!$E:$E,Productos!$H:$H,""))</f>
        <v/>
      </c>
      <c r="F566" s="74">
        <f t="array" ref="F566">IF(OR($D566="",$D566="NO ENCONTRADO"),"",_xlfn.XLOOKUP($D566,Productos!$E:$E,Productos!$I:$I,""))</f>
        <v/>
      </c>
      <c r="G566" s="74">
        <f t="array" ref="G566">IF(OR($D566="",$D566="NO ENCONTRADO"),"",_xlfn.XLOOKUP($D566,Productos!$E:$E,Productos!$J:$J,""))</f>
        <v/>
      </c>
      <c r="H566" s="74">
        <f t="array" ref="H566">IF(OR($D566="",$D566="NO ENCONTRADO"),"",_xlfn.XLOOKUP($D566,Productos!$E:$E,Productos!$K:$K,""))</f>
        <v/>
      </c>
      <c r="I566" s="74">
        <f t="array" ref="I566">IF(OR($D566="",$D566="NO ENCONTRADO"),"",_xlfn.XLOOKUP($D566,Productos!$E:$E,Productos!$F:$F,""))</f>
        <v/>
      </c>
      <c r="J566" s="74">
        <f>IF($C566="","",IF($D566="NO ENCONTRADO",IF(COUNTIF($C$7:$C$1000,$C566)&gt;1,"⚠️ No encontrado | Duplicado","⚠️ No encontrado"),IF(COUNTIF($C$7:$C$1000,$C566)&gt;1,"⚠️ Duplicado","Verificado")))</f>
        <v/>
      </c>
    </row>
    <row r="567" ht="15.75" customHeight="1" s="176">
      <c r="B567" s="80" t="n"/>
      <c r="C567" s="74" t="n"/>
      <c r="D567" s="74">
        <f t="array" ref="D567">IF($C567="","",IFNA(_xlfn.XLOOKUP($C567,Productos!$A:$A,Productos!$E:$E,IFNA(_xlfn.XLOOKUP(TEXT($C567,"0"),Productos!$A:$A,Productos!$E:$E,IFNA(_xlfn.XLOOKUP(IFERROR(VALUE($C567),""),Productos!$A:$A,Productos!$E:$E,_xlfn.XLOOKUP($C567,Productos!$E:$E,Productos!$E:$E,"NO ENCONTRADO")),"NO ENCONTRADO")),"NO ENCONTRADO")),"NO ENCONTRADO"))</f>
        <v/>
      </c>
      <c r="E567" s="74">
        <f t="array" ref="E567">IF(OR($D567="",$D567="NO ENCONTRADO"),"",_xlfn.XLOOKUP($D567,Productos!$E:$E,Productos!$H:$H,""))</f>
        <v/>
      </c>
      <c r="F567" s="74">
        <f t="array" ref="F567">IF(OR($D567="",$D567="NO ENCONTRADO"),"",_xlfn.XLOOKUP($D567,Productos!$E:$E,Productos!$I:$I,""))</f>
        <v/>
      </c>
      <c r="G567" s="74">
        <f t="array" ref="G567">IF(OR($D567="",$D567="NO ENCONTRADO"),"",_xlfn.XLOOKUP($D567,Productos!$E:$E,Productos!$J:$J,""))</f>
        <v/>
      </c>
      <c r="H567" s="74">
        <f t="array" ref="H567">IF(OR($D567="",$D567="NO ENCONTRADO"),"",_xlfn.XLOOKUP($D567,Productos!$E:$E,Productos!$K:$K,""))</f>
        <v/>
      </c>
      <c r="I567" s="74">
        <f t="array" ref="I567">IF(OR($D567="",$D567="NO ENCONTRADO"),"",_xlfn.XLOOKUP($D567,Productos!$E:$E,Productos!$F:$F,""))</f>
        <v/>
      </c>
      <c r="J567" s="74">
        <f>IF($C567="","",IF($D567="NO ENCONTRADO",IF(COUNTIF($C$7:$C$1000,$C567)&gt;1,"⚠️ No encontrado | Duplicado","⚠️ No encontrado"),IF(COUNTIF($C$7:$C$1000,$C567)&gt;1,"⚠️ Duplicado","Verificado")))</f>
        <v/>
      </c>
    </row>
    <row r="568" ht="15.75" customHeight="1" s="176">
      <c r="B568" s="80" t="n"/>
      <c r="C568" s="74" t="n"/>
      <c r="D568" s="74">
        <f t="array" ref="D568">IF($C568="","",IFNA(_xlfn.XLOOKUP($C568,Productos!$A:$A,Productos!$E:$E,IFNA(_xlfn.XLOOKUP(TEXT($C568,"0"),Productos!$A:$A,Productos!$E:$E,IFNA(_xlfn.XLOOKUP(IFERROR(VALUE($C568),""),Productos!$A:$A,Productos!$E:$E,_xlfn.XLOOKUP($C568,Productos!$E:$E,Productos!$E:$E,"NO ENCONTRADO")),"NO ENCONTRADO")),"NO ENCONTRADO")),"NO ENCONTRADO"))</f>
        <v/>
      </c>
      <c r="E568" s="74">
        <f t="array" ref="E568">IF(OR($D568="",$D568="NO ENCONTRADO"),"",_xlfn.XLOOKUP($D568,Productos!$E:$E,Productos!$H:$H,""))</f>
        <v/>
      </c>
      <c r="F568" s="74">
        <f t="array" ref="F568">IF(OR($D568="",$D568="NO ENCONTRADO"),"",_xlfn.XLOOKUP($D568,Productos!$E:$E,Productos!$I:$I,""))</f>
        <v/>
      </c>
      <c r="G568" s="74">
        <f t="array" ref="G568">IF(OR($D568="",$D568="NO ENCONTRADO"),"",_xlfn.XLOOKUP($D568,Productos!$E:$E,Productos!$J:$J,""))</f>
        <v/>
      </c>
      <c r="H568" s="74">
        <f t="array" ref="H568">IF(OR($D568="",$D568="NO ENCONTRADO"),"",_xlfn.XLOOKUP($D568,Productos!$E:$E,Productos!$K:$K,""))</f>
        <v/>
      </c>
      <c r="I568" s="74">
        <f t="array" ref="I568">IF(OR($D568="",$D568="NO ENCONTRADO"),"",_xlfn.XLOOKUP($D568,Productos!$E:$E,Productos!$F:$F,""))</f>
        <v/>
      </c>
      <c r="J568" s="74">
        <f>IF($C568="","",IF($D568="NO ENCONTRADO",IF(COUNTIF($C$7:$C$1000,$C568)&gt;1,"⚠️ No encontrado | Duplicado","⚠️ No encontrado"),IF(COUNTIF($C$7:$C$1000,$C568)&gt;1,"⚠️ Duplicado","Verificado")))</f>
        <v/>
      </c>
    </row>
    <row r="569" ht="15.75" customHeight="1" s="176">
      <c r="B569" s="80" t="n"/>
      <c r="C569" s="74" t="n"/>
      <c r="D569" s="74">
        <f t="array" ref="D569">IF($C569="","",IFNA(_xlfn.XLOOKUP($C569,Productos!$A:$A,Productos!$E:$E,IFNA(_xlfn.XLOOKUP(TEXT($C569,"0"),Productos!$A:$A,Productos!$E:$E,IFNA(_xlfn.XLOOKUP(IFERROR(VALUE($C569),""),Productos!$A:$A,Productos!$E:$E,_xlfn.XLOOKUP($C569,Productos!$E:$E,Productos!$E:$E,"NO ENCONTRADO")),"NO ENCONTRADO")),"NO ENCONTRADO")),"NO ENCONTRADO"))</f>
        <v/>
      </c>
      <c r="E569" s="74">
        <f t="array" ref="E569">IF(OR($D569="",$D569="NO ENCONTRADO"),"",_xlfn.XLOOKUP($D569,Productos!$E:$E,Productos!$H:$H,""))</f>
        <v/>
      </c>
      <c r="F569" s="74">
        <f t="array" ref="F569">IF(OR($D569="",$D569="NO ENCONTRADO"),"",_xlfn.XLOOKUP($D569,Productos!$E:$E,Productos!$I:$I,""))</f>
        <v/>
      </c>
      <c r="G569" s="74">
        <f t="array" ref="G569">IF(OR($D569="",$D569="NO ENCONTRADO"),"",_xlfn.XLOOKUP($D569,Productos!$E:$E,Productos!$J:$J,""))</f>
        <v/>
      </c>
      <c r="H569" s="74">
        <f t="array" ref="H569">IF(OR($D569="",$D569="NO ENCONTRADO"),"",_xlfn.XLOOKUP($D569,Productos!$E:$E,Productos!$K:$K,""))</f>
        <v/>
      </c>
      <c r="I569" s="74">
        <f t="array" ref="I569">IF(OR($D569="",$D569="NO ENCONTRADO"),"",_xlfn.XLOOKUP($D569,Productos!$E:$E,Productos!$F:$F,""))</f>
        <v/>
      </c>
      <c r="J569" s="74">
        <f>IF($C569="","",IF($D569="NO ENCONTRADO",IF(COUNTIF($C$7:$C$1000,$C569)&gt;1,"⚠️ No encontrado | Duplicado","⚠️ No encontrado"),IF(COUNTIF($C$7:$C$1000,$C569)&gt;1,"⚠️ Duplicado","Verificado")))</f>
        <v/>
      </c>
    </row>
    <row r="570" ht="15.75" customHeight="1" s="176">
      <c r="B570" s="80" t="n"/>
      <c r="C570" s="74" t="n"/>
      <c r="D570" s="74">
        <f t="array" ref="D570">IF($C570="","",IFNA(_xlfn.XLOOKUP($C570,Productos!$A:$A,Productos!$E:$E,IFNA(_xlfn.XLOOKUP(TEXT($C570,"0"),Productos!$A:$A,Productos!$E:$E,IFNA(_xlfn.XLOOKUP(IFERROR(VALUE($C570),""),Productos!$A:$A,Productos!$E:$E,_xlfn.XLOOKUP($C570,Productos!$E:$E,Productos!$E:$E,"NO ENCONTRADO")),"NO ENCONTRADO")),"NO ENCONTRADO")),"NO ENCONTRADO"))</f>
        <v/>
      </c>
      <c r="E570" s="74">
        <f t="array" ref="E570">IF(OR($D570="",$D570="NO ENCONTRADO"),"",_xlfn.XLOOKUP($D570,Productos!$E:$E,Productos!$H:$H,""))</f>
        <v/>
      </c>
      <c r="F570" s="74">
        <f t="array" ref="F570">IF(OR($D570="",$D570="NO ENCONTRADO"),"",_xlfn.XLOOKUP($D570,Productos!$E:$E,Productos!$I:$I,""))</f>
        <v/>
      </c>
      <c r="G570" s="74">
        <f t="array" ref="G570">IF(OR($D570="",$D570="NO ENCONTRADO"),"",_xlfn.XLOOKUP($D570,Productos!$E:$E,Productos!$J:$J,""))</f>
        <v/>
      </c>
      <c r="H570" s="74">
        <f t="array" ref="H570">IF(OR($D570="",$D570="NO ENCONTRADO"),"",_xlfn.XLOOKUP($D570,Productos!$E:$E,Productos!$K:$K,""))</f>
        <v/>
      </c>
      <c r="I570" s="74">
        <f t="array" ref="I570">IF(OR($D570="",$D570="NO ENCONTRADO"),"",_xlfn.XLOOKUP($D570,Productos!$E:$E,Productos!$F:$F,""))</f>
        <v/>
      </c>
      <c r="J570" s="74">
        <f>IF($C570="","",IF($D570="NO ENCONTRADO",IF(COUNTIF($C$7:$C$1000,$C570)&gt;1,"⚠️ No encontrado | Duplicado","⚠️ No encontrado"),IF(COUNTIF($C$7:$C$1000,$C570)&gt;1,"⚠️ Duplicado","Verificado")))</f>
        <v/>
      </c>
    </row>
    <row r="571" ht="15.75" customHeight="1" s="176">
      <c r="B571" s="80" t="n"/>
      <c r="C571" s="74" t="n"/>
      <c r="D571" s="74">
        <f t="array" ref="D571">IF($C571="","",IFNA(_xlfn.XLOOKUP($C571,Productos!$A:$A,Productos!$E:$E,IFNA(_xlfn.XLOOKUP(TEXT($C571,"0"),Productos!$A:$A,Productos!$E:$E,IFNA(_xlfn.XLOOKUP(IFERROR(VALUE($C571),""),Productos!$A:$A,Productos!$E:$E,_xlfn.XLOOKUP($C571,Productos!$E:$E,Productos!$E:$E,"NO ENCONTRADO")),"NO ENCONTRADO")),"NO ENCONTRADO")),"NO ENCONTRADO"))</f>
        <v/>
      </c>
      <c r="E571" s="74">
        <f t="array" ref="E571">IF(OR($D571="",$D571="NO ENCONTRADO"),"",_xlfn.XLOOKUP($D571,Productos!$E:$E,Productos!$H:$H,""))</f>
        <v/>
      </c>
      <c r="F571" s="74">
        <f t="array" ref="F571">IF(OR($D571="",$D571="NO ENCONTRADO"),"",_xlfn.XLOOKUP($D571,Productos!$E:$E,Productos!$I:$I,""))</f>
        <v/>
      </c>
      <c r="G571" s="74">
        <f t="array" ref="G571">IF(OR($D571="",$D571="NO ENCONTRADO"),"",_xlfn.XLOOKUP($D571,Productos!$E:$E,Productos!$J:$J,""))</f>
        <v/>
      </c>
      <c r="H571" s="74">
        <f t="array" ref="H571">IF(OR($D571="",$D571="NO ENCONTRADO"),"",_xlfn.XLOOKUP($D571,Productos!$E:$E,Productos!$K:$K,""))</f>
        <v/>
      </c>
      <c r="I571" s="74">
        <f t="array" ref="I571">IF(OR($D571="",$D571="NO ENCONTRADO"),"",_xlfn.XLOOKUP($D571,Productos!$E:$E,Productos!$F:$F,""))</f>
        <v/>
      </c>
      <c r="J571" s="74">
        <f>IF($C571="","",IF($D571="NO ENCONTRADO",IF(COUNTIF($C$7:$C$1000,$C571)&gt;1,"⚠️ No encontrado | Duplicado","⚠️ No encontrado"),IF(COUNTIF($C$7:$C$1000,$C571)&gt;1,"⚠️ Duplicado","Verificado")))</f>
        <v/>
      </c>
    </row>
    <row r="572" ht="15.75" customHeight="1" s="176">
      <c r="B572" s="80" t="n"/>
      <c r="C572" s="74" t="n"/>
      <c r="D572" s="74">
        <f t="array" ref="D572">IF($C572="","",IFNA(_xlfn.XLOOKUP($C572,Productos!$A:$A,Productos!$E:$E,IFNA(_xlfn.XLOOKUP(TEXT($C572,"0"),Productos!$A:$A,Productos!$E:$E,IFNA(_xlfn.XLOOKUP(IFERROR(VALUE($C572),""),Productos!$A:$A,Productos!$E:$E,_xlfn.XLOOKUP($C572,Productos!$E:$E,Productos!$E:$E,"NO ENCONTRADO")),"NO ENCONTRADO")),"NO ENCONTRADO")),"NO ENCONTRADO"))</f>
        <v/>
      </c>
      <c r="E572" s="74">
        <f t="array" ref="E572">IF(OR($D572="",$D572="NO ENCONTRADO"),"",_xlfn.XLOOKUP($D572,Productos!$E:$E,Productos!$H:$H,""))</f>
        <v/>
      </c>
      <c r="F572" s="74">
        <f t="array" ref="F572">IF(OR($D572="",$D572="NO ENCONTRADO"),"",_xlfn.XLOOKUP($D572,Productos!$E:$E,Productos!$I:$I,""))</f>
        <v/>
      </c>
      <c r="G572" s="74">
        <f t="array" ref="G572">IF(OR($D572="",$D572="NO ENCONTRADO"),"",_xlfn.XLOOKUP($D572,Productos!$E:$E,Productos!$J:$J,""))</f>
        <v/>
      </c>
      <c r="H572" s="74">
        <f t="array" ref="H572">IF(OR($D572="",$D572="NO ENCONTRADO"),"",_xlfn.XLOOKUP($D572,Productos!$E:$E,Productos!$K:$K,""))</f>
        <v/>
      </c>
      <c r="I572" s="74">
        <f t="array" ref="I572">IF(OR($D572="",$D572="NO ENCONTRADO"),"",_xlfn.XLOOKUP($D572,Productos!$E:$E,Productos!$F:$F,""))</f>
        <v/>
      </c>
      <c r="J572" s="74">
        <f>IF($C572="","",IF($D572="NO ENCONTRADO",IF(COUNTIF($C$7:$C$1000,$C572)&gt;1,"⚠️ No encontrado | Duplicado","⚠️ No encontrado"),IF(COUNTIF($C$7:$C$1000,$C572)&gt;1,"⚠️ Duplicado","Verificado")))</f>
        <v/>
      </c>
    </row>
    <row r="573" ht="15.75" customHeight="1" s="176">
      <c r="B573" s="80" t="n"/>
      <c r="C573" s="74" t="n"/>
      <c r="D573" s="74">
        <f t="array" ref="D573">IF($C573="","",IFNA(_xlfn.XLOOKUP($C573,Productos!$A:$A,Productos!$E:$E,IFNA(_xlfn.XLOOKUP(TEXT($C573,"0"),Productos!$A:$A,Productos!$E:$E,IFNA(_xlfn.XLOOKUP(IFERROR(VALUE($C573),""),Productos!$A:$A,Productos!$E:$E,_xlfn.XLOOKUP($C573,Productos!$E:$E,Productos!$E:$E,"NO ENCONTRADO")),"NO ENCONTRADO")),"NO ENCONTRADO")),"NO ENCONTRADO"))</f>
        <v/>
      </c>
      <c r="E573" s="74">
        <f t="array" ref="E573">IF(OR($D573="",$D573="NO ENCONTRADO"),"",_xlfn.XLOOKUP($D573,Productos!$E:$E,Productos!$H:$H,""))</f>
        <v/>
      </c>
      <c r="F573" s="74">
        <f t="array" ref="F573">IF(OR($D573="",$D573="NO ENCONTRADO"),"",_xlfn.XLOOKUP($D573,Productos!$E:$E,Productos!$I:$I,""))</f>
        <v/>
      </c>
      <c r="G573" s="74">
        <f t="array" ref="G573">IF(OR($D573="",$D573="NO ENCONTRADO"),"",_xlfn.XLOOKUP($D573,Productos!$E:$E,Productos!$J:$J,""))</f>
        <v/>
      </c>
      <c r="H573" s="74">
        <f t="array" ref="H573">IF(OR($D573="",$D573="NO ENCONTRADO"),"",_xlfn.XLOOKUP($D573,Productos!$E:$E,Productos!$K:$K,""))</f>
        <v/>
      </c>
      <c r="I573" s="74">
        <f t="array" ref="I573">IF(OR($D573="",$D573="NO ENCONTRADO"),"",_xlfn.XLOOKUP($D573,Productos!$E:$E,Productos!$F:$F,""))</f>
        <v/>
      </c>
      <c r="J573" s="74">
        <f>IF($C573="","",IF($D573="NO ENCONTRADO",IF(COUNTIF($C$7:$C$1000,$C573)&gt;1,"⚠️ No encontrado | Duplicado","⚠️ No encontrado"),IF(COUNTIF($C$7:$C$1000,$C573)&gt;1,"⚠️ Duplicado","Verificado")))</f>
        <v/>
      </c>
    </row>
    <row r="574" ht="15.75" customHeight="1" s="176">
      <c r="B574" s="80" t="n"/>
      <c r="C574" s="74" t="n"/>
      <c r="D574" s="74">
        <f t="array" ref="D574">IF($C574="","",IFNA(_xlfn.XLOOKUP($C574,Productos!$A:$A,Productos!$E:$E,IFNA(_xlfn.XLOOKUP(TEXT($C574,"0"),Productos!$A:$A,Productos!$E:$E,IFNA(_xlfn.XLOOKUP(IFERROR(VALUE($C574),""),Productos!$A:$A,Productos!$E:$E,_xlfn.XLOOKUP($C574,Productos!$E:$E,Productos!$E:$E,"NO ENCONTRADO")),"NO ENCONTRADO")),"NO ENCONTRADO")),"NO ENCONTRADO"))</f>
        <v/>
      </c>
      <c r="E574" s="74">
        <f t="array" ref="E574">IF(OR($D574="",$D574="NO ENCONTRADO"),"",_xlfn.XLOOKUP($D574,Productos!$E:$E,Productos!$H:$H,""))</f>
        <v/>
      </c>
      <c r="F574" s="74">
        <f t="array" ref="F574">IF(OR($D574="",$D574="NO ENCONTRADO"),"",_xlfn.XLOOKUP($D574,Productos!$E:$E,Productos!$I:$I,""))</f>
        <v/>
      </c>
      <c r="G574" s="74">
        <f t="array" ref="G574">IF(OR($D574="",$D574="NO ENCONTRADO"),"",_xlfn.XLOOKUP($D574,Productos!$E:$E,Productos!$J:$J,""))</f>
        <v/>
      </c>
      <c r="H574" s="74">
        <f t="array" ref="H574">IF(OR($D574="",$D574="NO ENCONTRADO"),"",_xlfn.XLOOKUP($D574,Productos!$E:$E,Productos!$K:$K,""))</f>
        <v/>
      </c>
      <c r="I574" s="74">
        <f t="array" ref="I574">IF(OR($D574="",$D574="NO ENCONTRADO"),"",_xlfn.XLOOKUP($D574,Productos!$E:$E,Productos!$F:$F,""))</f>
        <v/>
      </c>
      <c r="J574" s="74">
        <f>IF($C574="","",IF($D574="NO ENCONTRADO",IF(COUNTIF($C$7:$C$1000,$C574)&gt;1,"⚠️ No encontrado | Duplicado","⚠️ No encontrado"),IF(COUNTIF($C$7:$C$1000,$C574)&gt;1,"⚠️ Duplicado","Verificado")))</f>
        <v/>
      </c>
    </row>
    <row r="575" ht="15.75" customHeight="1" s="176">
      <c r="B575" s="80" t="n"/>
      <c r="C575" s="74" t="n"/>
      <c r="D575" s="74">
        <f t="array" ref="D575">IF($C575="","",IFNA(_xlfn.XLOOKUP($C575,Productos!$A:$A,Productos!$E:$E,IFNA(_xlfn.XLOOKUP(TEXT($C575,"0"),Productos!$A:$A,Productos!$E:$E,IFNA(_xlfn.XLOOKUP(IFERROR(VALUE($C575),""),Productos!$A:$A,Productos!$E:$E,_xlfn.XLOOKUP($C575,Productos!$E:$E,Productos!$E:$E,"NO ENCONTRADO")),"NO ENCONTRADO")),"NO ENCONTRADO")),"NO ENCONTRADO"))</f>
        <v/>
      </c>
      <c r="E575" s="74">
        <f t="array" ref="E575">IF(OR($D575="",$D575="NO ENCONTRADO"),"",_xlfn.XLOOKUP($D575,Productos!$E:$E,Productos!$H:$H,""))</f>
        <v/>
      </c>
      <c r="F575" s="74">
        <f t="array" ref="F575">IF(OR($D575="",$D575="NO ENCONTRADO"),"",_xlfn.XLOOKUP($D575,Productos!$E:$E,Productos!$I:$I,""))</f>
        <v/>
      </c>
      <c r="G575" s="74">
        <f t="array" ref="G575">IF(OR($D575="",$D575="NO ENCONTRADO"),"",_xlfn.XLOOKUP($D575,Productos!$E:$E,Productos!$J:$J,""))</f>
        <v/>
      </c>
      <c r="H575" s="74">
        <f t="array" ref="H575">IF(OR($D575="",$D575="NO ENCONTRADO"),"",_xlfn.XLOOKUP($D575,Productos!$E:$E,Productos!$K:$K,""))</f>
        <v/>
      </c>
      <c r="I575" s="74">
        <f t="array" ref="I575">IF(OR($D575="",$D575="NO ENCONTRADO"),"",_xlfn.XLOOKUP($D575,Productos!$E:$E,Productos!$F:$F,""))</f>
        <v/>
      </c>
      <c r="J575" s="74">
        <f>IF($C575="","",IF($D575="NO ENCONTRADO",IF(COUNTIF($C$7:$C$1000,$C575)&gt;1,"⚠️ No encontrado | Duplicado","⚠️ No encontrado"),IF(COUNTIF($C$7:$C$1000,$C575)&gt;1,"⚠️ Duplicado","Verificado")))</f>
        <v/>
      </c>
    </row>
    <row r="576" ht="15.75" customHeight="1" s="176">
      <c r="B576" s="80" t="n"/>
      <c r="C576" s="74" t="n"/>
      <c r="D576" s="74">
        <f t="array" ref="D576">IF($C576="","",IFNA(_xlfn.XLOOKUP($C576,Productos!$A:$A,Productos!$E:$E,IFNA(_xlfn.XLOOKUP(TEXT($C576,"0"),Productos!$A:$A,Productos!$E:$E,IFNA(_xlfn.XLOOKUP(IFERROR(VALUE($C576),""),Productos!$A:$A,Productos!$E:$E,_xlfn.XLOOKUP($C576,Productos!$E:$E,Productos!$E:$E,"NO ENCONTRADO")),"NO ENCONTRADO")),"NO ENCONTRADO")),"NO ENCONTRADO"))</f>
        <v/>
      </c>
      <c r="E576" s="74">
        <f t="array" ref="E576">IF(OR($D576="",$D576="NO ENCONTRADO"),"",_xlfn.XLOOKUP($D576,Productos!$E:$E,Productos!$H:$H,""))</f>
        <v/>
      </c>
      <c r="F576" s="74">
        <f t="array" ref="F576">IF(OR($D576="",$D576="NO ENCONTRADO"),"",_xlfn.XLOOKUP($D576,Productos!$E:$E,Productos!$I:$I,""))</f>
        <v/>
      </c>
      <c r="G576" s="74">
        <f t="array" ref="G576">IF(OR($D576="",$D576="NO ENCONTRADO"),"",_xlfn.XLOOKUP($D576,Productos!$E:$E,Productos!$J:$J,""))</f>
        <v/>
      </c>
      <c r="H576" s="74">
        <f t="array" ref="H576">IF(OR($D576="",$D576="NO ENCONTRADO"),"",_xlfn.XLOOKUP($D576,Productos!$E:$E,Productos!$K:$K,""))</f>
        <v/>
      </c>
      <c r="I576" s="74">
        <f t="array" ref="I576">IF(OR($D576="",$D576="NO ENCONTRADO"),"",_xlfn.XLOOKUP($D576,Productos!$E:$E,Productos!$F:$F,""))</f>
        <v/>
      </c>
      <c r="J576" s="74">
        <f>IF($C576="","",IF($D576="NO ENCONTRADO",IF(COUNTIF($C$7:$C$1000,$C576)&gt;1,"⚠️ No encontrado | Duplicado","⚠️ No encontrado"),IF(COUNTIF($C$7:$C$1000,$C576)&gt;1,"⚠️ Duplicado","Verificado")))</f>
        <v/>
      </c>
    </row>
    <row r="577" ht="15.75" customHeight="1" s="176">
      <c r="B577" s="80" t="n"/>
      <c r="C577" s="74" t="n"/>
      <c r="D577" s="74">
        <f t="array" ref="D577">IF($C577="","",IFNA(_xlfn.XLOOKUP($C577,Productos!$A:$A,Productos!$E:$E,IFNA(_xlfn.XLOOKUP(TEXT($C577,"0"),Productos!$A:$A,Productos!$E:$E,IFNA(_xlfn.XLOOKUP(IFERROR(VALUE($C577),""),Productos!$A:$A,Productos!$E:$E,_xlfn.XLOOKUP($C577,Productos!$E:$E,Productos!$E:$E,"NO ENCONTRADO")),"NO ENCONTRADO")),"NO ENCONTRADO")),"NO ENCONTRADO"))</f>
        <v/>
      </c>
      <c r="E577" s="74">
        <f t="array" ref="E577">IF(OR($D577="",$D577="NO ENCONTRADO"),"",_xlfn.XLOOKUP($D577,Productos!$E:$E,Productos!$H:$H,""))</f>
        <v/>
      </c>
      <c r="F577" s="74">
        <f t="array" ref="F577">IF(OR($D577="",$D577="NO ENCONTRADO"),"",_xlfn.XLOOKUP($D577,Productos!$E:$E,Productos!$I:$I,""))</f>
        <v/>
      </c>
      <c r="G577" s="74">
        <f t="array" ref="G577">IF(OR($D577="",$D577="NO ENCONTRADO"),"",_xlfn.XLOOKUP($D577,Productos!$E:$E,Productos!$J:$J,""))</f>
        <v/>
      </c>
      <c r="H577" s="74">
        <f t="array" ref="H577">IF(OR($D577="",$D577="NO ENCONTRADO"),"",_xlfn.XLOOKUP($D577,Productos!$E:$E,Productos!$K:$K,""))</f>
        <v/>
      </c>
      <c r="I577" s="74">
        <f t="array" ref="I577">IF(OR($D577="",$D577="NO ENCONTRADO"),"",_xlfn.XLOOKUP($D577,Productos!$E:$E,Productos!$F:$F,""))</f>
        <v/>
      </c>
      <c r="J577" s="74">
        <f>IF($C577="","",IF($D577="NO ENCONTRADO",IF(COUNTIF($C$7:$C$1000,$C577)&gt;1,"⚠️ No encontrado | Duplicado","⚠️ No encontrado"),IF(COUNTIF($C$7:$C$1000,$C577)&gt;1,"⚠️ Duplicado","Verificado")))</f>
        <v/>
      </c>
    </row>
    <row r="578" ht="15.75" customHeight="1" s="176">
      <c r="B578" s="80" t="n"/>
      <c r="C578" s="74" t="n"/>
      <c r="D578" s="74">
        <f t="array" ref="D578">IF($C578="","",IFNA(_xlfn.XLOOKUP($C578,Productos!$A:$A,Productos!$E:$E,IFNA(_xlfn.XLOOKUP(TEXT($C578,"0"),Productos!$A:$A,Productos!$E:$E,IFNA(_xlfn.XLOOKUP(IFERROR(VALUE($C578),""),Productos!$A:$A,Productos!$E:$E,_xlfn.XLOOKUP($C578,Productos!$E:$E,Productos!$E:$E,"NO ENCONTRADO")),"NO ENCONTRADO")),"NO ENCONTRADO")),"NO ENCONTRADO"))</f>
        <v/>
      </c>
      <c r="E578" s="74">
        <f t="array" ref="E578">IF(OR($D578="",$D578="NO ENCONTRADO"),"",_xlfn.XLOOKUP($D578,Productos!$E:$E,Productos!$H:$H,""))</f>
        <v/>
      </c>
      <c r="F578" s="74">
        <f t="array" ref="F578">IF(OR($D578="",$D578="NO ENCONTRADO"),"",_xlfn.XLOOKUP($D578,Productos!$E:$E,Productos!$I:$I,""))</f>
        <v/>
      </c>
      <c r="G578" s="74">
        <f t="array" ref="G578">IF(OR($D578="",$D578="NO ENCONTRADO"),"",_xlfn.XLOOKUP($D578,Productos!$E:$E,Productos!$J:$J,""))</f>
        <v/>
      </c>
      <c r="H578" s="74">
        <f t="array" ref="H578">IF(OR($D578="",$D578="NO ENCONTRADO"),"",_xlfn.XLOOKUP($D578,Productos!$E:$E,Productos!$K:$K,""))</f>
        <v/>
      </c>
      <c r="I578" s="74">
        <f t="array" ref="I578">IF(OR($D578="",$D578="NO ENCONTRADO"),"",_xlfn.XLOOKUP($D578,Productos!$E:$E,Productos!$F:$F,""))</f>
        <v/>
      </c>
      <c r="J578" s="74">
        <f>IF($C578="","",IF($D578="NO ENCONTRADO",IF(COUNTIF($C$7:$C$1000,$C578)&gt;1,"⚠️ No encontrado | Duplicado","⚠️ No encontrado"),IF(COUNTIF($C$7:$C$1000,$C578)&gt;1,"⚠️ Duplicado","Verificado")))</f>
        <v/>
      </c>
    </row>
    <row r="579" ht="15.75" customHeight="1" s="176">
      <c r="B579" s="80" t="n"/>
      <c r="C579" s="74" t="n"/>
      <c r="D579" s="74">
        <f t="array" ref="D579">IF($C579="","",IFNA(_xlfn.XLOOKUP($C579,Productos!$A:$A,Productos!$E:$E,IFNA(_xlfn.XLOOKUP(TEXT($C579,"0"),Productos!$A:$A,Productos!$E:$E,IFNA(_xlfn.XLOOKUP(IFERROR(VALUE($C579),""),Productos!$A:$A,Productos!$E:$E,_xlfn.XLOOKUP($C579,Productos!$E:$E,Productos!$E:$E,"NO ENCONTRADO")),"NO ENCONTRADO")),"NO ENCONTRADO")),"NO ENCONTRADO"))</f>
        <v/>
      </c>
      <c r="E579" s="74">
        <f t="array" ref="E579">IF(OR($D579="",$D579="NO ENCONTRADO"),"",_xlfn.XLOOKUP($D579,Productos!$E:$E,Productos!$H:$H,""))</f>
        <v/>
      </c>
      <c r="F579" s="74">
        <f t="array" ref="F579">IF(OR($D579="",$D579="NO ENCONTRADO"),"",_xlfn.XLOOKUP($D579,Productos!$E:$E,Productos!$I:$I,""))</f>
        <v/>
      </c>
      <c r="G579" s="74">
        <f t="array" ref="G579">IF(OR($D579="",$D579="NO ENCONTRADO"),"",_xlfn.XLOOKUP($D579,Productos!$E:$E,Productos!$J:$J,""))</f>
        <v/>
      </c>
      <c r="H579" s="74">
        <f t="array" ref="H579">IF(OR($D579="",$D579="NO ENCONTRADO"),"",_xlfn.XLOOKUP($D579,Productos!$E:$E,Productos!$K:$K,""))</f>
        <v/>
      </c>
      <c r="I579" s="74">
        <f t="array" ref="I579">IF(OR($D579="",$D579="NO ENCONTRADO"),"",_xlfn.XLOOKUP($D579,Productos!$E:$E,Productos!$F:$F,""))</f>
        <v/>
      </c>
      <c r="J579" s="74">
        <f>IF($C579="","",IF($D579="NO ENCONTRADO",IF(COUNTIF($C$7:$C$1000,$C579)&gt;1,"⚠️ No encontrado | Duplicado","⚠️ No encontrado"),IF(COUNTIF($C$7:$C$1000,$C579)&gt;1,"⚠️ Duplicado","Verificado")))</f>
        <v/>
      </c>
    </row>
    <row r="580" ht="15.75" customHeight="1" s="176">
      <c r="B580" s="80" t="n"/>
      <c r="C580" s="74" t="n"/>
      <c r="D580" s="74">
        <f t="array" ref="D580">IF($C580="","",IFNA(_xlfn.XLOOKUP($C580,Productos!$A:$A,Productos!$E:$E,IFNA(_xlfn.XLOOKUP(TEXT($C580,"0"),Productos!$A:$A,Productos!$E:$E,IFNA(_xlfn.XLOOKUP(IFERROR(VALUE($C580),""),Productos!$A:$A,Productos!$E:$E,_xlfn.XLOOKUP($C580,Productos!$E:$E,Productos!$E:$E,"NO ENCONTRADO")),"NO ENCONTRADO")),"NO ENCONTRADO")),"NO ENCONTRADO"))</f>
        <v/>
      </c>
      <c r="E580" s="74">
        <f t="array" ref="E580">IF(OR($D580="",$D580="NO ENCONTRADO"),"",_xlfn.XLOOKUP($D580,Productos!$E:$E,Productos!$H:$H,""))</f>
        <v/>
      </c>
      <c r="F580" s="74">
        <f t="array" ref="F580">IF(OR($D580="",$D580="NO ENCONTRADO"),"",_xlfn.XLOOKUP($D580,Productos!$E:$E,Productos!$I:$I,""))</f>
        <v/>
      </c>
      <c r="G580" s="74">
        <f t="array" ref="G580">IF(OR($D580="",$D580="NO ENCONTRADO"),"",_xlfn.XLOOKUP($D580,Productos!$E:$E,Productos!$J:$J,""))</f>
        <v/>
      </c>
      <c r="H580" s="74">
        <f t="array" ref="H580">IF(OR($D580="",$D580="NO ENCONTRADO"),"",_xlfn.XLOOKUP($D580,Productos!$E:$E,Productos!$K:$K,""))</f>
        <v/>
      </c>
      <c r="I580" s="74">
        <f t="array" ref="I580">IF(OR($D580="",$D580="NO ENCONTRADO"),"",_xlfn.XLOOKUP($D580,Productos!$E:$E,Productos!$F:$F,""))</f>
        <v/>
      </c>
      <c r="J580" s="74">
        <f>IF($C580="","",IF($D580="NO ENCONTRADO",IF(COUNTIF($C$7:$C$1000,$C580)&gt;1,"⚠️ No encontrado | Duplicado","⚠️ No encontrado"),IF(COUNTIF($C$7:$C$1000,$C580)&gt;1,"⚠️ Duplicado","Verificado")))</f>
        <v/>
      </c>
    </row>
    <row r="581" ht="15.75" customHeight="1" s="176">
      <c r="B581" s="80" t="n"/>
      <c r="C581" s="74" t="n"/>
      <c r="D581" s="74">
        <f t="array" ref="D581">IF($C581="","",IFNA(_xlfn.XLOOKUP($C581,Productos!$A:$A,Productos!$E:$E,IFNA(_xlfn.XLOOKUP(TEXT($C581,"0"),Productos!$A:$A,Productos!$E:$E,IFNA(_xlfn.XLOOKUP(IFERROR(VALUE($C581),""),Productos!$A:$A,Productos!$E:$E,_xlfn.XLOOKUP($C581,Productos!$E:$E,Productos!$E:$E,"NO ENCONTRADO")),"NO ENCONTRADO")),"NO ENCONTRADO")),"NO ENCONTRADO"))</f>
        <v/>
      </c>
      <c r="E581" s="74">
        <f t="array" ref="E581">IF(OR($D581="",$D581="NO ENCONTRADO"),"",_xlfn.XLOOKUP($D581,Productos!$E:$E,Productos!$H:$H,""))</f>
        <v/>
      </c>
      <c r="F581" s="74">
        <f t="array" ref="F581">IF(OR($D581="",$D581="NO ENCONTRADO"),"",_xlfn.XLOOKUP($D581,Productos!$E:$E,Productos!$I:$I,""))</f>
        <v/>
      </c>
      <c r="G581" s="74">
        <f t="array" ref="G581">IF(OR($D581="",$D581="NO ENCONTRADO"),"",_xlfn.XLOOKUP($D581,Productos!$E:$E,Productos!$J:$J,""))</f>
        <v/>
      </c>
      <c r="H581" s="74">
        <f t="array" ref="H581">IF(OR($D581="",$D581="NO ENCONTRADO"),"",_xlfn.XLOOKUP($D581,Productos!$E:$E,Productos!$K:$K,""))</f>
        <v/>
      </c>
      <c r="I581" s="74">
        <f t="array" ref="I581">IF(OR($D581="",$D581="NO ENCONTRADO"),"",_xlfn.XLOOKUP($D581,Productos!$E:$E,Productos!$F:$F,""))</f>
        <v/>
      </c>
      <c r="J581" s="74">
        <f>IF($C581="","",IF($D581="NO ENCONTRADO",IF(COUNTIF($C$7:$C$1000,$C581)&gt;1,"⚠️ No encontrado | Duplicado","⚠️ No encontrado"),IF(COUNTIF($C$7:$C$1000,$C581)&gt;1,"⚠️ Duplicado","Verificado")))</f>
        <v/>
      </c>
    </row>
    <row r="582" ht="15.75" customHeight="1" s="176">
      <c r="B582" s="80" t="n"/>
      <c r="C582" s="74" t="n"/>
      <c r="D582" s="74">
        <f t="array" ref="D582">IF($C582="","",IFNA(_xlfn.XLOOKUP($C582,Productos!$A:$A,Productos!$E:$E,IFNA(_xlfn.XLOOKUP(TEXT($C582,"0"),Productos!$A:$A,Productos!$E:$E,IFNA(_xlfn.XLOOKUP(IFERROR(VALUE($C582),""),Productos!$A:$A,Productos!$E:$E,_xlfn.XLOOKUP($C582,Productos!$E:$E,Productos!$E:$E,"NO ENCONTRADO")),"NO ENCONTRADO")),"NO ENCONTRADO")),"NO ENCONTRADO"))</f>
        <v/>
      </c>
      <c r="E582" s="74">
        <f t="array" ref="E582">IF(OR($D582="",$D582="NO ENCONTRADO"),"",_xlfn.XLOOKUP($D582,Productos!$E:$E,Productos!$H:$H,""))</f>
        <v/>
      </c>
      <c r="F582" s="74">
        <f t="array" ref="F582">IF(OR($D582="",$D582="NO ENCONTRADO"),"",_xlfn.XLOOKUP($D582,Productos!$E:$E,Productos!$I:$I,""))</f>
        <v/>
      </c>
      <c r="G582" s="74">
        <f t="array" ref="G582">IF(OR($D582="",$D582="NO ENCONTRADO"),"",_xlfn.XLOOKUP($D582,Productos!$E:$E,Productos!$J:$J,""))</f>
        <v/>
      </c>
      <c r="H582" s="74">
        <f t="array" ref="H582">IF(OR($D582="",$D582="NO ENCONTRADO"),"",_xlfn.XLOOKUP($D582,Productos!$E:$E,Productos!$K:$K,""))</f>
        <v/>
      </c>
      <c r="I582" s="74">
        <f t="array" ref="I582">IF(OR($D582="",$D582="NO ENCONTRADO"),"",_xlfn.XLOOKUP($D582,Productos!$E:$E,Productos!$F:$F,""))</f>
        <v/>
      </c>
      <c r="J582" s="74">
        <f>IF($C582="","",IF($D582="NO ENCONTRADO",IF(COUNTIF($C$7:$C$1000,$C582)&gt;1,"⚠️ No encontrado | Duplicado","⚠️ No encontrado"),IF(COUNTIF($C$7:$C$1000,$C582)&gt;1,"⚠️ Duplicado","Verificado")))</f>
        <v/>
      </c>
    </row>
    <row r="583" ht="15.75" customHeight="1" s="176">
      <c r="B583" s="80" t="n"/>
      <c r="C583" s="74" t="n"/>
      <c r="D583" s="74">
        <f t="array" ref="D583">IF($C583="","",IFNA(_xlfn.XLOOKUP($C583,Productos!$A:$A,Productos!$E:$E,IFNA(_xlfn.XLOOKUP(TEXT($C583,"0"),Productos!$A:$A,Productos!$E:$E,IFNA(_xlfn.XLOOKUP(IFERROR(VALUE($C583),""),Productos!$A:$A,Productos!$E:$E,_xlfn.XLOOKUP($C583,Productos!$E:$E,Productos!$E:$E,"NO ENCONTRADO")),"NO ENCONTRADO")),"NO ENCONTRADO")),"NO ENCONTRADO"))</f>
        <v/>
      </c>
      <c r="E583" s="74">
        <f t="array" ref="E583">IF(OR($D583="",$D583="NO ENCONTRADO"),"",_xlfn.XLOOKUP($D583,Productos!$E:$E,Productos!$H:$H,""))</f>
        <v/>
      </c>
      <c r="F583" s="74">
        <f t="array" ref="F583">IF(OR($D583="",$D583="NO ENCONTRADO"),"",_xlfn.XLOOKUP($D583,Productos!$E:$E,Productos!$I:$I,""))</f>
        <v/>
      </c>
      <c r="G583" s="74">
        <f t="array" ref="G583">IF(OR($D583="",$D583="NO ENCONTRADO"),"",_xlfn.XLOOKUP($D583,Productos!$E:$E,Productos!$J:$J,""))</f>
        <v/>
      </c>
      <c r="H583" s="74">
        <f t="array" ref="H583">IF(OR($D583="",$D583="NO ENCONTRADO"),"",_xlfn.XLOOKUP($D583,Productos!$E:$E,Productos!$K:$K,""))</f>
        <v/>
      </c>
      <c r="I583" s="74">
        <f t="array" ref="I583">IF(OR($D583="",$D583="NO ENCONTRADO"),"",_xlfn.XLOOKUP($D583,Productos!$E:$E,Productos!$F:$F,""))</f>
        <v/>
      </c>
      <c r="J583" s="74">
        <f>IF($C583="","",IF($D583="NO ENCONTRADO",IF(COUNTIF($C$7:$C$1000,$C583)&gt;1,"⚠️ No encontrado | Duplicado","⚠️ No encontrado"),IF(COUNTIF($C$7:$C$1000,$C583)&gt;1,"⚠️ Duplicado","Verificado")))</f>
        <v/>
      </c>
    </row>
    <row r="584" ht="15.75" customHeight="1" s="176">
      <c r="B584" s="80" t="n"/>
      <c r="C584" s="74" t="n"/>
      <c r="D584" s="74">
        <f t="array" ref="D584">IF($C584="","",IFNA(_xlfn.XLOOKUP($C584,Productos!$A:$A,Productos!$E:$E,IFNA(_xlfn.XLOOKUP(TEXT($C584,"0"),Productos!$A:$A,Productos!$E:$E,IFNA(_xlfn.XLOOKUP(IFERROR(VALUE($C584),""),Productos!$A:$A,Productos!$E:$E,_xlfn.XLOOKUP($C584,Productos!$E:$E,Productos!$E:$E,"NO ENCONTRADO")),"NO ENCONTRADO")),"NO ENCONTRADO")),"NO ENCONTRADO"))</f>
        <v/>
      </c>
      <c r="E584" s="74">
        <f t="array" ref="E584">IF(OR($D584="",$D584="NO ENCONTRADO"),"",_xlfn.XLOOKUP($D584,Productos!$E:$E,Productos!$H:$H,""))</f>
        <v/>
      </c>
      <c r="F584" s="74">
        <f t="array" ref="F584">IF(OR($D584="",$D584="NO ENCONTRADO"),"",_xlfn.XLOOKUP($D584,Productos!$E:$E,Productos!$I:$I,""))</f>
        <v/>
      </c>
      <c r="G584" s="74">
        <f t="array" ref="G584">IF(OR($D584="",$D584="NO ENCONTRADO"),"",_xlfn.XLOOKUP($D584,Productos!$E:$E,Productos!$J:$J,""))</f>
        <v/>
      </c>
      <c r="H584" s="74">
        <f t="array" ref="H584">IF(OR($D584="",$D584="NO ENCONTRADO"),"",_xlfn.XLOOKUP($D584,Productos!$E:$E,Productos!$K:$K,""))</f>
        <v/>
      </c>
      <c r="I584" s="74">
        <f t="array" ref="I584">IF(OR($D584="",$D584="NO ENCONTRADO"),"",_xlfn.XLOOKUP($D584,Productos!$E:$E,Productos!$F:$F,""))</f>
        <v/>
      </c>
      <c r="J584" s="74">
        <f>IF($C584="","",IF($D584="NO ENCONTRADO",IF(COUNTIF($C$7:$C$1000,$C584)&gt;1,"⚠️ No encontrado | Duplicado","⚠️ No encontrado"),IF(COUNTIF($C$7:$C$1000,$C584)&gt;1,"⚠️ Duplicado","Verificado")))</f>
        <v/>
      </c>
    </row>
    <row r="585" ht="15.75" customHeight="1" s="176">
      <c r="B585" s="80" t="n"/>
      <c r="C585" s="74" t="n"/>
      <c r="D585" s="74">
        <f t="array" ref="D585">IF($C585="","",IFNA(_xlfn.XLOOKUP($C585,Productos!$A:$A,Productos!$E:$E,IFNA(_xlfn.XLOOKUP(TEXT($C585,"0"),Productos!$A:$A,Productos!$E:$E,IFNA(_xlfn.XLOOKUP(IFERROR(VALUE($C585),""),Productos!$A:$A,Productos!$E:$E,_xlfn.XLOOKUP($C585,Productos!$E:$E,Productos!$E:$E,"NO ENCONTRADO")),"NO ENCONTRADO")),"NO ENCONTRADO")),"NO ENCONTRADO"))</f>
        <v/>
      </c>
      <c r="E585" s="74">
        <f t="array" ref="E585">IF(OR($D585="",$D585="NO ENCONTRADO"),"",_xlfn.XLOOKUP($D585,Productos!$E:$E,Productos!$H:$H,""))</f>
        <v/>
      </c>
      <c r="F585" s="74">
        <f t="array" ref="F585">IF(OR($D585="",$D585="NO ENCONTRADO"),"",_xlfn.XLOOKUP($D585,Productos!$E:$E,Productos!$I:$I,""))</f>
        <v/>
      </c>
      <c r="G585" s="74">
        <f t="array" ref="G585">IF(OR($D585="",$D585="NO ENCONTRADO"),"",_xlfn.XLOOKUP($D585,Productos!$E:$E,Productos!$J:$J,""))</f>
        <v/>
      </c>
      <c r="H585" s="74">
        <f t="array" ref="H585">IF(OR($D585="",$D585="NO ENCONTRADO"),"",_xlfn.XLOOKUP($D585,Productos!$E:$E,Productos!$K:$K,""))</f>
        <v/>
      </c>
      <c r="I585" s="74">
        <f t="array" ref="I585">IF(OR($D585="",$D585="NO ENCONTRADO"),"",_xlfn.XLOOKUP($D585,Productos!$E:$E,Productos!$F:$F,""))</f>
        <v/>
      </c>
      <c r="J585" s="74">
        <f>IF($C585="","",IF($D585="NO ENCONTRADO",IF(COUNTIF($C$7:$C$1000,$C585)&gt;1,"⚠️ No encontrado | Duplicado","⚠️ No encontrado"),IF(COUNTIF($C$7:$C$1000,$C585)&gt;1,"⚠️ Duplicado","Verificado")))</f>
        <v/>
      </c>
    </row>
    <row r="586" ht="15.75" customHeight="1" s="176">
      <c r="B586" s="80" t="n"/>
      <c r="C586" s="74" t="n"/>
      <c r="D586" s="74">
        <f t="array" ref="D586">IF($C586="","",IFNA(_xlfn.XLOOKUP($C586,Productos!$A:$A,Productos!$E:$E,IFNA(_xlfn.XLOOKUP(TEXT($C586,"0"),Productos!$A:$A,Productos!$E:$E,IFNA(_xlfn.XLOOKUP(IFERROR(VALUE($C586),""),Productos!$A:$A,Productos!$E:$E,_xlfn.XLOOKUP($C586,Productos!$E:$E,Productos!$E:$E,"NO ENCONTRADO")),"NO ENCONTRADO")),"NO ENCONTRADO")),"NO ENCONTRADO"))</f>
        <v/>
      </c>
      <c r="E586" s="74">
        <f t="array" ref="E586">IF(OR($D586="",$D586="NO ENCONTRADO"),"",_xlfn.XLOOKUP($D586,Productos!$E:$E,Productos!$H:$H,""))</f>
        <v/>
      </c>
      <c r="F586" s="74">
        <f t="array" ref="F586">IF(OR($D586="",$D586="NO ENCONTRADO"),"",_xlfn.XLOOKUP($D586,Productos!$E:$E,Productos!$I:$I,""))</f>
        <v/>
      </c>
      <c r="G586" s="74">
        <f t="array" ref="G586">IF(OR($D586="",$D586="NO ENCONTRADO"),"",_xlfn.XLOOKUP($D586,Productos!$E:$E,Productos!$J:$J,""))</f>
        <v/>
      </c>
      <c r="H586" s="74">
        <f t="array" ref="H586">IF(OR($D586="",$D586="NO ENCONTRADO"),"",_xlfn.XLOOKUP($D586,Productos!$E:$E,Productos!$K:$K,""))</f>
        <v/>
      </c>
      <c r="I586" s="74">
        <f t="array" ref="I586">IF(OR($D586="",$D586="NO ENCONTRADO"),"",_xlfn.XLOOKUP($D586,Productos!$E:$E,Productos!$F:$F,""))</f>
        <v/>
      </c>
      <c r="J586" s="74">
        <f>IF($C586="","",IF($D586="NO ENCONTRADO",IF(COUNTIF($C$7:$C$1000,$C586)&gt;1,"⚠️ No encontrado | Duplicado","⚠️ No encontrado"),IF(COUNTIF($C$7:$C$1000,$C586)&gt;1,"⚠️ Duplicado","Verificado")))</f>
        <v/>
      </c>
    </row>
    <row r="587" ht="15.75" customHeight="1" s="176">
      <c r="B587" s="80" t="n"/>
      <c r="C587" s="74" t="n"/>
      <c r="D587" s="74">
        <f t="array" ref="D587">IF($C587="","",IFNA(_xlfn.XLOOKUP($C587,Productos!$A:$A,Productos!$E:$E,IFNA(_xlfn.XLOOKUP(TEXT($C587,"0"),Productos!$A:$A,Productos!$E:$E,IFNA(_xlfn.XLOOKUP(IFERROR(VALUE($C587),""),Productos!$A:$A,Productos!$E:$E,_xlfn.XLOOKUP($C587,Productos!$E:$E,Productos!$E:$E,"NO ENCONTRADO")),"NO ENCONTRADO")),"NO ENCONTRADO")),"NO ENCONTRADO"))</f>
        <v/>
      </c>
      <c r="E587" s="74">
        <f t="array" ref="E587">IF(OR($D587="",$D587="NO ENCONTRADO"),"",_xlfn.XLOOKUP($D587,Productos!$E:$E,Productos!$H:$H,""))</f>
        <v/>
      </c>
      <c r="F587" s="74">
        <f t="array" ref="F587">IF(OR($D587="",$D587="NO ENCONTRADO"),"",_xlfn.XLOOKUP($D587,Productos!$E:$E,Productos!$I:$I,""))</f>
        <v/>
      </c>
      <c r="G587" s="74">
        <f t="array" ref="G587">IF(OR($D587="",$D587="NO ENCONTRADO"),"",_xlfn.XLOOKUP($D587,Productos!$E:$E,Productos!$J:$J,""))</f>
        <v/>
      </c>
      <c r="H587" s="74">
        <f t="array" ref="H587">IF(OR($D587="",$D587="NO ENCONTRADO"),"",_xlfn.XLOOKUP($D587,Productos!$E:$E,Productos!$K:$K,""))</f>
        <v/>
      </c>
      <c r="I587" s="74">
        <f t="array" ref="I587">IF(OR($D587="",$D587="NO ENCONTRADO"),"",_xlfn.XLOOKUP($D587,Productos!$E:$E,Productos!$F:$F,""))</f>
        <v/>
      </c>
      <c r="J587" s="74">
        <f>IF($C587="","",IF($D587="NO ENCONTRADO",IF(COUNTIF($C$7:$C$1000,$C587)&gt;1,"⚠️ No encontrado | Duplicado","⚠️ No encontrado"),IF(COUNTIF($C$7:$C$1000,$C587)&gt;1,"⚠️ Duplicado","Verificado")))</f>
        <v/>
      </c>
    </row>
    <row r="588" ht="15.75" customHeight="1" s="176">
      <c r="B588" s="80" t="n"/>
      <c r="C588" s="74" t="n"/>
      <c r="D588" s="74">
        <f t="array" ref="D588">IF($C588="","",IFNA(_xlfn.XLOOKUP($C588,Productos!$A:$A,Productos!$E:$E,IFNA(_xlfn.XLOOKUP(TEXT($C588,"0"),Productos!$A:$A,Productos!$E:$E,IFNA(_xlfn.XLOOKUP(IFERROR(VALUE($C588),""),Productos!$A:$A,Productos!$E:$E,_xlfn.XLOOKUP($C588,Productos!$E:$E,Productos!$E:$E,"NO ENCONTRADO")),"NO ENCONTRADO")),"NO ENCONTRADO")),"NO ENCONTRADO"))</f>
        <v/>
      </c>
      <c r="E588" s="74">
        <f t="array" ref="E588">IF(OR($D588="",$D588="NO ENCONTRADO"),"",_xlfn.XLOOKUP($D588,Productos!$E:$E,Productos!$H:$H,""))</f>
        <v/>
      </c>
      <c r="F588" s="74">
        <f t="array" ref="F588">IF(OR($D588="",$D588="NO ENCONTRADO"),"",_xlfn.XLOOKUP($D588,Productos!$E:$E,Productos!$I:$I,""))</f>
        <v/>
      </c>
      <c r="G588" s="74">
        <f t="array" ref="G588">IF(OR($D588="",$D588="NO ENCONTRADO"),"",_xlfn.XLOOKUP($D588,Productos!$E:$E,Productos!$J:$J,""))</f>
        <v/>
      </c>
      <c r="H588" s="74">
        <f t="array" ref="H588">IF(OR($D588="",$D588="NO ENCONTRADO"),"",_xlfn.XLOOKUP($D588,Productos!$E:$E,Productos!$K:$K,""))</f>
        <v/>
      </c>
      <c r="I588" s="74">
        <f t="array" ref="I588">IF(OR($D588="",$D588="NO ENCONTRADO"),"",_xlfn.XLOOKUP($D588,Productos!$E:$E,Productos!$F:$F,""))</f>
        <v/>
      </c>
      <c r="J588" s="74">
        <f>IF($C588="","",IF($D588="NO ENCONTRADO",IF(COUNTIF($C$7:$C$1000,$C588)&gt;1,"⚠️ No encontrado | Duplicado","⚠️ No encontrado"),IF(COUNTIF($C$7:$C$1000,$C588)&gt;1,"⚠️ Duplicado","Verificado")))</f>
        <v/>
      </c>
    </row>
    <row r="589" ht="15.75" customHeight="1" s="176">
      <c r="B589" s="80" t="n"/>
      <c r="C589" s="74" t="n"/>
      <c r="D589" s="74">
        <f t="array" ref="D589">IF($C589="","",IFNA(_xlfn.XLOOKUP($C589,Productos!$A:$A,Productos!$E:$E,IFNA(_xlfn.XLOOKUP(TEXT($C589,"0"),Productos!$A:$A,Productos!$E:$E,IFNA(_xlfn.XLOOKUP(IFERROR(VALUE($C589),""),Productos!$A:$A,Productos!$E:$E,_xlfn.XLOOKUP($C589,Productos!$E:$E,Productos!$E:$E,"NO ENCONTRADO")),"NO ENCONTRADO")),"NO ENCONTRADO")),"NO ENCONTRADO"))</f>
        <v/>
      </c>
      <c r="E589" s="74">
        <f t="array" ref="E589">IF(OR($D589="",$D589="NO ENCONTRADO"),"",_xlfn.XLOOKUP($D589,Productos!$E:$E,Productos!$H:$H,""))</f>
        <v/>
      </c>
      <c r="F589" s="74">
        <f t="array" ref="F589">IF(OR($D589="",$D589="NO ENCONTRADO"),"",_xlfn.XLOOKUP($D589,Productos!$E:$E,Productos!$I:$I,""))</f>
        <v/>
      </c>
      <c r="G589" s="74">
        <f t="array" ref="G589">IF(OR($D589="",$D589="NO ENCONTRADO"),"",_xlfn.XLOOKUP($D589,Productos!$E:$E,Productos!$J:$J,""))</f>
        <v/>
      </c>
      <c r="H589" s="74">
        <f t="array" ref="H589">IF(OR($D589="",$D589="NO ENCONTRADO"),"",_xlfn.XLOOKUP($D589,Productos!$E:$E,Productos!$K:$K,""))</f>
        <v/>
      </c>
      <c r="I589" s="74">
        <f t="array" ref="I589">IF(OR($D589="",$D589="NO ENCONTRADO"),"",_xlfn.XLOOKUP($D589,Productos!$E:$E,Productos!$F:$F,""))</f>
        <v/>
      </c>
      <c r="J589" s="74">
        <f>IF($C589="","",IF($D589="NO ENCONTRADO",IF(COUNTIF($C$7:$C$1000,$C589)&gt;1,"⚠️ No encontrado | Duplicado","⚠️ No encontrado"),IF(COUNTIF($C$7:$C$1000,$C589)&gt;1,"⚠️ Duplicado","Verificado")))</f>
        <v/>
      </c>
    </row>
    <row r="590" ht="15.75" customHeight="1" s="176">
      <c r="B590" s="80" t="n"/>
      <c r="C590" s="74" t="n"/>
      <c r="D590" s="74">
        <f t="array" ref="D590">IF($C590="","",IFNA(_xlfn.XLOOKUP($C590,Productos!$A:$A,Productos!$E:$E,IFNA(_xlfn.XLOOKUP(TEXT($C590,"0"),Productos!$A:$A,Productos!$E:$E,IFNA(_xlfn.XLOOKUP(IFERROR(VALUE($C590),""),Productos!$A:$A,Productos!$E:$E,_xlfn.XLOOKUP($C590,Productos!$E:$E,Productos!$E:$E,"NO ENCONTRADO")),"NO ENCONTRADO")),"NO ENCONTRADO")),"NO ENCONTRADO"))</f>
        <v/>
      </c>
      <c r="E590" s="74">
        <f t="array" ref="E590">IF(OR($D590="",$D590="NO ENCONTRADO"),"",_xlfn.XLOOKUP($D590,Productos!$E:$E,Productos!$H:$H,""))</f>
        <v/>
      </c>
      <c r="F590" s="74">
        <f t="array" ref="F590">IF(OR($D590="",$D590="NO ENCONTRADO"),"",_xlfn.XLOOKUP($D590,Productos!$E:$E,Productos!$I:$I,""))</f>
        <v/>
      </c>
      <c r="G590" s="74">
        <f t="array" ref="G590">IF(OR($D590="",$D590="NO ENCONTRADO"),"",_xlfn.XLOOKUP($D590,Productos!$E:$E,Productos!$J:$J,""))</f>
        <v/>
      </c>
      <c r="H590" s="74">
        <f t="array" ref="H590">IF(OR($D590="",$D590="NO ENCONTRADO"),"",_xlfn.XLOOKUP($D590,Productos!$E:$E,Productos!$K:$K,""))</f>
        <v/>
      </c>
      <c r="I590" s="74">
        <f t="array" ref="I590">IF(OR($D590="",$D590="NO ENCONTRADO"),"",_xlfn.XLOOKUP($D590,Productos!$E:$E,Productos!$F:$F,""))</f>
        <v/>
      </c>
      <c r="J590" s="74">
        <f>IF($C590="","",IF($D590="NO ENCONTRADO",IF(COUNTIF($C$7:$C$1000,$C590)&gt;1,"⚠️ No encontrado | Duplicado","⚠️ No encontrado"),IF(COUNTIF($C$7:$C$1000,$C590)&gt;1,"⚠️ Duplicado","Verificado")))</f>
        <v/>
      </c>
    </row>
    <row r="591" ht="15.75" customHeight="1" s="176">
      <c r="B591" s="80" t="n"/>
      <c r="C591" s="74" t="n"/>
      <c r="D591" s="74">
        <f t="array" ref="D591">IF($C591="","",IFNA(_xlfn.XLOOKUP($C591,Productos!$A:$A,Productos!$E:$E,IFNA(_xlfn.XLOOKUP(TEXT($C591,"0"),Productos!$A:$A,Productos!$E:$E,IFNA(_xlfn.XLOOKUP(IFERROR(VALUE($C591),""),Productos!$A:$A,Productos!$E:$E,_xlfn.XLOOKUP($C591,Productos!$E:$E,Productos!$E:$E,"NO ENCONTRADO")),"NO ENCONTRADO")),"NO ENCONTRADO")),"NO ENCONTRADO"))</f>
        <v/>
      </c>
      <c r="E591" s="74">
        <f t="array" ref="E591">IF(OR($D591="",$D591="NO ENCONTRADO"),"",_xlfn.XLOOKUP($D591,Productos!$E:$E,Productos!$H:$H,""))</f>
        <v/>
      </c>
      <c r="F591" s="74">
        <f t="array" ref="F591">IF(OR($D591="",$D591="NO ENCONTRADO"),"",_xlfn.XLOOKUP($D591,Productos!$E:$E,Productos!$I:$I,""))</f>
        <v/>
      </c>
      <c r="G591" s="74">
        <f t="array" ref="G591">IF(OR($D591="",$D591="NO ENCONTRADO"),"",_xlfn.XLOOKUP($D591,Productos!$E:$E,Productos!$J:$J,""))</f>
        <v/>
      </c>
      <c r="H591" s="74">
        <f t="array" ref="H591">IF(OR($D591="",$D591="NO ENCONTRADO"),"",_xlfn.XLOOKUP($D591,Productos!$E:$E,Productos!$K:$K,""))</f>
        <v/>
      </c>
      <c r="I591" s="74">
        <f t="array" ref="I591">IF(OR($D591="",$D591="NO ENCONTRADO"),"",_xlfn.XLOOKUP($D591,Productos!$E:$E,Productos!$F:$F,""))</f>
        <v/>
      </c>
      <c r="J591" s="74">
        <f>IF($C591="","",IF($D591="NO ENCONTRADO",IF(COUNTIF($C$7:$C$1000,$C591)&gt;1,"⚠️ No encontrado | Duplicado","⚠️ No encontrado"),IF(COUNTIF($C$7:$C$1000,$C591)&gt;1,"⚠️ Duplicado","Verificado")))</f>
        <v/>
      </c>
    </row>
    <row r="592" ht="15.75" customHeight="1" s="176">
      <c r="B592" s="80" t="n"/>
      <c r="C592" s="74" t="n"/>
      <c r="D592" s="74">
        <f t="array" ref="D592">IF($C592="","",IFNA(_xlfn.XLOOKUP($C592,Productos!$A:$A,Productos!$E:$E,IFNA(_xlfn.XLOOKUP(TEXT($C592,"0"),Productos!$A:$A,Productos!$E:$E,IFNA(_xlfn.XLOOKUP(IFERROR(VALUE($C592),""),Productos!$A:$A,Productos!$E:$E,_xlfn.XLOOKUP($C592,Productos!$E:$E,Productos!$E:$E,"NO ENCONTRADO")),"NO ENCONTRADO")),"NO ENCONTRADO")),"NO ENCONTRADO"))</f>
        <v/>
      </c>
      <c r="E592" s="74">
        <f t="array" ref="E592">IF(OR($D592="",$D592="NO ENCONTRADO"),"",_xlfn.XLOOKUP($D592,Productos!$E:$E,Productos!$H:$H,""))</f>
        <v/>
      </c>
      <c r="F592" s="74">
        <f t="array" ref="F592">IF(OR($D592="",$D592="NO ENCONTRADO"),"",_xlfn.XLOOKUP($D592,Productos!$E:$E,Productos!$I:$I,""))</f>
        <v/>
      </c>
      <c r="G592" s="74">
        <f t="array" ref="G592">IF(OR($D592="",$D592="NO ENCONTRADO"),"",_xlfn.XLOOKUP($D592,Productos!$E:$E,Productos!$J:$J,""))</f>
        <v/>
      </c>
      <c r="H592" s="74">
        <f t="array" ref="H592">IF(OR($D592="",$D592="NO ENCONTRADO"),"",_xlfn.XLOOKUP($D592,Productos!$E:$E,Productos!$K:$K,""))</f>
        <v/>
      </c>
      <c r="I592" s="74">
        <f t="array" ref="I592">IF(OR($D592="",$D592="NO ENCONTRADO"),"",_xlfn.XLOOKUP($D592,Productos!$E:$E,Productos!$F:$F,""))</f>
        <v/>
      </c>
      <c r="J592" s="74">
        <f>IF($C592="","",IF($D592="NO ENCONTRADO",IF(COUNTIF($C$7:$C$1000,$C592)&gt;1,"⚠️ No encontrado | Duplicado","⚠️ No encontrado"),IF(COUNTIF($C$7:$C$1000,$C592)&gt;1,"⚠️ Duplicado","Verificado")))</f>
        <v/>
      </c>
    </row>
    <row r="593" ht="15.75" customHeight="1" s="176">
      <c r="B593" s="80" t="n"/>
      <c r="C593" s="74" t="n"/>
      <c r="D593" s="74">
        <f t="array" ref="D593">IF($C593="","",IFNA(_xlfn.XLOOKUP($C593,Productos!$A:$A,Productos!$E:$E,IFNA(_xlfn.XLOOKUP(TEXT($C593,"0"),Productos!$A:$A,Productos!$E:$E,IFNA(_xlfn.XLOOKUP(IFERROR(VALUE($C593),""),Productos!$A:$A,Productos!$E:$E,_xlfn.XLOOKUP($C593,Productos!$E:$E,Productos!$E:$E,"NO ENCONTRADO")),"NO ENCONTRADO")),"NO ENCONTRADO")),"NO ENCONTRADO"))</f>
        <v/>
      </c>
      <c r="E593" s="74">
        <f t="array" ref="E593">IF(OR($D593="",$D593="NO ENCONTRADO"),"",_xlfn.XLOOKUP($D593,Productos!$E:$E,Productos!$H:$H,""))</f>
        <v/>
      </c>
      <c r="F593" s="74">
        <f t="array" ref="F593">IF(OR($D593="",$D593="NO ENCONTRADO"),"",_xlfn.XLOOKUP($D593,Productos!$E:$E,Productos!$I:$I,""))</f>
        <v/>
      </c>
      <c r="G593" s="74">
        <f t="array" ref="G593">IF(OR($D593="",$D593="NO ENCONTRADO"),"",_xlfn.XLOOKUP($D593,Productos!$E:$E,Productos!$J:$J,""))</f>
        <v/>
      </c>
      <c r="H593" s="74">
        <f t="array" ref="H593">IF(OR($D593="",$D593="NO ENCONTRADO"),"",_xlfn.XLOOKUP($D593,Productos!$E:$E,Productos!$K:$K,""))</f>
        <v/>
      </c>
      <c r="I593" s="74">
        <f t="array" ref="I593">IF(OR($D593="",$D593="NO ENCONTRADO"),"",_xlfn.XLOOKUP($D593,Productos!$E:$E,Productos!$F:$F,""))</f>
        <v/>
      </c>
      <c r="J593" s="74">
        <f>IF($C593="","",IF($D593="NO ENCONTRADO",IF(COUNTIF($C$7:$C$1000,$C593)&gt;1,"⚠️ No encontrado | Duplicado","⚠️ No encontrado"),IF(COUNTIF($C$7:$C$1000,$C593)&gt;1,"⚠️ Duplicado","Verificado")))</f>
        <v/>
      </c>
    </row>
    <row r="594" ht="15.75" customHeight="1" s="176">
      <c r="B594" s="80" t="n"/>
      <c r="C594" s="74" t="n"/>
      <c r="D594" s="74">
        <f t="array" ref="D594">IF($C594="","",IFNA(_xlfn.XLOOKUP($C594,Productos!$A:$A,Productos!$E:$E,IFNA(_xlfn.XLOOKUP(TEXT($C594,"0"),Productos!$A:$A,Productos!$E:$E,IFNA(_xlfn.XLOOKUP(IFERROR(VALUE($C594),""),Productos!$A:$A,Productos!$E:$E,_xlfn.XLOOKUP($C594,Productos!$E:$E,Productos!$E:$E,"NO ENCONTRADO")),"NO ENCONTRADO")),"NO ENCONTRADO")),"NO ENCONTRADO"))</f>
        <v/>
      </c>
      <c r="E594" s="74">
        <f t="array" ref="E594">IF(OR($D594="",$D594="NO ENCONTRADO"),"",_xlfn.XLOOKUP($D594,Productos!$E:$E,Productos!$H:$H,""))</f>
        <v/>
      </c>
      <c r="F594" s="74">
        <f t="array" ref="F594">IF(OR($D594="",$D594="NO ENCONTRADO"),"",_xlfn.XLOOKUP($D594,Productos!$E:$E,Productos!$I:$I,""))</f>
        <v/>
      </c>
      <c r="G594" s="74">
        <f t="array" ref="G594">IF(OR($D594="",$D594="NO ENCONTRADO"),"",_xlfn.XLOOKUP($D594,Productos!$E:$E,Productos!$J:$J,""))</f>
        <v/>
      </c>
      <c r="H594" s="74">
        <f t="array" ref="H594">IF(OR($D594="",$D594="NO ENCONTRADO"),"",_xlfn.XLOOKUP($D594,Productos!$E:$E,Productos!$K:$K,""))</f>
        <v/>
      </c>
      <c r="I594" s="74">
        <f t="array" ref="I594">IF(OR($D594="",$D594="NO ENCONTRADO"),"",_xlfn.XLOOKUP($D594,Productos!$E:$E,Productos!$F:$F,""))</f>
        <v/>
      </c>
      <c r="J594" s="74">
        <f>IF($C594="","",IF($D594="NO ENCONTRADO",IF(COUNTIF($C$7:$C$1000,$C594)&gt;1,"⚠️ No encontrado | Duplicado","⚠️ No encontrado"),IF(COUNTIF($C$7:$C$1000,$C594)&gt;1,"⚠️ Duplicado","Verificado")))</f>
        <v/>
      </c>
    </row>
    <row r="595" ht="15.75" customHeight="1" s="176">
      <c r="B595" s="80" t="n"/>
      <c r="C595" s="74" t="n"/>
      <c r="D595" s="74">
        <f t="array" ref="D595">IF($C595="","",IFNA(_xlfn.XLOOKUP($C595,Productos!$A:$A,Productos!$E:$E,IFNA(_xlfn.XLOOKUP(TEXT($C595,"0"),Productos!$A:$A,Productos!$E:$E,IFNA(_xlfn.XLOOKUP(IFERROR(VALUE($C595),""),Productos!$A:$A,Productos!$E:$E,_xlfn.XLOOKUP($C595,Productos!$E:$E,Productos!$E:$E,"NO ENCONTRADO")),"NO ENCONTRADO")),"NO ENCONTRADO")),"NO ENCONTRADO"))</f>
        <v/>
      </c>
      <c r="E595" s="74">
        <f t="array" ref="E595">IF(OR($D595="",$D595="NO ENCONTRADO"),"",_xlfn.XLOOKUP($D595,Productos!$E:$E,Productos!$H:$H,""))</f>
        <v/>
      </c>
      <c r="F595" s="74">
        <f t="array" ref="F595">IF(OR($D595="",$D595="NO ENCONTRADO"),"",_xlfn.XLOOKUP($D595,Productos!$E:$E,Productos!$I:$I,""))</f>
        <v/>
      </c>
      <c r="G595" s="74">
        <f t="array" ref="G595">IF(OR($D595="",$D595="NO ENCONTRADO"),"",_xlfn.XLOOKUP($D595,Productos!$E:$E,Productos!$J:$J,""))</f>
        <v/>
      </c>
      <c r="H595" s="74">
        <f t="array" ref="H595">IF(OR($D595="",$D595="NO ENCONTRADO"),"",_xlfn.XLOOKUP($D595,Productos!$E:$E,Productos!$K:$K,""))</f>
        <v/>
      </c>
      <c r="I595" s="74">
        <f t="array" ref="I595">IF(OR($D595="",$D595="NO ENCONTRADO"),"",_xlfn.XLOOKUP($D595,Productos!$E:$E,Productos!$F:$F,""))</f>
        <v/>
      </c>
      <c r="J595" s="74">
        <f>IF($C595="","",IF($D595="NO ENCONTRADO",IF(COUNTIF($C$7:$C$1000,$C595)&gt;1,"⚠️ No encontrado | Duplicado","⚠️ No encontrado"),IF(COUNTIF($C$7:$C$1000,$C595)&gt;1,"⚠️ Duplicado","Verificado")))</f>
        <v/>
      </c>
    </row>
    <row r="596" ht="15.75" customHeight="1" s="176">
      <c r="B596" s="80" t="n"/>
      <c r="C596" s="74" t="n"/>
      <c r="D596" s="74">
        <f t="array" ref="D596">IF($C596="","",IFNA(_xlfn.XLOOKUP($C596,Productos!$A:$A,Productos!$E:$E,IFNA(_xlfn.XLOOKUP(TEXT($C596,"0"),Productos!$A:$A,Productos!$E:$E,IFNA(_xlfn.XLOOKUP(IFERROR(VALUE($C596),""),Productos!$A:$A,Productos!$E:$E,_xlfn.XLOOKUP($C596,Productos!$E:$E,Productos!$E:$E,"NO ENCONTRADO")),"NO ENCONTRADO")),"NO ENCONTRADO")),"NO ENCONTRADO"))</f>
        <v/>
      </c>
      <c r="E596" s="74">
        <f t="array" ref="E596">IF(OR($D596="",$D596="NO ENCONTRADO"),"",_xlfn.XLOOKUP($D596,Productos!$E:$E,Productos!$H:$H,""))</f>
        <v/>
      </c>
      <c r="F596" s="74">
        <f t="array" ref="F596">IF(OR($D596="",$D596="NO ENCONTRADO"),"",_xlfn.XLOOKUP($D596,Productos!$E:$E,Productos!$I:$I,""))</f>
        <v/>
      </c>
      <c r="G596" s="74">
        <f t="array" ref="G596">IF(OR($D596="",$D596="NO ENCONTRADO"),"",_xlfn.XLOOKUP($D596,Productos!$E:$E,Productos!$J:$J,""))</f>
        <v/>
      </c>
      <c r="H596" s="74">
        <f t="array" ref="H596">IF(OR($D596="",$D596="NO ENCONTRADO"),"",_xlfn.XLOOKUP($D596,Productos!$E:$E,Productos!$K:$K,""))</f>
        <v/>
      </c>
      <c r="I596" s="74">
        <f t="array" ref="I596">IF(OR($D596="",$D596="NO ENCONTRADO"),"",_xlfn.XLOOKUP($D596,Productos!$E:$E,Productos!$F:$F,""))</f>
        <v/>
      </c>
      <c r="J596" s="74">
        <f>IF($C596="","",IF($D596="NO ENCONTRADO",IF(COUNTIF($C$7:$C$1000,$C596)&gt;1,"⚠️ No encontrado | Duplicado","⚠️ No encontrado"),IF(COUNTIF($C$7:$C$1000,$C596)&gt;1,"⚠️ Duplicado","Verificado")))</f>
        <v/>
      </c>
    </row>
    <row r="597" ht="15.75" customHeight="1" s="176">
      <c r="B597" s="80" t="n"/>
      <c r="C597" s="74" t="n"/>
      <c r="D597" s="74">
        <f t="array" ref="D597">IF($C597="","",IFNA(_xlfn.XLOOKUP($C597,Productos!$A:$A,Productos!$E:$E,IFNA(_xlfn.XLOOKUP(TEXT($C597,"0"),Productos!$A:$A,Productos!$E:$E,IFNA(_xlfn.XLOOKUP(IFERROR(VALUE($C597),""),Productos!$A:$A,Productos!$E:$E,_xlfn.XLOOKUP($C597,Productos!$E:$E,Productos!$E:$E,"NO ENCONTRADO")),"NO ENCONTRADO")),"NO ENCONTRADO")),"NO ENCONTRADO"))</f>
        <v/>
      </c>
      <c r="E597" s="74">
        <f t="array" ref="E597">IF(OR($D597="",$D597="NO ENCONTRADO"),"",_xlfn.XLOOKUP($D597,Productos!$E:$E,Productos!$H:$H,""))</f>
        <v/>
      </c>
      <c r="F597" s="74">
        <f t="array" ref="F597">IF(OR($D597="",$D597="NO ENCONTRADO"),"",_xlfn.XLOOKUP($D597,Productos!$E:$E,Productos!$I:$I,""))</f>
        <v/>
      </c>
      <c r="G597" s="74">
        <f t="array" ref="G597">IF(OR($D597="",$D597="NO ENCONTRADO"),"",_xlfn.XLOOKUP($D597,Productos!$E:$E,Productos!$J:$J,""))</f>
        <v/>
      </c>
      <c r="H597" s="74">
        <f t="array" ref="H597">IF(OR($D597="",$D597="NO ENCONTRADO"),"",_xlfn.XLOOKUP($D597,Productos!$E:$E,Productos!$K:$K,""))</f>
        <v/>
      </c>
      <c r="I597" s="74">
        <f t="array" ref="I597">IF(OR($D597="",$D597="NO ENCONTRADO"),"",_xlfn.XLOOKUP($D597,Productos!$E:$E,Productos!$F:$F,""))</f>
        <v/>
      </c>
      <c r="J597" s="74">
        <f>IF($C597="","",IF($D597="NO ENCONTRADO",IF(COUNTIF($C$7:$C$1000,$C597)&gt;1,"⚠️ No encontrado | Duplicado","⚠️ No encontrado"),IF(COUNTIF($C$7:$C$1000,$C597)&gt;1,"⚠️ Duplicado","Verificado")))</f>
        <v/>
      </c>
    </row>
    <row r="598" ht="15.75" customHeight="1" s="176">
      <c r="B598" s="80" t="n"/>
      <c r="C598" s="74" t="n"/>
      <c r="D598" s="74">
        <f t="array" ref="D598">IF($C598="","",IFNA(_xlfn.XLOOKUP($C598,Productos!$A:$A,Productos!$E:$E,IFNA(_xlfn.XLOOKUP(TEXT($C598,"0"),Productos!$A:$A,Productos!$E:$E,IFNA(_xlfn.XLOOKUP(IFERROR(VALUE($C598),""),Productos!$A:$A,Productos!$E:$E,_xlfn.XLOOKUP($C598,Productos!$E:$E,Productos!$E:$E,"NO ENCONTRADO")),"NO ENCONTRADO")),"NO ENCONTRADO")),"NO ENCONTRADO"))</f>
        <v/>
      </c>
      <c r="E598" s="74">
        <f t="array" ref="E598">IF(OR($D598="",$D598="NO ENCONTRADO"),"",_xlfn.XLOOKUP($D598,Productos!$E:$E,Productos!$H:$H,""))</f>
        <v/>
      </c>
      <c r="F598" s="74">
        <f t="array" ref="F598">IF(OR($D598="",$D598="NO ENCONTRADO"),"",_xlfn.XLOOKUP($D598,Productos!$E:$E,Productos!$I:$I,""))</f>
        <v/>
      </c>
      <c r="G598" s="74">
        <f t="array" ref="G598">IF(OR($D598="",$D598="NO ENCONTRADO"),"",_xlfn.XLOOKUP($D598,Productos!$E:$E,Productos!$J:$J,""))</f>
        <v/>
      </c>
      <c r="H598" s="74">
        <f t="array" ref="H598">IF(OR($D598="",$D598="NO ENCONTRADO"),"",_xlfn.XLOOKUP($D598,Productos!$E:$E,Productos!$K:$K,""))</f>
        <v/>
      </c>
      <c r="I598" s="74">
        <f t="array" ref="I598">IF(OR($D598="",$D598="NO ENCONTRADO"),"",_xlfn.XLOOKUP($D598,Productos!$E:$E,Productos!$F:$F,""))</f>
        <v/>
      </c>
      <c r="J598" s="74">
        <f>IF($C598="","",IF($D598="NO ENCONTRADO",IF(COUNTIF($C$7:$C$1000,$C598)&gt;1,"⚠️ No encontrado | Duplicado","⚠️ No encontrado"),IF(COUNTIF($C$7:$C$1000,$C598)&gt;1,"⚠️ Duplicado","Verificado")))</f>
        <v/>
      </c>
    </row>
    <row r="599" ht="15.75" customHeight="1" s="176">
      <c r="B599" s="80" t="n"/>
      <c r="C599" s="74" t="n"/>
      <c r="D599" s="74">
        <f t="array" ref="D599">IF($C599="","",IFNA(_xlfn.XLOOKUP($C599,Productos!$A:$A,Productos!$E:$E,IFNA(_xlfn.XLOOKUP(TEXT($C599,"0"),Productos!$A:$A,Productos!$E:$E,IFNA(_xlfn.XLOOKUP(IFERROR(VALUE($C599),""),Productos!$A:$A,Productos!$E:$E,_xlfn.XLOOKUP($C599,Productos!$E:$E,Productos!$E:$E,"NO ENCONTRADO")),"NO ENCONTRADO")),"NO ENCONTRADO")),"NO ENCONTRADO"))</f>
        <v/>
      </c>
      <c r="E599" s="74">
        <f t="array" ref="E599">IF(OR($D599="",$D599="NO ENCONTRADO"),"",_xlfn.XLOOKUP($D599,Productos!$E:$E,Productos!$H:$H,""))</f>
        <v/>
      </c>
      <c r="F599" s="74">
        <f t="array" ref="F599">IF(OR($D599="",$D599="NO ENCONTRADO"),"",_xlfn.XLOOKUP($D599,Productos!$E:$E,Productos!$I:$I,""))</f>
        <v/>
      </c>
      <c r="G599" s="74">
        <f t="array" ref="G599">IF(OR($D599="",$D599="NO ENCONTRADO"),"",_xlfn.XLOOKUP($D599,Productos!$E:$E,Productos!$J:$J,""))</f>
        <v/>
      </c>
      <c r="H599" s="74">
        <f t="array" ref="H599">IF(OR($D599="",$D599="NO ENCONTRADO"),"",_xlfn.XLOOKUP($D599,Productos!$E:$E,Productos!$K:$K,""))</f>
        <v/>
      </c>
      <c r="I599" s="74">
        <f t="array" ref="I599">IF(OR($D599="",$D599="NO ENCONTRADO"),"",_xlfn.XLOOKUP($D599,Productos!$E:$E,Productos!$F:$F,""))</f>
        <v/>
      </c>
      <c r="J599" s="74">
        <f>IF($C599="","",IF($D599="NO ENCONTRADO",IF(COUNTIF($C$7:$C$1000,$C599)&gt;1,"⚠️ No encontrado | Duplicado","⚠️ No encontrado"),IF(COUNTIF($C$7:$C$1000,$C599)&gt;1,"⚠️ Duplicado","Verificado")))</f>
        <v/>
      </c>
    </row>
    <row r="600" ht="15.75" customHeight="1" s="176">
      <c r="B600" s="80" t="n"/>
      <c r="C600" s="74" t="n"/>
      <c r="D600" s="74">
        <f t="array" ref="D600">IF($C600="","",IFNA(_xlfn.XLOOKUP($C600,Productos!$A:$A,Productos!$E:$E,IFNA(_xlfn.XLOOKUP(TEXT($C600,"0"),Productos!$A:$A,Productos!$E:$E,IFNA(_xlfn.XLOOKUP(IFERROR(VALUE($C600),""),Productos!$A:$A,Productos!$E:$E,_xlfn.XLOOKUP($C600,Productos!$E:$E,Productos!$E:$E,"NO ENCONTRADO")),"NO ENCONTRADO")),"NO ENCONTRADO")),"NO ENCONTRADO"))</f>
        <v/>
      </c>
      <c r="E600" s="74">
        <f t="array" ref="E600">IF(OR($D600="",$D600="NO ENCONTRADO"),"",_xlfn.XLOOKUP($D600,Productos!$E:$E,Productos!$H:$H,""))</f>
        <v/>
      </c>
      <c r="F600" s="74">
        <f t="array" ref="F600">IF(OR($D600="",$D600="NO ENCONTRADO"),"",_xlfn.XLOOKUP($D600,Productos!$E:$E,Productos!$I:$I,""))</f>
        <v/>
      </c>
      <c r="G600" s="74">
        <f t="array" ref="G600">IF(OR($D600="",$D600="NO ENCONTRADO"),"",_xlfn.XLOOKUP($D600,Productos!$E:$E,Productos!$J:$J,""))</f>
        <v/>
      </c>
      <c r="H600" s="74">
        <f t="array" ref="H600">IF(OR($D600="",$D600="NO ENCONTRADO"),"",_xlfn.XLOOKUP($D600,Productos!$E:$E,Productos!$K:$K,""))</f>
        <v/>
      </c>
      <c r="I600" s="74">
        <f t="array" ref="I600">IF(OR($D600="",$D600="NO ENCONTRADO"),"",_xlfn.XLOOKUP($D600,Productos!$E:$E,Productos!$F:$F,""))</f>
        <v/>
      </c>
      <c r="J600" s="74">
        <f>IF($C600="","",IF($D600="NO ENCONTRADO",IF(COUNTIF($C$7:$C$1000,$C600)&gt;1,"⚠️ No encontrado | Duplicado","⚠️ No encontrado"),IF(COUNTIF($C$7:$C$1000,$C600)&gt;1,"⚠️ Duplicado","Verificado")))</f>
        <v/>
      </c>
    </row>
    <row r="601" ht="15.75" customHeight="1" s="176">
      <c r="B601" s="80" t="n"/>
      <c r="C601" s="74" t="n"/>
      <c r="D601" s="74">
        <f t="array" ref="D601">IF($C601="","",IFNA(_xlfn.XLOOKUP($C601,Productos!$A:$A,Productos!$E:$E,IFNA(_xlfn.XLOOKUP(TEXT($C601,"0"),Productos!$A:$A,Productos!$E:$E,IFNA(_xlfn.XLOOKUP(IFERROR(VALUE($C601),""),Productos!$A:$A,Productos!$E:$E,_xlfn.XLOOKUP($C601,Productos!$E:$E,Productos!$E:$E,"NO ENCONTRADO")),"NO ENCONTRADO")),"NO ENCONTRADO")),"NO ENCONTRADO"))</f>
        <v/>
      </c>
      <c r="E601" s="74">
        <f t="array" ref="E601">IF(OR($D601="",$D601="NO ENCONTRADO"),"",_xlfn.XLOOKUP($D601,Productos!$E:$E,Productos!$H:$H,""))</f>
        <v/>
      </c>
      <c r="F601" s="74">
        <f t="array" ref="F601">IF(OR($D601="",$D601="NO ENCONTRADO"),"",_xlfn.XLOOKUP($D601,Productos!$E:$E,Productos!$I:$I,""))</f>
        <v/>
      </c>
      <c r="G601" s="74">
        <f t="array" ref="G601">IF(OR($D601="",$D601="NO ENCONTRADO"),"",_xlfn.XLOOKUP($D601,Productos!$E:$E,Productos!$J:$J,""))</f>
        <v/>
      </c>
      <c r="H601" s="74">
        <f t="array" ref="H601">IF(OR($D601="",$D601="NO ENCONTRADO"),"",_xlfn.XLOOKUP($D601,Productos!$E:$E,Productos!$K:$K,""))</f>
        <v/>
      </c>
      <c r="I601" s="74">
        <f t="array" ref="I601">IF(OR($D601="",$D601="NO ENCONTRADO"),"",_xlfn.XLOOKUP($D601,Productos!$E:$E,Productos!$F:$F,""))</f>
        <v/>
      </c>
      <c r="J601" s="74">
        <f>IF($C601="","",IF($D601="NO ENCONTRADO",IF(COUNTIF($C$7:$C$1000,$C601)&gt;1,"⚠️ No encontrado | Duplicado","⚠️ No encontrado"),IF(COUNTIF($C$7:$C$1000,$C601)&gt;1,"⚠️ Duplicado","Verificado")))</f>
        <v/>
      </c>
    </row>
    <row r="602" ht="15.75" customHeight="1" s="176">
      <c r="B602" s="80" t="n"/>
      <c r="C602" s="74" t="n"/>
      <c r="D602" s="74">
        <f t="array" ref="D602">IF($C602="","",IFNA(_xlfn.XLOOKUP($C602,Productos!$A:$A,Productos!$E:$E,IFNA(_xlfn.XLOOKUP(TEXT($C602,"0"),Productos!$A:$A,Productos!$E:$E,IFNA(_xlfn.XLOOKUP(IFERROR(VALUE($C602),""),Productos!$A:$A,Productos!$E:$E,_xlfn.XLOOKUP($C602,Productos!$E:$E,Productos!$E:$E,"NO ENCONTRADO")),"NO ENCONTRADO")),"NO ENCONTRADO")),"NO ENCONTRADO"))</f>
        <v/>
      </c>
      <c r="E602" s="74">
        <f t="array" ref="E602">IF(OR($D602="",$D602="NO ENCONTRADO"),"",_xlfn.XLOOKUP($D602,Productos!$E:$E,Productos!$H:$H,""))</f>
        <v/>
      </c>
      <c r="F602" s="74">
        <f t="array" ref="F602">IF(OR($D602="",$D602="NO ENCONTRADO"),"",_xlfn.XLOOKUP($D602,Productos!$E:$E,Productos!$I:$I,""))</f>
        <v/>
      </c>
      <c r="G602" s="74">
        <f t="array" ref="G602">IF(OR($D602="",$D602="NO ENCONTRADO"),"",_xlfn.XLOOKUP($D602,Productos!$E:$E,Productos!$J:$J,""))</f>
        <v/>
      </c>
      <c r="H602" s="74">
        <f t="array" ref="H602">IF(OR($D602="",$D602="NO ENCONTRADO"),"",_xlfn.XLOOKUP($D602,Productos!$E:$E,Productos!$K:$K,""))</f>
        <v/>
      </c>
      <c r="I602" s="74">
        <f t="array" ref="I602">IF(OR($D602="",$D602="NO ENCONTRADO"),"",_xlfn.XLOOKUP($D602,Productos!$E:$E,Productos!$F:$F,""))</f>
        <v/>
      </c>
      <c r="J602" s="74">
        <f>IF($C602="","",IF($D602="NO ENCONTRADO",IF(COUNTIF($C$7:$C$1000,$C602)&gt;1,"⚠️ No encontrado | Duplicado","⚠️ No encontrado"),IF(COUNTIF($C$7:$C$1000,$C602)&gt;1,"⚠️ Duplicado","Verificado")))</f>
        <v/>
      </c>
    </row>
    <row r="603" ht="15.75" customHeight="1" s="176">
      <c r="B603" s="80" t="n"/>
      <c r="C603" s="74" t="n"/>
      <c r="D603" s="74">
        <f t="array" ref="D603">IF($C603="","",IFNA(_xlfn.XLOOKUP($C603,Productos!$A:$A,Productos!$E:$E,IFNA(_xlfn.XLOOKUP(TEXT($C603,"0"),Productos!$A:$A,Productos!$E:$E,IFNA(_xlfn.XLOOKUP(IFERROR(VALUE($C603),""),Productos!$A:$A,Productos!$E:$E,_xlfn.XLOOKUP($C603,Productos!$E:$E,Productos!$E:$E,"NO ENCONTRADO")),"NO ENCONTRADO")),"NO ENCONTRADO")),"NO ENCONTRADO"))</f>
        <v/>
      </c>
      <c r="E603" s="74">
        <f t="array" ref="E603">IF(OR($D603="",$D603="NO ENCONTRADO"),"",_xlfn.XLOOKUP($D603,Productos!$E:$E,Productos!$H:$H,""))</f>
        <v/>
      </c>
      <c r="F603" s="74">
        <f t="array" ref="F603">IF(OR($D603="",$D603="NO ENCONTRADO"),"",_xlfn.XLOOKUP($D603,Productos!$E:$E,Productos!$I:$I,""))</f>
        <v/>
      </c>
      <c r="G603" s="74">
        <f t="array" ref="G603">IF(OR($D603="",$D603="NO ENCONTRADO"),"",_xlfn.XLOOKUP($D603,Productos!$E:$E,Productos!$J:$J,""))</f>
        <v/>
      </c>
      <c r="H603" s="74">
        <f t="array" ref="H603">IF(OR($D603="",$D603="NO ENCONTRADO"),"",_xlfn.XLOOKUP($D603,Productos!$E:$E,Productos!$K:$K,""))</f>
        <v/>
      </c>
      <c r="I603" s="74">
        <f t="array" ref="I603">IF(OR($D603="",$D603="NO ENCONTRADO"),"",_xlfn.XLOOKUP($D603,Productos!$E:$E,Productos!$F:$F,""))</f>
        <v/>
      </c>
      <c r="J603" s="74">
        <f>IF($C603="","",IF($D603="NO ENCONTRADO",IF(COUNTIF($C$7:$C$1000,$C603)&gt;1,"⚠️ No encontrado | Duplicado","⚠️ No encontrado"),IF(COUNTIF($C$7:$C$1000,$C603)&gt;1,"⚠️ Duplicado","Verificado")))</f>
        <v/>
      </c>
    </row>
    <row r="604" ht="15.75" customHeight="1" s="176">
      <c r="B604" s="80" t="n"/>
      <c r="C604" s="74" t="n"/>
      <c r="D604" s="74">
        <f t="array" ref="D604">IF($C604="","",IFNA(_xlfn.XLOOKUP($C604,Productos!$A:$A,Productos!$E:$E,IFNA(_xlfn.XLOOKUP(TEXT($C604,"0"),Productos!$A:$A,Productos!$E:$E,IFNA(_xlfn.XLOOKUP(IFERROR(VALUE($C604),""),Productos!$A:$A,Productos!$E:$E,_xlfn.XLOOKUP($C604,Productos!$E:$E,Productos!$E:$E,"NO ENCONTRADO")),"NO ENCONTRADO")),"NO ENCONTRADO")),"NO ENCONTRADO"))</f>
        <v/>
      </c>
      <c r="E604" s="74">
        <f t="array" ref="E604">IF(OR($D604="",$D604="NO ENCONTRADO"),"",_xlfn.XLOOKUP($D604,Productos!$E:$E,Productos!$H:$H,""))</f>
        <v/>
      </c>
      <c r="F604" s="74">
        <f t="array" ref="F604">IF(OR($D604="",$D604="NO ENCONTRADO"),"",_xlfn.XLOOKUP($D604,Productos!$E:$E,Productos!$I:$I,""))</f>
        <v/>
      </c>
      <c r="G604" s="74">
        <f t="array" ref="G604">IF(OR($D604="",$D604="NO ENCONTRADO"),"",_xlfn.XLOOKUP($D604,Productos!$E:$E,Productos!$J:$J,""))</f>
        <v/>
      </c>
      <c r="H604" s="74">
        <f t="array" ref="H604">IF(OR($D604="",$D604="NO ENCONTRADO"),"",_xlfn.XLOOKUP($D604,Productos!$E:$E,Productos!$K:$K,""))</f>
        <v/>
      </c>
      <c r="I604" s="74">
        <f t="array" ref="I604">IF(OR($D604="",$D604="NO ENCONTRADO"),"",_xlfn.XLOOKUP($D604,Productos!$E:$E,Productos!$F:$F,""))</f>
        <v/>
      </c>
      <c r="J604" s="74">
        <f>IF($C604="","",IF($D604="NO ENCONTRADO",IF(COUNTIF($C$7:$C$1000,$C604)&gt;1,"⚠️ No encontrado | Duplicado","⚠️ No encontrado"),IF(COUNTIF($C$7:$C$1000,$C604)&gt;1,"⚠️ Duplicado","Verificado")))</f>
        <v/>
      </c>
    </row>
    <row r="605" ht="15.75" customHeight="1" s="176">
      <c r="B605" s="80" t="n"/>
      <c r="C605" s="74" t="n"/>
      <c r="D605" s="74">
        <f t="array" ref="D605">IF($C605="","",IFNA(_xlfn.XLOOKUP($C605,Productos!$A:$A,Productos!$E:$E,IFNA(_xlfn.XLOOKUP(TEXT($C605,"0"),Productos!$A:$A,Productos!$E:$E,IFNA(_xlfn.XLOOKUP(IFERROR(VALUE($C605),""),Productos!$A:$A,Productos!$E:$E,_xlfn.XLOOKUP($C605,Productos!$E:$E,Productos!$E:$E,"NO ENCONTRADO")),"NO ENCONTRADO")),"NO ENCONTRADO")),"NO ENCONTRADO"))</f>
        <v/>
      </c>
      <c r="E605" s="74">
        <f t="array" ref="E605">IF(OR($D605="",$D605="NO ENCONTRADO"),"",_xlfn.XLOOKUP($D605,Productos!$E:$E,Productos!$H:$H,""))</f>
        <v/>
      </c>
      <c r="F605" s="74">
        <f t="array" ref="F605">IF(OR($D605="",$D605="NO ENCONTRADO"),"",_xlfn.XLOOKUP($D605,Productos!$E:$E,Productos!$I:$I,""))</f>
        <v/>
      </c>
      <c r="G605" s="74">
        <f t="array" ref="G605">IF(OR($D605="",$D605="NO ENCONTRADO"),"",_xlfn.XLOOKUP($D605,Productos!$E:$E,Productos!$J:$J,""))</f>
        <v/>
      </c>
      <c r="H605" s="74">
        <f t="array" ref="H605">IF(OR($D605="",$D605="NO ENCONTRADO"),"",_xlfn.XLOOKUP($D605,Productos!$E:$E,Productos!$K:$K,""))</f>
        <v/>
      </c>
      <c r="I605" s="74">
        <f t="array" ref="I605">IF(OR($D605="",$D605="NO ENCONTRADO"),"",_xlfn.XLOOKUP($D605,Productos!$E:$E,Productos!$F:$F,""))</f>
        <v/>
      </c>
      <c r="J605" s="74">
        <f>IF($C605="","",IF($D605="NO ENCONTRADO",IF(COUNTIF($C$7:$C$1000,$C605)&gt;1,"⚠️ No encontrado | Duplicado","⚠️ No encontrado"),IF(COUNTIF($C$7:$C$1000,$C605)&gt;1,"⚠️ Duplicado","Verificado")))</f>
        <v/>
      </c>
    </row>
    <row r="606" ht="15.75" customHeight="1" s="176">
      <c r="B606" s="80" t="n"/>
      <c r="C606" s="74" t="n"/>
      <c r="D606" s="74">
        <f t="array" ref="D606">IF($C606="","",IFNA(_xlfn.XLOOKUP($C606,Productos!$A:$A,Productos!$E:$E,IFNA(_xlfn.XLOOKUP(TEXT($C606,"0"),Productos!$A:$A,Productos!$E:$E,IFNA(_xlfn.XLOOKUP(IFERROR(VALUE($C606),""),Productos!$A:$A,Productos!$E:$E,_xlfn.XLOOKUP($C606,Productos!$E:$E,Productos!$E:$E,"NO ENCONTRADO")),"NO ENCONTRADO")),"NO ENCONTRADO")),"NO ENCONTRADO"))</f>
        <v/>
      </c>
      <c r="E606" s="74">
        <f t="array" ref="E606">IF(OR($D606="",$D606="NO ENCONTRADO"),"",_xlfn.XLOOKUP($D606,Productos!$E:$E,Productos!$H:$H,""))</f>
        <v/>
      </c>
      <c r="F606" s="74">
        <f t="array" ref="F606">IF(OR($D606="",$D606="NO ENCONTRADO"),"",_xlfn.XLOOKUP($D606,Productos!$E:$E,Productos!$I:$I,""))</f>
        <v/>
      </c>
      <c r="G606" s="74">
        <f t="array" ref="G606">IF(OR($D606="",$D606="NO ENCONTRADO"),"",_xlfn.XLOOKUP($D606,Productos!$E:$E,Productos!$J:$J,""))</f>
        <v/>
      </c>
      <c r="H606" s="74">
        <f t="array" ref="H606">IF(OR($D606="",$D606="NO ENCONTRADO"),"",_xlfn.XLOOKUP($D606,Productos!$E:$E,Productos!$K:$K,""))</f>
        <v/>
      </c>
      <c r="I606" s="74">
        <f t="array" ref="I606">IF(OR($D606="",$D606="NO ENCONTRADO"),"",_xlfn.XLOOKUP($D606,Productos!$E:$E,Productos!$F:$F,""))</f>
        <v/>
      </c>
      <c r="J606" s="74">
        <f>IF($C606="","",IF($D606="NO ENCONTRADO",IF(COUNTIF($C$7:$C$1000,$C606)&gt;1,"⚠️ No encontrado | Duplicado","⚠️ No encontrado"),IF(COUNTIF($C$7:$C$1000,$C606)&gt;1,"⚠️ Duplicado","Verificado")))</f>
        <v/>
      </c>
    </row>
    <row r="607" ht="15.75" customHeight="1" s="176">
      <c r="B607" s="80" t="n"/>
      <c r="C607" s="74" t="n"/>
      <c r="D607" s="74">
        <f t="array" ref="D607">IF($C607="","",IFNA(_xlfn.XLOOKUP($C607,Productos!$A:$A,Productos!$E:$E,IFNA(_xlfn.XLOOKUP(TEXT($C607,"0"),Productos!$A:$A,Productos!$E:$E,IFNA(_xlfn.XLOOKUP(IFERROR(VALUE($C607),""),Productos!$A:$A,Productos!$E:$E,_xlfn.XLOOKUP($C607,Productos!$E:$E,Productos!$E:$E,"NO ENCONTRADO")),"NO ENCONTRADO")),"NO ENCONTRADO")),"NO ENCONTRADO"))</f>
        <v/>
      </c>
      <c r="E607" s="74">
        <f t="array" ref="E607">IF(OR($D607="",$D607="NO ENCONTRADO"),"",_xlfn.XLOOKUP($D607,Productos!$E:$E,Productos!$H:$H,""))</f>
        <v/>
      </c>
      <c r="F607" s="74">
        <f t="array" ref="F607">IF(OR($D607="",$D607="NO ENCONTRADO"),"",_xlfn.XLOOKUP($D607,Productos!$E:$E,Productos!$I:$I,""))</f>
        <v/>
      </c>
      <c r="G607" s="74">
        <f t="array" ref="G607">IF(OR($D607="",$D607="NO ENCONTRADO"),"",_xlfn.XLOOKUP($D607,Productos!$E:$E,Productos!$J:$J,""))</f>
        <v/>
      </c>
      <c r="H607" s="74">
        <f t="array" ref="H607">IF(OR($D607="",$D607="NO ENCONTRADO"),"",_xlfn.XLOOKUP($D607,Productos!$E:$E,Productos!$K:$K,""))</f>
        <v/>
      </c>
      <c r="I607" s="74">
        <f t="array" ref="I607">IF(OR($D607="",$D607="NO ENCONTRADO"),"",_xlfn.XLOOKUP($D607,Productos!$E:$E,Productos!$F:$F,""))</f>
        <v/>
      </c>
      <c r="J607" s="74">
        <f>IF($C607="","",IF($D607="NO ENCONTRADO",IF(COUNTIF($C$7:$C$1000,$C607)&gt;1,"⚠️ No encontrado | Duplicado","⚠️ No encontrado"),IF(COUNTIF($C$7:$C$1000,$C607)&gt;1,"⚠️ Duplicado","Verificado")))</f>
        <v/>
      </c>
    </row>
    <row r="608" ht="15.75" customHeight="1" s="176">
      <c r="B608" s="80" t="n"/>
      <c r="C608" s="74" t="n"/>
      <c r="D608" s="74">
        <f t="array" ref="D608">IF($C608="","",IFNA(_xlfn.XLOOKUP($C608,Productos!$A:$A,Productos!$E:$E,IFNA(_xlfn.XLOOKUP(TEXT($C608,"0"),Productos!$A:$A,Productos!$E:$E,IFNA(_xlfn.XLOOKUP(IFERROR(VALUE($C608),""),Productos!$A:$A,Productos!$E:$E,_xlfn.XLOOKUP($C608,Productos!$E:$E,Productos!$E:$E,"NO ENCONTRADO")),"NO ENCONTRADO")),"NO ENCONTRADO")),"NO ENCONTRADO"))</f>
        <v/>
      </c>
      <c r="E608" s="74">
        <f t="array" ref="E608">IF(OR($D608="",$D608="NO ENCONTRADO"),"",_xlfn.XLOOKUP($D608,Productos!$E:$E,Productos!$H:$H,""))</f>
        <v/>
      </c>
      <c r="F608" s="74">
        <f t="array" ref="F608">IF(OR($D608="",$D608="NO ENCONTRADO"),"",_xlfn.XLOOKUP($D608,Productos!$E:$E,Productos!$I:$I,""))</f>
        <v/>
      </c>
      <c r="G608" s="74">
        <f t="array" ref="G608">IF(OR($D608="",$D608="NO ENCONTRADO"),"",_xlfn.XLOOKUP($D608,Productos!$E:$E,Productos!$J:$J,""))</f>
        <v/>
      </c>
      <c r="H608" s="74">
        <f t="array" ref="H608">IF(OR($D608="",$D608="NO ENCONTRADO"),"",_xlfn.XLOOKUP($D608,Productos!$E:$E,Productos!$K:$K,""))</f>
        <v/>
      </c>
      <c r="I608" s="74">
        <f t="array" ref="I608">IF(OR($D608="",$D608="NO ENCONTRADO"),"",_xlfn.XLOOKUP($D608,Productos!$E:$E,Productos!$F:$F,""))</f>
        <v/>
      </c>
      <c r="J608" s="74">
        <f>IF($C608="","",IF($D608="NO ENCONTRADO",IF(COUNTIF($C$7:$C$1000,$C608)&gt;1,"⚠️ No encontrado | Duplicado","⚠️ No encontrado"),IF(COUNTIF($C$7:$C$1000,$C608)&gt;1,"⚠️ Duplicado","Verificado")))</f>
        <v/>
      </c>
    </row>
    <row r="609" ht="15.75" customHeight="1" s="176">
      <c r="B609" s="80" t="n"/>
      <c r="C609" s="74" t="n"/>
      <c r="D609" s="74">
        <f t="array" ref="D609">IF($C609="","",IFNA(_xlfn.XLOOKUP($C609,Productos!$A:$A,Productos!$E:$E,IFNA(_xlfn.XLOOKUP(TEXT($C609,"0"),Productos!$A:$A,Productos!$E:$E,IFNA(_xlfn.XLOOKUP(IFERROR(VALUE($C609),""),Productos!$A:$A,Productos!$E:$E,_xlfn.XLOOKUP($C609,Productos!$E:$E,Productos!$E:$E,"NO ENCONTRADO")),"NO ENCONTRADO")),"NO ENCONTRADO")),"NO ENCONTRADO"))</f>
        <v/>
      </c>
      <c r="E609" s="74">
        <f t="array" ref="E609">IF(OR($D609="",$D609="NO ENCONTRADO"),"",_xlfn.XLOOKUP($D609,Productos!$E:$E,Productos!$H:$H,""))</f>
        <v/>
      </c>
      <c r="F609" s="74">
        <f t="array" ref="F609">IF(OR($D609="",$D609="NO ENCONTRADO"),"",_xlfn.XLOOKUP($D609,Productos!$E:$E,Productos!$I:$I,""))</f>
        <v/>
      </c>
      <c r="G609" s="74">
        <f t="array" ref="G609">IF(OR($D609="",$D609="NO ENCONTRADO"),"",_xlfn.XLOOKUP($D609,Productos!$E:$E,Productos!$J:$J,""))</f>
        <v/>
      </c>
      <c r="H609" s="74">
        <f t="array" ref="H609">IF(OR($D609="",$D609="NO ENCONTRADO"),"",_xlfn.XLOOKUP($D609,Productos!$E:$E,Productos!$K:$K,""))</f>
        <v/>
      </c>
      <c r="I609" s="74">
        <f t="array" ref="I609">IF(OR($D609="",$D609="NO ENCONTRADO"),"",_xlfn.XLOOKUP($D609,Productos!$E:$E,Productos!$F:$F,""))</f>
        <v/>
      </c>
      <c r="J609" s="74">
        <f>IF($C609="","",IF($D609="NO ENCONTRADO",IF(COUNTIF($C$7:$C$1000,$C609)&gt;1,"⚠️ No encontrado | Duplicado","⚠️ No encontrado"),IF(COUNTIF($C$7:$C$1000,$C609)&gt;1,"⚠️ Duplicado","Verificado")))</f>
        <v/>
      </c>
    </row>
    <row r="610" ht="15.75" customHeight="1" s="176">
      <c r="B610" s="80" t="n"/>
      <c r="C610" s="74" t="n"/>
      <c r="D610" s="74">
        <f t="array" ref="D610">IF($C610="","",IFNA(_xlfn.XLOOKUP($C610,Productos!$A:$A,Productos!$E:$E,IFNA(_xlfn.XLOOKUP(TEXT($C610,"0"),Productos!$A:$A,Productos!$E:$E,IFNA(_xlfn.XLOOKUP(IFERROR(VALUE($C610),""),Productos!$A:$A,Productos!$E:$E,_xlfn.XLOOKUP($C610,Productos!$E:$E,Productos!$E:$E,"NO ENCONTRADO")),"NO ENCONTRADO")),"NO ENCONTRADO")),"NO ENCONTRADO"))</f>
        <v/>
      </c>
      <c r="E610" s="74">
        <f t="array" ref="E610">IF(OR($D610="",$D610="NO ENCONTRADO"),"",_xlfn.XLOOKUP($D610,Productos!$E:$E,Productos!$H:$H,""))</f>
        <v/>
      </c>
      <c r="F610" s="74">
        <f t="array" ref="F610">IF(OR($D610="",$D610="NO ENCONTRADO"),"",_xlfn.XLOOKUP($D610,Productos!$E:$E,Productos!$I:$I,""))</f>
        <v/>
      </c>
      <c r="G610" s="74">
        <f t="array" ref="G610">IF(OR($D610="",$D610="NO ENCONTRADO"),"",_xlfn.XLOOKUP($D610,Productos!$E:$E,Productos!$J:$J,""))</f>
        <v/>
      </c>
      <c r="H610" s="74">
        <f t="array" ref="H610">IF(OR($D610="",$D610="NO ENCONTRADO"),"",_xlfn.XLOOKUP($D610,Productos!$E:$E,Productos!$K:$K,""))</f>
        <v/>
      </c>
      <c r="I610" s="74">
        <f t="array" ref="I610">IF(OR($D610="",$D610="NO ENCONTRADO"),"",_xlfn.XLOOKUP($D610,Productos!$E:$E,Productos!$F:$F,""))</f>
        <v/>
      </c>
      <c r="J610" s="74">
        <f>IF($C610="","",IF($D610="NO ENCONTRADO",IF(COUNTIF($C$7:$C$1000,$C610)&gt;1,"⚠️ No encontrado | Duplicado","⚠️ No encontrado"),IF(COUNTIF($C$7:$C$1000,$C610)&gt;1,"⚠️ Duplicado","Verificado")))</f>
        <v/>
      </c>
    </row>
    <row r="611" ht="15.75" customHeight="1" s="176">
      <c r="B611" s="80" t="n"/>
      <c r="C611" s="74" t="n"/>
      <c r="D611" s="74">
        <f t="array" ref="D611">IF($C611="","",IFNA(_xlfn.XLOOKUP($C611,Productos!$A:$A,Productos!$E:$E,IFNA(_xlfn.XLOOKUP(TEXT($C611,"0"),Productos!$A:$A,Productos!$E:$E,IFNA(_xlfn.XLOOKUP(IFERROR(VALUE($C611),""),Productos!$A:$A,Productos!$E:$E,_xlfn.XLOOKUP($C611,Productos!$E:$E,Productos!$E:$E,"NO ENCONTRADO")),"NO ENCONTRADO")),"NO ENCONTRADO")),"NO ENCONTRADO"))</f>
        <v/>
      </c>
      <c r="E611" s="74">
        <f t="array" ref="E611">IF(OR($D611="",$D611="NO ENCONTRADO"),"",_xlfn.XLOOKUP($D611,Productos!$E:$E,Productos!$H:$H,""))</f>
        <v/>
      </c>
      <c r="F611" s="74">
        <f t="array" ref="F611">IF(OR($D611="",$D611="NO ENCONTRADO"),"",_xlfn.XLOOKUP($D611,Productos!$E:$E,Productos!$I:$I,""))</f>
        <v/>
      </c>
      <c r="G611" s="74">
        <f t="array" ref="G611">IF(OR($D611="",$D611="NO ENCONTRADO"),"",_xlfn.XLOOKUP($D611,Productos!$E:$E,Productos!$J:$J,""))</f>
        <v/>
      </c>
      <c r="H611" s="74">
        <f t="array" ref="H611">IF(OR($D611="",$D611="NO ENCONTRADO"),"",_xlfn.XLOOKUP($D611,Productos!$E:$E,Productos!$K:$K,""))</f>
        <v/>
      </c>
      <c r="I611" s="74">
        <f t="array" ref="I611">IF(OR($D611="",$D611="NO ENCONTRADO"),"",_xlfn.XLOOKUP($D611,Productos!$E:$E,Productos!$F:$F,""))</f>
        <v/>
      </c>
      <c r="J611" s="74">
        <f>IF($C611="","",IF($D611="NO ENCONTRADO",IF(COUNTIF($C$7:$C$1000,$C611)&gt;1,"⚠️ No encontrado | Duplicado","⚠️ No encontrado"),IF(COUNTIF($C$7:$C$1000,$C611)&gt;1,"⚠️ Duplicado","Verificado")))</f>
        <v/>
      </c>
    </row>
    <row r="612" ht="15.75" customHeight="1" s="176">
      <c r="B612" s="80" t="n"/>
      <c r="C612" s="74" t="n"/>
      <c r="D612" s="74">
        <f t="array" ref="D612">IF($C612="","",IFNA(_xlfn.XLOOKUP($C612,Productos!$A:$A,Productos!$E:$E,IFNA(_xlfn.XLOOKUP(TEXT($C612,"0"),Productos!$A:$A,Productos!$E:$E,IFNA(_xlfn.XLOOKUP(IFERROR(VALUE($C612),""),Productos!$A:$A,Productos!$E:$E,_xlfn.XLOOKUP($C612,Productos!$E:$E,Productos!$E:$E,"NO ENCONTRADO")),"NO ENCONTRADO")),"NO ENCONTRADO")),"NO ENCONTRADO"))</f>
        <v/>
      </c>
      <c r="E612" s="74">
        <f t="array" ref="E612">IF(OR($D612="",$D612="NO ENCONTRADO"),"",_xlfn.XLOOKUP($D612,Productos!$E:$E,Productos!$H:$H,""))</f>
        <v/>
      </c>
      <c r="F612" s="74">
        <f t="array" ref="F612">IF(OR($D612="",$D612="NO ENCONTRADO"),"",_xlfn.XLOOKUP($D612,Productos!$E:$E,Productos!$I:$I,""))</f>
        <v/>
      </c>
      <c r="G612" s="74">
        <f t="array" ref="G612">IF(OR($D612="",$D612="NO ENCONTRADO"),"",_xlfn.XLOOKUP($D612,Productos!$E:$E,Productos!$J:$J,""))</f>
        <v/>
      </c>
      <c r="H612" s="74">
        <f t="array" ref="H612">IF(OR($D612="",$D612="NO ENCONTRADO"),"",_xlfn.XLOOKUP($D612,Productos!$E:$E,Productos!$K:$K,""))</f>
        <v/>
      </c>
      <c r="I612" s="74">
        <f t="array" ref="I612">IF(OR($D612="",$D612="NO ENCONTRADO"),"",_xlfn.XLOOKUP($D612,Productos!$E:$E,Productos!$F:$F,""))</f>
        <v/>
      </c>
      <c r="J612" s="74">
        <f>IF($C612="","",IF($D612="NO ENCONTRADO",IF(COUNTIF($C$7:$C$1000,$C612)&gt;1,"⚠️ No encontrado | Duplicado","⚠️ No encontrado"),IF(COUNTIF($C$7:$C$1000,$C612)&gt;1,"⚠️ Duplicado","Verificado")))</f>
        <v/>
      </c>
    </row>
    <row r="613" ht="15.75" customHeight="1" s="176">
      <c r="B613" s="80" t="n"/>
      <c r="C613" s="74" t="n"/>
      <c r="D613" s="74">
        <f t="array" ref="D613">IF($C613="","",IFNA(_xlfn.XLOOKUP($C613,Productos!$A:$A,Productos!$E:$E,IFNA(_xlfn.XLOOKUP(TEXT($C613,"0"),Productos!$A:$A,Productos!$E:$E,IFNA(_xlfn.XLOOKUP(IFERROR(VALUE($C613),""),Productos!$A:$A,Productos!$E:$E,_xlfn.XLOOKUP($C613,Productos!$E:$E,Productos!$E:$E,"NO ENCONTRADO")),"NO ENCONTRADO")),"NO ENCONTRADO")),"NO ENCONTRADO"))</f>
        <v/>
      </c>
      <c r="E613" s="74">
        <f t="array" ref="E613">IF(OR($D613="",$D613="NO ENCONTRADO"),"",_xlfn.XLOOKUP($D613,Productos!$E:$E,Productos!$H:$H,""))</f>
        <v/>
      </c>
      <c r="F613" s="74">
        <f t="array" ref="F613">IF(OR($D613="",$D613="NO ENCONTRADO"),"",_xlfn.XLOOKUP($D613,Productos!$E:$E,Productos!$I:$I,""))</f>
        <v/>
      </c>
      <c r="G613" s="74">
        <f t="array" ref="G613">IF(OR($D613="",$D613="NO ENCONTRADO"),"",_xlfn.XLOOKUP($D613,Productos!$E:$E,Productos!$J:$J,""))</f>
        <v/>
      </c>
      <c r="H613" s="74">
        <f t="array" ref="H613">IF(OR($D613="",$D613="NO ENCONTRADO"),"",_xlfn.XLOOKUP($D613,Productos!$E:$E,Productos!$K:$K,""))</f>
        <v/>
      </c>
      <c r="I613" s="74">
        <f t="array" ref="I613">IF(OR($D613="",$D613="NO ENCONTRADO"),"",_xlfn.XLOOKUP($D613,Productos!$E:$E,Productos!$F:$F,""))</f>
        <v/>
      </c>
      <c r="J613" s="74">
        <f>IF($C613="","",IF($D613="NO ENCONTRADO",IF(COUNTIF($C$7:$C$1000,$C613)&gt;1,"⚠️ No encontrado | Duplicado","⚠️ No encontrado"),IF(COUNTIF($C$7:$C$1000,$C613)&gt;1,"⚠️ Duplicado","Verificado")))</f>
        <v/>
      </c>
    </row>
    <row r="614" ht="15.75" customHeight="1" s="176">
      <c r="B614" s="80" t="n"/>
      <c r="C614" s="74" t="n"/>
      <c r="D614" s="74">
        <f t="array" ref="D614">IF($C614="","",IFNA(_xlfn.XLOOKUP($C614,Productos!$A:$A,Productos!$E:$E,IFNA(_xlfn.XLOOKUP(TEXT($C614,"0"),Productos!$A:$A,Productos!$E:$E,IFNA(_xlfn.XLOOKUP(IFERROR(VALUE($C614),""),Productos!$A:$A,Productos!$E:$E,_xlfn.XLOOKUP($C614,Productos!$E:$E,Productos!$E:$E,"NO ENCONTRADO")),"NO ENCONTRADO")),"NO ENCONTRADO")),"NO ENCONTRADO"))</f>
        <v/>
      </c>
      <c r="E614" s="74">
        <f t="array" ref="E614">IF(OR($D614="",$D614="NO ENCONTRADO"),"",_xlfn.XLOOKUP($D614,Productos!$E:$E,Productos!$H:$H,""))</f>
        <v/>
      </c>
      <c r="F614" s="74">
        <f t="array" ref="F614">IF(OR($D614="",$D614="NO ENCONTRADO"),"",_xlfn.XLOOKUP($D614,Productos!$E:$E,Productos!$I:$I,""))</f>
        <v/>
      </c>
      <c r="G614" s="74">
        <f t="array" ref="G614">IF(OR($D614="",$D614="NO ENCONTRADO"),"",_xlfn.XLOOKUP($D614,Productos!$E:$E,Productos!$J:$J,""))</f>
        <v/>
      </c>
      <c r="H614" s="74">
        <f t="array" ref="H614">IF(OR($D614="",$D614="NO ENCONTRADO"),"",_xlfn.XLOOKUP($D614,Productos!$E:$E,Productos!$K:$K,""))</f>
        <v/>
      </c>
      <c r="I614" s="74">
        <f t="array" ref="I614">IF(OR($D614="",$D614="NO ENCONTRADO"),"",_xlfn.XLOOKUP($D614,Productos!$E:$E,Productos!$F:$F,""))</f>
        <v/>
      </c>
      <c r="J614" s="74">
        <f>IF($C614="","",IF($D614="NO ENCONTRADO",IF(COUNTIF($C$7:$C$1000,$C614)&gt;1,"⚠️ No encontrado | Duplicado","⚠️ No encontrado"),IF(COUNTIF($C$7:$C$1000,$C614)&gt;1,"⚠️ Duplicado","Verificado")))</f>
        <v/>
      </c>
    </row>
    <row r="615" ht="15.75" customHeight="1" s="176">
      <c r="B615" s="80" t="n"/>
      <c r="C615" s="74" t="n"/>
      <c r="D615" s="74">
        <f t="array" ref="D615">IF($C615="","",IFNA(_xlfn.XLOOKUP($C615,Productos!$A:$A,Productos!$E:$E,IFNA(_xlfn.XLOOKUP(TEXT($C615,"0"),Productos!$A:$A,Productos!$E:$E,IFNA(_xlfn.XLOOKUP(IFERROR(VALUE($C615),""),Productos!$A:$A,Productos!$E:$E,_xlfn.XLOOKUP($C615,Productos!$E:$E,Productos!$E:$E,"NO ENCONTRADO")),"NO ENCONTRADO")),"NO ENCONTRADO")),"NO ENCONTRADO"))</f>
        <v/>
      </c>
      <c r="E615" s="74">
        <f t="array" ref="E615">IF(OR($D615="",$D615="NO ENCONTRADO"),"",_xlfn.XLOOKUP($D615,Productos!$E:$E,Productos!$H:$H,""))</f>
        <v/>
      </c>
      <c r="F615" s="74">
        <f t="array" ref="F615">IF(OR($D615="",$D615="NO ENCONTRADO"),"",_xlfn.XLOOKUP($D615,Productos!$E:$E,Productos!$I:$I,""))</f>
        <v/>
      </c>
      <c r="G615" s="74">
        <f t="array" ref="G615">IF(OR($D615="",$D615="NO ENCONTRADO"),"",_xlfn.XLOOKUP($D615,Productos!$E:$E,Productos!$J:$J,""))</f>
        <v/>
      </c>
      <c r="H615" s="74">
        <f t="array" ref="H615">IF(OR($D615="",$D615="NO ENCONTRADO"),"",_xlfn.XLOOKUP($D615,Productos!$E:$E,Productos!$K:$K,""))</f>
        <v/>
      </c>
      <c r="I615" s="74">
        <f t="array" ref="I615">IF(OR($D615="",$D615="NO ENCONTRADO"),"",_xlfn.XLOOKUP($D615,Productos!$E:$E,Productos!$F:$F,""))</f>
        <v/>
      </c>
      <c r="J615" s="74">
        <f>IF($C615="","",IF($D615="NO ENCONTRADO",IF(COUNTIF($C$7:$C$1000,$C615)&gt;1,"⚠️ No encontrado | Duplicado","⚠️ No encontrado"),IF(COUNTIF($C$7:$C$1000,$C615)&gt;1,"⚠️ Duplicado","Verificado")))</f>
        <v/>
      </c>
    </row>
    <row r="616" ht="15.75" customHeight="1" s="176">
      <c r="B616" s="80" t="n"/>
      <c r="C616" s="74" t="n"/>
      <c r="D616" s="74">
        <f t="array" ref="D616">IF($C616="","",IFNA(_xlfn.XLOOKUP($C616,Productos!$A:$A,Productos!$E:$E,IFNA(_xlfn.XLOOKUP(TEXT($C616,"0"),Productos!$A:$A,Productos!$E:$E,IFNA(_xlfn.XLOOKUP(IFERROR(VALUE($C616),""),Productos!$A:$A,Productos!$E:$E,_xlfn.XLOOKUP($C616,Productos!$E:$E,Productos!$E:$E,"NO ENCONTRADO")),"NO ENCONTRADO")),"NO ENCONTRADO")),"NO ENCONTRADO"))</f>
        <v/>
      </c>
      <c r="E616" s="74">
        <f t="array" ref="E616">IF(OR($D616="",$D616="NO ENCONTRADO"),"",_xlfn.XLOOKUP($D616,Productos!$E:$E,Productos!$H:$H,""))</f>
        <v/>
      </c>
      <c r="F616" s="74">
        <f t="array" ref="F616">IF(OR($D616="",$D616="NO ENCONTRADO"),"",_xlfn.XLOOKUP($D616,Productos!$E:$E,Productos!$I:$I,""))</f>
        <v/>
      </c>
      <c r="G616" s="74">
        <f t="array" ref="G616">IF(OR($D616="",$D616="NO ENCONTRADO"),"",_xlfn.XLOOKUP($D616,Productos!$E:$E,Productos!$J:$J,""))</f>
        <v/>
      </c>
      <c r="H616" s="74">
        <f t="array" ref="H616">IF(OR($D616="",$D616="NO ENCONTRADO"),"",_xlfn.XLOOKUP($D616,Productos!$E:$E,Productos!$K:$K,""))</f>
        <v/>
      </c>
      <c r="I616" s="74">
        <f t="array" ref="I616">IF(OR($D616="",$D616="NO ENCONTRADO"),"",_xlfn.XLOOKUP($D616,Productos!$E:$E,Productos!$F:$F,""))</f>
        <v/>
      </c>
      <c r="J616" s="74">
        <f>IF($C616="","",IF($D616="NO ENCONTRADO",IF(COUNTIF($C$7:$C$1000,$C616)&gt;1,"⚠️ No encontrado | Duplicado","⚠️ No encontrado"),IF(COUNTIF($C$7:$C$1000,$C616)&gt;1,"⚠️ Duplicado","Verificado")))</f>
        <v/>
      </c>
    </row>
    <row r="617" ht="15.75" customHeight="1" s="176">
      <c r="B617" s="80" t="n"/>
      <c r="C617" s="74" t="n"/>
      <c r="D617" s="74">
        <f t="array" ref="D617">IF($C617="","",IFNA(_xlfn.XLOOKUP($C617,Productos!$A:$A,Productos!$E:$E,IFNA(_xlfn.XLOOKUP(TEXT($C617,"0"),Productos!$A:$A,Productos!$E:$E,IFNA(_xlfn.XLOOKUP(IFERROR(VALUE($C617),""),Productos!$A:$A,Productos!$E:$E,_xlfn.XLOOKUP($C617,Productos!$E:$E,Productos!$E:$E,"NO ENCONTRADO")),"NO ENCONTRADO")),"NO ENCONTRADO")),"NO ENCONTRADO"))</f>
        <v/>
      </c>
      <c r="E617" s="74">
        <f t="array" ref="E617">IF(OR($D617="",$D617="NO ENCONTRADO"),"",_xlfn.XLOOKUP($D617,Productos!$E:$E,Productos!$H:$H,""))</f>
        <v/>
      </c>
      <c r="F617" s="74">
        <f t="array" ref="F617">IF(OR($D617="",$D617="NO ENCONTRADO"),"",_xlfn.XLOOKUP($D617,Productos!$E:$E,Productos!$I:$I,""))</f>
        <v/>
      </c>
      <c r="G617" s="74">
        <f t="array" ref="G617">IF(OR($D617="",$D617="NO ENCONTRADO"),"",_xlfn.XLOOKUP($D617,Productos!$E:$E,Productos!$J:$J,""))</f>
        <v/>
      </c>
      <c r="H617" s="74">
        <f t="array" ref="H617">IF(OR($D617="",$D617="NO ENCONTRADO"),"",_xlfn.XLOOKUP($D617,Productos!$E:$E,Productos!$K:$K,""))</f>
        <v/>
      </c>
      <c r="I617" s="74">
        <f t="array" ref="I617">IF(OR($D617="",$D617="NO ENCONTRADO"),"",_xlfn.XLOOKUP($D617,Productos!$E:$E,Productos!$F:$F,""))</f>
        <v/>
      </c>
      <c r="J617" s="74">
        <f>IF($C617="","",IF($D617="NO ENCONTRADO",IF(COUNTIF($C$7:$C$1000,$C617)&gt;1,"⚠️ No encontrado | Duplicado","⚠️ No encontrado"),IF(COUNTIF($C$7:$C$1000,$C617)&gt;1,"⚠️ Duplicado","Verificado")))</f>
        <v/>
      </c>
    </row>
    <row r="618" ht="15.75" customHeight="1" s="176">
      <c r="B618" s="80" t="n"/>
      <c r="C618" s="74" t="n"/>
      <c r="D618" s="74">
        <f t="array" ref="D618">IF($C618="","",IFNA(_xlfn.XLOOKUP($C618,Productos!$A:$A,Productos!$E:$E,IFNA(_xlfn.XLOOKUP(TEXT($C618,"0"),Productos!$A:$A,Productos!$E:$E,IFNA(_xlfn.XLOOKUP(IFERROR(VALUE($C618),""),Productos!$A:$A,Productos!$E:$E,_xlfn.XLOOKUP($C618,Productos!$E:$E,Productos!$E:$E,"NO ENCONTRADO")),"NO ENCONTRADO")),"NO ENCONTRADO")),"NO ENCONTRADO"))</f>
        <v/>
      </c>
      <c r="E618" s="74">
        <f t="array" ref="E618">IF(OR($D618="",$D618="NO ENCONTRADO"),"",_xlfn.XLOOKUP($D618,Productos!$E:$E,Productos!$H:$H,""))</f>
        <v/>
      </c>
      <c r="F618" s="74">
        <f t="array" ref="F618">IF(OR($D618="",$D618="NO ENCONTRADO"),"",_xlfn.XLOOKUP($D618,Productos!$E:$E,Productos!$I:$I,""))</f>
        <v/>
      </c>
      <c r="G618" s="74">
        <f t="array" ref="G618">IF(OR($D618="",$D618="NO ENCONTRADO"),"",_xlfn.XLOOKUP($D618,Productos!$E:$E,Productos!$J:$J,""))</f>
        <v/>
      </c>
      <c r="H618" s="74">
        <f t="array" ref="H618">IF(OR($D618="",$D618="NO ENCONTRADO"),"",_xlfn.XLOOKUP($D618,Productos!$E:$E,Productos!$K:$K,""))</f>
        <v/>
      </c>
      <c r="I618" s="74">
        <f t="array" ref="I618">IF(OR($D618="",$D618="NO ENCONTRADO"),"",_xlfn.XLOOKUP($D618,Productos!$E:$E,Productos!$F:$F,""))</f>
        <v/>
      </c>
      <c r="J618" s="74">
        <f>IF($C618="","",IF($D618="NO ENCONTRADO",IF(COUNTIF($C$7:$C$1000,$C618)&gt;1,"⚠️ No encontrado | Duplicado","⚠️ No encontrado"),IF(COUNTIF($C$7:$C$1000,$C618)&gt;1,"⚠️ Duplicado","Verificado")))</f>
        <v/>
      </c>
    </row>
    <row r="619" ht="15.75" customHeight="1" s="176">
      <c r="B619" s="80" t="n"/>
      <c r="C619" s="74" t="n"/>
      <c r="D619" s="74">
        <f t="array" ref="D619">IF($C619="","",IFNA(_xlfn.XLOOKUP($C619,Productos!$A:$A,Productos!$E:$E,IFNA(_xlfn.XLOOKUP(TEXT($C619,"0"),Productos!$A:$A,Productos!$E:$E,IFNA(_xlfn.XLOOKUP(IFERROR(VALUE($C619),""),Productos!$A:$A,Productos!$E:$E,_xlfn.XLOOKUP($C619,Productos!$E:$E,Productos!$E:$E,"NO ENCONTRADO")),"NO ENCONTRADO")),"NO ENCONTRADO")),"NO ENCONTRADO"))</f>
        <v/>
      </c>
      <c r="E619" s="74">
        <f t="array" ref="E619">IF(OR($D619="",$D619="NO ENCONTRADO"),"",_xlfn.XLOOKUP($D619,Productos!$E:$E,Productos!$H:$H,""))</f>
        <v/>
      </c>
      <c r="F619" s="74">
        <f t="array" ref="F619">IF(OR($D619="",$D619="NO ENCONTRADO"),"",_xlfn.XLOOKUP($D619,Productos!$E:$E,Productos!$I:$I,""))</f>
        <v/>
      </c>
      <c r="G619" s="74">
        <f t="array" ref="G619">IF(OR($D619="",$D619="NO ENCONTRADO"),"",_xlfn.XLOOKUP($D619,Productos!$E:$E,Productos!$J:$J,""))</f>
        <v/>
      </c>
      <c r="H619" s="74">
        <f t="array" ref="H619">IF(OR($D619="",$D619="NO ENCONTRADO"),"",_xlfn.XLOOKUP($D619,Productos!$E:$E,Productos!$K:$K,""))</f>
        <v/>
      </c>
      <c r="I619" s="74">
        <f t="array" ref="I619">IF(OR($D619="",$D619="NO ENCONTRADO"),"",_xlfn.XLOOKUP($D619,Productos!$E:$E,Productos!$F:$F,""))</f>
        <v/>
      </c>
      <c r="J619" s="74">
        <f>IF($C619="","",IF($D619="NO ENCONTRADO",IF(COUNTIF($C$7:$C$1000,$C619)&gt;1,"⚠️ No encontrado | Duplicado","⚠️ No encontrado"),IF(COUNTIF($C$7:$C$1000,$C619)&gt;1,"⚠️ Duplicado","Verificado")))</f>
        <v/>
      </c>
    </row>
    <row r="620" ht="15.75" customHeight="1" s="176">
      <c r="B620" s="80" t="n"/>
      <c r="C620" s="74" t="n"/>
      <c r="D620" s="74">
        <f t="array" ref="D620">IF($C620="","",IFNA(_xlfn.XLOOKUP($C620,Productos!$A:$A,Productos!$E:$E,IFNA(_xlfn.XLOOKUP(TEXT($C620,"0"),Productos!$A:$A,Productos!$E:$E,IFNA(_xlfn.XLOOKUP(IFERROR(VALUE($C620),""),Productos!$A:$A,Productos!$E:$E,_xlfn.XLOOKUP($C620,Productos!$E:$E,Productos!$E:$E,"NO ENCONTRADO")),"NO ENCONTRADO")),"NO ENCONTRADO")),"NO ENCONTRADO"))</f>
        <v/>
      </c>
      <c r="E620" s="74">
        <f t="array" ref="E620">IF(OR($D620="",$D620="NO ENCONTRADO"),"",_xlfn.XLOOKUP($D620,Productos!$E:$E,Productos!$H:$H,""))</f>
        <v/>
      </c>
      <c r="F620" s="74">
        <f t="array" ref="F620">IF(OR($D620="",$D620="NO ENCONTRADO"),"",_xlfn.XLOOKUP($D620,Productos!$E:$E,Productos!$I:$I,""))</f>
        <v/>
      </c>
      <c r="G620" s="74">
        <f t="array" ref="G620">IF(OR($D620="",$D620="NO ENCONTRADO"),"",_xlfn.XLOOKUP($D620,Productos!$E:$E,Productos!$J:$J,""))</f>
        <v/>
      </c>
      <c r="H620" s="74">
        <f t="array" ref="H620">IF(OR($D620="",$D620="NO ENCONTRADO"),"",_xlfn.XLOOKUP($D620,Productos!$E:$E,Productos!$K:$K,""))</f>
        <v/>
      </c>
      <c r="I620" s="74">
        <f t="array" ref="I620">IF(OR($D620="",$D620="NO ENCONTRADO"),"",_xlfn.XLOOKUP($D620,Productos!$E:$E,Productos!$F:$F,""))</f>
        <v/>
      </c>
      <c r="J620" s="74">
        <f>IF($C620="","",IF($D620="NO ENCONTRADO",IF(COUNTIF($C$7:$C$1000,$C620)&gt;1,"⚠️ No encontrado | Duplicado","⚠️ No encontrado"),IF(COUNTIF($C$7:$C$1000,$C620)&gt;1,"⚠️ Duplicado","Verificado")))</f>
        <v/>
      </c>
    </row>
    <row r="621" ht="15.75" customHeight="1" s="176">
      <c r="B621" s="80" t="n"/>
      <c r="C621" s="74" t="n"/>
      <c r="D621" s="74">
        <f t="array" ref="D621">IF($C621="","",IFNA(_xlfn.XLOOKUP($C621,Productos!$A:$A,Productos!$E:$E,IFNA(_xlfn.XLOOKUP(TEXT($C621,"0"),Productos!$A:$A,Productos!$E:$E,IFNA(_xlfn.XLOOKUP(IFERROR(VALUE($C621),""),Productos!$A:$A,Productos!$E:$E,_xlfn.XLOOKUP($C621,Productos!$E:$E,Productos!$E:$E,"NO ENCONTRADO")),"NO ENCONTRADO")),"NO ENCONTRADO")),"NO ENCONTRADO"))</f>
        <v/>
      </c>
      <c r="E621" s="74">
        <f t="array" ref="E621">IF(OR($D621="",$D621="NO ENCONTRADO"),"",_xlfn.XLOOKUP($D621,Productos!$E:$E,Productos!$H:$H,""))</f>
        <v/>
      </c>
      <c r="F621" s="74">
        <f t="array" ref="F621">IF(OR($D621="",$D621="NO ENCONTRADO"),"",_xlfn.XLOOKUP($D621,Productos!$E:$E,Productos!$I:$I,""))</f>
        <v/>
      </c>
      <c r="G621" s="74">
        <f t="array" ref="G621">IF(OR($D621="",$D621="NO ENCONTRADO"),"",_xlfn.XLOOKUP($D621,Productos!$E:$E,Productos!$J:$J,""))</f>
        <v/>
      </c>
      <c r="H621" s="74">
        <f t="array" ref="H621">IF(OR($D621="",$D621="NO ENCONTRADO"),"",_xlfn.XLOOKUP($D621,Productos!$E:$E,Productos!$K:$K,""))</f>
        <v/>
      </c>
      <c r="I621" s="74">
        <f t="array" ref="I621">IF(OR($D621="",$D621="NO ENCONTRADO"),"",_xlfn.XLOOKUP($D621,Productos!$E:$E,Productos!$F:$F,""))</f>
        <v/>
      </c>
      <c r="J621" s="74">
        <f>IF($C621="","",IF($D621="NO ENCONTRADO",IF(COUNTIF($C$7:$C$1000,$C621)&gt;1,"⚠️ No encontrado | Duplicado","⚠️ No encontrado"),IF(COUNTIF($C$7:$C$1000,$C621)&gt;1,"⚠️ Duplicado","Verificado")))</f>
        <v/>
      </c>
    </row>
    <row r="622" ht="15.75" customHeight="1" s="176">
      <c r="B622" s="80" t="n"/>
      <c r="C622" s="74" t="n"/>
      <c r="D622" s="74">
        <f t="array" ref="D622">IF($C622="","",IFNA(_xlfn.XLOOKUP($C622,Productos!$A:$A,Productos!$E:$E,IFNA(_xlfn.XLOOKUP(TEXT($C622,"0"),Productos!$A:$A,Productos!$E:$E,IFNA(_xlfn.XLOOKUP(IFERROR(VALUE($C622),""),Productos!$A:$A,Productos!$E:$E,_xlfn.XLOOKUP($C622,Productos!$E:$E,Productos!$E:$E,"NO ENCONTRADO")),"NO ENCONTRADO")),"NO ENCONTRADO")),"NO ENCONTRADO"))</f>
        <v/>
      </c>
      <c r="E622" s="74">
        <f t="array" ref="E622">IF(OR($D622="",$D622="NO ENCONTRADO"),"",_xlfn.XLOOKUP($D622,Productos!$E:$E,Productos!$H:$H,""))</f>
        <v/>
      </c>
      <c r="F622" s="74">
        <f t="array" ref="F622">IF(OR($D622="",$D622="NO ENCONTRADO"),"",_xlfn.XLOOKUP($D622,Productos!$E:$E,Productos!$I:$I,""))</f>
        <v/>
      </c>
      <c r="G622" s="74">
        <f t="array" ref="G622">IF(OR($D622="",$D622="NO ENCONTRADO"),"",_xlfn.XLOOKUP($D622,Productos!$E:$E,Productos!$J:$J,""))</f>
        <v/>
      </c>
      <c r="H622" s="74">
        <f t="array" ref="H622">IF(OR($D622="",$D622="NO ENCONTRADO"),"",_xlfn.XLOOKUP($D622,Productos!$E:$E,Productos!$K:$K,""))</f>
        <v/>
      </c>
      <c r="I622" s="74">
        <f t="array" ref="I622">IF(OR($D622="",$D622="NO ENCONTRADO"),"",_xlfn.XLOOKUP($D622,Productos!$E:$E,Productos!$F:$F,""))</f>
        <v/>
      </c>
      <c r="J622" s="74">
        <f>IF($C622="","",IF($D622="NO ENCONTRADO",IF(COUNTIF($C$7:$C$1000,$C622)&gt;1,"⚠️ No encontrado | Duplicado","⚠️ No encontrado"),IF(COUNTIF($C$7:$C$1000,$C622)&gt;1,"⚠️ Duplicado","Verificado")))</f>
        <v/>
      </c>
    </row>
    <row r="623" ht="15.75" customHeight="1" s="176">
      <c r="B623" s="80" t="n"/>
      <c r="C623" s="74" t="n"/>
      <c r="D623" s="74">
        <f t="array" ref="D623">IF($C623="","",IFNA(_xlfn.XLOOKUP($C623,Productos!$A:$A,Productos!$E:$E,IFNA(_xlfn.XLOOKUP(TEXT($C623,"0"),Productos!$A:$A,Productos!$E:$E,IFNA(_xlfn.XLOOKUP(IFERROR(VALUE($C623),""),Productos!$A:$A,Productos!$E:$E,_xlfn.XLOOKUP($C623,Productos!$E:$E,Productos!$E:$E,"NO ENCONTRADO")),"NO ENCONTRADO")),"NO ENCONTRADO")),"NO ENCONTRADO"))</f>
        <v/>
      </c>
      <c r="E623" s="74">
        <f t="array" ref="E623">IF(OR($D623="",$D623="NO ENCONTRADO"),"",_xlfn.XLOOKUP($D623,Productos!$E:$E,Productos!$H:$H,""))</f>
        <v/>
      </c>
      <c r="F623" s="74">
        <f t="array" ref="F623">IF(OR($D623="",$D623="NO ENCONTRADO"),"",_xlfn.XLOOKUP($D623,Productos!$E:$E,Productos!$I:$I,""))</f>
        <v/>
      </c>
      <c r="G623" s="74">
        <f t="array" ref="G623">IF(OR($D623="",$D623="NO ENCONTRADO"),"",_xlfn.XLOOKUP($D623,Productos!$E:$E,Productos!$J:$J,""))</f>
        <v/>
      </c>
      <c r="H623" s="74">
        <f t="array" ref="H623">IF(OR($D623="",$D623="NO ENCONTRADO"),"",_xlfn.XLOOKUP($D623,Productos!$E:$E,Productos!$K:$K,""))</f>
        <v/>
      </c>
      <c r="I623" s="74">
        <f t="array" ref="I623">IF(OR($D623="",$D623="NO ENCONTRADO"),"",_xlfn.XLOOKUP($D623,Productos!$E:$E,Productos!$F:$F,""))</f>
        <v/>
      </c>
      <c r="J623" s="74">
        <f>IF($C623="","",IF($D623="NO ENCONTRADO",IF(COUNTIF($C$7:$C$1000,$C623)&gt;1,"⚠️ No encontrado | Duplicado","⚠️ No encontrado"),IF(COUNTIF($C$7:$C$1000,$C623)&gt;1,"⚠️ Duplicado","Verificado")))</f>
        <v/>
      </c>
    </row>
    <row r="624" ht="15.75" customHeight="1" s="176">
      <c r="B624" s="80" t="n"/>
      <c r="C624" s="74" t="n"/>
      <c r="D624" s="74">
        <f t="array" ref="D624">IF($C624="","",IFNA(_xlfn.XLOOKUP($C624,Productos!$A:$A,Productos!$E:$E,IFNA(_xlfn.XLOOKUP(TEXT($C624,"0"),Productos!$A:$A,Productos!$E:$E,IFNA(_xlfn.XLOOKUP(IFERROR(VALUE($C624),""),Productos!$A:$A,Productos!$E:$E,_xlfn.XLOOKUP($C624,Productos!$E:$E,Productos!$E:$E,"NO ENCONTRADO")),"NO ENCONTRADO")),"NO ENCONTRADO")),"NO ENCONTRADO"))</f>
        <v/>
      </c>
      <c r="E624" s="74">
        <f t="array" ref="E624">IF(OR($D624="",$D624="NO ENCONTRADO"),"",_xlfn.XLOOKUP($D624,Productos!$E:$E,Productos!$H:$H,""))</f>
        <v/>
      </c>
      <c r="F624" s="74">
        <f t="array" ref="F624">IF(OR($D624="",$D624="NO ENCONTRADO"),"",_xlfn.XLOOKUP($D624,Productos!$E:$E,Productos!$I:$I,""))</f>
        <v/>
      </c>
      <c r="G624" s="74">
        <f t="array" ref="G624">IF(OR($D624="",$D624="NO ENCONTRADO"),"",_xlfn.XLOOKUP($D624,Productos!$E:$E,Productos!$J:$J,""))</f>
        <v/>
      </c>
      <c r="H624" s="74">
        <f t="array" ref="H624">IF(OR($D624="",$D624="NO ENCONTRADO"),"",_xlfn.XLOOKUP($D624,Productos!$E:$E,Productos!$K:$K,""))</f>
        <v/>
      </c>
      <c r="I624" s="74">
        <f t="array" ref="I624">IF(OR($D624="",$D624="NO ENCONTRADO"),"",_xlfn.XLOOKUP($D624,Productos!$E:$E,Productos!$F:$F,""))</f>
        <v/>
      </c>
      <c r="J624" s="74">
        <f>IF($C624="","",IF($D624="NO ENCONTRADO",IF(COUNTIF($C$7:$C$1000,$C624)&gt;1,"⚠️ No encontrado | Duplicado","⚠️ No encontrado"),IF(COUNTIF($C$7:$C$1000,$C624)&gt;1,"⚠️ Duplicado","Verificado")))</f>
        <v/>
      </c>
    </row>
    <row r="625" ht="15.75" customHeight="1" s="176">
      <c r="B625" s="80" t="n"/>
      <c r="C625" s="74" t="n"/>
      <c r="D625" s="74">
        <f t="array" ref="D625">IF($C625="","",IFNA(_xlfn.XLOOKUP($C625,Productos!$A:$A,Productos!$E:$E,IFNA(_xlfn.XLOOKUP(TEXT($C625,"0"),Productos!$A:$A,Productos!$E:$E,IFNA(_xlfn.XLOOKUP(IFERROR(VALUE($C625),""),Productos!$A:$A,Productos!$E:$E,_xlfn.XLOOKUP($C625,Productos!$E:$E,Productos!$E:$E,"NO ENCONTRADO")),"NO ENCONTRADO")),"NO ENCONTRADO")),"NO ENCONTRADO"))</f>
        <v/>
      </c>
      <c r="E625" s="74">
        <f t="array" ref="E625">IF(OR($D625="",$D625="NO ENCONTRADO"),"",_xlfn.XLOOKUP($D625,Productos!$E:$E,Productos!$H:$H,""))</f>
        <v/>
      </c>
      <c r="F625" s="74">
        <f t="array" ref="F625">IF(OR($D625="",$D625="NO ENCONTRADO"),"",_xlfn.XLOOKUP($D625,Productos!$E:$E,Productos!$I:$I,""))</f>
        <v/>
      </c>
      <c r="G625" s="74">
        <f t="array" ref="G625">IF(OR($D625="",$D625="NO ENCONTRADO"),"",_xlfn.XLOOKUP($D625,Productos!$E:$E,Productos!$J:$J,""))</f>
        <v/>
      </c>
      <c r="H625" s="74">
        <f t="array" ref="H625">IF(OR($D625="",$D625="NO ENCONTRADO"),"",_xlfn.XLOOKUP($D625,Productos!$E:$E,Productos!$K:$K,""))</f>
        <v/>
      </c>
      <c r="I625" s="74">
        <f t="array" ref="I625">IF(OR($D625="",$D625="NO ENCONTRADO"),"",_xlfn.XLOOKUP($D625,Productos!$E:$E,Productos!$F:$F,""))</f>
        <v/>
      </c>
      <c r="J625" s="74">
        <f>IF($C625="","",IF($D625="NO ENCONTRADO",IF(COUNTIF($C$7:$C$1000,$C625)&gt;1,"⚠️ No encontrado | Duplicado","⚠️ No encontrado"),IF(COUNTIF($C$7:$C$1000,$C625)&gt;1,"⚠️ Duplicado","Verificado")))</f>
        <v/>
      </c>
    </row>
    <row r="626" ht="15.75" customHeight="1" s="176">
      <c r="B626" s="80" t="n"/>
      <c r="C626" s="74" t="n"/>
      <c r="D626" s="74">
        <f t="array" ref="D626">IF($C626="","",IFNA(_xlfn.XLOOKUP($C626,Productos!$A:$A,Productos!$E:$E,IFNA(_xlfn.XLOOKUP(TEXT($C626,"0"),Productos!$A:$A,Productos!$E:$E,IFNA(_xlfn.XLOOKUP(IFERROR(VALUE($C626),""),Productos!$A:$A,Productos!$E:$E,_xlfn.XLOOKUP($C626,Productos!$E:$E,Productos!$E:$E,"NO ENCONTRADO")),"NO ENCONTRADO")),"NO ENCONTRADO")),"NO ENCONTRADO"))</f>
        <v/>
      </c>
      <c r="E626" s="74">
        <f t="array" ref="E626">IF(OR($D626="",$D626="NO ENCONTRADO"),"",_xlfn.XLOOKUP($D626,Productos!$E:$E,Productos!$H:$H,""))</f>
        <v/>
      </c>
      <c r="F626" s="74">
        <f t="array" ref="F626">IF(OR($D626="",$D626="NO ENCONTRADO"),"",_xlfn.XLOOKUP($D626,Productos!$E:$E,Productos!$I:$I,""))</f>
        <v/>
      </c>
      <c r="G626" s="74">
        <f t="array" ref="G626">IF(OR($D626="",$D626="NO ENCONTRADO"),"",_xlfn.XLOOKUP($D626,Productos!$E:$E,Productos!$J:$J,""))</f>
        <v/>
      </c>
      <c r="H626" s="74">
        <f t="array" ref="H626">IF(OR($D626="",$D626="NO ENCONTRADO"),"",_xlfn.XLOOKUP($D626,Productos!$E:$E,Productos!$K:$K,""))</f>
        <v/>
      </c>
      <c r="I626" s="74">
        <f t="array" ref="I626">IF(OR($D626="",$D626="NO ENCONTRADO"),"",_xlfn.XLOOKUP($D626,Productos!$E:$E,Productos!$F:$F,""))</f>
        <v/>
      </c>
      <c r="J626" s="74">
        <f>IF($C626="","",IF($D626="NO ENCONTRADO",IF(COUNTIF($C$7:$C$1000,$C626)&gt;1,"⚠️ No encontrado | Duplicado","⚠️ No encontrado"),IF(COUNTIF($C$7:$C$1000,$C626)&gt;1,"⚠️ Duplicado","Verificado")))</f>
        <v/>
      </c>
    </row>
    <row r="627" ht="15.75" customHeight="1" s="176">
      <c r="B627" s="80" t="n"/>
      <c r="C627" s="74" t="n"/>
      <c r="D627" s="74">
        <f t="array" ref="D627">IF($C627="","",IFNA(_xlfn.XLOOKUP($C627,Productos!$A:$A,Productos!$E:$E,IFNA(_xlfn.XLOOKUP(TEXT($C627,"0"),Productos!$A:$A,Productos!$E:$E,IFNA(_xlfn.XLOOKUP(IFERROR(VALUE($C627),""),Productos!$A:$A,Productos!$E:$E,_xlfn.XLOOKUP($C627,Productos!$E:$E,Productos!$E:$E,"NO ENCONTRADO")),"NO ENCONTRADO")),"NO ENCONTRADO")),"NO ENCONTRADO"))</f>
        <v/>
      </c>
      <c r="E627" s="74">
        <f t="array" ref="E627">IF(OR($D627="",$D627="NO ENCONTRADO"),"",_xlfn.XLOOKUP($D627,Productos!$E:$E,Productos!$H:$H,""))</f>
        <v/>
      </c>
      <c r="F627" s="74">
        <f t="array" ref="F627">IF(OR($D627="",$D627="NO ENCONTRADO"),"",_xlfn.XLOOKUP($D627,Productos!$E:$E,Productos!$I:$I,""))</f>
        <v/>
      </c>
      <c r="G627" s="74">
        <f t="array" ref="G627">IF(OR($D627="",$D627="NO ENCONTRADO"),"",_xlfn.XLOOKUP($D627,Productos!$E:$E,Productos!$J:$J,""))</f>
        <v/>
      </c>
      <c r="H627" s="74">
        <f t="array" ref="H627">IF(OR($D627="",$D627="NO ENCONTRADO"),"",_xlfn.XLOOKUP($D627,Productos!$E:$E,Productos!$K:$K,""))</f>
        <v/>
      </c>
      <c r="I627" s="74">
        <f t="array" ref="I627">IF(OR($D627="",$D627="NO ENCONTRADO"),"",_xlfn.XLOOKUP($D627,Productos!$E:$E,Productos!$F:$F,""))</f>
        <v/>
      </c>
      <c r="J627" s="74">
        <f>IF($C627="","",IF($D627="NO ENCONTRADO",IF(COUNTIF($C$7:$C$1000,$C627)&gt;1,"⚠️ No encontrado | Duplicado","⚠️ No encontrado"),IF(COUNTIF($C$7:$C$1000,$C627)&gt;1,"⚠️ Duplicado","Verificado")))</f>
        <v/>
      </c>
    </row>
    <row r="628" ht="15.75" customHeight="1" s="176">
      <c r="B628" s="80" t="n"/>
      <c r="C628" s="74" t="n"/>
      <c r="D628" s="74">
        <f t="array" ref="D628">IF($C628="","",IFNA(_xlfn.XLOOKUP($C628,Productos!$A:$A,Productos!$E:$E,IFNA(_xlfn.XLOOKUP(TEXT($C628,"0"),Productos!$A:$A,Productos!$E:$E,IFNA(_xlfn.XLOOKUP(IFERROR(VALUE($C628),""),Productos!$A:$A,Productos!$E:$E,_xlfn.XLOOKUP($C628,Productos!$E:$E,Productos!$E:$E,"NO ENCONTRADO")),"NO ENCONTRADO")),"NO ENCONTRADO")),"NO ENCONTRADO"))</f>
        <v/>
      </c>
      <c r="E628" s="74">
        <f t="array" ref="E628">IF(OR($D628="",$D628="NO ENCONTRADO"),"",_xlfn.XLOOKUP($D628,Productos!$E:$E,Productos!$H:$H,""))</f>
        <v/>
      </c>
      <c r="F628" s="74">
        <f t="array" ref="F628">IF(OR($D628="",$D628="NO ENCONTRADO"),"",_xlfn.XLOOKUP($D628,Productos!$E:$E,Productos!$I:$I,""))</f>
        <v/>
      </c>
      <c r="G628" s="74">
        <f t="array" ref="G628">IF(OR($D628="",$D628="NO ENCONTRADO"),"",_xlfn.XLOOKUP($D628,Productos!$E:$E,Productos!$J:$J,""))</f>
        <v/>
      </c>
      <c r="H628" s="74">
        <f t="array" ref="H628">IF(OR($D628="",$D628="NO ENCONTRADO"),"",_xlfn.XLOOKUP($D628,Productos!$E:$E,Productos!$K:$K,""))</f>
        <v/>
      </c>
      <c r="I628" s="74">
        <f t="array" ref="I628">IF(OR($D628="",$D628="NO ENCONTRADO"),"",_xlfn.XLOOKUP($D628,Productos!$E:$E,Productos!$F:$F,""))</f>
        <v/>
      </c>
      <c r="J628" s="74">
        <f>IF($C628="","",IF($D628="NO ENCONTRADO",IF(COUNTIF($C$7:$C$1000,$C628)&gt;1,"⚠️ No encontrado | Duplicado","⚠️ No encontrado"),IF(COUNTIF($C$7:$C$1000,$C628)&gt;1,"⚠️ Duplicado","Verificado")))</f>
        <v/>
      </c>
    </row>
    <row r="629" ht="15.75" customHeight="1" s="176">
      <c r="B629" s="80" t="n"/>
      <c r="C629" s="74" t="n"/>
      <c r="D629" s="74">
        <f t="array" ref="D629">IF($C629="","",IFNA(_xlfn.XLOOKUP($C629,Productos!$A:$A,Productos!$E:$E,IFNA(_xlfn.XLOOKUP(TEXT($C629,"0"),Productos!$A:$A,Productos!$E:$E,IFNA(_xlfn.XLOOKUP(IFERROR(VALUE($C629),""),Productos!$A:$A,Productos!$E:$E,_xlfn.XLOOKUP($C629,Productos!$E:$E,Productos!$E:$E,"NO ENCONTRADO")),"NO ENCONTRADO")),"NO ENCONTRADO")),"NO ENCONTRADO"))</f>
        <v/>
      </c>
      <c r="E629" s="74">
        <f t="array" ref="E629">IF(OR($D629="",$D629="NO ENCONTRADO"),"",_xlfn.XLOOKUP($D629,Productos!$E:$E,Productos!$H:$H,""))</f>
        <v/>
      </c>
      <c r="F629" s="74">
        <f t="array" ref="F629">IF(OR($D629="",$D629="NO ENCONTRADO"),"",_xlfn.XLOOKUP($D629,Productos!$E:$E,Productos!$I:$I,""))</f>
        <v/>
      </c>
      <c r="G629" s="74">
        <f t="array" ref="G629">IF(OR($D629="",$D629="NO ENCONTRADO"),"",_xlfn.XLOOKUP($D629,Productos!$E:$E,Productos!$J:$J,""))</f>
        <v/>
      </c>
      <c r="H629" s="74">
        <f t="array" ref="H629">IF(OR($D629="",$D629="NO ENCONTRADO"),"",_xlfn.XLOOKUP($D629,Productos!$E:$E,Productos!$K:$K,""))</f>
        <v/>
      </c>
      <c r="I629" s="74">
        <f t="array" ref="I629">IF(OR($D629="",$D629="NO ENCONTRADO"),"",_xlfn.XLOOKUP($D629,Productos!$E:$E,Productos!$F:$F,""))</f>
        <v/>
      </c>
      <c r="J629" s="74">
        <f>IF($C629="","",IF($D629="NO ENCONTRADO",IF(COUNTIF($C$7:$C$1000,$C629)&gt;1,"⚠️ No encontrado | Duplicado","⚠️ No encontrado"),IF(COUNTIF($C$7:$C$1000,$C629)&gt;1,"⚠️ Duplicado","Verificado")))</f>
        <v/>
      </c>
    </row>
    <row r="630" ht="15.75" customHeight="1" s="176">
      <c r="B630" s="80" t="n"/>
      <c r="C630" s="74" t="n"/>
      <c r="D630" s="74">
        <f t="array" ref="D630">IF($C630="","",IFNA(_xlfn.XLOOKUP($C630,Productos!$A:$A,Productos!$E:$E,IFNA(_xlfn.XLOOKUP(TEXT($C630,"0"),Productos!$A:$A,Productos!$E:$E,IFNA(_xlfn.XLOOKUP(IFERROR(VALUE($C630),""),Productos!$A:$A,Productos!$E:$E,_xlfn.XLOOKUP($C630,Productos!$E:$E,Productos!$E:$E,"NO ENCONTRADO")),"NO ENCONTRADO")),"NO ENCONTRADO")),"NO ENCONTRADO"))</f>
        <v/>
      </c>
      <c r="E630" s="74">
        <f t="array" ref="E630">IF(OR($D630="",$D630="NO ENCONTRADO"),"",_xlfn.XLOOKUP($D630,Productos!$E:$E,Productos!$H:$H,""))</f>
        <v/>
      </c>
      <c r="F630" s="74">
        <f t="array" ref="F630">IF(OR($D630="",$D630="NO ENCONTRADO"),"",_xlfn.XLOOKUP($D630,Productos!$E:$E,Productos!$I:$I,""))</f>
        <v/>
      </c>
      <c r="G630" s="74">
        <f t="array" ref="G630">IF(OR($D630="",$D630="NO ENCONTRADO"),"",_xlfn.XLOOKUP($D630,Productos!$E:$E,Productos!$J:$J,""))</f>
        <v/>
      </c>
      <c r="H630" s="74">
        <f t="array" ref="H630">IF(OR($D630="",$D630="NO ENCONTRADO"),"",_xlfn.XLOOKUP($D630,Productos!$E:$E,Productos!$K:$K,""))</f>
        <v/>
      </c>
      <c r="I630" s="74">
        <f t="array" ref="I630">IF(OR($D630="",$D630="NO ENCONTRADO"),"",_xlfn.XLOOKUP($D630,Productos!$E:$E,Productos!$F:$F,""))</f>
        <v/>
      </c>
      <c r="J630" s="74">
        <f>IF($C630="","",IF($D630="NO ENCONTRADO",IF(COUNTIF($C$7:$C$1000,$C630)&gt;1,"⚠️ No encontrado | Duplicado","⚠️ No encontrado"),IF(COUNTIF($C$7:$C$1000,$C630)&gt;1,"⚠️ Duplicado","Verificado")))</f>
        <v/>
      </c>
    </row>
    <row r="631" ht="15.75" customHeight="1" s="176">
      <c r="B631" s="80" t="n"/>
      <c r="C631" s="74" t="n"/>
      <c r="D631" s="74">
        <f t="array" ref="D631">IF($C631="","",IFNA(_xlfn.XLOOKUP($C631,Productos!$A:$A,Productos!$E:$E,IFNA(_xlfn.XLOOKUP(TEXT($C631,"0"),Productos!$A:$A,Productos!$E:$E,IFNA(_xlfn.XLOOKUP(IFERROR(VALUE($C631),""),Productos!$A:$A,Productos!$E:$E,_xlfn.XLOOKUP($C631,Productos!$E:$E,Productos!$E:$E,"NO ENCONTRADO")),"NO ENCONTRADO")),"NO ENCONTRADO")),"NO ENCONTRADO"))</f>
        <v/>
      </c>
      <c r="E631" s="74">
        <f t="array" ref="E631">IF(OR($D631="",$D631="NO ENCONTRADO"),"",_xlfn.XLOOKUP($D631,Productos!$E:$E,Productos!$H:$H,""))</f>
        <v/>
      </c>
      <c r="F631" s="74">
        <f t="array" ref="F631">IF(OR($D631="",$D631="NO ENCONTRADO"),"",_xlfn.XLOOKUP($D631,Productos!$E:$E,Productos!$I:$I,""))</f>
        <v/>
      </c>
      <c r="G631" s="74">
        <f t="array" ref="G631">IF(OR($D631="",$D631="NO ENCONTRADO"),"",_xlfn.XLOOKUP($D631,Productos!$E:$E,Productos!$J:$J,""))</f>
        <v/>
      </c>
      <c r="H631" s="74">
        <f t="array" ref="H631">IF(OR($D631="",$D631="NO ENCONTRADO"),"",_xlfn.XLOOKUP($D631,Productos!$E:$E,Productos!$K:$K,""))</f>
        <v/>
      </c>
      <c r="I631" s="74">
        <f t="array" ref="I631">IF(OR($D631="",$D631="NO ENCONTRADO"),"",_xlfn.XLOOKUP($D631,Productos!$E:$E,Productos!$F:$F,""))</f>
        <v/>
      </c>
      <c r="J631" s="74">
        <f>IF($C631="","",IF($D631="NO ENCONTRADO",IF(COUNTIF($C$7:$C$1000,$C631)&gt;1,"⚠️ No encontrado | Duplicado","⚠️ No encontrado"),IF(COUNTIF($C$7:$C$1000,$C631)&gt;1,"⚠️ Duplicado","Verificado")))</f>
        <v/>
      </c>
    </row>
    <row r="632" ht="15.75" customHeight="1" s="176">
      <c r="B632" s="80" t="n"/>
      <c r="C632" s="74" t="n"/>
      <c r="D632" s="74">
        <f t="array" ref="D632">IF($C632="","",IFNA(_xlfn.XLOOKUP($C632,Productos!$A:$A,Productos!$E:$E,IFNA(_xlfn.XLOOKUP(TEXT($C632,"0"),Productos!$A:$A,Productos!$E:$E,IFNA(_xlfn.XLOOKUP(IFERROR(VALUE($C632),""),Productos!$A:$A,Productos!$E:$E,_xlfn.XLOOKUP($C632,Productos!$E:$E,Productos!$E:$E,"NO ENCONTRADO")),"NO ENCONTRADO")),"NO ENCONTRADO")),"NO ENCONTRADO"))</f>
        <v/>
      </c>
      <c r="E632" s="74">
        <f t="array" ref="E632">IF(OR($D632="",$D632="NO ENCONTRADO"),"",_xlfn.XLOOKUP($D632,Productos!$E:$E,Productos!$H:$H,""))</f>
        <v/>
      </c>
      <c r="F632" s="74">
        <f t="array" ref="F632">IF(OR($D632="",$D632="NO ENCONTRADO"),"",_xlfn.XLOOKUP($D632,Productos!$E:$E,Productos!$I:$I,""))</f>
        <v/>
      </c>
      <c r="G632" s="74">
        <f t="array" ref="G632">IF(OR($D632="",$D632="NO ENCONTRADO"),"",_xlfn.XLOOKUP($D632,Productos!$E:$E,Productos!$J:$J,""))</f>
        <v/>
      </c>
      <c r="H632" s="74">
        <f t="array" ref="H632">IF(OR($D632="",$D632="NO ENCONTRADO"),"",_xlfn.XLOOKUP($D632,Productos!$E:$E,Productos!$K:$K,""))</f>
        <v/>
      </c>
      <c r="I632" s="74">
        <f t="array" ref="I632">IF(OR($D632="",$D632="NO ENCONTRADO"),"",_xlfn.XLOOKUP($D632,Productos!$E:$E,Productos!$F:$F,""))</f>
        <v/>
      </c>
      <c r="J632" s="74">
        <f>IF($C632="","",IF($D632="NO ENCONTRADO",IF(COUNTIF($C$7:$C$1000,$C632)&gt;1,"⚠️ No encontrado | Duplicado","⚠️ No encontrado"),IF(COUNTIF($C$7:$C$1000,$C632)&gt;1,"⚠️ Duplicado","Verificado")))</f>
        <v/>
      </c>
    </row>
    <row r="633" ht="15.75" customHeight="1" s="176">
      <c r="B633" s="80" t="n"/>
      <c r="C633" s="74" t="n"/>
      <c r="D633" s="74">
        <f t="array" ref="D633">IF($C633="","",IFNA(_xlfn.XLOOKUP($C633,Productos!$A:$A,Productos!$E:$E,IFNA(_xlfn.XLOOKUP(TEXT($C633,"0"),Productos!$A:$A,Productos!$E:$E,IFNA(_xlfn.XLOOKUP(IFERROR(VALUE($C633),""),Productos!$A:$A,Productos!$E:$E,_xlfn.XLOOKUP($C633,Productos!$E:$E,Productos!$E:$E,"NO ENCONTRADO")),"NO ENCONTRADO")),"NO ENCONTRADO")),"NO ENCONTRADO"))</f>
        <v/>
      </c>
      <c r="E633" s="74">
        <f t="array" ref="E633">IF(OR($D633="",$D633="NO ENCONTRADO"),"",_xlfn.XLOOKUP($D633,Productos!$E:$E,Productos!$H:$H,""))</f>
        <v/>
      </c>
      <c r="F633" s="74">
        <f t="array" ref="F633">IF(OR($D633="",$D633="NO ENCONTRADO"),"",_xlfn.XLOOKUP($D633,Productos!$E:$E,Productos!$I:$I,""))</f>
        <v/>
      </c>
      <c r="G633" s="74">
        <f t="array" ref="G633">IF(OR($D633="",$D633="NO ENCONTRADO"),"",_xlfn.XLOOKUP($D633,Productos!$E:$E,Productos!$J:$J,""))</f>
        <v/>
      </c>
      <c r="H633" s="74">
        <f t="array" ref="H633">IF(OR($D633="",$D633="NO ENCONTRADO"),"",_xlfn.XLOOKUP($D633,Productos!$E:$E,Productos!$K:$K,""))</f>
        <v/>
      </c>
      <c r="I633" s="74">
        <f t="array" ref="I633">IF(OR($D633="",$D633="NO ENCONTRADO"),"",_xlfn.XLOOKUP($D633,Productos!$E:$E,Productos!$F:$F,""))</f>
        <v/>
      </c>
      <c r="J633" s="74">
        <f>IF($C633="","",IF($D633="NO ENCONTRADO",IF(COUNTIF($C$7:$C$1000,$C633)&gt;1,"⚠️ No encontrado | Duplicado","⚠️ No encontrado"),IF(COUNTIF($C$7:$C$1000,$C633)&gt;1,"⚠️ Duplicado","Verificado")))</f>
        <v/>
      </c>
    </row>
    <row r="634" ht="15.75" customHeight="1" s="176">
      <c r="B634" s="80" t="n"/>
      <c r="C634" s="74" t="n"/>
      <c r="D634" s="74">
        <f t="array" ref="D634">IF($C634="","",IFNA(_xlfn.XLOOKUP($C634,Productos!$A:$A,Productos!$E:$E,IFNA(_xlfn.XLOOKUP(TEXT($C634,"0"),Productos!$A:$A,Productos!$E:$E,IFNA(_xlfn.XLOOKUP(IFERROR(VALUE($C634),""),Productos!$A:$A,Productos!$E:$E,_xlfn.XLOOKUP($C634,Productos!$E:$E,Productos!$E:$E,"NO ENCONTRADO")),"NO ENCONTRADO")),"NO ENCONTRADO")),"NO ENCONTRADO"))</f>
        <v/>
      </c>
      <c r="E634" s="74">
        <f t="array" ref="E634">IF(OR($D634="",$D634="NO ENCONTRADO"),"",_xlfn.XLOOKUP($D634,Productos!$E:$E,Productos!$H:$H,""))</f>
        <v/>
      </c>
      <c r="F634" s="74">
        <f t="array" ref="F634">IF(OR($D634="",$D634="NO ENCONTRADO"),"",_xlfn.XLOOKUP($D634,Productos!$E:$E,Productos!$I:$I,""))</f>
        <v/>
      </c>
      <c r="G634" s="74">
        <f t="array" ref="G634">IF(OR($D634="",$D634="NO ENCONTRADO"),"",_xlfn.XLOOKUP($D634,Productos!$E:$E,Productos!$J:$J,""))</f>
        <v/>
      </c>
      <c r="H634" s="74">
        <f t="array" ref="H634">IF(OR($D634="",$D634="NO ENCONTRADO"),"",_xlfn.XLOOKUP($D634,Productos!$E:$E,Productos!$K:$K,""))</f>
        <v/>
      </c>
      <c r="I634" s="74">
        <f t="array" ref="I634">IF(OR($D634="",$D634="NO ENCONTRADO"),"",_xlfn.XLOOKUP($D634,Productos!$E:$E,Productos!$F:$F,""))</f>
        <v/>
      </c>
      <c r="J634" s="74">
        <f>IF($C634="","",IF($D634="NO ENCONTRADO",IF(COUNTIF($C$7:$C$1000,$C634)&gt;1,"⚠️ No encontrado | Duplicado","⚠️ No encontrado"),IF(COUNTIF($C$7:$C$1000,$C634)&gt;1,"⚠️ Duplicado","Verificado")))</f>
        <v/>
      </c>
    </row>
    <row r="635" ht="15.75" customHeight="1" s="176">
      <c r="B635" s="80" t="n"/>
      <c r="C635" s="74" t="n"/>
      <c r="D635" s="74">
        <f t="array" ref="D635">IF($C635="","",IFNA(_xlfn.XLOOKUP($C635,Productos!$A:$A,Productos!$E:$E,IFNA(_xlfn.XLOOKUP(TEXT($C635,"0"),Productos!$A:$A,Productos!$E:$E,IFNA(_xlfn.XLOOKUP(IFERROR(VALUE($C635),""),Productos!$A:$A,Productos!$E:$E,_xlfn.XLOOKUP($C635,Productos!$E:$E,Productos!$E:$E,"NO ENCONTRADO")),"NO ENCONTRADO")),"NO ENCONTRADO")),"NO ENCONTRADO"))</f>
        <v/>
      </c>
      <c r="E635" s="74">
        <f t="array" ref="E635">IF(OR($D635="",$D635="NO ENCONTRADO"),"",_xlfn.XLOOKUP($D635,Productos!$E:$E,Productos!$H:$H,""))</f>
        <v/>
      </c>
      <c r="F635" s="74">
        <f t="array" ref="F635">IF(OR($D635="",$D635="NO ENCONTRADO"),"",_xlfn.XLOOKUP($D635,Productos!$E:$E,Productos!$I:$I,""))</f>
        <v/>
      </c>
      <c r="G635" s="74">
        <f t="array" ref="G635">IF(OR($D635="",$D635="NO ENCONTRADO"),"",_xlfn.XLOOKUP($D635,Productos!$E:$E,Productos!$J:$J,""))</f>
        <v/>
      </c>
      <c r="H635" s="74">
        <f t="array" ref="H635">IF(OR($D635="",$D635="NO ENCONTRADO"),"",_xlfn.XLOOKUP($D635,Productos!$E:$E,Productos!$K:$K,""))</f>
        <v/>
      </c>
      <c r="I635" s="74">
        <f t="array" ref="I635">IF(OR($D635="",$D635="NO ENCONTRADO"),"",_xlfn.XLOOKUP($D635,Productos!$E:$E,Productos!$F:$F,""))</f>
        <v/>
      </c>
      <c r="J635" s="74">
        <f>IF($C635="","",IF($D635="NO ENCONTRADO",IF(COUNTIF($C$7:$C$1000,$C635)&gt;1,"⚠️ No encontrado | Duplicado","⚠️ No encontrado"),IF(COUNTIF($C$7:$C$1000,$C635)&gt;1,"⚠️ Duplicado","Verificado")))</f>
        <v/>
      </c>
    </row>
    <row r="636" ht="15.75" customHeight="1" s="176">
      <c r="B636" s="80" t="n"/>
      <c r="C636" s="74" t="n"/>
      <c r="D636" s="74">
        <f t="array" ref="D636">IF($C636="","",IFNA(_xlfn.XLOOKUP($C636,Productos!$A:$A,Productos!$E:$E,IFNA(_xlfn.XLOOKUP(TEXT($C636,"0"),Productos!$A:$A,Productos!$E:$E,IFNA(_xlfn.XLOOKUP(IFERROR(VALUE($C636),""),Productos!$A:$A,Productos!$E:$E,_xlfn.XLOOKUP($C636,Productos!$E:$E,Productos!$E:$E,"NO ENCONTRADO")),"NO ENCONTRADO")),"NO ENCONTRADO")),"NO ENCONTRADO"))</f>
        <v/>
      </c>
      <c r="E636" s="74">
        <f t="array" ref="E636">IF(OR($D636="",$D636="NO ENCONTRADO"),"",_xlfn.XLOOKUP($D636,Productos!$E:$E,Productos!$H:$H,""))</f>
        <v/>
      </c>
      <c r="F636" s="74">
        <f t="array" ref="F636">IF(OR($D636="",$D636="NO ENCONTRADO"),"",_xlfn.XLOOKUP($D636,Productos!$E:$E,Productos!$I:$I,""))</f>
        <v/>
      </c>
      <c r="G636" s="74">
        <f t="array" ref="G636">IF(OR($D636="",$D636="NO ENCONTRADO"),"",_xlfn.XLOOKUP($D636,Productos!$E:$E,Productos!$J:$J,""))</f>
        <v/>
      </c>
      <c r="H636" s="74">
        <f t="array" ref="H636">IF(OR($D636="",$D636="NO ENCONTRADO"),"",_xlfn.XLOOKUP($D636,Productos!$E:$E,Productos!$K:$K,""))</f>
        <v/>
      </c>
      <c r="I636" s="74">
        <f t="array" ref="I636">IF(OR($D636="",$D636="NO ENCONTRADO"),"",_xlfn.XLOOKUP($D636,Productos!$E:$E,Productos!$F:$F,""))</f>
        <v/>
      </c>
      <c r="J636" s="74">
        <f>IF($C636="","",IF($D636="NO ENCONTRADO",IF(COUNTIF($C$7:$C$1000,$C636)&gt;1,"⚠️ No encontrado | Duplicado","⚠️ No encontrado"),IF(COUNTIF($C$7:$C$1000,$C636)&gt;1,"⚠️ Duplicado","Verificado")))</f>
        <v/>
      </c>
    </row>
    <row r="637" ht="15.75" customHeight="1" s="176">
      <c r="B637" s="80" t="n"/>
      <c r="C637" s="74" t="n"/>
      <c r="D637" s="74">
        <f t="array" ref="D637">IF($C637="","",IFNA(_xlfn.XLOOKUP($C637,Productos!$A:$A,Productos!$E:$E,IFNA(_xlfn.XLOOKUP(TEXT($C637,"0"),Productos!$A:$A,Productos!$E:$E,IFNA(_xlfn.XLOOKUP(IFERROR(VALUE($C637),""),Productos!$A:$A,Productos!$E:$E,_xlfn.XLOOKUP($C637,Productos!$E:$E,Productos!$E:$E,"NO ENCONTRADO")),"NO ENCONTRADO")),"NO ENCONTRADO")),"NO ENCONTRADO"))</f>
        <v/>
      </c>
      <c r="E637" s="74">
        <f t="array" ref="E637">IF(OR($D637="",$D637="NO ENCONTRADO"),"",_xlfn.XLOOKUP($D637,Productos!$E:$E,Productos!$H:$H,""))</f>
        <v/>
      </c>
      <c r="F637" s="74">
        <f t="array" ref="F637">IF(OR($D637="",$D637="NO ENCONTRADO"),"",_xlfn.XLOOKUP($D637,Productos!$E:$E,Productos!$I:$I,""))</f>
        <v/>
      </c>
      <c r="G637" s="74">
        <f t="array" ref="G637">IF(OR($D637="",$D637="NO ENCONTRADO"),"",_xlfn.XLOOKUP($D637,Productos!$E:$E,Productos!$J:$J,""))</f>
        <v/>
      </c>
      <c r="H637" s="74">
        <f t="array" ref="H637">IF(OR($D637="",$D637="NO ENCONTRADO"),"",_xlfn.XLOOKUP($D637,Productos!$E:$E,Productos!$K:$K,""))</f>
        <v/>
      </c>
      <c r="I637" s="74">
        <f t="array" ref="I637">IF(OR($D637="",$D637="NO ENCONTRADO"),"",_xlfn.XLOOKUP($D637,Productos!$E:$E,Productos!$F:$F,""))</f>
        <v/>
      </c>
      <c r="J637" s="74">
        <f>IF($C637="","",IF($D637="NO ENCONTRADO",IF(COUNTIF($C$7:$C$1000,$C637)&gt;1,"⚠️ No encontrado | Duplicado","⚠️ No encontrado"),IF(COUNTIF($C$7:$C$1000,$C637)&gt;1,"⚠️ Duplicado","Verificado")))</f>
        <v/>
      </c>
    </row>
    <row r="638" ht="15.75" customHeight="1" s="176">
      <c r="B638" s="80" t="n"/>
      <c r="C638" s="74" t="n"/>
      <c r="D638" s="74">
        <f t="array" ref="D638">IF($C638="","",IFNA(_xlfn.XLOOKUP($C638,Productos!$A:$A,Productos!$E:$E,IFNA(_xlfn.XLOOKUP(TEXT($C638,"0"),Productos!$A:$A,Productos!$E:$E,IFNA(_xlfn.XLOOKUP(IFERROR(VALUE($C638),""),Productos!$A:$A,Productos!$E:$E,_xlfn.XLOOKUP($C638,Productos!$E:$E,Productos!$E:$E,"NO ENCONTRADO")),"NO ENCONTRADO")),"NO ENCONTRADO")),"NO ENCONTRADO"))</f>
        <v/>
      </c>
      <c r="E638" s="74">
        <f t="array" ref="E638">IF(OR($D638="",$D638="NO ENCONTRADO"),"",_xlfn.XLOOKUP($D638,Productos!$E:$E,Productos!$H:$H,""))</f>
        <v/>
      </c>
      <c r="F638" s="74">
        <f t="array" ref="F638">IF(OR($D638="",$D638="NO ENCONTRADO"),"",_xlfn.XLOOKUP($D638,Productos!$E:$E,Productos!$I:$I,""))</f>
        <v/>
      </c>
      <c r="G638" s="74">
        <f t="array" ref="G638">IF(OR($D638="",$D638="NO ENCONTRADO"),"",_xlfn.XLOOKUP($D638,Productos!$E:$E,Productos!$J:$J,""))</f>
        <v/>
      </c>
      <c r="H638" s="74">
        <f t="array" ref="H638">IF(OR($D638="",$D638="NO ENCONTRADO"),"",_xlfn.XLOOKUP($D638,Productos!$E:$E,Productos!$K:$K,""))</f>
        <v/>
      </c>
      <c r="I638" s="74">
        <f t="array" ref="I638">IF(OR($D638="",$D638="NO ENCONTRADO"),"",_xlfn.XLOOKUP($D638,Productos!$E:$E,Productos!$F:$F,""))</f>
        <v/>
      </c>
      <c r="J638" s="74">
        <f>IF($C638="","",IF($D638="NO ENCONTRADO",IF(COUNTIF($C$7:$C$1000,$C638)&gt;1,"⚠️ No encontrado | Duplicado","⚠️ No encontrado"),IF(COUNTIF($C$7:$C$1000,$C638)&gt;1,"⚠️ Duplicado","Verificado")))</f>
        <v/>
      </c>
    </row>
    <row r="639" ht="15.75" customHeight="1" s="176">
      <c r="B639" s="80" t="n"/>
      <c r="C639" s="74" t="n"/>
      <c r="D639" s="74">
        <f t="array" ref="D639">IF($C639="","",IFNA(_xlfn.XLOOKUP($C639,Productos!$A:$A,Productos!$E:$E,IFNA(_xlfn.XLOOKUP(TEXT($C639,"0"),Productos!$A:$A,Productos!$E:$E,IFNA(_xlfn.XLOOKUP(IFERROR(VALUE($C639),""),Productos!$A:$A,Productos!$E:$E,_xlfn.XLOOKUP($C639,Productos!$E:$E,Productos!$E:$E,"NO ENCONTRADO")),"NO ENCONTRADO")),"NO ENCONTRADO")),"NO ENCONTRADO"))</f>
        <v/>
      </c>
      <c r="E639" s="74">
        <f t="array" ref="E639">IF(OR($D639="",$D639="NO ENCONTRADO"),"",_xlfn.XLOOKUP($D639,Productos!$E:$E,Productos!$H:$H,""))</f>
        <v/>
      </c>
      <c r="F639" s="74">
        <f t="array" ref="F639">IF(OR($D639="",$D639="NO ENCONTRADO"),"",_xlfn.XLOOKUP($D639,Productos!$E:$E,Productos!$I:$I,""))</f>
        <v/>
      </c>
      <c r="G639" s="74">
        <f t="array" ref="G639">IF(OR($D639="",$D639="NO ENCONTRADO"),"",_xlfn.XLOOKUP($D639,Productos!$E:$E,Productos!$J:$J,""))</f>
        <v/>
      </c>
      <c r="H639" s="74">
        <f t="array" ref="H639">IF(OR($D639="",$D639="NO ENCONTRADO"),"",_xlfn.XLOOKUP($D639,Productos!$E:$E,Productos!$K:$K,""))</f>
        <v/>
      </c>
      <c r="I639" s="74">
        <f t="array" ref="I639">IF(OR($D639="",$D639="NO ENCONTRADO"),"",_xlfn.XLOOKUP($D639,Productos!$E:$E,Productos!$F:$F,""))</f>
        <v/>
      </c>
      <c r="J639" s="74">
        <f>IF($C639="","",IF($D639="NO ENCONTRADO",IF(COUNTIF($C$7:$C$1000,$C639)&gt;1,"⚠️ No encontrado | Duplicado","⚠️ No encontrado"),IF(COUNTIF($C$7:$C$1000,$C639)&gt;1,"⚠️ Duplicado","Verificado")))</f>
        <v/>
      </c>
    </row>
    <row r="640" ht="15.75" customHeight="1" s="176">
      <c r="B640" s="80" t="n"/>
      <c r="C640" s="74" t="n"/>
      <c r="D640" s="74">
        <f t="array" ref="D640">IF($C640="","",IFNA(_xlfn.XLOOKUP($C640,Productos!$A:$A,Productos!$E:$E,IFNA(_xlfn.XLOOKUP(TEXT($C640,"0"),Productos!$A:$A,Productos!$E:$E,IFNA(_xlfn.XLOOKUP(IFERROR(VALUE($C640),""),Productos!$A:$A,Productos!$E:$E,_xlfn.XLOOKUP($C640,Productos!$E:$E,Productos!$E:$E,"NO ENCONTRADO")),"NO ENCONTRADO")),"NO ENCONTRADO")),"NO ENCONTRADO"))</f>
        <v/>
      </c>
      <c r="E640" s="74">
        <f t="array" ref="E640">IF(OR($D640="",$D640="NO ENCONTRADO"),"",_xlfn.XLOOKUP($D640,Productos!$E:$E,Productos!$H:$H,""))</f>
        <v/>
      </c>
      <c r="F640" s="74">
        <f t="array" ref="F640">IF(OR($D640="",$D640="NO ENCONTRADO"),"",_xlfn.XLOOKUP($D640,Productos!$E:$E,Productos!$I:$I,""))</f>
        <v/>
      </c>
      <c r="G640" s="74">
        <f t="array" ref="G640">IF(OR($D640="",$D640="NO ENCONTRADO"),"",_xlfn.XLOOKUP($D640,Productos!$E:$E,Productos!$J:$J,""))</f>
        <v/>
      </c>
      <c r="H640" s="74">
        <f t="array" ref="H640">IF(OR($D640="",$D640="NO ENCONTRADO"),"",_xlfn.XLOOKUP($D640,Productos!$E:$E,Productos!$K:$K,""))</f>
        <v/>
      </c>
      <c r="I640" s="74">
        <f t="array" ref="I640">IF(OR($D640="",$D640="NO ENCONTRADO"),"",_xlfn.XLOOKUP($D640,Productos!$E:$E,Productos!$F:$F,""))</f>
        <v/>
      </c>
      <c r="J640" s="74">
        <f>IF($C640="","",IF($D640="NO ENCONTRADO",IF(COUNTIF($C$7:$C$1000,$C640)&gt;1,"⚠️ No encontrado | Duplicado","⚠️ No encontrado"),IF(COUNTIF($C$7:$C$1000,$C640)&gt;1,"⚠️ Duplicado","Verificado")))</f>
        <v/>
      </c>
    </row>
    <row r="641" ht="15.75" customHeight="1" s="176">
      <c r="B641" s="80" t="n"/>
      <c r="C641" s="74" t="n"/>
      <c r="D641" s="74">
        <f t="array" ref="D641">IF($C641="","",IFNA(_xlfn.XLOOKUP($C641,Productos!$A:$A,Productos!$E:$E,IFNA(_xlfn.XLOOKUP(TEXT($C641,"0"),Productos!$A:$A,Productos!$E:$E,IFNA(_xlfn.XLOOKUP(IFERROR(VALUE($C641),""),Productos!$A:$A,Productos!$E:$E,_xlfn.XLOOKUP($C641,Productos!$E:$E,Productos!$E:$E,"NO ENCONTRADO")),"NO ENCONTRADO")),"NO ENCONTRADO")),"NO ENCONTRADO"))</f>
        <v/>
      </c>
      <c r="E641" s="74">
        <f t="array" ref="E641">IF(OR($D641="",$D641="NO ENCONTRADO"),"",_xlfn.XLOOKUP($D641,Productos!$E:$E,Productos!$H:$H,""))</f>
        <v/>
      </c>
      <c r="F641" s="74">
        <f t="array" ref="F641">IF(OR($D641="",$D641="NO ENCONTRADO"),"",_xlfn.XLOOKUP($D641,Productos!$E:$E,Productos!$I:$I,""))</f>
        <v/>
      </c>
      <c r="G641" s="74">
        <f t="array" ref="G641">IF(OR($D641="",$D641="NO ENCONTRADO"),"",_xlfn.XLOOKUP($D641,Productos!$E:$E,Productos!$J:$J,""))</f>
        <v/>
      </c>
      <c r="H641" s="74">
        <f t="array" ref="H641">IF(OR($D641="",$D641="NO ENCONTRADO"),"",_xlfn.XLOOKUP($D641,Productos!$E:$E,Productos!$K:$K,""))</f>
        <v/>
      </c>
      <c r="I641" s="74">
        <f t="array" ref="I641">IF(OR($D641="",$D641="NO ENCONTRADO"),"",_xlfn.XLOOKUP($D641,Productos!$E:$E,Productos!$F:$F,""))</f>
        <v/>
      </c>
      <c r="J641" s="74">
        <f>IF($C641="","",IF($D641="NO ENCONTRADO",IF(COUNTIF($C$7:$C$1000,$C641)&gt;1,"⚠️ No encontrado | Duplicado","⚠️ No encontrado"),IF(COUNTIF($C$7:$C$1000,$C641)&gt;1,"⚠️ Duplicado","Verificado")))</f>
        <v/>
      </c>
    </row>
    <row r="642" ht="15.75" customHeight="1" s="176">
      <c r="B642" s="80" t="n"/>
      <c r="C642" s="74" t="n"/>
      <c r="D642" s="74">
        <f t="array" ref="D642">IF($C642="","",IFNA(_xlfn.XLOOKUP($C642,Productos!$A:$A,Productos!$E:$E,IFNA(_xlfn.XLOOKUP(TEXT($C642,"0"),Productos!$A:$A,Productos!$E:$E,IFNA(_xlfn.XLOOKUP(IFERROR(VALUE($C642),""),Productos!$A:$A,Productos!$E:$E,_xlfn.XLOOKUP($C642,Productos!$E:$E,Productos!$E:$E,"NO ENCONTRADO")),"NO ENCONTRADO")),"NO ENCONTRADO")),"NO ENCONTRADO"))</f>
        <v/>
      </c>
      <c r="E642" s="74">
        <f t="array" ref="E642">IF(OR($D642="",$D642="NO ENCONTRADO"),"",_xlfn.XLOOKUP($D642,Productos!$E:$E,Productos!$H:$H,""))</f>
        <v/>
      </c>
      <c r="F642" s="74">
        <f t="array" ref="F642">IF(OR($D642="",$D642="NO ENCONTRADO"),"",_xlfn.XLOOKUP($D642,Productos!$E:$E,Productos!$I:$I,""))</f>
        <v/>
      </c>
      <c r="G642" s="74">
        <f t="array" ref="G642">IF(OR($D642="",$D642="NO ENCONTRADO"),"",_xlfn.XLOOKUP($D642,Productos!$E:$E,Productos!$J:$J,""))</f>
        <v/>
      </c>
      <c r="H642" s="74">
        <f t="array" ref="H642">IF(OR($D642="",$D642="NO ENCONTRADO"),"",_xlfn.XLOOKUP($D642,Productos!$E:$E,Productos!$K:$K,""))</f>
        <v/>
      </c>
      <c r="I642" s="74">
        <f t="array" ref="I642">IF(OR($D642="",$D642="NO ENCONTRADO"),"",_xlfn.XLOOKUP($D642,Productos!$E:$E,Productos!$F:$F,""))</f>
        <v/>
      </c>
      <c r="J642" s="74">
        <f>IF($C642="","",IF($D642="NO ENCONTRADO",IF(COUNTIF($C$7:$C$1000,$C642)&gt;1,"⚠️ No encontrado | Duplicado","⚠️ No encontrado"),IF(COUNTIF($C$7:$C$1000,$C642)&gt;1,"⚠️ Duplicado","Verificado")))</f>
        <v/>
      </c>
    </row>
    <row r="643" ht="15.75" customHeight="1" s="176">
      <c r="B643" s="80" t="n"/>
      <c r="C643" s="74" t="n"/>
      <c r="D643" s="74">
        <f t="array" ref="D643">IF($C643="","",IFNA(_xlfn.XLOOKUP($C643,Productos!$A:$A,Productos!$E:$E,IFNA(_xlfn.XLOOKUP(TEXT($C643,"0"),Productos!$A:$A,Productos!$E:$E,IFNA(_xlfn.XLOOKUP(IFERROR(VALUE($C643),""),Productos!$A:$A,Productos!$E:$E,_xlfn.XLOOKUP($C643,Productos!$E:$E,Productos!$E:$E,"NO ENCONTRADO")),"NO ENCONTRADO")),"NO ENCONTRADO")),"NO ENCONTRADO"))</f>
        <v/>
      </c>
      <c r="E643" s="74">
        <f t="array" ref="E643">IF(OR($D643="",$D643="NO ENCONTRADO"),"",_xlfn.XLOOKUP($D643,Productos!$E:$E,Productos!$H:$H,""))</f>
        <v/>
      </c>
      <c r="F643" s="74">
        <f t="array" ref="F643">IF(OR($D643="",$D643="NO ENCONTRADO"),"",_xlfn.XLOOKUP($D643,Productos!$E:$E,Productos!$I:$I,""))</f>
        <v/>
      </c>
      <c r="G643" s="74">
        <f t="array" ref="G643">IF(OR($D643="",$D643="NO ENCONTRADO"),"",_xlfn.XLOOKUP($D643,Productos!$E:$E,Productos!$J:$J,""))</f>
        <v/>
      </c>
      <c r="H643" s="74">
        <f t="array" ref="H643">IF(OR($D643="",$D643="NO ENCONTRADO"),"",_xlfn.XLOOKUP($D643,Productos!$E:$E,Productos!$K:$K,""))</f>
        <v/>
      </c>
      <c r="I643" s="74">
        <f t="array" ref="I643">IF(OR($D643="",$D643="NO ENCONTRADO"),"",_xlfn.XLOOKUP($D643,Productos!$E:$E,Productos!$F:$F,""))</f>
        <v/>
      </c>
      <c r="J643" s="74">
        <f>IF($C643="","",IF($D643="NO ENCONTRADO",IF(COUNTIF($C$7:$C$1000,$C643)&gt;1,"⚠️ No encontrado | Duplicado","⚠️ No encontrado"),IF(COUNTIF($C$7:$C$1000,$C643)&gt;1,"⚠️ Duplicado","Verificado")))</f>
        <v/>
      </c>
    </row>
    <row r="644" ht="15.75" customHeight="1" s="176">
      <c r="B644" s="80" t="n"/>
      <c r="C644" s="74" t="n"/>
      <c r="D644" s="74">
        <f t="array" ref="D644">IF($C644="","",IFNA(_xlfn.XLOOKUP($C644,Productos!$A:$A,Productos!$E:$E,IFNA(_xlfn.XLOOKUP(TEXT($C644,"0"),Productos!$A:$A,Productos!$E:$E,IFNA(_xlfn.XLOOKUP(IFERROR(VALUE($C644),""),Productos!$A:$A,Productos!$E:$E,_xlfn.XLOOKUP($C644,Productos!$E:$E,Productos!$E:$E,"NO ENCONTRADO")),"NO ENCONTRADO")),"NO ENCONTRADO")),"NO ENCONTRADO"))</f>
        <v/>
      </c>
      <c r="E644" s="74">
        <f t="array" ref="E644">IF(OR($D644="",$D644="NO ENCONTRADO"),"",_xlfn.XLOOKUP($D644,Productos!$E:$E,Productos!$H:$H,""))</f>
        <v/>
      </c>
      <c r="F644" s="74">
        <f t="array" ref="F644">IF(OR($D644="",$D644="NO ENCONTRADO"),"",_xlfn.XLOOKUP($D644,Productos!$E:$E,Productos!$I:$I,""))</f>
        <v/>
      </c>
      <c r="G644" s="74">
        <f t="array" ref="G644">IF(OR($D644="",$D644="NO ENCONTRADO"),"",_xlfn.XLOOKUP($D644,Productos!$E:$E,Productos!$J:$J,""))</f>
        <v/>
      </c>
      <c r="H644" s="74">
        <f t="array" ref="H644">IF(OR($D644="",$D644="NO ENCONTRADO"),"",_xlfn.XLOOKUP($D644,Productos!$E:$E,Productos!$K:$K,""))</f>
        <v/>
      </c>
      <c r="I644" s="74">
        <f t="array" ref="I644">IF(OR($D644="",$D644="NO ENCONTRADO"),"",_xlfn.XLOOKUP($D644,Productos!$E:$E,Productos!$F:$F,""))</f>
        <v/>
      </c>
      <c r="J644" s="74">
        <f>IF($C644="","",IF($D644="NO ENCONTRADO",IF(COUNTIF($C$7:$C$1000,$C644)&gt;1,"⚠️ No encontrado | Duplicado","⚠️ No encontrado"),IF(COUNTIF($C$7:$C$1000,$C644)&gt;1,"⚠️ Duplicado","Verificado")))</f>
        <v/>
      </c>
    </row>
    <row r="645" ht="15.75" customHeight="1" s="176">
      <c r="B645" s="80" t="n"/>
      <c r="C645" s="74" t="n"/>
      <c r="D645" s="74">
        <f t="array" ref="D645">IF($C645="","",IFNA(_xlfn.XLOOKUP($C645,Productos!$A:$A,Productos!$E:$E,IFNA(_xlfn.XLOOKUP(TEXT($C645,"0"),Productos!$A:$A,Productos!$E:$E,IFNA(_xlfn.XLOOKUP(IFERROR(VALUE($C645),""),Productos!$A:$A,Productos!$E:$E,_xlfn.XLOOKUP($C645,Productos!$E:$E,Productos!$E:$E,"NO ENCONTRADO")),"NO ENCONTRADO")),"NO ENCONTRADO")),"NO ENCONTRADO"))</f>
        <v/>
      </c>
      <c r="E645" s="74">
        <f t="array" ref="E645">IF(OR($D645="",$D645="NO ENCONTRADO"),"",_xlfn.XLOOKUP($D645,Productos!$E:$E,Productos!$H:$H,""))</f>
        <v/>
      </c>
      <c r="F645" s="74">
        <f t="array" ref="F645">IF(OR($D645="",$D645="NO ENCONTRADO"),"",_xlfn.XLOOKUP($D645,Productos!$E:$E,Productos!$I:$I,""))</f>
        <v/>
      </c>
      <c r="G645" s="74">
        <f t="array" ref="G645">IF(OR($D645="",$D645="NO ENCONTRADO"),"",_xlfn.XLOOKUP($D645,Productos!$E:$E,Productos!$J:$J,""))</f>
        <v/>
      </c>
      <c r="H645" s="74">
        <f t="array" ref="H645">IF(OR($D645="",$D645="NO ENCONTRADO"),"",_xlfn.XLOOKUP($D645,Productos!$E:$E,Productos!$K:$K,""))</f>
        <v/>
      </c>
      <c r="I645" s="74">
        <f t="array" ref="I645">IF(OR($D645="",$D645="NO ENCONTRADO"),"",_xlfn.XLOOKUP($D645,Productos!$E:$E,Productos!$F:$F,""))</f>
        <v/>
      </c>
      <c r="J645" s="74">
        <f>IF($C645="","",IF($D645="NO ENCONTRADO",IF(COUNTIF($C$7:$C$1000,$C645)&gt;1,"⚠️ No encontrado | Duplicado","⚠️ No encontrado"),IF(COUNTIF($C$7:$C$1000,$C645)&gt;1,"⚠️ Duplicado","Verificado")))</f>
        <v/>
      </c>
    </row>
    <row r="646" ht="15.75" customHeight="1" s="176">
      <c r="B646" s="80" t="n"/>
      <c r="C646" s="74" t="n"/>
      <c r="D646" s="74">
        <f t="array" ref="D646">IF($C646="","",IFNA(_xlfn.XLOOKUP($C646,Productos!$A:$A,Productos!$E:$E,IFNA(_xlfn.XLOOKUP(TEXT($C646,"0"),Productos!$A:$A,Productos!$E:$E,IFNA(_xlfn.XLOOKUP(IFERROR(VALUE($C646),""),Productos!$A:$A,Productos!$E:$E,_xlfn.XLOOKUP($C646,Productos!$E:$E,Productos!$E:$E,"NO ENCONTRADO")),"NO ENCONTRADO")),"NO ENCONTRADO")),"NO ENCONTRADO"))</f>
        <v/>
      </c>
      <c r="E646" s="74">
        <f t="array" ref="E646">IF(OR($D646="",$D646="NO ENCONTRADO"),"",_xlfn.XLOOKUP($D646,Productos!$E:$E,Productos!$H:$H,""))</f>
        <v/>
      </c>
      <c r="F646" s="74">
        <f t="array" ref="F646">IF(OR($D646="",$D646="NO ENCONTRADO"),"",_xlfn.XLOOKUP($D646,Productos!$E:$E,Productos!$I:$I,""))</f>
        <v/>
      </c>
      <c r="G646" s="74">
        <f t="array" ref="G646">IF(OR($D646="",$D646="NO ENCONTRADO"),"",_xlfn.XLOOKUP($D646,Productos!$E:$E,Productos!$J:$J,""))</f>
        <v/>
      </c>
      <c r="H646" s="74">
        <f t="array" ref="H646">IF(OR($D646="",$D646="NO ENCONTRADO"),"",_xlfn.XLOOKUP($D646,Productos!$E:$E,Productos!$K:$K,""))</f>
        <v/>
      </c>
      <c r="I646" s="74">
        <f t="array" ref="I646">IF(OR($D646="",$D646="NO ENCONTRADO"),"",_xlfn.XLOOKUP($D646,Productos!$E:$E,Productos!$F:$F,""))</f>
        <v/>
      </c>
      <c r="J646" s="74">
        <f>IF($C646="","",IF($D646="NO ENCONTRADO",IF(COUNTIF($C$7:$C$1000,$C646)&gt;1,"⚠️ No encontrado | Duplicado","⚠️ No encontrado"),IF(COUNTIF($C$7:$C$1000,$C646)&gt;1,"⚠️ Duplicado","Verificado")))</f>
        <v/>
      </c>
    </row>
    <row r="647" ht="15.75" customHeight="1" s="176">
      <c r="B647" s="80" t="n"/>
      <c r="C647" s="74" t="n"/>
      <c r="D647" s="74">
        <f t="array" ref="D647">IF($C647="","",IFNA(_xlfn.XLOOKUP($C647,Productos!$A:$A,Productos!$E:$E,IFNA(_xlfn.XLOOKUP(TEXT($C647,"0"),Productos!$A:$A,Productos!$E:$E,IFNA(_xlfn.XLOOKUP(IFERROR(VALUE($C647),""),Productos!$A:$A,Productos!$E:$E,_xlfn.XLOOKUP($C647,Productos!$E:$E,Productos!$E:$E,"NO ENCONTRADO")),"NO ENCONTRADO")),"NO ENCONTRADO")),"NO ENCONTRADO"))</f>
        <v/>
      </c>
      <c r="E647" s="74">
        <f t="array" ref="E647">IF(OR($D647="",$D647="NO ENCONTRADO"),"",_xlfn.XLOOKUP($D647,Productos!$E:$E,Productos!$H:$H,""))</f>
        <v/>
      </c>
      <c r="F647" s="74">
        <f t="array" ref="F647">IF(OR($D647="",$D647="NO ENCONTRADO"),"",_xlfn.XLOOKUP($D647,Productos!$E:$E,Productos!$I:$I,""))</f>
        <v/>
      </c>
      <c r="G647" s="74">
        <f t="array" ref="G647">IF(OR($D647="",$D647="NO ENCONTRADO"),"",_xlfn.XLOOKUP($D647,Productos!$E:$E,Productos!$J:$J,""))</f>
        <v/>
      </c>
      <c r="H647" s="74">
        <f t="array" ref="H647">IF(OR($D647="",$D647="NO ENCONTRADO"),"",_xlfn.XLOOKUP($D647,Productos!$E:$E,Productos!$K:$K,""))</f>
        <v/>
      </c>
      <c r="I647" s="74">
        <f t="array" ref="I647">IF(OR($D647="",$D647="NO ENCONTRADO"),"",_xlfn.XLOOKUP($D647,Productos!$E:$E,Productos!$F:$F,""))</f>
        <v/>
      </c>
      <c r="J647" s="74">
        <f>IF($C647="","",IF($D647="NO ENCONTRADO",IF(COUNTIF($C$7:$C$1000,$C647)&gt;1,"⚠️ No encontrado | Duplicado","⚠️ No encontrado"),IF(COUNTIF($C$7:$C$1000,$C647)&gt;1,"⚠️ Duplicado","Verificado")))</f>
        <v/>
      </c>
    </row>
    <row r="648" ht="15.75" customHeight="1" s="176">
      <c r="B648" s="80" t="n"/>
      <c r="C648" s="74" t="n"/>
      <c r="D648" s="74">
        <f t="array" ref="D648">IF($C648="","",IFNA(_xlfn.XLOOKUP($C648,Productos!$A:$A,Productos!$E:$E,IFNA(_xlfn.XLOOKUP(TEXT($C648,"0"),Productos!$A:$A,Productos!$E:$E,IFNA(_xlfn.XLOOKUP(IFERROR(VALUE($C648),""),Productos!$A:$A,Productos!$E:$E,_xlfn.XLOOKUP($C648,Productos!$E:$E,Productos!$E:$E,"NO ENCONTRADO")),"NO ENCONTRADO")),"NO ENCONTRADO")),"NO ENCONTRADO"))</f>
        <v/>
      </c>
      <c r="E648" s="74">
        <f t="array" ref="E648">IF(OR($D648="",$D648="NO ENCONTRADO"),"",_xlfn.XLOOKUP($D648,Productos!$E:$E,Productos!$H:$H,""))</f>
        <v/>
      </c>
      <c r="F648" s="74">
        <f t="array" ref="F648">IF(OR($D648="",$D648="NO ENCONTRADO"),"",_xlfn.XLOOKUP($D648,Productos!$E:$E,Productos!$I:$I,""))</f>
        <v/>
      </c>
      <c r="G648" s="74">
        <f t="array" ref="G648">IF(OR($D648="",$D648="NO ENCONTRADO"),"",_xlfn.XLOOKUP($D648,Productos!$E:$E,Productos!$J:$J,""))</f>
        <v/>
      </c>
      <c r="H648" s="74">
        <f t="array" ref="H648">IF(OR($D648="",$D648="NO ENCONTRADO"),"",_xlfn.XLOOKUP($D648,Productos!$E:$E,Productos!$K:$K,""))</f>
        <v/>
      </c>
      <c r="I648" s="74">
        <f t="array" ref="I648">IF(OR($D648="",$D648="NO ENCONTRADO"),"",_xlfn.XLOOKUP($D648,Productos!$E:$E,Productos!$F:$F,""))</f>
        <v/>
      </c>
      <c r="J648" s="74">
        <f>IF($C648="","",IF($D648="NO ENCONTRADO",IF(COUNTIF($C$7:$C$1000,$C648)&gt;1,"⚠️ No encontrado | Duplicado","⚠️ No encontrado"),IF(COUNTIF($C$7:$C$1000,$C648)&gt;1,"⚠️ Duplicado","Verificado")))</f>
        <v/>
      </c>
    </row>
    <row r="649" ht="15.75" customHeight="1" s="176">
      <c r="B649" s="80" t="n"/>
      <c r="C649" s="74" t="n"/>
      <c r="D649" s="74">
        <f t="array" ref="D649">IF($C649="","",IFNA(_xlfn.XLOOKUP($C649,Productos!$A:$A,Productos!$E:$E,IFNA(_xlfn.XLOOKUP(TEXT($C649,"0"),Productos!$A:$A,Productos!$E:$E,IFNA(_xlfn.XLOOKUP(IFERROR(VALUE($C649),""),Productos!$A:$A,Productos!$E:$E,_xlfn.XLOOKUP($C649,Productos!$E:$E,Productos!$E:$E,"NO ENCONTRADO")),"NO ENCONTRADO")),"NO ENCONTRADO")),"NO ENCONTRADO"))</f>
        <v/>
      </c>
      <c r="E649" s="74">
        <f t="array" ref="E649">IF(OR($D649="",$D649="NO ENCONTRADO"),"",_xlfn.XLOOKUP($D649,Productos!$E:$E,Productos!$H:$H,""))</f>
        <v/>
      </c>
      <c r="F649" s="74">
        <f t="array" ref="F649">IF(OR($D649="",$D649="NO ENCONTRADO"),"",_xlfn.XLOOKUP($D649,Productos!$E:$E,Productos!$I:$I,""))</f>
        <v/>
      </c>
      <c r="G649" s="74">
        <f t="array" ref="G649">IF(OR($D649="",$D649="NO ENCONTRADO"),"",_xlfn.XLOOKUP($D649,Productos!$E:$E,Productos!$J:$J,""))</f>
        <v/>
      </c>
      <c r="H649" s="74">
        <f t="array" ref="H649">IF(OR($D649="",$D649="NO ENCONTRADO"),"",_xlfn.XLOOKUP($D649,Productos!$E:$E,Productos!$K:$K,""))</f>
        <v/>
      </c>
      <c r="I649" s="74">
        <f t="array" ref="I649">IF(OR($D649="",$D649="NO ENCONTRADO"),"",_xlfn.XLOOKUP($D649,Productos!$E:$E,Productos!$F:$F,""))</f>
        <v/>
      </c>
      <c r="J649" s="74">
        <f>IF($C649="","",IF($D649="NO ENCONTRADO",IF(COUNTIF($C$7:$C$1000,$C649)&gt;1,"⚠️ No encontrado | Duplicado","⚠️ No encontrado"),IF(COUNTIF($C$7:$C$1000,$C649)&gt;1,"⚠️ Duplicado","Verificado")))</f>
        <v/>
      </c>
    </row>
    <row r="650" ht="15.75" customHeight="1" s="176">
      <c r="B650" s="80" t="n"/>
      <c r="C650" s="74" t="n"/>
      <c r="D650" s="74">
        <f t="array" ref="D650">IF($C650="","",IFNA(_xlfn.XLOOKUP($C650,Productos!$A:$A,Productos!$E:$E,IFNA(_xlfn.XLOOKUP(TEXT($C650,"0"),Productos!$A:$A,Productos!$E:$E,IFNA(_xlfn.XLOOKUP(IFERROR(VALUE($C650),""),Productos!$A:$A,Productos!$E:$E,_xlfn.XLOOKUP($C650,Productos!$E:$E,Productos!$E:$E,"NO ENCONTRADO")),"NO ENCONTRADO")),"NO ENCONTRADO")),"NO ENCONTRADO"))</f>
        <v/>
      </c>
      <c r="E650" s="74">
        <f t="array" ref="E650">IF(OR($D650="",$D650="NO ENCONTRADO"),"",_xlfn.XLOOKUP($D650,Productos!$E:$E,Productos!$H:$H,""))</f>
        <v/>
      </c>
      <c r="F650" s="74">
        <f t="array" ref="F650">IF(OR($D650="",$D650="NO ENCONTRADO"),"",_xlfn.XLOOKUP($D650,Productos!$E:$E,Productos!$I:$I,""))</f>
        <v/>
      </c>
      <c r="G650" s="74">
        <f t="array" ref="G650">IF(OR($D650="",$D650="NO ENCONTRADO"),"",_xlfn.XLOOKUP($D650,Productos!$E:$E,Productos!$J:$J,""))</f>
        <v/>
      </c>
      <c r="H650" s="74">
        <f t="array" ref="H650">IF(OR($D650="",$D650="NO ENCONTRADO"),"",_xlfn.XLOOKUP($D650,Productos!$E:$E,Productos!$K:$K,""))</f>
        <v/>
      </c>
      <c r="I650" s="74">
        <f t="array" ref="I650">IF(OR($D650="",$D650="NO ENCONTRADO"),"",_xlfn.XLOOKUP($D650,Productos!$E:$E,Productos!$F:$F,""))</f>
        <v/>
      </c>
      <c r="J650" s="74">
        <f>IF($C650="","",IF($D650="NO ENCONTRADO",IF(COUNTIF($C$7:$C$1000,$C650)&gt;1,"⚠️ No encontrado | Duplicado","⚠️ No encontrado"),IF(COUNTIF($C$7:$C$1000,$C650)&gt;1,"⚠️ Duplicado","Verificado")))</f>
        <v/>
      </c>
    </row>
    <row r="651" ht="15.75" customHeight="1" s="176">
      <c r="B651" s="80" t="n"/>
      <c r="C651" s="74" t="n"/>
      <c r="D651" s="74">
        <f t="array" ref="D651">IF($C651="","",IFNA(_xlfn.XLOOKUP($C651,Productos!$A:$A,Productos!$E:$E,IFNA(_xlfn.XLOOKUP(TEXT($C651,"0"),Productos!$A:$A,Productos!$E:$E,IFNA(_xlfn.XLOOKUP(IFERROR(VALUE($C651),""),Productos!$A:$A,Productos!$E:$E,_xlfn.XLOOKUP($C651,Productos!$E:$E,Productos!$E:$E,"NO ENCONTRADO")),"NO ENCONTRADO")),"NO ENCONTRADO")),"NO ENCONTRADO"))</f>
        <v/>
      </c>
      <c r="E651" s="74">
        <f t="array" ref="E651">IF(OR($D651="",$D651="NO ENCONTRADO"),"",_xlfn.XLOOKUP($D651,Productos!$E:$E,Productos!$H:$H,""))</f>
        <v/>
      </c>
      <c r="F651" s="74">
        <f t="array" ref="F651">IF(OR($D651="",$D651="NO ENCONTRADO"),"",_xlfn.XLOOKUP($D651,Productos!$E:$E,Productos!$I:$I,""))</f>
        <v/>
      </c>
      <c r="G651" s="74">
        <f t="array" ref="G651">IF(OR($D651="",$D651="NO ENCONTRADO"),"",_xlfn.XLOOKUP($D651,Productos!$E:$E,Productos!$J:$J,""))</f>
        <v/>
      </c>
      <c r="H651" s="74">
        <f t="array" ref="H651">IF(OR($D651="",$D651="NO ENCONTRADO"),"",_xlfn.XLOOKUP($D651,Productos!$E:$E,Productos!$K:$K,""))</f>
        <v/>
      </c>
      <c r="I651" s="74">
        <f t="array" ref="I651">IF(OR($D651="",$D651="NO ENCONTRADO"),"",_xlfn.XLOOKUP($D651,Productos!$E:$E,Productos!$F:$F,""))</f>
        <v/>
      </c>
      <c r="J651" s="74">
        <f>IF($C651="","",IF($D651="NO ENCONTRADO",IF(COUNTIF($C$7:$C$1000,$C651)&gt;1,"⚠️ No encontrado | Duplicado","⚠️ No encontrado"),IF(COUNTIF($C$7:$C$1000,$C651)&gt;1,"⚠️ Duplicado","Verificado")))</f>
        <v/>
      </c>
    </row>
    <row r="652" ht="15.75" customHeight="1" s="176">
      <c r="B652" s="80" t="n"/>
      <c r="C652" s="74" t="n"/>
      <c r="D652" s="74">
        <f t="array" ref="D652">IF($C652="","",IFNA(_xlfn.XLOOKUP($C652,Productos!$A:$A,Productos!$E:$E,IFNA(_xlfn.XLOOKUP(TEXT($C652,"0"),Productos!$A:$A,Productos!$E:$E,IFNA(_xlfn.XLOOKUP(IFERROR(VALUE($C652),""),Productos!$A:$A,Productos!$E:$E,_xlfn.XLOOKUP($C652,Productos!$E:$E,Productos!$E:$E,"NO ENCONTRADO")),"NO ENCONTRADO")),"NO ENCONTRADO")),"NO ENCONTRADO"))</f>
        <v/>
      </c>
      <c r="E652" s="74">
        <f t="array" ref="E652">IF(OR($D652="",$D652="NO ENCONTRADO"),"",_xlfn.XLOOKUP($D652,Productos!$E:$E,Productos!$H:$H,""))</f>
        <v/>
      </c>
      <c r="F652" s="74">
        <f t="array" ref="F652">IF(OR($D652="",$D652="NO ENCONTRADO"),"",_xlfn.XLOOKUP($D652,Productos!$E:$E,Productos!$I:$I,""))</f>
        <v/>
      </c>
      <c r="G652" s="74">
        <f t="array" ref="G652">IF(OR($D652="",$D652="NO ENCONTRADO"),"",_xlfn.XLOOKUP($D652,Productos!$E:$E,Productos!$J:$J,""))</f>
        <v/>
      </c>
      <c r="H652" s="74">
        <f t="array" ref="H652">IF(OR($D652="",$D652="NO ENCONTRADO"),"",_xlfn.XLOOKUP($D652,Productos!$E:$E,Productos!$K:$K,""))</f>
        <v/>
      </c>
      <c r="I652" s="74">
        <f t="array" ref="I652">IF(OR($D652="",$D652="NO ENCONTRADO"),"",_xlfn.XLOOKUP($D652,Productos!$E:$E,Productos!$F:$F,""))</f>
        <v/>
      </c>
      <c r="J652" s="74">
        <f>IF($C652="","",IF($D652="NO ENCONTRADO",IF(COUNTIF($C$7:$C$1000,$C652)&gt;1,"⚠️ No encontrado | Duplicado","⚠️ No encontrado"),IF(COUNTIF($C$7:$C$1000,$C652)&gt;1,"⚠️ Duplicado","Verificado")))</f>
        <v/>
      </c>
    </row>
    <row r="653" ht="15.75" customHeight="1" s="176">
      <c r="B653" s="80" t="n"/>
      <c r="C653" s="74" t="n"/>
      <c r="D653" s="74">
        <f t="array" ref="D653">IF($C653="","",IFNA(_xlfn.XLOOKUP($C653,Productos!$A:$A,Productos!$E:$E,IFNA(_xlfn.XLOOKUP(TEXT($C653,"0"),Productos!$A:$A,Productos!$E:$E,IFNA(_xlfn.XLOOKUP(IFERROR(VALUE($C653),""),Productos!$A:$A,Productos!$E:$E,_xlfn.XLOOKUP($C653,Productos!$E:$E,Productos!$E:$E,"NO ENCONTRADO")),"NO ENCONTRADO")),"NO ENCONTRADO")),"NO ENCONTRADO"))</f>
        <v/>
      </c>
      <c r="E653" s="74">
        <f t="array" ref="E653">IF(OR($D653="",$D653="NO ENCONTRADO"),"",_xlfn.XLOOKUP($D653,Productos!$E:$E,Productos!$H:$H,""))</f>
        <v/>
      </c>
      <c r="F653" s="74">
        <f t="array" ref="F653">IF(OR($D653="",$D653="NO ENCONTRADO"),"",_xlfn.XLOOKUP($D653,Productos!$E:$E,Productos!$I:$I,""))</f>
        <v/>
      </c>
      <c r="G653" s="74">
        <f t="array" ref="G653">IF(OR($D653="",$D653="NO ENCONTRADO"),"",_xlfn.XLOOKUP($D653,Productos!$E:$E,Productos!$J:$J,""))</f>
        <v/>
      </c>
      <c r="H653" s="74">
        <f t="array" ref="H653">IF(OR($D653="",$D653="NO ENCONTRADO"),"",_xlfn.XLOOKUP($D653,Productos!$E:$E,Productos!$K:$K,""))</f>
        <v/>
      </c>
      <c r="I653" s="74">
        <f t="array" ref="I653">IF(OR($D653="",$D653="NO ENCONTRADO"),"",_xlfn.XLOOKUP($D653,Productos!$E:$E,Productos!$F:$F,""))</f>
        <v/>
      </c>
      <c r="J653" s="74">
        <f>IF($C653="","",IF($D653="NO ENCONTRADO",IF(COUNTIF($C$7:$C$1000,$C653)&gt;1,"⚠️ No encontrado | Duplicado","⚠️ No encontrado"),IF(COUNTIF($C$7:$C$1000,$C653)&gt;1,"⚠️ Duplicado","Verificado")))</f>
        <v/>
      </c>
    </row>
    <row r="654" ht="15.75" customHeight="1" s="176">
      <c r="B654" s="80" t="n"/>
      <c r="C654" s="74" t="n"/>
      <c r="D654" s="74">
        <f t="array" ref="D654">IF($C654="","",IFNA(_xlfn.XLOOKUP($C654,Productos!$A:$A,Productos!$E:$E,IFNA(_xlfn.XLOOKUP(TEXT($C654,"0"),Productos!$A:$A,Productos!$E:$E,IFNA(_xlfn.XLOOKUP(IFERROR(VALUE($C654),""),Productos!$A:$A,Productos!$E:$E,_xlfn.XLOOKUP($C654,Productos!$E:$E,Productos!$E:$E,"NO ENCONTRADO")),"NO ENCONTRADO")),"NO ENCONTRADO")),"NO ENCONTRADO"))</f>
        <v/>
      </c>
      <c r="E654" s="74">
        <f t="array" ref="E654">IF(OR($D654="",$D654="NO ENCONTRADO"),"",_xlfn.XLOOKUP($D654,Productos!$E:$E,Productos!$H:$H,""))</f>
        <v/>
      </c>
      <c r="F654" s="74">
        <f t="array" ref="F654">IF(OR($D654="",$D654="NO ENCONTRADO"),"",_xlfn.XLOOKUP($D654,Productos!$E:$E,Productos!$I:$I,""))</f>
        <v/>
      </c>
      <c r="G654" s="74">
        <f t="array" ref="G654">IF(OR($D654="",$D654="NO ENCONTRADO"),"",_xlfn.XLOOKUP($D654,Productos!$E:$E,Productos!$J:$J,""))</f>
        <v/>
      </c>
      <c r="H654" s="74">
        <f t="array" ref="H654">IF(OR($D654="",$D654="NO ENCONTRADO"),"",_xlfn.XLOOKUP($D654,Productos!$E:$E,Productos!$K:$K,""))</f>
        <v/>
      </c>
      <c r="I654" s="74">
        <f t="array" ref="I654">IF(OR($D654="",$D654="NO ENCONTRADO"),"",_xlfn.XLOOKUP($D654,Productos!$E:$E,Productos!$F:$F,""))</f>
        <v/>
      </c>
      <c r="J654" s="74">
        <f>IF($C654="","",IF($D654="NO ENCONTRADO",IF(COUNTIF($C$7:$C$1000,$C654)&gt;1,"⚠️ No encontrado | Duplicado","⚠️ No encontrado"),IF(COUNTIF($C$7:$C$1000,$C654)&gt;1,"⚠️ Duplicado","Verificado")))</f>
        <v/>
      </c>
    </row>
    <row r="655" ht="15.75" customHeight="1" s="176">
      <c r="B655" s="80" t="n"/>
      <c r="C655" s="74" t="n"/>
      <c r="D655" s="74">
        <f t="array" ref="D655">IF($C655="","",IFNA(_xlfn.XLOOKUP($C655,Productos!$A:$A,Productos!$E:$E,IFNA(_xlfn.XLOOKUP(TEXT($C655,"0"),Productos!$A:$A,Productos!$E:$E,IFNA(_xlfn.XLOOKUP(IFERROR(VALUE($C655),""),Productos!$A:$A,Productos!$E:$E,_xlfn.XLOOKUP($C655,Productos!$E:$E,Productos!$E:$E,"NO ENCONTRADO")),"NO ENCONTRADO")),"NO ENCONTRADO")),"NO ENCONTRADO"))</f>
        <v/>
      </c>
      <c r="E655" s="74">
        <f t="array" ref="E655">IF(OR($D655="",$D655="NO ENCONTRADO"),"",_xlfn.XLOOKUP($D655,Productos!$E:$E,Productos!$H:$H,""))</f>
        <v/>
      </c>
      <c r="F655" s="74">
        <f t="array" ref="F655">IF(OR($D655="",$D655="NO ENCONTRADO"),"",_xlfn.XLOOKUP($D655,Productos!$E:$E,Productos!$I:$I,""))</f>
        <v/>
      </c>
      <c r="G655" s="74">
        <f t="array" ref="G655">IF(OR($D655="",$D655="NO ENCONTRADO"),"",_xlfn.XLOOKUP($D655,Productos!$E:$E,Productos!$J:$J,""))</f>
        <v/>
      </c>
      <c r="H655" s="74">
        <f t="array" ref="H655">IF(OR($D655="",$D655="NO ENCONTRADO"),"",_xlfn.XLOOKUP($D655,Productos!$E:$E,Productos!$K:$K,""))</f>
        <v/>
      </c>
      <c r="I655" s="74">
        <f t="array" ref="I655">IF(OR($D655="",$D655="NO ENCONTRADO"),"",_xlfn.XLOOKUP($D655,Productos!$E:$E,Productos!$F:$F,""))</f>
        <v/>
      </c>
      <c r="J655" s="74">
        <f>IF($C655="","",IF($D655="NO ENCONTRADO",IF(COUNTIF($C$7:$C$1000,$C655)&gt;1,"⚠️ No encontrado | Duplicado","⚠️ No encontrado"),IF(COUNTIF($C$7:$C$1000,$C655)&gt;1,"⚠️ Duplicado","Verificado")))</f>
        <v/>
      </c>
    </row>
    <row r="656" ht="15.75" customHeight="1" s="176">
      <c r="B656" s="80" t="n"/>
      <c r="C656" s="74" t="n"/>
      <c r="D656" s="74">
        <f t="array" ref="D656">IF($C656="","",IFNA(_xlfn.XLOOKUP($C656,Productos!$A:$A,Productos!$E:$E,IFNA(_xlfn.XLOOKUP(TEXT($C656,"0"),Productos!$A:$A,Productos!$E:$E,IFNA(_xlfn.XLOOKUP(IFERROR(VALUE($C656),""),Productos!$A:$A,Productos!$E:$E,_xlfn.XLOOKUP($C656,Productos!$E:$E,Productos!$E:$E,"NO ENCONTRADO")),"NO ENCONTRADO")),"NO ENCONTRADO")),"NO ENCONTRADO"))</f>
        <v/>
      </c>
      <c r="E656" s="74">
        <f t="array" ref="E656">IF(OR($D656="",$D656="NO ENCONTRADO"),"",_xlfn.XLOOKUP($D656,Productos!$E:$E,Productos!$H:$H,""))</f>
        <v/>
      </c>
      <c r="F656" s="74">
        <f t="array" ref="F656">IF(OR($D656="",$D656="NO ENCONTRADO"),"",_xlfn.XLOOKUP($D656,Productos!$E:$E,Productos!$I:$I,""))</f>
        <v/>
      </c>
      <c r="G656" s="74">
        <f t="array" ref="G656">IF(OR($D656="",$D656="NO ENCONTRADO"),"",_xlfn.XLOOKUP($D656,Productos!$E:$E,Productos!$J:$J,""))</f>
        <v/>
      </c>
      <c r="H656" s="74">
        <f t="array" ref="H656">IF(OR($D656="",$D656="NO ENCONTRADO"),"",_xlfn.XLOOKUP($D656,Productos!$E:$E,Productos!$K:$K,""))</f>
        <v/>
      </c>
      <c r="I656" s="74">
        <f t="array" ref="I656">IF(OR($D656="",$D656="NO ENCONTRADO"),"",_xlfn.XLOOKUP($D656,Productos!$E:$E,Productos!$F:$F,""))</f>
        <v/>
      </c>
      <c r="J656" s="74">
        <f>IF($C656="","",IF($D656="NO ENCONTRADO",IF(COUNTIF($C$7:$C$1000,$C656)&gt;1,"⚠️ No encontrado | Duplicado","⚠️ No encontrado"),IF(COUNTIF($C$7:$C$1000,$C656)&gt;1,"⚠️ Duplicado","Verificado")))</f>
        <v/>
      </c>
    </row>
    <row r="657" ht="15.75" customHeight="1" s="176">
      <c r="B657" s="80" t="n"/>
      <c r="C657" s="74" t="n"/>
      <c r="D657" s="74">
        <f t="array" ref="D657">IF($C657="","",IFNA(_xlfn.XLOOKUP($C657,Productos!$A:$A,Productos!$E:$E,IFNA(_xlfn.XLOOKUP(TEXT($C657,"0"),Productos!$A:$A,Productos!$E:$E,IFNA(_xlfn.XLOOKUP(IFERROR(VALUE($C657),""),Productos!$A:$A,Productos!$E:$E,_xlfn.XLOOKUP($C657,Productos!$E:$E,Productos!$E:$E,"NO ENCONTRADO")),"NO ENCONTRADO")),"NO ENCONTRADO")),"NO ENCONTRADO"))</f>
        <v/>
      </c>
      <c r="E657" s="74">
        <f t="array" ref="E657">IF(OR($D657="",$D657="NO ENCONTRADO"),"",_xlfn.XLOOKUP($D657,Productos!$E:$E,Productos!$H:$H,""))</f>
        <v/>
      </c>
      <c r="F657" s="74">
        <f t="array" ref="F657">IF(OR($D657="",$D657="NO ENCONTRADO"),"",_xlfn.XLOOKUP($D657,Productos!$E:$E,Productos!$I:$I,""))</f>
        <v/>
      </c>
      <c r="G657" s="74">
        <f t="array" ref="G657">IF(OR($D657="",$D657="NO ENCONTRADO"),"",_xlfn.XLOOKUP($D657,Productos!$E:$E,Productos!$J:$J,""))</f>
        <v/>
      </c>
      <c r="H657" s="74">
        <f t="array" ref="H657">IF(OR($D657="",$D657="NO ENCONTRADO"),"",_xlfn.XLOOKUP($D657,Productos!$E:$E,Productos!$K:$K,""))</f>
        <v/>
      </c>
      <c r="I657" s="74">
        <f t="array" ref="I657">IF(OR($D657="",$D657="NO ENCONTRADO"),"",_xlfn.XLOOKUP($D657,Productos!$E:$E,Productos!$F:$F,""))</f>
        <v/>
      </c>
      <c r="J657" s="74">
        <f>IF($C657="","",IF($D657="NO ENCONTRADO",IF(COUNTIF($C$7:$C$1000,$C657)&gt;1,"⚠️ No encontrado | Duplicado","⚠️ No encontrado"),IF(COUNTIF($C$7:$C$1000,$C657)&gt;1,"⚠️ Duplicado","Verificado")))</f>
        <v/>
      </c>
    </row>
    <row r="658" ht="15.75" customHeight="1" s="176">
      <c r="B658" s="80" t="n"/>
      <c r="C658" s="74" t="n"/>
      <c r="D658" s="74">
        <f t="array" ref="D658">IF($C658="","",IFNA(_xlfn.XLOOKUP($C658,Productos!$A:$A,Productos!$E:$E,IFNA(_xlfn.XLOOKUP(TEXT($C658,"0"),Productos!$A:$A,Productos!$E:$E,IFNA(_xlfn.XLOOKUP(IFERROR(VALUE($C658),""),Productos!$A:$A,Productos!$E:$E,_xlfn.XLOOKUP($C658,Productos!$E:$E,Productos!$E:$E,"NO ENCONTRADO")),"NO ENCONTRADO")),"NO ENCONTRADO")),"NO ENCONTRADO"))</f>
        <v/>
      </c>
      <c r="E658" s="74">
        <f t="array" ref="E658">IF(OR($D658="",$D658="NO ENCONTRADO"),"",_xlfn.XLOOKUP($D658,Productos!$E:$E,Productos!$H:$H,""))</f>
        <v/>
      </c>
      <c r="F658" s="74">
        <f t="array" ref="F658">IF(OR($D658="",$D658="NO ENCONTRADO"),"",_xlfn.XLOOKUP($D658,Productos!$E:$E,Productos!$I:$I,""))</f>
        <v/>
      </c>
      <c r="G658" s="74">
        <f t="array" ref="G658">IF(OR($D658="",$D658="NO ENCONTRADO"),"",_xlfn.XLOOKUP($D658,Productos!$E:$E,Productos!$J:$J,""))</f>
        <v/>
      </c>
      <c r="H658" s="74">
        <f t="array" ref="H658">IF(OR($D658="",$D658="NO ENCONTRADO"),"",_xlfn.XLOOKUP($D658,Productos!$E:$E,Productos!$K:$K,""))</f>
        <v/>
      </c>
      <c r="I658" s="74">
        <f t="array" ref="I658">IF(OR($D658="",$D658="NO ENCONTRADO"),"",_xlfn.XLOOKUP($D658,Productos!$E:$E,Productos!$F:$F,""))</f>
        <v/>
      </c>
      <c r="J658" s="74">
        <f>IF($C658="","",IF($D658="NO ENCONTRADO",IF(COUNTIF($C$7:$C$1000,$C658)&gt;1,"⚠️ No encontrado | Duplicado","⚠️ No encontrado"),IF(COUNTIF($C$7:$C$1000,$C658)&gt;1,"⚠️ Duplicado","Verificado")))</f>
        <v/>
      </c>
    </row>
    <row r="659" ht="15.75" customHeight="1" s="176">
      <c r="B659" s="80" t="n"/>
      <c r="C659" s="74" t="n"/>
      <c r="D659" s="74">
        <f t="array" ref="D659">IF($C659="","",IFNA(_xlfn.XLOOKUP($C659,Productos!$A:$A,Productos!$E:$E,IFNA(_xlfn.XLOOKUP(TEXT($C659,"0"),Productos!$A:$A,Productos!$E:$E,IFNA(_xlfn.XLOOKUP(IFERROR(VALUE($C659),""),Productos!$A:$A,Productos!$E:$E,_xlfn.XLOOKUP($C659,Productos!$E:$E,Productos!$E:$E,"NO ENCONTRADO")),"NO ENCONTRADO")),"NO ENCONTRADO")),"NO ENCONTRADO"))</f>
        <v/>
      </c>
      <c r="E659" s="74">
        <f t="array" ref="E659">IF(OR($D659="",$D659="NO ENCONTRADO"),"",_xlfn.XLOOKUP($D659,Productos!$E:$E,Productos!$H:$H,""))</f>
        <v/>
      </c>
      <c r="F659" s="74">
        <f t="array" ref="F659">IF(OR($D659="",$D659="NO ENCONTRADO"),"",_xlfn.XLOOKUP($D659,Productos!$E:$E,Productos!$I:$I,""))</f>
        <v/>
      </c>
      <c r="G659" s="74">
        <f t="array" ref="G659">IF(OR($D659="",$D659="NO ENCONTRADO"),"",_xlfn.XLOOKUP($D659,Productos!$E:$E,Productos!$J:$J,""))</f>
        <v/>
      </c>
      <c r="H659" s="74">
        <f t="array" ref="H659">IF(OR($D659="",$D659="NO ENCONTRADO"),"",_xlfn.XLOOKUP($D659,Productos!$E:$E,Productos!$K:$K,""))</f>
        <v/>
      </c>
      <c r="I659" s="74">
        <f t="array" ref="I659">IF(OR($D659="",$D659="NO ENCONTRADO"),"",_xlfn.XLOOKUP($D659,Productos!$E:$E,Productos!$F:$F,""))</f>
        <v/>
      </c>
      <c r="J659" s="74">
        <f>IF($C659="","",IF($D659="NO ENCONTRADO",IF(COUNTIF($C$7:$C$1000,$C659)&gt;1,"⚠️ No encontrado | Duplicado","⚠️ No encontrado"),IF(COUNTIF($C$7:$C$1000,$C659)&gt;1,"⚠️ Duplicado","Verificado")))</f>
        <v/>
      </c>
    </row>
    <row r="660" ht="15.75" customHeight="1" s="176">
      <c r="B660" s="80" t="n"/>
      <c r="C660" s="74" t="n"/>
      <c r="D660" s="74">
        <f t="array" ref="D660">IF($C660="","",IFNA(_xlfn.XLOOKUP($C660,Productos!$A:$A,Productos!$E:$E,IFNA(_xlfn.XLOOKUP(TEXT($C660,"0"),Productos!$A:$A,Productos!$E:$E,IFNA(_xlfn.XLOOKUP(IFERROR(VALUE($C660),""),Productos!$A:$A,Productos!$E:$E,_xlfn.XLOOKUP($C660,Productos!$E:$E,Productos!$E:$E,"NO ENCONTRADO")),"NO ENCONTRADO")),"NO ENCONTRADO")),"NO ENCONTRADO"))</f>
        <v/>
      </c>
      <c r="E660" s="74">
        <f t="array" ref="E660">IF(OR($D660="",$D660="NO ENCONTRADO"),"",_xlfn.XLOOKUP($D660,Productos!$E:$E,Productos!$H:$H,""))</f>
        <v/>
      </c>
      <c r="F660" s="74">
        <f t="array" ref="F660">IF(OR($D660="",$D660="NO ENCONTRADO"),"",_xlfn.XLOOKUP($D660,Productos!$E:$E,Productos!$I:$I,""))</f>
        <v/>
      </c>
      <c r="G660" s="74">
        <f t="array" ref="G660">IF(OR($D660="",$D660="NO ENCONTRADO"),"",_xlfn.XLOOKUP($D660,Productos!$E:$E,Productos!$J:$J,""))</f>
        <v/>
      </c>
      <c r="H660" s="74">
        <f t="array" ref="H660">IF(OR($D660="",$D660="NO ENCONTRADO"),"",_xlfn.XLOOKUP($D660,Productos!$E:$E,Productos!$K:$K,""))</f>
        <v/>
      </c>
      <c r="I660" s="74">
        <f t="array" ref="I660">IF(OR($D660="",$D660="NO ENCONTRADO"),"",_xlfn.XLOOKUP($D660,Productos!$E:$E,Productos!$F:$F,""))</f>
        <v/>
      </c>
      <c r="J660" s="74">
        <f>IF($C660="","",IF($D660="NO ENCONTRADO",IF(COUNTIF($C$7:$C$1000,$C660)&gt;1,"⚠️ No encontrado | Duplicado","⚠️ No encontrado"),IF(COUNTIF($C$7:$C$1000,$C660)&gt;1,"⚠️ Duplicado","Verificado")))</f>
        <v/>
      </c>
    </row>
    <row r="661" ht="15.75" customHeight="1" s="176">
      <c r="B661" s="80" t="n"/>
      <c r="C661" s="74" t="n"/>
      <c r="D661" s="74">
        <f t="array" ref="D661">IF($C661="","",IFNA(_xlfn.XLOOKUP($C661,Productos!$A:$A,Productos!$E:$E,IFNA(_xlfn.XLOOKUP(TEXT($C661,"0"),Productos!$A:$A,Productos!$E:$E,IFNA(_xlfn.XLOOKUP(IFERROR(VALUE($C661),""),Productos!$A:$A,Productos!$E:$E,_xlfn.XLOOKUP($C661,Productos!$E:$E,Productos!$E:$E,"NO ENCONTRADO")),"NO ENCONTRADO")),"NO ENCONTRADO")),"NO ENCONTRADO"))</f>
        <v/>
      </c>
      <c r="E661" s="74">
        <f t="array" ref="E661">IF(OR($D661="",$D661="NO ENCONTRADO"),"",_xlfn.XLOOKUP($D661,Productos!$E:$E,Productos!$H:$H,""))</f>
        <v/>
      </c>
      <c r="F661" s="74">
        <f t="array" ref="F661">IF(OR($D661="",$D661="NO ENCONTRADO"),"",_xlfn.XLOOKUP($D661,Productos!$E:$E,Productos!$I:$I,""))</f>
        <v/>
      </c>
      <c r="G661" s="74">
        <f t="array" ref="G661">IF(OR($D661="",$D661="NO ENCONTRADO"),"",_xlfn.XLOOKUP($D661,Productos!$E:$E,Productos!$J:$J,""))</f>
        <v/>
      </c>
      <c r="H661" s="74">
        <f t="array" ref="H661">IF(OR($D661="",$D661="NO ENCONTRADO"),"",_xlfn.XLOOKUP($D661,Productos!$E:$E,Productos!$K:$K,""))</f>
        <v/>
      </c>
      <c r="I661" s="74">
        <f t="array" ref="I661">IF(OR($D661="",$D661="NO ENCONTRADO"),"",_xlfn.XLOOKUP($D661,Productos!$E:$E,Productos!$F:$F,""))</f>
        <v/>
      </c>
      <c r="J661" s="74">
        <f>IF($C661="","",IF($D661="NO ENCONTRADO",IF(COUNTIF($C$7:$C$1000,$C661)&gt;1,"⚠️ No encontrado | Duplicado","⚠️ No encontrado"),IF(COUNTIF($C$7:$C$1000,$C661)&gt;1,"⚠️ Duplicado","Verificado")))</f>
        <v/>
      </c>
    </row>
    <row r="662" ht="15.75" customHeight="1" s="176">
      <c r="B662" s="80" t="n"/>
      <c r="C662" s="74" t="n"/>
      <c r="D662" s="74">
        <f t="array" ref="D662">IF($C662="","",IFNA(_xlfn.XLOOKUP($C662,Productos!$A:$A,Productos!$E:$E,IFNA(_xlfn.XLOOKUP(TEXT($C662,"0"),Productos!$A:$A,Productos!$E:$E,IFNA(_xlfn.XLOOKUP(IFERROR(VALUE($C662),""),Productos!$A:$A,Productos!$E:$E,_xlfn.XLOOKUP($C662,Productos!$E:$E,Productos!$E:$E,"NO ENCONTRADO")),"NO ENCONTRADO")),"NO ENCONTRADO")),"NO ENCONTRADO"))</f>
        <v/>
      </c>
      <c r="E662" s="74">
        <f t="array" ref="E662">IF(OR($D662="",$D662="NO ENCONTRADO"),"",_xlfn.XLOOKUP($D662,Productos!$E:$E,Productos!$H:$H,""))</f>
        <v/>
      </c>
      <c r="F662" s="74">
        <f t="array" ref="F662">IF(OR($D662="",$D662="NO ENCONTRADO"),"",_xlfn.XLOOKUP($D662,Productos!$E:$E,Productos!$I:$I,""))</f>
        <v/>
      </c>
      <c r="G662" s="74">
        <f t="array" ref="G662">IF(OR($D662="",$D662="NO ENCONTRADO"),"",_xlfn.XLOOKUP($D662,Productos!$E:$E,Productos!$J:$J,""))</f>
        <v/>
      </c>
      <c r="H662" s="74">
        <f t="array" ref="H662">IF(OR($D662="",$D662="NO ENCONTRADO"),"",_xlfn.XLOOKUP($D662,Productos!$E:$E,Productos!$K:$K,""))</f>
        <v/>
      </c>
      <c r="I662" s="74">
        <f t="array" ref="I662">IF(OR($D662="",$D662="NO ENCONTRADO"),"",_xlfn.XLOOKUP($D662,Productos!$E:$E,Productos!$F:$F,""))</f>
        <v/>
      </c>
      <c r="J662" s="74">
        <f>IF($C662="","",IF($D662="NO ENCONTRADO",IF(COUNTIF($C$7:$C$1000,$C662)&gt;1,"⚠️ No encontrado | Duplicado","⚠️ No encontrado"),IF(COUNTIF($C$7:$C$1000,$C662)&gt;1,"⚠️ Duplicado","Verificado")))</f>
        <v/>
      </c>
    </row>
    <row r="663" ht="15.75" customHeight="1" s="176">
      <c r="B663" s="80" t="n"/>
      <c r="C663" s="74" t="n"/>
      <c r="D663" s="74">
        <f t="array" ref="D663">IF($C663="","",IFNA(_xlfn.XLOOKUP($C663,Productos!$A:$A,Productos!$E:$E,IFNA(_xlfn.XLOOKUP(TEXT($C663,"0"),Productos!$A:$A,Productos!$E:$E,IFNA(_xlfn.XLOOKUP(IFERROR(VALUE($C663),""),Productos!$A:$A,Productos!$E:$E,_xlfn.XLOOKUP($C663,Productos!$E:$E,Productos!$E:$E,"NO ENCONTRADO")),"NO ENCONTRADO")),"NO ENCONTRADO")),"NO ENCONTRADO"))</f>
        <v/>
      </c>
      <c r="E663" s="74">
        <f t="array" ref="E663">IF(OR($D663="",$D663="NO ENCONTRADO"),"",_xlfn.XLOOKUP($D663,Productos!$E:$E,Productos!$H:$H,""))</f>
        <v/>
      </c>
      <c r="F663" s="74">
        <f t="array" ref="F663">IF(OR($D663="",$D663="NO ENCONTRADO"),"",_xlfn.XLOOKUP($D663,Productos!$E:$E,Productos!$I:$I,""))</f>
        <v/>
      </c>
      <c r="G663" s="74">
        <f t="array" ref="G663">IF(OR($D663="",$D663="NO ENCONTRADO"),"",_xlfn.XLOOKUP($D663,Productos!$E:$E,Productos!$J:$J,""))</f>
        <v/>
      </c>
      <c r="H663" s="74">
        <f t="array" ref="H663">IF(OR($D663="",$D663="NO ENCONTRADO"),"",_xlfn.XLOOKUP($D663,Productos!$E:$E,Productos!$K:$K,""))</f>
        <v/>
      </c>
      <c r="I663" s="74">
        <f t="array" ref="I663">IF(OR($D663="",$D663="NO ENCONTRADO"),"",_xlfn.XLOOKUP($D663,Productos!$E:$E,Productos!$F:$F,""))</f>
        <v/>
      </c>
      <c r="J663" s="74">
        <f>IF($C663="","",IF($D663="NO ENCONTRADO",IF(COUNTIF($C$7:$C$1000,$C663)&gt;1,"⚠️ No encontrado | Duplicado","⚠️ No encontrado"),IF(COUNTIF($C$7:$C$1000,$C663)&gt;1,"⚠️ Duplicado","Verificado")))</f>
        <v/>
      </c>
    </row>
    <row r="664" ht="15.75" customHeight="1" s="176">
      <c r="B664" s="80" t="n"/>
      <c r="C664" s="74" t="n"/>
      <c r="D664" s="74">
        <f t="array" ref="D664">IF($C664="","",IFNA(_xlfn.XLOOKUP($C664,Productos!$A:$A,Productos!$E:$E,IFNA(_xlfn.XLOOKUP(TEXT($C664,"0"),Productos!$A:$A,Productos!$E:$E,IFNA(_xlfn.XLOOKUP(IFERROR(VALUE($C664),""),Productos!$A:$A,Productos!$E:$E,_xlfn.XLOOKUP($C664,Productos!$E:$E,Productos!$E:$E,"NO ENCONTRADO")),"NO ENCONTRADO")),"NO ENCONTRADO")),"NO ENCONTRADO"))</f>
        <v/>
      </c>
      <c r="E664" s="74">
        <f t="array" ref="E664">IF(OR($D664="",$D664="NO ENCONTRADO"),"",_xlfn.XLOOKUP($D664,Productos!$E:$E,Productos!$H:$H,""))</f>
        <v/>
      </c>
      <c r="F664" s="74">
        <f t="array" ref="F664">IF(OR($D664="",$D664="NO ENCONTRADO"),"",_xlfn.XLOOKUP($D664,Productos!$E:$E,Productos!$I:$I,""))</f>
        <v/>
      </c>
      <c r="G664" s="74">
        <f t="array" ref="G664">IF(OR($D664="",$D664="NO ENCONTRADO"),"",_xlfn.XLOOKUP($D664,Productos!$E:$E,Productos!$J:$J,""))</f>
        <v/>
      </c>
      <c r="H664" s="74">
        <f t="array" ref="H664">IF(OR($D664="",$D664="NO ENCONTRADO"),"",_xlfn.XLOOKUP($D664,Productos!$E:$E,Productos!$K:$K,""))</f>
        <v/>
      </c>
      <c r="I664" s="74">
        <f t="array" ref="I664">IF(OR($D664="",$D664="NO ENCONTRADO"),"",_xlfn.XLOOKUP($D664,Productos!$E:$E,Productos!$F:$F,""))</f>
        <v/>
      </c>
      <c r="J664" s="74">
        <f>IF($C664="","",IF($D664="NO ENCONTRADO",IF(COUNTIF($C$7:$C$1000,$C664)&gt;1,"⚠️ No encontrado | Duplicado","⚠️ No encontrado"),IF(COUNTIF($C$7:$C$1000,$C664)&gt;1,"⚠️ Duplicado","Verificado")))</f>
        <v/>
      </c>
    </row>
    <row r="665" ht="15.75" customHeight="1" s="176">
      <c r="B665" s="80" t="n"/>
      <c r="C665" s="74" t="n"/>
      <c r="D665" s="74">
        <f t="array" ref="D665">IF($C665="","",IFNA(_xlfn.XLOOKUP($C665,Productos!$A:$A,Productos!$E:$E,IFNA(_xlfn.XLOOKUP(TEXT($C665,"0"),Productos!$A:$A,Productos!$E:$E,IFNA(_xlfn.XLOOKUP(IFERROR(VALUE($C665),""),Productos!$A:$A,Productos!$E:$E,_xlfn.XLOOKUP($C665,Productos!$E:$E,Productos!$E:$E,"NO ENCONTRADO")),"NO ENCONTRADO")),"NO ENCONTRADO")),"NO ENCONTRADO"))</f>
        <v/>
      </c>
      <c r="E665" s="74">
        <f t="array" ref="E665">IF(OR($D665="",$D665="NO ENCONTRADO"),"",_xlfn.XLOOKUP($D665,Productos!$E:$E,Productos!$H:$H,""))</f>
        <v/>
      </c>
      <c r="F665" s="74">
        <f t="array" ref="F665">IF(OR($D665="",$D665="NO ENCONTRADO"),"",_xlfn.XLOOKUP($D665,Productos!$E:$E,Productos!$I:$I,""))</f>
        <v/>
      </c>
      <c r="G665" s="74">
        <f t="array" ref="G665">IF(OR($D665="",$D665="NO ENCONTRADO"),"",_xlfn.XLOOKUP($D665,Productos!$E:$E,Productos!$J:$J,""))</f>
        <v/>
      </c>
      <c r="H665" s="74">
        <f t="array" ref="H665">IF(OR($D665="",$D665="NO ENCONTRADO"),"",_xlfn.XLOOKUP($D665,Productos!$E:$E,Productos!$K:$K,""))</f>
        <v/>
      </c>
      <c r="I665" s="74">
        <f t="array" ref="I665">IF(OR($D665="",$D665="NO ENCONTRADO"),"",_xlfn.XLOOKUP($D665,Productos!$E:$E,Productos!$F:$F,""))</f>
        <v/>
      </c>
      <c r="J665" s="74">
        <f>IF($C665="","",IF($D665="NO ENCONTRADO",IF(COUNTIF($C$7:$C$1000,$C665)&gt;1,"⚠️ No encontrado | Duplicado","⚠️ No encontrado"),IF(COUNTIF($C$7:$C$1000,$C665)&gt;1,"⚠️ Duplicado","Verificado")))</f>
        <v/>
      </c>
    </row>
    <row r="666" ht="15.75" customHeight="1" s="176">
      <c r="B666" s="80" t="n"/>
      <c r="C666" s="74" t="n"/>
      <c r="D666" s="74">
        <f t="array" ref="D666">IF($C666="","",IFNA(_xlfn.XLOOKUP($C666,Productos!$A:$A,Productos!$E:$E,IFNA(_xlfn.XLOOKUP(TEXT($C666,"0"),Productos!$A:$A,Productos!$E:$E,IFNA(_xlfn.XLOOKUP(IFERROR(VALUE($C666),""),Productos!$A:$A,Productos!$E:$E,_xlfn.XLOOKUP($C666,Productos!$E:$E,Productos!$E:$E,"NO ENCONTRADO")),"NO ENCONTRADO")),"NO ENCONTRADO")),"NO ENCONTRADO"))</f>
        <v/>
      </c>
      <c r="E666" s="74">
        <f t="array" ref="E666">IF(OR($D666="",$D666="NO ENCONTRADO"),"",_xlfn.XLOOKUP($D666,Productos!$E:$E,Productos!$H:$H,""))</f>
        <v/>
      </c>
      <c r="F666" s="74">
        <f t="array" ref="F666">IF(OR($D666="",$D666="NO ENCONTRADO"),"",_xlfn.XLOOKUP($D666,Productos!$E:$E,Productos!$I:$I,""))</f>
        <v/>
      </c>
      <c r="G666" s="74">
        <f t="array" ref="G666">IF(OR($D666="",$D666="NO ENCONTRADO"),"",_xlfn.XLOOKUP($D666,Productos!$E:$E,Productos!$J:$J,""))</f>
        <v/>
      </c>
      <c r="H666" s="74">
        <f t="array" ref="H666">IF(OR($D666="",$D666="NO ENCONTRADO"),"",_xlfn.XLOOKUP($D666,Productos!$E:$E,Productos!$K:$K,""))</f>
        <v/>
      </c>
      <c r="I666" s="74">
        <f t="array" ref="I666">IF(OR($D666="",$D666="NO ENCONTRADO"),"",_xlfn.XLOOKUP($D666,Productos!$E:$E,Productos!$F:$F,""))</f>
        <v/>
      </c>
      <c r="J666" s="74">
        <f>IF($C666="","",IF($D666="NO ENCONTRADO",IF(COUNTIF($C$7:$C$1000,$C666)&gt;1,"⚠️ No encontrado | Duplicado","⚠️ No encontrado"),IF(COUNTIF($C$7:$C$1000,$C666)&gt;1,"⚠️ Duplicado","Verificado")))</f>
        <v/>
      </c>
    </row>
    <row r="667" ht="15.75" customHeight="1" s="176">
      <c r="B667" s="80" t="n"/>
      <c r="C667" s="74" t="n"/>
      <c r="D667" s="74">
        <f t="array" ref="D667">IF($C667="","",IFNA(_xlfn.XLOOKUP($C667,Productos!$A:$A,Productos!$E:$E,IFNA(_xlfn.XLOOKUP(TEXT($C667,"0"),Productos!$A:$A,Productos!$E:$E,IFNA(_xlfn.XLOOKUP(IFERROR(VALUE($C667),""),Productos!$A:$A,Productos!$E:$E,_xlfn.XLOOKUP($C667,Productos!$E:$E,Productos!$E:$E,"NO ENCONTRADO")),"NO ENCONTRADO")),"NO ENCONTRADO")),"NO ENCONTRADO"))</f>
        <v/>
      </c>
      <c r="E667" s="74">
        <f t="array" ref="E667">IF(OR($D667="",$D667="NO ENCONTRADO"),"",_xlfn.XLOOKUP($D667,Productos!$E:$E,Productos!$H:$H,""))</f>
        <v/>
      </c>
      <c r="F667" s="74">
        <f t="array" ref="F667">IF(OR($D667="",$D667="NO ENCONTRADO"),"",_xlfn.XLOOKUP($D667,Productos!$E:$E,Productos!$I:$I,""))</f>
        <v/>
      </c>
      <c r="G667" s="74">
        <f t="array" ref="G667">IF(OR($D667="",$D667="NO ENCONTRADO"),"",_xlfn.XLOOKUP($D667,Productos!$E:$E,Productos!$J:$J,""))</f>
        <v/>
      </c>
      <c r="H667" s="74">
        <f t="array" ref="H667">IF(OR($D667="",$D667="NO ENCONTRADO"),"",_xlfn.XLOOKUP($D667,Productos!$E:$E,Productos!$K:$K,""))</f>
        <v/>
      </c>
      <c r="I667" s="74">
        <f t="array" ref="I667">IF(OR($D667="",$D667="NO ENCONTRADO"),"",_xlfn.XLOOKUP($D667,Productos!$E:$E,Productos!$F:$F,""))</f>
        <v/>
      </c>
      <c r="J667" s="74">
        <f>IF($C667="","",IF($D667="NO ENCONTRADO",IF(COUNTIF($C$7:$C$1000,$C667)&gt;1,"⚠️ No encontrado | Duplicado","⚠️ No encontrado"),IF(COUNTIF($C$7:$C$1000,$C667)&gt;1,"⚠️ Duplicado","Verificado")))</f>
        <v/>
      </c>
    </row>
    <row r="668" ht="15.75" customHeight="1" s="176">
      <c r="B668" s="80" t="n"/>
      <c r="C668" s="74" t="n"/>
      <c r="D668" s="74">
        <f t="array" ref="D668">IF($C668="","",IFNA(_xlfn.XLOOKUP($C668,Productos!$A:$A,Productos!$E:$E,IFNA(_xlfn.XLOOKUP(TEXT($C668,"0"),Productos!$A:$A,Productos!$E:$E,IFNA(_xlfn.XLOOKUP(IFERROR(VALUE($C668),""),Productos!$A:$A,Productos!$E:$E,_xlfn.XLOOKUP($C668,Productos!$E:$E,Productos!$E:$E,"NO ENCONTRADO")),"NO ENCONTRADO")),"NO ENCONTRADO")),"NO ENCONTRADO"))</f>
        <v/>
      </c>
      <c r="E668" s="74">
        <f t="array" ref="E668">IF(OR($D668="",$D668="NO ENCONTRADO"),"",_xlfn.XLOOKUP($D668,Productos!$E:$E,Productos!$H:$H,""))</f>
        <v/>
      </c>
      <c r="F668" s="74">
        <f t="array" ref="F668">IF(OR($D668="",$D668="NO ENCONTRADO"),"",_xlfn.XLOOKUP($D668,Productos!$E:$E,Productos!$I:$I,""))</f>
        <v/>
      </c>
      <c r="G668" s="74">
        <f t="array" ref="G668">IF(OR($D668="",$D668="NO ENCONTRADO"),"",_xlfn.XLOOKUP($D668,Productos!$E:$E,Productos!$J:$J,""))</f>
        <v/>
      </c>
      <c r="H668" s="74">
        <f t="array" ref="H668">IF(OR($D668="",$D668="NO ENCONTRADO"),"",_xlfn.XLOOKUP($D668,Productos!$E:$E,Productos!$K:$K,""))</f>
        <v/>
      </c>
      <c r="I668" s="74">
        <f t="array" ref="I668">IF(OR($D668="",$D668="NO ENCONTRADO"),"",_xlfn.XLOOKUP($D668,Productos!$E:$E,Productos!$F:$F,""))</f>
        <v/>
      </c>
      <c r="J668" s="74">
        <f>IF($C668="","",IF($D668="NO ENCONTRADO",IF(COUNTIF($C$7:$C$1000,$C668)&gt;1,"⚠️ No encontrado | Duplicado","⚠️ No encontrado"),IF(COUNTIF($C$7:$C$1000,$C668)&gt;1,"⚠️ Duplicado","Verificado")))</f>
        <v/>
      </c>
    </row>
    <row r="669" ht="15.75" customHeight="1" s="176">
      <c r="B669" s="80" t="n"/>
      <c r="C669" s="74" t="n"/>
      <c r="D669" s="74">
        <f t="array" ref="D669">IF($C669="","",IFNA(_xlfn.XLOOKUP($C669,Productos!$A:$A,Productos!$E:$E,IFNA(_xlfn.XLOOKUP(TEXT($C669,"0"),Productos!$A:$A,Productos!$E:$E,IFNA(_xlfn.XLOOKUP(IFERROR(VALUE($C669),""),Productos!$A:$A,Productos!$E:$E,_xlfn.XLOOKUP($C669,Productos!$E:$E,Productos!$E:$E,"NO ENCONTRADO")),"NO ENCONTRADO")),"NO ENCONTRADO")),"NO ENCONTRADO"))</f>
        <v/>
      </c>
      <c r="E669" s="74">
        <f t="array" ref="E669">IF(OR($D669="",$D669="NO ENCONTRADO"),"",_xlfn.XLOOKUP($D669,Productos!$E:$E,Productos!$H:$H,""))</f>
        <v/>
      </c>
      <c r="F669" s="74">
        <f t="array" ref="F669">IF(OR($D669="",$D669="NO ENCONTRADO"),"",_xlfn.XLOOKUP($D669,Productos!$E:$E,Productos!$I:$I,""))</f>
        <v/>
      </c>
      <c r="G669" s="74">
        <f t="array" ref="G669">IF(OR($D669="",$D669="NO ENCONTRADO"),"",_xlfn.XLOOKUP($D669,Productos!$E:$E,Productos!$J:$J,""))</f>
        <v/>
      </c>
      <c r="H669" s="74">
        <f t="array" ref="H669">IF(OR($D669="",$D669="NO ENCONTRADO"),"",_xlfn.XLOOKUP($D669,Productos!$E:$E,Productos!$K:$K,""))</f>
        <v/>
      </c>
      <c r="I669" s="74">
        <f t="array" ref="I669">IF(OR($D669="",$D669="NO ENCONTRADO"),"",_xlfn.XLOOKUP($D669,Productos!$E:$E,Productos!$F:$F,""))</f>
        <v/>
      </c>
      <c r="J669" s="74">
        <f>IF($C669="","",IF($D669="NO ENCONTRADO",IF(COUNTIF($C$7:$C$1000,$C669)&gt;1,"⚠️ No encontrado | Duplicado","⚠️ No encontrado"),IF(COUNTIF($C$7:$C$1000,$C669)&gt;1,"⚠️ Duplicado","Verificado")))</f>
        <v/>
      </c>
    </row>
    <row r="670" ht="15.75" customHeight="1" s="176">
      <c r="B670" s="80" t="n"/>
      <c r="C670" s="74" t="n"/>
      <c r="D670" s="74">
        <f t="array" ref="D670">IF($C670="","",IFNA(_xlfn.XLOOKUP($C670,Productos!$A:$A,Productos!$E:$E,IFNA(_xlfn.XLOOKUP(TEXT($C670,"0"),Productos!$A:$A,Productos!$E:$E,IFNA(_xlfn.XLOOKUP(IFERROR(VALUE($C670),""),Productos!$A:$A,Productos!$E:$E,_xlfn.XLOOKUP($C670,Productos!$E:$E,Productos!$E:$E,"NO ENCONTRADO")),"NO ENCONTRADO")),"NO ENCONTRADO")),"NO ENCONTRADO"))</f>
        <v/>
      </c>
      <c r="E670" s="74">
        <f t="array" ref="E670">IF(OR($D670="",$D670="NO ENCONTRADO"),"",_xlfn.XLOOKUP($D670,Productos!$E:$E,Productos!$H:$H,""))</f>
        <v/>
      </c>
      <c r="F670" s="74">
        <f t="array" ref="F670">IF(OR($D670="",$D670="NO ENCONTRADO"),"",_xlfn.XLOOKUP($D670,Productos!$E:$E,Productos!$I:$I,""))</f>
        <v/>
      </c>
      <c r="G670" s="74">
        <f t="array" ref="G670">IF(OR($D670="",$D670="NO ENCONTRADO"),"",_xlfn.XLOOKUP($D670,Productos!$E:$E,Productos!$J:$J,""))</f>
        <v/>
      </c>
      <c r="H670" s="74">
        <f t="array" ref="H670">IF(OR($D670="",$D670="NO ENCONTRADO"),"",_xlfn.XLOOKUP($D670,Productos!$E:$E,Productos!$K:$K,""))</f>
        <v/>
      </c>
      <c r="I670" s="74">
        <f t="array" ref="I670">IF(OR($D670="",$D670="NO ENCONTRADO"),"",_xlfn.XLOOKUP($D670,Productos!$E:$E,Productos!$F:$F,""))</f>
        <v/>
      </c>
      <c r="J670" s="74">
        <f>IF($C670="","",IF($D670="NO ENCONTRADO",IF(COUNTIF($C$7:$C$1000,$C670)&gt;1,"⚠️ No encontrado | Duplicado","⚠️ No encontrado"),IF(COUNTIF($C$7:$C$1000,$C670)&gt;1,"⚠️ Duplicado","Verificado")))</f>
        <v/>
      </c>
    </row>
    <row r="671" ht="15.75" customHeight="1" s="176">
      <c r="B671" s="80" t="n"/>
      <c r="C671" s="74" t="n"/>
      <c r="D671" s="74">
        <f t="array" ref="D671">IF($C671="","",IFNA(_xlfn.XLOOKUP($C671,Productos!$A:$A,Productos!$E:$E,IFNA(_xlfn.XLOOKUP(TEXT($C671,"0"),Productos!$A:$A,Productos!$E:$E,IFNA(_xlfn.XLOOKUP(IFERROR(VALUE($C671),""),Productos!$A:$A,Productos!$E:$E,_xlfn.XLOOKUP($C671,Productos!$E:$E,Productos!$E:$E,"NO ENCONTRADO")),"NO ENCONTRADO")),"NO ENCONTRADO")),"NO ENCONTRADO"))</f>
        <v/>
      </c>
      <c r="E671" s="74">
        <f t="array" ref="E671">IF(OR($D671="",$D671="NO ENCONTRADO"),"",_xlfn.XLOOKUP($D671,Productos!$E:$E,Productos!$H:$H,""))</f>
        <v/>
      </c>
      <c r="F671" s="74">
        <f t="array" ref="F671">IF(OR($D671="",$D671="NO ENCONTRADO"),"",_xlfn.XLOOKUP($D671,Productos!$E:$E,Productos!$I:$I,""))</f>
        <v/>
      </c>
      <c r="G671" s="74">
        <f t="array" ref="G671">IF(OR($D671="",$D671="NO ENCONTRADO"),"",_xlfn.XLOOKUP($D671,Productos!$E:$E,Productos!$J:$J,""))</f>
        <v/>
      </c>
      <c r="H671" s="74">
        <f t="array" ref="H671">IF(OR($D671="",$D671="NO ENCONTRADO"),"",_xlfn.XLOOKUP($D671,Productos!$E:$E,Productos!$K:$K,""))</f>
        <v/>
      </c>
      <c r="I671" s="74">
        <f t="array" ref="I671">IF(OR($D671="",$D671="NO ENCONTRADO"),"",_xlfn.XLOOKUP($D671,Productos!$E:$E,Productos!$F:$F,""))</f>
        <v/>
      </c>
      <c r="J671" s="74">
        <f>IF($C671="","",IF($D671="NO ENCONTRADO",IF(COUNTIF($C$7:$C$1000,$C671)&gt;1,"⚠️ No encontrado | Duplicado","⚠️ No encontrado"),IF(COUNTIF($C$7:$C$1000,$C671)&gt;1,"⚠️ Duplicado","Verificado")))</f>
        <v/>
      </c>
    </row>
    <row r="672" ht="15.75" customHeight="1" s="176">
      <c r="B672" s="80" t="n"/>
      <c r="C672" s="74" t="n"/>
      <c r="D672" s="74">
        <f t="array" ref="D672">IF($C672="","",IFNA(_xlfn.XLOOKUP($C672,Productos!$A:$A,Productos!$E:$E,IFNA(_xlfn.XLOOKUP(TEXT($C672,"0"),Productos!$A:$A,Productos!$E:$E,IFNA(_xlfn.XLOOKUP(IFERROR(VALUE($C672),""),Productos!$A:$A,Productos!$E:$E,_xlfn.XLOOKUP($C672,Productos!$E:$E,Productos!$E:$E,"NO ENCONTRADO")),"NO ENCONTRADO")),"NO ENCONTRADO")),"NO ENCONTRADO"))</f>
        <v/>
      </c>
      <c r="E672" s="74">
        <f t="array" ref="E672">IF(OR($D672="",$D672="NO ENCONTRADO"),"",_xlfn.XLOOKUP($D672,Productos!$E:$E,Productos!$H:$H,""))</f>
        <v/>
      </c>
      <c r="F672" s="74">
        <f t="array" ref="F672">IF(OR($D672="",$D672="NO ENCONTRADO"),"",_xlfn.XLOOKUP($D672,Productos!$E:$E,Productos!$I:$I,""))</f>
        <v/>
      </c>
      <c r="G672" s="74">
        <f t="array" ref="G672">IF(OR($D672="",$D672="NO ENCONTRADO"),"",_xlfn.XLOOKUP($D672,Productos!$E:$E,Productos!$J:$J,""))</f>
        <v/>
      </c>
      <c r="H672" s="74">
        <f t="array" ref="H672">IF(OR($D672="",$D672="NO ENCONTRADO"),"",_xlfn.XLOOKUP($D672,Productos!$E:$E,Productos!$K:$K,""))</f>
        <v/>
      </c>
      <c r="I672" s="74">
        <f t="array" ref="I672">IF(OR($D672="",$D672="NO ENCONTRADO"),"",_xlfn.XLOOKUP($D672,Productos!$E:$E,Productos!$F:$F,""))</f>
        <v/>
      </c>
      <c r="J672" s="74">
        <f>IF($C672="","",IF($D672="NO ENCONTRADO",IF(COUNTIF($C$7:$C$1000,$C672)&gt;1,"⚠️ No encontrado | Duplicado","⚠️ No encontrado"),IF(COUNTIF($C$7:$C$1000,$C672)&gt;1,"⚠️ Duplicado","Verificado")))</f>
        <v/>
      </c>
    </row>
    <row r="673" ht="15.75" customHeight="1" s="176">
      <c r="B673" s="80" t="n"/>
      <c r="C673" s="74" t="n"/>
      <c r="D673" s="74">
        <f t="array" ref="D673">IF($C673="","",IFNA(_xlfn.XLOOKUP($C673,Productos!$A:$A,Productos!$E:$E,IFNA(_xlfn.XLOOKUP(TEXT($C673,"0"),Productos!$A:$A,Productos!$E:$E,IFNA(_xlfn.XLOOKUP(IFERROR(VALUE($C673),""),Productos!$A:$A,Productos!$E:$E,_xlfn.XLOOKUP($C673,Productos!$E:$E,Productos!$E:$E,"NO ENCONTRADO")),"NO ENCONTRADO")),"NO ENCONTRADO")),"NO ENCONTRADO"))</f>
        <v/>
      </c>
      <c r="E673" s="74">
        <f t="array" ref="E673">IF(OR($D673="",$D673="NO ENCONTRADO"),"",_xlfn.XLOOKUP($D673,Productos!$E:$E,Productos!$H:$H,""))</f>
        <v/>
      </c>
      <c r="F673" s="74">
        <f t="array" ref="F673">IF(OR($D673="",$D673="NO ENCONTRADO"),"",_xlfn.XLOOKUP($D673,Productos!$E:$E,Productos!$I:$I,""))</f>
        <v/>
      </c>
      <c r="G673" s="74">
        <f t="array" ref="G673">IF(OR($D673="",$D673="NO ENCONTRADO"),"",_xlfn.XLOOKUP($D673,Productos!$E:$E,Productos!$J:$J,""))</f>
        <v/>
      </c>
      <c r="H673" s="74">
        <f t="array" ref="H673">IF(OR($D673="",$D673="NO ENCONTRADO"),"",_xlfn.XLOOKUP($D673,Productos!$E:$E,Productos!$K:$K,""))</f>
        <v/>
      </c>
      <c r="I673" s="74">
        <f t="array" ref="I673">IF(OR($D673="",$D673="NO ENCONTRADO"),"",_xlfn.XLOOKUP($D673,Productos!$E:$E,Productos!$F:$F,""))</f>
        <v/>
      </c>
      <c r="J673" s="74">
        <f>IF($C673="","",IF($D673="NO ENCONTRADO",IF(COUNTIF($C$7:$C$1000,$C673)&gt;1,"⚠️ No encontrado | Duplicado","⚠️ No encontrado"),IF(COUNTIF($C$7:$C$1000,$C673)&gt;1,"⚠️ Duplicado","Verificado")))</f>
        <v/>
      </c>
    </row>
    <row r="674" ht="15.75" customHeight="1" s="176">
      <c r="B674" s="80" t="n"/>
      <c r="C674" s="74" t="n"/>
      <c r="D674" s="74">
        <f t="array" ref="D674">IF($C674="","",IFNA(_xlfn.XLOOKUP($C674,Productos!$A:$A,Productos!$E:$E,IFNA(_xlfn.XLOOKUP(TEXT($C674,"0"),Productos!$A:$A,Productos!$E:$E,IFNA(_xlfn.XLOOKUP(IFERROR(VALUE($C674),""),Productos!$A:$A,Productos!$E:$E,_xlfn.XLOOKUP($C674,Productos!$E:$E,Productos!$E:$E,"NO ENCONTRADO")),"NO ENCONTRADO")),"NO ENCONTRADO")),"NO ENCONTRADO"))</f>
        <v/>
      </c>
      <c r="E674" s="74">
        <f t="array" ref="E674">IF(OR($D674="",$D674="NO ENCONTRADO"),"",_xlfn.XLOOKUP($D674,Productos!$E:$E,Productos!$H:$H,""))</f>
        <v/>
      </c>
      <c r="F674" s="74">
        <f t="array" ref="F674">IF(OR($D674="",$D674="NO ENCONTRADO"),"",_xlfn.XLOOKUP($D674,Productos!$E:$E,Productos!$I:$I,""))</f>
        <v/>
      </c>
      <c r="G674" s="74">
        <f t="array" ref="G674">IF(OR($D674="",$D674="NO ENCONTRADO"),"",_xlfn.XLOOKUP($D674,Productos!$E:$E,Productos!$J:$J,""))</f>
        <v/>
      </c>
      <c r="H674" s="74">
        <f t="array" ref="H674">IF(OR($D674="",$D674="NO ENCONTRADO"),"",_xlfn.XLOOKUP($D674,Productos!$E:$E,Productos!$K:$K,""))</f>
        <v/>
      </c>
      <c r="I674" s="74">
        <f t="array" ref="I674">IF(OR($D674="",$D674="NO ENCONTRADO"),"",_xlfn.XLOOKUP($D674,Productos!$E:$E,Productos!$F:$F,""))</f>
        <v/>
      </c>
      <c r="J674" s="74">
        <f>IF($C674="","",IF($D674="NO ENCONTRADO",IF(COUNTIF($C$7:$C$1000,$C674)&gt;1,"⚠️ No encontrado | Duplicado","⚠️ No encontrado"),IF(COUNTIF($C$7:$C$1000,$C674)&gt;1,"⚠️ Duplicado","Verificado")))</f>
        <v/>
      </c>
    </row>
    <row r="675" ht="15.75" customHeight="1" s="176">
      <c r="B675" s="80" t="n"/>
      <c r="C675" s="74" t="n"/>
      <c r="D675" s="74">
        <f t="array" ref="D675">IF($C675="","",IFNA(_xlfn.XLOOKUP($C675,Productos!$A:$A,Productos!$E:$E,IFNA(_xlfn.XLOOKUP(TEXT($C675,"0"),Productos!$A:$A,Productos!$E:$E,IFNA(_xlfn.XLOOKUP(IFERROR(VALUE($C675),""),Productos!$A:$A,Productos!$E:$E,_xlfn.XLOOKUP($C675,Productos!$E:$E,Productos!$E:$E,"NO ENCONTRADO")),"NO ENCONTRADO")),"NO ENCONTRADO")),"NO ENCONTRADO"))</f>
        <v/>
      </c>
      <c r="E675" s="74">
        <f t="array" ref="E675">IF(OR($D675="",$D675="NO ENCONTRADO"),"",_xlfn.XLOOKUP($D675,Productos!$E:$E,Productos!$H:$H,""))</f>
        <v/>
      </c>
      <c r="F675" s="74">
        <f t="array" ref="F675">IF(OR($D675="",$D675="NO ENCONTRADO"),"",_xlfn.XLOOKUP($D675,Productos!$E:$E,Productos!$I:$I,""))</f>
        <v/>
      </c>
      <c r="G675" s="74">
        <f t="array" ref="G675">IF(OR($D675="",$D675="NO ENCONTRADO"),"",_xlfn.XLOOKUP($D675,Productos!$E:$E,Productos!$J:$J,""))</f>
        <v/>
      </c>
      <c r="H675" s="74">
        <f t="array" ref="H675">IF(OR($D675="",$D675="NO ENCONTRADO"),"",_xlfn.XLOOKUP($D675,Productos!$E:$E,Productos!$K:$K,""))</f>
        <v/>
      </c>
      <c r="I675" s="74">
        <f t="array" ref="I675">IF(OR($D675="",$D675="NO ENCONTRADO"),"",_xlfn.XLOOKUP($D675,Productos!$E:$E,Productos!$F:$F,""))</f>
        <v/>
      </c>
      <c r="J675" s="74">
        <f>IF($C675="","",IF($D675="NO ENCONTRADO",IF(COUNTIF($C$7:$C$1000,$C675)&gt;1,"⚠️ No encontrado | Duplicado","⚠️ No encontrado"),IF(COUNTIF($C$7:$C$1000,$C675)&gt;1,"⚠️ Duplicado","Verificado")))</f>
        <v/>
      </c>
    </row>
    <row r="676" ht="15.75" customHeight="1" s="176">
      <c r="B676" s="80" t="n"/>
      <c r="C676" s="74" t="n"/>
      <c r="D676" s="74">
        <f t="array" ref="D676">IF($C676="","",IFNA(_xlfn.XLOOKUP($C676,Productos!$A:$A,Productos!$E:$E,IFNA(_xlfn.XLOOKUP(TEXT($C676,"0"),Productos!$A:$A,Productos!$E:$E,IFNA(_xlfn.XLOOKUP(IFERROR(VALUE($C676),""),Productos!$A:$A,Productos!$E:$E,_xlfn.XLOOKUP($C676,Productos!$E:$E,Productos!$E:$E,"NO ENCONTRADO")),"NO ENCONTRADO")),"NO ENCONTRADO")),"NO ENCONTRADO"))</f>
        <v/>
      </c>
      <c r="E676" s="74">
        <f t="array" ref="E676">IF(OR($D676="",$D676="NO ENCONTRADO"),"",_xlfn.XLOOKUP($D676,Productos!$E:$E,Productos!$H:$H,""))</f>
        <v/>
      </c>
      <c r="F676" s="74">
        <f t="array" ref="F676">IF(OR($D676="",$D676="NO ENCONTRADO"),"",_xlfn.XLOOKUP($D676,Productos!$E:$E,Productos!$I:$I,""))</f>
        <v/>
      </c>
      <c r="G676" s="74">
        <f t="array" ref="G676">IF(OR($D676="",$D676="NO ENCONTRADO"),"",_xlfn.XLOOKUP($D676,Productos!$E:$E,Productos!$J:$J,""))</f>
        <v/>
      </c>
      <c r="H676" s="74">
        <f t="array" ref="H676">IF(OR($D676="",$D676="NO ENCONTRADO"),"",_xlfn.XLOOKUP($D676,Productos!$E:$E,Productos!$K:$K,""))</f>
        <v/>
      </c>
      <c r="I676" s="74">
        <f t="array" ref="I676">IF(OR($D676="",$D676="NO ENCONTRADO"),"",_xlfn.XLOOKUP($D676,Productos!$E:$E,Productos!$F:$F,""))</f>
        <v/>
      </c>
      <c r="J676" s="74">
        <f>IF($C676="","",IF($D676="NO ENCONTRADO",IF(COUNTIF($C$7:$C$1000,$C676)&gt;1,"⚠️ No encontrado | Duplicado","⚠️ No encontrado"),IF(COUNTIF($C$7:$C$1000,$C676)&gt;1,"⚠️ Duplicado","Verificado")))</f>
        <v/>
      </c>
    </row>
    <row r="677" ht="15.75" customHeight="1" s="176">
      <c r="B677" s="80" t="n"/>
      <c r="C677" s="74" t="n"/>
      <c r="D677" s="74">
        <f t="array" ref="D677">IF($C677="","",IFNA(_xlfn.XLOOKUP($C677,Productos!$A:$A,Productos!$E:$E,IFNA(_xlfn.XLOOKUP(TEXT($C677,"0"),Productos!$A:$A,Productos!$E:$E,IFNA(_xlfn.XLOOKUP(IFERROR(VALUE($C677),""),Productos!$A:$A,Productos!$E:$E,_xlfn.XLOOKUP($C677,Productos!$E:$E,Productos!$E:$E,"NO ENCONTRADO")),"NO ENCONTRADO")),"NO ENCONTRADO")),"NO ENCONTRADO"))</f>
        <v/>
      </c>
      <c r="E677" s="74">
        <f t="array" ref="E677">IF(OR($D677="",$D677="NO ENCONTRADO"),"",_xlfn.XLOOKUP($D677,Productos!$E:$E,Productos!$H:$H,""))</f>
        <v/>
      </c>
      <c r="F677" s="74">
        <f t="array" ref="F677">IF(OR($D677="",$D677="NO ENCONTRADO"),"",_xlfn.XLOOKUP($D677,Productos!$E:$E,Productos!$I:$I,""))</f>
        <v/>
      </c>
      <c r="G677" s="74">
        <f t="array" ref="G677">IF(OR($D677="",$D677="NO ENCONTRADO"),"",_xlfn.XLOOKUP($D677,Productos!$E:$E,Productos!$J:$J,""))</f>
        <v/>
      </c>
      <c r="H677" s="74">
        <f t="array" ref="H677">IF(OR($D677="",$D677="NO ENCONTRADO"),"",_xlfn.XLOOKUP($D677,Productos!$E:$E,Productos!$K:$K,""))</f>
        <v/>
      </c>
      <c r="I677" s="74">
        <f t="array" ref="I677">IF(OR($D677="",$D677="NO ENCONTRADO"),"",_xlfn.XLOOKUP($D677,Productos!$E:$E,Productos!$F:$F,""))</f>
        <v/>
      </c>
      <c r="J677" s="74">
        <f>IF($C677="","",IF($D677="NO ENCONTRADO",IF(COUNTIF($C$7:$C$1000,$C677)&gt;1,"⚠️ No encontrado | Duplicado","⚠️ No encontrado"),IF(COUNTIF($C$7:$C$1000,$C677)&gt;1,"⚠️ Duplicado","Verificado")))</f>
        <v/>
      </c>
    </row>
    <row r="678" ht="15.75" customHeight="1" s="176">
      <c r="B678" s="80" t="n"/>
      <c r="C678" s="74" t="n"/>
      <c r="D678" s="74">
        <f t="array" ref="D678">IF($C678="","",IFNA(_xlfn.XLOOKUP($C678,Productos!$A:$A,Productos!$E:$E,IFNA(_xlfn.XLOOKUP(TEXT($C678,"0"),Productos!$A:$A,Productos!$E:$E,IFNA(_xlfn.XLOOKUP(IFERROR(VALUE($C678),""),Productos!$A:$A,Productos!$E:$E,_xlfn.XLOOKUP($C678,Productos!$E:$E,Productos!$E:$E,"NO ENCONTRADO")),"NO ENCONTRADO")),"NO ENCONTRADO")),"NO ENCONTRADO"))</f>
        <v/>
      </c>
      <c r="E678" s="74">
        <f t="array" ref="E678">IF(OR($D678="",$D678="NO ENCONTRADO"),"",_xlfn.XLOOKUP($D678,Productos!$E:$E,Productos!$H:$H,""))</f>
        <v/>
      </c>
      <c r="F678" s="74">
        <f t="array" ref="F678">IF(OR($D678="",$D678="NO ENCONTRADO"),"",_xlfn.XLOOKUP($D678,Productos!$E:$E,Productos!$I:$I,""))</f>
        <v/>
      </c>
      <c r="G678" s="74">
        <f t="array" ref="G678">IF(OR($D678="",$D678="NO ENCONTRADO"),"",_xlfn.XLOOKUP($D678,Productos!$E:$E,Productos!$J:$J,""))</f>
        <v/>
      </c>
      <c r="H678" s="74">
        <f t="array" ref="H678">IF(OR($D678="",$D678="NO ENCONTRADO"),"",_xlfn.XLOOKUP($D678,Productos!$E:$E,Productos!$K:$K,""))</f>
        <v/>
      </c>
      <c r="I678" s="74">
        <f t="array" ref="I678">IF(OR($D678="",$D678="NO ENCONTRADO"),"",_xlfn.XLOOKUP($D678,Productos!$E:$E,Productos!$F:$F,""))</f>
        <v/>
      </c>
      <c r="J678" s="74">
        <f>IF($C678="","",IF($D678="NO ENCONTRADO",IF(COUNTIF($C$7:$C$1000,$C678)&gt;1,"⚠️ No encontrado | Duplicado","⚠️ No encontrado"),IF(COUNTIF($C$7:$C$1000,$C678)&gt;1,"⚠️ Duplicado","Verificado")))</f>
        <v/>
      </c>
    </row>
    <row r="679" ht="15.75" customHeight="1" s="176">
      <c r="B679" s="80" t="n"/>
      <c r="C679" s="74" t="n"/>
      <c r="D679" s="74">
        <f t="array" ref="D679">IF($C679="","",IFNA(_xlfn.XLOOKUP($C679,Productos!$A:$A,Productos!$E:$E,IFNA(_xlfn.XLOOKUP(TEXT($C679,"0"),Productos!$A:$A,Productos!$E:$E,IFNA(_xlfn.XLOOKUP(IFERROR(VALUE($C679),""),Productos!$A:$A,Productos!$E:$E,_xlfn.XLOOKUP($C679,Productos!$E:$E,Productos!$E:$E,"NO ENCONTRADO")),"NO ENCONTRADO")),"NO ENCONTRADO")),"NO ENCONTRADO"))</f>
        <v/>
      </c>
      <c r="E679" s="74">
        <f t="array" ref="E679">IF(OR($D679="",$D679="NO ENCONTRADO"),"",_xlfn.XLOOKUP($D679,Productos!$E:$E,Productos!$H:$H,""))</f>
        <v/>
      </c>
      <c r="F679" s="74">
        <f t="array" ref="F679">IF(OR($D679="",$D679="NO ENCONTRADO"),"",_xlfn.XLOOKUP($D679,Productos!$E:$E,Productos!$I:$I,""))</f>
        <v/>
      </c>
      <c r="G679" s="74">
        <f t="array" ref="G679">IF(OR($D679="",$D679="NO ENCONTRADO"),"",_xlfn.XLOOKUP($D679,Productos!$E:$E,Productos!$J:$J,""))</f>
        <v/>
      </c>
      <c r="H679" s="74">
        <f t="array" ref="H679">IF(OR($D679="",$D679="NO ENCONTRADO"),"",_xlfn.XLOOKUP($D679,Productos!$E:$E,Productos!$K:$K,""))</f>
        <v/>
      </c>
      <c r="I679" s="74">
        <f t="array" ref="I679">IF(OR($D679="",$D679="NO ENCONTRADO"),"",_xlfn.XLOOKUP($D679,Productos!$E:$E,Productos!$F:$F,""))</f>
        <v/>
      </c>
      <c r="J679" s="74">
        <f>IF($C679="","",IF($D679="NO ENCONTRADO",IF(COUNTIF($C$7:$C$1000,$C679)&gt;1,"⚠️ No encontrado | Duplicado","⚠️ No encontrado"),IF(COUNTIF($C$7:$C$1000,$C679)&gt;1,"⚠️ Duplicado","Verificado")))</f>
        <v/>
      </c>
    </row>
    <row r="680" ht="15.75" customHeight="1" s="176">
      <c r="B680" s="80" t="n"/>
      <c r="C680" s="74" t="n"/>
      <c r="D680" s="74">
        <f t="array" ref="D680">IF($C680="","",IFNA(_xlfn.XLOOKUP($C680,Productos!$A:$A,Productos!$E:$E,IFNA(_xlfn.XLOOKUP(TEXT($C680,"0"),Productos!$A:$A,Productos!$E:$E,IFNA(_xlfn.XLOOKUP(IFERROR(VALUE($C680),""),Productos!$A:$A,Productos!$E:$E,_xlfn.XLOOKUP($C680,Productos!$E:$E,Productos!$E:$E,"NO ENCONTRADO")),"NO ENCONTRADO")),"NO ENCONTRADO")),"NO ENCONTRADO"))</f>
        <v/>
      </c>
      <c r="E680" s="74">
        <f t="array" ref="E680">IF(OR($D680="",$D680="NO ENCONTRADO"),"",_xlfn.XLOOKUP($D680,Productos!$E:$E,Productos!$H:$H,""))</f>
        <v/>
      </c>
      <c r="F680" s="74">
        <f t="array" ref="F680">IF(OR($D680="",$D680="NO ENCONTRADO"),"",_xlfn.XLOOKUP($D680,Productos!$E:$E,Productos!$I:$I,""))</f>
        <v/>
      </c>
      <c r="G680" s="74">
        <f t="array" ref="G680">IF(OR($D680="",$D680="NO ENCONTRADO"),"",_xlfn.XLOOKUP($D680,Productos!$E:$E,Productos!$J:$J,""))</f>
        <v/>
      </c>
      <c r="H680" s="74">
        <f t="array" ref="H680">IF(OR($D680="",$D680="NO ENCONTRADO"),"",_xlfn.XLOOKUP($D680,Productos!$E:$E,Productos!$K:$K,""))</f>
        <v/>
      </c>
      <c r="I680" s="74">
        <f t="array" ref="I680">IF(OR($D680="",$D680="NO ENCONTRADO"),"",_xlfn.XLOOKUP($D680,Productos!$E:$E,Productos!$F:$F,""))</f>
        <v/>
      </c>
      <c r="J680" s="74">
        <f>IF($C680="","",IF($D680="NO ENCONTRADO",IF(COUNTIF($C$7:$C$1000,$C680)&gt;1,"⚠️ No encontrado | Duplicado","⚠️ No encontrado"),IF(COUNTIF($C$7:$C$1000,$C680)&gt;1,"⚠️ Duplicado","Verificado")))</f>
        <v/>
      </c>
    </row>
    <row r="681" ht="15.75" customHeight="1" s="176">
      <c r="B681" s="80" t="n"/>
      <c r="C681" s="74" t="n"/>
      <c r="D681" s="74">
        <f t="array" ref="D681">IF($C681="","",IFNA(_xlfn.XLOOKUP($C681,Productos!$A:$A,Productos!$E:$E,IFNA(_xlfn.XLOOKUP(TEXT($C681,"0"),Productos!$A:$A,Productos!$E:$E,IFNA(_xlfn.XLOOKUP(IFERROR(VALUE($C681),""),Productos!$A:$A,Productos!$E:$E,_xlfn.XLOOKUP($C681,Productos!$E:$E,Productos!$E:$E,"NO ENCONTRADO")),"NO ENCONTRADO")),"NO ENCONTRADO")),"NO ENCONTRADO"))</f>
        <v/>
      </c>
      <c r="E681" s="74">
        <f t="array" ref="E681">IF(OR($D681="",$D681="NO ENCONTRADO"),"",_xlfn.XLOOKUP($D681,Productos!$E:$E,Productos!$H:$H,""))</f>
        <v/>
      </c>
      <c r="F681" s="74">
        <f t="array" ref="F681">IF(OR($D681="",$D681="NO ENCONTRADO"),"",_xlfn.XLOOKUP($D681,Productos!$E:$E,Productos!$I:$I,""))</f>
        <v/>
      </c>
      <c r="G681" s="74">
        <f t="array" ref="G681">IF(OR($D681="",$D681="NO ENCONTRADO"),"",_xlfn.XLOOKUP($D681,Productos!$E:$E,Productos!$J:$J,""))</f>
        <v/>
      </c>
      <c r="H681" s="74">
        <f t="array" ref="H681">IF(OR($D681="",$D681="NO ENCONTRADO"),"",_xlfn.XLOOKUP($D681,Productos!$E:$E,Productos!$K:$K,""))</f>
        <v/>
      </c>
      <c r="I681" s="74">
        <f t="array" ref="I681">IF(OR($D681="",$D681="NO ENCONTRADO"),"",_xlfn.XLOOKUP($D681,Productos!$E:$E,Productos!$F:$F,""))</f>
        <v/>
      </c>
      <c r="J681" s="74">
        <f>IF($C681="","",IF($D681="NO ENCONTRADO",IF(COUNTIF($C$7:$C$1000,$C681)&gt;1,"⚠️ No encontrado | Duplicado","⚠️ No encontrado"),IF(COUNTIF($C$7:$C$1000,$C681)&gt;1,"⚠️ Duplicado","Verificado")))</f>
        <v/>
      </c>
    </row>
    <row r="682" ht="15.75" customHeight="1" s="176">
      <c r="B682" s="80" t="n"/>
      <c r="C682" s="74" t="n"/>
      <c r="D682" s="74">
        <f t="array" ref="D682">IF($C682="","",IFNA(_xlfn.XLOOKUP($C682,Productos!$A:$A,Productos!$E:$E,IFNA(_xlfn.XLOOKUP(TEXT($C682,"0"),Productos!$A:$A,Productos!$E:$E,IFNA(_xlfn.XLOOKUP(IFERROR(VALUE($C682),""),Productos!$A:$A,Productos!$E:$E,_xlfn.XLOOKUP($C682,Productos!$E:$E,Productos!$E:$E,"NO ENCONTRADO")),"NO ENCONTRADO")),"NO ENCONTRADO")),"NO ENCONTRADO"))</f>
        <v/>
      </c>
      <c r="E682" s="74">
        <f t="array" ref="E682">IF(OR($D682="",$D682="NO ENCONTRADO"),"",_xlfn.XLOOKUP($D682,Productos!$E:$E,Productos!$H:$H,""))</f>
        <v/>
      </c>
      <c r="F682" s="74">
        <f t="array" ref="F682">IF(OR($D682="",$D682="NO ENCONTRADO"),"",_xlfn.XLOOKUP($D682,Productos!$E:$E,Productos!$I:$I,""))</f>
        <v/>
      </c>
      <c r="G682" s="74">
        <f t="array" ref="G682">IF(OR($D682="",$D682="NO ENCONTRADO"),"",_xlfn.XLOOKUP($D682,Productos!$E:$E,Productos!$J:$J,""))</f>
        <v/>
      </c>
      <c r="H682" s="74">
        <f t="array" ref="H682">IF(OR($D682="",$D682="NO ENCONTRADO"),"",_xlfn.XLOOKUP($D682,Productos!$E:$E,Productos!$K:$K,""))</f>
        <v/>
      </c>
      <c r="I682" s="74">
        <f t="array" ref="I682">IF(OR($D682="",$D682="NO ENCONTRADO"),"",_xlfn.XLOOKUP($D682,Productos!$E:$E,Productos!$F:$F,""))</f>
        <v/>
      </c>
      <c r="J682" s="74">
        <f>IF($C682="","",IF($D682="NO ENCONTRADO",IF(COUNTIF($C$7:$C$1000,$C682)&gt;1,"⚠️ No encontrado | Duplicado","⚠️ No encontrado"),IF(COUNTIF($C$7:$C$1000,$C682)&gt;1,"⚠️ Duplicado","Verificado")))</f>
        <v/>
      </c>
    </row>
    <row r="683" ht="15.75" customHeight="1" s="176">
      <c r="B683" s="80" t="n"/>
      <c r="C683" s="74" t="n"/>
      <c r="D683" s="74">
        <f t="array" ref="D683">IF($C683="","",IFNA(_xlfn.XLOOKUP($C683,Productos!$A:$A,Productos!$E:$E,IFNA(_xlfn.XLOOKUP(TEXT($C683,"0"),Productos!$A:$A,Productos!$E:$E,IFNA(_xlfn.XLOOKUP(IFERROR(VALUE($C683),""),Productos!$A:$A,Productos!$E:$E,_xlfn.XLOOKUP($C683,Productos!$E:$E,Productos!$E:$E,"NO ENCONTRADO")),"NO ENCONTRADO")),"NO ENCONTRADO")),"NO ENCONTRADO"))</f>
        <v/>
      </c>
      <c r="E683" s="74">
        <f t="array" ref="E683">IF(OR($D683="",$D683="NO ENCONTRADO"),"",_xlfn.XLOOKUP($D683,Productos!$E:$E,Productos!$H:$H,""))</f>
        <v/>
      </c>
      <c r="F683" s="74">
        <f t="array" ref="F683">IF(OR($D683="",$D683="NO ENCONTRADO"),"",_xlfn.XLOOKUP($D683,Productos!$E:$E,Productos!$I:$I,""))</f>
        <v/>
      </c>
      <c r="G683" s="74">
        <f t="array" ref="G683">IF(OR($D683="",$D683="NO ENCONTRADO"),"",_xlfn.XLOOKUP($D683,Productos!$E:$E,Productos!$J:$J,""))</f>
        <v/>
      </c>
      <c r="H683" s="74">
        <f t="array" ref="H683">IF(OR($D683="",$D683="NO ENCONTRADO"),"",_xlfn.XLOOKUP($D683,Productos!$E:$E,Productos!$K:$K,""))</f>
        <v/>
      </c>
      <c r="I683" s="74">
        <f t="array" ref="I683">IF(OR($D683="",$D683="NO ENCONTRADO"),"",_xlfn.XLOOKUP($D683,Productos!$E:$E,Productos!$F:$F,""))</f>
        <v/>
      </c>
      <c r="J683" s="74">
        <f>IF($C683="","",IF($D683="NO ENCONTRADO",IF(COUNTIF($C$7:$C$1000,$C683)&gt;1,"⚠️ No encontrado | Duplicado","⚠️ No encontrado"),IF(COUNTIF($C$7:$C$1000,$C683)&gt;1,"⚠️ Duplicado","Verificado")))</f>
        <v/>
      </c>
    </row>
    <row r="684" ht="15.75" customHeight="1" s="176">
      <c r="B684" s="80" t="n"/>
      <c r="C684" s="74" t="n"/>
      <c r="D684" s="74">
        <f t="array" ref="D684">IF($C684="","",IFNA(_xlfn.XLOOKUP($C684,Productos!$A:$A,Productos!$E:$E,IFNA(_xlfn.XLOOKUP(TEXT($C684,"0"),Productos!$A:$A,Productos!$E:$E,IFNA(_xlfn.XLOOKUP(IFERROR(VALUE($C684),""),Productos!$A:$A,Productos!$E:$E,_xlfn.XLOOKUP($C684,Productos!$E:$E,Productos!$E:$E,"NO ENCONTRADO")),"NO ENCONTRADO")),"NO ENCONTRADO")),"NO ENCONTRADO"))</f>
        <v/>
      </c>
      <c r="E684" s="74">
        <f t="array" ref="E684">IF(OR($D684="",$D684="NO ENCONTRADO"),"",_xlfn.XLOOKUP($D684,Productos!$E:$E,Productos!$H:$H,""))</f>
        <v/>
      </c>
      <c r="F684" s="74">
        <f t="array" ref="F684">IF(OR($D684="",$D684="NO ENCONTRADO"),"",_xlfn.XLOOKUP($D684,Productos!$E:$E,Productos!$I:$I,""))</f>
        <v/>
      </c>
      <c r="G684" s="74">
        <f t="array" ref="G684">IF(OR($D684="",$D684="NO ENCONTRADO"),"",_xlfn.XLOOKUP($D684,Productos!$E:$E,Productos!$J:$J,""))</f>
        <v/>
      </c>
      <c r="H684" s="74">
        <f t="array" ref="H684">IF(OR($D684="",$D684="NO ENCONTRADO"),"",_xlfn.XLOOKUP($D684,Productos!$E:$E,Productos!$K:$K,""))</f>
        <v/>
      </c>
      <c r="I684" s="74">
        <f t="array" ref="I684">IF(OR($D684="",$D684="NO ENCONTRADO"),"",_xlfn.XLOOKUP($D684,Productos!$E:$E,Productos!$F:$F,""))</f>
        <v/>
      </c>
      <c r="J684" s="74">
        <f>IF($C684="","",IF($D684="NO ENCONTRADO",IF(COUNTIF($C$7:$C$1000,$C684)&gt;1,"⚠️ No encontrado | Duplicado","⚠️ No encontrado"),IF(COUNTIF($C$7:$C$1000,$C684)&gt;1,"⚠️ Duplicado","Verificado")))</f>
        <v/>
      </c>
    </row>
    <row r="685" ht="15.75" customHeight="1" s="176">
      <c r="B685" s="80" t="n"/>
      <c r="C685" s="74" t="n"/>
      <c r="D685" s="74">
        <f t="array" ref="D685">IF($C685="","",IFNA(_xlfn.XLOOKUP($C685,Productos!$A:$A,Productos!$E:$E,IFNA(_xlfn.XLOOKUP(TEXT($C685,"0"),Productos!$A:$A,Productos!$E:$E,IFNA(_xlfn.XLOOKUP(IFERROR(VALUE($C685),""),Productos!$A:$A,Productos!$E:$E,_xlfn.XLOOKUP($C685,Productos!$E:$E,Productos!$E:$E,"NO ENCONTRADO")),"NO ENCONTRADO")),"NO ENCONTRADO")),"NO ENCONTRADO"))</f>
        <v/>
      </c>
      <c r="E685" s="74">
        <f t="array" ref="E685">IF(OR($D685="",$D685="NO ENCONTRADO"),"",_xlfn.XLOOKUP($D685,Productos!$E:$E,Productos!$H:$H,""))</f>
        <v/>
      </c>
      <c r="F685" s="74">
        <f t="array" ref="F685">IF(OR($D685="",$D685="NO ENCONTRADO"),"",_xlfn.XLOOKUP($D685,Productos!$E:$E,Productos!$I:$I,""))</f>
        <v/>
      </c>
      <c r="G685" s="74">
        <f t="array" ref="G685">IF(OR($D685="",$D685="NO ENCONTRADO"),"",_xlfn.XLOOKUP($D685,Productos!$E:$E,Productos!$J:$J,""))</f>
        <v/>
      </c>
      <c r="H685" s="74">
        <f t="array" ref="H685">IF(OR($D685="",$D685="NO ENCONTRADO"),"",_xlfn.XLOOKUP($D685,Productos!$E:$E,Productos!$K:$K,""))</f>
        <v/>
      </c>
      <c r="I685" s="74">
        <f t="array" ref="I685">IF(OR($D685="",$D685="NO ENCONTRADO"),"",_xlfn.XLOOKUP($D685,Productos!$E:$E,Productos!$F:$F,""))</f>
        <v/>
      </c>
      <c r="J685" s="74">
        <f>IF($C685="","",IF($D685="NO ENCONTRADO",IF(COUNTIF($C$7:$C$1000,$C685)&gt;1,"⚠️ No encontrado | Duplicado","⚠️ No encontrado"),IF(COUNTIF($C$7:$C$1000,$C685)&gt;1,"⚠️ Duplicado","Verificado")))</f>
        <v/>
      </c>
    </row>
    <row r="686" ht="15.75" customHeight="1" s="176">
      <c r="B686" s="80" t="n"/>
      <c r="C686" s="74" t="n"/>
      <c r="D686" s="74">
        <f t="array" ref="D686">IF($C686="","",IFNA(_xlfn.XLOOKUP($C686,Productos!$A:$A,Productos!$E:$E,IFNA(_xlfn.XLOOKUP(TEXT($C686,"0"),Productos!$A:$A,Productos!$E:$E,IFNA(_xlfn.XLOOKUP(IFERROR(VALUE($C686),""),Productos!$A:$A,Productos!$E:$E,_xlfn.XLOOKUP($C686,Productos!$E:$E,Productos!$E:$E,"NO ENCONTRADO")),"NO ENCONTRADO")),"NO ENCONTRADO")),"NO ENCONTRADO"))</f>
        <v/>
      </c>
      <c r="E686" s="74">
        <f t="array" ref="E686">IF(OR($D686="",$D686="NO ENCONTRADO"),"",_xlfn.XLOOKUP($D686,Productos!$E:$E,Productos!$H:$H,""))</f>
        <v/>
      </c>
      <c r="F686" s="74">
        <f t="array" ref="F686">IF(OR($D686="",$D686="NO ENCONTRADO"),"",_xlfn.XLOOKUP($D686,Productos!$E:$E,Productos!$I:$I,""))</f>
        <v/>
      </c>
      <c r="G686" s="74">
        <f t="array" ref="G686">IF(OR($D686="",$D686="NO ENCONTRADO"),"",_xlfn.XLOOKUP($D686,Productos!$E:$E,Productos!$J:$J,""))</f>
        <v/>
      </c>
      <c r="H686" s="74">
        <f t="array" ref="H686">IF(OR($D686="",$D686="NO ENCONTRADO"),"",_xlfn.XLOOKUP($D686,Productos!$E:$E,Productos!$K:$K,""))</f>
        <v/>
      </c>
      <c r="I686" s="74">
        <f t="array" ref="I686">IF(OR($D686="",$D686="NO ENCONTRADO"),"",_xlfn.XLOOKUP($D686,Productos!$E:$E,Productos!$F:$F,""))</f>
        <v/>
      </c>
      <c r="J686" s="74">
        <f>IF($C686="","",IF($D686="NO ENCONTRADO",IF(COUNTIF($C$7:$C$1000,$C686)&gt;1,"⚠️ No encontrado | Duplicado","⚠️ No encontrado"),IF(COUNTIF($C$7:$C$1000,$C686)&gt;1,"⚠️ Duplicado","Verificado")))</f>
        <v/>
      </c>
    </row>
    <row r="687" ht="15.75" customHeight="1" s="176">
      <c r="B687" s="80" t="n"/>
      <c r="C687" s="74" t="n"/>
      <c r="D687" s="74">
        <f t="array" ref="D687">IF($C687="","",IFNA(_xlfn.XLOOKUP($C687,Productos!$A:$A,Productos!$E:$E,IFNA(_xlfn.XLOOKUP(TEXT($C687,"0"),Productos!$A:$A,Productos!$E:$E,IFNA(_xlfn.XLOOKUP(IFERROR(VALUE($C687),""),Productos!$A:$A,Productos!$E:$E,_xlfn.XLOOKUP($C687,Productos!$E:$E,Productos!$E:$E,"NO ENCONTRADO")),"NO ENCONTRADO")),"NO ENCONTRADO")),"NO ENCONTRADO"))</f>
        <v/>
      </c>
      <c r="E687" s="74">
        <f t="array" ref="E687">IF(OR($D687="",$D687="NO ENCONTRADO"),"",_xlfn.XLOOKUP($D687,Productos!$E:$E,Productos!$H:$H,""))</f>
        <v/>
      </c>
      <c r="F687" s="74">
        <f t="array" ref="F687">IF(OR($D687="",$D687="NO ENCONTRADO"),"",_xlfn.XLOOKUP($D687,Productos!$E:$E,Productos!$I:$I,""))</f>
        <v/>
      </c>
      <c r="G687" s="74">
        <f t="array" ref="G687">IF(OR($D687="",$D687="NO ENCONTRADO"),"",_xlfn.XLOOKUP($D687,Productos!$E:$E,Productos!$J:$J,""))</f>
        <v/>
      </c>
      <c r="H687" s="74">
        <f t="array" ref="H687">IF(OR($D687="",$D687="NO ENCONTRADO"),"",_xlfn.XLOOKUP($D687,Productos!$E:$E,Productos!$K:$K,""))</f>
        <v/>
      </c>
      <c r="I687" s="74">
        <f t="array" ref="I687">IF(OR($D687="",$D687="NO ENCONTRADO"),"",_xlfn.XLOOKUP($D687,Productos!$E:$E,Productos!$F:$F,""))</f>
        <v/>
      </c>
      <c r="J687" s="74">
        <f>IF($C687="","",IF($D687="NO ENCONTRADO",IF(COUNTIF($C$7:$C$1000,$C687)&gt;1,"⚠️ No encontrado | Duplicado","⚠️ No encontrado"),IF(COUNTIF($C$7:$C$1000,$C687)&gt;1,"⚠️ Duplicado","Verificado")))</f>
        <v/>
      </c>
    </row>
    <row r="688" ht="15.75" customHeight="1" s="176">
      <c r="B688" s="80" t="n"/>
      <c r="C688" s="74" t="n"/>
      <c r="D688" s="74">
        <f t="array" ref="D688">IF($C688="","",IFNA(_xlfn.XLOOKUP($C688,Productos!$A:$A,Productos!$E:$E,IFNA(_xlfn.XLOOKUP(TEXT($C688,"0"),Productos!$A:$A,Productos!$E:$E,IFNA(_xlfn.XLOOKUP(IFERROR(VALUE($C688),""),Productos!$A:$A,Productos!$E:$E,_xlfn.XLOOKUP($C688,Productos!$E:$E,Productos!$E:$E,"NO ENCONTRADO")),"NO ENCONTRADO")),"NO ENCONTRADO")),"NO ENCONTRADO"))</f>
        <v/>
      </c>
      <c r="E688" s="74">
        <f t="array" ref="E688">IF(OR($D688="",$D688="NO ENCONTRADO"),"",_xlfn.XLOOKUP($D688,Productos!$E:$E,Productos!$H:$H,""))</f>
        <v/>
      </c>
      <c r="F688" s="74">
        <f t="array" ref="F688">IF(OR($D688="",$D688="NO ENCONTRADO"),"",_xlfn.XLOOKUP($D688,Productos!$E:$E,Productos!$I:$I,""))</f>
        <v/>
      </c>
      <c r="G688" s="74">
        <f t="array" ref="G688">IF(OR($D688="",$D688="NO ENCONTRADO"),"",_xlfn.XLOOKUP($D688,Productos!$E:$E,Productos!$J:$J,""))</f>
        <v/>
      </c>
      <c r="H688" s="74">
        <f t="array" ref="H688">IF(OR($D688="",$D688="NO ENCONTRADO"),"",_xlfn.XLOOKUP($D688,Productos!$E:$E,Productos!$K:$K,""))</f>
        <v/>
      </c>
      <c r="I688" s="74">
        <f t="array" ref="I688">IF(OR($D688="",$D688="NO ENCONTRADO"),"",_xlfn.XLOOKUP($D688,Productos!$E:$E,Productos!$F:$F,""))</f>
        <v/>
      </c>
      <c r="J688" s="74">
        <f>IF($C688="","",IF($D688="NO ENCONTRADO",IF(COUNTIF($C$7:$C$1000,$C688)&gt;1,"⚠️ No encontrado | Duplicado","⚠️ No encontrado"),IF(COUNTIF($C$7:$C$1000,$C688)&gt;1,"⚠️ Duplicado","Verificado")))</f>
        <v/>
      </c>
    </row>
    <row r="689" ht="15.75" customHeight="1" s="176">
      <c r="B689" s="80" t="n"/>
      <c r="C689" s="74" t="n"/>
      <c r="D689" s="74">
        <f t="array" ref="D689">IF($C689="","",IFNA(_xlfn.XLOOKUP($C689,Productos!$A:$A,Productos!$E:$E,IFNA(_xlfn.XLOOKUP(TEXT($C689,"0"),Productos!$A:$A,Productos!$E:$E,IFNA(_xlfn.XLOOKUP(IFERROR(VALUE($C689),""),Productos!$A:$A,Productos!$E:$E,_xlfn.XLOOKUP($C689,Productos!$E:$E,Productos!$E:$E,"NO ENCONTRADO")),"NO ENCONTRADO")),"NO ENCONTRADO")),"NO ENCONTRADO"))</f>
        <v/>
      </c>
      <c r="E689" s="74">
        <f t="array" ref="E689">IF(OR($D689="",$D689="NO ENCONTRADO"),"",_xlfn.XLOOKUP($D689,Productos!$E:$E,Productos!$H:$H,""))</f>
        <v/>
      </c>
      <c r="F689" s="74">
        <f t="array" ref="F689">IF(OR($D689="",$D689="NO ENCONTRADO"),"",_xlfn.XLOOKUP($D689,Productos!$E:$E,Productos!$I:$I,""))</f>
        <v/>
      </c>
      <c r="G689" s="74">
        <f t="array" ref="G689">IF(OR($D689="",$D689="NO ENCONTRADO"),"",_xlfn.XLOOKUP($D689,Productos!$E:$E,Productos!$J:$J,""))</f>
        <v/>
      </c>
      <c r="H689" s="74">
        <f t="array" ref="H689">IF(OR($D689="",$D689="NO ENCONTRADO"),"",_xlfn.XLOOKUP($D689,Productos!$E:$E,Productos!$K:$K,""))</f>
        <v/>
      </c>
      <c r="I689" s="74">
        <f t="array" ref="I689">IF(OR($D689="",$D689="NO ENCONTRADO"),"",_xlfn.XLOOKUP($D689,Productos!$E:$E,Productos!$F:$F,""))</f>
        <v/>
      </c>
      <c r="J689" s="74">
        <f>IF($C689="","",IF($D689="NO ENCONTRADO",IF(COUNTIF($C$7:$C$1000,$C689)&gt;1,"⚠️ No encontrado | Duplicado","⚠️ No encontrado"),IF(COUNTIF($C$7:$C$1000,$C689)&gt;1,"⚠️ Duplicado","Verificado")))</f>
        <v/>
      </c>
    </row>
    <row r="690" ht="15.75" customHeight="1" s="176">
      <c r="B690" s="80" t="n"/>
      <c r="C690" s="74" t="n"/>
      <c r="D690" s="74">
        <f t="array" ref="D690">IF($C690="","",IFNA(_xlfn.XLOOKUP($C690,Productos!$A:$A,Productos!$E:$E,IFNA(_xlfn.XLOOKUP(TEXT($C690,"0"),Productos!$A:$A,Productos!$E:$E,IFNA(_xlfn.XLOOKUP(IFERROR(VALUE($C690),""),Productos!$A:$A,Productos!$E:$E,_xlfn.XLOOKUP($C690,Productos!$E:$E,Productos!$E:$E,"NO ENCONTRADO")),"NO ENCONTRADO")),"NO ENCONTRADO")),"NO ENCONTRADO"))</f>
        <v/>
      </c>
      <c r="E690" s="74">
        <f t="array" ref="E690">IF(OR($D690="",$D690="NO ENCONTRADO"),"",_xlfn.XLOOKUP($D690,Productos!$E:$E,Productos!$H:$H,""))</f>
        <v/>
      </c>
      <c r="F690" s="74">
        <f t="array" ref="F690">IF(OR($D690="",$D690="NO ENCONTRADO"),"",_xlfn.XLOOKUP($D690,Productos!$E:$E,Productos!$I:$I,""))</f>
        <v/>
      </c>
      <c r="G690" s="74">
        <f t="array" ref="G690">IF(OR($D690="",$D690="NO ENCONTRADO"),"",_xlfn.XLOOKUP($D690,Productos!$E:$E,Productos!$J:$J,""))</f>
        <v/>
      </c>
      <c r="H690" s="74">
        <f t="array" ref="H690">IF(OR($D690="",$D690="NO ENCONTRADO"),"",_xlfn.XLOOKUP($D690,Productos!$E:$E,Productos!$K:$K,""))</f>
        <v/>
      </c>
      <c r="I690" s="74">
        <f t="array" ref="I690">IF(OR($D690="",$D690="NO ENCONTRADO"),"",_xlfn.XLOOKUP($D690,Productos!$E:$E,Productos!$F:$F,""))</f>
        <v/>
      </c>
      <c r="J690" s="74">
        <f>IF($C690="","",IF($D690="NO ENCONTRADO",IF(COUNTIF($C$7:$C$1000,$C690)&gt;1,"⚠️ No encontrado | Duplicado","⚠️ No encontrado"),IF(COUNTIF($C$7:$C$1000,$C690)&gt;1,"⚠️ Duplicado","Verificado")))</f>
        <v/>
      </c>
    </row>
    <row r="691" ht="15.75" customHeight="1" s="176">
      <c r="B691" s="80" t="n"/>
      <c r="C691" s="74" t="n"/>
      <c r="D691" s="74">
        <f t="array" ref="D691">IF($C691="","",IFNA(_xlfn.XLOOKUP($C691,Productos!$A:$A,Productos!$E:$E,IFNA(_xlfn.XLOOKUP(TEXT($C691,"0"),Productos!$A:$A,Productos!$E:$E,IFNA(_xlfn.XLOOKUP(IFERROR(VALUE($C691),""),Productos!$A:$A,Productos!$E:$E,_xlfn.XLOOKUP($C691,Productos!$E:$E,Productos!$E:$E,"NO ENCONTRADO")),"NO ENCONTRADO")),"NO ENCONTRADO")),"NO ENCONTRADO"))</f>
        <v/>
      </c>
      <c r="E691" s="74">
        <f t="array" ref="E691">IF(OR($D691="",$D691="NO ENCONTRADO"),"",_xlfn.XLOOKUP($D691,Productos!$E:$E,Productos!$H:$H,""))</f>
        <v/>
      </c>
      <c r="F691" s="74">
        <f t="array" ref="F691">IF(OR($D691="",$D691="NO ENCONTRADO"),"",_xlfn.XLOOKUP($D691,Productos!$E:$E,Productos!$I:$I,""))</f>
        <v/>
      </c>
      <c r="G691" s="74">
        <f t="array" ref="G691">IF(OR($D691="",$D691="NO ENCONTRADO"),"",_xlfn.XLOOKUP($D691,Productos!$E:$E,Productos!$J:$J,""))</f>
        <v/>
      </c>
      <c r="H691" s="74">
        <f t="array" ref="H691">IF(OR($D691="",$D691="NO ENCONTRADO"),"",_xlfn.XLOOKUP($D691,Productos!$E:$E,Productos!$K:$K,""))</f>
        <v/>
      </c>
      <c r="I691" s="74">
        <f t="array" ref="I691">IF(OR($D691="",$D691="NO ENCONTRADO"),"",_xlfn.XLOOKUP($D691,Productos!$E:$E,Productos!$F:$F,""))</f>
        <v/>
      </c>
      <c r="J691" s="74">
        <f>IF($C691="","",IF($D691="NO ENCONTRADO",IF(COUNTIF($C$7:$C$1000,$C691)&gt;1,"⚠️ No encontrado | Duplicado","⚠️ No encontrado"),IF(COUNTIF($C$7:$C$1000,$C691)&gt;1,"⚠️ Duplicado","Verificado")))</f>
        <v/>
      </c>
    </row>
    <row r="692" ht="15.75" customHeight="1" s="176">
      <c r="B692" s="80" t="n"/>
      <c r="C692" s="74" t="n"/>
      <c r="D692" s="74">
        <f t="array" ref="D692">IF($C692="","",IFNA(_xlfn.XLOOKUP($C692,Productos!$A:$A,Productos!$E:$E,IFNA(_xlfn.XLOOKUP(TEXT($C692,"0"),Productos!$A:$A,Productos!$E:$E,IFNA(_xlfn.XLOOKUP(IFERROR(VALUE($C692),""),Productos!$A:$A,Productos!$E:$E,_xlfn.XLOOKUP($C692,Productos!$E:$E,Productos!$E:$E,"NO ENCONTRADO")),"NO ENCONTRADO")),"NO ENCONTRADO")),"NO ENCONTRADO"))</f>
        <v/>
      </c>
      <c r="E692" s="74">
        <f t="array" ref="E692">IF(OR($D692="",$D692="NO ENCONTRADO"),"",_xlfn.XLOOKUP($D692,Productos!$E:$E,Productos!$H:$H,""))</f>
        <v/>
      </c>
      <c r="F692" s="74">
        <f t="array" ref="F692">IF(OR($D692="",$D692="NO ENCONTRADO"),"",_xlfn.XLOOKUP($D692,Productos!$E:$E,Productos!$I:$I,""))</f>
        <v/>
      </c>
      <c r="G692" s="74">
        <f t="array" ref="G692">IF(OR($D692="",$D692="NO ENCONTRADO"),"",_xlfn.XLOOKUP($D692,Productos!$E:$E,Productos!$J:$J,""))</f>
        <v/>
      </c>
      <c r="H692" s="74">
        <f t="array" ref="H692">IF(OR($D692="",$D692="NO ENCONTRADO"),"",_xlfn.XLOOKUP($D692,Productos!$E:$E,Productos!$K:$K,""))</f>
        <v/>
      </c>
      <c r="I692" s="74">
        <f t="array" ref="I692">IF(OR($D692="",$D692="NO ENCONTRADO"),"",_xlfn.XLOOKUP($D692,Productos!$E:$E,Productos!$F:$F,""))</f>
        <v/>
      </c>
      <c r="J692" s="74">
        <f>IF($C692="","",IF($D692="NO ENCONTRADO",IF(COUNTIF($C$7:$C$1000,$C692)&gt;1,"⚠️ No encontrado | Duplicado","⚠️ No encontrado"),IF(COUNTIF($C$7:$C$1000,$C692)&gt;1,"⚠️ Duplicado","Verificado")))</f>
        <v/>
      </c>
    </row>
    <row r="693" ht="15.75" customHeight="1" s="176">
      <c r="B693" s="80" t="n"/>
      <c r="C693" s="74" t="n"/>
      <c r="D693" s="74">
        <f t="array" ref="D693">IF($C693="","",IFNA(_xlfn.XLOOKUP($C693,Productos!$A:$A,Productos!$E:$E,IFNA(_xlfn.XLOOKUP(TEXT($C693,"0"),Productos!$A:$A,Productos!$E:$E,IFNA(_xlfn.XLOOKUP(IFERROR(VALUE($C693),""),Productos!$A:$A,Productos!$E:$E,_xlfn.XLOOKUP($C693,Productos!$E:$E,Productos!$E:$E,"NO ENCONTRADO")),"NO ENCONTRADO")),"NO ENCONTRADO")),"NO ENCONTRADO"))</f>
        <v/>
      </c>
      <c r="E693" s="74">
        <f t="array" ref="E693">IF(OR($D693="",$D693="NO ENCONTRADO"),"",_xlfn.XLOOKUP($D693,Productos!$E:$E,Productos!$H:$H,""))</f>
        <v/>
      </c>
      <c r="F693" s="74">
        <f t="array" ref="F693">IF(OR($D693="",$D693="NO ENCONTRADO"),"",_xlfn.XLOOKUP($D693,Productos!$E:$E,Productos!$I:$I,""))</f>
        <v/>
      </c>
      <c r="G693" s="74">
        <f t="array" ref="G693">IF(OR($D693="",$D693="NO ENCONTRADO"),"",_xlfn.XLOOKUP($D693,Productos!$E:$E,Productos!$J:$J,""))</f>
        <v/>
      </c>
      <c r="H693" s="74">
        <f t="array" ref="H693">IF(OR($D693="",$D693="NO ENCONTRADO"),"",_xlfn.XLOOKUP($D693,Productos!$E:$E,Productos!$K:$K,""))</f>
        <v/>
      </c>
      <c r="I693" s="74">
        <f t="array" ref="I693">IF(OR($D693="",$D693="NO ENCONTRADO"),"",_xlfn.XLOOKUP($D693,Productos!$E:$E,Productos!$F:$F,""))</f>
        <v/>
      </c>
      <c r="J693" s="74">
        <f>IF($C693="","",IF($D693="NO ENCONTRADO",IF(COUNTIF($C$7:$C$1000,$C693)&gt;1,"⚠️ No encontrado | Duplicado","⚠️ No encontrado"),IF(COUNTIF($C$7:$C$1000,$C693)&gt;1,"⚠️ Duplicado","Verificado")))</f>
        <v/>
      </c>
    </row>
    <row r="694" ht="15.75" customHeight="1" s="176">
      <c r="B694" s="80" t="n"/>
      <c r="C694" s="74" t="n"/>
      <c r="D694" s="74">
        <f t="array" ref="D694">IF($C694="","",IFNA(_xlfn.XLOOKUP($C694,Productos!$A:$A,Productos!$E:$E,IFNA(_xlfn.XLOOKUP(TEXT($C694,"0"),Productos!$A:$A,Productos!$E:$E,IFNA(_xlfn.XLOOKUP(IFERROR(VALUE($C694),""),Productos!$A:$A,Productos!$E:$E,_xlfn.XLOOKUP($C694,Productos!$E:$E,Productos!$E:$E,"NO ENCONTRADO")),"NO ENCONTRADO")),"NO ENCONTRADO")),"NO ENCONTRADO"))</f>
        <v/>
      </c>
      <c r="E694" s="74">
        <f t="array" ref="E694">IF(OR($D694="",$D694="NO ENCONTRADO"),"",_xlfn.XLOOKUP($D694,Productos!$E:$E,Productos!$H:$H,""))</f>
        <v/>
      </c>
      <c r="F694" s="74">
        <f t="array" ref="F694">IF(OR($D694="",$D694="NO ENCONTRADO"),"",_xlfn.XLOOKUP($D694,Productos!$E:$E,Productos!$I:$I,""))</f>
        <v/>
      </c>
      <c r="G694" s="74">
        <f t="array" ref="G694">IF(OR($D694="",$D694="NO ENCONTRADO"),"",_xlfn.XLOOKUP($D694,Productos!$E:$E,Productos!$J:$J,""))</f>
        <v/>
      </c>
      <c r="H694" s="74">
        <f t="array" ref="H694">IF(OR($D694="",$D694="NO ENCONTRADO"),"",_xlfn.XLOOKUP($D694,Productos!$E:$E,Productos!$K:$K,""))</f>
        <v/>
      </c>
      <c r="I694" s="74">
        <f t="array" ref="I694">IF(OR($D694="",$D694="NO ENCONTRADO"),"",_xlfn.XLOOKUP($D694,Productos!$E:$E,Productos!$F:$F,""))</f>
        <v/>
      </c>
      <c r="J694" s="74">
        <f>IF($C694="","",IF($D694="NO ENCONTRADO",IF(COUNTIF($C$7:$C$1000,$C694)&gt;1,"⚠️ No encontrado | Duplicado","⚠️ No encontrado"),IF(COUNTIF($C$7:$C$1000,$C694)&gt;1,"⚠️ Duplicado","Verificado")))</f>
        <v/>
      </c>
    </row>
    <row r="695" ht="15.75" customHeight="1" s="176">
      <c r="B695" s="80" t="n"/>
      <c r="C695" s="74" t="n"/>
      <c r="D695" s="74">
        <f t="array" ref="D695">IF($C695="","",IFNA(_xlfn.XLOOKUP($C695,Productos!$A:$A,Productos!$E:$E,IFNA(_xlfn.XLOOKUP(TEXT($C695,"0"),Productos!$A:$A,Productos!$E:$E,IFNA(_xlfn.XLOOKUP(IFERROR(VALUE($C695),""),Productos!$A:$A,Productos!$E:$E,_xlfn.XLOOKUP($C695,Productos!$E:$E,Productos!$E:$E,"NO ENCONTRADO")),"NO ENCONTRADO")),"NO ENCONTRADO")),"NO ENCONTRADO"))</f>
        <v/>
      </c>
      <c r="E695" s="74">
        <f t="array" ref="E695">IF(OR($D695="",$D695="NO ENCONTRADO"),"",_xlfn.XLOOKUP($D695,Productos!$E:$E,Productos!$H:$H,""))</f>
        <v/>
      </c>
      <c r="F695" s="74">
        <f t="array" ref="F695">IF(OR($D695="",$D695="NO ENCONTRADO"),"",_xlfn.XLOOKUP($D695,Productos!$E:$E,Productos!$I:$I,""))</f>
        <v/>
      </c>
      <c r="G695" s="74">
        <f t="array" ref="G695">IF(OR($D695="",$D695="NO ENCONTRADO"),"",_xlfn.XLOOKUP($D695,Productos!$E:$E,Productos!$J:$J,""))</f>
        <v/>
      </c>
      <c r="H695" s="74">
        <f t="array" ref="H695">IF(OR($D695="",$D695="NO ENCONTRADO"),"",_xlfn.XLOOKUP($D695,Productos!$E:$E,Productos!$K:$K,""))</f>
        <v/>
      </c>
      <c r="I695" s="74">
        <f t="array" ref="I695">IF(OR($D695="",$D695="NO ENCONTRADO"),"",_xlfn.XLOOKUP($D695,Productos!$E:$E,Productos!$F:$F,""))</f>
        <v/>
      </c>
      <c r="J695" s="74">
        <f>IF($C695="","",IF($D695="NO ENCONTRADO",IF(COUNTIF($C$7:$C$1000,$C695)&gt;1,"⚠️ No encontrado | Duplicado","⚠️ No encontrado"),IF(COUNTIF($C$7:$C$1000,$C695)&gt;1,"⚠️ Duplicado","Verificado")))</f>
        <v/>
      </c>
    </row>
    <row r="696" ht="15.75" customHeight="1" s="176">
      <c r="B696" s="80" t="n"/>
      <c r="C696" s="74" t="n"/>
      <c r="D696" s="74">
        <f t="array" ref="D696">IF($C696="","",IFNA(_xlfn.XLOOKUP($C696,Productos!$A:$A,Productos!$E:$E,IFNA(_xlfn.XLOOKUP(TEXT($C696,"0"),Productos!$A:$A,Productos!$E:$E,IFNA(_xlfn.XLOOKUP(IFERROR(VALUE($C696),""),Productos!$A:$A,Productos!$E:$E,_xlfn.XLOOKUP($C696,Productos!$E:$E,Productos!$E:$E,"NO ENCONTRADO")),"NO ENCONTRADO")),"NO ENCONTRADO")),"NO ENCONTRADO"))</f>
        <v/>
      </c>
      <c r="E696" s="74">
        <f t="array" ref="E696">IF(OR($D696="",$D696="NO ENCONTRADO"),"",_xlfn.XLOOKUP($D696,Productos!$E:$E,Productos!$H:$H,""))</f>
        <v/>
      </c>
      <c r="F696" s="74">
        <f t="array" ref="F696">IF(OR($D696="",$D696="NO ENCONTRADO"),"",_xlfn.XLOOKUP($D696,Productos!$E:$E,Productos!$I:$I,""))</f>
        <v/>
      </c>
      <c r="G696" s="74">
        <f t="array" ref="G696">IF(OR($D696="",$D696="NO ENCONTRADO"),"",_xlfn.XLOOKUP($D696,Productos!$E:$E,Productos!$J:$J,""))</f>
        <v/>
      </c>
      <c r="H696" s="74">
        <f t="array" ref="H696">IF(OR($D696="",$D696="NO ENCONTRADO"),"",_xlfn.XLOOKUP($D696,Productos!$E:$E,Productos!$K:$K,""))</f>
        <v/>
      </c>
      <c r="I696" s="74">
        <f t="array" ref="I696">IF(OR($D696="",$D696="NO ENCONTRADO"),"",_xlfn.XLOOKUP($D696,Productos!$E:$E,Productos!$F:$F,""))</f>
        <v/>
      </c>
      <c r="J696" s="74">
        <f>IF($C696="","",IF($D696="NO ENCONTRADO",IF(COUNTIF($C$7:$C$1000,$C696)&gt;1,"⚠️ No encontrado | Duplicado","⚠️ No encontrado"),IF(COUNTIF($C$7:$C$1000,$C696)&gt;1,"⚠️ Duplicado","Verificado")))</f>
        <v/>
      </c>
    </row>
    <row r="697" ht="15.75" customHeight="1" s="176">
      <c r="B697" s="80" t="n"/>
      <c r="C697" s="74" t="n"/>
      <c r="D697" s="74">
        <f t="array" ref="D697">IF($C697="","",IFNA(_xlfn.XLOOKUP($C697,Productos!$A:$A,Productos!$E:$E,IFNA(_xlfn.XLOOKUP(TEXT($C697,"0"),Productos!$A:$A,Productos!$E:$E,IFNA(_xlfn.XLOOKUP(IFERROR(VALUE($C697),""),Productos!$A:$A,Productos!$E:$E,_xlfn.XLOOKUP($C697,Productos!$E:$E,Productos!$E:$E,"NO ENCONTRADO")),"NO ENCONTRADO")),"NO ENCONTRADO")),"NO ENCONTRADO"))</f>
        <v/>
      </c>
      <c r="E697" s="74">
        <f t="array" ref="E697">IF(OR($D697="",$D697="NO ENCONTRADO"),"",_xlfn.XLOOKUP($D697,Productos!$E:$E,Productos!$H:$H,""))</f>
        <v/>
      </c>
      <c r="F697" s="74">
        <f t="array" ref="F697">IF(OR($D697="",$D697="NO ENCONTRADO"),"",_xlfn.XLOOKUP($D697,Productos!$E:$E,Productos!$I:$I,""))</f>
        <v/>
      </c>
      <c r="G697" s="74">
        <f t="array" ref="G697">IF(OR($D697="",$D697="NO ENCONTRADO"),"",_xlfn.XLOOKUP($D697,Productos!$E:$E,Productos!$J:$J,""))</f>
        <v/>
      </c>
      <c r="H697" s="74">
        <f t="array" ref="H697">IF(OR($D697="",$D697="NO ENCONTRADO"),"",_xlfn.XLOOKUP($D697,Productos!$E:$E,Productos!$K:$K,""))</f>
        <v/>
      </c>
      <c r="I697" s="74">
        <f t="array" ref="I697">IF(OR($D697="",$D697="NO ENCONTRADO"),"",_xlfn.XLOOKUP($D697,Productos!$E:$E,Productos!$F:$F,""))</f>
        <v/>
      </c>
      <c r="J697" s="74">
        <f>IF($C697="","",IF($D697="NO ENCONTRADO",IF(COUNTIF($C$7:$C$1000,$C697)&gt;1,"⚠️ No encontrado | Duplicado","⚠️ No encontrado"),IF(COUNTIF($C$7:$C$1000,$C697)&gt;1,"⚠️ Duplicado","Verificado")))</f>
        <v/>
      </c>
    </row>
    <row r="698" ht="15.75" customHeight="1" s="176">
      <c r="B698" s="80" t="n"/>
      <c r="C698" s="74" t="n"/>
      <c r="D698" s="74">
        <f t="array" ref="D698">IF($C698="","",IFNA(_xlfn.XLOOKUP($C698,Productos!$A:$A,Productos!$E:$E,IFNA(_xlfn.XLOOKUP(TEXT($C698,"0"),Productos!$A:$A,Productos!$E:$E,IFNA(_xlfn.XLOOKUP(IFERROR(VALUE($C698),""),Productos!$A:$A,Productos!$E:$E,_xlfn.XLOOKUP($C698,Productos!$E:$E,Productos!$E:$E,"NO ENCONTRADO")),"NO ENCONTRADO")),"NO ENCONTRADO")),"NO ENCONTRADO"))</f>
        <v/>
      </c>
      <c r="E698" s="74">
        <f t="array" ref="E698">IF(OR($D698="",$D698="NO ENCONTRADO"),"",_xlfn.XLOOKUP($D698,Productos!$E:$E,Productos!$H:$H,""))</f>
        <v/>
      </c>
      <c r="F698" s="74">
        <f t="array" ref="F698">IF(OR($D698="",$D698="NO ENCONTRADO"),"",_xlfn.XLOOKUP($D698,Productos!$E:$E,Productos!$I:$I,""))</f>
        <v/>
      </c>
      <c r="G698" s="74">
        <f t="array" ref="G698">IF(OR($D698="",$D698="NO ENCONTRADO"),"",_xlfn.XLOOKUP($D698,Productos!$E:$E,Productos!$J:$J,""))</f>
        <v/>
      </c>
      <c r="H698" s="74">
        <f t="array" ref="H698">IF(OR($D698="",$D698="NO ENCONTRADO"),"",_xlfn.XLOOKUP($D698,Productos!$E:$E,Productos!$K:$K,""))</f>
        <v/>
      </c>
      <c r="I698" s="74">
        <f t="array" ref="I698">IF(OR($D698="",$D698="NO ENCONTRADO"),"",_xlfn.XLOOKUP($D698,Productos!$E:$E,Productos!$F:$F,""))</f>
        <v/>
      </c>
      <c r="J698" s="74">
        <f>IF($C698="","",IF($D698="NO ENCONTRADO",IF(COUNTIF($C$7:$C$1000,$C698)&gt;1,"⚠️ No encontrado | Duplicado","⚠️ No encontrado"),IF(COUNTIF($C$7:$C$1000,$C698)&gt;1,"⚠️ Duplicado","Verificado")))</f>
        <v/>
      </c>
    </row>
    <row r="699" ht="15.75" customHeight="1" s="176">
      <c r="B699" s="80" t="n"/>
      <c r="C699" s="74" t="n"/>
      <c r="D699" s="74">
        <f t="array" ref="D699">IF($C699="","",IFNA(_xlfn.XLOOKUP($C699,Productos!$A:$A,Productos!$E:$E,IFNA(_xlfn.XLOOKUP(TEXT($C699,"0"),Productos!$A:$A,Productos!$E:$E,IFNA(_xlfn.XLOOKUP(IFERROR(VALUE($C699),""),Productos!$A:$A,Productos!$E:$E,_xlfn.XLOOKUP($C699,Productos!$E:$E,Productos!$E:$E,"NO ENCONTRADO")),"NO ENCONTRADO")),"NO ENCONTRADO")),"NO ENCONTRADO"))</f>
        <v/>
      </c>
      <c r="E699" s="74">
        <f t="array" ref="E699">IF(OR($D699="",$D699="NO ENCONTRADO"),"",_xlfn.XLOOKUP($D699,Productos!$E:$E,Productos!$H:$H,""))</f>
        <v/>
      </c>
      <c r="F699" s="74">
        <f t="array" ref="F699">IF(OR($D699="",$D699="NO ENCONTRADO"),"",_xlfn.XLOOKUP($D699,Productos!$E:$E,Productos!$I:$I,""))</f>
        <v/>
      </c>
      <c r="G699" s="74">
        <f t="array" ref="G699">IF(OR($D699="",$D699="NO ENCONTRADO"),"",_xlfn.XLOOKUP($D699,Productos!$E:$E,Productos!$J:$J,""))</f>
        <v/>
      </c>
      <c r="H699" s="74">
        <f t="array" ref="H699">IF(OR($D699="",$D699="NO ENCONTRADO"),"",_xlfn.XLOOKUP($D699,Productos!$E:$E,Productos!$K:$K,""))</f>
        <v/>
      </c>
      <c r="I699" s="74">
        <f t="array" ref="I699">IF(OR($D699="",$D699="NO ENCONTRADO"),"",_xlfn.XLOOKUP($D699,Productos!$E:$E,Productos!$F:$F,""))</f>
        <v/>
      </c>
      <c r="J699" s="74">
        <f>IF($C699="","",IF($D699="NO ENCONTRADO",IF(COUNTIF($C$7:$C$1000,$C699)&gt;1,"⚠️ No encontrado | Duplicado","⚠️ No encontrado"),IF(COUNTIF($C$7:$C$1000,$C699)&gt;1,"⚠️ Duplicado","Verificado")))</f>
        <v/>
      </c>
    </row>
    <row r="700" ht="15.75" customHeight="1" s="176">
      <c r="B700" s="80" t="n"/>
      <c r="C700" s="74" t="n"/>
      <c r="D700" s="74">
        <f t="array" ref="D700">IF($C700="","",IFNA(_xlfn.XLOOKUP($C700,Productos!$A:$A,Productos!$E:$E,IFNA(_xlfn.XLOOKUP(TEXT($C700,"0"),Productos!$A:$A,Productos!$E:$E,IFNA(_xlfn.XLOOKUP(IFERROR(VALUE($C700),""),Productos!$A:$A,Productos!$E:$E,_xlfn.XLOOKUP($C700,Productos!$E:$E,Productos!$E:$E,"NO ENCONTRADO")),"NO ENCONTRADO")),"NO ENCONTRADO")),"NO ENCONTRADO"))</f>
        <v/>
      </c>
      <c r="E700" s="74">
        <f t="array" ref="E700">IF(OR($D700="",$D700="NO ENCONTRADO"),"",_xlfn.XLOOKUP($D700,Productos!$E:$E,Productos!$H:$H,""))</f>
        <v/>
      </c>
      <c r="F700" s="74">
        <f t="array" ref="F700">IF(OR($D700="",$D700="NO ENCONTRADO"),"",_xlfn.XLOOKUP($D700,Productos!$E:$E,Productos!$I:$I,""))</f>
        <v/>
      </c>
      <c r="G700" s="74">
        <f t="array" ref="G700">IF(OR($D700="",$D700="NO ENCONTRADO"),"",_xlfn.XLOOKUP($D700,Productos!$E:$E,Productos!$J:$J,""))</f>
        <v/>
      </c>
      <c r="H700" s="74">
        <f t="array" ref="H700">IF(OR($D700="",$D700="NO ENCONTRADO"),"",_xlfn.XLOOKUP($D700,Productos!$E:$E,Productos!$K:$K,""))</f>
        <v/>
      </c>
      <c r="I700" s="74">
        <f t="array" ref="I700">IF(OR($D700="",$D700="NO ENCONTRADO"),"",_xlfn.XLOOKUP($D700,Productos!$E:$E,Productos!$F:$F,""))</f>
        <v/>
      </c>
      <c r="J700" s="74">
        <f>IF($C700="","",IF($D700="NO ENCONTRADO",IF(COUNTIF($C$7:$C$1000,$C700)&gt;1,"⚠️ No encontrado | Duplicado","⚠️ No encontrado"),IF(COUNTIF($C$7:$C$1000,$C700)&gt;1,"⚠️ Duplicado","Verificado")))</f>
        <v/>
      </c>
    </row>
    <row r="701" ht="15.75" customHeight="1" s="176">
      <c r="B701" s="80" t="n"/>
      <c r="C701" s="74" t="n"/>
      <c r="D701" s="74">
        <f t="array" ref="D701">IF($C701="","",IFNA(_xlfn.XLOOKUP($C701,Productos!$A:$A,Productos!$E:$E,IFNA(_xlfn.XLOOKUP(TEXT($C701,"0"),Productos!$A:$A,Productos!$E:$E,IFNA(_xlfn.XLOOKUP(IFERROR(VALUE($C701),""),Productos!$A:$A,Productos!$E:$E,_xlfn.XLOOKUP($C701,Productos!$E:$E,Productos!$E:$E,"NO ENCONTRADO")),"NO ENCONTRADO")),"NO ENCONTRADO")),"NO ENCONTRADO"))</f>
        <v/>
      </c>
      <c r="E701" s="74">
        <f t="array" ref="E701">IF(OR($D701="",$D701="NO ENCONTRADO"),"",_xlfn.XLOOKUP($D701,Productos!$E:$E,Productos!$H:$H,""))</f>
        <v/>
      </c>
      <c r="F701" s="74">
        <f t="array" ref="F701">IF(OR($D701="",$D701="NO ENCONTRADO"),"",_xlfn.XLOOKUP($D701,Productos!$E:$E,Productos!$I:$I,""))</f>
        <v/>
      </c>
      <c r="G701" s="74">
        <f t="array" ref="G701">IF(OR($D701="",$D701="NO ENCONTRADO"),"",_xlfn.XLOOKUP($D701,Productos!$E:$E,Productos!$J:$J,""))</f>
        <v/>
      </c>
      <c r="H701" s="74">
        <f t="array" ref="H701">IF(OR($D701="",$D701="NO ENCONTRADO"),"",_xlfn.XLOOKUP($D701,Productos!$E:$E,Productos!$K:$K,""))</f>
        <v/>
      </c>
      <c r="I701" s="74">
        <f t="array" ref="I701">IF(OR($D701="",$D701="NO ENCONTRADO"),"",_xlfn.XLOOKUP($D701,Productos!$E:$E,Productos!$F:$F,""))</f>
        <v/>
      </c>
      <c r="J701" s="74">
        <f>IF($C701="","",IF($D701="NO ENCONTRADO",IF(COUNTIF($C$7:$C$1000,$C701)&gt;1,"⚠️ No encontrado | Duplicado","⚠️ No encontrado"),IF(COUNTIF($C$7:$C$1000,$C701)&gt;1,"⚠️ Duplicado","Verificado")))</f>
        <v/>
      </c>
    </row>
    <row r="702" ht="15.75" customHeight="1" s="176">
      <c r="B702" s="80" t="n"/>
      <c r="C702" s="74" t="n"/>
      <c r="D702" s="74">
        <f t="array" ref="D702">IF($C702="","",IFNA(_xlfn.XLOOKUP($C702,Productos!$A:$A,Productos!$E:$E,IFNA(_xlfn.XLOOKUP(TEXT($C702,"0"),Productos!$A:$A,Productos!$E:$E,IFNA(_xlfn.XLOOKUP(IFERROR(VALUE($C702),""),Productos!$A:$A,Productos!$E:$E,_xlfn.XLOOKUP($C702,Productos!$E:$E,Productos!$E:$E,"NO ENCONTRADO")),"NO ENCONTRADO")),"NO ENCONTRADO")),"NO ENCONTRADO"))</f>
        <v/>
      </c>
      <c r="E702" s="74">
        <f t="array" ref="E702">IF(OR($D702="",$D702="NO ENCONTRADO"),"",_xlfn.XLOOKUP($D702,Productos!$E:$E,Productos!$H:$H,""))</f>
        <v/>
      </c>
      <c r="F702" s="74">
        <f t="array" ref="F702">IF(OR($D702="",$D702="NO ENCONTRADO"),"",_xlfn.XLOOKUP($D702,Productos!$E:$E,Productos!$I:$I,""))</f>
        <v/>
      </c>
      <c r="G702" s="74">
        <f t="array" ref="G702">IF(OR($D702="",$D702="NO ENCONTRADO"),"",_xlfn.XLOOKUP($D702,Productos!$E:$E,Productos!$J:$J,""))</f>
        <v/>
      </c>
      <c r="H702" s="74">
        <f t="array" ref="H702">IF(OR($D702="",$D702="NO ENCONTRADO"),"",_xlfn.XLOOKUP($D702,Productos!$E:$E,Productos!$K:$K,""))</f>
        <v/>
      </c>
      <c r="I702" s="74">
        <f t="array" ref="I702">IF(OR($D702="",$D702="NO ENCONTRADO"),"",_xlfn.XLOOKUP($D702,Productos!$E:$E,Productos!$F:$F,""))</f>
        <v/>
      </c>
      <c r="J702" s="74">
        <f>IF($C702="","",IF($D702="NO ENCONTRADO",IF(COUNTIF($C$7:$C$1000,$C702)&gt;1,"⚠️ No encontrado | Duplicado","⚠️ No encontrado"),IF(COUNTIF($C$7:$C$1000,$C702)&gt;1,"⚠️ Duplicado","Verificado")))</f>
        <v/>
      </c>
    </row>
    <row r="703" ht="15.75" customHeight="1" s="176">
      <c r="B703" s="80" t="n"/>
      <c r="C703" s="74" t="n"/>
      <c r="D703" s="74">
        <f t="array" ref="D703">IF($C703="","",IFNA(_xlfn.XLOOKUP($C703,Productos!$A:$A,Productos!$E:$E,IFNA(_xlfn.XLOOKUP(TEXT($C703,"0"),Productos!$A:$A,Productos!$E:$E,IFNA(_xlfn.XLOOKUP(IFERROR(VALUE($C703),""),Productos!$A:$A,Productos!$E:$E,_xlfn.XLOOKUP($C703,Productos!$E:$E,Productos!$E:$E,"NO ENCONTRADO")),"NO ENCONTRADO")),"NO ENCONTRADO")),"NO ENCONTRADO"))</f>
        <v/>
      </c>
      <c r="E703" s="74">
        <f t="array" ref="E703">IF(OR($D703="",$D703="NO ENCONTRADO"),"",_xlfn.XLOOKUP($D703,Productos!$E:$E,Productos!$H:$H,""))</f>
        <v/>
      </c>
      <c r="F703" s="74">
        <f t="array" ref="F703">IF(OR($D703="",$D703="NO ENCONTRADO"),"",_xlfn.XLOOKUP($D703,Productos!$E:$E,Productos!$I:$I,""))</f>
        <v/>
      </c>
      <c r="G703" s="74">
        <f t="array" ref="G703">IF(OR($D703="",$D703="NO ENCONTRADO"),"",_xlfn.XLOOKUP($D703,Productos!$E:$E,Productos!$J:$J,""))</f>
        <v/>
      </c>
      <c r="H703" s="74">
        <f t="array" ref="H703">IF(OR($D703="",$D703="NO ENCONTRADO"),"",_xlfn.XLOOKUP($D703,Productos!$E:$E,Productos!$K:$K,""))</f>
        <v/>
      </c>
      <c r="I703" s="74">
        <f t="array" ref="I703">IF(OR($D703="",$D703="NO ENCONTRADO"),"",_xlfn.XLOOKUP($D703,Productos!$E:$E,Productos!$F:$F,""))</f>
        <v/>
      </c>
      <c r="J703" s="74">
        <f>IF($C703="","",IF($D703="NO ENCONTRADO",IF(COUNTIF($C$7:$C$1000,$C703)&gt;1,"⚠️ No encontrado | Duplicado","⚠️ No encontrado"),IF(COUNTIF($C$7:$C$1000,$C703)&gt;1,"⚠️ Duplicado","Verificado")))</f>
        <v/>
      </c>
    </row>
    <row r="704" ht="15.75" customHeight="1" s="176">
      <c r="B704" s="80" t="n"/>
      <c r="C704" s="74" t="n"/>
      <c r="D704" s="74">
        <f t="array" ref="D704">IF($C704="","",IFNA(_xlfn.XLOOKUP($C704,Productos!$A:$A,Productos!$E:$E,IFNA(_xlfn.XLOOKUP(TEXT($C704,"0"),Productos!$A:$A,Productos!$E:$E,IFNA(_xlfn.XLOOKUP(IFERROR(VALUE($C704),""),Productos!$A:$A,Productos!$E:$E,_xlfn.XLOOKUP($C704,Productos!$E:$E,Productos!$E:$E,"NO ENCONTRADO")),"NO ENCONTRADO")),"NO ENCONTRADO")),"NO ENCONTRADO"))</f>
        <v/>
      </c>
      <c r="E704" s="74">
        <f t="array" ref="E704">IF(OR($D704="",$D704="NO ENCONTRADO"),"",_xlfn.XLOOKUP($D704,Productos!$E:$E,Productos!$H:$H,""))</f>
        <v/>
      </c>
      <c r="F704" s="74">
        <f t="array" ref="F704">IF(OR($D704="",$D704="NO ENCONTRADO"),"",_xlfn.XLOOKUP($D704,Productos!$E:$E,Productos!$I:$I,""))</f>
        <v/>
      </c>
      <c r="G704" s="74">
        <f t="array" ref="G704">IF(OR($D704="",$D704="NO ENCONTRADO"),"",_xlfn.XLOOKUP($D704,Productos!$E:$E,Productos!$J:$J,""))</f>
        <v/>
      </c>
      <c r="H704" s="74">
        <f t="array" ref="H704">IF(OR($D704="",$D704="NO ENCONTRADO"),"",_xlfn.XLOOKUP($D704,Productos!$E:$E,Productos!$K:$K,""))</f>
        <v/>
      </c>
      <c r="I704" s="74">
        <f t="array" ref="I704">IF(OR($D704="",$D704="NO ENCONTRADO"),"",_xlfn.XLOOKUP($D704,Productos!$E:$E,Productos!$F:$F,""))</f>
        <v/>
      </c>
      <c r="J704" s="74">
        <f>IF($C704="","",IF($D704="NO ENCONTRADO",IF(COUNTIF($C$7:$C$1000,$C704)&gt;1,"⚠️ No encontrado | Duplicado","⚠️ No encontrado"),IF(COUNTIF($C$7:$C$1000,$C704)&gt;1,"⚠️ Duplicado","Verificado")))</f>
        <v/>
      </c>
    </row>
    <row r="705" ht="15.75" customHeight="1" s="176">
      <c r="B705" s="80" t="n"/>
      <c r="C705" s="74" t="n"/>
      <c r="D705" s="74">
        <f t="array" ref="D705">IF($C705="","",IFNA(_xlfn.XLOOKUP($C705,Productos!$A:$A,Productos!$E:$E,IFNA(_xlfn.XLOOKUP(TEXT($C705,"0"),Productos!$A:$A,Productos!$E:$E,IFNA(_xlfn.XLOOKUP(IFERROR(VALUE($C705),""),Productos!$A:$A,Productos!$E:$E,_xlfn.XLOOKUP($C705,Productos!$E:$E,Productos!$E:$E,"NO ENCONTRADO")),"NO ENCONTRADO")),"NO ENCONTRADO")),"NO ENCONTRADO"))</f>
        <v/>
      </c>
      <c r="E705" s="74">
        <f t="array" ref="E705">IF(OR($D705="",$D705="NO ENCONTRADO"),"",_xlfn.XLOOKUP($D705,Productos!$E:$E,Productos!$H:$H,""))</f>
        <v/>
      </c>
      <c r="F705" s="74">
        <f t="array" ref="F705">IF(OR($D705="",$D705="NO ENCONTRADO"),"",_xlfn.XLOOKUP($D705,Productos!$E:$E,Productos!$I:$I,""))</f>
        <v/>
      </c>
      <c r="G705" s="74">
        <f t="array" ref="G705">IF(OR($D705="",$D705="NO ENCONTRADO"),"",_xlfn.XLOOKUP($D705,Productos!$E:$E,Productos!$J:$J,""))</f>
        <v/>
      </c>
      <c r="H705" s="74">
        <f t="array" ref="H705">IF(OR($D705="",$D705="NO ENCONTRADO"),"",_xlfn.XLOOKUP($D705,Productos!$E:$E,Productos!$K:$K,""))</f>
        <v/>
      </c>
      <c r="I705" s="74">
        <f t="array" ref="I705">IF(OR($D705="",$D705="NO ENCONTRADO"),"",_xlfn.XLOOKUP($D705,Productos!$E:$E,Productos!$F:$F,""))</f>
        <v/>
      </c>
      <c r="J705" s="74">
        <f>IF($C705="","",IF($D705="NO ENCONTRADO",IF(COUNTIF($C$7:$C$1000,$C705)&gt;1,"⚠️ No encontrado | Duplicado","⚠️ No encontrado"),IF(COUNTIF($C$7:$C$1000,$C705)&gt;1,"⚠️ Duplicado","Verificado")))</f>
        <v/>
      </c>
    </row>
    <row r="706" ht="15.75" customHeight="1" s="176">
      <c r="B706" s="80" t="n"/>
      <c r="C706" s="74" t="n"/>
      <c r="D706" s="74">
        <f t="array" ref="D706">IF($C706="","",IFNA(_xlfn.XLOOKUP($C706,Productos!$A:$A,Productos!$E:$E,IFNA(_xlfn.XLOOKUP(TEXT($C706,"0"),Productos!$A:$A,Productos!$E:$E,IFNA(_xlfn.XLOOKUP(IFERROR(VALUE($C706),""),Productos!$A:$A,Productos!$E:$E,_xlfn.XLOOKUP($C706,Productos!$E:$E,Productos!$E:$E,"NO ENCONTRADO")),"NO ENCONTRADO")),"NO ENCONTRADO")),"NO ENCONTRADO"))</f>
        <v/>
      </c>
      <c r="E706" s="74">
        <f t="array" ref="E706">IF(OR($D706="",$D706="NO ENCONTRADO"),"",_xlfn.XLOOKUP($D706,Productos!$E:$E,Productos!$H:$H,""))</f>
        <v/>
      </c>
      <c r="F706" s="74">
        <f t="array" ref="F706">IF(OR($D706="",$D706="NO ENCONTRADO"),"",_xlfn.XLOOKUP($D706,Productos!$E:$E,Productos!$I:$I,""))</f>
        <v/>
      </c>
      <c r="G706" s="74">
        <f t="array" ref="G706">IF(OR($D706="",$D706="NO ENCONTRADO"),"",_xlfn.XLOOKUP($D706,Productos!$E:$E,Productos!$J:$J,""))</f>
        <v/>
      </c>
      <c r="H706" s="74">
        <f t="array" ref="H706">IF(OR($D706="",$D706="NO ENCONTRADO"),"",_xlfn.XLOOKUP($D706,Productos!$E:$E,Productos!$K:$K,""))</f>
        <v/>
      </c>
      <c r="I706" s="74">
        <f t="array" ref="I706">IF(OR($D706="",$D706="NO ENCONTRADO"),"",_xlfn.XLOOKUP($D706,Productos!$E:$E,Productos!$F:$F,""))</f>
        <v/>
      </c>
      <c r="J706" s="74">
        <f>IF($C706="","",IF($D706="NO ENCONTRADO",IF(COUNTIF($C$7:$C$1000,$C706)&gt;1,"⚠️ No encontrado | Duplicado","⚠️ No encontrado"),IF(COUNTIF($C$7:$C$1000,$C706)&gt;1,"⚠️ Duplicado","Verificado")))</f>
        <v/>
      </c>
    </row>
    <row r="707" ht="15.75" customHeight="1" s="176">
      <c r="B707" s="80" t="n"/>
      <c r="C707" s="74" t="n"/>
      <c r="D707" s="74">
        <f t="array" ref="D707">IF($C707="","",IFNA(_xlfn.XLOOKUP($C707,Productos!$A:$A,Productos!$E:$E,IFNA(_xlfn.XLOOKUP(TEXT($C707,"0"),Productos!$A:$A,Productos!$E:$E,IFNA(_xlfn.XLOOKUP(IFERROR(VALUE($C707),""),Productos!$A:$A,Productos!$E:$E,_xlfn.XLOOKUP($C707,Productos!$E:$E,Productos!$E:$E,"NO ENCONTRADO")),"NO ENCONTRADO")),"NO ENCONTRADO")),"NO ENCONTRADO"))</f>
        <v/>
      </c>
      <c r="E707" s="74">
        <f t="array" ref="E707">IF(OR($D707="",$D707="NO ENCONTRADO"),"",_xlfn.XLOOKUP($D707,Productos!$E:$E,Productos!$H:$H,""))</f>
        <v/>
      </c>
      <c r="F707" s="74">
        <f t="array" ref="F707">IF(OR($D707="",$D707="NO ENCONTRADO"),"",_xlfn.XLOOKUP($D707,Productos!$E:$E,Productos!$I:$I,""))</f>
        <v/>
      </c>
      <c r="G707" s="74">
        <f t="array" ref="G707">IF(OR($D707="",$D707="NO ENCONTRADO"),"",_xlfn.XLOOKUP($D707,Productos!$E:$E,Productos!$J:$J,""))</f>
        <v/>
      </c>
      <c r="H707" s="74">
        <f t="array" ref="H707">IF(OR($D707="",$D707="NO ENCONTRADO"),"",_xlfn.XLOOKUP($D707,Productos!$E:$E,Productos!$K:$K,""))</f>
        <v/>
      </c>
      <c r="I707" s="74">
        <f t="array" ref="I707">IF(OR($D707="",$D707="NO ENCONTRADO"),"",_xlfn.XLOOKUP($D707,Productos!$E:$E,Productos!$F:$F,""))</f>
        <v/>
      </c>
      <c r="J707" s="74">
        <f>IF($C707="","",IF($D707="NO ENCONTRADO",IF(COUNTIF($C$7:$C$1000,$C707)&gt;1,"⚠️ No encontrado | Duplicado","⚠️ No encontrado"),IF(COUNTIF($C$7:$C$1000,$C707)&gt;1,"⚠️ Duplicado","Verificado")))</f>
        <v/>
      </c>
    </row>
    <row r="708" ht="15.75" customHeight="1" s="176">
      <c r="B708" s="80" t="n"/>
      <c r="C708" s="74" t="n"/>
      <c r="D708" s="74">
        <f t="array" ref="D708">IF($C708="","",IFNA(_xlfn.XLOOKUP($C708,Productos!$A:$A,Productos!$E:$E,IFNA(_xlfn.XLOOKUP(TEXT($C708,"0"),Productos!$A:$A,Productos!$E:$E,IFNA(_xlfn.XLOOKUP(IFERROR(VALUE($C708),""),Productos!$A:$A,Productos!$E:$E,_xlfn.XLOOKUP($C708,Productos!$E:$E,Productos!$E:$E,"NO ENCONTRADO")),"NO ENCONTRADO")),"NO ENCONTRADO")),"NO ENCONTRADO"))</f>
        <v/>
      </c>
      <c r="E708" s="74">
        <f t="array" ref="E708">IF(OR($D708="",$D708="NO ENCONTRADO"),"",_xlfn.XLOOKUP($D708,Productos!$E:$E,Productos!$H:$H,""))</f>
        <v/>
      </c>
      <c r="F708" s="74">
        <f t="array" ref="F708">IF(OR($D708="",$D708="NO ENCONTRADO"),"",_xlfn.XLOOKUP($D708,Productos!$E:$E,Productos!$I:$I,""))</f>
        <v/>
      </c>
      <c r="G708" s="74">
        <f t="array" ref="G708">IF(OR($D708="",$D708="NO ENCONTRADO"),"",_xlfn.XLOOKUP($D708,Productos!$E:$E,Productos!$J:$J,""))</f>
        <v/>
      </c>
      <c r="H708" s="74">
        <f t="array" ref="H708">IF(OR($D708="",$D708="NO ENCONTRADO"),"",_xlfn.XLOOKUP($D708,Productos!$E:$E,Productos!$K:$K,""))</f>
        <v/>
      </c>
      <c r="I708" s="74">
        <f t="array" ref="I708">IF(OR($D708="",$D708="NO ENCONTRADO"),"",_xlfn.XLOOKUP($D708,Productos!$E:$E,Productos!$F:$F,""))</f>
        <v/>
      </c>
      <c r="J708" s="74">
        <f>IF($C708="","",IF($D708="NO ENCONTRADO",IF(COUNTIF($C$7:$C$1000,$C708)&gt;1,"⚠️ No encontrado | Duplicado","⚠️ No encontrado"),IF(COUNTIF($C$7:$C$1000,$C708)&gt;1,"⚠️ Duplicado","Verificado")))</f>
        <v/>
      </c>
    </row>
    <row r="709" ht="15.75" customHeight="1" s="176">
      <c r="B709" s="80" t="n"/>
      <c r="C709" s="74" t="n"/>
      <c r="D709" s="74">
        <f t="array" ref="D709">IF($C709="","",IFNA(_xlfn.XLOOKUP($C709,Productos!$A:$A,Productos!$E:$E,IFNA(_xlfn.XLOOKUP(TEXT($C709,"0"),Productos!$A:$A,Productos!$E:$E,IFNA(_xlfn.XLOOKUP(IFERROR(VALUE($C709),""),Productos!$A:$A,Productos!$E:$E,_xlfn.XLOOKUP($C709,Productos!$E:$E,Productos!$E:$E,"NO ENCONTRADO")),"NO ENCONTRADO")),"NO ENCONTRADO")),"NO ENCONTRADO"))</f>
        <v/>
      </c>
      <c r="E709" s="74">
        <f t="array" ref="E709">IF(OR($D709="",$D709="NO ENCONTRADO"),"",_xlfn.XLOOKUP($D709,Productos!$E:$E,Productos!$H:$H,""))</f>
        <v/>
      </c>
      <c r="F709" s="74">
        <f t="array" ref="F709">IF(OR($D709="",$D709="NO ENCONTRADO"),"",_xlfn.XLOOKUP($D709,Productos!$E:$E,Productos!$I:$I,""))</f>
        <v/>
      </c>
      <c r="G709" s="74">
        <f t="array" ref="G709">IF(OR($D709="",$D709="NO ENCONTRADO"),"",_xlfn.XLOOKUP($D709,Productos!$E:$E,Productos!$J:$J,""))</f>
        <v/>
      </c>
      <c r="H709" s="74">
        <f t="array" ref="H709">IF(OR($D709="",$D709="NO ENCONTRADO"),"",_xlfn.XLOOKUP($D709,Productos!$E:$E,Productos!$K:$K,""))</f>
        <v/>
      </c>
      <c r="I709" s="74">
        <f t="array" ref="I709">IF(OR($D709="",$D709="NO ENCONTRADO"),"",_xlfn.XLOOKUP($D709,Productos!$E:$E,Productos!$F:$F,""))</f>
        <v/>
      </c>
      <c r="J709" s="74">
        <f>IF($C709="","",IF($D709="NO ENCONTRADO",IF(COUNTIF($C$7:$C$1000,$C709)&gt;1,"⚠️ No encontrado | Duplicado","⚠️ No encontrado"),IF(COUNTIF($C$7:$C$1000,$C709)&gt;1,"⚠️ Duplicado","Verificado")))</f>
        <v/>
      </c>
    </row>
    <row r="710" ht="15.75" customHeight="1" s="176">
      <c r="B710" s="80" t="n"/>
      <c r="C710" s="74" t="n"/>
      <c r="D710" s="74">
        <f t="array" ref="D710">IF($C710="","",IFNA(_xlfn.XLOOKUP($C710,Productos!$A:$A,Productos!$E:$E,IFNA(_xlfn.XLOOKUP(TEXT($C710,"0"),Productos!$A:$A,Productos!$E:$E,IFNA(_xlfn.XLOOKUP(IFERROR(VALUE($C710),""),Productos!$A:$A,Productos!$E:$E,_xlfn.XLOOKUP($C710,Productos!$E:$E,Productos!$E:$E,"NO ENCONTRADO")),"NO ENCONTRADO")),"NO ENCONTRADO")),"NO ENCONTRADO"))</f>
        <v/>
      </c>
      <c r="E710" s="74">
        <f t="array" ref="E710">IF(OR($D710="",$D710="NO ENCONTRADO"),"",_xlfn.XLOOKUP($D710,Productos!$E:$E,Productos!$H:$H,""))</f>
        <v/>
      </c>
      <c r="F710" s="74">
        <f t="array" ref="F710">IF(OR($D710="",$D710="NO ENCONTRADO"),"",_xlfn.XLOOKUP($D710,Productos!$E:$E,Productos!$I:$I,""))</f>
        <v/>
      </c>
      <c r="G710" s="74">
        <f t="array" ref="G710">IF(OR($D710="",$D710="NO ENCONTRADO"),"",_xlfn.XLOOKUP($D710,Productos!$E:$E,Productos!$J:$J,""))</f>
        <v/>
      </c>
      <c r="H710" s="74">
        <f t="array" ref="H710">IF(OR($D710="",$D710="NO ENCONTRADO"),"",_xlfn.XLOOKUP($D710,Productos!$E:$E,Productos!$K:$K,""))</f>
        <v/>
      </c>
      <c r="I710" s="74">
        <f t="array" ref="I710">IF(OR($D710="",$D710="NO ENCONTRADO"),"",_xlfn.XLOOKUP($D710,Productos!$E:$E,Productos!$F:$F,""))</f>
        <v/>
      </c>
      <c r="J710" s="74">
        <f>IF($C710="","",IF($D710="NO ENCONTRADO",IF(COUNTIF($C$7:$C$1000,$C710)&gt;1,"⚠️ No encontrado | Duplicado","⚠️ No encontrado"),IF(COUNTIF($C$7:$C$1000,$C710)&gt;1,"⚠️ Duplicado","Verificado")))</f>
        <v/>
      </c>
    </row>
    <row r="711" ht="15.75" customHeight="1" s="176">
      <c r="B711" s="80" t="n"/>
      <c r="C711" s="74" t="n"/>
      <c r="D711" s="74">
        <f t="array" ref="D711">IF($C711="","",IFNA(_xlfn.XLOOKUP($C711,Productos!$A:$A,Productos!$E:$E,IFNA(_xlfn.XLOOKUP(TEXT($C711,"0"),Productos!$A:$A,Productos!$E:$E,IFNA(_xlfn.XLOOKUP(IFERROR(VALUE($C711),""),Productos!$A:$A,Productos!$E:$E,_xlfn.XLOOKUP($C711,Productos!$E:$E,Productos!$E:$E,"NO ENCONTRADO")),"NO ENCONTRADO")),"NO ENCONTRADO")),"NO ENCONTRADO"))</f>
        <v/>
      </c>
      <c r="E711" s="74">
        <f t="array" ref="E711">IF(OR($D711="",$D711="NO ENCONTRADO"),"",_xlfn.XLOOKUP($D711,Productos!$E:$E,Productos!$H:$H,""))</f>
        <v/>
      </c>
      <c r="F711" s="74">
        <f t="array" ref="F711">IF(OR($D711="",$D711="NO ENCONTRADO"),"",_xlfn.XLOOKUP($D711,Productos!$E:$E,Productos!$I:$I,""))</f>
        <v/>
      </c>
      <c r="G711" s="74">
        <f t="array" ref="G711">IF(OR($D711="",$D711="NO ENCONTRADO"),"",_xlfn.XLOOKUP($D711,Productos!$E:$E,Productos!$J:$J,""))</f>
        <v/>
      </c>
      <c r="H711" s="74">
        <f t="array" ref="H711">IF(OR($D711="",$D711="NO ENCONTRADO"),"",_xlfn.XLOOKUP($D711,Productos!$E:$E,Productos!$K:$K,""))</f>
        <v/>
      </c>
      <c r="I711" s="74">
        <f t="array" ref="I711">IF(OR($D711="",$D711="NO ENCONTRADO"),"",_xlfn.XLOOKUP($D711,Productos!$E:$E,Productos!$F:$F,""))</f>
        <v/>
      </c>
      <c r="J711" s="74">
        <f>IF($C711="","",IF($D711="NO ENCONTRADO",IF(COUNTIF($C$7:$C$1000,$C711)&gt;1,"⚠️ No encontrado | Duplicado","⚠️ No encontrado"),IF(COUNTIF($C$7:$C$1000,$C711)&gt;1,"⚠️ Duplicado","Verificado")))</f>
        <v/>
      </c>
    </row>
    <row r="712" ht="15.75" customHeight="1" s="176">
      <c r="B712" s="80" t="n"/>
      <c r="C712" s="74" t="n"/>
      <c r="D712" s="74">
        <f t="array" ref="D712">IF($C712="","",IFNA(_xlfn.XLOOKUP($C712,Productos!$A:$A,Productos!$E:$E,IFNA(_xlfn.XLOOKUP(TEXT($C712,"0"),Productos!$A:$A,Productos!$E:$E,IFNA(_xlfn.XLOOKUP(IFERROR(VALUE($C712),""),Productos!$A:$A,Productos!$E:$E,_xlfn.XLOOKUP($C712,Productos!$E:$E,Productos!$E:$E,"NO ENCONTRADO")),"NO ENCONTRADO")),"NO ENCONTRADO")),"NO ENCONTRADO"))</f>
        <v/>
      </c>
      <c r="E712" s="74">
        <f t="array" ref="E712">IF(OR($D712="",$D712="NO ENCONTRADO"),"",_xlfn.XLOOKUP($D712,Productos!$E:$E,Productos!$H:$H,""))</f>
        <v/>
      </c>
      <c r="F712" s="74">
        <f t="array" ref="F712">IF(OR($D712="",$D712="NO ENCONTRADO"),"",_xlfn.XLOOKUP($D712,Productos!$E:$E,Productos!$I:$I,""))</f>
        <v/>
      </c>
      <c r="G712" s="74">
        <f t="array" ref="G712">IF(OR($D712="",$D712="NO ENCONTRADO"),"",_xlfn.XLOOKUP($D712,Productos!$E:$E,Productos!$J:$J,""))</f>
        <v/>
      </c>
      <c r="H712" s="74">
        <f t="array" ref="H712">IF(OR($D712="",$D712="NO ENCONTRADO"),"",_xlfn.XLOOKUP($D712,Productos!$E:$E,Productos!$K:$K,""))</f>
        <v/>
      </c>
      <c r="I712" s="74">
        <f t="array" ref="I712">IF(OR($D712="",$D712="NO ENCONTRADO"),"",_xlfn.XLOOKUP($D712,Productos!$E:$E,Productos!$F:$F,""))</f>
        <v/>
      </c>
      <c r="J712" s="74">
        <f>IF($C712="","",IF($D712="NO ENCONTRADO",IF(COUNTIF($C$7:$C$1000,$C712)&gt;1,"⚠️ No encontrado | Duplicado","⚠️ No encontrado"),IF(COUNTIF($C$7:$C$1000,$C712)&gt;1,"⚠️ Duplicado","Verificado")))</f>
        <v/>
      </c>
    </row>
    <row r="713" ht="15.75" customHeight="1" s="176">
      <c r="B713" s="80" t="n"/>
      <c r="C713" s="74" t="n"/>
      <c r="D713" s="74">
        <f t="array" ref="D713">IF($C713="","",IFNA(_xlfn.XLOOKUP($C713,Productos!$A:$A,Productos!$E:$E,IFNA(_xlfn.XLOOKUP(TEXT($C713,"0"),Productos!$A:$A,Productos!$E:$E,IFNA(_xlfn.XLOOKUP(IFERROR(VALUE($C713),""),Productos!$A:$A,Productos!$E:$E,_xlfn.XLOOKUP($C713,Productos!$E:$E,Productos!$E:$E,"NO ENCONTRADO")),"NO ENCONTRADO")),"NO ENCONTRADO")),"NO ENCONTRADO"))</f>
        <v/>
      </c>
      <c r="E713" s="74">
        <f t="array" ref="E713">IF(OR($D713="",$D713="NO ENCONTRADO"),"",_xlfn.XLOOKUP($D713,Productos!$E:$E,Productos!$H:$H,""))</f>
        <v/>
      </c>
      <c r="F713" s="74">
        <f t="array" ref="F713">IF(OR($D713="",$D713="NO ENCONTRADO"),"",_xlfn.XLOOKUP($D713,Productos!$E:$E,Productos!$I:$I,""))</f>
        <v/>
      </c>
      <c r="G713" s="74">
        <f t="array" ref="G713">IF(OR($D713="",$D713="NO ENCONTRADO"),"",_xlfn.XLOOKUP($D713,Productos!$E:$E,Productos!$J:$J,""))</f>
        <v/>
      </c>
      <c r="H713" s="74">
        <f t="array" ref="H713">IF(OR($D713="",$D713="NO ENCONTRADO"),"",_xlfn.XLOOKUP($D713,Productos!$E:$E,Productos!$K:$K,""))</f>
        <v/>
      </c>
      <c r="I713" s="74">
        <f t="array" ref="I713">IF(OR($D713="",$D713="NO ENCONTRADO"),"",_xlfn.XLOOKUP($D713,Productos!$E:$E,Productos!$F:$F,""))</f>
        <v/>
      </c>
      <c r="J713" s="74">
        <f>IF($C713="","",IF($D713="NO ENCONTRADO",IF(COUNTIF($C$7:$C$1000,$C713)&gt;1,"⚠️ No encontrado | Duplicado","⚠️ No encontrado"),IF(COUNTIF($C$7:$C$1000,$C713)&gt;1,"⚠️ Duplicado","Verificado")))</f>
        <v/>
      </c>
    </row>
    <row r="714" ht="15.75" customHeight="1" s="176">
      <c r="B714" s="80" t="n"/>
      <c r="C714" s="74" t="n"/>
      <c r="D714" s="74">
        <f t="array" ref="D714">IF($C714="","",IFNA(_xlfn.XLOOKUP($C714,Productos!$A:$A,Productos!$E:$E,IFNA(_xlfn.XLOOKUP(TEXT($C714,"0"),Productos!$A:$A,Productos!$E:$E,IFNA(_xlfn.XLOOKUP(IFERROR(VALUE($C714),""),Productos!$A:$A,Productos!$E:$E,_xlfn.XLOOKUP($C714,Productos!$E:$E,Productos!$E:$E,"NO ENCONTRADO")),"NO ENCONTRADO")),"NO ENCONTRADO")),"NO ENCONTRADO"))</f>
        <v/>
      </c>
      <c r="E714" s="74">
        <f t="array" ref="E714">IF(OR($D714="",$D714="NO ENCONTRADO"),"",_xlfn.XLOOKUP($D714,Productos!$E:$E,Productos!$H:$H,""))</f>
        <v/>
      </c>
      <c r="F714" s="74">
        <f t="array" ref="F714">IF(OR($D714="",$D714="NO ENCONTRADO"),"",_xlfn.XLOOKUP($D714,Productos!$E:$E,Productos!$I:$I,""))</f>
        <v/>
      </c>
      <c r="G714" s="74">
        <f t="array" ref="G714">IF(OR($D714="",$D714="NO ENCONTRADO"),"",_xlfn.XLOOKUP($D714,Productos!$E:$E,Productos!$J:$J,""))</f>
        <v/>
      </c>
      <c r="H714" s="74">
        <f t="array" ref="H714">IF(OR($D714="",$D714="NO ENCONTRADO"),"",_xlfn.XLOOKUP($D714,Productos!$E:$E,Productos!$K:$K,""))</f>
        <v/>
      </c>
      <c r="I714" s="74">
        <f t="array" ref="I714">IF(OR($D714="",$D714="NO ENCONTRADO"),"",_xlfn.XLOOKUP($D714,Productos!$E:$E,Productos!$F:$F,""))</f>
        <v/>
      </c>
      <c r="J714" s="74">
        <f>IF($C714="","",IF($D714="NO ENCONTRADO",IF(COUNTIF($C$7:$C$1000,$C714)&gt;1,"⚠️ No encontrado | Duplicado","⚠️ No encontrado"),IF(COUNTIF($C$7:$C$1000,$C714)&gt;1,"⚠️ Duplicado","Verificado")))</f>
        <v/>
      </c>
    </row>
    <row r="715" ht="15.75" customHeight="1" s="176">
      <c r="B715" s="80" t="n"/>
      <c r="C715" s="74" t="n"/>
      <c r="D715" s="74">
        <f t="array" ref="D715">IF($C715="","",IFNA(_xlfn.XLOOKUP($C715,Productos!$A:$A,Productos!$E:$E,IFNA(_xlfn.XLOOKUP(TEXT($C715,"0"),Productos!$A:$A,Productos!$E:$E,IFNA(_xlfn.XLOOKUP(IFERROR(VALUE($C715),""),Productos!$A:$A,Productos!$E:$E,_xlfn.XLOOKUP($C715,Productos!$E:$E,Productos!$E:$E,"NO ENCONTRADO")),"NO ENCONTRADO")),"NO ENCONTRADO")),"NO ENCONTRADO"))</f>
        <v/>
      </c>
      <c r="E715" s="74">
        <f t="array" ref="E715">IF(OR($D715="",$D715="NO ENCONTRADO"),"",_xlfn.XLOOKUP($D715,Productos!$E:$E,Productos!$H:$H,""))</f>
        <v/>
      </c>
      <c r="F715" s="74">
        <f t="array" ref="F715">IF(OR($D715="",$D715="NO ENCONTRADO"),"",_xlfn.XLOOKUP($D715,Productos!$E:$E,Productos!$I:$I,""))</f>
        <v/>
      </c>
      <c r="G715" s="74">
        <f t="array" ref="G715">IF(OR($D715="",$D715="NO ENCONTRADO"),"",_xlfn.XLOOKUP($D715,Productos!$E:$E,Productos!$J:$J,""))</f>
        <v/>
      </c>
      <c r="H715" s="74">
        <f t="array" ref="H715">IF(OR($D715="",$D715="NO ENCONTRADO"),"",_xlfn.XLOOKUP($D715,Productos!$E:$E,Productos!$K:$K,""))</f>
        <v/>
      </c>
      <c r="I715" s="74">
        <f t="array" ref="I715">IF(OR($D715="",$D715="NO ENCONTRADO"),"",_xlfn.XLOOKUP($D715,Productos!$E:$E,Productos!$F:$F,""))</f>
        <v/>
      </c>
      <c r="J715" s="74">
        <f>IF($C715="","",IF($D715="NO ENCONTRADO",IF(COUNTIF($C$7:$C$1000,$C715)&gt;1,"⚠️ No encontrado | Duplicado","⚠️ No encontrado"),IF(COUNTIF($C$7:$C$1000,$C715)&gt;1,"⚠️ Duplicado","Verificado")))</f>
        <v/>
      </c>
    </row>
    <row r="716" ht="15.75" customHeight="1" s="176">
      <c r="B716" s="80" t="n"/>
      <c r="C716" s="74" t="n"/>
      <c r="D716" s="74">
        <f t="array" ref="D716">IF($C716="","",IFNA(_xlfn.XLOOKUP($C716,Productos!$A:$A,Productos!$E:$E,IFNA(_xlfn.XLOOKUP(TEXT($C716,"0"),Productos!$A:$A,Productos!$E:$E,IFNA(_xlfn.XLOOKUP(IFERROR(VALUE($C716),""),Productos!$A:$A,Productos!$E:$E,_xlfn.XLOOKUP($C716,Productos!$E:$E,Productos!$E:$E,"NO ENCONTRADO")),"NO ENCONTRADO")),"NO ENCONTRADO")),"NO ENCONTRADO"))</f>
        <v/>
      </c>
      <c r="E716" s="74">
        <f t="array" ref="E716">IF(OR($D716="",$D716="NO ENCONTRADO"),"",_xlfn.XLOOKUP($D716,Productos!$E:$E,Productos!$H:$H,""))</f>
        <v/>
      </c>
      <c r="F716" s="74">
        <f t="array" ref="F716">IF(OR($D716="",$D716="NO ENCONTRADO"),"",_xlfn.XLOOKUP($D716,Productos!$E:$E,Productos!$I:$I,""))</f>
        <v/>
      </c>
      <c r="G716" s="74">
        <f t="array" ref="G716">IF(OR($D716="",$D716="NO ENCONTRADO"),"",_xlfn.XLOOKUP($D716,Productos!$E:$E,Productos!$J:$J,""))</f>
        <v/>
      </c>
      <c r="H716" s="74">
        <f t="array" ref="H716">IF(OR($D716="",$D716="NO ENCONTRADO"),"",_xlfn.XLOOKUP($D716,Productos!$E:$E,Productos!$K:$K,""))</f>
        <v/>
      </c>
      <c r="I716" s="74">
        <f t="array" ref="I716">IF(OR($D716="",$D716="NO ENCONTRADO"),"",_xlfn.XLOOKUP($D716,Productos!$E:$E,Productos!$F:$F,""))</f>
        <v/>
      </c>
      <c r="J716" s="74">
        <f>IF($C716="","",IF($D716="NO ENCONTRADO",IF(COUNTIF($C$7:$C$1000,$C716)&gt;1,"⚠️ No encontrado | Duplicado","⚠️ No encontrado"),IF(COUNTIF($C$7:$C$1000,$C716)&gt;1,"⚠️ Duplicado","Verificado")))</f>
        <v/>
      </c>
    </row>
    <row r="717" ht="15.75" customHeight="1" s="176">
      <c r="B717" s="80" t="n"/>
      <c r="C717" s="74" t="n"/>
      <c r="D717" s="74">
        <f t="array" ref="D717">IF($C717="","",IFNA(_xlfn.XLOOKUP($C717,Productos!$A:$A,Productos!$E:$E,IFNA(_xlfn.XLOOKUP(TEXT($C717,"0"),Productos!$A:$A,Productos!$E:$E,IFNA(_xlfn.XLOOKUP(IFERROR(VALUE($C717),""),Productos!$A:$A,Productos!$E:$E,_xlfn.XLOOKUP($C717,Productos!$E:$E,Productos!$E:$E,"NO ENCONTRADO")),"NO ENCONTRADO")),"NO ENCONTRADO")),"NO ENCONTRADO"))</f>
        <v/>
      </c>
      <c r="E717" s="74">
        <f t="array" ref="E717">IF(OR($D717="",$D717="NO ENCONTRADO"),"",_xlfn.XLOOKUP($D717,Productos!$E:$E,Productos!$H:$H,""))</f>
        <v/>
      </c>
      <c r="F717" s="74">
        <f t="array" ref="F717">IF(OR($D717="",$D717="NO ENCONTRADO"),"",_xlfn.XLOOKUP($D717,Productos!$E:$E,Productos!$I:$I,""))</f>
        <v/>
      </c>
      <c r="G717" s="74">
        <f t="array" ref="G717">IF(OR($D717="",$D717="NO ENCONTRADO"),"",_xlfn.XLOOKUP($D717,Productos!$E:$E,Productos!$J:$J,""))</f>
        <v/>
      </c>
      <c r="H717" s="74">
        <f t="array" ref="H717">IF(OR($D717="",$D717="NO ENCONTRADO"),"",_xlfn.XLOOKUP($D717,Productos!$E:$E,Productos!$K:$K,""))</f>
        <v/>
      </c>
      <c r="I717" s="74">
        <f t="array" ref="I717">IF(OR($D717="",$D717="NO ENCONTRADO"),"",_xlfn.XLOOKUP($D717,Productos!$E:$E,Productos!$F:$F,""))</f>
        <v/>
      </c>
      <c r="J717" s="74">
        <f>IF($C717="","",IF($D717="NO ENCONTRADO",IF(COUNTIF($C$7:$C$1000,$C717)&gt;1,"⚠️ No encontrado | Duplicado","⚠️ No encontrado"),IF(COUNTIF($C$7:$C$1000,$C717)&gt;1,"⚠️ Duplicado","Verificado")))</f>
        <v/>
      </c>
    </row>
    <row r="718" ht="15.75" customHeight="1" s="176">
      <c r="B718" s="80" t="n"/>
      <c r="C718" s="74" t="n"/>
      <c r="D718" s="74">
        <f t="array" ref="D718">IF($C718="","",IFNA(_xlfn.XLOOKUP($C718,Productos!$A:$A,Productos!$E:$E,IFNA(_xlfn.XLOOKUP(TEXT($C718,"0"),Productos!$A:$A,Productos!$E:$E,IFNA(_xlfn.XLOOKUP(IFERROR(VALUE($C718),""),Productos!$A:$A,Productos!$E:$E,_xlfn.XLOOKUP($C718,Productos!$E:$E,Productos!$E:$E,"NO ENCONTRADO")),"NO ENCONTRADO")),"NO ENCONTRADO")),"NO ENCONTRADO"))</f>
        <v/>
      </c>
      <c r="E718" s="74">
        <f t="array" ref="E718">IF(OR($D718="",$D718="NO ENCONTRADO"),"",_xlfn.XLOOKUP($D718,Productos!$E:$E,Productos!$H:$H,""))</f>
        <v/>
      </c>
      <c r="F718" s="74">
        <f t="array" ref="F718">IF(OR($D718="",$D718="NO ENCONTRADO"),"",_xlfn.XLOOKUP($D718,Productos!$E:$E,Productos!$I:$I,""))</f>
        <v/>
      </c>
      <c r="G718" s="74">
        <f t="array" ref="G718">IF(OR($D718="",$D718="NO ENCONTRADO"),"",_xlfn.XLOOKUP($D718,Productos!$E:$E,Productos!$J:$J,""))</f>
        <v/>
      </c>
      <c r="H718" s="74">
        <f t="array" ref="H718">IF(OR($D718="",$D718="NO ENCONTRADO"),"",_xlfn.XLOOKUP($D718,Productos!$E:$E,Productos!$K:$K,""))</f>
        <v/>
      </c>
      <c r="I718" s="74">
        <f t="array" ref="I718">IF(OR($D718="",$D718="NO ENCONTRADO"),"",_xlfn.XLOOKUP($D718,Productos!$E:$E,Productos!$F:$F,""))</f>
        <v/>
      </c>
      <c r="J718" s="74">
        <f>IF($C718="","",IF($D718="NO ENCONTRADO",IF(COUNTIF($C$7:$C$1000,$C718)&gt;1,"⚠️ No encontrado | Duplicado","⚠️ No encontrado"),IF(COUNTIF($C$7:$C$1000,$C718)&gt;1,"⚠️ Duplicado","Verificado")))</f>
        <v/>
      </c>
    </row>
    <row r="719" ht="15.75" customHeight="1" s="176">
      <c r="B719" s="80" t="n"/>
      <c r="C719" s="74" t="n"/>
      <c r="D719" s="74">
        <f t="array" ref="D719">IF($C719="","",IFNA(_xlfn.XLOOKUP($C719,Productos!$A:$A,Productos!$E:$E,IFNA(_xlfn.XLOOKUP(TEXT($C719,"0"),Productos!$A:$A,Productos!$E:$E,IFNA(_xlfn.XLOOKUP(IFERROR(VALUE($C719),""),Productos!$A:$A,Productos!$E:$E,_xlfn.XLOOKUP($C719,Productos!$E:$E,Productos!$E:$E,"NO ENCONTRADO")),"NO ENCONTRADO")),"NO ENCONTRADO")),"NO ENCONTRADO"))</f>
        <v/>
      </c>
      <c r="E719" s="74">
        <f t="array" ref="E719">IF(OR($D719="",$D719="NO ENCONTRADO"),"",_xlfn.XLOOKUP($D719,Productos!$E:$E,Productos!$H:$H,""))</f>
        <v/>
      </c>
      <c r="F719" s="74">
        <f t="array" ref="F719">IF(OR($D719="",$D719="NO ENCONTRADO"),"",_xlfn.XLOOKUP($D719,Productos!$E:$E,Productos!$I:$I,""))</f>
        <v/>
      </c>
      <c r="G719" s="74">
        <f t="array" ref="G719">IF(OR($D719="",$D719="NO ENCONTRADO"),"",_xlfn.XLOOKUP($D719,Productos!$E:$E,Productos!$J:$J,""))</f>
        <v/>
      </c>
      <c r="H719" s="74">
        <f t="array" ref="H719">IF(OR($D719="",$D719="NO ENCONTRADO"),"",_xlfn.XLOOKUP($D719,Productos!$E:$E,Productos!$K:$K,""))</f>
        <v/>
      </c>
      <c r="I719" s="74">
        <f t="array" ref="I719">IF(OR($D719="",$D719="NO ENCONTRADO"),"",_xlfn.XLOOKUP($D719,Productos!$E:$E,Productos!$F:$F,""))</f>
        <v/>
      </c>
      <c r="J719" s="74">
        <f>IF($C719="","",IF($D719="NO ENCONTRADO",IF(COUNTIF($C$7:$C$1000,$C719)&gt;1,"⚠️ No encontrado | Duplicado","⚠️ No encontrado"),IF(COUNTIF($C$7:$C$1000,$C719)&gt;1,"⚠️ Duplicado","Verificado")))</f>
        <v/>
      </c>
    </row>
    <row r="720" ht="15.75" customHeight="1" s="176">
      <c r="B720" s="80" t="n"/>
      <c r="C720" s="74" t="n"/>
      <c r="D720" s="74">
        <f t="array" ref="D720">IF($C720="","",IFNA(_xlfn.XLOOKUP($C720,Productos!$A:$A,Productos!$E:$E,IFNA(_xlfn.XLOOKUP(TEXT($C720,"0"),Productos!$A:$A,Productos!$E:$E,IFNA(_xlfn.XLOOKUP(IFERROR(VALUE($C720),""),Productos!$A:$A,Productos!$E:$E,_xlfn.XLOOKUP($C720,Productos!$E:$E,Productos!$E:$E,"NO ENCONTRADO")),"NO ENCONTRADO")),"NO ENCONTRADO")),"NO ENCONTRADO"))</f>
        <v/>
      </c>
      <c r="E720" s="74">
        <f t="array" ref="E720">IF(OR($D720="",$D720="NO ENCONTRADO"),"",_xlfn.XLOOKUP($D720,Productos!$E:$E,Productos!$H:$H,""))</f>
        <v/>
      </c>
      <c r="F720" s="74">
        <f t="array" ref="F720">IF(OR($D720="",$D720="NO ENCONTRADO"),"",_xlfn.XLOOKUP($D720,Productos!$E:$E,Productos!$I:$I,""))</f>
        <v/>
      </c>
      <c r="G720" s="74">
        <f t="array" ref="G720">IF(OR($D720="",$D720="NO ENCONTRADO"),"",_xlfn.XLOOKUP($D720,Productos!$E:$E,Productos!$J:$J,""))</f>
        <v/>
      </c>
      <c r="H720" s="74">
        <f t="array" ref="H720">IF(OR($D720="",$D720="NO ENCONTRADO"),"",_xlfn.XLOOKUP($D720,Productos!$E:$E,Productos!$K:$K,""))</f>
        <v/>
      </c>
      <c r="I720" s="74">
        <f t="array" ref="I720">IF(OR($D720="",$D720="NO ENCONTRADO"),"",_xlfn.XLOOKUP($D720,Productos!$E:$E,Productos!$F:$F,""))</f>
        <v/>
      </c>
      <c r="J720" s="74">
        <f>IF($C720="","",IF($D720="NO ENCONTRADO",IF(COUNTIF($C$7:$C$1000,$C720)&gt;1,"⚠️ No encontrado | Duplicado","⚠️ No encontrado"),IF(COUNTIF($C$7:$C$1000,$C720)&gt;1,"⚠️ Duplicado","Verificado")))</f>
        <v/>
      </c>
    </row>
    <row r="721" ht="15.75" customHeight="1" s="176">
      <c r="B721" s="80" t="n"/>
      <c r="C721" s="74" t="n"/>
      <c r="D721" s="74">
        <f t="array" ref="D721">IF($C721="","",IFNA(_xlfn.XLOOKUP($C721,Productos!$A:$A,Productos!$E:$E,IFNA(_xlfn.XLOOKUP(TEXT($C721,"0"),Productos!$A:$A,Productos!$E:$E,IFNA(_xlfn.XLOOKUP(IFERROR(VALUE($C721),""),Productos!$A:$A,Productos!$E:$E,_xlfn.XLOOKUP($C721,Productos!$E:$E,Productos!$E:$E,"NO ENCONTRADO")),"NO ENCONTRADO")),"NO ENCONTRADO")),"NO ENCONTRADO"))</f>
        <v/>
      </c>
      <c r="E721" s="74">
        <f t="array" ref="E721">IF(OR($D721="",$D721="NO ENCONTRADO"),"",_xlfn.XLOOKUP($D721,Productos!$E:$E,Productos!$H:$H,""))</f>
        <v/>
      </c>
      <c r="F721" s="74">
        <f t="array" ref="F721">IF(OR($D721="",$D721="NO ENCONTRADO"),"",_xlfn.XLOOKUP($D721,Productos!$E:$E,Productos!$I:$I,""))</f>
        <v/>
      </c>
      <c r="G721" s="74">
        <f t="array" ref="G721">IF(OR($D721="",$D721="NO ENCONTRADO"),"",_xlfn.XLOOKUP($D721,Productos!$E:$E,Productos!$J:$J,""))</f>
        <v/>
      </c>
      <c r="H721" s="74">
        <f t="array" ref="H721">IF(OR($D721="",$D721="NO ENCONTRADO"),"",_xlfn.XLOOKUP($D721,Productos!$E:$E,Productos!$K:$K,""))</f>
        <v/>
      </c>
      <c r="I721" s="74">
        <f t="array" ref="I721">IF(OR($D721="",$D721="NO ENCONTRADO"),"",_xlfn.XLOOKUP($D721,Productos!$E:$E,Productos!$F:$F,""))</f>
        <v/>
      </c>
      <c r="J721" s="74">
        <f>IF($C721="","",IF($D721="NO ENCONTRADO",IF(COUNTIF($C$7:$C$1000,$C721)&gt;1,"⚠️ No encontrado | Duplicado","⚠️ No encontrado"),IF(COUNTIF($C$7:$C$1000,$C721)&gt;1,"⚠️ Duplicado","Verificado")))</f>
        <v/>
      </c>
    </row>
    <row r="722" ht="15.75" customHeight="1" s="176">
      <c r="B722" s="80" t="n"/>
      <c r="C722" s="74" t="n"/>
      <c r="D722" s="74">
        <f t="array" ref="D722">IF($C722="","",IFNA(_xlfn.XLOOKUP($C722,Productos!$A:$A,Productos!$E:$E,IFNA(_xlfn.XLOOKUP(TEXT($C722,"0"),Productos!$A:$A,Productos!$E:$E,IFNA(_xlfn.XLOOKUP(IFERROR(VALUE($C722),""),Productos!$A:$A,Productos!$E:$E,_xlfn.XLOOKUP($C722,Productos!$E:$E,Productos!$E:$E,"NO ENCONTRADO")),"NO ENCONTRADO")),"NO ENCONTRADO")),"NO ENCONTRADO"))</f>
        <v/>
      </c>
      <c r="E722" s="74">
        <f t="array" ref="E722">IF(OR($D722="",$D722="NO ENCONTRADO"),"",_xlfn.XLOOKUP($D722,Productos!$E:$E,Productos!$H:$H,""))</f>
        <v/>
      </c>
      <c r="F722" s="74">
        <f t="array" ref="F722">IF(OR($D722="",$D722="NO ENCONTRADO"),"",_xlfn.XLOOKUP($D722,Productos!$E:$E,Productos!$I:$I,""))</f>
        <v/>
      </c>
      <c r="G722" s="74">
        <f t="array" ref="G722">IF(OR($D722="",$D722="NO ENCONTRADO"),"",_xlfn.XLOOKUP($D722,Productos!$E:$E,Productos!$J:$J,""))</f>
        <v/>
      </c>
      <c r="H722" s="74">
        <f t="array" ref="H722">IF(OR($D722="",$D722="NO ENCONTRADO"),"",_xlfn.XLOOKUP($D722,Productos!$E:$E,Productos!$K:$K,""))</f>
        <v/>
      </c>
      <c r="I722" s="74">
        <f t="array" ref="I722">IF(OR($D722="",$D722="NO ENCONTRADO"),"",_xlfn.XLOOKUP($D722,Productos!$E:$E,Productos!$F:$F,""))</f>
        <v/>
      </c>
      <c r="J722" s="74">
        <f>IF($C722="","",IF($D722="NO ENCONTRADO",IF(COUNTIF($C$7:$C$1000,$C722)&gt;1,"⚠️ No encontrado | Duplicado","⚠️ No encontrado"),IF(COUNTIF($C$7:$C$1000,$C722)&gt;1,"⚠️ Duplicado","Verificado")))</f>
        <v/>
      </c>
    </row>
    <row r="723" ht="15.75" customHeight="1" s="176">
      <c r="B723" s="80" t="n"/>
      <c r="C723" s="74" t="n"/>
      <c r="D723" s="74">
        <f t="array" ref="D723">IF($C723="","",IFNA(_xlfn.XLOOKUP($C723,Productos!$A:$A,Productos!$E:$E,IFNA(_xlfn.XLOOKUP(TEXT($C723,"0"),Productos!$A:$A,Productos!$E:$E,IFNA(_xlfn.XLOOKUP(IFERROR(VALUE($C723),""),Productos!$A:$A,Productos!$E:$E,_xlfn.XLOOKUP($C723,Productos!$E:$E,Productos!$E:$E,"NO ENCONTRADO")),"NO ENCONTRADO")),"NO ENCONTRADO")),"NO ENCONTRADO"))</f>
        <v/>
      </c>
      <c r="E723" s="74">
        <f t="array" ref="E723">IF(OR($D723="",$D723="NO ENCONTRADO"),"",_xlfn.XLOOKUP($D723,Productos!$E:$E,Productos!$H:$H,""))</f>
        <v/>
      </c>
      <c r="F723" s="74">
        <f t="array" ref="F723">IF(OR($D723="",$D723="NO ENCONTRADO"),"",_xlfn.XLOOKUP($D723,Productos!$E:$E,Productos!$I:$I,""))</f>
        <v/>
      </c>
      <c r="G723" s="74">
        <f t="array" ref="G723">IF(OR($D723="",$D723="NO ENCONTRADO"),"",_xlfn.XLOOKUP($D723,Productos!$E:$E,Productos!$J:$J,""))</f>
        <v/>
      </c>
      <c r="H723" s="74">
        <f t="array" ref="H723">IF(OR($D723="",$D723="NO ENCONTRADO"),"",_xlfn.XLOOKUP($D723,Productos!$E:$E,Productos!$K:$K,""))</f>
        <v/>
      </c>
      <c r="I723" s="74">
        <f t="array" ref="I723">IF(OR($D723="",$D723="NO ENCONTRADO"),"",_xlfn.XLOOKUP($D723,Productos!$E:$E,Productos!$F:$F,""))</f>
        <v/>
      </c>
      <c r="J723" s="74">
        <f>IF($C723="","",IF($D723="NO ENCONTRADO",IF(COUNTIF($C$7:$C$1000,$C723)&gt;1,"⚠️ No encontrado | Duplicado","⚠️ No encontrado"),IF(COUNTIF($C$7:$C$1000,$C723)&gt;1,"⚠️ Duplicado","Verificado")))</f>
        <v/>
      </c>
    </row>
    <row r="724" ht="15.75" customHeight="1" s="176">
      <c r="B724" s="80" t="n"/>
      <c r="C724" s="74" t="n"/>
      <c r="D724" s="74">
        <f t="array" ref="D724">IF($C724="","",IFNA(_xlfn.XLOOKUP($C724,Productos!$A:$A,Productos!$E:$E,IFNA(_xlfn.XLOOKUP(TEXT($C724,"0"),Productos!$A:$A,Productos!$E:$E,IFNA(_xlfn.XLOOKUP(IFERROR(VALUE($C724),""),Productos!$A:$A,Productos!$E:$E,_xlfn.XLOOKUP($C724,Productos!$E:$E,Productos!$E:$E,"NO ENCONTRADO")),"NO ENCONTRADO")),"NO ENCONTRADO")),"NO ENCONTRADO"))</f>
        <v/>
      </c>
      <c r="E724" s="74">
        <f t="array" ref="E724">IF(OR($D724="",$D724="NO ENCONTRADO"),"",_xlfn.XLOOKUP($D724,Productos!$E:$E,Productos!$H:$H,""))</f>
        <v/>
      </c>
      <c r="F724" s="74">
        <f t="array" ref="F724">IF(OR($D724="",$D724="NO ENCONTRADO"),"",_xlfn.XLOOKUP($D724,Productos!$E:$E,Productos!$I:$I,""))</f>
        <v/>
      </c>
      <c r="G724" s="74">
        <f t="array" ref="G724">IF(OR($D724="",$D724="NO ENCONTRADO"),"",_xlfn.XLOOKUP($D724,Productos!$E:$E,Productos!$J:$J,""))</f>
        <v/>
      </c>
      <c r="H724" s="74">
        <f t="array" ref="H724">IF(OR($D724="",$D724="NO ENCONTRADO"),"",_xlfn.XLOOKUP($D724,Productos!$E:$E,Productos!$K:$K,""))</f>
        <v/>
      </c>
      <c r="I724" s="74">
        <f t="array" ref="I724">IF(OR($D724="",$D724="NO ENCONTRADO"),"",_xlfn.XLOOKUP($D724,Productos!$E:$E,Productos!$F:$F,""))</f>
        <v/>
      </c>
      <c r="J724" s="74">
        <f>IF($C724="","",IF($D724="NO ENCONTRADO",IF(COUNTIF($C$7:$C$1000,$C724)&gt;1,"⚠️ No encontrado | Duplicado","⚠️ No encontrado"),IF(COUNTIF($C$7:$C$1000,$C724)&gt;1,"⚠️ Duplicado","Verificado")))</f>
        <v/>
      </c>
    </row>
    <row r="725" ht="15.75" customHeight="1" s="176">
      <c r="B725" s="80" t="n"/>
      <c r="C725" s="74" t="n"/>
      <c r="D725" s="74">
        <f t="array" ref="D725">IF($C725="","",IFNA(_xlfn.XLOOKUP($C725,Productos!$A:$A,Productos!$E:$E,IFNA(_xlfn.XLOOKUP(TEXT($C725,"0"),Productos!$A:$A,Productos!$E:$E,IFNA(_xlfn.XLOOKUP(IFERROR(VALUE($C725),""),Productos!$A:$A,Productos!$E:$E,_xlfn.XLOOKUP($C725,Productos!$E:$E,Productos!$E:$E,"NO ENCONTRADO")),"NO ENCONTRADO")),"NO ENCONTRADO")),"NO ENCONTRADO"))</f>
        <v/>
      </c>
      <c r="E725" s="74">
        <f t="array" ref="E725">IF(OR($D725="",$D725="NO ENCONTRADO"),"",_xlfn.XLOOKUP($D725,Productos!$E:$E,Productos!$H:$H,""))</f>
        <v/>
      </c>
      <c r="F725" s="74">
        <f t="array" ref="F725">IF(OR($D725="",$D725="NO ENCONTRADO"),"",_xlfn.XLOOKUP($D725,Productos!$E:$E,Productos!$I:$I,""))</f>
        <v/>
      </c>
      <c r="G725" s="74">
        <f t="array" ref="G725">IF(OR($D725="",$D725="NO ENCONTRADO"),"",_xlfn.XLOOKUP($D725,Productos!$E:$E,Productos!$J:$J,""))</f>
        <v/>
      </c>
      <c r="H725" s="74">
        <f t="array" ref="H725">IF(OR($D725="",$D725="NO ENCONTRADO"),"",_xlfn.XLOOKUP($D725,Productos!$E:$E,Productos!$K:$K,""))</f>
        <v/>
      </c>
      <c r="I725" s="74">
        <f t="array" ref="I725">IF(OR($D725="",$D725="NO ENCONTRADO"),"",_xlfn.XLOOKUP($D725,Productos!$E:$E,Productos!$F:$F,""))</f>
        <v/>
      </c>
      <c r="J725" s="74">
        <f>IF($C725="","",IF($D725="NO ENCONTRADO",IF(COUNTIF($C$7:$C$1000,$C725)&gt;1,"⚠️ No encontrado | Duplicado","⚠️ No encontrado"),IF(COUNTIF($C$7:$C$1000,$C725)&gt;1,"⚠️ Duplicado","Verificado")))</f>
        <v/>
      </c>
    </row>
    <row r="726" ht="15.75" customHeight="1" s="176">
      <c r="B726" s="80" t="n"/>
      <c r="C726" s="74" t="n"/>
      <c r="D726" s="74">
        <f t="array" ref="D726">IF($C726="","",IFNA(_xlfn.XLOOKUP($C726,Productos!$A:$A,Productos!$E:$E,IFNA(_xlfn.XLOOKUP(TEXT($C726,"0"),Productos!$A:$A,Productos!$E:$E,IFNA(_xlfn.XLOOKUP(IFERROR(VALUE($C726),""),Productos!$A:$A,Productos!$E:$E,_xlfn.XLOOKUP($C726,Productos!$E:$E,Productos!$E:$E,"NO ENCONTRADO")),"NO ENCONTRADO")),"NO ENCONTRADO")),"NO ENCONTRADO"))</f>
        <v/>
      </c>
      <c r="E726" s="74">
        <f t="array" ref="E726">IF(OR($D726="",$D726="NO ENCONTRADO"),"",_xlfn.XLOOKUP($D726,Productos!$E:$E,Productos!$H:$H,""))</f>
        <v/>
      </c>
      <c r="F726" s="74">
        <f t="array" ref="F726">IF(OR($D726="",$D726="NO ENCONTRADO"),"",_xlfn.XLOOKUP($D726,Productos!$E:$E,Productos!$I:$I,""))</f>
        <v/>
      </c>
      <c r="G726" s="74">
        <f t="array" ref="G726">IF(OR($D726="",$D726="NO ENCONTRADO"),"",_xlfn.XLOOKUP($D726,Productos!$E:$E,Productos!$J:$J,""))</f>
        <v/>
      </c>
      <c r="H726" s="74">
        <f t="array" ref="H726">IF(OR($D726="",$D726="NO ENCONTRADO"),"",_xlfn.XLOOKUP($D726,Productos!$E:$E,Productos!$K:$K,""))</f>
        <v/>
      </c>
      <c r="I726" s="74">
        <f t="array" ref="I726">IF(OR($D726="",$D726="NO ENCONTRADO"),"",_xlfn.XLOOKUP($D726,Productos!$E:$E,Productos!$F:$F,""))</f>
        <v/>
      </c>
      <c r="J726" s="74">
        <f>IF($C726="","",IF($D726="NO ENCONTRADO",IF(COUNTIF($C$7:$C$1000,$C726)&gt;1,"⚠️ No encontrado | Duplicado","⚠️ No encontrado"),IF(COUNTIF($C$7:$C$1000,$C726)&gt;1,"⚠️ Duplicado","Verificado")))</f>
        <v/>
      </c>
    </row>
    <row r="727" ht="15.75" customHeight="1" s="176">
      <c r="B727" s="80" t="n"/>
      <c r="C727" s="74" t="n"/>
      <c r="D727" s="74">
        <f t="array" ref="D727">IF($C727="","",IFNA(_xlfn.XLOOKUP($C727,Productos!$A:$A,Productos!$E:$E,IFNA(_xlfn.XLOOKUP(TEXT($C727,"0"),Productos!$A:$A,Productos!$E:$E,IFNA(_xlfn.XLOOKUP(IFERROR(VALUE($C727),""),Productos!$A:$A,Productos!$E:$E,_xlfn.XLOOKUP($C727,Productos!$E:$E,Productos!$E:$E,"NO ENCONTRADO")),"NO ENCONTRADO")),"NO ENCONTRADO")),"NO ENCONTRADO"))</f>
        <v/>
      </c>
      <c r="E727" s="74">
        <f t="array" ref="E727">IF(OR($D727="",$D727="NO ENCONTRADO"),"",_xlfn.XLOOKUP($D727,Productos!$E:$E,Productos!$H:$H,""))</f>
        <v/>
      </c>
      <c r="F727" s="74">
        <f t="array" ref="F727">IF(OR($D727="",$D727="NO ENCONTRADO"),"",_xlfn.XLOOKUP($D727,Productos!$E:$E,Productos!$I:$I,""))</f>
        <v/>
      </c>
      <c r="G727" s="74">
        <f t="array" ref="G727">IF(OR($D727="",$D727="NO ENCONTRADO"),"",_xlfn.XLOOKUP($D727,Productos!$E:$E,Productos!$J:$J,""))</f>
        <v/>
      </c>
      <c r="H727" s="74">
        <f t="array" ref="H727">IF(OR($D727="",$D727="NO ENCONTRADO"),"",_xlfn.XLOOKUP($D727,Productos!$E:$E,Productos!$K:$K,""))</f>
        <v/>
      </c>
      <c r="I727" s="74">
        <f t="array" ref="I727">IF(OR($D727="",$D727="NO ENCONTRADO"),"",_xlfn.XLOOKUP($D727,Productos!$E:$E,Productos!$F:$F,""))</f>
        <v/>
      </c>
      <c r="J727" s="74">
        <f>IF($C727="","",IF($D727="NO ENCONTRADO",IF(COUNTIF($C$7:$C$1000,$C727)&gt;1,"⚠️ No encontrado | Duplicado","⚠️ No encontrado"),IF(COUNTIF($C$7:$C$1000,$C727)&gt;1,"⚠️ Duplicado","Verificado")))</f>
        <v/>
      </c>
    </row>
    <row r="728" ht="15.75" customHeight="1" s="176">
      <c r="B728" s="80" t="n"/>
      <c r="C728" s="74" t="n"/>
      <c r="D728" s="74">
        <f t="array" ref="D728">IF($C728="","",IFNA(_xlfn.XLOOKUP($C728,Productos!$A:$A,Productos!$E:$E,IFNA(_xlfn.XLOOKUP(TEXT($C728,"0"),Productos!$A:$A,Productos!$E:$E,IFNA(_xlfn.XLOOKUP(IFERROR(VALUE($C728),""),Productos!$A:$A,Productos!$E:$E,_xlfn.XLOOKUP($C728,Productos!$E:$E,Productos!$E:$E,"NO ENCONTRADO")),"NO ENCONTRADO")),"NO ENCONTRADO")),"NO ENCONTRADO"))</f>
        <v/>
      </c>
      <c r="E728" s="74">
        <f t="array" ref="E728">IF(OR($D728="",$D728="NO ENCONTRADO"),"",_xlfn.XLOOKUP($D728,Productos!$E:$E,Productos!$H:$H,""))</f>
        <v/>
      </c>
      <c r="F728" s="74">
        <f t="array" ref="F728">IF(OR($D728="",$D728="NO ENCONTRADO"),"",_xlfn.XLOOKUP($D728,Productos!$E:$E,Productos!$I:$I,""))</f>
        <v/>
      </c>
      <c r="G728" s="74">
        <f t="array" ref="G728">IF(OR($D728="",$D728="NO ENCONTRADO"),"",_xlfn.XLOOKUP($D728,Productos!$E:$E,Productos!$J:$J,""))</f>
        <v/>
      </c>
      <c r="H728" s="74">
        <f t="array" ref="H728">IF(OR($D728="",$D728="NO ENCONTRADO"),"",_xlfn.XLOOKUP($D728,Productos!$E:$E,Productos!$K:$K,""))</f>
        <v/>
      </c>
      <c r="I728" s="74">
        <f t="array" ref="I728">IF(OR($D728="",$D728="NO ENCONTRADO"),"",_xlfn.XLOOKUP($D728,Productos!$E:$E,Productos!$F:$F,""))</f>
        <v/>
      </c>
      <c r="J728" s="74">
        <f>IF($C728="","",IF($D728="NO ENCONTRADO",IF(COUNTIF($C$7:$C$1000,$C728)&gt;1,"⚠️ No encontrado | Duplicado","⚠️ No encontrado"),IF(COUNTIF($C$7:$C$1000,$C728)&gt;1,"⚠️ Duplicado","Verificado")))</f>
        <v/>
      </c>
    </row>
    <row r="729" ht="15.75" customHeight="1" s="176">
      <c r="B729" s="80" t="n"/>
      <c r="C729" s="74" t="n"/>
      <c r="D729" s="74">
        <f t="array" ref="D729">IF($C729="","",IFNA(_xlfn.XLOOKUP($C729,Productos!$A:$A,Productos!$E:$E,IFNA(_xlfn.XLOOKUP(TEXT($C729,"0"),Productos!$A:$A,Productos!$E:$E,IFNA(_xlfn.XLOOKUP(IFERROR(VALUE($C729),""),Productos!$A:$A,Productos!$E:$E,_xlfn.XLOOKUP($C729,Productos!$E:$E,Productos!$E:$E,"NO ENCONTRADO")),"NO ENCONTRADO")),"NO ENCONTRADO")),"NO ENCONTRADO"))</f>
        <v/>
      </c>
      <c r="E729" s="74">
        <f t="array" ref="E729">IF(OR($D729="",$D729="NO ENCONTRADO"),"",_xlfn.XLOOKUP($D729,Productos!$E:$E,Productos!$H:$H,""))</f>
        <v/>
      </c>
      <c r="F729" s="74">
        <f t="array" ref="F729">IF(OR($D729="",$D729="NO ENCONTRADO"),"",_xlfn.XLOOKUP($D729,Productos!$E:$E,Productos!$I:$I,""))</f>
        <v/>
      </c>
      <c r="G729" s="74">
        <f t="array" ref="G729">IF(OR($D729="",$D729="NO ENCONTRADO"),"",_xlfn.XLOOKUP($D729,Productos!$E:$E,Productos!$J:$J,""))</f>
        <v/>
      </c>
      <c r="H729" s="74">
        <f t="array" ref="H729">IF(OR($D729="",$D729="NO ENCONTRADO"),"",_xlfn.XLOOKUP($D729,Productos!$E:$E,Productos!$K:$K,""))</f>
        <v/>
      </c>
      <c r="I729" s="74">
        <f t="array" ref="I729">IF(OR($D729="",$D729="NO ENCONTRADO"),"",_xlfn.XLOOKUP($D729,Productos!$E:$E,Productos!$F:$F,""))</f>
        <v/>
      </c>
      <c r="J729" s="74">
        <f>IF($C729="","",IF($D729="NO ENCONTRADO",IF(COUNTIF($C$7:$C$1000,$C729)&gt;1,"⚠️ No encontrado | Duplicado","⚠️ No encontrado"),IF(COUNTIF($C$7:$C$1000,$C729)&gt;1,"⚠️ Duplicado","Verificado")))</f>
        <v/>
      </c>
    </row>
    <row r="730" ht="15.75" customHeight="1" s="176">
      <c r="B730" s="80" t="n"/>
      <c r="C730" s="74" t="n"/>
      <c r="D730" s="74">
        <f t="array" ref="D730">IF($C730="","",IFNA(_xlfn.XLOOKUP($C730,Productos!$A:$A,Productos!$E:$E,IFNA(_xlfn.XLOOKUP(TEXT($C730,"0"),Productos!$A:$A,Productos!$E:$E,IFNA(_xlfn.XLOOKUP(IFERROR(VALUE($C730),""),Productos!$A:$A,Productos!$E:$E,_xlfn.XLOOKUP($C730,Productos!$E:$E,Productos!$E:$E,"NO ENCONTRADO")),"NO ENCONTRADO")),"NO ENCONTRADO")),"NO ENCONTRADO"))</f>
        <v/>
      </c>
      <c r="E730" s="74">
        <f t="array" ref="E730">IF(OR($D730="",$D730="NO ENCONTRADO"),"",_xlfn.XLOOKUP($D730,Productos!$E:$E,Productos!$H:$H,""))</f>
        <v/>
      </c>
      <c r="F730" s="74">
        <f t="array" ref="F730">IF(OR($D730="",$D730="NO ENCONTRADO"),"",_xlfn.XLOOKUP($D730,Productos!$E:$E,Productos!$I:$I,""))</f>
        <v/>
      </c>
      <c r="G730" s="74">
        <f t="array" ref="G730">IF(OR($D730="",$D730="NO ENCONTRADO"),"",_xlfn.XLOOKUP($D730,Productos!$E:$E,Productos!$J:$J,""))</f>
        <v/>
      </c>
      <c r="H730" s="74">
        <f t="array" ref="H730">IF(OR($D730="",$D730="NO ENCONTRADO"),"",_xlfn.XLOOKUP($D730,Productos!$E:$E,Productos!$K:$K,""))</f>
        <v/>
      </c>
      <c r="I730" s="74">
        <f t="array" ref="I730">IF(OR($D730="",$D730="NO ENCONTRADO"),"",_xlfn.XLOOKUP($D730,Productos!$E:$E,Productos!$F:$F,""))</f>
        <v/>
      </c>
      <c r="J730" s="74">
        <f>IF($C730="","",IF($D730="NO ENCONTRADO",IF(COUNTIF($C$7:$C$1000,$C730)&gt;1,"⚠️ No encontrado | Duplicado","⚠️ No encontrado"),IF(COUNTIF($C$7:$C$1000,$C730)&gt;1,"⚠️ Duplicado","Verificado")))</f>
        <v/>
      </c>
    </row>
    <row r="731" ht="15.75" customHeight="1" s="176">
      <c r="B731" s="80" t="n"/>
      <c r="C731" s="74" t="n"/>
      <c r="D731" s="74">
        <f t="array" ref="D731">IF($C731="","",IFNA(_xlfn.XLOOKUP($C731,Productos!$A:$A,Productos!$E:$E,IFNA(_xlfn.XLOOKUP(TEXT($C731,"0"),Productos!$A:$A,Productos!$E:$E,IFNA(_xlfn.XLOOKUP(IFERROR(VALUE($C731),""),Productos!$A:$A,Productos!$E:$E,_xlfn.XLOOKUP($C731,Productos!$E:$E,Productos!$E:$E,"NO ENCONTRADO")),"NO ENCONTRADO")),"NO ENCONTRADO")),"NO ENCONTRADO"))</f>
        <v/>
      </c>
      <c r="E731" s="74">
        <f t="array" ref="E731">IF(OR($D731="",$D731="NO ENCONTRADO"),"",_xlfn.XLOOKUP($D731,Productos!$E:$E,Productos!$H:$H,""))</f>
        <v/>
      </c>
      <c r="F731" s="74">
        <f t="array" ref="F731">IF(OR($D731="",$D731="NO ENCONTRADO"),"",_xlfn.XLOOKUP($D731,Productos!$E:$E,Productos!$I:$I,""))</f>
        <v/>
      </c>
      <c r="G731" s="74">
        <f t="array" ref="G731">IF(OR($D731="",$D731="NO ENCONTRADO"),"",_xlfn.XLOOKUP($D731,Productos!$E:$E,Productos!$J:$J,""))</f>
        <v/>
      </c>
      <c r="H731" s="74">
        <f t="array" ref="H731">IF(OR($D731="",$D731="NO ENCONTRADO"),"",_xlfn.XLOOKUP($D731,Productos!$E:$E,Productos!$K:$K,""))</f>
        <v/>
      </c>
      <c r="I731" s="74">
        <f t="array" ref="I731">IF(OR($D731="",$D731="NO ENCONTRADO"),"",_xlfn.XLOOKUP($D731,Productos!$E:$E,Productos!$F:$F,""))</f>
        <v/>
      </c>
      <c r="J731" s="74">
        <f>IF($C731="","",IF($D731="NO ENCONTRADO",IF(COUNTIF($C$7:$C$1000,$C731)&gt;1,"⚠️ No encontrado | Duplicado","⚠️ No encontrado"),IF(COUNTIF($C$7:$C$1000,$C731)&gt;1,"⚠️ Duplicado","Verificado")))</f>
        <v/>
      </c>
    </row>
    <row r="732" ht="15.75" customHeight="1" s="176">
      <c r="B732" s="80" t="n"/>
      <c r="C732" s="74" t="n"/>
      <c r="D732" s="74">
        <f t="array" ref="D732">IF($C732="","",IFNA(_xlfn.XLOOKUP($C732,Productos!$A:$A,Productos!$E:$E,IFNA(_xlfn.XLOOKUP(TEXT($C732,"0"),Productos!$A:$A,Productos!$E:$E,IFNA(_xlfn.XLOOKUP(IFERROR(VALUE($C732),""),Productos!$A:$A,Productos!$E:$E,_xlfn.XLOOKUP($C732,Productos!$E:$E,Productos!$E:$E,"NO ENCONTRADO")),"NO ENCONTRADO")),"NO ENCONTRADO")),"NO ENCONTRADO"))</f>
        <v/>
      </c>
      <c r="E732" s="74">
        <f t="array" ref="E732">IF(OR($D732="",$D732="NO ENCONTRADO"),"",_xlfn.XLOOKUP($D732,Productos!$E:$E,Productos!$H:$H,""))</f>
        <v/>
      </c>
      <c r="F732" s="74">
        <f t="array" ref="F732">IF(OR($D732="",$D732="NO ENCONTRADO"),"",_xlfn.XLOOKUP($D732,Productos!$E:$E,Productos!$I:$I,""))</f>
        <v/>
      </c>
      <c r="G732" s="74">
        <f t="array" ref="G732">IF(OR($D732="",$D732="NO ENCONTRADO"),"",_xlfn.XLOOKUP($D732,Productos!$E:$E,Productos!$J:$J,""))</f>
        <v/>
      </c>
      <c r="H732" s="74">
        <f t="array" ref="H732">IF(OR($D732="",$D732="NO ENCONTRADO"),"",_xlfn.XLOOKUP($D732,Productos!$E:$E,Productos!$K:$K,""))</f>
        <v/>
      </c>
      <c r="I732" s="74">
        <f t="array" ref="I732">IF(OR($D732="",$D732="NO ENCONTRADO"),"",_xlfn.XLOOKUP($D732,Productos!$E:$E,Productos!$F:$F,""))</f>
        <v/>
      </c>
      <c r="J732" s="74">
        <f>IF($C732="","",IF($D732="NO ENCONTRADO",IF(COUNTIF($C$7:$C$1000,$C732)&gt;1,"⚠️ No encontrado | Duplicado","⚠️ No encontrado"),IF(COUNTIF($C$7:$C$1000,$C732)&gt;1,"⚠️ Duplicado","Verificado")))</f>
        <v/>
      </c>
    </row>
    <row r="733" ht="15.75" customHeight="1" s="176">
      <c r="B733" s="80" t="n"/>
      <c r="C733" s="74" t="n"/>
      <c r="D733" s="74">
        <f t="array" ref="D733">IF($C733="","",IFNA(_xlfn.XLOOKUP($C733,Productos!$A:$A,Productos!$E:$E,IFNA(_xlfn.XLOOKUP(TEXT($C733,"0"),Productos!$A:$A,Productos!$E:$E,IFNA(_xlfn.XLOOKUP(IFERROR(VALUE($C733),""),Productos!$A:$A,Productos!$E:$E,_xlfn.XLOOKUP($C733,Productos!$E:$E,Productos!$E:$E,"NO ENCONTRADO")),"NO ENCONTRADO")),"NO ENCONTRADO")),"NO ENCONTRADO"))</f>
        <v/>
      </c>
      <c r="E733" s="74">
        <f t="array" ref="E733">IF(OR($D733="",$D733="NO ENCONTRADO"),"",_xlfn.XLOOKUP($D733,Productos!$E:$E,Productos!$H:$H,""))</f>
        <v/>
      </c>
      <c r="F733" s="74">
        <f t="array" ref="F733">IF(OR($D733="",$D733="NO ENCONTRADO"),"",_xlfn.XLOOKUP($D733,Productos!$E:$E,Productos!$I:$I,""))</f>
        <v/>
      </c>
      <c r="G733" s="74">
        <f t="array" ref="G733">IF(OR($D733="",$D733="NO ENCONTRADO"),"",_xlfn.XLOOKUP($D733,Productos!$E:$E,Productos!$J:$J,""))</f>
        <v/>
      </c>
      <c r="H733" s="74">
        <f t="array" ref="H733">IF(OR($D733="",$D733="NO ENCONTRADO"),"",_xlfn.XLOOKUP($D733,Productos!$E:$E,Productos!$K:$K,""))</f>
        <v/>
      </c>
      <c r="I733" s="74">
        <f t="array" ref="I733">IF(OR($D733="",$D733="NO ENCONTRADO"),"",_xlfn.XLOOKUP($D733,Productos!$E:$E,Productos!$F:$F,""))</f>
        <v/>
      </c>
      <c r="J733" s="74">
        <f>IF($C733="","",IF($D733="NO ENCONTRADO",IF(COUNTIF($C$7:$C$1000,$C733)&gt;1,"⚠️ No encontrado | Duplicado","⚠️ No encontrado"),IF(COUNTIF($C$7:$C$1000,$C733)&gt;1,"⚠️ Duplicado","Verificado")))</f>
        <v/>
      </c>
    </row>
    <row r="734" ht="15.75" customHeight="1" s="176">
      <c r="B734" s="80" t="n"/>
      <c r="C734" s="74" t="n"/>
      <c r="D734" s="74">
        <f t="array" ref="D734">IF($C734="","",IFNA(_xlfn.XLOOKUP($C734,Productos!$A:$A,Productos!$E:$E,IFNA(_xlfn.XLOOKUP(TEXT($C734,"0"),Productos!$A:$A,Productos!$E:$E,IFNA(_xlfn.XLOOKUP(IFERROR(VALUE($C734),""),Productos!$A:$A,Productos!$E:$E,_xlfn.XLOOKUP($C734,Productos!$E:$E,Productos!$E:$E,"NO ENCONTRADO")),"NO ENCONTRADO")),"NO ENCONTRADO")),"NO ENCONTRADO"))</f>
        <v/>
      </c>
      <c r="E734" s="74">
        <f t="array" ref="E734">IF(OR($D734="",$D734="NO ENCONTRADO"),"",_xlfn.XLOOKUP($D734,Productos!$E:$E,Productos!$H:$H,""))</f>
        <v/>
      </c>
      <c r="F734" s="74">
        <f t="array" ref="F734">IF(OR($D734="",$D734="NO ENCONTRADO"),"",_xlfn.XLOOKUP($D734,Productos!$E:$E,Productos!$I:$I,""))</f>
        <v/>
      </c>
      <c r="G734" s="74">
        <f t="array" ref="G734">IF(OR($D734="",$D734="NO ENCONTRADO"),"",_xlfn.XLOOKUP($D734,Productos!$E:$E,Productos!$J:$J,""))</f>
        <v/>
      </c>
      <c r="H734" s="74">
        <f t="array" ref="H734">IF(OR($D734="",$D734="NO ENCONTRADO"),"",_xlfn.XLOOKUP($D734,Productos!$E:$E,Productos!$K:$K,""))</f>
        <v/>
      </c>
      <c r="I734" s="74">
        <f t="array" ref="I734">IF(OR($D734="",$D734="NO ENCONTRADO"),"",_xlfn.XLOOKUP($D734,Productos!$E:$E,Productos!$F:$F,""))</f>
        <v/>
      </c>
      <c r="J734" s="74">
        <f>IF($C734="","",IF($D734="NO ENCONTRADO",IF(COUNTIF($C$7:$C$1000,$C734)&gt;1,"⚠️ No encontrado | Duplicado","⚠️ No encontrado"),IF(COUNTIF($C$7:$C$1000,$C734)&gt;1,"⚠️ Duplicado","Verificado")))</f>
        <v/>
      </c>
    </row>
    <row r="735" ht="15.75" customHeight="1" s="176">
      <c r="B735" s="80" t="n"/>
      <c r="C735" s="74" t="n"/>
      <c r="D735" s="74">
        <f t="array" ref="D735">IF($C735="","",IFNA(_xlfn.XLOOKUP($C735,Productos!$A:$A,Productos!$E:$E,IFNA(_xlfn.XLOOKUP(TEXT($C735,"0"),Productos!$A:$A,Productos!$E:$E,IFNA(_xlfn.XLOOKUP(IFERROR(VALUE($C735),""),Productos!$A:$A,Productos!$E:$E,_xlfn.XLOOKUP($C735,Productos!$E:$E,Productos!$E:$E,"NO ENCONTRADO")),"NO ENCONTRADO")),"NO ENCONTRADO")),"NO ENCONTRADO"))</f>
        <v/>
      </c>
      <c r="E735" s="74">
        <f t="array" ref="E735">IF(OR($D735="",$D735="NO ENCONTRADO"),"",_xlfn.XLOOKUP($D735,Productos!$E:$E,Productos!$H:$H,""))</f>
        <v/>
      </c>
      <c r="F735" s="74">
        <f t="array" ref="F735">IF(OR($D735="",$D735="NO ENCONTRADO"),"",_xlfn.XLOOKUP($D735,Productos!$E:$E,Productos!$I:$I,""))</f>
        <v/>
      </c>
      <c r="G735" s="74">
        <f t="array" ref="G735">IF(OR($D735="",$D735="NO ENCONTRADO"),"",_xlfn.XLOOKUP($D735,Productos!$E:$E,Productos!$J:$J,""))</f>
        <v/>
      </c>
      <c r="H735" s="74">
        <f t="array" ref="H735">IF(OR($D735="",$D735="NO ENCONTRADO"),"",_xlfn.XLOOKUP($D735,Productos!$E:$E,Productos!$K:$K,""))</f>
        <v/>
      </c>
      <c r="I735" s="74">
        <f t="array" ref="I735">IF(OR($D735="",$D735="NO ENCONTRADO"),"",_xlfn.XLOOKUP($D735,Productos!$E:$E,Productos!$F:$F,""))</f>
        <v/>
      </c>
      <c r="J735" s="74">
        <f>IF($C735="","",IF($D735="NO ENCONTRADO",IF(COUNTIF($C$7:$C$1000,$C735)&gt;1,"⚠️ No encontrado | Duplicado","⚠️ No encontrado"),IF(COUNTIF($C$7:$C$1000,$C735)&gt;1,"⚠️ Duplicado","Verificado")))</f>
        <v/>
      </c>
    </row>
    <row r="736" ht="15.75" customHeight="1" s="176">
      <c r="B736" s="80" t="n"/>
      <c r="C736" s="74" t="n"/>
      <c r="D736" s="74">
        <f t="array" ref="D736">IF($C736="","",IFNA(_xlfn.XLOOKUP($C736,Productos!$A:$A,Productos!$E:$E,IFNA(_xlfn.XLOOKUP(TEXT($C736,"0"),Productos!$A:$A,Productos!$E:$E,IFNA(_xlfn.XLOOKUP(IFERROR(VALUE($C736),""),Productos!$A:$A,Productos!$E:$E,_xlfn.XLOOKUP($C736,Productos!$E:$E,Productos!$E:$E,"NO ENCONTRADO")),"NO ENCONTRADO")),"NO ENCONTRADO")),"NO ENCONTRADO"))</f>
        <v/>
      </c>
      <c r="E736" s="74">
        <f t="array" ref="E736">IF(OR($D736="",$D736="NO ENCONTRADO"),"",_xlfn.XLOOKUP($D736,Productos!$E:$E,Productos!$H:$H,""))</f>
        <v/>
      </c>
      <c r="F736" s="74">
        <f t="array" ref="F736">IF(OR($D736="",$D736="NO ENCONTRADO"),"",_xlfn.XLOOKUP($D736,Productos!$E:$E,Productos!$I:$I,""))</f>
        <v/>
      </c>
      <c r="G736" s="74">
        <f t="array" ref="G736">IF(OR($D736="",$D736="NO ENCONTRADO"),"",_xlfn.XLOOKUP($D736,Productos!$E:$E,Productos!$J:$J,""))</f>
        <v/>
      </c>
      <c r="H736" s="74">
        <f t="array" ref="H736">IF(OR($D736="",$D736="NO ENCONTRADO"),"",_xlfn.XLOOKUP($D736,Productos!$E:$E,Productos!$K:$K,""))</f>
        <v/>
      </c>
      <c r="I736" s="74">
        <f t="array" ref="I736">IF(OR($D736="",$D736="NO ENCONTRADO"),"",_xlfn.XLOOKUP($D736,Productos!$E:$E,Productos!$F:$F,""))</f>
        <v/>
      </c>
      <c r="J736" s="74">
        <f>IF($C736="","",IF($D736="NO ENCONTRADO",IF(COUNTIF($C$7:$C$1000,$C736)&gt;1,"⚠️ No encontrado | Duplicado","⚠️ No encontrado"),IF(COUNTIF($C$7:$C$1000,$C736)&gt;1,"⚠️ Duplicado","Verificado")))</f>
        <v/>
      </c>
    </row>
    <row r="737" ht="15.75" customHeight="1" s="176">
      <c r="B737" s="80" t="n"/>
      <c r="C737" s="74" t="n"/>
      <c r="D737" s="74">
        <f t="array" ref="D737">IF($C737="","",IFNA(_xlfn.XLOOKUP($C737,Productos!$A:$A,Productos!$E:$E,IFNA(_xlfn.XLOOKUP(TEXT($C737,"0"),Productos!$A:$A,Productos!$E:$E,IFNA(_xlfn.XLOOKUP(IFERROR(VALUE($C737),""),Productos!$A:$A,Productos!$E:$E,_xlfn.XLOOKUP($C737,Productos!$E:$E,Productos!$E:$E,"NO ENCONTRADO")),"NO ENCONTRADO")),"NO ENCONTRADO")),"NO ENCONTRADO"))</f>
        <v/>
      </c>
      <c r="E737" s="74">
        <f t="array" ref="E737">IF(OR($D737="",$D737="NO ENCONTRADO"),"",_xlfn.XLOOKUP($D737,Productos!$E:$E,Productos!$H:$H,""))</f>
        <v/>
      </c>
      <c r="F737" s="74">
        <f t="array" ref="F737">IF(OR($D737="",$D737="NO ENCONTRADO"),"",_xlfn.XLOOKUP($D737,Productos!$E:$E,Productos!$I:$I,""))</f>
        <v/>
      </c>
      <c r="G737" s="74">
        <f t="array" ref="G737">IF(OR($D737="",$D737="NO ENCONTRADO"),"",_xlfn.XLOOKUP($D737,Productos!$E:$E,Productos!$J:$J,""))</f>
        <v/>
      </c>
      <c r="H737" s="74">
        <f t="array" ref="H737">IF(OR($D737="",$D737="NO ENCONTRADO"),"",_xlfn.XLOOKUP($D737,Productos!$E:$E,Productos!$K:$K,""))</f>
        <v/>
      </c>
      <c r="I737" s="74">
        <f t="array" ref="I737">IF(OR($D737="",$D737="NO ENCONTRADO"),"",_xlfn.XLOOKUP($D737,Productos!$E:$E,Productos!$F:$F,""))</f>
        <v/>
      </c>
      <c r="J737" s="74">
        <f>IF($C737="","",IF($D737="NO ENCONTRADO",IF(COUNTIF($C$7:$C$1000,$C737)&gt;1,"⚠️ No encontrado | Duplicado","⚠️ No encontrado"),IF(COUNTIF($C$7:$C$1000,$C737)&gt;1,"⚠️ Duplicado","Verificado")))</f>
        <v/>
      </c>
    </row>
    <row r="738" ht="15.75" customHeight="1" s="176">
      <c r="B738" s="80" t="n"/>
      <c r="C738" s="74" t="n"/>
      <c r="D738" s="74">
        <f t="array" ref="D738">IF($C738="","",IFNA(_xlfn.XLOOKUP($C738,Productos!$A:$A,Productos!$E:$E,IFNA(_xlfn.XLOOKUP(TEXT($C738,"0"),Productos!$A:$A,Productos!$E:$E,IFNA(_xlfn.XLOOKUP(IFERROR(VALUE($C738),""),Productos!$A:$A,Productos!$E:$E,_xlfn.XLOOKUP($C738,Productos!$E:$E,Productos!$E:$E,"NO ENCONTRADO")),"NO ENCONTRADO")),"NO ENCONTRADO")),"NO ENCONTRADO"))</f>
        <v/>
      </c>
      <c r="E738" s="74">
        <f t="array" ref="E738">IF(OR($D738="",$D738="NO ENCONTRADO"),"",_xlfn.XLOOKUP($D738,Productos!$E:$E,Productos!$H:$H,""))</f>
        <v/>
      </c>
      <c r="F738" s="74">
        <f t="array" ref="F738">IF(OR($D738="",$D738="NO ENCONTRADO"),"",_xlfn.XLOOKUP($D738,Productos!$E:$E,Productos!$I:$I,""))</f>
        <v/>
      </c>
      <c r="G738" s="74">
        <f t="array" ref="G738">IF(OR($D738="",$D738="NO ENCONTRADO"),"",_xlfn.XLOOKUP($D738,Productos!$E:$E,Productos!$J:$J,""))</f>
        <v/>
      </c>
      <c r="H738" s="74">
        <f t="array" ref="H738">IF(OR($D738="",$D738="NO ENCONTRADO"),"",_xlfn.XLOOKUP($D738,Productos!$E:$E,Productos!$K:$K,""))</f>
        <v/>
      </c>
      <c r="I738" s="74">
        <f t="array" ref="I738">IF(OR($D738="",$D738="NO ENCONTRADO"),"",_xlfn.XLOOKUP($D738,Productos!$E:$E,Productos!$F:$F,""))</f>
        <v/>
      </c>
      <c r="J738" s="74">
        <f>IF($C738="","",IF($D738="NO ENCONTRADO",IF(COUNTIF($C$7:$C$1000,$C738)&gt;1,"⚠️ No encontrado | Duplicado","⚠️ No encontrado"),IF(COUNTIF($C$7:$C$1000,$C738)&gt;1,"⚠️ Duplicado","Verificado")))</f>
        <v/>
      </c>
    </row>
    <row r="739" ht="15.75" customHeight="1" s="176">
      <c r="B739" s="80" t="n"/>
      <c r="C739" s="74" t="n"/>
      <c r="D739" s="74">
        <f t="array" ref="D739">IF($C739="","",IFNA(_xlfn.XLOOKUP($C739,Productos!$A:$A,Productos!$E:$E,IFNA(_xlfn.XLOOKUP(TEXT($C739,"0"),Productos!$A:$A,Productos!$E:$E,IFNA(_xlfn.XLOOKUP(IFERROR(VALUE($C739),""),Productos!$A:$A,Productos!$E:$E,_xlfn.XLOOKUP($C739,Productos!$E:$E,Productos!$E:$E,"NO ENCONTRADO")),"NO ENCONTRADO")),"NO ENCONTRADO")),"NO ENCONTRADO"))</f>
        <v/>
      </c>
      <c r="E739" s="74">
        <f t="array" ref="E739">IF(OR($D739="",$D739="NO ENCONTRADO"),"",_xlfn.XLOOKUP($D739,Productos!$E:$E,Productos!$H:$H,""))</f>
        <v/>
      </c>
      <c r="F739" s="74">
        <f t="array" ref="F739">IF(OR($D739="",$D739="NO ENCONTRADO"),"",_xlfn.XLOOKUP($D739,Productos!$E:$E,Productos!$I:$I,""))</f>
        <v/>
      </c>
      <c r="G739" s="74">
        <f t="array" ref="G739">IF(OR($D739="",$D739="NO ENCONTRADO"),"",_xlfn.XLOOKUP($D739,Productos!$E:$E,Productos!$J:$J,""))</f>
        <v/>
      </c>
      <c r="H739" s="74">
        <f t="array" ref="H739">IF(OR($D739="",$D739="NO ENCONTRADO"),"",_xlfn.XLOOKUP($D739,Productos!$E:$E,Productos!$K:$K,""))</f>
        <v/>
      </c>
      <c r="I739" s="74">
        <f t="array" ref="I739">IF(OR($D739="",$D739="NO ENCONTRADO"),"",_xlfn.XLOOKUP($D739,Productos!$E:$E,Productos!$F:$F,""))</f>
        <v/>
      </c>
      <c r="J739" s="74">
        <f>IF($C739="","",IF($D739="NO ENCONTRADO",IF(COUNTIF($C$7:$C$1000,$C739)&gt;1,"⚠️ No encontrado | Duplicado","⚠️ No encontrado"),IF(COUNTIF($C$7:$C$1000,$C739)&gt;1,"⚠️ Duplicado","Verificado")))</f>
        <v/>
      </c>
    </row>
    <row r="740" ht="15.75" customHeight="1" s="176">
      <c r="B740" s="80" t="n"/>
      <c r="C740" s="74" t="n"/>
      <c r="D740" s="74">
        <f t="array" ref="D740">IF($C740="","",IFNA(_xlfn.XLOOKUP($C740,Productos!$A:$A,Productos!$E:$E,IFNA(_xlfn.XLOOKUP(TEXT($C740,"0"),Productos!$A:$A,Productos!$E:$E,IFNA(_xlfn.XLOOKUP(IFERROR(VALUE($C740),""),Productos!$A:$A,Productos!$E:$E,_xlfn.XLOOKUP($C740,Productos!$E:$E,Productos!$E:$E,"NO ENCONTRADO")),"NO ENCONTRADO")),"NO ENCONTRADO")),"NO ENCONTRADO"))</f>
        <v/>
      </c>
      <c r="E740" s="74">
        <f t="array" ref="E740">IF(OR($D740="",$D740="NO ENCONTRADO"),"",_xlfn.XLOOKUP($D740,Productos!$E:$E,Productos!$H:$H,""))</f>
        <v/>
      </c>
      <c r="F740" s="74">
        <f t="array" ref="F740">IF(OR($D740="",$D740="NO ENCONTRADO"),"",_xlfn.XLOOKUP($D740,Productos!$E:$E,Productos!$I:$I,""))</f>
        <v/>
      </c>
      <c r="G740" s="74">
        <f t="array" ref="G740">IF(OR($D740="",$D740="NO ENCONTRADO"),"",_xlfn.XLOOKUP($D740,Productos!$E:$E,Productos!$J:$J,""))</f>
        <v/>
      </c>
      <c r="H740" s="74">
        <f t="array" ref="H740">IF(OR($D740="",$D740="NO ENCONTRADO"),"",_xlfn.XLOOKUP($D740,Productos!$E:$E,Productos!$K:$K,""))</f>
        <v/>
      </c>
      <c r="I740" s="74">
        <f t="array" ref="I740">IF(OR($D740="",$D740="NO ENCONTRADO"),"",_xlfn.XLOOKUP($D740,Productos!$E:$E,Productos!$F:$F,""))</f>
        <v/>
      </c>
      <c r="J740" s="74">
        <f>IF($C740="","",IF($D740="NO ENCONTRADO",IF(COUNTIF($C$7:$C$1000,$C740)&gt;1,"⚠️ No encontrado | Duplicado","⚠️ No encontrado"),IF(COUNTIF($C$7:$C$1000,$C740)&gt;1,"⚠️ Duplicado","Verificado")))</f>
        <v/>
      </c>
    </row>
    <row r="741" ht="15.75" customHeight="1" s="176">
      <c r="B741" s="80" t="n"/>
      <c r="C741" s="74" t="n"/>
      <c r="D741" s="74">
        <f t="array" ref="D741">IF($C741="","",IFNA(_xlfn.XLOOKUP($C741,Productos!$A:$A,Productos!$E:$E,IFNA(_xlfn.XLOOKUP(TEXT($C741,"0"),Productos!$A:$A,Productos!$E:$E,IFNA(_xlfn.XLOOKUP(IFERROR(VALUE($C741),""),Productos!$A:$A,Productos!$E:$E,_xlfn.XLOOKUP($C741,Productos!$E:$E,Productos!$E:$E,"NO ENCONTRADO")),"NO ENCONTRADO")),"NO ENCONTRADO")),"NO ENCONTRADO"))</f>
        <v/>
      </c>
      <c r="E741" s="74">
        <f t="array" ref="E741">IF(OR($D741="",$D741="NO ENCONTRADO"),"",_xlfn.XLOOKUP($D741,Productos!$E:$E,Productos!$H:$H,""))</f>
        <v/>
      </c>
      <c r="F741" s="74">
        <f t="array" ref="F741">IF(OR($D741="",$D741="NO ENCONTRADO"),"",_xlfn.XLOOKUP($D741,Productos!$E:$E,Productos!$I:$I,""))</f>
        <v/>
      </c>
      <c r="G741" s="74">
        <f t="array" ref="G741">IF(OR($D741="",$D741="NO ENCONTRADO"),"",_xlfn.XLOOKUP($D741,Productos!$E:$E,Productos!$J:$J,""))</f>
        <v/>
      </c>
      <c r="H741" s="74">
        <f t="array" ref="H741">IF(OR($D741="",$D741="NO ENCONTRADO"),"",_xlfn.XLOOKUP($D741,Productos!$E:$E,Productos!$K:$K,""))</f>
        <v/>
      </c>
      <c r="I741" s="74">
        <f t="array" ref="I741">IF(OR($D741="",$D741="NO ENCONTRADO"),"",_xlfn.XLOOKUP($D741,Productos!$E:$E,Productos!$F:$F,""))</f>
        <v/>
      </c>
      <c r="J741" s="74">
        <f>IF($C741="","",IF($D741="NO ENCONTRADO",IF(COUNTIF($C$7:$C$1000,$C741)&gt;1,"⚠️ No encontrado | Duplicado","⚠️ No encontrado"),IF(COUNTIF($C$7:$C$1000,$C741)&gt;1,"⚠️ Duplicado","Verificado")))</f>
        <v/>
      </c>
    </row>
    <row r="742" ht="15.75" customHeight="1" s="176">
      <c r="B742" s="80" t="n"/>
      <c r="C742" s="74" t="n"/>
      <c r="D742" s="74">
        <f t="array" ref="D742">IF($C742="","",IFNA(_xlfn.XLOOKUP($C742,Productos!$A:$A,Productos!$E:$E,IFNA(_xlfn.XLOOKUP(TEXT($C742,"0"),Productos!$A:$A,Productos!$E:$E,IFNA(_xlfn.XLOOKUP(IFERROR(VALUE($C742),""),Productos!$A:$A,Productos!$E:$E,_xlfn.XLOOKUP($C742,Productos!$E:$E,Productos!$E:$E,"NO ENCONTRADO")),"NO ENCONTRADO")),"NO ENCONTRADO")),"NO ENCONTRADO"))</f>
        <v/>
      </c>
      <c r="E742" s="74">
        <f t="array" ref="E742">IF(OR($D742="",$D742="NO ENCONTRADO"),"",_xlfn.XLOOKUP($D742,Productos!$E:$E,Productos!$H:$H,""))</f>
        <v/>
      </c>
      <c r="F742" s="74">
        <f t="array" ref="F742">IF(OR($D742="",$D742="NO ENCONTRADO"),"",_xlfn.XLOOKUP($D742,Productos!$E:$E,Productos!$I:$I,""))</f>
        <v/>
      </c>
      <c r="G742" s="74">
        <f t="array" ref="G742">IF(OR($D742="",$D742="NO ENCONTRADO"),"",_xlfn.XLOOKUP($D742,Productos!$E:$E,Productos!$J:$J,""))</f>
        <v/>
      </c>
      <c r="H742" s="74">
        <f t="array" ref="H742">IF(OR($D742="",$D742="NO ENCONTRADO"),"",_xlfn.XLOOKUP($D742,Productos!$E:$E,Productos!$K:$K,""))</f>
        <v/>
      </c>
      <c r="I742" s="74">
        <f t="array" ref="I742">IF(OR($D742="",$D742="NO ENCONTRADO"),"",_xlfn.XLOOKUP($D742,Productos!$E:$E,Productos!$F:$F,""))</f>
        <v/>
      </c>
      <c r="J742" s="74">
        <f>IF($C742="","",IF($D742="NO ENCONTRADO",IF(COUNTIF($C$7:$C$1000,$C742)&gt;1,"⚠️ No encontrado | Duplicado","⚠️ No encontrado"),IF(COUNTIF($C$7:$C$1000,$C742)&gt;1,"⚠️ Duplicado","Verificado")))</f>
        <v/>
      </c>
    </row>
    <row r="743" ht="15.75" customHeight="1" s="176">
      <c r="B743" s="80" t="n"/>
      <c r="C743" s="74" t="n"/>
      <c r="D743" s="74">
        <f t="array" ref="D743">IF($C743="","",IFNA(_xlfn.XLOOKUP($C743,Productos!$A:$A,Productos!$E:$E,IFNA(_xlfn.XLOOKUP(TEXT($C743,"0"),Productos!$A:$A,Productos!$E:$E,IFNA(_xlfn.XLOOKUP(IFERROR(VALUE($C743),""),Productos!$A:$A,Productos!$E:$E,_xlfn.XLOOKUP($C743,Productos!$E:$E,Productos!$E:$E,"NO ENCONTRADO")),"NO ENCONTRADO")),"NO ENCONTRADO")),"NO ENCONTRADO"))</f>
        <v/>
      </c>
      <c r="E743" s="74">
        <f t="array" ref="E743">IF(OR($D743="",$D743="NO ENCONTRADO"),"",_xlfn.XLOOKUP($D743,Productos!$E:$E,Productos!$H:$H,""))</f>
        <v/>
      </c>
      <c r="F743" s="74">
        <f t="array" ref="F743">IF(OR($D743="",$D743="NO ENCONTRADO"),"",_xlfn.XLOOKUP($D743,Productos!$E:$E,Productos!$I:$I,""))</f>
        <v/>
      </c>
      <c r="G743" s="74">
        <f t="array" ref="G743">IF(OR($D743="",$D743="NO ENCONTRADO"),"",_xlfn.XLOOKUP($D743,Productos!$E:$E,Productos!$J:$J,""))</f>
        <v/>
      </c>
      <c r="H743" s="74">
        <f t="array" ref="H743">IF(OR($D743="",$D743="NO ENCONTRADO"),"",_xlfn.XLOOKUP($D743,Productos!$E:$E,Productos!$K:$K,""))</f>
        <v/>
      </c>
      <c r="I743" s="74">
        <f t="array" ref="I743">IF(OR($D743="",$D743="NO ENCONTRADO"),"",_xlfn.XLOOKUP($D743,Productos!$E:$E,Productos!$F:$F,""))</f>
        <v/>
      </c>
      <c r="J743" s="74">
        <f>IF($C743="","",IF($D743="NO ENCONTRADO",IF(COUNTIF($C$7:$C$1000,$C743)&gt;1,"⚠️ No encontrado | Duplicado","⚠️ No encontrado"),IF(COUNTIF($C$7:$C$1000,$C743)&gt;1,"⚠️ Duplicado","Verificado")))</f>
        <v/>
      </c>
    </row>
    <row r="744" ht="15.75" customHeight="1" s="176">
      <c r="B744" s="80" t="n"/>
      <c r="C744" s="74" t="n"/>
      <c r="D744" s="74">
        <f t="array" ref="D744">IF($C744="","",IFNA(_xlfn.XLOOKUP($C744,Productos!$A:$A,Productos!$E:$E,IFNA(_xlfn.XLOOKUP(TEXT($C744,"0"),Productos!$A:$A,Productos!$E:$E,IFNA(_xlfn.XLOOKUP(IFERROR(VALUE($C744),""),Productos!$A:$A,Productos!$E:$E,_xlfn.XLOOKUP($C744,Productos!$E:$E,Productos!$E:$E,"NO ENCONTRADO")),"NO ENCONTRADO")),"NO ENCONTRADO")),"NO ENCONTRADO"))</f>
        <v/>
      </c>
      <c r="E744" s="74">
        <f t="array" ref="E744">IF(OR($D744="",$D744="NO ENCONTRADO"),"",_xlfn.XLOOKUP($D744,Productos!$E:$E,Productos!$H:$H,""))</f>
        <v/>
      </c>
      <c r="F744" s="74">
        <f t="array" ref="F744">IF(OR($D744="",$D744="NO ENCONTRADO"),"",_xlfn.XLOOKUP($D744,Productos!$E:$E,Productos!$I:$I,""))</f>
        <v/>
      </c>
      <c r="G744" s="74">
        <f t="array" ref="G744">IF(OR($D744="",$D744="NO ENCONTRADO"),"",_xlfn.XLOOKUP($D744,Productos!$E:$E,Productos!$J:$J,""))</f>
        <v/>
      </c>
      <c r="H744" s="74">
        <f t="array" ref="H744">IF(OR($D744="",$D744="NO ENCONTRADO"),"",_xlfn.XLOOKUP($D744,Productos!$E:$E,Productos!$K:$K,""))</f>
        <v/>
      </c>
      <c r="I744" s="74">
        <f t="array" ref="I744">IF(OR($D744="",$D744="NO ENCONTRADO"),"",_xlfn.XLOOKUP($D744,Productos!$E:$E,Productos!$F:$F,""))</f>
        <v/>
      </c>
      <c r="J744" s="74">
        <f>IF($C744="","",IF($D744="NO ENCONTRADO",IF(COUNTIF($C$7:$C$1000,$C744)&gt;1,"⚠️ No encontrado | Duplicado","⚠️ No encontrado"),IF(COUNTIF($C$7:$C$1000,$C744)&gt;1,"⚠️ Duplicado","Verificado")))</f>
        <v/>
      </c>
    </row>
    <row r="745" ht="15.75" customHeight="1" s="176">
      <c r="B745" s="80" t="n"/>
      <c r="C745" s="74" t="n"/>
      <c r="D745" s="74">
        <f t="array" ref="D745">IF($C745="","",IFNA(_xlfn.XLOOKUP($C745,Productos!$A:$A,Productos!$E:$E,IFNA(_xlfn.XLOOKUP(TEXT($C745,"0"),Productos!$A:$A,Productos!$E:$E,IFNA(_xlfn.XLOOKUP(IFERROR(VALUE($C745),""),Productos!$A:$A,Productos!$E:$E,_xlfn.XLOOKUP($C745,Productos!$E:$E,Productos!$E:$E,"NO ENCONTRADO")),"NO ENCONTRADO")),"NO ENCONTRADO")),"NO ENCONTRADO"))</f>
        <v/>
      </c>
      <c r="E745" s="74">
        <f t="array" ref="E745">IF(OR($D745="",$D745="NO ENCONTRADO"),"",_xlfn.XLOOKUP($D745,Productos!$E:$E,Productos!$H:$H,""))</f>
        <v/>
      </c>
      <c r="F745" s="74">
        <f t="array" ref="F745">IF(OR($D745="",$D745="NO ENCONTRADO"),"",_xlfn.XLOOKUP($D745,Productos!$E:$E,Productos!$I:$I,""))</f>
        <v/>
      </c>
      <c r="G745" s="74">
        <f t="array" ref="G745">IF(OR($D745="",$D745="NO ENCONTRADO"),"",_xlfn.XLOOKUP($D745,Productos!$E:$E,Productos!$J:$J,""))</f>
        <v/>
      </c>
      <c r="H745" s="74">
        <f t="array" ref="H745">IF(OR($D745="",$D745="NO ENCONTRADO"),"",_xlfn.XLOOKUP($D745,Productos!$E:$E,Productos!$K:$K,""))</f>
        <v/>
      </c>
      <c r="I745" s="74">
        <f t="array" ref="I745">IF(OR($D745="",$D745="NO ENCONTRADO"),"",_xlfn.XLOOKUP($D745,Productos!$E:$E,Productos!$F:$F,""))</f>
        <v/>
      </c>
      <c r="J745" s="74">
        <f>IF($C745="","",IF($D745="NO ENCONTRADO",IF(COUNTIF($C$7:$C$1000,$C745)&gt;1,"⚠️ No encontrado | Duplicado","⚠️ No encontrado"),IF(COUNTIF($C$7:$C$1000,$C745)&gt;1,"⚠️ Duplicado","Verificado")))</f>
        <v/>
      </c>
    </row>
    <row r="746" ht="15.75" customHeight="1" s="176">
      <c r="B746" s="80" t="n"/>
      <c r="C746" s="74" t="n"/>
      <c r="D746" s="74">
        <f t="array" ref="D746">IF($C746="","",IFNA(_xlfn.XLOOKUP($C746,Productos!$A:$A,Productos!$E:$E,IFNA(_xlfn.XLOOKUP(TEXT($C746,"0"),Productos!$A:$A,Productos!$E:$E,IFNA(_xlfn.XLOOKUP(IFERROR(VALUE($C746),""),Productos!$A:$A,Productos!$E:$E,_xlfn.XLOOKUP($C746,Productos!$E:$E,Productos!$E:$E,"NO ENCONTRADO")),"NO ENCONTRADO")),"NO ENCONTRADO")),"NO ENCONTRADO"))</f>
        <v/>
      </c>
      <c r="E746" s="74">
        <f t="array" ref="E746">IF(OR($D746="",$D746="NO ENCONTRADO"),"",_xlfn.XLOOKUP($D746,Productos!$E:$E,Productos!$H:$H,""))</f>
        <v/>
      </c>
      <c r="F746" s="74">
        <f t="array" ref="F746">IF(OR($D746="",$D746="NO ENCONTRADO"),"",_xlfn.XLOOKUP($D746,Productos!$E:$E,Productos!$I:$I,""))</f>
        <v/>
      </c>
      <c r="G746" s="74">
        <f t="array" ref="G746">IF(OR($D746="",$D746="NO ENCONTRADO"),"",_xlfn.XLOOKUP($D746,Productos!$E:$E,Productos!$J:$J,""))</f>
        <v/>
      </c>
      <c r="H746" s="74">
        <f t="array" ref="H746">IF(OR($D746="",$D746="NO ENCONTRADO"),"",_xlfn.XLOOKUP($D746,Productos!$E:$E,Productos!$K:$K,""))</f>
        <v/>
      </c>
      <c r="I746" s="74">
        <f t="array" ref="I746">IF(OR($D746="",$D746="NO ENCONTRADO"),"",_xlfn.XLOOKUP($D746,Productos!$E:$E,Productos!$F:$F,""))</f>
        <v/>
      </c>
      <c r="J746" s="74">
        <f>IF($C746="","",IF($D746="NO ENCONTRADO",IF(COUNTIF($C$7:$C$1000,$C746)&gt;1,"⚠️ No encontrado | Duplicado","⚠️ No encontrado"),IF(COUNTIF($C$7:$C$1000,$C746)&gt;1,"⚠️ Duplicado","Verificado")))</f>
        <v/>
      </c>
    </row>
    <row r="747" ht="15.75" customHeight="1" s="176">
      <c r="B747" s="80" t="n"/>
      <c r="C747" s="74" t="n"/>
      <c r="D747" s="74">
        <f t="array" ref="D747">IF($C747="","",IFNA(_xlfn.XLOOKUP($C747,Productos!$A:$A,Productos!$E:$E,IFNA(_xlfn.XLOOKUP(TEXT($C747,"0"),Productos!$A:$A,Productos!$E:$E,IFNA(_xlfn.XLOOKUP(IFERROR(VALUE($C747),""),Productos!$A:$A,Productos!$E:$E,_xlfn.XLOOKUP($C747,Productos!$E:$E,Productos!$E:$E,"NO ENCONTRADO")),"NO ENCONTRADO")),"NO ENCONTRADO")),"NO ENCONTRADO"))</f>
        <v/>
      </c>
      <c r="E747" s="74">
        <f t="array" ref="E747">IF(OR($D747="",$D747="NO ENCONTRADO"),"",_xlfn.XLOOKUP($D747,Productos!$E:$E,Productos!$H:$H,""))</f>
        <v/>
      </c>
      <c r="F747" s="74">
        <f t="array" ref="F747">IF(OR($D747="",$D747="NO ENCONTRADO"),"",_xlfn.XLOOKUP($D747,Productos!$E:$E,Productos!$I:$I,""))</f>
        <v/>
      </c>
      <c r="G747" s="74">
        <f t="array" ref="G747">IF(OR($D747="",$D747="NO ENCONTRADO"),"",_xlfn.XLOOKUP($D747,Productos!$E:$E,Productos!$J:$J,""))</f>
        <v/>
      </c>
      <c r="H747" s="74">
        <f t="array" ref="H747">IF(OR($D747="",$D747="NO ENCONTRADO"),"",_xlfn.XLOOKUP($D747,Productos!$E:$E,Productos!$K:$K,""))</f>
        <v/>
      </c>
      <c r="I747" s="74">
        <f t="array" ref="I747">IF(OR($D747="",$D747="NO ENCONTRADO"),"",_xlfn.XLOOKUP($D747,Productos!$E:$E,Productos!$F:$F,""))</f>
        <v/>
      </c>
      <c r="J747" s="74">
        <f>IF($C747="","",IF($D747="NO ENCONTRADO",IF(COUNTIF($C$7:$C$1000,$C747)&gt;1,"⚠️ No encontrado | Duplicado","⚠️ No encontrado"),IF(COUNTIF($C$7:$C$1000,$C747)&gt;1,"⚠️ Duplicado","Verificado")))</f>
        <v/>
      </c>
    </row>
    <row r="748" ht="15.75" customHeight="1" s="176">
      <c r="B748" s="80" t="n"/>
      <c r="C748" s="74" t="n"/>
      <c r="D748" s="74">
        <f t="array" ref="D748">IF($C748="","",IFNA(_xlfn.XLOOKUP($C748,Productos!$A:$A,Productos!$E:$E,IFNA(_xlfn.XLOOKUP(TEXT($C748,"0"),Productos!$A:$A,Productos!$E:$E,IFNA(_xlfn.XLOOKUP(IFERROR(VALUE($C748),""),Productos!$A:$A,Productos!$E:$E,_xlfn.XLOOKUP($C748,Productos!$E:$E,Productos!$E:$E,"NO ENCONTRADO")),"NO ENCONTRADO")),"NO ENCONTRADO")),"NO ENCONTRADO"))</f>
        <v/>
      </c>
      <c r="E748" s="74">
        <f t="array" ref="E748">IF(OR($D748="",$D748="NO ENCONTRADO"),"",_xlfn.XLOOKUP($D748,Productos!$E:$E,Productos!$H:$H,""))</f>
        <v/>
      </c>
      <c r="F748" s="74">
        <f t="array" ref="F748">IF(OR($D748="",$D748="NO ENCONTRADO"),"",_xlfn.XLOOKUP($D748,Productos!$E:$E,Productos!$I:$I,""))</f>
        <v/>
      </c>
      <c r="G748" s="74">
        <f t="array" ref="G748">IF(OR($D748="",$D748="NO ENCONTRADO"),"",_xlfn.XLOOKUP($D748,Productos!$E:$E,Productos!$J:$J,""))</f>
        <v/>
      </c>
      <c r="H748" s="74">
        <f t="array" ref="H748">IF(OR($D748="",$D748="NO ENCONTRADO"),"",_xlfn.XLOOKUP($D748,Productos!$E:$E,Productos!$K:$K,""))</f>
        <v/>
      </c>
      <c r="I748" s="74">
        <f t="array" ref="I748">IF(OR($D748="",$D748="NO ENCONTRADO"),"",_xlfn.XLOOKUP($D748,Productos!$E:$E,Productos!$F:$F,""))</f>
        <v/>
      </c>
      <c r="J748" s="74">
        <f>IF($C748="","",IF($D748="NO ENCONTRADO",IF(COUNTIF($C$7:$C$1000,$C748)&gt;1,"⚠️ No encontrado | Duplicado","⚠️ No encontrado"),IF(COUNTIF($C$7:$C$1000,$C748)&gt;1,"⚠️ Duplicado","Verificado")))</f>
        <v/>
      </c>
    </row>
    <row r="749" ht="15.75" customHeight="1" s="176">
      <c r="B749" s="80" t="n"/>
      <c r="C749" s="74" t="n"/>
      <c r="D749" s="74">
        <f t="array" ref="D749">IF($C749="","",IFNA(_xlfn.XLOOKUP($C749,Productos!$A:$A,Productos!$E:$E,IFNA(_xlfn.XLOOKUP(TEXT($C749,"0"),Productos!$A:$A,Productos!$E:$E,IFNA(_xlfn.XLOOKUP(IFERROR(VALUE($C749),""),Productos!$A:$A,Productos!$E:$E,_xlfn.XLOOKUP($C749,Productos!$E:$E,Productos!$E:$E,"NO ENCONTRADO")),"NO ENCONTRADO")),"NO ENCONTRADO")),"NO ENCONTRADO"))</f>
        <v/>
      </c>
      <c r="E749" s="74">
        <f t="array" ref="E749">IF(OR($D749="",$D749="NO ENCONTRADO"),"",_xlfn.XLOOKUP($D749,Productos!$E:$E,Productos!$H:$H,""))</f>
        <v/>
      </c>
      <c r="F749" s="74">
        <f t="array" ref="F749">IF(OR($D749="",$D749="NO ENCONTRADO"),"",_xlfn.XLOOKUP($D749,Productos!$E:$E,Productos!$I:$I,""))</f>
        <v/>
      </c>
      <c r="G749" s="74">
        <f t="array" ref="G749">IF(OR($D749="",$D749="NO ENCONTRADO"),"",_xlfn.XLOOKUP($D749,Productos!$E:$E,Productos!$J:$J,""))</f>
        <v/>
      </c>
      <c r="H749" s="74">
        <f t="array" ref="H749">IF(OR($D749="",$D749="NO ENCONTRADO"),"",_xlfn.XLOOKUP($D749,Productos!$E:$E,Productos!$K:$K,""))</f>
        <v/>
      </c>
      <c r="I749" s="74">
        <f t="array" ref="I749">IF(OR($D749="",$D749="NO ENCONTRADO"),"",_xlfn.XLOOKUP($D749,Productos!$E:$E,Productos!$F:$F,""))</f>
        <v/>
      </c>
      <c r="J749" s="74">
        <f>IF($C749="","",IF($D749="NO ENCONTRADO",IF(COUNTIF($C$7:$C$1000,$C749)&gt;1,"⚠️ No encontrado | Duplicado","⚠️ No encontrado"),IF(COUNTIF($C$7:$C$1000,$C749)&gt;1,"⚠️ Duplicado","Verificado")))</f>
        <v/>
      </c>
    </row>
    <row r="750" ht="15.75" customHeight="1" s="176">
      <c r="B750" s="80" t="n"/>
      <c r="C750" s="74" t="n"/>
      <c r="D750" s="74">
        <f t="array" ref="D750">IF($C750="","",IFNA(_xlfn.XLOOKUP($C750,Productos!$A:$A,Productos!$E:$E,IFNA(_xlfn.XLOOKUP(TEXT($C750,"0"),Productos!$A:$A,Productos!$E:$E,IFNA(_xlfn.XLOOKUP(IFERROR(VALUE($C750),""),Productos!$A:$A,Productos!$E:$E,_xlfn.XLOOKUP($C750,Productos!$E:$E,Productos!$E:$E,"NO ENCONTRADO")),"NO ENCONTRADO")),"NO ENCONTRADO")),"NO ENCONTRADO"))</f>
        <v/>
      </c>
      <c r="E750" s="74">
        <f t="array" ref="E750">IF(OR($D750="",$D750="NO ENCONTRADO"),"",_xlfn.XLOOKUP($D750,Productos!$E:$E,Productos!$H:$H,""))</f>
        <v/>
      </c>
      <c r="F750" s="74">
        <f t="array" ref="F750">IF(OR($D750="",$D750="NO ENCONTRADO"),"",_xlfn.XLOOKUP($D750,Productos!$E:$E,Productos!$I:$I,""))</f>
        <v/>
      </c>
      <c r="G750" s="74">
        <f t="array" ref="G750">IF(OR($D750="",$D750="NO ENCONTRADO"),"",_xlfn.XLOOKUP($D750,Productos!$E:$E,Productos!$J:$J,""))</f>
        <v/>
      </c>
      <c r="H750" s="74">
        <f t="array" ref="H750">IF(OR($D750="",$D750="NO ENCONTRADO"),"",_xlfn.XLOOKUP($D750,Productos!$E:$E,Productos!$K:$K,""))</f>
        <v/>
      </c>
      <c r="I750" s="74">
        <f t="array" ref="I750">IF(OR($D750="",$D750="NO ENCONTRADO"),"",_xlfn.XLOOKUP($D750,Productos!$E:$E,Productos!$F:$F,""))</f>
        <v/>
      </c>
      <c r="J750" s="74">
        <f>IF($C750="","",IF($D750="NO ENCONTRADO",IF(COUNTIF($C$7:$C$1000,$C750)&gt;1,"⚠️ No encontrado | Duplicado","⚠️ No encontrado"),IF(COUNTIF($C$7:$C$1000,$C750)&gt;1,"⚠️ Duplicado","Verificado")))</f>
        <v/>
      </c>
    </row>
    <row r="751" ht="15.75" customHeight="1" s="176">
      <c r="B751" s="80" t="n"/>
      <c r="C751" s="74" t="n"/>
      <c r="D751" s="74">
        <f t="array" ref="D751">IF($C751="","",IFNA(_xlfn.XLOOKUP($C751,Productos!$A:$A,Productos!$E:$E,IFNA(_xlfn.XLOOKUP(TEXT($C751,"0"),Productos!$A:$A,Productos!$E:$E,IFNA(_xlfn.XLOOKUP(IFERROR(VALUE($C751),""),Productos!$A:$A,Productos!$E:$E,_xlfn.XLOOKUP($C751,Productos!$E:$E,Productos!$E:$E,"NO ENCONTRADO")),"NO ENCONTRADO")),"NO ENCONTRADO")),"NO ENCONTRADO"))</f>
        <v/>
      </c>
      <c r="E751" s="74">
        <f t="array" ref="E751">IF(OR($D751="",$D751="NO ENCONTRADO"),"",_xlfn.XLOOKUP($D751,Productos!$E:$E,Productos!$H:$H,""))</f>
        <v/>
      </c>
      <c r="F751" s="74">
        <f t="array" ref="F751">IF(OR($D751="",$D751="NO ENCONTRADO"),"",_xlfn.XLOOKUP($D751,Productos!$E:$E,Productos!$I:$I,""))</f>
        <v/>
      </c>
      <c r="G751" s="74">
        <f t="array" ref="G751">IF(OR($D751="",$D751="NO ENCONTRADO"),"",_xlfn.XLOOKUP($D751,Productos!$E:$E,Productos!$J:$J,""))</f>
        <v/>
      </c>
      <c r="H751" s="74">
        <f t="array" ref="H751">IF(OR($D751="",$D751="NO ENCONTRADO"),"",_xlfn.XLOOKUP($D751,Productos!$E:$E,Productos!$K:$K,""))</f>
        <v/>
      </c>
      <c r="I751" s="74">
        <f t="array" ref="I751">IF(OR($D751="",$D751="NO ENCONTRADO"),"",_xlfn.XLOOKUP($D751,Productos!$E:$E,Productos!$F:$F,""))</f>
        <v/>
      </c>
      <c r="J751" s="74">
        <f>IF($C751="","",IF($D751="NO ENCONTRADO",IF(COUNTIF($C$7:$C$1000,$C751)&gt;1,"⚠️ No encontrado | Duplicado","⚠️ No encontrado"),IF(COUNTIF($C$7:$C$1000,$C751)&gt;1,"⚠️ Duplicado","Verificado")))</f>
        <v/>
      </c>
    </row>
    <row r="752" ht="15.75" customHeight="1" s="176">
      <c r="B752" s="80" t="n"/>
      <c r="C752" s="74" t="n"/>
      <c r="D752" s="74">
        <f t="array" ref="D752">IF($C752="","",IFNA(_xlfn.XLOOKUP($C752,Productos!$A:$A,Productos!$E:$E,IFNA(_xlfn.XLOOKUP(TEXT($C752,"0"),Productos!$A:$A,Productos!$E:$E,IFNA(_xlfn.XLOOKUP(IFERROR(VALUE($C752),""),Productos!$A:$A,Productos!$E:$E,_xlfn.XLOOKUP($C752,Productos!$E:$E,Productos!$E:$E,"NO ENCONTRADO")),"NO ENCONTRADO")),"NO ENCONTRADO")),"NO ENCONTRADO"))</f>
        <v/>
      </c>
      <c r="E752" s="74">
        <f t="array" ref="E752">IF(OR($D752="",$D752="NO ENCONTRADO"),"",_xlfn.XLOOKUP($D752,Productos!$E:$E,Productos!$H:$H,""))</f>
        <v/>
      </c>
      <c r="F752" s="74">
        <f t="array" ref="F752">IF(OR($D752="",$D752="NO ENCONTRADO"),"",_xlfn.XLOOKUP($D752,Productos!$E:$E,Productos!$I:$I,""))</f>
        <v/>
      </c>
      <c r="G752" s="74">
        <f t="array" ref="G752">IF(OR($D752="",$D752="NO ENCONTRADO"),"",_xlfn.XLOOKUP($D752,Productos!$E:$E,Productos!$J:$J,""))</f>
        <v/>
      </c>
      <c r="H752" s="74">
        <f t="array" ref="H752">IF(OR($D752="",$D752="NO ENCONTRADO"),"",_xlfn.XLOOKUP($D752,Productos!$E:$E,Productos!$K:$K,""))</f>
        <v/>
      </c>
      <c r="I752" s="74">
        <f t="array" ref="I752">IF(OR($D752="",$D752="NO ENCONTRADO"),"",_xlfn.XLOOKUP($D752,Productos!$E:$E,Productos!$F:$F,""))</f>
        <v/>
      </c>
      <c r="J752" s="74">
        <f>IF($C752="","",IF($D752="NO ENCONTRADO",IF(COUNTIF($C$7:$C$1000,$C752)&gt;1,"⚠️ No encontrado | Duplicado","⚠️ No encontrado"),IF(COUNTIF($C$7:$C$1000,$C752)&gt;1,"⚠️ Duplicado","Verificado")))</f>
        <v/>
      </c>
    </row>
    <row r="753" ht="15.75" customHeight="1" s="176">
      <c r="B753" s="80" t="n"/>
      <c r="C753" s="74" t="n"/>
      <c r="D753" s="74">
        <f t="array" ref="D753">IF($C753="","",IFNA(_xlfn.XLOOKUP($C753,Productos!$A:$A,Productos!$E:$E,IFNA(_xlfn.XLOOKUP(TEXT($C753,"0"),Productos!$A:$A,Productos!$E:$E,IFNA(_xlfn.XLOOKUP(IFERROR(VALUE($C753),""),Productos!$A:$A,Productos!$E:$E,_xlfn.XLOOKUP($C753,Productos!$E:$E,Productos!$E:$E,"NO ENCONTRADO")),"NO ENCONTRADO")),"NO ENCONTRADO")),"NO ENCONTRADO"))</f>
        <v/>
      </c>
      <c r="E753" s="74">
        <f t="array" ref="E753">IF(OR($D753="",$D753="NO ENCONTRADO"),"",_xlfn.XLOOKUP($D753,Productos!$E:$E,Productos!$H:$H,""))</f>
        <v/>
      </c>
      <c r="F753" s="74">
        <f t="array" ref="F753">IF(OR($D753="",$D753="NO ENCONTRADO"),"",_xlfn.XLOOKUP($D753,Productos!$E:$E,Productos!$I:$I,""))</f>
        <v/>
      </c>
      <c r="G753" s="74">
        <f t="array" ref="G753">IF(OR($D753="",$D753="NO ENCONTRADO"),"",_xlfn.XLOOKUP($D753,Productos!$E:$E,Productos!$J:$J,""))</f>
        <v/>
      </c>
      <c r="H753" s="74">
        <f t="array" ref="H753">IF(OR($D753="",$D753="NO ENCONTRADO"),"",_xlfn.XLOOKUP($D753,Productos!$E:$E,Productos!$K:$K,""))</f>
        <v/>
      </c>
      <c r="I753" s="74">
        <f t="array" ref="I753">IF(OR($D753="",$D753="NO ENCONTRADO"),"",_xlfn.XLOOKUP($D753,Productos!$E:$E,Productos!$F:$F,""))</f>
        <v/>
      </c>
      <c r="J753" s="74">
        <f>IF($C753="","",IF($D753="NO ENCONTRADO",IF(COUNTIF($C$7:$C$1000,$C753)&gt;1,"⚠️ No encontrado | Duplicado","⚠️ No encontrado"),IF(COUNTIF($C$7:$C$1000,$C753)&gt;1,"⚠️ Duplicado","Verificado")))</f>
        <v/>
      </c>
    </row>
    <row r="754" ht="15.75" customHeight="1" s="176">
      <c r="B754" s="80" t="n"/>
      <c r="C754" s="74" t="n"/>
      <c r="D754" s="74">
        <f t="array" ref="D754">IF($C754="","",IFNA(_xlfn.XLOOKUP($C754,Productos!$A:$A,Productos!$E:$E,IFNA(_xlfn.XLOOKUP(TEXT($C754,"0"),Productos!$A:$A,Productos!$E:$E,IFNA(_xlfn.XLOOKUP(IFERROR(VALUE($C754),""),Productos!$A:$A,Productos!$E:$E,_xlfn.XLOOKUP($C754,Productos!$E:$E,Productos!$E:$E,"NO ENCONTRADO")),"NO ENCONTRADO")),"NO ENCONTRADO")),"NO ENCONTRADO"))</f>
        <v/>
      </c>
      <c r="E754" s="74">
        <f t="array" ref="E754">IF(OR($D754="",$D754="NO ENCONTRADO"),"",_xlfn.XLOOKUP($D754,Productos!$E:$E,Productos!$H:$H,""))</f>
        <v/>
      </c>
      <c r="F754" s="74">
        <f t="array" ref="F754">IF(OR($D754="",$D754="NO ENCONTRADO"),"",_xlfn.XLOOKUP($D754,Productos!$E:$E,Productos!$I:$I,""))</f>
        <v/>
      </c>
      <c r="G754" s="74">
        <f t="array" ref="G754">IF(OR($D754="",$D754="NO ENCONTRADO"),"",_xlfn.XLOOKUP($D754,Productos!$E:$E,Productos!$J:$J,""))</f>
        <v/>
      </c>
      <c r="H754" s="74">
        <f t="array" ref="H754">IF(OR($D754="",$D754="NO ENCONTRADO"),"",_xlfn.XLOOKUP($D754,Productos!$E:$E,Productos!$K:$K,""))</f>
        <v/>
      </c>
      <c r="I754" s="74">
        <f t="array" ref="I754">IF(OR($D754="",$D754="NO ENCONTRADO"),"",_xlfn.XLOOKUP($D754,Productos!$E:$E,Productos!$F:$F,""))</f>
        <v/>
      </c>
      <c r="J754" s="74">
        <f>IF($C754="","",IF($D754="NO ENCONTRADO",IF(COUNTIF($C$7:$C$1000,$C754)&gt;1,"⚠️ No encontrado | Duplicado","⚠️ No encontrado"),IF(COUNTIF($C$7:$C$1000,$C754)&gt;1,"⚠️ Duplicado","Verificado")))</f>
        <v/>
      </c>
    </row>
    <row r="755" ht="15.75" customHeight="1" s="176">
      <c r="B755" s="80" t="n"/>
      <c r="C755" s="74" t="n"/>
      <c r="D755" s="74">
        <f t="array" ref="D755">IF($C755="","",IFNA(_xlfn.XLOOKUP($C755,Productos!$A:$A,Productos!$E:$E,IFNA(_xlfn.XLOOKUP(TEXT($C755,"0"),Productos!$A:$A,Productos!$E:$E,IFNA(_xlfn.XLOOKUP(IFERROR(VALUE($C755),""),Productos!$A:$A,Productos!$E:$E,_xlfn.XLOOKUP($C755,Productos!$E:$E,Productos!$E:$E,"NO ENCONTRADO")),"NO ENCONTRADO")),"NO ENCONTRADO")),"NO ENCONTRADO"))</f>
        <v/>
      </c>
      <c r="E755" s="74">
        <f t="array" ref="E755">IF(OR($D755="",$D755="NO ENCONTRADO"),"",_xlfn.XLOOKUP($D755,Productos!$E:$E,Productos!$H:$H,""))</f>
        <v/>
      </c>
      <c r="F755" s="74">
        <f t="array" ref="F755">IF(OR($D755="",$D755="NO ENCONTRADO"),"",_xlfn.XLOOKUP($D755,Productos!$E:$E,Productos!$I:$I,""))</f>
        <v/>
      </c>
      <c r="G755" s="74">
        <f t="array" ref="G755">IF(OR($D755="",$D755="NO ENCONTRADO"),"",_xlfn.XLOOKUP($D755,Productos!$E:$E,Productos!$J:$J,""))</f>
        <v/>
      </c>
      <c r="H755" s="74">
        <f t="array" ref="H755">IF(OR($D755="",$D755="NO ENCONTRADO"),"",_xlfn.XLOOKUP($D755,Productos!$E:$E,Productos!$K:$K,""))</f>
        <v/>
      </c>
      <c r="I755" s="74">
        <f t="array" ref="I755">IF(OR($D755="",$D755="NO ENCONTRADO"),"",_xlfn.XLOOKUP($D755,Productos!$E:$E,Productos!$F:$F,""))</f>
        <v/>
      </c>
      <c r="J755" s="74">
        <f>IF($C755="","",IF($D755="NO ENCONTRADO",IF(COUNTIF($C$7:$C$1000,$C755)&gt;1,"⚠️ No encontrado | Duplicado","⚠️ No encontrado"),IF(COUNTIF($C$7:$C$1000,$C755)&gt;1,"⚠️ Duplicado","Verificado")))</f>
        <v/>
      </c>
    </row>
    <row r="756" ht="15.75" customHeight="1" s="176">
      <c r="B756" s="80" t="n"/>
      <c r="C756" s="74" t="n"/>
      <c r="D756" s="74">
        <f t="array" ref="D756">IF($C756="","",IFNA(_xlfn.XLOOKUP($C756,Productos!$A:$A,Productos!$E:$E,IFNA(_xlfn.XLOOKUP(TEXT($C756,"0"),Productos!$A:$A,Productos!$E:$E,IFNA(_xlfn.XLOOKUP(IFERROR(VALUE($C756),""),Productos!$A:$A,Productos!$E:$E,_xlfn.XLOOKUP($C756,Productos!$E:$E,Productos!$E:$E,"NO ENCONTRADO")),"NO ENCONTRADO")),"NO ENCONTRADO")),"NO ENCONTRADO"))</f>
        <v/>
      </c>
      <c r="E756" s="74">
        <f t="array" ref="E756">IF(OR($D756="",$D756="NO ENCONTRADO"),"",_xlfn.XLOOKUP($D756,Productos!$E:$E,Productos!$H:$H,""))</f>
        <v/>
      </c>
      <c r="F756" s="74">
        <f t="array" ref="F756">IF(OR($D756="",$D756="NO ENCONTRADO"),"",_xlfn.XLOOKUP($D756,Productos!$E:$E,Productos!$I:$I,""))</f>
        <v/>
      </c>
      <c r="G756" s="74">
        <f t="array" ref="G756">IF(OR($D756="",$D756="NO ENCONTRADO"),"",_xlfn.XLOOKUP($D756,Productos!$E:$E,Productos!$J:$J,""))</f>
        <v/>
      </c>
      <c r="H756" s="74">
        <f t="array" ref="H756">IF(OR($D756="",$D756="NO ENCONTRADO"),"",_xlfn.XLOOKUP($D756,Productos!$E:$E,Productos!$K:$K,""))</f>
        <v/>
      </c>
      <c r="I756" s="74">
        <f t="array" ref="I756">IF(OR($D756="",$D756="NO ENCONTRADO"),"",_xlfn.XLOOKUP($D756,Productos!$E:$E,Productos!$F:$F,""))</f>
        <v/>
      </c>
      <c r="J756" s="74">
        <f>IF($C756="","",IF($D756="NO ENCONTRADO",IF(COUNTIF($C$7:$C$1000,$C756)&gt;1,"⚠️ No encontrado | Duplicado","⚠️ No encontrado"),IF(COUNTIF($C$7:$C$1000,$C756)&gt;1,"⚠️ Duplicado","Verificado")))</f>
        <v/>
      </c>
    </row>
    <row r="757" ht="15.75" customHeight="1" s="176">
      <c r="B757" s="80" t="n"/>
      <c r="C757" s="74" t="n"/>
      <c r="D757" s="74">
        <f t="array" ref="D757">IF($C757="","",IFNA(_xlfn.XLOOKUP($C757,Productos!$A:$A,Productos!$E:$E,IFNA(_xlfn.XLOOKUP(TEXT($C757,"0"),Productos!$A:$A,Productos!$E:$E,IFNA(_xlfn.XLOOKUP(IFERROR(VALUE($C757),""),Productos!$A:$A,Productos!$E:$E,_xlfn.XLOOKUP($C757,Productos!$E:$E,Productos!$E:$E,"NO ENCONTRADO")),"NO ENCONTRADO")),"NO ENCONTRADO")),"NO ENCONTRADO"))</f>
        <v/>
      </c>
      <c r="E757" s="74">
        <f t="array" ref="E757">IF(OR($D757="",$D757="NO ENCONTRADO"),"",_xlfn.XLOOKUP($D757,Productos!$E:$E,Productos!$H:$H,""))</f>
        <v/>
      </c>
      <c r="F757" s="74">
        <f t="array" ref="F757">IF(OR($D757="",$D757="NO ENCONTRADO"),"",_xlfn.XLOOKUP($D757,Productos!$E:$E,Productos!$I:$I,""))</f>
        <v/>
      </c>
      <c r="G757" s="74">
        <f t="array" ref="G757">IF(OR($D757="",$D757="NO ENCONTRADO"),"",_xlfn.XLOOKUP($D757,Productos!$E:$E,Productos!$J:$J,""))</f>
        <v/>
      </c>
      <c r="H757" s="74">
        <f t="array" ref="H757">IF(OR($D757="",$D757="NO ENCONTRADO"),"",_xlfn.XLOOKUP($D757,Productos!$E:$E,Productos!$K:$K,""))</f>
        <v/>
      </c>
      <c r="I757" s="74">
        <f t="array" ref="I757">IF(OR($D757="",$D757="NO ENCONTRADO"),"",_xlfn.XLOOKUP($D757,Productos!$E:$E,Productos!$F:$F,""))</f>
        <v/>
      </c>
      <c r="J757" s="74">
        <f>IF($C757="","",IF($D757="NO ENCONTRADO",IF(COUNTIF($C$7:$C$1000,$C757)&gt;1,"⚠️ No encontrado | Duplicado","⚠️ No encontrado"),IF(COUNTIF($C$7:$C$1000,$C757)&gt;1,"⚠️ Duplicado","Verificado")))</f>
        <v/>
      </c>
    </row>
    <row r="758" ht="15.75" customHeight="1" s="176">
      <c r="B758" s="80" t="n"/>
      <c r="C758" s="74" t="n"/>
      <c r="D758" s="74">
        <f t="array" ref="D758">IF($C758="","",IFNA(_xlfn.XLOOKUP($C758,Productos!$A:$A,Productos!$E:$E,IFNA(_xlfn.XLOOKUP(TEXT($C758,"0"),Productos!$A:$A,Productos!$E:$E,IFNA(_xlfn.XLOOKUP(IFERROR(VALUE($C758),""),Productos!$A:$A,Productos!$E:$E,_xlfn.XLOOKUP($C758,Productos!$E:$E,Productos!$E:$E,"NO ENCONTRADO")),"NO ENCONTRADO")),"NO ENCONTRADO")),"NO ENCONTRADO"))</f>
        <v/>
      </c>
      <c r="E758" s="74">
        <f t="array" ref="E758">IF(OR($D758="",$D758="NO ENCONTRADO"),"",_xlfn.XLOOKUP($D758,Productos!$E:$E,Productos!$H:$H,""))</f>
        <v/>
      </c>
      <c r="F758" s="74">
        <f t="array" ref="F758">IF(OR($D758="",$D758="NO ENCONTRADO"),"",_xlfn.XLOOKUP($D758,Productos!$E:$E,Productos!$I:$I,""))</f>
        <v/>
      </c>
      <c r="G758" s="74">
        <f t="array" ref="G758">IF(OR($D758="",$D758="NO ENCONTRADO"),"",_xlfn.XLOOKUP($D758,Productos!$E:$E,Productos!$J:$J,""))</f>
        <v/>
      </c>
      <c r="H758" s="74">
        <f t="array" ref="H758">IF(OR($D758="",$D758="NO ENCONTRADO"),"",_xlfn.XLOOKUP($D758,Productos!$E:$E,Productos!$K:$K,""))</f>
        <v/>
      </c>
      <c r="I758" s="74">
        <f t="array" ref="I758">IF(OR($D758="",$D758="NO ENCONTRADO"),"",_xlfn.XLOOKUP($D758,Productos!$E:$E,Productos!$F:$F,""))</f>
        <v/>
      </c>
      <c r="J758" s="74">
        <f>IF($C758="","",IF($D758="NO ENCONTRADO",IF(COUNTIF($C$7:$C$1000,$C758)&gt;1,"⚠️ No encontrado | Duplicado","⚠️ No encontrado"),IF(COUNTIF($C$7:$C$1000,$C758)&gt;1,"⚠️ Duplicado","Verificado")))</f>
        <v/>
      </c>
    </row>
    <row r="759" ht="15.75" customHeight="1" s="176">
      <c r="B759" s="80" t="n"/>
      <c r="C759" s="74" t="n"/>
      <c r="D759" s="74">
        <f t="array" ref="D759">IF($C759="","",IFNA(_xlfn.XLOOKUP($C759,Productos!$A:$A,Productos!$E:$E,IFNA(_xlfn.XLOOKUP(TEXT($C759,"0"),Productos!$A:$A,Productos!$E:$E,IFNA(_xlfn.XLOOKUP(IFERROR(VALUE($C759),""),Productos!$A:$A,Productos!$E:$E,_xlfn.XLOOKUP($C759,Productos!$E:$E,Productos!$E:$E,"NO ENCONTRADO")),"NO ENCONTRADO")),"NO ENCONTRADO")),"NO ENCONTRADO"))</f>
        <v/>
      </c>
      <c r="E759" s="74">
        <f t="array" ref="E759">IF(OR($D759="",$D759="NO ENCONTRADO"),"",_xlfn.XLOOKUP($D759,Productos!$E:$E,Productos!$H:$H,""))</f>
        <v/>
      </c>
      <c r="F759" s="74">
        <f t="array" ref="F759">IF(OR($D759="",$D759="NO ENCONTRADO"),"",_xlfn.XLOOKUP($D759,Productos!$E:$E,Productos!$I:$I,""))</f>
        <v/>
      </c>
      <c r="G759" s="74">
        <f t="array" ref="G759">IF(OR($D759="",$D759="NO ENCONTRADO"),"",_xlfn.XLOOKUP($D759,Productos!$E:$E,Productos!$J:$J,""))</f>
        <v/>
      </c>
      <c r="H759" s="74">
        <f t="array" ref="H759">IF(OR($D759="",$D759="NO ENCONTRADO"),"",_xlfn.XLOOKUP($D759,Productos!$E:$E,Productos!$K:$K,""))</f>
        <v/>
      </c>
      <c r="I759" s="74">
        <f t="array" ref="I759">IF(OR($D759="",$D759="NO ENCONTRADO"),"",_xlfn.XLOOKUP($D759,Productos!$E:$E,Productos!$F:$F,""))</f>
        <v/>
      </c>
      <c r="J759" s="74">
        <f>IF($C759="","",IF($D759="NO ENCONTRADO",IF(COUNTIF($C$7:$C$1000,$C759)&gt;1,"⚠️ No encontrado | Duplicado","⚠️ No encontrado"),IF(COUNTIF($C$7:$C$1000,$C759)&gt;1,"⚠️ Duplicado","Verificado")))</f>
        <v/>
      </c>
    </row>
    <row r="760" ht="15.75" customHeight="1" s="176">
      <c r="B760" s="80" t="n"/>
      <c r="C760" s="74" t="n"/>
      <c r="D760" s="74">
        <f t="array" ref="D760">IF($C760="","",IFNA(_xlfn.XLOOKUP($C760,Productos!$A:$A,Productos!$E:$E,IFNA(_xlfn.XLOOKUP(TEXT($C760,"0"),Productos!$A:$A,Productos!$E:$E,IFNA(_xlfn.XLOOKUP(IFERROR(VALUE($C760),""),Productos!$A:$A,Productos!$E:$E,_xlfn.XLOOKUP($C760,Productos!$E:$E,Productos!$E:$E,"NO ENCONTRADO")),"NO ENCONTRADO")),"NO ENCONTRADO")),"NO ENCONTRADO"))</f>
        <v/>
      </c>
      <c r="E760" s="74">
        <f t="array" ref="E760">IF(OR($D760="",$D760="NO ENCONTRADO"),"",_xlfn.XLOOKUP($D760,Productos!$E:$E,Productos!$H:$H,""))</f>
        <v/>
      </c>
      <c r="F760" s="74">
        <f t="array" ref="F760">IF(OR($D760="",$D760="NO ENCONTRADO"),"",_xlfn.XLOOKUP($D760,Productos!$E:$E,Productos!$I:$I,""))</f>
        <v/>
      </c>
      <c r="G760" s="74">
        <f t="array" ref="G760">IF(OR($D760="",$D760="NO ENCONTRADO"),"",_xlfn.XLOOKUP($D760,Productos!$E:$E,Productos!$J:$J,""))</f>
        <v/>
      </c>
      <c r="H760" s="74">
        <f t="array" ref="H760">IF(OR($D760="",$D760="NO ENCONTRADO"),"",_xlfn.XLOOKUP($D760,Productos!$E:$E,Productos!$K:$K,""))</f>
        <v/>
      </c>
      <c r="I760" s="74">
        <f t="array" ref="I760">IF(OR($D760="",$D760="NO ENCONTRADO"),"",_xlfn.XLOOKUP($D760,Productos!$E:$E,Productos!$F:$F,""))</f>
        <v/>
      </c>
      <c r="J760" s="74">
        <f>IF($C760="","",IF($D760="NO ENCONTRADO",IF(COUNTIF($C$7:$C$1000,$C760)&gt;1,"⚠️ No encontrado | Duplicado","⚠️ No encontrado"),IF(COUNTIF($C$7:$C$1000,$C760)&gt;1,"⚠️ Duplicado","Verificado")))</f>
        <v/>
      </c>
    </row>
    <row r="761" ht="15.75" customHeight="1" s="176">
      <c r="B761" s="80" t="n"/>
      <c r="C761" s="74" t="n"/>
      <c r="D761" s="74">
        <f t="array" ref="D761">IF($C761="","",IFNA(_xlfn.XLOOKUP($C761,Productos!$A:$A,Productos!$E:$E,IFNA(_xlfn.XLOOKUP(TEXT($C761,"0"),Productos!$A:$A,Productos!$E:$E,IFNA(_xlfn.XLOOKUP(IFERROR(VALUE($C761),""),Productos!$A:$A,Productos!$E:$E,_xlfn.XLOOKUP($C761,Productos!$E:$E,Productos!$E:$E,"NO ENCONTRADO")),"NO ENCONTRADO")),"NO ENCONTRADO")),"NO ENCONTRADO"))</f>
        <v/>
      </c>
      <c r="E761" s="74">
        <f t="array" ref="E761">IF(OR($D761="",$D761="NO ENCONTRADO"),"",_xlfn.XLOOKUP($D761,Productos!$E:$E,Productos!$H:$H,""))</f>
        <v/>
      </c>
      <c r="F761" s="74">
        <f t="array" ref="F761">IF(OR($D761="",$D761="NO ENCONTRADO"),"",_xlfn.XLOOKUP($D761,Productos!$E:$E,Productos!$I:$I,""))</f>
        <v/>
      </c>
      <c r="G761" s="74">
        <f t="array" ref="G761">IF(OR($D761="",$D761="NO ENCONTRADO"),"",_xlfn.XLOOKUP($D761,Productos!$E:$E,Productos!$J:$J,""))</f>
        <v/>
      </c>
      <c r="H761" s="74">
        <f t="array" ref="H761">IF(OR($D761="",$D761="NO ENCONTRADO"),"",_xlfn.XLOOKUP($D761,Productos!$E:$E,Productos!$K:$K,""))</f>
        <v/>
      </c>
      <c r="I761" s="74">
        <f t="array" ref="I761">IF(OR($D761="",$D761="NO ENCONTRADO"),"",_xlfn.XLOOKUP($D761,Productos!$E:$E,Productos!$F:$F,""))</f>
        <v/>
      </c>
      <c r="J761" s="74">
        <f>IF($C761="","",IF($D761="NO ENCONTRADO",IF(COUNTIF($C$7:$C$1000,$C761)&gt;1,"⚠️ No encontrado | Duplicado","⚠️ No encontrado"),IF(COUNTIF($C$7:$C$1000,$C761)&gt;1,"⚠️ Duplicado","Verificado")))</f>
        <v/>
      </c>
    </row>
    <row r="762" ht="15.75" customHeight="1" s="176">
      <c r="B762" s="80" t="n"/>
      <c r="C762" s="74" t="n"/>
      <c r="D762" s="74">
        <f t="array" ref="D762">IF($C762="","",IFNA(_xlfn.XLOOKUP($C762,Productos!$A:$A,Productos!$E:$E,IFNA(_xlfn.XLOOKUP(TEXT($C762,"0"),Productos!$A:$A,Productos!$E:$E,IFNA(_xlfn.XLOOKUP(IFERROR(VALUE($C762),""),Productos!$A:$A,Productos!$E:$E,_xlfn.XLOOKUP($C762,Productos!$E:$E,Productos!$E:$E,"NO ENCONTRADO")),"NO ENCONTRADO")),"NO ENCONTRADO")),"NO ENCONTRADO"))</f>
        <v/>
      </c>
      <c r="E762" s="74">
        <f t="array" ref="E762">IF(OR($D762="",$D762="NO ENCONTRADO"),"",_xlfn.XLOOKUP($D762,Productos!$E:$E,Productos!$H:$H,""))</f>
        <v/>
      </c>
      <c r="F762" s="74">
        <f t="array" ref="F762">IF(OR($D762="",$D762="NO ENCONTRADO"),"",_xlfn.XLOOKUP($D762,Productos!$E:$E,Productos!$I:$I,""))</f>
        <v/>
      </c>
      <c r="G762" s="74">
        <f t="array" ref="G762">IF(OR($D762="",$D762="NO ENCONTRADO"),"",_xlfn.XLOOKUP($D762,Productos!$E:$E,Productos!$J:$J,""))</f>
        <v/>
      </c>
      <c r="H762" s="74">
        <f t="array" ref="H762">IF(OR($D762="",$D762="NO ENCONTRADO"),"",_xlfn.XLOOKUP($D762,Productos!$E:$E,Productos!$K:$K,""))</f>
        <v/>
      </c>
      <c r="I762" s="74">
        <f t="array" ref="I762">IF(OR($D762="",$D762="NO ENCONTRADO"),"",_xlfn.XLOOKUP($D762,Productos!$E:$E,Productos!$F:$F,""))</f>
        <v/>
      </c>
      <c r="J762" s="74">
        <f>IF($C762="","",IF($D762="NO ENCONTRADO",IF(COUNTIF($C$7:$C$1000,$C762)&gt;1,"⚠️ No encontrado | Duplicado","⚠️ No encontrado"),IF(COUNTIF($C$7:$C$1000,$C762)&gt;1,"⚠️ Duplicado","Verificado")))</f>
        <v/>
      </c>
    </row>
    <row r="763" ht="15.75" customHeight="1" s="176">
      <c r="B763" s="80" t="n"/>
      <c r="C763" s="74" t="n"/>
      <c r="D763" s="74">
        <f t="array" ref="D763">IF($C763="","",IFNA(_xlfn.XLOOKUP($C763,Productos!$A:$A,Productos!$E:$E,IFNA(_xlfn.XLOOKUP(TEXT($C763,"0"),Productos!$A:$A,Productos!$E:$E,IFNA(_xlfn.XLOOKUP(IFERROR(VALUE($C763),""),Productos!$A:$A,Productos!$E:$E,_xlfn.XLOOKUP($C763,Productos!$E:$E,Productos!$E:$E,"NO ENCONTRADO")),"NO ENCONTRADO")),"NO ENCONTRADO")),"NO ENCONTRADO"))</f>
        <v/>
      </c>
      <c r="E763" s="74">
        <f t="array" ref="E763">IF(OR($D763="",$D763="NO ENCONTRADO"),"",_xlfn.XLOOKUP($D763,Productos!$E:$E,Productos!$H:$H,""))</f>
        <v/>
      </c>
      <c r="F763" s="74">
        <f t="array" ref="F763">IF(OR($D763="",$D763="NO ENCONTRADO"),"",_xlfn.XLOOKUP($D763,Productos!$E:$E,Productos!$I:$I,""))</f>
        <v/>
      </c>
      <c r="G763" s="74">
        <f t="array" ref="G763">IF(OR($D763="",$D763="NO ENCONTRADO"),"",_xlfn.XLOOKUP($D763,Productos!$E:$E,Productos!$J:$J,""))</f>
        <v/>
      </c>
      <c r="H763" s="74">
        <f t="array" ref="H763">IF(OR($D763="",$D763="NO ENCONTRADO"),"",_xlfn.XLOOKUP($D763,Productos!$E:$E,Productos!$K:$K,""))</f>
        <v/>
      </c>
      <c r="I763" s="74">
        <f t="array" ref="I763">IF(OR($D763="",$D763="NO ENCONTRADO"),"",_xlfn.XLOOKUP($D763,Productos!$E:$E,Productos!$F:$F,""))</f>
        <v/>
      </c>
      <c r="J763" s="74">
        <f>IF($C763="","",IF($D763="NO ENCONTRADO",IF(COUNTIF($C$7:$C$1000,$C763)&gt;1,"⚠️ No encontrado | Duplicado","⚠️ No encontrado"),IF(COUNTIF($C$7:$C$1000,$C763)&gt;1,"⚠️ Duplicado","Verificado")))</f>
        <v/>
      </c>
    </row>
    <row r="764" ht="15.75" customHeight="1" s="176">
      <c r="B764" s="80" t="n"/>
      <c r="C764" s="74" t="n"/>
      <c r="D764" s="74">
        <f t="array" ref="D764">IF($C764="","",IFNA(_xlfn.XLOOKUP($C764,Productos!$A:$A,Productos!$E:$E,IFNA(_xlfn.XLOOKUP(TEXT($C764,"0"),Productos!$A:$A,Productos!$E:$E,IFNA(_xlfn.XLOOKUP(IFERROR(VALUE($C764),""),Productos!$A:$A,Productos!$E:$E,_xlfn.XLOOKUP($C764,Productos!$E:$E,Productos!$E:$E,"NO ENCONTRADO")),"NO ENCONTRADO")),"NO ENCONTRADO")),"NO ENCONTRADO"))</f>
        <v/>
      </c>
      <c r="E764" s="74">
        <f t="array" ref="E764">IF(OR($D764="",$D764="NO ENCONTRADO"),"",_xlfn.XLOOKUP($D764,Productos!$E:$E,Productos!$H:$H,""))</f>
        <v/>
      </c>
      <c r="F764" s="74">
        <f t="array" ref="F764">IF(OR($D764="",$D764="NO ENCONTRADO"),"",_xlfn.XLOOKUP($D764,Productos!$E:$E,Productos!$I:$I,""))</f>
        <v/>
      </c>
      <c r="G764" s="74">
        <f t="array" ref="G764">IF(OR($D764="",$D764="NO ENCONTRADO"),"",_xlfn.XLOOKUP($D764,Productos!$E:$E,Productos!$J:$J,""))</f>
        <v/>
      </c>
      <c r="H764" s="74">
        <f t="array" ref="H764">IF(OR($D764="",$D764="NO ENCONTRADO"),"",_xlfn.XLOOKUP($D764,Productos!$E:$E,Productos!$K:$K,""))</f>
        <v/>
      </c>
      <c r="I764" s="74">
        <f t="array" ref="I764">IF(OR($D764="",$D764="NO ENCONTRADO"),"",_xlfn.XLOOKUP($D764,Productos!$E:$E,Productos!$F:$F,""))</f>
        <v/>
      </c>
      <c r="J764" s="74">
        <f>IF($C764="","",IF($D764="NO ENCONTRADO",IF(COUNTIF($C$7:$C$1000,$C764)&gt;1,"⚠️ No encontrado | Duplicado","⚠️ No encontrado"),IF(COUNTIF($C$7:$C$1000,$C764)&gt;1,"⚠️ Duplicado","Verificado")))</f>
        <v/>
      </c>
    </row>
    <row r="765" ht="15.75" customHeight="1" s="176">
      <c r="B765" s="80" t="n"/>
      <c r="C765" s="74" t="n"/>
      <c r="D765" s="74">
        <f t="array" ref="D765">IF($C765="","",IFNA(_xlfn.XLOOKUP($C765,Productos!$A:$A,Productos!$E:$E,IFNA(_xlfn.XLOOKUP(TEXT($C765,"0"),Productos!$A:$A,Productos!$E:$E,IFNA(_xlfn.XLOOKUP(IFERROR(VALUE($C765),""),Productos!$A:$A,Productos!$E:$E,_xlfn.XLOOKUP($C765,Productos!$E:$E,Productos!$E:$E,"NO ENCONTRADO")),"NO ENCONTRADO")),"NO ENCONTRADO")),"NO ENCONTRADO"))</f>
        <v/>
      </c>
      <c r="E765" s="74">
        <f t="array" ref="E765">IF(OR($D765="",$D765="NO ENCONTRADO"),"",_xlfn.XLOOKUP($D765,Productos!$E:$E,Productos!$H:$H,""))</f>
        <v/>
      </c>
      <c r="F765" s="74">
        <f t="array" ref="F765">IF(OR($D765="",$D765="NO ENCONTRADO"),"",_xlfn.XLOOKUP($D765,Productos!$E:$E,Productos!$I:$I,""))</f>
        <v/>
      </c>
      <c r="G765" s="74">
        <f t="array" ref="G765">IF(OR($D765="",$D765="NO ENCONTRADO"),"",_xlfn.XLOOKUP($D765,Productos!$E:$E,Productos!$J:$J,""))</f>
        <v/>
      </c>
      <c r="H765" s="74">
        <f t="array" ref="H765">IF(OR($D765="",$D765="NO ENCONTRADO"),"",_xlfn.XLOOKUP($D765,Productos!$E:$E,Productos!$K:$K,""))</f>
        <v/>
      </c>
      <c r="I765" s="74">
        <f t="array" ref="I765">IF(OR($D765="",$D765="NO ENCONTRADO"),"",_xlfn.XLOOKUP($D765,Productos!$E:$E,Productos!$F:$F,""))</f>
        <v/>
      </c>
      <c r="J765" s="74">
        <f>IF($C765="","",IF($D765="NO ENCONTRADO",IF(COUNTIF($C$7:$C$1000,$C765)&gt;1,"⚠️ No encontrado | Duplicado","⚠️ No encontrado"),IF(COUNTIF($C$7:$C$1000,$C765)&gt;1,"⚠️ Duplicado","Verificado")))</f>
        <v/>
      </c>
    </row>
    <row r="766" ht="15.75" customHeight="1" s="176">
      <c r="B766" s="80" t="n"/>
      <c r="C766" s="74" t="n"/>
      <c r="D766" s="74">
        <f t="array" ref="D766">IF($C766="","",IFNA(_xlfn.XLOOKUP($C766,Productos!$A:$A,Productos!$E:$E,IFNA(_xlfn.XLOOKUP(TEXT($C766,"0"),Productos!$A:$A,Productos!$E:$E,IFNA(_xlfn.XLOOKUP(IFERROR(VALUE($C766),""),Productos!$A:$A,Productos!$E:$E,_xlfn.XLOOKUP($C766,Productos!$E:$E,Productos!$E:$E,"NO ENCONTRADO")),"NO ENCONTRADO")),"NO ENCONTRADO")),"NO ENCONTRADO"))</f>
        <v/>
      </c>
      <c r="E766" s="74">
        <f t="array" ref="E766">IF(OR($D766="",$D766="NO ENCONTRADO"),"",_xlfn.XLOOKUP($D766,Productos!$E:$E,Productos!$H:$H,""))</f>
        <v/>
      </c>
      <c r="F766" s="74">
        <f t="array" ref="F766">IF(OR($D766="",$D766="NO ENCONTRADO"),"",_xlfn.XLOOKUP($D766,Productos!$E:$E,Productos!$I:$I,""))</f>
        <v/>
      </c>
      <c r="G766" s="74">
        <f t="array" ref="G766">IF(OR($D766="",$D766="NO ENCONTRADO"),"",_xlfn.XLOOKUP($D766,Productos!$E:$E,Productos!$J:$J,""))</f>
        <v/>
      </c>
      <c r="H766" s="74">
        <f t="array" ref="H766">IF(OR($D766="",$D766="NO ENCONTRADO"),"",_xlfn.XLOOKUP($D766,Productos!$E:$E,Productos!$K:$K,""))</f>
        <v/>
      </c>
      <c r="I766" s="74">
        <f t="array" ref="I766">IF(OR($D766="",$D766="NO ENCONTRADO"),"",_xlfn.XLOOKUP($D766,Productos!$E:$E,Productos!$F:$F,""))</f>
        <v/>
      </c>
      <c r="J766" s="74">
        <f>IF($C766="","",IF($D766="NO ENCONTRADO",IF(COUNTIF($C$7:$C$1000,$C766)&gt;1,"⚠️ No encontrado | Duplicado","⚠️ No encontrado"),IF(COUNTIF($C$7:$C$1000,$C766)&gt;1,"⚠️ Duplicado","Verificado")))</f>
        <v/>
      </c>
    </row>
    <row r="767" ht="15.75" customHeight="1" s="176">
      <c r="B767" s="80" t="n"/>
      <c r="C767" s="74" t="n"/>
      <c r="D767" s="74">
        <f t="array" ref="D767">IF($C767="","",IFNA(_xlfn.XLOOKUP($C767,Productos!$A:$A,Productos!$E:$E,IFNA(_xlfn.XLOOKUP(TEXT($C767,"0"),Productos!$A:$A,Productos!$E:$E,IFNA(_xlfn.XLOOKUP(IFERROR(VALUE($C767),""),Productos!$A:$A,Productos!$E:$E,_xlfn.XLOOKUP($C767,Productos!$E:$E,Productos!$E:$E,"NO ENCONTRADO")),"NO ENCONTRADO")),"NO ENCONTRADO")),"NO ENCONTRADO"))</f>
        <v/>
      </c>
      <c r="E767" s="74">
        <f t="array" ref="E767">IF(OR($D767="",$D767="NO ENCONTRADO"),"",_xlfn.XLOOKUP($D767,Productos!$E:$E,Productos!$H:$H,""))</f>
        <v/>
      </c>
      <c r="F767" s="74">
        <f t="array" ref="F767">IF(OR($D767="",$D767="NO ENCONTRADO"),"",_xlfn.XLOOKUP($D767,Productos!$E:$E,Productos!$I:$I,""))</f>
        <v/>
      </c>
      <c r="G767" s="74">
        <f t="array" ref="G767">IF(OR($D767="",$D767="NO ENCONTRADO"),"",_xlfn.XLOOKUP($D767,Productos!$E:$E,Productos!$J:$J,""))</f>
        <v/>
      </c>
      <c r="H767" s="74">
        <f t="array" ref="H767">IF(OR($D767="",$D767="NO ENCONTRADO"),"",_xlfn.XLOOKUP($D767,Productos!$E:$E,Productos!$K:$K,""))</f>
        <v/>
      </c>
      <c r="I767" s="74">
        <f t="array" ref="I767">IF(OR($D767="",$D767="NO ENCONTRADO"),"",_xlfn.XLOOKUP($D767,Productos!$E:$E,Productos!$F:$F,""))</f>
        <v/>
      </c>
      <c r="J767" s="74">
        <f>IF($C767="","",IF($D767="NO ENCONTRADO",IF(COUNTIF($C$7:$C$1000,$C767)&gt;1,"⚠️ No encontrado | Duplicado","⚠️ No encontrado"),IF(COUNTIF($C$7:$C$1000,$C767)&gt;1,"⚠️ Duplicado","Verificado")))</f>
        <v/>
      </c>
    </row>
    <row r="768" ht="15.75" customHeight="1" s="176">
      <c r="B768" s="80" t="n"/>
      <c r="C768" s="74" t="n"/>
      <c r="D768" s="74">
        <f t="array" ref="D768">IF($C768="","",IFNA(_xlfn.XLOOKUP($C768,Productos!$A:$A,Productos!$E:$E,IFNA(_xlfn.XLOOKUP(TEXT($C768,"0"),Productos!$A:$A,Productos!$E:$E,IFNA(_xlfn.XLOOKUP(IFERROR(VALUE($C768),""),Productos!$A:$A,Productos!$E:$E,_xlfn.XLOOKUP($C768,Productos!$E:$E,Productos!$E:$E,"NO ENCONTRADO")),"NO ENCONTRADO")),"NO ENCONTRADO")),"NO ENCONTRADO"))</f>
        <v/>
      </c>
      <c r="E768" s="74">
        <f t="array" ref="E768">IF(OR($D768="",$D768="NO ENCONTRADO"),"",_xlfn.XLOOKUP($D768,Productos!$E:$E,Productos!$H:$H,""))</f>
        <v/>
      </c>
      <c r="F768" s="74">
        <f t="array" ref="F768">IF(OR($D768="",$D768="NO ENCONTRADO"),"",_xlfn.XLOOKUP($D768,Productos!$E:$E,Productos!$I:$I,""))</f>
        <v/>
      </c>
      <c r="G768" s="74">
        <f t="array" ref="G768">IF(OR($D768="",$D768="NO ENCONTRADO"),"",_xlfn.XLOOKUP($D768,Productos!$E:$E,Productos!$J:$J,""))</f>
        <v/>
      </c>
      <c r="H768" s="74">
        <f t="array" ref="H768">IF(OR($D768="",$D768="NO ENCONTRADO"),"",_xlfn.XLOOKUP($D768,Productos!$E:$E,Productos!$K:$K,""))</f>
        <v/>
      </c>
      <c r="I768" s="74">
        <f t="array" ref="I768">IF(OR($D768="",$D768="NO ENCONTRADO"),"",_xlfn.XLOOKUP($D768,Productos!$E:$E,Productos!$F:$F,""))</f>
        <v/>
      </c>
      <c r="J768" s="74">
        <f>IF($C768="","",IF($D768="NO ENCONTRADO",IF(COUNTIF($C$7:$C$1000,$C768)&gt;1,"⚠️ No encontrado | Duplicado","⚠️ No encontrado"),IF(COUNTIF($C$7:$C$1000,$C768)&gt;1,"⚠️ Duplicado","Verificado")))</f>
        <v/>
      </c>
    </row>
    <row r="769" ht="15.75" customHeight="1" s="176">
      <c r="B769" s="80" t="n"/>
      <c r="C769" s="74" t="n"/>
      <c r="D769" s="74">
        <f t="array" ref="D769">IF($C769="","",IFNA(_xlfn.XLOOKUP($C769,Productos!$A:$A,Productos!$E:$E,IFNA(_xlfn.XLOOKUP(TEXT($C769,"0"),Productos!$A:$A,Productos!$E:$E,IFNA(_xlfn.XLOOKUP(IFERROR(VALUE($C769),""),Productos!$A:$A,Productos!$E:$E,_xlfn.XLOOKUP($C769,Productos!$E:$E,Productos!$E:$E,"NO ENCONTRADO")),"NO ENCONTRADO")),"NO ENCONTRADO")),"NO ENCONTRADO"))</f>
        <v/>
      </c>
      <c r="E769" s="74">
        <f t="array" ref="E769">IF(OR($D769="",$D769="NO ENCONTRADO"),"",_xlfn.XLOOKUP($D769,Productos!$E:$E,Productos!$H:$H,""))</f>
        <v/>
      </c>
      <c r="F769" s="74">
        <f t="array" ref="F769">IF(OR($D769="",$D769="NO ENCONTRADO"),"",_xlfn.XLOOKUP($D769,Productos!$E:$E,Productos!$I:$I,""))</f>
        <v/>
      </c>
      <c r="G769" s="74">
        <f t="array" ref="G769">IF(OR($D769="",$D769="NO ENCONTRADO"),"",_xlfn.XLOOKUP($D769,Productos!$E:$E,Productos!$J:$J,""))</f>
        <v/>
      </c>
      <c r="H769" s="74">
        <f t="array" ref="H769">IF(OR($D769="",$D769="NO ENCONTRADO"),"",_xlfn.XLOOKUP($D769,Productos!$E:$E,Productos!$K:$K,""))</f>
        <v/>
      </c>
      <c r="I769" s="74">
        <f t="array" ref="I769">IF(OR($D769="",$D769="NO ENCONTRADO"),"",_xlfn.XLOOKUP($D769,Productos!$E:$E,Productos!$F:$F,""))</f>
        <v/>
      </c>
      <c r="J769" s="74">
        <f>IF($C769="","",IF($D769="NO ENCONTRADO",IF(COUNTIF($C$7:$C$1000,$C769)&gt;1,"⚠️ No encontrado | Duplicado","⚠️ No encontrado"),IF(COUNTIF($C$7:$C$1000,$C769)&gt;1,"⚠️ Duplicado","Verificado")))</f>
        <v/>
      </c>
    </row>
    <row r="770" ht="15.75" customHeight="1" s="176">
      <c r="B770" s="80" t="n"/>
      <c r="C770" s="74" t="n"/>
      <c r="D770" s="74">
        <f t="array" ref="D770">IF($C770="","",IFNA(_xlfn.XLOOKUP($C770,Productos!$A:$A,Productos!$E:$E,IFNA(_xlfn.XLOOKUP(TEXT($C770,"0"),Productos!$A:$A,Productos!$E:$E,IFNA(_xlfn.XLOOKUP(IFERROR(VALUE($C770),""),Productos!$A:$A,Productos!$E:$E,_xlfn.XLOOKUP($C770,Productos!$E:$E,Productos!$E:$E,"NO ENCONTRADO")),"NO ENCONTRADO")),"NO ENCONTRADO")),"NO ENCONTRADO"))</f>
        <v/>
      </c>
      <c r="E770" s="74">
        <f t="array" ref="E770">IF(OR($D770="",$D770="NO ENCONTRADO"),"",_xlfn.XLOOKUP($D770,Productos!$E:$E,Productos!$H:$H,""))</f>
        <v/>
      </c>
      <c r="F770" s="74">
        <f t="array" ref="F770">IF(OR($D770="",$D770="NO ENCONTRADO"),"",_xlfn.XLOOKUP($D770,Productos!$E:$E,Productos!$I:$I,""))</f>
        <v/>
      </c>
      <c r="G770" s="74">
        <f t="array" ref="G770">IF(OR($D770="",$D770="NO ENCONTRADO"),"",_xlfn.XLOOKUP($D770,Productos!$E:$E,Productos!$J:$J,""))</f>
        <v/>
      </c>
      <c r="H770" s="74">
        <f t="array" ref="H770">IF(OR($D770="",$D770="NO ENCONTRADO"),"",_xlfn.XLOOKUP($D770,Productos!$E:$E,Productos!$K:$K,""))</f>
        <v/>
      </c>
      <c r="I770" s="74">
        <f t="array" ref="I770">IF(OR($D770="",$D770="NO ENCONTRADO"),"",_xlfn.XLOOKUP($D770,Productos!$E:$E,Productos!$F:$F,""))</f>
        <v/>
      </c>
      <c r="J770" s="74">
        <f>IF($C770="","",IF($D770="NO ENCONTRADO",IF(COUNTIF($C$7:$C$1000,$C770)&gt;1,"⚠️ No encontrado | Duplicado","⚠️ No encontrado"),IF(COUNTIF($C$7:$C$1000,$C770)&gt;1,"⚠️ Duplicado","Verificado")))</f>
        <v/>
      </c>
    </row>
    <row r="771" ht="15.75" customHeight="1" s="176">
      <c r="B771" s="80" t="n"/>
      <c r="C771" s="74" t="n"/>
      <c r="D771" s="74">
        <f t="array" ref="D771">IF($C771="","",IFNA(_xlfn.XLOOKUP($C771,Productos!$A:$A,Productos!$E:$E,IFNA(_xlfn.XLOOKUP(TEXT($C771,"0"),Productos!$A:$A,Productos!$E:$E,IFNA(_xlfn.XLOOKUP(IFERROR(VALUE($C771),""),Productos!$A:$A,Productos!$E:$E,_xlfn.XLOOKUP($C771,Productos!$E:$E,Productos!$E:$E,"NO ENCONTRADO")),"NO ENCONTRADO")),"NO ENCONTRADO")),"NO ENCONTRADO"))</f>
        <v/>
      </c>
      <c r="E771" s="74">
        <f t="array" ref="E771">IF(OR($D771="",$D771="NO ENCONTRADO"),"",_xlfn.XLOOKUP($D771,Productos!$E:$E,Productos!$H:$H,""))</f>
        <v/>
      </c>
      <c r="F771" s="74">
        <f t="array" ref="F771">IF(OR($D771="",$D771="NO ENCONTRADO"),"",_xlfn.XLOOKUP($D771,Productos!$E:$E,Productos!$I:$I,""))</f>
        <v/>
      </c>
      <c r="G771" s="74">
        <f t="array" ref="G771">IF(OR($D771="",$D771="NO ENCONTRADO"),"",_xlfn.XLOOKUP($D771,Productos!$E:$E,Productos!$J:$J,""))</f>
        <v/>
      </c>
      <c r="H771" s="74">
        <f t="array" ref="H771">IF(OR($D771="",$D771="NO ENCONTRADO"),"",_xlfn.XLOOKUP($D771,Productos!$E:$E,Productos!$K:$K,""))</f>
        <v/>
      </c>
      <c r="I771" s="74">
        <f t="array" ref="I771">IF(OR($D771="",$D771="NO ENCONTRADO"),"",_xlfn.XLOOKUP($D771,Productos!$E:$E,Productos!$F:$F,""))</f>
        <v/>
      </c>
      <c r="J771" s="74">
        <f>IF($C771="","",IF($D771="NO ENCONTRADO",IF(COUNTIF($C$7:$C$1000,$C771)&gt;1,"⚠️ No encontrado | Duplicado","⚠️ No encontrado"),IF(COUNTIF($C$7:$C$1000,$C771)&gt;1,"⚠️ Duplicado","Verificado")))</f>
        <v/>
      </c>
    </row>
    <row r="772" ht="15.75" customHeight="1" s="176">
      <c r="B772" s="80" t="n"/>
      <c r="C772" s="74" t="n"/>
      <c r="D772" s="74">
        <f t="array" ref="D772">IF($C772="","",IFNA(_xlfn.XLOOKUP($C772,Productos!$A:$A,Productos!$E:$E,IFNA(_xlfn.XLOOKUP(TEXT($C772,"0"),Productos!$A:$A,Productos!$E:$E,IFNA(_xlfn.XLOOKUP(IFERROR(VALUE($C772),""),Productos!$A:$A,Productos!$E:$E,_xlfn.XLOOKUP($C772,Productos!$E:$E,Productos!$E:$E,"NO ENCONTRADO")),"NO ENCONTRADO")),"NO ENCONTRADO")),"NO ENCONTRADO"))</f>
        <v/>
      </c>
      <c r="E772" s="74">
        <f t="array" ref="E772">IF(OR($D772="",$D772="NO ENCONTRADO"),"",_xlfn.XLOOKUP($D772,Productos!$E:$E,Productos!$H:$H,""))</f>
        <v/>
      </c>
      <c r="F772" s="74">
        <f t="array" ref="F772">IF(OR($D772="",$D772="NO ENCONTRADO"),"",_xlfn.XLOOKUP($D772,Productos!$E:$E,Productos!$I:$I,""))</f>
        <v/>
      </c>
      <c r="G772" s="74">
        <f t="array" ref="G772">IF(OR($D772="",$D772="NO ENCONTRADO"),"",_xlfn.XLOOKUP($D772,Productos!$E:$E,Productos!$J:$J,""))</f>
        <v/>
      </c>
      <c r="H772" s="74">
        <f t="array" ref="H772">IF(OR($D772="",$D772="NO ENCONTRADO"),"",_xlfn.XLOOKUP($D772,Productos!$E:$E,Productos!$K:$K,""))</f>
        <v/>
      </c>
      <c r="I772" s="74">
        <f t="array" ref="I772">IF(OR($D772="",$D772="NO ENCONTRADO"),"",_xlfn.XLOOKUP($D772,Productos!$E:$E,Productos!$F:$F,""))</f>
        <v/>
      </c>
      <c r="J772" s="74">
        <f>IF($C772="","",IF($D772="NO ENCONTRADO",IF(COUNTIF($C$7:$C$1000,$C772)&gt;1,"⚠️ No encontrado | Duplicado","⚠️ No encontrado"),IF(COUNTIF($C$7:$C$1000,$C772)&gt;1,"⚠️ Duplicado","Verificado")))</f>
        <v/>
      </c>
    </row>
    <row r="773" ht="15.75" customHeight="1" s="176">
      <c r="B773" s="80" t="n"/>
      <c r="C773" s="74" t="n"/>
      <c r="D773" s="74">
        <f t="array" ref="D773">IF($C773="","",IFNA(_xlfn.XLOOKUP($C773,Productos!$A:$A,Productos!$E:$E,IFNA(_xlfn.XLOOKUP(TEXT($C773,"0"),Productos!$A:$A,Productos!$E:$E,IFNA(_xlfn.XLOOKUP(IFERROR(VALUE($C773),""),Productos!$A:$A,Productos!$E:$E,_xlfn.XLOOKUP($C773,Productos!$E:$E,Productos!$E:$E,"NO ENCONTRADO")),"NO ENCONTRADO")),"NO ENCONTRADO")),"NO ENCONTRADO"))</f>
        <v/>
      </c>
      <c r="E773" s="74">
        <f t="array" ref="E773">IF(OR($D773="",$D773="NO ENCONTRADO"),"",_xlfn.XLOOKUP($D773,Productos!$E:$E,Productos!$H:$H,""))</f>
        <v/>
      </c>
      <c r="F773" s="74">
        <f t="array" ref="F773">IF(OR($D773="",$D773="NO ENCONTRADO"),"",_xlfn.XLOOKUP($D773,Productos!$E:$E,Productos!$I:$I,""))</f>
        <v/>
      </c>
      <c r="G773" s="74">
        <f t="array" ref="G773">IF(OR($D773="",$D773="NO ENCONTRADO"),"",_xlfn.XLOOKUP($D773,Productos!$E:$E,Productos!$J:$J,""))</f>
        <v/>
      </c>
      <c r="H773" s="74">
        <f t="array" ref="H773">IF(OR($D773="",$D773="NO ENCONTRADO"),"",_xlfn.XLOOKUP($D773,Productos!$E:$E,Productos!$K:$K,""))</f>
        <v/>
      </c>
      <c r="I773" s="74">
        <f t="array" ref="I773">IF(OR($D773="",$D773="NO ENCONTRADO"),"",_xlfn.XLOOKUP($D773,Productos!$E:$E,Productos!$F:$F,""))</f>
        <v/>
      </c>
      <c r="J773" s="74">
        <f>IF($C773="","",IF($D773="NO ENCONTRADO",IF(COUNTIF($C$7:$C$1000,$C773)&gt;1,"⚠️ No encontrado | Duplicado","⚠️ No encontrado"),IF(COUNTIF($C$7:$C$1000,$C773)&gt;1,"⚠️ Duplicado","Verificado")))</f>
        <v/>
      </c>
    </row>
    <row r="774" ht="15.75" customHeight="1" s="176">
      <c r="B774" s="80" t="n"/>
      <c r="C774" s="74" t="n"/>
      <c r="D774" s="74">
        <f t="array" ref="D774">IF($C774="","",IFNA(_xlfn.XLOOKUP($C774,Productos!$A:$A,Productos!$E:$E,IFNA(_xlfn.XLOOKUP(TEXT($C774,"0"),Productos!$A:$A,Productos!$E:$E,IFNA(_xlfn.XLOOKUP(IFERROR(VALUE($C774),""),Productos!$A:$A,Productos!$E:$E,_xlfn.XLOOKUP($C774,Productos!$E:$E,Productos!$E:$E,"NO ENCONTRADO")),"NO ENCONTRADO")),"NO ENCONTRADO")),"NO ENCONTRADO"))</f>
        <v/>
      </c>
      <c r="E774" s="74">
        <f t="array" ref="E774">IF(OR($D774="",$D774="NO ENCONTRADO"),"",_xlfn.XLOOKUP($D774,Productos!$E:$E,Productos!$H:$H,""))</f>
        <v/>
      </c>
      <c r="F774" s="74">
        <f t="array" ref="F774">IF(OR($D774="",$D774="NO ENCONTRADO"),"",_xlfn.XLOOKUP($D774,Productos!$E:$E,Productos!$I:$I,""))</f>
        <v/>
      </c>
      <c r="G774" s="74">
        <f t="array" ref="G774">IF(OR($D774="",$D774="NO ENCONTRADO"),"",_xlfn.XLOOKUP($D774,Productos!$E:$E,Productos!$J:$J,""))</f>
        <v/>
      </c>
      <c r="H774" s="74">
        <f t="array" ref="H774">IF(OR($D774="",$D774="NO ENCONTRADO"),"",_xlfn.XLOOKUP($D774,Productos!$E:$E,Productos!$K:$K,""))</f>
        <v/>
      </c>
      <c r="I774" s="74">
        <f t="array" ref="I774">IF(OR($D774="",$D774="NO ENCONTRADO"),"",_xlfn.XLOOKUP($D774,Productos!$E:$E,Productos!$F:$F,""))</f>
        <v/>
      </c>
      <c r="J774" s="74">
        <f>IF($C774="","",IF($D774="NO ENCONTRADO",IF(COUNTIF($C$7:$C$1000,$C774)&gt;1,"⚠️ No encontrado | Duplicado","⚠️ No encontrado"),IF(COUNTIF($C$7:$C$1000,$C774)&gt;1,"⚠️ Duplicado","Verificado")))</f>
        <v/>
      </c>
    </row>
    <row r="775" ht="15.75" customHeight="1" s="176">
      <c r="B775" s="80" t="n"/>
      <c r="C775" s="74" t="n"/>
      <c r="D775" s="74">
        <f t="array" ref="D775">IF($C775="","",IFNA(_xlfn.XLOOKUP($C775,Productos!$A:$A,Productos!$E:$E,IFNA(_xlfn.XLOOKUP(TEXT($C775,"0"),Productos!$A:$A,Productos!$E:$E,IFNA(_xlfn.XLOOKUP(IFERROR(VALUE($C775),""),Productos!$A:$A,Productos!$E:$E,_xlfn.XLOOKUP($C775,Productos!$E:$E,Productos!$E:$E,"NO ENCONTRADO")),"NO ENCONTRADO")),"NO ENCONTRADO")),"NO ENCONTRADO"))</f>
        <v/>
      </c>
      <c r="E775" s="74">
        <f t="array" ref="E775">IF(OR($D775="",$D775="NO ENCONTRADO"),"",_xlfn.XLOOKUP($D775,Productos!$E:$E,Productos!$H:$H,""))</f>
        <v/>
      </c>
      <c r="F775" s="74">
        <f t="array" ref="F775">IF(OR($D775="",$D775="NO ENCONTRADO"),"",_xlfn.XLOOKUP($D775,Productos!$E:$E,Productos!$I:$I,""))</f>
        <v/>
      </c>
      <c r="G775" s="74">
        <f t="array" ref="G775">IF(OR($D775="",$D775="NO ENCONTRADO"),"",_xlfn.XLOOKUP($D775,Productos!$E:$E,Productos!$J:$J,""))</f>
        <v/>
      </c>
      <c r="H775" s="74">
        <f t="array" ref="H775">IF(OR($D775="",$D775="NO ENCONTRADO"),"",_xlfn.XLOOKUP($D775,Productos!$E:$E,Productos!$K:$K,""))</f>
        <v/>
      </c>
      <c r="I775" s="74">
        <f t="array" ref="I775">IF(OR($D775="",$D775="NO ENCONTRADO"),"",_xlfn.XLOOKUP($D775,Productos!$E:$E,Productos!$F:$F,""))</f>
        <v/>
      </c>
      <c r="J775" s="74">
        <f>IF($C775="","",IF($D775="NO ENCONTRADO",IF(COUNTIF($C$7:$C$1000,$C775)&gt;1,"⚠️ No encontrado | Duplicado","⚠️ No encontrado"),IF(COUNTIF($C$7:$C$1000,$C775)&gt;1,"⚠️ Duplicado","Verificado")))</f>
        <v/>
      </c>
    </row>
    <row r="776" ht="15.75" customHeight="1" s="176">
      <c r="B776" s="80" t="n"/>
      <c r="C776" s="74" t="n"/>
      <c r="D776" s="74">
        <f t="array" ref="D776">IF($C776="","",IFNA(_xlfn.XLOOKUP($C776,Productos!$A:$A,Productos!$E:$E,IFNA(_xlfn.XLOOKUP(TEXT($C776,"0"),Productos!$A:$A,Productos!$E:$E,IFNA(_xlfn.XLOOKUP(IFERROR(VALUE($C776),""),Productos!$A:$A,Productos!$E:$E,_xlfn.XLOOKUP($C776,Productos!$E:$E,Productos!$E:$E,"NO ENCONTRADO")),"NO ENCONTRADO")),"NO ENCONTRADO")),"NO ENCONTRADO"))</f>
        <v/>
      </c>
      <c r="E776" s="74">
        <f t="array" ref="E776">IF(OR($D776="",$D776="NO ENCONTRADO"),"",_xlfn.XLOOKUP($D776,Productos!$E:$E,Productos!$H:$H,""))</f>
        <v/>
      </c>
      <c r="F776" s="74">
        <f t="array" ref="F776">IF(OR($D776="",$D776="NO ENCONTRADO"),"",_xlfn.XLOOKUP($D776,Productos!$E:$E,Productos!$I:$I,""))</f>
        <v/>
      </c>
      <c r="G776" s="74">
        <f t="array" ref="G776">IF(OR($D776="",$D776="NO ENCONTRADO"),"",_xlfn.XLOOKUP($D776,Productos!$E:$E,Productos!$J:$J,""))</f>
        <v/>
      </c>
      <c r="H776" s="74">
        <f t="array" ref="H776">IF(OR($D776="",$D776="NO ENCONTRADO"),"",_xlfn.XLOOKUP($D776,Productos!$E:$E,Productos!$K:$K,""))</f>
        <v/>
      </c>
      <c r="I776" s="74">
        <f t="array" ref="I776">IF(OR($D776="",$D776="NO ENCONTRADO"),"",_xlfn.XLOOKUP($D776,Productos!$E:$E,Productos!$F:$F,""))</f>
        <v/>
      </c>
      <c r="J776" s="74">
        <f>IF($C776="","",IF($D776="NO ENCONTRADO",IF(COUNTIF($C$7:$C$1000,$C776)&gt;1,"⚠️ No encontrado | Duplicado","⚠️ No encontrado"),IF(COUNTIF($C$7:$C$1000,$C776)&gt;1,"⚠️ Duplicado","Verificado")))</f>
        <v/>
      </c>
    </row>
    <row r="777" ht="15.75" customHeight="1" s="176">
      <c r="B777" s="80" t="n"/>
      <c r="C777" s="74" t="n"/>
      <c r="D777" s="74">
        <f t="array" ref="D777">IF($C777="","",IFNA(_xlfn.XLOOKUP($C777,Productos!$A:$A,Productos!$E:$E,IFNA(_xlfn.XLOOKUP(TEXT($C777,"0"),Productos!$A:$A,Productos!$E:$E,IFNA(_xlfn.XLOOKUP(IFERROR(VALUE($C777),""),Productos!$A:$A,Productos!$E:$E,_xlfn.XLOOKUP($C777,Productos!$E:$E,Productos!$E:$E,"NO ENCONTRADO")),"NO ENCONTRADO")),"NO ENCONTRADO")),"NO ENCONTRADO"))</f>
        <v/>
      </c>
      <c r="E777" s="74">
        <f t="array" ref="E777">IF(OR($D777="",$D777="NO ENCONTRADO"),"",_xlfn.XLOOKUP($D777,Productos!$E:$E,Productos!$H:$H,""))</f>
        <v/>
      </c>
      <c r="F777" s="74">
        <f t="array" ref="F777">IF(OR($D777="",$D777="NO ENCONTRADO"),"",_xlfn.XLOOKUP($D777,Productos!$E:$E,Productos!$I:$I,""))</f>
        <v/>
      </c>
      <c r="G777" s="74">
        <f t="array" ref="G777">IF(OR($D777="",$D777="NO ENCONTRADO"),"",_xlfn.XLOOKUP($D777,Productos!$E:$E,Productos!$J:$J,""))</f>
        <v/>
      </c>
      <c r="H777" s="74">
        <f t="array" ref="H777">IF(OR($D777="",$D777="NO ENCONTRADO"),"",_xlfn.XLOOKUP($D777,Productos!$E:$E,Productos!$K:$K,""))</f>
        <v/>
      </c>
      <c r="I777" s="74">
        <f t="array" ref="I777">IF(OR($D777="",$D777="NO ENCONTRADO"),"",_xlfn.XLOOKUP($D777,Productos!$E:$E,Productos!$F:$F,""))</f>
        <v/>
      </c>
      <c r="J777" s="74">
        <f>IF($C777="","",IF($D777="NO ENCONTRADO",IF(COUNTIF($C$7:$C$1000,$C777)&gt;1,"⚠️ No encontrado | Duplicado","⚠️ No encontrado"),IF(COUNTIF($C$7:$C$1000,$C777)&gt;1,"⚠️ Duplicado","Verificado")))</f>
        <v/>
      </c>
    </row>
    <row r="778" ht="15.75" customHeight="1" s="176">
      <c r="B778" s="80" t="n"/>
      <c r="C778" s="74" t="n"/>
      <c r="D778" s="74">
        <f t="array" ref="D778">IF($C778="","",IFNA(_xlfn.XLOOKUP($C778,Productos!$A:$A,Productos!$E:$E,IFNA(_xlfn.XLOOKUP(TEXT($C778,"0"),Productos!$A:$A,Productos!$E:$E,IFNA(_xlfn.XLOOKUP(IFERROR(VALUE($C778),""),Productos!$A:$A,Productos!$E:$E,_xlfn.XLOOKUP($C778,Productos!$E:$E,Productos!$E:$E,"NO ENCONTRADO")),"NO ENCONTRADO")),"NO ENCONTRADO")),"NO ENCONTRADO"))</f>
        <v/>
      </c>
      <c r="E778" s="74">
        <f t="array" ref="E778">IF(OR($D778="",$D778="NO ENCONTRADO"),"",_xlfn.XLOOKUP($D778,Productos!$E:$E,Productos!$H:$H,""))</f>
        <v/>
      </c>
      <c r="F778" s="74">
        <f t="array" ref="F778">IF(OR($D778="",$D778="NO ENCONTRADO"),"",_xlfn.XLOOKUP($D778,Productos!$E:$E,Productos!$I:$I,""))</f>
        <v/>
      </c>
      <c r="G778" s="74">
        <f t="array" ref="G778">IF(OR($D778="",$D778="NO ENCONTRADO"),"",_xlfn.XLOOKUP($D778,Productos!$E:$E,Productos!$J:$J,""))</f>
        <v/>
      </c>
      <c r="H778" s="74">
        <f t="array" ref="H778">IF(OR($D778="",$D778="NO ENCONTRADO"),"",_xlfn.XLOOKUP($D778,Productos!$E:$E,Productos!$K:$K,""))</f>
        <v/>
      </c>
      <c r="I778" s="74">
        <f t="array" ref="I778">IF(OR($D778="",$D778="NO ENCONTRADO"),"",_xlfn.XLOOKUP($D778,Productos!$E:$E,Productos!$F:$F,""))</f>
        <v/>
      </c>
      <c r="J778" s="74">
        <f>IF($C778="","",IF($D778="NO ENCONTRADO",IF(COUNTIF($C$7:$C$1000,$C778)&gt;1,"⚠️ No encontrado | Duplicado","⚠️ No encontrado"),IF(COUNTIF($C$7:$C$1000,$C778)&gt;1,"⚠️ Duplicado","Verificado")))</f>
        <v/>
      </c>
    </row>
    <row r="779" ht="15.75" customHeight="1" s="176">
      <c r="B779" s="80" t="n"/>
      <c r="C779" s="74" t="n"/>
      <c r="D779" s="74">
        <f t="array" ref="D779">IF($C779="","",IFNA(_xlfn.XLOOKUP($C779,Productos!$A:$A,Productos!$E:$E,IFNA(_xlfn.XLOOKUP(TEXT($C779,"0"),Productos!$A:$A,Productos!$E:$E,IFNA(_xlfn.XLOOKUP(IFERROR(VALUE($C779),""),Productos!$A:$A,Productos!$E:$E,_xlfn.XLOOKUP($C779,Productos!$E:$E,Productos!$E:$E,"NO ENCONTRADO")),"NO ENCONTRADO")),"NO ENCONTRADO")),"NO ENCONTRADO"))</f>
        <v/>
      </c>
      <c r="E779" s="74">
        <f t="array" ref="E779">IF(OR($D779="",$D779="NO ENCONTRADO"),"",_xlfn.XLOOKUP($D779,Productos!$E:$E,Productos!$H:$H,""))</f>
        <v/>
      </c>
      <c r="F779" s="74">
        <f t="array" ref="F779">IF(OR($D779="",$D779="NO ENCONTRADO"),"",_xlfn.XLOOKUP($D779,Productos!$E:$E,Productos!$I:$I,""))</f>
        <v/>
      </c>
      <c r="G779" s="74">
        <f t="array" ref="G779">IF(OR($D779="",$D779="NO ENCONTRADO"),"",_xlfn.XLOOKUP($D779,Productos!$E:$E,Productos!$J:$J,""))</f>
        <v/>
      </c>
      <c r="H779" s="74">
        <f t="array" ref="H779">IF(OR($D779="",$D779="NO ENCONTRADO"),"",_xlfn.XLOOKUP($D779,Productos!$E:$E,Productos!$K:$K,""))</f>
        <v/>
      </c>
      <c r="I779" s="74">
        <f t="array" ref="I779">IF(OR($D779="",$D779="NO ENCONTRADO"),"",_xlfn.XLOOKUP($D779,Productos!$E:$E,Productos!$F:$F,""))</f>
        <v/>
      </c>
      <c r="J779" s="74">
        <f>IF($C779="","",IF($D779="NO ENCONTRADO",IF(COUNTIF($C$7:$C$1000,$C779)&gt;1,"⚠️ No encontrado | Duplicado","⚠️ No encontrado"),IF(COUNTIF($C$7:$C$1000,$C779)&gt;1,"⚠️ Duplicado","Verificado")))</f>
        <v/>
      </c>
    </row>
    <row r="780" ht="15.75" customHeight="1" s="176">
      <c r="B780" s="80" t="n"/>
      <c r="C780" s="74" t="n"/>
      <c r="D780" s="74">
        <f t="array" ref="D780">IF($C780="","",IFNA(_xlfn.XLOOKUP($C780,Productos!$A:$A,Productos!$E:$E,IFNA(_xlfn.XLOOKUP(TEXT($C780,"0"),Productos!$A:$A,Productos!$E:$E,IFNA(_xlfn.XLOOKUP(IFERROR(VALUE($C780),""),Productos!$A:$A,Productos!$E:$E,_xlfn.XLOOKUP($C780,Productos!$E:$E,Productos!$E:$E,"NO ENCONTRADO")),"NO ENCONTRADO")),"NO ENCONTRADO")),"NO ENCONTRADO"))</f>
        <v/>
      </c>
      <c r="E780" s="74">
        <f t="array" ref="E780">IF(OR($D780="",$D780="NO ENCONTRADO"),"",_xlfn.XLOOKUP($D780,Productos!$E:$E,Productos!$H:$H,""))</f>
        <v/>
      </c>
      <c r="F780" s="74">
        <f t="array" ref="F780">IF(OR($D780="",$D780="NO ENCONTRADO"),"",_xlfn.XLOOKUP($D780,Productos!$E:$E,Productos!$I:$I,""))</f>
        <v/>
      </c>
      <c r="G780" s="74">
        <f t="array" ref="G780">IF(OR($D780="",$D780="NO ENCONTRADO"),"",_xlfn.XLOOKUP($D780,Productos!$E:$E,Productos!$J:$J,""))</f>
        <v/>
      </c>
      <c r="H780" s="74">
        <f t="array" ref="H780">IF(OR($D780="",$D780="NO ENCONTRADO"),"",_xlfn.XLOOKUP($D780,Productos!$E:$E,Productos!$K:$K,""))</f>
        <v/>
      </c>
      <c r="I780" s="74">
        <f t="array" ref="I780">IF(OR($D780="",$D780="NO ENCONTRADO"),"",_xlfn.XLOOKUP($D780,Productos!$E:$E,Productos!$F:$F,""))</f>
        <v/>
      </c>
      <c r="J780" s="74">
        <f>IF($C780="","",IF($D780="NO ENCONTRADO",IF(COUNTIF($C$7:$C$1000,$C780)&gt;1,"⚠️ No encontrado | Duplicado","⚠️ No encontrado"),IF(COUNTIF($C$7:$C$1000,$C780)&gt;1,"⚠️ Duplicado","Verificado")))</f>
        <v/>
      </c>
    </row>
    <row r="781" ht="15.75" customHeight="1" s="176">
      <c r="B781" s="80" t="n"/>
      <c r="C781" s="74" t="n"/>
      <c r="D781" s="74">
        <f t="array" ref="D781">IF($C781="","",IFNA(_xlfn.XLOOKUP($C781,Productos!$A:$A,Productos!$E:$E,IFNA(_xlfn.XLOOKUP(TEXT($C781,"0"),Productos!$A:$A,Productos!$E:$E,IFNA(_xlfn.XLOOKUP(IFERROR(VALUE($C781),""),Productos!$A:$A,Productos!$E:$E,_xlfn.XLOOKUP($C781,Productos!$E:$E,Productos!$E:$E,"NO ENCONTRADO")),"NO ENCONTRADO")),"NO ENCONTRADO")),"NO ENCONTRADO"))</f>
        <v/>
      </c>
      <c r="E781" s="74">
        <f t="array" ref="E781">IF(OR($D781="",$D781="NO ENCONTRADO"),"",_xlfn.XLOOKUP($D781,Productos!$E:$E,Productos!$H:$H,""))</f>
        <v/>
      </c>
      <c r="F781" s="74">
        <f t="array" ref="F781">IF(OR($D781="",$D781="NO ENCONTRADO"),"",_xlfn.XLOOKUP($D781,Productos!$E:$E,Productos!$I:$I,""))</f>
        <v/>
      </c>
      <c r="G781" s="74">
        <f t="array" ref="G781">IF(OR($D781="",$D781="NO ENCONTRADO"),"",_xlfn.XLOOKUP($D781,Productos!$E:$E,Productos!$J:$J,""))</f>
        <v/>
      </c>
      <c r="H781" s="74">
        <f t="array" ref="H781">IF(OR($D781="",$D781="NO ENCONTRADO"),"",_xlfn.XLOOKUP($D781,Productos!$E:$E,Productos!$K:$K,""))</f>
        <v/>
      </c>
      <c r="I781" s="74">
        <f t="array" ref="I781">IF(OR($D781="",$D781="NO ENCONTRADO"),"",_xlfn.XLOOKUP($D781,Productos!$E:$E,Productos!$F:$F,""))</f>
        <v/>
      </c>
      <c r="J781" s="74">
        <f>IF($C781="","",IF($D781="NO ENCONTRADO",IF(COUNTIF($C$7:$C$1000,$C781)&gt;1,"⚠️ No encontrado | Duplicado","⚠️ No encontrado"),IF(COUNTIF($C$7:$C$1000,$C781)&gt;1,"⚠️ Duplicado","Verificado")))</f>
        <v/>
      </c>
    </row>
    <row r="782" ht="15.75" customHeight="1" s="176">
      <c r="B782" s="80" t="n"/>
      <c r="C782" s="74" t="n"/>
      <c r="D782" s="74">
        <f t="array" ref="D782">IF($C782="","",IFNA(_xlfn.XLOOKUP($C782,Productos!$A:$A,Productos!$E:$E,IFNA(_xlfn.XLOOKUP(TEXT($C782,"0"),Productos!$A:$A,Productos!$E:$E,IFNA(_xlfn.XLOOKUP(IFERROR(VALUE($C782),""),Productos!$A:$A,Productos!$E:$E,_xlfn.XLOOKUP($C782,Productos!$E:$E,Productos!$E:$E,"NO ENCONTRADO")),"NO ENCONTRADO")),"NO ENCONTRADO")),"NO ENCONTRADO"))</f>
        <v/>
      </c>
      <c r="E782" s="74">
        <f t="array" ref="E782">IF(OR($D782="",$D782="NO ENCONTRADO"),"",_xlfn.XLOOKUP($D782,Productos!$E:$E,Productos!$H:$H,""))</f>
        <v/>
      </c>
      <c r="F782" s="74">
        <f t="array" ref="F782">IF(OR($D782="",$D782="NO ENCONTRADO"),"",_xlfn.XLOOKUP($D782,Productos!$E:$E,Productos!$I:$I,""))</f>
        <v/>
      </c>
      <c r="G782" s="74">
        <f t="array" ref="G782">IF(OR($D782="",$D782="NO ENCONTRADO"),"",_xlfn.XLOOKUP($D782,Productos!$E:$E,Productos!$J:$J,""))</f>
        <v/>
      </c>
      <c r="H782" s="74">
        <f t="array" ref="H782">IF(OR($D782="",$D782="NO ENCONTRADO"),"",_xlfn.XLOOKUP($D782,Productos!$E:$E,Productos!$K:$K,""))</f>
        <v/>
      </c>
      <c r="I782" s="74">
        <f t="array" ref="I782">IF(OR($D782="",$D782="NO ENCONTRADO"),"",_xlfn.XLOOKUP($D782,Productos!$E:$E,Productos!$F:$F,""))</f>
        <v/>
      </c>
      <c r="J782" s="74">
        <f>IF($C782="","",IF($D782="NO ENCONTRADO",IF(COUNTIF($C$7:$C$1000,$C782)&gt;1,"⚠️ No encontrado | Duplicado","⚠️ No encontrado"),IF(COUNTIF($C$7:$C$1000,$C782)&gt;1,"⚠️ Duplicado","Verificado")))</f>
        <v/>
      </c>
    </row>
    <row r="783" ht="15.75" customHeight="1" s="176">
      <c r="B783" s="80" t="n"/>
      <c r="C783" s="74" t="n"/>
      <c r="D783" s="74">
        <f t="array" ref="D783">IF($C783="","",IFNA(_xlfn.XLOOKUP($C783,Productos!$A:$A,Productos!$E:$E,IFNA(_xlfn.XLOOKUP(TEXT($C783,"0"),Productos!$A:$A,Productos!$E:$E,IFNA(_xlfn.XLOOKUP(IFERROR(VALUE($C783),""),Productos!$A:$A,Productos!$E:$E,_xlfn.XLOOKUP($C783,Productos!$E:$E,Productos!$E:$E,"NO ENCONTRADO")),"NO ENCONTRADO")),"NO ENCONTRADO")),"NO ENCONTRADO"))</f>
        <v/>
      </c>
      <c r="E783" s="74">
        <f t="array" ref="E783">IF(OR($D783="",$D783="NO ENCONTRADO"),"",_xlfn.XLOOKUP($D783,Productos!$E:$E,Productos!$H:$H,""))</f>
        <v/>
      </c>
      <c r="F783" s="74">
        <f t="array" ref="F783">IF(OR($D783="",$D783="NO ENCONTRADO"),"",_xlfn.XLOOKUP($D783,Productos!$E:$E,Productos!$I:$I,""))</f>
        <v/>
      </c>
      <c r="G783" s="74">
        <f t="array" ref="G783">IF(OR($D783="",$D783="NO ENCONTRADO"),"",_xlfn.XLOOKUP($D783,Productos!$E:$E,Productos!$J:$J,""))</f>
        <v/>
      </c>
      <c r="H783" s="74">
        <f t="array" ref="H783">IF(OR($D783="",$D783="NO ENCONTRADO"),"",_xlfn.XLOOKUP($D783,Productos!$E:$E,Productos!$K:$K,""))</f>
        <v/>
      </c>
      <c r="I783" s="74">
        <f t="array" ref="I783">IF(OR($D783="",$D783="NO ENCONTRADO"),"",_xlfn.XLOOKUP($D783,Productos!$E:$E,Productos!$F:$F,""))</f>
        <v/>
      </c>
      <c r="J783" s="74">
        <f>IF($C783="","",IF($D783="NO ENCONTRADO",IF(COUNTIF($C$7:$C$1000,$C783)&gt;1,"⚠️ No encontrado | Duplicado","⚠️ No encontrado"),IF(COUNTIF($C$7:$C$1000,$C783)&gt;1,"⚠️ Duplicado","Verificado")))</f>
        <v/>
      </c>
    </row>
    <row r="784" ht="15.75" customHeight="1" s="176">
      <c r="B784" s="80" t="n"/>
      <c r="C784" s="74" t="n"/>
      <c r="D784" s="74">
        <f t="array" ref="D784">IF($C784="","",IFNA(_xlfn.XLOOKUP($C784,Productos!$A:$A,Productos!$E:$E,IFNA(_xlfn.XLOOKUP(TEXT($C784,"0"),Productos!$A:$A,Productos!$E:$E,IFNA(_xlfn.XLOOKUP(IFERROR(VALUE($C784),""),Productos!$A:$A,Productos!$E:$E,_xlfn.XLOOKUP($C784,Productos!$E:$E,Productos!$E:$E,"NO ENCONTRADO")),"NO ENCONTRADO")),"NO ENCONTRADO")),"NO ENCONTRADO"))</f>
        <v/>
      </c>
      <c r="E784" s="74">
        <f t="array" ref="E784">IF(OR($D784="",$D784="NO ENCONTRADO"),"",_xlfn.XLOOKUP($D784,Productos!$E:$E,Productos!$H:$H,""))</f>
        <v/>
      </c>
      <c r="F784" s="74">
        <f t="array" ref="F784">IF(OR($D784="",$D784="NO ENCONTRADO"),"",_xlfn.XLOOKUP($D784,Productos!$E:$E,Productos!$I:$I,""))</f>
        <v/>
      </c>
      <c r="G784" s="74">
        <f t="array" ref="G784">IF(OR($D784="",$D784="NO ENCONTRADO"),"",_xlfn.XLOOKUP($D784,Productos!$E:$E,Productos!$J:$J,""))</f>
        <v/>
      </c>
      <c r="H784" s="74">
        <f t="array" ref="H784">IF(OR($D784="",$D784="NO ENCONTRADO"),"",_xlfn.XLOOKUP($D784,Productos!$E:$E,Productos!$K:$K,""))</f>
        <v/>
      </c>
      <c r="I784" s="74">
        <f t="array" ref="I784">IF(OR($D784="",$D784="NO ENCONTRADO"),"",_xlfn.XLOOKUP($D784,Productos!$E:$E,Productos!$F:$F,""))</f>
        <v/>
      </c>
      <c r="J784" s="74">
        <f>IF($C784="","",IF($D784="NO ENCONTRADO",IF(COUNTIF($C$7:$C$1000,$C784)&gt;1,"⚠️ No encontrado | Duplicado","⚠️ No encontrado"),IF(COUNTIF($C$7:$C$1000,$C784)&gt;1,"⚠️ Duplicado","Verificado")))</f>
        <v/>
      </c>
    </row>
    <row r="785" ht="15.75" customHeight="1" s="176">
      <c r="B785" s="80" t="n"/>
      <c r="C785" s="74" t="n"/>
      <c r="D785" s="74">
        <f t="array" ref="D785">IF($C785="","",IFNA(_xlfn.XLOOKUP($C785,Productos!$A:$A,Productos!$E:$E,IFNA(_xlfn.XLOOKUP(TEXT($C785,"0"),Productos!$A:$A,Productos!$E:$E,IFNA(_xlfn.XLOOKUP(IFERROR(VALUE($C785),""),Productos!$A:$A,Productos!$E:$E,_xlfn.XLOOKUP($C785,Productos!$E:$E,Productos!$E:$E,"NO ENCONTRADO")),"NO ENCONTRADO")),"NO ENCONTRADO")),"NO ENCONTRADO"))</f>
        <v/>
      </c>
      <c r="E785" s="74">
        <f t="array" ref="E785">IF(OR($D785="",$D785="NO ENCONTRADO"),"",_xlfn.XLOOKUP($D785,Productos!$E:$E,Productos!$H:$H,""))</f>
        <v/>
      </c>
      <c r="F785" s="74">
        <f t="array" ref="F785">IF(OR($D785="",$D785="NO ENCONTRADO"),"",_xlfn.XLOOKUP($D785,Productos!$E:$E,Productos!$I:$I,""))</f>
        <v/>
      </c>
      <c r="G785" s="74">
        <f t="array" ref="G785">IF(OR($D785="",$D785="NO ENCONTRADO"),"",_xlfn.XLOOKUP($D785,Productos!$E:$E,Productos!$J:$J,""))</f>
        <v/>
      </c>
      <c r="H785" s="74">
        <f t="array" ref="H785">IF(OR($D785="",$D785="NO ENCONTRADO"),"",_xlfn.XLOOKUP($D785,Productos!$E:$E,Productos!$K:$K,""))</f>
        <v/>
      </c>
      <c r="I785" s="74">
        <f t="array" ref="I785">IF(OR($D785="",$D785="NO ENCONTRADO"),"",_xlfn.XLOOKUP($D785,Productos!$E:$E,Productos!$F:$F,""))</f>
        <v/>
      </c>
      <c r="J785" s="74">
        <f>IF($C785="","",IF($D785="NO ENCONTRADO",IF(COUNTIF($C$7:$C$1000,$C785)&gt;1,"⚠️ No encontrado | Duplicado","⚠️ No encontrado"),IF(COUNTIF($C$7:$C$1000,$C785)&gt;1,"⚠️ Duplicado","Verificado")))</f>
        <v/>
      </c>
    </row>
    <row r="786" ht="15.75" customHeight="1" s="176">
      <c r="B786" s="80" t="n"/>
      <c r="C786" s="74" t="n"/>
      <c r="D786" s="74">
        <f t="array" ref="D786">IF($C786="","",IFNA(_xlfn.XLOOKUP($C786,Productos!$A:$A,Productos!$E:$E,IFNA(_xlfn.XLOOKUP(TEXT($C786,"0"),Productos!$A:$A,Productos!$E:$E,IFNA(_xlfn.XLOOKUP(IFERROR(VALUE($C786),""),Productos!$A:$A,Productos!$E:$E,_xlfn.XLOOKUP($C786,Productos!$E:$E,Productos!$E:$E,"NO ENCONTRADO")),"NO ENCONTRADO")),"NO ENCONTRADO")),"NO ENCONTRADO"))</f>
        <v/>
      </c>
      <c r="E786" s="74">
        <f t="array" ref="E786">IF(OR($D786="",$D786="NO ENCONTRADO"),"",_xlfn.XLOOKUP($D786,Productos!$E:$E,Productos!$H:$H,""))</f>
        <v/>
      </c>
      <c r="F786" s="74">
        <f t="array" ref="F786">IF(OR($D786="",$D786="NO ENCONTRADO"),"",_xlfn.XLOOKUP($D786,Productos!$E:$E,Productos!$I:$I,""))</f>
        <v/>
      </c>
      <c r="G786" s="74">
        <f t="array" ref="G786">IF(OR($D786="",$D786="NO ENCONTRADO"),"",_xlfn.XLOOKUP($D786,Productos!$E:$E,Productos!$J:$J,""))</f>
        <v/>
      </c>
      <c r="H786" s="74">
        <f t="array" ref="H786">IF(OR($D786="",$D786="NO ENCONTRADO"),"",_xlfn.XLOOKUP($D786,Productos!$E:$E,Productos!$K:$K,""))</f>
        <v/>
      </c>
      <c r="I786" s="74">
        <f t="array" ref="I786">IF(OR($D786="",$D786="NO ENCONTRADO"),"",_xlfn.XLOOKUP($D786,Productos!$E:$E,Productos!$F:$F,""))</f>
        <v/>
      </c>
      <c r="J786" s="74">
        <f>IF($C786="","",IF($D786="NO ENCONTRADO",IF(COUNTIF($C$7:$C$1000,$C786)&gt;1,"⚠️ No encontrado | Duplicado","⚠️ No encontrado"),IF(COUNTIF($C$7:$C$1000,$C786)&gt;1,"⚠️ Duplicado","Verificado")))</f>
        <v/>
      </c>
    </row>
    <row r="787" ht="15.75" customHeight="1" s="176">
      <c r="B787" s="80" t="n"/>
      <c r="C787" s="74" t="n"/>
      <c r="D787" s="74">
        <f t="array" ref="D787">IF($C787="","",IFNA(_xlfn.XLOOKUP($C787,Productos!$A:$A,Productos!$E:$E,IFNA(_xlfn.XLOOKUP(TEXT($C787,"0"),Productos!$A:$A,Productos!$E:$E,IFNA(_xlfn.XLOOKUP(IFERROR(VALUE($C787),""),Productos!$A:$A,Productos!$E:$E,_xlfn.XLOOKUP($C787,Productos!$E:$E,Productos!$E:$E,"NO ENCONTRADO")),"NO ENCONTRADO")),"NO ENCONTRADO")),"NO ENCONTRADO"))</f>
        <v/>
      </c>
      <c r="E787" s="74">
        <f t="array" ref="E787">IF(OR($D787="",$D787="NO ENCONTRADO"),"",_xlfn.XLOOKUP($D787,Productos!$E:$E,Productos!$H:$H,""))</f>
        <v/>
      </c>
      <c r="F787" s="74">
        <f t="array" ref="F787">IF(OR($D787="",$D787="NO ENCONTRADO"),"",_xlfn.XLOOKUP($D787,Productos!$E:$E,Productos!$I:$I,""))</f>
        <v/>
      </c>
      <c r="G787" s="74">
        <f t="array" ref="G787">IF(OR($D787="",$D787="NO ENCONTRADO"),"",_xlfn.XLOOKUP($D787,Productos!$E:$E,Productos!$J:$J,""))</f>
        <v/>
      </c>
      <c r="H787" s="74">
        <f t="array" ref="H787">IF(OR($D787="",$D787="NO ENCONTRADO"),"",_xlfn.XLOOKUP($D787,Productos!$E:$E,Productos!$K:$K,""))</f>
        <v/>
      </c>
      <c r="I787" s="74">
        <f t="array" ref="I787">IF(OR($D787="",$D787="NO ENCONTRADO"),"",_xlfn.XLOOKUP($D787,Productos!$E:$E,Productos!$F:$F,""))</f>
        <v/>
      </c>
      <c r="J787" s="74">
        <f>IF($C787="","",IF($D787="NO ENCONTRADO",IF(COUNTIF($C$7:$C$1000,$C787)&gt;1,"⚠️ No encontrado | Duplicado","⚠️ No encontrado"),IF(COUNTIF($C$7:$C$1000,$C787)&gt;1,"⚠️ Duplicado","Verificado")))</f>
        <v/>
      </c>
    </row>
    <row r="788" ht="15.75" customHeight="1" s="176">
      <c r="B788" s="80" t="n"/>
      <c r="C788" s="74" t="n"/>
      <c r="D788" s="74">
        <f t="array" ref="D788">IF($C788="","",IFNA(_xlfn.XLOOKUP($C788,Productos!$A:$A,Productos!$E:$E,IFNA(_xlfn.XLOOKUP(TEXT($C788,"0"),Productos!$A:$A,Productos!$E:$E,IFNA(_xlfn.XLOOKUP(IFERROR(VALUE($C788),""),Productos!$A:$A,Productos!$E:$E,_xlfn.XLOOKUP($C788,Productos!$E:$E,Productos!$E:$E,"NO ENCONTRADO")),"NO ENCONTRADO")),"NO ENCONTRADO")),"NO ENCONTRADO"))</f>
        <v/>
      </c>
      <c r="E788" s="74">
        <f t="array" ref="E788">IF(OR($D788="",$D788="NO ENCONTRADO"),"",_xlfn.XLOOKUP($D788,Productos!$E:$E,Productos!$H:$H,""))</f>
        <v/>
      </c>
      <c r="F788" s="74">
        <f t="array" ref="F788">IF(OR($D788="",$D788="NO ENCONTRADO"),"",_xlfn.XLOOKUP($D788,Productos!$E:$E,Productos!$I:$I,""))</f>
        <v/>
      </c>
      <c r="G788" s="74">
        <f t="array" ref="G788">IF(OR($D788="",$D788="NO ENCONTRADO"),"",_xlfn.XLOOKUP($D788,Productos!$E:$E,Productos!$J:$J,""))</f>
        <v/>
      </c>
      <c r="H788" s="74">
        <f t="array" ref="H788">IF(OR($D788="",$D788="NO ENCONTRADO"),"",_xlfn.XLOOKUP($D788,Productos!$E:$E,Productos!$K:$K,""))</f>
        <v/>
      </c>
      <c r="I788" s="74">
        <f t="array" ref="I788">IF(OR($D788="",$D788="NO ENCONTRADO"),"",_xlfn.XLOOKUP($D788,Productos!$E:$E,Productos!$F:$F,""))</f>
        <v/>
      </c>
      <c r="J788" s="74">
        <f>IF($C788="","",IF($D788="NO ENCONTRADO",IF(COUNTIF($C$7:$C$1000,$C788)&gt;1,"⚠️ No encontrado | Duplicado","⚠️ No encontrado"),IF(COUNTIF($C$7:$C$1000,$C788)&gt;1,"⚠️ Duplicado","Verificado")))</f>
        <v/>
      </c>
    </row>
    <row r="789" ht="15.75" customHeight="1" s="176">
      <c r="B789" s="80" t="n"/>
      <c r="C789" s="74" t="n"/>
      <c r="D789" s="74">
        <f t="array" ref="D789">IF($C789="","",IFNA(_xlfn.XLOOKUP($C789,Productos!$A:$A,Productos!$E:$E,IFNA(_xlfn.XLOOKUP(TEXT($C789,"0"),Productos!$A:$A,Productos!$E:$E,IFNA(_xlfn.XLOOKUP(IFERROR(VALUE($C789),""),Productos!$A:$A,Productos!$E:$E,_xlfn.XLOOKUP($C789,Productos!$E:$E,Productos!$E:$E,"NO ENCONTRADO")),"NO ENCONTRADO")),"NO ENCONTRADO")),"NO ENCONTRADO"))</f>
        <v/>
      </c>
      <c r="E789" s="74">
        <f t="array" ref="E789">IF(OR($D789="",$D789="NO ENCONTRADO"),"",_xlfn.XLOOKUP($D789,Productos!$E:$E,Productos!$H:$H,""))</f>
        <v/>
      </c>
      <c r="F789" s="74">
        <f t="array" ref="F789">IF(OR($D789="",$D789="NO ENCONTRADO"),"",_xlfn.XLOOKUP($D789,Productos!$E:$E,Productos!$I:$I,""))</f>
        <v/>
      </c>
      <c r="G789" s="74">
        <f t="array" ref="G789">IF(OR($D789="",$D789="NO ENCONTRADO"),"",_xlfn.XLOOKUP($D789,Productos!$E:$E,Productos!$J:$J,""))</f>
        <v/>
      </c>
      <c r="H789" s="74">
        <f t="array" ref="H789">IF(OR($D789="",$D789="NO ENCONTRADO"),"",_xlfn.XLOOKUP($D789,Productos!$E:$E,Productos!$K:$K,""))</f>
        <v/>
      </c>
      <c r="I789" s="74">
        <f t="array" ref="I789">IF(OR($D789="",$D789="NO ENCONTRADO"),"",_xlfn.XLOOKUP($D789,Productos!$E:$E,Productos!$F:$F,""))</f>
        <v/>
      </c>
      <c r="J789" s="74">
        <f>IF($C789="","",IF($D789="NO ENCONTRADO",IF(COUNTIF($C$7:$C$1000,$C789)&gt;1,"⚠️ No encontrado | Duplicado","⚠️ No encontrado"),IF(COUNTIF($C$7:$C$1000,$C789)&gt;1,"⚠️ Duplicado","Verificado")))</f>
        <v/>
      </c>
    </row>
    <row r="790" ht="15.75" customHeight="1" s="176">
      <c r="B790" s="80" t="n"/>
      <c r="C790" s="74" t="n"/>
      <c r="D790" s="74">
        <f t="array" ref="D790">IF($C790="","",IFNA(_xlfn.XLOOKUP($C790,Productos!$A:$A,Productos!$E:$E,IFNA(_xlfn.XLOOKUP(TEXT($C790,"0"),Productos!$A:$A,Productos!$E:$E,IFNA(_xlfn.XLOOKUP(IFERROR(VALUE($C790),""),Productos!$A:$A,Productos!$E:$E,_xlfn.XLOOKUP($C790,Productos!$E:$E,Productos!$E:$E,"NO ENCONTRADO")),"NO ENCONTRADO")),"NO ENCONTRADO")),"NO ENCONTRADO"))</f>
        <v/>
      </c>
      <c r="E790" s="74">
        <f t="array" ref="E790">IF(OR($D790="",$D790="NO ENCONTRADO"),"",_xlfn.XLOOKUP($D790,Productos!$E:$E,Productos!$H:$H,""))</f>
        <v/>
      </c>
      <c r="F790" s="74">
        <f t="array" ref="F790">IF(OR($D790="",$D790="NO ENCONTRADO"),"",_xlfn.XLOOKUP($D790,Productos!$E:$E,Productos!$I:$I,""))</f>
        <v/>
      </c>
      <c r="G790" s="74">
        <f t="array" ref="G790">IF(OR($D790="",$D790="NO ENCONTRADO"),"",_xlfn.XLOOKUP($D790,Productos!$E:$E,Productos!$J:$J,""))</f>
        <v/>
      </c>
      <c r="H790" s="74">
        <f t="array" ref="H790">IF(OR($D790="",$D790="NO ENCONTRADO"),"",_xlfn.XLOOKUP($D790,Productos!$E:$E,Productos!$K:$K,""))</f>
        <v/>
      </c>
      <c r="I790" s="74">
        <f t="array" ref="I790">IF(OR($D790="",$D790="NO ENCONTRADO"),"",_xlfn.XLOOKUP($D790,Productos!$E:$E,Productos!$F:$F,""))</f>
        <v/>
      </c>
      <c r="J790" s="74">
        <f>IF($C790="","",IF($D790="NO ENCONTRADO",IF(COUNTIF($C$7:$C$1000,$C790)&gt;1,"⚠️ No encontrado | Duplicado","⚠️ No encontrado"),IF(COUNTIF($C$7:$C$1000,$C790)&gt;1,"⚠️ Duplicado","Verificado")))</f>
        <v/>
      </c>
    </row>
    <row r="791" ht="15.75" customHeight="1" s="176">
      <c r="B791" s="80" t="n"/>
      <c r="C791" s="74" t="n"/>
      <c r="D791" s="74">
        <f t="array" ref="D791">IF($C791="","",IFNA(_xlfn.XLOOKUP($C791,Productos!$A:$A,Productos!$E:$E,IFNA(_xlfn.XLOOKUP(TEXT($C791,"0"),Productos!$A:$A,Productos!$E:$E,IFNA(_xlfn.XLOOKUP(IFERROR(VALUE($C791),""),Productos!$A:$A,Productos!$E:$E,_xlfn.XLOOKUP($C791,Productos!$E:$E,Productos!$E:$E,"NO ENCONTRADO")),"NO ENCONTRADO")),"NO ENCONTRADO")),"NO ENCONTRADO"))</f>
        <v/>
      </c>
      <c r="E791" s="74">
        <f t="array" ref="E791">IF(OR($D791="",$D791="NO ENCONTRADO"),"",_xlfn.XLOOKUP($D791,Productos!$E:$E,Productos!$H:$H,""))</f>
        <v/>
      </c>
      <c r="F791" s="74">
        <f t="array" ref="F791">IF(OR($D791="",$D791="NO ENCONTRADO"),"",_xlfn.XLOOKUP($D791,Productos!$E:$E,Productos!$I:$I,""))</f>
        <v/>
      </c>
      <c r="G791" s="74">
        <f t="array" ref="G791">IF(OR($D791="",$D791="NO ENCONTRADO"),"",_xlfn.XLOOKUP($D791,Productos!$E:$E,Productos!$J:$J,""))</f>
        <v/>
      </c>
      <c r="H791" s="74">
        <f t="array" ref="H791">IF(OR($D791="",$D791="NO ENCONTRADO"),"",_xlfn.XLOOKUP($D791,Productos!$E:$E,Productos!$K:$K,""))</f>
        <v/>
      </c>
      <c r="I791" s="74">
        <f t="array" ref="I791">IF(OR($D791="",$D791="NO ENCONTRADO"),"",_xlfn.XLOOKUP($D791,Productos!$E:$E,Productos!$F:$F,""))</f>
        <v/>
      </c>
      <c r="J791" s="74">
        <f>IF($C791="","",IF($D791="NO ENCONTRADO",IF(COUNTIF($C$7:$C$1000,$C791)&gt;1,"⚠️ No encontrado | Duplicado","⚠️ No encontrado"),IF(COUNTIF($C$7:$C$1000,$C791)&gt;1,"⚠️ Duplicado","Verificado")))</f>
        <v/>
      </c>
    </row>
    <row r="792" ht="15.75" customHeight="1" s="176">
      <c r="B792" s="80" t="n"/>
      <c r="C792" s="74" t="n"/>
      <c r="D792" s="74">
        <f t="array" ref="D792">IF($C792="","",IFNA(_xlfn.XLOOKUP($C792,Productos!$A:$A,Productos!$E:$E,IFNA(_xlfn.XLOOKUP(TEXT($C792,"0"),Productos!$A:$A,Productos!$E:$E,IFNA(_xlfn.XLOOKUP(IFERROR(VALUE($C792),""),Productos!$A:$A,Productos!$E:$E,_xlfn.XLOOKUP($C792,Productos!$E:$E,Productos!$E:$E,"NO ENCONTRADO")),"NO ENCONTRADO")),"NO ENCONTRADO")),"NO ENCONTRADO"))</f>
        <v/>
      </c>
      <c r="E792" s="74">
        <f t="array" ref="E792">IF(OR($D792="",$D792="NO ENCONTRADO"),"",_xlfn.XLOOKUP($D792,Productos!$E:$E,Productos!$H:$H,""))</f>
        <v/>
      </c>
      <c r="F792" s="74">
        <f t="array" ref="F792">IF(OR($D792="",$D792="NO ENCONTRADO"),"",_xlfn.XLOOKUP($D792,Productos!$E:$E,Productos!$I:$I,""))</f>
        <v/>
      </c>
      <c r="G792" s="74">
        <f t="array" ref="G792">IF(OR($D792="",$D792="NO ENCONTRADO"),"",_xlfn.XLOOKUP($D792,Productos!$E:$E,Productos!$J:$J,""))</f>
        <v/>
      </c>
      <c r="H792" s="74">
        <f t="array" ref="H792">IF(OR($D792="",$D792="NO ENCONTRADO"),"",_xlfn.XLOOKUP($D792,Productos!$E:$E,Productos!$K:$K,""))</f>
        <v/>
      </c>
      <c r="I792" s="74">
        <f t="array" ref="I792">IF(OR($D792="",$D792="NO ENCONTRADO"),"",_xlfn.XLOOKUP($D792,Productos!$E:$E,Productos!$F:$F,""))</f>
        <v/>
      </c>
      <c r="J792" s="74">
        <f>IF($C792="","",IF($D792="NO ENCONTRADO",IF(COUNTIF($C$7:$C$1000,$C792)&gt;1,"⚠️ No encontrado | Duplicado","⚠️ No encontrado"),IF(COUNTIF($C$7:$C$1000,$C792)&gt;1,"⚠️ Duplicado","Verificado")))</f>
        <v/>
      </c>
    </row>
    <row r="793" ht="15.75" customHeight="1" s="176">
      <c r="B793" s="80" t="n"/>
      <c r="C793" s="74" t="n"/>
      <c r="D793" s="74">
        <f t="array" ref="D793">IF($C793="","",IFNA(_xlfn.XLOOKUP($C793,Productos!$A:$A,Productos!$E:$E,IFNA(_xlfn.XLOOKUP(TEXT($C793,"0"),Productos!$A:$A,Productos!$E:$E,IFNA(_xlfn.XLOOKUP(IFERROR(VALUE($C793),""),Productos!$A:$A,Productos!$E:$E,_xlfn.XLOOKUP($C793,Productos!$E:$E,Productos!$E:$E,"NO ENCONTRADO")),"NO ENCONTRADO")),"NO ENCONTRADO")),"NO ENCONTRADO"))</f>
        <v/>
      </c>
      <c r="E793" s="74">
        <f t="array" ref="E793">IF(OR($D793="",$D793="NO ENCONTRADO"),"",_xlfn.XLOOKUP($D793,Productos!$E:$E,Productos!$H:$H,""))</f>
        <v/>
      </c>
      <c r="F793" s="74">
        <f t="array" ref="F793">IF(OR($D793="",$D793="NO ENCONTRADO"),"",_xlfn.XLOOKUP($D793,Productos!$E:$E,Productos!$I:$I,""))</f>
        <v/>
      </c>
      <c r="G793" s="74">
        <f t="array" ref="G793">IF(OR($D793="",$D793="NO ENCONTRADO"),"",_xlfn.XLOOKUP($D793,Productos!$E:$E,Productos!$J:$J,""))</f>
        <v/>
      </c>
      <c r="H793" s="74">
        <f t="array" ref="H793">IF(OR($D793="",$D793="NO ENCONTRADO"),"",_xlfn.XLOOKUP($D793,Productos!$E:$E,Productos!$K:$K,""))</f>
        <v/>
      </c>
      <c r="I793" s="74">
        <f t="array" ref="I793">IF(OR($D793="",$D793="NO ENCONTRADO"),"",_xlfn.XLOOKUP($D793,Productos!$E:$E,Productos!$F:$F,""))</f>
        <v/>
      </c>
      <c r="J793" s="74">
        <f>IF($C793="","",IF($D793="NO ENCONTRADO",IF(COUNTIF($C$7:$C$1000,$C793)&gt;1,"⚠️ No encontrado | Duplicado","⚠️ No encontrado"),IF(COUNTIF($C$7:$C$1000,$C793)&gt;1,"⚠️ Duplicado","Verificado")))</f>
        <v/>
      </c>
    </row>
    <row r="794" ht="15.75" customHeight="1" s="176">
      <c r="B794" s="80" t="n"/>
      <c r="C794" s="74" t="n"/>
      <c r="D794" s="74">
        <f t="array" ref="D794">IF($C794="","",IFNA(_xlfn.XLOOKUP($C794,Productos!$A:$A,Productos!$E:$E,IFNA(_xlfn.XLOOKUP(TEXT($C794,"0"),Productos!$A:$A,Productos!$E:$E,IFNA(_xlfn.XLOOKUP(IFERROR(VALUE($C794),""),Productos!$A:$A,Productos!$E:$E,_xlfn.XLOOKUP($C794,Productos!$E:$E,Productos!$E:$E,"NO ENCONTRADO")),"NO ENCONTRADO")),"NO ENCONTRADO")),"NO ENCONTRADO"))</f>
        <v/>
      </c>
      <c r="E794" s="74">
        <f t="array" ref="E794">IF(OR($D794="",$D794="NO ENCONTRADO"),"",_xlfn.XLOOKUP($D794,Productos!$E:$E,Productos!$H:$H,""))</f>
        <v/>
      </c>
      <c r="F794" s="74">
        <f t="array" ref="F794">IF(OR($D794="",$D794="NO ENCONTRADO"),"",_xlfn.XLOOKUP($D794,Productos!$E:$E,Productos!$I:$I,""))</f>
        <v/>
      </c>
      <c r="G794" s="74">
        <f t="array" ref="G794">IF(OR($D794="",$D794="NO ENCONTRADO"),"",_xlfn.XLOOKUP($D794,Productos!$E:$E,Productos!$J:$J,""))</f>
        <v/>
      </c>
      <c r="H794" s="74">
        <f t="array" ref="H794">IF(OR($D794="",$D794="NO ENCONTRADO"),"",_xlfn.XLOOKUP($D794,Productos!$E:$E,Productos!$K:$K,""))</f>
        <v/>
      </c>
      <c r="I794" s="74">
        <f t="array" ref="I794">IF(OR($D794="",$D794="NO ENCONTRADO"),"",_xlfn.XLOOKUP($D794,Productos!$E:$E,Productos!$F:$F,""))</f>
        <v/>
      </c>
      <c r="J794" s="74">
        <f>IF($C794="","",IF($D794="NO ENCONTRADO",IF(COUNTIF($C$7:$C$1000,$C794)&gt;1,"⚠️ No encontrado | Duplicado","⚠️ No encontrado"),IF(COUNTIF($C$7:$C$1000,$C794)&gt;1,"⚠️ Duplicado","Verificado")))</f>
        <v/>
      </c>
    </row>
    <row r="795" ht="15.75" customHeight="1" s="176">
      <c r="B795" s="80" t="n"/>
      <c r="C795" s="74" t="n"/>
      <c r="D795" s="74">
        <f t="array" ref="D795">IF($C795="","",IFNA(_xlfn.XLOOKUP($C795,Productos!$A:$A,Productos!$E:$E,IFNA(_xlfn.XLOOKUP(TEXT($C795,"0"),Productos!$A:$A,Productos!$E:$E,IFNA(_xlfn.XLOOKUP(IFERROR(VALUE($C795),""),Productos!$A:$A,Productos!$E:$E,_xlfn.XLOOKUP($C795,Productos!$E:$E,Productos!$E:$E,"NO ENCONTRADO")),"NO ENCONTRADO")),"NO ENCONTRADO")),"NO ENCONTRADO"))</f>
        <v/>
      </c>
      <c r="E795" s="74">
        <f t="array" ref="E795">IF(OR($D795="",$D795="NO ENCONTRADO"),"",_xlfn.XLOOKUP($D795,Productos!$E:$E,Productos!$H:$H,""))</f>
        <v/>
      </c>
      <c r="F795" s="74">
        <f t="array" ref="F795">IF(OR($D795="",$D795="NO ENCONTRADO"),"",_xlfn.XLOOKUP($D795,Productos!$E:$E,Productos!$I:$I,""))</f>
        <v/>
      </c>
      <c r="G795" s="74">
        <f t="array" ref="G795">IF(OR($D795="",$D795="NO ENCONTRADO"),"",_xlfn.XLOOKUP($D795,Productos!$E:$E,Productos!$J:$J,""))</f>
        <v/>
      </c>
      <c r="H795" s="74">
        <f t="array" ref="H795">IF(OR($D795="",$D795="NO ENCONTRADO"),"",_xlfn.XLOOKUP($D795,Productos!$E:$E,Productos!$K:$K,""))</f>
        <v/>
      </c>
      <c r="I795" s="74">
        <f t="array" ref="I795">IF(OR($D795="",$D795="NO ENCONTRADO"),"",_xlfn.XLOOKUP($D795,Productos!$E:$E,Productos!$F:$F,""))</f>
        <v/>
      </c>
      <c r="J795" s="74">
        <f>IF($C795="","",IF($D795="NO ENCONTRADO",IF(COUNTIF($C$7:$C$1000,$C795)&gt;1,"⚠️ No encontrado | Duplicado","⚠️ No encontrado"),IF(COUNTIF($C$7:$C$1000,$C795)&gt;1,"⚠️ Duplicado","Verificado")))</f>
        <v/>
      </c>
    </row>
    <row r="796" ht="15.75" customHeight="1" s="176">
      <c r="B796" s="80" t="n"/>
      <c r="C796" s="74" t="n"/>
      <c r="D796" s="74">
        <f t="array" ref="D796">IF($C796="","",IFNA(_xlfn.XLOOKUP($C796,Productos!$A:$A,Productos!$E:$E,IFNA(_xlfn.XLOOKUP(TEXT($C796,"0"),Productos!$A:$A,Productos!$E:$E,IFNA(_xlfn.XLOOKUP(IFERROR(VALUE($C796),""),Productos!$A:$A,Productos!$E:$E,_xlfn.XLOOKUP($C796,Productos!$E:$E,Productos!$E:$E,"NO ENCONTRADO")),"NO ENCONTRADO")),"NO ENCONTRADO")),"NO ENCONTRADO"))</f>
        <v/>
      </c>
      <c r="E796" s="74">
        <f t="array" ref="E796">IF(OR($D796="",$D796="NO ENCONTRADO"),"",_xlfn.XLOOKUP($D796,Productos!$E:$E,Productos!$H:$H,""))</f>
        <v/>
      </c>
      <c r="F796" s="74">
        <f t="array" ref="F796">IF(OR($D796="",$D796="NO ENCONTRADO"),"",_xlfn.XLOOKUP($D796,Productos!$E:$E,Productos!$I:$I,""))</f>
        <v/>
      </c>
      <c r="G796" s="74">
        <f t="array" ref="G796">IF(OR($D796="",$D796="NO ENCONTRADO"),"",_xlfn.XLOOKUP($D796,Productos!$E:$E,Productos!$J:$J,""))</f>
        <v/>
      </c>
      <c r="H796" s="74">
        <f t="array" ref="H796">IF(OR($D796="",$D796="NO ENCONTRADO"),"",_xlfn.XLOOKUP($D796,Productos!$E:$E,Productos!$K:$K,""))</f>
        <v/>
      </c>
      <c r="I796" s="74">
        <f t="array" ref="I796">IF(OR($D796="",$D796="NO ENCONTRADO"),"",_xlfn.XLOOKUP($D796,Productos!$E:$E,Productos!$F:$F,""))</f>
        <v/>
      </c>
      <c r="J796" s="74">
        <f>IF($C796="","",IF($D796="NO ENCONTRADO",IF(COUNTIF($C$7:$C$1000,$C796)&gt;1,"⚠️ No encontrado | Duplicado","⚠️ No encontrado"),IF(COUNTIF($C$7:$C$1000,$C796)&gt;1,"⚠️ Duplicado","Verificado")))</f>
        <v/>
      </c>
    </row>
    <row r="797" ht="15.75" customHeight="1" s="176">
      <c r="B797" s="80" t="n"/>
      <c r="C797" s="74" t="n"/>
      <c r="D797" s="74">
        <f t="array" ref="D797">IF($C797="","",IFNA(_xlfn.XLOOKUP($C797,Productos!$A:$A,Productos!$E:$E,IFNA(_xlfn.XLOOKUP(TEXT($C797,"0"),Productos!$A:$A,Productos!$E:$E,IFNA(_xlfn.XLOOKUP(IFERROR(VALUE($C797),""),Productos!$A:$A,Productos!$E:$E,_xlfn.XLOOKUP($C797,Productos!$E:$E,Productos!$E:$E,"NO ENCONTRADO")),"NO ENCONTRADO")),"NO ENCONTRADO")),"NO ENCONTRADO"))</f>
        <v/>
      </c>
      <c r="E797" s="74">
        <f t="array" ref="E797">IF(OR($D797="",$D797="NO ENCONTRADO"),"",_xlfn.XLOOKUP($D797,Productos!$E:$E,Productos!$H:$H,""))</f>
        <v/>
      </c>
      <c r="F797" s="74">
        <f t="array" ref="F797">IF(OR($D797="",$D797="NO ENCONTRADO"),"",_xlfn.XLOOKUP($D797,Productos!$E:$E,Productos!$I:$I,""))</f>
        <v/>
      </c>
      <c r="G797" s="74">
        <f t="array" ref="G797">IF(OR($D797="",$D797="NO ENCONTRADO"),"",_xlfn.XLOOKUP($D797,Productos!$E:$E,Productos!$J:$J,""))</f>
        <v/>
      </c>
      <c r="H797" s="74">
        <f t="array" ref="H797">IF(OR($D797="",$D797="NO ENCONTRADO"),"",_xlfn.XLOOKUP($D797,Productos!$E:$E,Productos!$K:$K,""))</f>
        <v/>
      </c>
      <c r="I797" s="74">
        <f t="array" ref="I797">IF(OR($D797="",$D797="NO ENCONTRADO"),"",_xlfn.XLOOKUP($D797,Productos!$E:$E,Productos!$F:$F,""))</f>
        <v/>
      </c>
      <c r="J797" s="74">
        <f>IF($C797="","",IF($D797="NO ENCONTRADO",IF(COUNTIF($C$7:$C$1000,$C797)&gt;1,"⚠️ No encontrado | Duplicado","⚠️ No encontrado"),IF(COUNTIF($C$7:$C$1000,$C797)&gt;1,"⚠️ Duplicado","Verificado")))</f>
        <v/>
      </c>
    </row>
    <row r="798" ht="15.75" customHeight="1" s="176">
      <c r="B798" s="80" t="n"/>
      <c r="C798" s="74" t="n"/>
      <c r="D798" s="74">
        <f t="array" ref="D798">IF($C798="","",IFNA(_xlfn.XLOOKUP($C798,Productos!$A:$A,Productos!$E:$E,IFNA(_xlfn.XLOOKUP(TEXT($C798,"0"),Productos!$A:$A,Productos!$E:$E,IFNA(_xlfn.XLOOKUP(IFERROR(VALUE($C798),""),Productos!$A:$A,Productos!$E:$E,_xlfn.XLOOKUP($C798,Productos!$E:$E,Productos!$E:$E,"NO ENCONTRADO")),"NO ENCONTRADO")),"NO ENCONTRADO")),"NO ENCONTRADO"))</f>
        <v/>
      </c>
      <c r="E798" s="74">
        <f t="array" ref="E798">IF(OR($D798="",$D798="NO ENCONTRADO"),"",_xlfn.XLOOKUP($D798,Productos!$E:$E,Productos!$H:$H,""))</f>
        <v/>
      </c>
      <c r="F798" s="74">
        <f t="array" ref="F798">IF(OR($D798="",$D798="NO ENCONTRADO"),"",_xlfn.XLOOKUP($D798,Productos!$E:$E,Productos!$I:$I,""))</f>
        <v/>
      </c>
      <c r="G798" s="74">
        <f t="array" ref="G798">IF(OR($D798="",$D798="NO ENCONTRADO"),"",_xlfn.XLOOKUP($D798,Productos!$E:$E,Productos!$J:$J,""))</f>
        <v/>
      </c>
      <c r="H798" s="74">
        <f t="array" ref="H798">IF(OR($D798="",$D798="NO ENCONTRADO"),"",_xlfn.XLOOKUP($D798,Productos!$E:$E,Productos!$K:$K,""))</f>
        <v/>
      </c>
      <c r="I798" s="74">
        <f t="array" ref="I798">IF(OR($D798="",$D798="NO ENCONTRADO"),"",_xlfn.XLOOKUP($D798,Productos!$E:$E,Productos!$F:$F,""))</f>
        <v/>
      </c>
      <c r="J798" s="74">
        <f>IF($C798="","",IF($D798="NO ENCONTRADO",IF(COUNTIF($C$7:$C$1000,$C798)&gt;1,"⚠️ No encontrado | Duplicado","⚠️ No encontrado"),IF(COUNTIF($C$7:$C$1000,$C798)&gt;1,"⚠️ Duplicado","Verificado")))</f>
        <v/>
      </c>
    </row>
    <row r="799" ht="15.75" customHeight="1" s="176">
      <c r="B799" s="80" t="n"/>
      <c r="C799" s="74" t="n"/>
      <c r="D799" s="74">
        <f t="array" ref="D799">IF($C799="","",IFNA(_xlfn.XLOOKUP($C799,Productos!$A:$A,Productos!$E:$E,IFNA(_xlfn.XLOOKUP(TEXT($C799,"0"),Productos!$A:$A,Productos!$E:$E,IFNA(_xlfn.XLOOKUP(IFERROR(VALUE($C799),""),Productos!$A:$A,Productos!$E:$E,_xlfn.XLOOKUP($C799,Productos!$E:$E,Productos!$E:$E,"NO ENCONTRADO")),"NO ENCONTRADO")),"NO ENCONTRADO")),"NO ENCONTRADO"))</f>
        <v/>
      </c>
      <c r="E799" s="74">
        <f t="array" ref="E799">IF(OR($D799="",$D799="NO ENCONTRADO"),"",_xlfn.XLOOKUP($D799,Productos!$E:$E,Productos!$H:$H,""))</f>
        <v/>
      </c>
      <c r="F799" s="74">
        <f t="array" ref="F799">IF(OR($D799="",$D799="NO ENCONTRADO"),"",_xlfn.XLOOKUP($D799,Productos!$E:$E,Productos!$I:$I,""))</f>
        <v/>
      </c>
      <c r="G799" s="74">
        <f t="array" ref="G799">IF(OR($D799="",$D799="NO ENCONTRADO"),"",_xlfn.XLOOKUP($D799,Productos!$E:$E,Productos!$J:$J,""))</f>
        <v/>
      </c>
      <c r="H799" s="74">
        <f t="array" ref="H799">IF(OR($D799="",$D799="NO ENCONTRADO"),"",_xlfn.XLOOKUP($D799,Productos!$E:$E,Productos!$K:$K,""))</f>
        <v/>
      </c>
      <c r="I799" s="74">
        <f t="array" ref="I799">IF(OR($D799="",$D799="NO ENCONTRADO"),"",_xlfn.XLOOKUP($D799,Productos!$E:$E,Productos!$F:$F,""))</f>
        <v/>
      </c>
      <c r="J799" s="74">
        <f>IF($C799="","",IF($D799="NO ENCONTRADO",IF(COUNTIF($C$7:$C$1000,$C799)&gt;1,"⚠️ No encontrado | Duplicado","⚠️ No encontrado"),IF(COUNTIF($C$7:$C$1000,$C799)&gt;1,"⚠️ Duplicado","Verificado")))</f>
        <v/>
      </c>
    </row>
    <row r="800" ht="15.75" customHeight="1" s="176">
      <c r="B800" s="80" t="n"/>
      <c r="C800" s="74" t="n"/>
      <c r="D800" s="74">
        <f t="array" ref="D800">IF($C800="","",IFNA(_xlfn.XLOOKUP($C800,Productos!$A:$A,Productos!$E:$E,IFNA(_xlfn.XLOOKUP(TEXT($C800,"0"),Productos!$A:$A,Productos!$E:$E,IFNA(_xlfn.XLOOKUP(IFERROR(VALUE($C800),""),Productos!$A:$A,Productos!$E:$E,_xlfn.XLOOKUP($C800,Productos!$E:$E,Productos!$E:$E,"NO ENCONTRADO")),"NO ENCONTRADO")),"NO ENCONTRADO")),"NO ENCONTRADO"))</f>
        <v/>
      </c>
      <c r="E800" s="74">
        <f t="array" ref="E800">IF(OR($D800="",$D800="NO ENCONTRADO"),"",_xlfn.XLOOKUP($D800,Productos!$E:$E,Productos!$H:$H,""))</f>
        <v/>
      </c>
      <c r="F800" s="74">
        <f t="array" ref="F800">IF(OR($D800="",$D800="NO ENCONTRADO"),"",_xlfn.XLOOKUP($D800,Productos!$E:$E,Productos!$I:$I,""))</f>
        <v/>
      </c>
      <c r="G800" s="74">
        <f t="array" ref="G800">IF(OR($D800="",$D800="NO ENCONTRADO"),"",_xlfn.XLOOKUP($D800,Productos!$E:$E,Productos!$J:$J,""))</f>
        <v/>
      </c>
      <c r="H800" s="74">
        <f t="array" ref="H800">IF(OR($D800="",$D800="NO ENCONTRADO"),"",_xlfn.XLOOKUP($D800,Productos!$E:$E,Productos!$K:$K,""))</f>
        <v/>
      </c>
      <c r="I800" s="74">
        <f t="array" ref="I800">IF(OR($D800="",$D800="NO ENCONTRADO"),"",_xlfn.XLOOKUP($D800,Productos!$E:$E,Productos!$F:$F,""))</f>
        <v/>
      </c>
      <c r="J800" s="74">
        <f>IF($C800="","",IF($D800="NO ENCONTRADO",IF(COUNTIF($C$7:$C$1000,$C800)&gt;1,"⚠️ No encontrado | Duplicado","⚠️ No encontrado"),IF(COUNTIF($C$7:$C$1000,$C800)&gt;1,"⚠️ Duplicado","Verificado")))</f>
        <v/>
      </c>
    </row>
    <row r="801" ht="15.75" customHeight="1" s="176">
      <c r="B801" s="80" t="n"/>
      <c r="C801" s="74" t="n"/>
      <c r="D801" s="74">
        <f t="array" ref="D801">IF($C801="","",IFNA(_xlfn.XLOOKUP($C801,Productos!$A:$A,Productos!$E:$E,IFNA(_xlfn.XLOOKUP(TEXT($C801,"0"),Productos!$A:$A,Productos!$E:$E,IFNA(_xlfn.XLOOKUP(IFERROR(VALUE($C801),""),Productos!$A:$A,Productos!$E:$E,_xlfn.XLOOKUP($C801,Productos!$E:$E,Productos!$E:$E,"NO ENCONTRADO")),"NO ENCONTRADO")),"NO ENCONTRADO")),"NO ENCONTRADO"))</f>
        <v/>
      </c>
      <c r="E801" s="74">
        <f t="array" ref="E801">IF(OR($D801="",$D801="NO ENCONTRADO"),"",_xlfn.XLOOKUP($D801,Productos!$E:$E,Productos!$H:$H,""))</f>
        <v/>
      </c>
      <c r="F801" s="74">
        <f t="array" ref="F801">IF(OR($D801="",$D801="NO ENCONTRADO"),"",_xlfn.XLOOKUP($D801,Productos!$E:$E,Productos!$I:$I,""))</f>
        <v/>
      </c>
      <c r="G801" s="74">
        <f t="array" ref="G801">IF(OR($D801="",$D801="NO ENCONTRADO"),"",_xlfn.XLOOKUP($D801,Productos!$E:$E,Productos!$J:$J,""))</f>
        <v/>
      </c>
      <c r="H801" s="74">
        <f t="array" ref="H801">IF(OR($D801="",$D801="NO ENCONTRADO"),"",_xlfn.XLOOKUP($D801,Productos!$E:$E,Productos!$K:$K,""))</f>
        <v/>
      </c>
      <c r="I801" s="74">
        <f t="array" ref="I801">IF(OR($D801="",$D801="NO ENCONTRADO"),"",_xlfn.XLOOKUP($D801,Productos!$E:$E,Productos!$F:$F,""))</f>
        <v/>
      </c>
      <c r="J801" s="74">
        <f>IF($C801="","",IF($D801="NO ENCONTRADO",IF(COUNTIF($C$7:$C$1000,$C801)&gt;1,"⚠️ No encontrado | Duplicado","⚠️ No encontrado"),IF(COUNTIF($C$7:$C$1000,$C801)&gt;1,"⚠️ Duplicado","Verificado")))</f>
        <v/>
      </c>
    </row>
    <row r="802" ht="15.75" customHeight="1" s="176">
      <c r="B802" s="80" t="n"/>
      <c r="C802" s="74" t="n"/>
      <c r="D802" s="74">
        <f t="array" ref="D802">IF($C802="","",IFNA(_xlfn.XLOOKUP($C802,Productos!$A:$A,Productos!$E:$E,IFNA(_xlfn.XLOOKUP(TEXT($C802,"0"),Productos!$A:$A,Productos!$E:$E,IFNA(_xlfn.XLOOKUP(IFERROR(VALUE($C802),""),Productos!$A:$A,Productos!$E:$E,_xlfn.XLOOKUP($C802,Productos!$E:$E,Productos!$E:$E,"NO ENCONTRADO")),"NO ENCONTRADO")),"NO ENCONTRADO")),"NO ENCONTRADO"))</f>
        <v/>
      </c>
      <c r="E802" s="74">
        <f t="array" ref="E802">IF(OR($D802="",$D802="NO ENCONTRADO"),"",_xlfn.XLOOKUP($D802,Productos!$E:$E,Productos!$H:$H,""))</f>
        <v/>
      </c>
      <c r="F802" s="74">
        <f t="array" ref="F802">IF(OR($D802="",$D802="NO ENCONTRADO"),"",_xlfn.XLOOKUP($D802,Productos!$E:$E,Productos!$I:$I,""))</f>
        <v/>
      </c>
      <c r="G802" s="74">
        <f t="array" ref="G802">IF(OR($D802="",$D802="NO ENCONTRADO"),"",_xlfn.XLOOKUP($D802,Productos!$E:$E,Productos!$J:$J,""))</f>
        <v/>
      </c>
      <c r="H802" s="74">
        <f t="array" ref="H802">IF(OR($D802="",$D802="NO ENCONTRADO"),"",_xlfn.XLOOKUP($D802,Productos!$E:$E,Productos!$K:$K,""))</f>
        <v/>
      </c>
      <c r="I802" s="74">
        <f t="array" ref="I802">IF(OR($D802="",$D802="NO ENCONTRADO"),"",_xlfn.XLOOKUP($D802,Productos!$E:$E,Productos!$F:$F,""))</f>
        <v/>
      </c>
      <c r="J802" s="74">
        <f>IF($C802="","",IF($D802="NO ENCONTRADO",IF(COUNTIF($C$7:$C$1000,$C802)&gt;1,"⚠️ No encontrado | Duplicado","⚠️ No encontrado"),IF(COUNTIF($C$7:$C$1000,$C802)&gt;1,"⚠️ Duplicado","Verificado")))</f>
        <v/>
      </c>
    </row>
    <row r="803" ht="15.75" customHeight="1" s="176">
      <c r="B803" s="80" t="n"/>
      <c r="C803" s="74" t="n"/>
      <c r="D803" s="74">
        <f t="array" ref="D803">IF($C803="","",IFNA(_xlfn.XLOOKUP($C803,Productos!$A:$A,Productos!$E:$E,IFNA(_xlfn.XLOOKUP(TEXT($C803,"0"),Productos!$A:$A,Productos!$E:$E,IFNA(_xlfn.XLOOKUP(IFERROR(VALUE($C803),""),Productos!$A:$A,Productos!$E:$E,_xlfn.XLOOKUP($C803,Productos!$E:$E,Productos!$E:$E,"NO ENCONTRADO")),"NO ENCONTRADO")),"NO ENCONTRADO")),"NO ENCONTRADO"))</f>
        <v/>
      </c>
      <c r="E803" s="74">
        <f t="array" ref="E803">IF(OR($D803="",$D803="NO ENCONTRADO"),"",_xlfn.XLOOKUP($D803,Productos!$E:$E,Productos!$H:$H,""))</f>
        <v/>
      </c>
      <c r="F803" s="74">
        <f t="array" ref="F803">IF(OR($D803="",$D803="NO ENCONTRADO"),"",_xlfn.XLOOKUP($D803,Productos!$E:$E,Productos!$I:$I,""))</f>
        <v/>
      </c>
      <c r="G803" s="74">
        <f t="array" ref="G803">IF(OR($D803="",$D803="NO ENCONTRADO"),"",_xlfn.XLOOKUP($D803,Productos!$E:$E,Productos!$J:$J,""))</f>
        <v/>
      </c>
      <c r="H803" s="74">
        <f t="array" ref="H803">IF(OR($D803="",$D803="NO ENCONTRADO"),"",_xlfn.XLOOKUP($D803,Productos!$E:$E,Productos!$K:$K,""))</f>
        <v/>
      </c>
      <c r="I803" s="74">
        <f t="array" ref="I803">IF(OR($D803="",$D803="NO ENCONTRADO"),"",_xlfn.XLOOKUP($D803,Productos!$E:$E,Productos!$F:$F,""))</f>
        <v/>
      </c>
      <c r="J803" s="74">
        <f>IF($C803="","",IF($D803="NO ENCONTRADO",IF(COUNTIF($C$7:$C$1000,$C803)&gt;1,"⚠️ No encontrado | Duplicado","⚠️ No encontrado"),IF(COUNTIF($C$7:$C$1000,$C803)&gt;1,"⚠️ Duplicado","Verificado")))</f>
        <v/>
      </c>
    </row>
    <row r="804" ht="15.75" customHeight="1" s="176">
      <c r="B804" s="80" t="n"/>
      <c r="C804" s="74" t="n"/>
      <c r="D804" s="74">
        <f t="array" ref="D804">IF($C804="","",IFNA(_xlfn.XLOOKUP($C804,Productos!$A:$A,Productos!$E:$E,IFNA(_xlfn.XLOOKUP(TEXT($C804,"0"),Productos!$A:$A,Productos!$E:$E,IFNA(_xlfn.XLOOKUP(IFERROR(VALUE($C804),""),Productos!$A:$A,Productos!$E:$E,_xlfn.XLOOKUP($C804,Productos!$E:$E,Productos!$E:$E,"NO ENCONTRADO")),"NO ENCONTRADO")),"NO ENCONTRADO")),"NO ENCONTRADO"))</f>
        <v/>
      </c>
      <c r="E804" s="74">
        <f t="array" ref="E804">IF(OR($D804="",$D804="NO ENCONTRADO"),"",_xlfn.XLOOKUP($D804,Productos!$E:$E,Productos!$H:$H,""))</f>
        <v/>
      </c>
      <c r="F804" s="74">
        <f t="array" ref="F804">IF(OR($D804="",$D804="NO ENCONTRADO"),"",_xlfn.XLOOKUP($D804,Productos!$E:$E,Productos!$I:$I,""))</f>
        <v/>
      </c>
      <c r="G804" s="74">
        <f t="array" ref="G804">IF(OR($D804="",$D804="NO ENCONTRADO"),"",_xlfn.XLOOKUP($D804,Productos!$E:$E,Productos!$J:$J,""))</f>
        <v/>
      </c>
      <c r="H804" s="74">
        <f t="array" ref="H804">IF(OR($D804="",$D804="NO ENCONTRADO"),"",_xlfn.XLOOKUP($D804,Productos!$E:$E,Productos!$K:$K,""))</f>
        <v/>
      </c>
      <c r="I804" s="74">
        <f t="array" ref="I804">IF(OR($D804="",$D804="NO ENCONTRADO"),"",_xlfn.XLOOKUP($D804,Productos!$E:$E,Productos!$F:$F,""))</f>
        <v/>
      </c>
      <c r="J804" s="74">
        <f>IF($C804="","",IF($D804="NO ENCONTRADO",IF(COUNTIF($C$7:$C$1000,$C804)&gt;1,"⚠️ No encontrado | Duplicado","⚠️ No encontrado"),IF(COUNTIF($C$7:$C$1000,$C804)&gt;1,"⚠️ Duplicado","Verificado")))</f>
        <v/>
      </c>
    </row>
    <row r="805" ht="15.75" customHeight="1" s="176">
      <c r="B805" s="80" t="n"/>
      <c r="C805" s="74" t="n"/>
      <c r="D805" s="74">
        <f t="array" ref="D805">IF($C805="","",IFNA(_xlfn.XLOOKUP($C805,Productos!$A:$A,Productos!$E:$E,IFNA(_xlfn.XLOOKUP(TEXT($C805,"0"),Productos!$A:$A,Productos!$E:$E,IFNA(_xlfn.XLOOKUP(IFERROR(VALUE($C805),""),Productos!$A:$A,Productos!$E:$E,_xlfn.XLOOKUP($C805,Productos!$E:$E,Productos!$E:$E,"NO ENCONTRADO")),"NO ENCONTRADO")),"NO ENCONTRADO")),"NO ENCONTRADO"))</f>
        <v/>
      </c>
      <c r="E805" s="74">
        <f t="array" ref="E805">IF(OR($D805="",$D805="NO ENCONTRADO"),"",_xlfn.XLOOKUP($D805,Productos!$E:$E,Productos!$H:$H,""))</f>
        <v/>
      </c>
      <c r="F805" s="74">
        <f t="array" ref="F805">IF(OR($D805="",$D805="NO ENCONTRADO"),"",_xlfn.XLOOKUP($D805,Productos!$E:$E,Productos!$I:$I,""))</f>
        <v/>
      </c>
      <c r="G805" s="74">
        <f t="array" ref="G805">IF(OR($D805="",$D805="NO ENCONTRADO"),"",_xlfn.XLOOKUP($D805,Productos!$E:$E,Productos!$J:$J,""))</f>
        <v/>
      </c>
      <c r="H805" s="74">
        <f t="array" ref="H805">IF(OR($D805="",$D805="NO ENCONTRADO"),"",_xlfn.XLOOKUP($D805,Productos!$E:$E,Productos!$K:$K,""))</f>
        <v/>
      </c>
      <c r="I805" s="74">
        <f t="array" ref="I805">IF(OR($D805="",$D805="NO ENCONTRADO"),"",_xlfn.XLOOKUP($D805,Productos!$E:$E,Productos!$F:$F,""))</f>
        <v/>
      </c>
      <c r="J805" s="74">
        <f>IF($C805="","",IF($D805="NO ENCONTRADO",IF(COUNTIF($C$7:$C$1000,$C805)&gt;1,"⚠️ No encontrado | Duplicado","⚠️ No encontrado"),IF(COUNTIF($C$7:$C$1000,$C805)&gt;1,"⚠️ Duplicado","Verificado")))</f>
        <v/>
      </c>
    </row>
    <row r="806" ht="15.75" customHeight="1" s="176">
      <c r="B806" s="80" t="n"/>
      <c r="C806" s="74" t="n"/>
      <c r="D806" s="74">
        <f t="array" ref="D806">IF($C806="","",IFNA(_xlfn.XLOOKUP($C806,Productos!$A:$A,Productos!$E:$E,IFNA(_xlfn.XLOOKUP(TEXT($C806,"0"),Productos!$A:$A,Productos!$E:$E,IFNA(_xlfn.XLOOKUP(IFERROR(VALUE($C806),""),Productos!$A:$A,Productos!$E:$E,_xlfn.XLOOKUP($C806,Productos!$E:$E,Productos!$E:$E,"NO ENCONTRADO")),"NO ENCONTRADO")),"NO ENCONTRADO")),"NO ENCONTRADO"))</f>
        <v/>
      </c>
      <c r="E806" s="74">
        <f t="array" ref="E806">IF(OR($D806="",$D806="NO ENCONTRADO"),"",_xlfn.XLOOKUP($D806,Productos!$E:$E,Productos!$H:$H,""))</f>
        <v/>
      </c>
      <c r="F806" s="74">
        <f t="array" ref="F806">IF(OR($D806="",$D806="NO ENCONTRADO"),"",_xlfn.XLOOKUP($D806,Productos!$E:$E,Productos!$I:$I,""))</f>
        <v/>
      </c>
      <c r="G806" s="74">
        <f t="array" ref="G806">IF(OR($D806="",$D806="NO ENCONTRADO"),"",_xlfn.XLOOKUP($D806,Productos!$E:$E,Productos!$J:$J,""))</f>
        <v/>
      </c>
      <c r="H806" s="74">
        <f t="array" ref="H806">IF(OR($D806="",$D806="NO ENCONTRADO"),"",_xlfn.XLOOKUP($D806,Productos!$E:$E,Productos!$K:$K,""))</f>
        <v/>
      </c>
      <c r="I806" s="74">
        <f t="array" ref="I806">IF(OR($D806="",$D806="NO ENCONTRADO"),"",_xlfn.XLOOKUP($D806,Productos!$E:$E,Productos!$F:$F,""))</f>
        <v/>
      </c>
      <c r="J806" s="74">
        <f>IF($C806="","",IF($D806="NO ENCONTRADO",IF(COUNTIF($C$7:$C$1000,$C806)&gt;1,"⚠️ No encontrado | Duplicado","⚠️ No encontrado"),IF(COUNTIF($C$7:$C$1000,$C806)&gt;1,"⚠️ Duplicado","Verificado")))</f>
        <v/>
      </c>
    </row>
    <row r="807" ht="15.75" customHeight="1" s="176">
      <c r="B807" s="80" t="n"/>
      <c r="C807" s="74" t="n"/>
      <c r="D807" s="74">
        <f t="array" ref="D807">IF($C807="","",IFNA(_xlfn.XLOOKUP($C807,Productos!$A:$A,Productos!$E:$E,IFNA(_xlfn.XLOOKUP(TEXT($C807,"0"),Productos!$A:$A,Productos!$E:$E,IFNA(_xlfn.XLOOKUP(IFERROR(VALUE($C807),""),Productos!$A:$A,Productos!$E:$E,_xlfn.XLOOKUP($C807,Productos!$E:$E,Productos!$E:$E,"NO ENCONTRADO")),"NO ENCONTRADO")),"NO ENCONTRADO")),"NO ENCONTRADO"))</f>
        <v/>
      </c>
      <c r="E807" s="74">
        <f t="array" ref="E807">IF(OR($D807="",$D807="NO ENCONTRADO"),"",_xlfn.XLOOKUP($D807,Productos!$E:$E,Productos!$H:$H,""))</f>
        <v/>
      </c>
      <c r="F807" s="74">
        <f t="array" ref="F807">IF(OR($D807="",$D807="NO ENCONTRADO"),"",_xlfn.XLOOKUP($D807,Productos!$E:$E,Productos!$I:$I,""))</f>
        <v/>
      </c>
      <c r="G807" s="74">
        <f t="array" ref="G807">IF(OR($D807="",$D807="NO ENCONTRADO"),"",_xlfn.XLOOKUP($D807,Productos!$E:$E,Productos!$J:$J,""))</f>
        <v/>
      </c>
      <c r="H807" s="74">
        <f t="array" ref="H807">IF(OR($D807="",$D807="NO ENCONTRADO"),"",_xlfn.XLOOKUP($D807,Productos!$E:$E,Productos!$K:$K,""))</f>
        <v/>
      </c>
      <c r="I807" s="74">
        <f t="array" ref="I807">IF(OR($D807="",$D807="NO ENCONTRADO"),"",_xlfn.XLOOKUP($D807,Productos!$E:$E,Productos!$F:$F,""))</f>
        <v/>
      </c>
      <c r="J807" s="74">
        <f>IF($C807="","",IF($D807="NO ENCONTRADO",IF(COUNTIF($C$7:$C$1000,$C807)&gt;1,"⚠️ No encontrado | Duplicado","⚠️ No encontrado"),IF(COUNTIF($C$7:$C$1000,$C807)&gt;1,"⚠️ Duplicado","Verificado")))</f>
        <v/>
      </c>
    </row>
    <row r="808" ht="15.75" customHeight="1" s="176">
      <c r="B808" s="80" t="n"/>
      <c r="C808" s="74" t="n"/>
      <c r="D808" s="74">
        <f t="array" ref="D808">IF($C808="","",IFNA(_xlfn.XLOOKUP($C808,Productos!$A:$A,Productos!$E:$E,IFNA(_xlfn.XLOOKUP(TEXT($C808,"0"),Productos!$A:$A,Productos!$E:$E,IFNA(_xlfn.XLOOKUP(IFERROR(VALUE($C808),""),Productos!$A:$A,Productos!$E:$E,_xlfn.XLOOKUP($C808,Productos!$E:$E,Productos!$E:$E,"NO ENCONTRADO")),"NO ENCONTRADO")),"NO ENCONTRADO")),"NO ENCONTRADO"))</f>
        <v/>
      </c>
      <c r="E808" s="74">
        <f t="array" ref="E808">IF(OR($D808="",$D808="NO ENCONTRADO"),"",_xlfn.XLOOKUP($D808,Productos!$E:$E,Productos!$H:$H,""))</f>
        <v/>
      </c>
      <c r="F808" s="74">
        <f t="array" ref="F808">IF(OR($D808="",$D808="NO ENCONTRADO"),"",_xlfn.XLOOKUP($D808,Productos!$E:$E,Productos!$I:$I,""))</f>
        <v/>
      </c>
      <c r="G808" s="74">
        <f t="array" ref="G808">IF(OR($D808="",$D808="NO ENCONTRADO"),"",_xlfn.XLOOKUP($D808,Productos!$E:$E,Productos!$J:$J,""))</f>
        <v/>
      </c>
      <c r="H808" s="74">
        <f t="array" ref="H808">IF(OR($D808="",$D808="NO ENCONTRADO"),"",_xlfn.XLOOKUP($D808,Productos!$E:$E,Productos!$K:$K,""))</f>
        <v/>
      </c>
      <c r="I808" s="74">
        <f t="array" ref="I808">IF(OR($D808="",$D808="NO ENCONTRADO"),"",_xlfn.XLOOKUP($D808,Productos!$E:$E,Productos!$F:$F,""))</f>
        <v/>
      </c>
      <c r="J808" s="74">
        <f>IF($C808="","",IF($D808="NO ENCONTRADO",IF(COUNTIF($C$7:$C$1000,$C808)&gt;1,"⚠️ No encontrado | Duplicado","⚠️ No encontrado"),IF(COUNTIF($C$7:$C$1000,$C808)&gt;1,"⚠️ Duplicado","Verificado")))</f>
        <v/>
      </c>
    </row>
    <row r="809" ht="15.75" customHeight="1" s="176">
      <c r="B809" s="80" t="n"/>
      <c r="C809" s="74" t="n"/>
      <c r="D809" s="74">
        <f t="array" ref="D809">IF($C809="","",IFNA(_xlfn.XLOOKUP($C809,Productos!$A:$A,Productos!$E:$E,IFNA(_xlfn.XLOOKUP(TEXT($C809,"0"),Productos!$A:$A,Productos!$E:$E,IFNA(_xlfn.XLOOKUP(IFERROR(VALUE($C809),""),Productos!$A:$A,Productos!$E:$E,_xlfn.XLOOKUP($C809,Productos!$E:$E,Productos!$E:$E,"NO ENCONTRADO")),"NO ENCONTRADO")),"NO ENCONTRADO")),"NO ENCONTRADO"))</f>
        <v/>
      </c>
      <c r="E809" s="74">
        <f t="array" ref="E809">IF(OR($D809="",$D809="NO ENCONTRADO"),"",_xlfn.XLOOKUP($D809,Productos!$E:$E,Productos!$H:$H,""))</f>
        <v/>
      </c>
      <c r="F809" s="74">
        <f t="array" ref="F809">IF(OR($D809="",$D809="NO ENCONTRADO"),"",_xlfn.XLOOKUP($D809,Productos!$E:$E,Productos!$I:$I,""))</f>
        <v/>
      </c>
      <c r="G809" s="74">
        <f t="array" ref="G809">IF(OR($D809="",$D809="NO ENCONTRADO"),"",_xlfn.XLOOKUP($D809,Productos!$E:$E,Productos!$J:$J,""))</f>
        <v/>
      </c>
      <c r="H809" s="74">
        <f t="array" ref="H809">IF(OR($D809="",$D809="NO ENCONTRADO"),"",_xlfn.XLOOKUP($D809,Productos!$E:$E,Productos!$K:$K,""))</f>
        <v/>
      </c>
      <c r="I809" s="74">
        <f t="array" ref="I809">IF(OR($D809="",$D809="NO ENCONTRADO"),"",_xlfn.XLOOKUP($D809,Productos!$E:$E,Productos!$F:$F,""))</f>
        <v/>
      </c>
      <c r="J809" s="74">
        <f>IF($C809="","",IF($D809="NO ENCONTRADO",IF(COUNTIF($C$7:$C$1000,$C809)&gt;1,"⚠️ No encontrado | Duplicado","⚠️ No encontrado"),IF(COUNTIF($C$7:$C$1000,$C809)&gt;1,"⚠️ Duplicado","Verificado")))</f>
        <v/>
      </c>
    </row>
    <row r="810" ht="15.75" customHeight="1" s="176">
      <c r="B810" s="80" t="n"/>
      <c r="C810" s="74" t="n"/>
      <c r="D810" s="74">
        <f t="array" ref="D810">IF($C810="","",IFNA(_xlfn.XLOOKUP($C810,Productos!$A:$A,Productos!$E:$E,IFNA(_xlfn.XLOOKUP(TEXT($C810,"0"),Productos!$A:$A,Productos!$E:$E,IFNA(_xlfn.XLOOKUP(IFERROR(VALUE($C810),""),Productos!$A:$A,Productos!$E:$E,_xlfn.XLOOKUP($C810,Productos!$E:$E,Productos!$E:$E,"NO ENCONTRADO")),"NO ENCONTRADO")),"NO ENCONTRADO")),"NO ENCONTRADO"))</f>
        <v/>
      </c>
      <c r="E810" s="74">
        <f t="array" ref="E810">IF(OR($D810="",$D810="NO ENCONTRADO"),"",_xlfn.XLOOKUP($D810,Productos!$E:$E,Productos!$H:$H,""))</f>
        <v/>
      </c>
      <c r="F810" s="74">
        <f t="array" ref="F810">IF(OR($D810="",$D810="NO ENCONTRADO"),"",_xlfn.XLOOKUP($D810,Productos!$E:$E,Productos!$I:$I,""))</f>
        <v/>
      </c>
      <c r="G810" s="74">
        <f t="array" ref="G810">IF(OR($D810="",$D810="NO ENCONTRADO"),"",_xlfn.XLOOKUP($D810,Productos!$E:$E,Productos!$J:$J,""))</f>
        <v/>
      </c>
      <c r="H810" s="74">
        <f t="array" ref="H810">IF(OR($D810="",$D810="NO ENCONTRADO"),"",_xlfn.XLOOKUP($D810,Productos!$E:$E,Productos!$K:$K,""))</f>
        <v/>
      </c>
      <c r="I810" s="74">
        <f t="array" ref="I810">IF(OR($D810="",$D810="NO ENCONTRADO"),"",_xlfn.XLOOKUP($D810,Productos!$E:$E,Productos!$F:$F,""))</f>
        <v/>
      </c>
      <c r="J810" s="74">
        <f>IF($C810="","",IF($D810="NO ENCONTRADO",IF(COUNTIF($C$7:$C$1000,$C810)&gt;1,"⚠️ No encontrado | Duplicado","⚠️ No encontrado"),IF(COUNTIF($C$7:$C$1000,$C810)&gt;1,"⚠️ Duplicado","Verificado")))</f>
        <v/>
      </c>
    </row>
    <row r="811" ht="15.75" customHeight="1" s="176">
      <c r="B811" s="80" t="n"/>
      <c r="C811" s="74" t="n"/>
      <c r="D811" s="74">
        <f t="array" ref="D811">IF($C811="","",IFNA(_xlfn.XLOOKUP($C811,Productos!$A:$A,Productos!$E:$E,IFNA(_xlfn.XLOOKUP(TEXT($C811,"0"),Productos!$A:$A,Productos!$E:$E,IFNA(_xlfn.XLOOKUP(IFERROR(VALUE($C811),""),Productos!$A:$A,Productos!$E:$E,_xlfn.XLOOKUP($C811,Productos!$E:$E,Productos!$E:$E,"NO ENCONTRADO")),"NO ENCONTRADO")),"NO ENCONTRADO")),"NO ENCONTRADO"))</f>
        <v/>
      </c>
      <c r="E811" s="74">
        <f t="array" ref="E811">IF(OR($D811="",$D811="NO ENCONTRADO"),"",_xlfn.XLOOKUP($D811,Productos!$E:$E,Productos!$H:$H,""))</f>
        <v/>
      </c>
      <c r="F811" s="74">
        <f t="array" ref="F811">IF(OR($D811="",$D811="NO ENCONTRADO"),"",_xlfn.XLOOKUP($D811,Productos!$E:$E,Productos!$I:$I,""))</f>
        <v/>
      </c>
      <c r="G811" s="74">
        <f t="array" ref="G811">IF(OR($D811="",$D811="NO ENCONTRADO"),"",_xlfn.XLOOKUP($D811,Productos!$E:$E,Productos!$J:$J,""))</f>
        <v/>
      </c>
      <c r="H811" s="74">
        <f t="array" ref="H811">IF(OR($D811="",$D811="NO ENCONTRADO"),"",_xlfn.XLOOKUP($D811,Productos!$E:$E,Productos!$K:$K,""))</f>
        <v/>
      </c>
      <c r="I811" s="74">
        <f t="array" ref="I811">IF(OR($D811="",$D811="NO ENCONTRADO"),"",_xlfn.XLOOKUP($D811,Productos!$E:$E,Productos!$F:$F,""))</f>
        <v/>
      </c>
      <c r="J811" s="74">
        <f>IF($C811="","",IF($D811="NO ENCONTRADO",IF(COUNTIF($C$7:$C$1000,$C811)&gt;1,"⚠️ No encontrado | Duplicado","⚠️ No encontrado"),IF(COUNTIF($C$7:$C$1000,$C811)&gt;1,"⚠️ Duplicado","Verificado")))</f>
        <v/>
      </c>
    </row>
    <row r="812" ht="15.75" customHeight="1" s="176">
      <c r="B812" s="80" t="n"/>
      <c r="C812" s="74" t="n"/>
      <c r="D812" s="74">
        <f t="array" ref="D812">IF($C812="","",IFNA(_xlfn.XLOOKUP($C812,Productos!$A:$A,Productos!$E:$E,IFNA(_xlfn.XLOOKUP(TEXT($C812,"0"),Productos!$A:$A,Productos!$E:$E,IFNA(_xlfn.XLOOKUP(IFERROR(VALUE($C812),""),Productos!$A:$A,Productos!$E:$E,_xlfn.XLOOKUP($C812,Productos!$E:$E,Productos!$E:$E,"NO ENCONTRADO")),"NO ENCONTRADO")),"NO ENCONTRADO")),"NO ENCONTRADO"))</f>
        <v/>
      </c>
      <c r="E812" s="74">
        <f t="array" ref="E812">IF(OR($D812="",$D812="NO ENCONTRADO"),"",_xlfn.XLOOKUP($D812,Productos!$E:$E,Productos!$H:$H,""))</f>
        <v/>
      </c>
      <c r="F812" s="74">
        <f t="array" ref="F812">IF(OR($D812="",$D812="NO ENCONTRADO"),"",_xlfn.XLOOKUP($D812,Productos!$E:$E,Productos!$I:$I,""))</f>
        <v/>
      </c>
      <c r="G812" s="74">
        <f t="array" ref="G812">IF(OR($D812="",$D812="NO ENCONTRADO"),"",_xlfn.XLOOKUP($D812,Productos!$E:$E,Productos!$J:$J,""))</f>
        <v/>
      </c>
      <c r="H812" s="74">
        <f t="array" ref="H812">IF(OR($D812="",$D812="NO ENCONTRADO"),"",_xlfn.XLOOKUP($D812,Productos!$E:$E,Productos!$K:$K,""))</f>
        <v/>
      </c>
      <c r="I812" s="74">
        <f t="array" ref="I812">IF(OR($D812="",$D812="NO ENCONTRADO"),"",_xlfn.XLOOKUP($D812,Productos!$E:$E,Productos!$F:$F,""))</f>
        <v/>
      </c>
      <c r="J812" s="74">
        <f>IF($C812="","",IF($D812="NO ENCONTRADO",IF(COUNTIF($C$7:$C$1000,$C812)&gt;1,"⚠️ No encontrado | Duplicado","⚠️ No encontrado"),IF(COUNTIF($C$7:$C$1000,$C812)&gt;1,"⚠️ Duplicado","Verificado")))</f>
        <v/>
      </c>
    </row>
    <row r="813" ht="15.75" customHeight="1" s="176">
      <c r="B813" s="80" t="n"/>
      <c r="C813" s="74" t="n"/>
      <c r="D813" s="74">
        <f t="array" ref="D813">IF($C813="","",IFNA(_xlfn.XLOOKUP($C813,Productos!$A:$A,Productos!$E:$E,IFNA(_xlfn.XLOOKUP(TEXT($C813,"0"),Productos!$A:$A,Productos!$E:$E,IFNA(_xlfn.XLOOKUP(IFERROR(VALUE($C813),""),Productos!$A:$A,Productos!$E:$E,_xlfn.XLOOKUP($C813,Productos!$E:$E,Productos!$E:$E,"NO ENCONTRADO")),"NO ENCONTRADO")),"NO ENCONTRADO")),"NO ENCONTRADO"))</f>
        <v/>
      </c>
      <c r="E813" s="74">
        <f t="array" ref="E813">IF(OR($D813="",$D813="NO ENCONTRADO"),"",_xlfn.XLOOKUP($D813,Productos!$E:$E,Productos!$H:$H,""))</f>
        <v/>
      </c>
      <c r="F813" s="74">
        <f t="array" ref="F813">IF(OR($D813="",$D813="NO ENCONTRADO"),"",_xlfn.XLOOKUP($D813,Productos!$E:$E,Productos!$I:$I,""))</f>
        <v/>
      </c>
      <c r="G813" s="74">
        <f t="array" ref="G813">IF(OR($D813="",$D813="NO ENCONTRADO"),"",_xlfn.XLOOKUP($D813,Productos!$E:$E,Productos!$J:$J,""))</f>
        <v/>
      </c>
      <c r="H813" s="74">
        <f t="array" ref="H813">IF(OR($D813="",$D813="NO ENCONTRADO"),"",_xlfn.XLOOKUP($D813,Productos!$E:$E,Productos!$K:$K,""))</f>
        <v/>
      </c>
      <c r="I813" s="74">
        <f t="array" ref="I813">IF(OR($D813="",$D813="NO ENCONTRADO"),"",_xlfn.XLOOKUP($D813,Productos!$E:$E,Productos!$F:$F,""))</f>
        <v/>
      </c>
      <c r="J813" s="74">
        <f>IF($C813="","",IF($D813="NO ENCONTRADO",IF(COUNTIF($C$7:$C$1000,$C813)&gt;1,"⚠️ No encontrado | Duplicado","⚠️ No encontrado"),IF(COUNTIF($C$7:$C$1000,$C813)&gt;1,"⚠️ Duplicado","Verificado")))</f>
        <v/>
      </c>
    </row>
    <row r="814" ht="15.75" customHeight="1" s="176">
      <c r="B814" s="80" t="n"/>
      <c r="C814" s="74" t="n"/>
      <c r="D814" s="74">
        <f t="array" ref="D814">IF($C814="","",IFNA(_xlfn.XLOOKUP($C814,Productos!$A:$A,Productos!$E:$E,IFNA(_xlfn.XLOOKUP(TEXT($C814,"0"),Productos!$A:$A,Productos!$E:$E,IFNA(_xlfn.XLOOKUP(IFERROR(VALUE($C814),""),Productos!$A:$A,Productos!$E:$E,_xlfn.XLOOKUP($C814,Productos!$E:$E,Productos!$E:$E,"NO ENCONTRADO")),"NO ENCONTRADO")),"NO ENCONTRADO")),"NO ENCONTRADO"))</f>
        <v/>
      </c>
      <c r="E814" s="74">
        <f t="array" ref="E814">IF(OR($D814="",$D814="NO ENCONTRADO"),"",_xlfn.XLOOKUP($D814,Productos!$E:$E,Productos!$H:$H,""))</f>
        <v/>
      </c>
      <c r="F814" s="74">
        <f t="array" ref="F814">IF(OR($D814="",$D814="NO ENCONTRADO"),"",_xlfn.XLOOKUP($D814,Productos!$E:$E,Productos!$I:$I,""))</f>
        <v/>
      </c>
      <c r="G814" s="74">
        <f t="array" ref="G814">IF(OR($D814="",$D814="NO ENCONTRADO"),"",_xlfn.XLOOKUP($D814,Productos!$E:$E,Productos!$J:$J,""))</f>
        <v/>
      </c>
      <c r="H814" s="74">
        <f t="array" ref="H814">IF(OR($D814="",$D814="NO ENCONTRADO"),"",_xlfn.XLOOKUP($D814,Productos!$E:$E,Productos!$K:$K,""))</f>
        <v/>
      </c>
      <c r="I814" s="74">
        <f t="array" ref="I814">IF(OR($D814="",$D814="NO ENCONTRADO"),"",_xlfn.XLOOKUP($D814,Productos!$E:$E,Productos!$F:$F,""))</f>
        <v/>
      </c>
      <c r="J814" s="74">
        <f>IF($C814="","",IF($D814="NO ENCONTRADO",IF(COUNTIF($C$7:$C$1000,$C814)&gt;1,"⚠️ No encontrado | Duplicado","⚠️ No encontrado"),IF(COUNTIF($C$7:$C$1000,$C814)&gt;1,"⚠️ Duplicado","Verificado")))</f>
        <v/>
      </c>
    </row>
    <row r="815" ht="15.75" customHeight="1" s="176">
      <c r="B815" s="80" t="n"/>
      <c r="C815" s="74" t="n"/>
      <c r="D815" s="74">
        <f t="array" ref="D815">IF($C815="","",IFNA(_xlfn.XLOOKUP($C815,Productos!$A:$A,Productos!$E:$E,IFNA(_xlfn.XLOOKUP(TEXT($C815,"0"),Productos!$A:$A,Productos!$E:$E,IFNA(_xlfn.XLOOKUP(IFERROR(VALUE($C815),""),Productos!$A:$A,Productos!$E:$E,_xlfn.XLOOKUP($C815,Productos!$E:$E,Productos!$E:$E,"NO ENCONTRADO")),"NO ENCONTRADO")),"NO ENCONTRADO")),"NO ENCONTRADO"))</f>
        <v/>
      </c>
      <c r="E815" s="74">
        <f t="array" ref="E815">IF(OR($D815="",$D815="NO ENCONTRADO"),"",_xlfn.XLOOKUP($D815,Productos!$E:$E,Productos!$H:$H,""))</f>
        <v/>
      </c>
      <c r="F815" s="74">
        <f t="array" ref="F815">IF(OR($D815="",$D815="NO ENCONTRADO"),"",_xlfn.XLOOKUP($D815,Productos!$E:$E,Productos!$I:$I,""))</f>
        <v/>
      </c>
      <c r="G815" s="74">
        <f t="array" ref="G815">IF(OR($D815="",$D815="NO ENCONTRADO"),"",_xlfn.XLOOKUP($D815,Productos!$E:$E,Productos!$J:$J,""))</f>
        <v/>
      </c>
      <c r="H815" s="74">
        <f t="array" ref="H815">IF(OR($D815="",$D815="NO ENCONTRADO"),"",_xlfn.XLOOKUP($D815,Productos!$E:$E,Productos!$K:$K,""))</f>
        <v/>
      </c>
      <c r="I815" s="74">
        <f t="array" ref="I815">IF(OR($D815="",$D815="NO ENCONTRADO"),"",_xlfn.XLOOKUP($D815,Productos!$E:$E,Productos!$F:$F,""))</f>
        <v/>
      </c>
      <c r="J815" s="74">
        <f>IF($C815="","",IF($D815="NO ENCONTRADO",IF(COUNTIF($C$7:$C$1000,$C815)&gt;1,"⚠️ No encontrado | Duplicado","⚠️ No encontrado"),IF(COUNTIF($C$7:$C$1000,$C815)&gt;1,"⚠️ Duplicado","Verificado")))</f>
        <v/>
      </c>
    </row>
    <row r="816" ht="15.75" customHeight="1" s="176">
      <c r="B816" s="80" t="n"/>
      <c r="C816" s="74" t="n"/>
      <c r="D816" s="74">
        <f t="array" ref="D816">IF($C816="","",IFNA(_xlfn.XLOOKUP($C816,Productos!$A:$A,Productos!$E:$E,IFNA(_xlfn.XLOOKUP(TEXT($C816,"0"),Productos!$A:$A,Productos!$E:$E,IFNA(_xlfn.XLOOKUP(IFERROR(VALUE($C816),""),Productos!$A:$A,Productos!$E:$E,_xlfn.XLOOKUP($C816,Productos!$E:$E,Productos!$E:$E,"NO ENCONTRADO")),"NO ENCONTRADO")),"NO ENCONTRADO")),"NO ENCONTRADO"))</f>
        <v/>
      </c>
      <c r="E816" s="74">
        <f t="array" ref="E816">IF(OR($D816="",$D816="NO ENCONTRADO"),"",_xlfn.XLOOKUP($D816,Productos!$E:$E,Productos!$H:$H,""))</f>
        <v/>
      </c>
      <c r="F816" s="74">
        <f t="array" ref="F816">IF(OR($D816="",$D816="NO ENCONTRADO"),"",_xlfn.XLOOKUP($D816,Productos!$E:$E,Productos!$I:$I,""))</f>
        <v/>
      </c>
      <c r="G816" s="74">
        <f t="array" ref="G816">IF(OR($D816="",$D816="NO ENCONTRADO"),"",_xlfn.XLOOKUP($D816,Productos!$E:$E,Productos!$J:$J,""))</f>
        <v/>
      </c>
      <c r="H816" s="74">
        <f t="array" ref="H816">IF(OR($D816="",$D816="NO ENCONTRADO"),"",_xlfn.XLOOKUP($D816,Productos!$E:$E,Productos!$K:$K,""))</f>
        <v/>
      </c>
      <c r="I816" s="74">
        <f t="array" ref="I816">IF(OR($D816="",$D816="NO ENCONTRADO"),"",_xlfn.XLOOKUP($D816,Productos!$E:$E,Productos!$F:$F,""))</f>
        <v/>
      </c>
      <c r="J816" s="74">
        <f>IF($C816="","",IF($D816="NO ENCONTRADO",IF(COUNTIF($C$7:$C$1000,$C816)&gt;1,"⚠️ No encontrado | Duplicado","⚠️ No encontrado"),IF(COUNTIF($C$7:$C$1000,$C816)&gt;1,"⚠️ Duplicado","Verificado")))</f>
        <v/>
      </c>
    </row>
    <row r="817" ht="15.75" customHeight="1" s="176">
      <c r="B817" s="80" t="n"/>
      <c r="C817" s="74" t="n"/>
      <c r="D817" s="74">
        <f t="array" ref="D817">IF($C817="","",IFNA(_xlfn.XLOOKUP($C817,Productos!$A:$A,Productos!$E:$E,IFNA(_xlfn.XLOOKUP(TEXT($C817,"0"),Productos!$A:$A,Productos!$E:$E,IFNA(_xlfn.XLOOKUP(IFERROR(VALUE($C817),""),Productos!$A:$A,Productos!$E:$E,_xlfn.XLOOKUP($C817,Productos!$E:$E,Productos!$E:$E,"NO ENCONTRADO")),"NO ENCONTRADO")),"NO ENCONTRADO")),"NO ENCONTRADO"))</f>
        <v/>
      </c>
      <c r="E817" s="74">
        <f t="array" ref="E817">IF(OR($D817="",$D817="NO ENCONTRADO"),"",_xlfn.XLOOKUP($D817,Productos!$E:$E,Productos!$H:$H,""))</f>
        <v/>
      </c>
      <c r="F817" s="74">
        <f t="array" ref="F817">IF(OR($D817="",$D817="NO ENCONTRADO"),"",_xlfn.XLOOKUP($D817,Productos!$E:$E,Productos!$I:$I,""))</f>
        <v/>
      </c>
      <c r="G817" s="74">
        <f t="array" ref="G817">IF(OR($D817="",$D817="NO ENCONTRADO"),"",_xlfn.XLOOKUP($D817,Productos!$E:$E,Productos!$J:$J,""))</f>
        <v/>
      </c>
      <c r="H817" s="74">
        <f t="array" ref="H817">IF(OR($D817="",$D817="NO ENCONTRADO"),"",_xlfn.XLOOKUP($D817,Productos!$E:$E,Productos!$K:$K,""))</f>
        <v/>
      </c>
      <c r="I817" s="74">
        <f t="array" ref="I817">IF(OR($D817="",$D817="NO ENCONTRADO"),"",_xlfn.XLOOKUP($D817,Productos!$E:$E,Productos!$F:$F,""))</f>
        <v/>
      </c>
      <c r="J817" s="74">
        <f>IF($C817="","",IF($D817="NO ENCONTRADO",IF(COUNTIF($C$7:$C$1000,$C817)&gt;1,"⚠️ No encontrado | Duplicado","⚠️ No encontrado"),IF(COUNTIF($C$7:$C$1000,$C817)&gt;1,"⚠️ Duplicado","Verificado")))</f>
        <v/>
      </c>
    </row>
    <row r="818" ht="15.75" customHeight="1" s="176">
      <c r="B818" s="80" t="n"/>
      <c r="C818" s="74" t="n"/>
      <c r="D818" s="74">
        <f t="array" ref="D818">IF($C818="","",IFNA(_xlfn.XLOOKUP($C818,Productos!$A:$A,Productos!$E:$E,IFNA(_xlfn.XLOOKUP(TEXT($C818,"0"),Productos!$A:$A,Productos!$E:$E,IFNA(_xlfn.XLOOKUP(IFERROR(VALUE($C818),""),Productos!$A:$A,Productos!$E:$E,_xlfn.XLOOKUP($C818,Productos!$E:$E,Productos!$E:$E,"NO ENCONTRADO")),"NO ENCONTRADO")),"NO ENCONTRADO")),"NO ENCONTRADO"))</f>
        <v/>
      </c>
      <c r="E818" s="74">
        <f t="array" ref="E818">IF(OR($D818="",$D818="NO ENCONTRADO"),"",_xlfn.XLOOKUP($D818,Productos!$E:$E,Productos!$H:$H,""))</f>
        <v/>
      </c>
      <c r="F818" s="74">
        <f t="array" ref="F818">IF(OR($D818="",$D818="NO ENCONTRADO"),"",_xlfn.XLOOKUP($D818,Productos!$E:$E,Productos!$I:$I,""))</f>
        <v/>
      </c>
      <c r="G818" s="74">
        <f t="array" ref="G818">IF(OR($D818="",$D818="NO ENCONTRADO"),"",_xlfn.XLOOKUP($D818,Productos!$E:$E,Productos!$J:$J,""))</f>
        <v/>
      </c>
      <c r="H818" s="74">
        <f t="array" ref="H818">IF(OR($D818="",$D818="NO ENCONTRADO"),"",_xlfn.XLOOKUP($D818,Productos!$E:$E,Productos!$K:$K,""))</f>
        <v/>
      </c>
      <c r="I818" s="74">
        <f t="array" ref="I818">IF(OR($D818="",$D818="NO ENCONTRADO"),"",_xlfn.XLOOKUP($D818,Productos!$E:$E,Productos!$F:$F,""))</f>
        <v/>
      </c>
      <c r="J818" s="74">
        <f>IF($C818="","",IF($D818="NO ENCONTRADO",IF(COUNTIF($C$7:$C$1000,$C818)&gt;1,"⚠️ No encontrado | Duplicado","⚠️ No encontrado"),IF(COUNTIF($C$7:$C$1000,$C818)&gt;1,"⚠️ Duplicado","Verificado")))</f>
        <v/>
      </c>
    </row>
    <row r="819" ht="15.75" customHeight="1" s="176">
      <c r="B819" s="80" t="n"/>
      <c r="C819" s="74" t="n"/>
      <c r="D819" s="74">
        <f t="array" ref="D819">IF($C819="","",IFNA(_xlfn.XLOOKUP($C819,Productos!$A:$A,Productos!$E:$E,IFNA(_xlfn.XLOOKUP(TEXT($C819,"0"),Productos!$A:$A,Productos!$E:$E,IFNA(_xlfn.XLOOKUP(IFERROR(VALUE($C819),""),Productos!$A:$A,Productos!$E:$E,_xlfn.XLOOKUP($C819,Productos!$E:$E,Productos!$E:$E,"NO ENCONTRADO")),"NO ENCONTRADO")),"NO ENCONTRADO")),"NO ENCONTRADO"))</f>
        <v/>
      </c>
      <c r="E819" s="74">
        <f t="array" ref="E819">IF(OR($D819="",$D819="NO ENCONTRADO"),"",_xlfn.XLOOKUP($D819,Productos!$E:$E,Productos!$H:$H,""))</f>
        <v/>
      </c>
      <c r="F819" s="74">
        <f t="array" ref="F819">IF(OR($D819="",$D819="NO ENCONTRADO"),"",_xlfn.XLOOKUP($D819,Productos!$E:$E,Productos!$I:$I,""))</f>
        <v/>
      </c>
      <c r="G819" s="74">
        <f t="array" ref="G819">IF(OR($D819="",$D819="NO ENCONTRADO"),"",_xlfn.XLOOKUP($D819,Productos!$E:$E,Productos!$J:$J,""))</f>
        <v/>
      </c>
      <c r="H819" s="74">
        <f t="array" ref="H819">IF(OR($D819="",$D819="NO ENCONTRADO"),"",_xlfn.XLOOKUP($D819,Productos!$E:$E,Productos!$K:$K,""))</f>
        <v/>
      </c>
      <c r="I819" s="74">
        <f t="array" ref="I819">IF(OR($D819="",$D819="NO ENCONTRADO"),"",_xlfn.XLOOKUP($D819,Productos!$E:$E,Productos!$F:$F,""))</f>
        <v/>
      </c>
      <c r="J819" s="74">
        <f>IF($C819="","",IF($D819="NO ENCONTRADO",IF(COUNTIF($C$7:$C$1000,$C819)&gt;1,"⚠️ No encontrado | Duplicado","⚠️ No encontrado"),IF(COUNTIF($C$7:$C$1000,$C819)&gt;1,"⚠️ Duplicado","Verificado")))</f>
        <v/>
      </c>
    </row>
    <row r="820" ht="15.75" customHeight="1" s="176">
      <c r="B820" s="80" t="n"/>
      <c r="C820" s="74" t="n"/>
      <c r="D820" s="74">
        <f t="array" ref="D820">IF($C820="","",IFNA(_xlfn.XLOOKUP($C820,Productos!$A:$A,Productos!$E:$E,IFNA(_xlfn.XLOOKUP(TEXT($C820,"0"),Productos!$A:$A,Productos!$E:$E,IFNA(_xlfn.XLOOKUP(IFERROR(VALUE($C820),""),Productos!$A:$A,Productos!$E:$E,_xlfn.XLOOKUP($C820,Productos!$E:$E,Productos!$E:$E,"NO ENCONTRADO")),"NO ENCONTRADO")),"NO ENCONTRADO")),"NO ENCONTRADO"))</f>
        <v/>
      </c>
      <c r="E820" s="74">
        <f t="array" ref="E820">IF(OR($D820="",$D820="NO ENCONTRADO"),"",_xlfn.XLOOKUP($D820,Productos!$E:$E,Productos!$H:$H,""))</f>
        <v/>
      </c>
      <c r="F820" s="74">
        <f t="array" ref="F820">IF(OR($D820="",$D820="NO ENCONTRADO"),"",_xlfn.XLOOKUP($D820,Productos!$E:$E,Productos!$I:$I,""))</f>
        <v/>
      </c>
      <c r="G820" s="74">
        <f t="array" ref="G820">IF(OR($D820="",$D820="NO ENCONTRADO"),"",_xlfn.XLOOKUP($D820,Productos!$E:$E,Productos!$J:$J,""))</f>
        <v/>
      </c>
      <c r="H820" s="74">
        <f t="array" ref="H820">IF(OR($D820="",$D820="NO ENCONTRADO"),"",_xlfn.XLOOKUP($D820,Productos!$E:$E,Productos!$K:$K,""))</f>
        <v/>
      </c>
      <c r="I820" s="74">
        <f t="array" ref="I820">IF(OR($D820="",$D820="NO ENCONTRADO"),"",_xlfn.XLOOKUP($D820,Productos!$E:$E,Productos!$F:$F,""))</f>
        <v/>
      </c>
      <c r="J820" s="74">
        <f>IF($C820="","",IF($D820="NO ENCONTRADO",IF(COUNTIF($C$7:$C$1000,$C820)&gt;1,"⚠️ No encontrado | Duplicado","⚠️ No encontrado"),IF(COUNTIF($C$7:$C$1000,$C820)&gt;1,"⚠️ Duplicado","Verificado")))</f>
        <v/>
      </c>
    </row>
    <row r="821" ht="15.75" customHeight="1" s="176">
      <c r="B821" s="80" t="n"/>
      <c r="C821" s="74" t="n"/>
      <c r="D821" s="74">
        <f t="array" ref="D821">IF($C821="","",IFNA(_xlfn.XLOOKUP($C821,Productos!$A:$A,Productos!$E:$E,IFNA(_xlfn.XLOOKUP(TEXT($C821,"0"),Productos!$A:$A,Productos!$E:$E,IFNA(_xlfn.XLOOKUP(IFERROR(VALUE($C821),""),Productos!$A:$A,Productos!$E:$E,_xlfn.XLOOKUP($C821,Productos!$E:$E,Productos!$E:$E,"NO ENCONTRADO")),"NO ENCONTRADO")),"NO ENCONTRADO")),"NO ENCONTRADO"))</f>
        <v/>
      </c>
      <c r="E821" s="74">
        <f t="array" ref="E821">IF(OR($D821="",$D821="NO ENCONTRADO"),"",_xlfn.XLOOKUP($D821,Productos!$E:$E,Productos!$H:$H,""))</f>
        <v/>
      </c>
      <c r="F821" s="74">
        <f t="array" ref="F821">IF(OR($D821="",$D821="NO ENCONTRADO"),"",_xlfn.XLOOKUP($D821,Productos!$E:$E,Productos!$I:$I,""))</f>
        <v/>
      </c>
      <c r="G821" s="74">
        <f t="array" ref="G821">IF(OR($D821="",$D821="NO ENCONTRADO"),"",_xlfn.XLOOKUP($D821,Productos!$E:$E,Productos!$J:$J,""))</f>
        <v/>
      </c>
      <c r="H821" s="74">
        <f t="array" ref="H821">IF(OR($D821="",$D821="NO ENCONTRADO"),"",_xlfn.XLOOKUP($D821,Productos!$E:$E,Productos!$K:$K,""))</f>
        <v/>
      </c>
      <c r="I821" s="74">
        <f t="array" ref="I821">IF(OR($D821="",$D821="NO ENCONTRADO"),"",_xlfn.XLOOKUP($D821,Productos!$E:$E,Productos!$F:$F,""))</f>
        <v/>
      </c>
      <c r="J821" s="74">
        <f>IF($C821="","",IF($D821="NO ENCONTRADO",IF(COUNTIF($C$7:$C$1000,$C821)&gt;1,"⚠️ No encontrado | Duplicado","⚠️ No encontrado"),IF(COUNTIF($C$7:$C$1000,$C821)&gt;1,"⚠️ Duplicado","Verificado")))</f>
        <v/>
      </c>
    </row>
    <row r="822" ht="15.75" customHeight="1" s="176">
      <c r="B822" s="80" t="n"/>
      <c r="C822" s="74" t="n"/>
      <c r="D822" s="74">
        <f t="array" ref="D822">IF($C822="","",IFNA(_xlfn.XLOOKUP($C822,Productos!$A:$A,Productos!$E:$E,IFNA(_xlfn.XLOOKUP(TEXT($C822,"0"),Productos!$A:$A,Productos!$E:$E,IFNA(_xlfn.XLOOKUP(IFERROR(VALUE($C822),""),Productos!$A:$A,Productos!$E:$E,_xlfn.XLOOKUP($C822,Productos!$E:$E,Productos!$E:$E,"NO ENCONTRADO")),"NO ENCONTRADO")),"NO ENCONTRADO")),"NO ENCONTRADO"))</f>
        <v/>
      </c>
      <c r="E822" s="74">
        <f t="array" ref="E822">IF(OR($D822="",$D822="NO ENCONTRADO"),"",_xlfn.XLOOKUP($D822,Productos!$E:$E,Productos!$H:$H,""))</f>
        <v/>
      </c>
      <c r="F822" s="74">
        <f t="array" ref="F822">IF(OR($D822="",$D822="NO ENCONTRADO"),"",_xlfn.XLOOKUP($D822,Productos!$E:$E,Productos!$I:$I,""))</f>
        <v/>
      </c>
      <c r="G822" s="74">
        <f t="array" ref="G822">IF(OR($D822="",$D822="NO ENCONTRADO"),"",_xlfn.XLOOKUP($D822,Productos!$E:$E,Productos!$J:$J,""))</f>
        <v/>
      </c>
      <c r="H822" s="74">
        <f t="array" ref="H822">IF(OR($D822="",$D822="NO ENCONTRADO"),"",_xlfn.XLOOKUP($D822,Productos!$E:$E,Productos!$K:$K,""))</f>
        <v/>
      </c>
      <c r="I822" s="74">
        <f t="array" ref="I822">IF(OR($D822="",$D822="NO ENCONTRADO"),"",_xlfn.XLOOKUP($D822,Productos!$E:$E,Productos!$F:$F,""))</f>
        <v/>
      </c>
      <c r="J822" s="74">
        <f>IF($C822="","",IF($D822="NO ENCONTRADO",IF(COUNTIF($C$7:$C$1000,$C822)&gt;1,"⚠️ No encontrado | Duplicado","⚠️ No encontrado"),IF(COUNTIF($C$7:$C$1000,$C822)&gt;1,"⚠️ Duplicado","Verificado")))</f>
        <v/>
      </c>
    </row>
    <row r="823" ht="15.75" customHeight="1" s="176">
      <c r="B823" s="80" t="n"/>
      <c r="C823" s="74" t="n"/>
      <c r="D823" s="74">
        <f t="array" ref="D823">IF($C823="","",IFNA(_xlfn.XLOOKUP($C823,Productos!$A:$A,Productos!$E:$E,IFNA(_xlfn.XLOOKUP(TEXT($C823,"0"),Productos!$A:$A,Productos!$E:$E,IFNA(_xlfn.XLOOKUP(IFERROR(VALUE($C823),""),Productos!$A:$A,Productos!$E:$E,_xlfn.XLOOKUP($C823,Productos!$E:$E,Productos!$E:$E,"NO ENCONTRADO")),"NO ENCONTRADO")),"NO ENCONTRADO")),"NO ENCONTRADO"))</f>
        <v/>
      </c>
      <c r="E823" s="74">
        <f t="array" ref="E823">IF(OR($D823="",$D823="NO ENCONTRADO"),"",_xlfn.XLOOKUP($D823,Productos!$E:$E,Productos!$H:$H,""))</f>
        <v/>
      </c>
      <c r="F823" s="74">
        <f t="array" ref="F823">IF(OR($D823="",$D823="NO ENCONTRADO"),"",_xlfn.XLOOKUP($D823,Productos!$E:$E,Productos!$I:$I,""))</f>
        <v/>
      </c>
      <c r="G823" s="74">
        <f t="array" ref="G823">IF(OR($D823="",$D823="NO ENCONTRADO"),"",_xlfn.XLOOKUP($D823,Productos!$E:$E,Productos!$J:$J,""))</f>
        <v/>
      </c>
      <c r="H823" s="74">
        <f t="array" ref="H823">IF(OR($D823="",$D823="NO ENCONTRADO"),"",_xlfn.XLOOKUP($D823,Productos!$E:$E,Productos!$K:$K,""))</f>
        <v/>
      </c>
      <c r="I823" s="74">
        <f t="array" ref="I823">IF(OR($D823="",$D823="NO ENCONTRADO"),"",_xlfn.XLOOKUP($D823,Productos!$E:$E,Productos!$F:$F,""))</f>
        <v/>
      </c>
      <c r="J823" s="74">
        <f>IF($C823="","",IF($D823="NO ENCONTRADO",IF(COUNTIF($C$7:$C$1000,$C823)&gt;1,"⚠️ No encontrado | Duplicado","⚠️ No encontrado"),IF(COUNTIF($C$7:$C$1000,$C823)&gt;1,"⚠️ Duplicado","Verificado")))</f>
        <v/>
      </c>
    </row>
    <row r="824" ht="15.75" customHeight="1" s="176">
      <c r="B824" s="80" t="n"/>
      <c r="C824" s="74" t="n"/>
      <c r="D824" s="74">
        <f t="array" ref="D824">IF($C824="","",IFNA(_xlfn.XLOOKUP($C824,Productos!$A:$A,Productos!$E:$E,IFNA(_xlfn.XLOOKUP(TEXT($C824,"0"),Productos!$A:$A,Productos!$E:$E,IFNA(_xlfn.XLOOKUP(IFERROR(VALUE($C824),""),Productos!$A:$A,Productos!$E:$E,_xlfn.XLOOKUP($C824,Productos!$E:$E,Productos!$E:$E,"NO ENCONTRADO")),"NO ENCONTRADO")),"NO ENCONTRADO")),"NO ENCONTRADO"))</f>
        <v/>
      </c>
      <c r="E824" s="74">
        <f t="array" ref="E824">IF(OR($D824="",$D824="NO ENCONTRADO"),"",_xlfn.XLOOKUP($D824,Productos!$E:$E,Productos!$H:$H,""))</f>
        <v/>
      </c>
      <c r="F824" s="74">
        <f t="array" ref="F824">IF(OR($D824="",$D824="NO ENCONTRADO"),"",_xlfn.XLOOKUP($D824,Productos!$E:$E,Productos!$I:$I,""))</f>
        <v/>
      </c>
      <c r="G824" s="74">
        <f t="array" ref="G824">IF(OR($D824="",$D824="NO ENCONTRADO"),"",_xlfn.XLOOKUP($D824,Productos!$E:$E,Productos!$J:$J,""))</f>
        <v/>
      </c>
      <c r="H824" s="74">
        <f t="array" ref="H824">IF(OR($D824="",$D824="NO ENCONTRADO"),"",_xlfn.XLOOKUP($D824,Productos!$E:$E,Productos!$K:$K,""))</f>
        <v/>
      </c>
      <c r="I824" s="74">
        <f t="array" ref="I824">IF(OR($D824="",$D824="NO ENCONTRADO"),"",_xlfn.XLOOKUP($D824,Productos!$E:$E,Productos!$F:$F,""))</f>
        <v/>
      </c>
      <c r="J824" s="74">
        <f>IF($C824="","",IF($D824="NO ENCONTRADO",IF(COUNTIF($C$7:$C$1000,$C824)&gt;1,"⚠️ No encontrado | Duplicado","⚠️ No encontrado"),IF(COUNTIF($C$7:$C$1000,$C824)&gt;1,"⚠️ Duplicado","Verificado")))</f>
        <v/>
      </c>
    </row>
    <row r="825" ht="15.75" customHeight="1" s="176">
      <c r="B825" s="80" t="n"/>
      <c r="C825" s="74" t="n"/>
      <c r="D825" s="74">
        <f t="array" ref="D825">IF($C825="","",IFNA(_xlfn.XLOOKUP($C825,Productos!$A:$A,Productos!$E:$E,IFNA(_xlfn.XLOOKUP(TEXT($C825,"0"),Productos!$A:$A,Productos!$E:$E,IFNA(_xlfn.XLOOKUP(IFERROR(VALUE($C825),""),Productos!$A:$A,Productos!$E:$E,_xlfn.XLOOKUP($C825,Productos!$E:$E,Productos!$E:$E,"NO ENCONTRADO")),"NO ENCONTRADO")),"NO ENCONTRADO")),"NO ENCONTRADO"))</f>
        <v/>
      </c>
      <c r="E825" s="74">
        <f t="array" ref="E825">IF(OR($D825="",$D825="NO ENCONTRADO"),"",_xlfn.XLOOKUP($D825,Productos!$E:$E,Productos!$H:$H,""))</f>
        <v/>
      </c>
      <c r="F825" s="74">
        <f t="array" ref="F825">IF(OR($D825="",$D825="NO ENCONTRADO"),"",_xlfn.XLOOKUP($D825,Productos!$E:$E,Productos!$I:$I,""))</f>
        <v/>
      </c>
      <c r="G825" s="74">
        <f t="array" ref="G825">IF(OR($D825="",$D825="NO ENCONTRADO"),"",_xlfn.XLOOKUP($D825,Productos!$E:$E,Productos!$J:$J,""))</f>
        <v/>
      </c>
      <c r="H825" s="74">
        <f t="array" ref="H825">IF(OR($D825="",$D825="NO ENCONTRADO"),"",_xlfn.XLOOKUP($D825,Productos!$E:$E,Productos!$K:$K,""))</f>
        <v/>
      </c>
      <c r="I825" s="74">
        <f t="array" ref="I825">IF(OR($D825="",$D825="NO ENCONTRADO"),"",_xlfn.XLOOKUP($D825,Productos!$E:$E,Productos!$F:$F,""))</f>
        <v/>
      </c>
      <c r="J825" s="74">
        <f>IF($C825="","",IF($D825="NO ENCONTRADO",IF(COUNTIF($C$7:$C$1000,$C825)&gt;1,"⚠️ No encontrado | Duplicado","⚠️ No encontrado"),IF(COUNTIF($C$7:$C$1000,$C825)&gt;1,"⚠️ Duplicado","Verificado")))</f>
        <v/>
      </c>
    </row>
    <row r="826" ht="15.75" customHeight="1" s="176">
      <c r="B826" s="80" t="n"/>
      <c r="C826" s="74" t="n"/>
      <c r="D826" s="74">
        <f t="array" ref="D826">IF($C826="","",IFNA(_xlfn.XLOOKUP($C826,Productos!$A:$A,Productos!$E:$E,IFNA(_xlfn.XLOOKUP(TEXT($C826,"0"),Productos!$A:$A,Productos!$E:$E,IFNA(_xlfn.XLOOKUP(IFERROR(VALUE($C826),""),Productos!$A:$A,Productos!$E:$E,_xlfn.XLOOKUP($C826,Productos!$E:$E,Productos!$E:$E,"NO ENCONTRADO")),"NO ENCONTRADO")),"NO ENCONTRADO")),"NO ENCONTRADO"))</f>
        <v/>
      </c>
      <c r="E826" s="74">
        <f t="array" ref="E826">IF(OR($D826="",$D826="NO ENCONTRADO"),"",_xlfn.XLOOKUP($D826,Productos!$E:$E,Productos!$H:$H,""))</f>
        <v/>
      </c>
      <c r="F826" s="74">
        <f t="array" ref="F826">IF(OR($D826="",$D826="NO ENCONTRADO"),"",_xlfn.XLOOKUP($D826,Productos!$E:$E,Productos!$I:$I,""))</f>
        <v/>
      </c>
      <c r="G826" s="74">
        <f t="array" ref="G826">IF(OR($D826="",$D826="NO ENCONTRADO"),"",_xlfn.XLOOKUP($D826,Productos!$E:$E,Productos!$J:$J,""))</f>
        <v/>
      </c>
      <c r="H826" s="74">
        <f t="array" ref="H826">IF(OR($D826="",$D826="NO ENCONTRADO"),"",_xlfn.XLOOKUP($D826,Productos!$E:$E,Productos!$K:$K,""))</f>
        <v/>
      </c>
      <c r="I826" s="74">
        <f t="array" ref="I826">IF(OR($D826="",$D826="NO ENCONTRADO"),"",_xlfn.XLOOKUP($D826,Productos!$E:$E,Productos!$F:$F,""))</f>
        <v/>
      </c>
      <c r="J826" s="74">
        <f>IF($C826="","",IF($D826="NO ENCONTRADO",IF(COUNTIF($C$7:$C$1000,$C826)&gt;1,"⚠️ No encontrado | Duplicado","⚠️ No encontrado"),IF(COUNTIF($C$7:$C$1000,$C826)&gt;1,"⚠️ Duplicado","Verificado")))</f>
        <v/>
      </c>
    </row>
    <row r="827" ht="15.75" customHeight="1" s="176">
      <c r="B827" s="80" t="n"/>
      <c r="C827" s="74" t="n"/>
      <c r="D827" s="74">
        <f t="array" ref="D827">IF($C827="","",IFNA(_xlfn.XLOOKUP($C827,Productos!$A:$A,Productos!$E:$E,IFNA(_xlfn.XLOOKUP(TEXT($C827,"0"),Productos!$A:$A,Productos!$E:$E,IFNA(_xlfn.XLOOKUP(IFERROR(VALUE($C827),""),Productos!$A:$A,Productos!$E:$E,_xlfn.XLOOKUP($C827,Productos!$E:$E,Productos!$E:$E,"NO ENCONTRADO")),"NO ENCONTRADO")),"NO ENCONTRADO")),"NO ENCONTRADO"))</f>
        <v/>
      </c>
      <c r="E827" s="74">
        <f t="array" ref="E827">IF(OR($D827="",$D827="NO ENCONTRADO"),"",_xlfn.XLOOKUP($D827,Productos!$E:$E,Productos!$H:$H,""))</f>
        <v/>
      </c>
      <c r="F827" s="74">
        <f t="array" ref="F827">IF(OR($D827="",$D827="NO ENCONTRADO"),"",_xlfn.XLOOKUP($D827,Productos!$E:$E,Productos!$I:$I,""))</f>
        <v/>
      </c>
      <c r="G827" s="74">
        <f t="array" ref="G827">IF(OR($D827="",$D827="NO ENCONTRADO"),"",_xlfn.XLOOKUP($D827,Productos!$E:$E,Productos!$J:$J,""))</f>
        <v/>
      </c>
      <c r="H827" s="74">
        <f t="array" ref="H827">IF(OR($D827="",$D827="NO ENCONTRADO"),"",_xlfn.XLOOKUP($D827,Productos!$E:$E,Productos!$K:$K,""))</f>
        <v/>
      </c>
      <c r="I827" s="74">
        <f t="array" ref="I827">IF(OR($D827="",$D827="NO ENCONTRADO"),"",_xlfn.XLOOKUP($D827,Productos!$E:$E,Productos!$F:$F,""))</f>
        <v/>
      </c>
      <c r="J827" s="74">
        <f>IF($C827="","",IF($D827="NO ENCONTRADO",IF(COUNTIF($C$7:$C$1000,$C827)&gt;1,"⚠️ No encontrado | Duplicado","⚠️ No encontrado"),IF(COUNTIF($C$7:$C$1000,$C827)&gt;1,"⚠️ Duplicado","Verificado")))</f>
        <v/>
      </c>
    </row>
    <row r="828" ht="15.75" customHeight="1" s="176">
      <c r="B828" s="80" t="n"/>
      <c r="C828" s="74" t="n"/>
      <c r="D828" s="74">
        <f t="array" ref="D828">IF($C828="","",IFNA(_xlfn.XLOOKUP($C828,Productos!$A:$A,Productos!$E:$E,IFNA(_xlfn.XLOOKUP(TEXT($C828,"0"),Productos!$A:$A,Productos!$E:$E,IFNA(_xlfn.XLOOKUP(IFERROR(VALUE($C828),""),Productos!$A:$A,Productos!$E:$E,_xlfn.XLOOKUP($C828,Productos!$E:$E,Productos!$E:$E,"NO ENCONTRADO")),"NO ENCONTRADO")),"NO ENCONTRADO")),"NO ENCONTRADO"))</f>
        <v/>
      </c>
      <c r="E828" s="74">
        <f t="array" ref="E828">IF(OR($D828="",$D828="NO ENCONTRADO"),"",_xlfn.XLOOKUP($D828,Productos!$E:$E,Productos!$H:$H,""))</f>
        <v/>
      </c>
      <c r="F828" s="74">
        <f t="array" ref="F828">IF(OR($D828="",$D828="NO ENCONTRADO"),"",_xlfn.XLOOKUP($D828,Productos!$E:$E,Productos!$I:$I,""))</f>
        <v/>
      </c>
      <c r="G828" s="74">
        <f t="array" ref="G828">IF(OR($D828="",$D828="NO ENCONTRADO"),"",_xlfn.XLOOKUP($D828,Productos!$E:$E,Productos!$J:$J,""))</f>
        <v/>
      </c>
      <c r="H828" s="74">
        <f t="array" ref="H828">IF(OR($D828="",$D828="NO ENCONTRADO"),"",_xlfn.XLOOKUP($D828,Productos!$E:$E,Productos!$K:$K,""))</f>
        <v/>
      </c>
      <c r="I828" s="74">
        <f t="array" ref="I828">IF(OR($D828="",$D828="NO ENCONTRADO"),"",_xlfn.XLOOKUP($D828,Productos!$E:$E,Productos!$F:$F,""))</f>
        <v/>
      </c>
      <c r="J828" s="74">
        <f>IF($C828="","",IF($D828="NO ENCONTRADO",IF(COUNTIF($C$7:$C$1000,$C828)&gt;1,"⚠️ No encontrado | Duplicado","⚠️ No encontrado"),IF(COUNTIF($C$7:$C$1000,$C828)&gt;1,"⚠️ Duplicado","Verificado")))</f>
        <v/>
      </c>
    </row>
    <row r="829" ht="15.75" customHeight="1" s="176">
      <c r="B829" s="80" t="n"/>
      <c r="C829" s="74" t="n"/>
      <c r="D829" s="74">
        <f t="array" ref="D829">IF($C829="","",IFNA(_xlfn.XLOOKUP($C829,Productos!$A:$A,Productos!$E:$E,IFNA(_xlfn.XLOOKUP(TEXT($C829,"0"),Productos!$A:$A,Productos!$E:$E,IFNA(_xlfn.XLOOKUP(IFERROR(VALUE($C829),""),Productos!$A:$A,Productos!$E:$E,_xlfn.XLOOKUP($C829,Productos!$E:$E,Productos!$E:$E,"NO ENCONTRADO")),"NO ENCONTRADO")),"NO ENCONTRADO")),"NO ENCONTRADO"))</f>
        <v/>
      </c>
      <c r="E829" s="74">
        <f t="array" ref="E829">IF(OR($D829="",$D829="NO ENCONTRADO"),"",_xlfn.XLOOKUP($D829,Productos!$E:$E,Productos!$H:$H,""))</f>
        <v/>
      </c>
      <c r="F829" s="74">
        <f t="array" ref="F829">IF(OR($D829="",$D829="NO ENCONTRADO"),"",_xlfn.XLOOKUP($D829,Productos!$E:$E,Productos!$I:$I,""))</f>
        <v/>
      </c>
      <c r="G829" s="74">
        <f t="array" ref="G829">IF(OR($D829="",$D829="NO ENCONTRADO"),"",_xlfn.XLOOKUP($D829,Productos!$E:$E,Productos!$J:$J,""))</f>
        <v/>
      </c>
      <c r="H829" s="74">
        <f t="array" ref="H829">IF(OR($D829="",$D829="NO ENCONTRADO"),"",_xlfn.XLOOKUP($D829,Productos!$E:$E,Productos!$K:$K,""))</f>
        <v/>
      </c>
      <c r="I829" s="74">
        <f t="array" ref="I829">IF(OR($D829="",$D829="NO ENCONTRADO"),"",_xlfn.XLOOKUP($D829,Productos!$E:$E,Productos!$F:$F,""))</f>
        <v/>
      </c>
      <c r="J829" s="74">
        <f>IF($C829="","",IF($D829="NO ENCONTRADO",IF(COUNTIF($C$7:$C$1000,$C829)&gt;1,"⚠️ No encontrado | Duplicado","⚠️ No encontrado"),IF(COUNTIF($C$7:$C$1000,$C829)&gt;1,"⚠️ Duplicado","Verificado")))</f>
        <v/>
      </c>
    </row>
    <row r="830" ht="15.75" customHeight="1" s="176">
      <c r="B830" s="80" t="n"/>
      <c r="C830" s="74" t="n"/>
      <c r="D830" s="74">
        <f t="array" ref="D830">IF($C830="","",IFNA(_xlfn.XLOOKUP($C830,Productos!$A:$A,Productos!$E:$E,IFNA(_xlfn.XLOOKUP(TEXT($C830,"0"),Productos!$A:$A,Productos!$E:$E,IFNA(_xlfn.XLOOKUP(IFERROR(VALUE($C830),""),Productos!$A:$A,Productos!$E:$E,_xlfn.XLOOKUP($C830,Productos!$E:$E,Productos!$E:$E,"NO ENCONTRADO")),"NO ENCONTRADO")),"NO ENCONTRADO")),"NO ENCONTRADO"))</f>
        <v/>
      </c>
      <c r="E830" s="74">
        <f t="array" ref="E830">IF(OR($D830="",$D830="NO ENCONTRADO"),"",_xlfn.XLOOKUP($D830,Productos!$E:$E,Productos!$H:$H,""))</f>
        <v/>
      </c>
      <c r="F830" s="74">
        <f t="array" ref="F830">IF(OR($D830="",$D830="NO ENCONTRADO"),"",_xlfn.XLOOKUP($D830,Productos!$E:$E,Productos!$I:$I,""))</f>
        <v/>
      </c>
      <c r="G830" s="74">
        <f t="array" ref="G830">IF(OR($D830="",$D830="NO ENCONTRADO"),"",_xlfn.XLOOKUP($D830,Productos!$E:$E,Productos!$J:$J,""))</f>
        <v/>
      </c>
      <c r="H830" s="74">
        <f t="array" ref="H830">IF(OR($D830="",$D830="NO ENCONTRADO"),"",_xlfn.XLOOKUP($D830,Productos!$E:$E,Productos!$K:$K,""))</f>
        <v/>
      </c>
      <c r="I830" s="74">
        <f t="array" ref="I830">IF(OR($D830="",$D830="NO ENCONTRADO"),"",_xlfn.XLOOKUP($D830,Productos!$E:$E,Productos!$F:$F,""))</f>
        <v/>
      </c>
      <c r="J830" s="74">
        <f>IF($C830="","",IF($D830="NO ENCONTRADO",IF(COUNTIF($C$7:$C$1000,$C830)&gt;1,"⚠️ No encontrado | Duplicado","⚠️ No encontrado"),IF(COUNTIF($C$7:$C$1000,$C830)&gt;1,"⚠️ Duplicado","Verificado")))</f>
        <v/>
      </c>
    </row>
    <row r="831" ht="15.75" customHeight="1" s="176">
      <c r="B831" s="80" t="n"/>
      <c r="C831" s="74" t="n"/>
      <c r="D831" s="74">
        <f t="array" ref="D831">IF($C831="","",IFNA(_xlfn.XLOOKUP($C831,Productos!$A:$A,Productos!$E:$E,IFNA(_xlfn.XLOOKUP(TEXT($C831,"0"),Productos!$A:$A,Productos!$E:$E,IFNA(_xlfn.XLOOKUP(IFERROR(VALUE($C831),""),Productos!$A:$A,Productos!$E:$E,_xlfn.XLOOKUP($C831,Productos!$E:$E,Productos!$E:$E,"NO ENCONTRADO")),"NO ENCONTRADO")),"NO ENCONTRADO")),"NO ENCONTRADO"))</f>
        <v/>
      </c>
      <c r="E831" s="74">
        <f t="array" ref="E831">IF(OR($D831="",$D831="NO ENCONTRADO"),"",_xlfn.XLOOKUP($D831,Productos!$E:$E,Productos!$H:$H,""))</f>
        <v/>
      </c>
      <c r="F831" s="74">
        <f t="array" ref="F831">IF(OR($D831="",$D831="NO ENCONTRADO"),"",_xlfn.XLOOKUP($D831,Productos!$E:$E,Productos!$I:$I,""))</f>
        <v/>
      </c>
      <c r="G831" s="74">
        <f t="array" ref="G831">IF(OR($D831="",$D831="NO ENCONTRADO"),"",_xlfn.XLOOKUP($D831,Productos!$E:$E,Productos!$J:$J,""))</f>
        <v/>
      </c>
      <c r="H831" s="74">
        <f t="array" ref="H831">IF(OR($D831="",$D831="NO ENCONTRADO"),"",_xlfn.XLOOKUP($D831,Productos!$E:$E,Productos!$K:$K,""))</f>
        <v/>
      </c>
      <c r="I831" s="74">
        <f t="array" ref="I831">IF(OR($D831="",$D831="NO ENCONTRADO"),"",_xlfn.XLOOKUP($D831,Productos!$E:$E,Productos!$F:$F,""))</f>
        <v/>
      </c>
      <c r="J831" s="74">
        <f>IF($C831="","",IF($D831="NO ENCONTRADO",IF(COUNTIF($C$7:$C$1000,$C831)&gt;1,"⚠️ No encontrado | Duplicado","⚠️ No encontrado"),IF(COUNTIF($C$7:$C$1000,$C831)&gt;1,"⚠️ Duplicado","Verificado")))</f>
        <v/>
      </c>
    </row>
    <row r="832" ht="15.75" customHeight="1" s="176">
      <c r="B832" s="80" t="n"/>
      <c r="C832" s="74" t="n"/>
      <c r="D832" s="74">
        <f t="array" ref="D832">IF($C832="","",IFNA(_xlfn.XLOOKUP($C832,Productos!$A:$A,Productos!$E:$E,IFNA(_xlfn.XLOOKUP(TEXT($C832,"0"),Productos!$A:$A,Productos!$E:$E,IFNA(_xlfn.XLOOKUP(IFERROR(VALUE($C832),""),Productos!$A:$A,Productos!$E:$E,_xlfn.XLOOKUP($C832,Productos!$E:$E,Productos!$E:$E,"NO ENCONTRADO")),"NO ENCONTRADO")),"NO ENCONTRADO")),"NO ENCONTRADO"))</f>
        <v/>
      </c>
      <c r="E832" s="74">
        <f t="array" ref="E832">IF(OR($D832="",$D832="NO ENCONTRADO"),"",_xlfn.XLOOKUP($D832,Productos!$E:$E,Productos!$H:$H,""))</f>
        <v/>
      </c>
      <c r="F832" s="74">
        <f t="array" ref="F832">IF(OR($D832="",$D832="NO ENCONTRADO"),"",_xlfn.XLOOKUP($D832,Productos!$E:$E,Productos!$I:$I,""))</f>
        <v/>
      </c>
      <c r="G832" s="74">
        <f t="array" ref="G832">IF(OR($D832="",$D832="NO ENCONTRADO"),"",_xlfn.XLOOKUP($D832,Productos!$E:$E,Productos!$J:$J,""))</f>
        <v/>
      </c>
      <c r="H832" s="74">
        <f t="array" ref="H832">IF(OR($D832="",$D832="NO ENCONTRADO"),"",_xlfn.XLOOKUP($D832,Productos!$E:$E,Productos!$K:$K,""))</f>
        <v/>
      </c>
      <c r="I832" s="74">
        <f t="array" ref="I832">IF(OR($D832="",$D832="NO ENCONTRADO"),"",_xlfn.XLOOKUP($D832,Productos!$E:$E,Productos!$F:$F,""))</f>
        <v/>
      </c>
      <c r="J832" s="74">
        <f>IF($C832="","",IF($D832="NO ENCONTRADO",IF(COUNTIF($C$7:$C$1000,$C832)&gt;1,"⚠️ No encontrado | Duplicado","⚠️ No encontrado"),IF(COUNTIF($C$7:$C$1000,$C832)&gt;1,"⚠️ Duplicado","Verificado")))</f>
        <v/>
      </c>
    </row>
    <row r="833" ht="15.75" customHeight="1" s="176">
      <c r="B833" s="80" t="n"/>
      <c r="C833" s="74" t="n"/>
      <c r="D833" s="74">
        <f t="array" ref="D833">IF($C833="","",IFNA(_xlfn.XLOOKUP($C833,Productos!$A:$A,Productos!$E:$E,IFNA(_xlfn.XLOOKUP(TEXT($C833,"0"),Productos!$A:$A,Productos!$E:$E,IFNA(_xlfn.XLOOKUP(IFERROR(VALUE($C833),""),Productos!$A:$A,Productos!$E:$E,_xlfn.XLOOKUP($C833,Productos!$E:$E,Productos!$E:$E,"NO ENCONTRADO")),"NO ENCONTRADO")),"NO ENCONTRADO")),"NO ENCONTRADO"))</f>
        <v/>
      </c>
      <c r="E833" s="74">
        <f t="array" ref="E833">IF(OR($D833="",$D833="NO ENCONTRADO"),"",_xlfn.XLOOKUP($D833,Productos!$E:$E,Productos!$H:$H,""))</f>
        <v/>
      </c>
      <c r="F833" s="74">
        <f t="array" ref="F833">IF(OR($D833="",$D833="NO ENCONTRADO"),"",_xlfn.XLOOKUP($D833,Productos!$E:$E,Productos!$I:$I,""))</f>
        <v/>
      </c>
      <c r="G833" s="74">
        <f t="array" ref="G833">IF(OR($D833="",$D833="NO ENCONTRADO"),"",_xlfn.XLOOKUP($D833,Productos!$E:$E,Productos!$J:$J,""))</f>
        <v/>
      </c>
      <c r="H833" s="74">
        <f t="array" ref="H833">IF(OR($D833="",$D833="NO ENCONTRADO"),"",_xlfn.XLOOKUP($D833,Productos!$E:$E,Productos!$K:$K,""))</f>
        <v/>
      </c>
      <c r="I833" s="74">
        <f t="array" ref="I833">IF(OR($D833="",$D833="NO ENCONTRADO"),"",_xlfn.XLOOKUP($D833,Productos!$E:$E,Productos!$F:$F,""))</f>
        <v/>
      </c>
      <c r="J833" s="74">
        <f>IF($C833="","",IF($D833="NO ENCONTRADO",IF(COUNTIF($C$7:$C$1000,$C833)&gt;1,"⚠️ No encontrado | Duplicado","⚠️ No encontrado"),IF(COUNTIF($C$7:$C$1000,$C833)&gt;1,"⚠️ Duplicado","Verificado")))</f>
        <v/>
      </c>
    </row>
    <row r="834" ht="15.75" customHeight="1" s="176">
      <c r="B834" s="80" t="n"/>
      <c r="C834" s="74" t="n"/>
      <c r="D834" s="74">
        <f t="array" ref="D834">IF($C834="","",IFNA(_xlfn.XLOOKUP($C834,Productos!$A:$A,Productos!$E:$E,IFNA(_xlfn.XLOOKUP(TEXT($C834,"0"),Productos!$A:$A,Productos!$E:$E,IFNA(_xlfn.XLOOKUP(IFERROR(VALUE($C834),""),Productos!$A:$A,Productos!$E:$E,_xlfn.XLOOKUP($C834,Productos!$E:$E,Productos!$E:$E,"NO ENCONTRADO")),"NO ENCONTRADO")),"NO ENCONTRADO")),"NO ENCONTRADO"))</f>
        <v/>
      </c>
      <c r="E834" s="74">
        <f t="array" ref="E834">IF(OR($D834="",$D834="NO ENCONTRADO"),"",_xlfn.XLOOKUP($D834,Productos!$E:$E,Productos!$H:$H,""))</f>
        <v/>
      </c>
      <c r="F834" s="74">
        <f t="array" ref="F834">IF(OR($D834="",$D834="NO ENCONTRADO"),"",_xlfn.XLOOKUP($D834,Productos!$E:$E,Productos!$I:$I,""))</f>
        <v/>
      </c>
      <c r="G834" s="74">
        <f t="array" ref="G834">IF(OR($D834="",$D834="NO ENCONTRADO"),"",_xlfn.XLOOKUP($D834,Productos!$E:$E,Productos!$J:$J,""))</f>
        <v/>
      </c>
      <c r="H834" s="74">
        <f t="array" ref="H834">IF(OR($D834="",$D834="NO ENCONTRADO"),"",_xlfn.XLOOKUP($D834,Productos!$E:$E,Productos!$K:$K,""))</f>
        <v/>
      </c>
      <c r="I834" s="74">
        <f t="array" ref="I834">IF(OR($D834="",$D834="NO ENCONTRADO"),"",_xlfn.XLOOKUP($D834,Productos!$E:$E,Productos!$F:$F,""))</f>
        <v/>
      </c>
      <c r="J834" s="74">
        <f>IF($C834="","",IF($D834="NO ENCONTRADO",IF(COUNTIF($C$7:$C$1000,$C834)&gt;1,"⚠️ No encontrado | Duplicado","⚠️ No encontrado"),IF(COUNTIF($C$7:$C$1000,$C834)&gt;1,"⚠️ Duplicado","Verificado")))</f>
        <v/>
      </c>
    </row>
    <row r="835" ht="15.75" customHeight="1" s="176">
      <c r="B835" s="80" t="n"/>
      <c r="C835" s="74" t="n"/>
      <c r="D835" s="74">
        <f t="array" ref="D835">IF($C835="","",IFNA(_xlfn.XLOOKUP($C835,Productos!$A:$A,Productos!$E:$E,IFNA(_xlfn.XLOOKUP(TEXT($C835,"0"),Productos!$A:$A,Productos!$E:$E,IFNA(_xlfn.XLOOKUP(IFERROR(VALUE($C835),""),Productos!$A:$A,Productos!$E:$E,_xlfn.XLOOKUP($C835,Productos!$E:$E,Productos!$E:$E,"NO ENCONTRADO")),"NO ENCONTRADO")),"NO ENCONTRADO")),"NO ENCONTRADO"))</f>
        <v/>
      </c>
      <c r="E835" s="74">
        <f t="array" ref="E835">IF(OR($D835="",$D835="NO ENCONTRADO"),"",_xlfn.XLOOKUP($D835,Productos!$E:$E,Productos!$H:$H,""))</f>
        <v/>
      </c>
      <c r="F835" s="74">
        <f t="array" ref="F835">IF(OR($D835="",$D835="NO ENCONTRADO"),"",_xlfn.XLOOKUP($D835,Productos!$E:$E,Productos!$I:$I,""))</f>
        <v/>
      </c>
      <c r="G835" s="74">
        <f t="array" ref="G835">IF(OR($D835="",$D835="NO ENCONTRADO"),"",_xlfn.XLOOKUP($D835,Productos!$E:$E,Productos!$J:$J,""))</f>
        <v/>
      </c>
      <c r="H835" s="74">
        <f t="array" ref="H835">IF(OR($D835="",$D835="NO ENCONTRADO"),"",_xlfn.XLOOKUP($D835,Productos!$E:$E,Productos!$K:$K,""))</f>
        <v/>
      </c>
      <c r="I835" s="74">
        <f t="array" ref="I835">IF(OR($D835="",$D835="NO ENCONTRADO"),"",_xlfn.XLOOKUP($D835,Productos!$E:$E,Productos!$F:$F,""))</f>
        <v/>
      </c>
      <c r="J835" s="74">
        <f>IF($C835="","",IF($D835="NO ENCONTRADO",IF(COUNTIF($C$7:$C$1000,$C835)&gt;1,"⚠️ No encontrado | Duplicado","⚠️ No encontrado"),IF(COUNTIF($C$7:$C$1000,$C835)&gt;1,"⚠️ Duplicado","Verificado")))</f>
        <v/>
      </c>
    </row>
    <row r="836" ht="15.75" customHeight="1" s="176">
      <c r="B836" s="80" t="n"/>
      <c r="C836" s="74" t="n"/>
      <c r="D836" s="74">
        <f t="array" ref="D836">IF($C836="","",IFNA(_xlfn.XLOOKUP($C836,Productos!$A:$A,Productos!$E:$E,IFNA(_xlfn.XLOOKUP(TEXT($C836,"0"),Productos!$A:$A,Productos!$E:$E,IFNA(_xlfn.XLOOKUP(IFERROR(VALUE($C836),""),Productos!$A:$A,Productos!$E:$E,_xlfn.XLOOKUP($C836,Productos!$E:$E,Productos!$E:$E,"NO ENCONTRADO")),"NO ENCONTRADO")),"NO ENCONTRADO")),"NO ENCONTRADO"))</f>
        <v/>
      </c>
      <c r="E836" s="74">
        <f t="array" ref="E836">IF(OR($D836="",$D836="NO ENCONTRADO"),"",_xlfn.XLOOKUP($D836,Productos!$E:$E,Productos!$H:$H,""))</f>
        <v/>
      </c>
      <c r="F836" s="74">
        <f t="array" ref="F836">IF(OR($D836="",$D836="NO ENCONTRADO"),"",_xlfn.XLOOKUP($D836,Productos!$E:$E,Productos!$I:$I,""))</f>
        <v/>
      </c>
      <c r="G836" s="74">
        <f t="array" ref="G836">IF(OR($D836="",$D836="NO ENCONTRADO"),"",_xlfn.XLOOKUP($D836,Productos!$E:$E,Productos!$J:$J,""))</f>
        <v/>
      </c>
      <c r="H836" s="74">
        <f t="array" ref="H836">IF(OR($D836="",$D836="NO ENCONTRADO"),"",_xlfn.XLOOKUP($D836,Productos!$E:$E,Productos!$K:$K,""))</f>
        <v/>
      </c>
      <c r="I836" s="74">
        <f t="array" ref="I836">IF(OR($D836="",$D836="NO ENCONTRADO"),"",_xlfn.XLOOKUP($D836,Productos!$E:$E,Productos!$F:$F,""))</f>
        <v/>
      </c>
      <c r="J836" s="74">
        <f>IF($C836="","",IF($D836="NO ENCONTRADO",IF(COUNTIF($C$7:$C$1000,$C836)&gt;1,"⚠️ No encontrado | Duplicado","⚠️ No encontrado"),IF(COUNTIF($C$7:$C$1000,$C836)&gt;1,"⚠️ Duplicado","Verificado")))</f>
        <v/>
      </c>
    </row>
    <row r="837" ht="15.75" customHeight="1" s="176">
      <c r="B837" s="80" t="n"/>
      <c r="C837" s="74" t="n"/>
      <c r="D837" s="74">
        <f t="array" ref="D837">IF($C837="","",IFNA(_xlfn.XLOOKUP($C837,Productos!$A:$A,Productos!$E:$E,IFNA(_xlfn.XLOOKUP(TEXT($C837,"0"),Productos!$A:$A,Productos!$E:$E,IFNA(_xlfn.XLOOKUP(IFERROR(VALUE($C837),""),Productos!$A:$A,Productos!$E:$E,_xlfn.XLOOKUP($C837,Productos!$E:$E,Productos!$E:$E,"NO ENCONTRADO")),"NO ENCONTRADO")),"NO ENCONTRADO")),"NO ENCONTRADO"))</f>
        <v/>
      </c>
      <c r="E837" s="74">
        <f t="array" ref="E837">IF(OR($D837="",$D837="NO ENCONTRADO"),"",_xlfn.XLOOKUP($D837,Productos!$E:$E,Productos!$H:$H,""))</f>
        <v/>
      </c>
      <c r="F837" s="74">
        <f t="array" ref="F837">IF(OR($D837="",$D837="NO ENCONTRADO"),"",_xlfn.XLOOKUP($D837,Productos!$E:$E,Productos!$I:$I,""))</f>
        <v/>
      </c>
      <c r="G837" s="74">
        <f t="array" ref="G837">IF(OR($D837="",$D837="NO ENCONTRADO"),"",_xlfn.XLOOKUP($D837,Productos!$E:$E,Productos!$J:$J,""))</f>
        <v/>
      </c>
      <c r="H837" s="74">
        <f t="array" ref="H837">IF(OR($D837="",$D837="NO ENCONTRADO"),"",_xlfn.XLOOKUP($D837,Productos!$E:$E,Productos!$K:$K,""))</f>
        <v/>
      </c>
      <c r="I837" s="74">
        <f t="array" ref="I837">IF(OR($D837="",$D837="NO ENCONTRADO"),"",_xlfn.XLOOKUP($D837,Productos!$E:$E,Productos!$F:$F,""))</f>
        <v/>
      </c>
      <c r="J837" s="74">
        <f>IF($C837="","",IF($D837="NO ENCONTRADO",IF(COUNTIF($C$7:$C$1000,$C837)&gt;1,"⚠️ No encontrado | Duplicado","⚠️ No encontrado"),IF(COUNTIF($C$7:$C$1000,$C837)&gt;1,"⚠️ Duplicado","Verificado")))</f>
        <v/>
      </c>
    </row>
    <row r="838" ht="15.75" customHeight="1" s="176">
      <c r="B838" s="80" t="n"/>
      <c r="C838" s="74" t="n"/>
      <c r="D838" s="74">
        <f t="array" ref="D838">IF($C838="","",IFNA(_xlfn.XLOOKUP($C838,Productos!$A:$A,Productos!$E:$E,IFNA(_xlfn.XLOOKUP(TEXT($C838,"0"),Productos!$A:$A,Productos!$E:$E,IFNA(_xlfn.XLOOKUP(IFERROR(VALUE($C838),""),Productos!$A:$A,Productos!$E:$E,_xlfn.XLOOKUP($C838,Productos!$E:$E,Productos!$E:$E,"NO ENCONTRADO")),"NO ENCONTRADO")),"NO ENCONTRADO")),"NO ENCONTRADO"))</f>
        <v/>
      </c>
      <c r="E838" s="74">
        <f t="array" ref="E838">IF(OR($D838="",$D838="NO ENCONTRADO"),"",_xlfn.XLOOKUP($D838,Productos!$E:$E,Productos!$H:$H,""))</f>
        <v/>
      </c>
      <c r="F838" s="74">
        <f t="array" ref="F838">IF(OR($D838="",$D838="NO ENCONTRADO"),"",_xlfn.XLOOKUP($D838,Productos!$E:$E,Productos!$I:$I,""))</f>
        <v/>
      </c>
      <c r="G838" s="74">
        <f t="array" ref="G838">IF(OR($D838="",$D838="NO ENCONTRADO"),"",_xlfn.XLOOKUP($D838,Productos!$E:$E,Productos!$J:$J,""))</f>
        <v/>
      </c>
      <c r="H838" s="74">
        <f t="array" ref="H838">IF(OR($D838="",$D838="NO ENCONTRADO"),"",_xlfn.XLOOKUP($D838,Productos!$E:$E,Productos!$K:$K,""))</f>
        <v/>
      </c>
      <c r="I838" s="74">
        <f t="array" ref="I838">IF(OR($D838="",$D838="NO ENCONTRADO"),"",_xlfn.XLOOKUP($D838,Productos!$E:$E,Productos!$F:$F,""))</f>
        <v/>
      </c>
      <c r="J838" s="74">
        <f>IF($C838="","",IF($D838="NO ENCONTRADO",IF(COUNTIF($C$7:$C$1000,$C838)&gt;1,"⚠️ No encontrado | Duplicado","⚠️ No encontrado"),IF(COUNTIF($C$7:$C$1000,$C838)&gt;1,"⚠️ Duplicado","Verificado")))</f>
        <v/>
      </c>
    </row>
    <row r="839" ht="15.75" customHeight="1" s="176">
      <c r="B839" s="80" t="n"/>
      <c r="C839" s="74" t="n"/>
      <c r="D839" s="74">
        <f t="array" ref="D839">IF($C839="","",IFNA(_xlfn.XLOOKUP($C839,Productos!$A:$A,Productos!$E:$E,IFNA(_xlfn.XLOOKUP(TEXT($C839,"0"),Productos!$A:$A,Productos!$E:$E,IFNA(_xlfn.XLOOKUP(IFERROR(VALUE($C839),""),Productos!$A:$A,Productos!$E:$E,_xlfn.XLOOKUP($C839,Productos!$E:$E,Productos!$E:$E,"NO ENCONTRADO")),"NO ENCONTRADO")),"NO ENCONTRADO")),"NO ENCONTRADO"))</f>
        <v/>
      </c>
      <c r="E839" s="74">
        <f t="array" ref="E839">IF(OR($D839="",$D839="NO ENCONTRADO"),"",_xlfn.XLOOKUP($D839,Productos!$E:$E,Productos!$H:$H,""))</f>
        <v/>
      </c>
      <c r="F839" s="74">
        <f t="array" ref="F839">IF(OR($D839="",$D839="NO ENCONTRADO"),"",_xlfn.XLOOKUP($D839,Productos!$E:$E,Productos!$I:$I,""))</f>
        <v/>
      </c>
      <c r="G839" s="74">
        <f t="array" ref="G839">IF(OR($D839="",$D839="NO ENCONTRADO"),"",_xlfn.XLOOKUP($D839,Productos!$E:$E,Productos!$J:$J,""))</f>
        <v/>
      </c>
      <c r="H839" s="74">
        <f t="array" ref="H839">IF(OR($D839="",$D839="NO ENCONTRADO"),"",_xlfn.XLOOKUP($D839,Productos!$E:$E,Productos!$K:$K,""))</f>
        <v/>
      </c>
      <c r="I839" s="74">
        <f t="array" ref="I839">IF(OR($D839="",$D839="NO ENCONTRADO"),"",_xlfn.XLOOKUP($D839,Productos!$E:$E,Productos!$F:$F,""))</f>
        <v/>
      </c>
      <c r="J839" s="74">
        <f>IF($C839="","",IF($D839="NO ENCONTRADO",IF(COUNTIF($C$7:$C$1000,$C839)&gt;1,"⚠️ No encontrado | Duplicado","⚠️ No encontrado"),IF(COUNTIF($C$7:$C$1000,$C839)&gt;1,"⚠️ Duplicado","Verificado")))</f>
        <v/>
      </c>
    </row>
    <row r="840" ht="15.75" customHeight="1" s="176">
      <c r="B840" s="80" t="n"/>
      <c r="C840" s="74" t="n"/>
      <c r="D840" s="74">
        <f t="array" ref="D840">IF($C840="","",IFNA(_xlfn.XLOOKUP($C840,Productos!$A:$A,Productos!$E:$E,IFNA(_xlfn.XLOOKUP(TEXT($C840,"0"),Productos!$A:$A,Productos!$E:$E,IFNA(_xlfn.XLOOKUP(IFERROR(VALUE($C840),""),Productos!$A:$A,Productos!$E:$E,_xlfn.XLOOKUP($C840,Productos!$E:$E,Productos!$E:$E,"NO ENCONTRADO")),"NO ENCONTRADO")),"NO ENCONTRADO")),"NO ENCONTRADO"))</f>
        <v/>
      </c>
      <c r="E840" s="74">
        <f t="array" ref="E840">IF(OR($D840="",$D840="NO ENCONTRADO"),"",_xlfn.XLOOKUP($D840,Productos!$E:$E,Productos!$H:$H,""))</f>
        <v/>
      </c>
      <c r="F840" s="74">
        <f t="array" ref="F840">IF(OR($D840="",$D840="NO ENCONTRADO"),"",_xlfn.XLOOKUP($D840,Productos!$E:$E,Productos!$I:$I,""))</f>
        <v/>
      </c>
      <c r="G840" s="74">
        <f t="array" ref="G840">IF(OR($D840="",$D840="NO ENCONTRADO"),"",_xlfn.XLOOKUP($D840,Productos!$E:$E,Productos!$J:$J,""))</f>
        <v/>
      </c>
      <c r="H840" s="74">
        <f t="array" ref="H840">IF(OR($D840="",$D840="NO ENCONTRADO"),"",_xlfn.XLOOKUP($D840,Productos!$E:$E,Productos!$K:$K,""))</f>
        <v/>
      </c>
      <c r="I840" s="74">
        <f t="array" ref="I840">IF(OR($D840="",$D840="NO ENCONTRADO"),"",_xlfn.XLOOKUP($D840,Productos!$E:$E,Productos!$F:$F,""))</f>
        <v/>
      </c>
      <c r="J840" s="74">
        <f>IF($C840="","",IF($D840="NO ENCONTRADO",IF(COUNTIF($C$7:$C$1000,$C840)&gt;1,"⚠️ No encontrado | Duplicado","⚠️ No encontrado"),IF(COUNTIF($C$7:$C$1000,$C840)&gt;1,"⚠️ Duplicado","Verificado")))</f>
        <v/>
      </c>
    </row>
    <row r="841" ht="15.75" customHeight="1" s="176">
      <c r="B841" s="80" t="n"/>
      <c r="C841" s="74" t="n"/>
      <c r="D841" s="74">
        <f t="array" ref="D841">IF($C841="","",IFNA(_xlfn.XLOOKUP($C841,Productos!$A:$A,Productos!$E:$E,IFNA(_xlfn.XLOOKUP(TEXT($C841,"0"),Productos!$A:$A,Productos!$E:$E,IFNA(_xlfn.XLOOKUP(IFERROR(VALUE($C841),""),Productos!$A:$A,Productos!$E:$E,_xlfn.XLOOKUP($C841,Productos!$E:$E,Productos!$E:$E,"NO ENCONTRADO")),"NO ENCONTRADO")),"NO ENCONTRADO")),"NO ENCONTRADO"))</f>
        <v/>
      </c>
      <c r="E841" s="74">
        <f t="array" ref="E841">IF(OR($D841="",$D841="NO ENCONTRADO"),"",_xlfn.XLOOKUP($D841,Productos!$E:$E,Productos!$H:$H,""))</f>
        <v/>
      </c>
      <c r="F841" s="74">
        <f t="array" ref="F841">IF(OR($D841="",$D841="NO ENCONTRADO"),"",_xlfn.XLOOKUP($D841,Productos!$E:$E,Productos!$I:$I,""))</f>
        <v/>
      </c>
      <c r="G841" s="74">
        <f t="array" ref="G841">IF(OR($D841="",$D841="NO ENCONTRADO"),"",_xlfn.XLOOKUP($D841,Productos!$E:$E,Productos!$J:$J,""))</f>
        <v/>
      </c>
      <c r="H841" s="74">
        <f t="array" ref="H841">IF(OR($D841="",$D841="NO ENCONTRADO"),"",_xlfn.XLOOKUP($D841,Productos!$E:$E,Productos!$K:$K,""))</f>
        <v/>
      </c>
      <c r="I841" s="74">
        <f t="array" ref="I841">IF(OR($D841="",$D841="NO ENCONTRADO"),"",_xlfn.XLOOKUP($D841,Productos!$E:$E,Productos!$F:$F,""))</f>
        <v/>
      </c>
      <c r="J841" s="74">
        <f>IF($C841="","",IF($D841="NO ENCONTRADO",IF(COUNTIF($C$7:$C$1000,$C841)&gt;1,"⚠️ No encontrado | Duplicado","⚠️ No encontrado"),IF(COUNTIF($C$7:$C$1000,$C841)&gt;1,"⚠️ Duplicado","Verificado")))</f>
        <v/>
      </c>
    </row>
    <row r="842" ht="15.75" customHeight="1" s="176">
      <c r="B842" s="80" t="n"/>
      <c r="C842" s="74" t="n"/>
      <c r="D842" s="74">
        <f t="array" ref="D842">IF($C842="","",IFNA(_xlfn.XLOOKUP($C842,Productos!$A:$A,Productos!$E:$E,IFNA(_xlfn.XLOOKUP(TEXT($C842,"0"),Productos!$A:$A,Productos!$E:$E,IFNA(_xlfn.XLOOKUP(IFERROR(VALUE($C842),""),Productos!$A:$A,Productos!$E:$E,_xlfn.XLOOKUP($C842,Productos!$E:$E,Productos!$E:$E,"NO ENCONTRADO")),"NO ENCONTRADO")),"NO ENCONTRADO")),"NO ENCONTRADO"))</f>
        <v/>
      </c>
      <c r="E842" s="74">
        <f t="array" ref="E842">IF(OR($D842="",$D842="NO ENCONTRADO"),"",_xlfn.XLOOKUP($D842,Productos!$E:$E,Productos!$H:$H,""))</f>
        <v/>
      </c>
      <c r="F842" s="74">
        <f t="array" ref="F842">IF(OR($D842="",$D842="NO ENCONTRADO"),"",_xlfn.XLOOKUP($D842,Productos!$E:$E,Productos!$I:$I,""))</f>
        <v/>
      </c>
      <c r="G842" s="74">
        <f t="array" ref="G842">IF(OR($D842="",$D842="NO ENCONTRADO"),"",_xlfn.XLOOKUP($D842,Productos!$E:$E,Productos!$J:$J,""))</f>
        <v/>
      </c>
      <c r="H842" s="74">
        <f t="array" ref="H842">IF(OR($D842="",$D842="NO ENCONTRADO"),"",_xlfn.XLOOKUP($D842,Productos!$E:$E,Productos!$K:$K,""))</f>
        <v/>
      </c>
      <c r="I842" s="74">
        <f t="array" ref="I842">IF(OR($D842="",$D842="NO ENCONTRADO"),"",_xlfn.XLOOKUP($D842,Productos!$E:$E,Productos!$F:$F,""))</f>
        <v/>
      </c>
      <c r="J842" s="74">
        <f>IF($C842="","",IF($D842="NO ENCONTRADO",IF(COUNTIF($C$7:$C$1000,$C842)&gt;1,"⚠️ No encontrado | Duplicado","⚠️ No encontrado"),IF(COUNTIF($C$7:$C$1000,$C842)&gt;1,"⚠️ Duplicado","Verificado")))</f>
        <v/>
      </c>
    </row>
    <row r="843" ht="15.75" customHeight="1" s="176">
      <c r="B843" s="80" t="n"/>
      <c r="C843" s="74" t="n"/>
      <c r="D843" s="74">
        <f t="array" ref="D843">IF($C843="","",IFNA(_xlfn.XLOOKUP($C843,Productos!$A:$A,Productos!$E:$E,IFNA(_xlfn.XLOOKUP(TEXT($C843,"0"),Productos!$A:$A,Productos!$E:$E,IFNA(_xlfn.XLOOKUP(IFERROR(VALUE($C843),""),Productos!$A:$A,Productos!$E:$E,_xlfn.XLOOKUP($C843,Productos!$E:$E,Productos!$E:$E,"NO ENCONTRADO")),"NO ENCONTRADO")),"NO ENCONTRADO")),"NO ENCONTRADO"))</f>
        <v/>
      </c>
      <c r="E843" s="74">
        <f t="array" ref="E843">IF(OR($D843="",$D843="NO ENCONTRADO"),"",_xlfn.XLOOKUP($D843,Productos!$E:$E,Productos!$H:$H,""))</f>
        <v/>
      </c>
      <c r="F843" s="74">
        <f t="array" ref="F843">IF(OR($D843="",$D843="NO ENCONTRADO"),"",_xlfn.XLOOKUP($D843,Productos!$E:$E,Productos!$I:$I,""))</f>
        <v/>
      </c>
      <c r="G843" s="74">
        <f t="array" ref="G843">IF(OR($D843="",$D843="NO ENCONTRADO"),"",_xlfn.XLOOKUP($D843,Productos!$E:$E,Productos!$J:$J,""))</f>
        <v/>
      </c>
      <c r="H843" s="74">
        <f t="array" ref="H843">IF(OR($D843="",$D843="NO ENCONTRADO"),"",_xlfn.XLOOKUP($D843,Productos!$E:$E,Productos!$K:$K,""))</f>
        <v/>
      </c>
      <c r="I843" s="74">
        <f t="array" ref="I843">IF(OR($D843="",$D843="NO ENCONTRADO"),"",_xlfn.XLOOKUP($D843,Productos!$E:$E,Productos!$F:$F,""))</f>
        <v/>
      </c>
      <c r="J843" s="74">
        <f>IF($C843="","",IF($D843="NO ENCONTRADO",IF(COUNTIF($C$7:$C$1000,$C843)&gt;1,"⚠️ No encontrado | Duplicado","⚠️ No encontrado"),IF(COUNTIF($C$7:$C$1000,$C843)&gt;1,"⚠️ Duplicado","Verificado")))</f>
        <v/>
      </c>
    </row>
    <row r="844" ht="15.75" customHeight="1" s="176">
      <c r="B844" s="80" t="n"/>
      <c r="C844" s="74" t="n"/>
      <c r="D844" s="74">
        <f t="array" ref="D844">IF($C844="","",IFNA(_xlfn.XLOOKUP($C844,Productos!$A:$A,Productos!$E:$E,IFNA(_xlfn.XLOOKUP(TEXT($C844,"0"),Productos!$A:$A,Productos!$E:$E,IFNA(_xlfn.XLOOKUP(IFERROR(VALUE($C844),""),Productos!$A:$A,Productos!$E:$E,_xlfn.XLOOKUP($C844,Productos!$E:$E,Productos!$E:$E,"NO ENCONTRADO")),"NO ENCONTRADO")),"NO ENCONTRADO")),"NO ENCONTRADO"))</f>
        <v/>
      </c>
      <c r="E844" s="74">
        <f t="array" ref="E844">IF(OR($D844="",$D844="NO ENCONTRADO"),"",_xlfn.XLOOKUP($D844,Productos!$E:$E,Productos!$H:$H,""))</f>
        <v/>
      </c>
      <c r="F844" s="74">
        <f t="array" ref="F844">IF(OR($D844="",$D844="NO ENCONTRADO"),"",_xlfn.XLOOKUP($D844,Productos!$E:$E,Productos!$I:$I,""))</f>
        <v/>
      </c>
      <c r="G844" s="74">
        <f t="array" ref="G844">IF(OR($D844="",$D844="NO ENCONTRADO"),"",_xlfn.XLOOKUP($D844,Productos!$E:$E,Productos!$J:$J,""))</f>
        <v/>
      </c>
      <c r="H844" s="74">
        <f t="array" ref="H844">IF(OR($D844="",$D844="NO ENCONTRADO"),"",_xlfn.XLOOKUP($D844,Productos!$E:$E,Productos!$K:$K,""))</f>
        <v/>
      </c>
      <c r="I844" s="74">
        <f t="array" ref="I844">IF(OR($D844="",$D844="NO ENCONTRADO"),"",_xlfn.XLOOKUP($D844,Productos!$E:$E,Productos!$F:$F,""))</f>
        <v/>
      </c>
      <c r="J844" s="74">
        <f>IF($C844="","",IF($D844="NO ENCONTRADO",IF(COUNTIF($C$7:$C$1000,$C844)&gt;1,"⚠️ No encontrado | Duplicado","⚠️ No encontrado"),IF(COUNTIF($C$7:$C$1000,$C844)&gt;1,"⚠️ Duplicado","Verificado")))</f>
        <v/>
      </c>
    </row>
    <row r="845" ht="15.75" customHeight="1" s="176">
      <c r="B845" s="80" t="n"/>
      <c r="C845" s="74" t="n"/>
      <c r="D845" s="74">
        <f t="array" ref="D845">IF($C845="","",IFNA(_xlfn.XLOOKUP($C845,Productos!$A:$A,Productos!$E:$E,IFNA(_xlfn.XLOOKUP(TEXT($C845,"0"),Productos!$A:$A,Productos!$E:$E,IFNA(_xlfn.XLOOKUP(IFERROR(VALUE($C845),""),Productos!$A:$A,Productos!$E:$E,_xlfn.XLOOKUP($C845,Productos!$E:$E,Productos!$E:$E,"NO ENCONTRADO")),"NO ENCONTRADO")),"NO ENCONTRADO")),"NO ENCONTRADO"))</f>
        <v/>
      </c>
      <c r="E845" s="74">
        <f t="array" ref="E845">IF(OR($D845="",$D845="NO ENCONTRADO"),"",_xlfn.XLOOKUP($D845,Productos!$E:$E,Productos!$H:$H,""))</f>
        <v/>
      </c>
      <c r="F845" s="74">
        <f t="array" ref="F845">IF(OR($D845="",$D845="NO ENCONTRADO"),"",_xlfn.XLOOKUP($D845,Productos!$E:$E,Productos!$I:$I,""))</f>
        <v/>
      </c>
      <c r="G845" s="74">
        <f t="array" ref="G845">IF(OR($D845="",$D845="NO ENCONTRADO"),"",_xlfn.XLOOKUP($D845,Productos!$E:$E,Productos!$J:$J,""))</f>
        <v/>
      </c>
      <c r="H845" s="74">
        <f t="array" ref="H845">IF(OR($D845="",$D845="NO ENCONTRADO"),"",_xlfn.XLOOKUP($D845,Productos!$E:$E,Productos!$K:$K,""))</f>
        <v/>
      </c>
      <c r="I845" s="74">
        <f t="array" ref="I845">IF(OR($D845="",$D845="NO ENCONTRADO"),"",_xlfn.XLOOKUP($D845,Productos!$E:$E,Productos!$F:$F,""))</f>
        <v/>
      </c>
      <c r="J845" s="74">
        <f>IF($C845="","",IF($D845="NO ENCONTRADO",IF(COUNTIF($C$7:$C$1000,$C845)&gt;1,"⚠️ No encontrado | Duplicado","⚠️ No encontrado"),IF(COUNTIF($C$7:$C$1000,$C845)&gt;1,"⚠️ Duplicado","Verificado")))</f>
        <v/>
      </c>
    </row>
    <row r="846" ht="15.75" customHeight="1" s="176">
      <c r="B846" s="80" t="n"/>
      <c r="C846" s="74" t="n"/>
      <c r="D846" s="74">
        <f t="array" ref="D846">IF($C846="","",IFNA(_xlfn.XLOOKUP($C846,Productos!$A:$A,Productos!$E:$E,IFNA(_xlfn.XLOOKUP(TEXT($C846,"0"),Productos!$A:$A,Productos!$E:$E,IFNA(_xlfn.XLOOKUP(IFERROR(VALUE($C846),""),Productos!$A:$A,Productos!$E:$E,_xlfn.XLOOKUP($C846,Productos!$E:$E,Productos!$E:$E,"NO ENCONTRADO")),"NO ENCONTRADO")),"NO ENCONTRADO")),"NO ENCONTRADO"))</f>
        <v/>
      </c>
      <c r="E846" s="74">
        <f t="array" ref="E846">IF(OR($D846="",$D846="NO ENCONTRADO"),"",_xlfn.XLOOKUP($D846,Productos!$E:$E,Productos!$H:$H,""))</f>
        <v/>
      </c>
      <c r="F846" s="74">
        <f t="array" ref="F846">IF(OR($D846="",$D846="NO ENCONTRADO"),"",_xlfn.XLOOKUP($D846,Productos!$E:$E,Productos!$I:$I,""))</f>
        <v/>
      </c>
      <c r="G846" s="74">
        <f t="array" ref="G846">IF(OR($D846="",$D846="NO ENCONTRADO"),"",_xlfn.XLOOKUP($D846,Productos!$E:$E,Productos!$J:$J,""))</f>
        <v/>
      </c>
      <c r="H846" s="74">
        <f t="array" ref="H846">IF(OR($D846="",$D846="NO ENCONTRADO"),"",_xlfn.XLOOKUP($D846,Productos!$E:$E,Productos!$K:$K,""))</f>
        <v/>
      </c>
      <c r="I846" s="74">
        <f t="array" ref="I846">IF(OR($D846="",$D846="NO ENCONTRADO"),"",_xlfn.XLOOKUP($D846,Productos!$E:$E,Productos!$F:$F,""))</f>
        <v/>
      </c>
      <c r="J846" s="74">
        <f>IF($C846="","",IF($D846="NO ENCONTRADO",IF(COUNTIF($C$7:$C$1000,$C846)&gt;1,"⚠️ No encontrado | Duplicado","⚠️ No encontrado"),IF(COUNTIF($C$7:$C$1000,$C846)&gt;1,"⚠️ Duplicado","Verificado")))</f>
        <v/>
      </c>
    </row>
    <row r="847" ht="15.75" customHeight="1" s="176">
      <c r="B847" s="80" t="n"/>
      <c r="C847" s="74" t="n"/>
      <c r="D847" s="74">
        <f t="array" ref="D847">IF($C847="","",IFNA(_xlfn.XLOOKUP($C847,Productos!$A:$A,Productos!$E:$E,IFNA(_xlfn.XLOOKUP(TEXT($C847,"0"),Productos!$A:$A,Productos!$E:$E,IFNA(_xlfn.XLOOKUP(IFERROR(VALUE($C847),""),Productos!$A:$A,Productos!$E:$E,_xlfn.XLOOKUP($C847,Productos!$E:$E,Productos!$E:$E,"NO ENCONTRADO")),"NO ENCONTRADO")),"NO ENCONTRADO")),"NO ENCONTRADO"))</f>
        <v/>
      </c>
      <c r="E847" s="74">
        <f t="array" ref="E847">IF(OR($D847="",$D847="NO ENCONTRADO"),"",_xlfn.XLOOKUP($D847,Productos!$E:$E,Productos!$H:$H,""))</f>
        <v/>
      </c>
      <c r="F847" s="74">
        <f t="array" ref="F847">IF(OR($D847="",$D847="NO ENCONTRADO"),"",_xlfn.XLOOKUP($D847,Productos!$E:$E,Productos!$I:$I,""))</f>
        <v/>
      </c>
      <c r="G847" s="74">
        <f t="array" ref="G847">IF(OR($D847="",$D847="NO ENCONTRADO"),"",_xlfn.XLOOKUP($D847,Productos!$E:$E,Productos!$J:$J,""))</f>
        <v/>
      </c>
      <c r="H847" s="74">
        <f t="array" ref="H847">IF(OR($D847="",$D847="NO ENCONTRADO"),"",_xlfn.XLOOKUP($D847,Productos!$E:$E,Productos!$K:$K,""))</f>
        <v/>
      </c>
      <c r="I847" s="74">
        <f t="array" ref="I847">IF(OR($D847="",$D847="NO ENCONTRADO"),"",_xlfn.XLOOKUP($D847,Productos!$E:$E,Productos!$F:$F,""))</f>
        <v/>
      </c>
      <c r="J847" s="74">
        <f>IF($C847="","",IF($D847="NO ENCONTRADO",IF(COUNTIF($C$7:$C$1000,$C847)&gt;1,"⚠️ No encontrado | Duplicado","⚠️ No encontrado"),IF(COUNTIF($C$7:$C$1000,$C847)&gt;1,"⚠️ Duplicado","Verificado")))</f>
        <v/>
      </c>
    </row>
    <row r="848" ht="15.75" customHeight="1" s="176">
      <c r="B848" s="80" t="n"/>
      <c r="C848" s="74" t="n"/>
      <c r="D848" s="74">
        <f t="array" ref="D848">IF($C848="","",IFNA(_xlfn.XLOOKUP($C848,Productos!$A:$A,Productos!$E:$E,IFNA(_xlfn.XLOOKUP(TEXT($C848,"0"),Productos!$A:$A,Productos!$E:$E,IFNA(_xlfn.XLOOKUP(IFERROR(VALUE($C848),""),Productos!$A:$A,Productos!$E:$E,_xlfn.XLOOKUP($C848,Productos!$E:$E,Productos!$E:$E,"NO ENCONTRADO")),"NO ENCONTRADO")),"NO ENCONTRADO")),"NO ENCONTRADO"))</f>
        <v/>
      </c>
      <c r="E848" s="74">
        <f t="array" ref="E848">IF(OR($D848="",$D848="NO ENCONTRADO"),"",_xlfn.XLOOKUP($D848,Productos!$E:$E,Productos!$H:$H,""))</f>
        <v/>
      </c>
      <c r="F848" s="74">
        <f t="array" ref="F848">IF(OR($D848="",$D848="NO ENCONTRADO"),"",_xlfn.XLOOKUP($D848,Productos!$E:$E,Productos!$I:$I,""))</f>
        <v/>
      </c>
      <c r="G848" s="74">
        <f t="array" ref="G848">IF(OR($D848="",$D848="NO ENCONTRADO"),"",_xlfn.XLOOKUP($D848,Productos!$E:$E,Productos!$J:$J,""))</f>
        <v/>
      </c>
      <c r="H848" s="74">
        <f t="array" ref="H848">IF(OR($D848="",$D848="NO ENCONTRADO"),"",_xlfn.XLOOKUP($D848,Productos!$E:$E,Productos!$K:$K,""))</f>
        <v/>
      </c>
      <c r="I848" s="74">
        <f t="array" ref="I848">IF(OR($D848="",$D848="NO ENCONTRADO"),"",_xlfn.XLOOKUP($D848,Productos!$E:$E,Productos!$F:$F,""))</f>
        <v/>
      </c>
      <c r="J848" s="74">
        <f>IF($C848="","",IF($D848="NO ENCONTRADO",IF(COUNTIF($C$7:$C$1000,$C848)&gt;1,"⚠️ No encontrado | Duplicado","⚠️ No encontrado"),IF(COUNTIF($C$7:$C$1000,$C848)&gt;1,"⚠️ Duplicado","Verificado")))</f>
        <v/>
      </c>
    </row>
    <row r="849" ht="15.75" customHeight="1" s="176">
      <c r="B849" s="80" t="n"/>
      <c r="C849" s="74" t="n"/>
      <c r="D849" s="74">
        <f t="array" ref="D849">IF($C849="","",IFNA(_xlfn.XLOOKUP($C849,Productos!$A:$A,Productos!$E:$E,IFNA(_xlfn.XLOOKUP(TEXT($C849,"0"),Productos!$A:$A,Productos!$E:$E,IFNA(_xlfn.XLOOKUP(IFERROR(VALUE($C849),""),Productos!$A:$A,Productos!$E:$E,_xlfn.XLOOKUP($C849,Productos!$E:$E,Productos!$E:$E,"NO ENCONTRADO")),"NO ENCONTRADO")),"NO ENCONTRADO")),"NO ENCONTRADO"))</f>
        <v/>
      </c>
      <c r="E849" s="74">
        <f t="array" ref="E849">IF(OR($D849="",$D849="NO ENCONTRADO"),"",_xlfn.XLOOKUP($D849,Productos!$E:$E,Productos!$H:$H,""))</f>
        <v/>
      </c>
      <c r="F849" s="74">
        <f t="array" ref="F849">IF(OR($D849="",$D849="NO ENCONTRADO"),"",_xlfn.XLOOKUP($D849,Productos!$E:$E,Productos!$I:$I,""))</f>
        <v/>
      </c>
      <c r="G849" s="74">
        <f t="array" ref="G849">IF(OR($D849="",$D849="NO ENCONTRADO"),"",_xlfn.XLOOKUP($D849,Productos!$E:$E,Productos!$J:$J,""))</f>
        <v/>
      </c>
      <c r="H849" s="74">
        <f t="array" ref="H849">IF(OR($D849="",$D849="NO ENCONTRADO"),"",_xlfn.XLOOKUP($D849,Productos!$E:$E,Productos!$K:$K,""))</f>
        <v/>
      </c>
      <c r="I849" s="74">
        <f t="array" ref="I849">IF(OR($D849="",$D849="NO ENCONTRADO"),"",_xlfn.XLOOKUP($D849,Productos!$E:$E,Productos!$F:$F,""))</f>
        <v/>
      </c>
      <c r="J849" s="74">
        <f>IF($C849="","",IF($D849="NO ENCONTRADO",IF(COUNTIF($C$7:$C$1000,$C849)&gt;1,"⚠️ No encontrado | Duplicado","⚠️ No encontrado"),IF(COUNTIF($C$7:$C$1000,$C849)&gt;1,"⚠️ Duplicado","Verificado")))</f>
        <v/>
      </c>
    </row>
    <row r="850" ht="15.75" customHeight="1" s="176">
      <c r="B850" s="80" t="n"/>
      <c r="C850" s="74" t="n"/>
      <c r="D850" s="74">
        <f t="array" ref="D850">IF($C850="","",IFNA(_xlfn.XLOOKUP($C850,Productos!$A:$A,Productos!$E:$E,IFNA(_xlfn.XLOOKUP(TEXT($C850,"0"),Productos!$A:$A,Productos!$E:$E,IFNA(_xlfn.XLOOKUP(IFERROR(VALUE($C850),""),Productos!$A:$A,Productos!$E:$E,_xlfn.XLOOKUP($C850,Productos!$E:$E,Productos!$E:$E,"NO ENCONTRADO")),"NO ENCONTRADO")),"NO ENCONTRADO")),"NO ENCONTRADO"))</f>
        <v/>
      </c>
      <c r="E850" s="74">
        <f t="array" ref="E850">IF(OR($D850="",$D850="NO ENCONTRADO"),"",_xlfn.XLOOKUP($D850,Productos!$E:$E,Productos!$H:$H,""))</f>
        <v/>
      </c>
      <c r="F850" s="74">
        <f t="array" ref="F850">IF(OR($D850="",$D850="NO ENCONTRADO"),"",_xlfn.XLOOKUP($D850,Productos!$E:$E,Productos!$I:$I,""))</f>
        <v/>
      </c>
      <c r="G850" s="74">
        <f t="array" ref="G850">IF(OR($D850="",$D850="NO ENCONTRADO"),"",_xlfn.XLOOKUP($D850,Productos!$E:$E,Productos!$J:$J,""))</f>
        <v/>
      </c>
      <c r="H850" s="74">
        <f t="array" ref="H850">IF(OR($D850="",$D850="NO ENCONTRADO"),"",_xlfn.XLOOKUP($D850,Productos!$E:$E,Productos!$K:$K,""))</f>
        <v/>
      </c>
      <c r="I850" s="74">
        <f t="array" ref="I850">IF(OR($D850="",$D850="NO ENCONTRADO"),"",_xlfn.XLOOKUP($D850,Productos!$E:$E,Productos!$F:$F,""))</f>
        <v/>
      </c>
      <c r="J850" s="74">
        <f>IF($C850="","",IF($D850="NO ENCONTRADO",IF(COUNTIF($C$7:$C$1000,$C850)&gt;1,"⚠️ No encontrado | Duplicado","⚠️ No encontrado"),IF(COUNTIF($C$7:$C$1000,$C850)&gt;1,"⚠️ Duplicado","Verificado")))</f>
        <v/>
      </c>
    </row>
    <row r="851" ht="15.75" customHeight="1" s="176">
      <c r="B851" s="80" t="n"/>
      <c r="C851" s="74" t="n"/>
      <c r="D851" s="74">
        <f t="array" ref="D851">IF($C851="","",IFNA(_xlfn.XLOOKUP($C851,Productos!$A:$A,Productos!$E:$E,IFNA(_xlfn.XLOOKUP(TEXT($C851,"0"),Productos!$A:$A,Productos!$E:$E,IFNA(_xlfn.XLOOKUP(IFERROR(VALUE($C851),""),Productos!$A:$A,Productos!$E:$E,_xlfn.XLOOKUP($C851,Productos!$E:$E,Productos!$E:$E,"NO ENCONTRADO")),"NO ENCONTRADO")),"NO ENCONTRADO")),"NO ENCONTRADO"))</f>
        <v/>
      </c>
      <c r="E851" s="74">
        <f t="array" ref="E851">IF(OR($D851="",$D851="NO ENCONTRADO"),"",_xlfn.XLOOKUP($D851,Productos!$E:$E,Productos!$H:$H,""))</f>
        <v/>
      </c>
      <c r="F851" s="74">
        <f t="array" ref="F851">IF(OR($D851="",$D851="NO ENCONTRADO"),"",_xlfn.XLOOKUP($D851,Productos!$E:$E,Productos!$I:$I,""))</f>
        <v/>
      </c>
      <c r="G851" s="74">
        <f t="array" ref="G851">IF(OR($D851="",$D851="NO ENCONTRADO"),"",_xlfn.XLOOKUP($D851,Productos!$E:$E,Productos!$J:$J,""))</f>
        <v/>
      </c>
      <c r="H851" s="74">
        <f t="array" ref="H851">IF(OR($D851="",$D851="NO ENCONTRADO"),"",_xlfn.XLOOKUP($D851,Productos!$E:$E,Productos!$K:$K,""))</f>
        <v/>
      </c>
      <c r="I851" s="74">
        <f t="array" ref="I851">IF(OR($D851="",$D851="NO ENCONTRADO"),"",_xlfn.XLOOKUP($D851,Productos!$E:$E,Productos!$F:$F,""))</f>
        <v/>
      </c>
      <c r="J851" s="74">
        <f>IF($C851="","",IF($D851="NO ENCONTRADO",IF(COUNTIF($C$7:$C$1000,$C851)&gt;1,"⚠️ No encontrado | Duplicado","⚠️ No encontrado"),IF(COUNTIF($C$7:$C$1000,$C851)&gt;1,"⚠️ Duplicado","Verificado")))</f>
        <v/>
      </c>
    </row>
    <row r="852" ht="15.75" customHeight="1" s="176">
      <c r="B852" s="80" t="n"/>
      <c r="C852" s="74" t="n"/>
      <c r="D852" s="74">
        <f t="array" ref="D852">IF($C852="","",IFNA(_xlfn.XLOOKUP($C852,Productos!$A:$A,Productos!$E:$E,IFNA(_xlfn.XLOOKUP(TEXT($C852,"0"),Productos!$A:$A,Productos!$E:$E,IFNA(_xlfn.XLOOKUP(IFERROR(VALUE($C852),""),Productos!$A:$A,Productos!$E:$E,_xlfn.XLOOKUP($C852,Productos!$E:$E,Productos!$E:$E,"NO ENCONTRADO")),"NO ENCONTRADO")),"NO ENCONTRADO")),"NO ENCONTRADO"))</f>
        <v/>
      </c>
      <c r="E852" s="74">
        <f t="array" ref="E852">IF(OR($D852="",$D852="NO ENCONTRADO"),"",_xlfn.XLOOKUP($D852,Productos!$E:$E,Productos!$H:$H,""))</f>
        <v/>
      </c>
      <c r="F852" s="74">
        <f t="array" ref="F852">IF(OR($D852="",$D852="NO ENCONTRADO"),"",_xlfn.XLOOKUP($D852,Productos!$E:$E,Productos!$I:$I,""))</f>
        <v/>
      </c>
      <c r="G852" s="74">
        <f t="array" ref="G852">IF(OR($D852="",$D852="NO ENCONTRADO"),"",_xlfn.XLOOKUP($D852,Productos!$E:$E,Productos!$J:$J,""))</f>
        <v/>
      </c>
      <c r="H852" s="74">
        <f t="array" ref="H852">IF(OR($D852="",$D852="NO ENCONTRADO"),"",_xlfn.XLOOKUP($D852,Productos!$E:$E,Productos!$K:$K,""))</f>
        <v/>
      </c>
      <c r="I852" s="74">
        <f t="array" ref="I852">IF(OR($D852="",$D852="NO ENCONTRADO"),"",_xlfn.XLOOKUP($D852,Productos!$E:$E,Productos!$F:$F,""))</f>
        <v/>
      </c>
      <c r="J852" s="74">
        <f>IF($C852="","",IF($D852="NO ENCONTRADO",IF(COUNTIF($C$7:$C$1000,$C852)&gt;1,"⚠️ No encontrado | Duplicado","⚠️ No encontrado"),IF(COUNTIF($C$7:$C$1000,$C852)&gt;1,"⚠️ Duplicado","Verificado")))</f>
        <v/>
      </c>
    </row>
    <row r="853" ht="15.75" customHeight="1" s="176">
      <c r="B853" s="80" t="n"/>
      <c r="C853" s="74" t="n"/>
      <c r="D853" s="74">
        <f t="array" ref="D853">IF($C853="","",IFNA(_xlfn.XLOOKUP($C853,Productos!$A:$A,Productos!$E:$E,IFNA(_xlfn.XLOOKUP(TEXT($C853,"0"),Productos!$A:$A,Productos!$E:$E,IFNA(_xlfn.XLOOKUP(IFERROR(VALUE($C853),""),Productos!$A:$A,Productos!$E:$E,_xlfn.XLOOKUP($C853,Productos!$E:$E,Productos!$E:$E,"NO ENCONTRADO")),"NO ENCONTRADO")),"NO ENCONTRADO")),"NO ENCONTRADO"))</f>
        <v/>
      </c>
      <c r="E853" s="74">
        <f t="array" ref="E853">IF(OR($D853="",$D853="NO ENCONTRADO"),"",_xlfn.XLOOKUP($D853,Productos!$E:$E,Productos!$H:$H,""))</f>
        <v/>
      </c>
      <c r="F853" s="74">
        <f t="array" ref="F853">IF(OR($D853="",$D853="NO ENCONTRADO"),"",_xlfn.XLOOKUP($D853,Productos!$E:$E,Productos!$I:$I,""))</f>
        <v/>
      </c>
      <c r="G853" s="74">
        <f t="array" ref="G853">IF(OR($D853="",$D853="NO ENCONTRADO"),"",_xlfn.XLOOKUP($D853,Productos!$E:$E,Productos!$J:$J,""))</f>
        <v/>
      </c>
      <c r="H853" s="74">
        <f t="array" ref="H853">IF(OR($D853="",$D853="NO ENCONTRADO"),"",_xlfn.XLOOKUP($D853,Productos!$E:$E,Productos!$K:$K,""))</f>
        <v/>
      </c>
      <c r="I853" s="74">
        <f t="array" ref="I853">IF(OR($D853="",$D853="NO ENCONTRADO"),"",_xlfn.XLOOKUP($D853,Productos!$E:$E,Productos!$F:$F,""))</f>
        <v/>
      </c>
      <c r="J853" s="74">
        <f>IF($C853="","",IF($D853="NO ENCONTRADO",IF(COUNTIF($C$7:$C$1000,$C853)&gt;1,"⚠️ No encontrado | Duplicado","⚠️ No encontrado"),IF(COUNTIF($C$7:$C$1000,$C853)&gt;1,"⚠️ Duplicado","Verificado")))</f>
        <v/>
      </c>
    </row>
    <row r="854" ht="15.75" customHeight="1" s="176">
      <c r="B854" s="80" t="n"/>
      <c r="C854" s="74" t="n"/>
      <c r="D854" s="74">
        <f t="array" ref="D854">IF($C854="","",IFNA(_xlfn.XLOOKUP($C854,Productos!$A:$A,Productos!$E:$E,IFNA(_xlfn.XLOOKUP(TEXT($C854,"0"),Productos!$A:$A,Productos!$E:$E,IFNA(_xlfn.XLOOKUP(IFERROR(VALUE($C854),""),Productos!$A:$A,Productos!$E:$E,_xlfn.XLOOKUP($C854,Productos!$E:$E,Productos!$E:$E,"NO ENCONTRADO")),"NO ENCONTRADO")),"NO ENCONTRADO")),"NO ENCONTRADO"))</f>
        <v/>
      </c>
      <c r="E854" s="74">
        <f t="array" ref="E854">IF(OR($D854="",$D854="NO ENCONTRADO"),"",_xlfn.XLOOKUP($D854,Productos!$E:$E,Productos!$H:$H,""))</f>
        <v/>
      </c>
      <c r="F854" s="74">
        <f t="array" ref="F854">IF(OR($D854="",$D854="NO ENCONTRADO"),"",_xlfn.XLOOKUP($D854,Productos!$E:$E,Productos!$I:$I,""))</f>
        <v/>
      </c>
      <c r="G854" s="74">
        <f t="array" ref="G854">IF(OR($D854="",$D854="NO ENCONTRADO"),"",_xlfn.XLOOKUP($D854,Productos!$E:$E,Productos!$J:$J,""))</f>
        <v/>
      </c>
      <c r="H854" s="74">
        <f t="array" ref="H854">IF(OR($D854="",$D854="NO ENCONTRADO"),"",_xlfn.XLOOKUP($D854,Productos!$E:$E,Productos!$K:$K,""))</f>
        <v/>
      </c>
      <c r="I854" s="74">
        <f t="array" ref="I854">IF(OR($D854="",$D854="NO ENCONTRADO"),"",_xlfn.XLOOKUP($D854,Productos!$E:$E,Productos!$F:$F,""))</f>
        <v/>
      </c>
      <c r="J854" s="74">
        <f>IF($C854="","",IF($D854="NO ENCONTRADO",IF(COUNTIF($C$7:$C$1000,$C854)&gt;1,"⚠️ No encontrado | Duplicado","⚠️ No encontrado"),IF(COUNTIF($C$7:$C$1000,$C854)&gt;1,"⚠️ Duplicado","Verificado")))</f>
        <v/>
      </c>
    </row>
    <row r="855" ht="15.75" customHeight="1" s="176">
      <c r="B855" s="80" t="n"/>
      <c r="C855" s="74" t="n"/>
      <c r="D855" s="74">
        <f t="array" ref="D855">IF($C855="","",IFNA(_xlfn.XLOOKUP($C855,Productos!$A:$A,Productos!$E:$E,IFNA(_xlfn.XLOOKUP(TEXT($C855,"0"),Productos!$A:$A,Productos!$E:$E,IFNA(_xlfn.XLOOKUP(IFERROR(VALUE($C855),""),Productos!$A:$A,Productos!$E:$E,_xlfn.XLOOKUP($C855,Productos!$E:$E,Productos!$E:$E,"NO ENCONTRADO")),"NO ENCONTRADO")),"NO ENCONTRADO")),"NO ENCONTRADO"))</f>
        <v/>
      </c>
      <c r="E855" s="74">
        <f t="array" ref="E855">IF(OR($D855="",$D855="NO ENCONTRADO"),"",_xlfn.XLOOKUP($D855,Productos!$E:$E,Productos!$H:$H,""))</f>
        <v/>
      </c>
      <c r="F855" s="74">
        <f t="array" ref="F855">IF(OR($D855="",$D855="NO ENCONTRADO"),"",_xlfn.XLOOKUP($D855,Productos!$E:$E,Productos!$I:$I,""))</f>
        <v/>
      </c>
      <c r="G855" s="74">
        <f t="array" ref="G855">IF(OR($D855="",$D855="NO ENCONTRADO"),"",_xlfn.XLOOKUP($D855,Productos!$E:$E,Productos!$J:$J,""))</f>
        <v/>
      </c>
      <c r="H855" s="74">
        <f t="array" ref="H855">IF(OR($D855="",$D855="NO ENCONTRADO"),"",_xlfn.XLOOKUP($D855,Productos!$E:$E,Productos!$K:$K,""))</f>
        <v/>
      </c>
      <c r="I855" s="74">
        <f t="array" ref="I855">IF(OR($D855="",$D855="NO ENCONTRADO"),"",_xlfn.XLOOKUP($D855,Productos!$E:$E,Productos!$F:$F,""))</f>
        <v/>
      </c>
      <c r="J855" s="74">
        <f>IF($C855="","",IF($D855="NO ENCONTRADO",IF(COUNTIF($C$7:$C$1000,$C855)&gt;1,"⚠️ No encontrado | Duplicado","⚠️ No encontrado"),IF(COUNTIF($C$7:$C$1000,$C855)&gt;1,"⚠️ Duplicado","Verificado")))</f>
        <v/>
      </c>
    </row>
    <row r="856" ht="15.75" customHeight="1" s="176">
      <c r="B856" s="80" t="n"/>
      <c r="C856" s="74" t="n"/>
      <c r="D856" s="74">
        <f t="array" ref="D856">IF($C856="","",IFNA(_xlfn.XLOOKUP($C856,Productos!$A:$A,Productos!$E:$E,IFNA(_xlfn.XLOOKUP(TEXT($C856,"0"),Productos!$A:$A,Productos!$E:$E,IFNA(_xlfn.XLOOKUP(IFERROR(VALUE($C856),""),Productos!$A:$A,Productos!$E:$E,_xlfn.XLOOKUP($C856,Productos!$E:$E,Productos!$E:$E,"NO ENCONTRADO")),"NO ENCONTRADO")),"NO ENCONTRADO")),"NO ENCONTRADO"))</f>
        <v/>
      </c>
      <c r="E856" s="74">
        <f t="array" ref="E856">IF(OR($D856="",$D856="NO ENCONTRADO"),"",_xlfn.XLOOKUP($D856,Productos!$E:$E,Productos!$H:$H,""))</f>
        <v/>
      </c>
      <c r="F856" s="74">
        <f t="array" ref="F856">IF(OR($D856="",$D856="NO ENCONTRADO"),"",_xlfn.XLOOKUP($D856,Productos!$E:$E,Productos!$I:$I,""))</f>
        <v/>
      </c>
      <c r="G856" s="74">
        <f t="array" ref="G856">IF(OR($D856="",$D856="NO ENCONTRADO"),"",_xlfn.XLOOKUP($D856,Productos!$E:$E,Productos!$J:$J,""))</f>
        <v/>
      </c>
      <c r="H856" s="74">
        <f t="array" ref="H856">IF(OR($D856="",$D856="NO ENCONTRADO"),"",_xlfn.XLOOKUP($D856,Productos!$E:$E,Productos!$K:$K,""))</f>
        <v/>
      </c>
      <c r="I856" s="74">
        <f t="array" ref="I856">IF(OR($D856="",$D856="NO ENCONTRADO"),"",_xlfn.XLOOKUP($D856,Productos!$E:$E,Productos!$F:$F,""))</f>
        <v/>
      </c>
      <c r="J856" s="74">
        <f>IF($C856="","",IF($D856="NO ENCONTRADO",IF(COUNTIF($C$7:$C$1000,$C856)&gt;1,"⚠️ No encontrado | Duplicado","⚠️ No encontrado"),IF(COUNTIF($C$7:$C$1000,$C856)&gt;1,"⚠️ Duplicado","Verificado")))</f>
        <v/>
      </c>
    </row>
    <row r="857" ht="15.75" customHeight="1" s="176">
      <c r="B857" s="80" t="n"/>
      <c r="C857" s="74" t="n"/>
      <c r="D857" s="74">
        <f t="array" ref="D857">IF($C857="","",IFNA(_xlfn.XLOOKUP($C857,Productos!$A:$A,Productos!$E:$E,IFNA(_xlfn.XLOOKUP(TEXT($C857,"0"),Productos!$A:$A,Productos!$E:$E,IFNA(_xlfn.XLOOKUP(IFERROR(VALUE($C857),""),Productos!$A:$A,Productos!$E:$E,_xlfn.XLOOKUP($C857,Productos!$E:$E,Productos!$E:$E,"NO ENCONTRADO")),"NO ENCONTRADO")),"NO ENCONTRADO")),"NO ENCONTRADO"))</f>
        <v/>
      </c>
      <c r="E857" s="74">
        <f t="array" ref="E857">IF(OR($D857="",$D857="NO ENCONTRADO"),"",_xlfn.XLOOKUP($D857,Productos!$E:$E,Productos!$H:$H,""))</f>
        <v/>
      </c>
      <c r="F857" s="74">
        <f t="array" ref="F857">IF(OR($D857="",$D857="NO ENCONTRADO"),"",_xlfn.XLOOKUP($D857,Productos!$E:$E,Productos!$I:$I,""))</f>
        <v/>
      </c>
      <c r="G857" s="74">
        <f t="array" ref="G857">IF(OR($D857="",$D857="NO ENCONTRADO"),"",_xlfn.XLOOKUP($D857,Productos!$E:$E,Productos!$J:$J,""))</f>
        <v/>
      </c>
      <c r="H857" s="74">
        <f t="array" ref="H857">IF(OR($D857="",$D857="NO ENCONTRADO"),"",_xlfn.XLOOKUP($D857,Productos!$E:$E,Productos!$K:$K,""))</f>
        <v/>
      </c>
      <c r="I857" s="74">
        <f t="array" ref="I857">IF(OR($D857="",$D857="NO ENCONTRADO"),"",_xlfn.XLOOKUP($D857,Productos!$E:$E,Productos!$F:$F,""))</f>
        <v/>
      </c>
      <c r="J857" s="74">
        <f>IF($C857="","",IF($D857="NO ENCONTRADO",IF(COUNTIF($C$7:$C$1000,$C857)&gt;1,"⚠️ No encontrado | Duplicado","⚠️ No encontrado"),IF(COUNTIF($C$7:$C$1000,$C857)&gt;1,"⚠️ Duplicado","Verificado")))</f>
        <v/>
      </c>
    </row>
    <row r="858" ht="15.75" customHeight="1" s="176">
      <c r="B858" s="80" t="n"/>
      <c r="C858" s="74" t="n"/>
      <c r="D858" s="74">
        <f t="array" ref="D858">IF($C858="","",IFNA(_xlfn.XLOOKUP($C858,Productos!$A:$A,Productos!$E:$E,IFNA(_xlfn.XLOOKUP(TEXT($C858,"0"),Productos!$A:$A,Productos!$E:$E,IFNA(_xlfn.XLOOKUP(IFERROR(VALUE($C858),""),Productos!$A:$A,Productos!$E:$E,_xlfn.XLOOKUP($C858,Productos!$E:$E,Productos!$E:$E,"NO ENCONTRADO")),"NO ENCONTRADO")),"NO ENCONTRADO")),"NO ENCONTRADO"))</f>
        <v/>
      </c>
      <c r="E858" s="74">
        <f t="array" ref="E858">IF(OR($D858="",$D858="NO ENCONTRADO"),"",_xlfn.XLOOKUP($D858,Productos!$E:$E,Productos!$H:$H,""))</f>
        <v/>
      </c>
      <c r="F858" s="74">
        <f t="array" ref="F858">IF(OR($D858="",$D858="NO ENCONTRADO"),"",_xlfn.XLOOKUP($D858,Productos!$E:$E,Productos!$I:$I,""))</f>
        <v/>
      </c>
      <c r="G858" s="74">
        <f t="array" ref="G858">IF(OR($D858="",$D858="NO ENCONTRADO"),"",_xlfn.XLOOKUP($D858,Productos!$E:$E,Productos!$J:$J,""))</f>
        <v/>
      </c>
      <c r="H858" s="74">
        <f t="array" ref="H858">IF(OR($D858="",$D858="NO ENCONTRADO"),"",_xlfn.XLOOKUP($D858,Productos!$E:$E,Productos!$K:$K,""))</f>
        <v/>
      </c>
      <c r="I858" s="74">
        <f t="array" ref="I858">IF(OR($D858="",$D858="NO ENCONTRADO"),"",_xlfn.XLOOKUP($D858,Productos!$E:$E,Productos!$F:$F,""))</f>
        <v/>
      </c>
      <c r="J858" s="74">
        <f>IF($C858="","",IF($D858="NO ENCONTRADO",IF(COUNTIF($C$7:$C$1000,$C858)&gt;1,"⚠️ No encontrado | Duplicado","⚠️ No encontrado"),IF(COUNTIF($C$7:$C$1000,$C858)&gt;1,"⚠️ Duplicado","Verificado")))</f>
        <v/>
      </c>
    </row>
    <row r="859" ht="15.75" customHeight="1" s="176">
      <c r="B859" s="80" t="n"/>
      <c r="C859" s="74" t="n"/>
      <c r="D859" s="74">
        <f t="array" ref="D859">IF($C859="","",IFNA(_xlfn.XLOOKUP($C859,Productos!$A:$A,Productos!$E:$E,IFNA(_xlfn.XLOOKUP(TEXT($C859,"0"),Productos!$A:$A,Productos!$E:$E,IFNA(_xlfn.XLOOKUP(IFERROR(VALUE($C859),""),Productos!$A:$A,Productos!$E:$E,_xlfn.XLOOKUP($C859,Productos!$E:$E,Productos!$E:$E,"NO ENCONTRADO")),"NO ENCONTRADO")),"NO ENCONTRADO")),"NO ENCONTRADO"))</f>
        <v/>
      </c>
      <c r="E859" s="74">
        <f t="array" ref="E859">IF(OR($D859="",$D859="NO ENCONTRADO"),"",_xlfn.XLOOKUP($D859,Productos!$E:$E,Productos!$H:$H,""))</f>
        <v/>
      </c>
      <c r="F859" s="74">
        <f t="array" ref="F859">IF(OR($D859="",$D859="NO ENCONTRADO"),"",_xlfn.XLOOKUP($D859,Productos!$E:$E,Productos!$I:$I,""))</f>
        <v/>
      </c>
      <c r="G859" s="74">
        <f t="array" ref="G859">IF(OR($D859="",$D859="NO ENCONTRADO"),"",_xlfn.XLOOKUP($D859,Productos!$E:$E,Productos!$J:$J,""))</f>
        <v/>
      </c>
      <c r="H859" s="74">
        <f t="array" ref="H859">IF(OR($D859="",$D859="NO ENCONTRADO"),"",_xlfn.XLOOKUP($D859,Productos!$E:$E,Productos!$K:$K,""))</f>
        <v/>
      </c>
      <c r="I859" s="74">
        <f t="array" ref="I859">IF(OR($D859="",$D859="NO ENCONTRADO"),"",_xlfn.XLOOKUP($D859,Productos!$E:$E,Productos!$F:$F,""))</f>
        <v/>
      </c>
      <c r="J859" s="74">
        <f>IF($C859="","",IF($D859="NO ENCONTRADO",IF(COUNTIF($C$7:$C$1000,$C859)&gt;1,"⚠️ No encontrado | Duplicado","⚠️ No encontrado"),IF(COUNTIF($C$7:$C$1000,$C859)&gt;1,"⚠️ Duplicado","Verificado")))</f>
        <v/>
      </c>
    </row>
    <row r="860" ht="15.75" customHeight="1" s="176">
      <c r="B860" s="80" t="n"/>
      <c r="C860" s="74" t="n"/>
      <c r="D860" s="74">
        <f t="array" ref="D860">IF($C860="","",IFNA(_xlfn.XLOOKUP($C860,Productos!$A:$A,Productos!$E:$E,IFNA(_xlfn.XLOOKUP(TEXT($C860,"0"),Productos!$A:$A,Productos!$E:$E,IFNA(_xlfn.XLOOKUP(IFERROR(VALUE($C860),""),Productos!$A:$A,Productos!$E:$E,_xlfn.XLOOKUP($C860,Productos!$E:$E,Productos!$E:$E,"NO ENCONTRADO")),"NO ENCONTRADO")),"NO ENCONTRADO")),"NO ENCONTRADO"))</f>
        <v/>
      </c>
      <c r="E860" s="74">
        <f t="array" ref="E860">IF(OR($D860="",$D860="NO ENCONTRADO"),"",_xlfn.XLOOKUP($D860,Productos!$E:$E,Productos!$H:$H,""))</f>
        <v/>
      </c>
      <c r="F860" s="74">
        <f t="array" ref="F860">IF(OR($D860="",$D860="NO ENCONTRADO"),"",_xlfn.XLOOKUP($D860,Productos!$E:$E,Productos!$I:$I,""))</f>
        <v/>
      </c>
      <c r="G860" s="74">
        <f t="array" ref="G860">IF(OR($D860="",$D860="NO ENCONTRADO"),"",_xlfn.XLOOKUP($D860,Productos!$E:$E,Productos!$J:$J,""))</f>
        <v/>
      </c>
      <c r="H860" s="74">
        <f t="array" ref="H860">IF(OR($D860="",$D860="NO ENCONTRADO"),"",_xlfn.XLOOKUP($D860,Productos!$E:$E,Productos!$K:$K,""))</f>
        <v/>
      </c>
      <c r="I860" s="74">
        <f t="array" ref="I860">IF(OR($D860="",$D860="NO ENCONTRADO"),"",_xlfn.XLOOKUP($D860,Productos!$E:$E,Productos!$F:$F,""))</f>
        <v/>
      </c>
      <c r="J860" s="74">
        <f>IF($C860="","",IF($D860="NO ENCONTRADO",IF(COUNTIF($C$7:$C$1000,$C860)&gt;1,"⚠️ No encontrado | Duplicado","⚠️ No encontrado"),IF(COUNTIF($C$7:$C$1000,$C860)&gt;1,"⚠️ Duplicado","Verificado")))</f>
        <v/>
      </c>
    </row>
    <row r="861" ht="15.75" customHeight="1" s="176">
      <c r="B861" s="80" t="n"/>
      <c r="C861" s="74" t="n"/>
      <c r="D861" s="74">
        <f t="array" ref="D861">IF($C861="","",IFNA(_xlfn.XLOOKUP($C861,Productos!$A:$A,Productos!$E:$E,IFNA(_xlfn.XLOOKUP(TEXT($C861,"0"),Productos!$A:$A,Productos!$E:$E,IFNA(_xlfn.XLOOKUP(IFERROR(VALUE($C861),""),Productos!$A:$A,Productos!$E:$E,_xlfn.XLOOKUP($C861,Productos!$E:$E,Productos!$E:$E,"NO ENCONTRADO")),"NO ENCONTRADO")),"NO ENCONTRADO")),"NO ENCONTRADO"))</f>
        <v/>
      </c>
      <c r="E861" s="74">
        <f t="array" ref="E861">IF(OR($D861="",$D861="NO ENCONTRADO"),"",_xlfn.XLOOKUP($D861,Productos!$E:$E,Productos!$H:$H,""))</f>
        <v/>
      </c>
      <c r="F861" s="74">
        <f t="array" ref="F861">IF(OR($D861="",$D861="NO ENCONTRADO"),"",_xlfn.XLOOKUP($D861,Productos!$E:$E,Productos!$I:$I,""))</f>
        <v/>
      </c>
      <c r="G861" s="74">
        <f t="array" ref="G861">IF(OR($D861="",$D861="NO ENCONTRADO"),"",_xlfn.XLOOKUP($D861,Productos!$E:$E,Productos!$J:$J,""))</f>
        <v/>
      </c>
      <c r="H861" s="74">
        <f t="array" ref="H861">IF(OR($D861="",$D861="NO ENCONTRADO"),"",_xlfn.XLOOKUP($D861,Productos!$E:$E,Productos!$K:$K,""))</f>
        <v/>
      </c>
      <c r="I861" s="74">
        <f t="array" ref="I861">IF(OR($D861="",$D861="NO ENCONTRADO"),"",_xlfn.XLOOKUP($D861,Productos!$E:$E,Productos!$F:$F,""))</f>
        <v/>
      </c>
      <c r="J861" s="74">
        <f>IF($C861="","",IF($D861="NO ENCONTRADO",IF(COUNTIF($C$7:$C$1000,$C861)&gt;1,"⚠️ No encontrado | Duplicado","⚠️ No encontrado"),IF(COUNTIF($C$7:$C$1000,$C861)&gt;1,"⚠️ Duplicado","Verificado")))</f>
        <v/>
      </c>
    </row>
    <row r="862" ht="15.75" customHeight="1" s="176">
      <c r="B862" s="80" t="n"/>
      <c r="C862" s="74" t="n"/>
      <c r="D862" s="74">
        <f t="array" ref="D862">IF($C862="","",IFNA(_xlfn.XLOOKUP($C862,Productos!$A:$A,Productos!$E:$E,IFNA(_xlfn.XLOOKUP(TEXT($C862,"0"),Productos!$A:$A,Productos!$E:$E,IFNA(_xlfn.XLOOKUP(IFERROR(VALUE($C862),""),Productos!$A:$A,Productos!$E:$E,_xlfn.XLOOKUP($C862,Productos!$E:$E,Productos!$E:$E,"NO ENCONTRADO")),"NO ENCONTRADO")),"NO ENCONTRADO")),"NO ENCONTRADO"))</f>
        <v/>
      </c>
      <c r="E862" s="74">
        <f t="array" ref="E862">IF(OR($D862="",$D862="NO ENCONTRADO"),"",_xlfn.XLOOKUP($D862,Productos!$E:$E,Productos!$H:$H,""))</f>
        <v/>
      </c>
      <c r="F862" s="74">
        <f t="array" ref="F862">IF(OR($D862="",$D862="NO ENCONTRADO"),"",_xlfn.XLOOKUP($D862,Productos!$E:$E,Productos!$I:$I,""))</f>
        <v/>
      </c>
      <c r="G862" s="74">
        <f t="array" ref="G862">IF(OR($D862="",$D862="NO ENCONTRADO"),"",_xlfn.XLOOKUP($D862,Productos!$E:$E,Productos!$J:$J,""))</f>
        <v/>
      </c>
      <c r="H862" s="74">
        <f t="array" ref="H862">IF(OR($D862="",$D862="NO ENCONTRADO"),"",_xlfn.XLOOKUP($D862,Productos!$E:$E,Productos!$K:$K,""))</f>
        <v/>
      </c>
      <c r="I862" s="74">
        <f t="array" ref="I862">IF(OR($D862="",$D862="NO ENCONTRADO"),"",_xlfn.XLOOKUP($D862,Productos!$E:$E,Productos!$F:$F,""))</f>
        <v/>
      </c>
      <c r="J862" s="74">
        <f>IF($C862="","",IF($D862="NO ENCONTRADO",IF(COUNTIF($C$7:$C$1000,$C862)&gt;1,"⚠️ No encontrado | Duplicado","⚠️ No encontrado"),IF(COUNTIF($C$7:$C$1000,$C862)&gt;1,"⚠️ Duplicado","Verificado")))</f>
        <v/>
      </c>
    </row>
    <row r="863" ht="15.75" customHeight="1" s="176">
      <c r="B863" s="80" t="n"/>
      <c r="C863" s="74" t="n"/>
      <c r="D863" s="74">
        <f t="array" ref="D863">IF($C863="","",IFNA(_xlfn.XLOOKUP($C863,Productos!$A:$A,Productos!$E:$E,IFNA(_xlfn.XLOOKUP(TEXT($C863,"0"),Productos!$A:$A,Productos!$E:$E,IFNA(_xlfn.XLOOKUP(IFERROR(VALUE($C863),""),Productos!$A:$A,Productos!$E:$E,_xlfn.XLOOKUP($C863,Productos!$E:$E,Productos!$E:$E,"NO ENCONTRADO")),"NO ENCONTRADO")),"NO ENCONTRADO")),"NO ENCONTRADO"))</f>
        <v/>
      </c>
      <c r="E863" s="74">
        <f t="array" ref="E863">IF(OR($D863="",$D863="NO ENCONTRADO"),"",_xlfn.XLOOKUP($D863,Productos!$E:$E,Productos!$H:$H,""))</f>
        <v/>
      </c>
      <c r="F863" s="74">
        <f t="array" ref="F863">IF(OR($D863="",$D863="NO ENCONTRADO"),"",_xlfn.XLOOKUP($D863,Productos!$E:$E,Productos!$I:$I,""))</f>
        <v/>
      </c>
      <c r="G863" s="74">
        <f t="array" ref="G863">IF(OR($D863="",$D863="NO ENCONTRADO"),"",_xlfn.XLOOKUP($D863,Productos!$E:$E,Productos!$J:$J,""))</f>
        <v/>
      </c>
      <c r="H863" s="74">
        <f t="array" ref="H863">IF(OR($D863="",$D863="NO ENCONTRADO"),"",_xlfn.XLOOKUP($D863,Productos!$E:$E,Productos!$K:$K,""))</f>
        <v/>
      </c>
      <c r="I863" s="74">
        <f t="array" ref="I863">IF(OR($D863="",$D863="NO ENCONTRADO"),"",_xlfn.XLOOKUP($D863,Productos!$E:$E,Productos!$F:$F,""))</f>
        <v/>
      </c>
      <c r="J863" s="74">
        <f>IF($C863="","",IF($D863="NO ENCONTRADO",IF(COUNTIF($C$7:$C$1000,$C863)&gt;1,"⚠️ No encontrado | Duplicado","⚠️ No encontrado"),IF(COUNTIF($C$7:$C$1000,$C863)&gt;1,"⚠️ Duplicado","Verificado")))</f>
        <v/>
      </c>
    </row>
    <row r="864" ht="15.75" customHeight="1" s="176">
      <c r="B864" s="80" t="n"/>
      <c r="C864" s="74" t="n"/>
      <c r="D864" s="74">
        <f t="array" ref="D864">IF($C864="","",IFNA(_xlfn.XLOOKUP($C864,Productos!$A:$A,Productos!$E:$E,IFNA(_xlfn.XLOOKUP(TEXT($C864,"0"),Productos!$A:$A,Productos!$E:$E,IFNA(_xlfn.XLOOKUP(IFERROR(VALUE($C864),""),Productos!$A:$A,Productos!$E:$E,_xlfn.XLOOKUP($C864,Productos!$E:$E,Productos!$E:$E,"NO ENCONTRADO")),"NO ENCONTRADO")),"NO ENCONTRADO")),"NO ENCONTRADO"))</f>
        <v/>
      </c>
      <c r="E864" s="74">
        <f t="array" ref="E864">IF(OR($D864="",$D864="NO ENCONTRADO"),"",_xlfn.XLOOKUP($D864,Productos!$E:$E,Productos!$H:$H,""))</f>
        <v/>
      </c>
      <c r="F864" s="74">
        <f t="array" ref="F864">IF(OR($D864="",$D864="NO ENCONTRADO"),"",_xlfn.XLOOKUP($D864,Productos!$E:$E,Productos!$I:$I,""))</f>
        <v/>
      </c>
      <c r="G864" s="74">
        <f t="array" ref="G864">IF(OR($D864="",$D864="NO ENCONTRADO"),"",_xlfn.XLOOKUP($D864,Productos!$E:$E,Productos!$J:$J,""))</f>
        <v/>
      </c>
      <c r="H864" s="74">
        <f t="array" ref="H864">IF(OR($D864="",$D864="NO ENCONTRADO"),"",_xlfn.XLOOKUP($D864,Productos!$E:$E,Productos!$K:$K,""))</f>
        <v/>
      </c>
      <c r="I864" s="74">
        <f t="array" ref="I864">IF(OR($D864="",$D864="NO ENCONTRADO"),"",_xlfn.XLOOKUP($D864,Productos!$E:$E,Productos!$F:$F,""))</f>
        <v/>
      </c>
      <c r="J864" s="74">
        <f>IF($C864="","",IF($D864="NO ENCONTRADO",IF(COUNTIF($C$7:$C$1000,$C864)&gt;1,"⚠️ No encontrado | Duplicado","⚠️ No encontrado"),IF(COUNTIF($C$7:$C$1000,$C864)&gt;1,"⚠️ Duplicado","Verificado")))</f>
        <v/>
      </c>
    </row>
    <row r="865" ht="15.75" customHeight="1" s="176">
      <c r="B865" s="80" t="n"/>
      <c r="C865" s="74" t="n"/>
      <c r="D865" s="74">
        <f t="array" ref="D865">IF($C865="","",IFNA(_xlfn.XLOOKUP($C865,Productos!$A:$A,Productos!$E:$E,IFNA(_xlfn.XLOOKUP(TEXT($C865,"0"),Productos!$A:$A,Productos!$E:$E,IFNA(_xlfn.XLOOKUP(IFERROR(VALUE($C865),""),Productos!$A:$A,Productos!$E:$E,_xlfn.XLOOKUP($C865,Productos!$E:$E,Productos!$E:$E,"NO ENCONTRADO")),"NO ENCONTRADO")),"NO ENCONTRADO")),"NO ENCONTRADO"))</f>
        <v/>
      </c>
      <c r="E865" s="74">
        <f t="array" ref="E865">IF(OR($D865="",$D865="NO ENCONTRADO"),"",_xlfn.XLOOKUP($D865,Productos!$E:$E,Productos!$H:$H,""))</f>
        <v/>
      </c>
      <c r="F865" s="74">
        <f t="array" ref="F865">IF(OR($D865="",$D865="NO ENCONTRADO"),"",_xlfn.XLOOKUP($D865,Productos!$E:$E,Productos!$I:$I,""))</f>
        <v/>
      </c>
      <c r="G865" s="74">
        <f t="array" ref="G865">IF(OR($D865="",$D865="NO ENCONTRADO"),"",_xlfn.XLOOKUP($D865,Productos!$E:$E,Productos!$J:$J,""))</f>
        <v/>
      </c>
      <c r="H865" s="74">
        <f t="array" ref="H865">IF(OR($D865="",$D865="NO ENCONTRADO"),"",_xlfn.XLOOKUP($D865,Productos!$E:$E,Productos!$K:$K,""))</f>
        <v/>
      </c>
      <c r="I865" s="74">
        <f t="array" ref="I865">IF(OR($D865="",$D865="NO ENCONTRADO"),"",_xlfn.XLOOKUP($D865,Productos!$E:$E,Productos!$F:$F,""))</f>
        <v/>
      </c>
      <c r="J865" s="74">
        <f>IF($C865="","",IF($D865="NO ENCONTRADO",IF(COUNTIF($C$7:$C$1000,$C865)&gt;1,"⚠️ No encontrado | Duplicado","⚠️ No encontrado"),IF(COUNTIF($C$7:$C$1000,$C865)&gt;1,"⚠️ Duplicado","Verificado")))</f>
        <v/>
      </c>
    </row>
    <row r="866" ht="15.75" customHeight="1" s="176">
      <c r="B866" s="80" t="n"/>
      <c r="C866" s="74" t="n"/>
      <c r="D866" s="74">
        <f t="array" ref="D866">IF($C866="","",IFNA(_xlfn.XLOOKUP($C866,Productos!$A:$A,Productos!$E:$E,IFNA(_xlfn.XLOOKUP(TEXT($C866,"0"),Productos!$A:$A,Productos!$E:$E,IFNA(_xlfn.XLOOKUP(IFERROR(VALUE($C866),""),Productos!$A:$A,Productos!$E:$E,_xlfn.XLOOKUP($C866,Productos!$E:$E,Productos!$E:$E,"NO ENCONTRADO")),"NO ENCONTRADO")),"NO ENCONTRADO")),"NO ENCONTRADO"))</f>
        <v/>
      </c>
      <c r="E866" s="74">
        <f t="array" ref="E866">IF(OR($D866="",$D866="NO ENCONTRADO"),"",_xlfn.XLOOKUP($D866,Productos!$E:$E,Productos!$H:$H,""))</f>
        <v/>
      </c>
      <c r="F866" s="74">
        <f t="array" ref="F866">IF(OR($D866="",$D866="NO ENCONTRADO"),"",_xlfn.XLOOKUP($D866,Productos!$E:$E,Productos!$I:$I,""))</f>
        <v/>
      </c>
      <c r="G866" s="74">
        <f t="array" ref="G866">IF(OR($D866="",$D866="NO ENCONTRADO"),"",_xlfn.XLOOKUP($D866,Productos!$E:$E,Productos!$J:$J,""))</f>
        <v/>
      </c>
      <c r="H866" s="74">
        <f t="array" ref="H866">IF(OR($D866="",$D866="NO ENCONTRADO"),"",_xlfn.XLOOKUP($D866,Productos!$E:$E,Productos!$K:$K,""))</f>
        <v/>
      </c>
      <c r="I866" s="74">
        <f t="array" ref="I866">IF(OR($D866="",$D866="NO ENCONTRADO"),"",_xlfn.XLOOKUP($D866,Productos!$E:$E,Productos!$F:$F,""))</f>
        <v/>
      </c>
      <c r="J866" s="74">
        <f>IF($C866="","",IF($D866="NO ENCONTRADO",IF(COUNTIF($C$7:$C$1000,$C866)&gt;1,"⚠️ No encontrado | Duplicado","⚠️ No encontrado"),IF(COUNTIF($C$7:$C$1000,$C866)&gt;1,"⚠️ Duplicado","Verificado")))</f>
        <v/>
      </c>
    </row>
    <row r="867" ht="15.75" customHeight="1" s="176">
      <c r="B867" s="80" t="n"/>
      <c r="C867" s="74" t="n"/>
      <c r="D867" s="74">
        <f t="array" ref="D867">IF($C867="","",IFNA(_xlfn.XLOOKUP($C867,Productos!$A:$A,Productos!$E:$E,IFNA(_xlfn.XLOOKUP(TEXT($C867,"0"),Productos!$A:$A,Productos!$E:$E,IFNA(_xlfn.XLOOKUP(IFERROR(VALUE($C867),""),Productos!$A:$A,Productos!$E:$E,_xlfn.XLOOKUP($C867,Productos!$E:$E,Productos!$E:$E,"NO ENCONTRADO")),"NO ENCONTRADO")),"NO ENCONTRADO")),"NO ENCONTRADO"))</f>
        <v/>
      </c>
      <c r="E867" s="74">
        <f t="array" ref="E867">IF(OR($D867="",$D867="NO ENCONTRADO"),"",_xlfn.XLOOKUP($D867,Productos!$E:$E,Productos!$H:$H,""))</f>
        <v/>
      </c>
      <c r="F867" s="74">
        <f t="array" ref="F867">IF(OR($D867="",$D867="NO ENCONTRADO"),"",_xlfn.XLOOKUP($D867,Productos!$E:$E,Productos!$I:$I,""))</f>
        <v/>
      </c>
      <c r="G867" s="74">
        <f t="array" ref="G867">IF(OR($D867="",$D867="NO ENCONTRADO"),"",_xlfn.XLOOKUP($D867,Productos!$E:$E,Productos!$J:$J,""))</f>
        <v/>
      </c>
      <c r="H867" s="74">
        <f t="array" ref="H867">IF(OR($D867="",$D867="NO ENCONTRADO"),"",_xlfn.XLOOKUP($D867,Productos!$E:$E,Productos!$K:$K,""))</f>
        <v/>
      </c>
      <c r="I867" s="74">
        <f t="array" ref="I867">IF(OR($D867="",$D867="NO ENCONTRADO"),"",_xlfn.XLOOKUP($D867,Productos!$E:$E,Productos!$F:$F,""))</f>
        <v/>
      </c>
      <c r="J867" s="74">
        <f>IF($C867="","",IF($D867="NO ENCONTRADO",IF(COUNTIF($C$7:$C$1000,$C867)&gt;1,"⚠️ No encontrado | Duplicado","⚠️ No encontrado"),IF(COUNTIF($C$7:$C$1000,$C867)&gt;1,"⚠️ Duplicado","Verificado")))</f>
        <v/>
      </c>
    </row>
    <row r="868" ht="15.75" customHeight="1" s="176">
      <c r="B868" s="80" t="n"/>
      <c r="C868" s="74" t="n"/>
      <c r="D868" s="74">
        <f t="array" ref="D868">IF($C868="","",IFNA(_xlfn.XLOOKUP($C868,Productos!$A:$A,Productos!$E:$E,IFNA(_xlfn.XLOOKUP(TEXT($C868,"0"),Productos!$A:$A,Productos!$E:$E,IFNA(_xlfn.XLOOKUP(IFERROR(VALUE($C868),""),Productos!$A:$A,Productos!$E:$E,_xlfn.XLOOKUP($C868,Productos!$E:$E,Productos!$E:$E,"NO ENCONTRADO")),"NO ENCONTRADO")),"NO ENCONTRADO")),"NO ENCONTRADO"))</f>
        <v/>
      </c>
      <c r="E868" s="74">
        <f t="array" ref="E868">IF(OR($D868="",$D868="NO ENCONTRADO"),"",_xlfn.XLOOKUP($D868,Productos!$E:$E,Productos!$H:$H,""))</f>
        <v/>
      </c>
      <c r="F868" s="74">
        <f t="array" ref="F868">IF(OR($D868="",$D868="NO ENCONTRADO"),"",_xlfn.XLOOKUP($D868,Productos!$E:$E,Productos!$I:$I,""))</f>
        <v/>
      </c>
      <c r="G868" s="74">
        <f t="array" ref="G868">IF(OR($D868="",$D868="NO ENCONTRADO"),"",_xlfn.XLOOKUP($D868,Productos!$E:$E,Productos!$J:$J,""))</f>
        <v/>
      </c>
      <c r="H868" s="74">
        <f t="array" ref="H868">IF(OR($D868="",$D868="NO ENCONTRADO"),"",_xlfn.XLOOKUP($D868,Productos!$E:$E,Productos!$K:$K,""))</f>
        <v/>
      </c>
      <c r="I868" s="74">
        <f t="array" ref="I868">IF(OR($D868="",$D868="NO ENCONTRADO"),"",_xlfn.XLOOKUP($D868,Productos!$E:$E,Productos!$F:$F,""))</f>
        <v/>
      </c>
      <c r="J868" s="74">
        <f>IF($C868="","",IF($D868="NO ENCONTRADO",IF(COUNTIF($C$7:$C$1000,$C868)&gt;1,"⚠️ No encontrado | Duplicado","⚠️ No encontrado"),IF(COUNTIF($C$7:$C$1000,$C868)&gt;1,"⚠️ Duplicado","Verificado")))</f>
        <v/>
      </c>
    </row>
    <row r="869" ht="15.75" customHeight="1" s="176">
      <c r="B869" s="80" t="n"/>
      <c r="C869" s="74" t="n"/>
      <c r="D869" s="74">
        <f t="array" ref="D869">IF($C869="","",IFNA(_xlfn.XLOOKUP($C869,Productos!$A:$A,Productos!$E:$E,IFNA(_xlfn.XLOOKUP(TEXT($C869,"0"),Productos!$A:$A,Productos!$E:$E,IFNA(_xlfn.XLOOKUP(IFERROR(VALUE($C869),""),Productos!$A:$A,Productos!$E:$E,_xlfn.XLOOKUP($C869,Productos!$E:$E,Productos!$E:$E,"NO ENCONTRADO")),"NO ENCONTRADO")),"NO ENCONTRADO")),"NO ENCONTRADO"))</f>
        <v/>
      </c>
      <c r="E869" s="74">
        <f t="array" ref="E869">IF(OR($D869="",$D869="NO ENCONTRADO"),"",_xlfn.XLOOKUP($D869,Productos!$E:$E,Productos!$H:$H,""))</f>
        <v/>
      </c>
      <c r="F869" s="74">
        <f t="array" ref="F869">IF(OR($D869="",$D869="NO ENCONTRADO"),"",_xlfn.XLOOKUP($D869,Productos!$E:$E,Productos!$I:$I,""))</f>
        <v/>
      </c>
      <c r="G869" s="74">
        <f t="array" ref="G869">IF(OR($D869="",$D869="NO ENCONTRADO"),"",_xlfn.XLOOKUP($D869,Productos!$E:$E,Productos!$J:$J,""))</f>
        <v/>
      </c>
      <c r="H869" s="74">
        <f t="array" ref="H869">IF(OR($D869="",$D869="NO ENCONTRADO"),"",_xlfn.XLOOKUP($D869,Productos!$E:$E,Productos!$K:$K,""))</f>
        <v/>
      </c>
      <c r="I869" s="74">
        <f t="array" ref="I869">IF(OR($D869="",$D869="NO ENCONTRADO"),"",_xlfn.XLOOKUP($D869,Productos!$E:$E,Productos!$F:$F,""))</f>
        <v/>
      </c>
      <c r="J869" s="74">
        <f>IF($C869="","",IF($D869="NO ENCONTRADO",IF(COUNTIF($C$7:$C$1000,$C869)&gt;1,"⚠️ No encontrado | Duplicado","⚠️ No encontrado"),IF(COUNTIF($C$7:$C$1000,$C869)&gt;1,"⚠️ Duplicado","Verificado")))</f>
        <v/>
      </c>
    </row>
    <row r="870" ht="15.75" customHeight="1" s="176">
      <c r="B870" s="80" t="n"/>
      <c r="C870" s="74" t="n"/>
      <c r="D870" s="74">
        <f t="array" ref="D870">IF($C870="","",IFNA(_xlfn.XLOOKUP($C870,Productos!$A:$A,Productos!$E:$E,IFNA(_xlfn.XLOOKUP(TEXT($C870,"0"),Productos!$A:$A,Productos!$E:$E,IFNA(_xlfn.XLOOKUP(IFERROR(VALUE($C870),""),Productos!$A:$A,Productos!$E:$E,_xlfn.XLOOKUP($C870,Productos!$E:$E,Productos!$E:$E,"NO ENCONTRADO")),"NO ENCONTRADO")),"NO ENCONTRADO")),"NO ENCONTRADO"))</f>
        <v/>
      </c>
      <c r="E870" s="74">
        <f t="array" ref="E870">IF(OR($D870="",$D870="NO ENCONTRADO"),"",_xlfn.XLOOKUP($D870,Productos!$E:$E,Productos!$H:$H,""))</f>
        <v/>
      </c>
      <c r="F870" s="74">
        <f t="array" ref="F870">IF(OR($D870="",$D870="NO ENCONTRADO"),"",_xlfn.XLOOKUP($D870,Productos!$E:$E,Productos!$I:$I,""))</f>
        <v/>
      </c>
      <c r="G870" s="74">
        <f t="array" ref="G870">IF(OR($D870="",$D870="NO ENCONTRADO"),"",_xlfn.XLOOKUP($D870,Productos!$E:$E,Productos!$J:$J,""))</f>
        <v/>
      </c>
      <c r="H870" s="74">
        <f t="array" ref="H870">IF(OR($D870="",$D870="NO ENCONTRADO"),"",_xlfn.XLOOKUP($D870,Productos!$E:$E,Productos!$K:$K,""))</f>
        <v/>
      </c>
      <c r="I870" s="74">
        <f t="array" ref="I870">IF(OR($D870="",$D870="NO ENCONTRADO"),"",_xlfn.XLOOKUP($D870,Productos!$E:$E,Productos!$F:$F,""))</f>
        <v/>
      </c>
      <c r="J870" s="74">
        <f>IF($C870="","",IF($D870="NO ENCONTRADO",IF(COUNTIF($C$7:$C$1000,$C870)&gt;1,"⚠️ No encontrado | Duplicado","⚠️ No encontrado"),IF(COUNTIF($C$7:$C$1000,$C870)&gt;1,"⚠️ Duplicado","Verificado")))</f>
        <v/>
      </c>
    </row>
    <row r="871" ht="15.75" customHeight="1" s="176">
      <c r="B871" s="80" t="n"/>
      <c r="C871" s="74" t="n"/>
      <c r="D871" s="74">
        <f t="array" ref="D871">IF($C871="","",IFNA(_xlfn.XLOOKUP($C871,Productos!$A:$A,Productos!$E:$E,IFNA(_xlfn.XLOOKUP(TEXT($C871,"0"),Productos!$A:$A,Productos!$E:$E,IFNA(_xlfn.XLOOKUP(IFERROR(VALUE($C871),""),Productos!$A:$A,Productos!$E:$E,_xlfn.XLOOKUP($C871,Productos!$E:$E,Productos!$E:$E,"NO ENCONTRADO")),"NO ENCONTRADO")),"NO ENCONTRADO")),"NO ENCONTRADO"))</f>
        <v/>
      </c>
      <c r="E871" s="74">
        <f t="array" ref="E871">IF(OR($D871="",$D871="NO ENCONTRADO"),"",_xlfn.XLOOKUP($D871,Productos!$E:$E,Productos!$H:$H,""))</f>
        <v/>
      </c>
      <c r="F871" s="74">
        <f t="array" ref="F871">IF(OR($D871="",$D871="NO ENCONTRADO"),"",_xlfn.XLOOKUP($D871,Productos!$E:$E,Productos!$I:$I,""))</f>
        <v/>
      </c>
      <c r="G871" s="74">
        <f t="array" ref="G871">IF(OR($D871="",$D871="NO ENCONTRADO"),"",_xlfn.XLOOKUP($D871,Productos!$E:$E,Productos!$J:$J,""))</f>
        <v/>
      </c>
      <c r="H871" s="74">
        <f t="array" ref="H871">IF(OR($D871="",$D871="NO ENCONTRADO"),"",_xlfn.XLOOKUP($D871,Productos!$E:$E,Productos!$K:$K,""))</f>
        <v/>
      </c>
      <c r="I871" s="74">
        <f t="array" ref="I871">IF(OR($D871="",$D871="NO ENCONTRADO"),"",_xlfn.XLOOKUP($D871,Productos!$E:$E,Productos!$F:$F,""))</f>
        <v/>
      </c>
      <c r="J871" s="74">
        <f>IF($C871="","",IF($D871="NO ENCONTRADO",IF(COUNTIF($C$7:$C$1000,$C871)&gt;1,"⚠️ No encontrado | Duplicado","⚠️ No encontrado"),IF(COUNTIF($C$7:$C$1000,$C871)&gt;1,"⚠️ Duplicado","Verificado")))</f>
        <v/>
      </c>
    </row>
    <row r="872" ht="15.75" customHeight="1" s="176">
      <c r="B872" s="80" t="n"/>
      <c r="C872" s="74" t="n"/>
      <c r="D872" s="74">
        <f t="array" ref="D872">IF($C872="","",IFNA(_xlfn.XLOOKUP($C872,Productos!$A:$A,Productos!$E:$E,IFNA(_xlfn.XLOOKUP(TEXT($C872,"0"),Productos!$A:$A,Productos!$E:$E,IFNA(_xlfn.XLOOKUP(IFERROR(VALUE($C872),""),Productos!$A:$A,Productos!$E:$E,_xlfn.XLOOKUP($C872,Productos!$E:$E,Productos!$E:$E,"NO ENCONTRADO")),"NO ENCONTRADO")),"NO ENCONTRADO")),"NO ENCONTRADO"))</f>
        <v/>
      </c>
      <c r="E872" s="74">
        <f t="array" ref="E872">IF(OR($D872="",$D872="NO ENCONTRADO"),"",_xlfn.XLOOKUP($D872,Productos!$E:$E,Productos!$H:$H,""))</f>
        <v/>
      </c>
      <c r="F872" s="74">
        <f t="array" ref="F872">IF(OR($D872="",$D872="NO ENCONTRADO"),"",_xlfn.XLOOKUP($D872,Productos!$E:$E,Productos!$I:$I,""))</f>
        <v/>
      </c>
      <c r="G872" s="74">
        <f t="array" ref="G872">IF(OR($D872="",$D872="NO ENCONTRADO"),"",_xlfn.XLOOKUP($D872,Productos!$E:$E,Productos!$J:$J,""))</f>
        <v/>
      </c>
      <c r="H872" s="74">
        <f t="array" ref="H872">IF(OR($D872="",$D872="NO ENCONTRADO"),"",_xlfn.XLOOKUP($D872,Productos!$E:$E,Productos!$K:$K,""))</f>
        <v/>
      </c>
      <c r="I872" s="74">
        <f t="array" ref="I872">IF(OR($D872="",$D872="NO ENCONTRADO"),"",_xlfn.XLOOKUP($D872,Productos!$E:$E,Productos!$F:$F,""))</f>
        <v/>
      </c>
      <c r="J872" s="74">
        <f>IF($C872="","",IF($D872="NO ENCONTRADO",IF(COUNTIF($C$7:$C$1000,$C872)&gt;1,"⚠️ No encontrado | Duplicado","⚠️ No encontrado"),IF(COUNTIF($C$7:$C$1000,$C872)&gt;1,"⚠️ Duplicado","Verificado")))</f>
        <v/>
      </c>
    </row>
    <row r="873" ht="15.75" customHeight="1" s="176">
      <c r="B873" s="80" t="n"/>
      <c r="C873" s="74" t="n"/>
      <c r="D873" s="74">
        <f t="array" ref="D873">IF($C873="","",IFNA(_xlfn.XLOOKUP($C873,Productos!$A:$A,Productos!$E:$E,IFNA(_xlfn.XLOOKUP(TEXT($C873,"0"),Productos!$A:$A,Productos!$E:$E,IFNA(_xlfn.XLOOKUP(IFERROR(VALUE($C873),""),Productos!$A:$A,Productos!$E:$E,_xlfn.XLOOKUP($C873,Productos!$E:$E,Productos!$E:$E,"NO ENCONTRADO")),"NO ENCONTRADO")),"NO ENCONTRADO")),"NO ENCONTRADO"))</f>
        <v/>
      </c>
      <c r="E873" s="74">
        <f t="array" ref="E873">IF(OR($D873="",$D873="NO ENCONTRADO"),"",_xlfn.XLOOKUP($D873,Productos!$E:$E,Productos!$H:$H,""))</f>
        <v/>
      </c>
      <c r="F873" s="74">
        <f t="array" ref="F873">IF(OR($D873="",$D873="NO ENCONTRADO"),"",_xlfn.XLOOKUP($D873,Productos!$E:$E,Productos!$I:$I,""))</f>
        <v/>
      </c>
      <c r="G873" s="74">
        <f t="array" ref="G873">IF(OR($D873="",$D873="NO ENCONTRADO"),"",_xlfn.XLOOKUP($D873,Productos!$E:$E,Productos!$J:$J,""))</f>
        <v/>
      </c>
      <c r="H873" s="74">
        <f t="array" ref="H873">IF(OR($D873="",$D873="NO ENCONTRADO"),"",_xlfn.XLOOKUP($D873,Productos!$E:$E,Productos!$K:$K,""))</f>
        <v/>
      </c>
      <c r="I873" s="74">
        <f t="array" ref="I873">IF(OR($D873="",$D873="NO ENCONTRADO"),"",_xlfn.XLOOKUP($D873,Productos!$E:$E,Productos!$F:$F,""))</f>
        <v/>
      </c>
      <c r="J873" s="74">
        <f>IF($C873="","",IF($D873="NO ENCONTRADO",IF(COUNTIF($C$7:$C$1000,$C873)&gt;1,"⚠️ No encontrado | Duplicado","⚠️ No encontrado"),IF(COUNTIF($C$7:$C$1000,$C873)&gt;1,"⚠️ Duplicado","Verificado")))</f>
        <v/>
      </c>
    </row>
    <row r="874" ht="15.75" customHeight="1" s="176">
      <c r="B874" s="80" t="n"/>
      <c r="C874" s="74" t="n"/>
      <c r="D874" s="74">
        <f t="array" ref="D874">IF($C874="","",IFNA(_xlfn.XLOOKUP($C874,Productos!$A:$A,Productos!$E:$E,IFNA(_xlfn.XLOOKUP(TEXT($C874,"0"),Productos!$A:$A,Productos!$E:$E,IFNA(_xlfn.XLOOKUP(IFERROR(VALUE($C874),""),Productos!$A:$A,Productos!$E:$E,_xlfn.XLOOKUP($C874,Productos!$E:$E,Productos!$E:$E,"NO ENCONTRADO")),"NO ENCONTRADO")),"NO ENCONTRADO")),"NO ENCONTRADO"))</f>
        <v/>
      </c>
      <c r="E874" s="74">
        <f t="array" ref="E874">IF(OR($D874="",$D874="NO ENCONTRADO"),"",_xlfn.XLOOKUP($D874,Productos!$E:$E,Productos!$H:$H,""))</f>
        <v/>
      </c>
      <c r="F874" s="74">
        <f t="array" ref="F874">IF(OR($D874="",$D874="NO ENCONTRADO"),"",_xlfn.XLOOKUP($D874,Productos!$E:$E,Productos!$I:$I,""))</f>
        <v/>
      </c>
      <c r="G874" s="74">
        <f t="array" ref="G874">IF(OR($D874="",$D874="NO ENCONTRADO"),"",_xlfn.XLOOKUP($D874,Productos!$E:$E,Productos!$J:$J,""))</f>
        <v/>
      </c>
      <c r="H874" s="74">
        <f t="array" ref="H874">IF(OR($D874="",$D874="NO ENCONTRADO"),"",_xlfn.XLOOKUP($D874,Productos!$E:$E,Productos!$K:$K,""))</f>
        <v/>
      </c>
      <c r="I874" s="74">
        <f t="array" ref="I874">IF(OR($D874="",$D874="NO ENCONTRADO"),"",_xlfn.XLOOKUP($D874,Productos!$E:$E,Productos!$F:$F,""))</f>
        <v/>
      </c>
      <c r="J874" s="74">
        <f>IF($C874="","",IF($D874="NO ENCONTRADO",IF(COUNTIF($C$7:$C$1000,$C874)&gt;1,"⚠️ No encontrado | Duplicado","⚠️ No encontrado"),IF(COUNTIF($C$7:$C$1000,$C874)&gt;1,"⚠️ Duplicado","Verificado")))</f>
        <v/>
      </c>
    </row>
    <row r="875" ht="15.75" customHeight="1" s="176">
      <c r="B875" s="80" t="n"/>
      <c r="C875" s="74" t="n"/>
      <c r="D875" s="74">
        <f t="array" ref="D875">IF($C875="","",IFNA(_xlfn.XLOOKUP($C875,Productos!$A:$A,Productos!$E:$E,IFNA(_xlfn.XLOOKUP(TEXT($C875,"0"),Productos!$A:$A,Productos!$E:$E,IFNA(_xlfn.XLOOKUP(IFERROR(VALUE($C875),""),Productos!$A:$A,Productos!$E:$E,_xlfn.XLOOKUP($C875,Productos!$E:$E,Productos!$E:$E,"NO ENCONTRADO")),"NO ENCONTRADO")),"NO ENCONTRADO")),"NO ENCONTRADO"))</f>
        <v/>
      </c>
      <c r="E875" s="74">
        <f t="array" ref="E875">IF(OR($D875="",$D875="NO ENCONTRADO"),"",_xlfn.XLOOKUP($D875,Productos!$E:$E,Productos!$H:$H,""))</f>
        <v/>
      </c>
      <c r="F875" s="74">
        <f t="array" ref="F875">IF(OR($D875="",$D875="NO ENCONTRADO"),"",_xlfn.XLOOKUP($D875,Productos!$E:$E,Productos!$I:$I,""))</f>
        <v/>
      </c>
      <c r="G875" s="74">
        <f t="array" ref="G875">IF(OR($D875="",$D875="NO ENCONTRADO"),"",_xlfn.XLOOKUP($D875,Productos!$E:$E,Productos!$J:$J,""))</f>
        <v/>
      </c>
      <c r="H875" s="74">
        <f t="array" ref="H875">IF(OR($D875="",$D875="NO ENCONTRADO"),"",_xlfn.XLOOKUP($D875,Productos!$E:$E,Productos!$K:$K,""))</f>
        <v/>
      </c>
      <c r="I875" s="74">
        <f t="array" ref="I875">IF(OR($D875="",$D875="NO ENCONTRADO"),"",_xlfn.XLOOKUP($D875,Productos!$E:$E,Productos!$F:$F,""))</f>
        <v/>
      </c>
      <c r="J875" s="74">
        <f>IF($C875="","",IF($D875="NO ENCONTRADO",IF(COUNTIF($C$7:$C$1000,$C875)&gt;1,"⚠️ No encontrado | Duplicado","⚠️ No encontrado"),IF(COUNTIF($C$7:$C$1000,$C875)&gt;1,"⚠️ Duplicado","Verificado")))</f>
        <v/>
      </c>
    </row>
    <row r="876" ht="15.75" customHeight="1" s="176">
      <c r="B876" s="80" t="n"/>
      <c r="C876" s="74" t="n"/>
      <c r="D876" s="74">
        <f t="array" ref="D876">IF($C876="","",IFNA(_xlfn.XLOOKUP($C876,Productos!$A:$A,Productos!$E:$E,IFNA(_xlfn.XLOOKUP(TEXT($C876,"0"),Productos!$A:$A,Productos!$E:$E,IFNA(_xlfn.XLOOKUP(IFERROR(VALUE($C876),""),Productos!$A:$A,Productos!$E:$E,_xlfn.XLOOKUP($C876,Productos!$E:$E,Productos!$E:$E,"NO ENCONTRADO")),"NO ENCONTRADO")),"NO ENCONTRADO")),"NO ENCONTRADO"))</f>
        <v/>
      </c>
      <c r="E876" s="74">
        <f t="array" ref="E876">IF(OR($D876="",$D876="NO ENCONTRADO"),"",_xlfn.XLOOKUP($D876,Productos!$E:$E,Productos!$H:$H,""))</f>
        <v/>
      </c>
      <c r="F876" s="74">
        <f t="array" ref="F876">IF(OR($D876="",$D876="NO ENCONTRADO"),"",_xlfn.XLOOKUP($D876,Productos!$E:$E,Productos!$I:$I,""))</f>
        <v/>
      </c>
      <c r="G876" s="74">
        <f t="array" ref="G876">IF(OR($D876="",$D876="NO ENCONTRADO"),"",_xlfn.XLOOKUP($D876,Productos!$E:$E,Productos!$J:$J,""))</f>
        <v/>
      </c>
      <c r="H876" s="74">
        <f t="array" ref="H876">IF(OR($D876="",$D876="NO ENCONTRADO"),"",_xlfn.XLOOKUP($D876,Productos!$E:$E,Productos!$K:$K,""))</f>
        <v/>
      </c>
      <c r="I876" s="74">
        <f t="array" ref="I876">IF(OR($D876="",$D876="NO ENCONTRADO"),"",_xlfn.XLOOKUP($D876,Productos!$E:$E,Productos!$F:$F,""))</f>
        <v/>
      </c>
      <c r="J876" s="74">
        <f>IF($C876="","",IF($D876="NO ENCONTRADO",IF(COUNTIF($C$7:$C$1000,$C876)&gt;1,"⚠️ No encontrado | Duplicado","⚠️ No encontrado"),IF(COUNTIF($C$7:$C$1000,$C876)&gt;1,"⚠️ Duplicado","Verificado")))</f>
        <v/>
      </c>
    </row>
    <row r="877" ht="15.75" customHeight="1" s="176">
      <c r="B877" s="80" t="n"/>
      <c r="C877" s="74" t="n"/>
      <c r="D877" s="74">
        <f t="array" ref="D877">IF($C877="","",IFNA(_xlfn.XLOOKUP($C877,Productos!$A:$A,Productos!$E:$E,IFNA(_xlfn.XLOOKUP(TEXT($C877,"0"),Productos!$A:$A,Productos!$E:$E,IFNA(_xlfn.XLOOKUP(IFERROR(VALUE($C877),""),Productos!$A:$A,Productos!$E:$E,_xlfn.XLOOKUP($C877,Productos!$E:$E,Productos!$E:$E,"NO ENCONTRADO")),"NO ENCONTRADO")),"NO ENCONTRADO")),"NO ENCONTRADO"))</f>
        <v/>
      </c>
      <c r="E877" s="74">
        <f t="array" ref="E877">IF(OR($D877="",$D877="NO ENCONTRADO"),"",_xlfn.XLOOKUP($D877,Productos!$E:$E,Productos!$H:$H,""))</f>
        <v/>
      </c>
      <c r="F877" s="74">
        <f t="array" ref="F877">IF(OR($D877="",$D877="NO ENCONTRADO"),"",_xlfn.XLOOKUP($D877,Productos!$E:$E,Productos!$I:$I,""))</f>
        <v/>
      </c>
      <c r="G877" s="74">
        <f t="array" ref="G877">IF(OR($D877="",$D877="NO ENCONTRADO"),"",_xlfn.XLOOKUP($D877,Productos!$E:$E,Productos!$J:$J,""))</f>
        <v/>
      </c>
      <c r="H877" s="74">
        <f t="array" ref="H877">IF(OR($D877="",$D877="NO ENCONTRADO"),"",_xlfn.XLOOKUP($D877,Productos!$E:$E,Productos!$K:$K,""))</f>
        <v/>
      </c>
      <c r="I877" s="74">
        <f t="array" ref="I877">IF(OR($D877="",$D877="NO ENCONTRADO"),"",_xlfn.XLOOKUP($D877,Productos!$E:$E,Productos!$F:$F,""))</f>
        <v/>
      </c>
      <c r="J877" s="74">
        <f>IF($C877="","",IF($D877="NO ENCONTRADO",IF(COUNTIF($C$7:$C$1000,$C877)&gt;1,"⚠️ No encontrado | Duplicado","⚠️ No encontrado"),IF(COUNTIF($C$7:$C$1000,$C877)&gt;1,"⚠️ Duplicado","Verificado")))</f>
        <v/>
      </c>
    </row>
    <row r="878" ht="15.75" customHeight="1" s="176">
      <c r="B878" s="80" t="n"/>
      <c r="C878" s="74" t="n"/>
      <c r="D878" s="74">
        <f t="array" ref="D878">IF($C878="","",IFNA(_xlfn.XLOOKUP($C878,Productos!$A:$A,Productos!$E:$E,IFNA(_xlfn.XLOOKUP(TEXT($C878,"0"),Productos!$A:$A,Productos!$E:$E,IFNA(_xlfn.XLOOKUP(IFERROR(VALUE($C878),""),Productos!$A:$A,Productos!$E:$E,_xlfn.XLOOKUP($C878,Productos!$E:$E,Productos!$E:$E,"NO ENCONTRADO")),"NO ENCONTRADO")),"NO ENCONTRADO")),"NO ENCONTRADO"))</f>
        <v/>
      </c>
      <c r="E878" s="74">
        <f t="array" ref="E878">IF(OR($D878="",$D878="NO ENCONTRADO"),"",_xlfn.XLOOKUP($D878,Productos!$E:$E,Productos!$H:$H,""))</f>
        <v/>
      </c>
      <c r="F878" s="74">
        <f t="array" ref="F878">IF(OR($D878="",$D878="NO ENCONTRADO"),"",_xlfn.XLOOKUP($D878,Productos!$E:$E,Productos!$I:$I,""))</f>
        <v/>
      </c>
      <c r="G878" s="74">
        <f t="array" ref="G878">IF(OR($D878="",$D878="NO ENCONTRADO"),"",_xlfn.XLOOKUP($D878,Productos!$E:$E,Productos!$J:$J,""))</f>
        <v/>
      </c>
      <c r="H878" s="74">
        <f t="array" ref="H878">IF(OR($D878="",$D878="NO ENCONTRADO"),"",_xlfn.XLOOKUP($D878,Productos!$E:$E,Productos!$K:$K,""))</f>
        <v/>
      </c>
      <c r="I878" s="74">
        <f t="array" ref="I878">IF(OR($D878="",$D878="NO ENCONTRADO"),"",_xlfn.XLOOKUP($D878,Productos!$E:$E,Productos!$F:$F,""))</f>
        <v/>
      </c>
      <c r="J878" s="74">
        <f>IF($C878="","",IF($D878="NO ENCONTRADO",IF(COUNTIF($C$7:$C$1000,$C878)&gt;1,"⚠️ No encontrado | Duplicado","⚠️ No encontrado"),IF(COUNTIF($C$7:$C$1000,$C878)&gt;1,"⚠️ Duplicado","Verificado")))</f>
        <v/>
      </c>
    </row>
    <row r="879" ht="15.75" customHeight="1" s="176">
      <c r="B879" s="80" t="n"/>
      <c r="C879" s="74" t="n"/>
      <c r="D879" s="74">
        <f t="array" ref="D879">IF($C879="","",IFNA(_xlfn.XLOOKUP($C879,Productos!$A:$A,Productos!$E:$E,IFNA(_xlfn.XLOOKUP(TEXT($C879,"0"),Productos!$A:$A,Productos!$E:$E,IFNA(_xlfn.XLOOKUP(IFERROR(VALUE($C879),""),Productos!$A:$A,Productos!$E:$E,_xlfn.XLOOKUP($C879,Productos!$E:$E,Productos!$E:$E,"NO ENCONTRADO")),"NO ENCONTRADO")),"NO ENCONTRADO")),"NO ENCONTRADO"))</f>
        <v/>
      </c>
      <c r="E879" s="74">
        <f t="array" ref="E879">IF(OR($D879="",$D879="NO ENCONTRADO"),"",_xlfn.XLOOKUP($D879,Productos!$E:$E,Productos!$H:$H,""))</f>
        <v/>
      </c>
      <c r="F879" s="74">
        <f t="array" ref="F879">IF(OR($D879="",$D879="NO ENCONTRADO"),"",_xlfn.XLOOKUP($D879,Productos!$E:$E,Productos!$I:$I,""))</f>
        <v/>
      </c>
      <c r="G879" s="74">
        <f t="array" ref="G879">IF(OR($D879="",$D879="NO ENCONTRADO"),"",_xlfn.XLOOKUP($D879,Productos!$E:$E,Productos!$J:$J,""))</f>
        <v/>
      </c>
      <c r="H879" s="74">
        <f t="array" ref="H879">IF(OR($D879="",$D879="NO ENCONTRADO"),"",_xlfn.XLOOKUP($D879,Productos!$E:$E,Productos!$K:$K,""))</f>
        <v/>
      </c>
      <c r="I879" s="74">
        <f t="array" ref="I879">IF(OR($D879="",$D879="NO ENCONTRADO"),"",_xlfn.XLOOKUP($D879,Productos!$E:$E,Productos!$F:$F,""))</f>
        <v/>
      </c>
      <c r="J879" s="74">
        <f>IF($C879="","",IF($D879="NO ENCONTRADO",IF(COUNTIF($C$7:$C$1000,$C879)&gt;1,"⚠️ No encontrado | Duplicado","⚠️ No encontrado"),IF(COUNTIF($C$7:$C$1000,$C879)&gt;1,"⚠️ Duplicado","Verificado")))</f>
        <v/>
      </c>
    </row>
    <row r="880" ht="15.75" customHeight="1" s="176">
      <c r="B880" s="80" t="n"/>
      <c r="C880" s="74" t="n"/>
      <c r="D880" s="74">
        <f t="array" ref="D880">IF($C880="","",IFNA(_xlfn.XLOOKUP($C880,Productos!$A:$A,Productos!$E:$E,IFNA(_xlfn.XLOOKUP(TEXT($C880,"0"),Productos!$A:$A,Productos!$E:$E,IFNA(_xlfn.XLOOKUP(IFERROR(VALUE($C880),""),Productos!$A:$A,Productos!$E:$E,_xlfn.XLOOKUP($C880,Productos!$E:$E,Productos!$E:$E,"NO ENCONTRADO")),"NO ENCONTRADO")),"NO ENCONTRADO")),"NO ENCONTRADO"))</f>
        <v/>
      </c>
      <c r="E880" s="74">
        <f t="array" ref="E880">IF(OR($D880="",$D880="NO ENCONTRADO"),"",_xlfn.XLOOKUP($D880,Productos!$E:$E,Productos!$H:$H,""))</f>
        <v/>
      </c>
      <c r="F880" s="74">
        <f t="array" ref="F880">IF(OR($D880="",$D880="NO ENCONTRADO"),"",_xlfn.XLOOKUP($D880,Productos!$E:$E,Productos!$I:$I,""))</f>
        <v/>
      </c>
      <c r="G880" s="74">
        <f t="array" ref="G880">IF(OR($D880="",$D880="NO ENCONTRADO"),"",_xlfn.XLOOKUP($D880,Productos!$E:$E,Productos!$J:$J,""))</f>
        <v/>
      </c>
      <c r="H880" s="74">
        <f t="array" ref="H880">IF(OR($D880="",$D880="NO ENCONTRADO"),"",_xlfn.XLOOKUP($D880,Productos!$E:$E,Productos!$K:$K,""))</f>
        <v/>
      </c>
      <c r="I880" s="74">
        <f t="array" ref="I880">IF(OR($D880="",$D880="NO ENCONTRADO"),"",_xlfn.XLOOKUP($D880,Productos!$E:$E,Productos!$F:$F,""))</f>
        <v/>
      </c>
      <c r="J880" s="74">
        <f>IF($C880="","",IF($D880="NO ENCONTRADO",IF(COUNTIF($C$7:$C$1000,$C880)&gt;1,"⚠️ No encontrado | Duplicado","⚠️ No encontrado"),IF(COUNTIF($C$7:$C$1000,$C880)&gt;1,"⚠️ Duplicado","Verificado")))</f>
        <v/>
      </c>
    </row>
    <row r="881" ht="15.75" customHeight="1" s="176">
      <c r="B881" s="80" t="n"/>
      <c r="C881" s="74" t="n"/>
      <c r="D881" s="74">
        <f t="array" ref="D881">IF($C881="","",IFNA(_xlfn.XLOOKUP($C881,Productos!$A:$A,Productos!$E:$E,IFNA(_xlfn.XLOOKUP(TEXT($C881,"0"),Productos!$A:$A,Productos!$E:$E,IFNA(_xlfn.XLOOKUP(IFERROR(VALUE($C881),""),Productos!$A:$A,Productos!$E:$E,_xlfn.XLOOKUP($C881,Productos!$E:$E,Productos!$E:$E,"NO ENCONTRADO")),"NO ENCONTRADO")),"NO ENCONTRADO")),"NO ENCONTRADO"))</f>
        <v/>
      </c>
      <c r="E881" s="74">
        <f t="array" ref="E881">IF(OR($D881="",$D881="NO ENCONTRADO"),"",_xlfn.XLOOKUP($D881,Productos!$E:$E,Productos!$H:$H,""))</f>
        <v/>
      </c>
      <c r="F881" s="74">
        <f t="array" ref="F881">IF(OR($D881="",$D881="NO ENCONTRADO"),"",_xlfn.XLOOKUP($D881,Productos!$E:$E,Productos!$I:$I,""))</f>
        <v/>
      </c>
      <c r="G881" s="74">
        <f t="array" ref="G881">IF(OR($D881="",$D881="NO ENCONTRADO"),"",_xlfn.XLOOKUP($D881,Productos!$E:$E,Productos!$J:$J,""))</f>
        <v/>
      </c>
      <c r="H881" s="74">
        <f t="array" ref="H881">IF(OR($D881="",$D881="NO ENCONTRADO"),"",_xlfn.XLOOKUP($D881,Productos!$E:$E,Productos!$K:$K,""))</f>
        <v/>
      </c>
      <c r="I881" s="74">
        <f t="array" ref="I881">IF(OR($D881="",$D881="NO ENCONTRADO"),"",_xlfn.XLOOKUP($D881,Productos!$E:$E,Productos!$F:$F,""))</f>
        <v/>
      </c>
      <c r="J881" s="74">
        <f>IF($C881="","",IF($D881="NO ENCONTRADO",IF(COUNTIF($C$7:$C$1000,$C881)&gt;1,"⚠️ No encontrado | Duplicado","⚠️ No encontrado"),IF(COUNTIF($C$7:$C$1000,$C881)&gt;1,"⚠️ Duplicado","Verificado")))</f>
        <v/>
      </c>
    </row>
    <row r="882" ht="15.75" customHeight="1" s="176">
      <c r="B882" s="80" t="n"/>
      <c r="C882" s="74" t="n"/>
      <c r="D882" s="74">
        <f t="array" ref="D882">IF($C882="","",IFNA(_xlfn.XLOOKUP($C882,Productos!$A:$A,Productos!$E:$E,IFNA(_xlfn.XLOOKUP(TEXT($C882,"0"),Productos!$A:$A,Productos!$E:$E,IFNA(_xlfn.XLOOKUP(IFERROR(VALUE($C882),""),Productos!$A:$A,Productos!$E:$E,_xlfn.XLOOKUP($C882,Productos!$E:$E,Productos!$E:$E,"NO ENCONTRADO")),"NO ENCONTRADO")),"NO ENCONTRADO")),"NO ENCONTRADO"))</f>
        <v/>
      </c>
      <c r="E882" s="74">
        <f t="array" ref="E882">IF(OR($D882="",$D882="NO ENCONTRADO"),"",_xlfn.XLOOKUP($D882,Productos!$E:$E,Productos!$H:$H,""))</f>
        <v/>
      </c>
      <c r="F882" s="74">
        <f t="array" ref="F882">IF(OR($D882="",$D882="NO ENCONTRADO"),"",_xlfn.XLOOKUP($D882,Productos!$E:$E,Productos!$I:$I,""))</f>
        <v/>
      </c>
      <c r="G882" s="74">
        <f t="array" ref="G882">IF(OR($D882="",$D882="NO ENCONTRADO"),"",_xlfn.XLOOKUP($D882,Productos!$E:$E,Productos!$J:$J,""))</f>
        <v/>
      </c>
      <c r="H882" s="74">
        <f t="array" ref="H882">IF(OR($D882="",$D882="NO ENCONTRADO"),"",_xlfn.XLOOKUP($D882,Productos!$E:$E,Productos!$K:$K,""))</f>
        <v/>
      </c>
      <c r="I882" s="74">
        <f t="array" ref="I882">IF(OR($D882="",$D882="NO ENCONTRADO"),"",_xlfn.XLOOKUP($D882,Productos!$E:$E,Productos!$F:$F,""))</f>
        <v/>
      </c>
      <c r="J882" s="74">
        <f>IF($C882="","",IF($D882="NO ENCONTRADO",IF(COUNTIF($C$7:$C$1000,$C882)&gt;1,"⚠️ No encontrado | Duplicado","⚠️ No encontrado"),IF(COUNTIF($C$7:$C$1000,$C882)&gt;1,"⚠️ Duplicado","Verificado")))</f>
        <v/>
      </c>
    </row>
    <row r="883" ht="15.75" customHeight="1" s="176">
      <c r="B883" s="80" t="n"/>
      <c r="C883" s="74" t="n"/>
      <c r="D883" s="74">
        <f t="array" ref="D883">IF($C883="","",IFNA(_xlfn.XLOOKUP($C883,Productos!$A:$A,Productos!$E:$E,IFNA(_xlfn.XLOOKUP(TEXT($C883,"0"),Productos!$A:$A,Productos!$E:$E,IFNA(_xlfn.XLOOKUP(IFERROR(VALUE($C883),""),Productos!$A:$A,Productos!$E:$E,_xlfn.XLOOKUP($C883,Productos!$E:$E,Productos!$E:$E,"NO ENCONTRADO")),"NO ENCONTRADO")),"NO ENCONTRADO")),"NO ENCONTRADO"))</f>
        <v/>
      </c>
      <c r="E883" s="74">
        <f t="array" ref="E883">IF(OR($D883="",$D883="NO ENCONTRADO"),"",_xlfn.XLOOKUP($D883,Productos!$E:$E,Productos!$H:$H,""))</f>
        <v/>
      </c>
      <c r="F883" s="74">
        <f t="array" ref="F883">IF(OR($D883="",$D883="NO ENCONTRADO"),"",_xlfn.XLOOKUP($D883,Productos!$E:$E,Productos!$I:$I,""))</f>
        <v/>
      </c>
      <c r="G883" s="74">
        <f t="array" ref="G883">IF(OR($D883="",$D883="NO ENCONTRADO"),"",_xlfn.XLOOKUP($D883,Productos!$E:$E,Productos!$J:$J,""))</f>
        <v/>
      </c>
      <c r="H883" s="74">
        <f t="array" ref="H883">IF(OR($D883="",$D883="NO ENCONTRADO"),"",_xlfn.XLOOKUP($D883,Productos!$E:$E,Productos!$K:$K,""))</f>
        <v/>
      </c>
      <c r="I883" s="74">
        <f t="array" ref="I883">IF(OR($D883="",$D883="NO ENCONTRADO"),"",_xlfn.XLOOKUP($D883,Productos!$E:$E,Productos!$F:$F,""))</f>
        <v/>
      </c>
      <c r="J883" s="74">
        <f>IF($C883="","",IF($D883="NO ENCONTRADO",IF(COUNTIF($C$7:$C$1000,$C883)&gt;1,"⚠️ No encontrado | Duplicado","⚠️ No encontrado"),IF(COUNTIF($C$7:$C$1000,$C883)&gt;1,"⚠️ Duplicado","Verificado")))</f>
        <v/>
      </c>
    </row>
    <row r="884" ht="15.75" customHeight="1" s="176">
      <c r="B884" s="80" t="n"/>
      <c r="C884" s="74" t="n"/>
      <c r="D884" s="74">
        <f t="array" ref="D884">IF($C884="","",IFNA(_xlfn.XLOOKUP($C884,Productos!$A:$A,Productos!$E:$E,IFNA(_xlfn.XLOOKUP(TEXT($C884,"0"),Productos!$A:$A,Productos!$E:$E,IFNA(_xlfn.XLOOKUP(IFERROR(VALUE($C884),""),Productos!$A:$A,Productos!$E:$E,_xlfn.XLOOKUP($C884,Productos!$E:$E,Productos!$E:$E,"NO ENCONTRADO")),"NO ENCONTRADO")),"NO ENCONTRADO")),"NO ENCONTRADO"))</f>
        <v/>
      </c>
      <c r="E884" s="74">
        <f t="array" ref="E884">IF(OR($D884="",$D884="NO ENCONTRADO"),"",_xlfn.XLOOKUP($D884,Productos!$E:$E,Productos!$H:$H,""))</f>
        <v/>
      </c>
      <c r="F884" s="74">
        <f t="array" ref="F884">IF(OR($D884="",$D884="NO ENCONTRADO"),"",_xlfn.XLOOKUP($D884,Productos!$E:$E,Productos!$I:$I,""))</f>
        <v/>
      </c>
      <c r="G884" s="74">
        <f t="array" ref="G884">IF(OR($D884="",$D884="NO ENCONTRADO"),"",_xlfn.XLOOKUP($D884,Productos!$E:$E,Productos!$J:$J,""))</f>
        <v/>
      </c>
      <c r="H884" s="74">
        <f t="array" ref="H884">IF(OR($D884="",$D884="NO ENCONTRADO"),"",_xlfn.XLOOKUP($D884,Productos!$E:$E,Productos!$K:$K,""))</f>
        <v/>
      </c>
      <c r="I884" s="74">
        <f t="array" ref="I884">IF(OR($D884="",$D884="NO ENCONTRADO"),"",_xlfn.XLOOKUP($D884,Productos!$E:$E,Productos!$F:$F,""))</f>
        <v/>
      </c>
      <c r="J884" s="74">
        <f>IF($C884="","",IF($D884="NO ENCONTRADO",IF(COUNTIF($C$7:$C$1000,$C884)&gt;1,"⚠️ No encontrado | Duplicado","⚠️ No encontrado"),IF(COUNTIF($C$7:$C$1000,$C884)&gt;1,"⚠️ Duplicado","Verificado")))</f>
        <v/>
      </c>
    </row>
    <row r="885" ht="15.75" customHeight="1" s="176">
      <c r="B885" s="80" t="n"/>
      <c r="C885" s="74" t="n"/>
      <c r="D885" s="74">
        <f t="array" ref="D885">IF($C885="","",IFNA(_xlfn.XLOOKUP($C885,Productos!$A:$A,Productos!$E:$E,IFNA(_xlfn.XLOOKUP(TEXT($C885,"0"),Productos!$A:$A,Productos!$E:$E,IFNA(_xlfn.XLOOKUP(IFERROR(VALUE($C885),""),Productos!$A:$A,Productos!$E:$E,_xlfn.XLOOKUP($C885,Productos!$E:$E,Productos!$E:$E,"NO ENCONTRADO")),"NO ENCONTRADO")),"NO ENCONTRADO")),"NO ENCONTRADO"))</f>
        <v/>
      </c>
      <c r="E885" s="74">
        <f t="array" ref="E885">IF(OR($D885="",$D885="NO ENCONTRADO"),"",_xlfn.XLOOKUP($D885,Productos!$E:$E,Productos!$H:$H,""))</f>
        <v/>
      </c>
      <c r="F885" s="74">
        <f t="array" ref="F885">IF(OR($D885="",$D885="NO ENCONTRADO"),"",_xlfn.XLOOKUP($D885,Productos!$E:$E,Productos!$I:$I,""))</f>
        <v/>
      </c>
      <c r="G885" s="74">
        <f t="array" ref="G885">IF(OR($D885="",$D885="NO ENCONTRADO"),"",_xlfn.XLOOKUP($D885,Productos!$E:$E,Productos!$J:$J,""))</f>
        <v/>
      </c>
      <c r="H885" s="74">
        <f t="array" ref="H885">IF(OR($D885="",$D885="NO ENCONTRADO"),"",_xlfn.XLOOKUP($D885,Productos!$E:$E,Productos!$K:$K,""))</f>
        <v/>
      </c>
      <c r="I885" s="74">
        <f t="array" ref="I885">IF(OR($D885="",$D885="NO ENCONTRADO"),"",_xlfn.XLOOKUP($D885,Productos!$E:$E,Productos!$F:$F,""))</f>
        <v/>
      </c>
      <c r="J885" s="74">
        <f>IF($C885="","",IF($D885="NO ENCONTRADO",IF(COUNTIF($C$7:$C$1000,$C885)&gt;1,"⚠️ No encontrado | Duplicado","⚠️ No encontrado"),IF(COUNTIF($C$7:$C$1000,$C885)&gt;1,"⚠️ Duplicado","Verificado")))</f>
        <v/>
      </c>
    </row>
    <row r="886" ht="15.75" customHeight="1" s="176">
      <c r="B886" s="80" t="n"/>
      <c r="C886" s="74" t="n"/>
      <c r="D886" s="74">
        <f t="array" ref="D886">IF($C886="","",IFNA(_xlfn.XLOOKUP($C886,Productos!$A:$A,Productos!$E:$E,IFNA(_xlfn.XLOOKUP(TEXT($C886,"0"),Productos!$A:$A,Productos!$E:$E,IFNA(_xlfn.XLOOKUP(IFERROR(VALUE($C886),""),Productos!$A:$A,Productos!$E:$E,_xlfn.XLOOKUP($C886,Productos!$E:$E,Productos!$E:$E,"NO ENCONTRADO")),"NO ENCONTRADO")),"NO ENCONTRADO")),"NO ENCONTRADO"))</f>
        <v/>
      </c>
      <c r="E886" s="74">
        <f t="array" ref="E886">IF(OR($D886="",$D886="NO ENCONTRADO"),"",_xlfn.XLOOKUP($D886,Productos!$E:$E,Productos!$H:$H,""))</f>
        <v/>
      </c>
      <c r="F886" s="74">
        <f t="array" ref="F886">IF(OR($D886="",$D886="NO ENCONTRADO"),"",_xlfn.XLOOKUP($D886,Productos!$E:$E,Productos!$I:$I,""))</f>
        <v/>
      </c>
      <c r="G886" s="74">
        <f t="array" ref="G886">IF(OR($D886="",$D886="NO ENCONTRADO"),"",_xlfn.XLOOKUP($D886,Productos!$E:$E,Productos!$J:$J,""))</f>
        <v/>
      </c>
      <c r="H886" s="74">
        <f t="array" ref="H886">IF(OR($D886="",$D886="NO ENCONTRADO"),"",_xlfn.XLOOKUP($D886,Productos!$E:$E,Productos!$K:$K,""))</f>
        <v/>
      </c>
      <c r="I886" s="74">
        <f t="array" ref="I886">IF(OR($D886="",$D886="NO ENCONTRADO"),"",_xlfn.XLOOKUP($D886,Productos!$E:$E,Productos!$F:$F,""))</f>
        <v/>
      </c>
      <c r="J886" s="74">
        <f>IF($C886="","",IF($D886="NO ENCONTRADO",IF(COUNTIF($C$7:$C$1000,$C886)&gt;1,"⚠️ No encontrado | Duplicado","⚠️ No encontrado"),IF(COUNTIF($C$7:$C$1000,$C886)&gt;1,"⚠️ Duplicado","Verificado")))</f>
        <v/>
      </c>
    </row>
    <row r="887" ht="15.75" customHeight="1" s="176">
      <c r="B887" s="80" t="n"/>
      <c r="C887" s="74" t="n"/>
      <c r="D887" s="74">
        <f t="array" ref="D887">IF($C887="","",IFNA(_xlfn.XLOOKUP($C887,Productos!$A:$A,Productos!$E:$E,IFNA(_xlfn.XLOOKUP(TEXT($C887,"0"),Productos!$A:$A,Productos!$E:$E,IFNA(_xlfn.XLOOKUP(IFERROR(VALUE($C887),""),Productos!$A:$A,Productos!$E:$E,_xlfn.XLOOKUP($C887,Productos!$E:$E,Productos!$E:$E,"NO ENCONTRADO")),"NO ENCONTRADO")),"NO ENCONTRADO")),"NO ENCONTRADO"))</f>
        <v/>
      </c>
      <c r="E887" s="74">
        <f t="array" ref="E887">IF(OR($D887="",$D887="NO ENCONTRADO"),"",_xlfn.XLOOKUP($D887,Productos!$E:$E,Productos!$H:$H,""))</f>
        <v/>
      </c>
      <c r="F887" s="74">
        <f t="array" ref="F887">IF(OR($D887="",$D887="NO ENCONTRADO"),"",_xlfn.XLOOKUP($D887,Productos!$E:$E,Productos!$I:$I,""))</f>
        <v/>
      </c>
      <c r="G887" s="74">
        <f t="array" ref="G887">IF(OR($D887="",$D887="NO ENCONTRADO"),"",_xlfn.XLOOKUP($D887,Productos!$E:$E,Productos!$J:$J,""))</f>
        <v/>
      </c>
      <c r="H887" s="74">
        <f t="array" ref="H887">IF(OR($D887="",$D887="NO ENCONTRADO"),"",_xlfn.XLOOKUP($D887,Productos!$E:$E,Productos!$K:$K,""))</f>
        <v/>
      </c>
      <c r="I887" s="74">
        <f t="array" ref="I887">IF(OR($D887="",$D887="NO ENCONTRADO"),"",_xlfn.XLOOKUP($D887,Productos!$E:$E,Productos!$F:$F,""))</f>
        <v/>
      </c>
      <c r="J887" s="74">
        <f>IF($C887="","",IF($D887="NO ENCONTRADO",IF(COUNTIF($C$7:$C$1000,$C887)&gt;1,"⚠️ No encontrado | Duplicado","⚠️ No encontrado"),IF(COUNTIF($C$7:$C$1000,$C887)&gt;1,"⚠️ Duplicado","Verificado")))</f>
        <v/>
      </c>
    </row>
    <row r="888" ht="15.75" customHeight="1" s="176">
      <c r="B888" s="80" t="n"/>
      <c r="C888" s="74" t="n"/>
      <c r="D888" s="74">
        <f t="array" ref="D888">IF($C888="","",IFNA(_xlfn.XLOOKUP($C888,Productos!$A:$A,Productos!$E:$E,IFNA(_xlfn.XLOOKUP(TEXT($C888,"0"),Productos!$A:$A,Productos!$E:$E,IFNA(_xlfn.XLOOKUP(IFERROR(VALUE($C888),""),Productos!$A:$A,Productos!$E:$E,_xlfn.XLOOKUP($C888,Productos!$E:$E,Productos!$E:$E,"NO ENCONTRADO")),"NO ENCONTRADO")),"NO ENCONTRADO")),"NO ENCONTRADO"))</f>
        <v/>
      </c>
      <c r="E888" s="74">
        <f t="array" ref="E888">IF(OR($D888="",$D888="NO ENCONTRADO"),"",_xlfn.XLOOKUP($D888,Productos!$E:$E,Productos!$H:$H,""))</f>
        <v/>
      </c>
      <c r="F888" s="74">
        <f t="array" ref="F888">IF(OR($D888="",$D888="NO ENCONTRADO"),"",_xlfn.XLOOKUP($D888,Productos!$E:$E,Productos!$I:$I,""))</f>
        <v/>
      </c>
      <c r="G888" s="74">
        <f t="array" ref="G888">IF(OR($D888="",$D888="NO ENCONTRADO"),"",_xlfn.XLOOKUP($D888,Productos!$E:$E,Productos!$J:$J,""))</f>
        <v/>
      </c>
      <c r="H888" s="74">
        <f t="array" ref="H888">IF(OR($D888="",$D888="NO ENCONTRADO"),"",_xlfn.XLOOKUP($D888,Productos!$E:$E,Productos!$K:$K,""))</f>
        <v/>
      </c>
      <c r="I888" s="74">
        <f t="array" ref="I888">IF(OR($D888="",$D888="NO ENCONTRADO"),"",_xlfn.XLOOKUP($D888,Productos!$E:$E,Productos!$F:$F,""))</f>
        <v/>
      </c>
      <c r="J888" s="74">
        <f>IF($C888="","",IF($D888="NO ENCONTRADO",IF(COUNTIF($C$7:$C$1000,$C888)&gt;1,"⚠️ No encontrado | Duplicado","⚠️ No encontrado"),IF(COUNTIF($C$7:$C$1000,$C888)&gt;1,"⚠️ Duplicado","Verificado")))</f>
        <v/>
      </c>
    </row>
    <row r="889" ht="15.75" customHeight="1" s="176">
      <c r="B889" s="80" t="n"/>
      <c r="C889" s="74" t="n"/>
      <c r="D889" s="74">
        <f t="array" ref="D889">IF($C889="","",IFNA(_xlfn.XLOOKUP($C889,Productos!$A:$A,Productos!$E:$E,IFNA(_xlfn.XLOOKUP(TEXT($C889,"0"),Productos!$A:$A,Productos!$E:$E,IFNA(_xlfn.XLOOKUP(IFERROR(VALUE($C889),""),Productos!$A:$A,Productos!$E:$E,_xlfn.XLOOKUP($C889,Productos!$E:$E,Productos!$E:$E,"NO ENCONTRADO")),"NO ENCONTRADO")),"NO ENCONTRADO")),"NO ENCONTRADO"))</f>
        <v/>
      </c>
      <c r="E889" s="74">
        <f t="array" ref="E889">IF(OR($D889="",$D889="NO ENCONTRADO"),"",_xlfn.XLOOKUP($D889,Productos!$E:$E,Productos!$H:$H,""))</f>
        <v/>
      </c>
      <c r="F889" s="74">
        <f t="array" ref="F889">IF(OR($D889="",$D889="NO ENCONTRADO"),"",_xlfn.XLOOKUP($D889,Productos!$E:$E,Productos!$I:$I,""))</f>
        <v/>
      </c>
      <c r="G889" s="74">
        <f t="array" ref="G889">IF(OR($D889="",$D889="NO ENCONTRADO"),"",_xlfn.XLOOKUP($D889,Productos!$E:$E,Productos!$J:$J,""))</f>
        <v/>
      </c>
      <c r="H889" s="74">
        <f t="array" ref="H889">IF(OR($D889="",$D889="NO ENCONTRADO"),"",_xlfn.XLOOKUP($D889,Productos!$E:$E,Productos!$K:$K,""))</f>
        <v/>
      </c>
      <c r="I889" s="74">
        <f t="array" ref="I889">IF(OR($D889="",$D889="NO ENCONTRADO"),"",_xlfn.XLOOKUP($D889,Productos!$E:$E,Productos!$F:$F,""))</f>
        <v/>
      </c>
      <c r="J889" s="74">
        <f>IF($C889="","",IF($D889="NO ENCONTRADO",IF(COUNTIF($C$7:$C$1000,$C889)&gt;1,"⚠️ No encontrado | Duplicado","⚠️ No encontrado"),IF(COUNTIF($C$7:$C$1000,$C889)&gt;1,"⚠️ Duplicado","Verificado")))</f>
        <v/>
      </c>
    </row>
    <row r="890" ht="15.75" customHeight="1" s="176">
      <c r="B890" s="80" t="n"/>
      <c r="C890" s="74" t="n"/>
      <c r="D890" s="74">
        <f t="array" ref="D890">IF($C890="","",IFNA(_xlfn.XLOOKUP($C890,Productos!$A:$A,Productos!$E:$E,IFNA(_xlfn.XLOOKUP(TEXT($C890,"0"),Productos!$A:$A,Productos!$E:$E,IFNA(_xlfn.XLOOKUP(IFERROR(VALUE($C890),""),Productos!$A:$A,Productos!$E:$E,_xlfn.XLOOKUP($C890,Productos!$E:$E,Productos!$E:$E,"NO ENCONTRADO")),"NO ENCONTRADO")),"NO ENCONTRADO")),"NO ENCONTRADO"))</f>
        <v/>
      </c>
      <c r="E890" s="74">
        <f t="array" ref="E890">IF(OR($D890="",$D890="NO ENCONTRADO"),"",_xlfn.XLOOKUP($D890,Productos!$E:$E,Productos!$H:$H,""))</f>
        <v/>
      </c>
      <c r="F890" s="74">
        <f t="array" ref="F890">IF(OR($D890="",$D890="NO ENCONTRADO"),"",_xlfn.XLOOKUP($D890,Productos!$E:$E,Productos!$I:$I,""))</f>
        <v/>
      </c>
      <c r="G890" s="74">
        <f t="array" ref="G890">IF(OR($D890="",$D890="NO ENCONTRADO"),"",_xlfn.XLOOKUP($D890,Productos!$E:$E,Productos!$J:$J,""))</f>
        <v/>
      </c>
      <c r="H890" s="74">
        <f t="array" ref="H890">IF(OR($D890="",$D890="NO ENCONTRADO"),"",_xlfn.XLOOKUP($D890,Productos!$E:$E,Productos!$K:$K,""))</f>
        <v/>
      </c>
      <c r="I890" s="74">
        <f t="array" ref="I890">IF(OR($D890="",$D890="NO ENCONTRADO"),"",_xlfn.XLOOKUP($D890,Productos!$E:$E,Productos!$F:$F,""))</f>
        <v/>
      </c>
      <c r="J890" s="74">
        <f>IF($C890="","",IF($D890="NO ENCONTRADO",IF(COUNTIF($C$7:$C$1000,$C890)&gt;1,"⚠️ No encontrado | Duplicado","⚠️ No encontrado"),IF(COUNTIF($C$7:$C$1000,$C890)&gt;1,"⚠️ Duplicado","Verificado")))</f>
        <v/>
      </c>
    </row>
    <row r="891" ht="15.75" customHeight="1" s="176">
      <c r="B891" s="80" t="n"/>
      <c r="C891" s="74" t="n"/>
      <c r="D891" s="74">
        <f t="array" ref="D891">IF($C891="","",IFNA(_xlfn.XLOOKUP($C891,Productos!$A:$A,Productos!$E:$E,IFNA(_xlfn.XLOOKUP(TEXT($C891,"0"),Productos!$A:$A,Productos!$E:$E,IFNA(_xlfn.XLOOKUP(IFERROR(VALUE($C891),""),Productos!$A:$A,Productos!$E:$E,_xlfn.XLOOKUP($C891,Productos!$E:$E,Productos!$E:$E,"NO ENCONTRADO")),"NO ENCONTRADO")),"NO ENCONTRADO")),"NO ENCONTRADO"))</f>
        <v/>
      </c>
      <c r="E891" s="74">
        <f t="array" ref="E891">IF(OR($D891="",$D891="NO ENCONTRADO"),"",_xlfn.XLOOKUP($D891,Productos!$E:$E,Productos!$H:$H,""))</f>
        <v/>
      </c>
      <c r="F891" s="74">
        <f t="array" ref="F891">IF(OR($D891="",$D891="NO ENCONTRADO"),"",_xlfn.XLOOKUP($D891,Productos!$E:$E,Productos!$I:$I,""))</f>
        <v/>
      </c>
      <c r="G891" s="74">
        <f t="array" ref="G891">IF(OR($D891="",$D891="NO ENCONTRADO"),"",_xlfn.XLOOKUP($D891,Productos!$E:$E,Productos!$J:$J,""))</f>
        <v/>
      </c>
      <c r="H891" s="74">
        <f t="array" ref="H891">IF(OR($D891="",$D891="NO ENCONTRADO"),"",_xlfn.XLOOKUP($D891,Productos!$E:$E,Productos!$K:$K,""))</f>
        <v/>
      </c>
      <c r="I891" s="74">
        <f t="array" ref="I891">IF(OR($D891="",$D891="NO ENCONTRADO"),"",_xlfn.XLOOKUP($D891,Productos!$E:$E,Productos!$F:$F,""))</f>
        <v/>
      </c>
      <c r="J891" s="74">
        <f>IF($C891="","",IF($D891="NO ENCONTRADO",IF(COUNTIF($C$7:$C$1000,$C891)&gt;1,"⚠️ No encontrado | Duplicado","⚠️ No encontrado"),IF(COUNTIF($C$7:$C$1000,$C891)&gt;1,"⚠️ Duplicado","Verificado")))</f>
        <v/>
      </c>
    </row>
    <row r="892" ht="15.75" customHeight="1" s="176">
      <c r="B892" s="80" t="n"/>
      <c r="C892" s="74" t="n"/>
      <c r="D892" s="74">
        <f t="array" ref="D892">IF($C892="","",IFNA(_xlfn.XLOOKUP($C892,Productos!$A:$A,Productos!$E:$E,IFNA(_xlfn.XLOOKUP(TEXT($C892,"0"),Productos!$A:$A,Productos!$E:$E,IFNA(_xlfn.XLOOKUP(IFERROR(VALUE($C892),""),Productos!$A:$A,Productos!$E:$E,_xlfn.XLOOKUP($C892,Productos!$E:$E,Productos!$E:$E,"NO ENCONTRADO")),"NO ENCONTRADO")),"NO ENCONTRADO")),"NO ENCONTRADO"))</f>
        <v/>
      </c>
      <c r="E892" s="74">
        <f t="array" ref="E892">IF(OR($D892="",$D892="NO ENCONTRADO"),"",_xlfn.XLOOKUP($D892,Productos!$E:$E,Productos!$H:$H,""))</f>
        <v/>
      </c>
      <c r="F892" s="74">
        <f t="array" ref="F892">IF(OR($D892="",$D892="NO ENCONTRADO"),"",_xlfn.XLOOKUP($D892,Productos!$E:$E,Productos!$I:$I,""))</f>
        <v/>
      </c>
      <c r="G892" s="74">
        <f t="array" ref="G892">IF(OR($D892="",$D892="NO ENCONTRADO"),"",_xlfn.XLOOKUP($D892,Productos!$E:$E,Productos!$J:$J,""))</f>
        <v/>
      </c>
      <c r="H892" s="74">
        <f t="array" ref="H892">IF(OR($D892="",$D892="NO ENCONTRADO"),"",_xlfn.XLOOKUP($D892,Productos!$E:$E,Productos!$K:$K,""))</f>
        <v/>
      </c>
      <c r="I892" s="74">
        <f t="array" ref="I892">IF(OR($D892="",$D892="NO ENCONTRADO"),"",_xlfn.XLOOKUP($D892,Productos!$E:$E,Productos!$F:$F,""))</f>
        <v/>
      </c>
      <c r="J892" s="74">
        <f>IF($C892="","",IF($D892="NO ENCONTRADO",IF(COUNTIF($C$7:$C$1000,$C892)&gt;1,"⚠️ No encontrado | Duplicado","⚠️ No encontrado"),IF(COUNTIF($C$7:$C$1000,$C892)&gt;1,"⚠️ Duplicado","Verificado")))</f>
        <v/>
      </c>
    </row>
    <row r="893" ht="15.75" customHeight="1" s="176">
      <c r="B893" s="80" t="n"/>
      <c r="C893" s="74" t="n"/>
      <c r="D893" s="74">
        <f t="array" ref="D893">IF($C893="","",IFNA(_xlfn.XLOOKUP($C893,Productos!$A:$A,Productos!$E:$E,IFNA(_xlfn.XLOOKUP(TEXT($C893,"0"),Productos!$A:$A,Productos!$E:$E,IFNA(_xlfn.XLOOKUP(IFERROR(VALUE($C893),""),Productos!$A:$A,Productos!$E:$E,_xlfn.XLOOKUP($C893,Productos!$E:$E,Productos!$E:$E,"NO ENCONTRADO")),"NO ENCONTRADO")),"NO ENCONTRADO")),"NO ENCONTRADO"))</f>
        <v/>
      </c>
      <c r="E893" s="74">
        <f t="array" ref="E893">IF(OR($D893="",$D893="NO ENCONTRADO"),"",_xlfn.XLOOKUP($D893,Productos!$E:$E,Productos!$H:$H,""))</f>
        <v/>
      </c>
      <c r="F893" s="74">
        <f t="array" ref="F893">IF(OR($D893="",$D893="NO ENCONTRADO"),"",_xlfn.XLOOKUP($D893,Productos!$E:$E,Productos!$I:$I,""))</f>
        <v/>
      </c>
      <c r="G893" s="74">
        <f t="array" ref="G893">IF(OR($D893="",$D893="NO ENCONTRADO"),"",_xlfn.XLOOKUP($D893,Productos!$E:$E,Productos!$J:$J,""))</f>
        <v/>
      </c>
      <c r="H893" s="74">
        <f t="array" ref="H893">IF(OR($D893="",$D893="NO ENCONTRADO"),"",_xlfn.XLOOKUP($D893,Productos!$E:$E,Productos!$K:$K,""))</f>
        <v/>
      </c>
      <c r="I893" s="74">
        <f t="array" ref="I893">IF(OR($D893="",$D893="NO ENCONTRADO"),"",_xlfn.XLOOKUP($D893,Productos!$E:$E,Productos!$F:$F,""))</f>
        <v/>
      </c>
      <c r="J893" s="74">
        <f>IF($C893="","",IF($D893="NO ENCONTRADO",IF(COUNTIF($C$7:$C$1000,$C893)&gt;1,"⚠️ No encontrado | Duplicado","⚠️ No encontrado"),IF(COUNTIF($C$7:$C$1000,$C893)&gt;1,"⚠️ Duplicado","Verificado")))</f>
        <v/>
      </c>
    </row>
    <row r="894" ht="15.75" customHeight="1" s="176">
      <c r="B894" s="80" t="n"/>
      <c r="C894" s="74" t="n"/>
      <c r="D894" s="74">
        <f t="array" ref="D894">IF($C894="","",IFNA(_xlfn.XLOOKUP($C894,Productos!$A:$A,Productos!$E:$E,IFNA(_xlfn.XLOOKUP(TEXT($C894,"0"),Productos!$A:$A,Productos!$E:$E,IFNA(_xlfn.XLOOKUP(IFERROR(VALUE($C894),""),Productos!$A:$A,Productos!$E:$E,_xlfn.XLOOKUP($C894,Productos!$E:$E,Productos!$E:$E,"NO ENCONTRADO")),"NO ENCONTRADO")),"NO ENCONTRADO")),"NO ENCONTRADO"))</f>
        <v/>
      </c>
      <c r="E894" s="74">
        <f t="array" ref="E894">IF(OR($D894="",$D894="NO ENCONTRADO"),"",_xlfn.XLOOKUP($D894,Productos!$E:$E,Productos!$H:$H,""))</f>
        <v/>
      </c>
      <c r="F894" s="74">
        <f t="array" ref="F894">IF(OR($D894="",$D894="NO ENCONTRADO"),"",_xlfn.XLOOKUP($D894,Productos!$E:$E,Productos!$I:$I,""))</f>
        <v/>
      </c>
      <c r="G894" s="74">
        <f t="array" ref="G894">IF(OR($D894="",$D894="NO ENCONTRADO"),"",_xlfn.XLOOKUP($D894,Productos!$E:$E,Productos!$J:$J,""))</f>
        <v/>
      </c>
      <c r="H894" s="74">
        <f t="array" ref="H894">IF(OR($D894="",$D894="NO ENCONTRADO"),"",_xlfn.XLOOKUP($D894,Productos!$E:$E,Productos!$K:$K,""))</f>
        <v/>
      </c>
      <c r="I894" s="74">
        <f t="array" ref="I894">IF(OR($D894="",$D894="NO ENCONTRADO"),"",_xlfn.XLOOKUP($D894,Productos!$E:$E,Productos!$F:$F,""))</f>
        <v/>
      </c>
      <c r="J894" s="74">
        <f>IF($C894="","",IF($D894="NO ENCONTRADO",IF(COUNTIF($C$7:$C$1000,$C894)&gt;1,"⚠️ No encontrado | Duplicado","⚠️ No encontrado"),IF(COUNTIF($C$7:$C$1000,$C894)&gt;1,"⚠️ Duplicado","Verificado")))</f>
        <v/>
      </c>
    </row>
    <row r="895" ht="15.75" customHeight="1" s="176">
      <c r="B895" s="80" t="n"/>
      <c r="C895" s="74" t="n"/>
      <c r="D895" s="74">
        <f t="array" ref="D895">IF($C895="","",IFNA(_xlfn.XLOOKUP($C895,Productos!$A:$A,Productos!$E:$E,IFNA(_xlfn.XLOOKUP(TEXT($C895,"0"),Productos!$A:$A,Productos!$E:$E,IFNA(_xlfn.XLOOKUP(IFERROR(VALUE($C895),""),Productos!$A:$A,Productos!$E:$E,_xlfn.XLOOKUP($C895,Productos!$E:$E,Productos!$E:$E,"NO ENCONTRADO")),"NO ENCONTRADO")),"NO ENCONTRADO")),"NO ENCONTRADO"))</f>
        <v/>
      </c>
      <c r="E895" s="74">
        <f t="array" ref="E895">IF(OR($D895="",$D895="NO ENCONTRADO"),"",_xlfn.XLOOKUP($D895,Productos!$E:$E,Productos!$H:$H,""))</f>
        <v/>
      </c>
      <c r="F895" s="74">
        <f t="array" ref="F895">IF(OR($D895="",$D895="NO ENCONTRADO"),"",_xlfn.XLOOKUP($D895,Productos!$E:$E,Productos!$I:$I,""))</f>
        <v/>
      </c>
      <c r="G895" s="74">
        <f t="array" ref="G895">IF(OR($D895="",$D895="NO ENCONTRADO"),"",_xlfn.XLOOKUP($D895,Productos!$E:$E,Productos!$J:$J,""))</f>
        <v/>
      </c>
      <c r="H895" s="74">
        <f t="array" ref="H895">IF(OR($D895="",$D895="NO ENCONTRADO"),"",_xlfn.XLOOKUP($D895,Productos!$E:$E,Productos!$K:$K,""))</f>
        <v/>
      </c>
      <c r="I895" s="74">
        <f t="array" ref="I895">IF(OR($D895="",$D895="NO ENCONTRADO"),"",_xlfn.XLOOKUP($D895,Productos!$E:$E,Productos!$F:$F,""))</f>
        <v/>
      </c>
      <c r="J895" s="74">
        <f>IF($C895="","",IF($D895="NO ENCONTRADO",IF(COUNTIF($C$7:$C$1000,$C895)&gt;1,"⚠️ No encontrado | Duplicado","⚠️ No encontrado"),IF(COUNTIF($C$7:$C$1000,$C895)&gt;1,"⚠️ Duplicado","Verificado")))</f>
        <v/>
      </c>
    </row>
    <row r="896" ht="15.75" customHeight="1" s="176">
      <c r="B896" s="80" t="n"/>
      <c r="C896" s="74" t="n"/>
      <c r="D896" s="74">
        <f t="array" ref="D896">IF($C896="","",IFNA(_xlfn.XLOOKUP($C896,Productos!$A:$A,Productos!$E:$E,IFNA(_xlfn.XLOOKUP(TEXT($C896,"0"),Productos!$A:$A,Productos!$E:$E,IFNA(_xlfn.XLOOKUP(IFERROR(VALUE($C896),""),Productos!$A:$A,Productos!$E:$E,_xlfn.XLOOKUP($C896,Productos!$E:$E,Productos!$E:$E,"NO ENCONTRADO")),"NO ENCONTRADO")),"NO ENCONTRADO")),"NO ENCONTRADO"))</f>
        <v/>
      </c>
      <c r="E896" s="74">
        <f t="array" ref="E896">IF(OR($D896="",$D896="NO ENCONTRADO"),"",_xlfn.XLOOKUP($D896,Productos!$E:$E,Productos!$H:$H,""))</f>
        <v/>
      </c>
      <c r="F896" s="74">
        <f t="array" ref="F896">IF(OR($D896="",$D896="NO ENCONTRADO"),"",_xlfn.XLOOKUP($D896,Productos!$E:$E,Productos!$I:$I,""))</f>
        <v/>
      </c>
      <c r="G896" s="74">
        <f t="array" ref="G896">IF(OR($D896="",$D896="NO ENCONTRADO"),"",_xlfn.XLOOKUP($D896,Productos!$E:$E,Productos!$J:$J,""))</f>
        <v/>
      </c>
      <c r="H896" s="74">
        <f t="array" ref="H896">IF(OR($D896="",$D896="NO ENCONTRADO"),"",_xlfn.XLOOKUP($D896,Productos!$E:$E,Productos!$K:$K,""))</f>
        <v/>
      </c>
      <c r="I896" s="74">
        <f t="array" ref="I896">IF(OR($D896="",$D896="NO ENCONTRADO"),"",_xlfn.XLOOKUP($D896,Productos!$E:$E,Productos!$F:$F,""))</f>
        <v/>
      </c>
      <c r="J896" s="74">
        <f>IF($C896="","",IF($D896="NO ENCONTRADO",IF(COUNTIF($C$7:$C$1000,$C896)&gt;1,"⚠️ No encontrado | Duplicado","⚠️ No encontrado"),IF(COUNTIF($C$7:$C$1000,$C896)&gt;1,"⚠️ Duplicado","Verificado")))</f>
        <v/>
      </c>
    </row>
    <row r="897" ht="15.75" customHeight="1" s="176">
      <c r="B897" s="80" t="n"/>
      <c r="C897" s="74" t="n"/>
      <c r="D897" s="74">
        <f t="array" ref="D897">IF($C897="","",IFNA(_xlfn.XLOOKUP($C897,Productos!$A:$A,Productos!$E:$E,IFNA(_xlfn.XLOOKUP(TEXT($C897,"0"),Productos!$A:$A,Productos!$E:$E,IFNA(_xlfn.XLOOKUP(IFERROR(VALUE($C897),""),Productos!$A:$A,Productos!$E:$E,_xlfn.XLOOKUP($C897,Productos!$E:$E,Productos!$E:$E,"NO ENCONTRADO")),"NO ENCONTRADO")),"NO ENCONTRADO")),"NO ENCONTRADO"))</f>
        <v/>
      </c>
      <c r="E897" s="74">
        <f t="array" ref="E897">IF(OR($D897="",$D897="NO ENCONTRADO"),"",_xlfn.XLOOKUP($D897,Productos!$E:$E,Productos!$H:$H,""))</f>
        <v/>
      </c>
      <c r="F897" s="74">
        <f t="array" ref="F897">IF(OR($D897="",$D897="NO ENCONTRADO"),"",_xlfn.XLOOKUP($D897,Productos!$E:$E,Productos!$I:$I,""))</f>
        <v/>
      </c>
      <c r="G897" s="74">
        <f t="array" ref="G897">IF(OR($D897="",$D897="NO ENCONTRADO"),"",_xlfn.XLOOKUP($D897,Productos!$E:$E,Productos!$J:$J,""))</f>
        <v/>
      </c>
      <c r="H897" s="74">
        <f t="array" ref="H897">IF(OR($D897="",$D897="NO ENCONTRADO"),"",_xlfn.XLOOKUP($D897,Productos!$E:$E,Productos!$K:$K,""))</f>
        <v/>
      </c>
      <c r="I897" s="74">
        <f t="array" ref="I897">IF(OR($D897="",$D897="NO ENCONTRADO"),"",_xlfn.XLOOKUP($D897,Productos!$E:$E,Productos!$F:$F,""))</f>
        <v/>
      </c>
      <c r="J897" s="74">
        <f>IF($C897="","",IF($D897="NO ENCONTRADO",IF(COUNTIF($C$7:$C$1000,$C897)&gt;1,"⚠️ No encontrado | Duplicado","⚠️ No encontrado"),IF(COUNTIF($C$7:$C$1000,$C897)&gt;1,"⚠️ Duplicado","Verificado")))</f>
        <v/>
      </c>
    </row>
    <row r="898" ht="15.75" customHeight="1" s="176">
      <c r="B898" s="80" t="n"/>
      <c r="C898" s="74" t="n"/>
      <c r="D898" s="74">
        <f t="array" ref="D898">IF($C898="","",IFNA(_xlfn.XLOOKUP($C898,Productos!$A:$A,Productos!$E:$E,IFNA(_xlfn.XLOOKUP(TEXT($C898,"0"),Productos!$A:$A,Productos!$E:$E,IFNA(_xlfn.XLOOKUP(IFERROR(VALUE($C898),""),Productos!$A:$A,Productos!$E:$E,_xlfn.XLOOKUP($C898,Productos!$E:$E,Productos!$E:$E,"NO ENCONTRADO")),"NO ENCONTRADO")),"NO ENCONTRADO")),"NO ENCONTRADO"))</f>
        <v/>
      </c>
      <c r="E898" s="74">
        <f t="array" ref="E898">IF(OR($D898="",$D898="NO ENCONTRADO"),"",_xlfn.XLOOKUP($D898,Productos!$E:$E,Productos!$H:$H,""))</f>
        <v/>
      </c>
      <c r="F898" s="74">
        <f t="array" ref="F898">IF(OR($D898="",$D898="NO ENCONTRADO"),"",_xlfn.XLOOKUP($D898,Productos!$E:$E,Productos!$I:$I,""))</f>
        <v/>
      </c>
      <c r="G898" s="74">
        <f t="array" ref="G898">IF(OR($D898="",$D898="NO ENCONTRADO"),"",_xlfn.XLOOKUP($D898,Productos!$E:$E,Productos!$J:$J,""))</f>
        <v/>
      </c>
      <c r="H898" s="74">
        <f t="array" ref="H898">IF(OR($D898="",$D898="NO ENCONTRADO"),"",_xlfn.XLOOKUP($D898,Productos!$E:$E,Productos!$K:$K,""))</f>
        <v/>
      </c>
      <c r="I898" s="74">
        <f t="array" ref="I898">IF(OR($D898="",$D898="NO ENCONTRADO"),"",_xlfn.XLOOKUP($D898,Productos!$E:$E,Productos!$F:$F,""))</f>
        <v/>
      </c>
      <c r="J898" s="74">
        <f>IF($C898="","",IF($D898="NO ENCONTRADO",IF(COUNTIF($C$7:$C$1000,$C898)&gt;1,"⚠️ No encontrado | Duplicado","⚠️ No encontrado"),IF(COUNTIF($C$7:$C$1000,$C898)&gt;1,"⚠️ Duplicado","Verificado")))</f>
        <v/>
      </c>
    </row>
    <row r="899" ht="15.75" customHeight="1" s="176">
      <c r="B899" s="80" t="n"/>
      <c r="C899" s="74" t="n"/>
      <c r="D899" s="74">
        <f t="array" ref="D899">IF($C899="","",IFNA(_xlfn.XLOOKUP($C899,Productos!$A:$A,Productos!$E:$E,IFNA(_xlfn.XLOOKUP(TEXT($C899,"0"),Productos!$A:$A,Productos!$E:$E,IFNA(_xlfn.XLOOKUP(IFERROR(VALUE($C899),""),Productos!$A:$A,Productos!$E:$E,_xlfn.XLOOKUP($C899,Productos!$E:$E,Productos!$E:$E,"NO ENCONTRADO")),"NO ENCONTRADO")),"NO ENCONTRADO")),"NO ENCONTRADO"))</f>
        <v/>
      </c>
      <c r="E899" s="74">
        <f t="array" ref="E899">IF(OR($D899="",$D899="NO ENCONTRADO"),"",_xlfn.XLOOKUP($D899,Productos!$E:$E,Productos!$H:$H,""))</f>
        <v/>
      </c>
      <c r="F899" s="74">
        <f t="array" ref="F899">IF(OR($D899="",$D899="NO ENCONTRADO"),"",_xlfn.XLOOKUP($D899,Productos!$E:$E,Productos!$I:$I,""))</f>
        <v/>
      </c>
      <c r="G899" s="74">
        <f t="array" ref="G899">IF(OR($D899="",$D899="NO ENCONTRADO"),"",_xlfn.XLOOKUP($D899,Productos!$E:$E,Productos!$J:$J,""))</f>
        <v/>
      </c>
      <c r="H899" s="74">
        <f t="array" ref="H899">IF(OR($D899="",$D899="NO ENCONTRADO"),"",_xlfn.XLOOKUP($D899,Productos!$E:$E,Productos!$K:$K,""))</f>
        <v/>
      </c>
      <c r="I899" s="74">
        <f t="array" ref="I899">IF(OR($D899="",$D899="NO ENCONTRADO"),"",_xlfn.XLOOKUP($D899,Productos!$E:$E,Productos!$F:$F,""))</f>
        <v/>
      </c>
      <c r="J899" s="74">
        <f>IF($C899="","",IF($D899="NO ENCONTRADO",IF(COUNTIF($C$7:$C$1000,$C899)&gt;1,"⚠️ No encontrado | Duplicado","⚠️ No encontrado"),IF(COUNTIF($C$7:$C$1000,$C899)&gt;1,"⚠️ Duplicado","Verificado")))</f>
        <v/>
      </c>
    </row>
    <row r="900" ht="15.75" customHeight="1" s="176">
      <c r="B900" s="80" t="n"/>
      <c r="C900" s="74" t="n"/>
      <c r="D900" s="74">
        <f t="array" ref="D900">IF($C900="","",IFNA(_xlfn.XLOOKUP($C900,Productos!$A:$A,Productos!$E:$E,IFNA(_xlfn.XLOOKUP(TEXT($C900,"0"),Productos!$A:$A,Productos!$E:$E,IFNA(_xlfn.XLOOKUP(IFERROR(VALUE($C900),""),Productos!$A:$A,Productos!$E:$E,_xlfn.XLOOKUP($C900,Productos!$E:$E,Productos!$E:$E,"NO ENCONTRADO")),"NO ENCONTRADO")),"NO ENCONTRADO")),"NO ENCONTRADO"))</f>
        <v/>
      </c>
      <c r="E900" s="74">
        <f t="array" ref="E900">IF(OR($D900="",$D900="NO ENCONTRADO"),"",_xlfn.XLOOKUP($D900,Productos!$E:$E,Productos!$H:$H,""))</f>
        <v/>
      </c>
      <c r="F900" s="74">
        <f t="array" ref="F900">IF(OR($D900="",$D900="NO ENCONTRADO"),"",_xlfn.XLOOKUP($D900,Productos!$E:$E,Productos!$I:$I,""))</f>
        <v/>
      </c>
      <c r="G900" s="74">
        <f t="array" ref="G900">IF(OR($D900="",$D900="NO ENCONTRADO"),"",_xlfn.XLOOKUP($D900,Productos!$E:$E,Productos!$J:$J,""))</f>
        <v/>
      </c>
      <c r="H900" s="74">
        <f t="array" ref="H900">IF(OR($D900="",$D900="NO ENCONTRADO"),"",_xlfn.XLOOKUP($D900,Productos!$E:$E,Productos!$K:$K,""))</f>
        <v/>
      </c>
      <c r="I900" s="74">
        <f t="array" ref="I900">IF(OR($D900="",$D900="NO ENCONTRADO"),"",_xlfn.XLOOKUP($D900,Productos!$E:$E,Productos!$F:$F,""))</f>
        <v/>
      </c>
      <c r="J900" s="74">
        <f>IF($C900="","",IF($D900="NO ENCONTRADO",IF(COUNTIF($C$7:$C$1000,$C900)&gt;1,"⚠️ No encontrado | Duplicado","⚠️ No encontrado"),IF(COUNTIF($C$7:$C$1000,$C900)&gt;1,"⚠️ Duplicado","Verificado")))</f>
        <v/>
      </c>
    </row>
    <row r="901" ht="15.75" customHeight="1" s="176">
      <c r="B901" s="80" t="n"/>
      <c r="C901" s="74" t="n"/>
      <c r="D901" s="74">
        <f t="array" ref="D901">IF($C901="","",IFNA(_xlfn.XLOOKUP($C901,Productos!$A:$A,Productos!$E:$E,IFNA(_xlfn.XLOOKUP(TEXT($C901,"0"),Productos!$A:$A,Productos!$E:$E,IFNA(_xlfn.XLOOKUP(IFERROR(VALUE($C901),""),Productos!$A:$A,Productos!$E:$E,_xlfn.XLOOKUP($C901,Productos!$E:$E,Productos!$E:$E,"NO ENCONTRADO")),"NO ENCONTRADO")),"NO ENCONTRADO")),"NO ENCONTRADO"))</f>
        <v/>
      </c>
      <c r="E901" s="74">
        <f t="array" ref="E901">IF(OR($D901="",$D901="NO ENCONTRADO"),"",_xlfn.XLOOKUP($D901,Productos!$E:$E,Productos!$H:$H,""))</f>
        <v/>
      </c>
      <c r="F901" s="74">
        <f t="array" ref="F901">IF(OR($D901="",$D901="NO ENCONTRADO"),"",_xlfn.XLOOKUP($D901,Productos!$E:$E,Productos!$I:$I,""))</f>
        <v/>
      </c>
      <c r="G901" s="74">
        <f t="array" ref="G901">IF(OR($D901="",$D901="NO ENCONTRADO"),"",_xlfn.XLOOKUP($D901,Productos!$E:$E,Productos!$J:$J,""))</f>
        <v/>
      </c>
      <c r="H901" s="74">
        <f t="array" ref="H901">IF(OR($D901="",$D901="NO ENCONTRADO"),"",_xlfn.XLOOKUP($D901,Productos!$E:$E,Productos!$K:$K,""))</f>
        <v/>
      </c>
      <c r="I901" s="74">
        <f t="array" ref="I901">IF(OR($D901="",$D901="NO ENCONTRADO"),"",_xlfn.XLOOKUP($D901,Productos!$E:$E,Productos!$F:$F,""))</f>
        <v/>
      </c>
      <c r="J901" s="74">
        <f>IF($C901="","",IF($D901="NO ENCONTRADO",IF(COUNTIF($C$7:$C$1000,$C901)&gt;1,"⚠️ No encontrado | Duplicado","⚠️ No encontrado"),IF(COUNTIF($C$7:$C$1000,$C901)&gt;1,"⚠️ Duplicado","Verificado")))</f>
        <v/>
      </c>
    </row>
    <row r="902" ht="15.75" customHeight="1" s="176">
      <c r="B902" s="80" t="n"/>
      <c r="C902" s="74" t="n"/>
      <c r="D902" s="74">
        <f t="array" ref="D902">IF($C902="","",IFNA(_xlfn.XLOOKUP($C902,Productos!$A:$A,Productos!$E:$E,IFNA(_xlfn.XLOOKUP(TEXT($C902,"0"),Productos!$A:$A,Productos!$E:$E,IFNA(_xlfn.XLOOKUP(IFERROR(VALUE($C902),""),Productos!$A:$A,Productos!$E:$E,_xlfn.XLOOKUP($C902,Productos!$E:$E,Productos!$E:$E,"NO ENCONTRADO")),"NO ENCONTRADO")),"NO ENCONTRADO")),"NO ENCONTRADO"))</f>
        <v/>
      </c>
      <c r="E902" s="74">
        <f t="array" ref="E902">IF(OR($D902="",$D902="NO ENCONTRADO"),"",_xlfn.XLOOKUP($D902,Productos!$E:$E,Productos!$H:$H,""))</f>
        <v/>
      </c>
      <c r="F902" s="74">
        <f t="array" ref="F902">IF(OR($D902="",$D902="NO ENCONTRADO"),"",_xlfn.XLOOKUP($D902,Productos!$E:$E,Productos!$I:$I,""))</f>
        <v/>
      </c>
      <c r="G902" s="74">
        <f t="array" ref="G902">IF(OR($D902="",$D902="NO ENCONTRADO"),"",_xlfn.XLOOKUP($D902,Productos!$E:$E,Productos!$J:$J,""))</f>
        <v/>
      </c>
      <c r="H902" s="74">
        <f t="array" ref="H902">IF(OR($D902="",$D902="NO ENCONTRADO"),"",_xlfn.XLOOKUP($D902,Productos!$E:$E,Productos!$K:$K,""))</f>
        <v/>
      </c>
      <c r="I902" s="74">
        <f t="array" ref="I902">IF(OR($D902="",$D902="NO ENCONTRADO"),"",_xlfn.XLOOKUP($D902,Productos!$E:$E,Productos!$F:$F,""))</f>
        <v/>
      </c>
      <c r="J902" s="74">
        <f>IF($C902="","",IF($D902="NO ENCONTRADO",IF(COUNTIF($C$7:$C$1000,$C902)&gt;1,"⚠️ No encontrado | Duplicado","⚠️ No encontrado"),IF(COUNTIF($C$7:$C$1000,$C902)&gt;1,"⚠️ Duplicado","Verificado")))</f>
        <v/>
      </c>
    </row>
    <row r="903" ht="15.75" customHeight="1" s="176">
      <c r="B903" s="80" t="n"/>
      <c r="C903" s="74" t="n"/>
      <c r="D903" s="74">
        <f t="array" ref="D903">IF($C903="","",IFNA(_xlfn.XLOOKUP($C903,Productos!$A:$A,Productos!$E:$E,IFNA(_xlfn.XLOOKUP(TEXT($C903,"0"),Productos!$A:$A,Productos!$E:$E,IFNA(_xlfn.XLOOKUP(IFERROR(VALUE($C903),""),Productos!$A:$A,Productos!$E:$E,_xlfn.XLOOKUP($C903,Productos!$E:$E,Productos!$E:$E,"NO ENCONTRADO")),"NO ENCONTRADO")),"NO ENCONTRADO")),"NO ENCONTRADO"))</f>
        <v/>
      </c>
      <c r="E903" s="74">
        <f t="array" ref="E903">IF(OR($D903="",$D903="NO ENCONTRADO"),"",_xlfn.XLOOKUP($D903,Productos!$E:$E,Productos!$H:$H,""))</f>
        <v/>
      </c>
      <c r="F903" s="74">
        <f t="array" ref="F903">IF(OR($D903="",$D903="NO ENCONTRADO"),"",_xlfn.XLOOKUP($D903,Productos!$E:$E,Productos!$I:$I,""))</f>
        <v/>
      </c>
      <c r="G903" s="74">
        <f t="array" ref="G903">IF(OR($D903="",$D903="NO ENCONTRADO"),"",_xlfn.XLOOKUP($D903,Productos!$E:$E,Productos!$J:$J,""))</f>
        <v/>
      </c>
      <c r="H903" s="74">
        <f t="array" ref="H903">IF(OR($D903="",$D903="NO ENCONTRADO"),"",_xlfn.XLOOKUP($D903,Productos!$E:$E,Productos!$K:$K,""))</f>
        <v/>
      </c>
      <c r="I903" s="74">
        <f t="array" ref="I903">IF(OR($D903="",$D903="NO ENCONTRADO"),"",_xlfn.XLOOKUP($D903,Productos!$E:$E,Productos!$F:$F,""))</f>
        <v/>
      </c>
      <c r="J903" s="74">
        <f>IF($C903="","",IF($D903="NO ENCONTRADO",IF(COUNTIF($C$7:$C$1000,$C903)&gt;1,"⚠️ No encontrado | Duplicado","⚠️ No encontrado"),IF(COUNTIF($C$7:$C$1000,$C903)&gt;1,"⚠️ Duplicado","Verificado")))</f>
        <v/>
      </c>
    </row>
    <row r="904" ht="15.75" customHeight="1" s="176">
      <c r="B904" s="80" t="n"/>
      <c r="C904" s="74" t="n"/>
      <c r="D904" s="74">
        <f t="array" ref="D904">IF($C904="","",IFNA(_xlfn.XLOOKUP($C904,Productos!$A:$A,Productos!$E:$E,IFNA(_xlfn.XLOOKUP(TEXT($C904,"0"),Productos!$A:$A,Productos!$E:$E,IFNA(_xlfn.XLOOKUP(IFERROR(VALUE($C904),""),Productos!$A:$A,Productos!$E:$E,_xlfn.XLOOKUP($C904,Productos!$E:$E,Productos!$E:$E,"NO ENCONTRADO")),"NO ENCONTRADO")),"NO ENCONTRADO")),"NO ENCONTRADO"))</f>
        <v/>
      </c>
      <c r="E904" s="74">
        <f t="array" ref="E904">IF(OR($D904="",$D904="NO ENCONTRADO"),"",_xlfn.XLOOKUP($D904,Productos!$E:$E,Productos!$H:$H,""))</f>
        <v/>
      </c>
      <c r="F904" s="74">
        <f t="array" ref="F904">IF(OR($D904="",$D904="NO ENCONTRADO"),"",_xlfn.XLOOKUP($D904,Productos!$E:$E,Productos!$I:$I,""))</f>
        <v/>
      </c>
      <c r="G904" s="74">
        <f t="array" ref="G904">IF(OR($D904="",$D904="NO ENCONTRADO"),"",_xlfn.XLOOKUP($D904,Productos!$E:$E,Productos!$J:$J,""))</f>
        <v/>
      </c>
      <c r="H904" s="74">
        <f t="array" ref="H904">IF(OR($D904="",$D904="NO ENCONTRADO"),"",_xlfn.XLOOKUP($D904,Productos!$E:$E,Productos!$K:$K,""))</f>
        <v/>
      </c>
      <c r="I904" s="74">
        <f t="array" ref="I904">IF(OR($D904="",$D904="NO ENCONTRADO"),"",_xlfn.XLOOKUP($D904,Productos!$E:$E,Productos!$F:$F,""))</f>
        <v/>
      </c>
      <c r="J904" s="74">
        <f>IF($C904="","",IF($D904="NO ENCONTRADO",IF(COUNTIF($C$7:$C$1000,$C904)&gt;1,"⚠️ No encontrado | Duplicado","⚠️ No encontrado"),IF(COUNTIF($C$7:$C$1000,$C904)&gt;1,"⚠️ Duplicado","Verificado")))</f>
        <v/>
      </c>
    </row>
    <row r="905" ht="15.75" customHeight="1" s="176">
      <c r="B905" s="80" t="n"/>
      <c r="C905" s="74" t="n"/>
      <c r="D905" s="74">
        <f t="array" ref="D905">IF($C905="","",IFNA(_xlfn.XLOOKUP($C905,Productos!$A:$A,Productos!$E:$E,IFNA(_xlfn.XLOOKUP(TEXT($C905,"0"),Productos!$A:$A,Productos!$E:$E,IFNA(_xlfn.XLOOKUP(IFERROR(VALUE($C905),""),Productos!$A:$A,Productos!$E:$E,_xlfn.XLOOKUP($C905,Productos!$E:$E,Productos!$E:$E,"NO ENCONTRADO")),"NO ENCONTRADO")),"NO ENCONTRADO")),"NO ENCONTRADO"))</f>
        <v/>
      </c>
      <c r="E905" s="74">
        <f t="array" ref="E905">IF(OR($D905="",$D905="NO ENCONTRADO"),"",_xlfn.XLOOKUP($D905,Productos!$E:$E,Productos!$H:$H,""))</f>
        <v/>
      </c>
      <c r="F905" s="74">
        <f t="array" ref="F905">IF(OR($D905="",$D905="NO ENCONTRADO"),"",_xlfn.XLOOKUP($D905,Productos!$E:$E,Productos!$I:$I,""))</f>
        <v/>
      </c>
      <c r="G905" s="74">
        <f t="array" ref="G905">IF(OR($D905="",$D905="NO ENCONTRADO"),"",_xlfn.XLOOKUP($D905,Productos!$E:$E,Productos!$J:$J,""))</f>
        <v/>
      </c>
      <c r="H905" s="74">
        <f t="array" ref="H905">IF(OR($D905="",$D905="NO ENCONTRADO"),"",_xlfn.XLOOKUP($D905,Productos!$E:$E,Productos!$K:$K,""))</f>
        <v/>
      </c>
      <c r="I905" s="74">
        <f t="array" ref="I905">IF(OR($D905="",$D905="NO ENCONTRADO"),"",_xlfn.XLOOKUP($D905,Productos!$E:$E,Productos!$F:$F,""))</f>
        <v/>
      </c>
      <c r="J905" s="74">
        <f>IF($C905="","",IF($D905="NO ENCONTRADO",IF(COUNTIF($C$7:$C$1000,$C905)&gt;1,"⚠️ No encontrado | Duplicado","⚠️ No encontrado"),IF(COUNTIF($C$7:$C$1000,$C905)&gt;1,"⚠️ Duplicado","Verificado")))</f>
        <v/>
      </c>
    </row>
    <row r="906" ht="15.75" customHeight="1" s="176">
      <c r="B906" s="80" t="n"/>
      <c r="C906" s="74" t="n"/>
      <c r="D906" s="74">
        <f t="array" ref="D906">IF($C906="","",IFNA(_xlfn.XLOOKUP($C906,Productos!$A:$A,Productos!$E:$E,IFNA(_xlfn.XLOOKUP(TEXT($C906,"0"),Productos!$A:$A,Productos!$E:$E,IFNA(_xlfn.XLOOKUP(IFERROR(VALUE($C906),""),Productos!$A:$A,Productos!$E:$E,_xlfn.XLOOKUP($C906,Productos!$E:$E,Productos!$E:$E,"NO ENCONTRADO")),"NO ENCONTRADO")),"NO ENCONTRADO")),"NO ENCONTRADO"))</f>
        <v/>
      </c>
      <c r="E906" s="74">
        <f t="array" ref="E906">IF(OR($D906="",$D906="NO ENCONTRADO"),"",_xlfn.XLOOKUP($D906,Productos!$E:$E,Productos!$H:$H,""))</f>
        <v/>
      </c>
      <c r="F906" s="74">
        <f t="array" ref="F906">IF(OR($D906="",$D906="NO ENCONTRADO"),"",_xlfn.XLOOKUP($D906,Productos!$E:$E,Productos!$I:$I,""))</f>
        <v/>
      </c>
      <c r="G906" s="74">
        <f t="array" ref="G906">IF(OR($D906="",$D906="NO ENCONTRADO"),"",_xlfn.XLOOKUP($D906,Productos!$E:$E,Productos!$J:$J,""))</f>
        <v/>
      </c>
      <c r="H906" s="74">
        <f t="array" ref="H906">IF(OR($D906="",$D906="NO ENCONTRADO"),"",_xlfn.XLOOKUP($D906,Productos!$E:$E,Productos!$K:$K,""))</f>
        <v/>
      </c>
      <c r="I906" s="74">
        <f t="array" ref="I906">IF(OR($D906="",$D906="NO ENCONTRADO"),"",_xlfn.XLOOKUP($D906,Productos!$E:$E,Productos!$F:$F,""))</f>
        <v/>
      </c>
      <c r="J906" s="74">
        <f>IF($C906="","",IF($D906="NO ENCONTRADO",IF(COUNTIF($C$7:$C$1000,$C906)&gt;1,"⚠️ No encontrado | Duplicado","⚠️ No encontrado"),IF(COUNTIF($C$7:$C$1000,$C906)&gt;1,"⚠️ Duplicado","Verificado")))</f>
        <v/>
      </c>
    </row>
    <row r="907" ht="15.75" customHeight="1" s="176">
      <c r="B907" s="80" t="n"/>
      <c r="C907" s="74" t="n"/>
      <c r="D907" s="74">
        <f t="array" ref="D907">IF($C907="","",IFNA(_xlfn.XLOOKUP($C907,Productos!$A:$A,Productos!$E:$E,IFNA(_xlfn.XLOOKUP(TEXT($C907,"0"),Productos!$A:$A,Productos!$E:$E,IFNA(_xlfn.XLOOKUP(IFERROR(VALUE($C907),""),Productos!$A:$A,Productos!$E:$E,_xlfn.XLOOKUP($C907,Productos!$E:$E,Productos!$E:$E,"NO ENCONTRADO")),"NO ENCONTRADO")),"NO ENCONTRADO")),"NO ENCONTRADO"))</f>
        <v/>
      </c>
      <c r="E907" s="74">
        <f t="array" ref="E907">IF(OR($D907="",$D907="NO ENCONTRADO"),"",_xlfn.XLOOKUP($D907,Productos!$E:$E,Productos!$H:$H,""))</f>
        <v/>
      </c>
      <c r="F907" s="74">
        <f t="array" ref="F907">IF(OR($D907="",$D907="NO ENCONTRADO"),"",_xlfn.XLOOKUP($D907,Productos!$E:$E,Productos!$I:$I,""))</f>
        <v/>
      </c>
      <c r="G907" s="74">
        <f t="array" ref="G907">IF(OR($D907="",$D907="NO ENCONTRADO"),"",_xlfn.XLOOKUP($D907,Productos!$E:$E,Productos!$J:$J,""))</f>
        <v/>
      </c>
      <c r="H907" s="74">
        <f t="array" ref="H907">IF(OR($D907="",$D907="NO ENCONTRADO"),"",_xlfn.XLOOKUP($D907,Productos!$E:$E,Productos!$K:$K,""))</f>
        <v/>
      </c>
      <c r="I907" s="74">
        <f t="array" ref="I907">IF(OR($D907="",$D907="NO ENCONTRADO"),"",_xlfn.XLOOKUP($D907,Productos!$E:$E,Productos!$F:$F,""))</f>
        <v/>
      </c>
      <c r="J907" s="74">
        <f>IF($C907="","",IF($D907="NO ENCONTRADO",IF(COUNTIF($C$7:$C$1000,$C907)&gt;1,"⚠️ No encontrado | Duplicado","⚠️ No encontrado"),IF(COUNTIF($C$7:$C$1000,$C907)&gt;1,"⚠️ Duplicado","Verificado")))</f>
        <v/>
      </c>
    </row>
    <row r="908" ht="15.75" customHeight="1" s="176">
      <c r="B908" s="80" t="n"/>
      <c r="C908" s="74" t="n"/>
      <c r="D908" s="74">
        <f t="array" ref="D908">IF($C908="","",IFNA(_xlfn.XLOOKUP($C908,Productos!$A:$A,Productos!$E:$E,IFNA(_xlfn.XLOOKUP(TEXT($C908,"0"),Productos!$A:$A,Productos!$E:$E,IFNA(_xlfn.XLOOKUP(IFERROR(VALUE($C908),""),Productos!$A:$A,Productos!$E:$E,_xlfn.XLOOKUP($C908,Productos!$E:$E,Productos!$E:$E,"NO ENCONTRADO")),"NO ENCONTRADO")),"NO ENCONTRADO")),"NO ENCONTRADO"))</f>
        <v/>
      </c>
      <c r="E908" s="74">
        <f t="array" ref="E908">IF(OR($D908="",$D908="NO ENCONTRADO"),"",_xlfn.XLOOKUP($D908,Productos!$E:$E,Productos!$H:$H,""))</f>
        <v/>
      </c>
      <c r="F908" s="74">
        <f t="array" ref="F908">IF(OR($D908="",$D908="NO ENCONTRADO"),"",_xlfn.XLOOKUP($D908,Productos!$E:$E,Productos!$I:$I,""))</f>
        <v/>
      </c>
      <c r="G908" s="74">
        <f t="array" ref="G908">IF(OR($D908="",$D908="NO ENCONTRADO"),"",_xlfn.XLOOKUP($D908,Productos!$E:$E,Productos!$J:$J,""))</f>
        <v/>
      </c>
      <c r="H908" s="74">
        <f t="array" ref="H908">IF(OR($D908="",$D908="NO ENCONTRADO"),"",_xlfn.XLOOKUP($D908,Productos!$E:$E,Productos!$K:$K,""))</f>
        <v/>
      </c>
      <c r="I908" s="74">
        <f t="array" ref="I908">IF(OR($D908="",$D908="NO ENCONTRADO"),"",_xlfn.XLOOKUP($D908,Productos!$E:$E,Productos!$F:$F,""))</f>
        <v/>
      </c>
      <c r="J908" s="74">
        <f>IF($C908="","",IF($D908="NO ENCONTRADO",IF(COUNTIF($C$7:$C$1000,$C908)&gt;1,"⚠️ No encontrado | Duplicado","⚠️ No encontrado"),IF(COUNTIF($C$7:$C$1000,$C908)&gt;1,"⚠️ Duplicado","Verificado")))</f>
        <v/>
      </c>
    </row>
    <row r="909" ht="15.75" customHeight="1" s="176">
      <c r="B909" s="80" t="n"/>
      <c r="C909" s="74" t="n"/>
      <c r="D909" s="74">
        <f t="array" ref="D909">IF($C909="","",IFNA(_xlfn.XLOOKUP($C909,Productos!$A:$A,Productos!$E:$E,IFNA(_xlfn.XLOOKUP(TEXT($C909,"0"),Productos!$A:$A,Productos!$E:$E,IFNA(_xlfn.XLOOKUP(IFERROR(VALUE($C909),""),Productos!$A:$A,Productos!$E:$E,_xlfn.XLOOKUP($C909,Productos!$E:$E,Productos!$E:$E,"NO ENCONTRADO")),"NO ENCONTRADO")),"NO ENCONTRADO")),"NO ENCONTRADO"))</f>
        <v/>
      </c>
      <c r="E909" s="74">
        <f t="array" ref="E909">IF(OR($D909="",$D909="NO ENCONTRADO"),"",_xlfn.XLOOKUP($D909,Productos!$E:$E,Productos!$H:$H,""))</f>
        <v/>
      </c>
      <c r="F909" s="74">
        <f t="array" ref="F909">IF(OR($D909="",$D909="NO ENCONTRADO"),"",_xlfn.XLOOKUP($D909,Productos!$E:$E,Productos!$I:$I,""))</f>
        <v/>
      </c>
      <c r="G909" s="74">
        <f t="array" ref="G909">IF(OR($D909="",$D909="NO ENCONTRADO"),"",_xlfn.XLOOKUP($D909,Productos!$E:$E,Productos!$J:$J,""))</f>
        <v/>
      </c>
      <c r="H909" s="74">
        <f t="array" ref="H909">IF(OR($D909="",$D909="NO ENCONTRADO"),"",_xlfn.XLOOKUP($D909,Productos!$E:$E,Productos!$K:$K,""))</f>
        <v/>
      </c>
      <c r="I909" s="74">
        <f t="array" ref="I909">IF(OR($D909="",$D909="NO ENCONTRADO"),"",_xlfn.XLOOKUP($D909,Productos!$E:$E,Productos!$F:$F,""))</f>
        <v/>
      </c>
      <c r="J909" s="74">
        <f>IF($C909="","",IF($D909="NO ENCONTRADO",IF(COUNTIF($C$7:$C$1000,$C909)&gt;1,"⚠️ No encontrado | Duplicado","⚠️ No encontrado"),IF(COUNTIF($C$7:$C$1000,$C909)&gt;1,"⚠️ Duplicado","Verificado")))</f>
        <v/>
      </c>
    </row>
    <row r="910" ht="15.75" customHeight="1" s="176">
      <c r="B910" s="80" t="n"/>
      <c r="C910" s="74" t="n"/>
      <c r="D910" s="74">
        <f t="array" ref="D910">IF($C910="","",IFNA(_xlfn.XLOOKUP($C910,Productos!$A:$A,Productos!$E:$E,IFNA(_xlfn.XLOOKUP(TEXT($C910,"0"),Productos!$A:$A,Productos!$E:$E,IFNA(_xlfn.XLOOKUP(IFERROR(VALUE($C910),""),Productos!$A:$A,Productos!$E:$E,_xlfn.XLOOKUP($C910,Productos!$E:$E,Productos!$E:$E,"NO ENCONTRADO")),"NO ENCONTRADO")),"NO ENCONTRADO")),"NO ENCONTRADO"))</f>
        <v/>
      </c>
      <c r="E910" s="74">
        <f t="array" ref="E910">IF(OR($D910="",$D910="NO ENCONTRADO"),"",_xlfn.XLOOKUP($D910,Productos!$E:$E,Productos!$H:$H,""))</f>
        <v/>
      </c>
      <c r="F910" s="74">
        <f t="array" ref="F910">IF(OR($D910="",$D910="NO ENCONTRADO"),"",_xlfn.XLOOKUP($D910,Productos!$E:$E,Productos!$I:$I,""))</f>
        <v/>
      </c>
      <c r="G910" s="74">
        <f t="array" ref="G910">IF(OR($D910="",$D910="NO ENCONTRADO"),"",_xlfn.XLOOKUP($D910,Productos!$E:$E,Productos!$J:$J,""))</f>
        <v/>
      </c>
      <c r="H910" s="74">
        <f t="array" ref="H910">IF(OR($D910="",$D910="NO ENCONTRADO"),"",_xlfn.XLOOKUP($D910,Productos!$E:$E,Productos!$K:$K,""))</f>
        <v/>
      </c>
      <c r="I910" s="74">
        <f t="array" ref="I910">IF(OR($D910="",$D910="NO ENCONTRADO"),"",_xlfn.XLOOKUP($D910,Productos!$E:$E,Productos!$F:$F,""))</f>
        <v/>
      </c>
      <c r="J910" s="74">
        <f>IF($C910="","",IF($D910="NO ENCONTRADO",IF(COUNTIF($C$7:$C$1000,$C910)&gt;1,"⚠️ No encontrado | Duplicado","⚠️ No encontrado"),IF(COUNTIF($C$7:$C$1000,$C910)&gt;1,"⚠️ Duplicado","Verificado")))</f>
        <v/>
      </c>
    </row>
    <row r="911" ht="15.75" customHeight="1" s="176">
      <c r="B911" s="80" t="n"/>
      <c r="C911" s="74" t="n"/>
      <c r="D911" s="74">
        <f t="array" ref="D911">IF($C911="","",IFNA(_xlfn.XLOOKUP($C911,Productos!$A:$A,Productos!$E:$E,IFNA(_xlfn.XLOOKUP(TEXT($C911,"0"),Productos!$A:$A,Productos!$E:$E,IFNA(_xlfn.XLOOKUP(IFERROR(VALUE($C911),""),Productos!$A:$A,Productos!$E:$E,_xlfn.XLOOKUP($C911,Productos!$E:$E,Productos!$E:$E,"NO ENCONTRADO")),"NO ENCONTRADO")),"NO ENCONTRADO")),"NO ENCONTRADO"))</f>
        <v/>
      </c>
      <c r="E911" s="74">
        <f t="array" ref="E911">IF(OR($D911="",$D911="NO ENCONTRADO"),"",_xlfn.XLOOKUP($D911,Productos!$E:$E,Productos!$H:$H,""))</f>
        <v/>
      </c>
      <c r="F911" s="74">
        <f t="array" ref="F911">IF(OR($D911="",$D911="NO ENCONTRADO"),"",_xlfn.XLOOKUP($D911,Productos!$E:$E,Productos!$I:$I,""))</f>
        <v/>
      </c>
      <c r="G911" s="74">
        <f t="array" ref="G911">IF(OR($D911="",$D911="NO ENCONTRADO"),"",_xlfn.XLOOKUP($D911,Productos!$E:$E,Productos!$J:$J,""))</f>
        <v/>
      </c>
      <c r="H911" s="74">
        <f t="array" ref="H911">IF(OR($D911="",$D911="NO ENCONTRADO"),"",_xlfn.XLOOKUP($D911,Productos!$E:$E,Productos!$K:$K,""))</f>
        <v/>
      </c>
      <c r="I911" s="74">
        <f t="array" ref="I911">IF(OR($D911="",$D911="NO ENCONTRADO"),"",_xlfn.XLOOKUP($D911,Productos!$E:$E,Productos!$F:$F,""))</f>
        <v/>
      </c>
      <c r="J911" s="74">
        <f>IF($C911="","",IF($D911="NO ENCONTRADO",IF(COUNTIF($C$7:$C$1000,$C911)&gt;1,"⚠️ No encontrado | Duplicado","⚠️ No encontrado"),IF(COUNTIF($C$7:$C$1000,$C911)&gt;1,"⚠️ Duplicado","Verificado")))</f>
        <v/>
      </c>
    </row>
    <row r="912" ht="15.75" customHeight="1" s="176">
      <c r="B912" s="80" t="n"/>
      <c r="C912" s="74" t="n"/>
      <c r="D912" s="74">
        <f t="array" ref="D912">IF($C912="","",IFNA(_xlfn.XLOOKUP($C912,Productos!$A:$A,Productos!$E:$E,IFNA(_xlfn.XLOOKUP(TEXT($C912,"0"),Productos!$A:$A,Productos!$E:$E,IFNA(_xlfn.XLOOKUP(IFERROR(VALUE($C912),""),Productos!$A:$A,Productos!$E:$E,_xlfn.XLOOKUP($C912,Productos!$E:$E,Productos!$E:$E,"NO ENCONTRADO")),"NO ENCONTRADO")),"NO ENCONTRADO")),"NO ENCONTRADO"))</f>
        <v/>
      </c>
      <c r="E912" s="74">
        <f t="array" ref="E912">IF(OR($D912="",$D912="NO ENCONTRADO"),"",_xlfn.XLOOKUP($D912,Productos!$E:$E,Productos!$H:$H,""))</f>
        <v/>
      </c>
      <c r="F912" s="74">
        <f t="array" ref="F912">IF(OR($D912="",$D912="NO ENCONTRADO"),"",_xlfn.XLOOKUP($D912,Productos!$E:$E,Productos!$I:$I,""))</f>
        <v/>
      </c>
      <c r="G912" s="74">
        <f t="array" ref="G912">IF(OR($D912="",$D912="NO ENCONTRADO"),"",_xlfn.XLOOKUP($D912,Productos!$E:$E,Productos!$J:$J,""))</f>
        <v/>
      </c>
      <c r="H912" s="74">
        <f t="array" ref="H912">IF(OR($D912="",$D912="NO ENCONTRADO"),"",_xlfn.XLOOKUP($D912,Productos!$E:$E,Productos!$K:$K,""))</f>
        <v/>
      </c>
      <c r="I912" s="74">
        <f t="array" ref="I912">IF(OR($D912="",$D912="NO ENCONTRADO"),"",_xlfn.XLOOKUP($D912,Productos!$E:$E,Productos!$F:$F,""))</f>
        <v/>
      </c>
      <c r="J912" s="74">
        <f>IF($C912="","",IF($D912="NO ENCONTRADO",IF(COUNTIF($C$7:$C$1000,$C912)&gt;1,"⚠️ No encontrado | Duplicado","⚠️ No encontrado"),IF(COUNTIF($C$7:$C$1000,$C912)&gt;1,"⚠️ Duplicado","Verificado")))</f>
        <v/>
      </c>
    </row>
    <row r="913" ht="15.75" customHeight="1" s="176">
      <c r="B913" s="80" t="n"/>
      <c r="C913" s="74" t="n"/>
      <c r="D913" s="74">
        <f t="array" ref="D913">IF($C913="","",IFNA(_xlfn.XLOOKUP($C913,Productos!$A:$A,Productos!$E:$E,IFNA(_xlfn.XLOOKUP(TEXT($C913,"0"),Productos!$A:$A,Productos!$E:$E,IFNA(_xlfn.XLOOKUP(IFERROR(VALUE($C913),""),Productos!$A:$A,Productos!$E:$E,_xlfn.XLOOKUP($C913,Productos!$E:$E,Productos!$E:$E,"NO ENCONTRADO")),"NO ENCONTRADO")),"NO ENCONTRADO")),"NO ENCONTRADO"))</f>
        <v/>
      </c>
      <c r="E913" s="74">
        <f t="array" ref="E913">IF(OR($D913="",$D913="NO ENCONTRADO"),"",_xlfn.XLOOKUP($D913,Productos!$E:$E,Productos!$H:$H,""))</f>
        <v/>
      </c>
      <c r="F913" s="74">
        <f t="array" ref="F913">IF(OR($D913="",$D913="NO ENCONTRADO"),"",_xlfn.XLOOKUP($D913,Productos!$E:$E,Productos!$I:$I,""))</f>
        <v/>
      </c>
      <c r="G913" s="74">
        <f t="array" ref="G913">IF(OR($D913="",$D913="NO ENCONTRADO"),"",_xlfn.XLOOKUP($D913,Productos!$E:$E,Productos!$J:$J,""))</f>
        <v/>
      </c>
      <c r="H913" s="74">
        <f t="array" ref="H913">IF(OR($D913="",$D913="NO ENCONTRADO"),"",_xlfn.XLOOKUP($D913,Productos!$E:$E,Productos!$K:$K,""))</f>
        <v/>
      </c>
      <c r="I913" s="74">
        <f t="array" ref="I913">IF(OR($D913="",$D913="NO ENCONTRADO"),"",_xlfn.XLOOKUP($D913,Productos!$E:$E,Productos!$F:$F,""))</f>
        <v/>
      </c>
      <c r="J913" s="74">
        <f>IF($C913="","",IF($D913="NO ENCONTRADO",IF(COUNTIF($C$7:$C$1000,$C913)&gt;1,"⚠️ No encontrado | Duplicado","⚠️ No encontrado"),IF(COUNTIF($C$7:$C$1000,$C913)&gt;1,"⚠️ Duplicado","Verificado")))</f>
        <v/>
      </c>
    </row>
    <row r="914" ht="15.75" customHeight="1" s="176">
      <c r="B914" s="80" t="n"/>
      <c r="C914" s="74" t="n"/>
      <c r="D914" s="74">
        <f t="array" ref="D914">IF($C914="","",IFNA(_xlfn.XLOOKUP($C914,Productos!$A:$A,Productos!$E:$E,IFNA(_xlfn.XLOOKUP(TEXT($C914,"0"),Productos!$A:$A,Productos!$E:$E,IFNA(_xlfn.XLOOKUP(IFERROR(VALUE($C914),""),Productos!$A:$A,Productos!$E:$E,_xlfn.XLOOKUP($C914,Productos!$E:$E,Productos!$E:$E,"NO ENCONTRADO")),"NO ENCONTRADO")),"NO ENCONTRADO")),"NO ENCONTRADO"))</f>
        <v/>
      </c>
      <c r="E914" s="74">
        <f t="array" ref="E914">IF(OR($D914="",$D914="NO ENCONTRADO"),"",_xlfn.XLOOKUP($D914,Productos!$E:$E,Productos!$H:$H,""))</f>
        <v/>
      </c>
      <c r="F914" s="74">
        <f t="array" ref="F914">IF(OR($D914="",$D914="NO ENCONTRADO"),"",_xlfn.XLOOKUP($D914,Productos!$E:$E,Productos!$I:$I,""))</f>
        <v/>
      </c>
      <c r="G914" s="74">
        <f t="array" ref="G914">IF(OR($D914="",$D914="NO ENCONTRADO"),"",_xlfn.XLOOKUP($D914,Productos!$E:$E,Productos!$J:$J,""))</f>
        <v/>
      </c>
      <c r="H914" s="74">
        <f t="array" ref="H914">IF(OR($D914="",$D914="NO ENCONTRADO"),"",_xlfn.XLOOKUP($D914,Productos!$E:$E,Productos!$K:$K,""))</f>
        <v/>
      </c>
      <c r="I914" s="74">
        <f t="array" ref="I914">IF(OR($D914="",$D914="NO ENCONTRADO"),"",_xlfn.XLOOKUP($D914,Productos!$E:$E,Productos!$F:$F,""))</f>
        <v/>
      </c>
      <c r="J914" s="74">
        <f>IF($C914="","",IF($D914="NO ENCONTRADO",IF(COUNTIF($C$7:$C$1000,$C914)&gt;1,"⚠️ No encontrado | Duplicado","⚠️ No encontrado"),IF(COUNTIF($C$7:$C$1000,$C914)&gt;1,"⚠️ Duplicado","Verificado")))</f>
        <v/>
      </c>
    </row>
    <row r="915" ht="15.75" customHeight="1" s="176">
      <c r="B915" s="80" t="n"/>
      <c r="C915" s="74" t="n"/>
      <c r="D915" s="74">
        <f t="array" ref="D915">IF($C915="","",IFNA(_xlfn.XLOOKUP($C915,Productos!$A:$A,Productos!$E:$E,IFNA(_xlfn.XLOOKUP(TEXT($C915,"0"),Productos!$A:$A,Productos!$E:$E,IFNA(_xlfn.XLOOKUP(IFERROR(VALUE($C915),""),Productos!$A:$A,Productos!$E:$E,_xlfn.XLOOKUP($C915,Productos!$E:$E,Productos!$E:$E,"NO ENCONTRADO")),"NO ENCONTRADO")),"NO ENCONTRADO")),"NO ENCONTRADO"))</f>
        <v/>
      </c>
      <c r="E915" s="74">
        <f t="array" ref="E915">IF(OR($D915="",$D915="NO ENCONTRADO"),"",_xlfn.XLOOKUP($D915,Productos!$E:$E,Productos!$H:$H,""))</f>
        <v/>
      </c>
      <c r="F915" s="74">
        <f t="array" ref="F915">IF(OR($D915="",$D915="NO ENCONTRADO"),"",_xlfn.XLOOKUP($D915,Productos!$E:$E,Productos!$I:$I,""))</f>
        <v/>
      </c>
      <c r="G915" s="74">
        <f t="array" ref="G915">IF(OR($D915="",$D915="NO ENCONTRADO"),"",_xlfn.XLOOKUP($D915,Productos!$E:$E,Productos!$J:$J,""))</f>
        <v/>
      </c>
      <c r="H915" s="74">
        <f t="array" ref="H915">IF(OR($D915="",$D915="NO ENCONTRADO"),"",_xlfn.XLOOKUP($D915,Productos!$E:$E,Productos!$K:$K,""))</f>
        <v/>
      </c>
      <c r="I915" s="74">
        <f t="array" ref="I915">IF(OR($D915="",$D915="NO ENCONTRADO"),"",_xlfn.XLOOKUP($D915,Productos!$E:$E,Productos!$F:$F,""))</f>
        <v/>
      </c>
      <c r="J915" s="74">
        <f>IF($C915="","",IF($D915="NO ENCONTRADO",IF(COUNTIF($C$7:$C$1000,$C915)&gt;1,"⚠️ No encontrado | Duplicado","⚠️ No encontrado"),IF(COUNTIF($C$7:$C$1000,$C915)&gt;1,"⚠️ Duplicado","Verificado")))</f>
        <v/>
      </c>
    </row>
    <row r="916" ht="15.75" customHeight="1" s="176">
      <c r="B916" s="80" t="n"/>
      <c r="C916" s="74" t="n"/>
      <c r="D916" s="74">
        <f t="array" ref="D916">IF($C916="","",IFNA(_xlfn.XLOOKUP($C916,Productos!$A:$A,Productos!$E:$E,IFNA(_xlfn.XLOOKUP(TEXT($C916,"0"),Productos!$A:$A,Productos!$E:$E,IFNA(_xlfn.XLOOKUP(IFERROR(VALUE($C916),""),Productos!$A:$A,Productos!$E:$E,_xlfn.XLOOKUP($C916,Productos!$E:$E,Productos!$E:$E,"NO ENCONTRADO")),"NO ENCONTRADO")),"NO ENCONTRADO")),"NO ENCONTRADO"))</f>
        <v/>
      </c>
      <c r="E916" s="74">
        <f t="array" ref="E916">IF(OR($D916="",$D916="NO ENCONTRADO"),"",_xlfn.XLOOKUP($D916,Productos!$E:$E,Productos!$H:$H,""))</f>
        <v/>
      </c>
      <c r="F916" s="74">
        <f t="array" ref="F916">IF(OR($D916="",$D916="NO ENCONTRADO"),"",_xlfn.XLOOKUP($D916,Productos!$E:$E,Productos!$I:$I,""))</f>
        <v/>
      </c>
      <c r="G916" s="74">
        <f t="array" ref="G916">IF(OR($D916="",$D916="NO ENCONTRADO"),"",_xlfn.XLOOKUP($D916,Productos!$E:$E,Productos!$J:$J,""))</f>
        <v/>
      </c>
      <c r="H916" s="74">
        <f t="array" ref="H916">IF(OR($D916="",$D916="NO ENCONTRADO"),"",_xlfn.XLOOKUP($D916,Productos!$E:$E,Productos!$K:$K,""))</f>
        <v/>
      </c>
      <c r="I916" s="74">
        <f t="array" ref="I916">IF(OR($D916="",$D916="NO ENCONTRADO"),"",_xlfn.XLOOKUP($D916,Productos!$E:$E,Productos!$F:$F,""))</f>
        <v/>
      </c>
      <c r="J916" s="74">
        <f>IF($C916="","",IF($D916="NO ENCONTRADO",IF(COUNTIF($C$7:$C$1000,$C916)&gt;1,"⚠️ No encontrado | Duplicado","⚠️ No encontrado"),IF(COUNTIF($C$7:$C$1000,$C916)&gt;1,"⚠️ Duplicado","Verificado")))</f>
        <v/>
      </c>
    </row>
    <row r="917" ht="15.75" customHeight="1" s="176">
      <c r="B917" s="80" t="n"/>
      <c r="C917" s="74" t="n"/>
      <c r="D917" s="74">
        <f t="array" ref="D917">IF($C917="","",IFNA(_xlfn.XLOOKUP($C917,Productos!$A:$A,Productos!$E:$E,IFNA(_xlfn.XLOOKUP(TEXT($C917,"0"),Productos!$A:$A,Productos!$E:$E,IFNA(_xlfn.XLOOKUP(IFERROR(VALUE($C917),""),Productos!$A:$A,Productos!$E:$E,_xlfn.XLOOKUP($C917,Productos!$E:$E,Productos!$E:$E,"NO ENCONTRADO")),"NO ENCONTRADO")),"NO ENCONTRADO")),"NO ENCONTRADO"))</f>
        <v/>
      </c>
      <c r="E917" s="74">
        <f t="array" ref="E917">IF(OR($D917="",$D917="NO ENCONTRADO"),"",_xlfn.XLOOKUP($D917,Productos!$E:$E,Productos!$H:$H,""))</f>
        <v/>
      </c>
      <c r="F917" s="74">
        <f t="array" ref="F917">IF(OR($D917="",$D917="NO ENCONTRADO"),"",_xlfn.XLOOKUP($D917,Productos!$E:$E,Productos!$I:$I,""))</f>
        <v/>
      </c>
      <c r="G917" s="74">
        <f t="array" ref="G917">IF(OR($D917="",$D917="NO ENCONTRADO"),"",_xlfn.XLOOKUP($D917,Productos!$E:$E,Productos!$J:$J,""))</f>
        <v/>
      </c>
      <c r="H917" s="74">
        <f t="array" ref="H917">IF(OR($D917="",$D917="NO ENCONTRADO"),"",_xlfn.XLOOKUP($D917,Productos!$E:$E,Productos!$K:$K,""))</f>
        <v/>
      </c>
      <c r="I917" s="74">
        <f t="array" ref="I917">IF(OR($D917="",$D917="NO ENCONTRADO"),"",_xlfn.XLOOKUP($D917,Productos!$E:$E,Productos!$F:$F,""))</f>
        <v/>
      </c>
      <c r="J917" s="74">
        <f>IF($C917="","",IF($D917="NO ENCONTRADO",IF(COUNTIF($C$7:$C$1000,$C917)&gt;1,"⚠️ No encontrado | Duplicado","⚠️ No encontrado"),IF(COUNTIF($C$7:$C$1000,$C917)&gt;1,"⚠️ Duplicado","Verificado")))</f>
        <v/>
      </c>
    </row>
    <row r="918" ht="15.75" customHeight="1" s="176">
      <c r="B918" s="80" t="n"/>
      <c r="C918" s="74" t="n"/>
      <c r="D918" s="74">
        <f t="array" ref="D918">IF($C918="","",IFNA(_xlfn.XLOOKUP($C918,Productos!$A:$A,Productos!$E:$E,IFNA(_xlfn.XLOOKUP(TEXT($C918,"0"),Productos!$A:$A,Productos!$E:$E,IFNA(_xlfn.XLOOKUP(IFERROR(VALUE($C918),""),Productos!$A:$A,Productos!$E:$E,_xlfn.XLOOKUP($C918,Productos!$E:$E,Productos!$E:$E,"NO ENCONTRADO")),"NO ENCONTRADO")),"NO ENCONTRADO")),"NO ENCONTRADO"))</f>
        <v/>
      </c>
      <c r="E918" s="74">
        <f t="array" ref="E918">IF(OR($D918="",$D918="NO ENCONTRADO"),"",_xlfn.XLOOKUP($D918,Productos!$E:$E,Productos!$H:$H,""))</f>
        <v/>
      </c>
      <c r="F918" s="74">
        <f t="array" ref="F918">IF(OR($D918="",$D918="NO ENCONTRADO"),"",_xlfn.XLOOKUP($D918,Productos!$E:$E,Productos!$I:$I,""))</f>
        <v/>
      </c>
      <c r="G918" s="74">
        <f t="array" ref="G918">IF(OR($D918="",$D918="NO ENCONTRADO"),"",_xlfn.XLOOKUP($D918,Productos!$E:$E,Productos!$J:$J,""))</f>
        <v/>
      </c>
      <c r="H918" s="74">
        <f t="array" ref="H918">IF(OR($D918="",$D918="NO ENCONTRADO"),"",_xlfn.XLOOKUP($D918,Productos!$E:$E,Productos!$K:$K,""))</f>
        <v/>
      </c>
      <c r="I918" s="74">
        <f t="array" ref="I918">IF(OR($D918="",$D918="NO ENCONTRADO"),"",_xlfn.XLOOKUP($D918,Productos!$E:$E,Productos!$F:$F,""))</f>
        <v/>
      </c>
      <c r="J918" s="74">
        <f>IF($C918="","",IF($D918="NO ENCONTRADO",IF(COUNTIF($C$7:$C$1000,$C918)&gt;1,"⚠️ No encontrado | Duplicado","⚠️ No encontrado"),IF(COUNTIF($C$7:$C$1000,$C918)&gt;1,"⚠️ Duplicado","Verificado")))</f>
        <v/>
      </c>
    </row>
    <row r="919" ht="15.75" customHeight="1" s="176">
      <c r="B919" s="80" t="n"/>
      <c r="C919" s="74" t="n"/>
      <c r="D919" s="74">
        <f t="array" ref="D919">IF($C919="","",IFNA(_xlfn.XLOOKUP($C919,Productos!$A:$A,Productos!$E:$E,IFNA(_xlfn.XLOOKUP(TEXT($C919,"0"),Productos!$A:$A,Productos!$E:$E,IFNA(_xlfn.XLOOKUP(IFERROR(VALUE($C919),""),Productos!$A:$A,Productos!$E:$E,_xlfn.XLOOKUP($C919,Productos!$E:$E,Productos!$E:$E,"NO ENCONTRADO")),"NO ENCONTRADO")),"NO ENCONTRADO")),"NO ENCONTRADO"))</f>
        <v/>
      </c>
      <c r="E919" s="74">
        <f t="array" ref="E919">IF(OR($D919="",$D919="NO ENCONTRADO"),"",_xlfn.XLOOKUP($D919,Productos!$E:$E,Productos!$H:$H,""))</f>
        <v/>
      </c>
      <c r="F919" s="74">
        <f t="array" ref="F919">IF(OR($D919="",$D919="NO ENCONTRADO"),"",_xlfn.XLOOKUP($D919,Productos!$E:$E,Productos!$I:$I,""))</f>
        <v/>
      </c>
      <c r="G919" s="74">
        <f t="array" ref="G919">IF(OR($D919="",$D919="NO ENCONTRADO"),"",_xlfn.XLOOKUP($D919,Productos!$E:$E,Productos!$J:$J,""))</f>
        <v/>
      </c>
      <c r="H919" s="74">
        <f t="array" ref="H919">IF(OR($D919="",$D919="NO ENCONTRADO"),"",_xlfn.XLOOKUP($D919,Productos!$E:$E,Productos!$K:$K,""))</f>
        <v/>
      </c>
      <c r="I919" s="74">
        <f t="array" ref="I919">IF(OR($D919="",$D919="NO ENCONTRADO"),"",_xlfn.XLOOKUP($D919,Productos!$E:$E,Productos!$F:$F,""))</f>
        <v/>
      </c>
      <c r="J919" s="74">
        <f>IF($C919="","",IF($D919="NO ENCONTRADO",IF(COUNTIF($C$7:$C$1000,$C919)&gt;1,"⚠️ No encontrado | Duplicado","⚠️ No encontrado"),IF(COUNTIF($C$7:$C$1000,$C919)&gt;1,"⚠️ Duplicado","Verificado")))</f>
        <v/>
      </c>
    </row>
    <row r="920" ht="15.75" customHeight="1" s="176">
      <c r="B920" s="80" t="n"/>
      <c r="C920" s="74" t="n"/>
      <c r="D920" s="74">
        <f t="array" ref="D920">IF($C920="","",IFNA(_xlfn.XLOOKUP($C920,Productos!$A:$A,Productos!$E:$E,IFNA(_xlfn.XLOOKUP(TEXT($C920,"0"),Productos!$A:$A,Productos!$E:$E,IFNA(_xlfn.XLOOKUP(IFERROR(VALUE($C920),""),Productos!$A:$A,Productos!$E:$E,_xlfn.XLOOKUP($C920,Productos!$E:$E,Productos!$E:$E,"NO ENCONTRADO")),"NO ENCONTRADO")),"NO ENCONTRADO")),"NO ENCONTRADO"))</f>
        <v/>
      </c>
      <c r="E920" s="74">
        <f t="array" ref="E920">IF(OR($D920="",$D920="NO ENCONTRADO"),"",_xlfn.XLOOKUP($D920,Productos!$E:$E,Productos!$H:$H,""))</f>
        <v/>
      </c>
      <c r="F920" s="74">
        <f t="array" ref="F920">IF(OR($D920="",$D920="NO ENCONTRADO"),"",_xlfn.XLOOKUP($D920,Productos!$E:$E,Productos!$I:$I,""))</f>
        <v/>
      </c>
      <c r="G920" s="74">
        <f t="array" ref="G920">IF(OR($D920="",$D920="NO ENCONTRADO"),"",_xlfn.XLOOKUP($D920,Productos!$E:$E,Productos!$J:$J,""))</f>
        <v/>
      </c>
      <c r="H920" s="74">
        <f t="array" ref="H920">IF(OR($D920="",$D920="NO ENCONTRADO"),"",_xlfn.XLOOKUP($D920,Productos!$E:$E,Productos!$K:$K,""))</f>
        <v/>
      </c>
      <c r="I920" s="74">
        <f t="array" ref="I920">IF(OR($D920="",$D920="NO ENCONTRADO"),"",_xlfn.XLOOKUP($D920,Productos!$E:$E,Productos!$F:$F,""))</f>
        <v/>
      </c>
      <c r="J920" s="74">
        <f>IF($C920="","",IF($D920="NO ENCONTRADO",IF(COUNTIF($C$7:$C$1000,$C920)&gt;1,"⚠️ No encontrado | Duplicado","⚠️ No encontrado"),IF(COUNTIF($C$7:$C$1000,$C920)&gt;1,"⚠️ Duplicado","Verificado")))</f>
        <v/>
      </c>
    </row>
    <row r="921" ht="15.75" customHeight="1" s="176">
      <c r="B921" s="80" t="n"/>
      <c r="C921" s="74" t="n"/>
      <c r="D921" s="74">
        <f t="array" ref="D921">IF($C921="","",IFNA(_xlfn.XLOOKUP($C921,Productos!$A:$A,Productos!$E:$E,IFNA(_xlfn.XLOOKUP(TEXT($C921,"0"),Productos!$A:$A,Productos!$E:$E,IFNA(_xlfn.XLOOKUP(IFERROR(VALUE($C921),""),Productos!$A:$A,Productos!$E:$E,_xlfn.XLOOKUP($C921,Productos!$E:$E,Productos!$E:$E,"NO ENCONTRADO")),"NO ENCONTRADO")),"NO ENCONTRADO")),"NO ENCONTRADO"))</f>
        <v/>
      </c>
      <c r="E921" s="74">
        <f t="array" ref="E921">IF(OR($D921="",$D921="NO ENCONTRADO"),"",_xlfn.XLOOKUP($D921,Productos!$E:$E,Productos!$H:$H,""))</f>
        <v/>
      </c>
      <c r="F921" s="74">
        <f t="array" ref="F921">IF(OR($D921="",$D921="NO ENCONTRADO"),"",_xlfn.XLOOKUP($D921,Productos!$E:$E,Productos!$I:$I,""))</f>
        <v/>
      </c>
      <c r="G921" s="74">
        <f t="array" ref="G921">IF(OR($D921="",$D921="NO ENCONTRADO"),"",_xlfn.XLOOKUP($D921,Productos!$E:$E,Productos!$J:$J,""))</f>
        <v/>
      </c>
      <c r="H921" s="74">
        <f t="array" ref="H921">IF(OR($D921="",$D921="NO ENCONTRADO"),"",_xlfn.XLOOKUP($D921,Productos!$E:$E,Productos!$K:$K,""))</f>
        <v/>
      </c>
      <c r="I921" s="74">
        <f t="array" ref="I921">IF(OR($D921="",$D921="NO ENCONTRADO"),"",_xlfn.XLOOKUP($D921,Productos!$E:$E,Productos!$F:$F,""))</f>
        <v/>
      </c>
      <c r="J921" s="74">
        <f>IF($C921="","",IF($D921="NO ENCONTRADO",IF(COUNTIF($C$7:$C$1000,$C921)&gt;1,"⚠️ No encontrado | Duplicado","⚠️ No encontrado"),IF(COUNTIF($C$7:$C$1000,$C921)&gt;1,"⚠️ Duplicado","Verificado")))</f>
        <v/>
      </c>
    </row>
    <row r="922" ht="15.75" customHeight="1" s="176">
      <c r="B922" s="80" t="n"/>
      <c r="C922" s="74" t="n"/>
      <c r="D922" s="74">
        <f t="array" ref="D922">IF($C922="","",IFNA(_xlfn.XLOOKUP($C922,Productos!$A:$A,Productos!$E:$E,IFNA(_xlfn.XLOOKUP(TEXT($C922,"0"),Productos!$A:$A,Productos!$E:$E,IFNA(_xlfn.XLOOKUP(IFERROR(VALUE($C922),""),Productos!$A:$A,Productos!$E:$E,_xlfn.XLOOKUP($C922,Productos!$E:$E,Productos!$E:$E,"NO ENCONTRADO")),"NO ENCONTRADO")),"NO ENCONTRADO")),"NO ENCONTRADO"))</f>
        <v/>
      </c>
      <c r="E922" s="74">
        <f t="array" ref="E922">IF(OR($D922="",$D922="NO ENCONTRADO"),"",_xlfn.XLOOKUP($D922,Productos!$E:$E,Productos!$H:$H,""))</f>
        <v/>
      </c>
      <c r="F922" s="74">
        <f t="array" ref="F922">IF(OR($D922="",$D922="NO ENCONTRADO"),"",_xlfn.XLOOKUP($D922,Productos!$E:$E,Productos!$I:$I,""))</f>
        <v/>
      </c>
      <c r="G922" s="74">
        <f t="array" ref="G922">IF(OR($D922="",$D922="NO ENCONTRADO"),"",_xlfn.XLOOKUP($D922,Productos!$E:$E,Productos!$J:$J,""))</f>
        <v/>
      </c>
      <c r="H922" s="74">
        <f t="array" ref="H922">IF(OR($D922="",$D922="NO ENCONTRADO"),"",_xlfn.XLOOKUP($D922,Productos!$E:$E,Productos!$K:$K,""))</f>
        <v/>
      </c>
      <c r="I922" s="74">
        <f t="array" ref="I922">IF(OR($D922="",$D922="NO ENCONTRADO"),"",_xlfn.XLOOKUP($D922,Productos!$E:$E,Productos!$F:$F,""))</f>
        <v/>
      </c>
      <c r="J922" s="74">
        <f>IF($C922="","",IF($D922="NO ENCONTRADO",IF(COUNTIF($C$7:$C$1000,$C922)&gt;1,"⚠️ No encontrado | Duplicado","⚠️ No encontrado"),IF(COUNTIF($C$7:$C$1000,$C922)&gt;1,"⚠️ Duplicado","Verificado")))</f>
        <v/>
      </c>
    </row>
    <row r="923" ht="15.75" customHeight="1" s="176">
      <c r="B923" s="80" t="n"/>
      <c r="C923" s="74" t="n"/>
      <c r="D923" s="74">
        <f t="array" ref="D923">IF($C923="","",IFNA(_xlfn.XLOOKUP($C923,Productos!$A:$A,Productos!$E:$E,IFNA(_xlfn.XLOOKUP(TEXT($C923,"0"),Productos!$A:$A,Productos!$E:$E,IFNA(_xlfn.XLOOKUP(IFERROR(VALUE($C923),""),Productos!$A:$A,Productos!$E:$E,_xlfn.XLOOKUP($C923,Productos!$E:$E,Productos!$E:$E,"NO ENCONTRADO")),"NO ENCONTRADO")),"NO ENCONTRADO")),"NO ENCONTRADO"))</f>
        <v/>
      </c>
      <c r="E923" s="74">
        <f t="array" ref="E923">IF(OR($D923="",$D923="NO ENCONTRADO"),"",_xlfn.XLOOKUP($D923,Productos!$E:$E,Productos!$H:$H,""))</f>
        <v/>
      </c>
      <c r="F923" s="74">
        <f t="array" ref="F923">IF(OR($D923="",$D923="NO ENCONTRADO"),"",_xlfn.XLOOKUP($D923,Productos!$E:$E,Productos!$I:$I,""))</f>
        <v/>
      </c>
      <c r="G923" s="74">
        <f t="array" ref="G923">IF(OR($D923="",$D923="NO ENCONTRADO"),"",_xlfn.XLOOKUP($D923,Productos!$E:$E,Productos!$J:$J,""))</f>
        <v/>
      </c>
      <c r="H923" s="74">
        <f t="array" ref="H923">IF(OR($D923="",$D923="NO ENCONTRADO"),"",_xlfn.XLOOKUP($D923,Productos!$E:$E,Productos!$K:$K,""))</f>
        <v/>
      </c>
      <c r="I923" s="74">
        <f t="array" ref="I923">IF(OR($D923="",$D923="NO ENCONTRADO"),"",_xlfn.XLOOKUP($D923,Productos!$E:$E,Productos!$F:$F,""))</f>
        <v/>
      </c>
      <c r="J923" s="74">
        <f>IF($C923="","",IF($D923="NO ENCONTRADO",IF(COUNTIF($C$7:$C$1000,$C923)&gt;1,"⚠️ No encontrado | Duplicado","⚠️ No encontrado"),IF(COUNTIF($C$7:$C$1000,$C923)&gt;1,"⚠️ Duplicado","Verificado")))</f>
        <v/>
      </c>
    </row>
    <row r="924" ht="15.75" customHeight="1" s="176">
      <c r="B924" s="80" t="n"/>
      <c r="C924" s="74" t="n"/>
      <c r="D924" s="74">
        <f t="array" ref="D924">IF($C924="","",IFNA(_xlfn.XLOOKUP($C924,Productos!$A:$A,Productos!$E:$E,IFNA(_xlfn.XLOOKUP(TEXT($C924,"0"),Productos!$A:$A,Productos!$E:$E,IFNA(_xlfn.XLOOKUP(IFERROR(VALUE($C924),""),Productos!$A:$A,Productos!$E:$E,_xlfn.XLOOKUP($C924,Productos!$E:$E,Productos!$E:$E,"NO ENCONTRADO")),"NO ENCONTRADO")),"NO ENCONTRADO")),"NO ENCONTRADO"))</f>
        <v/>
      </c>
      <c r="E924" s="74">
        <f t="array" ref="E924">IF(OR($D924="",$D924="NO ENCONTRADO"),"",_xlfn.XLOOKUP($D924,Productos!$E:$E,Productos!$H:$H,""))</f>
        <v/>
      </c>
      <c r="F924" s="74">
        <f t="array" ref="F924">IF(OR($D924="",$D924="NO ENCONTRADO"),"",_xlfn.XLOOKUP($D924,Productos!$E:$E,Productos!$I:$I,""))</f>
        <v/>
      </c>
      <c r="G924" s="74">
        <f t="array" ref="G924">IF(OR($D924="",$D924="NO ENCONTRADO"),"",_xlfn.XLOOKUP($D924,Productos!$E:$E,Productos!$J:$J,""))</f>
        <v/>
      </c>
      <c r="H924" s="74">
        <f t="array" ref="H924">IF(OR($D924="",$D924="NO ENCONTRADO"),"",_xlfn.XLOOKUP($D924,Productos!$E:$E,Productos!$K:$K,""))</f>
        <v/>
      </c>
      <c r="I924" s="74">
        <f t="array" ref="I924">IF(OR($D924="",$D924="NO ENCONTRADO"),"",_xlfn.XLOOKUP($D924,Productos!$E:$E,Productos!$F:$F,""))</f>
        <v/>
      </c>
      <c r="J924" s="74">
        <f>IF($C924="","",IF($D924="NO ENCONTRADO",IF(COUNTIF($C$7:$C$1000,$C924)&gt;1,"⚠️ No encontrado | Duplicado","⚠️ No encontrado"),IF(COUNTIF($C$7:$C$1000,$C924)&gt;1,"⚠️ Duplicado","Verificado")))</f>
        <v/>
      </c>
    </row>
    <row r="925" ht="15.75" customHeight="1" s="176">
      <c r="B925" s="80" t="n"/>
      <c r="C925" s="74" t="n"/>
      <c r="D925" s="74">
        <f t="array" ref="D925">IF($C925="","",IFNA(_xlfn.XLOOKUP($C925,Productos!$A:$A,Productos!$E:$E,IFNA(_xlfn.XLOOKUP(TEXT($C925,"0"),Productos!$A:$A,Productos!$E:$E,IFNA(_xlfn.XLOOKUP(IFERROR(VALUE($C925),""),Productos!$A:$A,Productos!$E:$E,_xlfn.XLOOKUP($C925,Productos!$E:$E,Productos!$E:$E,"NO ENCONTRADO")),"NO ENCONTRADO")),"NO ENCONTRADO")),"NO ENCONTRADO"))</f>
        <v/>
      </c>
      <c r="E925" s="74">
        <f t="array" ref="E925">IF(OR($D925="",$D925="NO ENCONTRADO"),"",_xlfn.XLOOKUP($D925,Productos!$E:$E,Productos!$H:$H,""))</f>
        <v/>
      </c>
      <c r="F925" s="74">
        <f t="array" ref="F925">IF(OR($D925="",$D925="NO ENCONTRADO"),"",_xlfn.XLOOKUP($D925,Productos!$E:$E,Productos!$I:$I,""))</f>
        <v/>
      </c>
      <c r="G925" s="74">
        <f t="array" ref="G925">IF(OR($D925="",$D925="NO ENCONTRADO"),"",_xlfn.XLOOKUP($D925,Productos!$E:$E,Productos!$J:$J,""))</f>
        <v/>
      </c>
      <c r="H925" s="74">
        <f t="array" ref="H925">IF(OR($D925="",$D925="NO ENCONTRADO"),"",_xlfn.XLOOKUP($D925,Productos!$E:$E,Productos!$K:$K,""))</f>
        <v/>
      </c>
      <c r="I925" s="74">
        <f t="array" ref="I925">IF(OR($D925="",$D925="NO ENCONTRADO"),"",_xlfn.XLOOKUP($D925,Productos!$E:$E,Productos!$F:$F,""))</f>
        <v/>
      </c>
      <c r="J925" s="74">
        <f>IF($C925="","",IF($D925="NO ENCONTRADO",IF(COUNTIF($C$7:$C$1000,$C925)&gt;1,"⚠️ No encontrado | Duplicado","⚠️ No encontrado"),IF(COUNTIF($C$7:$C$1000,$C925)&gt;1,"⚠️ Duplicado","Verificado")))</f>
        <v/>
      </c>
    </row>
    <row r="926" ht="15.75" customHeight="1" s="176">
      <c r="B926" s="80" t="n"/>
      <c r="C926" s="74" t="n"/>
      <c r="D926" s="74">
        <f t="array" ref="D926">IF($C926="","",IFNA(_xlfn.XLOOKUP($C926,Productos!$A:$A,Productos!$E:$E,IFNA(_xlfn.XLOOKUP(TEXT($C926,"0"),Productos!$A:$A,Productos!$E:$E,IFNA(_xlfn.XLOOKUP(IFERROR(VALUE($C926),""),Productos!$A:$A,Productos!$E:$E,_xlfn.XLOOKUP($C926,Productos!$E:$E,Productos!$E:$E,"NO ENCONTRADO")),"NO ENCONTRADO")),"NO ENCONTRADO")),"NO ENCONTRADO"))</f>
        <v/>
      </c>
      <c r="E926" s="74">
        <f t="array" ref="E926">IF(OR($D926="",$D926="NO ENCONTRADO"),"",_xlfn.XLOOKUP($D926,Productos!$E:$E,Productos!$H:$H,""))</f>
        <v/>
      </c>
      <c r="F926" s="74">
        <f t="array" ref="F926">IF(OR($D926="",$D926="NO ENCONTRADO"),"",_xlfn.XLOOKUP($D926,Productos!$E:$E,Productos!$I:$I,""))</f>
        <v/>
      </c>
      <c r="G926" s="74">
        <f t="array" ref="G926">IF(OR($D926="",$D926="NO ENCONTRADO"),"",_xlfn.XLOOKUP($D926,Productos!$E:$E,Productos!$J:$J,""))</f>
        <v/>
      </c>
      <c r="H926" s="74">
        <f t="array" ref="H926">IF(OR($D926="",$D926="NO ENCONTRADO"),"",_xlfn.XLOOKUP($D926,Productos!$E:$E,Productos!$K:$K,""))</f>
        <v/>
      </c>
      <c r="I926" s="74">
        <f t="array" ref="I926">IF(OR($D926="",$D926="NO ENCONTRADO"),"",_xlfn.XLOOKUP($D926,Productos!$E:$E,Productos!$F:$F,""))</f>
        <v/>
      </c>
      <c r="J926" s="74">
        <f>IF($C926="","",IF($D926="NO ENCONTRADO",IF(COUNTIF($C$7:$C$1000,$C926)&gt;1,"⚠️ No encontrado | Duplicado","⚠️ No encontrado"),IF(COUNTIF($C$7:$C$1000,$C926)&gt;1,"⚠️ Duplicado","Verificado")))</f>
        <v/>
      </c>
    </row>
    <row r="927" ht="15.75" customHeight="1" s="176">
      <c r="B927" s="80" t="n"/>
      <c r="C927" s="74" t="n"/>
      <c r="D927" s="74">
        <f t="array" ref="D927">IF($C927="","",IFNA(_xlfn.XLOOKUP($C927,Productos!$A:$A,Productos!$E:$E,IFNA(_xlfn.XLOOKUP(TEXT($C927,"0"),Productos!$A:$A,Productos!$E:$E,IFNA(_xlfn.XLOOKUP(IFERROR(VALUE($C927),""),Productos!$A:$A,Productos!$E:$E,_xlfn.XLOOKUP($C927,Productos!$E:$E,Productos!$E:$E,"NO ENCONTRADO")),"NO ENCONTRADO")),"NO ENCONTRADO")),"NO ENCONTRADO"))</f>
        <v/>
      </c>
      <c r="E927" s="74">
        <f t="array" ref="E927">IF(OR($D927="",$D927="NO ENCONTRADO"),"",_xlfn.XLOOKUP($D927,Productos!$E:$E,Productos!$H:$H,""))</f>
        <v/>
      </c>
      <c r="F927" s="74">
        <f t="array" ref="F927">IF(OR($D927="",$D927="NO ENCONTRADO"),"",_xlfn.XLOOKUP($D927,Productos!$E:$E,Productos!$I:$I,""))</f>
        <v/>
      </c>
      <c r="G927" s="74">
        <f t="array" ref="G927">IF(OR($D927="",$D927="NO ENCONTRADO"),"",_xlfn.XLOOKUP($D927,Productos!$E:$E,Productos!$J:$J,""))</f>
        <v/>
      </c>
      <c r="H927" s="74">
        <f t="array" ref="H927">IF(OR($D927="",$D927="NO ENCONTRADO"),"",_xlfn.XLOOKUP($D927,Productos!$E:$E,Productos!$K:$K,""))</f>
        <v/>
      </c>
      <c r="I927" s="74">
        <f t="array" ref="I927">IF(OR($D927="",$D927="NO ENCONTRADO"),"",_xlfn.XLOOKUP($D927,Productos!$E:$E,Productos!$F:$F,""))</f>
        <v/>
      </c>
      <c r="J927" s="74">
        <f>IF($C927="","",IF($D927="NO ENCONTRADO",IF(COUNTIF($C$7:$C$1000,$C927)&gt;1,"⚠️ No encontrado | Duplicado","⚠️ No encontrado"),IF(COUNTIF($C$7:$C$1000,$C927)&gt;1,"⚠️ Duplicado","Verificado")))</f>
        <v/>
      </c>
    </row>
    <row r="928" ht="15.75" customHeight="1" s="176">
      <c r="B928" s="80" t="n"/>
      <c r="C928" s="74" t="n"/>
      <c r="D928" s="74">
        <f t="array" ref="D928">IF($C928="","",IFNA(_xlfn.XLOOKUP($C928,Productos!$A:$A,Productos!$E:$E,IFNA(_xlfn.XLOOKUP(TEXT($C928,"0"),Productos!$A:$A,Productos!$E:$E,IFNA(_xlfn.XLOOKUP(IFERROR(VALUE($C928),""),Productos!$A:$A,Productos!$E:$E,_xlfn.XLOOKUP($C928,Productos!$E:$E,Productos!$E:$E,"NO ENCONTRADO")),"NO ENCONTRADO")),"NO ENCONTRADO")),"NO ENCONTRADO"))</f>
        <v/>
      </c>
      <c r="E928" s="74">
        <f t="array" ref="E928">IF(OR($D928="",$D928="NO ENCONTRADO"),"",_xlfn.XLOOKUP($D928,Productos!$E:$E,Productos!$H:$H,""))</f>
        <v/>
      </c>
      <c r="F928" s="74">
        <f t="array" ref="F928">IF(OR($D928="",$D928="NO ENCONTRADO"),"",_xlfn.XLOOKUP($D928,Productos!$E:$E,Productos!$I:$I,""))</f>
        <v/>
      </c>
      <c r="G928" s="74">
        <f t="array" ref="G928">IF(OR($D928="",$D928="NO ENCONTRADO"),"",_xlfn.XLOOKUP($D928,Productos!$E:$E,Productos!$J:$J,""))</f>
        <v/>
      </c>
      <c r="H928" s="74">
        <f t="array" ref="H928">IF(OR($D928="",$D928="NO ENCONTRADO"),"",_xlfn.XLOOKUP($D928,Productos!$E:$E,Productos!$K:$K,""))</f>
        <v/>
      </c>
      <c r="I928" s="74">
        <f t="array" ref="I928">IF(OR($D928="",$D928="NO ENCONTRADO"),"",_xlfn.XLOOKUP($D928,Productos!$E:$E,Productos!$F:$F,""))</f>
        <v/>
      </c>
      <c r="J928" s="74">
        <f>IF($C928="","",IF($D928="NO ENCONTRADO",IF(COUNTIF($C$7:$C$1000,$C928)&gt;1,"⚠️ No encontrado | Duplicado","⚠️ No encontrado"),IF(COUNTIF($C$7:$C$1000,$C928)&gt;1,"⚠️ Duplicado","Verificado")))</f>
        <v/>
      </c>
    </row>
    <row r="929" ht="15.75" customHeight="1" s="176">
      <c r="B929" s="80" t="n"/>
      <c r="C929" s="74" t="n"/>
      <c r="D929" s="74">
        <f t="array" ref="D929">IF($C929="","",IFNA(_xlfn.XLOOKUP($C929,Productos!$A:$A,Productos!$E:$E,IFNA(_xlfn.XLOOKUP(TEXT($C929,"0"),Productos!$A:$A,Productos!$E:$E,IFNA(_xlfn.XLOOKUP(IFERROR(VALUE($C929),""),Productos!$A:$A,Productos!$E:$E,_xlfn.XLOOKUP($C929,Productos!$E:$E,Productos!$E:$E,"NO ENCONTRADO")),"NO ENCONTRADO")),"NO ENCONTRADO")),"NO ENCONTRADO"))</f>
        <v/>
      </c>
      <c r="E929" s="74">
        <f t="array" ref="E929">IF(OR($D929="",$D929="NO ENCONTRADO"),"",_xlfn.XLOOKUP($D929,Productos!$E:$E,Productos!$H:$H,""))</f>
        <v/>
      </c>
      <c r="F929" s="74">
        <f t="array" ref="F929">IF(OR($D929="",$D929="NO ENCONTRADO"),"",_xlfn.XLOOKUP($D929,Productos!$E:$E,Productos!$I:$I,""))</f>
        <v/>
      </c>
      <c r="G929" s="74">
        <f t="array" ref="G929">IF(OR($D929="",$D929="NO ENCONTRADO"),"",_xlfn.XLOOKUP($D929,Productos!$E:$E,Productos!$J:$J,""))</f>
        <v/>
      </c>
      <c r="H929" s="74">
        <f t="array" ref="H929">IF(OR($D929="",$D929="NO ENCONTRADO"),"",_xlfn.XLOOKUP($D929,Productos!$E:$E,Productos!$K:$K,""))</f>
        <v/>
      </c>
      <c r="I929" s="74">
        <f t="array" ref="I929">IF(OR($D929="",$D929="NO ENCONTRADO"),"",_xlfn.XLOOKUP($D929,Productos!$E:$E,Productos!$F:$F,""))</f>
        <v/>
      </c>
      <c r="J929" s="74">
        <f>IF($C929="","",IF($D929="NO ENCONTRADO",IF(COUNTIF($C$7:$C$1000,$C929)&gt;1,"⚠️ No encontrado | Duplicado","⚠️ No encontrado"),IF(COUNTIF($C$7:$C$1000,$C929)&gt;1,"⚠️ Duplicado","Verificado")))</f>
        <v/>
      </c>
    </row>
    <row r="930" ht="15.75" customHeight="1" s="176">
      <c r="B930" s="80" t="n"/>
      <c r="C930" s="74" t="n"/>
      <c r="D930" s="74">
        <f t="array" ref="D930">IF($C930="","",IFNA(_xlfn.XLOOKUP($C930,Productos!$A:$A,Productos!$E:$E,IFNA(_xlfn.XLOOKUP(TEXT($C930,"0"),Productos!$A:$A,Productos!$E:$E,IFNA(_xlfn.XLOOKUP(IFERROR(VALUE($C930),""),Productos!$A:$A,Productos!$E:$E,_xlfn.XLOOKUP($C930,Productos!$E:$E,Productos!$E:$E,"NO ENCONTRADO")),"NO ENCONTRADO")),"NO ENCONTRADO")),"NO ENCONTRADO"))</f>
        <v/>
      </c>
      <c r="E930" s="74">
        <f t="array" ref="E930">IF(OR($D930="",$D930="NO ENCONTRADO"),"",_xlfn.XLOOKUP($D930,Productos!$E:$E,Productos!$H:$H,""))</f>
        <v/>
      </c>
      <c r="F930" s="74">
        <f t="array" ref="F930">IF(OR($D930="",$D930="NO ENCONTRADO"),"",_xlfn.XLOOKUP($D930,Productos!$E:$E,Productos!$I:$I,""))</f>
        <v/>
      </c>
      <c r="G930" s="74">
        <f t="array" ref="G930">IF(OR($D930="",$D930="NO ENCONTRADO"),"",_xlfn.XLOOKUP($D930,Productos!$E:$E,Productos!$J:$J,""))</f>
        <v/>
      </c>
      <c r="H930" s="74">
        <f t="array" ref="H930">IF(OR($D930="",$D930="NO ENCONTRADO"),"",_xlfn.XLOOKUP($D930,Productos!$E:$E,Productos!$K:$K,""))</f>
        <v/>
      </c>
      <c r="I930" s="74">
        <f t="array" ref="I930">IF(OR($D930="",$D930="NO ENCONTRADO"),"",_xlfn.XLOOKUP($D930,Productos!$E:$E,Productos!$F:$F,""))</f>
        <v/>
      </c>
      <c r="J930" s="74">
        <f>IF($C930="","",IF($D930="NO ENCONTRADO",IF(COUNTIF($C$7:$C$1000,$C930)&gt;1,"⚠️ No encontrado | Duplicado","⚠️ No encontrado"),IF(COUNTIF($C$7:$C$1000,$C930)&gt;1,"⚠️ Duplicado","Verificado")))</f>
        <v/>
      </c>
    </row>
    <row r="931" ht="15.75" customHeight="1" s="176">
      <c r="B931" s="80" t="n"/>
      <c r="C931" s="74" t="n"/>
      <c r="D931" s="74">
        <f t="array" ref="D931">IF($C931="","",IFNA(_xlfn.XLOOKUP($C931,Productos!$A:$A,Productos!$E:$E,IFNA(_xlfn.XLOOKUP(TEXT($C931,"0"),Productos!$A:$A,Productos!$E:$E,IFNA(_xlfn.XLOOKUP(IFERROR(VALUE($C931),""),Productos!$A:$A,Productos!$E:$E,_xlfn.XLOOKUP($C931,Productos!$E:$E,Productos!$E:$E,"NO ENCONTRADO")),"NO ENCONTRADO")),"NO ENCONTRADO")),"NO ENCONTRADO"))</f>
        <v/>
      </c>
      <c r="E931" s="74">
        <f t="array" ref="E931">IF(OR($D931="",$D931="NO ENCONTRADO"),"",_xlfn.XLOOKUP($D931,Productos!$E:$E,Productos!$H:$H,""))</f>
        <v/>
      </c>
      <c r="F931" s="74">
        <f t="array" ref="F931">IF(OR($D931="",$D931="NO ENCONTRADO"),"",_xlfn.XLOOKUP($D931,Productos!$E:$E,Productos!$I:$I,""))</f>
        <v/>
      </c>
      <c r="G931" s="74">
        <f t="array" ref="G931">IF(OR($D931="",$D931="NO ENCONTRADO"),"",_xlfn.XLOOKUP($D931,Productos!$E:$E,Productos!$J:$J,""))</f>
        <v/>
      </c>
      <c r="H931" s="74">
        <f t="array" ref="H931">IF(OR($D931="",$D931="NO ENCONTRADO"),"",_xlfn.XLOOKUP($D931,Productos!$E:$E,Productos!$K:$K,""))</f>
        <v/>
      </c>
      <c r="I931" s="74">
        <f t="array" ref="I931">IF(OR($D931="",$D931="NO ENCONTRADO"),"",_xlfn.XLOOKUP($D931,Productos!$E:$E,Productos!$F:$F,""))</f>
        <v/>
      </c>
      <c r="J931" s="74">
        <f>IF($C931="","",IF($D931="NO ENCONTRADO",IF(COUNTIF($C$7:$C$1000,$C931)&gt;1,"⚠️ No encontrado | Duplicado","⚠️ No encontrado"),IF(COUNTIF($C$7:$C$1000,$C931)&gt;1,"⚠️ Duplicado","Verificado")))</f>
        <v/>
      </c>
    </row>
    <row r="932" ht="15.75" customHeight="1" s="176">
      <c r="B932" s="80" t="n"/>
      <c r="C932" s="74" t="n"/>
      <c r="D932" s="74">
        <f t="array" ref="D932">IF($C932="","",IFNA(_xlfn.XLOOKUP($C932,Productos!$A:$A,Productos!$E:$E,IFNA(_xlfn.XLOOKUP(TEXT($C932,"0"),Productos!$A:$A,Productos!$E:$E,IFNA(_xlfn.XLOOKUP(IFERROR(VALUE($C932),""),Productos!$A:$A,Productos!$E:$E,_xlfn.XLOOKUP($C932,Productos!$E:$E,Productos!$E:$E,"NO ENCONTRADO")),"NO ENCONTRADO")),"NO ENCONTRADO")),"NO ENCONTRADO"))</f>
        <v/>
      </c>
      <c r="E932" s="74">
        <f t="array" ref="E932">IF(OR($D932="",$D932="NO ENCONTRADO"),"",_xlfn.XLOOKUP($D932,Productos!$E:$E,Productos!$H:$H,""))</f>
        <v/>
      </c>
      <c r="F932" s="74">
        <f t="array" ref="F932">IF(OR($D932="",$D932="NO ENCONTRADO"),"",_xlfn.XLOOKUP($D932,Productos!$E:$E,Productos!$I:$I,""))</f>
        <v/>
      </c>
      <c r="G932" s="74">
        <f t="array" ref="G932">IF(OR($D932="",$D932="NO ENCONTRADO"),"",_xlfn.XLOOKUP($D932,Productos!$E:$E,Productos!$J:$J,""))</f>
        <v/>
      </c>
      <c r="H932" s="74">
        <f t="array" ref="H932">IF(OR($D932="",$D932="NO ENCONTRADO"),"",_xlfn.XLOOKUP($D932,Productos!$E:$E,Productos!$K:$K,""))</f>
        <v/>
      </c>
      <c r="I932" s="74">
        <f t="array" ref="I932">IF(OR($D932="",$D932="NO ENCONTRADO"),"",_xlfn.XLOOKUP($D932,Productos!$E:$E,Productos!$F:$F,""))</f>
        <v/>
      </c>
      <c r="J932" s="74">
        <f>IF($C932="","",IF($D932="NO ENCONTRADO",IF(COUNTIF($C$7:$C$1000,$C932)&gt;1,"⚠️ No encontrado | Duplicado","⚠️ No encontrado"),IF(COUNTIF($C$7:$C$1000,$C932)&gt;1,"⚠️ Duplicado","Verificado")))</f>
        <v/>
      </c>
    </row>
    <row r="933" ht="15.75" customHeight="1" s="176">
      <c r="B933" s="80" t="n"/>
      <c r="C933" s="74" t="n"/>
      <c r="D933" s="74">
        <f t="array" ref="D933">IF($C933="","",IFNA(_xlfn.XLOOKUP($C933,Productos!$A:$A,Productos!$E:$E,IFNA(_xlfn.XLOOKUP(TEXT($C933,"0"),Productos!$A:$A,Productos!$E:$E,IFNA(_xlfn.XLOOKUP(IFERROR(VALUE($C933),""),Productos!$A:$A,Productos!$E:$E,_xlfn.XLOOKUP($C933,Productos!$E:$E,Productos!$E:$E,"NO ENCONTRADO")),"NO ENCONTRADO")),"NO ENCONTRADO")),"NO ENCONTRADO"))</f>
        <v/>
      </c>
      <c r="E933" s="74">
        <f t="array" ref="E933">IF(OR($D933="",$D933="NO ENCONTRADO"),"",_xlfn.XLOOKUP($D933,Productos!$E:$E,Productos!$H:$H,""))</f>
        <v/>
      </c>
      <c r="F933" s="74">
        <f t="array" ref="F933">IF(OR($D933="",$D933="NO ENCONTRADO"),"",_xlfn.XLOOKUP($D933,Productos!$E:$E,Productos!$I:$I,""))</f>
        <v/>
      </c>
      <c r="G933" s="74">
        <f t="array" ref="G933">IF(OR($D933="",$D933="NO ENCONTRADO"),"",_xlfn.XLOOKUP($D933,Productos!$E:$E,Productos!$J:$J,""))</f>
        <v/>
      </c>
      <c r="H933" s="74">
        <f t="array" ref="H933">IF(OR($D933="",$D933="NO ENCONTRADO"),"",_xlfn.XLOOKUP($D933,Productos!$E:$E,Productos!$K:$K,""))</f>
        <v/>
      </c>
      <c r="I933" s="74">
        <f t="array" ref="I933">IF(OR($D933="",$D933="NO ENCONTRADO"),"",_xlfn.XLOOKUP($D933,Productos!$E:$E,Productos!$F:$F,""))</f>
        <v/>
      </c>
      <c r="J933" s="74">
        <f>IF($C933="","",IF($D933="NO ENCONTRADO",IF(COUNTIF($C$7:$C$1000,$C933)&gt;1,"⚠️ No encontrado | Duplicado","⚠️ No encontrado"),IF(COUNTIF($C$7:$C$1000,$C933)&gt;1,"⚠️ Duplicado","Verificado")))</f>
        <v/>
      </c>
    </row>
    <row r="934" ht="15.75" customHeight="1" s="176">
      <c r="B934" s="80" t="n"/>
      <c r="C934" s="74" t="n"/>
      <c r="D934" s="74">
        <f t="array" ref="D934">IF($C934="","",IFNA(_xlfn.XLOOKUP($C934,Productos!$A:$A,Productos!$E:$E,IFNA(_xlfn.XLOOKUP(TEXT($C934,"0"),Productos!$A:$A,Productos!$E:$E,IFNA(_xlfn.XLOOKUP(IFERROR(VALUE($C934),""),Productos!$A:$A,Productos!$E:$E,_xlfn.XLOOKUP($C934,Productos!$E:$E,Productos!$E:$E,"NO ENCONTRADO")),"NO ENCONTRADO")),"NO ENCONTRADO")),"NO ENCONTRADO"))</f>
        <v/>
      </c>
      <c r="E934" s="74">
        <f t="array" ref="E934">IF(OR($D934="",$D934="NO ENCONTRADO"),"",_xlfn.XLOOKUP($D934,Productos!$E:$E,Productos!$H:$H,""))</f>
        <v/>
      </c>
      <c r="F934" s="74">
        <f t="array" ref="F934">IF(OR($D934="",$D934="NO ENCONTRADO"),"",_xlfn.XLOOKUP($D934,Productos!$E:$E,Productos!$I:$I,""))</f>
        <v/>
      </c>
      <c r="G934" s="74">
        <f t="array" ref="G934">IF(OR($D934="",$D934="NO ENCONTRADO"),"",_xlfn.XLOOKUP($D934,Productos!$E:$E,Productos!$J:$J,""))</f>
        <v/>
      </c>
      <c r="H934" s="74">
        <f t="array" ref="H934">IF(OR($D934="",$D934="NO ENCONTRADO"),"",_xlfn.XLOOKUP($D934,Productos!$E:$E,Productos!$K:$K,""))</f>
        <v/>
      </c>
      <c r="I934" s="74">
        <f t="array" ref="I934">IF(OR($D934="",$D934="NO ENCONTRADO"),"",_xlfn.XLOOKUP($D934,Productos!$E:$E,Productos!$F:$F,""))</f>
        <v/>
      </c>
      <c r="J934" s="74">
        <f>IF($C934="","",IF($D934="NO ENCONTRADO",IF(COUNTIF($C$7:$C$1000,$C934)&gt;1,"⚠️ No encontrado | Duplicado","⚠️ No encontrado"),IF(COUNTIF($C$7:$C$1000,$C934)&gt;1,"⚠️ Duplicado","Verificado")))</f>
        <v/>
      </c>
    </row>
    <row r="935" ht="15.75" customHeight="1" s="176">
      <c r="B935" s="80" t="n"/>
      <c r="C935" s="74" t="n"/>
      <c r="D935" s="74">
        <f t="array" ref="D935">IF($C935="","",IFNA(_xlfn.XLOOKUP($C935,Productos!$A:$A,Productos!$E:$E,IFNA(_xlfn.XLOOKUP(TEXT($C935,"0"),Productos!$A:$A,Productos!$E:$E,IFNA(_xlfn.XLOOKUP(IFERROR(VALUE($C935),""),Productos!$A:$A,Productos!$E:$E,_xlfn.XLOOKUP($C935,Productos!$E:$E,Productos!$E:$E,"NO ENCONTRADO")),"NO ENCONTRADO")),"NO ENCONTRADO")),"NO ENCONTRADO"))</f>
        <v/>
      </c>
      <c r="E935" s="74">
        <f t="array" ref="E935">IF(OR($D935="",$D935="NO ENCONTRADO"),"",_xlfn.XLOOKUP($D935,Productos!$E:$E,Productos!$H:$H,""))</f>
        <v/>
      </c>
      <c r="F935" s="74">
        <f t="array" ref="F935">IF(OR($D935="",$D935="NO ENCONTRADO"),"",_xlfn.XLOOKUP($D935,Productos!$E:$E,Productos!$I:$I,""))</f>
        <v/>
      </c>
      <c r="G935" s="74">
        <f t="array" ref="G935">IF(OR($D935="",$D935="NO ENCONTRADO"),"",_xlfn.XLOOKUP($D935,Productos!$E:$E,Productos!$J:$J,""))</f>
        <v/>
      </c>
      <c r="H935" s="74">
        <f t="array" ref="H935">IF(OR($D935="",$D935="NO ENCONTRADO"),"",_xlfn.XLOOKUP($D935,Productos!$E:$E,Productos!$K:$K,""))</f>
        <v/>
      </c>
      <c r="I935" s="74">
        <f t="array" ref="I935">IF(OR($D935="",$D935="NO ENCONTRADO"),"",_xlfn.XLOOKUP($D935,Productos!$E:$E,Productos!$F:$F,""))</f>
        <v/>
      </c>
      <c r="J935" s="74">
        <f>IF($C935="","",IF($D935="NO ENCONTRADO",IF(COUNTIF($C$7:$C$1000,$C935)&gt;1,"⚠️ No encontrado | Duplicado","⚠️ No encontrado"),IF(COUNTIF($C$7:$C$1000,$C935)&gt;1,"⚠️ Duplicado","Verificado")))</f>
        <v/>
      </c>
    </row>
    <row r="936" ht="15.75" customHeight="1" s="176">
      <c r="B936" s="80" t="n"/>
      <c r="C936" s="74" t="n"/>
      <c r="D936" s="74">
        <f t="array" ref="D936">IF($C936="","",IFNA(_xlfn.XLOOKUP($C936,Productos!$A:$A,Productos!$E:$E,IFNA(_xlfn.XLOOKUP(TEXT($C936,"0"),Productos!$A:$A,Productos!$E:$E,IFNA(_xlfn.XLOOKUP(IFERROR(VALUE($C936),""),Productos!$A:$A,Productos!$E:$E,_xlfn.XLOOKUP($C936,Productos!$E:$E,Productos!$E:$E,"NO ENCONTRADO")),"NO ENCONTRADO")),"NO ENCONTRADO")),"NO ENCONTRADO"))</f>
        <v/>
      </c>
      <c r="E936" s="74">
        <f t="array" ref="E936">IF(OR($D936="",$D936="NO ENCONTRADO"),"",_xlfn.XLOOKUP($D936,Productos!$E:$E,Productos!$H:$H,""))</f>
        <v/>
      </c>
      <c r="F936" s="74">
        <f t="array" ref="F936">IF(OR($D936="",$D936="NO ENCONTRADO"),"",_xlfn.XLOOKUP($D936,Productos!$E:$E,Productos!$I:$I,""))</f>
        <v/>
      </c>
      <c r="G936" s="74">
        <f t="array" ref="G936">IF(OR($D936="",$D936="NO ENCONTRADO"),"",_xlfn.XLOOKUP($D936,Productos!$E:$E,Productos!$J:$J,""))</f>
        <v/>
      </c>
      <c r="H936" s="74">
        <f t="array" ref="H936">IF(OR($D936="",$D936="NO ENCONTRADO"),"",_xlfn.XLOOKUP($D936,Productos!$E:$E,Productos!$K:$K,""))</f>
        <v/>
      </c>
      <c r="I936" s="74">
        <f t="array" ref="I936">IF(OR($D936="",$D936="NO ENCONTRADO"),"",_xlfn.XLOOKUP($D936,Productos!$E:$E,Productos!$F:$F,""))</f>
        <v/>
      </c>
      <c r="J936" s="74">
        <f>IF($C936="","",IF($D936="NO ENCONTRADO",IF(COUNTIF($C$7:$C$1000,$C936)&gt;1,"⚠️ No encontrado | Duplicado","⚠️ No encontrado"),IF(COUNTIF($C$7:$C$1000,$C936)&gt;1,"⚠️ Duplicado","Verificado")))</f>
        <v/>
      </c>
    </row>
    <row r="937" ht="15.75" customHeight="1" s="176">
      <c r="B937" s="80" t="n"/>
      <c r="C937" s="74" t="n"/>
      <c r="D937" s="74">
        <f t="array" ref="D937">IF($C937="","",IFNA(_xlfn.XLOOKUP($C937,Productos!$A:$A,Productos!$E:$E,IFNA(_xlfn.XLOOKUP(TEXT($C937,"0"),Productos!$A:$A,Productos!$E:$E,IFNA(_xlfn.XLOOKUP(IFERROR(VALUE($C937),""),Productos!$A:$A,Productos!$E:$E,_xlfn.XLOOKUP($C937,Productos!$E:$E,Productos!$E:$E,"NO ENCONTRADO")),"NO ENCONTRADO")),"NO ENCONTRADO")),"NO ENCONTRADO"))</f>
        <v/>
      </c>
      <c r="E937" s="74">
        <f t="array" ref="E937">IF(OR($D937="",$D937="NO ENCONTRADO"),"",_xlfn.XLOOKUP($D937,Productos!$E:$E,Productos!$H:$H,""))</f>
        <v/>
      </c>
      <c r="F937" s="74">
        <f t="array" ref="F937">IF(OR($D937="",$D937="NO ENCONTRADO"),"",_xlfn.XLOOKUP($D937,Productos!$E:$E,Productos!$I:$I,""))</f>
        <v/>
      </c>
      <c r="G937" s="74">
        <f t="array" ref="G937">IF(OR($D937="",$D937="NO ENCONTRADO"),"",_xlfn.XLOOKUP($D937,Productos!$E:$E,Productos!$J:$J,""))</f>
        <v/>
      </c>
      <c r="H937" s="74">
        <f t="array" ref="H937">IF(OR($D937="",$D937="NO ENCONTRADO"),"",_xlfn.XLOOKUP($D937,Productos!$E:$E,Productos!$K:$K,""))</f>
        <v/>
      </c>
      <c r="I937" s="74">
        <f t="array" ref="I937">IF(OR($D937="",$D937="NO ENCONTRADO"),"",_xlfn.XLOOKUP($D937,Productos!$E:$E,Productos!$F:$F,""))</f>
        <v/>
      </c>
      <c r="J937" s="74">
        <f>IF($C937="","",IF($D937="NO ENCONTRADO",IF(COUNTIF($C$7:$C$1000,$C937)&gt;1,"⚠️ No encontrado | Duplicado","⚠️ No encontrado"),IF(COUNTIF($C$7:$C$1000,$C937)&gt;1,"⚠️ Duplicado","Verificado")))</f>
        <v/>
      </c>
    </row>
    <row r="938" ht="15.75" customHeight="1" s="176">
      <c r="B938" s="80" t="n"/>
      <c r="C938" s="74" t="n"/>
      <c r="D938" s="74">
        <f t="array" ref="D938">IF($C938="","",IFNA(_xlfn.XLOOKUP($C938,Productos!$A:$A,Productos!$E:$E,IFNA(_xlfn.XLOOKUP(TEXT($C938,"0"),Productos!$A:$A,Productos!$E:$E,IFNA(_xlfn.XLOOKUP(IFERROR(VALUE($C938),""),Productos!$A:$A,Productos!$E:$E,_xlfn.XLOOKUP($C938,Productos!$E:$E,Productos!$E:$E,"NO ENCONTRADO")),"NO ENCONTRADO")),"NO ENCONTRADO")),"NO ENCONTRADO"))</f>
        <v/>
      </c>
      <c r="E938" s="74">
        <f t="array" ref="E938">IF(OR($D938="",$D938="NO ENCONTRADO"),"",_xlfn.XLOOKUP($D938,Productos!$E:$E,Productos!$H:$H,""))</f>
        <v/>
      </c>
      <c r="F938" s="74">
        <f t="array" ref="F938">IF(OR($D938="",$D938="NO ENCONTRADO"),"",_xlfn.XLOOKUP($D938,Productos!$E:$E,Productos!$I:$I,""))</f>
        <v/>
      </c>
      <c r="G938" s="74">
        <f t="array" ref="G938">IF(OR($D938="",$D938="NO ENCONTRADO"),"",_xlfn.XLOOKUP($D938,Productos!$E:$E,Productos!$J:$J,""))</f>
        <v/>
      </c>
      <c r="H938" s="74">
        <f t="array" ref="H938">IF(OR($D938="",$D938="NO ENCONTRADO"),"",_xlfn.XLOOKUP($D938,Productos!$E:$E,Productos!$K:$K,""))</f>
        <v/>
      </c>
      <c r="I938" s="74">
        <f t="array" ref="I938">IF(OR($D938="",$D938="NO ENCONTRADO"),"",_xlfn.XLOOKUP($D938,Productos!$E:$E,Productos!$F:$F,""))</f>
        <v/>
      </c>
      <c r="J938" s="74">
        <f>IF($C938="","",IF($D938="NO ENCONTRADO",IF(COUNTIF($C$7:$C$1000,$C938)&gt;1,"⚠️ No encontrado | Duplicado","⚠️ No encontrado"),IF(COUNTIF($C$7:$C$1000,$C938)&gt;1,"⚠️ Duplicado","Verificado")))</f>
        <v/>
      </c>
    </row>
    <row r="939" ht="15.75" customHeight="1" s="176">
      <c r="B939" s="80" t="n"/>
      <c r="C939" s="74" t="n"/>
      <c r="D939" s="74">
        <f t="array" ref="D939">IF($C939="","",IFNA(_xlfn.XLOOKUP($C939,Productos!$A:$A,Productos!$E:$E,IFNA(_xlfn.XLOOKUP(TEXT($C939,"0"),Productos!$A:$A,Productos!$E:$E,IFNA(_xlfn.XLOOKUP(IFERROR(VALUE($C939),""),Productos!$A:$A,Productos!$E:$E,_xlfn.XLOOKUP($C939,Productos!$E:$E,Productos!$E:$E,"NO ENCONTRADO")),"NO ENCONTRADO")),"NO ENCONTRADO")),"NO ENCONTRADO"))</f>
        <v/>
      </c>
      <c r="E939" s="74">
        <f t="array" ref="E939">IF(OR($D939="",$D939="NO ENCONTRADO"),"",_xlfn.XLOOKUP($D939,Productos!$E:$E,Productos!$H:$H,""))</f>
        <v/>
      </c>
      <c r="F939" s="74">
        <f t="array" ref="F939">IF(OR($D939="",$D939="NO ENCONTRADO"),"",_xlfn.XLOOKUP($D939,Productos!$E:$E,Productos!$I:$I,""))</f>
        <v/>
      </c>
      <c r="G939" s="74">
        <f t="array" ref="G939">IF(OR($D939="",$D939="NO ENCONTRADO"),"",_xlfn.XLOOKUP($D939,Productos!$E:$E,Productos!$J:$J,""))</f>
        <v/>
      </c>
      <c r="H939" s="74">
        <f t="array" ref="H939">IF(OR($D939="",$D939="NO ENCONTRADO"),"",_xlfn.XLOOKUP($D939,Productos!$E:$E,Productos!$K:$K,""))</f>
        <v/>
      </c>
      <c r="I939" s="74">
        <f t="array" ref="I939">IF(OR($D939="",$D939="NO ENCONTRADO"),"",_xlfn.XLOOKUP($D939,Productos!$E:$E,Productos!$F:$F,""))</f>
        <v/>
      </c>
      <c r="J939" s="74">
        <f>IF($C939="","",IF($D939="NO ENCONTRADO",IF(COUNTIF($C$7:$C$1000,$C939)&gt;1,"⚠️ No encontrado | Duplicado","⚠️ No encontrado"),IF(COUNTIF($C$7:$C$1000,$C939)&gt;1,"⚠️ Duplicado","Verificado")))</f>
        <v/>
      </c>
    </row>
    <row r="940" ht="15.75" customHeight="1" s="176">
      <c r="B940" s="80" t="n"/>
      <c r="C940" s="74" t="n"/>
      <c r="D940" s="74">
        <f t="array" ref="D940">IF($C940="","",IFNA(_xlfn.XLOOKUP($C940,Productos!$A:$A,Productos!$E:$E,IFNA(_xlfn.XLOOKUP(TEXT($C940,"0"),Productos!$A:$A,Productos!$E:$E,IFNA(_xlfn.XLOOKUP(IFERROR(VALUE($C940),""),Productos!$A:$A,Productos!$E:$E,_xlfn.XLOOKUP($C940,Productos!$E:$E,Productos!$E:$E,"NO ENCONTRADO")),"NO ENCONTRADO")),"NO ENCONTRADO")),"NO ENCONTRADO"))</f>
        <v/>
      </c>
      <c r="E940" s="74">
        <f t="array" ref="E940">IF(OR($D940="",$D940="NO ENCONTRADO"),"",_xlfn.XLOOKUP($D940,Productos!$E:$E,Productos!$H:$H,""))</f>
        <v/>
      </c>
      <c r="F940" s="74">
        <f t="array" ref="F940">IF(OR($D940="",$D940="NO ENCONTRADO"),"",_xlfn.XLOOKUP($D940,Productos!$E:$E,Productos!$I:$I,""))</f>
        <v/>
      </c>
      <c r="G940" s="74">
        <f t="array" ref="G940">IF(OR($D940="",$D940="NO ENCONTRADO"),"",_xlfn.XLOOKUP($D940,Productos!$E:$E,Productos!$J:$J,""))</f>
        <v/>
      </c>
      <c r="H940" s="74">
        <f t="array" ref="H940">IF(OR($D940="",$D940="NO ENCONTRADO"),"",_xlfn.XLOOKUP($D940,Productos!$E:$E,Productos!$K:$K,""))</f>
        <v/>
      </c>
      <c r="I940" s="74">
        <f t="array" ref="I940">IF(OR($D940="",$D940="NO ENCONTRADO"),"",_xlfn.XLOOKUP($D940,Productos!$E:$E,Productos!$F:$F,""))</f>
        <v/>
      </c>
      <c r="J940" s="74">
        <f>IF($C940="","",IF($D940="NO ENCONTRADO",IF(COUNTIF($C$7:$C$1000,$C940)&gt;1,"⚠️ No encontrado | Duplicado","⚠️ No encontrado"),IF(COUNTIF($C$7:$C$1000,$C940)&gt;1,"⚠️ Duplicado","Verificado")))</f>
        <v/>
      </c>
    </row>
    <row r="941" ht="15.75" customHeight="1" s="176">
      <c r="B941" s="80" t="n"/>
      <c r="C941" s="74" t="n"/>
      <c r="D941" s="74">
        <f t="array" ref="D941">IF($C941="","",IFNA(_xlfn.XLOOKUP($C941,Productos!$A:$A,Productos!$E:$E,IFNA(_xlfn.XLOOKUP(TEXT($C941,"0"),Productos!$A:$A,Productos!$E:$E,IFNA(_xlfn.XLOOKUP(IFERROR(VALUE($C941),""),Productos!$A:$A,Productos!$E:$E,_xlfn.XLOOKUP($C941,Productos!$E:$E,Productos!$E:$E,"NO ENCONTRADO")),"NO ENCONTRADO")),"NO ENCONTRADO")),"NO ENCONTRADO"))</f>
        <v/>
      </c>
      <c r="E941" s="74">
        <f t="array" ref="E941">IF(OR($D941="",$D941="NO ENCONTRADO"),"",_xlfn.XLOOKUP($D941,Productos!$E:$E,Productos!$H:$H,""))</f>
        <v/>
      </c>
      <c r="F941" s="74">
        <f t="array" ref="F941">IF(OR($D941="",$D941="NO ENCONTRADO"),"",_xlfn.XLOOKUP($D941,Productos!$E:$E,Productos!$I:$I,""))</f>
        <v/>
      </c>
      <c r="G941" s="74">
        <f t="array" ref="G941">IF(OR($D941="",$D941="NO ENCONTRADO"),"",_xlfn.XLOOKUP($D941,Productos!$E:$E,Productos!$J:$J,""))</f>
        <v/>
      </c>
      <c r="H941" s="74">
        <f t="array" ref="H941">IF(OR($D941="",$D941="NO ENCONTRADO"),"",_xlfn.XLOOKUP($D941,Productos!$E:$E,Productos!$K:$K,""))</f>
        <v/>
      </c>
      <c r="I941" s="74">
        <f t="array" ref="I941">IF(OR($D941="",$D941="NO ENCONTRADO"),"",_xlfn.XLOOKUP($D941,Productos!$E:$E,Productos!$F:$F,""))</f>
        <v/>
      </c>
      <c r="J941" s="74">
        <f>IF($C941="","",IF($D941="NO ENCONTRADO",IF(COUNTIF($C$7:$C$1000,$C941)&gt;1,"⚠️ No encontrado | Duplicado","⚠️ No encontrado"),IF(COUNTIF($C$7:$C$1000,$C941)&gt;1,"⚠️ Duplicado","Verificado")))</f>
        <v/>
      </c>
    </row>
    <row r="942" ht="15.75" customHeight="1" s="176">
      <c r="B942" s="80" t="n"/>
      <c r="C942" s="74" t="n"/>
      <c r="D942" s="74">
        <f t="array" ref="D942">IF($C942="","",IFNA(_xlfn.XLOOKUP($C942,Productos!$A:$A,Productos!$E:$E,IFNA(_xlfn.XLOOKUP(TEXT($C942,"0"),Productos!$A:$A,Productos!$E:$E,IFNA(_xlfn.XLOOKUP(IFERROR(VALUE($C942),""),Productos!$A:$A,Productos!$E:$E,_xlfn.XLOOKUP($C942,Productos!$E:$E,Productos!$E:$E,"NO ENCONTRADO")),"NO ENCONTRADO")),"NO ENCONTRADO")),"NO ENCONTRADO"))</f>
        <v/>
      </c>
      <c r="E942" s="74">
        <f t="array" ref="E942">IF(OR($D942="",$D942="NO ENCONTRADO"),"",_xlfn.XLOOKUP($D942,Productos!$E:$E,Productos!$H:$H,""))</f>
        <v/>
      </c>
      <c r="F942" s="74">
        <f t="array" ref="F942">IF(OR($D942="",$D942="NO ENCONTRADO"),"",_xlfn.XLOOKUP($D942,Productos!$E:$E,Productos!$I:$I,""))</f>
        <v/>
      </c>
      <c r="G942" s="74">
        <f t="array" ref="G942">IF(OR($D942="",$D942="NO ENCONTRADO"),"",_xlfn.XLOOKUP($D942,Productos!$E:$E,Productos!$J:$J,""))</f>
        <v/>
      </c>
      <c r="H942" s="74">
        <f t="array" ref="H942">IF(OR($D942="",$D942="NO ENCONTRADO"),"",_xlfn.XLOOKUP($D942,Productos!$E:$E,Productos!$K:$K,""))</f>
        <v/>
      </c>
      <c r="I942" s="74">
        <f t="array" ref="I942">IF(OR($D942="",$D942="NO ENCONTRADO"),"",_xlfn.XLOOKUP($D942,Productos!$E:$E,Productos!$F:$F,""))</f>
        <v/>
      </c>
      <c r="J942" s="74">
        <f>IF($C942="","",IF($D942="NO ENCONTRADO",IF(COUNTIF($C$7:$C$1000,$C942)&gt;1,"⚠️ No encontrado | Duplicado","⚠️ No encontrado"),IF(COUNTIF($C$7:$C$1000,$C942)&gt;1,"⚠️ Duplicado","Verificado")))</f>
        <v/>
      </c>
    </row>
    <row r="943" ht="15.75" customHeight="1" s="176">
      <c r="B943" s="80" t="n"/>
      <c r="C943" s="74" t="n"/>
      <c r="D943" s="74">
        <f t="array" ref="D943">IF($C943="","",IFNA(_xlfn.XLOOKUP($C943,Productos!$A:$A,Productos!$E:$E,IFNA(_xlfn.XLOOKUP(TEXT($C943,"0"),Productos!$A:$A,Productos!$E:$E,IFNA(_xlfn.XLOOKUP(IFERROR(VALUE($C943),""),Productos!$A:$A,Productos!$E:$E,_xlfn.XLOOKUP($C943,Productos!$E:$E,Productos!$E:$E,"NO ENCONTRADO")),"NO ENCONTRADO")),"NO ENCONTRADO")),"NO ENCONTRADO"))</f>
        <v/>
      </c>
      <c r="E943" s="74">
        <f t="array" ref="E943">IF(OR($D943="",$D943="NO ENCONTRADO"),"",_xlfn.XLOOKUP($D943,Productos!$E:$E,Productos!$H:$H,""))</f>
        <v/>
      </c>
      <c r="F943" s="74">
        <f t="array" ref="F943">IF(OR($D943="",$D943="NO ENCONTRADO"),"",_xlfn.XLOOKUP($D943,Productos!$E:$E,Productos!$I:$I,""))</f>
        <v/>
      </c>
      <c r="G943" s="74">
        <f t="array" ref="G943">IF(OR($D943="",$D943="NO ENCONTRADO"),"",_xlfn.XLOOKUP($D943,Productos!$E:$E,Productos!$J:$J,""))</f>
        <v/>
      </c>
      <c r="H943" s="74">
        <f t="array" ref="H943">IF(OR($D943="",$D943="NO ENCONTRADO"),"",_xlfn.XLOOKUP($D943,Productos!$E:$E,Productos!$K:$K,""))</f>
        <v/>
      </c>
      <c r="I943" s="74">
        <f t="array" ref="I943">IF(OR($D943="",$D943="NO ENCONTRADO"),"",_xlfn.XLOOKUP($D943,Productos!$E:$E,Productos!$F:$F,""))</f>
        <v/>
      </c>
      <c r="J943" s="74">
        <f>IF($C943="","",IF($D943="NO ENCONTRADO",IF(COUNTIF($C$7:$C$1000,$C943)&gt;1,"⚠️ No encontrado | Duplicado","⚠️ No encontrado"),IF(COUNTIF($C$7:$C$1000,$C943)&gt;1,"⚠️ Duplicado","Verificado")))</f>
        <v/>
      </c>
    </row>
    <row r="944" ht="15.75" customHeight="1" s="176">
      <c r="B944" s="80" t="n"/>
      <c r="C944" s="74" t="n"/>
      <c r="D944" s="74">
        <f t="array" ref="D944">IF($C944="","",IFNA(_xlfn.XLOOKUP($C944,Productos!$A:$A,Productos!$E:$E,IFNA(_xlfn.XLOOKUP(TEXT($C944,"0"),Productos!$A:$A,Productos!$E:$E,IFNA(_xlfn.XLOOKUP(IFERROR(VALUE($C944),""),Productos!$A:$A,Productos!$E:$E,_xlfn.XLOOKUP($C944,Productos!$E:$E,Productos!$E:$E,"NO ENCONTRADO")),"NO ENCONTRADO")),"NO ENCONTRADO")),"NO ENCONTRADO"))</f>
        <v/>
      </c>
      <c r="E944" s="74">
        <f t="array" ref="E944">IF(OR($D944="",$D944="NO ENCONTRADO"),"",_xlfn.XLOOKUP($D944,Productos!$E:$E,Productos!$H:$H,""))</f>
        <v/>
      </c>
      <c r="F944" s="74">
        <f t="array" ref="F944">IF(OR($D944="",$D944="NO ENCONTRADO"),"",_xlfn.XLOOKUP($D944,Productos!$E:$E,Productos!$I:$I,""))</f>
        <v/>
      </c>
      <c r="G944" s="74">
        <f t="array" ref="G944">IF(OR($D944="",$D944="NO ENCONTRADO"),"",_xlfn.XLOOKUP($D944,Productos!$E:$E,Productos!$J:$J,""))</f>
        <v/>
      </c>
      <c r="H944" s="74">
        <f t="array" ref="H944">IF(OR($D944="",$D944="NO ENCONTRADO"),"",_xlfn.XLOOKUP($D944,Productos!$E:$E,Productos!$K:$K,""))</f>
        <v/>
      </c>
      <c r="I944" s="74">
        <f t="array" ref="I944">IF(OR($D944="",$D944="NO ENCONTRADO"),"",_xlfn.XLOOKUP($D944,Productos!$E:$E,Productos!$F:$F,""))</f>
        <v/>
      </c>
      <c r="J944" s="74">
        <f>IF($C944="","",IF($D944="NO ENCONTRADO",IF(COUNTIF($C$7:$C$1000,$C944)&gt;1,"⚠️ No encontrado | Duplicado","⚠️ No encontrado"),IF(COUNTIF($C$7:$C$1000,$C944)&gt;1,"⚠️ Duplicado","Verificado")))</f>
        <v/>
      </c>
    </row>
    <row r="945" ht="15.75" customHeight="1" s="176">
      <c r="B945" s="80" t="n"/>
      <c r="C945" s="74" t="n"/>
      <c r="D945" s="74">
        <f t="array" ref="D945">IF($C945="","",IFNA(_xlfn.XLOOKUP($C945,Productos!$A:$A,Productos!$E:$E,IFNA(_xlfn.XLOOKUP(TEXT($C945,"0"),Productos!$A:$A,Productos!$E:$E,IFNA(_xlfn.XLOOKUP(IFERROR(VALUE($C945),""),Productos!$A:$A,Productos!$E:$E,_xlfn.XLOOKUP($C945,Productos!$E:$E,Productos!$E:$E,"NO ENCONTRADO")),"NO ENCONTRADO")),"NO ENCONTRADO")),"NO ENCONTRADO"))</f>
        <v/>
      </c>
      <c r="E945" s="74">
        <f t="array" ref="E945">IF(OR($D945="",$D945="NO ENCONTRADO"),"",_xlfn.XLOOKUP($D945,Productos!$E:$E,Productos!$H:$H,""))</f>
        <v/>
      </c>
      <c r="F945" s="74">
        <f t="array" ref="F945">IF(OR($D945="",$D945="NO ENCONTRADO"),"",_xlfn.XLOOKUP($D945,Productos!$E:$E,Productos!$I:$I,""))</f>
        <v/>
      </c>
      <c r="G945" s="74">
        <f t="array" ref="G945">IF(OR($D945="",$D945="NO ENCONTRADO"),"",_xlfn.XLOOKUP($D945,Productos!$E:$E,Productos!$J:$J,""))</f>
        <v/>
      </c>
      <c r="H945" s="74">
        <f t="array" ref="H945">IF(OR($D945="",$D945="NO ENCONTRADO"),"",_xlfn.XLOOKUP($D945,Productos!$E:$E,Productos!$K:$K,""))</f>
        <v/>
      </c>
      <c r="I945" s="74">
        <f t="array" ref="I945">IF(OR($D945="",$D945="NO ENCONTRADO"),"",_xlfn.XLOOKUP($D945,Productos!$E:$E,Productos!$F:$F,""))</f>
        <v/>
      </c>
      <c r="J945" s="74">
        <f>IF($C945="","",IF($D945="NO ENCONTRADO",IF(COUNTIF($C$7:$C$1000,$C945)&gt;1,"⚠️ No encontrado | Duplicado","⚠️ No encontrado"),IF(COUNTIF($C$7:$C$1000,$C945)&gt;1,"⚠️ Duplicado","Verificado")))</f>
        <v/>
      </c>
    </row>
    <row r="946" ht="15.75" customHeight="1" s="176">
      <c r="B946" s="80" t="n"/>
      <c r="C946" s="74" t="n"/>
      <c r="D946" s="74">
        <f t="array" ref="D946">IF($C946="","",IFNA(_xlfn.XLOOKUP($C946,Productos!$A:$A,Productos!$E:$E,IFNA(_xlfn.XLOOKUP(TEXT($C946,"0"),Productos!$A:$A,Productos!$E:$E,IFNA(_xlfn.XLOOKUP(IFERROR(VALUE($C946),""),Productos!$A:$A,Productos!$E:$E,_xlfn.XLOOKUP($C946,Productos!$E:$E,Productos!$E:$E,"NO ENCONTRADO")),"NO ENCONTRADO")),"NO ENCONTRADO")),"NO ENCONTRADO"))</f>
        <v/>
      </c>
      <c r="E946" s="74">
        <f t="array" ref="E946">IF(OR($D946="",$D946="NO ENCONTRADO"),"",_xlfn.XLOOKUP($D946,Productos!$E:$E,Productos!$H:$H,""))</f>
        <v/>
      </c>
      <c r="F946" s="74">
        <f t="array" ref="F946">IF(OR($D946="",$D946="NO ENCONTRADO"),"",_xlfn.XLOOKUP($D946,Productos!$E:$E,Productos!$I:$I,""))</f>
        <v/>
      </c>
      <c r="G946" s="74">
        <f t="array" ref="G946">IF(OR($D946="",$D946="NO ENCONTRADO"),"",_xlfn.XLOOKUP($D946,Productos!$E:$E,Productos!$J:$J,""))</f>
        <v/>
      </c>
      <c r="H946" s="74">
        <f t="array" ref="H946">IF(OR($D946="",$D946="NO ENCONTRADO"),"",_xlfn.XLOOKUP($D946,Productos!$E:$E,Productos!$K:$K,""))</f>
        <v/>
      </c>
      <c r="I946" s="74">
        <f t="array" ref="I946">IF(OR($D946="",$D946="NO ENCONTRADO"),"",_xlfn.XLOOKUP($D946,Productos!$E:$E,Productos!$F:$F,""))</f>
        <v/>
      </c>
      <c r="J946" s="74">
        <f>IF($C946="","",IF($D946="NO ENCONTRADO",IF(COUNTIF($C$7:$C$1000,$C946)&gt;1,"⚠️ No encontrado | Duplicado","⚠️ No encontrado"),IF(COUNTIF($C$7:$C$1000,$C946)&gt;1,"⚠️ Duplicado","Verificado")))</f>
        <v/>
      </c>
    </row>
    <row r="947" ht="15.75" customHeight="1" s="176">
      <c r="B947" s="80" t="n"/>
      <c r="C947" s="74" t="n"/>
      <c r="D947" s="74">
        <f t="array" ref="D947">IF($C947="","",IFNA(_xlfn.XLOOKUP($C947,Productos!$A:$A,Productos!$E:$E,IFNA(_xlfn.XLOOKUP(TEXT($C947,"0"),Productos!$A:$A,Productos!$E:$E,IFNA(_xlfn.XLOOKUP(IFERROR(VALUE($C947),""),Productos!$A:$A,Productos!$E:$E,_xlfn.XLOOKUP($C947,Productos!$E:$E,Productos!$E:$E,"NO ENCONTRADO")),"NO ENCONTRADO")),"NO ENCONTRADO")),"NO ENCONTRADO"))</f>
        <v/>
      </c>
      <c r="E947" s="74">
        <f t="array" ref="E947">IF(OR($D947="",$D947="NO ENCONTRADO"),"",_xlfn.XLOOKUP($D947,Productos!$E:$E,Productos!$H:$H,""))</f>
        <v/>
      </c>
      <c r="F947" s="74">
        <f t="array" ref="F947">IF(OR($D947="",$D947="NO ENCONTRADO"),"",_xlfn.XLOOKUP($D947,Productos!$E:$E,Productos!$I:$I,""))</f>
        <v/>
      </c>
      <c r="G947" s="74">
        <f t="array" ref="G947">IF(OR($D947="",$D947="NO ENCONTRADO"),"",_xlfn.XLOOKUP($D947,Productos!$E:$E,Productos!$J:$J,""))</f>
        <v/>
      </c>
      <c r="H947" s="74">
        <f t="array" ref="H947">IF(OR($D947="",$D947="NO ENCONTRADO"),"",_xlfn.XLOOKUP($D947,Productos!$E:$E,Productos!$K:$K,""))</f>
        <v/>
      </c>
      <c r="I947" s="74">
        <f t="array" ref="I947">IF(OR($D947="",$D947="NO ENCONTRADO"),"",_xlfn.XLOOKUP($D947,Productos!$E:$E,Productos!$F:$F,""))</f>
        <v/>
      </c>
      <c r="J947" s="74">
        <f>IF($C947="","",IF($D947="NO ENCONTRADO",IF(COUNTIF($C$7:$C$1000,$C947)&gt;1,"⚠️ No encontrado | Duplicado","⚠️ No encontrado"),IF(COUNTIF($C$7:$C$1000,$C947)&gt;1,"⚠️ Duplicado","Verificado")))</f>
        <v/>
      </c>
    </row>
    <row r="948" ht="15.75" customHeight="1" s="176">
      <c r="B948" s="80" t="n"/>
      <c r="C948" s="74" t="n"/>
      <c r="D948" s="74">
        <f t="array" ref="D948">IF($C948="","",IFNA(_xlfn.XLOOKUP($C948,Productos!$A:$A,Productos!$E:$E,IFNA(_xlfn.XLOOKUP(TEXT($C948,"0"),Productos!$A:$A,Productos!$E:$E,IFNA(_xlfn.XLOOKUP(IFERROR(VALUE($C948),""),Productos!$A:$A,Productos!$E:$E,_xlfn.XLOOKUP($C948,Productos!$E:$E,Productos!$E:$E,"NO ENCONTRADO")),"NO ENCONTRADO")),"NO ENCONTRADO")),"NO ENCONTRADO"))</f>
        <v/>
      </c>
      <c r="E948" s="74">
        <f t="array" ref="E948">IF(OR($D948="",$D948="NO ENCONTRADO"),"",_xlfn.XLOOKUP($D948,Productos!$E:$E,Productos!$H:$H,""))</f>
        <v/>
      </c>
      <c r="F948" s="74">
        <f t="array" ref="F948">IF(OR($D948="",$D948="NO ENCONTRADO"),"",_xlfn.XLOOKUP($D948,Productos!$E:$E,Productos!$I:$I,""))</f>
        <v/>
      </c>
      <c r="G948" s="74">
        <f t="array" ref="G948">IF(OR($D948="",$D948="NO ENCONTRADO"),"",_xlfn.XLOOKUP($D948,Productos!$E:$E,Productos!$J:$J,""))</f>
        <v/>
      </c>
      <c r="H948" s="74">
        <f t="array" ref="H948">IF(OR($D948="",$D948="NO ENCONTRADO"),"",_xlfn.XLOOKUP($D948,Productos!$E:$E,Productos!$K:$K,""))</f>
        <v/>
      </c>
      <c r="I948" s="74">
        <f t="array" ref="I948">IF(OR($D948="",$D948="NO ENCONTRADO"),"",_xlfn.XLOOKUP($D948,Productos!$E:$E,Productos!$F:$F,""))</f>
        <v/>
      </c>
      <c r="J948" s="74">
        <f>IF($C948="","",IF($D948="NO ENCONTRADO",IF(COUNTIF($C$7:$C$1000,$C948)&gt;1,"⚠️ No encontrado | Duplicado","⚠️ No encontrado"),IF(COUNTIF($C$7:$C$1000,$C948)&gt;1,"⚠️ Duplicado","Verificado")))</f>
        <v/>
      </c>
    </row>
    <row r="949" ht="15.75" customHeight="1" s="176">
      <c r="B949" s="80" t="n"/>
      <c r="C949" s="74" t="n"/>
      <c r="D949" s="74">
        <f t="array" ref="D949">IF($C949="","",IFNA(_xlfn.XLOOKUP($C949,Productos!$A:$A,Productos!$E:$E,IFNA(_xlfn.XLOOKUP(TEXT($C949,"0"),Productos!$A:$A,Productos!$E:$E,IFNA(_xlfn.XLOOKUP(IFERROR(VALUE($C949),""),Productos!$A:$A,Productos!$E:$E,_xlfn.XLOOKUP($C949,Productos!$E:$E,Productos!$E:$E,"NO ENCONTRADO")),"NO ENCONTRADO")),"NO ENCONTRADO")),"NO ENCONTRADO"))</f>
        <v/>
      </c>
      <c r="E949" s="74">
        <f t="array" ref="E949">IF(OR($D949="",$D949="NO ENCONTRADO"),"",_xlfn.XLOOKUP($D949,Productos!$E:$E,Productos!$H:$H,""))</f>
        <v/>
      </c>
      <c r="F949" s="74">
        <f t="array" ref="F949">IF(OR($D949="",$D949="NO ENCONTRADO"),"",_xlfn.XLOOKUP($D949,Productos!$E:$E,Productos!$I:$I,""))</f>
        <v/>
      </c>
      <c r="G949" s="74">
        <f t="array" ref="G949">IF(OR($D949="",$D949="NO ENCONTRADO"),"",_xlfn.XLOOKUP($D949,Productos!$E:$E,Productos!$J:$J,""))</f>
        <v/>
      </c>
      <c r="H949" s="74">
        <f t="array" ref="H949">IF(OR($D949="",$D949="NO ENCONTRADO"),"",_xlfn.XLOOKUP($D949,Productos!$E:$E,Productos!$K:$K,""))</f>
        <v/>
      </c>
      <c r="I949" s="74">
        <f t="array" ref="I949">IF(OR($D949="",$D949="NO ENCONTRADO"),"",_xlfn.XLOOKUP($D949,Productos!$E:$E,Productos!$F:$F,""))</f>
        <v/>
      </c>
      <c r="J949" s="74">
        <f>IF($C949="","",IF($D949="NO ENCONTRADO",IF(COUNTIF($C$7:$C$1000,$C949)&gt;1,"⚠️ No encontrado | Duplicado","⚠️ No encontrado"),IF(COUNTIF($C$7:$C$1000,$C949)&gt;1,"⚠️ Duplicado","Verificado")))</f>
        <v/>
      </c>
    </row>
    <row r="950" ht="15.75" customHeight="1" s="176">
      <c r="B950" s="80" t="n"/>
      <c r="C950" s="74" t="n"/>
      <c r="D950" s="74">
        <f t="array" ref="D950">IF($C950="","",IFNA(_xlfn.XLOOKUP($C950,Productos!$A:$A,Productos!$E:$E,IFNA(_xlfn.XLOOKUP(TEXT($C950,"0"),Productos!$A:$A,Productos!$E:$E,IFNA(_xlfn.XLOOKUP(IFERROR(VALUE($C950),""),Productos!$A:$A,Productos!$E:$E,_xlfn.XLOOKUP($C950,Productos!$E:$E,Productos!$E:$E,"NO ENCONTRADO")),"NO ENCONTRADO")),"NO ENCONTRADO")),"NO ENCONTRADO"))</f>
        <v/>
      </c>
      <c r="E950" s="74">
        <f t="array" ref="E950">IF(OR($D950="",$D950="NO ENCONTRADO"),"",_xlfn.XLOOKUP($D950,Productos!$E:$E,Productos!$H:$H,""))</f>
        <v/>
      </c>
      <c r="F950" s="74">
        <f t="array" ref="F950">IF(OR($D950="",$D950="NO ENCONTRADO"),"",_xlfn.XLOOKUP($D950,Productos!$E:$E,Productos!$I:$I,""))</f>
        <v/>
      </c>
      <c r="G950" s="74">
        <f t="array" ref="G950">IF(OR($D950="",$D950="NO ENCONTRADO"),"",_xlfn.XLOOKUP($D950,Productos!$E:$E,Productos!$J:$J,""))</f>
        <v/>
      </c>
      <c r="H950" s="74">
        <f t="array" ref="H950">IF(OR($D950="",$D950="NO ENCONTRADO"),"",_xlfn.XLOOKUP($D950,Productos!$E:$E,Productos!$K:$K,""))</f>
        <v/>
      </c>
      <c r="I950" s="74">
        <f t="array" ref="I950">IF(OR($D950="",$D950="NO ENCONTRADO"),"",_xlfn.XLOOKUP($D950,Productos!$E:$E,Productos!$F:$F,""))</f>
        <v/>
      </c>
      <c r="J950" s="74">
        <f>IF($C950="","",IF($D950="NO ENCONTRADO",IF(COUNTIF($C$7:$C$1000,$C950)&gt;1,"⚠️ No encontrado | Duplicado","⚠️ No encontrado"),IF(COUNTIF($C$7:$C$1000,$C950)&gt;1,"⚠️ Duplicado","Verificado")))</f>
        <v/>
      </c>
    </row>
    <row r="951" ht="15.75" customHeight="1" s="176">
      <c r="B951" s="80" t="n"/>
      <c r="C951" s="74" t="n"/>
      <c r="D951" s="74">
        <f t="array" ref="D951">IF($C951="","",IFNA(_xlfn.XLOOKUP($C951,Productos!$A:$A,Productos!$E:$E,IFNA(_xlfn.XLOOKUP(TEXT($C951,"0"),Productos!$A:$A,Productos!$E:$E,IFNA(_xlfn.XLOOKUP(IFERROR(VALUE($C951),""),Productos!$A:$A,Productos!$E:$E,_xlfn.XLOOKUP($C951,Productos!$E:$E,Productos!$E:$E,"NO ENCONTRADO")),"NO ENCONTRADO")),"NO ENCONTRADO")),"NO ENCONTRADO"))</f>
        <v/>
      </c>
      <c r="E951" s="74">
        <f t="array" ref="E951">IF(OR($D951="",$D951="NO ENCONTRADO"),"",_xlfn.XLOOKUP($D951,Productos!$E:$E,Productos!$H:$H,""))</f>
        <v/>
      </c>
      <c r="F951" s="74">
        <f t="array" ref="F951">IF(OR($D951="",$D951="NO ENCONTRADO"),"",_xlfn.XLOOKUP($D951,Productos!$E:$E,Productos!$I:$I,""))</f>
        <v/>
      </c>
      <c r="G951" s="74">
        <f t="array" ref="G951">IF(OR($D951="",$D951="NO ENCONTRADO"),"",_xlfn.XLOOKUP($D951,Productos!$E:$E,Productos!$J:$J,""))</f>
        <v/>
      </c>
      <c r="H951" s="74">
        <f t="array" ref="H951">IF(OR($D951="",$D951="NO ENCONTRADO"),"",_xlfn.XLOOKUP($D951,Productos!$E:$E,Productos!$K:$K,""))</f>
        <v/>
      </c>
      <c r="I951" s="74">
        <f t="array" ref="I951">IF(OR($D951="",$D951="NO ENCONTRADO"),"",_xlfn.XLOOKUP($D951,Productos!$E:$E,Productos!$F:$F,""))</f>
        <v/>
      </c>
      <c r="J951" s="74">
        <f>IF($C951="","",IF($D951="NO ENCONTRADO",IF(COUNTIF($C$7:$C$1000,$C951)&gt;1,"⚠️ No encontrado | Duplicado","⚠️ No encontrado"),IF(COUNTIF($C$7:$C$1000,$C951)&gt;1,"⚠️ Duplicado","Verificado")))</f>
        <v/>
      </c>
    </row>
    <row r="952" ht="15.75" customHeight="1" s="176">
      <c r="B952" s="80" t="n"/>
      <c r="C952" s="74" t="n"/>
      <c r="D952" s="74">
        <f t="array" ref="D952">IF($C952="","",IFNA(_xlfn.XLOOKUP($C952,Productos!$A:$A,Productos!$E:$E,IFNA(_xlfn.XLOOKUP(TEXT($C952,"0"),Productos!$A:$A,Productos!$E:$E,IFNA(_xlfn.XLOOKUP(IFERROR(VALUE($C952),""),Productos!$A:$A,Productos!$E:$E,_xlfn.XLOOKUP($C952,Productos!$E:$E,Productos!$E:$E,"NO ENCONTRADO")),"NO ENCONTRADO")),"NO ENCONTRADO")),"NO ENCONTRADO"))</f>
        <v/>
      </c>
      <c r="E952" s="74">
        <f t="array" ref="E952">IF(OR($D952="",$D952="NO ENCONTRADO"),"",_xlfn.XLOOKUP($D952,Productos!$E:$E,Productos!$H:$H,""))</f>
        <v/>
      </c>
      <c r="F952" s="74">
        <f t="array" ref="F952">IF(OR($D952="",$D952="NO ENCONTRADO"),"",_xlfn.XLOOKUP($D952,Productos!$E:$E,Productos!$I:$I,""))</f>
        <v/>
      </c>
      <c r="G952" s="74">
        <f t="array" ref="G952">IF(OR($D952="",$D952="NO ENCONTRADO"),"",_xlfn.XLOOKUP($D952,Productos!$E:$E,Productos!$J:$J,""))</f>
        <v/>
      </c>
      <c r="H952" s="74">
        <f t="array" ref="H952">IF(OR($D952="",$D952="NO ENCONTRADO"),"",_xlfn.XLOOKUP($D952,Productos!$E:$E,Productos!$K:$K,""))</f>
        <v/>
      </c>
      <c r="I952" s="74">
        <f t="array" ref="I952">IF(OR($D952="",$D952="NO ENCONTRADO"),"",_xlfn.XLOOKUP($D952,Productos!$E:$E,Productos!$F:$F,""))</f>
        <v/>
      </c>
      <c r="J952" s="74">
        <f>IF($C952="","",IF($D952="NO ENCONTRADO",IF(COUNTIF($C$7:$C$1000,$C952)&gt;1,"⚠️ No encontrado | Duplicado","⚠️ No encontrado"),IF(COUNTIF($C$7:$C$1000,$C952)&gt;1,"⚠️ Duplicado","Verificado")))</f>
        <v/>
      </c>
    </row>
    <row r="953" ht="15.75" customHeight="1" s="176">
      <c r="B953" s="80" t="n"/>
      <c r="C953" s="74" t="n"/>
      <c r="D953" s="74">
        <f t="array" ref="D953">IF($C953="","",IFNA(_xlfn.XLOOKUP($C953,Productos!$A:$A,Productos!$E:$E,IFNA(_xlfn.XLOOKUP(TEXT($C953,"0"),Productos!$A:$A,Productos!$E:$E,IFNA(_xlfn.XLOOKUP(IFERROR(VALUE($C953),""),Productos!$A:$A,Productos!$E:$E,_xlfn.XLOOKUP($C953,Productos!$E:$E,Productos!$E:$E,"NO ENCONTRADO")),"NO ENCONTRADO")),"NO ENCONTRADO")),"NO ENCONTRADO"))</f>
        <v/>
      </c>
      <c r="E953" s="74">
        <f t="array" ref="E953">IF(OR($D953="",$D953="NO ENCONTRADO"),"",_xlfn.XLOOKUP($D953,Productos!$E:$E,Productos!$H:$H,""))</f>
        <v/>
      </c>
      <c r="F953" s="74">
        <f t="array" ref="F953">IF(OR($D953="",$D953="NO ENCONTRADO"),"",_xlfn.XLOOKUP($D953,Productos!$E:$E,Productos!$I:$I,""))</f>
        <v/>
      </c>
      <c r="G953" s="74">
        <f t="array" ref="G953">IF(OR($D953="",$D953="NO ENCONTRADO"),"",_xlfn.XLOOKUP($D953,Productos!$E:$E,Productos!$J:$J,""))</f>
        <v/>
      </c>
      <c r="H953" s="74">
        <f t="array" ref="H953">IF(OR($D953="",$D953="NO ENCONTRADO"),"",_xlfn.XLOOKUP($D953,Productos!$E:$E,Productos!$K:$K,""))</f>
        <v/>
      </c>
      <c r="I953" s="74">
        <f t="array" ref="I953">IF(OR($D953="",$D953="NO ENCONTRADO"),"",_xlfn.XLOOKUP($D953,Productos!$E:$E,Productos!$F:$F,""))</f>
        <v/>
      </c>
      <c r="J953" s="74">
        <f>IF($C953="","",IF($D953="NO ENCONTRADO",IF(COUNTIF($C$7:$C$1000,$C953)&gt;1,"⚠️ No encontrado | Duplicado","⚠️ No encontrado"),IF(COUNTIF($C$7:$C$1000,$C953)&gt;1,"⚠️ Duplicado","Verificado")))</f>
        <v/>
      </c>
    </row>
    <row r="954" ht="15.75" customHeight="1" s="176">
      <c r="B954" s="80" t="n"/>
      <c r="C954" s="74" t="n"/>
      <c r="D954" s="74">
        <f t="array" ref="D954">IF($C954="","",IFNA(_xlfn.XLOOKUP($C954,Productos!$A:$A,Productos!$E:$E,IFNA(_xlfn.XLOOKUP(TEXT($C954,"0"),Productos!$A:$A,Productos!$E:$E,IFNA(_xlfn.XLOOKUP(IFERROR(VALUE($C954),""),Productos!$A:$A,Productos!$E:$E,_xlfn.XLOOKUP($C954,Productos!$E:$E,Productos!$E:$E,"NO ENCONTRADO")),"NO ENCONTRADO")),"NO ENCONTRADO")),"NO ENCONTRADO"))</f>
        <v/>
      </c>
      <c r="E954" s="74">
        <f t="array" ref="E954">IF(OR($D954="",$D954="NO ENCONTRADO"),"",_xlfn.XLOOKUP($D954,Productos!$E:$E,Productos!$H:$H,""))</f>
        <v/>
      </c>
      <c r="F954" s="74">
        <f t="array" ref="F954">IF(OR($D954="",$D954="NO ENCONTRADO"),"",_xlfn.XLOOKUP($D954,Productos!$E:$E,Productos!$I:$I,""))</f>
        <v/>
      </c>
      <c r="G954" s="74">
        <f t="array" ref="G954">IF(OR($D954="",$D954="NO ENCONTRADO"),"",_xlfn.XLOOKUP($D954,Productos!$E:$E,Productos!$J:$J,""))</f>
        <v/>
      </c>
      <c r="H954" s="74">
        <f t="array" ref="H954">IF(OR($D954="",$D954="NO ENCONTRADO"),"",_xlfn.XLOOKUP($D954,Productos!$E:$E,Productos!$K:$K,""))</f>
        <v/>
      </c>
      <c r="I954" s="74">
        <f t="array" ref="I954">IF(OR($D954="",$D954="NO ENCONTRADO"),"",_xlfn.XLOOKUP($D954,Productos!$E:$E,Productos!$F:$F,""))</f>
        <v/>
      </c>
      <c r="J954" s="74">
        <f>IF($C954="","",IF($D954="NO ENCONTRADO",IF(COUNTIF($C$7:$C$1000,$C954)&gt;1,"⚠️ No encontrado | Duplicado","⚠️ No encontrado"),IF(COUNTIF($C$7:$C$1000,$C954)&gt;1,"⚠️ Duplicado","Verificado")))</f>
        <v/>
      </c>
    </row>
    <row r="955" ht="15.75" customHeight="1" s="176">
      <c r="B955" s="80" t="n"/>
      <c r="C955" s="74" t="n"/>
      <c r="D955" s="74">
        <f t="array" ref="D955">IF($C955="","",IFNA(_xlfn.XLOOKUP($C955,Productos!$A:$A,Productos!$E:$E,IFNA(_xlfn.XLOOKUP(TEXT($C955,"0"),Productos!$A:$A,Productos!$E:$E,IFNA(_xlfn.XLOOKUP(IFERROR(VALUE($C955),""),Productos!$A:$A,Productos!$E:$E,_xlfn.XLOOKUP($C955,Productos!$E:$E,Productos!$E:$E,"NO ENCONTRADO")),"NO ENCONTRADO")),"NO ENCONTRADO")),"NO ENCONTRADO"))</f>
        <v/>
      </c>
      <c r="E955" s="74">
        <f t="array" ref="E955">IF(OR($D955="",$D955="NO ENCONTRADO"),"",_xlfn.XLOOKUP($D955,Productos!$E:$E,Productos!$H:$H,""))</f>
        <v/>
      </c>
      <c r="F955" s="74">
        <f t="array" ref="F955">IF(OR($D955="",$D955="NO ENCONTRADO"),"",_xlfn.XLOOKUP($D955,Productos!$E:$E,Productos!$I:$I,""))</f>
        <v/>
      </c>
      <c r="G955" s="74">
        <f t="array" ref="G955">IF(OR($D955="",$D955="NO ENCONTRADO"),"",_xlfn.XLOOKUP($D955,Productos!$E:$E,Productos!$J:$J,""))</f>
        <v/>
      </c>
      <c r="H955" s="74">
        <f t="array" ref="H955">IF(OR($D955="",$D955="NO ENCONTRADO"),"",_xlfn.XLOOKUP($D955,Productos!$E:$E,Productos!$K:$K,""))</f>
        <v/>
      </c>
      <c r="I955" s="74">
        <f t="array" ref="I955">IF(OR($D955="",$D955="NO ENCONTRADO"),"",_xlfn.XLOOKUP($D955,Productos!$E:$E,Productos!$F:$F,""))</f>
        <v/>
      </c>
      <c r="J955" s="74">
        <f>IF($C955="","",IF($D955="NO ENCONTRADO",IF(COUNTIF($C$7:$C$1000,$C955)&gt;1,"⚠️ No encontrado | Duplicado","⚠️ No encontrado"),IF(COUNTIF($C$7:$C$1000,$C955)&gt;1,"⚠️ Duplicado","Verificado")))</f>
        <v/>
      </c>
    </row>
    <row r="956" ht="15.75" customHeight="1" s="176">
      <c r="B956" s="80" t="n"/>
      <c r="C956" s="74" t="n"/>
      <c r="D956" s="74">
        <f t="array" ref="D956">IF($C956="","",IFNA(_xlfn.XLOOKUP($C956,Productos!$A:$A,Productos!$E:$E,IFNA(_xlfn.XLOOKUP(TEXT($C956,"0"),Productos!$A:$A,Productos!$E:$E,IFNA(_xlfn.XLOOKUP(IFERROR(VALUE($C956),""),Productos!$A:$A,Productos!$E:$E,_xlfn.XLOOKUP($C956,Productos!$E:$E,Productos!$E:$E,"NO ENCONTRADO")),"NO ENCONTRADO")),"NO ENCONTRADO")),"NO ENCONTRADO"))</f>
        <v/>
      </c>
      <c r="E956" s="74">
        <f t="array" ref="E956">IF(OR($D956="",$D956="NO ENCONTRADO"),"",_xlfn.XLOOKUP($D956,Productos!$E:$E,Productos!$H:$H,""))</f>
        <v/>
      </c>
      <c r="F956" s="74">
        <f t="array" ref="F956">IF(OR($D956="",$D956="NO ENCONTRADO"),"",_xlfn.XLOOKUP($D956,Productos!$E:$E,Productos!$I:$I,""))</f>
        <v/>
      </c>
      <c r="G956" s="74">
        <f t="array" ref="G956">IF(OR($D956="",$D956="NO ENCONTRADO"),"",_xlfn.XLOOKUP($D956,Productos!$E:$E,Productos!$J:$J,""))</f>
        <v/>
      </c>
      <c r="H956" s="74">
        <f t="array" ref="H956">IF(OR($D956="",$D956="NO ENCONTRADO"),"",_xlfn.XLOOKUP($D956,Productos!$E:$E,Productos!$K:$K,""))</f>
        <v/>
      </c>
      <c r="I956" s="74">
        <f t="array" ref="I956">IF(OR($D956="",$D956="NO ENCONTRADO"),"",_xlfn.XLOOKUP($D956,Productos!$E:$E,Productos!$F:$F,""))</f>
        <v/>
      </c>
      <c r="J956" s="74">
        <f>IF($C956="","",IF($D956="NO ENCONTRADO",IF(COUNTIF($C$7:$C$1000,$C956)&gt;1,"⚠️ No encontrado | Duplicado","⚠️ No encontrado"),IF(COUNTIF($C$7:$C$1000,$C956)&gt;1,"⚠️ Duplicado","Verificado")))</f>
        <v/>
      </c>
    </row>
    <row r="957" ht="15.75" customHeight="1" s="176">
      <c r="B957" s="80" t="n"/>
      <c r="C957" s="74" t="n"/>
      <c r="D957" s="74">
        <f t="array" ref="D957">IF($C957="","",IFNA(_xlfn.XLOOKUP($C957,Productos!$A:$A,Productos!$E:$E,IFNA(_xlfn.XLOOKUP(TEXT($C957,"0"),Productos!$A:$A,Productos!$E:$E,IFNA(_xlfn.XLOOKUP(IFERROR(VALUE($C957),""),Productos!$A:$A,Productos!$E:$E,_xlfn.XLOOKUP($C957,Productos!$E:$E,Productos!$E:$E,"NO ENCONTRADO")),"NO ENCONTRADO")),"NO ENCONTRADO")),"NO ENCONTRADO"))</f>
        <v/>
      </c>
      <c r="E957" s="74">
        <f t="array" ref="E957">IF(OR($D957="",$D957="NO ENCONTRADO"),"",_xlfn.XLOOKUP($D957,Productos!$E:$E,Productos!$H:$H,""))</f>
        <v/>
      </c>
      <c r="F957" s="74">
        <f t="array" ref="F957">IF(OR($D957="",$D957="NO ENCONTRADO"),"",_xlfn.XLOOKUP($D957,Productos!$E:$E,Productos!$I:$I,""))</f>
        <v/>
      </c>
      <c r="G957" s="74">
        <f t="array" ref="G957">IF(OR($D957="",$D957="NO ENCONTRADO"),"",_xlfn.XLOOKUP($D957,Productos!$E:$E,Productos!$J:$J,""))</f>
        <v/>
      </c>
      <c r="H957" s="74">
        <f t="array" ref="H957">IF(OR($D957="",$D957="NO ENCONTRADO"),"",_xlfn.XLOOKUP($D957,Productos!$E:$E,Productos!$K:$K,""))</f>
        <v/>
      </c>
      <c r="I957" s="74">
        <f t="array" ref="I957">IF(OR($D957="",$D957="NO ENCONTRADO"),"",_xlfn.XLOOKUP($D957,Productos!$E:$E,Productos!$F:$F,""))</f>
        <v/>
      </c>
      <c r="J957" s="74">
        <f>IF($C957="","",IF($D957="NO ENCONTRADO",IF(COUNTIF($C$7:$C$1000,$C957)&gt;1,"⚠️ No encontrado | Duplicado","⚠️ No encontrado"),IF(COUNTIF($C$7:$C$1000,$C957)&gt;1,"⚠️ Duplicado","Verificado")))</f>
        <v/>
      </c>
    </row>
    <row r="958" ht="15.75" customHeight="1" s="176">
      <c r="B958" s="80" t="n"/>
      <c r="C958" s="74" t="n"/>
      <c r="D958" s="74">
        <f t="array" ref="D958">IF($C958="","",IFNA(_xlfn.XLOOKUP($C958,Productos!$A:$A,Productos!$E:$E,IFNA(_xlfn.XLOOKUP(TEXT($C958,"0"),Productos!$A:$A,Productos!$E:$E,IFNA(_xlfn.XLOOKUP(IFERROR(VALUE($C958),""),Productos!$A:$A,Productos!$E:$E,_xlfn.XLOOKUP($C958,Productos!$E:$E,Productos!$E:$E,"NO ENCONTRADO")),"NO ENCONTRADO")),"NO ENCONTRADO")),"NO ENCONTRADO"))</f>
        <v/>
      </c>
      <c r="E958" s="74">
        <f t="array" ref="E958">IF(OR($D958="",$D958="NO ENCONTRADO"),"",_xlfn.XLOOKUP($D958,Productos!$E:$E,Productos!$H:$H,""))</f>
        <v/>
      </c>
      <c r="F958" s="74">
        <f t="array" ref="F958">IF(OR($D958="",$D958="NO ENCONTRADO"),"",_xlfn.XLOOKUP($D958,Productos!$E:$E,Productos!$I:$I,""))</f>
        <v/>
      </c>
      <c r="G958" s="74">
        <f t="array" ref="G958">IF(OR($D958="",$D958="NO ENCONTRADO"),"",_xlfn.XLOOKUP($D958,Productos!$E:$E,Productos!$J:$J,""))</f>
        <v/>
      </c>
      <c r="H958" s="74">
        <f t="array" ref="H958">IF(OR($D958="",$D958="NO ENCONTRADO"),"",_xlfn.XLOOKUP($D958,Productos!$E:$E,Productos!$K:$K,""))</f>
        <v/>
      </c>
      <c r="I958" s="74">
        <f t="array" ref="I958">IF(OR($D958="",$D958="NO ENCONTRADO"),"",_xlfn.XLOOKUP($D958,Productos!$E:$E,Productos!$F:$F,""))</f>
        <v/>
      </c>
      <c r="J958" s="74">
        <f>IF($C958="","",IF($D958="NO ENCONTRADO",IF(COUNTIF($C$7:$C$1000,$C958)&gt;1,"⚠️ No encontrado | Duplicado","⚠️ No encontrado"),IF(COUNTIF($C$7:$C$1000,$C958)&gt;1,"⚠️ Duplicado","Verificado")))</f>
        <v/>
      </c>
    </row>
    <row r="959" ht="15.75" customHeight="1" s="176">
      <c r="B959" s="80" t="n"/>
      <c r="C959" s="74" t="n"/>
      <c r="D959" s="74">
        <f t="array" ref="D959">IF($C959="","",IFNA(_xlfn.XLOOKUP($C959,Productos!$A:$A,Productos!$E:$E,IFNA(_xlfn.XLOOKUP(TEXT($C959,"0"),Productos!$A:$A,Productos!$E:$E,IFNA(_xlfn.XLOOKUP(IFERROR(VALUE($C959),""),Productos!$A:$A,Productos!$E:$E,_xlfn.XLOOKUP($C959,Productos!$E:$E,Productos!$E:$E,"NO ENCONTRADO")),"NO ENCONTRADO")),"NO ENCONTRADO")),"NO ENCONTRADO"))</f>
        <v/>
      </c>
      <c r="E959" s="74">
        <f t="array" ref="E959">IF(OR($D959="",$D959="NO ENCONTRADO"),"",_xlfn.XLOOKUP($D959,Productos!$E:$E,Productos!$H:$H,""))</f>
        <v/>
      </c>
      <c r="F959" s="74">
        <f t="array" ref="F959">IF(OR($D959="",$D959="NO ENCONTRADO"),"",_xlfn.XLOOKUP($D959,Productos!$E:$E,Productos!$I:$I,""))</f>
        <v/>
      </c>
      <c r="G959" s="74">
        <f t="array" ref="G959">IF(OR($D959="",$D959="NO ENCONTRADO"),"",_xlfn.XLOOKUP($D959,Productos!$E:$E,Productos!$J:$J,""))</f>
        <v/>
      </c>
      <c r="H959" s="74">
        <f t="array" ref="H959">IF(OR($D959="",$D959="NO ENCONTRADO"),"",_xlfn.XLOOKUP($D959,Productos!$E:$E,Productos!$K:$K,""))</f>
        <v/>
      </c>
      <c r="I959" s="74">
        <f t="array" ref="I959">IF(OR($D959="",$D959="NO ENCONTRADO"),"",_xlfn.XLOOKUP($D959,Productos!$E:$E,Productos!$F:$F,""))</f>
        <v/>
      </c>
      <c r="J959" s="74">
        <f>IF($C959="","",IF($D959="NO ENCONTRADO",IF(COUNTIF($C$7:$C$1000,$C959)&gt;1,"⚠️ No encontrado | Duplicado","⚠️ No encontrado"),IF(COUNTIF($C$7:$C$1000,$C959)&gt;1,"⚠️ Duplicado","Verificado")))</f>
        <v/>
      </c>
    </row>
    <row r="960" ht="15.75" customHeight="1" s="176">
      <c r="B960" s="80" t="n"/>
      <c r="C960" s="74" t="n"/>
      <c r="D960" s="74">
        <f t="array" ref="D960">IF($C960="","",IFNA(_xlfn.XLOOKUP($C960,Productos!$A:$A,Productos!$E:$E,IFNA(_xlfn.XLOOKUP(TEXT($C960,"0"),Productos!$A:$A,Productos!$E:$E,IFNA(_xlfn.XLOOKUP(IFERROR(VALUE($C960),""),Productos!$A:$A,Productos!$E:$E,_xlfn.XLOOKUP($C960,Productos!$E:$E,Productos!$E:$E,"NO ENCONTRADO")),"NO ENCONTRADO")),"NO ENCONTRADO")),"NO ENCONTRADO"))</f>
        <v/>
      </c>
      <c r="E960" s="74">
        <f t="array" ref="E960">IF(OR($D960="",$D960="NO ENCONTRADO"),"",_xlfn.XLOOKUP($D960,Productos!$E:$E,Productos!$H:$H,""))</f>
        <v/>
      </c>
      <c r="F960" s="74">
        <f t="array" ref="F960">IF(OR($D960="",$D960="NO ENCONTRADO"),"",_xlfn.XLOOKUP($D960,Productos!$E:$E,Productos!$I:$I,""))</f>
        <v/>
      </c>
      <c r="G960" s="74">
        <f t="array" ref="G960">IF(OR($D960="",$D960="NO ENCONTRADO"),"",_xlfn.XLOOKUP($D960,Productos!$E:$E,Productos!$J:$J,""))</f>
        <v/>
      </c>
      <c r="H960" s="74">
        <f t="array" ref="H960">IF(OR($D960="",$D960="NO ENCONTRADO"),"",_xlfn.XLOOKUP($D960,Productos!$E:$E,Productos!$K:$K,""))</f>
        <v/>
      </c>
      <c r="I960" s="74">
        <f t="array" ref="I960">IF(OR($D960="",$D960="NO ENCONTRADO"),"",_xlfn.XLOOKUP($D960,Productos!$E:$E,Productos!$F:$F,""))</f>
        <v/>
      </c>
      <c r="J960" s="74">
        <f>IF($C960="","",IF($D960="NO ENCONTRADO",IF(COUNTIF($C$7:$C$1000,$C960)&gt;1,"⚠️ No encontrado | Duplicado","⚠️ No encontrado"),IF(COUNTIF($C$7:$C$1000,$C960)&gt;1,"⚠️ Duplicado","Verificado")))</f>
        <v/>
      </c>
    </row>
    <row r="961" ht="15.75" customHeight="1" s="176">
      <c r="B961" s="80" t="n"/>
      <c r="C961" s="74" t="n"/>
      <c r="D961" s="74">
        <f t="array" ref="D961">IF($C961="","",IFNA(_xlfn.XLOOKUP($C961,Productos!$A:$A,Productos!$E:$E,IFNA(_xlfn.XLOOKUP(TEXT($C961,"0"),Productos!$A:$A,Productos!$E:$E,IFNA(_xlfn.XLOOKUP(IFERROR(VALUE($C961),""),Productos!$A:$A,Productos!$E:$E,_xlfn.XLOOKUP($C961,Productos!$E:$E,Productos!$E:$E,"NO ENCONTRADO")),"NO ENCONTRADO")),"NO ENCONTRADO")),"NO ENCONTRADO"))</f>
        <v/>
      </c>
      <c r="E961" s="74">
        <f t="array" ref="E961">IF(OR($D961="",$D961="NO ENCONTRADO"),"",_xlfn.XLOOKUP($D961,Productos!$E:$E,Productos!$H:$H,""))</f>
        <v/>
      </c>
      <c r="F961" s="74">
        <f t="array" ref="F961">IF(OR($D961="",$D961="NO ENCONTRADO"),"",_xlfn.XLOOKUP($D961,Productos!$E:$E,Productos!$I:$I,""))</f>
        <v/>
      </c>
      <c r="G961" s="74">
        <f t="array" ref="G961">IF(OR($D961="",$D961="NO ENCONTRADO"),"",_xlfn.XLOOKUP($D961,Productos!$E:$E,Productos!$J:$J,""))</f>
        <v/>
      </c>
      <c r="H961" s="74">
        <f t="array" ref="H961">IF(OR($D961="",$D961="NO ENCONTRADO"),"",_xlfn.XLOOKUP($D961,Productos!$E:$E,Productos!$K:$K,""))</f>
        <v/>
      </c>
      <c r="I961" s="74">
        <f t="array" ref="I961">IF(OR($D961="",$D961="NO ENCONTRADO"),"",_xlfn.XLOOKUP($D961,Productos!$E:$E,Productos!$F:$F,""))</f>
        <v/>
      </c>
      <c r="J961" s="74">
        <f>IF($C961="","",IF($D961="NO ENCONTRADO",IF(COUNTIF($C$7:$C$1000,$C961)&gt;1,"⚠️ No encontrado | Duplicado","⚠️ No encontrado"),IF(COUNTIF($C$7:$C$1000,$C961)&gt;1,"⚠️ Duplicado","Verificado")))</f>
        <v/>
      </c>
    </row>
    <row r="962" ht="15.75" customHeight="1" s="176">
      <c r="B962" s="80" t="n"/>
      <c r="C962" s="74" t="n"/>
      <c r="D962" s="74">
        <f t="array" ref="D962">IF($C962="","",IFNA(_xlfn.XLOOKUP($C962,Productos!$A:$A,Productos!$E:$E,IFNA(_xlfn.XLOOKUP(TEXT($C962,"0"),Productos!$A:$A,Productos!$E:$E,IFNA(_xlfn.XLOOKUP(IFERROR(VALUE($C962),""),Productos!$A:$A,Productos!$E:$E,_xlfn.XLOOKUP($C962,Productos!$E:$E,Productos!$E:$E,"NO ENCONTRADO")),"NO ENCONTRADO")),"NO ENCONTRADO")),"NO ENCONTRADO"))</f>
        <v/>
      </c>
      <c r="E962" s="74">
        <f t="array" ref="E962">IF(OR($D962="",$D962="NO ENCONTRADO"),"",_xlfn.XLOOKUP($D962,Productos!$E:$E,Productos!$H:$H,""))</f>
        <v/>
      </c>
      <c r="F962" s="74">
        <f t="array" ref="F962">IF(OR($D962="",$D962="NO ENCONTRADO"),"",_xlfn.XLOOKUP($D962,Productos!$E:$E,Productos!$I:$I,""))</f>
        <v/>
      </c>
      <c r="G962" s="74">
        <f t="array" ref="G962">IF(OR($D962="",$D962="NO ENCONTRADO"),"",_xlfn.XLOOKUP($D962,Productos!$E:$E,Productos!$J:$J,""))</f>
        <v/>
      </c>
      <c r="H962" s="74">
        <f t="array" ref="H962">IF(OR($D962="",$D962="NO ENCONTRADO"),"",_xlfn.XLOOKUP($D962,Productos!$E:$E,Productos!$K:$K,""))</f>
        <v/>
      </c>
      <c r="I962" s="74">
        <f t="array" ref="I962">IF(OR($D962="",$D962="NO ENCONTRADO"),"",_xlfn.XLOOKUP($D962,Productos!$E:$E,Productos!$F:$F,""))</f>
        <v/>
      </c>
      <c r="J962" s="74">
        <f>IF($C962="","",IF($D962="NO ENCONTRADO",IF(COUNTIF($C$7:$C$1000,$C962)&gt;1,"⚠️ No encontrado | Duplicado","⚠️ No encontrado"),IF(COUNTIF($C$7:$C$1000,$C962)&gt;1,"⚠️ Duplicado","Verificado")))</f>
        <v/>
      </c>
    </row>
    <row r="963" ht="15.75" customHeight="1" s="176">
      <c r="B963" s="80" t="n"/>
      <c r="C963" s="74" t="n"/>
      <c r="D963" s="74">
        <f t="array" ref="D963">IF($C963="","",IFNA(_xlfn.XLOOKUP($C963,Productos!$A:$A,Productos!$E:$E,IFNA(_xlfn.XLOOKUP(TEXT($C963,"0"),Productos!$A:$A,Productos!$E:$E,IFNA(_xlfn.XLOOKUP(IFERROR(VALUE($C963),""),Productos!$A:$A,Productos!$E:$E,_xlfn.XLOOKUP($C963,Productos!$E:$E,Productos!$E:$E,"NO ENCONTRADO")),"NO ENCONTRADO")),"NO ENCONTRADO")),"NO ENCONTRADO"))</f>
        <v/>
      </c>
      <c r="E963" s="74">
        <f t="array" ref="E963">IF(OR($D963="",$D963="NO ENCONTRADO"),"",_xlfn.XLOOKUP($D963,Productos!$E:$E,Productos!$H:$H,""))</f>
        <v/>
      </c>
      <c r="F963" s="74">
        <f t="array" ref="F963">IF(OR($D963="",$D963="NO ENCONTRADO"),"",_xlfn.XLOOKUP($D963,Productos!$E:$E,Productos!$I:$I,""))</f>
        <v/>
      </c>
      <c r="G963" s="74">
        <f t="array" ref="G963">IF(OR($D963="",$D963="NO ENCONTRADO"),"",_xlfn.XLOOKUP($D963,Productos!$E:$E,Productos!$J:$J,""))</f>
        <v/>
      </c>
      <c r="H963" s="74">
        <f t="array" ref="H963">IF(OR($D963="",$D963="NO ENCONTRADO"),"",_xlfn.XLOOKUP($D963,Productos!$E:$E,Productos!$K:$K,""))</f>
        <v/>
      </c>
      <c r="I963" s="74">
        <f t="array" ref="I963">IF(OR($D963="",$D963="NO ENCONTRADO"),"",_xlfn.XLOOKUP($D963,Productos!$E:$E,Productos!$F:$F,""))</f>
        <v/>
      </c>
      <c r="J963" s="74">
        <f>IF($C963="","",IF($D963="NO ENCONTRADO",IF(COUNTIF($C$7:$C$1000,$C963)&gt;1,"⚠️ No encontrado | Duplicado","⚠️ No encontrado"),IF(COUNTIF($C$7:$C$1000,$C963)&gt;1,"⚠️ Duplicado","Verificado")))</f>
        <v/>
      </c>
    </row>
    <row r="964" ht="15.75" customHeight="1" s="176">
      <c r="B964" s="80" t="n"/>
      <c r="C964" s="74" t="n"/>
      <c r="D964" s="74">
        <f t="array" ref="D964">IF($C964="","",IFNA(_xlfn.XLOOKUP($C964,Productos!$A:$A,Productos!$E:$E,IFNA(_xlfn.XLOOKUP(TEXT($C964,"0"),Productos!$A:$A,Productos!$E:$E,IFNA(_xlfn.XLOOKUP(IFERROR(VALUE($C964),""),Productos!$A:$A,Productos!$E:$E,_xlfn.XLOOKUP($C964,Productos!$E:$E,Productos!$E:$E,"NO ENCONTRADO")),"NO ENCONTRADO")),"NO ENCONTRADO")),"NO ENCONTRADO"))</f>
        <v/>
      </c>
      <c r="E964" s="74">
        <f t="array" ref="E964">IF(OR($D964="",$D964="NO ENCONTRADO"),"",_xlfn.XLOOKUP($D964,Productos!$E:$E,Productos!$H:$H,""))</f>
        <v/>
      </c>
      <c r="F964" s="74">
        <f t="array" ref="F964">IF(OR($D964="",$D964="NO ENCONTRADO"),"",_xlfn.XLOOKUP($D964,Productos!$E:$E,Productos!$I:$I,""))</f>
        <v/>
      </c>
      <c r="G964" s="74">
        <f t="array" ref="G964">IF(OR($D964="",$D964="NO ENCONTRADO"),"",_xlfn.XLOOKUP($D964,Productos!$E:$E,Productos!$J:$J,""))</f>
        <v/>
      </c>
      <c r="H964" s="74">
        <f t="array" ref="H964">IF(OR($D964="",$D964="NO ENCONTRADO"),"",_xlfn.XLOOKUP($D964,Productos!$E:$E,Productos!$K:$K,""))</f>
        <v/>
      </c>
      <c r="I964" s="74">
        <f t="array" ref="I964">IF(OR($D964="",$D964="NO ENCONTRADO"),"",_xlfn.XLOOKUP($D964,Productos!$E:$E,Productos!$F:$F,""))</f>
        <v/>
      </c>
      <c r="J964" s="74">
        <f>IF($C964="","",IF($D964="NO ENCONTRADO",IF(COUNTIF($C$7:$C$1000,$C964)&gt;1,"⚠️ No encontrado | Duplicado","⚠️ No encontrado"),IF(COUNTIF($C$7:$C$1000,$C964)&gt;1,"⚠️ Duplicado","Verificado")))</f>
        <v/>
      </c>
    </row>
    <row r="965" ht="15.75" customHeight="1" s="176">
      <c r="B965" s="80" t="n"/>
      <c r="C965" s="74" t="n"/>
      <c r="D965" s="74">
        <f t="array" ref="D965">IF($C965="","",IFNA(_xlfn.XLOOKUP($C965,Productos!$A:$A,Productos!$E:$E,IFNA(_xlfn.XLOOKUP(TEXT($C965,"0"),Productos!$A:$A,Productos!$E:$E,IFNA(_xlfn.XLOOKUP(IFERROR(VALUE($C965),""),Productos!$A:$A,Productos!$E:$E,_xlfn.XLOOKUP($C965,Productos!$E:$E,Productos!$E:$E,"NO ENCONTRADO")),"NO ENCONTRADO")),"NO ENCONTRADO")),"NO ENCONTRADO"))</f>
        <v/>
      </c>
      <c r="E965" s="74">
        <f t="array" ref="E965">IF(OR($D965="",$D965="NO ENCONTRADO"),"",_xlfn.XLOOKUP($D965,Productos!$E:$E,Productos!$H:$H,""))</f>
        <v/>
      </c>
      <c r="F965" s="74">
        <f t="array" ref="F965">IF(OR($D965="",$D965="NO ENCONTRADO"),"",_xlfn.XLOOKUP($D965,Productos!$E:$E,Productos!$I:$I,""))</f>
        <v/>
      </c>
      <c r="G965" s="74">
        <f t="array" ref="G965">IF(OR($D965="",$D965="NO ENCONTRADO"),"",_xlfn.XLOOKUP($D965,Productos!$E:$E,Productos!$J:$J,""))</f>
        <v/>
      </c>
      <c r="H965" s="74">
        <f t="array" ref="H965">IF(OR($D965="",$D965="NO ENCONTRADO"),"",_xlfn.XLOOKUP($D965,Productos!$E:$E,Productos!$K:$K,""))</f>
        <v/>
      </c>
      <c r="I965" s="74">
        <f t="array" ref="I965">IF(OR($D965="",$D965="NO ENCONTRADO"),"",_xlfn.XLOOKUP($D965,Productos!$E:$E,Productos!$F:$F,""))</f>
        <v/>
      </c>
      <c r="J965" s="74">
        <f>IF($C965="","",IF($D965="NO ENCONTRADO",IF(COUNTIF($C$7:$C$1000,$C965)&gt;1,"⚠️ No encontrado | Duplicado","⚠️ No encontrado"),IF(COUNTIF($C$7:$C$1000,$C965)&gt;1,"⚠️ Duplicado","Verificado")))</f>
        <v/>
      </c>
    </row>
    <row r="966" ht="15.75" customHeight="1" s="176">
      <c r="B966" s="80" t="n"/>
      <c r="C966" s="74" t="n"/>
      <c r="D966" s="74">
        <f t="array" ref="D966">IF($C966="","",IFNA(_xlfn.XLOOKUP($C966,Productos!$A:$A,Productos!$E:$E,IFNA(_xlfn.XLOOKUP(TEXT($C966,"0"),Productos!$A:$A,Productos!$E:$E,IFNA(_xlfn.XLOOKUP(IFERROR(VALUE($C966),""),Productos!$A:$A,Productos!$E:$E,_xlfn.XLOOKUP($C966,Productos!$E:$E,Productos!$E:$E,"NO ENCONTRADO")),"NO ENCONTRADO")),"NO ENCONTRADO")),"NO ENCONTRADO"))</f>
        <v/>
      </c>
      <c r="E966" s="74">
        <f t="array" ref="E966">IF(OR($D966="",$D966="NO ENCONTRADO"),"",_xlfn.XLOOKUP($D966,Productos!$E:$E,Productos!$H:$H,""))</f>
        <v/>
      </c>
      <c r="F966" s="74">
        <f t="array" ref="F966">IF(OR($D966="",$D966="NO ENCONTRADO"),"",_xlfn.XLOOKUP($D966,Productos!$E:$E,Productos!$I:$I,""))</f>
        <v/>
      </c>
      <c r="G966" s="74">
        <f t="array" ref="G966">IF(OR($D966="",$D966="NO ENCONTRADO"),"",_xlfn.XLOOKUP($D966,Productos!$E:$E,Productos!$J:$J,""))</f>
        <v/>
      </c>
      <c r="H966" s="74">
        <f t="array" ref="H966">IF(OR($D966="",$D966="NO ENCONTRADO"),"",_xlfn.XLOOKUP($D966,Productos!$E:$E,Productos!$K:$K,""))</f>
        <v/>
      </c>
      <c r="I966" s="74">
        <f t="array" ref="I966">IF(OR($D966="",$D966="NO ENCONTRADO"),"",_xlfn.XLOOKUP($D966,Productos!$E:$E,Productos!$F:$F,""))</f>
        <v/>
      </c>
      <c r="J966" s="74">
        <f>IF($C966="","",IF($D966="NO ENCONTRADO",IF(COUNTIF($C$7:$C$1000,$C966)&gt;1,"⚠️ No encontrado | Duplicado","⚠️ No encontrado"),IF(COUNTIF($C$7:$C$1000,$C966)&gt;1,"⚠️ Duplicado","Verificado")))</f>
        <v/>
      </c>
    </row>
    <row r="967" ht="15.75" customHeight="1" s="176">
      <c r="B967" s="80" t="n"/>
      <c r="C967" s="74" t="n"/>
      <c r="D967" s="74">
        <f t="array" ref="D967">IF($C967="","",IFNA(_xlfn.XLOOKUP($C967,Productos!$A:$A,Productos!$E:$E,IFNA(_xlfn.XLOOKUP(TEXT($C967,"0"),Productos!$A:$A,Productos!$E:$E,IFNA(_xlfn.XLOOKUP(IFERROR(VALUE($C967),""),Productos!$A:$A,Productos!$E:$E,_xlfn.XLOOKUP($C967,Productos!$E:$E,Productos!$E:$E,"NO ENCONTRADO")),"NO ENCONTRADO")),"NO ENCONTRADO")),"NO ENCONTRADO"))</f>
        <v/>
      </c>
      <c r="E967" s="74">
        <f t="array" ref="E967">IF(OR($D967="",$D967="NO ENCONTRADO"),"",_xlfn.XLOOKUP($D967,Productos!$E:$E,Productos!$H:$H,""))</f>
        <v/>
      </c>
      <c r="F967" s="74">
        <f t="array" ref="F967">IF(OR($D967="",$D967="NO ENCONTRADO"),"",_xlfn.XLOOKUP($D967,Productos!$E:$E,Productos!$I:$I,""))</f>
        <v/>
      </c>
      <c r="G967" s="74">
        <f t="array" ref="G967">IF(OR($D967="",$D967="NO ENCONTRADO"),"",_xlfn.XLOOKUP($D967,Productos!$E:$E,Productos!$J:$J,""))</f>
        <v/>
      </c>
      <c r="H967" s="74">
        <f t="array" ref="H967">IF(OR($D967="",$D967="NO ENCONTRADO"),"",_xlfn.XLOOKUP($D967,Productos!$E:$E,Productos!$K:$K,""))</f>
        <v/>
      </c>
      <c r="I967" s="74">
        <f t="array" ref="I967">IF(OR($D967="",$D967="NO ENCONTRADO"),"",_xlfn.XLOOKUP($D967,Productos!$E:$E,Productos!$F:$F,""))</f>
        <v/>
      </c>
      <c r="J967" s="74">
        <f>IF($C967="","",IF($D967="NO ENCONTRADO",IF(COUNTIF($C$7:$C$1000,$C967)&gt;1,"⚠️ No encontrado | Duplicado","⚠️ No encontrado"),IF(COUNTIF($C$7:$C$1000,$C967)&gt;1,"⚠️ Duplicado","Verificado")))</f>
        <v/>
      </c>
    </row>
    <row r="968" ht="15.75" customHeight="1" s="176">
      <c r="B968" s="80" t="n"/>
      <c r="C968" s="74" t="n"/>
      <c r="D968" s="74">
        <f t="array" ref="D968">IF($C968="","",IFNA(_xlfn.XLOOKUP($C968,Productos!$A:$A,Productos!$E:$E,IFNA(_xlfn.XLOOKUP(TEXT($C968,"0"),Productos!$A:$A,Productos!$E:$E,IFNA(_xlfn.XLOOKUP(IFERROR(VALUE($C968),""),Productos!$A:$A,Productos!$E:$E,_xlfn.XLOOKUP($C968,Productos!$E:$E,Productos!$E:$E,"NO ENCONTRADO")),"NO ENCONTRADO")),"NO ENCONTRADO")),"NO ENCONTRADO"))</f>
        <v/>
      </c>
      <c r="E968" s="74">
        <f t="array" ref="E968">IF(OR($D968="",$D968="NO ENCONTRADO"),"",_xlfn.XLOOKUP($D968,Productos!$E:$E,Productos!$H:$H,""))</f>
        <v/>
      </c>
      <c r="F968" s="74">
        <f t="array" ref="F968">IF(OR($D968="",$D968="NO ENCONTRADO"),"",_xlfn.XLOOKUP($D968,Productos!$E:$E,Productos!$I:$I,""))</f>
        <v/>
      </c>
      <c r="G968" s="74">
        <f t="array" ref="G968">IF(OR($D968="",$D968="NO ENCONTRADO"),"",_xlfn.XLOOKUP($D968,Productos!$E:$E,Productos!$J:$J,""))</f>
        <v/>
      </c>
      <c r="H968" s="74">
        <f t="array" ref="H968">IF(OR($D968="",$D968="NO ENCONTRADO"),"",_xlfn.XLOOKUP($D968,Productos!$E:$E,Productos!$K:$K,""))</f>
        <v/>
      </c>
      <c r="I968" s="74">
        <f t="array" ref="I968">IF(OR($D968="",$D968="NO ENCONTRADO"),"",_xlfn.XLOOKUP($D968,Productos!$E:$E,Productos!$F:$F,""))</f>
        <v/>
      </c>
      <c r="J968" s="74">
        <f>IF($C968="","",IF($D968="NO ENCONTRADO",IF(COUNTIF($C$7:$C$1000,$C968)&gt;1,"⚠️ No encontrado | Duplicado","⚠️ No encontrado"),IF(COUNTIF($C$7:$C$1000,$C968)&gt;1,"⚠️ Duplicado","Verificado")))</f>
        <v/>
      </c>
    </row>
    <row r="969" ht="15.75" customHeight="1" s="176">
      <c r="B969" s="80" t="n"/>
      <c r="C969" s="74" t="n"/>
      <c r="D969" s="74">
        <f t="array" ref="D969">IF($C969="","",IFNA(_xlfn.XLOOKUP($C969,Productos!$A:$A,Productos!$E:$E,IFNA(_xlfn.XLOOKUP(TEXT($C969,"0"),Productos!$A:$A,Productos!$E:$E,IFNA(_xlfn.XLOOKUP(IFERROR(VALUE($C969),""),Productos!$A:$A,Productos!$E:$E,_xlfn.XLOOKUP($C969,Productos!$E:$E,Productos!$E:$E,"NO ENCONTRADO")),"NO ENCONTRADO")),"NO ENCONTRADO")),"NO ENCONTRADO"))</f>
        <v/>
      </c>
      <c r="E969" s="74">
        <f t="array" ref="E969">IF(OR($D969="",$D969="NO ENCONTRADO"),"",_xlfn.XLOOKUP($D969,Productos!$E:$E,Productos!$H:$H,""))</f>
        <v/>
      </c>
      <c r="F969" s="74">
        <f t="array" ref="F969">IF(OR($D969="",$D969="NO ENCONTRADO"),"",_xlfn.XLOOKUP($D969,Productos!$E:$E,Productos!$I:$I,""))</f>
        <v/>
      </c>
      <c r="G969" s="74">
        <f t="array" ref="G969">IF(OR($D969="",$D969="NO ENCONTRADO"),"",_xlfn.XLOOKUP($D969,Productos!$E:$E,Productos!$J:$J,""))</f>
        <v/>
      </c>
      <c r="H969" s="74">
        <f t="array" ref="H969">IF(OR($D969="",$D969="NO ENCONTRADO"),"",_xlfn.XLOOKUP($D969,Productos!$E:$E,Productos!$K:$K,""))</f>
        <v/>
      </c>
      <c r="I969" s="74">
        <f t="array" ref="I969">IF(OR($D969="",$D969="NO ENCONTRADO"),"",_xlfn.XLOOKUP($D969,Productos!$E:$E,Productos!$F:$F,""))</f>
        <v/>
      </c>
      <c r="J969" s="74">
        <f>IF($C969="","",IF($D969="NO ENCONTRADO",IF(COUNTIF($C$7:$C$1000,$C969)&gt;1,"⚠️ No encontrado | Duplicado","⚠️ No encontrado"),IF(COUNTIF($C$7:$C$1000,$C969)&gt;1,"⚠️ Duplicado","Verificado")))</f>
        <v/>
      </c>
    </row>
    <row r="970" ht="15.75" customHeight="1" s="176">
      <c r="B970" s="80" t="n"/>
      <c r="C970" s="74" t="n"/>
      <c r="D970" s="74">
        <f t="array" ref="D970">IF($C970="","",IFNA(_xlfn.XLOOKUP($C970,Productos!$A:$A,Productos!$E:$E,IFNA(_xlfn.XLOOKUP(TEXT($C970,"0"),Productos!$A:$A,Productos!$E:$E,IFNA(_xlfn.XLOOKUP(IFERROR(VALUE($C970),""),Productos!$A:$A,Productos!$E:$E,_xlfn.XLOOKUP($C970,Productos!$E:$E,Productos!$E:$E,"NO ENCONTRADO")),"NO ENCONTRADO")),"NO ENCONTRADO")),"NO ENCONTRADO"))</f>
        <v/>
      </c>
      <c r="E970" s="74">
        <f t="array" ref="E970">IF(OR($D970="",$D970="NO ENCONTRADO"),"",_xlfn.XLOOKUP($D970,Productos!$E:$E,Productos!$H:$H,""))</f>
        <v/>
      </c>
      <c r="F970" s="74">
        <f t="array" ref="F970">IF(OR($D970="",$D970="NO ENCONTRADO"),"",_xlfn.XLOOKUP($D970,Productos!$E:$E,Productos!$I:$I,""))</f>
        <v/>
      </c>
      <c r="G970" s="74">
        <f t="array" ref="G970">IF(OR($D970="",$D970="NO ENCONTRADO"),"",_xlfn.XLOOKUP($D970,Productos!$E:$E,Productos!$J:$J,""))</f>
        <v/>
      </c>
      <c r="H970" s="74">
        <f t="array" ref="H970">IF(OR($D970="",$D970="NO ENCONTRADO"),"",_xlfn.XLOOKUP($D970,Productos!$E:$E,Productos!$K:$K,""))</f>
        <v/>
      </c>
      <c r="I970" s="74">
        <f t="array" ref="I970">IF(OR($D970="",$D970="NO ENCONTRADO"),"",_xlfn.XLOOKUP($D970,Productos!$E:$E,Productos!$F:$F,""))</f>
        <v/>
      </c>
      <c r="J970" s="74">
        <f>IF($C970="","",IF($D970="NO ENCONTRADO",IF(COUNTIF($C$7:$C$1000,$C970)&gt;1,"⚠️ No encontrado | Duplicado","⚠️ No encontrado"),IF(COUNTIF($C$7:$C$1000,$C970)&gt;1,"⚠️ Duplicado","Verificado")))</f>
        <v/>
      </c>
    </row>
    <row r="971" ht="15.75" customHeight="1" s="176">
      <c r="B971" s="80" t="n"/>
      <c r="C971" s="74" t="n"/>
      <c r="D971" s="74">
        <f t="array" ref="D971">IF($C971="","",IFNA(_xlfn.XLOOKUP($C971,Productos!$A:$A,Productos!$E:$E,IFNA(_xlfn.XLOOKUP(TEXT($C971,"0"),Productos!$A:$A,Productos!$E:$E,IFNA(_xlfn.XLOOKUP(IFERROR(VALUE($C971),""),Productos!$A:$A,Productos!$E:$E,_xlfn.XLOOKUP($C971,Productos!$E:$E,Productos!$E:$E,"NO ENCONTRADO")),"NO ENCONTRADO")),"NO ENCONTRADO")),"NO ENCONTRADO"))</f>
        <v/>
      </c>
      <c r="E971" s="74">
        <f t="array" ref="E971">IF(OR($D971="",$D971="NO ENCONTRADO"),"",_xlfn.XLOOKUP($D971,Productos!$E:$E,Productos!$H:$H,""))</f>
        <v/>
      </c>
      <c r="F971" s="74">
        <f t="array" ref="F971">IF(OR($D971="",$D971="NO ENCONTRADO"),"",_xlfn.XLOOKUP($D971,Productos!$E:$E,Productos!$I:$I,""))</f>
        <v/>
      </c>
      <c r="G971" s="74">
        <f t="array" ref="G971">IF(OR($D971="",$D971="NO ENCONTRADO"),"",_xlfn.XLOOKUP($D971,Productos!$E:$E,Productos!$J:$J,""))</f>
        <v/>
      </c>
      <c r="H971" s="74">
        <f t="array" ref="H971">IF(OR($D971="",$D971="NO ENCONTRADO"),"",_xlfn.XLOOKUP($D971,Productos!$E:$E,Productos!$K:$K,""))</f>
        <v/>
      </c>
      <c r="I971" s="74">
        <f t="array" ref="I971">IF(OR($D971="",$D971="NO ENCONTRADO"),"",_xlfn.XLOOKUP($D971,Productos!$E:$E,Productos!$F:$F,""))</f>
        <v/>
      </c>
      <c r="J971" s="74">
        <f>IF($C971="","",IF($D971="NO ENCONTRADO",IF(COUNTIF($C$7:$C$1000,$C971)&gt;1,"⚠️ No encontrado | Duplicado","⚠️ No encontrado"),IF(COUNTIF($C$7:$C$1000,$C971)&gt;1,"⚠️ Duplicado","Verificado")))</f>
        <v/>
      </c>
    </row>
    <row r="972" ht="15.75" customHeight="1" s="176">
      <c r="B972" s="80" t="n"/>
      <c r="C972" s="74" t="n"/>
      <c r="D972" s="74">
        <f t="array" ref="D972">IF($C972="","",IFNA(_xlfn.XLOOKUP($C972,Productos!$A:$A,Productos!$E:$E,IFNA(_xlfn.XLOOKUP(TEXT($C972,"0"),Productos!$A:$A,Productos!$E:$E,IFNA(_xlfn.XLOOKUP(IFERROR(VALUE($C972),""),Productos!$A:$A,Productos!$E:$E,_xlfn.XLOOKUP($C972,Productos!$E:$E,Productos!$E:$E,"NO ENCONTRADO")),"NO ENCONTRADO")),"NO ENCONTRADO")),"NO ENCONTRADO"))</f>
        <v/>
      </c>
      <c r="E972" s="74">
        <f t="array" ref="E972">IF(OR($D972="",$D972="NO ENCONTRADO"),"",_xlfn.XLOOKUP($D972,Productos!$E:$E,Productos!$H:$H,""))</f>
        <v/>
      </c>
      <c r="F972" s="74">
        <f t="array" ref="F972">IF(OR($D972="",$D972="NO ENCONTRADO"),"",_xlfn.XLOOKUP($D972,Productos!$E:$E,Productos!$I:$I,""))</f>
        <v/>
      </c>
      <c r="G972" s="74">
        <f t="array" ref="G972">IF(OR($D972="",$D972="NO ENCONTRADO"),"",_xlfn.XLOOKUP($D972,Productos!$E:$E,Productos!$J:$J,""))</f>
        <v/>
      </c>
      <c r="H972" s="74">
        <f t="array" ref="H972">IF(OR($D972="",$D972="NO ENCONTRADO"),"",_xlfn.XLOOKUP($D972,Productos!$E:$E,Productos!$K:$K,""))</f>
        <v/>
      </c>
      <c r="I972" s="74">
        <f t="array" ref="I972">IF(OR($D972="",$D972="NO ENCONTRADO"),"",_xlfn.XLOOKUP($D972,Productos!$E:$E,Productos!$F:$F,""))</f>
        <v/>
      </c>
      <c r="J972" s="74">
        <f>IF($C972="","",IF($D972="NO ENCONTRADO",IF(COUNTIF($C$7:$C$1000,$C972)&gt;1,"⚠️ No encontrado | Duplicado","⚠️ No encontrado"),IF(COUNTIF($C$7:$C$1000,$C972)&gt;1,"⚠️ Duplicado","Verificado")))</f>
        <v/>
      </c>
    </row>
    <row r="973" ht="15.75" customHeight="1" s="176">
      <c r="B973" s="80" t="n"/>
      <c r="C973" s="74" t="n"/>
      <c r="D973" s="74">
        <f t="array" ref="D973">IF($C973="","",IFNA(_xlfn.XLOOKUP($C973,Productos!$A:$A,Productos!$E:$E,IFNA(_xlfn.XLOOKUP(TEXT($C973,"0"),Productos!$A:$A,Productos!$E:$E,IFNA(_xlfn.XLOOKUP(IFERROR(VALUE($C973),""),Productos!$A:$A,Productos!$E:$E,_xlfn.XLOOKUP($C973,Productos!$E:$E,Productos!$E:$E,"NO ENCONTRADO")),"NO ENCONTRADO")),"NO ENCONTRADO")),"NO ENCONTRADO"))</f>
        <v/>
      </c>
      <c r="E973" s="74">
        <f t="array" ref="E973">IF(OR($D973="",$D973="NO ENCONTRADO"),"",_xlfn.XLOOKUP($D973,Productos!$E:$E,Productos!$H:$H,""))</f>
        <v/>
      </c>
      <c r="F973" s="74">
        <f t="array" ref="F973">IF(OR($D973="",$D973="NO ENCONTRADO"),"",_xlfn.XLOOKUP($D973,Productos!$E:$E,Productos!$I:$I,""))</f>
        <v/>
      </c>
      <c r="G973" s="74">
        <f t="array" ref="G973">IF(OR($D973="",$D973="NO ENCONTRADO"),"",_xlfn.XLOOKUP($D973,Productos!$E:$E,Productos!$J:$J,""))</f>
        <v/>
      </c>
      <c r="H973" s="74">
        <f t="array" ref="H973">IF(OR($D973="",$D973="NO ENCONTRADO"),"",_xlfn.XLOOKUP($D973,Productos!$E:$E,Productos!$K:$K,""))</f>
        <v/>
      </c>
      <c r="I973" s="74">
        <f t="array" ref="I973">IF(OR($D973="",$D973="NO ENCONTRADO"),"",_xlfn.XLOOKUP($D973,Productos!$E:$E,Productos!$F:$F,""))</f>
        <v/>
      </c>
      <c r="J973" s="74">
        <f>IF($C973="","",IF($D973="NO ENCONTRADO",IF(COUNTIF($C$7:$C$1000,$C973)&gt;1,"⚠️ No encontrado | Duplicado","⚠️ No encontrado"),IF(COUNTIF($C$7:$C$1000,$C973)&gt;1,"⚠️ Duplicado","Verificado")))</f>
        <v/>
      </c>
    </row>
    <row r="974" ht="15.75" customHeight="1" s="176">
      <c r="B974" s="80" t="n"/>
      <c r="C974" s="74" t="n"/>
      <c r="D974" s="74">
        <f t="array" ref="D974">IF($C974="","",IFNA(_xlfn.XLOOKUP($C974,Productos!$A:$A,Productos!$E:$E,IFNA(_xlfn.XLOOKUP(TEXT($C974,"0"),Productos!$A:$A,Productos!$E:$E,IFNA(_xlfn.XLOOKUP(IFERROR(VALUE($C974),""),Productos!$A:$A,Productos!$E:$E,_xlfn.XLOOKUP($C974,Productos!$E:$E,Productos!$E:$E,"NO ENCONTRADO")),"NO ENCONTRADO")),"NO ENCONTRADO")),"NO ENCONTRADO"))</f>
        <v/>
      </c>
      <c r="E974" s="74">
        <f t="array" ref="E974">IF(OR($D974="",$D974="NO ENCONTRADO"),"",_xlfn.XLOOKUP($D974,Productos!$E:$E,Productos!$H:$H,""))</f>
        <v/>
      </c>
      <c r="F974" s="74">
        <f t="array" ref="F974">IF(OR($D974="",$D974="NO ENCONTRADO"),"",_xlfn.XLOOKUP($D974,Productos!$E:$E,Productos!$I:$I,""))</f>
        <v/>
      </c>
      <c r="G974" s="74">
        <f t="array" ref="G974">IF(OR($D974="",$D974="NO ENCONTRADO"),"",_xlfn.XLOOKUP($D974,Productos!$E:$E,Productos!$J:$J,""))</f>
        <v/>
      </c>
      <c r="H974" s="74">
        <f t="array" ref="H974">IF(OR($D974="",$D974="NO ENCONTRADO"),"",_xlfn.XLOOKUP($D974,Productos!$E:$E,Productos!$K:$K,""))</f>
        <v/>
      </c>
      <c r="I974" s="74">
        <f t="array" ref="I974">IF(OR($D974="",$D974="NO ENCONTRADO"),"",_xlfn.XLOOKUP($D974,Productos!$E:$E,Productos!$F:$F,""))</f>
        <v/>
      </c>
      <c r="J974" s="74">
        <f>IF($C974="","",IF($D974="NO ENCONTRADO",IF(COUNTIF($C$7:$C$1000,$C974)&gt;1,"⚠️ No encontrado | Duplicado","⚠️ No encontrado"),IF(COUNTIF($C$7:$C$1000,$C974)&gt;1,"⚠️ Duplicado","Verificado")))</f>
        <v/>
      </c>
    </row>
    <row r="975" ht="15.75" customHeight="1" s="176">
      <c r="B975" s="80" t="n"/>
      <c r="C975" s="74" t="n"/>
      <c r="D975" s="74">
        <f t="array" ref="D975">IF($C975="","",IFNA(_xlfn.XLOOKUP($C975,Productos!$A:$A,Productos!$E:$E,IFNA(_xlfn.XLOOKUP(TEXT($C975,"0"),Productos!$A:$A,Productos!$E:$E,IFNA(_xlfn.XLOOKUP(IFERROR(VALUE($C975),""),Productos!$A:$A,Productos!$E:$E,_xlfn.XLOOKUP($C975,Productos!$E:$E,Productos!$E:$E,"NO ENCONTRADO")),"NO ENCONTRADO")),"NO ENCONTRADO")),"NO ENCONTRADO"))</f>
        <v/>
      </c>
      <c r="E975" s="74">
        <f t="array" ref="E975">IF(OR($D975="",$D975="NO ENCONTRADO"),"",_xlfn.XLOOKUP($D975,Productos!$E:$E,Productos!$H:$H,""))</f>
        <v/>
      </c>
      <c r="F975" s="74">
        <f t="array" ref="F975">IF(OR($D975="",$D975="NO ENCONTRADO"),"",_xlfn.XLOOKUP($D975,Productos!$E:$E,Productos!$I:$I,""))</f>
        <v/>
      </c>
      <c r="G975" s="74">
        <f t="array" ref="G975">IF(OR($D975="",$D975="NO ENCONTRADO"),"",_xlfn.XLOOKUP($D975,Productos!$E:$E,Productos!$J:$J,""))</f>
        <v/>
      </c>
      <c r="H975" s="74">
        <f t="array" ref="H975">IF(OR($D975="",$D975="NO ENCONTRADO"),"",_xlfn.XLOOKUP($D975,Productos!$E:$E,Productos!$K:$K,""))</f>
        <v/>
      </c>
      <c r="I975" s="74">
        <f t="array" ref="I975">IF(OR($D975="",$D975="NO ENCONTRADO"),"",_xlfn.XLOOKUP($D975,Productos!$E:$E,Productos!$F:$F,""))</f>
        <v/>
      </c>
      <c r="J975" s="74">
        <f>IF($C975="","",IF($D975="NO ENCONTRADO",IF(COUNTIF($C$7:$C$1000,$C975)&gt;1,"⚠️ No encontrado | Duplicado","⚠️ No encontrado"),IF(COUNTIF($C$7:$C$1000,$C975)&gt;1,"⚠️ Duplicado","Verificado")))</f>
        <v/>
      </c>
    </row>
    <row r="976" ht="15.75" customHeight="1" s="176">
      <c r="B976" s="80" t="n"/>
      <c r="C976" s="74" t="n"/>
      <c r="D976" s="74">
        <f t="array" ref="D976">IF($C976="","",IFNA(_xlfn.XLOOKUP($C976,Productos!$A:$A,Productos!$E:$E,IFNA(_xlfn.XLOOKUP(TEXT($C976,"0"),Productos!$A:$A,Productos!$E:$E,IFNA(_xlfn.XLOOKUP(IFERROR(VALUE($C976),""),Productos!$A:$A,Productos!$E:$E,_xlfn.XLOOKUP($C976,Productos!$E:$E,Productos!$E:$E,"NO ENCONTRADO")),"NO ENCONTRADO")),"NO ENCONTRADO")),"NO ENCONTRADO"))</f>
        <v/>
      </c>
      <c r="E976" s="74">
        <f t="array" ref="E976">IF(OR($D976="",$D976="NO ENCONTRADO"),"",_xlfn.XLOOKUP($D976,Productos!$E:$E,Productos!$H:$H,""))</f>
        <v/>
      </c>
      <c r="F976" s="74">
        <f t="array" ref="F976">IF(OR($D976="",$D976="NO ENCONTRADO"),"",_xlfn.XLOOKUP($D976,Productos!$E:$E,Productos!$I:$I,""))</f>
        <v/>
      </c>
      <c r="G976" s="74">
        <f t="array" ref="G976">IF(OR($D976="",$D976="NO ENCONTRADO"),"",_xlfn.XLOOKUP($D976,Productos!$E:$E,Productos!$J:$J,""))</f>
        <v/>
      </c>
      <c r="H976" s="74">
        <f t="array" ref="H976">IF(OR($D976="",$D976="NO ENCONTRADO"),"",_xlfn.XLOOKUP($D976,Productos!$E:$E,Productos!$K:$K,""))</f>
        <v/>
      </c>
      <c r="I976" s="74">
        <f t="array" ref="I976">IF(OR($D976="",$D976="NO ENCONTRADO"),"",_xlfn.XLOOKUP($D976,Productos!$E:$E,Productos!$F:$F,""))</f>
        <v/>
      </c>
      <c r="J976" s="74">
        <f>IF($C976="","",IF($D976="NO ENCONTRADO",IF(COUNTIF($C$7:$C$1000,$C976)&gt;1,"⚠️ No encontrado | Duplicado","⚠️ No encontrado"),IF(COUNTIF($C$7:$C$1000,$C976)&gt;1,"⚠️ Duplicado","Verificado")))</f>
        <v/>
      </c>
    </row>
    <row r="977" ht="15.75" customHeight="1" s="176">
      <c r="B977" s="80" t="n"/>
      <c r="C977" s="74" t="n"/>
      <c r="D977" s="74">
        <f t="array" ref="D977">IF($C977="","",IFNA(_xlfn.XLOOKUP($C977,Productos!$A:$A,Productos!$E:$E,IFNA(_xlfn.XLOOKUP(TEXT($C977,"0"),Productos!$A:$A,Productos!$E:$E,IFNA(_xlfn.XLOOKUP(IFERROR(VALUE($C977),""),Productos!$A:$A,Productos!$E:$E,_xlfn.XLOOKUP($C977,Productos!$E:$E,Productos!$E:$E,"NO ENCONTRADO")),"NO ENCONTRADO")),"NO ENCONTRADO")),"NO ENCONTRADO"))</f>
        <v/>
      </c>
      <c r="E977" s="74">
        <f t="array" ref="E977">IF(OR($D977="",$D977="NO ENCONTRADO"),"",_xlfn.XLOOKUP($D977,Productos!$E:$E,Productos!$H:$H,""))</f>
        <v/>
      </c>
      <c r="F977" s="74">
        <f t="array" ref="F977">IF(OR($D977="",$D977="NO ENCONTRADO"),"",_xlfn.XLOOKUP($D977,Productos!$E:$E,Productos!$I:$I,""))</f>
        <v/>
      </c>
      <c r="G977" s="74">
        <f t="array" ref="G977">IF(OR($D977="",$D977="NO ENCONTRADO"),"",_xlfn.XLOOKUP($D977,Productos!$E:$E,Productos!$J:$J,""))</f>
        <v/>
      </c>
      <c r="H977" s="74">
        <f t="array" ref="H977">IF(OR($D977="",$D977="NO ENCONTRADO"),"",_xlfn.XLOOKUP($D977,Productos!$E:$E,Productos!$K:$K,""))</f>
        <v/>
      </c>
      <c r="I977" s="74">
        <f t="array" ref="I977">IF(OR($D977="",$D977="NO ENCONTRADO"),"",_xlfn.XLOOKUP($D977,Productos!$E:$E,Productos!$F:$F,""))</f>
        <v/>
      </c>
      <c r="J977" s="74">
        <f>IF($C977="","",IF($D977="NO ENCONTRADO",IF(COUNTIF($C$7:$C$1000,$C977)&gt;1,"⚠️ No encontrado | Duplicado","⚠️ No encontrado"),IF(COUNTIF($C$7:$C$1000,$C977)&gt;1,"⚠️ Duplicado","Verificado")))</f>
        <v/>
      </c>
    </row>
    <row r="978" ht="15.75" customHeight="1" s="176">
      <c r="B978" s="80" t="n"/>
      <c r="C978" s="74" t="n"/>
      <c r="D978" s="74">
        <f t="array" ref="D978">IF($C978="","",IFNA(_xlfn.XLOOKUP($C978,Productos!$A:$A,Productos!$E:$E,IFNA(_xlfn.XLOOKUP(TEXT($C978,"0"),Productos!$A:$A,Productos!$E:$E,IFNA(_xlfn.XLOOKUP(IFERROR(VALUE($C978),""),Productos!$A:$A,Productos!$E:$E,_xlfn.XLOOKUP($C978,Productos!$E:$E,Productos!$E:$E,"NO ENCONTRADO")),"NO ENCONTRADO")),"NO ENCONTRADO")),"NO ENCONTRADO"))</f>
        <v/>
      </c>
      <c r="E978" s="74">
        <f t="array" ref="E978">IF(OR($D978="",$D978="NO ENCONTRADO"),"",_xlfn.XLOOKUP($D978,Productos!$E:$E,Productos!$H:$H,""))</f>
        <v/>
      </c>
      <c r="F978" s="74">
        <f t="array" ref="F978">IF(OR($D978="",$D978="NO ENCONTRADO"),"",_xlfn.XLOOKUP($D978,Productos!$E:$E,Productos!$I:$I,""))</f>
        <v/>
      </c>
      <c r="G978" s="74">
        <f t="array" ref="G978">IF(OR($D978="",$D978="NO ENCONTRADO"),"",_xlfn.XLOOKUP($D978,Productos!$E:$E,Productos!$J:$J,""))</f>
        <v/>
      </c>
      <c r="H978" s="74">
        <f t="array" ref="H978">IF(OR($D978="",$D978="NO ENCONTRADO"),"",_xlfn.XLOOKUP($D978,Productos!$E:$E,Productos!$K:$K,""))</f>
        <v/>
      </c>
      <c r="I978" s="74">
        <f t="array" ref="I978">IF(OR($D978="",$D978="NO ENCONTRADO"),"",_xlfn.XLOOKUP($D978,Productos!$E:$E,Productos!$F:$F,""))</f>
        <v/>
      </c>
      <c r="J978" s="74">
        <f>IF($C978="","",IF($D978="NO ENCONTRADO",IF(COUNTIF($C$7:$C$1000,$C978)&gt;1,"⚠️ No encontrado | Duplicado","⚠️ No encontrado"),IF(COUNTIF($C$7:$C$1000,$C978)&gt;1,"⚠️ Duplicado","Verificado")))</f>
        <v/>
      </c>
    </row>
    <row r="979" ht="15.75" customHeight="1" s="176">
      <c r="B979" s="80" t="n"/>
      <c r="C979" s="74" t="n"/>
      <c r="D979" s="74">
        <f t="array" ref="D979">IF($C979="","",IFNA(_xlfn.XLOOKUP($C979,Productos!$A:$A,Productos!$E:$E,IFNA(_xlfn.XLOOKUP(TEXT($C979,"0"),Productos!$A:$A,Productos!$E:$E,IFNA(_xlfn.XLOOKUP(IFERROR(VALUE($C979),""),Productos!$A:$A,Productos!$E:$E,_xlfn.XLOOKUP($C979,Productos!$E:$E,Productos!$E:$E,"NO ENCONTRADO")),"NO ENCONTRADO")),"NO ENCONTRADO")),"NO ENCONTRADO"))</f>
        <v/>
      </c>
      <c r="E979" s="74">
        <f t="array" ref="E979">IF(OR($D979="",$D979="NO ENCONTRADO"),"",_xlfn.XLOOKUP($D979,Productos!$E:$E,Productos!$H:$H,""))</f>
        <v/>
      </c>
      <c r="F979" s="74">
        <f t="array" ref="F979">IF(OR($D979="",$D979="NO ENCONTRADO"),"",_xlfn.XLOOKUP($D979,Productos!$E:$E,Productos!$I:$I,""))</f>
        <v/>
      </c>
      <c r="G979" s="74">
        <f t="array" ref="G979">IF(OR($D979="",$D979="NO ENCONTRADO"),"",_xlfn.XLOOKUP($D979,Productos!$E:$E,Productos!$J:$J,""))</f>
        <v/>
      </c>
      <c r="H979" s="74">
        <f t="array" ref="H979">IF(OR($D979="",$D979="NO ENCONTRADO"),"",_xlfn.XLOOKUP($D979,Productos!$E:$E,Productos!$K:$K,""))</f>
        <v/>
      </c>
      <c r="I979" s="74">
        <f t="array" ref="I979">IF(OR($D979="",$D979="NO ENCONTRADO"),"",_xlfn.XLOOKUP($D979,Productos!$E:$E,Productos!$F:$F,""))</f>
        <v/>
      </c>
      <c r="J979" s="74">
        <f>IF($C979="","",IF($D979="NO ENCONTRADO",IF(COUNTIF($C$7:$C$1000,$C979)&gt;1,"⚠️ No encontrado | Duplicado","⚠️ No encontrado"),IF(COUNTIF($C$7:$C$1000,$C979)&gt;1,"⚠️ Duplicado","Verificado")))</f>
        <v/>
      </c>
    </row>
    <row r="980" ht="15.75" customHeight="1" s="176">
      <c r="B980" s="80" t="n"/>
      <c r="C980" s="74" t="n"/>
      <c r="D980" s="74">
        <f t="array" ref="D980">IF($C980="","",IFNA(_xlfn.XLOOKUP($C980,Productos!$A:$A,Productos!$E:$E,IFNA(_xlfn.XLOOKUP(TEXT($C980,"0"),Productos!$A:$A,Productos!$E:$E,IFNA(_xlfn.XLOOKUP(IFERROR(VALUE($C980),""),Productos!$A:$A,Productos!$E:$E,_xlfn.XLOOKUP($C980,Productos!$E:$E,Productos!$E:$E,"NO ENCONTRADO")),"NO ENCONTRADO")),"NO ENCONTRADO")),"NO ENCONTRADO"))</f>
        <v/>
      </c>
      <c r="E980" s="74">
        <f t="array" ref="E980">IF(OR($D980="",$D980="NO ENCONTRADO"),"",_xlfn.XLOOKUP($D980,Productos!$E:$E,Productos!$H:$H,""))</f>
        <v/>
      </c>
      <c r="F980" s="74">
        <f t="array" ref="F980">IF(OR($D980="",$D980="NO ENCONTRADO"),"",_xlfn.XLOOKUP($D980,Productos!$E:$E,Productos!$I:$I,""))</f>
        <v/>
      </c>
      <c r="G980" s="74">
        <f t="array" ref="G980">IF(OR($D980="",$D980="NO ENCONTRADO"),"",_xlfn.XLOOKUP($D980,Productos!$E:$E,Productos!$J:$J,""))</f>
        <v/>
      </c>
      <c r="H980" s="74">
        <f t="array" ref="H980">IF(OR($D980="",$D980="NO ENCONTRADO"),"",_xlfn.XLOOKUP($D980,Productos!$E:$E,Productos!$K:$K,""))</f>
        <v/>
      </c>
      <c r="I980" s="74">
        <f t="array" ref="I980">IF(OR($D980="",$D980="NO ENCONTRADO"),"",_xlfn.XLOOKUP($D980,Productos!$E:$E,Productos!$F:$F,""))</f>
        <v/>
      </c>
      <c r="J980" s="74">
        <f>IF($C980="","",IF($D980="NO ENCONTRADO",IF(COUNTIF($C$7:$C$1000,$C980)&gt;1,"⚠️ No encontrado | Duplicado","⚠️ No encontrado"),IF(COUNTIF($C$7:$C$1000,$C980)&gt;1,"⚠️ Duplicado","Verificado")))</f>
        <v/>
      </c>
    </row>
    <row r="981" ht="15.75" customHeight="1" s="176">
      <c r="B981" s="80" t="n"/>
      <c r="C981" s="74" t="n"/>
      <c r="D981" s="74">
        <f t="array" ref="D981">IF($C981="","",IFNA(_xlfn.XLOOKUP($C981,Productos!$A:$A,Productos!$E:$E,IFNA(_xlfn.XLOOKUP(TEXT($C981,"0"),Productos!$A:$A,Productos!$E:$E,IFNA(_xlfn.XLOOKUP(IFERROR(VALUE($C981),""),Productos!$A:$A,Productos!$E:$E,_xlfn.XLOOKUP($C981,Productos!$E:$E,Productos!$E:$E,"NO ENCONTRADO")),"NO ENCONTRADO")),"NO ENCONTRADO")),"NO ENCONTRADO"))</f>
        <v/>
      </c>
      <c r="E981" s="74">
        <f t="array" ref="E981">IF(OR($D981="",$D981="NO ENCONTRADO"),"",_xlfn.XLOOKUP($D981,Productos!$E:$E,Productos!$H:$H,""))</f>
        <v/>
      </c>
      <c r="F981" s="74">
        <f t="array" ref="F981">IF(OR($D981="",$D981="NO ENCONTRADO"),"",_xlfn.XLOOKUP($D981,Productos!$E:$E,Productos!$I:$I,""))</f>
        <v/>
      </c>
      <c r="G981" s="74">
        <f t="array" ref="G981">IF(OR($D981="",$D981="NO ENCONTRADO"),"",_xlfn.XLOOKUP($D981,Productos!$E:$E,Productos!$J:$J,""))</f>
        <v/>
      </c>
      <c r="H981" s="74">
        <f t="array" ref="H981">IF(OR($D981="",$D981="NO ENCONTRADO"),"",_xlfn.XLOOKUP($D981,Productos!$E:$E,Productos!$K:$K,""))</f>
        <v/>
      </c>
      <c r="I981" s="74">
        <f t="array" ref="I981">IF(OR($D981="",$D981="NO ENCONTRADO"),"",_xlfn.XLOOKUP($D981,Productos!$E:$E,Productos!$F:$F,""))</f>
        <v/>
      </c>
      <c r="J981" s="74">
        <f>IF($C981="","",IF($D981="NO ENCONTRADO",IF(COUNTIF($C$7:$C$1000,$C981)&gt;1,"⚠️ No encontrado | Duplicado","⚠️ No encontrado"),IF(COUNTIF($C$7:$C$1000,$C981)&gt;1,"⚠️ Duplicado","Verificado")))</f>
        <v/>
      </c>
    </row>
    <row r="982" ht="15.75" customHeight="1" s="176">
      <c r="B982" s="80" t="n"/>
      <c r="C982" s="74" t="n"/>
      <c r="D982" s="74">
        <f t="array" ref="D982">IF($C982="","",IFNA(_xlfn.XLOOKUP($C982,Productos!$A:$A,Productos!$E:$E,IFNA(_xlfn.XLOOKUP(TEXT($C982,"0"),Productos!$A:$A,Productos!$E:$E,IFNA(_xlfn.XLOOKUP(IFERROR(VALUE($C982),""),Productos!$A:$A,Productos!$E:$E,_xlfn.XLOOKUP($C982,Productos!$E:$E,Productos!$E:$E,"NO ENCONTRADO")),"NO ENCONTRADO")),"NO ENCONTRADO")),"NO ENCONTRADO"))</f>
        <v/>
      </c>
      <c r="E982" s="74">
        <f t="array" ref="E982">IF(OR($D982="",$D982="NO ENCONTRADO"),"",_xlfn.XLOOKUP($D982,Productos!$E:$E,Productos!$H:$H,""))</f>
        <v/>
      </c>
      <c r="F982" s="74">
        <f t="array" ref="F982">IF(OR($D982="",$D982="NO ENCONTRADO"),"",_xlfn.XLOOKUP($D982,Productos!$E:$E,Productos!$I:$I,""))</f>
        <v/>
      </c>
      <c r="G982" s="74">
        <f t="array" ref="G982">IF(OR($D982="",$D982="NO ENCONTRADO"),"",_xlfn.XLOOKUP($D982,Productos!$E:$E,Productos!$J:$J,""))</f>
        <v/>
      </c>
      <c r="H982" s="74">
        <f t="array" ref="H982">IF(OR($D982="",$D982="NO ENCONTRADO"),"",_xlfn.XLOOKUP($D982,Productos!$E:$E,Productos!$K:$K,""))</f>
        <v/>
      </c>
      <c r="I982" s="74">
        <f t="array" ref="I982">IF(OR($D982="",$D982="NO ENCONTRADO"),"",_xlfn.XLOOKUP($D982,Productos!$E:$E,Productos!$F:$F,""))</f>
        <v/>
      </c>
      <c r="J982" s="74">
        <f>IF($C982="","",IF($D982="NO ENCONTRADO",IF(COUNTIF($C$7:$C$1000,$C982)&gt;1,"⚠️ No encontrado | Duplicado","⚠️ No encontrado"),IF(COUNTIF($C$7:$C$1000,$C982)&gt;1,"⚠️ Duplicado","Verificado")))</f>
        <v/>
      </c>
    </row>
    <row r="983" ht="15.75" customHeight="1" s="176">
      <c r="B983" s="80" t="n"/>
      <c r="C983" s="74" t="n"/>
      <c r="D983" s="74">
        <f t="array" ref="D983">IF($C983="","",IFNA(_xlfn.XLOOKUP($C983,Productos!$A:$A,Productos!$E:$E,IFNA(_xlfn.XLOOKUP(TEXT($C983,"0"),Productos!$A:$A,Productos!$E:$E,IFNA(_xlfn.XLOOKUP(IFERROR(VALUE($C983),""),Productos!$A:$A,Productos!$E:$E,_xlfn.XLOOKUP($C983,Productos!$E:$E,Productos!$E:$E,"NO ENCONTRADO")),"NO ENCONTRADO")),"NO ENCONTRADO")),"NO ENCONTRADO"))</f>
        <v/>
      </c>
      <c r="E983" s="74">
        <f t="array" ref="E983">IF(OR($D983="",$D983="NO ENCONTRADO"),"",_xlfn.XLOOKUP($D983,Productos!$E:$E,Productos!$H:$H,""))</f>
        <v/>
      </c>
      <c r="F983" s="74">
        <f t="array" ref="F983">IF(OR($D983="",$D983="NO ENCONTRADO"),"",_xlfn.XLOOKUP($D983,Productos!$E:$E,Productos!$I:$I,""))</f>
        <v/>
      </c>
      <c r="G983" s="74">
        <f t="array" ref="G983">IF(OR($D983="",$D983="NO ENCONTRADO"),"",_xlfn.XLOOKUP($D983,Productos!$E:$E,Productos!$J:$J,""))</f>
        <v/>
      </c>
      <c r="H983" s="74">
        <f t="array" ref="H983">IF(OR($D983="",$D983="NO ENCONTRADO"),"",_xlfn.XLOOKUP($D983,Productos!$E:$E,Productos!$K:$K,""))</f>
        <v/>
      </c>
      <c r="I983" s="74">
        <f t="array" ref="I983">IF(OR($D983="",$D983="NO ENCONTRADO"),"",_xlfn.XLOOKUP($D983,Productos!$E:$E,Productos!$F:$F,""))</f>
        <v/>
      </c>
      <c r="J983" s="74">
        <f>IF($C983="","",IF($D983="NO ENCONTRADO",IF(COUNTIF($C$7:$C$1000,$C983)&gt;1,"⚠️ No encontrado | Duplicado","⚠️ No encontrado"),IF(COUNTIF($C$7:$C$1000,$C983)&gt;1,"⚠️ Duplicado","Verificado")))</f>
        <v/>
      </c>
    </row>
    <row r="984" ht="15.75" customHeight="1" s="176">
      <c r="B984" s="80" t="n"/>
      <c r="C984" s="74" t="n"/>
      <c r="D984" s="74">
        <f t="array" ref="D984">IF($C984="","",IFNA(_xlfn.XLOOKUP($C984,Productos!$A:$A,Productos!$E:$E,IFNA(_xlfn.XLOOKUP(TEXT($C984,"0"),Productos!$A:$A,Productos!$E:$E,IFNA(_xlfn.XLOOKUP(IFERROR(VALUE($C984),""),Productos!$A:$A,Productos!$E:$E,_xlfn.XLOOKUP($C984,Productos!$E:$E,Productos!$E:$E,"NO ENCONTRADO")),"NO ENCONTRADO")),"NO ENCONTRADO")),"NO ENCONTRADO"))</f>
        <v/>
      </c>
      <c r="E984" s="74">
        <f t="array" ref="E984">IF(OR($D984="",$D984="NO ENCONTRADO"),"",_xlfn.XLOOKUP($D984,Productos!$E:$E,Productos!$H:$H,""))</f>
        <v/>
      </c>
      <c r="F984" s="74">
        <f t="array" ref="F984">IF(OR($D984="",$D984="NO ENCONTRADO"),"",_xlfn.XLOOKUP($D984,Productos!$E:$E,Productos!$I:$I,""))</f>
        <v/>
      </c>
      <c r="G984" s="74">
        <f t="array" ref="G984">IF(OR($D984="",$D984="NO ENCONTRADO"),"",_xlfn.XLOOKUP($D984,Productos!$E:$E,Productos!$J:$J,""))</f>
        <v/>
      </c>
      <c r="H984" s="74">
        <f t="array" ref="H984">IF(OR($D984="",$D984="NO ENCONTRADO"),"",_xlfn.XLOOKUP($D984,Productos!$E:$E,Productos!$K:$K,""))</f>
        <v/>
      </c>
      <c r="I984" s="74">
        <f t="array" ref="I984">IF(OR($D984="",$D984="NO ENCONTRADO"),"",_xlfn.XLOOKUP($D984,Productos!$E:$E,Productos!$F:$F,""))</f>
        <v/>
      </c>
      <c r="J984" s="74">
        <f>IF($C984="","",IF($D984="NO ENCONTRADO",IF(COUNTIF($C$7:$C$1000,$C984)&gt;1,"⚠️ No encontrado | Duplicado","⚠️ No encontrado"),IF(COUNTIF($C$7:$C$1000,$C984)&gt;1,"⚠️ Duplicado","Verificado")))</f>
        <v/>
      </c>
    </row>
    <row r="985" ht="15.75" customHeight="1" s="176">
      <c r="B985" s="80" t="n"/>
      <c r="C985" s="74" t="n"/>
      <c r="D985" s="74">
        <f t="array" ref="D985">IF($C985="","",IFNA(_xlfn.XLOOKUP($C985,Productos!$A:$A,Productos!$E:$E,IFNA(_xlfn.XLOOKUP(TEXT($C985,"0"),Productos!$A:$A,Productos!$E:$E,IFNA(_xlfn.XLOOKUP(IFERROR(VALUE($C985),""),Productos!$A:$A,Productos!$E:$E,_xlfn.XLOOKUP($C985,Productos!$E:$E,Productos!$E:$E,"NO ENCONTRADO")),"NO ENCONTRADO")),"NO ENCONTRADO")),"NO ENCONTRADO"))</f>
        <v/>
      </c>
      <c r="E985" s="74">
        <f t="array" ref="E985">IF(OR($D985="",$D985="NO ENCONTRADO"),"",_xlfn.XLOOKUP($D985,Productos!$E:$E,Productos!$H:$H,""))</f>
        <v/>
      </c>
      <c r="F985" s="74">
        <f t="array" ref="F985">IF(OR($D985="",$D985="NO ENCONTRADO"),"",_xlfn.XLOOKUP($D985,Productos!$E:$E,Productos!$I:$I,""))</f>
        <v/>
      </c>
      <c r="G985" s="74">
        <f t="array" ref="G985">IF(OR($D985="",$D985="NO ENCONTRADO"),"",_xlfn.XLOOKUP($D985,Productos!$E:$E,Productos!$J:$J,""))</f>
        <v/>
      </c>
      <c r="H985" s="74">
        <f t="array" ref="H985">IF(OR($D985="",$D985="NO ENCONTRADO"),"",_xlfn.XLOOKUP($D985,Productos!$E:$E,Productos!$K:$K,""))</f>
        <v/>
      </c>
      <c r="I985" s="74">
        <f t="array" ref="I985">IF(OR($D985="",$D985="NO ENCONTRADO"),"",_xlfn.XLOOKUP($D985,Productos!$E:$E,Productos!$F:$F,""))</f>
        <v/>
      </c>
      <c r="J985" s="74">
        <f>IF($C985="","",IF($D985="NO ENCONTRADO",IF(COUNTIF($C$7:$C$1000,$C985)&gt;1,"⚠️ No encontrado | Duplicado","⚠️ No encontrado"),IF(COUNTIF($C$7:$C$1000,$C985)&gt;1,"⚠️ Duplicado","Verificado")))</f>
        <v/>
      </c>
    </row>
    <row r="986" ht="15.75" customHeight="1" s="176">
      <c r="B986" s="80" t="n"/>
      <c r="C986" s="74" t="n"/>
      <c r="D986" s="74">
        <f t="array" ref="D986">IF($C986="","",IFNA(_xlfn.XLOOKUP($C986,Productos!$A:$A,Productos!$E:$E,IFNA(_xlfn.XLOOKUP(TEXT($C986,"0"),Productos!$A:$A,Productos!$E:$E,IFNA(_xlfn.XLOOKUP(IFERROR(VALUE($C986),""),Productos!$A:$A,Productos!$E:$E,_xlfn.XLOOKUP($C986,Productos!$E:$E,Productos!$E:$E,"NO ENCONTRADO")),"NO ENCONTRADO")),"NO ENCONTRADO")),"NO ENCONTRADO"))</f>
        <v/>
      </c>
      <c r="E986" s="74">
        <f t="array" ref="E986">IF(OR($D986="",$D986="NO ENCONTRADO"),"",_xlfn.XLOOKUP($D986,Productos!$E:$E,Productos!$H:$H,""))</f>
        <v/>
      </c>
      <c r="F986" s="74">
        <f t="array" ref="F986">IF(OR($D986="",$D986="NO ENCONTRADO"),"",_xlfn.XLOOKUP($D986,Productos!$E:$E,Productos!$I:$I,""))</f>
        <v/>
      </c>
      <c r="G986" s="74">
        <f t="array" ref="G986">IF(OR($D986="",$D986="NO ENCONTRADO"),"",_xlfn.XLOOKUP($D986,Productos!$E:$E,Productos!$J:$J,""))</f>
        <v/>
      </c>
      <c r="H986" s="74">
        <f t="array" ref="H986">IF(OR($D986="",$D986="NO ENCONTRADO"),"",_xlfn.XLOOKUP($D986,Productos!$E:$E,Productos!$K:$K,""))</f>
        <v/>
      </c>
      <c r="I986" s="74">
        <f t="array" ref="I986">IF(OR($D986="",$D986="NO ENCONTRADO"),"",_xlfn.XLOOKUP($D986,Productos!$E:$E,Productos!$F:$F,""))</f>
        <v/>
      </c>
      <c r="J986" s="74">
        <f>IF($C986="","",IF($D986="NO ENCONTRADO",IF(COUNTIF($C$7:$C$1000,$C986)&gt;1,"⚠️ No encontrado | Duplicado","⚠️ No encontrado"),IF(COUNTIF($C$7:$C$1000,$C986)&gt;1,"⚠️ Duplicado","Verificado")))</f>
        <v/>
      </c>
    </row>
    <row r="987" ht="15.75" customHeight="1" s="176">
      <c r="B987" s="80" t="n"/>
      <c r="C987" s="74" t="n"/>
      <c r="D987" s="74">
        <f t="array" ref="D987">IF($C987="","",IFNA(_xlfn.XLOOKUP($C987,Productos!$A:$A,Productos!$E:$E,IFNA(_xlfn.XLOOKUP(TEXT($C987,"0"),Productos!$A:$A,Productos!$E:$E,IFNA(_xlfn.XLOOKUP(IFERROR(VALUE($C987),""),Productos!$A:$A,Productos!$E:$E,_xlfn.XLOOKUP($C987,Productos!$E:$E,Productos!$E:$E,"NO ENCONTRADO")),"NO ENCONTRADO")),"NO ENCONTRADO")),"NO ENCONTRADO"))</f>
        <v/>
      </c>
      <c r="E987" s="74">
        <f t="array" ref="E987">IF(OR($D987="",$D987="NO ENCONTRADO"),"",_xlfn.XLOOKUP($D987,Productos!$E:$E,Productos!$H:$H,""))</f>
        <v/>
      </c>
      <c r="F987" s="74">
        <f t="array" ref="F987">IF(OR($D987="",$D987="NO ENCONTRADO"),"",_xlfn.XLOOKUP($D987,Productos!$E:$E,Productos!$I:$I,""))</f>
        <v/>
      </c>
      <c r="G987" s="74">
        <f t="array" ref="G987">IF(OR($D987="",$D987="NO ENCONTRADO"),"",_xlfn.XLOOKUP($D987,Productos!$E:$E,Productos!$J:$J,""))</f>
        <v/>
      </c>
      <c r="H987" s="74">
        <f t="array" ref="H987">IF(OR($D987="",$D987="NO ENCONTRADO"),"",_xlfn.XLOOKUP($D987,Productos!$E:$E,Productos!$K:$K,""))</f>
        <v/>
      </c>
      <c r="I987" s="74">
        <f t="array" ref="I987">IF(OR($D987="",$D987="NO ENCONTRADO"),"",_xlfn.XLOOKUP($D987,Productos!$E:$E,Productos!$F:$F,""))</f>
        <v/>
      </c>
      <c r="J987" s="74">
        <f>IF($C987="","",IF($D987="NO ENCONTRADO",IF(COUNTIF($C$7:$C$1000,$C987)&gt;1,"⚠️ No encontrado | Duplicado","⚠️ No encontrado"),IF(COUNTIF($C$7:$C$1000,$C987)&gt;1,"⚠️ Duplicado","Verificado")))</f>
        <v/>
      </c>
    </row>
    <row r="988" ht="15.75" customHeight="1" s="176">
      <c r="B988" s="80" t="n"/>
      <c r="C988" s="74" t="n"/>
      <c r="D988" s="74">
        <f t="array" ref="D988">IF($C988="","",IFNA(_xlfn.XLOOKUP($C988,Productos!$A:$A,Productos!$E:$E,IFNA(_xlfn.XLOOKUP(TEXT($C988,"0"),Productos!$A:$A,Productos!$E:$E,IFNA(_xlfn.XLOOKUP(IFERROR(VALUE($C988),""),Productos!$A:$A,Productos!$E:$E,_xlfn.XLOOKUP($C988,Productos!$E:$E,Productos!$E:$E,"NO ENCONTRADO")),"NO ENCONTRADO")),"NO ENCONTRADO")),"NO ENCONTRADO"))</f>
        <v/>
      </c>
      <c r="E988" s="74">
        <f t="array" ref="E988">IF(OR($D988="",$D988="NO ENCONTRADO"),"",_xlfn.XLOOKUP($D988,Productos!$E:$E,Productos!$H:$H,""))</f>
        <v/>
      </c>
      <c r="F988" s="74">
        <f t="array" ref="F988">IF(OR($D988="",$D988="NO ENCONTRADO"),"",_xlfn.XLOOKUP($D988,Productos!$E:$E,Productos!$I:$I,""))</f>
        <v/>
      </c>
      <c r="G988" s="74">
        <f t="array" ref="G988">IF(OR($D988="",$D988="NO ENCONTRADO"),"",_xlfn.XLOOKUP($D988,Productos!$E:$E,Productos!$J:$J,""))</f>
        <v/>
      </c>
      <c r="H988" s="74">
        <f t="array" ref="H988">IF(OR($D988="",$D988="NO ENCONTRADO"),"",_xlfn.XLOOKUP($D988,Productos!$E:$E,Productos!$K:$K,""))</f>
        <v/>
      </c>
      <c r="I988" s="74">
        <f t="array" ref="I988">IF(OR($D988="",$D988="NO ENCONTRADO"),"",_xlfn.XLOOKUP($D988,Productos!$E:$E,Productos!$F:$F,""))</f>
        <v/>
      </c>
      <c r="J988" s="74">
        <f>IF($C988="","",IF($D988="NO ENCONTRADO",IF(COUNTIF($C$7:$C$1000,$C988)&gt;1,"⚠️ No encontrado | Duplicado","⚠️ No encontrado"),IF(COUNTIF($C$7:$C$1000,$C988)&gt;1,"⚠️ Duplicado","Verificado")))</f>
        <v/>
      </c>
    </row>
    <row r="989" ht="15.75" customHeight="1" s="176">
      <c r="B989" s="80" t="n"/>
      <c r="C989" s="74" t="n"/>
      <c r="D989" s="74">
        <f t="array" ref="D989">IF($C989="","",IFNA(_xlfn.XLOOKUP($C989,Productos!$A:$A,Productos!$E:$E,IFNA(_xlfn.XLOOKUP(TEXT($C989,"0"),Productos!$A:$A,Productos!$E:$E,IFNA(_xlfn.XLOOKUP(IFERROR(VALUE($C989),""),Productos!$A:$A,Productos!$E:$E,_xlfn.XLOOKUP($C989,Productos!$E:$E,Productos!$E:$E,"NO ENCONTRADO")),"NO ENCONTRADO")),"NO ENCONTRADO")),"NO ENCONTRADO"))</f>
        <v/>
      </c>
      <c r="E989" s="74">
        <f t="array" ref="E989">IF(OR($D989="",$D989="NO ENCONTRADO"),"",_xlfn.XLOOKUP($D989,Productos!$E:$E,Productos!$H:$H,""))</f>
        <v/>
      </c>
      <c r="F989" s="74">
        <f t="array" ref="F989">IF(OR($D989="",$D989="NO ENCONTRADO"),"",_xlfn.XLOOKUP($D989,Productos!$E:$E,Productos!$I:$I,""))</f>
        <v/>
      </c>
      <c r="G989" s="74">
        <f t="array" ref="G989">IF(OR($D989="",$D989="NO ENCONTRADO"),"",_xlfn.XLOOKUP($D989,Productos!$E:$E,Productos!$J:$J,""))</f>
        <v/>
      </c>
      <c r="H989" s="74">
        <f t="array" ref="H989">IF(OR($D989="",$D989="NO ENCONTRADO"),"",_xlfn.XLOOKUP($D989,Productos!$E:$E,Productos!$K:$K,""))</f>
        <v/>
      </c>
      <c r="I989" s="74">
        <f t="array" ref="I989">IF(OR($D989="",$D989="NO ENCONTRADO"),"",_xlfn.XLOOKUP($D989,Productos!$E:$E,Productos!$F:$F,""))</f>
        <v/>
      </c>
      <c r="J989" s="74">
        <f>IF($C989="","",IF($D989="NO ENCONTRADO",IF(COUNTIF($C$7:$C$1000,$C989)&gt;1,"⚠️ No encontrado | Duplicado","⚠️ No encontrado"),IF(COUNTIF($C$7:$C$1000,$C989)&gt;1,"⚠️ Duplicado","Verificado")))</f>
        <v/>
      </c>
    </row>
    <row r="990" ht="15.75" customHeight="1" s="176">
      <c r="B990" s="80" t="n"/>
      <c r="C990" s="74" t="n"/>
      <c r="D990" s="74">
        <f t="array" ref="D990">IF($C990="","",IFNA(_xlfn.XLOOKUP($C990,Productos!$A:$A,Productos!$E:$E,IFNA(_xlfn.XLOOKUP(TEXT($C990,"0"),Productos!$A:$A,Productos!$E:$E,IFNA(_xlfn.XLOOKUP(IFERROR(VALUE($C990),""),Productos!$A:$A,Productos!$E:$E,_xlfn.XLOOKUP($C990,Productos!$E:$E,Productos!$E:$E,"NO ENCONTRADO")),"NO ENCONTRADO")),"NO ENCONTRADO")),"NO ENCONTRADO"))</f>
        <v/>
      </c>
      <c r="E990" s="74">
        <f t="array" ref="E990">IF(OR($D990="",$D990="NO ENCONTRADO"),"",_xlfn.XLOOKUP($D990,Productos!$E:$E,Productos!$H:$H,""))</f>
        <v/>
      </c>
      <c r="F990" s="74">
        <f t="array" ref="F990">IF(OR($D990="",$D990="NO ENCONTRADO"),"",_xlfn.XLOOKUP($D990,Productos!$E:$E,Productos!$I:$I,""))</f>
        <v/>
      </c>
      <c r="G990" s="74">
        <f t="array" ref="G990">IF(OR($D990="",$D990="NO ENCONTRADO"),"",_xlfn.XLOOKUP($D990,Productos!$E:$E,Productos!$J:$J,""))</f>
        <v/>
      </c>
      <c r="H990" s="74">
        <f t="array" ref="H990">IF(OR($D990="",$D990="NO ENCONTRADO"),"",_xlfn.XLOOKUP($D990,Productos!$E:$E,Productos!$K:$K,""))</f>
        <v/>
      </c>
      <c r="I990" s="74">
        <f t="array" ref="I990">IF(OR($D990="",$D990="NO ENCONTRADO"),"",_xlfn.XLOOKUP($D990,Productos!$E:$E,Productos!$F:$F,""))</f>
        <v/>
      </c>
      <c r="J990" s="74">
        <f>IF($C990="","",IF($D990="NO ENCONTRADO",IF(COUNTIF($C$7:$C$1000,$C990)&gt;1,"⚠️ No encontrado | Duplicado","⚠️ No encontrado"),IF(COUNTIF($C$7:$C$1000,$C990)&gt;1,"⚠️ Duplicado","Verificado")))</f>
        <v/>
      </c>
    </row>
    <row r="991" ht="15.75" customHeight="1" s="176">
      <c r="B991" s="80" t="n"/>
      <c r="C991" s="74" t="n"/>
      <c r="D991" s="74">
        <f t="array" ref="D991">IF($C991="","",IFNA(_xlfn.XLOOKUP($C991,Productos!$A:$A,Productos!$E:$E,IFNA(_xlfn.XLOOKUP(TEXT($C991,"0"),Productos!$A:$A,Productos!$E:$E,IFNA(_xlfn.XLOOKUP(IFERROR(VALUE($C991),""),Productos!$A:$A,Productos!$E:$E,_xlfn.XLOOKUP($C991,Productos!$E:$E,Productos!$E:$E,"NO ENCONTRADO")),"NO ENCONTRADO")),"NO ENCONTRADO")),"NO ENCONTRADO"))</f>
        <v/>
      </c>
      <c r="E991" s="74">
        <f t="array" ref="E991">IF(OR($D991="",$D991="NO ENCONTRADO"),"",_xlfn.XLOOKUP($D991,Productos!$E:$E,Productos!$H:$H,""))</f>
        <v/>
      </c>
      <c r="F991" s="74">
        <f t="array" ref="F991">IF(OR($D991="",$D991="NO ENCONTRADO"),"",_xlfn.XLOOKUP($D991,Productos!$E:$E,Productos!$I:$I,""))</f>
        <v/>
      </c>
      <c r="G991" s="74">
        <f t="array" ref="G991">IF(OR($D991="",$D991="NO ENCONTRADO"),"",_xlfn.XLOOKUP($D991,Productos!$E:$E,Productos!$J:$J,""))</f>
        <v/>
      </c>
      <c r="H991" s="74">
        <f t="array" ref="H991">IF(OR($D991="",$D991="NO ENCONTRADO"),"",_xlfn.XLOOKUP($D991,Productos!$E:$E,Productos!$K:$K,""))</f>
        <v/>
      </c>
      <c r="I991" s="74">
        <f t="array" ref="I991">IF(OR($D991="",$D991="NO ENCONTRADO"),"",_xlfn.XLOOKUP($D991,Productos!$E:$E,Productos!$F:$F,""))</f>
        <v/>
      </c>
      <c r="J991" s="74">
        <f>IF($C991="","",IF($D991="NO ENCONTRADO",IF(COUNTIF($C$7:$C$1000,$C991)&gt;1,"⚠️ No encontrado | Duplicado","⚠️ No encontrado"),IF(COUNTIF($C$7:$C$1000,$C991)&gt;1,"⚠️ Duplicado","Verificado")))</f>
        <v/>
      </c>
    </row>
    <row r="992" ht="15.75" customHeight="1" s="176">
      <c r="B992" s="80" t="n"/>
      <c r="C992" s="74" t="n"/>
      <c r="D992" s="74">
        <f t="array" ref="D992">IF($C992="","",IFNA(_xlfn.XLOOKUP($C992,Productos!$A:$A,Productos!$E:$E,IFNA(_xlfn.XLOOKUP(TEXT($C992,"0"),Productos!$A:$A,Productos!$E:$E,IFNA(_xlfn.XLOOKUP(IFERROR(VALUE($C992),""),Productos!$A:$A,Productos!$E:$E,_xlfn.XLOOKUP($C992,Productos!$E:$E,Productos!$E:$E,"NO ENCONTRADO")),"NO ENCONTRADO")),"NO ENCONTRADO")),"NO ENCONTRADO"))</f>
        <v/>
      </c>
      <c r="E992" s="74">
        <f t="array" ref="E992">IF(OR($D992="",$D992="NO ENCONTRADO"),"",_xlfn.XLOOKUP($D992,Productos!$E:$E,Productos!$H:$H,""))</f>
        <v/>
      </c>
      <c r="F992" s="74">
        <f t="array" ref="F992">IF(OR($D992="",$D992="NO ENCONTRADO"),"",_xlfn.XLOOKUP($D992,Productos!$E:$E,Productos!$I:$I,""))</f>
        <v/>
      </c>
      <c r="G992" s="74">
        <f t="array" ref="G992">IF(OR($D992="",$D992="NO ENCONTRADO"),"",_xlfn.XLOOKUP($D992,Productos!$E:$E,Productos!$J:$J,""))</f>
        <v/>
      </c>
      <c r="H992" s="74">
        <f t="array" ref="H992">IF(OR($D992="",$D992="NO ENCONTRADO"),"",_xlfn.XLOOKUP($D992,Productos!$E:$E,Productos!$K:$K,""))</f>
        <v/>
      </c>
      <c r="I992" s="74">
        <f t="array" ref="I992">IF(OR($D992="",$D992="NO ENCONTRADO"),"",_xlfn.XLOOKUP($D992,Productos!$E:$E,Productos!$F:$F,""))</f>
        <v/>
      </c>
      <c r="J992" s="74">
        <f>IF($C992="","",IF($D992="NO ENCONTRADO",IF(COUNTIF($C$7:$C$1000,$C992)&gt;1,"⚠️ No encontrado | Duplicado","⚠️ No encontrado"),IF(COUNTIF($C$7:$C$1000,$C992)&gt;1,"⚠️ Duplicado","Verificado")))</f>
        <v/>
      </c>
    </row>
    <row r="993" ht="15.75" customHeight="1" s="176">
      <c r="B993" s="80" t="n"/>
      <c r="C993" s="74" t="n"/>
      <c r="D993" s="74">
        <f t="array" ref="D993">IF($C993="","",IFNA(_xlfn.XLOOKUP($C993,Productos!$A:$A,Productos!$E:$E,IFNA(_xlfn.XLOOKUP(TEXT($C993,"0"),Productos!$A:$A,Productos!$E:$E,IFNA(_xlfn.XLOOKUP(IFERROR(VALUE($C993),""),Productos!$A:$A,Productos!$E:$E,_xlfn.XLOOKUP($C993,Productos!$E:$E,Productos!$E:$E,"NO ENCONTRADO")),"NO ENCONTRADO")),"NO ENCONTRADO")),"NO ENCONTRADO"))</f>
        <v/>
      </c>
      <c r="E993" s="74">
        <f t="array" ref="E993">IF(OR($D993="",$D993="NO ENCONTRADO"),"",_xlfn.XLOOKUP($D993,Productos!$E:$E,Productos!$H:$H,""))</f>
        <v/>
      </c>
      <c r="F993" s="74">
        <f t="array" ref="F993">IF(OR($D993="",$D993="NO ENCONTRADO"),"",_xlfn.XLOOKUP($D993,Productos!$E:$E,Productos!$I:$I,""))</f>
        <v/>
      </c>
      <c r="G993" s="74">
        <f t="array" ref="G993">IF(OR($D993="",$D993="NO ENCONTRADO"),"",_xlfn.XLOOKUP($D993,Productos!$E:$E,Productos!$J:$J,""))</f>
        <v/>
      </c>
      <c r="H993" s="74">
        <f t="array" ref="H993">IF(OR($D993="",$D993="NO ENCONTRADO"),"",_xlfn.XLOOKUP($D993,Productos!$E:$E,Productos!$K:$K,""))</f>
        <v/>
      </c>
      <c r="I993" s="74">
        <f t="array" ref="I993">IF(OR($D993="",$D993="NO ENCONTRADO"),"",_xlfn.XLOOKUP($D993,Productos!$E:$E,Productos!$F:$F,""))</f>
        <v/>
      </c>
      <c r="J993" s="74">
        <f>IF($C993="","",IF($D993="NO ENCONTRADO",IF(COUNTIF($C$7:$C$1000,$C993)&gt;1,"⚠️ No encontrado | Duplicado","⚠️ No encontrado"),IF(COUNTIF($C$7:$C$1000,$C993)&gt;1,"⚠️ Duplicado","Verificado")))</f>
        <v/>
      </c>
    </row>
    <row r="994" ht="15.75" customHeight="1" s="176">
      <c r="B994" s="80" t="n"/>
      <c r="C994" s="74" t="n"/>
      <c r="D994" s="74">
        <f t="array" ref="D994">IF($C994="","",IFNA(_xlfn.XLOOKUP($C994,Productos!$A:$A,Productos!$E:$E,IFNA(_xlfn.XLOOKUP(TEXT($C994,"0"),Productos!$A:$A,Productos!$E:$E,IFNA(_xlfn.XLOOKUP(IFERROR(VALUE($C994),""),Productos!$A:$A,Productos!$E:$E,_xlfn.XLOOKUP($C994,Productos!$E:$E,Productos!$E:$E,"NO ENCONTRADO")),"NO ENCONTRADO")),"NO ENCONTRADO")),"NO ENCONTRADO"))</f>
        <v/>
      </c>
      <c r="E994" s="74">
        <f t="array" ref="E994">IF(OR($D994="",$D994="NO ENCONTRADO"),"",_xlfn.XLOOKUP($D994,Productos!$E:$E,Productos!$H:$H,""))</f>
        <v/>
      </c>
      <c r="F994" s="74">
        <f t="array" ref="F994">IF(OR($D994="",$D994="NO ENCONTRADO"),"",_xlfn.XLOOKUP($D994,Productos!$E:$E,Productos!$I:$I,""))</f>
        <v/>
      </c>
      <c r="G994" s="74">
        <f t="array" ref="G994">IF(OR($D994="",$D994="NO ENCONTRADO"),"",_xlfn.XLOOKUP($D994,Productos!$E:$E,Productos!$J:$J,""))</f>
        <v/>
      </c>
      <c r="H994" s="74">
        <f t="array" ref="H994">IF(OR($D994="",$D994="NO ENCONTRADO"),"",_xlfn.XLOOKUP($D994,Productos!$E:$E,Productos!$K:$K,""))</f>
        <v/>
      </c>
      <c r="I994" s="74">
        <f t="array" ref="I994">IF(OR($D994="",$D994="NO ENCONTRADO"),"",_xlfn.XLOOKUP($D994,Productos!$E:$E,Productos!$F:$F,""))</f>
        <v/>
      </c>
      <c r="J994" s="74">
        <f>IF($C994="","",IF($D994="NO ENCONTRADO",IF(COUNTIF($C$7:$C$1000,$C994)&gt;1,"⚠️ No encontrado | Duplicado","⚠️ No encontrado"),IF(COUNTIF($C$7:$C$1000,$C994)&gt;1,"⚠️ Duplicado","Verificado")))</f>
        <v/>
      </c>
    </row>
    <row r="995" ht="15.75" customHeight="1" s="176">
      <c r="B995" s="80" t="n"/>
      <c r="C995" s="74" t="n"/>
      <c r="D995" s="74">
        <f t="array" ref="D995">IF($C995="","",IFNA(_xlfn.XLOOKUP($C995,Productos!$A:$A,Productos!$E:$E,IFNA(_xlfn.XLOOKUP(TEXT($C995,"0"),Productos!$A:$A,Productos!$E:$E,IFNA(_xlfn.XLOOKUP(IFERROR(VALUE($C995),""),Productos!$A:$A,Productos!$E:$E,_xlfn.XLOOKUP($C995,Productos!$E:$E,Productos!$E:$E,"NO ENCONTRADO")),"NO ENCONTRADO")),"NO ENCONTRADO")),"NO ENCONTRADO"))</f>
        <v/>
      </c>
      <c r="E995" s="74">
        <f t="array" ref="E995">IF(OR($D995="",$D995="NO ENCONTRADO"),"",_xlfn.XLOOKUP($D995,Productos!$E:$E,Productos!$H:$H,""))</f>
        <v/>
      </c>
      <c r="F995" s="74">
        <f t="array" ref="F995">IF(OR($D995="",$D995="NO ENCONTRADO"),"",_xlfn.XLOOKUP($D995,Productos!$E:$E,Productos!$I:$I,""))</f>
        <v/>
      </c>
      <c r="G995" s="74">
        <f t="array" ref="G995">IF(OR($D995="",$D995="NO ENCONTRADO"),"",_xlfn.XLOOKUP($D995,Productos!$E:$E,Productos!$J:$J,""))</f>
        <v/>
      </c>
      <c r="H995" s="74">
        <f t="array" ref="H995">IF(OR($D995="",$D995="NO ENCONTRADO"),"",_xlfn.XLOOKUP($D995,Productos!$E:$E,Productos!$K:$K,""))</f>
        <v/>
      </c>
      <c r="I995" s="74">
        <f t="array" ref="I995">IF(OR($D995="",$D995="NO ENCONTRADO"),"",_xlfn.XLOOKUP($D995,Productos!$E:$E,Productos!$F:$F,""))</f>
        <v/>
      </c>
      <c r="J995" s="74">
        <f>IF($C995="","",IF($D995="NO ENCONTRADO",IF(COUNTIF($C$7:$C$1000,$C995)&gt;1,"⚠️ No encontrado | Duplicado","⚠️ No encontrado"),IF(COUNTIF($C$7:$C$1000,$C995)&gt;1,"⚠️ Duplicado","Verificado")))</f>
        <v/>
      </c>
    </row>
    <row r="996" ht="15.75" customHeight="1" s="176">
      <c r="B996" s="80" t="n"/>
      <c r="C996" s="74" t="n"/>
      <c r="D996" s="74">
        <f t="array" ref="D996">IF($C996="","",IFNA(_xlfn.XLOOKUP($C996,Productos!$A:$A,Productos!$E:$E,IFNA(_xlfn.XLOOKUP(TEXT($C996,"0"),Productos!$A:$A,Productos!$E:$E,IFNA(_xlfn.XLOOKUP(IFERROR(VALUE($C996),""),Productos!$A:$A,Productos!$E:$E,_xlfn.XLOOKUP($C996,Productos!$E:$E,Productos!$E:$E,"NO ENCONTRADO")),"NO ENCONTRADO")),"NO ENCONTRADO")),"NO ENCONTRADO"))</f>
        <v/>
      </c>
      <c r="E996" s="74">
        <f t="array" ref="E996">IF(OR($D996="",$D996="NO ENCONTRADO"),"",_xlfn.XLOOKUP($D996,Productos!$E:$E,Productos!$H:$H,""))</f>
        <v/>
      </c>
      <c r="F996" s="74">
        <f t="array" ref="F996">IF(OR($D996="",$D996="NO ENCONTRADO"),"",_xlfn.XLOOKUP($D996,Productos!$E:$E,Productos!$I:$I,""))</f>
        <v/>
      </c>
      <c r="G996" s="74">
        <f t="array" ref="G996">IF(OR($D996="",$D996="NO ENCONTRADO"),"",_xlfn.XLOOKUP($D996,Productos!$E:$E,Productos!$J:$J,""))</f>
        <v/>
      </c>
      <c r="H996" s="74">
        <f t="array" ref="H996">IF(OR($D996="",$D996="NO ENCONTRADO"),"",_xlfn.XLOOKUP($D996,Productos!$E:$E,Productos!$K:$K,""))</f>
        <v/>
      </c>
      <c r="I996" s="74">
        <f t="array" ref="I996">IF(OR($D996="",$D996="NO ENCONTRADO"),"",_xlfn.XLOOKUP($D996,Productos!$E:$E,Productos!$F:$F,""))</f>
        <v/>
      </c>
      <c r="J996" s="74">
        <f>IF($C996="","",IF($D996="NO ENCONTRADO",IF(COUNTIF($C$7:$C$1000,$C996)&gt;1,"⚠️ No encontrado | Duplicado","⚠️ No encontrado"),IF(COUNTIF($C$7:$C$1000,$C996)&gt;1,"⚠️ Duplicado","Verificado")))</f>
        <v/>
      </c>
    </row>
    <row r="997" ht="15.75" customHeight="1" s="176">
      <c r="B997" s="80" t="n"/>
      <c r="C997" s="74" t="n"/>
      <c r="D997" s="74">
        <f t="array" ref="D997">IF($C997="","",IFNA(_xlfn.XLOOKUP($C997,Productos!$A:$A,Productos!$E:$E,IFNA(_xlfn.XLOOKUP(TEXT($C997,"0"),Productos!$A:$A,Productos!$E:$E,IFNA(_xlfn.XLOOKUP(IFERROR(VALUE($C997),""),Productos!$A:$A,Productos!$E:$E,_xlfn.XLOOKUP($C997,Productos!$E:$E,Productos!$E:$E,"NO ENCONTRADO")),"NO ENCONTRADO")),"NO ENCONTRADO")),"NO ENCONTRADO"))</f>
        <v/>
      </c>
      <c r="E997" s="74">
        <f t="array" ref="E997">IF(OR($D997="",$D997="NO ENCONTRADO"),"",_xlfn.XLOOKUP($D997,Productos!$E:$E,Productos!$H:$H,""))</f>
        <v/>
      </c>
      <c r="F997" s="74">
        <f t="array" ref="F997">IF(OR($D997="",$D997="NO ENCONTRADO"),"",_xlfn.XLOOKUP($D997,Productos!$E:$E,Productos!$I:$I,""))</f>
        <v/>
      </c>
      <c r="G997" s="74">
        <f t="array" ref="G997">IF(OR($D997="",$D997="NO ENCONTRADO"),"",_xlfn.XLOOKUP($D997,Productos!$E:$E,Productos!$J:$J,""))</f>
        <v/>
      </c>
      <c r="H997" s="74">
        <f t="array" ref="H997">IF(OR($D997="",$D997="NO ENCONTRADO"),"",_xlfn.XLOOKUP($D997,Productos!$E:$E,Productos!$K:$K,""))</f>
        <v/>
      </c>
      <c r="I997" s="74">
        <f t="array" ref="I997">IF(OR($D997="",$D997="NO ENCONTRADO"),"",_xlfn.XLOOKUP($D997,Productos!$E:$E,Productos!$F:$F,""))</f>
        <v/>
      </c>
      <c r="J997" s="74">
        <f>IF($C997="","",IF($D997="NO ENCONTRADO",IF(COUNTIF($C$7:$C$1000,$C997)&gt;1,"⚠️ No encontrado | Duplicado","⚠️ No encontrado"),IF(COUNTIF($C$7:$C$1000,$C997)&gt;1,"⚠️ Duplicado","Verificado")))</f>
        <v/>
      </c>
    </row>
    <row r="998" ht="15.75" customHeight="1" s="176">
      <c r="B998" s="80" t="n"/>
      <c r="C998" s="74" t="n"/>
      <c r="D998" s="74">
        <f t="array" ref="D998">IF($C998="","",IFNA(_xlfn.XLOOKUP($C998,Productos!$A:$A,Productos!$E:$E,IFNA(_xlfn.XLOOKUP(TEXT($C998,"0"),Productos!$A:$A,Productos!$E:$E,IFNA(_xlfn.XLOOKUP(IFERROR(VALUE($C998),""),Productos!$A:$A,Productos!$E:$E,_xlfn.XLOOKUP($C998,Productos!$E:$E,Productos!$E:$E,"NO ENCONTRADO")),"NO ENCONTRADO")),"NO ENCONTRADO")),"NO ENCONTRADO"))</f>
        <v/>
      </c>
      <c r="E998" s="74">
        <f t="array" ref="E998">IF(OR($D998="",$D998="NO ENCONTRADO"),"",_xlfn.XLOOKUP($D998,Productos!$E:$E,Productos!$H:$H,""))</f>
        <v/>
      </c>
      <c r="F998" s="74">
        <f t="array" ref="F998">IF(OR($D998="",$D998="NO ENCONTRADO"),"",_xlfn.XLOOKUP($D998,Productos!$E:$E,Productos!$I:$I,""))</f>
        <v/>
      </c>
      <c r="G998" s="74">
        <f t="array" ref="G998">IF(OR($D998="",$D998="NO ENCONTRADO"),"",_xlfn.XLOOKUP($D998,Productos!$E:$E,Productos!$J:$J,""))</f>
        <v/>
      </c>
      <c r="H998" s="74">
        <f t="array" ref="H998">IF(OR($D998="",$D998="NO ENCONTRADO"),"",_xlfn.XLOOKUP($D998,Productos!$E:$E,Productos!$K:$K,""))</f>
        <v/>
      </c>
      <c r="I998" s="74">
        <f t="array" ref="I998">IF(OR($D998="",$D998="NO ENCONTRADO"),"",_xlfn.XLOOKUP($D998,Productos!$E:$E,Productos!$F:$F,""))</f>
        <v/>
      </c>
      <c r="J998" s="74">
        <f>IF($C998="","",IF($D998="NO ENCONTRADO",IF(COUNTIF($C$7:$C$1000,$C998)&gt;1,"⚠️ No encontrado | Duplicado","⚠️ No encontrado"),IF(COUNTIF($C$7:$C$1000,$C998)&gt;1,"⚠️ Duplicado","Verificado")))</f>
        <v/>
      </c>
    </row>
    <row r="999" ht="15.75" customHeight="1" s="176">
      <c r="B999" s="80" t="n"/>
      <c r="C999" s="74" t="n"/>
      <c r="D999" s="74">
        <f t="array" ref="D999">IF($C999="","",IFNA(_xlfn.XLOOKUP($C999,Productos!$A:$A,Productos!$E:$E,IFNA(_xlfn.XLOOKUP(TEXT($C999,"0"),Productos!$A:$A,Productos!$E:$E,IFNA(_xlfn.XLOOKUP(IFERROR(VALUE($C999),""),Productos!$A:$A,Productos!$E:$E,_xlfn.XLOOKUP($C999,Productos!$E:$E,Productos!$E:$E,"NO ENCONTRADO")),"NO ENCONTRADO")),"NO ENCONTRADO")),"NO ENCONTRADO"))</f>
        <v/>
      </c>
      <c r="E999" s="74">
        <f t="array" ref="E999">IF(OR($D999="",$D999="NO ENCONTRADO"),"",_xlfn.XLOOKUP($D999,Productos!$E:$E,Productos!$H:$H,""))</f>
        <v/>
      </c>
      <c r="F999" s="74">
        <f t="array" ref="F999">IF(OR($D999="",$D999="NO ENCONTRADO"),"",_xlfn.XLOOKUP($D999,Productos!$E:$E,Productos!$I:$I,""))</f>
        <v/>
      </c>
      <c r="G999" s="74">
        <f t="array" ref="G999">IF(OR($D999="",$D999="NO ENCONTRADO"),"",_xlfn.XLOOKUP($D999,Productos!$E:$E,Productos!$J:$J,""))</f>
        <v/>
      </c>
      <c r="H999" s="74">
        <f t="array" ref="H999">IF(OR($D999="",$D999="NO ENCONTRADO"),"",_xlfn.XLOOKUP($D999,Productos!$E:$E,Productos!$K:$K,""))</f>
        <v/>
      </c>
      <c r="I999" s="74">
        <f t="array" ref="I999">IF(OR($D999="",$D999="NO ENCONTRADO"),"",_xlfn.XLOOKUP($D999,Productos!$E:$E,Productos!$F:$F,""))</f>
        <v/>
      </c>
      <c r="J999" s="74">
        <f>IF($C999="","",IF($D999="NO ENCONTRADO",IF(COUNTIF($C$7:$C$1000,$C999)&gt;1,"⚠️ No encontrado | Duplicado","⚠️ No encontrado"),IF(COUNTIF($C$7:$C$1000,$C999)&gt;1,"⚠️ Duplicado","Verificado")))</f>
        <v/>
      </c>
    </row>
    <row r="1000" ht="15.75" customHeight="1" s="176">
      <c r="B1000" s="80" t="n"/>
      <c r="C1000" s="74" t="n"/>
      <c r="D1000" s="74">
        <f t="array" ref="D1000">IF($C1000="","",IFNA(_xlfn.XLOOKUP($C1000,Productos!$A:$A,Productos!$E:$E,IFNA(_xlfn.XLOOKUP(TEXT($C1000,"0"),Productos!$A:$A,Productos!$E:$E,IFNA(_xlfn.XLOOKUP(IFERROR(VALUE($C1000),""),Productos!$A:$A,Productos!$E:$E,_xlfn.XLOOKUP($C1000,Productos!$E:$E,Productos!$E:$E,"NO ENCONTRADO")),"NO ENCONTRADO")),"NO ENCONTRADO")),"NO ENCONTRADO"))</f>
        <v/>
      </c>
      <c r="E1000" s="74">
        <f t="array" ref="E1000">IF(OR($D1000="",$D1000="NO ENCONTRADO"),"",_xlfn.XLOOKUP($D1000,Productos!$E:$E,Productos!$H:$H,""))</f>
        <v/>
      </c>
      <c r="F1000" s="74">
        <f t="array" ref="F1000">IF(OR($D1000="",$D1000="NO ENCONTRADO"),"",_xlfn.XLOOKUP($D1000,Productos!$E:$E,Productos!$I:$I,""))</f>
        <v/>
      </c>
      <c r="G1000" s="74">
        <f t="array" ref="G1000">IF(OR($D1000="",$D1000="NO ENCONTRADO"),"",_xlfn.XLOOKUP($D1000,Productos!$E:$E,Productos!$J:$J,""))</f>
        <v/>
      </c>
      <c r="H1000" s="74">
        <f t="array" ref="H1000">IF(OR($D1000="",$D1000="NO ENCONTRADO"),"",_xlfn.XLOOKUP($D1000,Productos!$E:$E,Productos!$K:$K,""))</f>
        <v/>
      </c>
      <c r="I1000" s="74">
        <f t="array" ref="I1000">IF(OR($D1000="",$D1000="NO ENCONTRADO"),"",_xlfn.XLOOKUP($D1000,Productos!$E:$E,Productos!$F:$F,""))</f>
        <v/>
      </c>
      <c r="J1000" s="74">
        <f>IF($C1000="","",IF($D1000="NO ENCONTRADO",IF(COUNTIF($C$7:$C$1000,$C1000)&gt;1,"⚠️ No encontrado | Duplicado","⚠️ No encontrado"),IF(COUNTIF($C$7:$C$1000,$C1000)&gt;1,"⚠️ Duplicado","Verificado")))</f>
        <v/>
      </c>
    </row>
  </sheetData>
  <mergeCells count="13">
    <mergeCell ref="A4:B4"/>
    <mergeCell ref="A1:J1"/>
    <mergeCell ref="E4:F4"/>
    <mergeCell ref="A2:B2"/>
    <mergeCell ref="H2:I2"/>
    <mergeCell ref="C2:D2"/>
    <mergeCell ref="E2:F2"/>
    <mergeCell ref="C4:D4"/>
    <mergeCell ref="H4:I4"/>
    <mergeCell ref="C3:D3"/>
    <mergeCell ref="A3:B3"/>
    <mergeCell ref="E3:F3"/>
    <mergeCell ref="H3:I3"/>
  </mergeCells>
  <conditionalFormatting sqref="C7:J1000">
    <cfRule type="expression" priority="1" dxfId="5" stopIfTrue="1">
      <formula>AND($C7&lt;&gt;"", ISNUMBER(SEARCH("⚠️", $J7)))</formula>
    </cfRule>
  </conditionalFormatting>
  <conditionalFormatting sqref="J7:J1000">
    <cfRule type="cellIs" priority="2" operator="equal" dxfId="8" stopIfTrue="1">
      <formula>"Verificado"</formula>
    </cfRule>
  </conditionalFormatting>
  <conditionalFormatting sqref="I7:I25">
    <cfRule type="cellIs" priority="3" operator="equal" dxfId="8" stopIfTrue="1">
      <formula>"Verificado"</formula>
    </cfRule>
    <cfRule type="cellIs" priority="4" operator="equal" dxfId="5" stopIfTrue="1">
      <formula>"Con Discrepancia"</formula>
    </cfRule>
    <cfRule type="cellIs" priority="5" operator="equal" dxfId="15" stopIfTrue="1">
      <formula>"Pendiente"</formula>
    </cfRule>
  </conditionalFormatting>
  <dataValidations count="4">
    <dataValidation sqref="B7:B1000" showDropDown="0" showInputMessage="0" showErrorMessage="1" allowBlank="1" type="list">
      <formula1>Criterios!$G$6:$G$200</formula1>
    </dataValidation>
    <dataValidation sqref="I7:I100" showDropDown="0" showInputMessage="0" showErrorMessage="0" allowBlank="1" type="list">
      <formula1>'Configuración'!$D$4:$D$30</formula1>
    </dataValidation>
    <dataValidation sqref="G7:H100" showDropDown="0" showInputMessage="0" showErrorMessage="0" allowBlank="1" type="list">
      <formula1>'Configuración'!$C$4:$C$30</formula1>
    </dataValidation>
    <dataValidation sqref="E7:E100" showDropDown="0" showInputMessage="0" showErrorMessage="0" allowBlank="1" type="list">
      <formula1>'Configuración'!$B$4:$B$30</formula1>
    </dataValidation>
  </dataValidations>
  <pageMargins left="0.7" right="0.7" top="0.75" bottom="0.75" header="0" footer="0"/>
  <pageSetup orientation="landscape"/>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3B81F5"/>
    <outlinePr summaryBelow="0" summaryRight="0"/>
    <pageSetUpPr/>
  </sheetPr>
  <dimension ref="A1:I11"/>
  <sheetViews>
    <sheetView workbookViewId="0">
      <pane ySplit="3" topLeftCell="A4" activePane="bottomLeft" state="frozen"/>
      <selection pane="bottomLeft" activeCell="B5" sqref="B5"/>
    </sheetView>
  </sheetViews>
  <sheetFormatPr baseColWidth="8" defaultColWidth="12.63" defaultRowHeight="15" customHeight="1"/>
  <cols>
    <col width="15.75" customWidth="1" style="176" min="1" max="1"/>
    <col width="13.25" customWidth="1" style="176" min="2" max="2"/>
    <col width="16.38" customWidth="1" style="176" min="3" max="3"/>
    <col width="27.63" customWidth="1" style="176" min="4" max="4"/>
    <col width="30.13" customWidth="1" style="176" min="5" max="5"/>
    <col width="12" customWidth="1" style="176" min="6" max="6"/>
    <col width="26.38" customWidth="1" style="176" min="7" max="7"/>
    <col width="22" customWidth="1" style="176" min="8" max="8"/>
    <col width="35.13" customWidth="1" style="176" min="9" max="9"/>
  </cols>
  <sheetData>
    <row r="1" ht="31.5" customHeight="1" s="176">
      <c r="A1" s="177" t="inlineStr">
        <is>
          <t>HISTORIAL Y BITÁCORA CONSOLIDADA DE CONTEOS CÍCLICOS - GRUPO QUINCE 22</t>
        </is>
      </c>
    </row>
    <row r="2" ht="19.5" customHeight="1" s="176">
      <c r="A2" s="180" t="inlineStr">
        <is>
          <t>Registro histórico de auditorías, folios automáticos por ubicación y trazabilidad consolidada de marcas e inventario físico</t>
        </is>
      </c>
    </row>
    <row r="3" ht="26.25" customHeight="1" s="176">
      <c r="A3" s="6" t="inlineStr">
        <is>
          <t>Fecha de Conteo</t>
        </is>
      </c>
      <c r="B3" s="6" t="inlineStr">
        <is>
          <t>Hora Registro</t>
        </is>
      </c>
      <c r="C3" s="6" t="inlineStr">
        <is>
          <t>Folio de Escaneo</t>
        </is>
      </c>
      <c r="D3" s="6" t="inlineStr">
        <is>
          <t>Ubicación / Rack</t>
        </is>
      </c>
      <c r="E3" s="6" t="inlineStr">
        <is>
          <t>Marcas Escaneadas (Todas)</t>
        </is>
      </c>
      <c r="F3" s="6" t="inlineStr">
        <is>
          <t>Total Piezas</t>
        </is>
      </c>
      <c r="G3" s="6" t="inlineStr">
        <is>
          <t>Auditor / Responsable</t>
        </is>
      </c>
      <c r="H3" s="6" t="inlineStr">
        <is>
          <t>Dictamen de Auditoría</t>
        </is>
      </c>
      <c r="I3" s="7" t="inlineStr">
        <is>
          <t>Alertas de Modificación / Incidencias</t>
        </is>
      </c>
    </row>
    <row r="4">
      <c r="A4" s="8" t="n">
        <v>46274</v>
      </c>
      <c r="B4" s="9" t="n">
        <v>0.4409722222222222</v>
      </c>
      <c r="C4" s="10" t="inlineStr">
        <is>
          <t>ESC-20260909-J1-L1-01</t>
        </is>
      </c>
      <c r="D4" s="11" t="inlineStr">
        <is>
          <t>J1-L1-01</t>
        </is>
      </c>
      <c r="E4" s="11">
        <f>IFERROR(__xludf.DUMMYFUNCTION("IFERROR(TEXTJOIN("", "", TRUE, UNIQUE(FILTER(Table_2[Marca], Table_2[Folio de Escaneo]=C4))), """")"),"Stetson")</f>
        <v/>
      </c>
      <c r="F4" s="18">
        <f>SUMIFS(Table_2[Piezas Contadas],Table_2[Folio de Escaneo],C4)</f>
        <v/>
      </c>
      <c r="G4" s="11" t="n"/>
      <c r="H4" s="10" t="inlineStr">
        <is>
          <t>Revisión Requerida</t>
        </is>
      </c>
      <c r="I4" s="20" t="inlineStr">
        <is>
          <t>2 pzs con UPC inexistente en Productos</t>
        </is>
      </c>
    </row>
    <row r="5">
      <c r="A5" s="8" t="n">
        <v>46274</v>
      </c>
      <c r="B5" s="9" t="n">
        <v>0.4520833333333333</v>
      </c>
      <c r="C5" s="10" t="inlineStr">
        <is>
          <t>ESC-20260909-J1-L1-02</t>
        </is>
      </c>
      <c r="D5" s="11" t="inlineStr">
        <is>
          <t>J1-L1-02</t>
        </is>
      </c>
      <c r="E5" s="11">
        <f>IFERROR(__xludf.DUMMYFUNCTION("IFERROR(TEXTJOIN("", "", TRUE, UNIQUE(FILTER(Table_2[Marca], Table_2[Folio de Escaneo]=C5))), """")"),"Stetson")</f>
        <v/>
      </c>
      <c r="F5" s="18">
        <f>SUMIFS(Table_2[Piezas Contadas],Table_2[Folio de Escaneo],C5)</f>
        <v/>
      </c>
      <c r="G5" s="11" t="n"/>
      <c r="H5" s="10" t="inlineStr">
        <is>
          <t>Verificado</t>
        </is>
      </c>
      <c r="I5" s="20" t="n"/>
    </row>
    <row r="6">
      <c r="A6" s="8" t="n">
        <v>46274</v>
      </c>
      <c r="B6" s="9" t="n">
        <v>0.4583333333333333</v>
      </c>
      <c r="C6" s="10" t="inlineStr">
        <is>
          <t>ESC-20260909-I1-L1-01</t>
        </is>
      </c>
      <c r="D6" s="11" t="inlineStr">
        <is>
          <t>I1-L1-01</t>
        </is>
      </c>
      <c r="E6" s="11">
        <f>IFERROR(__xludf.DUMMYFUNCTION("IFERROR(TEXTJOIN("", "", TRUE, UNIQUE(FILTER(Table_2[Marca], Table_2[Folio de Escaneo]=C6))), """")"),"Stetson")</f>
        <v/>
      </c>
      <c r="F6" s="18">
        <f>SUMIFS(Table_2[Piezas Contadas],Table_2[Folio de Escaneo],C6)</f>
        <v/>
      </c>
      <c r="G6" s="11" t="n"/>
      <c r="H6" s="10" t="inlineStr">
        <is>
          <t>Verificado</t>
        </is>
      </c>
      <c r="I6" s="20" t="n"/>
    </row>
    <row r="7">
      <c r="A7" s="8" t="n">
        <v>46274</v>
      </c>
      <c r="B7" s="9" t="n">
        <v>0.4673611111111111</v>
      </c>
      <c r="C7" s="10" t="inlineStr">
        <is>
          <t>ESC-20260909-I1-L1-02</t>
        </is>
      </c>
      <c r="D7" s="11" t="inlineStr">
        <is>
          <t>I1-L1-02</t>
        </is>
      </c>
      <c r="E7" s="11">
        <f>IFERROR(__xludf.DUMMYFUNCTION("IFERROR(TEXTJOIN("", "", TRUE, UNIQUE(FILTER(Table_2[Marca], Table_2[Folio de Escaneo]=C7))), """")"),"Stetson")</f>
        <v/>
      </c>
      <c r="F7" s="18">
        <f>SUMIFS(Table_2[Piezas Contadas],Table_2[Folio de Escaneo],C7)</f>
        <v/>
      </c>
      <c r="G7" s="11" t="n"/>
      <c r="H7" s="10" t="inlineStr">
        <is>
          <t>Verificado</t>
        </is>
      </c>
      <c r="I7" s="20" t="n"/>
    </row>
    <row r="8">
      <c r="A8" s="8" t="n">
        <v>46275</v>
      </c>
      <c r="B8" s="9" t="n">
        <v>0.4541666666666667</v>
      </c>
      <c r="C8" s="10" t="inlineStr">
        <is>
          <t>ESC-20260910-I1-L2-01</t>
        </is>
      </c>
      <c r="D8" s="11" t="inlineStr">
        <is>
          <t>I1-L2-01</t>
        </is>
      </c>
      <c r="E8" s="11">
        <f>IFERROR(__xludf.DUMMYFUNCTION("IFERROR(TEXTJOIN("", "", TRUE, UNIQUE(FILTER(Table_2[Marca], Table_2[Folio de Escaneo]=C8))), """")"),"Stetson")</f>
        <v/>
      </c>
      <c r="F8" s="18">
        <f>SUMIFS(Table_2[Piezas Contadas],Table_2[Folio de Escaneo],C8)</f>
        <v/>
      </c>
      <c r="G8" s="11" t="n"/>
      <c r="H8" s="10" t="inlineStr">
        <is>
          <t>Verificado</t>
        </is>
      </c>
      <c r="I8" s="20" t="n"/>
    </row>
    <row r="9">
      <c r="A9" s="8" t="n">
        <v>46275</v>
      </c>
      <c r="B9" s="9" t="n">
        <v>0.4611111111111111</v>
      </c>
      <c r="C9" s="10" t="inlineStr">
        <is>
          <t>ESC-20260910-I1-L2-02</t>
        </is>
      </c>
      <c r="D9" s="11" t="inlineStr">
        <is>
          <t>I1-L2-02</t>
        </is>
      </c>
      <c r="E9" s="11">
        <f>IFERROR(__xludf.DUMMYFUNCTION("IFERROR(TEXTJOIN("", "", TRUE, UNIQUE(FILTER(Table_2[Marca], Table_2[Folio de Escaneo]=C9))), """")"),"Stetson")</f>
        <v/>
      </c>
      <c r="F9" s="18">
        <f>SUMIFS(Table_2[Piezas Contadas],Table_2[Folio de Escaneo],C9)</f>
        <v/>
      </c>
      <c r="G9" s="11" t="n"/>
      <c r="H9" s="10" t="inlineStr">
        <is>
          <t>Verificado</t>
        </is>
      </c>
      <c r="I9" s="20" t="n"/>
    </row>
    <row r="10">
      <c r="A10" s="8" t="n">
        <v>46275</v>
      </c>
      <c r="B10" s="9" t="n">
        <v>0.4652777777777778</v>
      </c>
      <c r="C10" s="10" t="inlineStr">
        <is>
          <t>ESC-20260910-J1-L2-01</t>
        </is>
      </c>
      <c r="D10" s="11" t="inlineStr">
        <is>
          <t>J1-L2-01</t>
        </is>
      </c>
      <c r="E10" s="11">
        <f>IFERROR(__xludf.DUMMYFUNCTION("IFERROR(TEXTJOIN("", "", TRUE, UNIQUE(FILTER(Table_2[Marca], Table_2[Folio de Escaneo]=C10))), """")"),"Stetson")</f>
        <v/>
      </c>
      <c r="F10" s="18">
        <f>SUMIFS(Table_2[Piezas Contadas],Table_2[Folio de Escaneo],C10)</f>
        <v/>
      </c>
      <c r="G10" s="11" t="n"/>
      <c r="H10" s="10" t="inlineStr">
        <is>
          <t>Verificado</t>
        </is>
      </c>
      <c r="I10" s="20" t="n"/>
    </row>
    <row r="11">
      <c r="A11" s="8" t="n">
        <v>46275</v>
      </c>
      <c r="B11" s="9" t="n">
        <v>0.4680555555555556</v>
      </c>
      <c r="C11" s="10" t="inlineStr">
        <is>
          <t>ESC-20260910-J1-L2-02</t>
        </is>
      </c>
      <c r="D11" s="11" t="inlineStr">
        <is>
          <t>J1-L2-02</t>
        </is>
      </c>
      <c r="E11" s="11">
        <f>IFERROR(__xludf.DUMMYFUNCTION("IFERROR(TEXTJOIN("", "", TRUE, UNIQUE(FILTER(Table_2[Marca], Table_2[Folio de Escaneo]=C11))), """")"),"Stetson")</f>
        <v/>
      </c>
      <c r="F11" s="18">
        <f>SUMIFS(Table_2[Piezas Contadas],Table_2[Folio de Escaneo],C11)</f>
        <v/>
      </c>
      <c r="G11" s="11" t="n"/>
      <c r="H11" s="10" t="inlineStr">
        <is>
          <t>Revisión Requerida</t>
        </is>
      </c>
      <c r="I11" s="20" t="inlineStr">
        <is>
          <t>8 pzs con UPC inexistente en Productos</t>
        </is>
      </c>
    </row>
  </sheetData>
  <mergeCells count="2">
    <mergeCell ref="A1:I1"/>
    <mergeCell ref="A2:I2"/>
  </mergeCells>
  <conditionalFormatting sqref="H4:I1000">
    <cfRule type="containsText" priority="1" operator="containsText" dxfId="5" stopIfTrue="1" text="⚠️">
      <formula>NOT(ISERROR(SEARCH(("⚠️"),(H4))))</formula>
    </cfRule>
    <cfRule type="containsText" priority="2" operator="containsText" dxfId="6" stopIfTrue="1" text="Ajuste Menor">
      <formula>NOT(ISERROR(SEARCH(("Ajuste Menor"),(H4))))</formula>
    </cfRule>
    <cfRule type="containsText" priority="3" operator="containsText" dxfId="7" stopIfTrue="1" text="EN PROCESO">
      <formula>NOT(ISERROR(SEARCH(("EN PROCESO"),(H4))))</formula>
    </cfRule>
    <cfRule type="containsText" priority="4" operator="containsText" dxfId="8" stopIfTrue="1" text="Conforme">
      <formula>NOT(ISERROR(SEARCH(("Conforme"),(H4))))</formula>
    </cfRule>
    <cfRule type="cellIs" priority="5" operator="equal" dxfId="9" stopIfTrue="1">
      <formula>"Sin incidencias"</formula>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0" summaryRight="0"/>
    <pageSetUpPr/>
  </sheetPr>
  <dimension ref="A1:M215"/>
  <sheetViews>
    <sheetView workbookViewId="0">
      <pane ySplit="1" topLeftCell="A2" activePane="bottomLeft" state="frozen"/>
      <selection pane="bottomLeft" activeCell="B3" sqref="B3"/>
    </sheetView>
  </sheetViews>
  <sheetFormatPr baseColWidth="8" defaultColWidth="12.63" defaultRowHeight="15" customHeight="1"/>
  <cols>
    <col width="17.63" customWidth="1" style="176" min="1" max="1"/>
    <col width="18.88" customWidth="1" style="176" min="2" max="2"/>
    <col width="27.63" customWidth="1" style="176" min="3" max="3"/>
    <col width="17.63" customWidth="1" style="176" min="4" max="4"/>
    <col width="19.63" customWidth="1" style="176" min="5" max="5"/>
    <col width="18.88" customWidth="1" style="176" min="6" max="6"/>
    <col width="30.13" customWidth="1" style="176" min="7" max="7"/>
    <col width="17.63" customWidth="1" style="176" min="8" max="8"/>
    <col width="15.13" customWidth="1" style="176" min="9" max="9"/>
    <col width="16.38" customWidth="1" style="176" min="10" max="10"/>
    <col width="26.63" customWidth="1" style="176" min="11" max="11"/>
    <col width="20.13" customWidth="1" style="176" min="12" max="12"/>
    <col width="35.13" customWidth="1" style="176" min="13" max="13"/>
  </cols>
  <sheetData>
    <row r="1" ht="28.5" customHeight="1" s="176">
      <c r="A1" s="33" t="inlineStr">
        <is>
          <t>Folio de Escaneo</t>
        </is>
      </c>
      <c r="B1" s="33" t="inlineStr">
        <is>
          <t>Fecha / Hora</t>
        </is>
      </c>
      <c r="C1" s="33" t="inlineStr">
        <is>
          <t>Ubicación / Rack</t>
        </is>
      </c>
      <c r="D1" s="33" t="inlineStr">
        <is>
          <t>UPC CODE</t>
        </is>
      </c>
      <c r="E1" s="33" t="inlineStr">
        <is>
          <t>SKU</t>
        </is>
      </c>
      <c r="F1" s="33" t="inlineStr">
        <is>
          <t>Marca</t>
        </is>
      </c>
      <c r="G1" s="33" t="inlineStr">
        <is>
          <t>Descripción</t>
        </is>
      </c>
      <c r="H1" s="33" t="inlineStr">
        <is>
          <t>Categoría</t>
        </is>
      </c>
      <c r="I1" s="33" t="inlineStr">
        <is>
          <t>Talla / Size</t>
        </is>
      </c>
      <c r="J1" s="33" t="inlineStr">
        <is>
          <t>Piezas Contadas</t>
        </is>
      </c>
      <c r="K1" s="33" t="inlineStr">
        <is>
          <t>Auditor / Responsable</t>
        </is>
      </c>
      <c r="L1" s="33" t="inlineStr">
        <is>
          <t>Estado de Conteo</t>
        </is>
      </c>
      <c r="M1" s="33" t="inlineStr">
        <is>
          <t>Detalle de Modificaciones / Alertas</t>
        </is>
      </c>
    </row>
    <row r="2">
      <c r="A2" s="74" t="inlineStr">
        <is>
          <t>ESC-20260909-J1-L1-01</t>
        </is>
      </c>
      <c r="B2" s="75" t="inlineStr">
        <is>
          <t>2026-09-09 10:35:00</t>
        </is>
      </c>
      <c r="C2" s="76" t="inlineStr">
        <is>
          <t>J1-L1-01</t>
        </is>
      </c>
      <c r="D2" s="77" t="inlineStr">
        <is>
          <t>7506499570640</t>
        </is>
      </c>
      <c r="E2" s="77" t="inlineStr">
        <is>
          <t>ST-VR-P-021-FW25-DQ-2XL</t>
        </is>
      </c>
      <c r="F2" s="76" t="inlineStr">
        <is>
          <t>Stetson</t>
        </is>
      </c>
      <c r="G2" s="76" t="inlineStr">
        <is>
          <t>Camisa Stetson Vintage Range Desert Quartz</t>
        </is>
      </c>
      <c r="H2" s="74" t="inlineStr">
        <is>
          <t>Camisas</t>
        </is>
      </c>
      <c r="I2" s="74" t="inlineStr">
        <is>
          <t>XXL</t>
        </is>
      </c>
      <c r="J2" s="78" t="n">
        <v>1</v>
      </c>
      <c r="K2" s="76" t="n"/>
      <c r="L2" s="74" t="inlineStr">
        <is>
          <t>Verificado</t>
        </is>
      </c>
      <c r="M2" s="79" t="n"/>
    </row>
    <row r="3">
      <c r="A3" s="74" t="inlineStr">
        <is>
          <t>ESC-20260909-J1-L1-01</t>
        </is>
      </c>
      <c r="B3" s="75" t="inlineStr">
        <is>
          <t>2026-09-09 10:35:00</t>
        </is>
      </c>
      <c r="C3" s="76" t="inlineStr">
        <is>
          <t>J1-L1-01</t>
        </is>
      </c>
      <c r="D3" s="77" t="inlineStr">
        <is>
          <t>7506499570633</t>
        </is>
      </c>
      <c r="E3" s="77" t="inlineStr">
        <is>
          <t>ST-VR-P-021-FW25-DQ-XL</t>
        </is>
      </c>
      <c r="F3" s="76" t="inlineStr">
        <is>
          <t>Stetson</t>
        </is>
      </c>
      <c r="G3" s="76" t="inlineStr">
        <is>
          <t>Camisa Stetson Vintage Range Desert Quartz</t>
        </is>
      </c>
      <c r="H3" s="74" t="inlineStr">
        <is>
          <t>Camisas</t>
        </is>
      </c>
      <c r="I3" s="74" t="inlineStr">
        <is>
          <t>XL</t>
        </is>
      </c>
      <c r="J3" s="78" t="n">
        <v>2</v>
      </c>
      <c r="K3" s="76" t="n"/>
      <c r="L3" s="74" t="inlineStr">
        <is>
          <t>Verificado</t>
        </is>
      </c>
      <c r="M3" s="79" t="n"/>
    </row>
    <row r="4">
      <c r="A4" s="74" t="inlineStr">
        <is>
          <t>ESC-20260909-J1-L1-01</t>
        </is>
      </c>
      <c r="B4" s="75" t="inlineStr">
        <is>
          <t>2026-09-09 10:35:00</t>
        </is>
      </c>
      <c r="C4" s="76" t="inlineStr">
        <is>
          <t>J1-L1-01</t>
        </is>
      </c>
      <c r="D4" s="77" t="inlineStr">
        <is>
          <t>7506499570626</t>
        </is>
      </c>
      <c r="E4" s="77" t="inlineStr">
        <is>
          <t>ST-VR-P-021-FW25-DQ-L</t>
        </is>
      </c>
      <c r="F4" s="76" t="inlineStr">
        <is>
          <t>Stetson</t>
        </is>
      </c>
      <c r="G4" s="76" t="inlineStr">
        <is>
          <t>Camisa Stetson Vintage Range Desert Quartz</t>
        </is>
      </c>
      <c r="H4" s="74" t="inlineStr">
        <is>
          <t>Camisas</t>
        </is>
      </c>
      <c r="I4" s="74" t="inlineStr">
        <is>
          <t>L</t>
        </is>
      </c>
      <c r="J4" s="78" t="n">
        <v>8</v>
      </c>
      <c r="K4" s="76" t="n"/>
      <c r="L4" s="74" t="inlineStr">
        <is>
          <t>Verificado</t>
        </is>
      </c>
      <c r="M4" s="79" t="n"/>
    </row>
    <row r="5">
      <c r="A5" s="74" t="inlineStr">
        <is>
          <t>ESC-20260909-J1-L1-01</t>
        </is>
      </c>
      <c r="B5" s="75" t="inlineStr">
        <is>
          <t>2026-09-09 10:36:00</t>
        </is>
      </c>
      <c r="C5" s="76" t="inlineStr">
        <is>
          <t>J1-L1-01</t>
        </is>
      </c>
      <c r="D5" s="77" t="inlineStr">
        <is>
          <t>7506499570619</t>
        </is>
      </c>
      <c r="E5" s="77" t="inlineStr">
        <is>
          <t>ST-VR-P-021-FW25-DQ-M</t>
        </is>
      </c>
      <c r="F5" s="76" t="inlineStr">
        <is>
          <t>Stetson</t>
        </is>
      </c>
      <c r="G5" s="76" t="inlineStr">
        <is>
          <t>Camisa Stetson Vintage Range Desert Quartz</t>
        </is>
      </c>
      <c r="H5" s="74" t="inlineStr">
        <is>
          <t>Camisas</t>
        </is>
      </c>
      <c r="I5" s="74" t="inlineStr">
        <is>
          <t>M</t>
        </is>
      </c>
      <c r="J5" s="78" t="n">
        <v>10</v>
      </c>
      <c r="K5" s="76" t="n"/>
      <c r="L5" s="74" t="inlineStr">
        <is>
          <t>Verificado</t>
        </is>
      </c>
      <c r="M5" s="79" t="n"/>
    </row>
    <row r="6">
      <c r="A6" s="74" t="inlineStr">
        <is>
          <t>ESC-20260909-J1-L1-01</t>
        </is>
      </c>
      <c r="B6" s="75" t="inlineStr">
        <is>
          <t>2026-09-09 10:36:00</t>
        </is>
      </c>
      <c r="C6" s="76" t="inlineStr">
        <is>
          <t>J1-L1-01</t>
        </is>
      </c>
      <c r="D6" s="77" t="inlineStr">
        <is>
          <t>7506499570602</t>
        </is>
      </c>
      <c r="E6" s="77" t="inlineStr">
        <is>
          <t>ST-VR-P-021-FW25-DQ-S</t>
        </is>
      </c>
      <c r="F6" s="76" t="inlineStr">
        <is>
          <t>Stetson</t>
        </is>
      </c>
      <c r="G6" s="76" t="inlineStr">
        <is>
          <t>Camisa Stetson Vintage Range Desert Quartz</t>
        </is>
      </c>
      <c r="H6" s="74" t="inlineStr">
        <is>
          <t>Camisas</t>
        </is>
      </c>
      <c r="I6" s="74" t="inlineStr">
        <is>
          <t>S</t>
        </is>
      </c>
      <c r="J6" s="78" t="n">
        <v>7</v>
      </c>
      <c r="K6" s="76" t="n"/>
      <c r="L6" s="74" t="inlineStr">
        <is>
          <t>Verificado</t>
        </is>
      </c>
      <c r="M6" s="79" t="n"/>
    </row>
    <row r="7">
      <c r="A7" s="74" t="inlineStr">
        <is>
          <t>ESC-20260909-J1-L1-01</t>
        </is>
      </c>
      <c r="B7" s="75" t="inlineStr">
        <is>
          <t>2026-09-09 10:36:00</t>
        </is>
      </c>
      <c r="C7" s="76" t="inlineStr">
        <is>
          <t>J1-L1-01</t>
        </is>
      </c>
      <c r="D7" s="77" t="inlineStr">
        <is>
          <t>7506499569491</t>
        </is>
      </c>
      <c r="E7" s="77" t="inlineStr">
        <is>
          <t>ST-TI-002-FW25-AF-2XL</t>
        </is>
      </c>
      <c r="F7" s="76" t="inlineStr">
        <is>
          <t>Stetson</t>
        </is>
      </c>
      <c r="G7" s="76" t="inlineStr">
        <is>
          <t>Camisa Stetson Trailblazer Icon</t>
        </is>
      </c>
      <c r="H7" s="74" t="inlineStr">
        <is>
          <t>Camisas</t>
        </is>
      </c>
      <c r="I7" s="74" t="inlineStr">
        <is>
          <t>XXL</t>
        </is>
      </c>
      <c r="J7" s="78" t="n">
        <v>1</v>
      </c>
      <c r="K7" s="76" t="n"/>
      <c r="L7" s="74" t="inlineStr">
        <is>
          <t>Verificado</t>
        </is>
      </c>
      <c r="M7" s="79" t="n"/>
    </row>
    <row r="8">
      <c r="A8" s="74" t="inlineStr">
        <is>
          <t>ESC-20260909-J1-L1-01</t>
        </is>
      </c>
      <c r="B8" s="75" t="inlineStr">
        <is>
          <t>2026-09-09 10:36:00</t>
        </is>
      </c>
      <c r="C8" s="76" t="inlineStr">
        <is>
          <t>J1-L1-01</t>
        </is>
      </c>
      <c r="D8" s="77" t="inlineStr">
        <is>
          <t>7506499569217</t>
        </is>
      </c>
      <c r="E8" s="77" t="inlineStr">
        <is>
          <t>ST-LT-001-FW25-AF-M</t>
        </is>
      </c>
      <c r="F8" s="76" t="inlineStr">
        <is>
          <t>Stetson</t>
        </is>
      </c>
      <c r="G8" s="76" t="inlineStr">
        <is>
          <t>Camisa Stetson Legacy Taper</t>
        </is>
      </c>
      <c r="H8" s="74" t="inlineStr">
        <is>
          <t>Camisas</t>
        </is>
      </c>
      <c r="I8" s="74" t="inlineStr">
        <is>
          <t>M</t>
        </is>
      </c>
      <c r="J8" s="78" t="n">
        <v>2</v>
      </c>
      <c r="K8" s="76" t="n"/>
      <c r="L8" s="74" t="inlineStr">
        <is>
          <t>Verificado</t>
        </is>
      </c>
      <c r="M8" s="79" t="n"/>
    </row>
    <row r="9">
      <c r="A9" s="74" t="inlineStr">
        <is>
          <t>ESC-20260909-J1-L1-01</t>
        </is>
      </c>
      <c r="B9" s="75" t="inlineStr">
        <is>
          <t>2026-09-09 10:37:00</t>
        </is>
      </c>
      <c r="C9" s="76" t="inlineStr">
        <is>
          <t>J1-L1-01</t>
        </is>
      </c>
      <c r="D9" s="77" t="inlineStr">
        <is>
          <t>7506499569200</t>
        </is>
      </c>
      <c r="E9" s="77" t="inlineStr">
        <is>
          <t>ST-LT-001-FW25-AF-S</t>
        </is>
      </c>
      <c r="F9" s="76" t="inlineStr">
        <is>
          <t>Stetson</t>
        </is>
      </c>
      <c r="G9" s="76" t="inlineStr">
        <is>
          <t>Camisa Stetson Legacy Taper</t>
        </is>
      </c>
      <c r="H9" s="74" t="inlineStr">
        <is>
          <t>Camisas</t>
        </is>
      </c>
      <c r="I9" s="74" t="inlineStr">
        <is>
          <t>S</t>
        </is>
      </c>
      <c r="J9" s="78" t="n">
        <v>1</v>
      </c>
      <c r="K9" s="76" t="n"/>
      <c r="L9" s="74" t="inlineStr">
        <is>
          <t>Verificado</t>
        </is>
      </c>
      <c r="M9" s="79" t="n"/>
    </row>
    <row r="10">
      <c r="A10" s="74" t="inlineStr">
        <is>
          <t>ESC-20260909-J1-L1-01</t>
        </is>
      </c>
      <c r="B10" s="75" t="inlineStr">
        <is>
          <t>2026-09-09 10:42:00</t>
        </is>
      </c>
      <c r="C10" s="76" t="inlineStr">
        <is>
          <t>J1-L1-01</t>
        </is>
      </c>
      <c r="D10" s="77" t="inlineStr">
        <is>
          <t>7506499569903</t>
        </is>
      </c>
      <c r="E10" s="77" t="inlineStr">
        <is>
          <t>ST-VR-P-003-FW25-QP-S</t>
        </is>
      </c>
      <c r="F10" s="76" t="inlineStr">
        <is>
          <t>Stetson</t>
        </is>
      </c>
      <c r="G10" s="76" t="inlineStr">
        <is>
          <t>Camisa Stetson Vintage Range Quetzal Plume</t>
        </is>
      </c>
      <c r="H10" s="74" t="inlineStr">
        <is>
          <t>Camisas</t>
        </is>
      </c>
      <c r="I10" s="74" t="inlineStr">
        <is>
          <t>S</t>
        </is>
      </c>
      <c r="J10" s="78" t="n">
        <v>7</v>
      </c>
      <c r="K10" s="76" t="n"/>
      <c r="L10" s="74" t="inlineStr">
        <is>
          <t>Verificado</t>
        </is>
      </c>
      <c r="M10" s="79" t="n"/>
    </row>
    <row r="11">
      <c r="A11" s="74" t="inlineStr">
        <is>
          <t>ESC-20260909-J1-L1-01</t>
        </is>
      </c>
      <c r="B11" s="75" t="inlineStr">
        <is>
          <t>2026-09-09 10:43:00</t>
        </is>
      </c>
      <c r="C11" s="76" t="inlineStr">
        <is>
          <t>J1-L1-01</t>
        </is>
      </c>
      <c r="D11" s="77" t="inlineStr">
        <is>
          <t>7506499569910</t>
        </is>
      </c>
      <c r="E11" s="77" t="inlineStr">
        <is>
          <t>ST-VR-P-003-FW25-QP-M</t>
        </is>
      </c>
      <c r="F11" s="76" t="inlineStr">
        <is>
          <t>Stetson</t>
        </is>
      </c>
      <c r="G11" s="76" t="inlineStr">
        <is>
          <t>Camisa Stetson Vintage Range Quetzal Plume</t>
        </is>
      </c>
      <c r="H11" s="74" t="inlineStr">
        <is>
          <t>Camisas</t>
        </is>
      </c>
      <c r="I11" s="74" t="inlineStr">
        <is>
          <t>M</t>
        </is>
      </c>
      <c r="J11" s="78" t="n">
        <v>10</v>
      </c>
      <c r="K11" s="76" t="n"/>
      <c r="L11" s="74" t="inlineStr">
        <is>
          <t>Verificado</t>
        </is>
      </c>
      <c r="M11" s="79" t="n"/>
    </row>
    <row r="12">
      <c r="A12" s="74" t="inlineStr">
        <is>
          <t>ESC-20260909-J1-L1-01</t>
        </is>
      </c>
      <c r="B12" s="75" t="inlineStr">
        <is>
          <t>2026-09-09 10:43:00</t>
        </is>
      </c>
      <c r="C12" s="76" t="inlineStr">
        <is>
          <t>J1-L1-01</t>
        </is>
      </c>
      <c r="D12" s="77" t="inlineStr">
        <is>
          <t>7506499569927</t>
        </is>
      </c>
      <c r="E12" s="77" t="inlineStr">
        <is>
          <t>ST-VR-P-003-FW25-QP-L</t>
        </is>
      </c>
      <c r="F12" s="76" t="inlineStr">
        <is>
          <t>Stetson</t>
        </is>
      </c>
      <c r="G12" s="76" t="inlineStr">
        <is>
          <t>Camisa Stetson Vintage Range Quetzal Plume</t>
        </is>
      </c>
      <c r="H12" s="74" t="inlineStr">
        <is>
          <t>Camisas</t>
        </is>
      </c>
      <c r="I12" s="74" t="inlineStr">
        <is>
          <t>L</t>
        </is>
      </c>
      <c r="J12" s="78" t="n">
        <v>7</v>
      </c>
      <c r="K12" s="76" t="n"/>
      <c r="L12" s="74" t="inlineStr">
        <is>
          <t>Verificado</t>
        </is>
      </c>
      <c r="M12" s="79" t="n"/>
    </row>
    <row r="13">
      <c r="A13" s="74" t="inlineStr">
        <is>
          <t>ESC-20260909-J1-L1-01</t>
        </is>
      </c>
      <c r="B13" s="75" t="inlineStr">
        <is>
          <t>2026-09-09 10:43:00</t>
        </is>
      </c>
      <c r="C13" s="76" t="inlineStr">
        <is>
          <t>J1-L1-01</t>
        </is>
      </c>
      <c r="D13" s="77" t="inlineStr">
        <is>
          <t>7506499569934</t>
        </is>
      </c>
      <c r="E13" s="77" t="inlineStr">
        <is>
          <t>ST-VR-P-003-FW25-QP-XL</t>
        </is>
      </c>
      <c r="F13" s="76" t="inlineStr">
        <is>
          <t>Stetson</t>
        </is>
      </c>
      <c r="G13" s="76" t="inlineStr">
        <is>
          <t>Camisa Stetson Vintage Range Quetzal Plume</t>
        </is>
      </c>
      <c r="H13" s="74" t="inlineStr">
        <is>
          <t>Camisas</t>
        </is>
      </c>
      <c r="I13" s="74" t="inlineStr">
        <is>
          <t>XL</t>
        </is>
      </c>
      <c r="J13" s="78" t="n">
        <v>2</v>
      </c>
      <c r="K13" s="76" t="n"/>
      <c r="L13" s="74" t="inlineStr">
        <is>
          <t>Verificado</t>
        </is>
      </c>
      <c r="M13" s="79" t="n"/>
    </row>
    <row r="14">
      <c r="A14" s="74" t="inlineStr">
        <is>
          <t>ESC-20260909-J1-L1-01</t>
        </is>
      </c>
      <c r="B14" s="75" t="inlineStr">
        <is>
          <t>2026-09-09 10:44:00</t>
        </is>
      </c>
      <c r="C14" s="76" t="inlineStr">
        <is>
          <t>J1-L1-01</t>
        </is>
      </c>
      <c r="D14" s="77" t="inlineStr">
        <is>
          <t>7506499569804</t>
        </is>
      </c>
      <c r="E14" s="77" t="inlineStr">
        <is>
          <t>ST-VR-P-001-FW25-HE-S</t>
        </is>
      </c>
      <c r="F14" s="76" t="inlineStr">
        <is>
          <t>Stetson</t>
        </is>
      </c>
      <c r="G14" s="76" t="inlineStr">
        <is>
          <t>Camisa Stetson Vintage Range Heritage</t>
        </is>
      </c>
      <c r="H14" s="74" t="inlineStr">
        <is>
          <t>Camisas</t>
        </is>
      </c>
      <c r="I14" s="74" t="inlineStr">
        <is>
          <t>S</t>
        </is>
      </c>
      <c r="J14" s="78" t="n">
        <v>4</v>
      </c>
      <c r="K14" s="76" t="n"/>
      <c r="L14" s="74" t="inlineStr">
        <is>
          <t>Verificado</t>
        </is>
      </c>
      <c r="M14" s="79" t="n"/>
    </row>
    <row r="15">
      <c r="A15" s="74" t="inlineStr">
        <is>
          <t>ESC-20260909-J1-L1-01</t>
        </is>
      </c>
      <c r="B15" s="75" t="inlineStr">
        <is>
          <t>2026-09-09 10:44:00</t>
        </is>
      </c>
      <c r="C15" s="76" t="inlineStr">
        <is>
          <t>J1-L1-01</t>
        </is>
      </c>
      <c r="D15" s="77" t="inlineStr">
        <is>
          <t>7506499569811</t>
        </is>
      </c>
      <c r="E15" s="77" t="inlineStr">
        <is>
          <t>ST-VR-P-001-FW25-HE-M</t>
        </is>
      </c>
      <c r="F15" s="76" t="inlineStr">
        <is>
          <t>Stetson</t>
        </is>
      </c>
      <c r="G15" s="76" t="inlineStr">
        <is>
          <t>Camisa Stetson Vintage Range Heritage</t>
        </is>
      </c>
      <c r="H15" s="74" t="inlineStr">
        <is>
          <t>Camisas</t>
        </is>
      </c>
      <c r="I15" s="74" t="inlineStr">
        <is>
          <t>M</t>
        </is>
      </c>
      <c r="J15" s="78" t="n">
        <v>5</v>
      </c>
      <c r="K15" s="76" t="n"/>
      <c r="L15" s="74" t="inlineStr">
        <is>
          <t>Verificado</t>
        </is>
      </c>
      <c r="M15" s="79" t="n"/>
    </row>
    <row r="16">
      <c r="A16" s="74" t="inlineStr">
        <is>
          <t>ESC-20260909-J1-L1-01</t>
        </is>
      </c>
      <c r="B16" s="75" t="inlineStr">
        <is>
          <t>2026-09-09 10:44:00</t>
        </is>
      </c>
      <c r="C16" s="76" t="inlineStr">
        <is>
          <t>J1-L1-01</t>
        </is>
      </c>
      <c r="D16" s="77" t="inlineStr">
        <is>
          <t>7506499569941</t>
        </is>
      </c>
      <c r="E16" s="77" t="inlineStr">
        <is>
          <t>ST-VR-P-003-FW25-QP-2XL</t>
        </is>
      </c>
      <c r="F16" s="76" t="inlineStr">
        <is>
          <t>Stetson</t>
        </is>
      </c>
      <c r="G16" s="76" t="inlineStr">
        <is>
          <t>Camisa Stetson Vintage Range Quetzal Plume</t>
        </is>
      </c>
      <c r="H16" s="74" t="inlineStr">
        <is>
          <t>Camisas</t>
        </is>
      </c>
      <c r="I16" s="74" t="inlineStr">
        <is>
          <t>XXL</t>
        </is>
      </c>
      <c r="J16" s="78" t="n">
        <v>1</v>
      </c>
      <c r="K16" s="76" t="n"/>
      <c r="L16" s="74" t="inlineStr">
        <is>
          <t>Verificado</t>
        </is>
      </c>
      <c r="M16" s="79" t="n"/>
    </row>
    <row r="17">
      <c r="A17" s="74" t="inlineStr">
        <is>
          <t>ESC-20260909-J1-L1-01</t>
        </is>
      </c>
      <c r="B17" s="75" t="inlineStr">
        <is>
          <t>2026-09-09 10:44:00</t>
        </is>
      </c>
      <c r="C17" s="76" t="inlineStr">
        <is>
          <t>J1-L1-01</t>
        </is>
      </c>
      <c r="D17" s="77" t="inlineStr">
        <is>
          <t>7506499569255</t>
        </is>
      </c>
      <c r="E17" s="77" t="inlineStr">
        <is>
          <t>ST-LT-002-FW25-OR-S</t>
        </is>
      </c>
      <c r="F17" s="76" t="inlineStr">
        <is>
          <t>Stetson</t>
        </is>
      </c>
      <c r="G17" s="76" t="inlineStr">
        <is>
          <t>Camisa Stetson Legacy Taper</t>
        </is>
      </c>
      <c r="H17" s="74" t="inlineStr">
        <is>
          <t>Camisas</t>
        </is>
      </c>
      <c r="I17" s="74" t="inlineStr">
        <is>
          <t>S</t>
        </is>
      </c>
      <c r="J17" s="78" t="n">
        <v>1</v>
      </c>
      <c r="K17" s="76" t="n"/>
      <c r="L17" s="74" t="inlineStr">
        <is>
          <t>Verificado</t>
        </is>
      </c>
      <c r="M17" s="79" t="n"/>
    </row>
    <row r="18">
      <c r="A18" s="74" t="inlineStr">
        <is>
          <t>ESC-20260909-J1-L1-01</t>
        </is>
      </c>
      <c r="B18" s="75" t="inlineStr">
        <is>
          <t>2026-09-09 10:44:00</t>
        </is>
      </c>
      <c r="C18" s="76" t="inlineStr">
        <is>
          <t>J1-L1-01</t>
        </is>
      </c>
      <c r="D18" s="77" t="inlineStr">
        <is>
          <t>7506499569675</t>
        </is>
      </c>
      <c r="E18" s="77" t="inlineStr">
        <is>
          <t>ST-VR-S-002-FW25-OR-L</t>
        </is>
      </c>
      <c r="F18" s="76" t="inlineStr">
        <is>
          <t>Stetson</t>
        </is>
      </c>
      <c r="G18" s="76" t="inlineStr">
        <is>
          <t>Camisa Stetson Vintage Range Solid</t>
        </is>
      </c>
      <c r="H18" s="74" t="inlineStr">
        <is>
          <t>Camisas</t>
        </is>
      </c>
      <c r="I18" s="74" t="inlineStr">
        <is>
          <t>L</t>
        </is>
      </c>
      <c r="J18" s="78" t="n">
        <v>4</v>
      </c>
      <c r="K18" s="76" t="n"/>
      <c r="L18" s="74" t="inlineStr">
        <is>
          <t>Verificado</t>
        </is>
      </c>
      <c r="M18" s="79" t="n"/>
    </row>
    <row r="19">
      <c r="A19" s="74" t="inlineStr">
        <is>
          <t>ESC-20260909-J1-L1-01</t>
        </is>
      </c>
      <c r="B19" s="75" t="inlineStr">
        <is>
          <t>2026-09-09 10:45:00</t>
        </is>
      </c>
      <c r="C19" s="76" t="inlineStr">
        <is>
          <t>J1-L1-01</t>
        </is>
      </c>
      <c r="D19" s="77" t="inlineStr">
        <is>
          <t>7506499570800</t>
        </is>
      </c>
      <c r="E19" s="77" t="inlineStr">
        <is>
          <t>ST-VR-P-017-FW25-SC-S</t>
        </is>
      </c>
      <c r="F19" s="76" t="inlineStr">
        <is>
          <t>Stetson</t>
        </is>
      </c>
      <c r="G19" s="76" t="inlineStr">
        <is>
          <t>Camisa Stetson Vintage Range Sable Crest</t>
        </is>
      </c>
      <c r="H19" s="74" t="inlineStr">
        <is>
          <t>Camisas</t>
        </is>
      </c>
      <c r="I19" s="74" t="inlineStr">
        <is>
          <t>S</t>
        </is>
      </c>
      <c r="J19" s="78" t="n">
        <v>5</v>
      </c>
      <c r="K19" s="76" t="n"/>
      <c r="L19" s="74" t="inlineStr">
        <is>
          <t>Verificado</t>
        </is>
      </c>
      <c r="M19" s="79" t="n"/>
    </row>
    <row r="20">
      <c r="A20" s="74" t="inlineStr">
        <is>
          <t>ESC-20260909-J1-L1-01</t>
        </is>
      </c>
      <c r="B20" s="75" t="inlineStr">
        <is>
          <t>2026-09-09 10:45:00</t>
        </is>
      </c>
      <c r="C20" s="76" t="inlineStr">
        <is>
          <t>J1-L1-01</t>
        </is>
      </c>
      <c r="D20" s="77" t="inlineStr">
        <is>
          <t>7506499570817</t>
        </is>
      </c>
      <c r="E20" s="77" t="inlineStr">
        <is>
          <t>ST-VR-P-017-FW25-SC-M</t>
        </is>
      </c>
      <c r="F20" s="76" t="inlineStr">
        <is>
          <t>Stetson</t>
        </is>
      </c>
      <c r="G20" s="76" t="inlineStr">
        <is>
          <t>Camisa Stetson Vintage Range Sable Crest</t>
        </is>
      </c>
      <c r="H20" s="74" t="inlineStr">
        <is>
          <t>Camisas</t>
        </is>
      </c>
      <c r="I20" s="74" t="inlineStr">
        <is>
          <t>M</t>
        </is>
      </c>
      <c r="J20" s="78" t="n">
        <v>7</v>
      </c>
      <c r="K20" s="76" t="n"/>
      <c r="L20" s="74" t="inlineStr">
        <is>
          <t>Verificado</t>
        </is>
      </c>
      <c r="M20" s="79" t="n"/>
    </row>
    <row r="21">
      <c r="A21" s="74" t="inlineStr">
        <is>
          <t>ESC-20260909-J1-L1-01</t>
        </is>
      </c>
      <c r="B21" s="75" t="inlineStr">
        <is>
          <t>2026-09-09 10:45:00</t>
        </is>
      </c>
      <c r="C21" s="76" t="inlineStr">
        <is>
          <t>J1-L1-01</t>
        </is>
      </c>
      <c r="D21" s="77" t="inlineStr">
        <is>
          <t>7506499570848</t>
        </is>
      </c>
      <c r="E21" s="77" t="n"/>
      <c r="F21" s="76" t="inlineStr">
        <is>
          <t>Stetson</t>
        </is>
      </c>
      <c r="G21" s="76" t="inlineStr">
        <is>
          <t>Camisa Stetson Vintage Range Sable Crest</t>
        </is>
      </c>
      <c r="H21" s="74" t="inlineStr">
        <is>
          <t>Camisas</t>
        </is>
      </c>
      <c r="I21" s="74" t="inlineStr">
        <is>
          <t>2XL</t>
        </is>
      </c>
      <c r="J21" s="78" t="n">
        <v>2</v>
      </c>
      <c r="K21" s="76" t="n"/>
      <c r="L21" s="74" t="inlineStr">
        <is>
          <t>Revisión Requerida</t>
        </is>
      </c>
      <c r="M21" s="79" t="inlineStr">
        <is>
          <t>UPC no existe en Productos</t>
        </is>
      </c>
    </row>
    <row r="22">
      <c r="A22" s="74" t="inlineStr">
        <is>
          <t>ESC-20260909-J1-L1-01</t>
        </is>
      </c>
      <c r="B22" s="75" t="inlineStr">
        <is>
          <t>2026-09-09 10:45:00</t>
        </is>
      </c>
      <c r="C22" s="76" t="inlineStr">
        <is>
          <t>J1-L1-01</t>
        </is>
      </c>
      <c r="D22" s="77" t="inlineStr">
        <is>
          <t>7506499570503</t>
        </is>
      </c>
      <c r="E22" s="77" t="inlineStr">
        <is>
          <t>ST-VR-P-019-FW25-CM-S</t>
        </is>
      </c>
      <c r="F22" s="76" t="inlineStr">
        <is>
          <t>Stetson</t>
        </is>
      </c>
      <c r="G22" s="76" t="inlineStr">
        <is>
          <t>Camisa Stetson Vintage Range Cenote Maze</t>
        </is>
      </c>
      <c r="H22" s="74" t="inlineStr">
        <is>
          <t>Camisas</t>
        </is>
      </c>
      <c r="I22" s="74" t="inlineStr">
        <is>
          <t>S</t>
        </is>
      </c>
      <c r="J22" s="78" t="n">
        <v>7</v>
      </c>
      <c r="K22" s="76" t="n"/>
      <c r="L22" s="74" t="inlineStr">
        <is>
          <t>Verificado</t>
        </is>
      </c>
      <c r="M22" s="79" t="n"/>
    </row>
    <row r="23">
      <c r="A23" s="74" t="inlineStr">
        <is>
          <t>ESC-20260909-J1-L1-01</t>
        </is>
      </c>
      <c r="B23" s="75" t="inlineStr">
        <is>
          <t>2026-09-09 10:46:00</t>
        </is>
      </c>
      <c r="C23" s="76" t="inlineStr">
        <is>
          <t>J1-L1-01</t>
        </is>
      </c>
      <c r="D23" s="77" t="inlineStr">
        <is>
          <t>7506499570510</t>
        </is>
      </c>
      <c r="E23" s="77" t="inlineStr">
        <is>
          <t>ST-VR-P-019-FW25-CM-M</t>
        </is>
      </c>
      <c r="F23" s="76" t="inlineStr">
        <is>
          <t>Stetson</t>
        </is>
      </c>
      <c r="G23" s="76" t="inlineStr">
        <is>
          <t>Camisa Stetson Vintage Range Cenote Maze</t>
        </is>
      </c>
      <c r="H23" s="74" t="inlineStr">
        <is>
          <t>Camisas</t>
        </is>
      </c>
      <c r="I23" s="74" t="inlineStr">
        <is>
          <t>M</t>
        </is>
      </c>
      <c r="J23" s="78" t="n">
        <v>10</v>
      </c>
      <c r="K23" s="76" t="n"/>
      <c r="L23" s="74" t="inlineStr">
        <is>
          <t>Verificado</t>
        </is>
      </c>
      <c r="M23" s="79" t="n"/>
    </row>
    <row r="24">
      <c r="A24" s="74" t="inlineStr">
        <is>
          <t>ESC-20260909-J1-L1-01</t>
        </is>
      </c>
      <c r="B24" s="75" t="inlineStr">
        <is>
          <t>2026-09-09 10:46:00</t>
        </is>
      </c>
      <c r="C24" s="76" t="inlineStr">
        <is>
          <t>J1-L1-01</t>
        </is>
      </c>
      <c r="D24" s="77" t="inlineStr">
        <is>
          <t>7506499570527</t>
        </is>
      </c>
      <c r="E24" s="77" t="inlineStr">
        <is>
          <t>ST-VR-P-019-FW25-CM-L</t>
        </is>
      </c>
      <c r="F24" s="76" t="inlineStr">
        <is>
          <t>Stetson</t>
        </is>
      </c>
      <c r="G24" s="76" t="inlineStr">
        <is>
          <t>Camisa Stetson Vintage Range Cenote Maze</t>
        </is>
      </c>
      <c r="H24" s="74" t="inlineStr">
        <is>
          <t>Camisas</t>
        </is>
      </c>
      <c r="I24" s="74" t="inlineStr">
        <is>
          <t>L</t>
        </is>
      </c>
      <c r="J24" s="78" t="n">
        <v>9</v>
      </c>
      <c r="K24" s="76" t="n"/>
      <c r="L24" s="74" t="inlineStr">
        <is>
          <t>Verificado</t>
        </is>
      </c>
      <c r="M24" s="79" t="n"/>
    </row>
    <row r="25">
      <c r="A25" s="74" t="inlineStr">
        <is>
          <t>ESC-20260909-J1-L1-01</t>
        </is>
      </c>
      <c r="B25" s="75" t="inlineStr">
        <is>
          <t>2026-09-09 10:46:00</t>
        </is>
      </c>
      <c r="C25" s="76" t="inlineStr">
        <is>
          <t>J1-L1-01</t>
        </is>
      </c>
      <c r="D25" s="77" t="inlineStr">
        <is>
          <t>7506499570534</t>
        </is>
      </c>
      <c r="E25" s="77" t="inlineStr">
        <is>
          <t>ST-VR-P-019-FW25-CM-XL</t>
        </is>
      </c>
      <c r="F25" s="76" t="inlineStr">
        <is>
          <t>Stetson</t>
        </is>
      </c>
      <c r="G25" s="76" t="inlineStr">
        <is>
          <t>Camisa Stetson Vintage Range Cenote Maze</t>
        </is>
      </c>
      <c r="H25" s="74" t="inlineStr">
        <is>
          <t>Camisas</t>
        </is>
      </c>
      <c r="I25" s="74" t="inlineStr">
        <is>
          <t>XL</t>
        </is>
      </c>
      <c r="J25" s="78" t="n">
        <v>3</v>
      </c>
      <c r="K25" s="76" t="n"/>
      <c r="L25" s="74" t="inlineStr">
        <is>
          <t>Verificado</t>
        </is>
      </c>
      <c r="M25" s="79" t="n"/>
    </row>
    <row r="26">
      <c r="A26" s="74" t="inlineStr">
        <is>
          <t>ESC-20260909-J1-L1-01</t>
        </is>
      </c>
      <c r="B26" s="75" t="inlineStr">
        <is>
          <t>2026-09-09 10:46:00</t>
        </is>
      </c>
      <c r="C26" s="76" t="inlineStr">
        <is>
          <t>J1-L1-01</t>
        </is>
      </c>
      <c r="D26" s="77" t="inlineStr">
        <is>
          <t>7506499570541</t>
        </is>
      </c>
      <c r="E26" s="77" t="inlineStr">
        <is>
          <t>ST-VR-P-019-FW25-CM-2XL</t>
        </is>
      </c>
      <c r="F26" s="76" t="inlineStr">
        <is>
          <t>Stetson</t>
        </is>
      </c>
      <c r="G26" s="76" t="inlineStr">
        <is>
          <t>Camisa Stetson Vintage Range Cenote Maze</t>
        </is>
      </c>
      <c r="H26" s="74" t="inlineStr">
        <is>
          <t>Camisas</t>
        </is>
      </c>
      <c r="I26" s="74" t="inlineStr">
        <is>
          <t>XXL</t>
        </is>
      </c>
      <c r="J26" s="78" t="n">
        <v>1</v>
      </c>
      <c r="K26" s="76" t="n"/>
      <c r="L26" s="74" t="inlineStr">
        <is>
          <t>Verificado</t>
        </is>
      </c>
      <c r="M26" s="79" t="n"/>
    </row>
    <row r="27">
      <c r="A27" s="74" t="inlineStr">
        <is>
          <t>ESC-20260909-J1-L1-02</t>
        </is>
      </c>
      <c r="B27" s="75" t="inlineStr">
        <is>
          <t>2026-09-09 10:51:00</t>
        </is>
      </c>
      <c r="C27" s="76" t="inlineStr">
        <is>
          <t>J1-L1-02</t>
        </is>
      </c>
      <c r="D27" s="77" t="inlineStr">
        <is>
          <t>7506499569675</t>
        </is>
      </c>
      <c r="E27" s="77" t="inlineStr">
        <is>
          <t>ST-VR-S-002-FW25-OR-L</t>
        </is>
      </c>
      <c r="F27" s="76" t="inlineStr">
        <is>
          <t>Stetson</t>
        </is>
      </c>
      <c r="G27" s="76" t="inlineStr">
        <is>
          <t>Camisa Stetson Vintage Range Solid</t>
        </is>
      </c>
      <c r="H27" s="74" t="inlineStr">
        <is>
          <t>Camisas</t>
        </is>
      </c>
      <c r="I27" s="74" t="inlineStr">
        <is>
          <t>L</t>
        </is>
      </c>
      <c r="J27" s="78" t="n">
        <v>2</v>
      </c>
      <c r="K27" s="76" t="n"/>
      <c r="L27" s="74" t="inlineStr">
        <is>
          <t>Verificado</t>
        </is>
      </c>
      <c r="M27" s="79" t="n"/>
    </row>
    <row r="28">
      <c r="A28" s="74" t="inlineStr">
        <is>
          <t>ESC-20260909-J1-L1-02</t>
        </is>
      </c>
      <c r="B28" s="75" t="inlineStr">
        <is>
          <t>2026-09-09 10:51:00</t>
        </is>
      </c>
      <c r="C28" s="76" t="inlineStr">
        <is>
          <t>J1-L1-02</t>
        </is>
      </c>
      <c r="D28" s="77" t="inlineStr">
        <is>
          <t>7506499569668</t>
        </is>
      </c>
      <c r="E28" s="77" t="inlineStr">
        <is>
          <t>ST-VR-S-002-FW25-OR-M</t>
        </is>
      </c>
      <c r="F28" s="76" t="inlineStr">
        <is>
          <t>Stetson</t>
        </is>
      </c>
      <c r="G28" s="76" t="inlineStr">
        <is>
          <t>Camisa Stetson Vintage Range Solid</t>
        </is>
      </c>
      <c r="H28" s="74" t="inlineStr">
        <is>
          <t>Camisas</t>
        </is>
      </c>
      <c r="I28" s="74" t="inlineStr">
        <is>
          <t>M</t>
        </is>
      </c>
      <c r="J28" s="78" t="n">
        <v>7</v>
      </c>
      <c r="K28" s="76" t="n"/>
      <c r="L28" s="74" t="inlineStr">
        <is>
          <t>Verificado</t>
        </is>
      </c>
      <c r="M28" s="79" t="n"/>
    </row>
    <row r="29">
      <c r="A29" s="74" t="inlineStr">
        <is>
          <t>ESC-20260909-J1-L1-02</t>
        </is>
      </c>
      <c r="B29" s="75" t="inlineStr">
        <is>
          <t>2026-09-09 10:51:00</t>
        </is>
      </c>
      <c r="C29" s="76" t="inlineStr">
        <is>
          <t>J1-L1-02</t>
        </is>
      </c>
      <c r="D29" s="77" t="inlineStr">
        <is>
          <t>7506499569651</t>
        </is>
      </c>
      <c r="E29" s="77" t="inlineStr">
        <is>
          <t>ST-VR-S-002-FW25-OR-S</t>
        </is>
      </c>
      <c r="F29" s="76" t="inlineStr">
        <is>
          <t>Stetson</t>
        </is>
      </c>
      <c r="G29" s="76" t="inlineStr">
        <is>
          <t>Camisa Stetson Vintage Range Solid</t>
        </is>
      </c>
      <c r="H29" s="74" t="inlineStr">
        <is>
          <t>Camisas</t>
        </is>
      </c>
      <c r="I29" s="74" t="inlineStr">
        <is>
          <t>S</t>
        </is>
      </c>
      <c r="J29" s="78" t="n">
        <v>6</v>
      </c>
      <c r="K29" s="76" t="n"/>
      <c r="L29" s="74" t="inlineStr">
        <is>
          <t>Verificado</t>
        </is>
      </c>
      <c r="M29" s="79" t="n"/>
    </row>
    <row r="30">
      <c r="A30" s="74" t="inlineStr">
        <is>
          <t>ESC-20260909-J1-L1-02</t>
        </is>
      </c>
      <c r="B30" s="75" t="inlineStr">
        <is>
          <t>2026-09-09 10:51:00</t>
        </is>
      </c>
      <c r="C30" s="76" t="inlineStr">
        <is>
          <t>J1-L1-02</t>
        </is>
      </c>
      <c r="D30" s="77" t="inlineStr">
        <is>
          <t>7506499569514</t>
        </is>
      </c>
      <c r="E30" s="77" t="inlineStr">
        <is>
          <t>ST-TI-003-FW25-OR-M</t>
        </is>
      </c>
      <c r="F30" s="76" t="inlineStr">
        <is>
          <t>Stetson</t>
        </is>
      </c>
      <c r="G30" s="76" t="inlineStr">
        <is>
          <t>Camisa Stetson Trailblazer Icon</t>
        </is>
      </c>
      <c r="H30" s="74" t="inlineStr">
        <is>
          <t>Camisas</t>
        </is>
      </c>
      <c r="I30" s="74" t="inlineStr">
        <is>
          <t>M</t>
        </is>
      </c>
      <c r="J30" s="78" t="n">
        <v>3</v>
      </c>
      <c r="K30" s="76" t="n"/>
      <c r="L30" s="74" t="inlineStr">
        <is>
          <t>Verificado</t>
        </is>
      </c>
      <c r="M30" s="79" t="n"/>
    </row>
    <row r="31">
      <c r="A31" s="74" t="inlineStr">
        <is>
          <t>ESC-20260909-J1-L1-02</t>
        </is>
      </c>
      <c r="B31" s="75" t="inlineStr">
        <is>
          <t>2026-09-09 10:51:00</t>
        </is>
      </c>
      <c r="C31" s="76" t="inlineStr">
        <is>
          <t>J1-L1-02</t>
        </is>
      </c>
      <c r="D31" s="77" t="inlineStr">
        <is>
          <t>196070781199</t>
        </is>
      </c>
      <c r="E31" s="77" t="inlineStr">
        <is>
          <t>11-052-0565-2052-XS</t>
        </is>
      </c>
      <c r="F31" s="76" t="inlineStr">
        <is>
          <t>Stetson</t>
        </is>
      </c>
      <c r="G31" s="76" t="inlineStr">
        <is>
          <t>Camisa Stetson Blusa Mezclilla Tencel Azul Sin Mangas</t>
        </is>
      </c>
      <c r="H31" s="74" t="inlineStr">
        <is>
          <t>Camisas</t>
        </is>
      </c>
      <c r="I31" s="74" t="inlineStr">
        <is>
          <t>XS</t>
        </is>
      </c>
      <c r="J31" s="78" t="n">
        <v>2</v>
      </c>
      <c r="K31" s="76" t="n"/>
      <c r="L31" s="74" t="inlineStr">
        <is>
          <t>Verificado</t>
        </is>
      </c>
      <c r="M31" s="79" t="n"/>
    </row>
    <row r="32">
      <c r="A32" s="74" t="inlineStr">
        <is>
          <t>ESC-20260909-J1-L1-02</t>
        </is>
      </c>
      <c r="B32" s="75" t="inlineStr">
        <is>
          <t>2026-09-09 10:51:00</t>
        </is>
      </c>
      <c r="C32" s="76" t="inlineStr">
        <is>
          <t>J1-L1-02</t>
        </is>
      </c>
      <c r="D32" s="77" t="inlineStr">
        <is>
          <t>196070781175</t>
        </is>
      </c>
      <c r="E32" s="77" t="inlineStr">
        <is>
          <t>11-052-0565-2052-S</t>
        </is>
      </c>
      <c r="F32" s="76" t="inlineStr">
        <is>
          <t>Stetson</t>
        </is>
      </c>
      <c r="G32" s="76" t="inlineStr">
        <is>
          <t>Camisa Stetson Blusa Mezclilla Tencel Azul Sin Mangas</t>
        </is>
      </c>
      <c r="H32" s="74" t="inlineStr">
        <is>
          <t>Camisas</t>
        </is>
      </c>
      <c r="I32" s="74" t="inlineStr">
        <is>
          <t>S</t>
        </is>
      </c>
      <c r="J32" s="78" t="n">
        <v>2</v>
      </c>
      <c r="K32" s="76" t="n"/>
      <c r="L32" s="74" t="inlineStr">
        <is>
          <t>Verificado</t>
        </is>
      </c>
      <c r="M32" s="79" t="n"/>
    </row>
    <row r="33">
      <c r="A33" s="74" t="inlineStr">
        <is>
          <t>ESC-20260909-J1-L1-02</t>
        </is>
      </c>
      <c r="B33" s="75" t="inlineStr">
        <is>
          <t>2026-09-09 10:52:00</t>
        </is>
      </c>
      <c r="C33" s="76" t="inlineStr">
        <is>
          <t>J1-L1-02</t>
        </is>
      </c>
      <c r="D33" s="77" t="inlineStr">
        <is>
          <t>196070781168</t>
        </is>
      </c>
      <c r="E33" s="77" t="inlineStr">
        <is>
          <t>11-052-0565-2052-M</t>
        </is>
      </c>
      <c r="F33" s="76" t="inlineStr">
        <is>
          <t>Stetson</t>
        </is>
      </c>
      <c r="G33" s="76" t="inlineStr">
        <is>
          <t>Camisa Stetson Blusa Mezclilla Tencel Azul Sin Mangas</t>
        </is>
      </c>
      <c r="H33" s="74" t="inlineStr">
        <is>
          <t>Camisas</t>
        </is>
      </c>
      <c r="I33" s="74" t="inlineStr">
        <is>
          <t>M</t>
        </is>
      </c>
      <c r="J33" s="78" t="n">
        <v>2</v>
      </c>
      <c r="K33" s="76" t="n"/>
      <c r="L33" s="74" t="inlineStr">
        <is>
          <t>Verificado</t>
        </is>
      </c>
      <c r="M33" s="79" t="n"/>
    </row>
    <row r="34">
      <c r="A34" s="74" t="inlineStr">
        <is>
          <t>ESC-20260909-J1-L1-02</t>
        </is>
      </c>
      <c r="B34" s="75" t="inlineStr">
        <is>
          <t>2026-09-09 10:52:00</t>
        </is>
      </c>
      <c r="C34" s="76" t="inlineStr">
        <is>
          <t>J1-L1-02</t>
        </is>
      </c>
      <c r="D34" s="77" t="inlineStr">
        <is>
          <t>196070781151</t>
        </is>
      </c>
      <c r="E34" s="77" t="inlineStr">
        <is>
          <t>11-052-0565-2052-L</t>
        </is>
      </c>
      <c r="F34" s="76" t="inlineStr">
        <is>
          <t>Stetson</t>
        </is>
      </c>
      <c r="G34" s="76" t="inlineStr">
        <is>
          <t>Camisa Stetson Blusa Mezclilla Tencel Azul Sin Mangas</t>
        </is>
      </c>
      <c r="H34" s="74" t="inlineStr">
        <is>
          <t>Camisas</t>
        </is>
      </c>
      <c r="I34" s="74" t="inlineStr">
        <is>
          <t>L</t>
        </is>
      </c>
      <c r="J34" s="78" t="n">
        <v>2</v>
      </c>
      <c r="K34" s="76" t="n"/>
      <c r="L34" s="74" t="inlineStr">
        <is>
          <t>Verificado</t>
        </is>
      </c>
      <c r="M34" s="79" t="n"/>
    </row>
    <row r="35">
      <c r="A35" s="74" t="inlineStr">
        <is>
          <t>ESC-20260909-J1-L1-02</t>
        </is>
      </c>
      <c r="B35" s="75" t="inlineStr">
        <is>
          <t>2026-09-09 10:52:00</t>
        </is>
      </c>
      <c r="C35" s="76" t="inlineStr">
        <is>
          <t>J1-L1-02</t>
        </is>
      </c>
      <c r="D35" s="77" t="inlineStr">
        <is>
          <t>196070781182</t>
        </is>
      </c>
      <c r="E35" s="77" t="inlineStr">
        <is>
          <t>11-052-0565-2052-XL</t>
        </is>
      </c>
      <c r="F35" s="76" t="inlineStr">
        <is>
          <t>Stetson</t>
        </is>
      </c>
      <c r="G35" s="76" t="inlineStr">
        <is>
          <t>Camisa Stetson Blusa Mezclilla Tencel Azul Sin Mangas</t>
        </is>
      </c>
      <c r="H35" s="74" t="inlineStr">
        <is>
          <t>Camisas</t>
        </is>
      </c>
      <c r="I35" s="74" t="inlineStr">
        <is>
          <t>XL</t>
        </is>
      </c>
      <c r="J35" s="78" t="n">
        <v>2</v>
      </c>
      <c r="K35" s="76" t="n"/>
      <c r="L35" s="74" t="inlineStr">
        <is>
          <t>Verificado</t>
        </is>
      </c>
      <c r="M35" s="79" t="n"/>
    </row>
    <row r="36">
      <c r="A36" s="74" t="inlineStr">
        <is>
          <t>ESC-20260909-J1-L1-02</t>
        </is>
      </c>
      <c r="B36" s="75" t="inlineStr">
        <is>
          <t>2026-09-09 10:52:00</t>
        </is>
      </c>
      <c r="C36" s="76" t="inlineStr">
        <is>
          <t>J1-L1-02</t>
        </is>
      </c>
      <c r="D36" s="77" t="inlineStr">
        <is>
          <t>7506499569507</t>
        </is>
      </c>
      <c r="E36" s="77" t="inlineStr">
        <is>
          <t>ST-TI-003-FW25-OR-S</t>
        </is>
      </c>
      <c r="F36" s="76" t="inlineStr">
        <is>
          <t>Stetson</t>
        </is>
      </c>
      <c r="G36" s="76" t="inlineStr">
        <is>
          <t>Camisa Stetson Trailblazer Icon</t>
        </is>
      </c>
      <c r="H36" s="74" t="inlineStr">
        <is>
          <t>Camisas</t>
        </is>
      </c>
      <c r="I36" s="74" t="inlineStr">
        <is>
          <t>S</t>
        </is>
      </c>
      <c r="J36" s="78" t="n">
        <v>1</v>
      </c>
      <c r="K36" s="76" t="n"/>
      <c r="L36" s="74" t="inlineStr">
        <is>
          <t>Verificado</t>
        </is>
      </c>
      <c r="M36" s="79" t="n"/>
    </row>
    <row r="37">
      <c r="A37" s="74" t="inlineStr">
        <is>
          <t>ESC-20260909-J1-L1-02</t>
        </is>
      </c>
      <c r="B37" s="75" t="inlineStr">
        <is>
          <t>2026-09-09 10:52:00</t>
        </is>
      </c>
      <c r="C37" s="76" t="inlineStr">
        <is>
          <t>J1-L1-02</t>
        </is>
      </c>
      <c r="D37" s="77" t="inlineStr">
        <is>
          <t>7506499569545</t>
        </is>
      </c>
      <c r="E37" s="77" t="inlineStr">
        <is>
          <t>ST-TI-003-FW25-OR-2XL</t>
        </is>
      </c>
      <c r="F37" s="76" t="inlineStr">
        <is>
          <t>Stetson</t>
        </is>
      </c>
      <c r="G37" s="76" t="inlineStr">
        <is>
          <t>Camisa Stetson Trailblazer Icon</t>
        </is>
      </c>
      <c r="H37" s="74" t="inlineStr">
        <is>
          <t>Camisas</t>
        </is>
      </c>
      <c r="I37" s="74" t="inlineStr">
        <is>
          <t>XXL</t>
        </is>
      </c>
      <c r="J37" s="78" t="n">
        <v>1</v>
      </c>
      <c r="K37" s="76" t="n"/>
      <c r="L37" s="74" t="inlineStr">
        <is>
          <t>Verificado</t>
        </is>
      </c>
      <c r="M37" s="79" t="n"/>
    </row>
    <row r="38">
      <c r="A38" s="74" t="inlineStr">
        <is>
          <t>ESC-20260909-J1-L1-02</t>
        </is>
      </c>
      <c r="B38" s="75" t="inlineStr">
        <is>
          <t>2026-09-09 10:52:00</t>
        </is>
      </c>
      <c r="C38" s="76" t="inlineStr">
        <is>
          <t>J1-L1-02</t>
        </is>
      </c>
      <c r="D38" s="77" t="inlineStr">
        <is>
          <t>7506499569590</t>
        </is>
      </c>
      <c r="E38" s="77" t="inlineStr">
        <is>
          <t>ST-VR-SD-001-FW25-BM-2XL</t>
        </is>
      </c>
      <c r="F38" s="76" t="inlineStr">
        <is>
          <t>Stetson</t>
        </is>
      </c>
      <c r="G38" s="76" t="inlineStr">
        <is>
          <t>Camisa Stetson Vintage Range Denim</t>
        </is>
      </c>
      <c r="H38" s="74" t="inlineStr">
        <is>
          <t>Camisas</t>
        </is>
      </c>
      <c r="I38" s="74" t="inlineStr">
        <is>
          <t>XXL</t>
        </is>
      </c>
      <c r="J38" s="78" t="n">
        <v>1</v>
      </c>
      <c r="K38" s="76" t="n"/>
      <c r="L38" s="74" t="inlineStr">
        <is>
          <t>Verificado</t>
        </is>
      </c>
      <c r="M38" s="79" t="n"/>
    </row>
    <row r="39">
      <c r="A39" s="74" t="inlineStr">
        <is>
          <t>ESC-20260909-J1-L1-02</t>
        </is>
      </c>
      <c r="B39" s="75" t="inlineStr">
        <is>
          <t>2026-09-09 10:52:00</t>
        </is>
      </c>
      <c r="C39" s="76" t="inlineStr">
        <is>
          <t>J1-L1-02</t>
        </is>
      </c>
      <c r="D39" s="77" t="inlineStr">
        <is>
          <t>7506499569576</t>
        </is>
      </c>
      <c r="E39" s="77" t="inlineStr">
        <is>
          <t>ST-VR-SD-001-FW25-BM-L</t>
        </is>
      </c>
      <c r="F39" s="76" t="inlineStr">
        <is>
          <t>Stetson</t>
        </is>
      </c>
      <c r="G39" s="76" t="inlineStr">
        <is>
          <t>Camisa Stetson Vintage Range Denim</t>
        </is>
      </c>
      <c r="H39" s="74" t="inlineStr">
        <is>
          <t>Camisas</t>
        </is>
      </c>
      <c r="I39" s="74" t="inlineStr">
        <is>
          <t>L</t>
        </is>
      </c>
      <c r="J39" s="78" t="n">
        <v>5</v>
      </c>
      <c r="K39" s="76" t="n"/>
      <c r="L39" s="74" t="inlineStr">
        <is>
          <t>Verificado</t>
        </is>
      </c>
      <c r="M39" s="79" t="n"/>
    </row>
    <row r="40">
      <c r="A40" s="74" t="inlineStr">
        <is>
          <t>ESC-20260909-J1-L1-02</t>
        </is>
      </c>
      <c r="B40" s="75" t="inlineStr">
        <is>
          <t>2026-09-09 10:53:00</t>
        </is>
      </c>
      <c r="C40" s="76" t="inlineStr">
        <is>
          <t>J1-L1-02</t>
        </is>
      </c>
      <c r="D40" s="77" t="inlineStr">
        <is>
          <t>7506499569569</t>
        </is>
      </c>
      <c r="E40" s="77" t="inlineStr">
        <is>
          <t>ST-VR-SD-001-FW25-BM-M</t>
        </is>
      </c>
      <c r="F40" s="76" t="inlineStr">
        <is>
          <t>Stetson</t>
        </is>
      </c>
      <c r="G40" s="76" t="inlineStr">
        <is>
          <t>Camisa Stetson Vintage Range Denim</t>
        </is>
      </c>
      <c r="H40" s="74" t="inlineStr">
        <is>
          <t>Camisas</t>
        </is>
      </c>
      <c r="I40" s="74" t="inlineStr">
        <is>
          <t>M</t>
        </is>
      </c>
      <c r="J40" s="78" t="n">
        <v>6</v>
      </c>
      <c r="K40" s="76" t="n"/>
      <c r="L40" s="74" t="inlineStr">
        <is>
          <t>Verificado</t>
        </is>
      </c>
      <c r="M40" s="79" t="n"/>
    </row>
    <row r="41">
      <c r="A41" s="74" t="inlineStr">
        <is>
          <t>ESC-20260909-J1-L1-02</t>
        </is>
      </c>
      <c r="B41" s="75" t="inlineStr">
        <is>
          <t>2026-09-09 10:53:00</t>
        </is>
      </c>
      <c r="C41" s="76" t="inlineStr">
        <is>
          <t>J1-L1-02</t>
        </is>
      </c>
      <c r="D41" s="77" t="inlineStr">
        <is>
          <t>7506499569552</t>
        </is>
      </c>
      <c r="E41" s="77" t="inlineStr">
        <is>
          <t>ST-VR-SD-001-FW25-BM-S</t>
        </is>
      </c>
      <c r="F41" s="76" t="inlineStr">
        <is>
          <t>Stetson</t>
        </is>
      </c>
      <c r="G41" s="76" t="inlineStr">
        <is>
          <t>Camisa Stetson Vintage Range Denim</t>
        </is>
      </c>
      <c r="H41" s="74" t="inlineStr">
        <is>
          <t>Camisas</t>
        </is>
      </c>
      <c r="I41" s="74" t="inlineStr">
        <is>
          <t>S</t>
        </is>
      </c>
      <c r="J41" s="78" t="n">
        <v>4</v>
      </c>
      <c r="K41" s="76" t="n"/>
      <c r="L41" s="74" t="inlineStr">
        <is>
          <t>Verificado</t>
        </is>
      </c>
      <c r="M41" s="79" t="n"/>
    </row>
    <row r="42">
      <c r="A42" s="74" t="inlineStr">
        <is>
          <t>ESC-20260909-J1-L1-02</t>
        </is>
      </c>
      <c r="B42" s="75" t="inlineStr">
        <is>
          <t>2026-09-09 10:53:00</t>
        </is>
      </c>
      <c r="C42" s="76" t="inlineStr">
        <is>
          <t>J1-L1-02</t>
        </is>
      </c>
      <c r="D42" s="77" t="inlineStr">
        <is>
          <t>7506499573986</t>
        </is>
      </c>
      <c r="E42" s="77" t="inlineStr">
        <is>
          <t>ST-VR-P-022-FW25-OG-M</t>
        </is>
      </c>
      <c r="F42" s="76" t="inlineStr">
        <is>
          <t>Stetson</t>
        </is>
      </c>
      <c r="G42" s="76" t="inlineStr">
        <is>
          <t>Camisa Stetson Vintage Range Onyx Grecas</t>
        </is>
      </c>
      <c r="H42" s="74" t="inlineStr">
        <is>
          <t>Camisas</t>
        </is>
      </c>
      <c r="I42" s="74" t="inlineStr">
        <is>
          <t>M</t>
        </is>
      </c>
      <c r="J42" s="78" t="n">
        <v>1</v>
      </c>
      <c r="K42" s="76" t="n"/>
      <c r="L42" s="74" t="inlineStr">
        <is>
          <t>Verificado</t>
        </is>
      </c>
      <c r="M42" s="79" t="n"/>
    </row>
    <row r="43">
      <c r="A43" s="74" t="inlineStr">
        <is>
          <t>ESC-20260909-J1-L1-02</t>
        </is>
      </c>
      <c r="B43" s="75" t="inlineStr">
        <is>
          <t>2026-09-09 10:53:00</t>
        </is>
      </c>
      <c r="C43" s="76" t="inlineStr">
        <is>
          <t>J1-L1-02</t>
        </is>
      </c>
      <c r="D43" s="77" t="inlineStr">
        <is>
          <t>196070780949</t>
        </is>
      </c>
      <c r="E43" s="77" t="inlineStr">
        <is>
          <t>11-050-0594-2051-XS</t>
        </is>
      </c>
      <c r="F43" s="76" t="inlineStr">
        <is>
          <t>Stetson</t>
        </is>
      </c>
      <c r="G43" s="76" t="inlineStr">
        <is>
          <t>Camisa Stetson Blusa Manga Larga Mezclilla Crop Dama Azul</t>
        </is>
      </c>
      <c r="H43" s="74" t="inlineStr">
        <is>
          <t>Camisas</t>
        </is>
      </c>
      <c r="I43" s="74" t="inlineStr">
        <is>
          <t>XS</t>
        </is>
      </c>
      <c r="J43" s="78" t="n">
        <v>2</v>
      </c>
      <c r="K43" s="76" t="n"/>
      <c r="L43" s="74" t="inlineStr">
        <is>
          <t>Verificado</t>
        </is>
      </c>
      <c r="M43" s="79" t="n"/>
    </row>
    <row r="44">
      <c r="A44" s="74" t="inlineStr">
        <is>
          <t>ESC-20260909-J1-L1-02</t>
        </is>
      </c>
      <c r="B44" s="75" t="inlineStr">
        <is>
          <t>2026-09-09 10:53:00</t>
        </is>
      </c>
      <c r="C44" s="76" t="inlineStr">
        <is>
          <t>J1-L1-02</t>
        </is>
      </c>
      <c r="D44" s="77" t="inlineStr">
        <is>
          <t>196070780918</t>
        </is>
      </c>
      <c r="E44" s="77" t="inlineStr">
        <is>
          <t>11-050-0594-2051-M</t>
        </is>
      </c>
      <c r="F44" s="76" t="inlineStr">
        <is>
          <t>Stetson</t>
        </is>
      </c>
      <c r="G44" s="76" t="inlineStr">
        <is>
          <t>Camisa Stetson Blusa Manga Larga Mezclilla Crop Dama Azul</t>
        </is>
      </c>
      <c r="H44" s="74" t="inlineStr">
        <is>
          <t>Camisas</t>
        </is>
      </c>
      <c r="I44" s="74" t="inlineStr">
        <is>
          <t>M</t>
        </is>
      </c>
      <c r="J44" s="78" t="n">
        <v>2</v>
      </c>
      <c r="K44" s="76" t="n"/>
      <c r="L44" s="74" t="inlineStr">
        <is>
          <t>Verificado</t>
        </is>
      </c>
      <c r="M44" s="79" t="n"/>
    </row>
    <row r="45">
      <c r="A45" s="74" t="inlineStr">
        <is>
          <t>ESC-20260909-J1-L1-02</t>
        </is>
      </c>
      <c r="B45" s="75" t="inlineStr">
        <is>
          <t>2026-09-09 10:53:00</t>
        </is>
      </c>
      <c r="C45" s="76" t="inlineStr">
        <is>
          <t>J1-L1-02</t>
        </is>
      </c>
      <c r="D45" s="77" t="inlineStr">
        <is>
          <t>196070780901</t>
        </is>
      </c>
      <c r="E45" s="77" t="inlineStr">
        <is>
          <t>11-050-0594-2051-L</t>
        </is>
      </c>
      <c r="F45" s="76" t="inlineStr">
        <is>
          <t>Stetson</t>
        </is>
      </c>
      <c r="G45" s="76" t="inlineStr">
        <is>
          <t>Camisa Stetson Blusa Manga Larga Mezclilla Crop Dama Azul</t>
        </is>
      </c>
      <c r="H45" s="74" t="inlineStr">
        <is>
          <t>Camisas</t>
        </is>
      </c>
      <c r="I45" s="74" t="inlineStr">
        <is>
          <t>L</t>
        </is>
      </c>
      <c r="J45" s="78" t="n">
        <v>2</v>
      </c>
      <c r="K45" s="76" t="n"/>
      <c r="L45" s="74" t="inlineStr">
        <is>
          <t>Verificado</t>
        </is>
      </c>
      <c r="M45" s="79" t="n"/>
    </row>
    <row r="46">
      <c r="A46" s="74" t="inlineStr">
        <is>
          <t>ESC-20260909-J1-L1-02</t>
        </is>
      </c>
      <c r="B46" s="75" t="inlineStr">
        <is>
          <t>2026-09-09 10:53:00</t>
        </is>
      </c>
      <c r="C46" s="76" t="inlineStr">
        <is>
          <t>J1-L1-02</t>
        </is>
      </c>
      <c r="D46" s="77" t="inlineStr">
        <is>
          <t>196070780932</t>
        </is>
      </c>
      <c r="E46" s="77" t="inlineStr">
        <is>
          <t>11-050-0594-2051-XL</t>
        </is>
      </c>
      <c r="F46" s="76" t="inlineStr">
        <is>
          <t>Stetson</t>
        </is>
      </c>
      <c r="G46" s="76" t="inlineStr">
        <is>
          <t>Camisa Stetson Blusa Manga Larga Mezclilla Crop Dama Azul</t>
        </is>
      </c>
      <c r="H46" s="74" t="inlineStr">
        <is>
          <t>Camisas</t>
        </is>
      </c>
      <c r="I46" s="74" t="inlineStr">
        <is>
          <t>XL</t>
        </is>
      </c>
      <c r="J46" s="78" t="n">
        <v>2</v>
      </c>
      <c r="K46" s="76" t="n"/>
      <c r="L46" s="74" t="inlineStr">
        <is>
          <t>Verificado</t>
        </is>
      </c>
      <c r="M46" s="79" t="n"/>
    </row>
    <row r="47">
      <c r="A47" s="74" t="inlineStr">
        <is>
          <t>ESC-20260909-J1-L1-02</t>
        </is>
      </c>
      <c r="B47" s="75" t="inlineStr">
        <is>
          <t>2026-09-09 10:54:00</t>
        </is>
      </c>
      <c r="C47" s="76" t="inlineStr">
        <is>
          <t>J1-L1-02</t>
        </is>
      </c>
      <c r="D47" s="77" t="inlineStr">
        <is>
          <t>7506499570008</t>
        </is>
      </c>
      <c r="E47" s="77" t="inlineStr">
        <is>
          <t>ST-VR-P-005-FW25-AZF-S</t>
        </is>
      </c>
      <c r="F47" s="76" t="inlineStr">
        <is>
          <t>Stetson</t>
        </is>
      </c>
      <c r="G47" s="76" t="inlineStr">
        <is>
          <t>Camisa Stetson Vintage Range Aztec Forge</t>
        </is>
      </c>
      <c r="H47" s="74" t="inlineStr">
        <is>
          <t>Camisas</t>
        </is>
      </c>
      <c r="I47" s="74" t="inlineStr">
        <is>
          <t>S</t>
        </is>
      </c>
      <c r="J47" s="78" t="n">
        <v>6</v>
      </c>
      <c r="K47" s="76" t="n"/>
      <c r="L47" s="74" t="inlineStr">
        <is>
          <t>Verificado</t>
        </is>
      </c>
      <c r="M47" s="79" t="n"/>
    </row>
    <row r="48">
      <c r="A48" s="74" t="inlineStr">
        <is>
          <t>ESC-20260909-J1-L1-02</t>
        </is>
      </c>
      <c r="B48" s="75" t="inlineStr">
        <is>
          <t>2026-09-09 10:54:00</t>
        </is>
      </c>
      <c r="C48" s="76" t="inlineStr">
        <is>
          <t>J1-L1-02</t>
        </is>
      </c>
      <c r="D48" s="77" t="inlineStr">
        <is>
          <t>7506499570015</t>
        </is>
      </c>
      <c r="E48" s="77" t="inlineStr">
        <is>
          <t>ST-VR-P-005-FW25-AZF-M</t>
        </is>
      </c>
      <c r="F48" s="76" t="inlineStr">
        <is>
          <t>Stetson</t>
        </is>
      </c>
      <c r="G48" s="76" t="inlineStr">
        <is>
          <t>Camisa Stetson Vintage Range Aztec Forge</t>
        </is>
      </c>
      <c r="H48" s="74" t="inlineStr">
        <is>
          <t>Camisas</t>
        </is>
      </c>
      <c r="I48" s="74" t="inlineStr">
        <is>
          <t>M</t>
        </is>
      </c>
      <c r="J48" s="78" t="n">
        <v>10</v>
      </c>
      <c r="K48" s="76" t="n"/>
      <c r="L48" s="74" t="inlineStr">
        <is>
          <t>Verificado</t>
        </is>
      </c>
      <c r="M48" s="79" t="n"/>
    </row>
    <row r="49">
      <c r="A49" s="74" t="inlineStr">
        <is>
          <t>ESC-20260909-J1-L1-02</t>
        </is>
      </c>
      <c r="B49" s="75" t="inlineStr">
        <is>
          <t>2026-09-09 10:55:00</t>
        </is>
      </c>
      <c r="C49" s="76" t="inlineStr">
        <is>
          <t>J1-L1-02</t>
        </is>
      </c>
      <c r="D49" s="77" t="inlineStr">
        <is>
          <t>7506499570022</t>
        </is>
      </c>
      <c r="E49" s="77" t="inlineStr">
        <is>
          <t>ST-VR-P-005-FW25-AZF-L</t>
        </is>
      </c>
      <c r="F49" s="76" t="inlineStr">
        <is>
          <t>Stetson</t>
        </is>
      </c>
      <c r="G49" s="76" t="inlineStr">
        <is>
          <t>Camisa Stetson Vintage Range Aztec Forge</t>
        </is>
      </c>
      <c r="H49" s="74" t="inlineStr">
        <is>
          <t>Camisas</t>
        </is>
      </c>
      <c r="I49" s="74" t="inlineStr">
        <is>
          <t>L</t>
        </is>
      </c>
      <c r="J49" s="78" t="n">
        <v>9</v>
      </c>
      <c r="K49" s="76" t="n"/>
      <c r="L49" s="74" t="inlineStr">
        <is>
          <t>Verificado</t>
        </is>
      </c>
      <c r="M49" s="79" t="n"/>
    </row>
    <row r="50">
      <c r="A50" s="74" t="inlineStr">
        <is>
          <t>ESC-20260909-J1-L1-02</t>
        </is>
      </c>
      <c r="B50" s="75" t="inlineStr">
        <is>
          <t>2026-09-09 10:55:00</t>
        </is>
      </c>
      <c r="C50" s="76" t="inlineStr">
        <is>
          <t>J1-L1-02</t>
        </is>
      </c>
      <c r="D50" s="77" t="inlineStr">
        <is>
          <t>7506499570039</t>
        </is>
      </c>
      <c r="E50" s="77" t="inlineStr">
        <is>
          <t>ST-VR-P-005-FW25-AZF-XL</t>
        </is>
      </c>
      <c r="F50" s="76" t="inlineStr">
        <is>
          <t>Stetson</t>
        </is>
      </c>
      <c r="G50" s="76" t="inlineStr">
        <is>
          <t>Camisa Stetson Vintage Range Aztec Forge</t>
        </is>
      </c>
      <c r="H50" s="74" t="inlineStr">
        <is>
          <t>Camisas</t>
        </is>
      </c>
      <c r="I50" s="74" t="inlineStr">
        <is>
          <t>XL</t>
        </is>
      </c>
      <c r="J50" s="78" t="n">
        <v>3</v>
      </c>
      <c r="K50" s="76" t="n"/>
      <c r="L50" s="74" t="inlineStr">
        <is>
          <t>Verificado</t>
        </is>
      </c>
      <c r="M50" s="79" t="n"/>
    </row>
    <row r="51">
      <c r="A51" s="74" t="inlineStr">
        <is>
          <t>ESC-20260909-J1-L1-02</t>
        </is>
      </c>
      <c r="B51" s="75" t="inlineStr">
        <is>
          <t>2026-09-09 10:55:00</t>
        </is>
      </c>
      <c r="C51" s="76" t="inlineStr">
        <is>
          <t>J1-L1-02</t>
        </is>
      </c>
      <c r="D51" s="77" t="inlineStr">
        <is>
          <t>7506499570046</t>
        </is>
      </c>
      <c r="E51" s="77" t="inlineStr">
        <is>
          <t>ST-VR-P-005-FW25-AZF-2XL</t>
        </is>
      </c>
      <c r="F51" s="76" t="inlineStr">
        <is>
          <t>Stetson</t>
        </is>
      </c>
      <c r="G51" s="76" t="inlineStr">
        <is>
          <t>Camisa Stetson Vintage Range Aztec Forge</t>
        </is>
      </c>
      <c r="H51" s="74" t="inlineStr">
        <is>
          <t>Camisas</t>
        </is>
      </c>
      <c r="I51" s="74" t="inlineStr">
        <is>
          <t>XXL</t>
        </is>
      </c>
      <c r="J51" s="78" t="n">
        <v>1</v>
      </c>
      <c r="K51" s="76" t="n"/>
      <c r="L51" s="74" t="inlineStr">
        <is>
          <t>Verificado</t>
        </is>
      </c>
      <c r="M51" s="79" t="n"/>
    </row>
    <row r="52">
      <c r="A52" s="74" t="inlineStr">
        <is>
          <t>ESC-20260909-I1-L1-01</t>
        </is>
      </c>
      <c r="B52" s="75" t="inlineStr">
        <is>
          <t>2026-09-09 11:00:00</t>
        </is>
      </c>
      <c r="C52" s="76" t="inlineStr">
        <is>
          <t>I1-L1-01</t>
        </is>
      </c>
      <c r="D52" s="77" t="inlineStr">
        <is>
          <t>7506499570404</t>
        </is>
      </c>
      <c r="E52" s="77" t="inlineStr">
        <is>
          <t>ST-VR-P-013-FW25-SF-S</t>
        </is>
      </c>
      <c r="F52" s="76" t="inlineStr">
        <is>
          <t>Stetson</t>
        </is>
      </c>
      <c r="G52" s="76" t="inlineStr">
        <is>
          <t>Camisa Stetson Vintage Range Skull Forge</t>
        </is>
      </c>
      <c r="H52" s="74" t="inlineStr">
        <is>
          <t>Camisas</t>
        </is>
      </c>
      <c r="I52" s="74" t="inlineStr">
        <is>
          <t>S</t>
        </is>
      </c>
      <c r="J52" s="78" t="n">
        <v>8</v>
      </c>
      <c r="K52" s="76" t="n"/>
      <c r="L52" s="74" t="inlineStr">
        <is>
          <t>Verificado</t>
        </is>
      </c>
      <c r="M52" s="79" t="n"/>
    </row>
    <row r="53">
      <c r="A53" s="74" t="inlineStr">
        <is>
          <t>ESC-20260909-I1-L1-01</t>
        </is>
      </c>
      <c r="B53" s="75" t="inlineStr">
        <is>
          <t>2026-09-09 11:00:00</t>
        </is>
      </c>
      <c r="C53" s="76" t="inlineStr">
        <is>
          <t>I1-L1-01</t>
        </is>
      </c>
      <c r="D53" s="77" t="inlineStr">
        <is>
          <t>7506499570411</t>
        </is>
      </c>
      <c r="E53" s="77" t="inlineStr">
        <is>
          <t>ST-VR-P-013-FW25-SF-M</t>
        </is>
      </c>
      <c r="F53" s="76" t="inlineStr">
        <is>
          <t>Stetson</t>
        </is>
      </c>
      <c r="G53" s="76" t="inlineStr">
        <is>
          <t>Camisa Stetson Vintage Range Skull Forge</t>
        </is>
      </c>
      <c r="H53" s="74" t="inlineStr">
        <is>
          <t>Camisas</t>
        </is>
      </c>
      <c r="I53" s="74" t="inlineStr">
        <is>
          <t>M</t>
        </is>
      </c>
      <c r="J53" s="78" t="n">
        <v>9</v>
      </c>
      <c r="K53" s="76" t="n"/>
      <c r="L53" s="74" t="inlineStr">
        <is>
          <t>Verificado</t>
        </is>
      </c>
      <c r="M53" s="79" t="n"/>
    </row>
    <row r="54">
      <c r="A54" s="74" t="inlineStr">
        <is>
          <t>ESC-20260909-I1-L1-01</t>
        </is>
      </c>
      <c r="B54" s="75" t="inlineStr">
        <is>
          <t>2026-09-09 11:01:00</t>
        </is>
      </c>
      <c r="C54" s="76" t="inlineStr">
        <is>
          <t>I1-L1-01</t>
        </is>
      </c>
      <c r="D54" s="77" t="inlineStr">
        <is>
          <t>7506499570428</t>
        </is>
      </c>
      <c r="E54" s="77" t="inlineStr">
        <is>
          <t>ST-VR-P-013-FW25-SF-L</t>
        </is>
      </c>
      <c r="F54" s="76" t="inlineStr">
        <is>
          <t>Stetson</t>
        </is>
      </c>
      <c r="G54" s="76" t="inlineStr">
        <is>
          <t>Camisa Stetson Vintage Range Skull Forge</t>
        </is>
      </c>
      <c r="H54" s="74" t="inlineStr">
        <is>
          <t>Camisas</t>
        </is>
      </c>
      <c r="I54" s="74" t="inlineStr">
        <is>
          <t>L</t>
        </is>
      </c>
      <c r="J54" s="78" t="n">
        <v>10</v>
      </c>
      <c r="K54" s="76" t="n"/>
      <c r="L54" s="74" t="inlineStr">
        <is>
          <t>Verificado</t>
        </is>
      </c>
      <c r="M54" s="79" t="n"/>
    </row>
    <row r="55">
      <c r="A55" s="74" t="inlineStr">
        <is>
          <t>ESC-20260909-I1-L1-01</t>
        </is>
      </c>
      <c r="B55" s="75" t="inlineStr">
        <is>
          <t>2026-09-09 11:01:00</t>
        </is>
      </c>
      <c r="C55" s="76" t="inlineStr">
        <is>
          <t>I1-L1-01</t>
        </is>
      </c>
      <c r="D55" s="77" t="inlineStr">
        <is>
          <t>7506499570435</t>
        </is>
      </c>
      <c r="E55" s="77" t="inlineStr">
        <is>
          <t>ST-VR-P-013-FW25-SF-XL</t>
        </is>
      </c>
      <c r="F55" s="76" t="inlineStr">
        <is>
          <t>Stetson</t>
        </is>
      </c>
      <c r="G55" s="76" t="inlineStr">
        <is>
          <t>Camisa Stetson Vintage Range Skull Forge</t>
        </is>
      </c>
      <c r="H55" s="74" t="inlineStr">
        <is>
          <t>Camisas</t>
        </is>
      </c>
      <c r="I55" s="74" t="inlineStr">
        <is>
          <t>XL</t>
        </is>
      </c>
      <c r="J55" s="78" t="n">
        <v>4</v>
      </c>
      <c r="K55" s="76" t="n"/>
      <c r="L55" s="74" t="inlineStr">
        <is>
          <t>Verificado</t>
        </is>
      </c>
      <c r="M55" s="79" t="n"/>
    </row>
    <row r="56">
      <c r="A56" s="74" t="inlineStr">
        <is>
          <t>ESC-20260909-I1-L1-01</t>
        </is>
      </c>
      <c r="B56" s="75" t="inlineStr">
        <is>
          <t>2026-09-09 11:01:00</t>
        </is>
      </c>
      <c r="C56" s="76" t="inlineStr">
        <is>
          <t>I1-L1-01</t>
        </is>
      </c>
      <c r="D56" s="77" t="inlineStr">
        <is>
          <t>7506499570442</t>
        </is>
      </c>
      <c r="E56" s="77" t="inlineStr">
        <is>
          <t>ST-VR-P-013-FW25-SF-2XL</t>
        </is>
      </c>
      <c r="F56" s="76" t="inlineStr">
        <is>
          <t>Stetson</t>
        </is>
      </c>
      <c r="G56" s="76" t="inlineStr">
        <is>
          <t>Camisa Stetson Vintage Range Skull Forge</t>
        </is>
      </c>
      <c r="H56" s="74" t="inlineStr">
        <is>
          <t>Camisas</t>
        </is>
      </c>
      <c r="I56" s="74" t="inlineStr">
        <is>
          <t>XXL</t>
        </is>
      </c>
      <c r="J56" s="78" t="n">
        <v>1</v>
      </c>
      <c r="K56" s="76" t="n"/>
      <c r="L56" s="74" t="inlineStr">
        <is>
          <t>Verificado</t>
        </is>
      </c>
      <c r="M56" s="79" t="n"/>
    </row>
    <row r="57">
      <c r="A57" s="74" t="inlineStr">
        <is>
          <t>ESC-20260909-I1-L1-01</t>
        </is>
      </c>
      <c r="B57" s="75" t="inlineStr">
        <is>
          <t>2026-09-09 11:01:00</t>
        </is>
      </c>
      <c r="C57" s="76" t="inlineStr">
        <is>
          <t>I1-L1-01</t>
        </is>
      </c>
      <c r="D57" s="77" t="inlineStr">
        <is>
          <t>7506499569453</t>
        </is>
      </c>
      <c r="E57" s="77" t="inlineStr">
        <is>
          <t>ST-TI-002-FW25-AF-S</t>
        </is>
      </c>
      <c r="F57" s="76" t="inlineStr">
        <is>
          <t>Stetson</t>
        </is>
      </c>
      <c r="G57" s="76" t="inlineStr">
        <is>
          <t>Camisa Stetson Trailblazer Icon</t>
        </is>
      </c>
      <c r="H57" s="74" t="inlineStr">
        <is>
          <t>Camisas</t>
        </is>
      </c>
      <c r="I57" s="74" t="inlineStr">
        <is>
          <t>S</t>
        </is>
      </c>
      <c r="J57" s="78" t="n">
        <v>5</v>
      </c>
      <c r="K57" s="76" t="n"/>
      <c r="L57" s="74" t="inlineStr">
        <is>
          <t>Verificado</t>
        </is>
      </c>
      <c r="M57" s="79" t="n"/>
    </row>
    <row r="58">
      <c r="A58" s="74" t="inlineStr">
        <is>
          <t>ESC-20260909-I1-L1-01</t>
        </is>
      </c>
      <c r="B58" s="75" t="inlineStr">
        <is>
          <t>2026-09-09 11:02:00</t>
        </is>
      </c>
      <c r="C58" s="76" t="inlineStr">
        <is>
          <t>I1-L1-01</t>
        </is>
      </c>
      <c r="D58" s="77" t="inlineStr">
        <is>
          <t>7506499569460</t>
        </is>
      </c>
      <c r="E58" s="77" t="inlineStr">
        <is>
          <t>ST-TI-002-FW25-AF-M</t>
        </is>
      </c>
      <c r="F58" s="76" t="inlineStr">
        <is>
          <t>Stetson</t>
        </is>
      </c>
      <c r="G58" s="76" t="inlineStr">
        <is>
          <t>Camisa Stetson Trailblazer Icon</t>
        </is>
      </c>
      <c r="H58" s="74" t="inlineStr">
        <is>
          <t>Camisas</t>
        </is>
      </c>
      <c r="I58" s="74" t="inlineStr">
        <is>
          <t>M</t>
        </is>
      </c>
      <c r="J58" s="78" t="n">
        <v>3</v>
      </c>
      <c r="K58" s="76" t="n"/>
      <c r="L58" s="74" t="inlineStr">
        <is>
          <t>Verificado</t>
        </is>
      </c>
      <c r="M58" s="79" t="n"/>
    </row>
    <row r="59">
      <c r="A59" s="74" t="inlineStr">
        <is>
          <t>ESC-20260909-I1-L1-01</t>
        </is>
      </c>
      <c r="B59" s="75" t="inlineStr">
        <is>
          <t>2026-09-09 11:02:00</t>
        </is>
      </c>
      <c r="C59" s="76" t="inlineStr">
        <is>
          <t>I1-L1-01</t>
        </is>
      </c>
      <c r="D59" s="77" t="inlineStr">
        <is>
          <t>7506499569484</t>
        </is>
      </c>
      <c r="E59" s="77" t="inlineStr">
        <is>
          <t>ST-TI-002-FW25-AF-XL</t>
        </is>
      </c>
      <c r="F59" s="76" t="inlineStr">
        <is>
          <t>Stetson</t>
        </is>
      </c>
      <c r="G59" s="76" t="inlineStr">
        <is>
          <t>Camisa Stetson Trailblazer Icon</t>
        </is>
      </c>
      <c r="H59" s="74" t="inlineStr">
        <is>
          <t>Camisas</t>
        </is>
      </c>
      <c r="I59" s="74" t="inlineStr">
        <is>
          <t>XL</t>
        </is>
      </c>
      <c r="J59" s="78" t="n">
        <v>1</v>
      </c>
      <c r="K59" s="76" t="n"/>
      <c r="L59" s="74" t="inlineStr">
        <is>
          <t>Verificado</t>
        </is>
      </c>
      <c r="M59" s="79" t="n"/>
    </row>
    <row r="60">
      <c r="A60" s="74" t="inlineStr">
        <is>
          <t>ESC-20260909-I1-L1-01</t>
        </is>
      </c>
      <c r="B60" s="75" t="inlineStr">
        <is>
          <t>2026-09-09 11:02:00</t>
        </is>
      </c>
      <c r="C60" s="76" t="inlineStr">
        <is>
          <t>I1-L1-01</t>
        </is>
      </c>
      <c r="D60" s="77" t="inlineStr">
        <is>
          <t>7506499569491</t>
        </is>
      </c>
      <c r="E60" s="77" t="inlineStr">
        <is>
          <t>ST-TI-002-FW25-AF-2XL</t>
        </is>
      </c>
      <c r="F60" s="76" t="inlineStr">
        <is>
          <t>Stetson</t>
        </is>
      </c>
      <c r="G60" s="76" t="inlineStr">
        <is>
          <t>Camisa Stetson Trailblazer Icon</t>
        </is>
      </c>
      <c r="H60" s="74" t="inlineStr">
        <is>
          <t>Camisas</t>
        </is>
      </c>
      <c r="I60" s="74" t="inlineStr">
        <is>
          <t>XXL</t>
        </is>
      </c>
      <c r="J60" s="78" t="n">
        <v>1</v>
      </c>
      <c r="K60" s="76" t="n"/>
      <c r="L60" s="74" t="inlineStr">
        <is>
          <t>Verificado</t>
        </is>
      </c>
      <c r="M60" s="79" t="n"/>
    </row>
    <row r="61">
      <c r="A61" s="74" t="inlineStr">
        <is>
          <t>ESC-20260909-I1-L1-01</t>
        </is>
      </c>
      <c r="B61" s="75" t="inlineStr">
        <is>
          <t>2026-09-09 11:02:00</t>
        </is>
      </c>
      <c r="C61" s="76" t="inlineStr">
        <is>
          <t>I1-L1-01</t>
        </is>
      </c>
      <c r="D61" s="77" t="inlineStr">
        <is>
          <t>7506499569767</t>
        </is>
      </c>
      <c r="E61" s="77" t="inlineStr">
        <is>
          <t>ST-VR-S-004-FW25-HO-M</t>
        </is>
      </c>
      <c r="F61" s="76" t="inlineStr">
        <is>
          <t>Stetson</t>
        </is>
      </c>
      <c r="G61" s="76" t="inlineStr">
        <is>
          <t>Camisa Stetson Vintage Range Solid</t>
        </is>
      </c>
      <c r="H61" s="74" t="inlineStr">
        <is>
          <t>Camisas</t>
        </is>
      </c>
      <c r="I61" s="74" t="inlineStr">
        <is>
          <t>M</t>
        </is>
      </c>
      <c r="J61" s="78" t="n">
        <v>5</v>
      </c>
      <c r="K61" s="76" t="n"/>
      <c r="L61" s="74" t="inlineStr">
        <is>
          <t>Verificado</t>
        </is>
      </c>
      <c r="M61" s="79" t="n"/>
    </row>
    <row r="62">
      <c r="A62" s="74" t="inlineStr">
        <is>
          <t>ESC-20260909-I1-L1-01</t>
        </is>
      </c>
      <c r="B62" s="75" t="inlineStr">
        <is>
          <t>2026-09-09 11:02:00</t>
        </is>
      </c>
      <c r="C62" s="76" t="inlineStr">
        <is>
          <t>I1-L1-01</t>
        </is>
      </c>
      <c r="D62" s="77" t="inlineStr">
        <is>
          <t>7506499569750</t>
        </is>
      </c>
      <c r="E62" s="77" t="inlineStr">
        <is>
          <t>ST-VR-S-004-FW25-HO-S</t>
        </is>
      </c>
      <c r="F62" s="76" t="inlineStr">
        <is>
          <t>Stetson</t>
        </is>
      </c>
      <c r="G62" s="76" t="inlineStr">
        <is>
          <t>Camisa Stetson Vintage Range Solid</t>
        </is>
      </c>
      <c r="H62" s="74" t="inlineStr">
        <is>
          <t>Camisas</t>
        </is>
      </c>
      <c r="I62" s="74" t="inlineStr">
        <is>
          <t>S</t>
        </is>
      </c>
      <c r="J62" s="78" t="n">
        <v>5</v>
      </c>
      <c r="K62" s="76" t="n"/>
      <c r="L62" s="74" t="inlineStr">
        <is>
          <t>Verificado</t>
        </is>
      </c>
      <c r="M62" s="79" t="n"/>
    </row>
    <row r="63">
      <c r="A63" s="74" t="inlineStr">
        <is>
          <t>ESC-20260909-I1-L1-01</t>
        </is>
      </c>
      <c r="B63" s="75" t="inlineStr">
        <is>
          <t>2026-09-09 11:02:00</t>
        </is>
      </c>
      <c r="C63" s="76" t="inlineStr">
        <is>
          <t>I1-L1-01</t>
        </is>
      </c>
      <c r="D63" s="77" t="inlineStr">
        <is>
          <t>7506499569781</t>
        </is>
      </c>
      <c r="E63" s="77" t="inlineStr">
        <is>
          <t>ST-VR-S-004-FW25-HO-XL</t>
        </is>
      </c>
      <c r="F63" s="76" t="inlineStr">
        <is>
          <t>Stetson</t>
        </is>
      </c>
      <c r="G63" s="76" t="inlineStr">
        <is>
          <t>Camisa Stetson Vintage Range Solid</t>
        </is>
      </c>
      <c r="H63" s="74" t="inlineStr">
        <is>
          <t>Camisas</t>
        </is>
      </c>
      <c r="I63" s="74" t="inlineStr">
        <is>
          <t>XL</t>
        </is>
      </c>
      <c r="J63" s="78" t="n">
        <v>1</v>
      </c>
      <c r="K63" s="76" t="n"/>
      <c r="L63" s="74" t="inlineStr">
        <is>
          <t>Verificado</t>
        </is>
      </c>
      <c r="M63" s="79" t="n"/>
    </row>
    <row r="64">
      <c r="A64" s="74" t="inlineStr">
        <is>
          <t>ESC-20260909-I1-L1-01</t>
        </is>
      </c>
      <c r="B64" s="75" t="inlineStr">
        <is>
          <t>2026-09-09 11:02:00</t>
        </is>
      </c>
      <c r="C64" s="76" t="inlineStr">
        <is>
          <t>I1-L1-01</t>
        </is>
      </c>
      <c r="D64" s="77" t="inlineStr">
        <is>
          <t>7506499569774</t>
        </is>
      </c>
      <c r="E64" s="77" t="inlineStr">
        <is>
          <t>ST-VR-S-004-FW25-HO-L</t>
        </is>
      </c>
      <c r="F64" s="76" t="inlineStr">
        <is>
          <t>Stetson</t>
        </is>
      </c>
      <c r="G64" s="76" t="inlineStr">
        <is>
          <t>Camisa Stetson Vintage Range Solid</t>
        </is>
      </c>
      <c r="H64" s="74" t="inlineStr">
        <is>
          <t>Camisas</t>
        </is>
      </c>
      <c r="I64" s="74" t="inlineStr">
        <is>
          <t>L</t>
        </is>
      </c>
      <c r="J64" s="78" t="n">
        <v>7</v>
      </c>
      <c r="K64" s="76" t="n"/>
      <c r="L64" s="74" t="inlineStr">
        <is>
          <t>Verificado</t>
        </is>
      </c>
      <c r="M64" s="79" t="n"/>
    </row>
    <row r="65">
      <c r="A65" s="74" t="inlineStr">
        <is>
          <t>ESC-20260909-I1-L1-01</t>
        </is>
      </c>
      <c r="B65" s="75" t="inlineStr">
        <is>
          <t>2026-09-09 11:03:00</t>
        </is>
      </c>
      <c r="C65" s="76" t="inlineStr">
        <is>
          <t>I1-L1-01</t>
        </is>
      </c>
      <c r="D65" s="77" t="inlineStr">
        <is>
          <t>7506499570701</t>
        </is>
      </c>
      <c r="E65" s="77" t="inlineStr">
        <is>
          <t>ST-VR-P-015-FW25-SOB-S</t>
        </is>
      </c>
      <c r="F65" s="76" t="inlineStr">
        <is>
          <t>Stetson</t>
        </is>
      </c>
      <c r="G65" s="76" t="inlineStr">
        <is>
          <t>Camisa Stetson Vintage Range Sonora Bloom</t>
        </is>
      </c>
      <c r="H65" s="74" t="inlineStr">
        <is>
          <t>Camisas</t>
        </is>
      </c>
      <c r="I65" s="74" t="inlineStr">
        <is>
          <t>S</t>
        </is>
      </c>
      <c r="J65" s="78" t="n">
        <v>7</v>
      </c>
      <c r="K65" s="76" t="n"/>
      <c r="L65" s="74" t="inlineStr">
        <is>
          <t>Verificado</t>
        </is>
      </c>
      <c r="M65" s="79" t="n"/>
    </row>
    <row r="66">
      <c r="A66" s="74" t="inlineStr">
        <is>
          <t>ESC-20260909-I1-L1-01</t>
        </is>
      </c>
      <c r="B66" s="75" t="inlineStr">
        <is>
          <t>2026-09-09 11:03:00</t>
        </is>
      </c>
      <c r="C66" s="76" t="inlineStr">
        <is>
          <t>I1-L1-01</t>
        </is>
      </c>
      <c r="D66" s="77" t="inlineStr">
        <is>
          <t>7506499570718</t>
        </is>
      </c>
      <c r="E66" s="77" t="inlineStr">
        <is>
          <t>ST-VR-P-015-FW25-SOB-M</t>
        </is>
      </c>
      <c r="F66" s="76" t="inlineStr">
        <is>
          <t>Stetson</t>
        </is>
      </c>
      <c r="G66" s="76" t="inlineStr">
        <is>
          <t>Camisa Stetson Vintage Range Sonora Bloom</t>
        </is>
      </c>
      <c r="H66" s="74" t="inlineStr">
        <is>
          <t>Camisas</t>
        </is>
      </c>
      <c r="I66" s="74" t="inlineStr">
        <is>
          <t>M</t>
        </is>
      </c>
      <c r="J66" s="78" t="n">
        <v>9</v>
      </c>
      <c r="K66" s="76" t="n"/>
      <c r="L66" s="74" t="inlineStr">
        <is>
          <t>Verificado</t>
        </is>
      </c>
      <c r="M66" s="79" t="n"/>
    </row>
    <row r="67">
      <c r="A67" s="74" t="inlineStr">
        <is>
          <t>ESC-20260909-I1-L1-01</t>
        </is>
      </c>
      <c r="B67" s="75" t="inlineStr">
        <is>
          <t>2026-09-09 11:03:00</t>
        </is>
      </c>
      <c r="C67" s="76" t="inlineStr">
        <is>
          <t>I1-L1-01</t>
        </is>
      </c>
      <c r="D67" s="77" t="inlineStr">
        <is>
          <t>7506499570725</t>
        </is>
      </c>
      <c r="E67" s="77" t="inlineStr">
        <is>
          <t>ST-VR-P-015-FW25-SOB-L</t>
        </is>
      </c>
      <c r="F67" s="76" t="inlineStr">
        <is>
          <t>Stetson</t>
        </is>
      </c>
      <c r="G67" s="76" t="inlineStr">
        <is>
          <t>Camisa Stetson Vintage Range Sonora Bloom</t>
        </is>
      </c>
      <c r="H67" s="74" t="inlineStr">
        <is>
          <t>Camisas</t>
        </is>
      </c>
      <c r="I67" s="74" t="inlineStr">
        <is>
          <t>L</t>
        </is>
      </c>
      <c r="J67" s="78" t="n">
        <v>10</v>
      </c>
      <c r="K67" s="76" t="n"/>
      <c r="L67" s="74" t="inlineStr">
        <is>
          <t>Verificado</t>
        </is>
      </c>
      <c r="M67" s="79" t="n"/>
    </row>
    <row r="68">
      <c r="A68" s="74" t="inlineStr">
        <is>
          <t>ESC-20260909-I1-L1-01</t>
        </is>
      </c>
      <c r="B68" s="75" t="inlineStr">
        <is>
          <t>2026-09-09 11:04:00</t>
        </is>
      </c>
      <c r="C68" s="76" t="inlineStr">
        <is>
          <t>I1-L1-01</t>
        </is>
      </c>
      <c r="D68" s="77" t="inlineStr">
        <is>
          <t>7506499570732</t>
        </is>
      </c>
      <c r="E68" s="77" t="inlineStr">
        <is>
          <t>ST-VR-P-015-FW25-SOB-XL</t>
        </is>
      </c>
      <c r="F68" s="76" t="inlineStr">
        <is>
          <t>Stetson</t>
        </is>
      </c>
      <c r="G68" s="76" t="inlineStr">
        <is>
          <t>Camisa Stetson Vintage Range Sonora Bloom</t>
        </is>
      </c>
      <c r="H68" s="74" t="inlineStr">
        <is>
          <t>Camisas</t>
        </is>
      </c>
      <c r="I68" s="74" t="inlineStr">
        <is>
          <t>XL</t>
        </is>
      </c>
      <c r="J68" s="78" t="n">
        <v>3</v>
      </c>
      <c r="K68" s="76" t="n"/>
      <c r="L68" s="74" t="inlineStr">
        <is>
          <t>Verificado</t>
        </is>
      </c>
      <c r="M68" s="79" t="n"/>
    </row>
    <row r="69">
      <c r="A69" s="74" t="inlineStr">
        <is>
          <t>ESC-20260909-I1-L1-01</t>
        </is>
      </c>
      <c r="B69" s="75" t="inlineStr">
        <is>
          <t>2026-09-09 11:04:00</t>
        </is>
      </c>
      <c r="C69" s="76" t="inlineStr">
        <is>
          <t>I1-L1-01</t>
        </is>
      </c>
      <c r="D69" s="77" t="inlineStr">
        <is>
          <t>7506499570749</t>
        </is>
      </c>
      <c r="E69" s="77" t="inlineStr">
        <is>
          <t>ST-VR-P-015-FW25-SOB-2XL</t>
        </is>
      </c>
      <c r="F69" s="76" t="inlineStr">
        <is>
          <t>Stetson</t>
        </is>
      </c>
      <c r="G69" s="76" t="inlineStr">
        <is>
          <t>Camisa Stetson Vintage Range Sonora Bloom</t>
        </is>
      </c>
      <c r="H69" s="74" t="inlineStr">
        <is>
          <t>Camisas</t>
        </is>
      </c>
      <c r="I69" s="74" t="inlineStr">
        <is>
          <t>XXL</t>
        </is>
      </c>
      <c r="J69" s="78" t="n">
        <v>1</v>
      </c>
      <c r="K69" s="76" t="n"/>
      <c r="L69" s="74" t="inlineStr">
        <is>
          <t>Verificado</t>
        </is>
      </c>
      <c r="M69" s="79" t="n"/>
    </row>
    <row r="70">
      <c r="A70" s="74" t="inlineStr">
        <is>
          <t>ESC-20260909-I1-L1-01</t>
        </is>
      </c>
      <c r="B70" s="75" t="inlineStr">
        <is>
          <t>2026-09-09 11:07:00</t>
        </is>
      </c>
      <c r="C70" s="76" t="inlineStr">
        <is>
          <t>I1-L1-01</t>
        </is>
      </c>
      <c r="D70" s="77" t="inlineStr">
        <is>
          <t>7506499570657</t>
        </is>
      </c>
      <c r="E70" s="77" t="inlineStr">
        <is>
          <t>ST-VR-P-014-FW25-BL-S</t>
        </is>
      </c>
      <c r="F70" s="76" t="inlineStr">
        <is>
          <t>Stetson</t>
        </is>
      </c>
      <c r="G70" s="76" t="inlineStr">
        <is>
          <t>Camisa Stetson Vintage Range Bravado Lines</t>
        </is>
      </c>
      <c r="H70" s="74" t="inlineStr">
        <is>
          <t>Camisas</t>
        </is>
      </c>
      <c r="I70" s="74" t="inlineStr">
        <is>
          <t>S</t>
        </is>
      </c>
      <c r="J70" s="78" t="n">
        <v>7</v>
      </c>
      <c r="K70" s="76" t="n"/>
      <c r="L70" s="74" t="inlineStr">
        <is>
          <t>Verificado</t>
        </is>
      </c>
      <c r="M70" s="79" t="n"/>
    </row>
    <row r="71">
      <c r="A71" s="74" t="inlineStr">
        <is>
          <t>ESC-20260909-I1-L1-01</t>
        </is>
      </c>
      <c r="B71" s="75" t="inlineStr">
        <is>
          <t>2026-09-09 11:07:00</t>
        </is>
      </c>
      <c r="C71" s="76" t="inlineStr">
        <is>
          <t>I1-L1-01</t>
        </is>
      </c>
      <c r="D71" s="77" t="inlineStr">
        <is>
          <t>7506499570664</t>
        </is>
      </c>
      <c r="E71" s="77" t="inlineStr">
        <is>
          <t>ST-VR-P-014-FW25-BL-M</t>
        </is>
      </c>
      <c r="F71" s="76" t="inlineStr">
        <is>
          <t>Stetson</t>
        </is>
      </c>
      <c r="G71" s="76" t="inlineStr">
        <is>
          <t>Camisa Stetson Vintage Range Bravado Lines</t>
        </is>
      </c>
      <c r="H71" s="74" t="inlineStr">
        <is>
          <t>Camisas</t>
        </is>
      </c>
      <c r="I71" s="74" t="inlineStr">
        <is>
          <t>M</t>
        </is>
      </c>
      <c r="J71" s="78" t="n">
        <v>10</v>
      </c>
      <c r="K71" s="76" t="n"/>
      <c r="L71" s="74" t="inlineStr">
        <is>
          <t>Verificado</t>
        </is>
      </c>
      <c r="M71" s="79" t="n"/>
    </row>
    <row r="72">
      <c r="A72" s="74" t="inlineStr">
        <is>
          <t>ESC-20260909-I1-L1-01</t>
        </is>
      </c>
      <c r="B72" s="75" t="inlineStr">
        <is>
          <t>2026-09-09 11:07:00</t>
        </is>
      </c>
      <c r="C72" s="76" t="inlineStr">
        <is>
          <t>I1-L1-01</t>
        </is>
      </c>
      <c r="D72" s="77" t="inlineStr">
        <is>
          <t>7506499570671</t>
        </is>
      </c>
      <c r="E72" s="77" t="inlineStr">
        <is>
          <t>ST-VR-P-014-FW25-BL-L</t>
        </is>
      </c>
      <c r="F72" s="76" t="inlineStr">
        <is>
          <t>Stetson</t>
        </is>
      </c>
      <c r="G72" s="76" t="inlineStr">
        <is>
          <t>Camisa Stetson Vintage Range Bravado Lines</t>
        </is>
      </c>
      <c r="H72" s="74" t="inlineStr">
        <is>
          <t>Camisas</t>
        </is>
      </c>
      <c r="I72" s="74" t="inlineStr">
        <is>
          <t>L</t>
        </is>
      </c>
      <c r="J72" s="78" t="n">
        <v>8</v>
      </c>
      <c r="K72" s="76" t="n"/>
      <c r="L72" s="74" t="inlineStr">
        <is>
          <t>Verificado</t>
        </is>
      </c>
      <c r="M72" s="79" t="n"/>
    </row>
    <row r="73">
      <c r="A73" s="74" t="inlineStr">
        <is>
          <t>ESC-20260909-I1-L1-01</t>
        </is>
      </c>
      <c r="B73" s="75" t="inlineStr">
        <is>
          <t>2026-09-09 11:07:00</t>
        </is>
      </c>
      <c r="C73" s="76" t="inlineStr">
        <is>
          <t>I1-L1-01</t>
        </is>
      </c>
      <c r="D73" s="77" t="inlineStr">
        <is>
          <t>7506499570688</t>
        </is>
      </c>
      <c r="E73" s="77" t="inlineStr">
        <is>
          <t>ST-VR-P-014-FW25-BL-XL</t>
        </is>
      </c>
      <c r="F73" s="76" t="inlineStr">
        <is>
          <t>Stetson</t>
        </is>
      </c>
      <c r="G73" s="76" t="inlineStr">
        <is>
          <t>Camisa Stetson Vintage Range Bravado Lines</t>
        </is>
      </c>
      <c r="H73" s="74" t="inlineStr">
        <is>
          <t>Camisas</t>
        </is>
      </c>
      <c r="I73" s="74" t="inlineStr">
        <is>
          <t>XL</t>
        </is>
      </c>
      <c r="J73" s="78" t="n">
        <v>3</v>
      </c>
      <c r="K73" s="76" t="n"/>
      <c r="L73" s="74" t="inlineStr">
        <is>
          <t>Verificado</t>
        </is>
      </c>
      <c r="M73" s="79" t="n"/>
    </row>
    <row r="74">
      <c r="A74" s="74" t="inlineStr">
        <is>
          <t>ESC-20260909-I1-L1-01</t>
        </is>
      </c>
      <c r="B74" s="75" t="inlineStr">
        <is>
          <t>2026-09-09 11:07:00</t>
        </is>
      </c>
      <c r="C74" s="76" t="inlineStr">
        <is>
          <t>I1-L1-01</t>
        </is>
      </c>
      <c r="D74" s="77" t="inlineStr">
        <is>
          <t>7506499570695</t>
        </is>
      </c>
      <c r="E74" s="77" t="inlineStr">
        <is>
          <t>ST-VR-P-014-FW25-BL-2XL</t>
        </is>
      </c>
      <c r="F74" s="76" t="inlineStr">
        <is>
          <t>Stetson</t>
        </is>
      </c>
      <c r="G74" s="76" t="inlineStr">
        <is>
          <t>Camisa Stetson Vintage Range Bravado Lines</t>
        </is>
      </c>
      <c r="H74" s="74" t="inlineStr">
        <is>
          <t>Camisas</t>
        </is>
      </c>
      <c r="I74" s="74" t="inlineStr">
        <is>
          <t>XXL</t>
        </is>
      </c>
      <c r="J74" s="78" t="n">
        <v>1</v>
      </c>
      <c r="K74" s="76" t="n"/>
      <c r="L74" s="74" t="inlineStr">
        <is>
          <t>Verificado</t>
        </is>
      </c>
      <c r="M74" s="79" t="n"/>
    </row>
    <row r="75">
      <c r="A75" s="74" t="inlineStr">
        <is>
          <t>ESC-20260909-I1-L1-02</t>
        </is>
      </c>
      <c r="B75" s="75" t="inlineStr">
        <is>
          <t>2026-09-09 11:13:00</t>
        </is>
      </c>
      <c r="C75" s="76" t="inlineStr">
        <is>
          <t>I1-L1-02</t>
        </is>
      </c>
      <c r="D75" s="77" t="inlineStr">
        <is>
          <t>7506499570251</t>
        </is>
      </c>
      <c r="E75" s="77" t="inlineStr">
        <is>
          <t>ST-VR-P-010-FW25-SA-S</t>
        </is>
      </c>
      <c r="F75" s="76" t="inlineStr">
        <is>
          <t>Stetson</t>
        </is>
      </c>
      <c r="G75" s="76" t="inlineStr">
        <is>
          <t>Camisa Stetson Vintage Range Steer Apex</t>
        </is>
      </c>
      <c r="H75" s="74" t="inlineStr">
        <is>
          <t>Camisas</t>
        </is>
      </c>
      <c r="I75" s="74" t="inlineStr">
        <is>
          <t>S</t>
        </is>
      </c>
      <c r="J75" s="78" t="n">
        <v>8</v>
      </c>
      <c r="K75" s="76" t="n"/>
      <c r="L75" s="74" t="inlineStr">
        <is>
          <t>Verificado</t>
        </is>
      </c>
      <c r="M75" s="79" t="n"/>
    </row>
    <row r="76">
      <c r="A76" s="74" t="inlineStr">
        <is>
          <t>ESC-20260909-I1-L1-02</t>
        </is>
      </c>
      <c r="B76" s="75" t="inlineStr">
        <is>
          <t>2026-09-09 11:13:00</t>
        </is>
      </c>
      <c r="C76" s="76" t="inlineStr">
        <is>
          <t>I1-L1-02</t>
        </is>
      </c>
      <c r="D76" s="77" t="inlineStr">
        <is>
          <t>7506499570268</t>
        </is>
      </c>
      <c r="E76" s="77" t="inlineStr">
        <is>
          <t>ST-VR-P-010-FW25-SA-M</t>
        </is>
      </c>
      <c r="F76" s="76" t="inlineStr">
        <is>
          <t>Stetson</t>
        </is>
      </c>
      <c r="G76" s="76" t="inlineStr">
        <is>
          <t>Camisa Stetson Vintage Range Steer Apex</t>
        </is>
      </c>
      <c r="H76" s="74" t="inlineStr">
        <is>
          <t>Camisas</t>
        </is>
      </c>
      <c r="I76" s="74" t="inlineStr">
        <is>
          <t>M</t>
        </is>
      </c>
      <c r="J76" s="78" t="n">
        <v>8</v>
      </c>
      <c r="K76" s="76" t="n"/>
      <c r="L76" s="74" t="inlineStr">
        <is>
          <t>Verificado</t>
        </is>
      </c>
      <c r="M76" s="79" t="n"/>
    </row>
    <row r="77">
      <c r="A77" s="74" t="inlineStr">
        <is>
          <t>ESC-20260909-I1-L1-02</t>
        </is>
      </c>
      <c r="B77" s="75" t="inlineStr">
        <is>
          <t>2026-09-09 11:14:00</t>
        </is>
      </c>
      <c r="C77" s="76" t="inlineStr">
        <is>
          <t>I1-L1-02</t>
        </is>
      </c>
      <c r="D77" s="77" t="inlineStr">
        <is>
          <t>7506499570275</t>
        </is>
      </c>
      <c r="E77" s="77" t="inlineStr">
        <is>
          <t>ST-VR-P-010-FW25-SA-L</t>
        </is>
      </c>
      <c r="F77" s="76" t="inlineStr">
        <is>
          <t>Stetson</t>
        </is>
      </c>
      <c r="G77" s="76" t="inlineStr">
        <is>
          <t>Camisa Stetson Vintage Range Steer Apex</t>
        </is>
      </c>
      <c r="H77" s="74" t="inlineStr">
        <is>
          <t>Camisas</t>
        </is>
      </c>
      <c r="I77" s="74" t="inlineStr">
        <is>
          <t>L</t>
        </is>
      </c>
      <c r="J77" s="78" t="n">
        <v>9</v>
      </c>
      <c r="K77" s="76" t="n"/>
      <c r="L77" s="74" t="inlineStr">
        <is>
          <t>Verificado</t>
        </is>
      </c>
      <c r="M77" s="79" t="n"/>
    </row>
    <row r="78">
      <c r="A78" s="74" t="inlineStr">
        <is>
          <t>ESC-20260909-I1-L1-02</t>
        </is>
      </c>
      <c r="B78" s="75" t="inlineStr">
        <is>
          <t>2026-09-09 11:14:00</t>
        </is>
      </c>
      <c r="C78" s="76" t="inlineStr">
        <is>
          <t>I1-L1-02</t>
        </is>
      </c>
      <c r="D78" s="77" t="inlineStr">
        <is>
          <t>7506499570282</t>
        </is>
      </c>
      <c r="E78" s="77" t="inlineStr">
        <is>
          <t>ST-VR-P-010-FW25-SA-XL</t>
        </is>
      </c>
      <c r="F78" s="76" t="inlineStr">
        <is>
          <t>Stetson</t>
        </is>
      </c>
      <c r="G78" s="76" t="inlineStr">
        <is>
          <t>Camisa Stetson Vintage Range Steer Apex</t>
        </is>
      </c>
      <c r="H78" s="74" t="inlineStr">
        <is>
          <t>Camisas</t>
        </is>
      </c>
      <c r="I78" s="74" t="inlineStr">
        <is>
          <t>XL</t>
        </is>
      </c>
      <c r="J78" s="78" t="n">
        <v>4</v>
      </c>
      <c r="K78" s="76" t="n"/>
      <c r="L78" s="74" t="inlineStr">
        <is>
          <t>Verificado</t>
        </is>
      </c>
      <c r="M78" s="79" t="n"/>
    </row>
    <row r="79">
      <c r="A79" s="74" t="inlineStr">
        <is>
          <t>ESC-20260909-I1-L1-02</t>
        </is>
      </c>
      <c r="B79" s="75" t="inlineStr">
        <is>
          <t>2026-09-09 11:14:00</t>
        </is>
      </c>
      <c r="C79" s="76" t="inlineStr">
        <is>
          <t>I1-L1-02</t>
        </is>
      </c>
      <c r="D79" s="77" t="inlineStr">
        <is>
          <t>7506499570299</t>
        </is>
      </c>
      <c r="E79" s="77" t="inlineStr">
        <is>
          <t>ST-VR-P-010-FW25-SA-2XL</t>
        </is>
      </c>
      <c r="F79" s="76" t="inlineStr">
        <is>
          <t>Stetson</t>
        </is>
      </c>
      <c r="G79" s="76" t="inlineStr">
        <is>
          <t>Camisa Stetson Vintage Range Steer Apex</t>
        </is>
      </c>
      <c r="H79" s="74" t="inlineStr">
        <is>
          <t>Camisas</t>
        </is>
      </c>
      <c r="I79" s="74" t="inlineStr">
        <is>
          <t>XXL</t>
        </is>
      </c>
      <c r="J79" s="78" t="n">
        <v>1</v>
      </c>
      <c r="K79" s="76" t="n"/>
      <c r="L79" s="74" t="inlineStr">
        <is>
          <t>Verificado</t>
        </is>
      </c>
      <c r="M79" s="79" t="n"/>
    </row>
    <row r="80">
      <c r="A80" s="74" t="inlineStr">
        <is>
          <t>ESC-20260909-I1-L1-02</t>
        </is>
      </c>
      <c r="B80" s="75" t="inlineStr">
        <is>
          <t>2026-09-09 11:14:00</t>
        </is>
      </c>
      <c r="C80" s="76" t="inlineStr">
        <is>
          <t>I1-L1-02</t>
        </is>
      </c>
      <c r="D80" s="77" t="inlineStr">
        <is>
          <t>7506499570572</t>
        </is>
      </c>
      <c r="E80" s="77" t="inlineStr">
        <is>
          <t>ST-VR-P-020-FW25-MT-L</t>
        </is>
      </c>
      <c r="F80" s="76" t="inlineStr">
        <is>
          <t>Stetson</t>
        </is>
      </c>
      <c r="G80" s="76" t="inlineStr">
        <is>
          <t>Camisa Stetson Vintage Range Midnight Tapestry</t>
        </is>
      </c>
      <c r="H80" s="74" t="inlineStr">
        <is>
          <t>Camisas</t>
        </is>
      </c>
      <c r="I80" s="74" t="inlineStr">
        <is>
          <t>L</t>
        </is>
      </c>
      <c r="J80" s="78" t="n">
        <v>4</v>
      </c>
      <c r="K80" s="76" t="n"/>
      <c r="L80" s="74" t="inlineStr">
        <is>
          <t>Verificado</t>
        </is>
      </c>
      <c r="M80" s="79" t="n"/>
    </row>
    <row r="81">
      <c r="A81" s="74" t="inlineStr">
        <is>
          <t>ESC-20260909-I1-L1-02</t>
        </is>
      </c>
      <c r="B81" s="75" t="inlineStr">
        <is>
          <t>2026-09-09 11:15:00</t>
        </is>
      </c>
      <c r="C81" s="76" t="inlineStr">
        <is>
          <t>I1-L1-02</t>
        </is>
      </c>
      <c r="D81" s="77" t="inlineStr">
        <is>
          <t>7506499570756</t>
        </is>
      </c>
      <c r="E81" s="77" t="inlineStr">
        <is>
          <t>ST-VR-P-016-FW25-GS-S</t>
        </is>
      </c>
      <c r="F81" s="76" t="inlineStr">
        <is>
          <t>Stetson</t>
        </is>
      </c>
      <c r="G81" s="76" t="inlineStr">
        <is>
          <t>Camisa Stetson Vintage Range Verde Serpent</t>
        </is>
      </c>
      <c r="H81" s="74" t="inlineStr">
        <is>
          <t>Camisas</t>
        </is>
      </c>
      <c r="I81" s="74" t="inlineStr">
        <is>
          <t>S</t>
        </is>
      </c>
      <c r="J81" s="78" t="n">
        <v>6</v>
      </c>
      <c r="K81" s="76" t="n"/>
      <c r="L81" s="74" t="inlineStr">
        <is>
          <t>Verificado</t>
        </is>
      </c>
      <c r="M81" s="79" t="n"/>
    </row>
    <row r="82">
      <c r="A82" s="74" t="inlineStr">
        <is>
          <t>ESC-20260909-I1-L1-02</t>
        </is>
      </c>
      <c r="B82" s="75" t="inlineStr">
        <is>
          <t>2026-09-09 11:15:00</t>
        </is>
      </c>
      <c r="C82" s="76" t="inlineStr">
        <is>
          <t>I1-L1-02</t>
        </is>
      </c>
      <c r="D82" s="77" t="inlineStr">
        <is>
          <t>7506499570770</t>
        </is>
      </c>
      <c r="E82" s="77" t="inlineStr">
        <is>
          <t>ST-VR-P-016-FW25-GS-L</t>
        </is>
      </c>
      <c r="F82" s="76" t="inlineStr">
        <is>
          <t>Stetson</t>
        </is>
      </c>
      <c r="G82" s="76" t="inlineStr">
        <is>
          <t>Camisa Stetson Vintage Range Verde Serpent</t>
        </is>
      </c>
      <c r="H82" s="74" t="inlineStr">
        <is>
          <t>Camisas</t>
        </is>
      </c>
      <c r="I82" s="74" t="inlineStr">
        <is>
          <t>L</t>
        </is>
      </c>
      <c r="J82" s="78" t="n">
        <v>8</v>
      </c>
      <c r="K82" s="76" t="n"/>
      <c r="L82" s="74" t="inlineStr">
        <is>
          <t>Verificado</t>
        </is>
      </c>
      <c r="M82" s="79" t="n"/>
    </row>
    <row r="83">
      <c r="A83" s="74" t="inlineStr">
        <is>
          <t>ESC-20260909-I1-L1-02</t>
        </is>
      </c>
      <c r="B83" s="75" t="inlineStr">
        <is>
          <t>2026-09-09 11:15:00</t>
        </is>
      </c>
      <c r="C83" s="76" t="inlineStr">
        <is>
          <t>I1-L1-02</t>
        </is>
      </c>
      <c r="D83" s="77" t="inlineStr">
        <is>
          <t>7506499570763</t>
        </is>
      </c>
      <c r="E83" s="77" t="inlineStr">
        <is>
          <t>ST-VR-P-016-FW25-GS-M</t>
        </is>
      </c>
      <c r="F83" s="76" t="inlineStr">
        <is>
          <t>Stetson</t>
        </is>
      </c>
      <c r="G83" s="76" t="inlineStr">
        <is>
          <t>Camisa Stetson Vintage Range Verde Serpent</t>
        </is>
      </c>
      <c r="H83" s="74" t="inlineStr">
        <is>
          <t>Camisas</t>
        </is>
      </c>
      <c r="I83" s="74" t="inlineStr">
        <is>
          <t>M</t>
        </is>
      </c>
      <c r="J83" s="78" t="n">
        <v>10</v>
      </c>
      <c r="K83" s="76" t="n"/>
      <c r="L83" s="74" t="inlineStr">
        <is>
          <t>Verificado</t>
        </is>
      </c>
      <c r="M83" s="79" t="n"/>
    </row>
    <row r="84">
      <c r="A84" s="74" t="inlineStr">
        <is>
          <t>ESC-20260909-I1-L1-02</t>
        </is>
      </c>
      <c r="B84" s="75" t="inlineStr">
        <is>
          <t>2026-09-09 11:16:00</t>
        </is>
      </c>
      <c r="C84" s="76" t="inlineStr">
        <is>
          <t>I1-L1-02</t>
        </is>
      </c>
      <c r="D84" s="77" t="inlineStr">
        <is>
          <t>7506499570787</t>
        </is>
      </c>
      <c r="E84" s="77" t="inlineStr">
        <is>
          <t>ST-VR-P-016-FW25-GS-XL</t>
        </is>
      </c>
      <c r="F84" s="76" t="inlineStr">
        <is>
          <t>Stetson</t>
        </is>
      </c>
      <c r="G84" s="76" t="inlineStr">
        <is>
          <t>Camisa Stetson Vintage Range Verde Serpent</t>
        </is>
      </c>
      <c r="H84" s="74" t="inlineStr">
        <is>
          <t>Camisas</t>
        </is>
      </c>
      <c r="I84" s="74" t="inlineStr">
        <is>
          <t>XL</t>
        </is>
      </c>
      <c r="J84" s="78" t="n">
        <v>2</v>
      </c>
      <c r="K84" s="76" t="n"/>
      <c r="L84" s="74" t="inlineStr">
        <is>
          <t>Verificado</t>
        </is>
      </c>
      <c r="M84" s="79" t="n"/>
    </row>
    <row r="85">
      <c r="A85" s="74" t="inlineStr">
        <is>
          <t>ESC-20260909-I1-L1-02</t>
        </is>
      </c>
      <c r="B85" s="75" t="inlineStr">
        <is>
          <t>2026-09-09 11:16:00</t>
        </is>
      </c>
      <c r="C85" s="76" t="inlineStr">
        <is>
          <t>I1-L1-02</t>
        </is>
      </c>
      <c r="D85" s="77" t="inlineStr">
        <is>
          <t>7506499570794</t>
        </is>
      </c>
      <c r="E85" s="77" t="inlineStr">
        <is>
          <t>ST-VR-P-016-FW25-GS-2XL</t>
        </is>
      </c>
      <c r="F85" s="76" t="inlineStr">
        <is>
          <t>Stetson</t>
        </is>
      </c>
      <c r="G85" s="76" t="inlineStr">
        <is>
          <t>Camisa Stetson Vintage Range Verde Serpent</t>
        </is>
      </c>
      <c r="H85" s="74" t="inlineStr">
        <is>
          <t>Camisas</t>
        </is>
      </c>
      <c r="I85" s="74" t="inlineStr">
        <is>
          <t>XXL</t>
        </is>
      </c>
      <c r="J85" s="78" t="n">
        <v>1</v>
      </c>
      <c r="K85" s="76" t="n"/>
      <c r="L85" s="74" t="inlineStr">
        <is>
          <t>Verificado</t>
        </is>
      </c>
      <c r="M85" s="79" t="n"/>
    </row>
    <row r="86">
      <c r="A86" s="74" t="inlineStr">
        <is>
          <t>ESC-20260909-I1-L1-02</t>
        </is>
      </c>
      <c r="B86" s="75" t="inlineStr">
        <is>
          <t>2026-09-09 11:16:00</t>
        </is>
      </c>
      <c r="C86" s="76" t="inlineStr">
        <is>
          <t>I1-L1-02</t>
        </is>
      </c>
      <c r="D86" s="77" t="inlineStr">
        <is>
          <t>7506499570497</t>
        </is>
      </c>
      <c r="E86" s="77" t="inlineStr">
        <is>
          <t>ST-VR-P-018-FW25-CS-2XL</t>
        </is>
      </c>
      <c r="F86" s="76" t="inlineStr">
        <is>
          <t>Stetson</t>
        </is>
      </c>
      <c r="G86" s="76" t="inlineStr">
        <is>
          <t>Camisa Stetson Vintage Range Chainstorm</t>
        </is>
      </c>
      <c r="H86" s="74" t="inlineStr">
        <is>
          <t>Camisas</t>
        </is>
      </c>
      <c r="I86" s="74" t="inlineStr">
        <is>
          <t>XXL</t>
        </is>
      </c>
      <c r="J86" s="78" t="n">
        <v>1</v>
      </c>
      <c r="K86" s="76" t="n"/>
      <c r="L86" s="74" t="inlineStr">
        <is>
          <t>Verificado</t>
        </is>
      </c>
      <c r="M86" s="79" t="n"/>
    </row>
    <row r="87">
      <c r="A87" s="74" t="inlineStr">
        <is>
          <t>ESC-20260909-I1-L1-02</t>
        </is>
      </c>
      <c r="B87" s="75" t="inlineStr">
        <is>
          <t>2026-09-09 11:16:00</t>
        </is>
      </c>
      <c r="C87" s="76" t="inlineStr">
        <is>
          <t>I1-L1-02</t>
        </is>
      </c>
      <c r="D87" s="77" t="inlineStr">
        <is>
          <t>7506499570473</t>
        </is>
      </c>
      <c r="E87" s="77" t="inlineStr">
        <is>
          <t>ST-VR-P-018-FW25-CS-L</t>
        </is>
      </c>
      <c r="F87" s="76" t="inlineStr">
        <is>
          <t>Stetson</t>
        </is>
      </c>
      <c r="G87" s="76" t="inlineStr">
        <is>
          <t>Camisa Stetson Vintage Range Chainstorm</t>
        </is>
      </c>
      <c r="H87" s="74" t="inlineStr">
        <is>
          <t>Camisas</t>
        </is>
      </c>
      <c r="I87" s="74" t="inlineStr">
        <is>
          <t>L</t>
        </is>
      </c>
      <c r="J87" s="78" t="n">
        <v>10</v>
      </c>
      <c r="K87" s="76" t="n"/>
      <c r="L87" s="74" t="inlineStr">
        <is>
          <t>Verificado</t>
        </is>
      </c>
      <c r="M87" s="79" t="n"/>
    </row>
    <row r="88">
      <c r="A88" s="74" t="inlineStr">
        <is>
          <t>ESC-20260909-I1-L1-02</t>
        </is>
      </c>
      <c r="B88" s="75" t="inlineStr">
        <is>
          <t>2026-09-09 11:17:00</t>
        </is>
      </c>
      <c r="C88" s="76" t="inlineStr">
        <is>
          <t>I1-L1-02</t>
        </is>
      </c>
      <c r="D88" s="77" t="inlineStr">
        <is>
          <t>7506499570466</t>
        </is>
      </c>
      <c r="E88" s="77" t="inlineStr">
        <is>
          <t>ST-VR-P-018-FW25-CS-M</t>
        </is>
      </c>
      <c r="F88" s="76" t="inlineStr">
        <is>
          <t>Stetson</t>
        </is>
      </c>
      <c r="G88" s="76" t="inlineStr">
        <is>
          <t>Camisa Stetson Vintage Range Chainstorm</t>
        </is>
      </c>
      <c r="H88" s="74" t="inlineStr">
        <is>
          <t>Camisas</t>
        </is>
      </c>
      <c r="I88" s="74" t="inlineStr">
        <is>
          <t>M</t>
        </is>
      </c>
      <c r="J88" s="78" t="n">
        <v>1</v>
      </c>
      <c r="K88" s="76" t="n"/>
      <c r="L88" s="74" t="inlineStr">
        <is>
          <t>Verificado</t>
        </is>
      </c>
      <c r="M88" s="79" t="n"/>
    </row>
    <row r="89">
      <c r="A89" s="74" t="inlineStr">
        <is>
          <t>ESC-20260909-I1-L1-02</t>
        </is>
      </c>
      <c r="B89" s="75" t="inlineStr">
        <is>
          <t>2026-09-09 11:17:00</t>
        </is>
      </c>
      <c r="C89" s="76" t="inlineStr">
        <is>
          <t>I1-L1-02</t>
        </is>
      </c>
      <c r="D89" s="77" t="inlineStr">
        <is>
          <t>7506499570459</t>
        </is>
      </c>
      <c r="E89" s="77" t="inlineStr">
        <is>
          <t>ST-VR-P-018-FW25-CS-S</t>
        </is>
      </c>
      <c r="F89" s="76" t="inlineStr">
        <is>
          <t>Stetson</t>
        </is>
      </c>
      <c r="G89" s="76" t="inlineStr">
        <is>
          <t>Camisa Stetson Vintage Range Chainstorm</t>
        </is>
      </c>
      <c r="H89" s="74" t="inlineStr">
        <is>
          <t>Camisas</t>
        </is>
      </c>
      <c r="I89" s="74" t="inlineStr">
        <is>
          <t>S</t>
        </is>
      </c>
      <c r="J89" s="78" t="n">
        <v>1</v>
      </c>
      <c r="K89" s="76" t="n"/>
      <c r="L89" s="74" t="inlineStr">
        <is>
          <t>Verificado</t>
        </is>
      </c>
      <c r="M89" s="79" t="n"/>
    </row>
    <row r="90">
      <c r="A90" s="74" t="inlineStr">
        <is>
          <t>ESC-20260909-I1-L1-02</t>
        </is>
      </c>
      <c r="B90" s="75" t="inlineStr">
        <is>
          <t>2026-09-09 11:17:00</t>
        </is>
      </c>
      <c r="C90" s="76" t="inlineStr">
        <is>
          <t>I1-L1-02</t>
        </is>
      </c>
      <c r="D90" s="77" t="inlineStr">
        <is>
          <t>7506499570312</t>
        </is>
      </c>
      <c r="E90" s="77" t="inlineStr">
        <is>
          <t>ST-VR-P-011-FW25-TSAG-M</t>
        </is>
      </c>
      <c r="F90" s="76" t="inlineStr">
        <is>
          <t>Stetson</t>
        </is>
      </c>
      <c r="G90" s="76" t="inlineStr">
        <is>
          <t>Camisa Stetson Vintage Range Tierra Sagrada</t>
        </is>
      </c>
      <c r="H90" s="74" t="inlineStr">
        <is>
          <t>Camisas</t>
        </is>
      </c>
      <c r="I90" s="74" t="inlineStr">
        <is>
          <t>M</t>
        </is>
      </c>
      <c r="J90" s="78" t="n">
        <v>5</v>
      </c>
      <c r="K90" s="76" t="n"/>
      <c r="L90" s="74" t="inlineStr">
        <is>
          <t>Verificado</t>
        </is>
      </c>
      <c r="M90" s="79" t="n"/>
    </row>
    <row r="91">
      <c r="A91" s="74" t="inlineStr">
        <is>
          <t>ESC-20260909-I1-L1-02</t>
        </is>
      </c>
      <c r="B91" s="75" t="inlineStr">
        <is>
          <t>2026-09-09 11:17:00</t>
        </is>
      </c>
      <c r="C91" s="76" t="inlineStr">
        <is>
          <t>I1-L1-02</t>
        </is>
      </c>
      <c r="D91" s="77" t="inlineStr">
        <is>
          <t>7506499570305</t>
        </is>
      </c>
      <c r="E91" s="77" t="inlineStr">
        <is>
          <t>ST-VR-P-011-FW25-TSAG-S</t>
        </is>
      </c>
      <c r="F91" s="76" t="inlineStr">
        <is>
          <t>Stetson</t>
        </is>
      </c>
      <c r="G91" s="76" t="inlineStr">
        <is>
          <t>Camisa Stetson Vintage Range Tierra Sagrada</t>
        </is>
      </c>
      <c r="H91" s="74" t="inlineStr">
        <is>
          <t>Camisas</t>
        </is>
      </c>
      <c r="I91" s="74" t="inlineStr">
        <is>
          <t>S</t>
        </is>
      </c>
      <c r="J91" s="78" t="n">
        <v>4</v>
      </c>
      <c r="K91" s="76" t="n"/>
      <c r="L91" s="74" t="inlineStr">
        <is>
          <t>Verificado</t>
        </is>
      </c>
      <c r="M91" s="79" t="n"/>
    </row>
    <row r="92">
      <c r="A92" s="74" t="inlineStr">
        <is>
          <t>ESC-20260909-I1-L1-02</t>
        </is>
      </c>
      <c r="B92" s="75" t="inlineStr">
        <is>
          <t>2026-09-09 11:18:00</t>
        </is>
      </c>
      <c r="C92" s="76" t="inlineStr">
        <is>
          <t>I1-L1-02</t>
        </is>
      </c>
      <c r="D92" s="77" t="inlineStr">
        <is>
          <t>7506499569859</t>
        </is>
      </c>
      <c r="E92" s="77" t="inlineStr">
        <is>
          <t>ST-VR-P-002-FW25-RP-S</t>
        </is>
      </c>
      <c r="F92" s="76" t="inlineStr">
        <is>
          <t>Stetson</t>
        </is>
      </c>
      <c r="G92" s="76" t="inlineStr">
        <is>
          <t>Camisa Stetson Vintage Range Rustwood Plaid</t>
        </is>
      </c>
      <c r="H92" s="74" t="inlineStr">
        <is>
          <t>Camisas</t>
        </is>
      </c>
      <c r="I92" s="74" t="inlineStr">
        <is>
          <t>S</t>
        </is>
      </c>
      <c r="J92" s="78" t="n">
        <v>6</v>
      </c>
      <c r="K92" s="76" t="n"/>
      <c r="L92" s="74" t="inlineStr">
        <is>
          <t>Verificado</t>
        </is>
      </c>
      <c r="M92" s="79" t="n"/>
    </row>
    <row r="93">
      <c r="A93" s="74" t="inlineStr">
        <is>
          <t>ESC-20260909-I1-L1-02</t>
        </is>
      </c>
      <c r="B93" s="75" t="inlineStr">
        <is>
          <t>2026-09-09 11:18:00</t>
        </is>
      </c>
      <c r="C93" s="76" t="inlineStr">
        <is>
          <t>I1-L1-02</t>
        </is>
      </c>
      <c r="D93" s="77" t="inlineStr">
        <is>
          <t>7506499569866</t>
        </is>
      </c>
      <c r="E93" s="77" t="inlineStr">
        <is>
          <t>ST-VR-P-002-FW25-RP-M</t>
        </is>
      </c>
      <c r="F93" s="76" t="inlineStr">
        <is>
          <t>Stetson</t>
        </is>
      </c>
      <c r="G93" s="76" t="inlineStr">
        <is>
          <t>Camisa Stetson Vintage Range Rustwood Plaid</t>
        </is>
      </c>
      <c r="H93" s="74" t="inlineStr">
        <is>
          <t>Camisas</t>
        </is>
      </c>
      <c r="I93" s="74" t="inlineStr">
        <is>
          <t>M</t>
        </is>
      </c>
      <c r="J93" s="78" t="n">
        <v>6</v>
      </c>
      <c r="K93" s="76" t="n"/>
      <c r="L93" s="74" t="inlineStr">
        <is>
          <t>Verificado</t>
        </is>
      </c>
      <c r="M93" s="79" t="n"/>
    </row>
    <row r="94">
      <c r="A94" s="74" t="inlineStr">
        <is>
          <t>ESC-20260909-I1-L1-02</t>
        </is>
      </c>
      <c r="B94" s="75" t="inlineStr">
        <is>
          <t>2026-09-09 11:18:00</t>
        </is>
      </c>
      <c r="C94" s="76" t="inlineStr">
        <is>
          <t>I1-L1-02</t>
        </is>
      </c>
      <c r="D94" s="77" t="inlineStr">
        <is>
          <t>7506499569873</t>
        </is>
      </c>
      <c r="E94" s="77" t="inlineStr">
        <is>
          <t>ST-VR-P-002-FW25-RP-L</t>
        </is>
      </c>
      <c r="F94" s="76" t="inlineStr">
        <is>
          <t>Stetson</t>
        </is>
      </c>
      <c r="G94" s="76" t="inlineStr">
        <is>
          <t>Camisa Stetson Vintage Range Rustwood Plaid</t>
        </is>
      </c>
      <c r="H94" s="74" t="inlineStr">
        <is>
          <t>Camisas</t>
        </is>
      </c>
      <c r="I94" s="74" t="inlineStr">
        <is>
          <t>L</t>
        </is>
      </c>
      <c r="J94" s="78" t="n">
        <v>7</v>
      </c>
      <c r="K94" s="76" t="n"/>
      <c r="L94" s="74" t="inlineStr">
        <is>
          <t>Verificado</t>
        </is>
      </c>
      <c r="M94" s="79" t="n"/>
    </row>
    <row r="95">
      <c r="A95" s="74" t="inlineStr">
        <is>
          <t>ESC-20260909-I1-L1-02</t>
        </is>
      </c>
      <c r="B95" s="75" t="inlineStr">
        <is>
          <t>2026-09-09 11:21:00</t>
        </is>
      </c>
      <c r="C95" s="76" t="inlineStr">
        <is>
          <t>I1-L1-02</t>
        </is>
      </c>
      <c r="D95" s="77" t="inlineStr">
        <is>
          <t>7506499569880</t>
        </is>
      </c>
      <c r="E95" s="77" t="inlineStr">
        <is>
          <t>ST-VR-P-002-FW25-RP-XL</t>
        </is>
      </c>
      <c r="F95" s="76" t="inlineStr">
        <is>
          <t>Stetson</t>
        </is>
      </c>
      <c r="G95" s="76" t="inlineStr">
        <is>
          <t>Camisa Stetson Vintage Range Rustwood Plaid</t>
        </is>
      </c>
      <c r="H95" s="74" t="inlineStr">
        <is>
          <t>Camisas</t>
        </is>
      </c>
      <c r="I95" s="74" t="inlineStr">
        <is>
          <t>XL</t>
        </is>
      </c>
      <c r="J95" s="78" t="n">
        <v>3</v>
      </c>
      <c r="K95" s="76" t="n"/>
      <c r="L95" s="74" t="inlineStr">
        <is>
          <t>Verificado</t>
        </is>
      </c>
      <c r="M95" s="79" t="n"/>
    </row>
    <row r="96">
      <c r="A96" s="74" t="inlineStr">
        <is>
          <t>ESC-20260909-I1-L1-02</t>
        </is>
      </c>
      <c r="B96" s="75" t="inlineStr">
        <is>
          <t>2026-09-09 11:22:00</t>
        </is>
      </c>
      <c r="C96" s="76" t="inlineStr">
        <is>
          <t>I1-L1-02</t>
        </is>
      </c>
      <c r="D96" s="77" t="inlineStr">
        <is>
          <t>7506499570244</t>
        </is>
      </c>
      <c r="E96" s="77" t="inlineStr">
        <is>
          <t>ST-VR-P-009-FW25-TS-2XL</t>
        </is>
      </c>
      <c r="F96" s="76" t="inlineStr">
        <is>
          <t>Stetson</t>
        </is>
      </c>
      <c r="G96" s="76" t="inlineStr">
        <is>
          <t>Camisa Stetson Vintage Range Timberline Spirit</t>
        </is>
      </c>
      <c r="H96" s="74" t="inlineStr">
        <is>
          <t>Camisas</t>
        </is>
      </c>
      <c r="I96" s="74" t="inlineStr">
        <is>
          <t>XXL</t>
        </is>
      </c>
      <c r="J96" s="78" t="n">
        <v>2</v>
      </c>
      <c r="K96" s="76" t="n"/>
      <c r="L96" s="74" t="inlineStr">
        <is>
          <t>Verificado</t>
        </is>
      </c>
      <c r="M96" s="79" t="n"/>
    </row>
    <row r="97">
      <c r="A97" s="74" t="inlineStr">
        <is>
          <t>ESC-20260909-I1-L1-02</t>
        </is>
      </c>
      <c r="B97" s="75" t="inlineStr">
        <is>
          <t>2026-09-09 11:22:00</t>
        </is>
      </c>
      <c r="C97" s="76" t="inlineStr">
        <is>
          <t>I1-L1-02</t>
        </is>
      </c>
      <c r="D97" s="77" t="inlineStr">
        <is>
          <t>7506499570237</t>
        </is>
      </c>
      <c r="E97" s="77" t="inlineStr">
        <is>
          <t>ST-VR-P-009-FW25-TS-XL</t>
        </is>
      </c>
      <c r="F97" s="76" t="inlineStr">
        <is>
          <t>Stetson</t>
        </is>
      </c>
      <c r="G97" s="76" t="inlineStr">
        <is>
          <t>Camisa Stetson Vintage Range Timberline Spirit</t>
        </is>
      </c>
      <c r="H97" s="74" t="inlineStr">
        <is>
          <t>Camisas</t>
        </is>
      </c>
      <c r="I97" s="74" t="inlineStr">
        <is>
          <t>XL</t>
        </is>
      </c>
      <c r="J97" s="78" t="n">
        <v>2</v>
      </c>
      <c r="K97" s="76" t="n"/>
      <c r="L97" s="74" t="inlineStr">
        <is>
          <t>Verificado</t>
        </is>
      </c>
      <c r="M97" s="79" t="n"/>
    </row>
    <row r="98">
      <c r="A98" s="74" t="inlineStr">
        <is>
          <t>ESC-20260909-I1-L1-02</t>
        </is>
      </c>
      <c r="B98" s="75" t="inlineStr">
        <is>
          <t>2026-09-09 11:22:00</t>
        </is>
      </c>
      <c r="C98" s="76" t="inlineStr">
        <is>
          <t>I1-L1-02</t>
        </is>
      </c>
      <c r="D98" s="77" t="inlineStr">
        <is>
          <t>7506499570220</t>
        </is>
      </c>
      <c r="E98" s="77" t="inlineStr">
        <is>
          <t>ST-VR-P-009-FW25-TS-L</t>
        </is>
      </c>
      <c r="F98" s="76" t="inlineStr">
        <is>
          <t>Stetson</t>
        </is>
      </c>
      <c r="G98" s="76" t="inlineStr">
        <is>
          <t>Camisa Stetson Vintage Range Timberline Spirit</t>
        </is>
      </c>
      <c r="H98" s="74" t="inlineStr">
        <is>
          <t>Camisas</t>
        </is>
      </c>
      <c r="I98" s="74" t="inlineStr">
        <is>
          <t>L</t>
        </is>
      </c>
      <c r="J98" s="78" t="n">
        <v>8</v>
      </c>
      <c r="K98" s="76" t="n"/>
      <c r="L98" s="74" t="inlineStr">
        <is>
          <t>Verificado</t>
        </is>
      </c>
      <c r="M98" s="79" t="n"/>
    </row>
    <row r="99">
      <c r="A99" s="74" t="inlineStr">
        <is>
          <t>ESC-20260909-I1-L1-02</t>
        </is>
      </c>
      <c r="B99" s="75" t="inlineStr">
        <is>
          <t>2026-09-09 11:22:00</t>
        </is>
      </c>
      <c r="C99" s="76" t="inlineStr">
        <is>
          <t>I1-L1-02</t>
        </is>
      </c>
      <c r="D99" s="77" t="inlineStr">
        <is>
          <t>7506499570213</t>
        </is>
      </c>
      <c r="E99" s="77" t="inlineStr">
        <is>
          <t>ST-VR-P-009-FW25-TS-M</t>
        </is>
      </c>
      <c r="F99" s="76" t="inlineStr">
        <is>
          <t>Stetson</t>
        </is>
      </c>
      <c r="G99" s="76" t="inlineStr">
        <is>
          <t>Camisa Stetson Vintage Range Timberline Spirit</t>
        </is>
      </c>
      <c r="H99" s="74" t="inlineStr">
        <is>
          <t>Camisas</t>
        </is>
      </c>
      <c r="I99" s="74" t="inlineStr">
        <is>
          <t>M</t>
        </is>
      </c>
      <c r="J99" s="78" t="n">
        <v>8</v>
      </c>
      <c r="K99" s="76" t="n"/>
      <c r="L99" s="74" t="inlineStr">
        <is>
          <t>Verificado</t>
        </is>
      </c>
      <c r="M99" s="79" t="n"/>
    </row>
    <row r="100">
      <c r="A100" s="74" t="inlineStr">
        <is>
          <t>ESC-20260909-I1-L1-02</t>
        </is>
      </c>
      <c r="B100" s="75" t="inlineStr">
        <is>
          <t>2026-09-09 11:23:00</t>
        </is>
      </c>
      <c r="C100" s="76" t="inlineStr">
        <is>
          <t>I1-L1-02</t>
        </is>
      </c>
      <c r="D100" s="77" t="inlineStr">
        <is>
          <t>7506499570206</t>
        </is>
      </c>
      <c r="E100" s="77" t="inlineStr">
        <is>
          <t>ST-VR-P-009-FW25-TS-S</t>
        </is>
      </c>
      <c r="F100" s="76" t="inlineStr">
        <is>
          <t>Stetson</t>
        </is>
      </c>
      <c r="G100" s="76" t="inlineStr">
        <is>
          <t>Camisa Stetson Vintage Range Timberline Spirit</t>
        </is>
      </c>
      <c r="H100" s="74" t="inlineStr">
        <is>
          <t>Camisas</t>
        </is>
      </c>
      <c r="I100" s="74" t="inlineStr">
        <is>
          <t>S</t>
        </is>
      </c>
      <c r="J100" s="78" t="n">
        <v>7</v>
      </c>
      <c r="K100" s="76" t="n"/>
      <c r="L100" s="74" t="inlineStr">
        <is>
          <t>Verificado</t>
        </is>
      </c>
      <c r="M100" s="79" t="n"/>
    </row>
    <row r="101">
      <c r="A101" s="74" t="inlineStr">
        <is>
          <t>ESC-20260910-I1-L2-01</t>
        </is>
      </c>
      <c r="B101" s="75" t="inlineStr">
        <is>
          <t>2026-09-10 10:54:00</t>
        </is>
      </c>
      <c r="C101" s="76" t="inlineStr">
        <is>
          <t>I1-L2-01</t>
        </is>
      </c>
      <c r="D101" s="77" t="inlineStr">
        <is>
          <t>196070780994</t>
        </is>
      </c>
      <c r="E101" s="77" t="inlineStr">
        <is>
          <t>11-050-0594-2076-XS</t>
        </is>
      </c>
      <c r="F101" s="76" t="inlineStr">
        <is>
          <t>Stetson</t>
        </is>
      </c>
      <c r="G101" s="76" t="inlineStr">
        <is>
          <t>Camisa Stetson Blusa Manga Larga Mezclilla Crop Dama Crema</t>
        </is>
      </c>
      <c r="H101" s="74" t="inlineStr">
        <is>
          <t>Camisas</t>
        </is>
      </c>
      <c r="I101" s="74" t="inlineStr">
        <is>
          <t>XS</t>
        </is>
      </c>
      <c r="J101" s="78" t="n">
        <v>2</v>
      </c>
      <c r="K101" s="76" t="n"/>
      <c r="L101" s="74" t="inlineStr">
        <is>
          <t>Verificado</t>
        </is>
      </c>
      <c r="M101" s="79" t="n"/>
    </row>
    <row r="102">
      <c r="A102" s="74" t="inlineStr">
        <is>
          <t>ESC-20260910-I1-L2-01</t>
        </is>
      </c>
      <c r="B102" s="75" t="inlineStr">
        <is>
          <t>2026-09-10 10:54:00</t>
        </is>
      </c>
      <c r="C102" s="76" t="inlineStr">
        <is>
          <t>I1-L2-01</t>
        </is>
      </c>
      <c r="D102" s="77" t="inlineStr">
        <is>
          <t>196070780970</t>
        </is>
      </c>
      <c r="E102" s="77" t="inlineStr">
        <is>
          <t>11-050-0594-2076-S</t>
        </is>
      </c>
      <c r="F102" s="76" t="inlineStr">
        <is>
          <t>Stetson</t>
        </is>
      </c>
      <c r="G102" s="76" t="inlineStr">
        <is>
          <t>Camisa Stetson Blusa Manga Larga Mezclilla Crop Dama Crema</t>
        </is>
      </c>
      <c r="H102" s="74" t="inlineStr">
        <is>
          <t>Camisas</t>
        </is>
      </c>
      <c r="I102" s="74" t="inlineStr">
        <is>
          <t>S</t>
        </is>
      </c>
      <c r="J102" s="78" t="n">
        <v>1</v>
      </c>
      <c r="K102" s="76" t="n"/>
      <c r="L102" s="74" t="inlineStr">
        <is>
          <t>Verificado</t>
        </is>
      </c>
      <c r="M102" s="79" t="n"/>
    </row>
    <row r="103">
      <c r="A103" s="74" t="inlineStr">
        <is>
          <t>ESC-20260910-I1-L2-01</t>
        </is>
      </c>
      <c r="B103" s="75" t="inlineStr">
        <is>
          <t>2026-09-10 10:54:00</t>
        </is>
      </c>
      <c r="C103" s="76" t="inlineStr">
        <is>
          <t>I1-L2-01</t>
        </is>
      </c>
      <c r="D103" s="77" t="inlineStr">
        <is>
          <t>196070780963</t>
        </is>
      </c>
      <c r="E103" s="77" t="inlineStr">
        <is>
          <t>11-050-0594-2076-M</t>
        </is>
      </c>
      <c r="F103" s="76" t="inlineStr">
        <is>
          <t>Stetson</t>
        </is>
      </c>
      <c r="G103" s="76" t="inlineStr">
        <is>
          <t>Camisa Stetson Blusa Manga Larga Mezclilla Crop Dama Crema</t>
        </is>
      </c>
      <c r="H103" s="74" t="inlineStr">
        <is>
          <t>Camisas</t>
        </is>
      </c>
      <c r="I103" s="74" t="inlineStr">
        <is>
          <t>M</t>
        </is>
      </c>
      <c r="J103" s="78" t="n">
        <v>2</v>
      </c>
      <c r="K103" s="76" t="n"/>
      <c r="L103" s="74" t="inlineStr">
        <is>
          <t>Verificado</t>
        </is>
      </c>
      <c r="M103" s="79" t="n"/>
    </row>
    <row r="104">
      <c r="A104" s="74" t="inlineStr">
        <is>
          <t>ESC-20260910-I1-L2-01</t>
        </is>
      </c>
      <c r="B104" s="75" t="inlineStr">
        <is>
          <t>2026-09-10 10:54:00</t>
        </is>
      </c>
      <c r="C104" s="76" t="inlineStr">
        <is>
          <t>I1-L2-01</t>
        </is>
      </c>
      <c r="D104" s="77" t="inlineStr">
        <is>
          <t>196070780956</t>
        </is>
      </c>
      <c r="E104" s="77" t="inlineStr">
        <is>
          <t>11-050-0594-2076-L</t>
        </is>
      </c>
      <c r="F104" s="76" t="inlineStr">
        <is>
          <t>Stetson</t>
        </is>
      </c>
      <c r="G104" s="76" t="inlineStr">
        <is>
          <t>Camisa Stetson Blusa Manga Larga Mezclilla Crop Dama Crema</t>
        </is>
      </c>
      <c r="H104" s="74" t="inlineStr">
        <is>
          <t>Camisas</t>
        </is>
      </c>
      <c r="I104" s="74" t="inlineStr">
        <is>
          <t>L</t>
        </is>
      </c>
      <c r="J104" s="78" t="n">
        <v>2</v>
      </c>
      <c r="K104" s="76" t="n"/>
      <c r="L104" s="74" t="inlineStr">
        <is>
          <t>Verificado</t>
        </is>
      </c>
      <c r="M104" s="79" t="n"/>
    </row>
    <row r="105">
      <c r="A105" s="74" t="inlineStr">
        <is>
          <t>ESC-20260910-I1-L2-01</t>
        </is>
      </c>
      <c r="B105" s="75" t="inlineStr">
        <is>
          <t>2026-09-10 10:54:00</t>
        </is>
      </c>
      <c r="C105" s="76" t="inlineStr">
        <is>
          <t>I1-L2-01</t>
        </is>
      </c>
      <c r="D105" s="77" t="inlineStr">
        <is>
          <t>196070780987</t>
        </is>
      </c>
      <c r="E105" s="77" t="inlineStr">
        <is>
          <t>11-050-0594-2076-XL</t>
        </is>
      </c>
      <c r="F105" s="76" t="inlineStr">
        <is>
          <t>Stetson</t>
        </is>
      </c>
      <c r="G105" s="76" t="inlineStr">
        <is>
          <t>Camisa Stetson Blusa Manga Larga Mezclilla Crop Dama Crema</t>
        </is>
      </c>
      <c r="H105" s="74" t="inlineStr">
        <is>
          <t>Camisas</t>
        </is>
      </c>
      <c r="I105" s="74" t="inlineStr">
        <is>
          <t>XL</t>
        </is>
      </c>
      <c r="J105" s="78" t="n">
        <v>2</v>
      </c>
      <c r="K105" s="76" t="n"/>
      <c r="L105" s="74" t="inlineStr">
        <is>
          <t>Verificado</t>
        </is>
      </c>
      <c r="M105" s="79" t="n"/>
    </row>
    <row r="106">
      <c r="A106" s="74" t="inlineStr">
        <is>
          <t>ESC-20260910-I1-L2-01</t>
        </is>
      </c>
      <c r="B106" s="75" t="inlineStr">
        <is>
          <t>2026-09-10 10:54:00</t>
        </is>
      </c>
      <c r="C106" s="76" t="inlineStr">
        <is>
          <t>I1-L2-01</t>
        </is>
      </c>
      <c r="D106" s="77" t="inlineStr">
        <is>
          <t>884426265560</t>
        </is>
      </c>
      <c r="E106" s="77" t="inlineStr">
        <is>
          <t>11-030-0489-1022-M</t>
        </is>
      </c>
      <c r="F106" s="76" t="inlineStr">
        <is>
          <t>Stetson</t>
        </is>
      </c>
      <c r="G106" s="76" t="inlineStr">
        <is>
          <t>Camisa Manga Larga Niños Negra</t>
        </is>
      </c>
      <c r="H106" s="74" t="inlineStr">
        <is>
          <t>Camisas</t>
        </is>
      </c>
      <c r="I106" s="74" t="inlineStr">
        <is>
          <t>8</t>
        </is>
      </c>
      <c r="J106" s="78" t="n">
        <v>2</v>
      </c>
      <c r="K106" s="76" t="n"/>
      <c r="L106" s="74" t="inlineStr">
        <is>
          <t>Verificado</t>
        </is>
      </c>
      <c r="M106" s="79" t="n"/>
    </row>
    <row r="107">
      <c r="A107" s="74" t="inlineStr">
        <is>
          <t>ESC-20260910-I1-L2-01</t>
        </is>
      </c>
      <c r="B107" s="75" t="inlineStr">
        <is>
          <t>2026-09-10 10:54:00</t>
        </is>
      </c>
      <c r="C107" s="76" t="inlineStr">
        <is>
          <t>I1-L2-01</t>
        </is>
      </c>
      <c r="D107" s="77" t="inlineStr">
        <is>
          <t>884426265577</t>
        </is>
      </c>
      <c r="E107" s="77" t="inlineStr">
        <is>
          <t>11-030-0489-1022-S</t>
        </is>
      </c>
      <c r="F107" s="76" t="inlineStr">
        <is>
          <t>Stetson</t>
        </is>
      </c>
      <c r="G107" s="76" t="inlineStr">
        <is>
          <t>Camisa Manga Larga Niños Negra</t>
        </is>
      </c>
      <c r="H107" s="74" t="inlineStr">
        <is>
          <t>Camisas</t>
        </is>
      </c>
      <c r="I107" s="74" t="inlineStr">
        <is>
          <t>6</t>
        </is>
      </c>
      <c r="J107" s="78" t="n">
        <v>2</v>
      </c>
      <c r="K107" s="76" t="n"/>
      <c r="L107" s="74" t="inlineStr">
        <is>
          <t>Verificado</t>
        </is>
      </c>
      <c r="M107" s="79" t="n"/>
    </row>
    <row r="108">
      <c r="A108" s="74" t="inlineStr">
        <is>
          <t>ESC-20260910-I1-L2-01</t>
        </is>
      </c>
      <c r="B108" s="75" t="inlineStr">
        <is>
          <t>2026-09-10 10:54:00</t>
        </is>
      </c>
      <c r="C108" s="76" t="inlineStr">
        <is>
          <t>I1-L2-01</t>
        </is>
      </c>
      <c r="D108" s="77" t="inlineStr">
        <is>
          <t>884426265553</t>
        </is>
      </c>
      <c r="E108" s="77" t="inlineStr">
        <is>
          <t>11-030-0489-1022-L</t>
        </is>
      </c>
      <c r="F108" s="76" t="inlineStr">
        <is>
          <t>Stetson</t>
        </is>
      </c>
      <c r="G108" s="76" t="inlineStr">
        <is>
          <t>Camisa Manga Larga Niños Negra</t>
        </is>
      </c>
      <c r="H108" s="74" t="inlineStr">
        <is>
          <t>Camisas</t>
        </is>
      </c>
      <c r="I108" s="74" t="inlineStr">
        <is>
          <t>2026-10-12 00:00:00</t>
        </is>
      </c>
      <c r="J108" s="78" t="n">
        <v>2</v>
      </c>
      <c r="K108" s="76" t="n"/>
      <c r="L108" s="74" t="inlineStr">
        <is>
          <t>Verificado</t>
        </is>
      </c>
      <c r="M108" s="79" t="n"/>
    </row>
    <row r="109">
      <c r="A109" s="74" t="inlineStr">
        <is>
          <t>ESC-20260910-I1-L2-01</t>
        </is>
      </c>
      <c r="B109" s="75" t="inlineStr">
        <is>
          <t>2026-09-10 10:55:00</t>
        </is>
      </c>
      <c r="C109" s="76" t="inlineStr">
        <is>
          <t>I1-L2-01</t>
        </is>
      </c>
      <c r="D109" s="77" t="inlineStr">
        <is>
          <t>884426265584</t>
        </is>
      </c>
      <c r="E109" s="77" t="inlineStr">
        <is>
          <t>11-030-0489-1022-XL</t>
        </is>
      </c>
      <c r="F109" s="76" t="inlineStr">
        <is>
          <t>Stetson</t>
        </is>
      </c>
      <c r="G109" s="76" t="inlineStr">
        <is>
          <t>Camisa Manga Larga Niños Negra</t>
        </is>
      </c>
      <c r="H109" s="74" t="inlineStr">
        <is>
          <t>Camisas</t>
        </is>
      </c>
      <c r="I109" s="74" t="inlineStr">
        <is>
          <t>14-16</t>
        </is>
      </c>
      <c r="J109" s="78" t="n">
        <v>1</v>
      </c>
      <c r="K109" s="76" t="n"/>
      <c r="L109" s="74" t="inlineStr">
        <is>
          <t>Verificado</t>
        </is>
      </c>
      <c r="M109" s="79" t="n"/>
    </row>
    <row r="110">
      <c r="A110" s="74" t="inlineStr">
        <is>
          <t>ESC-20260910-I1-L2-01</t>
        </is>
      </c>
      <c r="B110" s="75" t="inlineStr">
        <is>
          <t>2026-09-10 10:55:00</t>
        </is>
      </c>
      <c r="C110" s="76" t="inlineStr">
        <is>
          <t>I1-L2-01</t>
        </is>
      </c>
      <c r="D110" s="77" t="inlineStr">
        <is>
          <t>196070778915</t>
        </is>
      </c>
      <c r="E110" s="77" t="inlineStr">
        <is>
          <t>11-001-0425-2063-2XL</t>
        </is>
      </c>
      <c r="F110" s="76" t="inlineStr">
        <is>
          <t>Stetson</t>
        </is>
      </c>
      <c r="G110" s="76" t="inlineStr">
        <is>
          <t>Camisa Stetson Geometrico Granate</t>
        </is>
      </c>
      <c r="H110" s="74" t="inlineStr">
        <is>
          <t>Camisas</t>
        </is>
      </c>
      <c r="I110" s="74" t="inlineStr">
        <is>
          <t>XXL</t>
        </is>
      </c>
      <c r="J110" s="78" t="n">
        <v>2</v>
      </c>
      <c r="K110" s="76" t="n"/>
      <c r="L110" s="74" t="inlineStr">
        <is>
          <t>Verificado</t>
        </is>
      </c>
      <c r="M110" s="79" t="n"/>
    </row>
    <row r="111">
      <c r="A111" s="74" t="inlineStr">
        <is>
          <t>ESC-20260910-I1-L2-01</t>
        </is>
      </c>
      <c r="B111" s="75" t="inlineStr">
        <is>
          <t>2026-09-10 10:55:00</t>
        </is>
      </c>
      <c r="C111" s="76" t="inlineStr">
        <is>
          <t>I1-L2-01</t>
        </is>
      </c>
      <c r="D111" s="77" t="inlineStr">
        <is>
          <t>196070778892</t>
        </is>
      </c>
      <c r="E111" s="77" t="inlineStr">
        <is>
          <t>11-001-0425-2063-S</t>
        </is>
      </c>
      <c r="F111" s="76" t="inlineStr">
        <is>
          <t>Stetson</t>
        </is>
      </c>
      <c r="G111" s="76" t="inlineStr">
        <is>
          <t>Camisa Stetson Geometrico Granate</t>
        </is>
      </c>
      <c r="H111" s="74" t="inlineStr">
        <is>
          <t>Camisas</t>
        </is>
      </c>
      <c r="I111" s="74" t="inlineStr">
        <is>
          <t>S</t>
        </is>
      </c>
      <c r="J111" s="78" t="n">
        <v>1</v>
      </c>
      <c r="K111" s="76" t="n"/>
      <c r="L111" s="74" t="inlineStr">
        <is>
          <t>Verificado</t>
        </is>
      </c>
      <c r="M111" s="79" t="n"/>
    </row>
    <row r="112">
      <c r="A112" s="74" t="inlineStr">
        <is>
          <t>ESC-20260910-I1-L2-01</t>
        </is>
      </c>
      <c r="B112" s="75" t="inlineStr">
        <is>
          <t>2026-09-10 10:55:00</t>
        </is>
      </c>
      <c r="C112" s="76" t="inlineStr">
        <is>
          <t>I1-L2-01</t>
        </is>
      </c>
      <c r="D112" s="77" t="inlineStr">
        <is>
          <t>196070778908</t>
        </is>
      </c>
      <c r="E112" s="77" t="inlineStr">
        <is>
          <t>11-001-0425-2063-XL</t>
        </is>
      </c>
      <c r="F112" s="76" t="inlineStr">
        <is>
          <t>Stetson</t>
        </is>
      </c>
      <c r="G112" s="76" t="inlineStr">
        <is>
          <t>Camisa Stetson Geometrico Granate</t>
        </is>
      </c>
      <c r="H112" s="74" t="inlineStr">
        <is>
          <t>Camisas</t>
        </is>
      </c>
      <c r="I112" s="74" t="inlineStr">
        <is>
          <t>XL</t>
        </is>
      </c>
      <c r="J112" s="78" t="n">
        <v>1</v>
      </c>
      <c r="K112" s="76" t="n"/>
      <c r="L112" s="74" t="inlineStr">
        <is>
          <t>Verificado</t>
        </is>
      </c>
      <c r="M112" s="79" t="n"/>
    </row>
    <row r="113">
      <c r="A113" s="74" t="inlineStr">
        <is>
          <t>ESC-20260910-I1-L2-01</t>
        </is>
      </c>
      <c r="B113" s="75" t="inlineStr">
        <is>
          <t>2026-09-10 10:55:00</t>
        </is>
      </c>
      <c r="C113" s="76" t="inlineStr">
        <is>
          <t>I1-L2-01</t>
        </is>
      </c>
      <c r="D113" s="77" t="inlineStr">
        <is>
          <t>7506499570350</t>
        </is>
      </c>
      <c r="E113" s="77" t="inlineStr">
        <is>
          <t>ST-VR-P-012-FW25-IF-S</t>
        </is>
      </c>
      <c r="F113" s="76" t="inlineStr">
        <is>
          <t>Stetson</t>
        </is>
      </c>
      <c r="G113" s="76" t="inlineStr">
        <is>
          <t>Camisa Stetson Vintage Range Ironframe</t>
        </is>
      </c>
      <c r="H113" s="74" t="inlineStr">
        <is>
          <t>Camisas</t>
        </is>
      </c>
      <c r="I113" s="74" t="inlineStr">
        <is>
          <t>S</t>
        </is>
      </c>
      <c r="J113" s="78" t="n">
        <v>4</v>
      </c>
      <c r="K113" s="76" t="n"/>
      <c r="L113" s="74" t="inlineStr">
        <is>
          <t>Verificado</t>
        </is>
      </c>
      <c r="M113" s="79" t="n"/>
    </row>
    <row r="114">
      <c r="A114" s="74" t="inlineStr">
        <is>
          <t>ESC-20260910-I1-L2-01</t>
        </is>
      </c>
      <c r="B114" s="75" t="inlineStr">
        <is>
          <t>2026-09-10 10:56:00</t>
        </is>
      </c>
      <c r="C114" s="76" t="inlineStr">
        <is>
          <t>I1-L2-01</t>
        </is>
      </c>
      <c r="D114" s="77" t="inlineStr">
        <is>
          <t>7506499570367</t>
        </is>
      </c>
      <c r="E114" s="77" t="inlineStr">
        <is>
          <t>ST-VR-P-012-FW25-IF-M</t>
        </is>
      </c>
      <c r="F114" s="76" t="inlineStr">
        <is>
          <t>Stetson</t>
        </is>
      </c>
      <c r="G114" s="76" t="inlineStr">
        <is>
          <t>Camisa Stetson Vintage Range Ironframe</t>
        </is>
      </c>
      <c r="H114" s="74" t="inlineStr">
        <is>
          <t>Camisas</t>
        </is>
      </c>
      <c r="I114" s="74" t="inlineStr">
        <is>
          <t>M</t>
        </is>
      </c>
      <c r="J114" s="78" t="n">
        <v>4</v>
      </c>
      <c r="K114" s="76" t="n"/>
      <c r="L114" s="74" t="inlineStr">
        <is>
          <t>Verificado</t>
        </is>
      </c>
      <c r="M114" s="79" t="n"/>
    </row>
    <row r="115">
      <c r="A115" s="74" t="inlineStr">
        <is>
          <t>ESC-20260910-I1-L2-01</t>
        </is>
      </c>
      <c r="B115" s="75" t="inlineStr">
        <is>
          <t>2026-09-10 10:56:00</t>
        </is>
      </c>
      <c r="C115" s="76" t="inlineStr">
        <is>
          <t>I1-L2-01</t>
        </is>
      </c>
      <c r="D115" s="77" t="inlineStr">
        <is>
          <t>196070779011</t>
        </is>
      </c>
      <c r="E115" s="77" t="inlineStr">
        <is>
          <t>11-001-0425-2065-S</t>
        </is>
      </c>
      <c r="F115" s="76" t="inlineStr">
        <is>
          <t>Stetson</t>
        </is>
      </c>
      <c r="G115" s="76" t="inlineStr">
        <is>
          <t>Camisa Stetson Paisley Humo</t>
        </is>
      </c>
      <c r="H115" s="74" t="inlineStr">
        <is>
          <t>Camisas</t>
        </is>
      </c>
      <c r="I115" s="74" t="inlineStr">
        <is>
          <t>S</t>
        </is>
      </c>
      <c r="J115" s="78" t="n">
        <v>2</v>
      </c>
      <c r="K115" s="76" t="n"/>
      <c r="L115" s="74" t="inlineStr">
        <is>
          <t>Verificado</t>
        </is>
      </c>
      <c r="M115" s="79" t="n"/>
    </row>
    <row r="116">
      <c r="A116" s="74" t="inlineStr">
        <is>
          <t>ESC-20260910-I1-L2-01</t>
        </is>
      </c>
      <c r="B116" s="75" t="inlineStr">
        <is>
          <t>2026-09-10 10:56:00</t>
        </is>
      </c>
      <c r="C116" s="76" t="inlineStr">
        <is>
          <t>I1-L2-01</t>
        </is>
      </c>
      <c r="D116" s="77" t="inlineStr">
        <is>
          <t>196070779004</t>
        </is>
      </c>
      <c r="E116" s="77" t="inlineStr">
        <is>
          <t>11-001-0425-2065-M</t>
        </is>
      </c>
      <c r="F116" s="76" t="inlineStr">
        <is>
          <t>Stetson</t>
        </is>
      </c>
      <c r="G116" s="76" t="inlineStr">
        <is>
          <t>Camisa Stetson Paisley Humo</t>
        </is>
      </c>
      <c r="H116" s="74" t="inlineStr">
        <is>
          <t>Camisas</t>
        </is>
      </c>
      <c r="I116" s="74" t="inlineStr">
        <is>
          <t>M</t>
        </is>
      </c>
      <c r="J116" s="78" t="n">
        <v>1</v>
      </c>
      <c r="K116" s="76" t="n"/>
      <c r="L116" s="74" t="inlineStr">
        <is>
          <t>Verificado</t>
        </is>
      </c>
      <c r="M116" s="79" t="n"/>
    </row>
    <row r="117">
      <c r="A117" s="74" t="inlineStr">
        <is>
          <t>ESC-20260910-I1-L2-01</t>
        </is>
      </c>
      <c r="B117" s="75" t="inlineStr">
        <is>
          <t>2026-09-10 10:56:00</t>
        </is>
      </c>
      <c r="C117" s="76" t="inlineStr">
        <is>
          <t>I1-L2-01</t>
        </is>
      </c>
      <c r="D117" s="77" t="inlineStr">
        <is>
          <t>196070779028</t>
        </is>
      </c>
      <c r="E117" s="77" t="inlineStr">
        <is>
          <t>11-001-0425-2065-XL</t>
        </is>
      </c>
      <c r="F117" s="76" t="inlineStr">
        <is>
          <t>Stetson</t>
        </is>
      </c>
      <c r="G117" s="76" t="inlineStr">
        <is>
          <t>Camisa Stetson Paisley Humo</t>
        </is>
      </c>
      <c r="H117" s="74" t="inlineStr">
        <is>
          <t>Camisas</t>
        </is>
      </c>
      <c r="I117" s="74" t="inlineStr">
        <is>
          <t>XL</t>
        </is>
      </c>
      <c r="J117" s="78" t="n">
        <v>3</v>
      </c>
      <c r="K117" s="76" t="n"/>
      <c r="L117" s="74" t="inlineStr">
        <is>
          <t>Verificado</t>
        </is>
      </c>
      <c r="M117" s="79" t="n"/>
    </row>
    <row r="118">
      <c r="A118" s="74" t="inlineStr">
        <is>
          <t>ESC-20260910-I1-L2-01</t>
        </is>
      </c>
      <c r="B118" s="75" t="inlineStr">
        <is>
          <t>2026-09-10 10:59:00</t>
        </is>
      </c>
      <c r="C118" s="76" t="inlineStr">
        <is>
          <t>I1-L2-01</t>
        </is>
      </c>
      <c r="D118" s="77" t="inlineStr">
        <is>
          <t>196070570502</t>
        </is>
      </c>
      <c r="E118" s="77" t="inlineStr">
        <is>
          <t>11-001-0425-2051-XL</t>
        </is>
      </c>
      <c r="F118" s="76" t="inlineStr">
        <is>
          <t>Stetson</t>
        </is>
      </c>
      <c r="G118" s="76" t="inlineStr">
        <is>
          <t>Camisa Manga Larga Greenspring Paisley</t>
        </is>
      </c>
      <c r="H118" s="74" t="inlineStr">
        <is>
          <t>Camisas</t>
        </is>
      </c>
      <c r="I118" s="74" t="inlineStr">
        <is>
          <t>XL</t>
        </is>
      </c>
      <c r="J118" s="78" t="n">
        <v>1</v>
      </c>
      <c r="K118" s="76" t="n"/>
      <c r="L118" s="74" t="inlineStr">
        <is>
          <t>Verificado</t>
        </is>
      </c>
      <c r="M118" s="79" t="n"/>
    </row>
    <row r="119">
      <c r="A119" s="74" t="inlineStr">
        <is>
          <t>ESC-20260910-I1-L2-01</t>
        </is>
      </c>
      <c r="B119" s="75" t="inlineStr">
        <is>
          <t>2026-09-10 10:59:00</t>
        </is>
      </c>
      <c r="C119" s="76" t="inlineStr">
        <is>
          <t>I1-L2-01</t>
        </is>
      </c>
      <c r="D119" s="77" t="inlineStr">
        <is>
          <t>196070570472</t>
        </is>
      </c>
      <c r="E119" s="77" t="inlineStr">
        <is>
          <t>11-001-0425-2051-L</t>
        </is>
      </c>
      <c r="F119" s="76" t="inlineStr">
        <is>
          <t>Stetson</t>
        </is>
      </c>
      <c r="G119" s="76" t="inlineStr">
        <is>
          <t>Camisa Manga Larga Greenspring Paisley</t>
        </is>
      </c>
      <c r="H119" s="74" t="inlineStr">
        <is>
          <t>Camisas</t>
        </is>
      </c>
      <c r="I119" s="74" t="inlineStr">
        <is>
          <t>L</t>
        </is>
      </c>
      <c r="J119" s="78" t="n">
        <v>1</v>
      </c>
      <c r="K119" s="76" t="n"/>
      <c r="L119" s="74" t="inlineStr">
        <is>
          <t>Verificado</t>
        </is>
      </c>
      <c r="M119" s="79" t="n"/>
    </row>
    <row r="120">
      <c r="A120" s="74" t="inlineStr">
        <is>
          <t>ESC-20260910-I1-L2-01</t>
        </is>
      </c>
      <c r="B120" s="75" t="inlineStr">
        <is>
          <t>2026-09-10 10:59:00</t>
        </is>
      </c>
      <c r="C120" s="76" t="inlineStr">
        <is>
          <t>I1-L2-01</t>
        </is>
      </c>
      <c r="D120" s="77" t="inlineStr">
        <is>
          <t>196070571394</t>
        </is>
      </c>
      <c r="E120" s="77" t="inlineStr">
        <is>
          <t>11-001-0526-2051-S</t>
        </is>
      </c>
      <c r="F120" s="76" t="inlineStr">
        <is>
          <t>Stetson</t>
        </is>
      </c>
      <c r="G120" s="76" t="inlineStr">
        <is>
          <t>Camisa Stetson Greenspring Paisley</t>
        </is>
      </c>
      <c r="H120" s="74" t="inlineStr">
        <is>
          <t>Camisas</t>
        </is>
      </c>
      <c r="I120" s="74" t="inlineStr">
        <is>
          <t>S</t>
        </is>
      </c>
      <c r="J120" s="78" t="n">
        <v>1</v>
      </c>
      <c r="K120" s="76" t="n"/>
      <c r="L120" s="74" t="inlineStr">
        <is>
          <t>Verificado</t>
        </is>
      </c>
      <c r="M120" s="79" t="n"/>
    </row>
    <row r="121">
      <c r="A121" s="74" t="inlineStr">
        <is>
          <t>ESC-20260910-I1-L2-01</t>
        </is>
      </c>
      <c r="B121" s="75" t="inlineStr">
        <is>
          <t>2026-09-10 10:59:00</t>
        </is>
      </c>
      <c r="C121" s="76" t="inlineStr">
        <is>
          <t>I1-L2-01</t>
        </is>
      </c>
      <c r="D121" s="77" t="inlineStr">
        <is>
          <t>196070570496</t>
        </is>
      </c>
      <c r="E121" s="77" t="inlineStr">
        <is>
          <t>11-001-0425-2051-S</t>
        </is>
      </c>
      <c r="F121" s="76" t="inlineStr">
        <is>
          <t>Stetson</t>
        </is>
      </c>
      <c r="G121" s="76" t="inlineStr">
        <is>
          <t>Camisa Manga Larga Greenspring Paisley</t>
        </is>
      </c>
      <c r="H121" s="74" t="inlineStr">
        <is>
          <t>Camisas</t>
        </is>
      </c>
      <c r="I121" s="74" t="inlineStr">
        <is>
          <t>S</t>
        </is>
      </c>
      <c r="J121" s="78" t="n">
        <v>1</v>
      </c>
      <c r="K121" s="76" t="n"/>
      <c r="L121" s="74" t="inlineStr">
        <is>
          <t>Verificado</t>
        </is>
      </c>
      <c r="M121" s="79" t="n"/>
    </row>
    <row r="122">
      <c r="A122" s="74" t="inlineStr">
        <is>
          <t>ESC-20260910-I1-L2-01</t>
        </is>
      </c>
      <c r="B122" s="75" t="inlineStr">
        <is>
          <t>2026-09-10 11:00:00</t>
        </is>
      </c>
      <c r="C122" s="76" t="inlineStr">
        <is>
          <t>I1-L2-01</t>
        </is>
      </c>
      <c r="D122" s="77" t="inlineStr">
        <is>
          <t>196070570489</t>
        </is>
      </c>
      <c r="E122" s="77" t="inlineStr">
        <is>
          <t>11-001-0425-2051-M</t>
        </is>
      </c>
      <c r="F122" s="76" t="inlineStr">
        <is>
          <t>Stetson</t>
        </is>
      </c>
      <c r="G122" s="76" t="inlineStr">
        <is>
          <t>Camisa Manga Larga Greenspring Paisley</t>
        </is>
      </c>
      <c r="H122" s="74" t="inlineStr">
        <is>
          <t>Camisas</t>
        </is>
      </c>
      <c r="I122" s="74" t="inlineStr">
        <is>
          <t>M</t>
        </is>
      </c>
      <c r="J122" s="78" t="n">
        <v>1</v>
      </c>
      <c r="K122" s="76" t="n"/>
      <c r="L122" s="74" t="inlineStr">
        <is>
          <t>Verificado</t>
        </is>
      </c>
      <c r="M122" s="79" t="n"/>
    </row>
    <row r="123">
      <c r="A123" s="74" t="inlineStr">
        <is>
          <t>ESC-20260910-I1-L2-01</t>
        </is>
      </c>
      <c r="B123" s="75" t="inlineStr">
        <is>
          <t>2026-09-10 11:00:00</t>
        </is>
      </c>
      <c r="C123" s="76" t="inlineStr">
        <is>
          <t>I1-L2-01</t>
        </is>
      </c>
      <c r="D123" s="77" t="inlineStr">
        <is>
          <t>196070571387</t>
        </is>
      </c>
      <c r="E123" s="77" t="inlineStr">
        <is>
          <t>11-001-0526-2051-M</t>
        </is>
      </c>
      <c r="F123" s="76" t="inlineStr">
        <is>
          <t>Stetson</t>
        </is>
      </c>
      <c r="G123" s="76" t="inlineStr">
        <is>
          <t>Camisa Stetson Greenspring Paisley</t>
        </is>
      </c>
      <c r="H123" s="74" t="inlineStr">
        <is>
          <t>Camisas</t>
        </is>
      </c>
      <c r="I123" s="74" t="inlineStr">
        <is>
          <t>M</t>
        </is>
      </c>
      <c r="J123" s="78" t="n">
        <v>1</v>
      </c>
      <c r="K123" s="76" t="n"/>
      <c r="L123" s="74" t="inlineStr">
        <is>
          <t>Verificado</t>
        </is>
      </c>
      <c r="M123" s="79" t="n"/>
    </row>
    <row r="124">
      <c r="A124" s="74" t="inlineStr">
        <is>
          <t>ESC-20260910-I1-L2-01</t>
        </is>
      </c>
      <c r="B124" s="75" t="inlineStr">
        <is>
          <t>2026-09-10 11:00:00</t>
        </is>
      </c>
      <c r="C124" s="76" t="inlineStr">
        <is>
          <t>I1-L2-01</t>
        </is>
      </c>
      <c r="D124" s="77" t="inlineStr">
        <is>
          <t>196070571370</t>
        </is>
      </c>
      <c r="E124" s="77" t="inlineStr">
        <is>
          <t>11-001-0526-2051-L</t>
        </is>
      </c>
      <c r="F124" s="76" t="inlineStr">
        <is>
          <t>Stetson</t>
        </is>
      </c>
      <c r="G124" s="76" t="inlineStr">
        <is>
          <t>Camisa Stetson Greenspring Paisley</t>
        </is>
      </c>
      <c r="H124" s="74" t="inlineStr">
        <is>
          <t>Camisas</t>
        </is>
      </c>
      <c r="I124" s="74" t="inlineStr">
        <is>
          <t>L</t>
        </is>
      </c>
      <c r="J124" s="78" t="n">
        <v>1</v>
      </c>
      <c r="K124" s="76" t="n"/>
      <c r="L124" s="74" t="inlineStr">
        <is>
          <t>Verificado</t>
        </is>
      </c>
      <c r="M124" s="79" t="n"/>
    </row>
    <row r="125">
      <c r="A125" s="74" t="inlineStr">
        <is>
          <t>ESC-20260910-I1-L2-01</t>
        </is>
      </c>
      <c r="B125" s="75" t="inlineStr">
        <is>
          <t>2026-09-10 11:00:00</t>
        </is>
      </c>
      <c r="C125" s="76" t="inlineStr">
        <is>
          <t>I1-L2-01</t>
        </is>
      </c>
      <c r="D125" s="77" t="inlineStr">
        <is>
          <t>196070570519</t>
        </is>
      </c>
      <c r="E125" s="77" t="inlineStr">
        <is>
          <t>11-001-0425-2051-2XL</t>
        </is>
      </c>
      <c r="F125" s="76" t="inlineStr">
        <is>
          <t>Stetson</t>
        </is>
      </c>
      <c r="G125" s="76" t="inlineStr">
        <is>
          <t>Camisa Manga Larga Greenspring Paisley</t>
        </is>
      </c>
      <c r="H125" s="74" t="inlineStr">
        <is>
          <t>Camisas</t>
        </is>
      </c>
      <c r="I125" s="74" t="inlineStr">
        <is>
          <t>XXL</t>
        </is>
      </c>
      <c r="J125" s="78" t="n">
        <v>1</v>
      </c>
      <c r="K125" s="76" t="n"/>
      <c r="L125" s="74" t="inlineStr">
        <is>
          <t>Verificado</t>
        </is>
      </c>
      <c r="M125" s="79" t="n"/>
    </row>
    <row r="126">
      <c r="A126" s="74" t="inlineStr">
        <is>
          <t>ESC-20260910-I1-L2-01</t>
        </is>
      </c>
      <c r="B126" s="75" t="inlineStr">
        <is>
          <t>2026-09-10 11:00:00</t>
        </is>
      </c>
      <c r="C126" s="76" t="inlineStr">
        <is>
          <t>I1-L2-01</t>
        </is>
      </c>
      <c r="D126" s="77" t="inlineStr">
        <is>
          <t>196070571417</t>
        </is>
      </c>
      <c r="E126" s="77" t="inlineStr">
        <is>
          <t>11-001-0526-2051-2XL</t>
        </is>
      </c>
      <c r="F126" s="76" t="inlineStr">
        <is>
          <t>Stetson</t>
        </is>
      </c>
      <c r="G126" s="76" t="inlineStr">
        <is>
          <t>Camisa Stetson Greenspring Paisley</t>
        </is>
      </c>
      <c r="H126" s="74" t="inlineStr">
        <is>
          <t>Camisas</t>
        </is>
      </c>
      <c r="I126" s="74" t="inlineStr">
        <is>
          <t>XXL</t>
        </is>
      </c>
      <c r="J126" s="78" t="n">
        <v>1</v>
      </c>
      <c r="K126" s="76" t="n"/>
      <c r="L126" s="74" t="inlineStr">
        <is>
          <t>Verificado</t>
        </is>
      </c>
      <c r="M126" s="79" t="n"/>
    </row>
    <row r="127">
      <c r="A127" s="74" t="inlineStr">
        <is>
          <t>ESC-20260910-I1-L2-01</t>
        </is>
      </c>
      <c r="B127" s="75" t="inlineStr">
        <is>
          <t>2026-09-10 11:00:00</t>
        </is>
      </c>
      <c r="C127" s="76" t="inlineStr">
        <is>
          <t>I1-L2-01</t>
        </is>
      </c>
      <c r="D127" s="77" t="inlineStr">
        <is>
          <t>196070779912</t>
        </is>
      </c>
      <c r="E127" s="77" t="inlineStr">
        <is>
          <t>11-001-0526-2067-S</t>
        </is>
      </c>
      <c r="F127" s="76" t="inlineStr">
        <is>
          <t>Stetson</t>
        </is>
      </c>
      <c r="G127" s="76" t="inlineStr">
        <is>
          <t>Camisa Stetson Mosaico Geo</t>
        </is>
      </c>
      <c r="H127" s="74" t="inlineStr">
        <is>
          <t>Camisas</t>
        </is>
      </c>
      <c r="I127" s="74" t="inlineStr">
        <is>
          <t>S</t>
        </is>
      </c>
      <c r="J127" s="78" t="n">
        <v>2</v>
      </c>
      <c r="K127" s="76" t="n"/>
      <c r="L127" s="74" t="inlineStr">
        <is>
          <t>Verificado</t>
        </is>
      </c>
      <c r="M127" s="79" t="n"/>
    </row>
    <row r="128">
      <c r="A128" s="74" t="inlineStr">
        <is>
          <t>ESC-20260910-I1-L2-01</t>
        </is>
      </c>
      <c r="B128" s="75" t="inlineStr">
        <is>
          <t>2026-09-10 11:00:00</t>
        </is>
      </c>
      <c r="C128" s="76" t="inlineStr">
        <is>
          <t>I1-L2-01</t>
        </is>
      </c>
      <c r="D128" s="77" t="inlineStr">
        <is>
          <t>196070780512</t>
        </is>
      </c>
      <c r="E128" s="77" t="inlineStr">
        <is>
          <t>11-002-0526-2067-S</t>
        </is>
      </c>
      <c r="F128" s="76" t="inlineStr">
        <is>
          <t>Stetson</t>
        </is>
      </c>
      <c r="G128" s="76" t="inlineStr">
        <is>
          <t>Camisa Stetson Manga Corta Mosaico Geo</t>
        </is>
      </c>
      <c r="H128" s="74" t="inlineStr">
        <is>
          <t>Camisas</t>
        </is>
      </c>
      <c r="I128" s="74" t="inlineStr">
        <is>
          <t>S</t>
        </is>
      </c>
      <c r="J128" s="78" t="n">
        <v>2</v>
      </c>
      <c r="K128" s="76" t="n"/>
      <c r="L128" s="74" t="inlineStr">
        <is>
          <t>Verificado</t>
        </is>
      </c>
      <c r="M128" s="79" t="n"/>
    </row>
    <row r="129">
      <c r="A129" s="74" t="inlineStr">
        <is>
          <t>ESC-20260910-I1-L2-01</t>
        </is>
      </c>
      <c r="B129" s="75" t="inlineStr">
        <is>
          <t>2026-09-10 11:00:00</t>
        </is>
      </c>
      <c r="C129" s="76" t="inlineStr">
        <is>
          <t>I1-L2-01</t>
        </is>
      </c>
      <c r="D129" s="77" t="inlineStr">
        <is>
          <t>196070780505</t>
        </is>
      </c>
      <c r="E129" s="77" t="inlineStr">
        <is>
          <t>11-002-0526-2067-M</t>
        </is>
      </c>
      <c r="F129" s="76" t="inlineStr">
        <is>
          <t>Stetson</t>
        </is>
      </c>
      <c r="G129" s="76" t="inlineStr">
        <is>
          <t>Camisa Stetson Manga Corta Mosaico Geo</t>
        </is>
      </c>
      <c r="H129" s="74" t="inlineStr">
        <is>
          <t>Camisas</t>
        </is>
      </c>
      <c r="I129" s="74" t="inlineStr">
        <is>
          <t>M</t>
        </is>
      </c>
      <c r="J129" s="78" t="n">
        <v>1</v>
      </c>
      <c r="K129" s="76" t="n"/>
      <c r="L129" s="74" t="inlineStr">
        <is>
          <t>Verificado</t>
        </is>
      </c>
      <c r="M129" s="79" t="n"/>
    </row>
    <row r="130">
      <c r="A130" s="74" t="inlineStr">
        <is>
          <t>ESC-20260910-I1-L2-01</t>
        </is>
      </c>
      <c r="B130" s="75" t="inlineStr">
        <is>
          <t>2026-09-10 11:00:00</t>
        </is>
      </c>
      <c r="C130" s="76" t="inlineStr">
        <is>
          <t>I1-L2-01</t>
        </is>
      </c>
      <c r="D130" s="77" t="inlineStr">
        <is>
          <t>196070779905</t>
        </is>
      </c>
      <c r="E130" s="77" t="inlineStr">
        <is>
          <t>11-001-0526-2067-M</t>
        </is>
      </c>
      <c r="F130" s="76" t="inlineStr">
        <is>
          <t>Stetson</t>
        </is>
      </c>
      <c r="G130" s="76" t="inlineStr">
        <is>
          <t>Camisa Stetson Mosaico Geo</t>
        </is>
      </c>
      <c r="H130" s="74" t="inlineStr">
        <is>
          <t>Camisas</t>
        </is>
      </c>
      <c r="I130" s="74" t="inlineStr">
        <is>
          <t>M</t>
        </is>
      </c>
      <c r="J130" s="78" t="n">
        <v>3</v>
      </c>
      <c r="K130" s="76" t="n"/>
      <c r="L130" s="74" t="inlineStr">
        <is>
          <t>Verificado</t>
        </is>
      </c>
      <c r="M130" s="79" t="n"/>
    </row>
    <row r="131">
      <c r="A131" s="74" t="inlineStr">
        <is>
          <t>ESC-20260910-I1-L2-01</t>
        </is>
      </c>
      <c r="B131" s="75" t="inlineStr">
        <is>
          <t>2026-09-10 11:00:00</t>
        </is>
      </c>
      <c r="C131" s="76" t="inlineStr">
        <is>
          <t>I1-L2-01</t>
        </is>
      </c>
      <c r="D131" s="77" t="inlineStr">
        <is>
          <t>196070779899</t>
        </is>
      </c>
      <c r="E131" s="77" t="inlineStr">
        <is>
          <t>11-001-0526-2067-L</t>
        </is>
      </c>
      <c r="F131" s="76" t="inlineStr">
        <is>
          <t>Stetson</t>
        </is>
      </c>
      <c r="G131" s="76" t="inlineStr">
        <is>
          <t>Camisa Stetson Mosaico Geo</t>
        </is>
      </c>
      <c r="H131" s="74" t="inlineStr">
        <is>
          <t>Camisas</t>
        </is>
      </c>
      <c r="I131" s="74" t="inlineStr">
        <is>
          <t>L</t>
        </is>
      </c>
      <c r="J131" s="78" t="n">
        <v>2</v>
      </c>
      <c r="K131" s="76" t="n"/>
      <c r="L131" s="74" t="inlineStr">
        <is>
          <t>Verificado</t>
        </is>
      </c>
      <c r="M131" s="79" t="n"/>
    </row>
    <row r="132">
      <c r="A132" s="74" t="inlineStr">
        <is>
          <t>ESC-20260910-I1-L2-01</t>
        </is>
      </c>
      <c r="B132" s="75" t="inlineStr">
        <is>
          <t>2026-09-10 11:00:00</t>
        </is>
      </c>
      <c r="C132" s="76" t="inlineStr">
        <is>
          <t>I1-L2-01</t>
        </is>
      </c>
      <c r="D132" s="77" t="inlineStr">
        <is>
          <t>196070779929</t>
        </is>
      </c>
      <c r="E132" s="77" t="inlineStr">
        <is>
          <t>11-001-0526-2067-XL</t>
        </is>
      </c>
      <c r="F132" s="76" t="inlineStr">
        <is>
          <t>Stetson</t>
        </is>
      </c>
      <c r="G132" s="76" t="inlineStr">
        <is>
          <t>Camisa Stetson Mosaico Geo</t>
        </is>
      </c>
      <c r="H132" s="74" t="inlineStr">
        <is>
          <t>Camisas</t>
        </is>
      </c>
      <c r="I132" s="74" t="inlineStr">
        <is>
          <t>XL</t>
        </is>
      </c>
      <c r="J132" s="78" t="n">
        <v>2</v>
      </c>
      <c r="K132" s="76" t="n"/>
      <c r="L132" s="74" t="inlineStr">
        <is>
          <t>Verificado</t>
        </is>
      </c>
      <c r="M132" s="79" t="n"/>
    </row>
    <row r="133">
      <c r="A133" s="74" t="inlineStr">
        <is>
          <t>ESC-20260910-I1-L2-01</t>
        </is>
      </c>
      <c r="B133" s="75" t="inlineStr">
        <is>
          <t>2026-09-10 11:00:00</t>
        </is>
      </c>
      <c r="C133" s="76" t="inlineStr">
        <is>
          <t>I1-L2-01</t>
        </is>
      </c>
      <c r="D133" s="77" t="inlineStr">
        <is>
          <t>196070780529</t>
        </is>
      </c>
      <c r="E133" s="77" t="inlineStr">
        <is>
          <t>11-002-0526-2067-XL</t>
        </is>
      </c>
      <c r="F133" s="76" t="inlineStr">
        <is>
          <t>Stetson</t>
        </is>
      </c>
      <c r="G133" s="76" t="inlineStr">
        <is>
          <t>Camisa Stetson Manga Corta Mosaico Geo</t>
        </is>
      </c>
      <c r="H133" s="74" t="inlineStr">
        <is>
          <t>Camisas</t>
        </is>
      </c>
      <c r="I133" s="74" t="inlineStr">
        <is>
          <t>XL</t>
        </is>
      </c>
      <c r="J133" s="78" t="n">
        <v>2</v>
      </c>
      <c r="K133" s="76" t="n"/>
      <c r="L133" s="74" t="inlineStr">
        <is>
          <t>Verificado</t>
        </is>
      </c>
      <c r="M133" s="79" t="n"/>
    </row>
    <row r="134">
      <c r="A134" s="74" t="inlineStr">
        <is>
          <t>ESC-20260910-I1-L2-01</t>
        </is>
      </c>
      <c r="B134" s="75" t="inlineStr">
        <is>
          <t>2026-09-10 11:01:00</t>
        </is>
      </c>
      <c r="C134" s="76" t="inlineStr">
        <is>
          <t>I1-L2-01</t>
        </is>
      </c>
      <c r="D134" s="77" t="inlineStr">
        <is>
          <t>196070779936</t>
        </is>
      </c>
      <c r="E134" s="77" t="inlineStr">
        <is>
          <t>11-001-0526-2067-2XL</t>
        </is>
      </c>
      <c r="F134" s="76" t="inlineStr">
        <is>
          <t>Stetson</t>
        </is>
      </c>
      <c r="G134" s="76" t="inlineStr">
        <is>
          <t>Camisa Stetson Mosaico Geo</t>
        </is>
      </c>
      <c r="H134" s="74" t="inlineStr">
        <is>
          <t>Camisas</t>
        </is>
      </c>
      <c r="I134" s="74" t="inlineStr">
        <is>
          <t>XXL</t>
        </is>
      </c>
      <c r="J134" s="78" t="n">
        <v>2</v>
      </c>
      <c r="K134" s="76" t="n"/>
      <c r="L134" s="74" t="inlineStr">
        <is>
          <t>Verificado</t>
        </is>
      </c>
      <c r="M134" s="79" t="n"/>
    </row>
    <row r="135">
      <c r="A135" s="74" t="inlineStr">
        <is>
          <t>ESC-20260910-I1-L2-01</t>
        </is>
      </c>
      <c r="B135" s="75" t="inlineStr">
        <is>
          <t>2026-09-10 11:01:00</t>
        </is>
      </c>
      <c r="C135" s="76" t="inlineStr">
        <is>
          <t>I1-L2-01</t>
        </is>
      </c>
      <c r="D135" s="77" t="inlineStr">
        <is>
          <t>196070780536</t>
        </is>
      </c>
      <c r="E135" s="77" t="inlineStr">
        <is>
          <t>11-002-0526-2067-2XL</t>
        </is>
      </c>
      <c r="F135" s="76" t="inlineStr">
        <is>
          <t>Stetson</t>
        </is>
      </c>
      <c r="G135" s="76" t="inlineStr">
        <is>
          <t>Camisa Stetson Manga Corta Mosaico Geo</t>
        </is>
      </c>
      <c r="H135" s="74" t="inlineStr">
        <is>
          <t>Camisas</t>
        </is>
      </c>
      <c r="I135" s="74" t="inlineStr">
        <is>
          <t>XXL</t>
        </is>
      </c>
      <c r="J135" s="78" t="n">
        <v>2</v>
      </c>
      <c r="K135" s="76" t="n"/>
      <c r="L135" s="74" t="inlineStr">
        <is>
          <t>Verificado</t>
        </is>
      </c>
      <c r="M135" s="79" t="n"/>
    </row>
    <row r="136">
      <c r="A136" s="74" t="inlineStr">
        <is>
          <t>ESC-20260910-I1-L2-01</t>
        </is>
      </c>
      <c r="B136" s="75" t="inlineStr">
        <is>
          <t>2026-09-10 11:01:00</t>
        </is>
      </c>
      <c r="C136" s="76" t="inlineStr">
        <is>
          <t>I1-L2-01</t>
        </is>
      </c>
      <c r="D136" s="77" t="inlineStr">
        <is>
          <t>196070780390</t>
        </is>
      </c>
      <c r="E136" s="77" t="inlineStr">
        <is>
          <t>11-002-0478-2030-S</t>
        </is>
      </c>
      <c r="F136" s="76" t="inlineStr">
        <is>
          <t>Stetson</t>
        </is>
      </c>
      <c r="G136" s="76" t="inlineStr">
        <is>
          <t>Camisa Stetson Manga Corta Moss Dobby</t>
        </is>
      </c>
      <c r="H136" s="74" t="inlineStr">
        <is>
          <t>Camisas</t>
        </is>
      </c>
      <c r="I136" s="74" t="inlineStr">
        <is>
          <t>S</t>
        </is>
      </c>
      <c r="J136" s="78" t="n">
        <v>1</v>
      </c>
      <c r="K136" s="76" t="n"/>
      <c r="L136" s="74" t="inlineStr">
        <is>
          <t>Verificado</t>
        </is>
      </c>
      <c r="M136" s="79" t="n"/>
    </row>
    <row r="137">
      <c r="A137" s="74" t="inlineStr">
        <is>
          <t>ESC-20260910-I1-L2-01</t>
        </is>
      </c>
      <c r="B137" s="75" t="inlineStr">
        <is>
          <t>2026-09-10 11:01:00</t>
        </is>
      </c>
      <c r="C137" s="76" t="inlineStr">
        <is>
          <t>I1-L2-01</t>
        </is>
      </c>
      <c r="D137" s="77" t="inlineStr">
        <is>
          <t>196070779257</t>
        </is>
      </c>
      <c r="E137" s="77" t="inlineStr">
        <is>
          <t>11-001-0478-2030-S</t>
        </is>
      </c>
      <c r="F137" s="76" t="inlineStr">
        <is>
          <t>Stetson</t>
        </is>
      </c>
      <c r="G137" s="76" t="inlineStr">
        <is>
          <t>Camisa Stetson Moss Dobby</t>
        </is>
      </c>
      <c r="H137" s="74" t="inlineStr">
        <is>
          <t>Camisas</t>
        </is>
      </c>
      <c r="I137" s="74" t="inlineStr">
        <is>
          <t>S</t>
        </is>
      </c>
      <c r="J137" s="78" t="n">
        <v>2</v>
      </c>
      <c r="K137" s="76" t="n"/>
      <c r="L137" s="74" t="inlineStr">
        <is>
          <t>Verificado</t>
        </is>
      </c>
      <c r="M137" s="79" t="n"/>
    </row>
    <row r="138">
      <c r="A138" s="74" t="inlineStr">
        <is>
          <t>ESC-20260910-I1-L2-01</t>
        </is>
      </c>
      <c r="B138" s="75" t="inlineStr">
        <is>
          <t>2026-09-10 11:01:00</t>
        </is>
      </c>
      <c r="C138" s="76" t="inlineStr">
        <is>
          <t>I1-L2-01</t>
        </is>
      </c>
      <c r="D138" s="77" t="inlineStr">
        <is>
          <t>196070780406</t>
        </is>
      </c>
      <c r="E138" s="77" t="inlineStr">
        <is>
          <t>11-002-0478-2030-XL</t>
        </is>
      </c>
      <c r="F138" s="76" t="inlineStr">
        <is>
          <t>Stetson</t>
        </is>
      </c>
      <c r="G138" s="76" t="inlineStr">
        <is>
          <t>Camisa Stetson Manga Corta Moss Dobby</t>
        </is>
      </c>
      <c r="H138" s="74" t="inlineStr">
        <is>
          <t>Camisas</t>
        </is>
      </c>
      <c r="I138" s="74" t="inlineStr">
        <is>
          <t>XL</t>
        </is>
      </c>
      <c r="J138" s="78" t="n">
        <v>2</v>
      </c>
      <c r="K138" s="76" t="n"/>
      <c r="L138" s="74" t="inlineStr">
        <is>
          <t>Verificado</t>
        </is>
      </c>
      <c r="M138" s="79" t="n"/>
    </row>
    <row r="139">
      <c r="A139" s="74" t="inlineStr">
        <is>
          <t>ESC-20260910-I1-L2-01</t>
        </is>
      </c>
      <c r="B139" s="75" t="inlineStr">
        <is>
          <t>2026-09-10 11:01:00</t>
        </is>
      </c>
      <c r="C139" s="76" t="inlineStr">
        <is>
          <t>I1-L2-01</t>
        </is>
      </c>
      <c r="D139" s="77" t="inlineStr">
        <is>
          <t>196070779240</t>
        </is>
      </c>
      <c r="E139" s="77" t="inlineStr">
        <is>
          <t>11-001-0478-2030-M</t>
        </is>
      </c>
      <c r="F139" s="76" t="inlineStr">
        <is>
          <t>Stetson</t>
        </is>
      </c>
      <c r="G139" s="76" t="inlineStr">
        <is>
          <t>Camisa Stetson Moss Dobby</t>
        </is>
      </c>
      <c r="H139" s="74" t="inlineStr">
        <is>
          <t>Camisas</t>
        </is>
      </c>
      <c r="I139" s="74" t="inlineStr">
        <is>
          <t>M</t>
        </is>
      </c>
      <c r="J139" s="78" t="n">
        <v>1</v>
      </c>
      <c r="K139" s="76" t="n"/>
      <c r="L139" s="74" t="inlineStr">
        <is>
          <t>Verificado</t>
        </is>
      </c>
      <c r="M139" s="79" t="n"/>
    </row>
    <row r="140">
      <c r="A140" s="74" t="inlineStr">
        <is>
          <t>ESC-20260910-I1-L2-01</t>
        </is>
      </c>
      <c r="B140" s="75" t="inlineStr">
        <is>
          <t>2026-09-10 11:01:00</t>
        </is>
      </c>
      <c r="C140" s="76" t="inlineStr">
        <is>
          <t>I1-L2-01</t>
        </is>
      </c>
      <c r="D140" s="77" t="inlineStr">
        <is>
          <t>196070780383</t>
        </is>
      </c>
      <c r="E140" s="77" t="inlineStr">
        <is>
          <t>11-002-0478-2030-M</t>
        </is>
      </c>
      <c r="F140" s="76" t="inlineStr">
        <is>
          <t>Stetson</t>
        </is>
      </c>
      <c r="G140" s="76" t="inlineStr">
        <is>
          <t>Camisa Stetson Manga Corta Moss Dobby</t>
        </is>
      </c>
      <c r="H140" s="74" t="inlineStr">
        <is>
          <t>Camisas</t>
        </is>
      </c>
      <c r="I140" s="74" t="inlineStr">
        <is>
          <t>M</t>
        </is>
      </c>
      <c r="J140" s="78" t="n">
        <v>2</v>
      </c>
      <c r="K140" s="76" t="n"/>
      <c r="L140" s="74" t="inlineStr">
        <is>
          <t>Verificado</t>
        </is>
      </c>
      <c r="M140" s="79" t="n"/>
    </row>
    <row r="141">
      <c r="A141" s="74" t="inlineStr">
        <is>
          <t>ESC-20260910-I1-L2-01</t>
        </is>
      </c>
      <c r="B141" s="75" t="inlineStr">
        <is>
          <t>2026-09-10 11:01:00</t>
        </is>
      </c>
      <c r="C141" s="76" t="inlineStr">
        <is>
          <t>I1-L2-01</t>
        </is>
      </c>
      <c r="D141" s="77" t="inlineStr">
        <is>
          <t>196070779233</t>
        </is>
      </c>
      <c r="E141" s="77" t="inlineStr">
        <is>
          <t>11-001-0478-2030-L</t>
        </is>
      </c>
      <c r="F141" s="76" t="inlineStr">
        <is>
          <t>Stetson</t>
        </is>
      </c>
      <c r="G141" s="76" t="inlineStr">
        <is>
          <t>Camisa Stetson Moss Dobby</t>
        </is>
      </c>
      <c r="H141" s="74" t="inlineStr">
        <is>
          <t>Camisas</t>
        </is>
      </c>
      <c r="I141" s="74" t="inlineStr">
        <is>
          <t>L</t>
        </is>
      </c>
      <c r="J141" s="78" t="n">
        <v>1</v>
      </c>
      <c r="K141" s="76" t="n"/>
      <c r="L141" s="74" t="inlineStr">
        <is>
          <t>Verificado</t>
        </is>
      </c>
      <c r="M141" s="79" t="n"/>
    </row>
    <row r="142">
      <c r="A142" s="74" t="inlineStr">
        <is>
          <t>ESC-20260910-I1-L2-01</t>
        </is>
      </c>
      <c r="B142" s="75" t="inlineStr">
        <is>
          <t>2026-09-10 11:01:00</t>
        </is>
      </c>
      <c r="C142" s="76" t="inlineStr">
        <is>
          <t>I1-L2-01</t>
        </is>
      </c>
      <c r="D142" s="77" t="inlineStr">
        <is>
          <t>196070779264</t>
        </is>
      </c>
      <c r="E142" s="77" t="inlineStr">
        <is>
          <t>11-001-0478-2030-XL</t>
        </is>
      </c>
      <c r="F142" s="76" t="inlineStr">
        <is>
          <t>Stetson</t>
        </is>
      </c>
      <c r="G142" s="76" t="inlineStr">
        <is>
          <t>Camisa Stetson Moss Dobby</t>
        </is>
      </c>
      <c r="H142" s="74" t="inlineStr">
        <is>
          <t>Camisas</t>
        </is>
      </c>
      <c r="I142" s="74" t="inlineStr">
        <is>
          <t>XL</t>
        </is>
      </c>
      <c r="J142" s="78" t="n">
        <v>1</v>
      </c>
      <c r="K142" s="76" t="n"/>
      <c r="L142" s="74" t="inlineStr">
        <is>
          <t>Verificado</t>
        </is>
      </c>
      <c r="M142" s="79" t="n"/>
    </row>
    <row r="143">
      <c r="A143" s="74" t="inlineStr">
        <is>
          <t>ESC-20260910-I1-L2-01</t>
        </is>
      </c>
      <c r="B143" s="75" t="inlineStr">
        <is>
          <t>2026-09-10 11:01:00</t>
        </is>
      </c>
      <c r="C143" s="76" t="inlineStr">
        <is>
          <t>I1-L2-01</t>
        </is>
      </c>
      <c r="D143" s="77" t="inlineStr">
        <is>
          <t>196070780413</t>
        </is>
      </c>
      <c r="E143" s="77" t="inlineStr">
        <is>
          <t>11-002-0478-2030-2XL</t>
        </is>
      </c>
      <c r="F143" s="76" t="inlineStr">
        <is>
          <t>Stetson</t>
        </is>
      </c>
      <c r="G143" s="76" t="inlineStr">
        <is>
          <t>Camisa Stetson Manga Corta Moss Dobby</t>
        </is>
      </c>
      <c r="H143" s="74" t="inlineStr">
        <is>
          <t>Camisas</t>
        </is>
      </c>
      <c r="I143" s="74" t="inlineStr">
        <is>
          <t>XXL</t>
        </is>
      </c>
      <c r="J143" s="78" t="n">
        <v>2</v>
      </c>
      <c r="K143" s="76" t="n"/>
      <c r="L143" s="74" t="inlineStr">
        <is>
          <t>Verificado</t>
        </is>
      </c>
      <c r="M143" s="79" t="n"/>
    </row>
    <row r="144">
      <c r="A144" s="74" t="inlineStr">
        <is>
          <t>ESC-20260910-I1-L2-01</t>
        </is>
      </c>
      <c r="B144" s="75" t="inlineStr">
        <is>
          <t>2026-09-10 11:01:00</t>
        </is>
      </c>
      <c r="C144" s="76" t="inlineStr">
        <is>
          <t>I1-L2-01</t>
        </is>
      </c>
      <c r="D144" s="77" t="inlineStr">
        <is>
          <t>196070779271</t>
        </is>
      </c>
      <c r="E144" s="77" t="inlineStr">
        <is>
          <t>11-001-0478-2030-2XL</t>
        </is>
      </c>
      <c r="F144" s="76" t="inlineStr">
        <is>
          <t>Stetson</t>
        </is>
      </c>
      <c r="G144" s="76" t="inlineStr">
        <is>
          <t>Camisa Stetson Moss Dobby</t>
        </is>
      </c>
      <c r="H144" s="74" t="inlineStr">
        <is>
          <t>Camisas</t>
        </is>
      </c>
      <c r="I144" s="74" t="inlineStr">
        <is>
          <t>XXL</t>
        </is>
      </c>
      <c r="J144" s="78" t="n">
        <v>2</v>
      </c>
      <c r="K144" s="76" t="n"/>
      <c r="L144" s="74" t="inlineStr">
        <is>
          <t>Verificado</t>
        </is>
      </c>
      <c r="M144" s="79" t="n"/>
    </row>
    <row r="145">
      <c r="A145" s="74" t="inlineStr">
        <is>
          <t>ESC-20260910-I1-L2-01</t>
        </is>
      </c>
      <c r="B145" s="75" t="inlineStr">
        <is>
          <t>2026-09-10 11:01:00</t>
        </is>
      </c>
      <c r="C145" s="76" t="inlineStr">
        <is>
          <t>I1-L2-01</t>
        </is>
      </c>
      <c r="D145" s="77" t="inlineStr">
        <is>
          <t>884426265539</t>
        </is>
      </c>
      <c r="E145" s="77" t="inlineStr">
        <is>
          <t>11-030-0489-0025-XL</t>
        </is>
      </c>
      <c r="F145" s="76" t="inlineStr">
        <is>
          <t>Stetson</t>
        </is>
      </c>
      <c r="G145" s="76" t="inlineStr">
        <is>
          <t>Camisa Stetson Manga Larga Niños Blanca</t>
        </is>
      </c>
      <c r="H145" s="74" t="inlineStr">
        <is>
          <t>Camisas</t>
        </is>
      </c>
      <c r="I145" s="74" t="inlineStr">
        <is>
          <t>14-16</t>
        </is>
      </c>
      <c r="J145" s="78" t="n">
        <v>2</v>
      </c>
      <c r="K145" s="76" t="n"/>
      <c r="L145" s="74" t="inlineStr">
        <is>
          <t>Verificado</t>
        </is>
      </c>
      <c r="M145" s="79" t="n"/>
    </row>
    <row r="146">
      <c r="A146" s="74" t="inlineStr">
        <is>
          <t>ESC-20260910-I1-L2-01</t>
        </is>
      </c>
      <c r="B146" s="75" t="inlineStr">
        <is>
          <t>2026-09-10 11:01:00</t>
        </is>
      </c>
      <c r="C146" s="76" t="inlineStr">
        <is>
          <t>I1-L2-01</t>
        </is>
      </c>
      <c r="D146" s="77" t="inlineStr">
        <is>
          <t>884426265508</t>
        </is>
      </c>
      <c r="E146" s="77" t="inlineStr">
        <is>
          <t>11-030-0489-0025-L</t>
        </is>
      </c>
      <c r="F146" s="76" t="inlineStr">
        <is>
          <t>Stetson</t>
        </is>
      </c>
      <c r="G146" s="76" t="inlineStr">
        <is>
          <t>Camisa Stetson Manga Larga Niños Blanca</t>
        </is>
      </c>
      <c r="H146" s="74" t="inlineStr">
        <is>
          <t>Camisas</t>
        </is>
      </c>
      <c r="I146" s="74" t="inlineStr">
        <is>
          <t>2026-10-12 00:00:00</t>
        </is>
      </c>
      <c r="J146" s="78" t="n">
        <v>2</v>
      </c>
      <c r="K146" s="76" t="n"/>
      <c r="L146" s="74" t="inlineStr">
        <is>
          <t>Verificado</t>
        </is>
      </c>
      <c r="M146" s="79" t="n"/>
    </row>
    <row r="147">
      <c r="A147" s="74" t="inlineStr">
        <is>
          <t>ESC-20260910-I1-L2-01</t>
        </is>
      </c>
      <c r="B147" s="75" t="inlineStr">
        <is>
          <t>2026-09-10 11:01:00</t>
        </is>
      </c>
      <c r="C147" s="76" t="inlineStr">
        <is>
          <t>I1-L2-01</t>
        </is>
      </c>
      <c r="D147" s="77" t="inlineStr">
        <is>
          <t>884426265522</t>
        </is>
      </c>
      <c r="E147" s="77" t="inlineStr">
        <is>
          <t>11-030-0489-0025-S</t>
        </is>
      </c>
      <c r="F147" s="76" t="inlineStr">
        <is>
          <t>Stetson</t>
        </is>
      </c>
      <c r="G147" s="76" t="inlineStr">
        <is>
          <t>Camisa Stetson Manga Larga Niños Blanca</t>
        </is>
      </c>
      <c r="H147" s="74" t="inlineStr">
        <is>
          <t>Camisas</t>
        </is>
      </c>
      <c r="I147" s="74" t="inlineStr">
        <is>
          <t>6</t>
        </is>
      </c>
      <c r="J147" s="78" t="n">
        <v>2</v>
      </c>
      <c r="K147" s="76" t="n"/>
      <c r="L147" s="74" t="inlineStr">
        <is>
          <t>Verificado</t>
        </is>
      </c>
      <c r="M147" s="79" t="n"/>
    </row>
    <row r="148">
      <c r="A148" s="74" t="inlineStr">
        <is>
          <t>ESC-20260910-I1-L2-02</t>
        </is>
      </c>
      <c r="B148" s="75" t="inlineStr">
        <is>
          <t>2026-09-10 11:04:00</t>
        </is>
      </c>
      <c r="C148" s="76" t="inlineStr">
        <is>
          <t>I1-L2-02</t>
        </is>
      </c>
      <c r="D148" s="77" t="inlineStr">
        <is>
          <t>7506499570084</t>
        </is>
      </c>
      <c r="E148" s="77" t="inlineStr">
        <is>
          <t>ST-VR-P-006-FW25-PD-XL</t>
        </is>
      </c>
      <c r="F148" s="76" t="inlineStr">
        <is>
          <t>Stetson</t>
        </is>
      </c>
      <c r="G148" s="76" t="inlineStr">
        <is>
          <t>Camisa Stetson Vintage Range Palisade Diamond</t>
        </is>
      </c>
      <c r="H148" s="74" t="inlineStr">
        <is>
          <t>Camisas</t>
        </is>
      </c>
      <c r="I148" s="74" t="inlineStr">
        <is>
          <t>XL</t>
        </is>
      </c>
      <c r="J148" s="78" t="n">
        <v>2</v>
      </c>
      <c r="K148" s="76" t="n"/>
      <c r="L148" s="74" t="inlineStr">
        <is>
          <t>Verificado</t>
        </is>
      </c>
      <c r="M148" s="79" t="n"/>
    </row>
    <row r="149">
      <c r="A149" s="74" t="inlineStr">
        <is>
          <t>ESC-20260910-I1-L2-02</t>
        </is>
      </c>
      <c r="B149" s="75" t="inlineStr">
        <is>
          <t>2026-09-10 11:04:00</t>
        </is>
      </c>
      <c r="C149" s="76" t="inlineStr">
        <is>
          <t>I1-L2-02</t>
        </is>
      </c>
      <c r="D149" s="77" t="inlineStr">
        <is>
          <t>7506499570077</t>
        </is>
      </c>
      <c r="E149" s="77" t="inlineStr">
        <is>
          <t>ST-VR-P-006-FW25-PD-L</t>
        </is>
      </c>
      <c r="F149" s="76" t="inlineStr">
        <is>
          <t>Stetson</t>
        </is>
      </c>
      <c r="G149" s="76" t="inlineStr">
        <is>
          <t>Camisa Stetson Vintage Range Palisade Diamond</t>
        </is>
      </c>
      <c r="H149" s="74" t="inlineStr">
        <is>
          <t>Camisas</t>
        </is>
      </c>
      <c r="I149" s="74" t="inlineStr">
        <is>
          <t>L</t>
        </is>
      </c>
      <c r="J149" s="78" t="n">
        <v>6</v>
      </c>
      <c r="K149" s="76" t="n"/>
      <c r="L149" s="74" t="inlineStr">
        <is>
          <t>Verificado</t>
        </is>
      </c>
      <c r="M149" s="79" t="n"/>
    </row>
    <row r="150">
      <c r="A150" s="74" t="inlineStr">
        <is>
          <t>ESC-20260910-I1-L2-02</t>
        </is>
      </c>
      <c r="B150" s="75" t="inlineStr">
        <is>
          <t>2026-09-10 11:04:00</t>
        </is>
      </c>
      <c r="C150" s="76" t="inlineStr">
        <is>
          <t>I1-L2-02</t>
        </is>
      </c>
      <c r="D150" s="77" t="inlineStr">
        <is>
          <t>7506499570060</t>
        </is>
      </c>
      <c r="E150" s="77" t="inlineStr">
        <is>
          <t>ST-VR-P-006-FW25-PD-M</t>
        </is>
      </c>
      <c r="F150" s="76" t="inlineStr">
        <is>
          <t>Stetson</t>
        </is>
      </c>
      <c r="G150" s="76" t="inlineStr">
        <is>
          <t>Camisa Stetson Vintage Range Palisade Diamond</t>
        </is>
      </c>
      <c r="H150" s="74" t="inlineStr">
        <is>
          <t>Camisas</t>
        </is>
      </c>
      <c r="I150" s="74" t="inlineStr">
        <is>
          <t>M</t>
        </is>
      </c>
      <c r="J150" s="78" t="n">
        <v>3</v>
      </c>
      <c r="K150" s="76" t="n"/>
      <c r="L150" s="74" t="inlineStr">
        <is>
          <t>Verificado</t>
        </is>
      </c>
      <c r="M150" s="79" t="n"/>
    </row>
    <row r="151">
      <c r="A151" s="74" t="inlineStr">
        <is>
          <t>ESC-20260910-I1-L2-02</t>
        </is>
      </c>
      <c r="B151" s="75" t="inlineStr">
        <is>
          <t>2026-09-10 11:04:00</t>
        </is>
      </c>
      <c r="C151" s="76" t="inlineStr">
        <is>
          <t>I1-L2-02</t>
        </is>
      </c>
      <c r="D151" s="77" t="inlineStr">
        <is>
          <t>7506499570053</t>
        </is>
      </c>
      <c r="E151" s="77" t="inlineStr">
        <is>
          <t>ST-VR-P-006-FW25-PD-S</t>
        </is>
      </c>
      <c r="F151" s="76" t="inlineStr">
        <is>
          <t>Stetson</t>
        </is>
      </c>
      <c r="G151" s="76" t="inlineStr">
        <is>
          <t>Camisa Stetson Vintage Range Palisade Diamond</t>
        </is>
      </c>
      <c r="H151" s="74" t="inlineStr">
        <is>
          <t>Camisas</t>
        </is>
      </c>
      <c r="I151" s="74" t="inlineStr">
        <is>
          <t>S</t>
        </is>
      </c>
      <c r="J151" s="78" t="n">
        <v>6</v>
      </c>
      <c r="K151" s="76" t="n"/>
      <c r="L151" s="74" t="inlineStr">
        <is>
          <t>Verificado</t>
        </is>
      </c>
      <c r="M151" s="79" t="n"/>
    </row>
    <row r="152">
      <c r="A152" s="74" t="inlineStr">
        <is>
          <t>ESC-20260910-I1-L2-02</t>
        </is>
      </c>
      <c r="B152" s="75" t="inlineStr">
        <is>
          <t>2026-09-10 11:04:00</t>
        </is>
      </c>
      <c r="C152" s="76" t="inlineStr">
        <is>
          <t>I1-L2-02</t>
        </is>
      </c>
      <c r="D152" s="77" t="inlineStr">
        <is>
          <t>7506499570114</t>
        </is>
      </c>
      <c r="E152" s="77" t="inlineStr">
        <is>
          <t>ST-VR-P-007-FW25-SB-M</t>
        </is>
      </c>
      <c r="F152" s="76" t="inlineStr">
        <is>
          <t>Stetson</t>
        </is>
      </c>
      <c r="G152" s="76" t="inlineStr">
        <is>
          <t>Camisa Stetson Vintage Range Shadowburst</t>
        </is>
      </c>
      <c r="H152" s="74" t="inlineStr">
        <is>
          <t>Camisas</t>
        </is>
      </c>
      <c r="I152" s="74" t="inlineStr">
        <is>
          <t>M</t>
        </is>
      </c>
      <c r="J152" s="78" t="n">
        <v>5</v>
      </c>
      <c r="K152" s="76" t="n"/>
      <c r="L152" s="74" t="inlineStr">
        <is>
          <t>Verificado</t>
        </is>
      </c>
      <c r="M152" s="79" t="n"/>
    </row>
    <row r="153">
      <c r="A153" s="74" t="inlineStr">
        <is>
          <t>ESC-20260910-I1-L2-02</t>
        </is>
      </c>
      <c r="B153" s="75" t="inlineStr">
        <is>
          <t>2026-09-10 11:05:00</t>
        </is>
      </c>
      <c r="C153" s="76" t="inlineStr">
        <is>
          <t>I1-L2-02</t>
        </is>
      </c>
      <c r="D153" s="77" t="inlineStr">
        <is>
          <t>7506499570107</t>
        </is>
      </c>
      <c r="E153" s="77" t="inlineStr">
        <is>
          <t>ST-VR-P-007-FW25-SB-S</t>
        </is>
      </c>
      <c r="F153" s="76" t="inlineStr">
        <is>
          <t>Stetson</t>
        </is>
      </c>
      <c r="G153" s="76" t="inlineStr">
        <is>
          <t>Camisa Stetson Vintage Range Shadowburst</t>
        </is>
      </c>
      <c r="H153" s="74" t="inlineStr">
        <is>
          <t>Camisas</t>
        </is>
      </c>
      <c r="I153" s="74" t="inlineStr">
        <is>
          <t>S</t>
        </is>
      </c>
      <c r="J153" s="78" t="n">
        <v>4</v>
      </c>
      <c r="K153" s="76" t="n"/>
      <c r="L153" s="74" t="inlineStr">
        <is>
          <t>Verificado</t>
        </is>
      </c>
      <c r="M153" s="79" t="n"/>
    </row>
    <row r="154">
      <c r="A154" s="74" t="inlineStr">
        <is>
          <t>ESC-20260910-I1-L2-02</t>
        </is>
      </c>
      <c r="B154" s="75" t="inlineStr">
        <is>
          <t>2026-09-10 11:05:00</t>
        </is>
      </c>
      <c r="C154" s="76" t="inlineStr">
        <is>
          <t>I1-L2-02</t>
        </is>
      </c>
      <c r="D154" s="77" t="inlineStr">
        <is>
          <t>7506499569248</t>
        </is>
      </c>
      <c r="E154" s="77" t="inlineStr">
        <is>
          <t>ST-LT-001-FW25-AF-2XL</t>
        </is>
      </c>
      <c r="F154" s="76" t="inlineStr">
        <is>
          <t>Stetson</t>
        </is>
      </c>
      <c r="G154" s="76" t="inlineStr">
        <is>
          <t>Camisa Stetson Legacy Taper</t>
        </is>
      </c>
      <c r="H154" s="74" t="inlineStr">
        <is>
          <t>Camisas</t>
        </is>
      </c>
      <c r="I154" s="74" t="inlineStr">
        <is>
          <t>XXL</t>
        </is>
      </c>
      <c r="J154" s="78" t="n">
        <v>1</v>
      </c>
      <c r="K154" s="76" t="n"/>
      <c r="L154" s="74" t="inlineStr">
        <is>
          <t>Verificado</t>
        </is>
      </c>
      <c r="M154" s="79" t="n"/>
    </row>
    <row r="155">
      <c r="A155" s="74" t="inlineStr">
        <is>
          <t>ESC-20260910-I1-L2-02</t>
        </is>
      </c>
      <c r="B155" s="75" t="inlineStr">
        <is>
          <t>2026-09-10 11:05:00</t>
        </is>
      </c>
      <c r="C155" s="76" t="inlineStr">
        <is>
          <t>I1-L2-02</t>
        </is>
      </c>
      <c r="D155" s="77" t="inlineStr">
        <is>
          <t>7506499569217</t>
        </is>
      </c>
      <c r="E155" s="77" t="inlineStr">
        <is>
          <t>ST-LT-001-FW25-AF-M</t>
        </is>
      </c>
      <c r="F155" s="76" t="inlineStr">
        <is>
          <t>Stetson</t>
        </is>
      </c>
      <c r="G155" s="76" t="inlineStr">
        <is>
          <t>Camisa Stetson Legacy Taper</t>
        </is>
      </c>
      <c r="H155" s="74" t="inlineStr">
        <is>
          <t>Camisas</t>
        </is>
      </c>
      <c r="I155" s="74" t="inlineStr">
        <is>
          <t>M</t>
        </is>
      </c>
      <c r="J155" s="78" t="n">
        <v>1</v>
      </c>
      <c r="K155" s="76" t="n"/>
      <c r="L155" s="74" t="inlineStr">
        <is>
          <t>Verificado</t>
        </is>
      </c>
      <c r="M155" s="79" t="n"/>
    </row>
    <row r="156">
      <c r="A156" s="74" t="inlineStr">
        <is>
          <t>ESC-20260910-I1-L2-02</t>
        </is>
      </c>
      <c r="B156" s="75" t="inlineStr">
        <is>
          <t>2026-09-10 11:05:00</t>
        </is>
      </c>
      <c r="C156" s="76" t="inlineStr">
        <is>
          <t>I1-L2-02</t>
        </is>
      </c>
      <c r="D156" s="77" t="inlineStr">
        <is>
          <t>7506499569200</t>
        </is>
      </c>
      <c r="E156" s="77" t="inlineStr">
        <is>
          <t>ST-LT-001-FW25-AF-S</t>
        </is>
      </c>
      <c r="F156" s="76" t="inlineStr">
        <is>
          <t>Stetson</t>
        </is>
      </c>
      <c r="G156" s="76" t="inlineStr">
        <is>
          <t>Camisa Stetson Legacy Taper</t>
        </is>
      </c>
      <c r="H156" s="74" t="inlineStr">
        <is>
          <t>Camisas</t>
        </is>
      </c>
      <c r="I156" s="74" t="inlineStr">
        <is>
          <t>S</t>
        </is>
      </c>
      <c r="J156" s="78" t="n">
        <v>1</v>
      </c>
      <c r="K156" s="76" t="n"/>
      <c r="L156" s="74" t="inlineStr">
        <is>
          <t>Verificado</t>
        </is>
      </c>
      <c r="M156" s="79" t="n"/>
    </row>
    <row r="157">
      <c r="A157" s="74" t="inlineStr">
        <is>
          <t>ESC-20260910-I1-L2-02</t>
        </is>
      </c>
      <c r="B157" s="75" t="inlineStr">
        <is>
          <t>2026-09-10 11:05:00</t>
        </is>
      </c>
      <c r="C157" s="76" t="inlineStr">
        <is>
          <t>I1-L2-02</t>
        </is>
      </c>
      <c r="D157" s="77" t="inlineStr">
        <is>
          <t>7506499569224</t>
        </is>
      </c>
      <c r="E157" s="77" t="inlineStr">
        <is>
          <t>ST-LT-001-FW25-AF-L</t>
        </is>
      </c>
      <c r="F157" s="76" t="inlineStr">
        <is>
          <t>Stetson</t>
        </is>
      </c>
      <c r="G157" s="76" t="inlineStr">
        <is>
          <t>Camisa Stetson Legacy Taper</t>
        </is>
      </c>
      <c r="H157" s="74" t="inlineStr">
        <is>
          <t>Camisas</t>
        </is>
      </c>
      <c r="I157" s="74" t="inlineStr">
        <is>
          <t>L</t>
        </is>
      </c>
      <c r="J157" s="78" t="n">
        <v>1</v>
      </c>
      <c r="K157" s="76" t="n"/>
      <c r="L157" s="74" t="inlineStr">
        <is>
          <t>Verificado</t>
        </is>
      </c>
      <c r="M157" s="79" t="n"/>
    </row>
    <row r="158">
      <c r="A158" s="74" t="inlineStr">
        <is>
          <t>ESC-20260910-I1-L2-02</t>
        </is>
      </c>
      <c r="B158" s="75" t="inlineStr">
        <is>
          <t>2026-09-10 11:06:00</t>
        </is>
      </c>
      <c r="C158" s="76" t="inlineStr">
        <is>
          <t>I1-L2-02</t>
        </is>
      </c>
      <c r="D158" s="77" t="inlineStr">
        <is>
          <t>884426480765</t>
        </is>
      </c>
      <c r="E158" s="77" t="inlineStr">
        <is>
          <t>11-097-0562-0886-2XL</t>
        </is>
      </c>
      <c r="F158" s="76" t="inlineStr">
        <is>
          <t>Stetson</t>
        </is>
      </c>
      <c r="G158" s="76" t="inlineStr">
        <is>
          <t>Sudadera Stetson Águila "john B. Stetson"</t>
        </is>
      </c>
      <c r="H158" s="74" t="inlineStr">
        <is>
          <t>Sudaderas</t>
        </is>
      </c>
      <c r="I158" s="74" t="inlineStr">
        <is>
          <t>XXL</t>
        </is>
      </c>
      <c r="J158" s="78" t="n">
        <v>2</v>
      </c>
      <c r="K158" s="76" t="n"/>
      <c r="L158" s="74" t="inlineStr">
        <is>
          <t>Verificado</t>
        </is>
      </c>
      <c r="M158" s="79" t="n"/>
    </row>
    <row r="159">
      <c r="A159" s="74" t="inlineStr">
        <is>
          <t>ESC-20260910-I1-L2-02</t>
        </is>
      </c>
      <c r="B159" s="75" t="inlineStr">
        <is>
          <t>2026-09-10 11:06:00</t>
        </is>
      </c>
      <c r="C159" s="76" t="inlineStr">
        <is>
          <t>I1-L2-02</t>
        </is>
      </c>
      <c r="D159" s="77" t="inlineStr">
        <is>
          <t>884426480758</t>
        </is>
      </c>
      <c r="E159" s="77" t="inlineStr">
        <is>
          <t>11-097-0562-0886-XL</t>
        </is>
      </c>
      <c r="F159" s="76" t="inlineStr">
        <is>
          <t>Stetson</t>
        </is>
      </c>
      <c r="G159" s="76" t="inlineStr">
        <is>
          <t>Sudadera Stetson Águila "john B. Stetson"</t>
        </is>
      </c>
      <c r="H159" s="74" t="inlineStr">
        <is>
          <t>Sudaderas</t>
        </is>
      </c>
      <c r="I159" s="74" t="inlineStr">
        <is>
          <t>XL</t>
        </is>
      </c>
      <c r="J159" s="78" t="n">
        <v>2</v>
      </c>
      <c r="K159" s="76" t="n"/>
      <c r="L159" s="74" t="inlineStr">
        <is>
          <t>Verificado</t>
        </is>
      </c>
      <c r="M159" s="79" t="n"/>
    </row>
    <row r="160">
      <c r="A160" s="74" t="inlineStr">
        <is>
          <t>ESC-20260910-I1-L2-02</t>
        </is>
      </c>
      <c r="B160" s="75" t="inlineStr">
        <is>
          <t>2026-09-10 11:07:00</t>
        </is>
      </c>
      <c r="C160" s="76" t="inlineStr">
        <is>
          <t>I1-L2-02</t>
        </is>
      </c>
      <c r="D160" s="77" t="inlineStr">
        <is>
          <t>884426480727</t>
        </is>
      </c>
      <c r="E160" s="77" t="inlineStr">
        <is>
          <t>11-097-0562-0886-L</t>
        </is>
      </c>
      <c r="F160" s="76" t="inlineStr">
        <is>
          <t>Stetson</t>
        </is>
      </c>
      <c r="G160" s="76" t="inlineStr">
        <is>
          <t>Sudadera Stetson Águila "john B. Stetson"</t>
        </is>
      </c>
      <c r="H160" s="74" t="inlineStr">
        <is>
          <t>Sudaderas</t>
        </is>
      </c>
      <c r="I160" s="74" t="inlineStr">
        <is>
          <t>L</t>
        </is>
      </c>
      <c r="J160" s="78" t="n">
        <v>2</v>
      </c>
      <c r="K160" s="76" t="n"/>
      <c r="L160" s="74" t="inlineStr">
        <is>
          <t>Verificado</t>
        </is>
      </c>
      <c r="M160" s="79" t="n"/>
    </row>
    <row r="161">
      <c r="A161" s="74" t="inlineStr">
        <is>
          <t>ESC-20260910-I1-L2-02</t>
        </is>
      </c>
      <c r="B161" s="75" t="inlineStr">
        <is>
          <t>2026-09-10 11:07:00</t>
        </is>
      </c>
      <c r="C161" s="76" t="inlineStr">
        <is>
          <t>I1-L2-02</t>
        </is>
      </c>
      <c r="D161" s="77" t="inlineStr">
        <is>
          <t>884426480734</t>
        </is>
      </c>
      <c r="E161" s="77" t="inlineStr">
        <is>
          <t>11-097-0562-0886-M</t>
        </is>
      </c>
      <c r="F161" s="76" t="inlineStr">
        <is>
          <t>Stetson</t>
        </is>
      </c>
      <c r="G161" s="76" t="inlineStr">
        <is>
          <t>Sudadera Stetson Águila "john B. Stetson"</t>
        </is>
      </c>
      <c r="H161" s="74" t="inlineStr">
        <is>
          <t>Sudaderas</t>
        </is>
      </c>
      <c r="I161" s="74" t="inlineStr">
        <is>
          <t>M</t>
        </is>
      </c>
      <c r="J161" s="78" t="n">
        <v>2</v>
      </c>
      <c r="K161" s="76" t="n"/>
      <c r="L161" s="74" t="inlineStr">
        <is>
          <t>Verificado</t>
        </is>
      </c>
      <c r="M161" s="79" t="n"/>
    </row>
    <row r="162">
      <c r="A162" s="74" t="inlineStr">
        <is>
          <t>ESC-20260910-I1-L2-02</t>
        </is>
      </c>
      <c r="B162" s="75" t="inlineStr">
        <is>
          <t>2026-09-10 11:07:00</t>
        </is>
      </c>
      <c r="C162" s="76" t="inlineStr">
        <is>
          <t>I1-L2-02</t>
        </is>
      </c>
      <c r="D162" s="77" t="inlineStr">
        <is>
          <t>884426480741</t>
        </is>
      </c>
      <c r="E162" s="77" t="inlineStr">
        <is>
          <t>11-097-0562-0886-S</t>
        </is>
      </c>
      <c r="F162" s="76" t="inlineStr">
        <is>
          <t>Stetson</t>
        </is>
      </c>
      <c r="G162" s="76" t="inlineStr">
        <is>
          <t>Sudadera Stetson Águila "john B. Stetson"</t>
        </is>
      </c>
      <c r="H162" s="74" t="inlineStr">
        <is>
          <t>Sudaderas</t>
        </is>
      </c>
      <c r="I162" s="74" t="inlineStr">
        <is>
          <t>S</t>
        </is>
      </c>
      <c r="J162" s="78" t="n">
        <v>2</v>
      </c>
      <c r="K162" s="76" t="n"/>
      <c r="L162" s="74" t="inlineStr">
        <is>
          <t>Verificado</t>
        </is>
      </c>
      <c r="M162" s="79" t="n"/>
    </row>
    <row r="163">
      <c r="A163" s="74" t="inlineStr">
        <is>
          <t>ESC-20260910-I1-L2-02</t>
        </is>
      </c>
      <c r="B163" s="75" t="inlineStr">
        <is>
          <t>2026-09-10 11:07:00</t>
        </is>
      </c>
      <c r="C163" s="76" t="inlineStr">
        <is>
          <t>I1-L2-02</t>
        </is>
      </c>
      <c r="D163" s="77" t="inlineStr">
        <is>
          <t>884426480611</t>
        </is>
      </c>
      <c r="E163" s="77" t="inlineStr">
        <is>
          <t>11-097-0562-0883-2XL</t>
        </is>
      </c>
      <c r="F163" s="76" t="inlineStr">
        <is>
          <t>Stetson</t>
        </is>
      </c>
      <c r="G163" s="76" t="inlineStr">
        <is>
          <t>Sudadera Stetson Gorro W/ribbon</t>
        </is>
      </c>
      <c r="H163" s="74" t="inlineStr">
        <is>
          <t>Sudaderas</t>
        </is>
      </c>
      <c r="I163" s="74" t="inlineStr">
        <is>
          <t>XXL</t>
        </is>
      </c>
      <c r="J163" s="78" t="n">
        <v>2</v>
      </c>
      <c r="K163" s="76" t="n"/>
      <c r="L163" s="74" t="inlineStr">
        <is>
          <t>Verificado</t>
        </is>
      </c>
      <c r="M163" s="79" t="n"/>
    </row>
    <row r="164">
      <c r="A164" s="74" t="inlineStr">
        <is>
          <t>ESC-20260910-I1-L2-02</t>
        </is>
      </c>
      <c r="B164" s="75" t="inlineStr">
        <is>
          <t>2026-09-10 11:07:00</t>
        </is>
      </c>
      <c r="C164" s="76" t="inlineStr">
        <is>
          <t>I1-L2-02</t>
        </is>
      </c>
      <c r="D164" s="77" t="inlineStr">
        <is>
          <t>884426480604</t>
        </is>
      </c>
      <c r="E164" s="77" t="inlineStr">
        <is>
          <t>11-097-0562-0883-XL</t>
        </is>
      </c>
      <c r="F164" s="76" t="inlineStr">
        <is>
          <t>Stetson</t>
        </is>
      </c>
      <c r="G164" s="76" t="inlineStr">
        <is>
          <t>Sudadera Stetson Gorro W/ribbon</t>
        </is>
      </c>
      <c r="H164" s="74" t="inlineStr">
        <is>
          <t>Sudaderas</t>
        </is>
      </c>
      <c r="I164" s="74" t="inlineStr">
        <is>
          <t>XL</t>
        </is>
      </c>
      <c r="J164" s="78" t="n">
        <v>2</v>
      </c>
      <c r="K164" s="76" t="n"/>
      <c r="L164" s="74" t="inlineStr">
        <is>
          <t>Verificado</t>
        </is>
      </c>
      <c r="M164" s="79" t="n"/>
    </row>
    <row r="165">
      <c r="A165" s="74" t="inlineStr">
        <is>
          <t>ESC-20260910-I1-L2-02</t>
        </is>
      </c>
      <c r="B165" s="75" t="inlineStr">
        <is>
          <t>2026-09-10 11:08:00</t>
        </is>
      </c>
      <c r="C165" s="76" t="inlineStr">
        <is>
          <t>I1-L2-02</t>
        </is>
      </c>
      <c r="D165" s="77" t="inlineStr">
        <is>
          <t>884426480574</t>
        </is>
      </c>
      <c r="E165" s="77" t="inlineStr">
        <is>
          <t>11-097-0562-0883-L</t>
        </is>
      </c>
      <c r="F165" s="76" t="inlineStr">
        <is>
          <t>Stetson</t>
        </is>
      </c>
      <c r="G165" s="76" t="inlineStr">
        <is>
          <t>Sudadera Stetson Gorro W/ribbon</t>
        </is>
      </c>
      <c r="H165" s="74" t="inlineStr">
        <is>
          <t>Sudaderas</t>
        </is>
      </c>
      <c r="I165" s="74" t="inlineStr">
        <is>
          <t>L</t>
        </is>
      </c>
      <c r="J165" s="78" t="n">
        <v>2</v>
      </c>
      <c r="K165" s="76" t="n"/>
      <c r="L165" s="74" t="inlineStr">
        <is>
          <t>Verificado</t>
        </is>
      </c>
      <c r="M165" s="79" t="n"/>
    </row>
    <row r="166">
      <c r="A166" s="74" t="inlineStr">
        <is>
          <t>ESC-20260910-I1-L2-02</t>
        </is>
      </c>
      <c r="B166" s="75" t="inlineStr">
        <is>
          <t>2026-09-10 11:08:00</t>
        </is>
      </c>
      <c r="C166" s="76" t="inlineStr">
        <is>
          <t>I1-L2-02</t>
        </is>
      </c>
      <c r="D166" s="77" t="inlineStr">
        <is>
          <t>884426480581</t>
        </is>
      </c>
      <c r="E166" s="77" t="inlineStr">
        <is>
          <t>11-097-0562-0883-M</t>
        </is>
      </c>
      <c r="F166" s="76" t="inlineStr">
        <is>
          <t>Stetson</t>
        </is>
      </c>
      <c r="G166" s="76" t="inlineStr">
        <is>
          <t>Sudadera Stetson Gorro W/ribbon</t>
        </is>
      </c>
      <c r="H166" s="74" t="inlineStr">
        <is>
          <t>Sudaderas</t>
        </is>
      </c>
      <c r="I166" s="74" t="inlineStr">
        <is>
          <t>M</t>
        </is>
      </c>
      <c r="J166" s="78" t="n">
        <v>2</v>
      </c>
      <c r="K166" s="76" t="n"/>
      <c r="L166" s="74" t="inlineStr">
        <is>
          <t>Verificado</t>
        </is>
      </c>
      <c r="M166" s="79" t="n"/>
    </row>
    <row r="167">
      <c r="A167" s="74" t="inlineStr">
        <is>
          <t>ESC-20260910-I1-L2-02</t>
        </is>
      </c>
      <c r="B167" s="75" t="inlineStr">
        <is>
          <t>2026-09-10 11:08:00</t>
        </is>
      </c>
      <c r="C167" s="76" t="inlineStr">
        <is>
          <t>I1-L2-02</t>
        </is>
      </c>
      <c r="D167" s="77" t="inlineStr">
        <is>
          <t>884426480598</t>
        </is>
      </c>
      <c r="E167" s="77" t="inlineStr">
        <is>
          <t>11-097-0562-0883-S</t>
        </is>
      </c>
      <c r="F167" s="76" t="inlineStr">
        <is>
          <t>Stetson</t>
        </is>
      </c>
      <c r="G167" s="76" t="inlineStr">
        <is>
          <t>Sudadera Stetson Gorro W/ribbon</t>
        </is>
      </c>
      <c r="H167" s="74" t="inlineStr">
        <is>
          <t>Sudaderas</t>
        </is>
      </c>
      <c r="I167" s="74" t="inlineStr">
        <is>
          <t>S</t>
        </is>
      </c>
      <c r="J167" s="78" t="n">
        <v>2</v>
      </c>
      <c r="K167" s="76" t="n"/>
      <c r="L167" s="74" t="inlineStr">
        <is>
          <t>Verificado</t>
        </is>
      </c>
      <c r="M167" s="79" t="n"/>
    </row>
    <row r="168">
      <c r="A168" s="74" t="inlineStr">
        <is>
          <t>ESC-20260910-J1-L2-01</t>
        </is>
      </c>
      <c r="B168" s="75" t="inlineStr">
        <is>
          <t>2026-09-10 11:10:00</t>
        </is>
      </c>
      <c r="C168" s="76" t="inlineStr">
        <is>
          <t>J1-L2-01</t>
        </is>
      </c>
      <c r="D168" s="77" t="inlineStr">
        <is>
          <t>7506499569385</t>
        </is>
      </c>
      <c r="E168" s="77" t="inlineStr">
        <is>
          <t>ST-LT-004-FW25-TR-XL</t>
        </is>
      </c>
      <c r="F168" s="76" t="inlineStr">
        <is>
          <t>Stetson</t>
        </is>
      </c>
      <c r="G168" s="76" t="inlineStr">
        <is>
          <t>Camisa Stetson Legacy Taper</t>
        </is>
      </c>
      <c r="H168" s="74" t="inlineStr">
        <is>
          <t>Camisas</t>
        </is>
      </c>
      <c r="I168" s="74" t="inlineStr">
        <is>
          <t>XL</t>
        </is>
      </c>
      <c r="J168" s="78" t="n">
        <v>1</v>
      </c>
      <c r="K168" s="76" t="n"/>
      <c r="L168" s="74" t="inlineStr">
        <is>
          <t>Verificado</t>
        </is>
      </c>
      <c r="M168" s="79" t="n"/>
    </row>
    <row r="169">
      <c r="A169" s="74" t="inlineStr">
        <is>
          <t>ESC-20260910-J1-L2-01</t>
        </is>
      </c>
      <c r="B169" s="75" t="inlineStr">
        <is>
          <t>2026-09-10 11:10:00</t>
        </is>
      </c>
      <c r="C169" s="76" t="inlineStr">
        <is>
          <t>J1-L2-01</t>
        </is>
      </c>
      <c r="D169" s="77" t="inlineStr">
        <is>
          <t>7506499569392</t>
        </is>
      </c>
      <c r="E169" s="77" t="inlineStr">
        <is>
          <t>ST-LT-004-FW25-TR-2XL</t>
        </is>
      </c>
      <c r="F169" s="76" t="inlineStr">
        <is>
          <t>Stetson</t>
        </is>
      </c>
      <c r="G169" s="76" t="inlineStr">
        <is>
          <t>Camisa Stetson Legacy Taper</t>
        </is>
      </c>
      <c r="H169" s="74" t="inlineStr">
        <is>
          <t>Camisas</t>
        </is>
      </c>
      <c r="I169" s="74" t="inlineStr">
        <is>
          <t>XXL</t>
        </is>
      </c>
      <c r="J169" s="78" t="n">
        <v>1</v>
      </c>
      <c r="K169" s="76" t="n"/>
      <c r="L169" s="74" t="inlineStr">
        <is>
          <t>Verificado</t>
        </is>
      </c>
      <c r="M169" s="79" t="n"/>
    </row>
    <row r="170">
      <c r="A170" s="74" t="inlineStr">
        <is>
          <t>ESC-20260910-J1-L2-01</t>
        </is>
      </c>
      <c r="B170" s="75" t="inlineStr">
        <is>
          <t>2026-09-10 11:10:00</t>
        </is>
      </c>
      <c r="C170" s="76" t="inlineStr">
        <is>
          <t>J1-L2-01</t>
        </is>
      </c>
      <c r="D170" s="77" t="inlineStr">
        <is>
          <t>7506499569354</t>
        </is>
      </c>
      <c r="E170" s="77" t="inlineStr">
        <is>
          <t>ST-LT-004-FW25-TR-S</t>
        </is>
      </c>
      <c r="F170" s="76" t="inlineStr">
        <is>
          <t>Stetson</t>
        </is>
      </c>
      <c r="G170" s="76" t="inlineStr">
        <is>
          <t>Camisa Stetson Legacy Taper</t>
        </is>
      </c>
      <c r="H170" s="74" t="inlineStr">
        <is>
          <t>Camisas</t>
        </is>
      </c>
      <c r="I170" s="74" t="inlineStr">
        <is>
          <t>S</t>
        </is>
      </c>
      <c r="J170" s="78" t="n">
        <v>1</v>
      </c>
      <c r="K170" s="76" t="n"/>
      <c r="L170" s="74" t="inlineStr">
        <is>
          <t>Verificado</t>
        </is>
      </c>
      <c r="M170" s="79" t="n"/>
    </row>
    <row r="171">
      <c r="A171" s="74" t="inlineStr">
        <is>
          <t>ESC-20260910-J1-L2-01</t>
        </is>
      </c>
      <c r="B171" s="75" t="inlineStr">
        <is>
          <t>2026-09-10 11:10:00</t>
        </is>
      </c>
      <c r="C171" s="76" t="inlineStr">
        <is>
          <t>J1-L2-01</t>
        </is>
      </c>
      <c r="D171" s="77" t="inlineStr">
        <is>
          <t>7506499569446</t>
        </is>
      </c>
      <c r="E171" s="77" t="inlineStr">
        <is>
          <t>ST-TI-001-FW25-TC-2XL</t>
        </is>
      </c>
      <c r="F171" s="76" t="inlineStr">
        <is>
          <t>Stetson</t>
        </is>
      </c>
      <c r="G171" s="76" t="inlineStr">
        <is>
          <t>Camisa Stetson Trailblazer Icon</t>
        </is>
      </c>
      <c r="H171" s="74" t="inlineStr">
        <is>
          <t>Camisas</t>
        </is>
      </c>
      <c r="I171" s="74" t="inlineStr">
        <is>
          <t>XXL</t>
        </is>
      </c>
      <c r="J171" s="78" t="n">
        <v>3</v>
      </c>
      <c r="K171" s="76" t="n"/>
      <c r="L171" s="74" t="inlineStr">
        <is>
          <t>Verificado</t>
        </is>
      </c>
      <c r="M171" s="79" t="n"/>
    </row>
    <row r="172">
      <c r="A172" s="74" t="inlineStr">
        <is>
          <t>ESC-20260910-J1-L2-01</t>
        </is>
      </c>
      <c r="B172" s="75" t="inlineStr">
        <is>
          <t>2026-09-10 11:10:00</t>
        </is>
      </c>
      <c r="C172" s="76" t="inlineStr">
        <is>
          <t>J1-L2-01</t>
        </is>
      </c>
      <c r="D172" s="77" t="inlineStr">
        <is>
          <t>7506499569422</t>
        </is>
      </c>
      <c r="E172" s="77" t="inlineStr">
        <is>
          <t>ST-TI-001-FW25-TC-L</t>
        </is>
      </c>
      <c r="F172" s="76" t="inlineStr">
        <is>
          <t>Stetson</t>
        </is>
      </c>
      <c r="G172" s="76" t="inlineStr">
        <is>
          <t>Camisa Stetson Trailblazer Icon</t>
        </is>
      </c>
      <c r="H172" s="74" t="inlineStr">
        <is>
          <t>Camisas</t>
        </is>
      </c>
      <c r="I172" s="74" t="inlineStr">
        <is>
          <t>L</t>
        </is>
      </c>
      <c r="J172" s="78" t="n">
        <v>1</v>
      </c>
      <c r="K172" s="76" t="n"/>
      <c r="L172" s="74" t="inlineStr">
        <is>
          <t>Verificado</t>
        </is>
      </c>
      <c r="M172" s="79" t="n"/>
    </row>
    <row r="173">
      <c r="A173" s="74" t="inlineStr">
        <is>
          <t>ESC-20260910-J1-L2-01</t>
        </is>
      </c>
      <c r="B173" s="75" t="inlineStr">
        <is>
          <t>2026-09-10 11:10:00</t>
        </is>
      </c>
      <c r="C173" s="76" t="inlineStr">
        <is>
          <t>J1-L2-01</t>
        </is>
      </c>
      <c r="D173" s="77" t="inlineStr">
        <is>
          <t>7506499569415</t>
        </is>
      </c>
      <c r="E173" s="77" t="inlineStr">
        <is>
          <t>ST-TI-001-FW25-TC-M</t>
        </is>
      </c>
      <c r="F173" s="76" t="inlineStr">
        <is>
          <t>Stetson</t>
        </is>
      </c>
      <c r="G173" s="76" t="inlineStr">
        <is>
          <t>Camisa Stetson Trailblazer Icon</t>
        </is>
      </c>
      <c r="H173" s="74" t="inlineStr">
        <is>
          <t>Camisas</t>
        </is>
      </c>
      <c r="I173" s="74" t="inlineStr">
        <is>
          <t>M</t>
        </is>
      </c>
      <c r="J173" s="78" t="n">
        <v>6</v>
      </c>
      <c r="K173" s="76" t="n"/>
      <c r="L173" s="74" t="inlineStr">
        <is>
          <t>Verificado</t>
        </is>
      </c>
      <c r="M173" s="79" t="n"/>
    </row>
    <row r="174">
      <c r="A174" s="74" t="inlineStr">
        <is>
          <t>ESC-20260910-J1-L2-01</t>
        </is>
      </c>
      <c r="B174" s="75" t="inlineStr">
        <is>
          <t>2026-09-10 11:10:00</t>
        </is>
      </c>
      <c r="C174" s="76" t="inlineStr">
        <is>
          <t>J1-L2-01</t>
        </is>
      </c>
      <c r="D174" s="77" t="inlineStr">
        <is>
          <t>7506499569408</t>
        </is>
      </c>
      <c r="E174" s="77" t="inlineStr">
        <is>
          <t>ST-TI-001-FW25-TC-S</t>
        </is>
      </c>
      <c r="F174" s="76" t="inlineStr">
        <is>
          <t>Stetson</t>
        </is>
      </c>
      <c r="G174" s="76" t="inlineStr">
        <is>
          <t>Camisa Stetson Trailblazer Icon</t>
        </is>
      </c>
      <c r="H174" s="74" t="inlineStr">
        <is>
          <t>Camisas</t>
        </is>
      </c>
      <c r="I174" s="74" t="inlineStr">
        <is>
          <t>S</t>
        </is>
      </c>
      <c r="J174" s="78" t="n">
        <v>5</v>
      </c>
      <c r="K174" s="76" t="n"/>
      <c r="L174" s="74" t="inlineStr">
        <is>
          <t>Verificado</t>
        </is>
      </c>
      <c r="M174" s="79" t="n"/>
    </row>
    <row r="175">
      <c r="A175" s="74" t="inlineStr">
        <is>
          <t>ESC-20260910-J1-L2-01</t>
        </is>
      </c>
      <c r="B175" s="75" t="inlineStr">
        <is>
          <t>2026-09-10 11:11:00</t>
        </is>
      </c>
      <c r="C175" s="76" t="inlineStr">
        <is>
          <t>J1-L2-01</t>
        </is>
      </c>
      <c r="D175" s="77" t="inlineStr">
        <is>
          <t>196070779097</t>
        </is>
      </c>
      <c r="E175" s="77" t="inlineStr">
        <is>
          <t>11-001-0425-2066-2XL</t>
        </is>
      </c>
      <c r="F175" s="76" t="inlineStr">
        <is>
          <t>Stetson</t>
        </is>
      </c>
      <c r="G175" s="76" t="inlineStr">
        <is>
          <t>Camisa Stetson Paisley Victoria</t>
        </is>
      </c>
      <c r="H175" s="74" t="inlineStr">
        <is>
          <t>Camisas</t>
        </is>
      </c>
      <c r="I175" s="74" t="inlineStr">
        <is>
          <t>XXL</t>
        </is>
      </c>
      <c r="J175" s="78" t="n">
        <v>2</v>
      </c>
      <c r="K175" s="76" t="n"/>
      <c r="L175" s="74" t="inlineStr">
        <is>
          <t>Verificado</t>
        </is>
      </c>
      <c r="M175" s="79" t="n"/>
    </row>
    <row r="176">
      <c r="A176" s="74" t="inlineStr">
        <is>
          <t>ESC-20260910-J1-L2-01</t>
        </is>
      </c>
      <c r="B176" s="75" t="inlineStr">
        <is>
          <t>2026-09-10 11:11:00</t>
        </is>
      </c>
      <c r="C176" s="76" t="inlineStr">
        <is>
          <t>J1-L2-01</t>
        </is>
      </c>
      <c r="D176" s="77" t="inlineStr">
        <is>
          <t>196070779080</t>
        </is>
      </c>
      <c r="E176" s="77" t="inlineStr">
        <is>
          <t>11-001-0425-2066-XL</t>
        </is>
      </c>
      <c r="F176" s="76" t="inlineStr">
        <is>
          <t>Stetson</t>
        </is>
      </c>
      <c r="G176" s="76" t="inlineStr">
        <is>
          <t>Camisa Stetson Paisley Victoria</t>
        </is>
      </c>
      <c r="H176" s="74" t="inlineStr">
        <is>
          <t>Camisas</t>
        </is>
      </c>
      <c r="I176" s="74" t="inlineStr">
        <is>
          <t>XL</t>
        </is>
      </c>
      <c r="J176" s="78" t="n">
        <v>2</v>
      </c>
      <c r="K176" s="76" t="n"/>
      <c r="L176" s="74" t="inlineStr">
        <is>
          <t>Verificado</t>
        </is>
      </c>
      <c r="M176" s="79" t="n"/>
    </row>
    <row r="177">
      <c r="A177" s="74" t="inlineStr">
        <is>
          <t>ESC-20260910-J1-L2-01</t>
        </is>
      </c>
      <c r="B177" s="75" t="inlineStr">
        <is>
          <t>2026-09-10 11:11:00</t>
        </is>
      </c>
      <c r="C177" s="76" t="inlineStr">
        <is>
          <t>J1-L2-01</t>
        </is>
      </c>
      <c r="D177" s="77" t="inlineStr">
        <is>
          <t>196070779066</t>
        </is>
      </c>
      <c r="E177" s="77" t="inlineStr">
        <is>
          <t>11-001-0425-2066-M</t>
        </is>
      </c>
      <c r="F177" s="76" t="inlineStr">
        <is>
          <t>Stetson</t>
        </is>
      </c>
      <c r="G177" s="76" t="inlineStr">
        <is>
          <t>Camisa Stetson Paisley Victoria</t>
        </is>
      </c>
      <c r="H177" s="74" t="inlineStr">
        <is>
          <t>Camisas</t>
        </is>
      </c>
      <c r="I177" s="74" t="inlineStr">
        <is>
          <t>M</t>
        </is>
      </c>
      <c r="J177" s="78" t="n">
        <v>1</v>
      </c>
      <c r="K177" s="76" t="n"/>
      <c r="L177" s="74" t="inlineStr">
        <is>
          <t>Verificado</t>
        </is>
      </c>
      <c r="M177" s="79" t="n"/>
    </row>
    <row r="178">
      <c r="A178" s="74" t="inlineStr">
        <is>
          <t>ESC-20260910-J1-L2-01</t>
        </is>
      </c>
      <c r="B178" s="75" t="inlineStr">
        <is>
          <t>2026-09-10 11:11:00</t>
        </is>
      </c>
      <c r="C178" s="76" t="inlineStr">
        <is>
          <t>J1-L2-01</t>
        </is>
      </c>
      <c r="D178" s="77" t="inlineStr">
        <is>
          <t>196070779073</t>
        </is>
      </c>
      <c r="E178" s="77" t="inlineStr">
        <is>
          <t>11-001-0425-2066-S</t>
        </is>
      </c>
      <c r="F178" s="76" t="inlineStr">
        <is>
          <t>Stetson</t>
        </is>
      </c>
      <c r="G178" s="76" t="inlineStr">
        <is>
          <t>Camisa Stetson Paisley Victoria</t>
        </is>
      </c>
      <c r="H178" s="74" t="inlineStr">
        <is>
          <t>Camisas</t>
        </is>
      </c>
      <c r="I178" s="74" t="inlineStr">
        <is>
          <t>S</t>
        </is>
      </c>
      <c r="J178" s="78" t="n">
        <v>2</v>
      </c>
      <c r="K178" s="76" t="n"/>
      <c r="L178" s="74" t="inlineStr">
        <is>
          <t>Verificado</t>
        </is>
      </c>
      <c r="M178" s="79" t="n"/>
    </row>
    <row r="179">
      <c r="A179" s="74" t="inlineStr">
        <is>
          <t>ESC-20260910-J1-L2-01</t>
        </is>
      </c>
      <c r="B179" s="75" t="inlineStr">
        <is>
          <t>2026-09-10 11:11:00</t>
        </is>
      </c>
      <c r="C179" s="76" t="inlineStr">
        <is>
          <t>J1-L2-01</t>
        </is>
      </c>
      <c r="D179" s="77" t="inlineStr">
        <is>
          <t>7506499569309</t>
        </is>
      </c>
      <c r="E179" s="77" t="inlineStr">
        <is>
          <t>ST-LT-003-FW25-PN-S</t>
        </is>
      </c>
      <c r="F179" s="76" t="inlineStr">
        <is>
          <t>Stetson</t>
        </is>
      </c>
      <c r="G179" s="76" t="inlineStr">
        <is>
          <t>Camisa Stetson Legacy Taper</t>
        </is>
      </c>
      <c r="H179" s="74" t="inlineStr">
        <is>
          <t>Camisas</t>
        </is>
      </c>
      <c r="I179" s="74" t="inlineStr">
        <is>
          <t>S</t>
        </is>
      </c>
      <c r="J179" s="78" t="n">
        <v>1</v>
      </c>
      <c r="K179" s="76" t="n"/>
      <c r="L179" s="74" t="inlineStr">
        <is>
          <t>Verificado</t>
        </is>
      </c>
      <c r="M179" s="79" t="n"/>
    </row>
    <row r="180">
      <c r="A180" s="74" t="inlineStr">
        <is>
          <t>ESC-20260910-J1-L2-01</t>
        </is>
      </c>
      <c r="B180" s="75" t="inlineStr">
        <is>
          <t>2026-09-10 11:11:00</t>
        </is>
      </c>
      <c r="C180" s="76" t="inlineStr">
        <is>
          <t>J1-L2-01</t>
        </is>
      </c>
      <c r="D180" s="77" t="inlineStr">
        <is>
          <t>196070779332</t>
        </is>
      </c>
      <c r="E180" s="77" t="inlineStr">
        <is>
          <t>11-001-0478-2031-2XL</t>
        </is>
      </c>
      <c r="F180" s="76" t="inlineStr">
        <is>
          <t>Stetson</t>
        </is>
      </c>
      <c r="G180" s="76" t="inlineStr">
        <is>
          <t>Camisa Stetson Diamond Ranch</t>
        </is>
      </c>
      <c r="H180" s="74" t="inlineStr">
        <is>
          <t>Camisas</t>
        </is>
      </c>
      <c r="I180" s="74" t="inlineStr">
        <is>
          <t>XXL</t>
        </is>
      </c>
      <c r="J180" s="78" t="n">
        <v>2</v>
      </c>
      <c r="K180" s="76" t="n"/>
      <c r="L180" s="74" t="inlineStr">
        <is>
          <t>Verificado</t>
        </is>
      </c>
      <c r="M180" s="79" t="n"/>
    </row>
    <row r="181">
      <c r="A181" s="74" t="inlineStr">
        <is>
          <t>ESC-20260910-J1-L2-01</t>
        </is>
      </c>
      <c r="B181" s="75" t="inlineStr">
        <is>
          <t>2026-09-10 11:11:00</t>
        </is>
      </c>
      <c r="C181" s="76" t="inlineStr">
        <is>
          <t>J1-L2-01</t>
        </is>
      </c>
      <c r="D181" s="77" t="inlineStr">
        <is>
          <t>196070779325</t>
        </is>
      </c>
      <c r="E181" s="77" t="inlineStr">
        <is>
          <t>11-001-0478-2031-XL</t>
        </is>
      </c>
      <c r="F181" s="76" t="inlineStr">
        <is>
          <t>Stetson</t>
        </is>
      </c>
      <c r="G181" s="76" t="inlineStr">
        <is>
          <t>Camisa Stetson Diamond Ranch</t>
        </is>
      </c>
      <c r="H181" s="74" t="inlineStr">
        <is>
          <t>Camisas</t>
        </is>
      </c>
      <c r="I181" s="74" t="inlineStr">
        <is>
          <t>XL</t>
        </is>
      </c>
      <c r="J181" s="78" t="n">
        <v>2</v>
      </c>
      <c r="K181" s="76" t="n"/>
      <c r="L181" s="74" t="inlineStr">
        <is>
          <t>Verificado</t>
        </is>
      </c>
      <c r="M181" s="79" t="n"/>
    </row>
    <row r="182">
      <c r="A182" s="74" t="inlineStr">
        <is>
          <t>ESC-20260910-J1-L2-01</t>
        </is>
      </c>
      <c r="B182" s="75" t="inlineStr">
        <is>
          <t>2026-09-10 11:11:00</t>
        </is>
      </c>
      <c r="C182" s="76" t="inlineStr">
        <is>
          <t>J1-L2-01</t>
        </is>
      </c>
      <c r="D182" s="77" t="inlineStr">
        <is>
          <t>196070779301</t>
        </is>
      </c>
      <c r="E182" s="77" t="inlineStr">
        <is>
          <t>11-001-0478-2031-M</t>
        </is>
      </c>
      <c r="F182" s="76" t="inlineStr">
        <is>
          <t>Stetson</t>
        </is>
      </c>
      <c r="G182" s="76" t="inlineStr">
        <is>
          <t>Camisa Stetson Diamond Ranch</t>
        </is>
      </c>
      <c r="H182" s="74" t="inlineStr">
        <is>
          <t>Camisas</t>
        </is>
      </c>
      <c r="I182" s="74" t="inlineStr">
        <is>
          <t>M</t>
        </is>
      </c>
      <c r="J182" s="78" t="n">
        <v>1</v>
      </c>
      <c r="K182" s="76" t="n"/>
      <c r="L182" s="74" t="inlineStr">
        <is>
          <t>Verificado</t>
        </is>
      </c>
      <c r="M182" s="79" t="n"/>
    </row>
    <row r="183">
      <c r="A183" s="74" t="inlineStr">
        <is>
          <t>ESC-20260910-J1-L2-01</t>
        </is>
      </c>
      <c r="B183" s="75" t="inlineStr">
        <is>
          <t>2026-09-10 11:11:00</t>
        </is>
      </c>
      <c r="C183" s="76" t="inlineStr">
        <is>
          <t>J1-L2-01</t>
        </is>
      </c>
      <c r="D183" s="77" t="inlineStr">
        <is>
          <t>196070779318</t>
        </is>
      </c>
      <c r="E183" s="77" t="inlineStr">
        <is>
          <t>11-001-0478-2031-S</t>
        </is>
      </c>
      <c r="F183" s="76" t="inlineStr">
        <is>
          <t>Stetson</t>
        </is>
      </c>
      <c r="G183" s="76" t="inlineStr">
        <is>
          <t>Camisa Stetson Diamond Ranch</t>
        </is>
      </c>
      <c r="H183" s="74" t="inlineStr">
        <is>
          <t>Camisas</t>
        </is>
      </c>
      <c r="I183" s="74" t="inlineStr">
        <is>
          <t>S</t>
        </is>
      </c>
      <c r="J183" s="78" t="n">
        <v>1</v>
      </c>
      <c r="K183" s="76" t="n"/>
      <c r="L183" s="74" t="inlineStr">
        <is>
          <t>Verificado</t>
        </is>
      </c>
      <c r="M183" s="79" t="n"/>
    </row>
    <row r="184">
      <c r="A184" s="74" t="inlineStr">
        <is>
          <t>ESC-20260910-J1-L2-01</t>
        </is>
      </c>
      <c r="B184" s="75" t="inlineStr">
        <is>
          <t>2026-09-10 11:11:00</t>
        </is>
      </c>
      <c r="C184" s="76" t="inlineStr">
        <is>
          <t>J1-L2-01</t>
        </is>
      </c>
      <c r="D184" s="77" t="inlineStr">
        <is>
          <t>7506499570244</t>
        </is>
      </c>
      <c r="E184" s="77" t="inlineStr">
        <is>
          <t>ST-VR-P-009-FW25-TS-2XL</t>
        </is>
      </c>
      <c r="F184" s="76" t="inlineStr">
        <is>
          <t>Stetson</t>
        </is>
      </c>
      <c r="G184" s="76" t="inlineStr">
        <is>
          <t>Camisa Stetson Vintage Range Timberline Spirit</t>
        </is>
      </c>
      <c r="H184" s="74" t="inlineStr">
        <is>
          <t>Camisas</t>
        </is>
      </c>
      <c r="I184" s="74" t="inlineStr">
        <is>
          <t>XXL</t>
        </is>
      </c>
      <c r="J184" s="78" t="n">
        <v>1</v>
      </c>
      <c r="K184" s="76" t="n"/>
      <c r="L184" s="74" t="inlineStr">
        <is>
          <t>Verificado</t>
        </is>
      </c>
      <c r="M184" s="79" t="n"/>
    </row>
    <row r="185">
      <c r="A185" s="74" t="inlineStr">
        <is>
          <t>ESC-20260910-J1-L2-01</t>
        </is>
      </c>
      <c r="B185" s="75" t="inlineStr">
        <is>
          <t>2026-09-10 11:11:00</t>
        </is>
      </c>
      <c r="C185" s="76" t="inlineStr">
        <is>
          <t>J1-L2-01</t>
        </is>
      </c>
      <c r="D185" s="77" t="inlineStr">
        <is>
          <t>7506499570237</t>
        </is>
      </c>
      <c r="E185" s="77" t="inlineStr">
        <is>
          <t>ST-VR-P-009-FW25-TS-XL</t>
        </is>
      </c>
      <c r="F185" s="76" t="inlineStr">
        <is>
          <t>Stetson</t>
        </is>
      </c>
      <c r="G185" s="76" t="inlineStr">
        <is>
          <t>Camisa Stetson Vintage Range Timberline Spirit</t>
        </is>
      </c>
      <c r="H185" s="74" t="inlineStr">
        <is>
          <t>Camisas</t>
        </is>
      </c>
      <c r="I185" s="74" t="inlineStr">
        <is>
          <t>XL</t>
        </is>
      </c>
      <c r="J185" s="78" t="n">
        <v>1</v>
      </c>
      <c r="K185" s="76" t="n"/>
      <c r="L185" s="74" t="inlineStr">
        <is>
          <t>Verificado</t>
        </is>
      </c>
      <c r="M185" s="79" t="n"/>
    </row>
    <row r="186">
      <c r="A186" s="74" t="inlineStr">
        <is>
          <t>ESC-20260910-J1-L2-01</t>
        </is>
      </c>
      <c r="B186" s="75" t="inlineStr">
        <is>
          <t>2026-09-10 11:11:00</t>
        </is>
      </c>
      <c r="C186" s="76" t="inlineStr">
        <is>
          <t>J1-L2-01</t>
        </is>
      </c>
      <c r="D186" s="77" t="inlineStr">
        <is>
          <t>7506499570213</t>
        </is>
      </c>
      <c r="E186" s="77" t="inlineStr">
        <is>
          <t>ST-VR-P-009-FW25-TS-M</t>
        </is>
      </c>
      <c r="F186" s="76" t="inlineStr">
        <is>
          <t>Stetson</t>
        </is>
      </c>
      <c r="G186" s="76" t="inlineStr">
        <is>
          <t>Camisa Stetson Vintage Range Timberline Spirit</t>
        </is>
      </c>
      <c r="H186" s="74" t="inlineStr">
        <is>
          <t>Camisas</t>
        </is>
      </c>
      <c r="I186" s="74" t="inlineStr">
        <is>
          <t>M</t>
        </is>
      </c>
      <c r="J186" s="78" t="n">
        <v>1</v>
      </c>
      <c r="K186" s="76" t="n"/>
      <c r="L186" s="74" t="inlineStr">
        <is>
          <t>Verificado</t>
        </is>
      </c>
      <c r="M186" s="79" t="n"/>
    </row>
    <row r="187">
      <c r="A187" s="74" t="inlineStr">
        <is>
          <t>ESC-20260910-J1-L2-01</t>
        </is>
      </c>
      <c r="B187" s="75" t="inlineStr">
        <is>
          <t>2026-09-10 11:11:00</t>
        </is>
      </c>
      <c r="C187" s="76" t="inlineStr">
        <is>
          <t>J1-L2-01</t>
        </is>
      </c>
      <c r="D187" s="77" t="inlineStr">
        <is>
          <t>7506499570350</t>
        </is>
      </c>
      <c r="E187" s="77" t="inlineStr">
        <is>
          <t>ST-VR-P-012-FW25-IF-S</t>
        </is>
      </c>
      <c r="F187" s="76" t="inlineStr">
        <is>
          <t>Stetson</t>
        </is>
      </c>
      <c r="G187" s="76" t="inlineStr">
        <is>
          <t>Camisa Stetson Vintage Range Ironframe</t>
        </is>
      </c>
      <c r="H187" s="74" t="inlineStr">
        <is>
          <t>Camisas</t>
        </is>
      </c>
      <c r="I187" s="74" t="inlineStr">
        <is>
          <t>S</t>
        </is>
      </c>
      <c r="J187" s="78" t="n">
        <v>1</v>
      </c>
      <c r="K187" s="76" t="n"/>
      <c r="L187" s="74" t="inlineStr">
        <is>
          <t>Verificado</t>
        </is>
      </c>
      <c r="M187" s="79" t="n"/>
    </row>
    <row r="188">
      <c r="A188" s="74" t="inlineStr">
        <is>
          <t>ESC-20260910-J1-L2-01</t>
        </is>
      </c>
      <c r="B188" s="75" t="inlineStr">
        <is>
          <t>2026-09-10 11:11:00</t>
        </is>
      </c>
      <c r="C188" s="76" t="inlineStr">
        <is>
          <t>J1-L2-01</t>
        </is>
      </c>
      <c r="D188" s="77" t="inlineStr">
        <is>
          <t>7506499570398</t>
        </is>
      </c>
      <c r="E188" s="77" t="inlineStr">
        <is>
          <t>ST-VR-P-012-FW25-IF-2XL</t>
        </is>
      </c>
      <c r="F188" s="76" t="inlineStr">
        <is>
          <t>Stetson</t>
        </is>
      </c>
      <c r="G188" s="76" t="inlineStr">
        <is>
          <t>Camisa Stetson Vintage Range Ironframe</t>
        </is>
      </c>
      <c r="H188" s="74" t="inlineStr">
        <is>
          <t>Camisas</t>
        </is>
      </c>
      <c r="I188" s="74" t="inlineStr">
        <is>
          <t>XXL</t>
        </is>
      </c>
      <c r="J188" s="78" t="n">
        <v>1</v>
      </c>
      <c r="K188" s="76" t="n"/>
      <c r="L188" s="74" t="inlineStr">
        <is>
          <t>Verificado</t>
        </is>
      </c>
      <c r="M188" s="79" t="n"/>
    </row>
    <row r="189">
      <c r="A189" s="74" t="inlineStr">
        <is>
          <t>ESC-20260910-J1-L2-01</t>
        </is>
      </c>
      <c r="B189" s="75" t="inlineStr">
        <is>
          <t>2026-09-10 11:12:00</t>
        </is>
      </c>
      <c r="C189" s="76" t="inlineStr">
        <is>
          <t>J1-L2-01</t>
        </is>
      </c>
      <c r="D189" s="77" t="inlineStr">
        <is>
          <t>196070779455</t>
        </is>
      </c>
      <c r="E189" s="77" t="inlineStr">
        <is>
          <t>11-001-0478-2033-2XL</t>
        </is>
      </c>
      <c r="F189" s="76" t="inlineStr">
        <is>
          <t>Stetson</t>
        </is>
      </c>
      <c r="G189" s="76" t="inlineStr">
        <is>
          <t>Camisa Stetson Sandy</t>
        </is>
      </c>
      <c r="H189" s="74" t="inlineStr">
        <is>
          <t>Camisas</t>
        </is>
      </c>
      <c r="I189" s="74" t="inlineStr">
        <is>
          <t>XXL</t>
        </is>
      </c>
      <c r="J189" s="78" t="n">
        <v>2</v>
      </c>
      <c r="K189" s="76" t="n"/>
      <c r="L189" s="74" t="inlineStr">
        <is>
          <t>Verificado</t>
        </is>
      </c>
      <c r="M189" s="79" t="n"/>
    </row>
    <row r="190">
      <c r="A190" s="74" t="inlineStr">
        <is>
          <t>ESC-20260910-J1-L2-01</t>
        </is>
      </c>
      <c r="B190" s="75" t="inlineStr">
        <is>
          <t>2026-09-10 11:12:00</t>
        </is>
      </c>
      <c r="C190" s="76" t="inlineStr">
        <is>
          <t>J1-L2-01</t>
        </is>
      </c>
      <c r="D190" s="77" t="inlineStr">
        <is>
          <t>196070779448</t>
        </is>
      </c>
      <c r="E190" s="77" t="inlineStr">
        <is>
          <t>11-001-0478-2033-XL</t>
        </is>
      </c>
      <c r="F190" s="76" t="inlineStr">
        <is>
          <t>Stetson</t>
        </is>
      </c>
      <c r="G190" s="76" t="inlineStr">
        <is>
          <t>Camisa Stetson Sandy</t>
        </is>
      </c>
      <c r="H190" s="74" t="inlineStr">
        <is>
          <t>Camisas</t>
        </is>
      </c>
      <c r="I190" s="74" t="inlineStr">
        <is>
          <t>XL</t>
        </is>
      </c>
      <c r="J190" s="78" t="n">
        <v>1</v>
      </c>
      <c r="K190" s="76" t="n"/>
      <c r="L190" s="74" t="inlineStr">
        <is>
          <t>Verificado</t>
        </is>
      </c>
      <c r="M190" s="79" t="n"/>
    </row>
    <row r="191">
      <c r="A191" s="74" t="inlineStr">
        <is>
          <t>ESC-20260910-J1-L2-01</t>
        </is>
      </c>
      <c r="B191" s="75" t="inlineStr">
        <is>
          <t>2026-09-10 11:12:00</t>
        </is>
      </c>
      <c r="C191" s="76" t="inlineStr">
        <is>
          <t>J1-L2-01</t>
        </is>
      </c>
      <c r="D191" s="77" t="inlineStr">
        <is>
          <t>196070779424</t>
        </is>
      </c>
      <c r="E191" s="77" t="inlineStr">
        <is>
          <t>11-001-0478-2033-M</t>
        </is>
      </c>
      <c r="F191" s="76" t="inlineStr">
        <is>
          <t>Stetson</t>
        </is>
      </c>
      <c r="G191" s="76" t="inlineStr">
        <is>
          <t>Camisa Stetson Sandy</t>
        </is>
      </c>
      <c r="H191" s="74" t="inlineStr">
        <is>
          <t>Camisas</t>
        </is>
      </c>
      <c r="I191" s="74" t="inlineStr">
        <is>
          <t>M</t>
        </is>
      </c>
      <c r="J191" s="78" t="n">
        <v>1</v>
      </c>
      <c r="K191" s="76" t="n"/>
      <c r="L191" s="74" t="inlineStr">
        <is>
          <t>Verificado</t>
        </is>
      </c>
      <c r="M191" s="79" t="n"/>
    </row>
    <row r="192">
      <c r="A192" s="74" t="inlineStr">
        <is>
          <t>ESC-20260910-J1-L2-01</t>
        </is>
      </c>
      <c r="B192" s="75" t="inlineStr">
        <is>
          <t>2026-09-10 11:12:00</t>
        </is>
      </c>
      <c r="C192" s="76" t="inlineStr">
        <is>
          <t>J1-L2-01</t>
        </is>
      </c>
      <c r="D192" s="77" t="inlineStr">
        <is>
          <t>7506499570329</t>
        </is>
      </c>
      <c r="E192" s="77" t="inlineStr">
        <is>
          <t>ST-VR-P-011-FW25-TSAG-L</t>
        </is>
      </c>
      <c r="F192" s="76" t="inlineStr">
        <is>
          <t>Stetson</t>
        </is>
      </c>
      <c r="G192" s="76" t="inlineStr">
        <is>
          <t>Camisa Stetson Vintage Range Tierra Sagrada</t>
        </is>
      </c>
      <c r="H192" s="74" t="inlineStr">
        <is>
          <t>Camisas</t>
        </is>
      </c>
      <c r="I192" s="74" t="inlineStr">
        <is>
          <t>L</t>
        </is>
      </c>
      <c r="J192" s="78" t="n">
        <v>1</v>
      </c>
      <c r="K192" s="76" t="n"/>
      <c r="L192" s="74" t="inlineStr">
        <is>
          <t>Verificado</t>
        </is>
      </c>
      <c r="M192" s="79" t="n"/>
    </row>
    <row r="193">
      <c r="A193" s="74" t="inlineStr">
        <is>
          <t>ESC-20260910-J1-L2-01</t>
        </is>
      </c>
      <c r="B193" s="75" t="inlineStr">
        <is>
          <t>2026-09-10 11:12:00</t>
        </is>
      </c>
      <c r="C193" s="76" t="inlineStr">
        <is>
          <t>J1-L2-01</t>
        </is>
      </c>
      <c r="D193" s="77" t="inlineStr">
        <is>
          <t>7506499570305</t>
        </is>
      </c>
      <c r="E193" s="77" t="inlineStr">
        <is>
          <t>ST-VR-P-011-FW25-TSAG-S</t>
        </is>
      </c>
      <c r="F193" s="76" t="inlineStr">
        <is>
          <t>Stetson</t>
        </is>
      </c>
      <c r="G193" s="76" t="inlineStr">
        <is>
          <t>Camisa Stetson Vintage Range Tierra Sagrada</t>
        </is>
      </c>
      <c r="H193" s="74" t="inlineStr">
        <is>
          <t>Camisas</t>
        </is>
      </c>
      <c r="I193" s="74" t="inlineStr">
        <is>
          <t>S</t>
        </is>
      </c>
      <c r="J193" s="78" t="n">
        <v>1</v>
      </c>
      <c r="K193" s="76" t="n"/>
      <c r="L193" s="74" t="inlineStr">
        <is>
          <t>Verificado</t>
        </is>
      </c>
      <c r="M193" s="79" t="n"/>
    </row>
    <row r="194">
      <c r="A194" s="74" t="inlineStr">
        <is>
          <t>ESC-20260910-J1-L2-01</t>
        </is>
      </c>
      <c r="B194" s="75" t="inlineStr">
        <is>
          <t>2026-09-10 11:12:00</t>
        </is>
      </c>
      <c r="C194" s="76" t="inlineStr">
        <is>
          <t>J1-L2-01</t>
        </is>
      </c>
      <c r="D194" s="77" t="inlineStr">
        <is>
          <t>7506499570312</t>
        </is>
      </c>
      <c r="E194" s="77" t="inlineStr">
        <is>
          <t>ST-VR-P-011-FW25-TSAG-M</t>
        </is>
      </c>
      <c r="F194" s="76" t="inlineStr">
        <is>
          <t>Stetson</t>
        </is>
      </c>
      <c r="G194" s="76" t="inlineStr">
        <is>
          <t>Camisa Stetson Vintage Range Tierra Sagrada</t>
        </is>
      </c>
      <c r="H194" s="74" t="inlineStr">
        <is>
          <t>Camisas</t>
        </is>
      </c>
      <c r="I194" s="74" t="inlineStr">
        <is>
          <t>M</t>
        </is>
      </c>
      <c r="J194" s="78" t="n">
        <v>1</v>
      </c>
      <c r="K194" s="76" t="n"/>
      <c r="L194" s="74" t="inlineStr">
        <is>
          <t>Verificado</t>
        </is>
      </c>
      <c r="M194" s="79" t="n"/>
    </row>
    <row r="195">
      <c r="A195" s="74" t="inlineStr">
        <is>
          <t>ESC-20260910-J1-L2-01</t>
        </is>
      </c>
      <c r="B195" s="75" t="inlineStr">
        <is>
          <t>2026-09-10 11:12:00</t>
        </is>
      </c>
      <c r="C195" s="76" t="inlineStr">
        <is>
          <t>J1-L2-01</t>
        </is>
      </c>
      <c r="D195" s="77" t="inlineStr">
        <is>
          <t>7506499570336</t>
        </is>
      </c>
      <c r="E195" s="77" t="inlineStr">
        <is>
          <t>ST-VR-P-011-FW25-TSAG-XL</t>
        </is>
      </c>
      <c r="F195" s="76" t="inlineStr">
        <is>
          <t>Stetson</t>
        </is>
      </c>
      <c r="G195" s="76" t="inlineStr">
        <is>
          <t>Camisa Stetson Vintage Range Tierra Sagrada</t>
        </is>
      </c>
      <c r="H195" s="74" t="inlineStr">
        <is>
          <t>Camisas</t>
        </is>
      </c>
      <c r="I195" s="74" t="inlineStr">
        <is>
          <t>XL</t>
        </is>
      </c>
      <c r="J195" s="78" t="n">
        <v>1</v>
      </c>
      <c r="K195" s="76" t="n"/>
      <c r="L195" s="74" t="inlineStr">
        <is>
          <t>Verificado</t>
        </is>
      </c>
      <c r="M195" s="79" t="n"/>
    </row>
    <row r="196">
      <c r="A196" s="74" t="inlineStr">
        <is>
          <t>ESC-20260910-J1-L2-01</t>
        </is>
      </c>
      <c r="B196" s="75" t="inlineStr">
        <is>
          <t>2026-09-10 11:12:00</t>
        </is>
      </c>
      <c r="C196" s="76" t="inlineStr">
        <is>
          <t>J1-L2-01</t>
        </is>
      </c>
      <c r="D196" s="77" t="inlineStr">
        <is>
          <t>7506499570343</t>
        </is>
      </c>
      <c r="E196" s="77" t="inlineStr">
        <is>
          <t>ST-VR-P-011-FW25-TSAG-2XL</t>
        </is>
      </c>
      <c r="F196" s="76" t="inlineStr">
        <is>
          <t>Stetson</t>
        </is>
      </c>
      <c r="G196" s="76" t="inlineStr">
        <is>
          <t>Camisa Stetson Vintage Range Tierra Sagrada</t>
        </is>
      </c>
      <c r="H196" s="74" t="inlineStr">
        <is>
          <t>Camisas</t>
        </is>
      </c>
      <c r="I196" s="74" t="inlineStr">
        <is>
          <t>XXL</t>
        </is>
      </c>
      <c r="J196" s="78" t="n">
        <v>1</v>
      </c>
      <c r="K196" s="76" t="n"/>
      <c r="L196" s="74" t="inlineStr">
        <is>
          <t>Verificado</t>
        </is>
      </c>
      <c r="M196" s="79" t="n"/>
    </row>
    <row r="197">
      <c r="A197" s="74" t="inlineStr">
        <is>
          <t>ESC-20260910-J1-L2-01</t>
        </is>
      </c>
      <c r="B197" s="75" t="inlineStr">
        <is>
          <t>2026-09-10 11:12:00</t>
        </is>
      </c>
      <c r="C197" s="76" t="inlineStr">
        <is>
          <t>J1-L2-01</t>
        </is>
      </c>
      <c r="D197" s="77" t="inlineStr">
        <is>
          <t>7506499570107</t>
        </is>
      </c>
      <c r="E197" s="77" t="inlineStr">
        <is>
          <t>ST-VR-P-007-FW25-SB-S</t>
        </is>
      </c>
      <c r="F197" s="76" t="inlineStr">
        <is>
          <t>Stetson</t>
        </is>
      </c>
      <c r="G197" s="76" t="inlineStr">
        <is>
          <t>Camisa Stetson Vintage Range Shadowburst</t>
        </is>
      </c>
      <c r="H197" s="74" t="inlineStr">
        <is>
          <t>Camisas</t>
        </is>
      </c>
      <c r="I197" s="74" t="inlineStr">
        <is>
          <t>S</t>
        </is>
      </c>
      <c r="J197" s="78" t="n">
        <v>1</v>
      </c>
      <c r="K197" s="76" t="n"/>
      <c r="L197" s="74" t="inlineStr">
        <is>
          <t>Verificado</t>
        </is>
      </c>
      <c r="M197" s="79" t="n"/>
    </row>
    <row r="198">
      <c r="A198" s="74" t="inlineStr">
        <is>
          <t>ESC-20260910-J1-L2-01</t>
        </is>
      </c>
      <c r="B198" s="75" t="inlineStr">
        <is>
          <t>2026-09-10 11:12:00</t>
        </is>
      </c>
      <c r="C198" s="76" t="inlineStr">
        <is>
          <t>J1-L2-01</t>
        </is>
      </c>
      <c r="D198" s="77" t="inlineStr">
        <is>
          <t>7506499570145</t>
        </is>
      </c>
      <c r="E198" s="77" t="inlineStr">
        <is>
          <t>ST-VR-P-007-FW25-SB-2XL</t>
        </is>
      </c>
      <c r="F198" s="76" t="inlineStr">
        <is>
          <t>Stetson</t>
        </is>
      </c>
      <c r="G198" s="76" t="inlineStr">
        <is>
          <t>Camisa Stetson Vintage Range Shadowburst</t>
        </is>
      </c>
      <c r="H198" s="74" t="inlineStr">
        <is>
          <t>Camisas</t>
        </is>
      </c>
      <c r="I198" s="74" t="inlineStr">
        <is>
          <t>XXL</t>
        </is>
      </c>
      <c r="J198" s="78" t="n">
        <v>1</v>
      </c>
      <c r="K198" s="76" t="n"/>
      <c r="L198" s="74" t="inlineStr">
        <is>
          <t>Verificado</t>
        </is>
      </c>
      <c r="M198" s="79" t="n"/>
    </row>
    <row r="199">
      <c r="A199" s="74" t="inlineStr">
        <is>
          <t>ESC-20260910-J1-L2-01</t>
        </is>
      </c>
      <c r="B199" s="75" t="inlineStr">
        <is>
          <t>2026-09-10 11:12:00</t>
        </is>
      </c>
      <c r="C199" s="76" t="inlineStr">
        <is>
          <t>J1-L2-01</t>
        </is>
      </c>
      <c r="D199" s="77" t="inlineStr">
        <is>
          <t>7506499570169</t>
        </is>
      </c>
      <c r="E199" s="77" t="inlineStr">
        <is>
          <t>ST-VR-P-008-FW25-FN-M</t>
        </is>
      </c>
      <c r="F199" s="76" t="inlineStr">
        <is>
          <t>Stetson</t>
        </is>
      </c>
      <c r="G199" s="76" t="inlineStr">
        <is>
          <t>Camisa Stetson Vintage Range Forest Nomad</t>
        </is>
      </c>
      <c r="H199" s="74" t="inlineStr">
        <is>
          <t>Camisas</t>
        </is>
      </c>
      <c r="I199" s="74" t="inlineStr">
        <is>
          <t>M</t>
        </is>
      </c>
      <c r="J199" s="78" t="n">
        <v>1</v>
      </c>
      <c r="K199" s="76" t="n"/>
      <c r="L199" s="74" t="inlineStr">
        <is>
          <t>Verificado</t>
        </is>
      </c>
      <c r="M199" s="79" t="n"/>
    </row>
    <row r="200">
      <c r="A200" s="74" t="inlineStr">
        <is>
          <t>ESC-20260910-J1-L2-01</t>
        </is>
      </c>
      <c r="B200" s="75" t="inlineStr">
        <is>
          <t>2026-09-10 11:12:00</t>
        </is>
      </c>
      <c r="C200" s="76" t="inlineStr">
        <is>
          <t>J1-L2-01</t>
        </is>
      </c>
      <c r="D200" s="77" t="inlineStr">
        <is>
          <t>7506499570152</t>
        </is>
      </c>
      <c r="E200" s="77" t="inlineStr">
        <is>
          <t>ST-VR-P-008-FW25-FN-S</t>
        </is>
      </c>
      <c r="F200" s="76" t="inlineStr">
        <is>
          <t>Stetson</t>
        </is>
      </c>
      <c r="G200" s="76" t="inlineStr">
        <is>
          <t>Camisa Stetson Vintage Range Forest Nomad</t>
        </is>
      </c>
      <c r="H200" s="74" t="inlineStr">
        <is>
          <t>Camisas</t>
        </is>
      </c>
      <c r="I200" s="74" t="inlineStr">
        <is>
          <t>S</t>
        </is>
      </c>
      <c r="J200" s="78" t="n">
        <v>1</v>
      </c>
      <c r="K200" s="76" t="n"/>
      <c r="L200" s="74" t="inlineStr">
        <is>
          <t>Verificado</t>
        </is>
      </c>
      <c r="M200" s="79" t="n"/>
    </row>
    <row r="201">
      <c r="A201" s="74" t="inlineStr">
        <is>
          <t>ESC-20260910-J1-L2-01</t>
        </is>
      </c>
      <c r="B201" s="75" t="inlineStr">
        <is>
          <t>2026-09-10 11:12:00</t>
        </is>
      </c>
      <c r="C201" s="76" t="inlineStr">
        <is>
          <t>J1-L2-01</t>
        </is>
      </c>
      <c r="D201" s="77" t="inlineStr">
        <is>
          <t>7506499570183</t>
        </is>
      </c>
      <c r="E201" s="77" t="inlineStr">
        <is>
          <t>ST-VR-P-008-FW25-FN-XL</t>
        </is>
      </c>
      <c r="F201" s="76" t="inlineStr">
        <is>
          <t>Stetson</t>
        </is>
      </c>
      <c r="G201" s="76" t="inlineStr">
        <is>
          <t>Camisa Stetson Vintage Range Forest Nomad</t>
        </is>
      </c>
      <c r="H201" s="74" t="inlineStr">
        <is>
          <t>Camisas</t>
        </is>
      </c>
      <c r="I201" s="74" t="inlineStr">
        <is>
          <t>XL</t>
        </is>
      </c>
      <c r="J201" s="78" t="n">
        <v>1</v>
      </c>
      <c r="K201" s="76" t="n"/>
      <c r="L201" s="74" t="inlineStr">
        <is>
          <t>Verificado</t>
        </is>
      </c>
      <c r="M201" s="79" t="n"/>
    </row>
    <row r="202">
      <c r="A202" s="74" t="inlineStr">
        <is>
          <t>ESC-20260910-J1-L2-02</t>
        </is>
      </c>
      <c r="B202" s="75" t="inlineStr">
        <is>
          <t>2026-09-10 11:14:00</t>
        </is>
      </c>
      <c r="C202" s="76" t="inlineStr">
        <is>
          <t>J1-L2-02</t>
        </is>
      </c>
      <c r="D202" s="77" t="inlineStr">
        <is>
          <t>7506499569712</t>
        </is>
      </c>
      <c r="E202" s="77" t="inlineStr">
        <is>
          <t>ST-VR-S-003-FW25-WB-M</t>
        </is>
      </c>
      <c r="F202" s="76" t="inlineStr">
        <is>
          <t>Stetson</t>
        </is>
      </c>
      <c r="G202" s="76" t="inlineStr">
        <is>
          <t>Camisa Stetson Vintage Range Solid</t>
        </is>
      </c>
      <c r="H202" s="74" t="inlineStr">
        <is>
          <t>Camisas</t>
        </is>
      </c>
      <c r="I202" s="74" t="inlineStr">
        <is>
          <t>M</t>
        </is>
      </c>
      <c r="J202" s="78" t="n">
        <v>3</v>
      </c>
      <c r="K202" s="76" t="n"/>
      <c r="L202" s="74" t="inlineStr">
        <is>
          <t>Verificado</t>
        </is>
      </c>
      <c r="M202" s="79" t="n"/>
    </row>
    <row r="203">
      <c r="A203" s="74" t="inlineStr">
        <is>
          <t>ESC-20260910-J1-L2-02</t>
        </is>
      </c>
      <c r="B203" s="75" t="inlineStr">
        <is>
          <t>2026-09-10 11:14:00</t>
        </is>
      </c>
      <c r="C203" s="76" t="inlineStr">
        <is>
          <t>J1-L2-02</t>
        </is>
      </c>
      <c r="D203" s="77" t="inlineStr">
        <is>
          <t>7506499569705</t>
        </is>
      </c>
      <c r="E203" s="77" t="inlineStr">
        <is>
          <t>ST-VR-S-003-FW25-WB-S</t>
        </is>
      </c>
      <c r="F203" s="76" t="inlineStr">
        <is>
          <t>Stetson</t>
        </is>
      </c>
      <c r="G203" s="76" t="inlineStr">
        <is>
          <t>Camisa Stetson Vintage Range Solid</t>
        </is>
      </c>
      <c r="H203" s="74" t="inlineStr">
        <is>
          <t>Camisas</t>
        </is>
      </c>
      <c r="I203" s="74" t="inlineStr">
        <is>
          <t>S</t>
        </is>
      </c>
      <c r="J203" s="78" t="n">
        <v>3</v>
      </c>
      <c r="K203" s="76" t="n"/>
      <c r="L203" s="74" t="inlineStr">
        <is>
          <t>Verificado</t>
        </is>
      </c>
      <c r="M203" s="79" t="n"/>
    </row>
    <row r="204">
      <c r="A204" s="74" t="inlineStr">
        <is>
          <t>ESC-20260910-J1-L2-02</t>
        </is>
      </c>
      <c r="B204" s="75" t="inlineStr">
        <is>
          <t>2026-09-10 11:14:00</t>
        </is>
      </c>
      <c r="C204" s="76" t="inlineStr">
        <is>
          <t>J1-L2-02</t>
        </is>
      </c>
      <c r="D204" s="77" t="inlineStr">
        <is>
          <t>196070781342</t>
        </is>
      </c>
      <c r="E204" s="77" t="n"/>
      <c r="F204" s="76" t="inlineStr">
        <is>
          <t>Stetson</t>
        </is>
      </c>
      <c r="G204" s="76" t="inlineStr">
        <is>
          <t>UPC no encontrado</t>
        </is>
      </c>
      <c r="H204" s="74" t="n"/>
      <c r="I204" s="74" t="n"/>
      <c r="J204" s="78" t="n">
        <v>2</v>
      </c>
      <c r="K204" s="76" t="n"/>
      <c r="L204" s="74" t="inlineStr">
        <is>
          <t>Revisión Requerida</t>
        </is>
      </c>
      <c r="M204" s="79" t="inlineStr">
        <is>
          <t>UPC no existe en Productos</t>
        </is>
      </c>
    </row>
    <row r="205">
      <c r="A205" s="74" t="inlineStr">
        <is>
          <t>ESC-20260910-J1-L2-02</t>
        </is>
      </c>
      <c r="B205" s="75" t="inlineStr">
        <is>
          <t>2026-09-10 11:14:00</t>
        </is>
      </c>
      <c r="C205" s="76" t="inlineStr">
        <is>
          <t>J1-L2-02</t>
        </is>
      </c>
      <c r="D205" s="77" t="inlineStr">
        <is>
          <t>196070781335</t>
        </is>
      </c>
      <c r="E205" s="77" t="n"/>
      <c r="F205" s="76" t="inlineStr">
        <is>
          <t>Stetson</t>
        </is>
      </c>
      <c r="G205" s="76" t="inlineStr">
        <is>
          <t>UPC no encontrado</t>
        </is>
      </c>
      <c r="H205" s="74" t="n"/>
      <c r="I205" s="74" t="n"/>
      <c r="J205" s="78" t="n">
        <v>2</v>
      </c>
      <c r="K205" s="76" t="n"/>
      <c r="L205" s="74" t="inlineStr">
        <is>
          <t>Revisión Requerida</t>
        </is>
      </c>
      <c r="M205" s="79" t="inlineStr">
        <is>
          <t>UPC no existe en Productos</t>
        </is>
      </c>
    </row>
    <row r="206">
      <c r="A206" s="74" t="inlineStr">
        <is>
          <t>ESC-20260910-J1-L2-02</t>
        </is>
      </c>
      <c r="B206" s="75" t="inlineStr">
        <is>
          <t>2026-09-10 11:14:00</t>
        </is>
      </c>
      <c r="C206" s="76" t="inlineStr">
        <is>
          <t>J1-L2-02</t>
        </is>
      </c>
      <c r="D206" s="77" t="inlineStr">
        <is>
          <t>196070781304</t>
        </is>
      </c>
      <c r="E206" s="77" t="n"/>
      <c r="F206" s="76" t="inlineStr">
        <is>
          <t>Stetson</t>
        </is>
      </c>
      <c r="G206" s="76" t="inlineStr">
        <is>
          <t>UPC no encontrado</t>
        </is>
      </c>
      <c r="H206" s="74" t="n"/>
      <c r="I206" s="74" t="n"/>
      <c r="J206" s="78" t="n">
        <v>2</v>
      </c>
      <c r="K206" s="76" t="n"/>
      <c r="L206" s="74" t="inlineStr">
        <is>
          <t>Revisión Requerida</t>
        </is>
      </c>
      <c r="M206" s="79" t="inlineStr">
        <is>
          <t>UPC no existe en Productos</t>
        </is>
      </c>
    </row>
    <row r="207">
      <c r="A207" s="74" t="inlineStr">
        <is>
          <t>ESC-20260910-J1-L2-02</t>
        </is>
      </c>
      <c r="B207" s="75" t="inlineStr">
        <is>
          <t>2026-09-10 11:14:00</t>
        </is>
      </c>
      <c r="C207" s="76" t="inlineStr">
        <is>
          <t>J1-L2-02</t>
        </is>
      </c>
      <c r="D207" s="77" t="inlineStr">
        <is>
          <t>196070781311</t>
        </is>
      </c>
      <c r="E207" s="77" t="n"/>
      <c r="F207" s="76" t="inlineStr">
        <is>
          <t>Stetson</t>
        </is>
      </c>
      <c r="G207" s="76" t="inlineStr">
        <is>
          <t>UPC no encontrado</t>
        </is>
      </c>
      <c r="H207" s="74" t="n"/>
      <c r="I207" s="74" t="n"/>
      <c r="J207" s="78" t="n">
        <v>2</v>
      </c>
      <c r="K207" s="76" t="n"/>
      <c r="L207" s="74" t="inlineStr">
        <is>
          <t>Revisión Requerida</t>
        </is>
      </c>
      <c r="M207" s="79" t="inlineStr">
        <is>
          <t>UPC no existe en Productos</t>
        </is>
      </c>
    </row>
    <row r="208">
      <c r="A208" s="74" t="inlineStr">
        <is>
          <t>ESC-20260910-J1-L2-02</t>
        </is>
      </c>
      <c r="B208" s="75" t="inlineStr">
        <is>
          <t>2026-09-10 11:15:00</t>
        </is>
      </c>
      <c r="C208" s="76" t="inlineStr">
        <is>
          <t>J1-L2-02</t>
        </is>
      </c>
      <c r="D208" s="77" t="inlineStr">
        <is>
          <t>7506499569644</t>
        </is>
      </c>
      <c r="E208" s="77" t="inlineStr">
        <is>
          <t>ST-VR-S-001-FW25-AF-2XL</t>
        </is>
      </c>
      <c r="F208" s="76" t="inlineStr">
        <is>
          <t>Stetson</t>
        </is>
      </c>
      <c r="G208" s="76" t="inlineStr">
        <is>
          <t>Camisa Stetson Vintage Range Solid</t>
        </is>
      </c>
      <c r="H208" s="74" t="inlineStr">
        <is>
          <t>Camisas</t>
        </is>
      </c>
      <c r="I208" s="74" t="inlineStr">
        <is>
          <t>XXL</t>
        </is>
      </c>
      <c r="J208" s="78" t="n">
        <v>1</v>
      </c>
      <c r="K208" s="76" t="n"/>
      <c r="L208" s="74" t="inlineStr">
        <is>
          <t>Verificado</t>
        </is>
      </c>
      <c r="M208" s="79" t="n"/>
    </row>
    <row r="209">
      <c r="A209" s="74" t="inlineStr">
        <is>
          <t>ESC-20260910-J1-L2-02</t>
        </is>
      </c>
      <c r="B209" s="75" t="inlineStr">
        <is>
          <t>2026-09-10 11:15:00</t>
        </is>
      </c>
      <c r="C209" s="76" t="inlineStr">
        <is>
          <t>J1-L2-02</t>
        </is>
      </c>
      <c r="D209" s="77" t="inlineStr">
        <is>
          <t>7506499569613</t>
        </is>
      </c>
      <c r="E209" s="77" t="inlineStr">
        <is>
          <t>ST-VR-S-001-FW25-AF-M</t>
        </is>
      </c>
      <c r="F209" s="76" t="inlineStr">
        <is>
          <t>Stetson</t>
        </is>
      </c>
      <c r="G209" s="76" t="inlineStr">
        <is>
          <t>Camisa Stetson Vintage Range Solid</t>
        </is>
      </c>
      <c r="H209" s="74" t="inlineStr">
        <is>
          <t>Camisas</t>
        </is>
      </c>
      <c r="I209" s="74" t="inlineStr">
        <is>
          <t>M</t>
        </is>
      </c>
      <c r="J209" s="78" t="n">
        <v>2</v>
      </c>
      <c r="K209" s="76" t="n"/>
      <c r="L209" s="74" t="inlineStr">
        <is>
          <t>Verificado</t>
        </is>
      </c>
      <c r="M209" s="79" t="n"/>
    </row>
    <row r="210">
      <c r="A210" s="74" t="inlineStr">
        <is>
          <t>ESC-20260910-J1-L2-02</t>
        </is>
      </c>
      <c r="B210" s="75" t="inlineStr">
        <is>
          <t>2026-09-10 11:15:00</t>
        </is>
      </c>
      <c r="C210" s="76" t="inlineStr">
        <is>
          <t>J1-L2-02</t>
        </is>
      </c>
      <c r="D210" s="77" t="inlineStr">
        <is>
          <t>7506499569460</t>
        </is>
      </c>
      <c r="E210" s="77" t="inlineStr">
        <is>
          <t>ST-TI-002-FW25-AF-M</t>
        </is>
      </c>
      <c r="F210" s="76" t="inlineStr">
        <is>
          <t>Stetson</t>
        </is>
      </c>
      <c r="G210" s="76" t="inlineStr">
        <is>
          <t>Camisa Stetson Trailblazer Icon</t>
        </is>
      </c>
      <c r="H210" s="74" t="inlineStr">
        <is>
          <t>Camisas</t>
        </is>
      </c>
      <c r="I210" s="74" t="inlineStr">
        <is>
          <t>M</t>
        </is>
      </c>
      <c r="J210" s="78" t="n">
        <v>1</v>
      </c>
      <c r="K210" s="76" t="n"/>
      <c r="L210" s="74" t="inlineStr">
        <is>
          <t>Verificado</t>
        </is>
      </c>
      <c r="M210" s="79" t="n"/>
    </row>
    <row r="211">
      <c r="A211" s="74" t="inlineStr">
        <is>
          <t>ESC-20260910-J1-L2-02</t>
        </is>
      </c>
      <c r="B211" s="75" t="inlineStr">
        <is>
          <t>2026-09-10 11:15:00</t>
        </is>
      </c>
      <c r="C211" s="76" t="inlineStr">
        <is>
          <t>J1-L2-02</t>
        </is>
      </c>
      <c r="D211" s="77" t="inlineStr">
        <is>
          <t>7506499569606</t>
        </is>
      </c>
      <c r="E211" s="77" t="inlineStr">
        <is>
          <t>ST-VR-S-001-FW25-AF-S</t>
        </is>
      </c>
      <c r="F211" s="76" t="inlineStr">
        <is>
          <t>Stetson</t>
        </is>
      </c>
      <c r="G211" s="76" t="inlineStr">
        <is>
          <t>Camisa Stetson Vintage Range Solid</t>
        </is>
      </c>
      <c r="H211" s="74" t="inlineStr">
        <is>
          <t>Camisas</t>
        </is>
      </c>
      <c r="I211" s="74" t="inlineStr">
        <is>
          <t>S</t>
        </is>
      </c>
      <c r="J211" s="78" t="n">
        <v>5</v>
      </c>
      <c r="K211" s="76" t="n"/>
      <c r="L211" s="74" t="inlineStr">
        <is>
          <t>Verificado</t>
        </is>
      </c>
      <c r="M211" s="79" t="n"/>
    </row>
    <row r="212">
      <c r="A212" s="74" t="inlineStr">
        <is>
          <t>ESC-20260910-J1-L2-02</t>
        </is>
      </c>
      <c r="B212" s="75" t="inlineStr">
        <is>
          <t>2026-09-10 11:15:00</t>
        </is>
      </c>
      <c r="C212" s="76" t="inlineStr">
        <is>
          <t>J1-L2-02</t>
        </is>
      </c>
      <c r="D212" s="77" t="inlineStr">
        <is>
          <t>196070615180</t>
        </is>
      </c>
      <c r="E212" s="77" t="inlineStr">
        <is>
          <t>11-001-0425-5019-S</t>
        </is>
      </c>
      <c r="F212" s="76" t="inlineStr">
        <is>
          <t>Stetson</t>
        </is>
      </c>
      <c r="G212" s="76" t="inlineStr">
        <is>
          <t>Camisa Manga Larga Diamond Neat</t>
        </is>
      </c>
      <c r="H212" s="74" t="inlineStr">
        <is>
          <t>Camisas</t>
        </is>
      </c>
      <c r="I212" s="74" t="inlineStr">
        <is>
          <t>S</t>
        </is>
      </c>
      <c r="J212" s="78" t="n">
        <v>1</v>
      </c>
      <c r="K212" s="76" t="n"/>
      <c r="L212" s="74" t="inlineStr">
        <is>
          <t>Verificado</t>
        </is>
      </c>
      <c r="M212" s="79" t="n"/>
    </row>
    <row r="213">
      <c r="A213" s="74" t="inlineStr">
        <is>
          <t>ESC-20260910-J1-L2-02</t>
        </is>
      </c>
      <c r="B213" s="75" t="inlineStr">
        <is>
          <t>2026-09-10 11:16:00</t>
        </is>
      </c>
      <c r="C213" s="76" t="inlineStr">
        <is>
          <t>J1-L2-02</t>
        </is>
      </c>
      <c r="D213" s="77" t="inlineStr">
        <is>
          <t>7506499569484</t>
        </is>
      </c>
      <c r="E213" s="77" t="inlineStr">
        <is>
          <t>ST-TI-002-FW25-AF-XL</t>
        </is>
      </c>
      <c r="F213" s="76" t="inlineStr">
        <is>
          <t>Stetson</t>
        </is>
      </c>
      <c r="G213" s="76" t="inlineStr">
        <is>
          <t>Camisa Stetson Trailblazer Icon</t>
        </is>
      </c>
      <c r="H213" s="74" t="inlineStr">
        <is>
          <t>Camisas</t>
        </is>
      </c>
      <c r="I213" s="74" t="inlineStr">
        <is>
          <t>XL</t>
        </is>
      </c>
      <c r="J213" s="78" t="n">
        <v>1</v>
      </c>
      <c r="K213" s="76" t="n"/>
      <c r="L213" s="74" t="inlineStr">
        <is>
          <t>Verificado</t>
        </is>
      </c>
      <c r="M213" s="79" t="n"/>
    </row>
    <row r="214">
      <c r="A214" s="74" t="inlineStr">
        <is>
          <t>ESC-20260910-J1-L2-02</t>
        </is>
      </c>
      <c r="B214" s="75" t="inlineStr">
        <is>
          <t>2026-09-10 11:16:00</t>
        </is>
      </c>
      <c r="C214" s="76" t="inlineStr">
        <is>
          <t>J1-L2-02</t>
        </is>
      </c>
      <c r="D214" s="77" t="inlineStr">
        <is>
          <t>196070387780</t>
        </is>
      </c>
      <c r="E214" s="77" t="inlineStr">
        <is>
          <t>11-097-0562-0920-L</t>
        </is>
      </c>
      <c r="F214" s="76" t="inlineStr">
        <is>
          <t>Stetson</t>
        </is>
      </c>
      <c r="G214" s="76" t="inlineStr">
        <is>
          <t>Sudadera Stetson Crest Gorro</t>
        </is>
      </c>
      <c r="H214" s="74" t="inlineStr">
        <is>
          <t>Sudaderas</t>
        </is>
      </c>
      <c r="I214" s="74" t="inlineStr">
        <is>
          <t>L</t>
        </is>
      </c>
      <c r="J214" s="78" t="n">
        <v>1</v>
      </c>
      <c r="K214" s="76" t="n"/>
      <c r="L214" s="74" t="inlineStr">
        <is>
          <t>Verificado</t>
        </is>
      </c>
      <c r="M214" s="79" t="n"/>
    </row>
    <row r="215">
      <c r="A215" s="74" t="inlineStr">
        <is>
          <t>ESC-20260910-J1-L2-02</t>
        </is>
      </c>
      <c r="B215" s="75" t="inlineStr">
        <is>
          <t>2026-09-10 11:16:00</t>
        </is>
      </c>
      <c r="C215" s="76" t="inlineStr">
        <is>
          <t>J1-L2-02</t>
        </is>
      </c>
      <c r="D215" s="77" t="inlineStr">
        <is>
          <t>196070387797</t>
        </is>
      </c>
      <c r="E215" s="77" t="inlineStr">
        <is>
          <t>11-097-0562-0920-M</t>
        </is>
      </c>
      <c r="F215" s="76" t="inlineStr">
        <is>
          <t>Stetson</t>
        </is>
      </c>
      <c r="G215" s="76" t="inlineStr">
        <is>
          <t>Sudadera Stetson Crest Gorro</t>
        </is>
      </c>
      <c r="H215" s="74" t="inlineStr">
        <is>
          <t>Sudaderas</t>
        </is>
      </c>
      <c r="I215" s="74" t="inlineStr">
        <is>
          <t>M</t>
        </is>
      </c>
      <c r="J215" s="78" t="n">
        <v>2</v>
      </c>
      <c r="K215" s="76" t="n"/>
      <c r="L215" s="74" t="inlineStr">
        <is>
          <t>Verificado</t>
        </is>
      </c>
      <c r="M215" s="79" t="n"/>
    </row>
  </sheetData>
  <conditionalFormatting sqref="L2:M1000">
    <cfRule type="containsText" priority="1" operator="containsText" dxfId="5" stopIfTrue="1" text="⚠️">
      <formula>NOT(ISERROR(SEARCH(("⚠️"),(L2))))</formula>
    </cfRule>
    <cfRule type="cellIs" priority="2" operator="equal" dxfId="5" stopIfTrue="1">
      <formula>"Con Discrepancia"</formula>
    </cfRule>
    <cfRule type="cellIs" priority="3" operator="equal" dxfId="8" stopIfTrue="1">
      <formula>"Verificado"</formula>
    </cfRule>
    <cfRule type="cellIs" priority="4" operator="equal" dxfId="10" stopIfTrue="1">
      <formula>"Sin cambios"</formula>
    </cfRule>
  </conditionalFormatting>
  <dataValidations count="1">
    <dataValidation sqref="L5:L1000" showDropDown="0" showInputMessage="0" showErrorMessage="0" allowBlank="1" type="list">
      <formula1>"Verificado,Con Discrepancia,Pendiente,Revisión Requerida"</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tabColor rgb="FF63748A"/>
    <outlinePr summaryBelow="0" summaryRight="0"/>
    <pageSetUpPr/>
  </sheetPr>
  <dimension ref="A1:J64"/>
  <sheetViews>
    <sheetView workbookViewId="0">
      <selection activeCell="A1" sqref="A1"/>
    </sheetView>
  </sheetViews>
  <sheetFormatPr baseColWidth="8" defaultColWidth="12.63" defaultRowHeight="15" customHeight="1"/>
  <cols>
    <col width="71.38" customWidth="1" style="176" min="1" max="1"/>
    <col width="13.13" customWidth="1" style="176" min="2" max="2"/>
    <col width="10.88" customWidth="1" style="176" min="3" max="3"/>
    <col width="10.63" customWidth="1" style="176" min="4" max="4"/>
    <col width="17.88" customWidth="1" style="176" min="5" max="5"/>
    <col width="13.75" customWidth="1" style="176" min="6" max="6"/>
    <col width="4" customWidth="1" style="176" min="7" max="7"/>
    <col width="34" customWidth="1" style="176" min="8" max="8"/>
    <col width="16" customWidth="1" style="176" min="9" max="10"/>
  </cols>
  <sheetData>
    <row r="1" ht="30" customHeight="1" s="176">
      <c r="A1" s="177" t="inlineStr">
        <is>
          <t>CONFIGURACIÓN DEL SISTEMA Y CATÁLOGOS MAESTROS - GRUPO QUINCE 22</t>
        </is>
      </c>
      <c r="G1" s="5" t="n"/>
      <c r="H1" s="5" t="n"/>
      <c r="I1" s="5" t="n"/>
      <c r="J1" s="5" t="n"/>
    </row>
    <row r="2" ht="15.75" customHeight="1" s="176">
      <c r="A2" s="180" t="inlineStr">
        <is>
          <t>Catálogos oficiales para validación de datos y listas desplegables del conteo cíclico diario</t>
        </is>
      </c>
      <c r="G2" s="5" t="n"/>
      <c r="H2" s="5" t="n"/>
      <c r="I2" s="5" t="n"/>
      <c r="J2" s="5" t="n"/>
    </row>
    <row r="3" ht="24" customHeight="1" s="176">
      <c r="A3" s="6" t="inlineStr">
        <is>
          <t>Ubicaciones / Racks</t>
        </is>
      </c>
      <c r="B3" s="6" t="inlineStr">
        <is>
          <t>Marcas</t>
        </is>
      </c>
      <c r="C3" s="6" t="inlineStr">
        <is>
          <t>Categorías</t>
        </is>
      </c>
      <c r="D3" s="6" t="inlineStr">
        <is>
          <t>Tallas / Sizes</t>
        </is>
      </c>
      <c r="E3" s="6" t="inlineStr">
        <is>
          <t>Auditores / Operadores</t>
        </is>
      </c>
      <c r="F3" s="6" t="inlineStr">
        <is>
          <t>Estado de Conteo</t>
        </is>
      </c>
      <c r="G3" s="5" t="n"/>
      <c r="H3" s="6" t="inlineStr">
        <is>
          <t>Ubicaciones NetSuite (Hoja a Revisar)</t>
        </is>
      </c>
      <c r="I3" s="6" t="inlineStr">
        <is>
          <t>SKUs con stock</t>
        </is>
      </c>
      <c r="J3" s="6" t="inlineStr">
        <is>
          <t>Piezas en sistema</t>
        </is>
      </c>
    </row>
    <row r="4" ht="15.75" customHeight="1" s="176">
      <c r="A4" s="12" t="inlineStr">
        <is>
          <t>Pasillo A - Racks Principales</t>
        </is>
      </c>
      <c r="B4" s="12" t="inlineStr">
        <is>
          <t>1522 Original</t>
        </is>
      </c>
      <c r="C4" s="12" t="inlineStr">
        <is>
          <t>Playeras</t>
        </is>
      </c>
      <c r="D4" s="12" t="inlineStr">
        <is>
          <t>XS</t>
        </is>
      </c>
      <c r="E4" s="14" t="inlineStr">
        <is>
          <t>Jesús Fregoso</t>
        </is>
      </c>
      <c r="F4" s="14" t="inlineStr">
        <is>
          <t>Verificado</t>
        </is>
      </c>
      <c r="G4" s="5" t="n"/>
      <c r="H4" s="12" t="inlineStr">
        <is>
          <t>Almacenes G1522</t>
        </is>
      </c>
      <c r="I4" s="12">
        <f t="array" ref="I4">_xlfn.XLOOKUP($H4,Criterios!$G$6:$G$200,Criterios!I$6:I$200,"")</f>
        <v/>
      </c>
      <c r="J4" s="12">
        <f t="array" ref="J4">_xlfn.XLOOKUP($H4,Criterios!$G$6:$G$200,Criterios!J$6:J$200,"")</f>
        <v/>
      </c>
    </row>
    <row r="5" ht="15.75" customHeight="1" s="176">
      <c r="A5" s="12" t="inlineStr">
        <is>
          <t>Pasillo B - Estantería Media</t>
        </is>
      </c>
      <c r="B5" s="12" t="inlineStr">
        <is>
          <t>Urban Trend</t>
        </is>
      </c>
      <c r="C5" s="12" t="inlineStr">
        <is>
          <t>Pantalones</t>
        </is>
      </c>
      <c r="D5" s="12" t="inlineStr">
        <is>
          <t>S</t>
        </is>
      </c>
      <c r="E5" s="14" t="inlineStr">
        <is>
          <t>Carlos Morales</t>
        </is>
      </c>
      <c r="F5" s="14" t="inlineStr">
        <is>
          <t>Con Discrepancia</t>
        </is>
      </c>
      <c r="G5" s="5" t="n"/>
      <c r="H5" s="12" t="inlineStr">
        <is>
          <t>AMAZON</t>
        </is>
      </c>
      <c r="I5" s="12">
        <f t="array" ref="I5">_xlfn.XLOOKUP($H5,Criterios!$G$6:$G$200,Criterios!I$6:I$200,"")</f>
        <v/>
      </c>
      <c r="J5" s="12">
        <f t="array" ref="J5">_xlfn.XLOOKUP($H5,Criterios!$G$6:$G$200,Criterios!J$6:J$200,"")</f>
        <v/>
      </c>
    </row>
    <row r="6" ht="15.75" customHeight="1" s="176">
      <c r="A6" s="12" t="inlineStr">
        <is>
          <t>Pasillo C - Calzado y Confección</t>
        </is>
      </c>
      <c r="B6" s="12" t="inlineStr">
        <is>
          <t>Denim Co.</t>
        </is>
      </c>
      <c r="C6" s="12" t="inlineStr">
        <is>
          <t>Sudaderas</t>
        </is>
      </c>
      <c r="D6" s="12" t="inlineStr">
        <is>
          <t>M</t>
        </is>
      </c>
      <c r="E6" s="14" t="inlineStr">
        <is>
          <t>Andrea Valenzuela</t>
        </is>
      </c>
      <c r="F6" s="14" t="inlineStr">
        <is>
          <t>Pendiente</t>
        </is>
      </c>
      <c r="G6" s="5" t="n"/>
      <c r="H6" s="12" t="inlineStr">
        <is>
          <t>ARIAT CHIHUAHUA</t>
        </is>
      </c>
      <c r="I6" s="12">
        <f t="array" ref="I6">_xlfn.XLOOKUP($H6,Criterios!$G$6:$G$200,Criterios!I$6:I$200,"")</f>
        <v/>
      </c>
      <c r="J6" s="12">
        <f t="array" ref="J6">_xlfn.XLOOKUP($H6,Criterios!$G$6:$G$200,Criterios!J$6:J$200,"")</f>
        <v/>
      </c>
    </row>
    <row r="7" ht="15.75" customHeight="1" s="176">
      <c r="A7" s="12" t="inlineStr">
        <is>
          <t>Pasillo D - Accesorios</t>
        </is>
      </c>
      <c r="B7" s="12" t="inlineStr">
        <is>
          <t>Active Wear</t>
        </is>
      </c>
      <c r="C7" s="12" t="inlineStr">
        <is>
          <t>Chamarras</t>
        </is>
      </c>
      <c r="D7" s="12" t="inlineStr">
        <is>
          <t>L</t>
        </is>
      </c>
      <c r="E7" s="14" t="inlineStr">
        <is>
          <t>Luis Fernández</t>
        </is>
      </c>
      <c r="F7" s="14" t="inlineStr">
        <is>
          <t>Revisión Requerida</t>
        </is>
      </c>
      <c r="G7" s="5" t="n"/>
      <c r="H7" s="12" t="inlineStr">
        <is>
          <t>ARIAT OUTLET GDL</t>
        </is>
      </c>
      <c r="I7" s="12">
        <f t="array" ref="I7">_xlfn.XLOOKUP($H7,Criterios!$G$6:$G$200,Criterios!I$6:I$200,"")</f>
        <v/>
      </c>
      <c r="J7" s="12">
        <f t="array" ref="J7">_xlfn.XLOOKUP($H7,Criterios!$G$6:$G$200,Criterios!J$6:J$200,"")</f>
        <v/>
      </c>
    </row>
    <row r="8" ht="15.75" customHeight="1" s="176">
      <c r="A8" s="12" t="inlineStr">
        <is>
          <t>Pasillo E - Devoluciones</t>
        </is>
      </c>
      <c r="B8" s="12" t="inlineStr">
        <is>
          <t>Casual Basics</t>
        </is>
      </c>
      <c r="C8" s="12" t="inlineStr">
        <is>
          <t>Gorras</t>
        </is>
      </c>
      <c r="D8" s="12" t="inlineStr">
        <is>
          <t>XL</t>
        </is>
      </c>
      <c r="E8" s="14" t="inlineStr">
        <is>
          <t>Mariana Garza</t>
        </is>
      </c>
      <c r="F8" s="14" t="n"/>
      <c r="G8" s="5" t="n"/>
      <c r="H8" s="12" t="inlineStr">
        <is>
          <t>ARIAT PLAZA SAN LUIS</t>
        </is>
      </c>
      <c r="I8" s="12">
        <f t="array" ref="I8">_xlfn.XLOOKUP($H8,Criterios!$G$6:$G$200,Criterios!I$6:I$200,"")</f>
        <v/>
      </c>
      <c r="J8" s="12">
        <f t="array" ref="J8">_xlfn.XLOOKUP($H8,Criterios!$G$6:$G$200,Criterios!J$6:J$200,"")</f>
        <v/>
      </c>
    </row>
    <row r="9" ht="15.75" customHeight="1" s="176">
      <c r="A9" s="12" t="inlineStr">
        <is>
          <t>Bodega Central - Tarimas</t>
        </is>
      </c>
      <c r="B9" s="12" t="inlineStr">
        <is>
          <t>Signature 1522</t>
        </is>
      </c>
      <c r="C9" s="12" t="inlineStr">
        <is>
          <t>Camisas</t>
        </is>
      </c>
      <c r="D9" s="12" t="inlineStr">
        <is>
          <t>XXL</t>
        </is>
      </c>
      <c r="E9" s="14" t="inlineStr">
        <is>
          <t>Roberto Méndez</t>
        </is>
      </c>
      <c r="F9" s="14" t="n"/>
      <c r="G9" s="5" t="n"/>
      <c r="H9" s="12" t="inlineStr">
        <is>
          <t>ARIAT SAN NICOLAS NL</t>
        </is>
      </c>
      <c r="I9" s="12">
        <f t="array" ref="I9">_xlfn.XLOOKUP($H9,Criterios!$G$6:$G$200,Criterios!I$6:I$200,"")</f>
        <v/>
      </c>
      <c r="J9" s="12">
        <f t="array" ref="J9">_xlfn.XLOOKUP($H9,Criterios!$G$6:$G$200,Criterios!J$6:J$200,"")</f>
        <v/>
      </c>
    </row>
    <row r="10" ht="15.75" customHeight="1" s="176">
      <c r="A10" s="12" t="inlineStr">
        <is>
          <t>Zona de Picking 1</t>
        </is>
      </c>
      <c r="B10" s="12" t="inlineStr">
        <is>
          <t>Premium Line</t>
        </is>
      </c>
      <c r="C10" s="12" t="inlineStr">
        <is>
          <t>Calzado</t>
        </is>
      </c>
      <c r="D10" s="12" t="inlineStr">
        <is>
          <t>28x32</t>
        </is>
      </c>
      <c r="E10" s="14" t="inlineStr">
        <is>
          <t>Sofía Castro</t>
        </is>
      </c>
      <c r="F10" s="14" t="n"/>
      <c r="G10" s="5" t="n"/>
      <c r="H10" s="12" t="inlineStr">
        <is>
          <t>B25 CEDIS</t>
        </is>
      </c>
      <c r="I10" s="12">
        <f t="array" ref="I10">_xlfn.XLOOKUP($H10,Criterios!$G$6:$G$200,Criterios!I$6:I$200,"")</f>
        <v/>
      </c>
      <c r="J10" s="12">
        <f t="array" ref="J10">_xlfn.XLOOKUP($H10,Criterios!$G$6:$G$200,Criterios!J$6:J$200,"")</f>
        <v/>
      </c>
    </row>
    <row r="11" ht="15.75" customHeight="1" s="176">
      <c r="A11" s="12" t="inlineStr">
        <is>
          <t>Zona de Recepción</t>
        </is>
      </c>
      <c r="B11" s="12" t="inlineStr">
        <is>
          <t>Vintage Republic</t>
        </is>
      </c>
      <c r="C11" s="12" t="inlineStr">
        <is>
          <t>Accesorios</t>
        </is>
      </c>
      <c r="D11" s="12" t="inlineStr">
        <is>
          <t>30x32</t>
        </is>
      </c>
      <c r="E11" s="14" t="inlineStr">
        <is>
          <t>Miguel Ángel Ruiz</t>
        </is>
      </c>
      <c r="F11" s="14" t="n"/>
      <c r="G11" s="5" t="n"/>
      <c r="H11" s="12" t="inlineStr">
        <is>
          <t>B25 STETSON.MX</t>
        </is>
      </c>
      <c r="I11" s="12">
        <f t="array" ref="I11">_xlfn.XLOOKUP($H11,Criterios!$G$6:$G$200,Criterios!I$6:I$200,"")</f>
        <v/>
      </c>
      <c r="J11" s="12">
        <f t="array" ref="J11">_xlfn.XLOOKUP($H11,Criterios!$G$6:$G$200,Criterios!J$6:J$200,"")</f>
        <v/>
      </c>
    </row>
    <row r="12" ht="15.75" customHeight="1" s="176">
      <c r="A12" s="12" t="inlineStr">
        <is>
          <t>Almacén General - Cuarentena</t>
        </is>
      </c>
      <c r="B12" s="12" t="inlineStr">
        <is>
          <t>Essentials</t>
        </is>
      </c>
      <c r="C12" s="12" t="inlineStr">
        <is>
          <t>Ropa Deportiva</t>
        </is>
      </c>
      <c r="D12" s="12" t="inlineStr">
        <is>
          <t>32x32</t>
        </is>
      </c>
      <c r="E12" s="14" t="inlineStr">
        <is>
          <t>Diana Navarro</t>
        </is>
      </c>
      <c r="F12" s="14" t="n"/>
      <c r="G12" s="5" t="n"/>
      <c r="H12" s="12" t="inlineStr">
        <is>
          <t>B25 WB MERCADO LIBRE</t>
        </is>
      </c>
      <c r="I12" s="12">
        <f t="array" ref="I12">_xlfn.XLOOKUP($H12,Criterios!$G$6:$G$200,Criterios!I$6:I$200,"")</f>
        <v/>
      </c>
      <c r="J12" s="12">
        <f t="array" ref="J12">_xlfn.XLOOKUP($H12,Criterios!$G$6:$G$200,Criterios!J$6:J$200,"")</f>
        <v/>
      </c>
    </row>
    <row r="13" ht="15.75" customHeight="1" s="176">
      <c r="A13" s="12" t="inlineStr">
        <is>
          <t>Mesa de Empaque</t>
        </is>
      </c>
      <c r="B13" s="12" t="inlineStr">
        <is>
          <t>Colección Especial</t>
        </is>
      </c>
      <c r="C13" s="12" t="inlineStr">
        <is>
          <t>Ropa Interior</t>
        </is>
      </c>
      <c r="D13" s="12" t="inlineStr">
        <is>
          <t>34x32</t>
        </is>
      </c>
      <c r="E13" s="14" t="inlineStr">
        <is>
          <t>Pedro Gómez</t>
        </is>
      </c>
      <c r="F13" s="14" t="n"/>
      <c r="G13" s="5" t="n"/>
      <c r="H13" s="12" t="inlineStr">
        <is>
          <t>B25 WESTERN BROTHERS.MX</t>
        </is>
      </c>
      <c r="I13" s="12">
        <f t="array" ref="I13">_xlfn.XLOOKUP($H13,Criterios!$G$6:$G$200,Criterios!I$6:I$200,"")</f>
        <v/>
      </c>
      <c r="J13" s="12">
        <f t="array" ref="J13">_xlfn.XLOOKUP($H13,Criterios!$G$6:$G$200,Criterios!J$6:J$200,"")</f>
        <v/>
      </c>
    </row>
    <row r="14" ht="15.75" customHeight="1" s="176">
      <c r="A14" s="14" t="inlineStr">
        <is>
          <t>Área de Devoluciones</t>
        </is>
      </c>
      <c r="B14" s="14" t="inlineStr">
        <is>
          <t>Edición Limitada</t>
        </is>
      </c>
      <c r="C14" s="14" t="inlineStr">
        <is>
          <t>Calcetería</t>
        </is>
      </c>
      <c r="D14" s="14" t="inlineStr">
        <is>
          <t>UNITALLA</t>
        </is>
      </c>
      <c r="E14" s="14" t="inlineStr">
        <is>
          <t>Laura Sánchez</t>
        </is>
      </c>
      <c r="F14" s="14" t="n"/>
      <c r="G14" s="5" t="n"/>
      <c r="H14" s="12" t="inlineStr">
        <is>
          <t>CAPSLAB Warehouse</t>
        </is>
      </c>
      <c r="I14" s="12">
        <f t="array" ref="I14">_xlfn.XLOOKUP($H14,Criterios!$G$6:$G$200,Criterios!I$6:I$200,"")</f>
        <v/>
      </c>
      <c r="J14" s="12">
        <f t="array" ref="J14">_xlfn.XLOOKUP($H14,Criterios!$G$6:$G$200,Criterios!J$6:J$200,"")</f>
        <v/>
      </c>
    </row>
    <row r="15" ht="15.75" customHeight="1" s="176">
      <c r="A15" s="47" t="inlineStr">
        <is>
          <t>J1-L1-01</t>
        </is>
      </c>
      <c r="B15" s="47" t="inlineStr">
        <is>
          <t>Stetson</t>
        </is>
      </c>
      <c r="C15" s="47" t="inlineStr">
        <is>
          <t>Jeans</t>
        </is>
      </c>
      <c r="D15" s="47" t="inlineStr">
        <is>
          <t>29 x 32</t>
        </is>
      </c>
      <c r="E15" s="5" t="n"/>
      <c r="F15" s="5" t="n"/>
      <c r="G15" s="5" t="n"/>
      <c r="H15" s="12" t="inlineStr">
        <is>
          <t>CL Muestras</t>
        </is>
      </c>
      <c r="I15" s="12">
        <f t="array" ref="I15">_xlfn.XLOOKUP($H15,Criterios!$G$6:$G$200,Criterios!I$6:I$200,"")</f>
        <v/>
      </c>
      <c r="J15" s="12">
        <f t="array" ref="J15">_xlfn.XLOOKUP($H15,Criterios!$G$6:$G$200,Criterios!J$6:J$200,"")</f>
        <v/>
      </c>
    </row>
    <row r="16" ht="15.75" customHeight="1" s="176">
      <c r="A16" s="47" t="inlineStr">
        <is>
          <t>Almacenes G1522</t>
        </is>
      </c>
      <c r="B16" s="47" t="inlineStr">
        <is>
          <t>Ariat</t>
        </is>
      </c>
      <c r="C16" s="47" t="inlineStr">
        <is>
          <t>Denim</t>
        </is>
      </c>
      <c r="D16" s="47" t="inlineStr">
        <is>
          <t>30 x 32</t>
        </is>
      </c>
      <c r="E16" s="5" t="n"/>
      <c r="F16" s="5" t="n"/>
      <c r="G16" s="5" t="n"/>
      <c r="H16" s="12" t="inlineStr">
        <is>
          <t>CL POS</t>
        </is>
      </c>
      <c r="I16" s="12">
        <f t="array" ref="I16">_xlfn.XLOOKUP($H16,Criterios!$G$6:$G$200,Criterios!I$6:I$200,"")</f>
        <v/>
      </c>
      <c r="J16" s="12">
        <f t="array" ref="J16">_xlfn.XLOOKUP($H16,Criterios!$G$6:$G$200,Criterios!J$6:J$200,"")</f>
        <v/>
      </c>
    </row>
    <row r="17" ht="15.75" customHeight="1" s="176">
      <c r="A17" s="47" t="inlineStr">
        <is>
          <t>AMAZON</t>
        </is>
      </c>
      <c r="B17" s="47" t="inlineStr">
        <is>
          <t>CAPSLAB</t>
        </is>
      </c>
      <c r="C17" s="47" t="inlineStr">
        <is>
          <t>Ropa</t>
        </is>
      </c>
      <c r="D17" s="47" t="inlineStr">
        <is>
          <t>31 x 32</t>
        </is>
      </c>
      <c r="E17" s="5" t="n"/>
      <c r="F17" s="5" t="n"/>
      <c r="G17" s="5" t="n"/>
      <c r="H17" s="12" t="inlineStr">
        <is>
          <t>CONSIGNA REFLO</t>
        </is>
      </c>
      <c r="I17" s="12">
        <f t="array" ref="I17">_xlfn.XLOOKUP($H17,Criterios!$G$6:$G$200,Criterios!I$6:I$200,"")</f>
        <v/>
      </c>
      <c r="J17" s="12">
        <f t="array" ref="J17">_xlfn.XLOOKUP($H17,Criterios!$G$6:$G$200,Criterios!J$6:J$200,"")</f>
        <v/>
      </c>
    </row>
    <row r="18" ht="15.75" customHeight="1" s="176">
      <c r="A18" s="47" t="inlineStr">
        <is>
          <t>ARIAT CHIHUAHUA</t>
        </is>
      </c>
      <c r="B18" s="47" t="inlineStr">
        <is>
          <t>Denver</t>
        </is>
      </c>
      <c r="C18" s="5" t="n"/>
      <c r="D18" s="47" t="inlineStr">
        <is>
          <t>32 x 34</t>
        </is>
      </c>
      <c r="E18" s="5" t="n"/>
      <c r="F18" s="5" t="n"/>
      <c r="G18" s="5" t="n"/>
      <c r="H18" s="12" t="inlineStr">
        <is>
          <t>CONSIGNAS</t>
        </is>
      </c>
      <c r="I18" s="12">
        <f t="array" ref="I18">_xlfn.XLOOKUP($H18,Criterios!$G$6:$G$200,Criterios!I$6:I$200,"")</f>
        <v/>
      </c>
      <c r="J18" s="12">
        <f t="array" ref="J18">_xlfn.XLOOKUP($H18,Criterios!$G$6:$G$200,Criterios!J$6:J$200,"")</f>
        <v/>
      </c>
    </row>
    <row r="19" ht="15.75" customHeight="1" s="176">
      <c r="A19" s="47" t="inlineStr">
        <is>
          <t>ARIAT OUTLET GDL</t>
        </is>
      </c>
      <c r="B19" s="47" t="inlineStr">
        <is>
          <t>Generico</t>
        </is>
      </c>
      <c r="C19" s="5" t="n"/>
      <c r="D19" s="47" t="inlineStr">
        <is>
          <t>33 x 32</t>
        </is>
      </c>
      <c r="E19" s="5" t="n"/>
      <c r="F19" s="5" t="n"/>
      <c r="G19" s="5" t="n"/>
      <c r="H19" s="12" t="inlineStr">
        <is>
          <t>DEPARTAMENTAL</t>
        </is>
      </c>
      <c r="I19" s="12">
        <f t="array" ref="I19">_xlfn.XLOOKUP($H19,Criterios!$G$6:$G$200,Criterios!I$6:I$200,"")</f>
        <v/>
      </c>
      <c r="J19" s="12">
        <f t="array" ref="J19">_xlfn.XLOOKUP($H19,Criterios!$G$6:$G$200,Criterios!J$6:J$200,"")</f>
        <v/>
      </c>
    </row>
    <row r="20" ht="15.75" customHeight="1" s="176">
      <c r="A20" s="47" t="inlineStr">
        <is>
          <t>ARIAT PLAZA SAN LUIS</t>
        </is>
      </c>
      <c r="B20" s="47" t="inlineStr">
        <is>
          <t>Happy Socks</t>
        </is>
      </c>
      <c r="C20" s="5" t="n"/>
      <c r="D20" s="47" t="inlineStr">
        <is>
          <t>34 x 34</t>
        </is>
      </c>
      <c r="E20" s="5" t="n"/>
      <c r="F20" s="5" t="n"/>
      <c r="G20" s="5" t="n"/>
      <c r="H20" s="12" t="inlineStr">
        <is>
          <t>ECOMMERCE</t>
        </is>
      </c>
      <c r="I20" s="12">
        <f t="array" ref="I20">_xlfn.XLOOKUP($H20,Criterios!$G$6:$G$200,Criterios!I$6:I$200,"")</f>
        <v/>
      </c>
      <c r="J20" s="12">
        <f t="array" ref="J20">_xlfn.XLOOKUP($H20,Criterios!$G$6:$G$200,Criterios!J$6:J$200,"")</f>
        <v/>
      </c>
    </row>
    <row r="21" ht="15.75" customHeight="1" s="176">
      <c r="A21" s="47" t="inlineStr">
        <is>
          <t>ARIAT SAN NICOLAS NL</t>
        </is>
      </c>
      <c r="B21" s="47" t="inlineStr">
        <is>
          <t>Montana West</t>
        </is>
      </c>
      <c r="C21" s="5" t="n"/>
      <c r="D21" s="47" t="inlineStr">
        <is>
          <t>34 x 36</t>
        </is>
      </c>
      <c r="E21" s="5" t="n"/>
      <c r="F21" s="5" t="n"/>
      <c r="G21" s="5" t="n"/>
      <c r="H21" s="12" t="inlineStr">
        <is>
          <t>ENGLISH REP</t>
        </is>
      </c>
      <c r="I21" s="12">
        <f t="array" ref="I21">_xlfn.XLOOKUP($H21,Criterios!$G$6:$G$200,Criterios!I$6:I$200,"")</f>
        <v/>
      </c>
      <c r="J21" s="12">
        <f t="array" ref="J21">_xlfn.XLOOKUP($H21,Criterios!$G$6:$G$200,Criterios!J$6:J$200,"")</f>
        <v/>
      </c>
    </row>
    <row r="22" ht="15.75" customHeight="1" s="176">
      <c r="A22" s="47" t="inlineStr">
        <is>
          <t>B25 CEDIS</t>
        </is>
      </c>
      <c r="B22" s="47" t="inlineStr">
        <is>
          <t>REFLO</t>
        </is>
      </c>
      <c r="C22" s="5" t="n"/>
      <c r="D22" s="47" t="inlineStr">
        <is>
          <t>36 x 32</t>
        </is>
      </c>
      <c r="E22" s="5" t="n"/>
      <c r="F22" s="5" t="n"/>
      <c r="G22" s="5" t="n"/>
      <c r="H22" s="12" t="inlineStr">
        <is>
          <t>EVENTOS (CONSIGNA)</t>
        </is>
      </c>
      <c r="I22" s="12">
        <f t="array" ref="I22">_xlfn.XLOOKUP($H22,Criterios!$G$6:$G$200,Criterios!I$6:I$200,"")</f>
        <v/>
      </c>
      <c r="J22" s="12">
        <f t="array" ref="J22">_xlfn.XLOOKUP($H22,Criterios!$G$6:$G$200,Criterios!J$6:J$200,"")</f>
        <v/>
      </c>
    </row>
    <row r="23" ht="15.75" customHeight="1" s="176">
      <c r="A23" s="47" t="inlineStr">
        <is>
          <t>B25 STETSON.MX</t>
        </is>
      </c>
      <c r="B23" s="47" t="inlineStr">
        <is>
          <t>Ranch &amp; Corral</t>
        </is>
      </c>
      <c r="C23" s="5" t="n"/>
      <c r="D23" s="47" t="inlineStr">
        <is>
          <t>36 x 34</t>
        </is>
      </c>
      <c r="E23" s="5" t="n"/>
      <c r="F23" s="5" t="n"/>
      <c r="G23" s="5" t="n"/>
      <c r="H23" s="12" t="inlineStr">
        <is>
          <t>Fixtures &amp; MKT</t>
        </is>
      </c>
      <c r="I23" s="12">
        <f t="array" ref="I23">_xlfn.XLOOKUP($H23,Criterios!$G$6:$G$200,Criterios!I$6:I$200,"")</f>
        <v/>
      </c>
      <c r="J23" s="12">
        <f t="array" ref="J23">_xlfn.XLOOKUP($H23,Criterios!$G$6:$G$200,Criterios!J$6:J$200,"")</f>
        <v/>
      </c>
    </row>
    <row r="24" ht="15.75" customHeight="1" s="176">
      <c r="A24" s="47" t="inlineStr">
        <is>
          <t>B25 WB MERCADO LIBRE</t>
        </is>
      </c>
      <c r="B24" s="47" t="inlineStr">
        <is>
          <t>Tru Western</t>
        </is>
      </c>
      <c r="C24" s="5" t="n"/>
      <c r="D24" s="47" t="inlineStr">
        <is>
          <t>38 x 32</t>
        </is>
      </c>
      <c r="E24" s="5" t="n"/>
      <c r="F24" s="5" t="n"/>
      <c r="G24" s="5" t="n"/>
      <c r="H24" s="12" t="inlineStr">
        <is>
          <t>FULL MELI</t>
        </is>
      </c>
      <c r="I24" s="12">
        <f t="array" ref="I24">_xlfn.XLOOKUP($H24,Criterios!$G$6:$G$200,Criterios!I$6:I$200,"")</f>
        <v/>
      </c>
      <c r="J24" s="12">
        <f t="array" ref="J24">_xlfn.XLOOKUP($H24,Criterios!$G$6:$G$200,Criterios!J$6:J$200,"")</f>
        <v/>
      </c>
    </row>
    <row r="25" ht="15.75" customHeight="1" s="176">
      <c r="A25" s="47" t="inlineStr">
        <is>
          <t>B25 WESTERN BROTHERS.MX</t>
        </is>
      </c>
      <c r="B25" s="47" t="inlineStr">
        <is>
          <t>Willow Lane</t>
        </is>
      </c>
      <c r="C25" s="5" t="n"/>
      <c r="D25" s="47" t="inlineStr">
        <is>
          <t>32 x 32</t>
        </is>
      </c>
      <c r="E25" s="5" t="n"/>
      <c r="F25" s="5" t="n"/>
      <c r="G25" s="5" t="n"/>
      <c r="H25" s="12" t="inlineStr">
        <is>
          <t>G1522 Defectos</t>
        </is>
      </c>
      <c r="I25" s="12">
        <f t="array" ref="I25">_xlfn.XLOOKUP($H25,Criterios!$G$6:$G$200,Criterios!I$6:I$200,"")</f>
        <v/>
      </c>
      <c r="J25" s="12">
        <f t="array" ref="J25">_xlfn.XLOOKUP($H25,Criterios!$G$6:$G$200,Criterios!J$6:J$200,"")</f>
        <v/>
      </c>
    </row>
    <row r="26" ht="15.75" customHeight="1" s="176">
      <c r="A26" s="47" t="inlineStr">
        <is>
          <t>CAPSLAB Warehouse</t>
        </is>
      </c>
      <c r="B26" s="47" t="inlineStr">
        <is>
          <t>Wrangler</t>
        </is>
      </c>
      <c r="C26" s="5" t="n"/>
      <c r="D26" s="47" t="inlineStr">
        <is>
          <t>34 x 32</t>
        </is>
      </c>
      <c r="E26" s="5" t="n"/>
      <c r="F26" s="5" t="n"/>
      <c r="G26" s="5" t="n"/>
      <c r="H26" s="12" t="inlineStr">
        <is>
          <t>G1522 Lost</t>
        </is>
      </c>
      <c r="I26" s="12">
        <f t="array" ref="I26">_xlfn.XLOOKUP($H26,Criterios!$G$6:$G$200,Criterios!I$6:I$200,"")</f>
        <v/>
      </c>
      <c r="J26" s="12">
        <f t="array" ref="J26">_xlfn.XLOOKUP($H26,Criterios!$G$6:$G$200,Criterios!J$6:J$200,"")</f>
        <v/>
      </c>
    </row>
    <row r="27" ht="15.75" customHeight="1" s="176">
      <c r="A27" s="47" t="inlineStr">
        <is>
          <t>CL Muestras</t>
        </is>
      </c>
      <c r="B27" s="5" t="n"/>
      <c r="C27" s="5" t="n"/>
      <c r="D27" s="5" t="n"/>
      <c r="E27" s="5" t="n"/>
      <c r="F27" s="5" t="n"/>
      <c r="G27" s="5" t="n"/>
      <c r="H27" s="12" t="inlineStr">
        <is>
          <t>G1522 QA Hold</t>
        </is>
      </c>
      <c r="I27" s="12">
        <f t="array" ref="I27">_xlfn.XLOOKUP($H27,Criterios!$G$6:$G$200,Criterios!I$6:I$200,"")</f>
        <v/>
      </c>
      <c r="J27" s="12">
        <f t="array" ref="J27">_xlfn.XLOOKUP($H27,Criterios!$G$6:$G$200,Criterios!J$6:J$200,"")</f>
        <v/>
      </c>
    </row>
    <row r="28" ht="15.75" customHeight="1" s="176">
      <c r="A28" s="47" t="inlineStr">
        <is>
          <t>CL POS</t>
        </is>
      </c>
      <c r="B28" s="5" t="n"/>
      <c r="C28" s="5" t="n"/>
      <c r="D28" s="5" t="n"/>
      <c r="E28" s="5" t="n"/>
      <c r="F28" s="5" t="n"/>
      <c r="G28" s="5" t="n"/>
      <c r="H28" s="12" t="inlineStr">
        <is>
          <t>GENERAL</t>
        </is>
      </c>
      <c r="I28" s="12">
        <f t="array" ref="I28">_xlfn.XLOOKUP($H28,Criterios!$G$6:$G$200,Criterios!I$6:I$200,"")</f>
        <v/>
      </c>
      <c r="J28" s="12">
        <f t="array" ref="J28">_xlfn.XLOOKUP($H28,Criterios!$G$6:$G$200,Criterios!J$6:J$200,"")</f>
        <v/>
      </c>
    </row>
    <row r="29" ht="15.75" customHeight="1" s="176">
      <c r="A29" s="47" t="inlineStr">
        <is>
          <t>CONSIGNA REFLO</t>
        </is>
      </c>
      <c r="B29" s="5" t="n"/>
      <c r="C29" s="5" t="n"/>
      <c r="D29" s="5" t="n"/>
      <c r="E29" s="5" t="n"/>
      <c r="F29" s="5" t="n"/>
      <c r="G29" s="5" t="n"/>
      <c r="H29" s="12" t="inlineStr">
        <is>
          <t>HAPPY SOCKS</t>
        </is>
      </c>
      <c r="I29" s="12">
        <f t="array" ref="I29">_xlfn.XLOOKUP($H29,Criterios!$G$6:$G$200,Criterios!I$6:I$200,"")</f>
        <v/>
      </c>
      <c r="J29" s="12">
        <f t="array" ref="J29">_xlfn.XLOOKUP($H29,Criterios!$G$6:$G$200,Criterios!J$6:J$200,"")</f>
        <v/>
      </c>
    </row>
    <row r="30" ht="15.75" customHeight="1" s="176">
      <c r="A30" s="47" t="inlineStr">
        <is>
          <t>CONSIGNAS</t>
        </is>
      </c>
      <c r="B30" s="5" t="n"/>
      <c r="C30" s="5" t="n"/>
      <c r="D30" s="5" t="n"/>
      <c r="E30" s="5" t="n"/>
      <c r="F30" s="5" t="n"/>
      <c r="G30" s="5" t="n"/>
      <c r="H30" s="12" t="inlineStr">
        <is>
          <t>HS MERCADO LIBRE</t>
        </is>
      </c>
      <c r="I30" s="12">
        <f t="array" ref="I30">_xlfn.XLOOKUP($H30,Criterios!$G$6:$G$200,Criterios!I$6:I$200,"")</f>
        <v/>
      </c>
      <c r="J30" s="12">
        <f t="array" ref="J30">_xlfn.XLOOKUP($H30,Criterios!$G$6:$G$200,Criterios!J$6:J$200,"")</f>
        <v/>
      </c>
    </row>
    <row r="31" ht="15.75" customHeight="1" s="176">
      <c r="A31" s="47" t="inlineStr">
        <is>
          <t>DEPARTAMENTAL</t>
        </is>
      </c>
      <c r="B31" s="5" t="n"/>
      <c r="C31" s="5" t="n"/>
      <c r="D31" s="5" t="n"/>
      <c r="E31" s="5" t="n"/>
      <c r="F31" s="5" t="n"/>
      <c r="G31" s="5" t="n"/>
      <c r="H31" s="12" t="inlineStr">
        <is>
          <t>KEY ACCOUNTS</t>
        </is>
      </c>
      <c r="I31" s="12">
        <f t="array" ref="I31">_xlfn.XLOOKUP($H31,Criterios!$G$6:$G$200,Criterios!I$6:I$200,"")</f>
        <v/>
      </c>
      <c r="J31" s="12">
        <f t="array" ref="J31">_xlfn.XLOOKUP($H31,Criterios!$G$6:$G$200,Criterios!J$6:J$200,"")</f>
        <v/>
      </c>
    </row>
    <row r="32" ht="15.75" customHeight="1" s="176">
      <c r="A32" s="47" t="inlineStr">
        <is>
          <t>ECOMMERCE</t>
        </is>
      </c>
      <c r="B32" s="5" t="n"/>
      <c r="C32" s="5" t="n"/>
      <c r="D32" s="5" t="n"/>
      <c r="E32" s="5" t="n"/>
      <c r="F32" s="5" t="n"/>
      <c r="G32" s="5" t="n"/>
      <c r="H32" s="12" t="inlineStr">
        <is>
          <t>LIVERPOOL MKP</t>
        </is>
      </c>
      <c r="I32" s="12">
        <f t="array" ref="I32">_xlfn.XLOOKUP($H32,Criterios!$G$6:$G$200,Criterios!I$6:I$200,"")</f>
        <v/>
      </c>
      <c r="J32" s="12">
        <f t="array" ref="J32">_xlfn.XLOOKUP($H32,Criterios!$G$6:$G$200,Criterios!J$6:J$200,"")</f>
        <v/>
      </c>
    </row>
    <row r="33" ht="15.75" customHeight="1" s="176">
      <c r="A33" s="47" t="inlineStr">
        <is>
          <t>ENGLISH REP</t>
        </is>
      </c>
      <c r="B33" s="5" t="n"/>
      <c r="C33" s="5" t="n"/>
      <c r="D33" s="5" t="n"/>
      <c r="E33" s="5" t="n"/>
      <c r="F33" s="5" t="n"/>
      <c r="G33" s="5" t="n"/>
      <c r="H33" s="12" t="inlineStr">
        <is>
          <t>Mercado libre</t>
        </is>
      </c>
      <c r="I33" s="12">
        <f t="array" ref="I33">_xlfn.XLOOKUP($H33,Criterios!$G$6:$G$200,Criterios!I$6:I$200,"")</f>
        <v/>
      </c>
      <c r="J33" s="12">
        <f t="array" ref="J33">_xlfn.XLOOKUP($H33,Criterios!$G$6:$G$200,Criterios!J$6:J$200,"")</f>
        <v/>
      </c>
    </row>
    <row r="34" ht="15.75" customHeight="1" s="176">
      <c r="A34" s="47" t="inlineStr">
        <is>
          <t>EVENTOS (CONSIGNA)</t>
        </is>
      </c>
      <c r="B34" s="5" t="n"/>
      <c r="C34" s="5" t="n"/>
      <c r="D34" s="5" t="n"/>
      <c r="E34" s="5" t="n"/>
      <c r="F34" s="5" t="n"/>
      <c r="G34" s="5" t="n"/>
      <c r="H34" s="12" t="inlineStr">
        <is>
          <t>MUESTRAS &amp; EXPO</t>
        </is>
      </c>
      <c r="I34" s="12">
        <f t="array" ref="I34">_xlfn.XLOOKUP($H34,Criterios!$G$6:$G$200,Criterios!I$6:I$200,"")</f>
        <v/>
      </c>
      <c r="J34" s="12">
        <f t="array" ref="J34">_xlfn.XLOOKUP($H34,Criterios!$G$6:$G$200,Criterios!J$6:J$200,"")</f>
        <v/>
      </c>
    </row>
    <row r="35" ht="15.75" customHeight="1" s="176">
      <c r="A35" s="47" t="inlineStr">
        <is>
          <t>Fixtures &amp; MKT</t>
        </is>
      </c>
      <c r="B35" s="5" t="n"/>
      <c r="C35" s="5" t="n"/>
      <c r="D35" s="5" t="n"/>
      <c r="E35" s="5" t="n"/>
      <c r="F35" s="5" t="n"/>
      <c r="G35" s="5" t="n"/>
      <c r="H35" s="12" t="inlineStr">
        <is>
          <t>MUESTRAS REFLO</t>
        </is>
      </c>
      <c r="I35" s="12">
        <f t="array" ref="I35">_xlfn.XLOOKUP($H35,Criterios!$G$6:$G$200,Criterios!I$6:I$200,"")</f>
        <v/>
      </c>
      <c r="J35" s="12">
        <f t="array" ref="J35">_xlfn.XLOOKUP($H35,Criterios!$G$6:$G$200,Criterios!J$6:J$200,"")</f>
        <v/>
      </c>
    </row>
    <row r="36" ht="15.75" customHeight="1" s="176">
      <c r="A36" s="47" t="inlineStr">
        <is>
          <t>FULL MELI</t>
        </is>
      </c>
      <c r="B36" s="5" t="n"/>
      <c r="C36" s="5" t="n"/>
      <c r="D36" s="5" t="n"/>
      <c r="E36" s="5" t="n"/>
      <c r="F36" s="5" t="n"/>
      <c r="G36" s="5" t="n"/>
      <c r="H36" s="12" t="inlineStr">
        <is>
          <t>Nogales Store</t>
        </is>
      </c>
      <c r="I36" s="12">
        <f t="array" ref="I36">_xlfn.XLOOKUP($H36,Criterios!$G$6:$G$200,Criterios!I$6:I$200,"")</f>
        <v/>
      </c>
      <c r="J36" s="12">
        <f t="array" ref="J36">_xlfn.XLOOKUP($H36,Criterios!$G$6:$G$200,Criterios!J$6:J$200,"")</f>
        <v/>
      </c>
    </row>
    <row r="37" ht="15.75" customHeight="1" s="176">
      <c r="A37" s="47" t="inlineStr">
        <is>
          <t>G1522 Defectos</t>
        </is>
      </c>
      <c r="B37" s="5" t="n"/>
      <c r="C37" s="5" t="n"/>
      <c r="D37" s="5" t="n"/>
      <c r="E37" s="5" t="n"/>
      <c r="F37" s="5" t="n"/>
      <c r="G37" s="5" t="n"/>
      <c r="H37" s="12" t="inlineStr">
        <is>
          <t>Plaza del Sol Store</t>
        </is>
      </c>
      <c r="I37" s="12">
        <f t="array" ref="I37">_xlfn.XLOOKUP($H37,Criterios!$G$6:$G$200,Criterios!I$6:I$200,"")</f>
        <v/>
      </c>
      <c r="J37" s="12">
        <f t="array" ref="J37">_xlfn.XLOOKUP($H37,Criterios!$G$6:$G$200,Criterios!J$6:J$200,"")</f>
        <v/>
      </c>
    </row>
    <row r="38" ht="15.75" customHeight="1" s="176">
      <c r="A38" s="47" t="inlineStr">
        <is>
          <t>G1522 Lost</t>
        </is>
      </c>
      <c r="B38" s="5" t="n"/>
      <c r="C38" s="5" t="n"/>
      <c r="D38" s="5" t="n"/>
      <c r="E38" s="5" t="n"/>
      <c r="F38" s="5" t="n"/>
      <c r="G38" s="5" t="n"/>
      <c r="H38" s="12" t="inlineStr">
        <is>
          <t>POTRILLOS</t>
        </is>
      </c>
      <c r="I38" s="12">
        <f t="array" ref="I38">_xlfn.XLOOKUP($H38,Criterios!$G$6:$G$200,Criterios!I$6:I$200,"")</f>
        <v/>
      </c>
      <c r="J38" s="12">
        <f t="array" ref="J38">_xlfn.XLOOKUP($H38,Criterios!$G$6:$G$200,Criterios!J$6:J$200,"")</f>
        <v/>
      </c>
    </row>
    <row r="39" ht="15.75" customHeight="1" s="176">
      <c r="A39" s="47" t="inlineStr">
        <is>
          <t>G1522 QA Hold</t>
        </is>
      </c>
      <c r="B39" s="5" t="n"/>
      <c r="C39" s="5" t="n"/>
      <c r="D39" s="5" t="n"/>
      <c r="E39" s="5" t="n"/>
      <c r="F39" s="5" t="n"/>
      <c r="G39" s="5" t="n"/>
      <c r="H39" s="12" t="inlineStr">
        <is>
          <t>PRIVALIA</t>
        </is>
      </c>
      <c r="I39" s="12">
        <f t="array" ref="I39">_xlfn.XLOOKUP($H39,Criterios!$G$6:$G$200,Criterios!I$6:I$200,"")</f>
        <v/>
      </c>
      <c r="J39" s="12">
        <f t="array" ref="J39">_xlfn.XLOOKUP($H39,Criterios!$G$6:$G$200,Criterios!J$6:J$200,"")</f>
        <v/>
      </c>
    </row>
    <row r="40" ht="15.75" customHeight="1" s="176">
      <c r="A40" s="47" t="inlineStr">
        <is>
          <t>GENERAL</t>
        </is>
      </c>
      <c r="B40" s="5" t="n"/>
      <c r="C40" s="5" t="n"/>
      <c r="D40" s="5" t="n"/>
      <c r="E40" s="5" t="n"/>
      <c r="F40" s="5" t="n"/>
      <c r="G40" s="5" t="n"/>
      <c r="H40" s="12" t="inlineStr">
        <is>
          <t>PUNTO DE VENTA</t>
        </is>
      </c>
      <c r="I40" s="12">
        <f t="array" ref="I40">_xlfn.XLOOKUP($H40,Criterios!$G$6:$G$200,Criterios!I$6:I$200,"")</f>
        <v/>
      </c>
      <c r="J40" s="12">
        <f t="array" ref="J40">_xlfn.XLOOKUP($H40,Criterios!$G$6:$G$200,Criterios!J$6:J$200,"")</f>
        <v/>
      </c>
    </row>
    <row r="41" ht="15.75" customHeight="1" s="176">
      <c r="A41" s="47" t="inlineStr">
        <is>
          <t>HAPPY SOCKS</t>
        </is>
      </c>
      <c r="B41" s="5" t="n"/>
      <c r="C41" s="5" t="n"/>
      <c r="D41" s="5" t="n"/>
      <c r="E41" s="5" t="n"/>
      <c r="F41" s="5" t="n"/>
      <c r="G41" s="5" t="n"/>
      <c r="H41" s="12" t="inlineStr">
        <is>
          <t>Punto de venta HS</t>
        </is>
      </c>
      <c r="I41" s="12">
        <f t="array" ref="I41">_xlfn.XLOOKUP($H41,Criterios!$G$6:$G$200,Criterios!I$6:I$200,"")</f>
        <v/>
      </c>
      <c r="J41" s="12">
        <f t="array" ref="J41">_xlfn.XLOOKUP($H41,Criterios!$G$6:$G$200,Criterios!J$6:J$200,"")</f>
        <v/>
      </c>
    </row>
    <row r="42" ht="15.75" customHeight="1" s="176">
      <c r="A42" s="47" t="inlineStr">
        <is>
          <t>HS MERCADO LIBRE</t>
        </is>
      </c>
      <c r="B42" s="5" t="n"/>
      <c r="C42" s="5" t="n"/>
      <c r="D42" s="5" t="n"/>
      <c r="E42" s="5" t="n"/>
      <c r="F42" s="5" t="n"/>
      <c r="G42" s="5" t="n"/>
      <c r="H42" s="12" t="inlineStr">
        <is>
          <t>REFLO ALMACEN</t>
        </is>
      </c>
      <c r="I42" s="12">
        <f t="array" ref="I42">_xlfn.XLOOKUP($H42,Criterios!$G$6:$G$200,Criterios!I$6:I$200,"")</f>
        <v/>
      </c>
      <c r="J42" s="12">
        <f t="array" ref="J42">_xlfn.XLOOKUP($H42,Criterios!$G$6:$G$200,Criterios!J$6:J$200,"")</f>
        <v/>
      </c>
    </row>
    <row r="43" ht="15.75" customHeight="1" s="176">
      <c r="A43" s="47" t="inlineStr">
        <is>
          <t>KEY ACCOUNTS</t>
        </is>
      </c>
      <c r="B43" s="5" t="n"/>
      <c r="C43" s="5" t="n"/>
      <c r="D43" s="5" t="n"/>
      <c r="E43" s="5" t="n"/>
      <c r="F43" s="5" t="n"/>
      <c r="G43" s="5" t="n"/>
      <c r="H43" s="12" t="inlineStr">
        <is>
          <t>STETSON AMERICAS</t>
        </is>
      </c>
      <c r="I43" s="12">
        <f t="array" ref="I43">_xlfn.XLOOKUP($H43,Criterios!$G$6:$G$200,Criterios!I$6:I$200,"")</f>
        <v/>
      </c>
      <c r="J43" s="12">
        <f t="array" ref="J43">_xlfn.XLOOKUP($H43,Criterios!$G$6:$G$200,Criterios!J$6:J$200,"")</f>
        <v/>
      </c>
    </row>
    <row r="44" ht="15.75" customHeight="1" s="176">
      <c r="A44" s="47" t="inlineStr">
        <is>
          <t>LIVERPOOL MKP</t>
        </is>
      </c>
      <c r="B44" s="5" t="n"/>
      <c r="C44" s="5" t="n"/>
      <c r="D44" s="5" t="n"/>
      <c r="E44" s="5" t="n"/>
      <c r="F44" s="5" t="n"/>
      <c r="G44" s="5" t="n"/>
      <c r="H44" s="12" t="inlineStr">
        <is>
          <t>The Hat Club</t>
        </is>
      </c>
      <c r="I44" s="12">
        <f t="array" ref="I44">_xlfn.XLOOKUP($H44,Criterios!$G$6:$G$200,Criterios!I$6:I$200,"")</f>
        <v/>
      </c>
      <c r="J44" s="12">
        <f t="array" ref="J44">_xlfn.XLOOKUP($H44,Criterios!$G$6:$G$200,Criterios!J$6:J$200,"")</f>
        <v/>
      </c>
    </row>
    <row r="45" ht="15.75" customHeight="1" s="176">
      <c r="A45" s="47" t="inlineStr">
        <is>
          <t>Mercado libre</t>
        </is>
      </c>
      <c r="B45" s="5" t="n"/>
      <c r="C45" s="5" t="n"/>
      <c r="D45" s="5" t="n"/>
      <c r="E45" s="5" t="n"/>
      <c r="F45" s="5" t="n"/>
      <c r="G45" s="5" t="n"/>
      <c r="H45" s="12" t="inlineStr">
        <is>
          <t>VENTAS CAMPAÑA</t>
        </is>
      </c>
      <c r="I45" s="12">
        <f t="array" ref="I45">_xlfn.XLOOKUP($H45,Criterios!$G$6:$G$200,Criterios!I$6:I$200,"")</f>
        <v/>
      </c>
      <c r="J45" s="12">
        <f t="array" ref="J45">_xlfn.XLOOKUP($H45,Criterios!$G$6:$G$200,Criterios!J$6:J$200,"")</f>
        <v/>
      </c>
    </row>
    <row r="46" ht="15.75" customHeight="1" s="176">
      <c r="A46" s="47" t="inlineStr">
        <is>
          <t>MUESTRAS &amp; EXPO</t>
        </is>
      </c>
      <c r="B46" s="5" t="n"/>
      <c r="C46" s="5" t="n"/>
      <c r="D46" s="5" t="n"/>
      <c r="E46" s="5" t="n"/>
      <c r="F46" s="5" t="n"/>
      <c r="G46" s="5" t="n"/>
      <c r="H46" s="12" t="inlineStr">
        <is>
          <t>WB FORUM TLAQUEPAQUE</t>
        </is>
      </c>
      <c r="I46" s="12">
        <f t="array" ref="I46">_xlfn.XLOOKUP($H46,Criterios!$G$6:$G$200,Criterios!I$6:I$200,"")</f>
        <v/>
      </c>
      <c r="J46" s="12">
        <f t="array" ref="J46">_xlfn.XLOOKUP($H46,Criterios!$G$6:$G$200,Criterios!J$6:J$200,"")</f>
        <v/>
      </c>
    </row>
    <row r="47" ht="15.75" customHeight="1" s="176">
      <c r="A47" s="47" t="inlineStr">
        <is>
          <t>MUESTRAS REFLO</t>
        </is>
      </c>
      <c r="B47" s="5" t="n"/>
      <c r="C47" s="5" t="n"/>
      <c r="D47" s="5" t="n"/>
      <c r="E47" s="5" t="n"/>
      <c r="F47" s="5" t="n"/>
      <c r="G47" s="5" t="n"/>
      <c r="H47" s="12" t="inlineStr">
        <is>
          <t>WB OUTLET LERMA</t>
        </is>
      </c>
      <c r="I47" s="12">
        <f t="array" ref="I47">_xlfn.XLOOKUP($H47,Criterios!$G$6:$G$200,Criterios!I$6:I$200,"")</f>
        <v/>
      </c>
      <c r="J47" s="12">
        <f t="array" ref="J47">_xlfn.XLOOKUP($H47,Criterios!$G$6:$G$200,Criterios!J$6:J$200,"")</f>
        <v/>
      </c>
    </row>
    <row r="48" ht="15.75" customHeight="1" s="176">
      <c r="A48" s="47" t="inlineStr">
        <is>
          <t>Nogales Store</t>
        </is>
      </c>
      <c r="B48" s="5" t="n"/>
      <c r="C48" s="5" t="n"/>
      <c r="D48" s="5" t="n"/>
      <c r="E48" s="5" t="n"/>
      <c r="F48" s="5" t="n"/>
      <c r="G48" s="5" t="n"/>
      <c r="H48" s="12" t="inlineStr">
        <is>
          <t>Web</t>
        </is>
      </c>
      <c r="I48" s="12">
        <f t="array" ref="I48">_xlfn.XLOOKUP($H48,Criterios!$G$6:$G$200,Criterios!I$6:I$200,"")</f>
        <v/>
      </c>
      <c r="J48" s="12">
        <f t="array" ref="J48">_xlfn.XLOOKUP($H48,Criterios!$G$6:$G$200,Criterios!J$6:J$200,"")</f>
        <v/>
      </c>
    </row>
    <row r="49" ht="15.75" customHeight="1" s="176">
      <c r="A49" s="47" t="inlineStr">
        <is>
          <t>Plaza del Sol Store</t>
        </is>
      </c>
      <c r="B49" s="5" t="n"/>
      <c r="C49" s="5" t="n"/>
      <c r="D49" s="5" t="n"/>
      <c r="E49" s="5" t="n"/>
      <c r="F49" s="5" t="n"/>
      <c r="G49" s="5" t="n"/>
      <c r="H49" s="12" t="inlineStr">
        <is>
          <t>WEB</t>
        </is>
      </c>
      <c r="I49" s="12">
        <f t="array" ref="I49">_xlfn.XLOOKUP($H49,Criterios!$G$6:$G$200,Criterios!I$6:I$200,"")</f>
        <v/>
      </c>
      <c r="J49" s="12">
        <f t="array" ref="J49">_xlfn.XLOOKUP($H49,Criterios!$G$6:$G$200,Criterios!J$6:J$200,"")</f>
        <v/>
      </c>
    </row>
    <row r="50" ht="15.75" customHeight="1" s="176">
      <c r="A50" s="47" t="inlineStr">
        <is>
          <t>POTRILLOS</t>
        </is>
      </c>
      <c r="B50" s="5" t="n"/>
      <c r="C50" s="5" t="n"/>
      <c r="D50" s="5" t="n"/>
      <c r="E50" s="5" t="n"/>
      <c r="F50" s="5" t="n"/>
      <c r="G50" s="5" t="n"/>
      <c r="H50" s="12" t="inlineStr">
        <is>
          <t>ZONA NORTE</t>
        </is>
      </c>
      <c r="I50" s="12">
        <f t="array" ref="I50">_xlfn.XLOOKUP($H50,Criterios!$G$6:$G$200,Criterios!I$6:I$200,"")</f>
        <v/>
      </c>
      <c r="J50" s="12">
        <f t="array" ref="J50">_xlfn.XLOOKUP($H50,Criterios!$G$6:$G$200,Criterios!J$6:J$200,"")</f>
        <v/>
      </c>
    </row>
    <row r="51" ht="15.75" customHeight="1" s="176">
      <c r="A51" s="47" t="inlineStr">
        <is>
          <t>PRIVALIA</t>
        </is>
      </c>
      <c r="B51" s="5" t="n"/>
      <c r="C51" s="5" t="n"/>
      <c r="D51" s="5" t="n"/>
      <c r="E51" s="5" t="n"/>
      <c r="F51" s="5" t="n"/>
      <c r="G51" s="5" t="n"/>
      <c r="H51" s="12" t="inlineStr">
        <is>
          <t>ZONA POS</t>
        </is>
      </c>
      <c r="I51" s="12">
        <f t="array" ref="I51">_xlfn.XLOOKUP($H51,Criterios!$G$6:$G$200,Criterios!I$6:I$200,"")</f>
        <v/>
      </c>
      <c r="J51" s="12">
        <f t="array" ref="J51">_xlfn.XLOOKUP($H51,Criterios!$G$6:$G$200,Criterios!J$6:J$200,"")</f>
        <v/>
      </c>
    </row>
    <row r="52" ht="15.75" customHeight="1" s="176">
      <c r="A52" s="47" t="inlineStr">
        <is>
          <t>PUNTO DE VENTA</t>
        </is>
      </c>
      <c r="B52" s="5" t="n"/>
      <c r="C52" s="5" t="n"/>
      <c r="D52" s="5" t="n"/>
      <c r="E52" s="5" t="n"/>
      <c r="F52" s="5" t="n"/>
      <c r="G52" s="5" t="n"/>
      <c r="H52" s="12" t="inlineStr">
        <is>
          <t>ZONA SUR</t>
        </is>
      </c>
      <c r="I52" s="12">
        <f t="array" ref="I52">_xlfn.XLOOKUP($H52,Criterios!$G$6:$G$200,Criterios!I$6:I$200,"")</f>
        <v/>
      </c>
      <c r="J52" s="12">
        <f t="array" ref="J52">_xlfn.XLOOKUP($H52,Criterios!$G$6:$G$200,Criterios!J$6:J$200,"")</f>
        <v/>
      </c>
    </row>
    <row r="53" ht="15.75" customHeight="1" s="176">
      <c r="A53" s="47" t="inlineStr">
        <is>
          <t>Punto de venta HS</t>
        </is>
      </c>
      <c r="B53" s="5" t="n"/>
      <c r="C53" s="5" t="n"/>
      <c r="D53" s="5" t="n"/>
      <c r="E53" s="5" t="n"/>
      <c r="F53" s="5" t="n"/>
      <c r="G53" s="5" t="n"/>
      <c r="H53" s="5" t="n"/>
      <c r="I53" s="5" t="n"/>
      <c r="J53" s="5" t="n"/>
    </row>
    <row r="54" ht="15.75" customHeight="1" s="176">
      <c r="A54" s="47" t="inlineStr">
        <is>
          <t>REFLO ALMACEN</t>
        </is>
      </c>
      <c r="B54" s="5" t="n"/>
      <c r="C54" s="5" t="n"/>
      <c r="D54" s="5" t="n"/>
      <c r="E54" s="5" t="n"/>
      <c r="F54" s="5" t="n"/>
      <c r="G54" s="5" t="n"/>
      <c r="H54" s="5" t="n"/>
      <c r="I54" s="5" t="n"/>
      <c r="J54" s="5" t="n"/>
    </row>
    <row r="55" ht="15.75" customHeight="1" s="176">
      <c r="A55" s="47" t="inlineStr">
        <is>
          <t>STETSON AMERICAS</t>
        </is>
      </c>
      <c r="B55" s="5" t="n"/>
      <c r="C55" s="5" t="n"/>
      <c r="D55" s="5" t="n"/>
      <c r="E55" s="5" t="n"/>
      <c r="F55" s="5" t="n"/>
      <c r="G55" s="5" t="n"/>
      <c r="H55" s="5" t="n"/>
      <c r="I55" s="5" t="n"/>
      <c r="J55" s="5" t="n"/>
    </row>
    <row r="56" ht="15.75" customHeight="1" s="176">
      <c r="A56" s="47" t="inlineStr">
        <is>
          <t>The Hat Club</t>
        </is>
      </c>
      <c r="B56" s="5" t="n"/>
      <c r="C56" s="5" t="n"/>
      <c r="D56" s="5" t="n"/>
      <c r="E56" s="5" t="n"/>
      <c r="F56" s="5" t="n"/>
      <c r="G56" s="5" t="n"/>
      <c r="H56" s="5" t="n"/>
      <c r="I56" s="5" t="n"/>
      <c r="J56" s="5" t="n"/>
    </row>
    <row r="57" ht="15.75" customHeight="1" s="176">
      <c r="A57" s="47" t="inlineStr">
        <is>
          <t>VENTAS CAMPAÑA</t>
        </is>
      </c>
      <c r="B57" s="5" t="n"/>
      <c r="C57" s="5" t="n"/>
      <c r="D57" s="5" t="n"/>
      <c r="E57" s="5" t="n"/>
      <c r="F57" s="5" t="n"/>
      <c r="G57" s="5" t="n"/>
      <c r="H57" s="5" t="n"/>
      <c r="I57" s="5" t="n"/>
      <c r="J57" s="5" t="n"/>
    </row>
    <row r="58" ht="15.75" customHeight="1" s="176">
      <c r="A58" s="47" t="inlineStr">
        <is>
          <t>WB FORUM TLAQUEPAQUE</t>
        </is>
      </c>
      <c r="B58" s="5" t="n"/>
      <c r="C58" s="5" t="n"/>
      <c r="D58" s="5" t="n"/>
      <c r="E58" s="5" t="n"/>
      <c r="F58" s="5" t="n"/>
      <c r="G58" s="5" t="n"/>
      <c r="H58" s="5" t="n"/>
      <c r="I58" s="5" t="n"/>
      <c r="J58" s="5" t="n"/>
    </row>
    <row r="59" ht="15.75" customHeight="1" s="176">
      <c r="A59" s="47" t="inlineStr">
        <is>
          <t>WB OUTLET LERMA</t>
        </is>
      </c>
      <c r="B59" s="5" t="n"/>
      <c r="C59" s="5" t="n"/>
      <c r="D59" s="5" t="n"/>
      <c r="E59" s="5" t="n"/>
      <c r="F59" s="5" t="n"/>
      <c r="G59" s="5" t="n"/>
      <c r="H59" s="5" t="n"/>
      <c r="I59" s="5" t="n"/>
      <c r="J59" s="5" t="n"/>
    </row>
    <row r="60" ht="15.75" customHeight="1" s="176">
      <c r="A60" s="47" t="inlineStr">
        <is>
          <t>Web</t>
        </is>
      </c>
      <c r="B60" s="5" t="n"/>
      <c r="C60" s="5" t="n"/>
      <c r="D60" s="5" t="n"/>
      <c r="E60" s="5" t="n"/>
      <c r="F60" s="5" t="n"/>
      <c r="G60" s="5" t="n"/>
      <c r="H60" s="5" t="n"/>
      <c r="I60" s="5" t="n"/>
      <c r="J60" s="5" t="n"/>
    </row>
    <row r="61" ht="15.75" customHeight="1" s="176">
      <c r="A61" s="47" t="inlineStr">
        <is>
          <t>WEB</t>
        </is>
      </c>
      <c r="B61" s="5" t="n"/>
      <c r="C61" s="5" t="n"/>
      <c r="D61" s="5" t="n"/>
      <c r="E61" s="5" t="n"/>
      <c r="F61" s="5" t="n"/>
      <c r="G61" s="5" t="n"/>
      <c r="H61" s="5" t="n"/>
      <c r="I61" s="5" t="n"/>
      <c r="J61" s="5" t="n"/>
    </row>
    <row r="62" ht="15.75" customHeight="1" s="176">
      <c r="A62" s="47" t="inlineStr">
        <is>
          <t>ZONA NORTE</t>
        </is>
      </c>
      <c r="B62" s="5" t="n"/>
      <c r="C62" s="5" t="n"/>
      <c r="D62" s="5" t="n"/>
      <c r="E62" s="5" t="n"/>
      <c r="F62" s="5" t="n"/>
      <c r="G62" s="5" t="n"/>
      <c r="H62" s="5" t="n"/>
      <c r="I62" s="5" t="n"/>
      <c r="J62" s="5" t="n"/>
    </row>
    <row r="63" ht="15.75" customHeight="1" s="176">
      <c r="A63" s="47" t="inlineStr">
        <is>
          <t>ZONA POS</t>
        </is>
      </c>
      <c r="B63" s="5" t="n"/>
      <c r="C63" s="5" t="n"/>
      <c r="D63" s="5" t="n"/>
      <c r="E63" s="5" t="n"/>
      <c r="F63" s="5" t="n"/>
      <c r="G63" s="5" t="n"/>
      <c r="H63" s="5" t="n"/>
      <c r="I63" s="5" t="n"/>
      <c r="J63" s="5" t="n"/>
    </row>
    <row r="64" ht="15.75" customHeight="1" s="176">
      <c r="A64" s="47" t="inlineStr">
        <is>
          <t>ZONA SUR</t>
        </is>
      </c>
      <c r="B64" s="5" t="n"/>
      <c r="C64" s="5" t="n"/>
      <c r="D64" s="5" t="n"/>
      <c r="E64" s="5" t="n"/>
      <c r="F64" s="5" t="n"/>
      <c r="G64" s="5" t="n"/>
      <c r="H64" s="5" t="n"/>
      <c r="I64" s="5" t="n"/>
      <c r="J64" s="5" t="n"/>
    </row>
    <row r="65" ht="15.75" customHeight="1" s="176"/>
    <row r="66" ht="15.75" customHeight="1" s="176"/>
    <row r="67" ht="15.75" customHeight="1" s="176"/>
    <row r="68" ht="15.75" customHeight="1" s="176"/>
    <row r="69" ht="15.75" customHeight="1" s="176"/>
    <row r="70" ht="15.75" customHeight="1" s="176"/>
    <row r="71" ht="15.75" customHeight="1" s="176"/>
    <row r="72" ht="15.75" customHeight="1" s="176"/>
    <row r="73" ht="15.75" customHeight="1" s="176"/>
    <row r="74" ht="15.75" customHeight="1" s="176"/>
    <row r="75" ht="15.75" customHeight="1" s="176"/>
    <row r="76" ht="15.75" customHeight="1" s="176"/>
    <row r="77" ht="15.75" customHeight="1" s="176"/>
    <row r="78" ht="15.75" customHeight="1" s="176"/>
    <row r="79" ht="15.75" customHeight="1" s="176"/>
    <row r="80" ht="15.75" customHeight="1" s="176"/>
    <row r="81" ht="15.75" customHeight="1" s="176"/>
    <row r="82" ht="15.75" customHeight="1" s="176"/>
    <row r="83" ht="15.75" customHeight="1" s="176"/>
    <row r="84" ht="15.75" customHeight="1" s="176"/>
    <row r="85" ht="15.75" customHeight="1" s="176"/>
    <row r="86" ht="15.75" customHeight="1" s="176"/>
    <row r="87" ht="15.75" customHeight="1" s="176"/>
    <row r="88" ht="15.75" customHeight="1" s="176"/>
    <row r="89" ht="15.75" customHeight="1" s="176"/>
    <row r="90" ht="15.75" customHeight="1" s="176"/>
    <row r="91" ht="15.75" customHeight="1" s="176"/>
    <row r="92" ht="15.75" customHeight="1" s="176"/>
    <row r="93" ht="15.75" customHeight="1" s="176"/>
    <row r="94" ht="15.75" customHeight="1" s="176"/>
    <row r="95" ht="15.75" customHeight="1" s="176"/>
    <row r="96" ht="15.75" customHeight="1" s="176"/>
    <row r="97" ht="15.75" customHeight="1" s="176"/>
    <row r="98" ht="15.75" customHeight="1" s="176"/>
    <row r="99" ht="15.75" customHeight="1" s="176"/>
    <row r="100" ht="15.75" customHeight="1" s="176"/>
    <row r="101" ht="15.75" customHeight="1" s="176"/>
    <row r="102" ht="15.75" customHeight="1" s="176"/>
    <row r="103" ht="15.75" customHeight="1" s="176"/>
    <row r="104" ht="15.75" customHeight="1" s="176"/>
    <row r="105" ht="15.75" customHeight="1" s="176"/>
    <row r="106" ht="15.75" customHeight="1" s="176"/>
    <row r="107" ht="15.75" customHeight="1" s="176"/>
    <row r="108" ht="15.75" customHeight="1" s="176"/>
    <row r="109" ht="15.75" customHeight="1" s="176"/>
    <row r="110" ht="15.75" customHeight="1" s="176"/>
    <row r="111" ht="15.75" customHeight="1" s="176"/>
    <row r="112" ht="15.75" customHeight="1" s="176"/>
    <row r="113" ht="15.75" customHeight="1" s="176"/>
    <row r="114" ht="15.75" customHeight="1" s="176"/>
    <row r="115" ht="15.75" customHeight="1" s="176"/>
    <row r="116" ht="15.75" customHeight="1" s="176"/>
    <row r="117" ht="15.75" customHeight="1" s="176"/>
    <row r="118" ht="15.75" customHeight="1" s="176"/>
    <row r="119" ht="15.75" customHeight="1" s="176"/>
    <row r="120" ht="15.75" customHeight="1" s="176"/>
    <row r="121" ht="15.75" customHeight="1" s="176"/>
    <row r="122" ht="15.75" customHeight="1" s="176"/>
    <row r="123" ht="15.75" customHeight="1" s="176"/>
    <row r="124" ht="15.75" customHeight="1" s="176"/>
    <row r="125" ht="15.75" customHeight="1" s="176"/>
    <row r="126" ht="15.75" customHeight="1" s="176"/>
    <row r="127" ht="15.75" customHeight="1" s="176"/>
    <row r="128" ht="15.75" customHeight="1" s="176"/>
    <row r="129" ht="15.75" customHeight="1" s="176"/>
    <row r="130" ht="15.75" customHeight="1" s="176"/>
    <row r="131" ht="15.75" customHeight="1" s="176"/>
    <row r="132" ht="15.75" customHeight="1" s="176"/>
    <row r="133" ht="15.75" customHeight="1" s="176"/>
    <row r="134" ht="15.75" customHeight="1" s="176"/>
    <row r="135" ht="15.75" customHeight="1" s="176"/>
    <row r="136" ht="15.75" customHeight="1" s="176"/>
    <row r="137" ht="15.75" customHeight="1" s="176"/>
    <row r="138" ht="15.75" customHeight="1" s="176"/>
    <row r="139" ht="15.75" customHeight="1" s="176"/>
    <row r="140" ht="15.75" customHeight="1" s="176"/>
    <row r="141" ht="15.75" customHeight="1" s="176"/>
    <row r="142" ht="15.75" customHeight="1" s="176"/>
    <row r="143" ht="15.75" customHeight="1" s="176"/>
    <row r="144" ht="15.75" customHeight="1" s="176"/>
    <row r="145" ht="15.75" customHeight="1" s="176"/>
    <row r="146" ht="15.75" customHeight="1" s="176"/>
    <row r="147" ht="15.75" customHeight="1" s="176"/>
    <row r="148" ht="15.75" customHeight="1" s="176"/>
    <row r="149" ht="15.75" customHeight="1" s="176"/>
    <row r="150" ht="15.75" customHeight="1" s="176"/>
    <row r="151" ht="15.75" customHeight="1" s="176"/>
    <row r="152" ht="15.75" customHeight="1" s="176"/>
    <row r="153" ht="15.75" customHeight="1" s="176"/>
    <row r="154" ht="15.75" customHeight="1" s="176"/>
    <row r="155" ht="15.75" customHeight="1" s="176"/>
    <row r="156" ht="15.75" customHeight="1" s="176"/>
    <row r="157" ht="15.75" customHeight="1" s="176"/>
    <row r="158" ht="15.75" customHeight="1" s="176"/>
    <row r="159" ht="15.75" customHeight="1" s="176"/>
    <row r="160" ht="15.75" customHeight="1" s="176"/>
    <row r="161" ht="15.75" customHeight="1" s="176"/>
    <row r="162" ht="15.75" customHeight="1" s="176"/>
    <row r="163" ht="15.75" customHeight="1" s="176"/>
    <row r="164" ht="15.75" customHeight="1" s="176"/>
    <row r="165" ht="15.75" customHeight="1" s="176"/>
    <row r="166" ht="15.75" customHeight="1" s="176"/>
    <row r="167" ht="15.75" customHeight="1" s="176"/>
    <row r="168" ht="15.75" customHeight="1" s="176"/>
    <row r="169" ht="15.75" customHeight="1" s="176"/>
    <row r="170" ht="15.75" customHeight="1" s="176"/>
    <row r="171" ht="15.75" customHeight="1" s="176"/>
    <row r="172" ht="15.75" customHeight="1" s="176"/>
    <row r="173" ht="15.75" customHeight="1" s="176"/>
    <row r="174" ht="15.75" customHeight="1" s="176"/>
    <row r="175" ht="15.75" customHeight="1" s="176"/>
    <row r="176" ht="15.75" customHeight="1" s="176"/>
    <row r="177" ht="15.75" customHeight="1" s="176"/>
    <row r="178" ht="15.75" customHeight="1" s="176"/>
    <row r="179" ht="15.75" customHeight="1" s="176"/>
    <row r="180" ht="15.75" customHeight="1" s="176"/>
    <row r="181" ht="15.75" customHeight="1" s="176"/>
    <row r="182" ht="15.75" customHeight="1" s="176"/>
    <row r="183" ht="15.75" customHeight="1" s="176"/>
    <row r="184" ht="15.75" customHeight="1" s="176"/>
    <row r="185" ht="15.75" customHeight="1" s="176"/>
    <row r="186" ht="15.75" customHeight="1" s="176"/>
    <row r="187" ht="15.75" customHeight="1" s="176"/>
    <row r="188" ht="15.75" customHeight="1" s="176"/>
    <row r="189" ht="15.75" customHeight="1" s="176"/>
    <row r="190" ht="15.75" customHeight="1" s="176"/>
    <row r="191" ht="15.75" customHeight="1" s="176"/>
    <row r="192" ht="15.75" customHeight="1" s="176"/>
    <row r="193" ht="15.75" customHeight="1" s="176"/>
    <row r="194" ht="15.75" customHeight="1" s="176"/>
    <row r="195" ht="15.75" customHeight="1" s="176"/>
    <row r="196" ht="15.75" customHeight="1" s="176"/>
    <row r="197" ht="15.75" customHeight="1" s="176"/>
    <row r="198" ht="15.75" customHeight="1" s="176"/>
    <row r="199" ht="15.75" customHeight="1" s="176"/>
    <row r="200" ht="15.75" customHeight="1" s="176"/>
    <row r="201" ht="15.75" customHeight="1" s="176"/>
    <row r="202" ht="15.75" customHeight="1" s="176"/>
    <row r="203" ht="15.75" customHeight="1" s="176"/>
    <row r="204" ht="15.75" customHeight="1" s="176"/>
    <row r="205" ht="15.75" customHeight="1" s="176"/>
    <row r="206" ht="15.75" customHeight="1" s="176"/>
    <row r="207" ht="15.75" customHeight="1" s="176"/>
    <row r="208" ht="15.75" customHeight="1" s="176"/>
    <row r="209" ht="15.75" customHeight="1" s="176"/>
    <row r="210" ht="15.75" customHeight="1" s="176"/>
    <row r="211" ht="15.75" customHeight="1" s="176"/>
    <row r="212" ht="15.75" customHeight="1" s="176"/>
    <row r="213" ht="15.75" customHeight="1" s="176"/>
    <row r="214" ht="15.75" customHeight="1" s="176"/>
    <row r="215" ht="15.75" customHeight="1" s="176"/>
    <row r="216" ht="15.75" customHeight="1" s="176"/>
    <row r="217" ht="15.75" customHeight="1" s="176"/>
    <row r="218" ht="15.75" customHeight="1" s="176"/>
    <row r="219" ht="15.75" customHeight="1" s="176"/>
    <row r="220" ht="15.75" customHeight="1" s="176"/>
    <row r="221" ht="15.75" customHeight="1" s="176"/>
    <row r="222" ht="15.75" customHeight="1" s="176"/>
    <row r="223" ht="15.75" customHeight="1" s="176"/>
    <row r="224" ht="15.75" customHeight="1" s="176"/>
    <row r="225" ht="15.75" customHeight="1" s="176"/>
    <row r="226" ht="15.75" customHeight="1" s="176"/>
    <row r="227" ht="15.75" customHeight="1" s="176"/>
    <row r="228" ht="15.75" customHeight="1" s="176"/>
    <row r="229" ht="15.75" customHeight="1" s="176"/>
    <row r="230" ht="15.75" customHeight="1" s="176"/>
    <row r="231" ht="15.75" customHeight="1" s="176"/>
    <row r="232" ht="15.75" customHeight="1" s="176"/>
    <row r="233" ht="15.75" customHeight="1" s="176"/>
    <row r="234" ht="15.75" customHeight="1" s="176"/>
    <row r="235" ht="15.75" customHeight="1" s="176"/>
    <row r="236" ht="15.75" customHeight="1" s="176"/>
    <row r="237" ht="15.75" customHeight="1" s="176"/>
    <row r="238" ht="15.75" customHeight="1" s="176"/>
    <row r="239" ht="15.75" customHeight="1" s="176"/>
    <row r="240" ht="15.75" customHeight="1" s="176"/>
    <row r="241" ht="15.75" customHeight="1" s="176"/>
    <row r="242" ht="15.75" customHeight="1" s="176"/>
    <row r="243" ht="15.75" customHeight="1" s="176"/>
    <row r="244" ht="15.75" customHeight="1" s="176"/>
    <row r="245" ht="15.75" customHeight="1" s="176"/>
    <row r="246" ht="15.75" customHeight="1" s="176"/>
    <row r="247" ht="15.75" customHeight="1" s="176"/>
    <row r="248" ht="15.75" customHeight="1" s="176"/>
    <row r="249" ht="15.75" customHeight="1" s="176"/>
    <row r="250" ht="15.75" customHeight="1" s="176"/>
    <row r="251" ht="15.75" customHeight="1" s="176"/>
    <row r="252" ht="15.75" customHeight="1" s="176"/>
    <row r="253" ht="15.75" customHeight="1" s="176"/>
    <row r="254" ht="15.75" customHeight="1" s="176"/>
    <row r="255" ht="15.75" customHeight="1" s="176"/>
    <row r="256" ht="15.75" customHeight="1" s="176"/>
    <row r="257" ht="15.75" customHeight="1" s="176"/>
    <row r="258" ht="15.75" customHeight="1" s="176"/>
    <row r="259" ht="15.75" customHeight="1" s="176"/>
    <row r="260" ht="15.75" customHeight="1" s="176"/>
    <row r="261" ht="15.75" customHeight="1" s="176"/>
    <row r="262" ht="15.75" customHeight="1" s="176"/>
    <row r="263" ht="15.75" customHeight="1" s="176"/>
    <row r="264" ht="15.75" customHeight="1" s="176"/>
    <row r="265" ht="15.75" customHeight="1" s="176"/>
    <row r="266" ht="15.75" customHeight="1" s="176"/>
    <row r="267" ht="15.75" customHeight="1" s="176"/>
    <row r="268" ht="15.75" customHeight="1" s="176"/>
    <row r="269" ht="15.75" customHeight="1" s="176"/>
    <row r="270" ht="15.75" customHeight="1" s="176"/>
    <row r="271" ht="15.75" customHeight="1" s="176"/>
    <row r="272" ht="15.75" customHeight="1" s="176"/>
    <row r="273" ht="15.75" customHeight="1" s="176"/>
    <row r="274" ht="15.75" customHeight="1" s="176"/>
    <row r="275" ht="15.75" customHeight="1" s="176"/>
    <row r="276" ht="15.75" customHeight="1" s="176"/>
    <row r="277" ht="15.75" customHeight="1" s="176"/>
    <row r="278" ht="15.75" customHeight="1" s="176"/>
    <row r="279" ht="15.75" customHeight="1" s="176"/>
    <row r="280" ht="15.75" customHeight="1" s="176"/>
    <row r="281" ht="15.75" customHeight="1" s="176"/>
    <row r="282" ht="15.75" customHeight="1" s="176"/>
    <row r="283" ht="15.75" customHeight="1" s="176"/>
    <row r="284" ht="15.75" customHeight="1" s="176"/>
    <row r="285" ht="15.75" customHeight="1" s="176"/>
    <row r="286" ht="15.75" customHeight="1" s="176"/>
    <row r="287" ht="15.75" customHeight="1" s="176"/>
    <row r="288" ht="15.75" customHeight="1" s="176"/>
    <row r="289" ht="15.75" customHeight="1" s="176"/>
    <row r="290" ht="15.75" customHeight="1" s="176"/>
    <row r="291" ht="15.75" customHeight="1" s="176"/>
    <row r="292" ht="15.75" customHeight="1" s="176"/>
    <row r="293" ht="15.75" customHeight="1" s="176"/>
    <row r="294" ht="15.75" customHeight="1" s="176"/>
    <row r="295" ht="15.75" customHeight="1" s="176"/>
    <row r="296" ht="15.75" customHeight="1" s="176"/>
    <row r="297" ht="15.75" customHeight="1" s="176"/>
    <row r="298" ht="15.75" customHeight="1" s="176"/>
    <row r="299" ht="15.75" customHeight="1" s="176"/>
    <row r="300" ht="15.75" customHeight="1" s="176"/>
    <row r="301" ht="15.75" customHeight="1" s="176"/>
    <row r="302" ht="15.75" customHeight="1" s="176"/>
    <row r="303" ht="15.75" customHeight="1" s="176"/>
    <row r="304" ht="15.75" customHeight="1" s="176"/>
    <row r="305" ht="15.75" customHeight="1" s="176"/>
    <row r="306" ht="15.75" customHeight="1" s="176"/>
    <row r="307" ht="15.75" customHeight="1" s="176"/>
    <row r="308" ht="15.75" customHeight="1" s="176"/>
    <row r="309" ht="15.75" customHeight="1" s="176"/>
    <row r="310" ht="15.75" customHeight="1" s="176"/>
    <row r="311" ht="15.75" customHeight="1" s="176"/>
    <row r="312" ht="15.75" customHeight="1" s="176"/>
    <row r="313" ht="15.75" customHeight="1" s="176"/>
    <row r="314" ht="15.75" customHeight="1" s="176"/>
    <row r="315" ht="15.75" customHeight="1" s="176"/>
    <row r="316" ht="15.75" customHeight="1" s="176"/>
    <row r="317" ht="15.75" customHeight="1" s="176"/>
    <row r="318" ht="15.75" customHeight="1" s="176"/>
    <row r="319" ht="15.75" customHeight="1" s="176"/>
    <row r="320" ht="15.75" customHeight="1" s="176"/>
    <row r="321" ht="15.75" customHeight="1" s="176"/>
    <row r="322" ht="15.75" customHeight="1" s="176"/>
    <row r="323" ht="15.75" customHeight="1" s="176"/>
    <row r="324" ht="15.75" customHeight="1" s="176"/>
    <row r="325" ht="15.75" customHeight="1" s="176"/>
    <row r="326" ht="15.75" customHeight="1" s="176"/>
    <row r="327" ht="15.75" customHeight="1" s="176"/>
    <row r="328" ht="15.75" customHeight="1" s="176"/>
    <row r="329" ht="15.75" customHeight="1" s="176"/>
    <row r="330" ht="15.75" customHeight="1" s="176"/>
    <row r="331" ht="15.75" customHeight="1" s="176"/>
    <row r="332" ht="15.75" customHeight="1" s="176"/>
    <row r="333" ht="15.75" customHeight="1" s="176"/>
    <row r="334" ht="15.75" customHeight="1" s="176"/>
    <row r="335" ht="15.75" customHeight="1" s="176"/>
    <row r="336" ht="15.75" customHeight="1" s="176"/>
    <row r="337" ht="15.75" customHeight="1" s="176"/>
    <row r="338" ht="15.75" customHeight="1" s="176"/>
    <row r="339" ht="15.75" customHeight="1" s="176"/>
    <row r="340" ht="15.75" customHeight="1" s="176"/>
    <row r="341" ht="15.75" customHeight="1" s="176"/>
    <row r="342" ht="15.75" customHeight="1" s="176"/>
    <row r="343" ht="15.75" customHeight="1" s="176"/>
    <row r="344" ht="15.75" customHeight="1" s="176"/>
    <row r="345" ht="15.75" customHeight="1" s="176"/>
    <row r="346" ht="15.75" customHeight="1" s="176"/>
    <row r="347" ht="15.75" customHeight="1" s="176"/>
    <row r="348" ht="15.75" customHeight="1" s="176"/>
    <row r="349" ht="15.75" customHeight="1" s="176"/>
    <row r="350" ht="15.75" customHeight="1" s="176"/>
    <row r="351" ht="15.75" customHeight="1" s="176"/>
    <row r="352" ht="15.75" customHeight="1" s="176"/>
    <row r="353" ht="15.75" customHeight="1" s="176"/>
    <row r="354" ht="15.75" customHeight="1" s="176"/>
    <row r="355" ht="15.75" customHeight="1" s="176"/>
    <row r="356" ht="15.75" customHeight="1" s="176"/>
    <row r="357" ht="15.75" customHeight="1" s="176"/>
    <row r="358" ht="15.75" customHeight="1" s="176"/>
    <row r="359" ht="15.75" customHeight="1" s="176"/>
    <row r="360" ht="15.75" customHeight="1" s="176"/>
    <row r="361" ht="15.75" customHeight="1" s="176"/>
    <row r="362" ht="15.75" customHeight="1" s="176"/>
    <row r="363" ht="15.75" customHeight="1" s="176"/>
    <row r="364" ht="15.75" customHeight="1" s="176"/>
    <row r="365" ht="15.75" customHeight="1" s="176"/>
    <row r="366" ht="15.75" customHeight="1" s="176"/>
    <row r="367" ht="15.75" customHeight="1" s="176"/>
    <row r="368" ht="15.75" customHeight="1" s="176"/>
    <row r="369" ht="15.75" customHeight="1" s="176"/>
    <row r="370" ht="15.75" customHeight="1" s="176"/>
    <row r="371" ht="15.75" customHeight="1" s="176"/>
    <row r="372" ht="15.75" customHeight="1" s="176"/>
    <row r="373" ht="15.75" customHeight="1" s="176"/>
    <row r="374" ht="15.75" customHeight="1" s="176"/>
    <row r="375" ht="15.75" customHeight="1" s="176"/>
    <row r="376" ht="15.75" customHeight="1" s="176"/>
    <row r="377" ht="15.75" customHeight="1" s="176"/>
    <row r="378" ht="15.75" customHeight="1" s="176"/>
    <row r="379" ht="15.75" customHeight="1" s="176"/>
    <row r="380" ht="15.75" customHeight="1" s="176"/>
    <row r="381" ht="15.75" customHeight="1" s="176"/>
    <row r="382" ht="15.75" customHeight="1" s="176"/>
    <row r="383" ht="15.75" customHeight="1" s="176"/>
    <row r="384" ht="15.75" customHeight="1" s="176"/>
    <row r="385" ht="15.75" customHeight="1" s="176"/>
    <row r="386" ht="15.75" customHeight="1" s="176"/>
    <row r="387" ht="15.75" customHeight="1" s="176"/>
    <row r="388" ht="15.75" customHeight="1" s="176"/>
    <row r="389" ht="15.75" customHeight="1" s="176"/>
    <row r="390" ht="15.75" customHeight="1" s="176"/>
    <row r="391" ht="15.75" customHeight="1" s="176"/>
    <row r="392" ht="15.75" customHeight="1" s="176"/>
    <row r="393" ht="15.75" customHeight="1" s="176"/>
    <row r="394" ht="15.75" customHeight="1" s="176"/>
    <row r="395" ht="15.75" customHeight="1" s="176"/>
    <row r="396" ht="15.75" customHeight="1" s="176"/>
    <row r="397" ht="15.75" customHeight="1" s="176"/>
    <row r="398" ht="15.75" customHeight="1" s="176"/>
    <row r="399" ht="15.75" customHeight="1" s="176"/>
    <row r="400" ht="15.75" customHeight="1" s="176"/>
    <row r="401" ht="15.75" customHeight="1" s="176"/>
    <row r="402" ht="15.75" customHeight="1" s="176"/>
    <row r="403" ht="15.75" customHeight="1" s="176"/>
    <row r="404" ht="15.75" customHeight="1" s="176"/>
    <row r="405" ht="15.75" customHeight="1" s="176"/>
    <row r="406" ht="15.75" customHeight="1" s="176"/>
    <row r="407" ht="15.75" customHeight="1" s="176"/>
    <row r="408" ht="15.75" customHeight="1" s="176"/>
    <row r="409" ht="15.75" customHeight="1" s="176"/>
    <row r="410" ht="15.75" customHeight="1" s="176"/>
    <row r="411" ht="15.75" customHeight="1" s="176"/>
    <row r="412" ht="15.75" customHeight="1" s="176"/>
    <row r="413" ht="15.75" customHeight="1" s="176"/>
    <row r="414" ht="15.75" customHeight="1" s="176"/>
    <row r="415" ht="15.75" customHeight="1" s="176"/>
    <row r="416" ht="15.75" customHeight="1" s="176"/>
    <row r="417" ht="15.75" customHeight="1" s="176"/>
    <row r="418" ht="15.75" customHeight="1" s="176"/>
    <row r="419" ht="15.75" customHeight="1" s="176"/>
    <row r="420" ht="15.75" customHeight="1" s="176"/>
    <row r="421" ht="15.75" customHeight="1" s="176"/>
    <row r="422" ht="15.75" customHeight="1" s="176"/>
    <row r="423" ht="15.75" customHeight="1" s="176"/>
    <row r="424" ht="15.75" customHeight="1" s="176"/>
    <row r="425" ht="15.75" customHeight="1" s="176"/>
    <row r="426" ht="15.75" customHeight="1" s="176"/>
    <row r="427" ht="15.75" customHeight="1" s="176"/>
    <row r="428" ht="15.75" customHeight="1" s="176"/>
    <row r="429" ht="15.75" customHeight="1" s="176"/>
    <row r="430" ht="15.75" customHeight="1" s="176"/>
    <row r="431" ht="15.75" customHeight="1" s="176"/>
    <row r="432" ht="15.75" customHeight="1" s="176"/>
    <row r="433" ht="15.75" customHeight="1" s="176"/>
    <row r="434" ht="15.75" customHeight="1" s="176"/>
    <row r="435" ht="15.75" customHeight="1" s="176"/>
    <row r="436" ht="15.75" customHeight="1" s="176"/>
    <row r="437" ht="15.75" customHeight="1" s="176"/>
    <row r="438" ht="15.75" customHeight="1" s="176"/>
    <row r="439" ht="15.75" customHeight="1" s="176"/>
    <row r="440" ht="15.75" customHeight="1" s="176"/>
    <row r="441" ht="15.75" customHeight="1" s="176"/>
    <row r="442" ht="15.75" customHeight="1" s="176"/>
    <row r="443" ht="15.75" customHeight="1" s="176"/>
    <row r="444" ht="15.75" customHeight="1" s="176"/>
    <row r="445" ht="15.75" customHeight="1" s="176"/>
    <row r="446" ht="15.75" customHeight="1" s="176"/>
    <row r="447" ht="15.75" customHeight="1" s="176"/>
    <row r="448" ht="15.75" customHeight="1" s="176"/>
    <row r="449" ht="15.75" customHeight="1" s="176"/>
    <row r="450" ht="15.75" customHeight="1" s="176"/>
    <row r="451" ht="15.75" customHeight="1" s="176"/>
    <row r="452" ht="15.75" customHeight="1" s="176"/>
    <row r="453" ht="15.75" customHeight="1" s="176"/>
    <row r="454" ht="15.75" customHeight="1" s="176"/>
    <row r="455" ht="15.75" customHeight="1" s="176"/>
    <row r="456" ht="15.75" customHeight="1" s="176"/>
    <row r="457" ht="15.75" customHeight="1" s="176"/>
    <row r="458" ht="15.75" customHeight="1" s="176"/>
    <row r="459" ht="15.75" customHeight="1" s="176"/>
    <row r="460" ht="15.75" customHeight="1" s="176"/>
    <row r="461" ht="15.75" customHeight="1" s="176"/>
    <row r="462" ht="15.75" customHeight="1" s="176"/>
    <row r="463" ht="15.75" customHeight="1" s="176"/>
    <row r="464" ht="15.75" customHeight="1" s="176"/>
    <row r="465" ht="15.75" customHeight="1" s="176"/>
    <row r="466" ht="15.75" customHeight="1" s="176"/>
    <row r="467" ht="15.75" customHeight="1" s="176"/>
    <row r="468" ht="15.75" customHeight="1" s="176"/>
    <row r="469" ht="15.75" customHeight="1" s="176"/>
    <row r="470" ht="15.75" customHeight="1" s="176"/>
    <row r="471" ht="15.75" customHeight="1" s="176"/>
    <row r="472" ht="15.75" customHeight="1" s="176"/>
    <row r="473" ht="15.75" customHeight="1" s="176"/>
    <row r="474" ht="15.75" customHeight="1" s="176"/>
    <row r="475" ht="15.75" customHeight="1" s="176"/>
    <row r="476" ht="15.75" customHeight="1" s="176"/>
    <row r="477" ht="15.75" customHeight="1" s="176"/>
    <row r="478" ht="15.75" customHeight="1" s="176"/>
    <row r="479" ht="15.75" customHeight="1" s="176"/>
    <row r="480" ht="15.75" customHeight="1" s="176"/>
    <row r="481" ht="15.75" customHeight="1" s="176"/>
    <row r="482" ht="15.75" customHeight="1" s="176"/>
    <row r="483" ht="15.75" customHeight="1" s="176"/>
    <row r="484" ht="15.75" customHeight="1" s="176"/>
    <row r="485" ht="15.75" customHeight="1" s="176"/>
    <row r="486" ht="15.75" customHeight="1" s="176"/>
    <row r="487" ht="15.75" customHeight="1" s="176"/>
    <row r="488" ht="15.75" customHeight="1" s="176"/>
    <row r="489" ht="15.75" customHeight="1" s="176"/>
    <row r="490" ht="15.75" customHeight="1" s="176"/>
    <row r="491" ht="15.75" customHeight="1" s="176"/>
    <row r="492" ht="15.75" customHeight="1" s="176"/>
    <row r="493" ht="15.75" customHeight="1" s="176"/>
    <row r="494" ht="15.75" customHeight="1" s="176"/>
    <row r="495" ht="15.75" customHeight="1" s="176"/>
    <row r="496" ht="15.75" customHeight="1" s="176"/>
    <row r="497" ht="15.75" customHeight="1" s="176"/>
    <row r="498" ht="15.75" customHeight="1" s="176"/>
    <row r="499" ht="15.75" customHeight="1" s="176"/>
    <row r="500" ht="15.75" customHeight="1" s="176"/>
    <row r="501" ht="15.75" customHeight="1" s="176"/>
    <row r="502" ht="15.75" customHeight="1" s="176"/>
    <row r="503" ht="15.75" customHeight="1" s="176"/>
    <row r="504" ht="15.75" customHeight="1" s="176"/>
    <row r="505" ht="15.75" customHeight="1" s="176"/>
    <row r="506" ht="15.75" customHeight="1" s="176"/>
    <row r="507" ht="15.75" customHeight="1" s="176"/>
    <row r="508" ht="15.75" customHeight="1" s="176"/>
    <row r="509" ht="15.75" customHeight="1" s="176"/>
    <row r="510" ht="15.75" customHeight="1" s="176"/>
    <row r="511" ht="15.75" customHeight="1" s="176"/>
    <row r="512" ht="15.75" customHeight="1" s="176"/>
    <row r="513" ht="15.75" customHeight="1" s="176"/>
    <row r="514" ht="15.75" customHeight="1" s="176"/>
    <row r="515" ht="15.75" customHeight="1" s="176"/>
    <row r="516" ht="15.75" customHeight="1" s="176"/>
    <row r="517" ht="15.75" customHeight="1" s="176"/>
    <row r="518" ht="15.75" customHeight="1" s="176"/>
    <row r="519" ht="15.75" customHeight="1" s="176"/>
    <row r="520" ht="15.75" customHeight="1" s="176"/>
    <row r="521" ht="15.75" customHeight="1" s="176"/>
    <row r="522" ht="15.75" customHeight="1" s="176"/>
    <row r="523" ht="15.75" customHeight="1" s="176"/>
    <row r="524" ht="15.75" customHeight="1" s="176"/>
    <row r="525" ht="15.75" customHeight="1" s="176"/>
    <row r="526" ht="15.75" customHeight="1" s="176"/>
    <row r="527" ht="15.75" customHeight="1" s="176"/>
    <row r="528" ht="15.75" customHeight="1" s="176"/>
    <row r="529" ht="15.75" customHeight="1" s="176"/>
    <row r="530" ht="15.75" customHeight="1" s="176"/>
    <row r="531" ht="15.75" customHeight="1" s="176"/>
    <row r="532" ht="15.75" customHeight="1" s="176"/>
    <row r="533" ht="15.75" customHeight="1" s="176"/>
    <row r="534" ht="15.75" customHeight="1" s="176"/>
    <row r="535" ht="15.75" customHeight="1" s="176"/>
    <row r="536" ht="15.75" customHeight="1" s="176"/>
    <row r="537" ht="15.75" customHeight="1" s="176"/>
    <row r="538" ht="15.75" customHeight="1" s="176"/>
    <row r="539" ht="15.75" customHeight="1" s="176"/>
    <row r="540" ht="15.75" customHeight="1" s="176"/>
    <row r="541" ht="15.75" customHeight="1" s="176"/>
    <row r="542" ht="15.75" customHeight="1" s="176"/>
    <row r="543" ht="15.75" customHeight="1" s="176"/>
    <row r="544" ht="15.75" customHeight="1" s="176"/>
    <row r="545" ht="15.75" customHeight="1" s="176"/>
    <row r="546" ht="15.75" customHeight="1" s="176"/>
    <row r="547" ht="15.75" customHeight="1" s="176"/>
    <row r="548" ht="15.75" customHeight="1" s="176"/>
    <row r="549" ht="15.75" customHeight="1" s="176"/>
    <row r="550" ht="15.75" customHeight="1" s="176"/>
    <row r="551" ht="15.75" customHeight="1" s="176"/>
    <row r="552" ht="15.75" customHeight="1" s="176"/>
    <row r="553" ht="15.75" customHeight="1" s="176"/>
    <row r="554" ht="15.75" customHeight="1" s="176"/>
    <row r="555" ht="15.75" customHeight="1" s="176"/>
    <row r="556" ht="15.75" customHeight="1" s="176"/>
    <row r="557" ht="15.75" customHeight="1" s="176"/>
    <row r="558" ht="15.75" customHeight="1" s="176"/>
    <row r="559" ht="15.75" customHeight="1" s="176"/>
    <row r="560" ht="15.75" customHeight="1" s="176"/>
    <row r="561" ht="15.75" customHeight="1" s="176"/>
    <row r="562" ht="15.75" customHeight="1" s="176"/>
    <row r="563" ht="15.75" customHeight="1" s="176"/>
    <row r="564" ht="15.75" customHeight="1" s="176"/>
    <row r="565" ht="15.75" customHeight="1" s="176"/>
    <row r="566" ht="15.75" customHeight="1" s="176"/>
    <row r="567" ht="15.75" customHeight="1" s="176"/>
    <row r="568" ht="15.75" customHeight="1" s="176"/>
    <row r="569" ht="15.75" customHeight="1" s="176"/>
    <row r="570" ht="15.75" customHeight="1" s="176"/>
    <row r="571" ht="15.75" customHeight="1" s="176"/>
    <row r="572" ht="15.75" customHeight="1" s="176"/>
    <row r="573" ht="15.75" customHeight="1" s="176"/>
    <row r="574" ht="15.75" customHeight="1" s="176"/>
    <row r="575" ht="15.75" customHeight="1" s="176"/>
    <row r="576" ht="15.75" customHeight="1" s="176"/>
    <row r="577" ht="15.75" customHeight="1" s="176"/>
    <row r="578" ht="15.75" customHeight="1" s="176"/>
    <row r="579" ht="15.75" customHeight="1" s="176"/>
    <row r="580" ht="15.75" customHeight="1" s="176"/>
    <row r="581" ht="15.75" customHeight="1" s="176"/>
    <row r="582" ht="15.75" customHeight="1" s="176"/>
    <row r="583" ht="15.75" customHeight="1" s="176"/>
    <row r="584" ht="15.75" customHeight="1" s="176"/>
    <row r="585" ht="15.75" customHeight="1" s="176"/>
    <row r="586" ht="15.75" customHeight="1" s="176"/>
    <row r="587" ht="15.75" customHeight="1" s="176"/>
    <row r="588" ht="15.75" customHeight="1" s="176"/>
    <row r="589" ht="15.75" customHeight="1" s="176"/>
    <row r="590" ht="15.75" customHeight="1" s="176"/>
    <row r="591" ht="15.75" customHeight="1" s="176"/>
    <row r="592" ht="15.75" customHeight="1" s="176"/>
    <row r="593" ht="15.75" customHeight="1" s="176"/>
    <row r="594" ht="15.75" customHeight="1" s="176"/>
    <row r="595" ht="15.75" customHeight="1" s="176"/>
    <row r="596" ht="15.75" customHeight="1" s="176"/>
    <row r="597" ht="15.75" customHeight="1" s="176"/>
    <row r="598" ht="15.75" customHeight="1" s="176"/>
    <row r="599" ht="15.75" customHeight="1" s="176"/>
    <row r="600" ht="15.75" customHeight="1" s="176"/>
    <row r="601" ht="15.75" customHeight="1" s="176"/>
    <row r="602" ht="15.75" customHeight="1" s="176"/>
    <row r="603" ht="15.75" customHeight="1" s="176"/>
    <row r="604" ht="15.75" customHeight="1" s="176"/>
    <row r="605" ht="15.75" customHeight="1" s="176"/>
    <row r="606" ht="15.75" customHeight="1" s="176"/>
    <row r="607" ht="15.75" customHeight="1" s="176"/>
    <row r="608" ht="15.75" customHeight="1" s="176"/>
    <row r="609" ht="15.75" customHeight="1" s="176"/>
    <row r="610" ht="15.75" customHeight="1" s="176"/>
    <row r="611" ht="15.75" customHeight="1" s="176"/>
    <row r="612" ht="15.75" customHeight="1" s="176"/>
    <row r="613" ht="15.75" customHeight="1" s="176"/>
    <row r="614" ht="15.75" customHeight="1" s="176"/>
    <row r="615" ht="15.75" customHeight="1" s="176"/>
    <row r="616" ht="15.75" customHeight="1" s="176"/>
    <row r="617" ht="15.75" customHeight="1" s="176"/>
    <row r="618" ht="15.75" customHeight="1" s="176"/>
    <row r="619" ht="15.75" customHeight="1" s="176"/>
    <row r="620" ht="15.75" customHeight="1" s="176"/>
    <row r="621" ht="15.75" customHeight="1" s="176"/>
    <row r="622" ht="15.75" customHeight="1" s="176"/>
    <row r="623" ht="15.75" customHeight="1" s="176"/>
    <row r="624" ht="15.75" customHeight="1" s="176"/>
    <row r="625" ht="15.75" customHeight="1" s="176"/>
    <row r="626" ht="15.75" customHeight="1" s="176"/>
    <row r="627" ht="15.75" customHeight="1" s="176"/>
    <row r="628" ht="15.75" customHeight="1" s="176"/>
    <row r="629" ht="15.75" customHeight="1" s="176"/>
    <row r="630" ht="15.75" customHeight="1" s="176"/>
    <row r="631" ht="15.75" customHeight="1" s="176"/>
    <row r="632" ht="15.75" customHeight="1" s="176"/>
    <row r="633" ht="15.75" customHeight="1" s="176"/>
    <row r="634" ht="15.75" customHeight="1" s="176"/>
    <row r="635" ht="15.75" customHeight="1" s="176"/>
    <row r="636" ht="15.75" customHeight="1" s="176"/>
    <row r="637" ht="15.75" customHeight="1" s="176"/>
    <row r="638" ht="15.75" customHeight="1" s="176"/>
    <row r="639" ht="15.75" customHeight="1" s="176"/>
    <row r="640" ht="15.75" customHeight="1" s="176"/>
    <row r="641" ht="15.75" customHeight="1" s="176"/>
    <row r="642" ht="15.75" customHeight="1" s="176"/>
    <row r="643" ht="15.75" customHeight="1" s="176"/>
    <row r="644" ht="15.75" customHeight="1" s="176"/>
    <row r="645" ht="15.75" customHeight="1" s="176"/>
    <row r="646" ht="15.75" customHeight="1" s="176"/>
    <row r="647" ht="15.75" customHeight="1" s="176"/>
    <row r="648" ht="15.75" customHeight="1" s="176"/>
    <row r="649" ht="15.75" customHeight="1" s="176"/>
    <row r="650" ht="15.75" customHeight="1" s="176"/>
    <row r="651" ht="15.75" customHeight="1" s="176"/>
    <row r="652" ht="15.75" customHeight="1" s="176"/>
    <row r="653" ht="15.75" customHeight="1" s="176"/>
    <row r="654" ht="15.75" customHeight="1" s="176"/>
    <row r="655" ht="15.75" customHeight="1" s="176"/>
    <row r="656" ht="15.75" customHeight="1" s="176"/>
    <row r="657" ht="15.75" customHeight="1" s="176"/>
    <row r="658" ht="15.75" customHeight="1" s="176"/>
    <row r="659" ht="15.75" customHeight="1" s="176"/>
    <row r="660" ht="15.75" customHeight="1" s="176"/>
    <row r="661" ht="15.75" customHeight="1" s="176"/>
    <row r="662" ht="15.75" customHeight="1" s="176"/>
    <row r="663" ht="15.75" customHeight="1" s="176"/>
    <row r="664" ht="15.75" customHeight="1" s="176"/>
    <row r="665" ht="15.75" customHeight="1" s="176"/>
    <row r="666" ht="15.75" customHeight="1" s="176"/>
    <row r="667" ht="15.75" customHeight="1" s="176"/>
    <row r="668" ht="15.75" customHeight="1" s="176"/>
    <row r="669" ht="15.75" customHeight="1" s="176"/>
    <row r="670" ht="15.75" customHeight="1" s="176"/>
    <row r="671" ht="15.75" customHeight="1" s="176"/>
    <row r="672" ht="15.75" customHeight="1" s="176"/>
    <row r="673" ht="15.75" customHeight="1" s="176"/>
    <row r="674" ht="15.75" customHeight="1" s="176"/>
    <row r="675" ht="15.75" customHeight="1" s="176"/>
    <row r="676" ht="15.75" customHeight="1" s="176"/>
    <row r="677" ht="15.75" customHeight="1" s="176"/>
    <row r="678" ht="15.75" customHeight="1" s="176"/>
    <row r="679" ht="15.75" customHeight="1" s="176"/>
    <row r="680" ht="15.75" customHeight="1" s="176"/>
    <row r="681" ht="15.75" customHeight="1" s="176"/>
    <row r="682" ht="15.75" customHeight="1" s="176"/>
    <row r="683" ht="15.75" customHeight="1" s="176"/>
    <row r="684" ht="15.75" customHeight="1" s="176"/>
    <row r="685" ht="15.75" customHeight="1" s="176"/>
    <row r="686" ht="15.75" customHeight="1" s="176"/>
    <row r="687" ht="15.75" customHeight="1" s="176"/>
    <row r="688" ht="15.75" customHeight="1" s="176"/>
    <row r="689" ht="15.75" customHeight="1" s="176"/>
    <row r="690" ht="15.75" customHeight="1" s="176"/>
    <row r="691" ht="15.75" customHeight="1" s="176"/>
    <row r="692" ht="15.75" customHeight="1" s="176"/>
    <row r="693" ht="15.75" customHeight="1" s="176"/>
    <row r="694" ht="15.75" customHeight="1" s="176"/>
    <row r="695" ht="15.75" customHeight="1" s="176"/>
    <row r="696" ht="15.75" customHeight="1" s="176"/>
    <row r="697" ht="15.75" customHeight="1" s="176"/>
    <row r="698" ht="15.75" customHeight="1" s="176"/>
    <row r="699" ht="15.75" customHeight="1" s="176"/>
    <row r="700" ht="15.75" customHeight="1" s="176"/>
    <row r="701" ht="15.75" customHeight="1" s="176"/>
    <row r="702" ht="15.75" customHeight="1" s="176"/>
    <row r="703" ht="15.75" customHeight="1" s="176"/>
    <row r="704" ht="15.75" customHeight="1" s="176"/>
    <row r="705" ht="15.75" customHeight="1" s="176"/>
    <row r="706" ht="15.75" customHeight="1" s="176"/>
    <row r="707" ht="15.75" customHeight="1" s="176"/>
    <row r="708" ht="15.75" customHeight="1" s="176"/>
    <row r="709" ht="15.75" customHeight="1" s="176"/>
    <row r="710" ht="15.75" customHeight="1" s="176"/>
    <row r="711" ht="15.75" customHeight="1" s="176"/>
    <row r="712" ht="15.75" customHeight="1" s="176"/>
    <row r="713" ht="15.75" customHeight="1" s="176"/>
    <row r="714" ht="15.75" customHeight="1" s="176"/>
    <row r="715" ht="15.75" customHeight="1" s="176"/>
    <row r="716" ht="15.75" customHeight="1" s="176"/>
    <row r="717" ht="15.75" customHeight="1" s="176"/>
    <row r="718" ht="15.75" customHeight="1" s="176"/>
    <row r="719" ht="15.75" customHeight="1" s="176"/>
    <row r="720" ht="15.75" customHeight="1" s="176"/>
    <row r="721" ht="15.75" customHeight="1" s="176"/>
    <row r="722" ht="15.75" customHeight="1" s="176"/>
    <row r="723" ht="15.75" customHeight="1" s="176"/>
    <row r="724" ht="15.75" customHeight="1" s="176"/>
    <row r="725" ht="15.75" customHeight="1" s="176"/>
    <row r="726" ht="15.75" customHeight="1" s="176"/>
    <row r="727" ht="15.75" customHeight="1" s="176"/>
    <row r="728" ht="15.75" customHeight="1" s="176"/>
    <row r="729" ht="15.75" customHeight="1" s="176"/>
    <row r="730" ht="15.75" customHeight="1" s="176"/>
    <row r="731" ht="15.75" customHeight="1" s="176"/>
    <row r="732" ht="15.75" customHeight="1" s="176"/>
    <row r="733" ht="15.75" customHeight="1" s="176"/>
    <row r="734" ht="15.75" customHeight="1" s="176"/>
    <row r="735" ht="15.75" customHeight="1" s="176"/>
    <row r="736" ht="15.75" customHeight="1" s="176"/>
    <row r="737" ht="15.75" customHeight="1" s="176"/>
    <row r="738" ht="15.75" customHeight="1" s="176"/>
    <row r="739" ht="15.75" customHeight="1" s="176"/>
    <row r="740" ht="15.75" customHeight="1" s="176"/>
    <row r="741" ht="15.75" customHeight="1" s="176"/>
    <row r="742" ht="15.75" customHeight="1" s="176"/>
    <row r="743" ht="15.75" customHeight="1" s="176"/>
    <row r="744" ht="15.75" customHeight="1" s="176"/>
    <row r="745" ht="15.75" customHeight="1" s="176"/>
    <row r="746" ht="15.75" customHeight="1" s="176"/>
    <row r="747" ht="15.75" customHeight="1" s="176"/>
    <row r="748" ht="15.75" customHeight="1" s="176"/>
    <row r="749" ht="15.75" customHeight="1" s="176"/>
    <row r="750" ht="15.75" customHeight="1" s="176"/>
    <row r="751" ht="15.75" customHeight="1" s="176"/>
    <row r="752" ht="15.75" customHeight="1" s="176"/>
    <row r="753" ht="15.75" customHeight="1" s="176"/>
    <row r="754" ht="15.75" customHeight="1" s="176"/>
    <row r="755" ht="15.75" customHeight="1" s="176"/>
    <row r="756" ht="15.75" customHeight="1" s="176"/>
    <row r="757" ht="15.75" customHeight="1" s="176"/>
    <row r="758" ht="15.75" customHeight="1" s="176"/>
    <row r="759" ht="15.75" customHeight="1" s="176"/>
    <row r="760" ht="15.75" customHeight="1" s="176"/>
    <row r="761" ht="15.75" customHeight="1" s="176"/>
    <row r="762" ht="15.75" customHeight="1" s="176"/>
    <row r="763" ht="15.75" customHeight="1" s="176"/>
    <row r="764" ht="15.75" customHeight="1" s="176"/>
    <row r="765" ht="15.75" customHeight="1" s="176"/>
    <row r="766" ht="15.75" customHeight="1" s="176"/>
    <row r="767" ht="15.75" customHeight="1" s="176"/>
    <row r="768" ht="15.75" customHeight="1" s="176"/>
    <row r="769" ht="15.75" customHeight="1" s="176"/>
    <row r="770" ht="15.75" customHeight="1" s="176"/>
    <row r="771" ht="15.75" customHeight="1" s="176"/>
    <row r="772" ht="15.75" customHeight="1" s="176"/>
    <row r="773" ht="15.75" customHeight="1" s="176"/>
    <row r="774" ht="15.75" customHeight="1" s="176"/>
    <row r="775" ht="15.75" customHeight="1" s="176"/>
    <row r="776" ht="15.75" customHeight="1" s="176"/>
    <row r="777" ht="15.75" customHeight="1" s="176"/>
    <row r="778" ht="15.75" customHeight="1" s="176"/>
    <row r="779" ht="15.75" customHeight="1" s="176"/>
    <row r="780" ht="15.75" customHeight="1" s="176"/>
    <row r="781" ht="15.75" customHeight="1" s="176"/>
    <row r="782" ht="15.75" customHeight="1" s="176"/>
    <row r="783" ht="15.75" customHeight="1" s="176"/>
    <row r="784" ht="15.75" customHeight="1" s="176"/>
    <row r="785" ht="15.75" customHeight="1" s="176"/>
    <row r="786" ht="15.75" customHeight="1" s="176"/>
    <row r="787" ht="15.75" customHeight="1" s="176"/>
    <row r="788" ht="15.75" customHeight="1" s="176"/>
    <row r="789" ht="15.75" customHeight="1" s="176"/>
    <row r="790" ht="15.75" customHeight="1" s="176"/>
    <row r="791" ht="15.75" customHeight="1" s="176"/>
    <row r="792" ht="15.75" customHeight="1" s="176"/>
    <row r="793" ht="15.75" customHeight="1" s="176"/>
    <row r="794" ht="15.75" customHeight="1" s="176"/>
    <row r="795" ht="15.75" customHeight="1" s="176"/>
    <row r="796" ht="15.75" customHeight="1" s="176"/>
    <row r="797" ht="15.75" customHeight="1" s="176"/>
    <row r="798" ht="15.75" customHeight="1" s="176"/>
    <row r="799" ht="15.75" customHeight="1" s="176"/>
    <row r="800" ht="15.75" customHeight="1" s="176"/>
    <row r="801" ht="15.75" customHeight="1" s="176"/>
    <row r="802" ht="15.75" customHeight="1" s="176"/>
    <row r="803" ht="15.75" customHeight="1" s="176"/>
    <row r="804" ht="15.75" customHeight="1" s="176"/>
    <row r="805" ht="15.75" customHeight="1" s="176"/>
    <row r="806" ht="15.75" customHeight="1" s="176"/>
    <row r="807" ht="15.75" customHeight="1" s="176"/>
    <row r="808" ht="15.75" customHeight="1" s="176"/>
    <row r="809" ht="15.75" customHeight="1" s="176"/>
    <row r="810" ht="15.75" customHeight="1" s="176"/>
    <row r="811" ht="15.75" customHeight="1" s="176"/>
    <row r="812" ht="15.75" customHeight="1" s="176"/>
    <row r="813" ht="15.75" customHeight="1" s="176"/>
    <row r="814" ht="15.75" customHeight="1" s="176"/>
    <row r="815" ht="15.75" customHeight="1" s="176"/>
    <row r="816" ht="15.75" customHeight="1" s="176"/>
    <row r="817" ht="15.75" customHeight="1" s="176"/>
    <row r="818" ht="15.75" customHeight="1" s="176"/>
    <row r="819" ht="15.75" customHeight="1" s="176"/>
    <row r="820" ht="15.75" customHeight="1" s="176"/>
    <row r="821" ht="15.75" customHeight="1" s="176"/>
    <row r="822" ht="15.75" customHeight="1" s="176"/>
    <row r="823" ht="15.75" customHeight="1" s="176"/>
    <row r="824" ht="15.75" customHeight="1" s="176"/>
    <row r="825" ht="15.75" customHeight="1" s="176"/>
    <row r="826" ht="15.75" customHeight="1" s="176"/>
    <row r="827" ht="15.75" customHeight="1" s="176"/>
    <row r="828" ht="15.75" customHeight="1" s="176"/>
    <row r="829" ht="15.75" customHeight="1" s="176"/>
    <row r="830" ht="15.75" customHeight="1" s="176"/>
    <row r="831" ht="15.75" customHeight="1" s="176"/>
    <row r="832" ht="15.75" customHeight="1" s="176"/>
    <row r="833" ht="15.75" customHeight="1" s="176"/>
    <row r="834" ht="15.75" customHeight="1" s="176"/>
    <row r="835" ht="15.75" customHeight="1" s="176"/>
    <row r="836" ht="15.75" customHeight="1" s="176"/>
    <row r="837" ht="15.75" customHeight="1" s="176"/>
    <row r="838" ht="15.75" customHeight="1" s="176"/>
    <row r="839" ht="15.75" customHeight="1" s="176"/>
    <row r="840" ht="15.75" customHeight="1" s="176"/>
    <row r="841" ht="15.75" customHeight="1" s="176"/>
    <row r="842" ht="15.75" customHeight="1" s="176"/>
    <row r="843" ht="15.75" customHeight="1" s="176"/>
    <row r="844" ht="15.75" customHeight="1" s="176"/>
    <row r="845" ht="15.75" customHeight="1" s="176"/>
    <row r="846" ht="15.75" customHeight="1" s="176"/>
    <row r="847" ht="15.75" customHeight="1" s="176"/>
    <row r="848" ht="15.75" customHeight="1" s="176"/>
    <row r="849" ht="15.75" customHeight="1" s="176"/>
    <row r="850" ht="15.75" customHeight="1" s="176"/>
    <row r="851" ht="15.75" customHeight="1" s="176"/>
    <row r="852" ht="15.75" customHeight="1" s="176"/>
    <row r="853" ht="15.75" customHeight="1" s="176"/>
    <row r="854" ht="15.75" customHeight="1" s="176"/>
    <row r="855" ht="15.75" customHeight="1" s="176"/>
    <row r="856" ht="15.75" customHeight="1" s="176"/>
    <row r="857" ht="15.75" customHeight="1" s="176"/>
    <row r="858" ht="15.75" customHeight="1" s="176"/>
    <row r="859" ht="15.75" customHeight="1" s="176"/>
    <row r="860" ht="15.75" customHeight="1" s="176"/>
    <row r="861" ht="15.75" customHeight="1" s="176"/>
    <row r="862" ht="15.75" customHeight="1" s="176"/>
    <row r="863" ht="15.75" customHeight="1" s="176"/>
    <row r="864" ht="15.75" customHeight="1" s="176"/>
    <row r="865" ht="15.75" customHeight="1" s="176"/>
    <row r="866" ht="15.75" customHeight="1" s="176"/>
    <row r="867" ht="15.75" customHeight="1" s="176"/>
    <row r="868" ht="15.75" customHeight="1" s="176"/>
    <row r="869" ht="15.75" customHeight="1" s="176"/>
    <row r="870" ht="15.75" customHeight="1" s="176"/>
    <row r="871" ht="15.75" customHeight="1" s="176"/>
    <row r="872" ht="15.75" customHeight="1" s="176"/>
    <row r="873" ht="15.75" customHeight="1" s="176"/>
    <row r="874" ht="15.75" customHeight="1" s="176"/>
    <row r="875" ht="15.75" customHeight="1" s="176"/>
    <row r="876" ht="15.75" customHeight="1" s="176"/>
    <row r="877" ht="15.75" customHeight="1" s="176"/>
    <row r="878" ht="15.75" customHeight="1" s="176"/>
    <row r="879" ht="15.75" customHeight="1" s="176"/>
    <row r="880" ht="15.75" customHeight="1" s="176"/>
    <row r="881" ht="15.75" customHeight="1" s="176"/>
    <row r="882" ht="15.75" customHeight="1" s="176"/>
    <row r="883" ht="15.75" customHeight="1" s="176"/>
    <row r="884" ht="15.75" customHeight="1" s="176"/>
    <row r="885" ht="15.75" customHeight="1" s="176"/>
    <row r="886" ht="15.75" customHeight="1" s="176"/>
    <row r="887" ht="15.75" customHeight="1" s="176"/>
    <row r="888" ht="15.75" customHeight="1" s="176"/>
    <row r="889" ht="15.75" customHeight="1" s="176"/>
    <row r="890" ht="15.75" customHeight="1" s="176"/>
    <row r="891" ht="15.75" customHeight="1" s="176"/>
    <row r="892" ht="15.75" customHeight="1" s="176"/>
    <row r="893" ht="15.75" customHeight="1" s="176"/>
    <row r="894" ht="15.75" customHeight="1" s="176"/>
    <row r="895" ht="15.75" customHeight="1" s="176"/>
    <row r="896" ht="15.75" customHeight="1" s="176"/>
    <row r="897" ht="15.75" customHeight="1" s="176"/>
    <row r="898" ht="15.75" customHeight="1" s="176"/>
    <row r="899" ht="15.75" customHeight="1" s="176"/>
    <row r="900" ht="15.75" customHeight="1" s="176"/>
    <row r="901" ht="15.75" customHeight="1" s="176"/>
    <row r="902" ht="15.75" customHeight="1" s="176"/>
    <row r="903" ht="15.75" customHeight="1" s="176"/>
    <row r="904" ht="15.75" customHeight="1" s="176"/>
    <row r="905" ht="15.75" customHeight="1" s="176"/>
    <row r="906" ht="15.75" customHeight="1" s="176"/>
    <row r="907" ht="15.75" customHeight="1" s="176"/>
    <row r="908" ht="15.75" customHeight="1" s="176"/>
    <row r="909" ht="15.75" customHeight="1" s="176"/>
    <row r="910" ht="15.75" customHeight="1" s="176"/>
    <row r="911" ht="15.75" customHeight="1" s="176"/>
    <row r="912" ht="15.75" customHeight="1" s="176"/>
    <row r="913" ht="15.75" customHeight="1" s="176"/>
    <row r="914" ht="15.75" customHeight="1" s="176"/>
    <row r="915" ht="15.75" customHeight="1" s="176"/>
    <row r="916" ht="15.75" customHeight="1" s="176"/>
    <row r="917" ht="15.75" customHeight="1" s="176"/>
    <row r="918" ht="15.75" customHeight="1" s="176"/>
    <row r="919" ht="15.75" customHeight="1" s="176"/>
    <row r="920" ht="15.75" customHeight="1" s="176"/>
    <row r="921" ht="15.75" customHeight="1" s="176"/>
    <row r="922" ht="15.75" customHeight="1" s="176"/>
    <row r="923" ht="15.75" customHeight="1" s="176"/>
    <row r="924" ht="15.75" customHeight="1" s="176"/>
    <row r="925" ht="15.75" customHeight="1" s="176"/>
    <row r="926" ht="15.75" customHeight="1" s="176"/>
    <row r="927" ht="15.75" customHeight="1" s="176"/>
    <row r="928" ht="15.75" customHeight="1" s="176"/>
    <row r="929" ht="15.75" customHeight="1" s="176"/>
    <row r="930" ht="15.75" customHeight="1" s="176"/>
    <row r="931" ht="15.75" customHeight="1" s="176"/>
    <row r="932" ht="15.75" customHeight="1" s="176"/>
    <row r="933" ht="15.75" customHeight="1" s="176"/>
    <row r="934" ht="15.75" customHeight="1" s="176"/>
    <row r="935" ht="15.75" customHeight="1" s="176"/>
    <row r="936" ht="15.75" customHeight="1" s="176"/>
    <row r="937" ht="15.75" customHeight="1" s="176"/>
    <row r="938" ht="15.75" customHeight="1" s="176"/>
    <row r="939" ht="15.75" customHeight="1" s="176"/>
    <row r="940" ht="15.75" customHeight="1" s="176"/>
    <row r="941" ht="15.75" customHeight="1" s="176"/>
    <row r="942" ht="15.75" customHeight="1" s="176"/>
    <row r="943" ht="15.75" customHeight="1" s="176"/>
    <row r="944" ht="15.75" customHeight="1" s="176"/>
    <row r="945" ht="15.75" customHeight="1" s="176"/>
    <row r="946" ht="15.75" customHeight="1" s="176"/>
    <row r="947" ht="15.75" customHeight="1" s="176"/>
    <row r="948" ht="15.75" customHeight="1" s="176"/>
    <row r="949" ht="15.75" customHeight="1" s="176"/>
    <row r="950" ht="15.75" customHeight="1" s="176"/>
    <row r="951" ht="15.75" customHeight="1" s="176"/>
    <row r="952" ht="15.75" customHeight="1" s="176"/>
    <row r="953" ht="15.75" customHeight="1" s="176"/>
    <row r="954" ht="15.75" customHeight="1" s="176"/>
    <row r="955" ht="15.75" customHeight="1" s="176"/>
    <row r="956" ht="15.75" customHeight="1" s="176"/>
    <row r="957" ht="15.75" customHeight="1" s="176"/>
    <row r="958" ht="15.75" customHeight="1" s="176"/>
    <row r="959" ht="15.75" customHeight="1" s="176"/>
    <row r="960" ht="15.75" customHeight="1" s="176"/>
    <row r="961" ht="15.75" customHeight="1" s="176"/>
    <row r="962" ht="15.75" customHeight="1" s="176"/>
    <row r="963" ht="15.75" customHeight="1" s="176"/>
    <row r="964" ht="15.75" customHeight="1" s="176"/>
    <row r="965" ht="15.75" customHeight="1" s="176"/>
    <row r="966" ht="15.75" customHeight="1" s="176"/>
    <row r="967" ht="15.75" customHeight="1" s="176"/>
    <row r="968" ht="15.75" customHeight="1" s="176"/>
    <row r="969" ht="15.75" customHeight="1" s="176"/>
    <row r="970" ht="15.75" customHeight="1" s="176"/>
    <row r="971" ht="15.75" customHeight="1" s="176"/>
    <row r="972" ht="15.75" customHeight="1" s="176"/>
    <row r="973" ht="15.75" customHeight="1" s="176"/>
    <row r="974" ht="15.75" customHeight="1" s="176"/>
    <row r="975" ht="15.75" customHeight="1" s="176"/>
    <row r="976" ht="15.75" customHeight="1" s="176"/>
    <row r="977" ht="15.75" customHeight="1" s="176"/>
    <row r="978" ht="15.75" customHeight="1" s="176"/>
    <row r="979" ht="15.75" customHeight="1" s="176"/>
    <row r="980" ht="15.75" customHeight="1" s="176"/>
    <row r="981" ht="15.75" customHeight="1" s="176"/>
    <row r="982" ht="15.75" customHeight="1" s="176"/>
    <row r="983" ht="15.75" customHeight="1" s="176"/>
    <row r="984" ht="15.75" customHeight="1" s="176"/>
    <row r="985" ht="15.75" customHeight="1" s="176"/>
    <row r="986" ht="15.75" customHeight="1" s="176"/>
    <row r="987" ht="15.75" customHeight="1" s="176"/>
    <row r="988" ht="15.75" customHeight="1" s="176"/>
    <row r="989" ht="15.75" customHeight="1" s="176"/>
    <row r="990" ht="15.75" customHeight="1" s="176"/>
    <row r="991" ht="15.75" customHeight="1" s="176"/>
    <row r="992" ht="15.75" customHeight="1" s="176"/>
    <row r="993" ht="15.75" customHeight="1" s="176"/>
    <row r="994" ht="15.75" customHeight="1" s="176"/>
    <row r="995" ht="15.75" customHeight="1" s="176"/>
    <row r="996" ht="15.75" customHeight="1" s="176"/>
    <row r="997" ht="15.75" customHeight="1" s="176"/>
    <row r="998" ht="15.75" customHeight="1" s="176"/>
    <row r="999" ht="15.75" customHeight="1" s="176"/>
    <row r="1000" ht="15.75" customHeight="1" s="176"/>
  </sheetData>
  <mergeCells count="2">
    <mergeCell ref="A2:F2"/>
    <mergeCell ref="A1:F1"/>
  </mergeCell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AR2509"/>
  <sheetViews>
    <sheetView workbookViewId="0">
      <pane ySplit="1" topLeftCell="A2" activePane="bottomLeft" state="frozen"/>
      <selection pane="bottomLeft" activeCell="B3" sqref="B3"/>
    </sheetView>
  </sheetViews>
  <sheetFormatPr baseColWidth="8" defaultColWidth="12.63" defaultRowHeight="15" customHeight="1"/>
  <cols>
    <col width="18.13" customWidth="1" style="176" min="1" max="1"/>
    <col width="17.63" customWidth="1" style="176" min="2" max="2"/>
    <col width="12.25" customWidth="1" style="176" min="3" max="3"/>
    <col width="20.75" customWidth="1" style="176" min="4" max="4"/>
    <col width="24.38" customWidth="1" style="176" min="5" max="5"/>
    <col width="8.75" customWidth="1" style="176" min="6" max="6"/>
    <col width="12.5" customWidth="1" style="176" min="7" max="7"/>
    <col width="8.380000000000001" customWidth="1" style="176" min="8" max="8"/>
    <col width="52.75" customWidth="1" style="176" min="9" max="9"/>
    <col width="9.880000000000001" customWidth="1" style="176" min="10" max="10"/>
    <col width="19.13" customWidth="1" style="176" min="11" max="11"/>
    <col width="9" customWidth="1" style="176" min="12" max="12"/>
    <col width="9.880000000000001" customWidth="1" style="176" min="13" max="13"/>
    <col width="12" customWidth="1" style="176" min="14" max="14"/>
    <col width="10.13" customWidth="1" style="176" min="15" max="15"/>
    <col width="13" customWidth="1" style="176" min="16" max="17"/>
    <col width="19.13" customWidth="1" style="176" min="18" max="18"/>
    <col width="33.75" customWidth="1" style="176" min="19" max="19"/>
    <col width="257.5" customWidth="1" style="176" min="20" max="20"/>
    <col width="14.25" customWidth="1" style="176" min="21" max="21"/>
    <col width="8.75" customWidth="1" style="176" min="22" max="22"/>
    <col width="17.5" customWidth="1" style="176" min="23" max="23"/>
    <col width="120.88" customWidth="1" style="176" min="24" max="24"/>
    <col width="9.75" customWidth="1" style="176" min="25" max="25"/>
    <col width="12.25" customWidth="1" style="176" min="26" max="26"/>
    <col width="20.13" customWidth="1" style="176" min="27" max="27"/>
    <col width="67.38" customWidth="1" style="176" min="28" max="28"/>
    <col width="35.13" customWidth="1" style="176" min="29" max="29"/>
    <col width="14" customWidth="1" style="176" min="30" max="30"/>
    <col width="60" customWidth="1" style="176" min="31" max="31"/>
    <col width="14" customWidth="1" style="176" min="32" max="32"/>
    <col width="30" customWidth="1" style="176" min="33" max="33"/>
    <col width="90" customWidth="1" style="176" min="34" max="34"/>
    <col width="16" customWidth="1" style="176" min="35" max="35"/>
    <col width="45" customWidth="1" style="176" min="36" max="36"/>
    <col width="85" customWidth="1" style="176" min="37" max="37"/>
    <col width="49.38" customWidth="1" style="176" min="40" max="40"/>
  </cols>
  <sheetData>
    <row r="1" ht="54.75" customHeight="1" s="176">
      <c r="A1" s="48" t="inlineStr">
        <is>
          <t>Código de barras</t>
        </is>
      </c>
      <c r="B1" s="48" t="inlineStr">
        <is>
          <t>Identificador interno</t>
        </is>
      </c>
      <c r="C1" s="48" t="inlineStr">
        <is>
          <t>Marca principal</t>
        </is>
      </c>
      <c r="D1" s="48" t="inlineStr">
        <is>
          <t>WB N.º de estilo</t>
        </is>
      </c>
      <c r="E1" s="48" t="inlineStr">
        <is>
          <t>WB SKU</t>
        </is>
      </c>
      <c r="F1" s="48" t="inlineStr">
        <is>
          <t>WB Talla</t>
        </is>
      </c>
      <c r="G1" s="48" t="inlineStr">
        <is>
          <t>WB Talla de EE. UU.</t>
        </is>
      </c>
      <c r="H1" s="48" t="inlineStr">
        <is>
          <t>WB Marca</t>
        </is>
      </c>
      <c r="I1" s="48" t="inlineStr">
        <is>
          <t>WB Descripcion</t>
        </is>
      </c>
      <c r="J1" s="48" t="inlineStr">
        <is>
          <t>WB División</t>
        </is>
      </c>
      <c r="K1" s="48" t="inlineStr">
        <is>
          <t>WB Categoría</t>
        </is>
      </c>
      <c r="L1" s="48" t="inlineStr">
        <is>
          <t>WB Género</t>
        </is>
      </c>
      <c r="M1" s="48" t="inlineStr">
        <is>
          <t>WB Licencia</t>
        </is>
      </c>
      <c r="N1" s="48" t="inlineStr">
        <is>
          <t>WB Temporada</t>
        </is>
      </c>
      <c r="O1" s="48" t="inlineStr">
        <is>
          <t>WB Ciclo de vida</t>
        </is>
      </c>
      <c r="P1" s="48" t="inlineStr">
        <is>
          <t>WB Color</t>
        </is>
      </c>
      <c r="Q1" s="48" t="inlineStr">
        <is>
          <t>WB Fit</t>
        </is>
      </c>
      <c r="R1" s="48" t="inlineStr">
        <is>
          <t>WB Silueta</t>
        </is>
      </c>
      <c r="S1" s="48" t="inlineStr">
        <is>
          <t>WB Composición</t>
        </is>
      </c>
      <c r="T1" s="48" t="inlineStr">
        <is>
          <t>WB Descripción larga</t>
        </is>
      </c>
      <c r="U1" s="48" t="inlineStr">
        <is>
          <t>WB País de origen</t>
        </is>
      </c>
      <c r="V1" s="48" t="inlineStr">
        <is>
          <t>Unidad</t>
        </is>
      </c>
      <c r="W1" s="48" t="inlineStr">
        <is>
          <t>SAT Clave de producto</t>
        </is>
      </c>
      <c r="X1" s="48" t="inlineStr">
        <is>
          <t>Enlace de imagen</t>
        </is>
      </c>
      <c r="Y1" s="48" t="inlineStr">
        <is>
          <t>Precio de compra</t>
        </is>
      </c>
      <c r="Z1" s="48" t="inlineStr">
        <is>
          <t>Precio de venta</t>
        </is>
      </c>
      <c r="AA1" s="33" t="inlineStr">
        <is>
          <t>Estatus de Validación</t>
        </is>
      </c>
      <c r="AB1" s="33" t="inlineStr">
        <is>
          <t>Detalle de Discrepancias</t>
        </is>
      </c>
      <c r="AC1" s="49" t="inlineStr">
        <is>
          <t>🔍 Panel de Duplicados</t>
        </is>
      </c>
      <c r="AD1" s="33" t="inlineStr">
        <is>
          <t>Stock Sistema NetSuite</t>
        </is>
      </c>
      <c r="AE1" s="33" t="inlineStr">
        <is>
          <t>Ubicaciones con stock (NetSuite)</t>
        </is>
      </c>
      <c r="AF1" s="33" t="inlineStr">
        <is>
          <t>Disponible NetSuite</t>
        </is>
      </c>
      <c r="AG1" s="33" t="inlineStr">
        <is>
          <t>Origen del registro</t>
        </is>
      </c>
      <c r="AH1" s="33" t="inlineStr">
        <is>
          <t>Notas de enriquecimiento / revisión</t>
        </is>
      </c>
      <c r="AI1" s="33" t="inlineStr">
        <is>
          <t>¿Alguna ubicación en negativo?</t>
        </is>
      </c>
      <c r="AJ1" s="33" t="inlineStr">
        <is>
          <t>Ubicaciones con existencia negativa</t>
        </is>
      </c>
      <c r="AK1" s="33" t="inlineStr">
        <is>
          <t>Fuentes de consulta</t>
        </is>
      </c>
      <c r="AL1" s="33" t="inlineStr">
        <is>
          <t>Precio compra vigente</t>
        </is>
      </c>
      <c r="AM1" s="33" t="inlineStr">
        <is>
          <t>Precio venta vigente</t>
        </is>
      </c>
      <c r="AN1" s="33" t="inlineStr">
        <is>
          <t>📍 Ubicación en plataformas (Plataforma + Marca)</t>
        </is>
      </c>
      <c r="AO1" s="33" t="inlineStr">
        <is>
          <t>Stock Shopify Stetson México</t>
        </is>
      </c>
      <c r="AP1" s="33" t="inlineStr">
        <is>
          <t>Stock Shopify Western Brothers</t>
        </is>
      </c>
      <c r="AQ1" s="33" t="inlineStr">
        <is>
          <t>Stock Odoo Universal Unique Brands</t>
        </is>
      </c>
      <c r="AR1" s="33" t="inlineStr">
        <is>
          <t>Ubicaciones con stock (plataformas)</t>
        </is>
      </c>
    </row>
    <row r="2">
      <c r="A2" s="50" t="inlineStr">
        <is>
          <t>052356088867</t>
        </is>
      </c>
      <c r="B2" s="51" t="inlineStr">
        <is>
          <t>110608</t>
        </is>
      </c>
      <c r="C2" s="156" t="inlineStr">
        <is>
          <t>Multimarca</t>
        </is>
      </c>
      <c r="D2" s="156" t="inlineStr">
        <is>
          <t>11-004-1312-4039</t>
        </is>
      </c>
      <c r="E2" s="156" t="inlineStr">
        <is>
          <t>11-004-1312-4039-29 32</t>
        </is>
      </c>
      <c r="F2" s="156" t="inlineStr">
        <is>
          <t>29 x 32</t>
        </is>
      </c>
      <c r="G2" s="156" t="inlineStr">
        <is>
          <t>29W / 32L</t>
        </is>
      </c>
      <c r="H2" s="156" t="inlineStr">
        <is>
          <t>Stetson</t>
        </is>
      </c>
      <c r="I2" s="156" t="inlineStr">
        <is>
          <t>Jean Doble Aguja Puntada X en Bolsa Trasera</t>
        </is>
      </c>
      <c r="J2" s="156" t="inlineStr">
        <is>
          <t>Denim</t>
        </is>
      </c>
      <c r="K2" s="156" t="inlineStr">
        <is>
          <t>Jeans</t>
        </is>
      </c>
      <c r="L2" s="156" t="inlineStr">
        <is>
          <t>Hombre</t>
        </is>
      </c>
      <c r="M2" s="156" t="inlineStr">
        <is>
          <t>Stetson</t>
        </is>
      </c>
      <c r="N2" s="156" t="inlineStr">
        <is>
          <t>SS26</t>
        </is>
      </c>
      <c r="O2" s="156" t="inlineStr">
        <is>
          <t>Seasonal</t>
        </is>
      </c>
      <c r="P2" s="156" t="inlineStr">
        <is>
          <t>Azul</t>
        </is>
      </c>
      <c r="Q2" s="156" t="inlineStr">
        <is>
          <t>Relajado</t>
        </is>
      </c>
      <c r="R2" s="156" t="inlineStr">
        <is>
          <t>Recto</t>
        </is>
      </c>
      <c r="S2" s="156" t="inlineStr">
        <is>
          <t>100% Algodón</t>
        </is>
      </c>
      <c r="T2" s="156" t="inlineStr">
        <is>
          <t>Jean Doble Aguja Puntada X en Bolsa Trasera Relajado</t>
        </is>
      </c>
      <c r="U2" s="156" t="n"/>
      <c r="V2" s="156" t="inlineStr">
        <is>
          <t>PZS</t>
        </is>
      </c>
      <c r="W2" s="51" t="inlineStr">
        <is>
          <t>53101502</t>
        </is>
      </c>
      <c r="X2" s="156" t="n"/>
      <c r="Y2" s="54" t="n">
        <v>775.862069</v>
      </c>
      <c r="Z2" s="54" t="n">
        <v>1724.137931</v>
      </c>
      <c r="AA2" s="55">
        <f>IF(AND(A2="", B2="", E2=""), "", IF(AB2="", "Válido", IF((LEN(AB2)-LEN(SUBSTITUTE(AB2,"; ","")))/2+1&gt;(LEN(AB2)-LEN(SUBSTITUTE(AB2,"[Aviso]","")))/7, "Con Incidencias", "Válido")))</f>
        <v/>
      </c>
      <c r="AB2" s="56">
        <f>IF(AND(A2="", B2="", E2=""), "", TEXTJOIN("; ", TRUE, IF(OR(TRIM(A2&amp;"")="", ISNUMBER(SEARCH("FALTA", A2))), "UPC faltante/inválido", ""), IF(AND(A2&lt;&gt;"", IFERROR(_xlfn.XMATCH(A2,$A$2:$A$2509,0,1)&lt;&gt;_xlfn.XMATCH(A2,$A$2:$A$2509,0,-1),FALSE)), "Código de barras duplicado", ""), IF(AND(E2&lt;&gt;"", COUNTIF($E$2:$E$2509, E2)&gt;1), "SKU duplicado", ""), IF(OR(J2="", J2=""), "[Aviso] División no capturada ()", IF(ISNA(MATCH(J2, Criterios!$A$123:$A$126, 0)), "División no válida", "")), IF(OR(K2="", K2=""), "[Aviso] Categoría no capturada ()", IF(ISNA(MATCH(K2, Criterios!$A$81:$A$120, 0)), "Categoría no válida", IF(AND(J2&lt;&gt;"", J2&lt;&gt;"", J2&lt;&gt;VLOOKUP(K2, Criterios!$A$81:$B$120, 2, FALSE)), "División no coincide con Categoría", ""))), IF(OR(L2="", L2=""), "[Aviso] Género no capturado ()", IF(ISNA(MATCH(L2, Criterios!$B$123:$B$127, 0)), "Género no válido", "")), IF(OR(N2="", N2=""), "[Aviso] Temporada no capturada ()", IF(ISNA(MATCH(N2, Criterios!$C$123:$C$128, 0)), "Temporada no válida", "")), IF(OR(O2="", O2=""), "[Aviso] Ciclo de vida no capturado ()", IF(ISNA(MATCH(O2, Criterios!$D$123:$D$124, 0)), "Ciclo de vida no válido", ""))))</f>
        <v/>
      </c>
      <c r="AC2" s="56" t="n"/>
      <c r="AD2" s="51" t="n">
        <v>0</v>
      </c>
      <c r="AE2" s="156" t="n"/>
      <c r="AF2" s="51" t="n">
        <v>0</v>
      </c>
      <c r="AG2" s="156" t="inlineStr">
        <is>
          <t>Catálogo existente</t>
        </is>
      </c>
      <c r="AH2" s="156" t="n"/>
      <c r="AI2" s="156" t="inlineStr">
        <is>
          <t>No</t>
        </is>
      </c>
      <c r="AJ2" s="156" t="n"/>
      <c r="AK2" s="155" t="inlineStr">
        <is>
          <t>Shopify Stetson: producto 15051554619755 / variante 53342127391083 | Odoo: producto 29849 / plantilla 38553</t>
        </is>
      </c>
      <c r="AL2" s="58" t="n">
        <v>775.862069</v>
      </c>
      <c r="AM2" s="58" t="n">
        <v>1724.137931</v>
      </c>
      <c r="AN2" s="155" t="inlineStr">
        <is>
          <t>Shopify Stetson México | Odoo Universal Unique Brands</t>
        </is>
      </c>
      <c r="AO2" s="59" t="n">
        <v>3</v>
      </c>
      <c r="AP2" s="59" t="n"/>
      <c r="AQ2" s="59" t="n">
        <v>3</v>
      </c>
      <c r="AR2" s="155" t="inlineStr">
        <is>
          <t>Shopify Stetson México › Stetson Americas: 3 | Odoo Universal Unique Brands › Bodega 25 › Bodega 25/General: 3</t>
        </is>
      </c>
    </row>
    <row r="3">
      <c r="A3" s="50" t="inlineStr">
        <is>
          <t>052356088928</t>
        </is>
      </c>
      <c r="B3" s="51" t="inlineStr">
        <is>
          <t>110609</t>
        </is>
      </c>
      <c r="C3" s="156" t="inlineStr">
        <is>
          <t>Multimarca</t>
        </is>
      </c>
      <c r="D3" s="156" t="inlineStr">
        <is>
          <t>11-004-1312-4039</t>
        </is>
      </c>
      <c r="E3" s="156" t="inlineStr">
        <is>
          <t>11-004-1312-4039-30 32</t>
        </is>
      </c>
      <c r="F3" s="156" t="inlineStr">
        <is>
          <t>30 x 32</t>
        </is>
      </c>
      <c r="G3" s="156" t="inlineStr">
        <is>
          <t>30W / 32L</t>
        </is>
      </c>
      <c r="H3" s="156" t="inlineStr">
        <is>
          <t>Stetson</t>
        </is>
      </c>
      <c r="I3" s="156" t="inlineStr">
        <is>
          <t>Jean Doble Aguja Puntada X en Bolsa Trasera</t>
        </is>
      </c>
      <c r="J3" s="156" t="inlineStr">
        <is>
          <t>Denim</t>
        </is>
      </c>
      <c r="K3" s="156" t="inlineStr">
        <is>
          <t>Jeans</t>
        </is>
      </c>
      <c r="L3" s="156" t="inlineStr">
        <is>
          <t>Hombre</t>
        </is>
      </c>
      <c r="M3" s="156" t="inlineStr">
        <is>
          <t>Stetson</t>
        </is>
      </c>
      <c r="N3" s="156" t="inlineStr">
        <is>
          <t>SS26</t>
        </is>
      </c>
      <c r="O3" s="156" t="inlineStr">
        <is>
          <t>Seasonal</t>
        </is>
      </c>
      <c r="P3" s="156" t="inlineStr">
        <is>
          <t>Azul</t>
        </is>
      </c>
      <c r="Q3" s="156" t="inlineStr">
        <is>
          <t>Relajado</t>
        </is>
      </c>
      <c r="R3" s="156" t="inlineStr">
        <is>
          <t>Recto</t>
        </is>
      </c>
      <c r="S3" s="156" t="inlineStr">
        <is>
          <t>100% Algodón</t>
        </is>
      </c>
      <c r="T3" s="156" t="inlineStr">
        <is>
          <t>Jean Doble Aguja Puntada X en Bolsa Trasera Relajado</t>
        </is>
      </c>
      <c r="U3" s="156" t="n"/>
      <c r="V3" s="156" t="inlineStr">
        <is>
          <t>PZS</t>
        </is>
      </c>
      <c r="W3" s="51" t="inlineStr">
        <is>
          <t>53101502</t>
        </is>
      </c>
      <c r="X3" s="156" t="n"/>
      <c r="Y3" s="54" t="n">
        <v>775.862069</v>
      </c>
      <c r="Z3" s="54" t="n">
        <v>1724.137931</v>
      </c>
      <c r="AA3" s="55">
        <f>IF(AND(A3="", B3="", E3=""), "", IF(AB3="", "Válido", IF((LEN(AB3)-LEN(SUBSTITUTE(AB3,"; ","")))/2+1&gt;(LEN(AB3)-LEN(SUBSTITUTE(AB3,"[Aviso]","")))/7, "Con Incidencias", "Válido")))</f>
        <v/>
      </c>
      <c r="AB3" s="56">
        <f>IF(AND(A3="", B3="", E3=""), "", TEXTJOIN("; ", TRUE, IF(OR(TRIM(A3&amp;"")="", ISNUMBER(SEARCH("FALTA", A3))), "UPC faltante/inválido", ""), IF(AND(A3&lt;&gt;"", IFERROR(_xlfn.XMATCH(A3,$A$2:$A$2509,0,1)&lt;&gt;_xlfn.XMATCH(A3,$A$2:$A$2509,0,-1),FALSE)), "Código de barras duplicado", ""), IF(AND(E3&lt;&gt;"", COUNTIF($E$2:$E$2509, E3)&gt;1), "SKU duplicado", ""), IF(OR(J3="", J3=""), "[Aviso] División no capturada ()", IF(ISNA(MATCH(J3, Criterios!$A$123:$A$126, 0)), "División no válida", "")), IF(OR(K3="", K3=""), "[Aviso] Categoría no capturada ()", IF(ISNA(MATCH(K3, Criterios!$A$81:$A$120, 0)), "Categoría no válida", IF(AND(J3&lt;&gt;"", J3&lt;&gt;"", J3&lt;&gt;VLOOKUP(K3, Criterios!$A$81:$B$120, 2, FALSE)), "División no coincide con Categoría", ""))), IF(OR(L3="", L3=""), "[Aviso] Género no capturado ()", IF(ISNA(MATCH(L3, Criterios!$B$123:$B$127, 0)), "Género no válido", "")), IF(OR(N3="", N3=""), "[Aviso] Temporada no capturada ()", IF(ISNA(MATCH(N3, Criterios!$C$123:$C$128, 0)), "Temporada no válida", "")), IF(OR(O3="", O3=""), "[Aviso] Ciclo de vida no capturado ()", IF(ISNA(MATCH(O3, Criterios!$D$123:$D$124, 0)), "Ciclo de vida no válido", ""))))</f>
        <v/>
      </c>
      <c r="AC3" s="56" t="n"/>
      <c r="AD3" s="51" t="n">
        <v>-2</v>
      </c>
      <c r="AE3" s="156" t="n"/>
      <c r="AF3" s="51" t="n">
        <v>0</v>
      </c>
      <c r="AG3" s="156" t="inlineStr">
        <is>
          <t>Catálogo existente</t>
        </is>
      </c>
      <c r="AH3" s="156" t="inlineStr">
        <is>
          <t>Stock negativo en sistema: revisar en conteo</t>
        </is>
      </c>
      <c r="AI3" s="156" t="inlineStr">
        <is>
          <t>Sí</t>
        </is>
      </c>
      <c r="AJ3" s="156" t="inlineStr">
        <is>
          <t>STETSON AMERICAS (-2)</t>
        </is>
      </c>
      <c r="AK3" s="155" t="inlineStr">
        <is>
          <t>Shopify Stetson: producto 15051554619755 / variante 53342127423851 | Odoo: producto 29850 / plantilla 38554</t>
        </is>
      </c>
      <c r="AL3" s="58" t="n">
        <v>775.862069</v>
      </c>
      <c r="AM3" s="58" t="n">
        <v>1724.137931</v>
      </c>
      <c r="AN3" s="155" t="inlineStr">
        <is>
          <t>Shopify Stetson México | Odoo Universal Unique Brands</t>
        </is>
      </c>
      <c r="AO3" s="59" t="n">
        <v>4</v>
      </c>
      <c r="AP3" s="59" t="n"/>
      <c r="AQ3" s="59" t="n">
        <v>6</v>
      </c>
      <c r="AR3" s="155" t="inlineStr">
        <is>
          <t>Shopify Stetson México › Stetson Americas: 4 | Odoo Universal Unique Brands › Bodega 25 › Bodega 25/General: 6</t>
        </is>
      </c>
    </row>
    <row r="4">
      <c r="A4" s="50" t="inlineStr">
        <is>
          <t>052356088980</t>
        </is>
      </c>
      <c r="B4" s="51" t="inlineStr">
        <is>
          <t>110610</t>
        </is>
      </c>
      <c r="C4" s="156" t="inlineStr">
        <is>
          <t>Multimarca</t>
        </is>
      </c>
      <c r="D4" s="156" t="inlineStr">
        <is>
          <t>11-004-1312-4039</t>
        </is>
      </c>
      <c r="E4" s="156" t="inlineStr">
        <is>
          <t>11-004-1312-4039-31 32</t>
        </is>
      </c>
      <c r="F4" s="156" t="inlineStr">
        <is>
          <t>31 x 32</t>
        </is>
      </c>
      <c r="G4" s="156" t="inlineStr">
        <is>
          <t>31W / 32L</t>
        </is>
      </c>
      <c r="H4" s="156" t="inlineStr">
        <is>
          <t>Stetson</t>
        </is>
      </c>
      <c r="I4" s="156" t="inlineStr">
        <is>
          <t>Jean Doble Aguja Puntada X en Bolsa Trasera</t>
        </is>
      </c>
      <c r="J4" s="156" t="inlineStr">
        <is>
          <t>Denim</t>
        </is>
      </c>
      <c r="K4" s="156" t="inlineStr">
        <is>
          <t>Jeans</t>
        </is>
      </c>
      <c r="L4" s="156" t="inlineStr">
        <is>
          <t>Hombre</t>
        </is>
      </c>
      <c r="M4" s="156" t="inlineStr">
        <is>
          <t>Stetson</t>
        </is>
      </c>
      <c r="N4" s="156" t="inlineStr">
        <is>
          <t>SS26</t>
        </is>
      </c>
      <c r="O4" s="156" t="inlineStr">
        <is>
          <t>Seasonal</t>
        </is>
      </c>
      <c r="P4" s="156" t="inlineStr">
        <is>
          <t>Azul</t>
        </is>
      </c>
      <c r="Q4" s="156" t="inlineStr">
        <is>
          <t>Relajado</t>
        </is>
      </c>
      <c r="R4" s="156" t="inlineStr">
        <is>
          <t>Recto</t>
        </is>
      </c>
      <c r="S4" s="156" t="inlineStr">
        <is>
          <t>100% Algodón</t>
        </is>
      </c>
      <c r="T4" s="156" t="inlineStr">
        <is>
          <t>Jean Doble Aguja Puntada X en Bolsa Trasera Relajado</t>
        </is>
      </c>
      <c r="U4" s="156" t="n"/>
      <c r="V4" s="156" t="inlineStr">
        <is>
          <t>PZS</t>
        </is>
      </c>
      <c r="W4" s="51" t="inlineStr">
        <is>
          <t>53101502</t>
        </is>
      </c>
      <c r="X4" s="156" t="n"/>
      <c r="Y4" s="54" t="n">
        <v>775.862069</v>
      </c>
      <c r="Z4" s="54" t="n">
        <v>1724.137931</v>
      </c>
      <c r="AA4" s="55">
        <f>IF(AND(A4="", B4="", E4=""), "", IF(AB4="", "Válido", IF((LEN(AB4)-LEN(SUBSTITUTE(AB4,"; ","")))/2+1&gt;(LEN(AB4)-LEN(SUBSTITUTE(AB4,"[Aviso]","")))/7, "Con Incidencias", "Válido")))</f>
        <v/>
      </c>
      <c r="AB4" s="56">
        <f>IF(AND(A4="", B4="", E4=""), "", TEXTJOIN("; ", TRUE, IF(OR(TRIM(A4&amp;"")="", ISNUMBER(SEARCH("FALTA", A4))), "UPC faltante/inválido", ""), IF(AND(A4&lt;&gt;"", IFERROR(_xlfn.XMATCH(A4,$A$2:$A$2509,0,1)&lt;&gt;_xlfn.XMATCH(A4,$A$2:$A$2509,0,-1),FALSE)), "Código de barras duplicado", ""), IF(AND(E4&lt;&gt;"", COUNTIF($E$2:$E$2509, E4)&gt;1), "SKU duplicado", ""), IF(OR(J4="", J4=""), "[Aviso] División no capturada ()", IF(ISNA(MATCH(J4, Criterios!$A$123:$A$126, 0)), "División no válida", "")), IF(OR(K4="", K4=""), "[Aviso] Categoría no capturada ()", IF(ISNA(MATCH(K4, Criterios!$A$81:$A$120, 0)), "Categoría no válida", IF(AND(J4&lt;&gt;"", J4&lt;&gt;"", J4&lt;&gt;VLOOKUP(K4, Criterios!$A$81:$B$120, 2, FALSE)), "División no coincide con Categoría", ""))), IF(OR(L4="", L4=""), "[Aviso] Género no capturado ()", IF(ISNA(MATCH(L4, Criterios!$B$123:$B$127, 0)), "Género no válido", "")), IF(OR(N4="", N4=""), "[Aviso] Temporada no capturada ()", IF(ISNA(MATCH(N4, Criterios!$C$123:$C$128, 0)), "Temporada no válida", "")), IF(OR(O4="", O4=""), "[Aviso] Ciclo de vida no capturado ()", IF(ISNA(MATCH(O4, Criterios!$D$123:$D$124, 0)), "Ciclo de vida no válido", ""))))</f>
        <v/>
      </c>
      <c r="AC4" s="56" t="n"/>
      <c r="AD4" s="51" t="n">
        <v>-1</v>
      </c>
      <c r="AE4" s="156" t="n"/>
      <c r="AF4" s="51" t="n">
        <v>0</v>
      </c>
      <c r="AG4" s="156" t="inlineStr">
        <is>
          <t>Catálogo existente</t>
        </is>
      </c>
      <c r="AH4" s="156" t="n"/>
      <c r="AI4" s="156" t="inlineStr">
        <is>
          <t>Sí</t>
        </is>
      </c>
      <c r="AJ4" s="156" t="inlineStr">
        <is>
          <t>STETSON AMERICAS (-1)</t>
        </is>
      </c>
      <c r="AK4" s="155" t="inlineStr">
        <is>
          <t>Shopify Stetson: producto 15051554619755 / variante 53342127456619 | Odoo: producto 29851 / plantilla 38555</t>
        </is>
      </c>
      <c r="AL4" s="58" t="n">
        <v>775.862069</v>
      </c>
      <c r="AM4" s="58" t="n">
        <v>1724.137931</v>
      </c>
      <c r="AN4" s="155" t="inlineStr">
        <is>
          <t>Shopify Stetson México | Odoo Universal Unique Brands</t>
        </is>
      </c>
      <c r="AO4" s="59" t="n">
        <v>6</v>
      </c>
      <c r="AP4" s="59" t="n"/>
      <c r="AQ4" s="59" t="n">
        <v>7</v>
      </c>
      <c r="AR4" s="155" t="inlineStr">
        <is>
          <t>Shopify Stetson México › Stetson Americas: 6 | Odoo Universal Unique Brands › Bodega 25 › Bodega 25/General: 7</t>
        </is>
      </c>
    </row>
    <row r="5">
      <c r="A5" s="50" t="inlineStr">
        <is>
          <t>052356089048</t>
        </is>
      </c>
      <c r="B5" s="51" t="inlineStr">
        <is>
          <t>110611</t>
        </is>
      </c>
      <c r="C5" s="156" t="inlineStr">
        <is>
          <t>Multimarca</t>
        </is>
      </c>
      <c r="D5" s="156" t="inlineStr">
        <is>
          <t>11-004-1312-4039</t>
        </is>
      </c>
      <c r="E5" s="156" t="inlineStr">
        <is>
          <t>11-004-1312-4039-32 32</t>
        </is>
      </c>
      <c r="F5" s="156" t="inlineStr">
        <is>
          <t>32 x 32</t>
        </is>
      </c>
      <c r="G5" s="156" t="inlineStr">
        <is>
          <t>32W / 32L</t>
        </is>
      </c>
      <c r="H5" s="156" t="inlineStr">
        <is>
          <t>Stetson</t>
        </is>
      </c>
      <c r="I5" s="156" t="inlineStr">
        <is>
          <t>Jean Doble Aguja Puntada X en Bolsa Trasera</t>
        </is>
      </c>
      <c r="J5" s="156" t="inlineStr">
        <is>
          <t>Denim</t>
        </is>
      </c>
      <c r="K5" s="156" t="inlineStr">
        <is>
          <t>Jeans</t>
        </is>
      </c>
      <c r="L5" s="156" t="inlineStr">
        <is>
          <t>Hombre</t>
        </is>
      </c>
      <c r="M5" s="156" t="inlineStr">
        <is>
          <t>Stetson</t>
        </is>
      </c>
      <c r="N5" s="156" t="inlineStr">
        <is>
          <t>SS26</t>
        </is>
      </c>
      <c r="O5" s="156" t="inlineStr">
        <is>
          <t>Seasonal</t>
        </is>
      </c>
      <c r="P5" s="156" t="inlineStr">
        <is>
          <t>Azul</t>
        </is>
      </c>
      <c r="Q5" s="156" t="inlineStr">
        <is>
          <t>Relajado</t>
        </is>
      </c>
      <c r="R5" s="156" t="inlineStr">
        <is>
          <t>Recto</t>
        </is>
      </c>
      <c r="S5" s="156" t="inlineStr">
        <is>
          <t>100% Algodón</t>
        </is>
      </c>
      <c r="T5" s="156" t="inlineStr">
        <is>
          <t>Jean Doble Aguja Puntada X en Bolsa Trasera Relajado</t>
        </is>
      </c>
      <c r="U5" s="156" t="n"/>
      <c r="V5" s="156" t="inlineStr">
        <is>
          <t>PZS</t>
        </is>
      </c>
      <c r="W5" s="51" t="inlineStr">
        <is>
          <t>53101502</t>
        </is>
      </c>
      <c r="X5" s="156" t="n"/>
      <c r="Y5" s="54" t="n">
        <v>775.862069</v>
      </c>
      <c r="Z5" s="54" t="n">
        <v>1724.137931</v>
      </c>
      <c r="AA5" s="55">
        <f>IF(AND(A5="", B5="", E5=""), "", IF(AB5="", "Válido", IF((LEN(AB5)-LEN(SUBSTITUTE(AB5,"; ","")))/2+1&gt;(LEN(AB5)-LEN(SUBSTITUTE(AB5,"[Aviso]","")))/7, "Con Incidencias", "Válido")))</f>
        <v/>
      </c>
      <c r="AB5" s="56">
        <f>IF(AND(A5="", B5="", E5=""), "", TEXTJOIN("; ", TRUE, IF(OR(TRIM(A5&amp;"")="", ISNUMBER(SEARCH("FALTA", A5))), "UPC faltante/inválido", ""), IF(AND(A5&lt;&gt;"", IFERROR(_xlfn.XMATCH(A5,$A$2:$A$2509,0,1)&lt;&gt;_xlfn.XMATCH(A5,$A$2:$A$2509,0,-1),FALSE)), "Código de barras duplicado", ""), IF(AND(E5&lt;&gt;"", COUNTIF($E$2:$E$2509, E5)&gt;1), "SKU duplicado", ""), IF(OR(J5="", J5=""), "[Aviso] División no capturada ()", IF(ISNA(MATCH(J5, Criterios!$A$123:$A$126, 0)), "División no válida", "")), IF(OR(K5="", K5=""), "[Aviso] Categoría no capturada ()", IF(ISNA(MATCH(K5, Criterios!$A$81:$A$120, 0)), "Categoría no válida", IF(AND(J5&lt;&gt;"", J5&lt;&gt;"", J5&lt;&gt;VLOOKUP(K5, Criterios!$A$81:$B$120, 2, FALSE)), "División no coincide con Categoría", ""))), IF(OR(L5="", L5=""), "[Aviso] Género no capturado ()", IF(ISNA(MATCH(L5, Criterios!$B$123:$B$127, 0)), "Género no válido", "")), IF(OR(N5="", N5=""), "[Aviso] Temporada no capturada ()", IF(ISNA(MATCH(N5, Criterios!$C$123:$C$128, 0)), "Temporada no válida", "")), IF(OR(O5="", O5=""), "[Aviso] Ciclo de vida no capturado ()", IF(ISNA(MATCH(O5, Criterios!$D$123:$D$124, 0)), "Ciclo de vida no válido", ""))))</f>
        <v/>
      </c>
      <c r="AC5" s="56" t="n"/>
      <c r="AD5" s="51" t="n">
        <v>-1</v>
      </c>
      <c r="AE5" s="156" t="n"/>
      <c r="AF5" s="51" t="n">
        <v>0</v>
      </c>
      <c r="AG5" s="156" t="inlineStr">
        <is>
          <t>Catálogo existente</t>
        </is>
      </c>
      <c r="AH5" s="156" t="inlineStr">
        <is>
          <t>Stock negativo en sistema: revisar en conteo</t>
        </is>
      </c>
      <c r="AI5" s="156" t="inlineStr">
        <is>
          <t>Sí</t>
        </is>
      </c>
      <c r="AJ5" s="156" t="inlineStr">
        <is>
          <t>STETSON AMERICAS (-1)</t>
        </is>
      </c>
      <c r="AK5" s="155" t="inlineStr">
        <is>
          <t>Shopify Stetson: producto 15051554619755 / variante 53342127489387 | Odoo: producto 29852 / plantilla 38556</t>
        </is>
      </c>
      <c r="AL5" s="58" t="n">
        <v>775.862069</v>
      </c>
      <c r="AM5" s="58" t="n">
        <v>1724.137931</v>
      </c>
      <c r="AN5" s="155" t="inlineStr">
        <is>
          <t>Shopify Stetson México | Odoo Universal Unique Brands</t>
        </is>
      </c>
      <c r="AO5" s="59" t="n">
        <v>9</v>
      </c>
      <c r="AP5" s="59" t="n"/>
      <c r="AQ5" s="59" t="n">
        <v>10</v>
      </c>
      <c r="AR5" s="155" t="inlineStr">
        <is>
          <t>Shopify Stetson México › Stetson Americas: 9 | Odoo Universal Unique Brands › Bodega 25 › Bodega 25/General: 10</t>
        </is>
      </c>
    </row>
    <row r="6">
      <c r="A6" s="50" t="inlineStr">
        <is>
          <t>052356089055</t>
        </is>
      </c>
      <c r="B6" s="51" t="inlineStr">
        <is>
          <t>110612</t>
        </is>
      </c>
      <c r="C6" s="156" t="inlineStr">
        <is>
          <t>Multimarca</t>
        </is>
      </c>
      <c r="D6" s="156" t="inlineStr">
        <is>
          <t>11-004-1312-4039</t>
        </is>
      </c>
      <c r="E6" s="156" t="inlineStr">
        <is>
          <t>11-004-1312-4039-32 34</t>
        </is>
      </c>
      <c r="F6" s="156" t="inlineStr">
        <is>
          <t>32 x 34</t>
        </is>
      </c>
      <c r="G6" s="156" t="inlineStr">
        <is>
          <t>32W / 34L</t>
        </is>
      </c>
      <c r="H6" s="156" t="inlineStr">
        <is>
          <t>Stetson</t>
        </is>
      </c>
      <c r="I6" s="156" t="inlineStr">
        <is>
          <t>Jean Doble Aguja Puntada X en Bolsa Trasera</t>
        </is>
      </c>
      <c r="J6" s="156" t="inlineStr">
        <is>
          <t>Denim</t>
        </is>
      </c>
      <c r="K6" s="156" t="inlineStr">
        <is>
          <t>Jeans</t>
        </is>
      </c>
      <c r="L6" s="156" t="inlineStr">
        <is>
          <t>Hombre</t>
        </is>
      </c>
      <c r="M6" s="156" t="inlineStr">
        <is>
          <t>Stetson</t>
        </is>
      </c>
      <c r="N6" s="156" t="inlineStr">
        <is>
          <t>SS26</t>
        </is>
      </c>
      <c r="O6" s="156" t="inlineStr">
        <is>
          <t>Seasonal</t>
        </is>
      </c>
      <c r="P6" s="156" t="inlineStr">
        <is>
          <t>Azul</t>
        </is>
      </c>
      <c r="Q6" s="156" t="inlineStr">
        <is>
          <t>Relajado</t>
        </is>
      </c>
      <c r="R6" s="156" t="inlineStr">
        <is>
          <t>Recto</t>
        </is>
      </c>
      <c r="S6" s="156" t="inlineStr">
        <is>
          <t>100% Algodón</t>
        </is>
      </c>
      <c r="T6" s="156" t="inlineStr">
        <is>
          <t>Jean Doble Aguja Puntada X en Bolsa Trasera Relajado</t>
        </is>
      </c>
      <c r="U6" s="156" t="n"/>
      <c r="V6" s="156" t="inlineStr">
        <is>
          <t>PZS</t>
        </is>
      </c>
      <c r="W6" s="51" t="inlineStr">
        <is>
          <t>53101502</t>
        </is>
      </c>
      <c r="X6" s="156" t="n"/>
      <c r="Y6" s="54" t="n">
        <v>775.862069</v>
      </c>
      <c r="Z6" s="54" t="n">
        <v>1724.137931</v>
      </c>
      <c r="AA6" s="55">
        <f>IF(AND(A6="", B6="", E6=""), "", IF(AB6="", "Válido", IF((LEN(AB6)-LEN(SUBSTITUTE(AB6,"; ","")))/2+1&gt;(LEN(AB6)-LEN(SUBSTITUTE(AB6,"[Aviso]","")))/7, "Con Incidencias", "Válido")))</f>
        <v/>
      </c>
      <c r="AB6" s="56">
        <f>IF(AND(A6="", B6="", E6=""), "", TEXTJOIN("; ", TRUE, IF(OR(TRIM(A6&amp;"")="", ISNUMBER(SEARCH("FALTA", A6))), "UPC faltante/inválido", ""), IF(AND(A6&lt;&gt;"", IFERROR(_xlfn.XMATCH(A6,$A$2:$A$2509,0,1)&lt;&gt;_xlfn.XMATCH(A6,$A$2:$A$2509,0,-1),FALSE)), "Código de barras duplicado", ""), IF(AND(E6&lt;&gt;"", COUNTIF($E$2:$E$2509, E6)&gt;1), "SKU duplicado", ""), IF(OR(J6="", J6=""), "[Aviso] División no capturada ()", IF(ISNA(MATCH(J6, Criterios!$A$123:$A$126, 0)), "División no válida", "")), IF(OR(K6="", K6=""), "[Aviso] Categoría no capturada ()", IF(ISNA(MATCH(K6, Criterios!$A$81:$A$120, 0)), "Categoría no válida", IF(AND(J6&lt;&gt;"", J6&lt;&gt;"", J6&lt;&gt;VLOOKUP(K6, Criterios!$A$81:$B$120, 2, FALSE)), "División no coincide con Categoría", ""))), IF(OR(L6="", L6=""), "[Aviso] Género no capturado ()", IF(ISNA(MATCH(L6, Criterios!$B$123:$B$127, 0)), "Género no válido", "")), IF(OR(N6="", N6=""), "[Aviso] Temporada no capturada ()", IF(ISNA(MATCH(N6, Criterios!$C$123:$C$128, 0)), "Temporada no válida", "")), IF(OR(O6="", O6=""), "[Aviso] Ciclo de vida no capturado ()", IF(ISNA(MATCH(O6, Criterios!$D$123:$D$124, 0)), "Ciclo de vida no válido", ""))))</f>
        <v/>
      </c>
      <c r="AC6" s="56" t="n"/>
      <c r="AD6" s="51" t="n">
        <v>0</v>
      </c>
      <c r="AE6" s="156" t="n"/>
      <c r="AF6" s="51" t="n">
        <v>0</v>
      </c>
      <c r="AG6" s="156" t="inlineStr">
        <is>
          <t>Catálogo existente</t>
        </is>
      </c>
      <c r="AH6" s="156" t="n"/>
      <c r="AI6" s="156" t="inlineStr">
        <is>
          <t>No</t>
        </is>
      </c>
      <c r="AJ6" s="156" t="n"/>
      <c r="AK6" s="155" t="inlineStr">
        <is>
          <t>Shopify Stetson: producto 15051554619755 / variante 53342127522155 | Odoo: producto 29853 / plantilla 38557</t>
        </is>
      </c>
      <c r="AL6" s="58" t="n">
        <v>775.862069</v>
      </c>
      <c r="AM6" s="58" t="n">
        <v>1724.137931</v>
      </c>
      <c r="AN6" s="155" t="inlineStr">
        <is>
          <t>Shopify Stetson México | Odoo Universal Unique Brands</t>
        </is>
      </c>
      <c r="AO6" s="59" t="n">
        <v>7</v>
      </c>
      <c r="AP6" s="59" t="n"/>
      <c r="AQ6" s="59" t="n">
        <v>7</v>
      </c>
      <c r="AR6" s="155" t="inlineStr">
        <is>
          <t>Shopify Stetson México › Stetson Americas: 7 | Odoo Universal Unique Brands › Bodega 25 › Bodega 25/General: 7</t>
        </is>
      </c>
    </row>
    <row r="7">
      <c r="A7" s="50" t="inlineStr">
        <is>
          <t>052356089109</t>
        </is>
      </c>
      <c r="B7" s="51" t="inlineStr">
        <is>
          <t>110613</t>
        </is>
      </c>
      <c r="C7" s="156" t="inlineStr">
        <is>
          <t>Multimarca</t>
        </is>
      </c>
      <c r="D7" s="156" t="inlineStr">
        <is>
          <t>11-004-1312-4039</t>
        </is>
      </c>
      <c r="E7" s="156" t="inlineStr">
        <is>
          <t>11-004-1312-4039-33 32</t>
        </is>
      </c>
      <c r="F7" s="156" t="inlineStr">
        <is>
          <t>33 x 32</t>
        </is>
      </c>
      <c r="G7" s="156" t="inlineStr">
        <is>
          <t>33W / 32L</t>
        </is>
      </c>
      <c r="H7" s="156" t="inlineStr">
        <is>
          <t>Stetson</t>
        </is>
      </c>
      <c r="I7" s="156" t="inlineStr">
        <is>
          <t>Jean Doble Aguja Puntada X en Bolsa Trasera</t>
        </is>
      </c>
      <c r="J7" s="156" t="inlineStr">
        <is>
          <t>Denim</t>
        </is>
      </c>
      <c r="K7" s="156" t="inlineStr">
        <is>
          <t>Jeans</t>
        </is>
      </c>
      <c r="L7" s="156" t="inlineStr">
        <is>
          <t>Hombre</t>
        </is>
      </c>
      <c r="M7" s="156" t="inlineStr">
        <is>
          <t>Stetson</t>
        </is>
      </c>
      <c r="N7" s="156" t="inlineStr">
        <is>
          <t>SS26</t>
        </is>
      </c>
      <c r="O7" s="156" t="inlineStr">
        <is>
          <t>Seasonal</t>
        </is>
      </c>
      <c r="P7" s="156" t="inlineStr">
        <is>
          <t>Azul</t>
        </is>
      </c>
      <c r="Q7" s="156" t="inlineStr">
        <is>
          <t>Relajado</t>
        </is>
      </c>
      <c r="R7" s="156" t="inlineStr">
        <is>
          <t>Recto</t>
        </is>
      </c>
      <c r="S7" s="156" t="inlineStr">
        <is>
          <t>100% Algodón</t>
        </is>
      </c>
      <c r="T7" s="156" t="inlineStr">
        <is>
          <t>Jean Doble Aguja Puntada X en Bolsa Trasera Relajado</t>
        </is>
      </c>
      <c r="U7" s="156" t="n"/>
      <c r="V7" s="156" t="inlineStr">
        <is>
          <t>PZS</t>
        </is>
      </c>
      <c r="W7" s="51" t="inlineStr">
        <is>
          <t>53101502</t>
        </is>
      </c>
      <c r="X7" s="156" t="n"/>
      <c r="Y7" s="54" t="n">
        <v>775.862069</v>
      </c>
      <c r="Z7" s="54" t="n">
        <v>1724.137931</v>
      </c>
      <c r="AA7" s="55">
        <f>IF(AND(A7="", B7="", E7=""), "", IF(AB7="", "Válido", IF((LEN(AB7)-LEN(SUBSTITUTE(AB7,"; ","")))/2+1&gt;(LEN(AB7)-LEN(SUBSTITUTE(AB7,"[Aviso]","")))/7, "Con Incidencias", "Válido")))</f>
        <v/>
      </c>
      <c r="AB7" s="56">
        <f>IF(AND(A7="", B7="", E7=""), "", TEXTJOIN("; ", TRUE, IF(OR(TRIM(A7&amp;"")="", ISNUMBER(SEARCH("FALTA", A7))), "UPC faltante/inválido", ""), IF(AND(A7&lt;&gt;"", IFERROR(_xlfn.XMATCH(A7,$A$2:$A$2509,0,1)&lt;&gt;_xlfn.XMATCH(A7,$A$2:$A$2509,0,-1),FALSE)), "Código de barras duplicado", ""), IF(AND(E7&lt;&gt;"", COUNTIF($E$2:$E$2509, E7)&gt;1), "SKU duplicado", ""), IF(OR(J7="", J7=""), "[Aviso] División no capturada ()", IF(ISNA(MATCH(J7, Criterios!$A$123:$A$126, 0)), "División no válida", "")), IF(OR(K7="", K7=""), "[Aviso] Categoría no capturada ()", IF(ISNA(MATCH(K7, Criterios!$A$81:$A$120, 0)), "Categoría no válida", IF(AND(J7&lt;&gt;"", J7&lt;&gt;"", J7&lt;&gt;VLOOKUP(K7, Criterios!$A$81:$B$120, 2, FALSE)), "División no coincide con Categoría", ""))), IF(OR(L7="", L7=""), "[Aviso] Género no capturado ()", IF(ISNA(MATCH(L7, Criterios!$B$123:$B$127, 0)), "Género no válido", "")), IF(OR(N7="", N7=""), "[Aviso] Temporada no capturada ()", IF(ISNA(MATCH(N7, Criterios!$C$123:$C$128, 0)), "Temporada no válida", "")), IF(OR(O7="", O7=""), "[Aviso] Ciclo de vida no capturado ()", IF(ISNA(MATCH(O7, Criterios!$D$123:$D$124, 0)), "Ciclo de vida no válido", ""))))</f>
        <v/>
      </c>
      <c r="AC7" s="56" t="n"/>
      <c r="AD7" s="51" t="n">
        <v>-1</v>
      </c>
      <c r="AE7" s="156" t="n"/>
      <c r="AF7" s="51" t="n">
        <v>0</v>
      </c>
      <c r="AG7" s="156" t="inlineStr">
        <is>
          <t>Catálogo existente</t>
        </is>
      </c>
      <c r="AH7" s="156" t="inlineStr">
        <is>
          <t>Stock negativo en sistema: revisar en conteo</t>
        </is>
      </c>
      <c r="AI7" s="156" t="inlineStr">
        <is>
          <t>Sí</t>
        </is>
      </c>
      <c r="AJ7" s="156" t="inlineStr">
        <is>
          <t>STETSON AMERICAS (-1)</t>
        </is>
      </c>
      <c r="AK7" s="155" t="inlineStr">
        <is>
          <t>Shopify Stetson: producto 15051554619755 / variante 53342127554923 | Odoo: producto 29854 / plantilla 38558</t>
        </is>
      </c>
      <c r="AL7" s="58" t="n">
        <v>775.862069</v>
      </c>
      <c r="AM7" s="58" t="n">
        <v>1724.137931</v>
      </c>
      <c r="AN7" s="155" t="inlineStr">
        <is>
          <t>Shopify Stetson México | Odoo Universal Unique Brands</t>
        </is>
      </c>
      <c r="AO7" s="59" t="n">
        <v>5</v>
      </c>
      <c r="AP7" s="59" t="n"/>
      <c r="AQ7" s="59" t="n">
        <v>6</v>
      </c>
      <c r="AR7" s="155" t="inlineStr">
        <is>
          <t>Shopify Stetson México › Stetson Americas: 5 | Odoo Universal Unique Brands › Bodega 25 › Bodega 25/General: 6</t>
        </is>
      </c>
    </row>
    <row r="8">
      <c r="A8" s="50" t="inlineStr">
        <is>
          <t>052356089161</t>
        </is>
      </c>
      <c r="B8" s="51" t="inlineStr">
        <is>
          <t>110614</t>
        </is>
      </c>
      <c r="C8" s="156" t="inlineStr">
        <is>
          <t>Multimarca</t>
        </is>
      </c>
      <c r="D8" s="156" t="inlineStr">
        <is>
          <t>11-004-1312-4039</t>
        </is>
      </c>
      <c r="E8" s="156" t="inlineStr">
        <is>
          <t>11-004-1312-4039-34 32</t>
        </is>
      </c>
      <c r="F8" s="156" t="inlineStr">
        <is>
          <t>34 x 32</t>
        </is>
      </c>
      <c r="G8" s="156" t="inlineStr">
        <is>
          <t>34W / 32L</t>
        </is>
      </c>
      <c r="H8" s="156" t="inlineStr">
        <is>
          <t>Stetson</t>
        </is>
      </c>
      <c r="I8" s="156" t="inlineStr">
        <is>
          <t>Jean Doble Aguja Puntada X en Bolsa Trasera</t>
        </is>
      </c>
      <c r="J8" s="156" t="inlineStr">
        <is>
          <t>Denim</t>
        </is>
      </c>
      <c r="K8" s="156" t="inlineStr">
        <is>
          <t>Jeans</t>
        </is>
      </c>
      <c r="L8" s="156" t="inlineStr">
        <is>
          <t>Hombre</t>
        </is>
      </c>
      <c r="M8" s="156" t="inlineStr">
        <is>
          <t>Stetson</t>
        </is>
      </c>
      <c r="N8" s="156" t="inlineStr">
        <is>
          <t>SS26</t>
        </is>
      </c>
      <c r="O8" s="156" t="inlineStr">
        <is>
          <t>Seasonal</t>
        </is>
      </c>
      <c r="P8" s="156" t="inlineStr">
        <is>
          <t>Azul</t>
        </is>
      </c>
      <c r="Q8" s="156" t="inlineStr">
        <is>
          <t>Relajado</t>
        </is>
      </c>
      <c r="R8" s="156" t="inlineStr">
        <is>
          <t>Recto</t>
        </is>
      </c>
      <c r="S8" s="156" t="inlineStr">
        <is>
          <t>100% Algodón</t>
        </is>
      </c>
      <c r="T8" s="156" t="inlineStr">
        <is>
          <t>Jean Doble Aguja Puntada X en Bolsa Trasera Relajado</t>
        </is>
      </c>
      <c r="U8" s="156" t="n"/>
      <c r="V8" s="156" t="inlineStr">
        <is>
          <t>PZS</t>
        </is>
      </c>
      <c r="W8" s="51" t="inlineStr">
        <is>
          <t>53101502</t>
        </is>
      </c>
      <c r="X8" s="156" t="n"/>
      <c r="Y8" s="54" t="n">
        <v>775.862069</v>
      </c>
      <c r="Z8" s="54" t="n">
        <v>1724.137931</v>
      </c>
      <c r="AA8" s="55">
        <f>IF(AND(A8="", B8="", E8=""), "", IF(AB8="", "Válido", IF((LEN(AB8)-LEN(SUBSTITUTE(AB8,"; ","")))/2+1&gt;(LEN(AB8)-LEN(SUBSTITUTE(AB8,"[Aviso]","")))/7, "Con Incidencias", "Válido")))</f>
        <v/>
      </c>
      <c r="AB8" s="56">
        <f>IF(AND(A8="", B8="", E8=""), "", TEXTJOIN("; ", TRUE, IF(OR(TRIM(A8&amp;"")="", ISNUMBER(SEARCH("FALTA", A8))), "UPC faltante/inválido", ""), IF(AND(A8&lt;&gt;"", IFERROR(_xlfn.XMATCH(A8,$A$2:$A$2509,0,1)&lt;&gt;_xlfn.XMATCH(A8,$A$2:$A$2509,0,-1),FALSE)), "Código de barras duplicado", ""), IF(AND(E8&lt;&gt;"", COUNTIF($E$2:$E$2509, E8)&gt;1), "SKU duplicado", ""), IF(OR(J8="", J8=""), "[Aviso] División no capturada ()", IF(ISNA(MATCH(J8, Criterios!$A$123:$A$126, 0)), "División no válida", "")), IF(OR(K8="", K8=""), "[Aviso] Categoría no capturada ()", IF(ISNA(MATCH(K8, Criterios!$A$81:$A$120, 0)), "Categoría no válida", IF(AND(J8&lt;&gt;"", J8&lt;&gt;"", J8&lt;&gt;VLOOKUP(K8, Criterios!$A$81:$B$120, 2, FALSE)), "División no coincide con Categoría", ""))), IF(OR(L8="", L8=""), "[Aviso] Género no capturado ()", IF(ISNA(MATCH(L8, Criterios!$B$123:$B$127, 0)), "Género no válido", "")), IF(OR(N8="", N8=""), "[Aviso] Temporada no capturada ()", IF(ISNA(MATCH(N8, Criterios!$C$123:$C$128, 0)), "Temporada no válida", "")), IF(OR(O8="", O8=""), "[Aviso] Ciclo de vida no capturado ()", IF(ISNA(MATCH(O8, Criterios!$D$123:$D$124, 0)), "Ciclo de vida no válido", ""))))</f>
        <v/>
      </c>
      <c r="AC8" s="56" t="n"/>
      <c r="AD8" s="51" t="n">
        <v>0</v>
      </c>
      <c r="AE8" s="156" t="n"/>
      <c r="AF8" s="51" t="n">
        <v>0</v>
      </c>
      <c r="AG8" s="156" t="inlineStr">
        <is>
          <t>Catálogo existente</t>
        </is>
      </c>
      <c r="AH8" s="156" t="n"/>
      <c r="AI8" s="156" t="inlineStr">
        <is>
          <t>No</t>
        </is>
      </c>
      <c r="AJ8" s="156" t="n"/>
      <c r="AK8" s="155" t="inlineStr">
        <is>
          <t>Shopify Stetson: producto 15051554619755 / variante 53342127587691 | Odoo: producto 29855 / plantilla 38559</t>
        </is>
      </c>
      <c r="AL8" s="58" t="n">
        <v>775.862069</v>
      </c>
      <c r="AM8" s="58" t="n">
        <v>1724.137931</v>
      </c>
      <c r="AN8" s="155" t="inlineStr">
        <is>
          <t>Shopify Stetson México | Odoo Universal Unique Brands</t>
        </is>
      </c>
      <c r="AO8" s="59" t="n">
        <v>6</v>
      </c>
      <c r="AP8" s="59" t="n"/>
      <c r="AQ8" s="59" t="n">
        <v>6</v>
      </c>
      <c r="AR8" s="155" t="inlineStr">
        <is>
          <t>Shopify Stetson México › Stetson Americas: 6 | Odoo Universal Unique Brands › Bodega 25 › Bodega 25/General: 6</t>
        </is>
      </c>
    </row>
    <row r="9">
      <c r="A9" s="50" t="inlineStr">
        <is>
          <t>052356089178</t>
        </is>
      </c>
      <c r="B9" s="51" t="inlineStr">
        <is>
          <t>110615</t>
        </is>
      </c>
      <c r="C9" s="156" t="inlineStr">
        <is>
          <t>Multimarca</t>
        </is>
      </c>
      <c r="D9" s="156" t="inlineStr">
        <is>
          <t>11-004-1312-4039</t>
        </is>
      </c>
      <c r="E9" s="156" t="inlineStr">
        <is>
          <t>11-004-1312-4039-34 34</t>
        </is>
      </c>
      <c r="F9" s="156" t="inlineStr">
        <is>
          <t>34 x 34</t>
        </is>
      </c>
      <c r="G9" s="156" t="inlineStr">
        <is>
          <t>34W / 34L</t>
        </is>
      </c>
      <c r="H9" s="156" t="inlineStr">
        <is>
          <t>Stetson</t>
        </is>
      </c>
      <c r="I9" s="156" t="inlineStr">
        <is>
          <t>Jean Doble Aguja Puntada X en Bolsa Trasera</t>
        </is>
      </c>
      <c r="J9" s="156" t="inlineStr">
        <is>
          <t>Denim</t>
        </is>
      </c>
      <c r="K9" s="156" t="inlineStr">
        <is>
          <t>Jeans</t>
        </is>
      </c>
      <c r="L9" s="156" t="inlineStr">
        <is>
          <t>Hombre</t>
        </is>
      </c>
      <c r="M9" s="156" t="inlineStr">
        <is>
          <t>Stetson</t>
        </is>
      </c>
      <c r="N9" s="156" t="inlineStr">
        <is>
          <t>SS26</t>
        </is>
      </c>
      <c r="O9" s="156" t="inlineStr">
        <is>
          <t>Seasonal</t>
        </is>
      </c>
      <c r="P9" s="156" t="inlineStr">
        <is>
          <t>Azul</t>
        </is>
      </c>
      <c r="Q9" s="156" t="inlineStr">
        <is>
          <t>Relajado</t>
        </is>
      </c>
      <c r="R9" s="156" t="inlineStr">
        <is>
          <t>Recto</t>
        </is>
      </c>
      <c r="S9" s="156" t="inlineStr">
        <is>
          <t>100% Algodón</t>
        </is>
      </c>
      <c r="T9" s="156" t="inlineStr">
        <is>
          <t>Jean Doble Aguja Puntada X en Bolsa Trasera Relajado</t>
        </is>
      </c>
      <c r="U9" s="156" t="n"/>
      <c r="V9" s="156" t="inlineStr">
        <is>
          <t>PZS</t>
        </is>
      </c>
      <c r="W9" s="51" t="inlineStr">
        <is>
          <t>53101502</t>
        </is>
      </c>
      <c r="X9" s="156" t="n"/>
      <c r="Y9" s="54" t="n">
        <v>775.862069</v>
      </c>
      <c r="Z9" s="54" t="n">
        <v>1724.137931</v>
      </c>
      <c r="AA9" s="55">
        <f>IF(AND(A9="", B9="", E9=""), "", IF(AB9="", "Válido", IF((LEN(AB9)-LEN(SUBSTITUTE(AB9,"; ","")))/2+1&gt;(LEN(AB9)-LEN(SUBSTITUTE(AB9,"[Aviso]","")))/7, "Con Incidencias", "Válido")))</f>
        <v/>
      </c>
      <c r="AB9" s="56">
        <f>IF(AND(A9="", B9="", E9=""), "", TEXTJOIN("; ", TRUE, IF(OR(TRIM(A9&amp;"")="", ISNUMBER(SEARCH("FALTA", A9))), "UPC faltante/inválido", ""), IF(AND(A9&lt;&gt;"", IFERROR(_xlfn.XMATCH(A9,$A$2:$A$2509,0,1)&lt;&gt;_xlfn.XMATCH(A9,$A$2:$A$2509,0,-1),FALSE)), "Código de barras duplicado", ""), IF(AND(E9&lt;&gt;"", COUNTIF($E$2:$E$2509, E9)&gt;1), "SKU duplicado", ""), IF(OR(J9="", J9=""), "[Aviso] División no capturada ()", IF(ISNA(MATCH(J9, Criterios!$A$123:$A$126, 0)), "División no válida", "")), IF(OR(K9="", K9=""), "[Aviso] Categoría no capturada ()", IF(ISNA(MATCH(K9, Criterios!$A$81:$A$120, 0)), "Categoría no válida", IF(AND(J9&lt;&gt;"", J9&lt;&gt;"", J9&lt;&gt;VLOOKUP(K9, Criterios!$A$81:$B$120, 2, FALSE)), "División no coincide con Categoría", ""))), IF(OR(L9="", L9=""), "[Aviso] Género no capturado ()", IF(ISNA(MATCH(L9, Criterios!$B$123:$B$127, 0)), "Género no válido", "")), IF(OR(N9="", N9=""), "[Aviso] Temporada no capturada ()", IF(ISNA(MATCH(N9, Criterios!$C$123:$C$128, 0)), "Temporada no válida", "")), IF(OR(O9="", O9=""), "[Aviso] Ciclo de vida no capturado ()", IF(ISNA(MATCH(O9, Criterios!$D$123:$D$124, 0)), "Ciclo de vida no válido", ""))))</f>
        <v/>
      </c>
      <c r="AC9" s="56" t="n"/>
      <c r="AD9" s="51" t="n">
        <v>0</v>
      </c>
      <c r="AE9" s="156" t="n"/>
      <c r="AF9" s="51" t="n">
        <v>0</v>
      </c>
      <c r="AG9" s="156" t="inlineStr">
        <is>
          <t>Catálogo existente</t>
        </is>
      </c>
      <c r="AH9" s="156" t="n"/>
      <c r="AI9" s="156" t="inlineStr">
        <is>
          <t>No</t>
        </is>
      </c>
      <c r="AJ9" s="156" t="n"/>
      <c r="AK9" s="155" t="inlineStr">
        <is>
          <t>Shopify Stetson: producto 15051554619755 / variante 53342127620459 | Odoo: producto 29856 / plantilla 38560</t>
        </is>
      </c>
      <c r="AL9" s="58" t="n">
        <v>775.862069</v>
      </c>
      <c r="AM9" s="58" t="n">
        <v>1724.137931</v>
      </c>
      <c r="AN9" s="155" t="inlineStr">
        <is>
          <t>Shopify Stetson México | Odoo Universal Unique Brands</t>
        </is>
      </c>
      <c r="AO9" s="59" t="n">
        <v>6</v>
      </c>
      <c r="AP9" s="59" t="n"/>
      <c r="AQ9" s="59" t="n">
        <v>6</v>
      </c>
      <c r="AR9" s="155" t="inlineStr">
        <is>
          <t>Shopify Stetson México › Stetson Americas: 6 | Odoo Universal Unique Brands › Bodega 25 › Bodega 25/General: 6</t>
        </is>
      </c>
    </row>
    <row r="10">
      <c r="A10" s="50" t="inlineStr">
        <is>
          <t>052356089185</t>
        </is>
      </c>
      <c r="B10" s="51" t="inlineStr">
        <is>
          <t>110616</t>
        </is>
      </c>
      <c r="C10" s="156" t="inlineStr">
        <is>
          <t>Multimarca</t>
        </is>
      </c>
      <c r="D10" s="156" t="inlineStr">
        <is>
          <t>11-004-1312-4039</t>
        </is>
      </c>
      <c r="E10" s="156" t="inlineStr">
        <is>
          <t>11-004-1312-4039-34 36</t>
        </is>
      </c>
      <c r="F10" s="156" t="inlineStr">
        <is>
          <t>34 x 36</t>
        </is>
      </c>
      <c r="G10" s="156" t="inlineStr">
        <is>
          <t>34W / 36L</t>
        </is>
      </c>
      <c r="H10" s="156" t="inlineStr">
        <is>
          <t>Stetson</t>
        </is>
      </c>
      <c r="I10" s="156" t="inlineStr">
        <is>
          <t>Jean Doble Aguja Puntada X en Bolsa Trasera</t>
        </is>
      </c>
      <c r="J10" s="156" t="inlineStr">
        <is>
          <t>Denim</t>
        </is>
      </c>
      <c r="K10" s="156" t="inlineStr">
        <is>
          <t>Jeans</t>
        </is>
      </c>
      <c r="L10" s="156" t="inlineStr">
        <is>
          <t>Hombre</t>
        </is>
      </c>
      <c r="M10" s="156" t="inlineStr">
        <is>
          <t>Stetson</t>
        </is>
      </c>
      <c r="N10" s="156" t="inlineStr">
        <is>
          <t>SS26</t>
        </is>
      </c>
      <c r="O10" s="156" t="inlineStr">
        <is>
          <t>Seasonal</t>
        </is>
      </c>
      <c r="P10" s="156" t="inlineStr">
        <is>
          <t>Azul</t>
        </is>
      </c>
      <c r="Q10" s="156" t="inlineStr">
        <is>
          <t>Relajado</t>
        </is>
      </c>
      <c r="R10" s="156" t="inlineStr">
        <is>
          <t>Recto</t>
        </is>
      </c>
      <c r="S10" s="156" t="inlineStr">
        <is>
          <t>100% Algodón</t>
        </is>
      </c>
      <c r="T10" s="156" t="inlineStr">
        <is>
          <t>Jean Doble Aguja Puntada X en Bolsa Trasera Relajado</t>
        </is>
      </c>
      <c r="U10" s="156" t="n"/>
      <c r="V10" s="156" t="inlineStr">
        <is>
          <t>PZS</t>
        </is>
      </c>
      <c r="W10" s="51" t="inlineStr">
        <is>
          <t>53101502</t>
        </is>
      </c>
      <c r="X10" s="156" t="n"/>
      <c r="Y10" s="54" t="n">
        <v>775.862069</v>
      </c>
      <c r="Z10" s="54" t="n">
        <v>1724.137931</v>
      </c>
      <c r="AA10" s="55">
        <f>IF(AND(A10="", B10="", E10=""), "", IF(AB10="", "Válido", IF((LEN(AB10)-LEN(SUBSTITUTE(AB10,"; ","")))/2+1&gt;(LEN(AB10)-LEN(SUBSTITUTE(AB10,"[Aviso]","")))/7, "Con Incidencias", "Válido")))</f>
        <v/>
      </c>
      <c r="AB10" s="56">
        <f>IF(AND(A10="", B10="", E10=""), "", TEXTJOIN("; ", TRUE, IF(OR(TRIM(A10&amp;"")="", ISNUMBER(SEARCH("FALTA", A10))), "UPC faltante/inválido", ""), IF(AND(A10&lt;&gt;"", IFERROR(_xlfn.XMATCH(A10,$A$2:$A$2509,0,1)&lt;&gt;_xlfn.XMATCH(A10,$A$2:$A$2509,0,-1),FALSE)), "Código de barras duplicado", ""), IF(AND(E10&lt;&gt;"", COUNTIF($E$2:$E$2509, E10)&gt;1), "SKU duplicado", ""), IF(OR(J10="", J10=""), "[Aviso] División no capturada ()", IF(ISNA(MATCH(J10, Criterios!$A$123:$A$126, 0)), "División no válida", "")), IF(OR(K10="", K10=""), "[Aviso] Categoría no capturada ()", IF(ISNA(MATCH(K10, Criterios!$A$81:$A$120, 0)), "Categoría no válida", IF(AND(J10&lt;&gt;"", J10&lt;&gt;"", J10&lt;&gt;VLOOKUP(K10, Criterios!$A$81:$B$120, 2, FALSE)), "División no coincide con Categoría", ""))), IF(OR(L10="", L10=""), "[Aviso] Género no capturado ()", IF(ISNA(MATCH(L10, Criterios!$B$123:$B$127, 0)), "Género no válido", "")), IF(OR(N10="", N10=""), "[Aviso] Temporada no capturada ()", IF(ISNA(MATCH(N10, Criterios!$C$123:$C$128, 0)), "Temporada no válida", "")), IF(OR(O10="", O10=""), "[Aviso] Ciclo de vida no capturado ()", IF(ISNA(MATCH(O10, Criterios!$D$123:$D$124, 0)), "Ciclo de vida no válido", ""))))</f>
        <v/>
      </c>
      <c r="AC10" s="56" t="n"/>
      <c r="AD10" s="51" t="n">
        <v>-1</v>
      </c>
      <c r="AE10" s="156" t="n"/>
      <c r="AF10" s="51" t="n">
        <v>0</v>
      </c>
      <c r="AG10" s="156" t="inlineStr">
        <is>
          <t>Catálogo existente</t>
        </is>
      </c>
      <c r="AH10" s="156" t="inlineStr">
        <is>
          <t>Stock negativo en sistema: revisar en conteo</t>
        </is>
      </c>
      <c r="AI10" s="156" t="inlineStr">
        <is>
          <t>Sí</t>
        </is>
      </c>
      <c r="AJ10" s="156" t="inlineStr">
        <is>
          <t>STETSON AMERICAS (-1)</t>
        </is>
      </c>
      <c r="AK10" s="155" t="inlineStr">
        <is>
          <t>Shopify Stetson: producto 15051554619755 / variante 53342127653227 | Odoo: producto 29857 / plantilla 38561</t>
        </is>
      </c>
      <c r="AL10" s="58" t="n">
        <v>775.862069</v>
      </c>
      <c r="AM10" s="58" t="n">
        <v>1724.137931</v>
      </c>
      <c r="AN10" s="155" t="inlineStr">
        <is>
          <t>Shopify Stetson México | Odoo Universal Unique Brands</t>
        </is>
      </c>
      <c r="AO10" s="59" t="n">
        <v>3</v>
      </c>
      <c r="AP10" s="59" t="n"/>
      <c r="AQ10" s="59" t="n">
        <v>4</v>
      </c>
      <c r="AR10" s="155" t="inlineStr">
        <is>
          <t>Shopify Stetson México › Stetson Americas: 3 | Odoo Universal Unique Brands › Bodega 25 › Bodega 25/General: 4</t>
        </is>
      </c>
    </row>
    <row r="11">
      <c r="A11" s="50" t="inlineStr">
        <is>
          <t>052356089284</t>
        </is>
      </c>
      <c r="B11" s="51" t="inlineStr">
        <is>
          <t>110617</t>
        </is>
      </c>
      <c r="C11" s="156" t="inlineStr">
        <is>
          <t>Multimarca</t>
        </is>
      </c>
      <c r="D11" s="156" t="inlineStr">
        <is>
          <t>11-004-1312-4039</t>
        </is>
      </c>
      <c r="E11" s="156" t="inlineStr">
        <is>
          <t>11-004-1312-4039-36 32</t>
        </is>
      </c>
      <c r="F11" s="156" t="inlineStr">
        <is>
          <t>36 x 32</t>
        </is>
      </c>
      <c r="G11" s="156" t="inlineStr">
        <is>
          <t>36W / 32L</t>
        </is>
      </c>
      <c r="H11" s="156" t="inlineStr">
        <is>
          <t>Stetson</t>
        </is>
      </c>
      <c r="I11" s="156" t="inlineStr">
        <is>
          <t>Jean Doble Aguja Puntada X en Bolsa Trasera</t>
        </is>
      </c>
      <c r="J11" s="156" t="inlineStr">
        <is>
          <t>Denim</t>
        </is>
      </c>
      <c r="K11" s="156" t="inlineStr">
        <is>
          <t>Jeans</t>
        </is>
      </c>
      <c r="L11" s="156" t="inlineStr">
        <is>
          <t>Hombre</t>
        </is>
      </c>
      <c r="M11" s="156" t="inlineStr">
        <is>
          <t>Stetson</t>
        </is>
      </c>
      <c r="N11" s="156" t="inlineStr">
        <is>
          <t>SS26</t>
        </is>
      </c>
      <c r="O11" s="156" t="inlineStr">
        <is>
          <t>Seasonal</t>
        </is>
      </c>
      <c r="P11" s="156" t="inlineStr">
        <is>
          <t>Azul</t>
        </is>
      </c>
      <c r="Q11" s="156" t="inlineStr">
        <is>
          <t>Relajado</t>
        </is>
      </c>
      <c r="R11" s="156" t="inlineStr">
        <is>
          <t>Recto</t>
        </is>
      </c>
      <c r="S11" s="156" t="inlineStr">
        <is>
          <t>100% Algodón</t>
        </is>
      </c>
      <c r="T11" s="156" t="inlineStr">
        <is>
          <t>Jean Doble Aguja Puntada X en Bolsa Trasera Relajado</t>
        </is>
      </c>
      <c r="U11" s="156" t="n"/>
      <c r="V11" s="156" t="inlineStr">
        <is>
          <t>PZS</t>
        </is>
      </c>
      <c r="W11" s="51" t="inlineStr">
        <is>
          <t>53101502</t>
        </is>
      </c>
      <c r="X11" s="156" t="n"/>
      <c r="Y11" s="54" t="n">
        <v>775.862069</v>
      </c>
      <c r="Z11" s="54" t="n">
        <v>1724.137931</v>
      </c>
      <c r="AA11" s="55">
        <f>IF(AND(A11="", B11="", E11=""), "", IF(AB11="", "Válido", IF((LEN(AB11)-LEN(SUBSTITUTE(AB11,"; ","")))/2+1&gt;(LEN(AB11)-LEN(SUBSTITUTE(AB11,"[Aviso]","")))/7, "Con Incidencias", "Válido")))</f>
        <v/>
      </c>
      <c r="AB11" s="56">
        <f>IF(AND(A11="", B11="", E11=""), "", TEXTJOIN("; ", TRUE, IF(OR(TRIM(A11&amp;"")="", ISNUMBER(SEARCH("FALTA", A11))), "UPC faltante/inválido", ""), IF(AND(A11&lt;&gt;"", IFERROR(_xlfn.XMATCH(A11,$A$2:$A$2509,0,1)&lt;&gt;_xlfn.XMATCH(A11,$A$2:$A$2509,0,-1),FALSE)), "Código de barras duplicado", ""), IF(AND(E11&lt;&gt;"", COUNTIF($E$2:$E$2509, E11)&gt;1), "SKU duplicado", ""), IF(OR(J11="", J11=""), "[Aviso] División no capturada ()", IF(ISNA(MATCH(J11, Criterios!$A$123:$A$126, 0)), "División no válida", "")), IF(OR(K11="", K11=""), "[Aviso] Categoría no capturada ()", IF(ISNA(MATCH(K11, Criterios!$A$81:$A$120, 0)), "Categoría no válida", IF(AND(J11&lt;&gt;"", J11&lt;&gt;"", J11&lt;&gt;VLOOKUP(K11, Criterios!$A$81:$B$120, 2, FALSE)), "División no coincide con Categoría", ""))), IF(OR(L11="", L11=""), "[Aviso] Género no capturado ()", IF(ISNA(MATCH(L11, Criterios!$B$123:$B$127, 0)), "Género no válido", "")), IF(OR(N11="", N11=""), "[Aviso] Temporada no capturada ()", IF(ISNA(MATCH(N11, Criterios!$C$123:$C$128, 0)), "Temporada no válida", "")), IF(OR(O11="", O11=""), "[Aviso] Ciclo de vida no capturado ()", IF(ISNA(MATCH(O11, Criterios!$D$123:$D$124, 0)), "Ciclo de vida no válido", ""))))</f>
        <v/>
      </c>
      <c r="AC11" s="56" t="n"/>
      <c r="AD11" s="51" t="n">
        <v>-2</v>
      </c>
      <c r="AE11" s="156" t="n"/>
      <c r="AF11" s="51" t="n">
        <v>0</v>
      </c>
      <c r="AG11" s="156" t="inlineStr">
        <is>
          <t>Catálogo existente</t>
        </is>
      </c>
      <c r="AH11" s="156" t="inlineStr">
        <is>
          <t>Stock negativo en sistema: revisar en conteo</t>
        </is>
      </c>
      <c r="AI11" s="156" t="inlineStr">
        <is>
          <t>Sí</t>
        </is>
      </c>
      <c r="AJ11" s="156" t="inlineStr">
        <is>
          <t>STETSON AMERICAS (-2)</t>
        </is>
      </c>
      <c r="AK11" s="155" t="inlineStr">
        <is>
          <t>Shopify Stetson: producto 15051554619755 / variante 53342127685995 | Odoo: producto 29858 / plantilla 38562</t>
        </is>
      </c>
      <c r="AL11" s="58" t="n">
        <v>775.862069</v>
      </c>
      <c r="AM11" s="58" t="n">
        <v>1724.137931</v>
      </c>
      <c r="AN11" s="155" t="inlineStr">
        <is>
          <t>Shopify Stetson México | Odoo Universal Unique Brands</t>
        </is>
      </c>
      <c r="AO11" s="59" t="n">
        <v>6</v>
      </c>
      <c r="AP11" s="59" t="n"/>
      <c r="AQ11" s="59" t="n">
        <v>8</v>
      </c>
      <c r="AR11" s="155" t="inlineStr">
        <is>
          <t>Shopify Stetson México › Stetson Americas: 6 | Odoo Universal Unique Brands › Bodega 25 › Bodega 25/General: 8</t>
        </is>
      </c>
    </row>
    <row r="12">
      <c r="A12" s="50" t="inlineStr">
        <is>
          <t>052356089291</t>
        </is>
      </c>
      <c r="B12" s="51" t="inlineStr">
        <is>
          <t>110618</t>
        </is>
      </c>
      <c r="C12" s="156" t="inlineStr">
        <is>
          <t>Multimarca</t>
        </is>
      </c>
      <c r="D12" s="156" t="inlineStr">
        <is>
          <t>11-004-1312-4039</t>
        </is>
      </c>
      <c r="E12" s="156" t="inlineStr">
        <is>
          <t>11-004-1312-4039-36 34</t>
        </is>
      </c>
      <c r="F12" s="156" t="inlineStr">
        <is>
          <t>36 x 34</t>
        </is>
      </c>
      <c r="G12" s="156" t="inlineStr">
        <is>
          <t>36W / 34L</t>
        </is>
      </c>
      <c r="H12" s="156" t="inlineStr">
        <is>
          <t>Stetson</t>
        </is>
      </c>
      <c r="I12" s="156" t="inlineStr">
        <is>
          <t>Jean Doble Aguja Puntada X en Bolsa Trasera</t>
        </is>
      </c>
      <c r="J12" s="156" t="inlineStr">
        <is>
          <t>Denim</t>
        </is>
      </c>
      <c r="K12" s="156" t="inlineStr">
        <is>
          <t>Jeans</t>
        </is>
      </c>
      <c r="L12" s="156" t="inlineStr">
        <is>
          <t>Hombre</t>
        </is>
      </c>
      <c r="M12" s="156" t="inlineStr">
        <is>
          <t>Stetson</t>
        </is>
      </c>
      <c r="N12" s="156" t="inlineStr">
        <is>
          <t>SS26</t>
        </is>
      </c>
      <c r="O12" s="156" t="inlineStr">
        <is>
          <t>Seasonal</t>
        </is>
      </c>
      <c r="P12" s="156" t="inlineStr">
        <is>
          <t>Azul</t>
        </is>
      </c>
      <c r="Q12" s="156" t="inlineStr">
        <is>
          <t>Relajado</t>
        </is>
      </c>
      <c r="R12" s="156" t="inlineStr">
        <is>
          <t>Recto</t>
        </is>
      </c>
      <c r="S12" s="156" t="inlineStr">
        <is>
          <t>100% Algodón</t>
        </is>
      </c>
      <c r="T12" s="156" t="inlineStr">
        <is>
          <t>Jean Doble Aguja Puntada X en Bolsa Trasera Relajado</t>
        </is>
      </c>
      <c r="U12" s="156" t="n"/>
      <c r="V12" s="156" t="inlineStr">
        <is>
          <t>PZS</t>
        </is>
      </c>
      <c r="W12" s="51" t="inlineStr">
        <is>
          <t>53101502</t>
        </is>
      </c>
      <c r="X12" s="156" t="n"/>
      <c r="Y12" s="54" t="n">
        <v>775.862069</v>
      </c>
      <c r="Z12" s="54" t="n">
        <v>1724.137931</v>
      </c>
      <c r="AA12" s="55">
        <f>IF(AND(A12="", B12="", E12=""), "", IF(AB12="", "Válido", IF((LEN(AB12)-LEN(SUBSTITUTE(AB12,"; ","")))/2+1&gt;(LEN(AB12)-LEN(SUBSTITUTE(AB12,"[Aviso]","")))/7, "Con Incidencias", "Válido")))</f>
        <v/>
      </c>
      <c r="AB12" s="56">
        <f>IF(AND(A12="", B12="", E12=""), "", TEXTJOIN("; ", TRUE, IF(OR(TRIM(A12&amp;"")="", ISNUMBER(SEARCH("FALTA", A12))), "UPC faltante/inválido", ""), IF(AND(A12&lt;&gt;"", IFERROR(_xlfn.XMATCH(A12,$A$2:$A$2509,0,1)&lt;&gt;_xlfn.XMATCH(A12,$A$2:$A$2509,0,-1),FALSE)), "Código de barras duplicado", ""), IF(AND(E12&lt;&gt;"", COUNTIF($E$2:$E$2509, E12)&gt;1), "SKU duplicado", ""), IF(OR(J12="", J12=""), "[Aviso] División no capturada ()", IF(ISNA(MATCH(J12, Criterios!$A$123:$A$126, 0)), "División no válida", "")), IF(OR(K12="", K12=""), "[Aviso] Categoría no capturada ()", IF(ISNA(MATCH(K12, Criterios!$A$81:$A$120, 0)), "Categoría no válida", IF(AND(J12&lt;&gt;"", J12&lt;&gt;"", J12&lt;&gt;VLOOKUP(K12, Criterios!$A$81:$B$120, 2, FALSE)), "División no coincide con Categoría", ""))), IF(OR(L12="", L12=""), "[Aviso] Género no capturado ()", IF(ISNA(MATCH(L12, Criterios!$B$123:$B$127, 0)), "Género no válido", "")), IF(OR(N12="", N12=""), "[Aviso] Temporada no capturada ()", IF(ISNA(MATCH(N12, Criterios!$C$123:$C$128, 0)), "Temporada no válida", "")), IF(OR(O12="", O12=""), "[Aviso] Ciclo de vida no capturado ()", IF(ISNA(MATCH(O12, Criterios!$D$123:$D$124, 0)), "Ciclo de vida no válido", ""))))</f>
        <v/>
      </c>
      <c r="AC12" s="56" t="n"/>
      <c r="AD12" s="51" t="n">
        <v>-1</v>
      </c>
      <c r="AE12" s="156" t="n"/>
      <c r="AF12" s="51" t="n">
        <v>0</v>
      </c>
      <c r="AG12" s="156" t="inlineStr">
        <is>
          <t>Catálogo existente</t>
        </is>
      </c>
      <c r="AH12" s="156" t="inlineStr">
        <is>
          <t>Stock negativo en sistema: revisar en conteo</t>
        </is>
      </c>
      <c r="AI12" s="156" t="inlineStr">
        <is>
          <t>Sí</t>
        </is>
      </c>
      <c r="AJ12" s="156" t="inlineStr">
        <is>
          <t>STETSON AMERICAS (-1)</t>
        </is>
      </c>
      <c r="AK12" s="155" t="inlineStr">
        <is>
          <t>Shopify Stetson: producto 15051554619755 / variante 53342127718763 | Odoo: producto 29859 / plantilla 38563</t>
        </is>
      </c>
      <c r="AL12" s="58" t="n">
        <v>775.862069</v>
      </c>
      <c r="AM12" s="58" t="n">
        <v>1724.137931</v>
      </c>
      <c r="AN12" s="155" t="inlineStr">
        <is>
          <t>Shopify Stetson México | Odoo Universal Unique Brands</t>
        </is>
      </c>
      <c r="AO12" s="59" t="n">
        <v>3</v>
      </c>
      <c r="AP12" s="59" t="n"/>
      <c r="AQ12" s="59" t="n">
        <v>4</v>
      </c>
      <c r="AR12" s="155" t="inlineStr">
        <is>
          <t>Shopify Stetson México › Stetson Americas: 3 | Odoo Universal Unique Brands › Bodega 25 › Bodega 25/General: 4</t>
        </is>
      </c>
    </row>
    <row r="13">
      <c r="A13" s="50" t="inlineStr">
        <is>
          <t>052356089307</t>
        </is>
      </c>
      <c r="B13" s="51" t="inlineStr">
        <is>
          <t>110619</t>
        </is>
      </c>
      <c r="C13" s="156" t="inlineStr">
        <is>
          <t>Multimarca</t>
        </is>
      </c>
      <c r="D13" s="156" t="inlineStr">
        <is>
          <t>11-004-1312-4039</t>
        </is>
      </c>
      <c r="E13" s="156" t="inlineStr">
        <is>
          <t>11-004-1312-4039-36 36</t>
        </is>
      </c>
      <c r="F13" s="156" t="inlineStr">
        <is>
          <t>36 x 36</t>
        </is>
      </c>
      <c r="G13" s="156" t="inlineStr">
        <is>
          <t>36W / 36L</t>
        </is>
      </c>
      <c r="H13" s="156" t="inlineStr">
        <is>
          <t>Stetson</t>
        </is>
      </c>
      <c r="I13" s="156" t="inlineStr">
        <is>
          <t>Jean Doble Aguja Puntada X en Bolsa Trasera</t>
        </is>
      </c>
      <c r="J13" s="156" t="inlineStr">
        <is>
          <t>Denim</t>
        </is>
      </c>
      <c r="K13" s="156" t="inlineStr">
        <is>
          <t>Jeans</t>
        </is>
      </c>
      <c r="L13" s="156" t="inlineStr">
        <is>
          <t>Hombre</t>
        </is>
      </c>
      <c r="M13" s="156" t="inlineStr">
        <is>
          <t>Stetson</t>
        </is>
      </c>
      <c r="N13" s="156" t="inlineStr">
        <is>
          <t>SS26</t>
        </is>
      </c>
      <c r="O13" s="156" t="inlineStr">
        <is>
          <t>Seasonal</t>
        </is>
      </c>
      <c r="P13" s="156" t="inlineStr">
        <is>
          <t>Azul</t>
        </is>
      </c>
      <c r="Q13" s="156" t="inlineStr">
        <is>
          <t>Relajado</t>
        </is>
      </c>
      <c r="R13" s="156" t="inlineStr">
        <is>
          <t>Recto</t>
        </is>
      </c>
      <c r="S13" s="156" t="inlineStr">
        <is>
          <t>100% Algodón</t>
        </is>
      </c>
      <c r="T13" s="156" t="inlineStr">
        <is>
          <t>Jean Doble Aguja Puntada X en Bolsa Trasera Relajado</t>
        </is>
      </c>
      <c r="U13" s="156" t="n"/>
      <c r="V13" s="156" t="inlineStr">
        <is>
          <t>PZS</t>
        </is>
      </c>
      <c r="W13" s="51" t="inlineStr">
        <is>
          <t>53101502</t>
        </is>
      </c>
      <c r="X13" s="156" t="n"/>
      <c r="Y13" s="54" t="n">
        <v>775.862069</v>
      </c>
      <c r="Z13" s="54" t="n">
        <v>1724.137931</v>
      </c>
      <c r="AA13" s="55">
        <f>IF(AND(A13="", B13="", E13=""), "", IF(AB13="", "Válido", IF((LEN(AB13)-LEN(SUBSTITUTE(AB13,"; ","")))/2+1&gt;(LEN(AB13)-LEN(SUBSTITUTE(AB13,"[Aviso]","")))/7, "Con Incidencias", "Válido")))</f>
        <v/>
      </c>
      <c r="AB13" s="56">
        <f>IF(AND(A13="", B13="", E13=""), "", TEXTJOIN("; ", TRUE, IF(OR(TRIM(A13&amp;"")="", ISNUMBER(SEARCH("FALTA", A13))), "UPC faltante/inválido", ""), IF(AND(A13&lt;&gt;"", IFERROR(_xlfn.XMATCH(A13,$A$2:$A$2509,0,1)&lt;&gt;_xlfn.XMATCH(A13,$A$2:$A$2509,0,-1),FALSE)), "Código de barras duplicado", ""), IF(AND(E13&lt;&gt;"", COUNTIF($E$2:$E$2509, E13)&gt;1), "SKU duplicado", ""), IF(OR(J13="", J13=""), "[Aviso] División no capturada ()", IF(ISNA(MATCH(J13, Criterios!$A$123:$A$126, 0)), "División no válida", "")), IF(OR(K13="", K13=""), "[Aviso] Categoría no capturada ()", IF(ISNA(MATCH(K13, Criterios!$A$81:$A$120, 0)), "Categoría no válida", IF(AND(J13&lt;&gt;"", J13&lt;&gt;"", J13&lt;&gt;VLOOKUP(K13, Criterios!$A$81:$B$120, 2, FALSE)), "División no coincide con Categoría", ""))), IF(OR(L13="", L13=""), "[Aviso] Género no capturado ()", IF(ISNA(MATCH(L13, Criterios!$B$123:$B$127, 0)), "Género no válido", "")), IF(OR(N13="", N13=""), "[Aviso] Temporada no capturada ()", IF(ISNA(MATCH(N13, Criterios!$C$123:$C$128, 0)), "Temporada no válida", "")), IF(OR(O13="", O13=""), "[Aviso] Ciclo de vida no capturado ()", IF(ISNA(MATCH(O13, Criterios!$D$123:$D$124, 0)), "Ciclo de vida no válido", ""))))</f>
        <v/>
      </c>
      <c r="AC13" s="56" t="n"/>
      <c r="AD13" s="51" t="n">
        <v>0</v>
      </c>
      <c r="AE13" s="156" t="n"/>
      <c r="AF13" s="51" t="n">
        <v>0</v>
      </c>
      <c r="AG13" s="156" t="inlineStr">
        <is>
          <t>Catálogo existente</t>
        </is>
      </c>
      <c r="AH13" s="156" t="n"/>
      <c r="AI13" s="156" t="inlineStr">
        <is>
          <t>No</t>
        </is>
      </c>
      <c r="AJ13" s="156" t="n"/>
      <c r="AK13" s="155" t="inlineStr">
        <is>
          <t>Shopify Stetson: producto 15051554619755 / variante 53342127751531 | Odoo: producto 29860 / plantilla 38564</t>
        </is>
      </c>
      <c r="AL13" s="58" t="n">
        <v>775.862069</v>
      </c>
      <c r="AM13" s="58" t="n">
        <v>1724.137931</v>
      </c>
      <c r="AN13" s="155" t="inlineStr">
        <is>
          <t>Shopify Stetson México | Odoo Universal Unique Brands</t>
        </is>
      </c>
      <c r="AO13" s="59" t="n">
        <v>4</v>
      </c>
      <c r="AP13" s="59" t="n"/>
      <c r="AQ13" s="59" t="n">
        <v>4</v>
      </c>
      <c r="AR13" s="155" t="inlineStr">
        <is>
          <t>Shopify Stetson México › Stetson Americas: 4 | Odoo Universal Unique Brands › Bodega 25 › Bodega 25/General: 4</t>
        </is>
      </c>
    </row>
    <row r="14">
      <c r="A14" s="50" t="inlineStr">
        <is>
          <t>052356089345</t>
        </is>
      </c>
      <c r="B14" s="51" t="inlineStr">
        <is>
          <t>110620</t>
        </is>
      </c>
      <c r="C14" s="156" t="inlineStr">
        <is>
          <t>Multimarca</t>
        </is>
      </c>
      <c r="D14" s="156" t="inlineStr">
        <is>
          <t>11-004-1312-4039</t>
        </is>
      </c>
      <c r="E14" s="156" t="inlineStr">
        <is>
          <t>11-004-1312-4039-38 32</t>
        </is>
      </c>
      <c r="F14" s="156" t="inlineStr">
        <is>
          <t>38 x 32</t>
        </is>
      </c>
      <c r="G14" s="156" t="inlineStr">
        <is>
          <t>38W / 32L</t>
        </is>
      </c>
      <c r="H14" s="156" t="inlineStr">
        <is>
          <t>Stetson</t>
        </is>
      </c>
      <c r="I14" s="156" t="inlineStr">
        <is>
          <t>Jean Doble Aguja Puntada X en Bolsa Trasera</t>
        </is>
      </c>
      <c r="J14" s="156" t="inlineStr">
        <is>
          <t>Denim</t>
        </is>
      </c>
      <c r="K14" s="156" t="inlineStr">
        <is>
          <t>Jeans</t>
        </is>
      </c>
      <c r="L14" s="156" t="inlineStr">
        <is>
          <t>Hombre</t>
        </is>
      </c>
      <c r="M14" s="156" t="inlineStr">
        <is>
          <t>Stetson</t>
        </is>
      </c>
      <c r="N14" s="156" t="inlineStr">
        <is>
          <t>SS26</t>
        </is>
      </c>
      <c r="O14" s="156" t="inlineStr">
        <is>
          <t>Seasonal</t>
        </is>
      </c>
      <c r="P14" s="156" t="inlineStr">
        <is>
          <t>Azul</t>
        </is>
      </c>
      <c r="Q14" s="156" t="inlineStr">
        <is>
          <t>Relajado</t>
        </is>
      </c>
      <c r="R14" s="156" t="inlineStr">
        <is>
          <t>Recto</t>
        </is>
      </c>
      <c r="S14" s="156" t="inlineStr">
        <is>
          <t>100% Algodón</t>
        </is>
      </c>
      <c r="T14" s="156" t="inlineStr">
        <is>
          <t>Jean Doble Aguja Puntada X en Bolsa Trasera Relajado</t>
        </is>
      </c>
      <c r="U14" s="156" t="n"/>
      <c r="V14" s="156" t="inlineStr">
        <is>
          <t>PZS</t>
        </is>
      </c>
      <c r="W14" s="51" t="inlineStr">
        <is>
          <t>53101502</t>
        </is>
      </c>
      <c r="X14" s="156" t="n"/>
      <c r="Y14" s="54" t="n">
        <v>775.862069</v>
      </c>
      <c r="Z14" s="54" t="n">
        <v>1724.137931</v>
      </c>
      <c r="AA14" s="55">
        <f>IF(AND(A14="", B14="", E14=""), "", IF(AB14="", "Válido", IF((LEN(AB14)-LEN(SUBSTITUTE(AB14,"; ","")))/2+1&gt;(LEN(AB14)-LEN(SUBSTITUTE(AB14,"[Aviso]","")))/7, "Con Incidencias", "Válido")))</f>
        <v/>
      </c>
      <c r="AB14" s="56">
        <f>IF(AND(A14="", B14="", E14=""), "", TEXTJOIN("; ", TRUE, IF(OR(TRIM(A14&amp;"")="", ISNUMBER(SEARCH("FALTA", A14))), "UPC faltante/inválido", ""), IF(AND(A14&lt;&gt;"", IFERROR(_xlfn.XMATCH(A14,$A$2:$A$2509,0,1)&lt;&gt;_xlfn.XMATCH(A14,$A$2:$A$2509,0,-1),FALSE)), "Código de barras duplicado", ""), IF(AND(E14&lt;&gt;"", COUNTIF($E$2:$E$2509, E14)&gt;1), "SKU duplicado", ""), IF(OR(J14="", J14=""), "[Aviso] División no capturada ()", IF(ISNA(MATCH(J14, Criterios!$A$123:$A$126, 0)), "División no válida", "")), IF(OR(K14="", K14=""), "[Aviso] Categoría no capturada ()", IF(ISNA(MATCH(K14, Criterios!$A$81:$A$120, 0)), "Categoría no válida", IF(AND(J14&lt;&gt;"", J14&lt;&gt;"", J14&lt;&gt;VLOOKUP(K14, Criterios!$A$81:$B$120, 2, FALSE)), "División no coincide con Categoría", ""))), IF(OR(L14="", L14=""), "[Aviso] Género no capturado ()", IF(ISNA(MATCH(L14, Criterios!$B$123:$B$127, 0)), "Género no válido", "")), IF(OR(N14="", N14=""), "[Aviso] Temporada no capturada ()", IF(ISNA(MATCH(N14, Criterios!$C$123:$C$128, 0)), "Temporada no válida", "")), IF(OR(O14="", O14=""), "[Aviso] Ciclo de vida no capturado ()", IF(ISNA(MATCH(O14, Criterios!$D$123:$D$124, 0)), "Ciclo de vida no válido", ""))))</f>
        <v/>
      </c>
      <c r="AC14" s="56" t="n"/>
      <c r="AD14" s="51" t="n">
        <v>0</v>
      </c>
      <c r="AE14" s="156" t="n"/>
      <c r="AF14" s="51" t="n">
        <v>0</v>
      </c>
      <c r="AG14" s="156" t="inlineStr">
        <is>
          <t>Catálogo existente</t>
        </is>
      </c>
      <c r="AH14" s="156" t="n"/>
      <c r="AI14" s="156" t="inlineStr">
        <is>
          <t>No</t>
        </is>
      </c>
      <c r="AJ14" s="156" t="n"/>
      <c r="AK14" s="155" t="inlineStr">
        <is>
          <t>Shopify Stetson: producto 15051554619755 / variante 53342127784299 | Odoo: producto 29861 / plantilla 38565</t>
        </is>
      </c>
      <c r="AL14" s="58" t="n">
        <v>775.862069</v>
      </c>
      <c r="AM14" s="58" t="n">
        <v>1724.137931</v>
      </c>
      <c r="AN14" s="155" t="inlineStr">
        <is>
          <t>Shopify Stetson México | Odoo Universal Unique Brands</t>
        </is>
      </c>
      <c r="AO14" s="59" t="n">
        <v>3</v>
      </c>
      <c r="AP14" s="59" t="n"/>
      <c r="AQ14" s="59" t="n">
        <v>3</v>
      </c>
      <c r="AR14" s="155" t="inlineStr">
        <is>
          <t>Shopify Stetson México › Stetson Americas: 3 | Odoo Universal Unique Brands › Bodega 25 › Bodega 25/General: 3</t>
        </is>
      </c>
    </row>
    <row r="15">
      <c r="A15" s="50" t="inlineStr">
        <is>
          <t>052356089406</t>
        </is>
      </c>
      <c r="B15" s="51" t="inlineStr">
        <is>
          <t>110621</t>
        </is>
      </c>
      <c r="C15" s="156" t="inlineStr">
        <is>
          <t>Multimarca</t>
        </is>
      </c>
      <c r="D15" s="156" t="inlineStr">
        <is>
          <t>11-004-1312-4039</t>
        </is>
      </c>
      <c r="E15" s="156" t="inlineStr">
        <is>
          <t>11-004-1312-4039-40 32</t>
        </is>
      </c>
      <c r="F15" s="156" t="inlineStr">
        <is>
          <t>40 x 32</t>
        </is>
      </c>
      <c r="G15" s="156" t="inlineStr">
        <is>
          <t>40W / 32L</t>
        </is>
      </c>
      <c r="H15" s="156" t="inlineStr">
        <is>
          <t>Stetson</t>
        </is>
      </c>
      <c r="I15" s="156" t="inlineStr">
        <is>
          <t>Jean Doble Aguja Puntada X en Bolsa Trasera</t>
        </is>
      </c>
      <c r="J15" s="156" t="inlineStr">
        <is>
          <t>Denim</t>
        </is>
      </c>
      <c r="K15" s="156" t="inlineStr">
        <is>
          <t>Jeans</t>
        </is>
      </c>
      <c r="L15" s="156" t="inlineStr">
        <is>
          <t>Hombre</t>
        </is>
      </c>
      <c r="M15" s="156" t="inlineStr">
        <is>
          <t>Stetson</t>
        </is>
      </c>
      <c r="N15" s="156" t="inlineStr">
        <is>
          <t>SS26</t>
        </is>
      </c>
      <c r="O15" s="156" t="inlineStr">
        <is>
          <t>Seasonal</t>
        </is>
      </c>
      <c r="P15" s="156" t="inlineStr">
        <is>
          <t>Azul</t>
        </is>
      </c>
      <c r="Q15" s="156" t="inlineStr">
        <is>
          <t>Relajado</t>
        </is>
      </c>
      <c r="R15" s="156" t="inlineStr">
        <is>
          <t>Recto</t>
        </is>
      </c>
      <c r="S15" s="156" t="inlineStr">
        <is>
          <t>100% Algodón</t>
        </is>
      </c>
      <c r="T15" s="156" t="inlineStr">
        <is>
          <t>Jean Doble Aguja Puntada X en Bolsa Trasera Relajado</t>
        </is>
      </c>
      <c r="U15" s="156" t="n"/>
      <c r="V15" s="156" t="inlineStr">
        <is>
          <t>PZS</t>
        </is>
      </c>
      <c r="W15" s="51" t="inlineStr">
        <is>
          <t>53101502</t>
        </is>
      </c>
      <c r="X15" s="156" t="n"/>
      <c r="Y15" s="54" t="n">
        <v>775.862069</v>
      </c>
      <c r="Z15" s="54" t="n">
        <v>1724.137931</v>
      </c>
      <c r="AA15" s="55">
        <f>IF(AND(A15="", B15="", E15=""), "", IF(AB15="", "Válido", IF((LEN(AB15)-LEN(SUBSTITUTE(AB15,"; ","")))/2+1&gt;(LEN(AB15)-LEN(SUBSTITUTE(AB15,"[Aviso]","")))/7, "Con Incidencias", "Válido")))</f>
        <v/>
      </c>
      <c r="AB15" s="56">
        <f>IF(AND(A15="", B15="", E15=""), "", TEXTJOIN("; ", TRUE, IF(OR(TRIM(A15&amp;"")="", ISNUMBER(SEARCH("FALTA", A15))), "UPC faltante/inválido", ""), IF(AND(A15&lt;&gt;"", IFERROR(_xlfn.XMATCH(A15,$A$2:$A$2509,0,1)&lt;&gt;_xlfn.XMATCH(A15,$A$2:$A$2509,0,-1),FALSE)), "Código de barras duplicado", ""), IF(AND(E15&lt;&gt;"", COUNTIF($E$2:$E$2509, E15)&gt;1), "SKU duplicado", ""), IF(OR(J15="", J15=""), "[Aviso] División no capturada ()", IF(ISNA(MATCH(J15, Criterios!$A$123:$A$126, 0)), "División no válida", "")), IF(OR(K15="", K15=""), "[Aviso] Categoría no capturada ()", IF(ISNA(MATCH(K15, Criterios!$A$81:$A$120, 0)), "Categoría no válida", IF(AND(J15&lt;&gt;"", J15&lt;&gt;"", J15&lt;&gt;VLOOKUP(K15, Criterios!$A$81:$B$120, 2, FALSE)), "División no coincide con Categoría", ""))), IF(OR(L15="", L15=""), "[Aviso] Género no capturado ()", IF(ISNA(MATCH(L15, Criterios!$B$123:$B$127, 0)), "Género no válido", "")), IF(OR(N15="", N15=""), "[Aviso] Temporada no capturada ()", IF(ISNA(MATCH(N15, Criterios!$C$123:$C$128, 0)), "Temporada no válida", "")), IF(OR(O15="", O15=""), "[Aviso] Ciclo de vida no capturado ()", IF(ISNA(MATCH(O15, Criterios!$D$123:$D$124, 0)), "Ciclo de vida no válido", ""))))</f>
        <v/>
      </c>
      <c r="AC15" s="56" t="n"/>
      <c r="AD15" s="51" t="n">
        <v>-2</v>
      </c>
      <c r="AE15" s="156" t="n"/>
      <c r="AF15" s="51" t="n">
        <v>0</v>
      </c>
      <c r="AG15" s="156" t="inlineStr">
        <is>
          <t>Catálogo existente</t>
        </is>
      </c>
      <c r="AH15" s="156" t="inlineStr">
        <is>
          <t>Stock negativo en sistema: revisar en conteo</t>
        </is>
      </c>
      <c r="AI15" s="156" t="inlineStr">
        <is>
          <t>Sí</t>
        </is>
      </c>
      <c r="AJ15" s="156" t="inlineStr">
        <is>
          <t>STETSON AMERICAS (-2)</t>
        </is>
      </c>
      <c r="AK15" s="155" t="inlineStr">
        <is>
          <t>Shopify Stetson: producto 15051554619755 / variante 53342127817067 | Odoo: producto 29862 / plantilla 38566</t>
        </is>
      </c>
      <c r="AL15" s="58" t="n">
        <v>775.862069</v>
      </c>
      <c r="AM15" s="58" t="n">
        <v>1724.137931</v>
      </c>
      <c r="AN15" s="155" t="inlineStr">
        <is>
          <t>Shopify Stetson México | Odoo Universal Unique Brands</t>
        </is>
      </c>
      <c r="AO15" s="59" t="n">
        <v>1</v>
      </c>
      <c r="AP15" s="59" t="n"/>
      <c r="AQ15" s="59" t="n">
        <v>3</v>
      </c>
      <c r="AR15" s="155" t="inlineStr">
        <is>
          <t>Shopify Stetson México › Stetson Americas: 1 | Odoo Universal Unique Brands › Bodega 25 › Bodega 25/General: 3</t>
        </is>
      </c>
    </row>
    <row r="16">
      <c r="A16" s="50" t="inlineStr">
        <is>
          <t>052356089703</t>
        </is>
      </c>
      <c r="B16" s="51" t="inlineStr">
        <is>
          <t>110622</t>
        </is>
      </c>
      <c r="C16" s="156" t="inlineStr">
        <is>
          <t>Multimarca</t>
        </is>
      </c>
      <c r="D16" s="156" t="inlineStr">
        <is>
          <t>11-004-1312-4040</t>
        </is>
      </c>
      <c r="E16" s="156" t="inlineStr">
        <is>
          <t>11-004-1312-4040-28 32</t>
        </is>
      </c>
      <c r="F16" s="156" t="inlineStr">
        <is>
          <t>28 x 32</t>
        </is>
      </c>
      <c r="G16" s="156" t="inlineStr">
        <is>
          <t>28W / 32L</t>
        </is>
      </c>
      <c r="H16" s="156" t="inlineStr">
        <is>
          <t>Stetson</t>
        </is>
      </c>
      <c r="I16" s="156" t="inlineStr">
        <is>
          <t>Jean Bolsa Trasera Denim Reverso</t>
        </is>
      </c>
      <c r="J16" s="156" t="inlineStr">
        <is>
          <t>Denim</t>
        </is>
      </c>
      <c r="K16" s="156" t="inlineStr">
        <is>
          <t>Jeans</t>
        </is>
      </c>
      <c r="L16" s="156" t="inlineStr">
        <is>
          <t>Hombre</t>
        </is>
      </c>
      <c r="M16" s="156" t="inlineStr">
        <is>
          <t>Stetson</t>
        </is>
      </c>
      <c r="N16" s="156" t="inlineStr">
        <is>
          <t>SS26</t>
        </is>
      </c>
      <c r="O16" s="156" t="inlineStr">
        <is>
          <t>Seasonal</t>
        </is>
      </c>
      <c r="P16" s="156" t="inlineStr">
        <is>
          <t>Azul</t>
        </is>
      </c>
      <c r="Q16" s="156" t="inlineStr">
        <is>
          <t>Relajado</t>
        </is>
      </c>
      <c r="R16" s="156" t="inlineStr">
        <is>
          <t>Recto</t>
        </is>
      </c>
      <c r="S16" s="156" t="inlineStr">
        <is>
          <t>100% Algodón</t>
        </is>
      </c>
      <c r="T16" s="156" t="inlineStr">
        <is>
          <t>Jean Bolsa Trasera Denim Reverso Relajado</t>
        </is>
      </c>
      <c r="U16" s="156" t="n"/>
      <c r="V16" s="156" t="inlineStr">
        <is>
          <t>PZS</t>
        </is>
      </c>
      <c r="W16" s="51" t="inlineStr">
        <is>
          <t>53101502</t>
        </is>
      </c>
      <c r="X16" s="156" t="n"/>
      <c r="Y16" s="54" t="n">
        <v>775.862069</v>
      </c>
      <c r="Z16" s="54" t="n">
        <v>1724.137931</v>
      </c>
      <c r="AA16" s="55">
        <f>IF(AND(A16="", B16="", E16=""), "", IF(AB16="", "Válido", IF((LEN(AB16)-LEN(SUBSTITUTE(AB16,"; ","")))/2+1&gt;(LEN(AB16)-LEN(SUBSTITUTE(AB16,"[Aviso]","")))/7, "Con Incidencias", "Válido")))</f>
        <v/>
      </c>
      <c r="AB16" s="56">
        <f>IF(AND(A16="", B16="", E16=""), "", TEXTJOIN("; ", TRUE, IF(OR(TRIM(A16&amp;"")="", ISNUMBER(SEARCH("FALTA", A16))), "UPC faltante/inválido", ""), IF(AND(A16&lt;&gt;"", IFERROR(_xlfn.XMATCH(A16,$A$2:$A$2509,0,1)&lt;&gt;_xlfn.XMATCH(A16,$A$2:$A$2509,0,-1),FALSE)), "Código de barras duplicado", ""), IF(AND(E16&lt;&gt;"", COUNTIF($E$2:$E$2509, E16)&gt;1), "SKU duplicado", ""), IF(OR(J16="", J16=""), "[Aviso] División no capturada ()", IF(ISNA(MATCH(J16, Criterios!$A$123:$A$126, 0)), "División no válida", "")), IF(OR(K16="", K16=""), "[Aviso] Categoría no capturada ()", IF(ISNA(MATCH(K16, Criterios!$A$81:$A$120, 0)), "Categoría no válida", IF(AND(J16&lt;&gt;"", J16&lt;&gt;"", J16&lt;&gt;VLOOKUP(K16, Criterios!$A$81:$B$120, 2, FALSE)), "División no coincide con Categoría", ""))), IF(OR(L16="", L16=""), "[Aviso] Género no capturado ()", IF(ISNA(MATCH(L16, Criterios!$B$123:$B$127, 0)), "Género no válido", "")), IF(OR(N16="", N16=""), "[Aviso] Temporada no capturada ()", IF(ISNA(MATCH(N16, Criterios!$C$123:$C$128, 0)), "Temporada no válida", "")), IF(OR(O16="", O16=""), "[Aviso] Ciclo de vida no capturado ()", IF(ISNA(MATCH(O16, Criterios!$D$123:$D$124, 0)), "Ciclo de vida no válido", ""))))</f>
        <v/>
      </c>
      <c r="AC16" s="56" t="n"/>
      <c r="AD16" s="51" t="n">
        <v>0</v>
      </c>
      <c r="AE16" s="156" t="n"/>
      <c r="AF16" s="51" t="n">
        <v>0</v>
      </c>
      <c r="AG16" s="156" t="inlineStr">
        <is>
          <t>Catálogo existente</t>
        </is>
      </c>
      <c r="AH16" s="156" t="n"/>
      <c r="AI16" s="156" t="inlineStr">
        <is>
          <t>No</t>
        </is>
      </c>
      <c r="AJ16" s="156" t="n"/>
      <c r="AK16" s="155" t="inlineStr">
        <is>
          <t>Shopify Stetson: producto 15051554783595 / variante 53342127980907 | Odoo: producto 29863 / plantilla 38567</t>
        </is>
      </c>
      <c r="AL16" s="58" t="n">
        <v>775.862069</v>
      </c>
      <c r="AM16" s="58" t="n">
        <v>1724.137931</v>
      </c>
      <c r="AN16" s="155" t="inlineStr">
        <is>
          <t>Shopify Stetson México | Odoo Universal Unique Brands</t>
        </is>
      </c>
      <c r="AO16" s="59" t="n">
        <v>1</v>
      </c>
      <c r="AP16" s="59" t="n"/>
      <c r="AQ16" s="59" t="n">
        <v>2</v>
      </c>
      <c r="AR16" s="155" t="inlineStr">
        <is>
          <t>Shopify Stetson México › Stetson Americas: 1 | Odoo Universal Unique Brands › Bodega 25 › Bodega 25/General: 2</t>
        </is>
      </c>
    </row>
    <row r="17">
      <c r="A17" s="50" t="inlineStr">
        <is>
          <t>052356089765</t>
        </is>
      </c>
      <c r="B17" s="51" t="inlineStr">
        <is>
          <t>110623</t>
        </is>
      </c>
      <c r="C17" s="156" t="inlineStr">
        <is>
          <t>Multimarca</t>
        </is>
      </c>
      <c r="D17" s="156" t="inlineStr">
        <is>
          <t>11-004-1312-4040</t>
        </is>
      </c>
      <c r="E17" s="156" t="inlineStr">
        <is>
          <t>11-004-1312-4040-29 32</t>
        </is>
      </c>
      <c r="F17" s="156" t="inlineStr">
        <is>
          <t>29 x 32</t>
        </is>
      </c>
      <c r="G17" s="156" t="inlineStr">
        <is>
          <t>29W / 32L</t>
        </is>
      </c>
      <c r="H17" s="156" t="inlineStr">
        <is>
          <t>Stetson</t>
        </is>
      </c>
      <c r="I17" s="156" t="inlineStr">
        <is>
          <t>Jean Bolsa Trasera Denim Reverso</t>
        </is>
      </c>
      <c r="J17" s="156" t="inlineStr">
        <is>
          <t>Denim</t>
        </is>
      </c>
      <c r="K17" s="156" t="inlineStr">
        <is>
          <t>Jeans</t>
        </is>
      </c>
      <c r="L17" s="156" t="inlineStr">
        <is>
          <t>Hombre</t>
        </is>
      </c>
      <c r="M17" s="156" t="inlineStr">
        <is>
          <t>Stetson</t>
        </is>
      </c>
      <c r="N17" s="156" t="inlineStr">
        <is>
          <t>SS26</t>
        </is>
      </c>
      <c r="O17" s="156" t="inlineStr">
        <is>
          <t>Seasonal</t>
        </is>
      </c>
      <c r="P17" s="156" t="inlineStr">
        <is>
          <t>Azul</t>
        </is>
      </c>
      <c r="Q17" s="156" t="inlineStr">
        <is>
          <t>Relajado</t>
        </is>
      </c>
      <c r="R17" s="156" t="inlineStr">
        <is>
          <t>Recto</t>
        </is>
      </c>
      <c r="S17" s="156" t="inlineStr">
        <is>
          <t>100% Algodón</t>
        </is>
      </c>
      <c r="T17" s="156" t="inlineStr">
        <is>
          <t>Jean Bolsa Trasera Denim Reverso Relajado</t>
        </is>
      </c>
      <c r="U17" s="156" t="n"/>
      <c r="V17" s="156" t="inlineStr">
        <is>
          <t>PZS</t>
        </is>
      </c>
      <c r="W17" s="51" t="inlineStr">
        <is>
          <t>53101502</t>
        </is>
      </c>
      <c r="X17" s="156" t="n"/>
      <c r="Y17" s="54" t="n">
        <v>775.862069</v>
      </c>
      <c r="Z17" s="54" t="n">
        <v>1724.137931</v>
      </c>
      <c r="AA17" s="55">
        <f>IF(AND(A17="", B17="", E17=""), "", IF(AB17="", "Válido", IF((LEN(AB17)-LEN(SUBSTITUTE(AB17,"; ","")))/2+1&gt;(LEN(AB17)-LEN(SUBSTITUTE(AB17,"[Aviso]","")))/7, "Con Incidencias", "Válido")))</f>
        <v/>
      </c>
      <c r="AB17" s="56">
        <f>IF(AND(A17="", B17="", E17=""), "", TEXTJOIN("; ", TRUE, IF(OR(TRIM(A17&amp;"")="", ISNUMBER(SEARCH("FALTA", A17))), "UPC faltante/inválido", ""), IF(AND(A17&lt;&gt;"", IFERROR(_xlfn.XMATCH(A17,$A$2:$A$2509,0,1)&lt;&gt;_xlfn.XMATCH(A17,$A$2:$A$2509,0,-1),FALSE)), "Código de barras duplicado", ""), IF(AND(E17&lt;&gt;"", COUNTIF($E$2:$E$2509, E17)&gt;1), "SKU duplicado", ""), IF(OR(J17="", J17=""), "[Aviso] División no capturada ()", IF(ISNA(MATCH(J17, Criterios!$A$123:$A$126, 0)), "División no válida", "")), IF(OR(K17="", K17=""), "[Aviso] Categoría no capturada ()", IF(ISNA(MATCH(K17, Criterios!$A$81:$A$120, 0)), "Categoría no válida", IF(AND(J17&lt;&gt;"", J17&lt;&gt;"", J17&lt;&gt;VLOOKUP(K17, Criterios!$A$81:$B$120, 2, FALSE)), "División no coincide con Categoría", ""))), IF(OR(L17="", L17=""), "[Aviso] Género no capturado ()", IF(ISNA(MATCH(L17, Criterios!$B$123:$B$127, 0)), "Género no válido", "")), IF(OR(N17="", N17=""), "[Aviso] Temporada no capturada ()", IF(ISNA(MATCH(N17, Criterios!$C$123:$C$128, 0)), "Temporada no válida", "")), IF(OR(O17="", O17=""), "[Aviso] Ciclo de vida no capturado ()", IF(ISNA(MATCH(O17, Criterios!$D$123:$D$124, 0)), "Ciclo de vida no válido", ""))))</f>
        <v/>
      </c>
      <c r="AC17" s="56" t="n"/>
      <c r="AD17" s="51" t="n">
        <v>0</v>
      </c>
      <c r="AE17" s="156" t="n"/>
      <c r="AF17" s="51" t="n">
        <v>0</v>
      </c>
      <c r="AG17" s="156" t="inlineStr">
        <is>
          <t>Catálogo existente</t>
        </is>
      </c>
      <c r="AH17" s="156" t="n"/>
      <c r="AI17" s="156" t="inlineStr">
        <is>
          <t>No</t>
        </is>
      </c>
      <c r="AJ17" s="156" t="n"/>
      <c r="AK17" s="155" t="inlineStr">
        <is>
          <t>Shopify Stetson: producto 15051554783595 / variante 53342128013675 | Odoo: producto 29864 / plantilla 38568</t>
        </is>
      </c>
      <c r="AL17" s="58" t="n">
        <v>775.862069</v>
      </c>
      <c r="AM17" s="58" t="n">
        <v>1724.137931</v>
      </c>
      <c r="AN17" s="155" t="inlineStr">
        <is>
          <t>Shopify Stetson México | Odoo Universal Unique Brands</t>
        </is>
      </c>
      <c r="AO17" s="59" t="n">
        <v>3</v>
      </c>
      <c r="AP17" s="59" t="n"/>
      <c r="AQ17" s="59" t="n">
        <v>3</v>
      </c>
      <c r="AR17" s="155" t="inlineStr">
        <is>
          <t>Shopify Stetson México › Stetson Americas: 3 | Odoo Universal Unique Brands › Bodega 25 › Bodega 25/General: 3</t>
        </is>
      </c>
    </row>
    <row r="18">
      <c r="A18" s="50" t="inlineStr">
        <is>
          <t>052356089826</t>
        </is>
      </c>
      <c r="B18" s="51" t="inlineStr">
        <is>
          <t>110624</t>
        </is>
      </c>
      <c r="C18" s="156" t="inlineStr">
        <is>
          <t>Multimarca</t>
        </is>
      </c>
      <c r="D18" s="156" t="inlineStr">
        <is>
          <t>11-004-1312-4040</t>
        </is>
      </c>
      <c r="E18" s="156" t="inlineStr">
        <is>
          <t>11-004-1312-4040-30 32</t>
        </is>
      </c>
      <c r="F18" s="156" t="inlineStr">
        <is>
          <t>30 x 32</t>
        </is>
      </c>
      <c r="G18" s="156" t="inlineStr">
        <is>
          <t>30W / 32L</t>
        </is>
      </c>
      <c r="H18" s="156" t="inlineStr">
        <is>
          <t>Stetson</t>
        </is>
      </c>
      <c r="I18" s="156" t="inlineStr">
        <is>
          <t>Jean Bolsa Trasera Denim Reverso</t>
        </is>
      </c>
      <c r="J18" s="156" t="inlineStr">
        <is>
          <t>Denim</t>
        </is>
      </c>
      <c r="K18" s="156" t="inlineStr">
        <is>
          <t>Jeans</t>
        </is>
      </c>
      <c r="L18" s="156" t="inlineStr">
        <is>
          <t>Hombre</t>
        </is>
      </c>
      <c r="M18" s="156" t="inlineStr">
        <is>
          <t>Stetson</t>
        </is>
      </c>
      <c r="N18" s="156" t="inlineStr">
        <is>
          <t>SS26</t>
        </is>
      </c>
      <c r="O18" s="156" t="inlineStr">
        <is>
          <t>Seasonal</t>
        </is>
      </c>
      <c r="P18" s="156" t="inlineStr">
        <is>
          <t>Azul</t>
        </is>
      </c>
      <c r="Q18" s="156" t="inlineStr">
        <is>
          <t>Relajado</t>
        </is>
      </c>
      <c r="R18" s="156" t="inlineStr">
        <is>
          <t>Recto</t>
        </is>
      </c>
      <c r="S18" s="156" t="inlineStr">
        <is>
          <t>100% Algodón</t>
        </is>
      </c>
      <c r="T18" s="156" t="inlineStr">
        <is>
          <t>Jean Bolsa Trasera Denim Reverso Relajado</t>
        </is>
      </c>
      <c r="U18" s="156" t="n"/>
      <c r="V18" s="156" t="inlineStr">
        <is>
          <t>PZS</t>
        </is>
      </c>
      <c r="W18" s="51" t="inlineStr">
        <is>
          <t>53101502</t>
        </is>
      </c>
      <c r="X18" s="156" t="n"/>
      <c r="Y18" s="54" t="n">
        <v>775.862069</v>
      </c>
      <c r="Z18" s="54" t="n">
        <v>1724.137931</v>
      </c>
      <c r="AA18" s="55">
        <f>IF(AND(A18="", B18="", E18=""), "", IF(AB18="", "Válido", IF((LEN(AB18)-LEN(SUBSTITUTE(AB18,"; ","")))/2+1&gt;(LEN(AB18)-LEN(SUBSTITUTE(AB18,"[Aviso]","")))/7, "Con Incidencias", "Válido")))</f>
        <v/>
      </c>
      <c r="AB18" s="56">
        <f>IF(AND(A18="", B18="", E18=""), "", TEXTJOIN("; ", TRUE, IF(OR(TRIM(A18&amp;"")="", ISNUMBER(SEARCH("FALTA", A18))), "UPC faltante/inválido", ""), IF(AND(A18&lt;&gt;"", IFERROR(_xlfn.XMATCH(A18,$A$2:$A$2509,0,1)&lt;&gt;_xlfn.XMATCH(A18,$A$2:$A$2509,0,-1),FALSE)), "Código de barras duplicado", ""), IF(AND(E18&lt;&gt;"", COUNTIF($E$2:$E$2509, E18)&gt;1), "SKU duplicado", ""), IF(OR(J18="", J18=""), "[Aviso] División no capturada ()", IF(ISNA(MATCH(J18, Criterios!$A$123:$A$126, 0)), "División no válida", "")), IF(OR(K18="", K18=""), "[Aviso] Categoría no capturada ()", IF(ISNA(MATCH(K18, Criterios!$A$81:$A$120, 0)), "Categoría no válida", IF(AND(J18&lt;&gt;"", J18&lt;&gt;"", J18&lt;&gt;VLOOKUP(K18, Criterios!$A$81:$B$120, 2, FALSE)), "División no coincide con Categoría", ""))), IF(OR(L18="", L18=""), "[Aviso] Género no capturado ()", IF(ISNA(MATCH(L18, Criterios!$B$123:$B$127, 0)), "Género no válido", "")), IF(OR(N18="", N18=""), "[Aviso] Temporada no capturada ()", IF(ISNA(MATCH(N18, Criterios!$C$123:$C$128, 0)), "Temporada no válida", "")), IF(OR(O18="", O18=""), "[Aviso] Ciclo de vida no capturado ()", IF(ISNA(MATCH(O18, Criterios!$D$123:$D$124, 0)), "Ciclo de vida no válido", ""))))</f>
        <v/>
      </c>
      <c r="AC18" s="56" t="n"/>
      <c r="AD18" s="51" t="n">
        <v>0</v>
      </c>
      <c r="AE18" s="156" t="n"/>
      <c r="AF18" s="51" t="n">
        <v>0</v>
      </c>
      <c r="AG18" s="156" t="inlineStr">
        <is>
          <t>Catálogo existente</t>
        </is>
      </c>
      <c r="AH18" s="156" t="n"/>
      <c r="AI18" s="156" t="inlineStr">
        <is>
          <t>No</t>
        </is>
      </c>
      <c r="AJ18" s="156" t="n"/>
      <c r="AK18" s="155" t="inlineStr">
        <is>
          <t>Shopify Stetson: producto 15051554783595 / variante 53342128046443 | Odoo: producto 29865 / plantilla 38569</t>
        </is>
      </c>
      <c r="AL18" s="58" t="n">
        <v>775.862069</v>
      </c>
      <c r="AM18" s="58" t="n">
        <v>1724.137931</v>
      </c>
      <c r="AN18" s="155" t="inlineStr">
        <is>
          <t>Shopify Stetson México | Odoo Universal Unique Brands</t>
        </is>
      </c>
      <c r="AO18" s="59" t="n">
        <v>2</v>
      </c>
      <c r="AP18" s="59" t="n"/>
      <c r="AQ18" s="59" t="n">
        <v>2</v>
      </c>
      <c r="AR18" s="155" t="inlineStr">
        <is>
          <t>Shopify Stetson México › Stetson Americas: 2 | Odoo Universal Unique Brands › Bodega 25 › Bodega 25/General: 2</t>
        </is>
      </c>
    </row>
    <row r="19">
      <c r="A19" s="50" t="inlineStr">
        <is>
          <t>052356089888</t>
        </is>
      </c>
      <c r="B19" s="51" t="inlineStr">
        <is>
          <t>110625</t>
        </is>
      </c>
      <c r="C19" s="156" t="inlineStr">
        <is>
          <t>Multimarca</t>
        </is>
      </c>
      <c r="D19" s="156" t="inlineStr">
        <is>
          <t>11-004-1312-4040</t>
        </is>
      </c>
      <c r="E19" s="156" t="inlineStr">
        <is>
          <t>11-004-1312-4040-31 32</t>
        </is>
      </c>
      <c r="F19" s="156" t="inlineStr">
        <is>
          <t>31 x 32</t>
        </is>
      </c>
      <c r="G19" s="156" t="inlineStr">
        <is>
          <t>31W / 32L</t>
        </is>
      </c>
      <c r="H19" s="156" t="inlineStr">
        <is>
          <t>Stetson</t>
        </is>
      </c>
      <c r="I19" s="156" t="inlineStr">
        <is>
          <t>Jean Bolsa Trasera Denim Reverso</t>
        </is>
      </c>
      <c r="J19" s="156" t="inlineStr">
        <is>
          <t>Denim</t>
        </is>
      </c>
      <c r="K19" s="156" t="inlineStr">
        <is>
          <t>Jeans</t>
        </is>
      </c>
      <c r="L19" s="156" t="inlineStr">
        <is>
          <t>Hombre</t>
        </is>
      </c>
      <c r="M19" s="156" t="inlineStr">
        <is>
          <t>Stetson</t>
        </is>
      </c>
      <c r="N19" s="156" t="inlineStr">
        <is>
          <t>SS26</t>
        </is>
      </c>
      <c r="O19" s="156" t="inlineStr">
        <is>
          <t>Seasonal</t>
        </is>
      </c>
      <c r="P19" s="156" t="inlineStr">
        <is>
          <t>Azul</t>
        </is>
      </c>
      <c r="Q19" s="156" t="inlineStr">
        <is>
          <t>Relajado</t>
        </is>
      </c>
      <c r="R19" s="156" t="inlineStr">
        <is>
          <t>Recto</t>
        </is>
      </c>
      <c r="S19" s="156" t="inlineStr">
        <is>
          <t>100% Algodón</t>
        </is>
      </c>
      <c r="T19" s="156" t="inlineStr">
        <is>
          <t>Jean Bolsa Trasera Denim Reverso Relajado</t>
        </is>
      </c>
      <c r="U19" s="156" t="n"/>
      <c r="V19" s="156" t="inlineStr">
        <is>
          <t>PZS</t>
        </is>
      </c>
      <c r="W19" s="51" t="inlineStr">
        <is>
          <t>53101502</t>
        </is>
      </c>
      <c r="X19" s="156" t="n"/>
      <c r="Y19" s="54" t="n">
        <v>775.862069</v>
      </c>
      <c r="Z19" s="54" t="n">
        <v>1724.137931</v>
      </c>
      <c r="AA19" s="55">
        <f>IF(AND(A19="", B19="", E19=""), "", IF(AB19="", "Válido", IF((LEN(AB19)-LEN(SUBSTITUTE(AB19,"; ","")))/2+1&gt;(LEN(AB19)-LEN(SUBSTITUTE(AB19,"[Aviso]","")))/7, "Con Incidencias", "Válido")))</f>
        <v/>
      </c>
      <c r="AB19" s="56">
        <f>IF(AND(A19="", B19="", E19=""), "", TEXTJOIN("; ", TRUE, IF(OR(TRIM(A19&amp;"")="", ISNUMBER(SEARCH("FALTA", A19))), "UPC faltante/inválido", ""), IF(AND(A19&lt;&gt;"", IFERROR(_xlfn.XMATCH(A19,$A$2:$A$2509,0,1)&lt;&gt;_xlfn.XMATCH(A19,$A$2:$A$2509,0,-1),FALSE)), "Código de barras duplicado", ""), IF(AND(E19&lt;&gt;"", COUNTIF($E$2:$E$2509, E19)&gt;1), "SKU duplicado", ""), IF(OR(J19="", J19=""), "[Aviso] División no capturada ()", IF(ISNA(MATCH(J19, Criterios!$A$123:$A$126, 0)), "División no válida", "")), IF(OR(K19="", K19=""), "[Aviso] Categoría no capturada ()", IF(ISNA(MATCH(K19, Criterios!$A$81:$A$120, 0)), "Categoría no válida", IF(AND(J19&lt;&gt;"", J19&lt;&gt;"", J19&lt;&gt;VLOOKUP(K19, Criterios!$A$81:$B$120, 2, FALSE)), "División no coincide con Categoría", ""))), IF(OR(L19="", L19=""), "[Aviso] Género no capturado ()", IF(ISNA(MATCH(L19, Criterios!$B$123:$B$127, 0)), "Género no válido", "")), IF(OR(N19="", N19=""), "[Aviso] Temporada no capturada ()", IF(ISNA(MATCH(N19, Criterios!$C$123:$C$128, 0)), "Temporada no válida", "")), IF(OR(O19="", O19=""), "[Aviso] Ciclo de vida no capturado ()", IF(ISNA(MATCH(O19, Criterios!$D$123:$D$124, 0)), "Ciclo de vida no válido", ""))))</f>
        <v/>
      </c>
      <c r="AC19" s="56" t="n"/>
      <c r="AD19" s="51" t="n">
        <v>-1</v>
      </c>
      <c r="AE19" s="156" t="n"/>
      <c r="AF19" s="51" t="n">
        <v>0</v>
      </c>
      <c r="AG19" s="156" t="inlineStr">
        <is>
          <t>Catálogo existente</t>
        </is>
      </c>
      <c r="AH19" s="156" t="inlineStr">
        <is>
          <t>Stock negativo en sistema: revisar en conteo</t>
        </is>
      </c>
      <c r="AI19" s="156" t="inlineStr">
        <is>
          <t>Sí</t>
        </is>
      </c>
      <c r="AJ19" s="156" t="inlineStr">
        <is>
          <t>STETSON AMERICAS (-1)</t>
        </is>
      </c>
      <c r="AK19" s="155" t="inlineStr">
        <is>
          <t>Shopify Stetson: producto 15051554783595 / variante 53342128079211 | Odoo: producto 29866 / plantilla 38570</t>
        </is>
      </c>
      <c r="AL19" s="58" t="n">
        <v>775.862069</v>
      </c>
      <c r="AM19" s="58" t="n">
        <v>1724.137931</v>
      </c>
      <c r="AN19" s="155" t="inlineStr">
        <is>
          <t>Shopify Stetson México | Odoo Universal Unique Brands</t>
        </is>
      </c>
      <c r="AO19" s="59" t="n">
        <v>3</v>
      </c>
      <c r="AP19" s="59" t="n"/>
      <c r="AQ19" s="59" t="n">
        <v>4</v>
      </c>
      <c r="AR19" s="155" t="inlineStr">
        <is>
          <t>Shopify Stetson México › Stetson Americas: 3 | Odoo Universal Unique Brands › Bodega 25 › Bodega 25/General: 4</t>
        </is>
      </c>
    </row>
    <row r="20">
      <c r="A20" s="50" t="inlineStr">
        <is>
          <t>052356089949</t>
        </is>
      </c>
      <c r="B20" s="51" t="inlineStr">
        <is>
          <t>110626</t>
        </is>
      </c>
      <c r="C20" s="156" t="inlineStr">
        <is>
          <t>Multimarca</t>
        </is>
      </c>
      <c r="D20" s="156" t="inlineStr">
        <is>
          <t>11-004-1312-4040</t>
        </is>
      </c>
      <c r="E20" s="156" t="inlineStr">
        <is>
          <t>11-004-1312-4040-32 32</t>
        </is>
      </c>
      <c r="F20" s="156" t="inlineStr">
        <is>
          <t>32 x 32</t>
        </is>
      </c>
      <c r="G20" s="156" t="inlineStr">
        <is>
          <t>32W / 32L</t>
        </is>
      </c>
      <c r="H20" s="156" t="inlineStr">
        <is>
          <t>Stetson</t>
        </is>
      </c>
      <c r="I20" s="156" t="inlineStr">
        <is>
          <t>Jean Bolsa Trasera Denim Reverso</t>
        </is>
      </c>
      <c r="J20" s="156" t="inlineStr">
        <is>
          <t>Denim</t>
        </is>
      </c>
      <c r="K20" s="156" t="inlineStr">
        <is>
          <t>Jeans</t>
        </is>
      </c>
      <c r="L20" s="156" t="inlineStr">
        <is>
          <t>Hombre</t>
        </is>
      </c>
      <c r="M20" s="156" t="inlineStr">
        <is>
          <t>Stetson</t>
        </is>
      </c>
      <c r="N20" s="156" t="inlineStr">
        <is>
          <t>SS26</t>
        </is>
      </c>
      <c r="O20" s="156" t="inlineStr">
        <is>
          <t>Seasonal</t>
        </is>
      </c>
      <c r="P20" s="156" t="inlineStr">
        <is>
          <t>Azul</t>
        </is>
      </c>
      <c r="Q20" s="156" t="inlineStr">
        <is>
          <t>Relajado</t>
        </is>
      </c>
      <c r="R20" s="156" t="inlineStr">
        <is>
          <t>Recto</t>
        </is>
      </c>
      <c r="S20" s="156" t="inlineStr">
        <is>
          <t>100% Algodón</t>
        </is>
      </c>
      <c r="T20" s="156" t="inlineStr">
        <is>
          <t>Jean Bolsa Trasera Denim Reverso Relajado</t>
        </is>
      </c>
      <c r="U20" s="156" t="n"/>
      <c r="V20" s="156" t="inlineStr">
        <is>
          <t>PZS</t>
        </is>
      </c>
      <c r="W20" s="51" t="inlineStr">
        <is>
          <t>53101502</t>
        </is>
      </c>
      <c r="X20" s="156" t="n"/>
      <c r="Y20" s="54" t="n">
        <v>775.862069</v>
      </c>
      <c r="Z20" s="54" t="n">
        <v>1724.137931</v>
      </c>
      <c r="AA20" s="55">
        <f>IF(AND(A20="", B20="", E20=""), "", IF(AB20="", "Válido", IF((LEN(AB20)-LEN(SUBSTITUTE(AB20,"; ","")))/2+1&gt;(LEN(AB20)-LEN(SUBSTITUTE(AB20,"[Aviso]","")))/7, "Con Incidencias", "Válido")))</f>
        <v/>
      </c>
      <c r="AB20" s="56">
        <f>IF(AND(A20="", B20="", E20=""), "", TEXTJOIN("; ", TRUE, IF(OR(TRIM(A20&amp;"")="", ISNUMBER(SEARCH("FALTA", A20))), "UPC faltante/inválido", ""), IF(AND(A20&lt;&gt;"", IFERROR(_xlfn.XMATCH(A20,$A$2:$A$2509,0,1)&lt;&gt;_xlfn.XMATCH(A20,$A$2:$A$2509,0,-1),FALSE)), "Código de barras duplicado", ""), IF(AND(E20&lt;&gt;"", COUNTIF($E$2:$E$2509, E20)&gt;1), "SKU duplicado", ""), IF(OR(J20="", J20=""), "[Aviso] División no capturada ()", IF(ISNA(MATCH(J20, Criterios!$A$123:$A$126, 0)), "División no válida", "")), IF(OR(K20="", K20=""), "[Aviso] Categoría no capturada ()", IF(ISNA(MATCH(K20, Criterios!$A$81:$A$120, 0)), "Categoría no válida", IF(AND(J20&lt;&gt;"", J20&lt;&gt;"", J20&lt;&gt;VLOOKUP(K20, Criterios!$A$81:$B$120, 2, FALSE)), "División no coincide con Categoría", ""))), IF(OR(L20="", L20=""), "[Aviso] Género no capturado ()", IF(ISNA(MATCH(L20, Criterios!$B$123:$B$127, 0)), "Género no válido", "")), IF(OR(N20="", N20=""), "[Aviso] Temporada no capturada ()", IF(ISNA(MATCH(N20, Criterios!$C$123:$C$128, 0)), "Temporada no válida", "")), IF(OR(O20="", O20=""), "[Aviso] Ciclo de vida no capturado ()", IF(ISNA(MATCH(O20, Criterios!$D$123:$D$124, 0)), "Ciclo de vida no válido", ""))))</f>
        <v/>
      </c>
      <c r="AC20" s="56" t="n"/>
      <c r="AD20" s="51" t="n">
        <v>0</v>
      </c>
      <c r="AE20" s="156" t="n"/>
      <c r="AF20" s="51" t="n">
        <v>0</v>
      </c>
      <c r="AG20" s="156" t="inlineStr">
        <is>
          <t>Catálogo existente</t>
        </is>
      </c>
      <c r="AH20" s="156" t="n"/>
      <c r="AI20" s="156" t="inlineStr">
        <is>
          <t>No</t>
        </is>
      </c>
      <c r="AJ20" s="156" t="n"/>
      <c r="AK20" s="155" t="inlineStr">
        <is>
          <t>Shopify Stetson: producto 15051554783595 / variante 53342128111979 | Odoo: producto 29867 / plantilla 38571</t>
        </is>
      </c>
      <c r="AL20" s="58" t="n">
        <v>775.862069</v>
      </c>
      <c r="AM20" s="58" t="n">
        <v>1724.137931</v>
      </c>
      <c r="AN20" s="155" t="inlineStr">
        <is>
          <t>Shopify Stetson México | Odoo Universal Unique Brands</t>
        </is>
      </c>
      <c r="AO20" s="59" t="n">
        <v>4</v>
      </c>
      <c r="AP20" s="59" t="n"/>
      <c r="AQ20" s="59" t="n">
        <v>4</v>
      </c>
      <c r="AR20" s="155" t="inlineStr">
        <is>
          <t>Shopify Stetson México › Stetson Americas: 4 | Odoo Universal Unique Brands › Bodega 25 › Bodega 25/General: 4</t>
        </is>
      </c>
    </row>
    <row r="21">
      <c r="A21" s="50" t="inlineStr">
        <is>
          <t>052356089956</t>
        </is>
      </c>
      <c r="B21" s="51" t="inlineStr">
        <is>
          <t>110627</t>
        </is>
      </c>
      <c r="C21" s="156" t="inlineStr">
        <is>
          <t>Multimarca</t>
        </is>
      </c>
      <c r="D21" s="156" t="inlineStr">
        <is>
          <t>11-004-1312-4040</t>
        </is>
      </c>
      <c r="E21" s="156" t="inlineStr">
        <is>
          <t>11-004-1312-4040-32 34</t>
        </is>
      </c>
      <c r="F21" s="156" t="inlineStr">
        <is>
          <t>32 x 34</t>
        </is>
      </c>
      <c r="G21" s="156" t="inlineStr">
        <is>
          <t>32W / 34L</t>
        </is>
      </c>
      <c r="H21" s="156" t="inlineStr">
        <is>
          <t>Stetson</t>
        </is>
      </c>
      <c r="I21" s="156" t="inlineStr">
        <is>
          <t>Jean Bolsa Trasera Denim Reverso</t>
        </is>
      </c>
      <c r="J21" s="156" t="inlineStr">
        <is>
          <t>Denim</t>
        </is>
      </c>
      <c r="K21" s="156" t="inlineStr">
        <is>
          <t>Jeans</t>
        </is>
      </c>
      <c r="L21" s="156" t="inlineStr">
        <is>
          <t>Hombre</t>
        </is>
      </c>
      <c r="M21" s="156" t="inlineStr">
        <is>
          <t>Stetson</t>
        </is>
      </c>
      <c r="N21" s="156" t="inlineStr">
        <is>
          <t>SS26</t>
        </is>
      </c>
      <c r="O21" s="156" t="inlineStr">
        <is>
          <t>Seasonal</t>
        </is>
      </c>
      <c r="P21" s="156" t="inlineStr">
        <is>
          <t>Azul</t>
        </is>
      </c>
      <c r="Q21" s="156" t="inlineStr">
        <is>
          <t>Relajado</t>
        </is>
      </c>
      <c r="R21" s="156" t="inlineStr">
        <is>
          <t>Recto</t>
        </is>
      </c>
      <c r="S21" s="156" t="inlineStr">
        <is>
          <t>100% Algodón</t>
        </is>
      </c>
      <c r="T21" s="156" t="inlineStr">
        <is>
          <t>Jean Bolsa Trasera Denim Reverso Relajado</t>
        </is>
      </c>
      <c r="U21" s="156" t="n"/>
      <c r="V21" s="156" t="inlineStr">
        <is>
          <t>PZS</t>
        </is>
      </c>
      <c r="W21" s="51" t="inlineStr">
        <is>
          <t>53101502</t>
        </is>
      </c>
      <c r="X21" s="156" t="n"/>
      <c r="Y21" s="54" t="n">
        <v>775.862069</v>
      </c>
      <c r="Z21" s="54" t="n">
        <v>1724.137931</v>
      </c>
      <c r="AA21" s="55">
        <f>IF(AND(A21="", B21="", E21=""), "", IF(AB21="", "Válido", IF((LEN(AB21)-LEN(SUBSTITUTE(AB21,"; ","")))/2+1&gt;(LEN(AB21)-LEN(SUBSTITUTE(AB21,"[Aviso]","")))/7, "Con Incidencias", "Válido")))</f>
        <v/>
      </c>
      <c r="AB21" s="56">
        <f>IF(AND(A21="", B21="", E21=""), "", TEXTJOIN("; ", TRUE, IF(OR(TRIM(A21&amp;"")="", ISNUMBER(SEARCH("FALTA", A21))), "UPC faltante/inválido", ""), IF(AND(A21&lt;&gt;"", IFERROR(_xlfn.XMATCH(A21,$A$2:$A$2509,0,1)&lt;&gt;_xlfn.XMATCH(A21,$A$2:$A$2509,0,-1),FALSE)), "Código de barras duplicado", ""), IF(AND(E21&lt;&gt;"", COUNTIF($E$2:$E$2509, E21)&gt;1), "SKU duplicado", ""), IF(OR(J21="", J21=""), "[Aviso] División no capturada ()", IF(ISNA(MATCH(J21, Criterios!$A$123:$A$126, 0)), "División no válida", "")), IF(OR(K21="", K21=""), "[Aviso] Categoría no capturada ()", IF(ISNA(MATCH(K21, Criterios!$A$81:$A$120, 0)), "Categoría no válida", IF(AND(J21&lt;&gt;"", J21&lt;&gt;"", J21&lt;&gt;VLOOKUP(K21, Criterios!$A$81:$B$120, 2, FALSE)), "División no coincide con Categoría", ""))), IF(OR(L21="", L21=""), "[Aviso] Género no capturado ()", IF(ISNA(MATCH(L21, Criterios!$B$123:$B$127, 0)), "Género no válido", "")), IF(OR(N21="", N21=""), "[Aviso] Temporada no capturada ()", IF(ISNA(MATCH(N21, Criterios!$C$123:$C$128, 0)), "Temporada no válida", "")), IF(OR(O21="", O21=""), "[Aviso] Ciclo de vida no capturado ()", IF(ISNA(MATCH(O21, Criterios!$D$123:$D$124, 0)), "Ciclo de vida no válido", ""))))</f>
        <v/>
      </c>
      <c r="AC21" s="56" t="n"/>
      <c r="AD21" s="51" t="n">
        <v>-1</v>
      </c>
      <c r="AE21" s="156" t="n"/>
      <c r="AF21" s="51" t="n">
        <v>0</v>
      </c>
      <c r="AG21" s="156" t="inlineStr">
        <is>
          <t>Catálogo existente</t>
        </is>
      </c>
      <c r="AH21" s="156" t="inlineStr">
        <is>
          <t>Stock negativo en sistema: revisar en conteo</t>
        </is>
      </c>
      <c r="AI21" s="156" t="inlineStr">
        <is>
          <t>Sí</t>
        </is>
      </c>
      <c r="AJ21" s="156" t="inlineStr">
        <is>
          <t>STETSON AMERICAS (-1)</t>
        </is>
      </c>
      <c r="AK21" s="155" t="inlineStr">
        <is>
          <t>Shopify Stetson: producto 15051554783595 / variante 53342128144747 | Odoo: producto 29868 / plantilla 38572</t>
        </is>
      </c>
      <c r="AL21" s="58" t="n">
        <v>775.862069</v>
      </c>
      <c r="AM21" s="58" t="n">
        <v>1724.137931</v>
      </c>
      <c r="AN21" s="155" t="inlineStr">
        <is>
          <t>Shopify Stetson México | Odoo Universal Unique Brands</t>
        </is>
      </c>
      <c r="AO21" s="59" t="n">
        <v>2</v>
      </c>
      <c r="AP21" s="59" t="n"/>
      <c r="AQ21" s="59" t="n">
        <v>4</v>
      </c>
      <c r="AR21" s="155" t="inlineStr">
        <is>
          <t>Shopify Stetson México › Stetson Americas: 2 | Odoo Universal Unique Brands › Bodega 25 › Bodega 25/General: 4</t>
        </is>
      </c>
    </row>
    <row r="22">
      <c r="A22" s="50" t="inlineStr">
        <is>
          <t>052356090006</t>
        </is>
      </c>
      <c r="B22" s="51" t="inlineStr">
        <is>
          <t>110628</t>
        </is>
      </c>
      <c r="C22" s="156" t="inlineStr">
        <is>
          <t>Multimarca</t>
        </is>
      </c>
      <c r="D22" s="156" t="inlineStr">
        <is>
          <t>11-004-1312-4040</t>
        </is>
      </c>
      <c r="E22" s="156" t="inlineStr">
        <is>
          <t>11-004-1312-4040-33 32</t>
        </is>
      </c>
      <c r="F22" s="156" t="inlineStr">
        <is>
          <t>33 x 32</t>
        </is>
      </c>
      <c r="G22" s="156" t="inlineStr">
        <is>
          <t>33W / 32L</t>
        </is>
      </c>
      <c r="H22" s="156" t="inlineStr">
        <is>
          <t>Stetson</t>
        </is>
      </c>
      <c r="I22" s="156" t="inlineStr">
        <is>
          <t>Jean Bolsa Trasera Denim Reverso</t>
        </is>
      </c>
      <c r="J22" s="156" t="inlineStr">
        <is>
          <t>Denim</t>
        </is>
      </c>
      <c r="K22" s="156" t="inlineStr">
        <is>
          <t>Jeans</t>
        </is>
      </c>
      <c r="L22" s="156" t="inlineStr">
        <is>
          <t>Hombre</t>
        </is>
      </c>
      <c r="M22" s="156" t="inlineStr">
        <is>
          <t>Stetson</t>
        </is>
      </c>
      <c r="N22" s="156" t="inlineStr">
        <is>
          <t>SS26</t>
        </is>
      </c>
      <c r="O22" s="156" t="inlineStr">
        <is>
          <t>Seasonal</t>
        </is>
      </c>
      <c r="P22" s="156" t="inlineStr">
        <is>
          <t>Azul</t>
        </is>
      </c>
      <c r="Q22" s="156" t="inlineStr">
        <is>
          <t>Relajado</t>
        </is>
      </c>
      <c r="R22" s="156" t="inlineStr">
        <is>
          <t>Recto</t>
        </is>
      </c>
      <c r="S22" s="156" t="inlineStr">
        <is>
          <t>100% Algodón</t>
        </is>
      </c>
      <c r="T22" s="156" t="inlineStr">
        <is>
          <t>Jean Bolsa Trasera Denim Reverso Relajado</t>
        </is>
      </c>
      <c r="U22" s="156" t="n"/>
      <c r="V22" s="156" t="inlineStr">
        <is>
          <t>PZS</t>
        </is>
      </c>
      <c r="W22" s="51" t="inlineStr">
        <is>
          <t>53101502</t>
        </is>
      </c>
      <c r="X22" s="156" t="n"/>
      <c r="Y22" s="54" t="n">
        <v>775.862069</v>
      </c>
      <c r="Z22" s="54" t="n">
        <v>1724.137931</v>
      </c>
      <c r="AA22" s="55">
        <f>IF(AND(A22="", B22="", E22=""), "", IF(AB22="", "Válido", IF((LEN(AB22)-LEN(SUBSTITUTE(AB22,"; ","")))/2+1&gt;(LEN(AB22)-LEN(SUBSTITUTE(AB22,"[Aviso]","")))/7, "Con Incidencias", "Válido")))</f>
        <v/>
      </c>
      <c r="AB22" s="56">
        <f>IF(AND(A22="", B22="", E22=""), "", TEXTJOIN("; ", TRUE, IF(OR(TRIM(A22&amp;"")="", ISNUMBER(SEARCH("FALTA", A22))), "UPC faltante/inválido", ""), IF(AND(A22&lt;&gt;"", IFERROR(_xlfn.XMATCH(A22,$A$2:$A$2509,0,1)&lt;&gt;_xlfn.XMATCH(A22,$A$2:$A$2509,0,-1),FALSE)), "Código de barras duplicado", ""), IF(AND(E22&lt;&gt;"", COUNTIF($E$2:$E$2509, E22)&gt;1), "SKU duplicado", ""), IF(OR(J22="", J22=""), "[Aviso] División no capturada ()", IF(ISNA(MATCH(J22, Criterios!$A$123:$A$126, 0)), "División no válida", "")), IF(OR(K22="", K22=""), "[Aviso] Categoría no capturada ()", IF(ISNA(MATCH(K22, Criterios!$A$81:$A$120, 0)), "Categoría no válida", IF(AND(J22&lt;&gt;"", J22&lt;&gt;"", J22&lt;&gt;VLOOKUP(K22, Criterios!$A$81:$B$120, 2, FALSE)), "División no coincide con Categoría", ""))), IF(OR(L22="", L22=""), "[Aviso] Género no capturado ()", IF(ISNA(MATCH(L22, Criterios!$B$123:$B$127, 0)), "Género no válido", "")), IF(OR(N22="", N22=""), "[Aviso] Temporada no capturada ()", IF(ISNA(MATCH(N22, Criterios!$C$123:$C$128, 0)), "Temporada no válida", "")), IF(OR(O22="", O22=""), "[Aviso] Ciclo de vida no capturado ()", IF(ISNA(MATCH(O22, Criterios!$D$123:$D$124, 0)), "Ciclo de vida no válido", ""))))</f>
        <v/>
      </c>
      <c r="AC22" s="56" t="n"/>
      <c r="AD22" s="51" t="n">
        <v>0</v>
      </c>
      <c r="AE22" s="156" t="n"/>
      <c r="AF22" s="51" t="n">
        <v>0</v>
      </c>
      <c r="AG22" s="156" t="inlineStr">
        <is>
          <t>Catálogo existente</t>
        </is>
      </c>
      <c r="AH22" s="156" t="n"/>
      <c r="AI22" s="156" t="inlineStr">
        <is>
          <t>No</t>
        </is>
      </c>
      <c r="AJ22" s="156" t="n"/>
      <c r="AK22" s="155" t="inlineStr">
        <is>
          <t>Shopify Stetson: producto 15051554783595 / variante 53342128177515 | Odoo: producto 29869 / plantilla 38573</t>
        </is>
      </c>
      <c r="AL22" s="58" t="n">
        <v>775.862069</v>
      </c>
      <c r="AM22" s="58" t="n">
        <v>1724.137931</v>
      </c>
      <c r="AN22" s="155" t="inlineStr">
        <is>
          <t>Shopify Stetson México | Odoo Universal Unique Brands</t>
        </is>
      </c>
      <c r="AO22" s="59" t="n">
        <v>4</v>
      </c>
      <c r="AP22" s="59" t="n"/>
      <c r="AQ22" s="59" t="n">
        <v>4</v>
      </c>
      <c r="AR22" s="155" t="inlineStr">
        <is>
          <t>Shopify Stetson México › Stetson Americas: 4 | Odoo Universal Unique Brands › Bodega 25 › Bodega 25/General: 4</t>
        </is>
      </c>
    </row>
    <row r="23">
      <c r="A23" s="50" t="inlineStr">
        <is>
          <t>052356090068</t>
        </is>
      </c>
      <c r="B23" s="51" t="inlineStr">
        <is>
          <t>110629</t>
        </is>
      </c>
      <c r="C23" s="156" t="inlineStr">
        <is>
          <t>Multimarca</t>
        </is>
      </c>
      <c r="D23" s="156" t="inlineStr">
        <is>
          <t>11-004-1312-4040</t>
        </is>
      </c>
      <c r="E23" s="156" t="inlineStr">
        <is>
          <t>11-004-1312-4040-34 32</t>
        </is>
      </c>
      <c r="F23" s="156" t="inlineStr">
        <is>
          <t>34 x 32</t>
        </is>
      </c>
      <c r="G23" s="156" t="inlineStr">
        <is>
          <t>34W / 32L</t>
        </is>
      </c>
      <c r="H23" s="156" t="inlineStr">
        <is>
          <t>Stetson</t>
        </is>
      </c>
      <c r="I23" s="156" t="inlineStr">
        <is>
          <t>Jean Bolsa Trasera Denim Reverso</t>
        </is>
      </c>
      <c r="J23" s="156" t="inlineStr">
        <is>
          <t>Denim</t>
        </is>
      </c>
      <c r="K23" s="156" t="inlineStr">
        <is>
          <t>Jeans</t>
        </is>
      </c>
      <c r="L23" s="156" t="inlineStr">
        <is>
          <t>Hombre</t>
        </is>
      </c>
      <c r="M23" s="156" t="inlineStr">
        <is>
          <t>Stetson</t>
        </is>
      </c>
      <c r="N23" s="156" t="inlineStr">
        <is>
          <t>SS26</t>
        </is>
      </c>
      <c r="O23" s="156" t="inlineStr">
        <is>
          <t>Seasonal</t>
        </is>
      </c>
      <c r="P23" s="156" t="inlineStr">
        <is>
          <t>Azul</t>
        </is>
      </c>
      <c r="Q23" s="156" t="inlineStr">
        <is>
          <t>Relajado</t>
        </is>
      </c>
      <c r="R23" s="156" t="inlineStr">
        <is>
          <t>Recto</t>
        </is>
      </c>
      <c r="S23" s="156" t="inlineStr">
        <is>
          <t>100% Algodón</t>
        </is>
      </c>
      <c r="T23" s="156" t="inlineStr">
        <is>
          <t>Jean Bolsa Trasera Denim Reverso Relajado</t>
        </is>
      </c>
      <c r="U23" s="156" t="n"/>
      <c r="V23" s="156" t="inlineStr">
        <is>
          <t>PZS</t>
        </is>
      </c>
      <c r="W23" s="51" t="inlineStr">
        <is>
          <t>53101502</t>
        </is>
      </c>
      <c r="X23" s="156" t="n"/>
      <c r="Y23" s="54" t="n">
        <v>775.862069</v>
      </c>
      <c r="Z23" s="54" t="n">
        <v>1724.137931</v>
      </c>
      <c r="AA23" s="55">
        <f>IF(AND(A23="", B23="", E23=""), "", IF(AB23="", "Válido", IF((LEN(AB23)-LEN(SUBSTITUTE(AB23,"; ","")))/2+1&gt;(LEN(AB23)-LEN(SUBSTITUTE(AB23,"[Aviso]","")))/7, "Con Incidencias", "Válido")))</f>
        <v/>
      </c>
      <c r="AB23" s="56">
        <f>IF(AND(A23="", B23="", E23=""), "", TEXTJOIN("; ", TRUE, IF(OR(TRIM(A23&amp;"")="", ISNUMBER(SEARCH("FALTA", A23))), "UPC faltante/inválido", ""), IF(AND(A23&lt;&gt;"", IFERROR(_xlfn.XMATCH(A23,$A$2:$A$2509,0,1)&lt;&gt;_xlfn.XMATCH(A23,$A$2:$A$2509,0,-1),FALSE)), "Código de barras duplicado", ""), IF(AND(E23&lt;&gt;"", COUNTIF($E$2:$E$2509, E23)&gt;1), "SKU duplicado", ""), IF(OR(J23="", J23=""), "[Aviso] División no capturada ()", IF(ISNA(MATCH(J23, Criterios!$A$123:$A$126, 0)), "División no válida", "")), IF(OR(K23="", K23=""), "[Aviso] Categoría no capturada ()", IF(ISNA(MATCH(K23, Criterios!$A$81:$A$120, 0)), "Categoría no válida", IF(AND(J23&lt;&gt;"", J23&lt;&gt;"", J23&lt;&gt;VLOOKUP(K23, Criterios!$A$81:$B$120, 2, FALSE)), "División no coincide con Categoría", ""))), IF(OR(L23="", L23=""), "[Aviso] Género no capturado ()", IF(ISNA(MATCH(L23, Criterios!$B$123:$B$127, 0)), "Género no válido", "")), IF(OR(N23="", N23=""), "[Aviso] Temporada no capturada ()", IF(ISNA(MATCH(N23, Criterios!$C$123:$C$128, 0)), "Temporada no válida", "")), IF(OR(O23="", O23=""), "[Aviso] Ciclo de vida no capturado ()", IF(ISNA(MATCH(O23, Criterios!$D$123:$D$124, 0)), "Ciclo de vida no válido", ""))))</f>
        <v/>
      </c>
      <c r="AC23" s="56" t="n"/>
      <c r="AD23" s="51" t="n">
        <v>0</v>
      </c>
      <c r="AE23" s="156" t="n"/>
      <c r="AF23" s="51" t="n">
        <v>0</v>
      </c>
      <c r="AG23" s="156" t="inlineStr">
        <is>
          <t>Catálogo existente</t>
        </is>
      </c>
      <c r="AH23" s="156" t="n"/>
      <c r="AI23" s="156" t="inlineStr">
        <is>
          <t>No</t>
        </is>
      </c>
      <c r="AJ23" s="156" t="n"/>
      <c r="AK23" s="155" t="inlineStr">
        <is>
          <t>Shopify Stetson: producto 15051554783595 / variante 53342128210283 | Odoo: producto 29870 / plantilla 38574</t>
        </is>
      </c>
      <c r="AL23" s="58" t="n">
        <v>775.862069</v>
      </c>
      <c r="AM23" s="58" t="n">
        <v>1724.137931</v>
      </c>
      <c r="AN23" s="155" t="inlineStr">
        <is>
          <t>Shopify Stetson México | Odoo Universal Unique Brands</t>
        </is>
      </c>
      <c r="AO23" s="59" t="n">
        <v>5</v>
      </c>
      <c r="AP23" s="59" t="n"/>
      <c r="AQ23" s="59" t="n">
        <v>5</v>
      </c>
      <c r="AR23" s="155" t="inlineStr">
        <is>
          <t>Shopify Stetson México › Stetson Americas: 5 | Odoo Universal Unique Brands › Bodega 25 › Bodega 25/General: 5</t>
        </is>
      </c>
    </row>
    <row r="24">
      <c r="A24" s="50" t="inlineStr">
        <is>
          <t>052356090075</t>
        </is>
      </c>
      <c r="B24" s="51" t="inlineStr">
        <is>
          <t>110630</t>
        </is>
      </c>
      <c r="C24" s="156" t="inlineStr">
        <is>
          <t>Multimarca</t>
        </is>
      </c>
      <c r="D24" s="156" t="inlineStr">
        <is>
          <t>11-004-1312-4040</t>
        </is>
      </c>
      <c r="E24" s="156" t="inlineStr">
        <is>
          <t>11-004-1312-4040-34 34</t>
        </is>
      </c>
      <c r="F24" s="156" t="inlineStr">
        <is>
          <t>34 x 34</t>
        </is>
      </c>
      <c r="G24" s="156" t="inlineStr">
        <is>
          <t>34W / 34L</t>
        </is>
      </c>
      <c r="H24" s="156" t="inlineStr">
        <is>
          <t>Stetson</t>
        </is>
      </c>
      <c r="I24" s="156" t="inlineStr">
        <is>
          <t>Jean Bolsa Trasera Denim Reverso</t>
        </is>
      </c>
      <c r="J24" s="156" t="inlineStr">
        <is>
          <t>Denim</t>
        </is>
      </c>
      <c r="K24" s="156" t="inlineStr">
        <is>
          <t>Jeans</t>
        </is>
      </c>
      <c r="L24" s="156" t="inlineStr">
        <is>
          <t>Hombre</t>
        </is>
      </c>
      <c r="M24" s="156" t="inlineStr">
        <is>
          <t>Stetson</t>
        </is>
      </c>
      <c r="N24" s="156" t="inlineStr">
        <is>
          <t>SS26</t>
        </is>
      </c>
      <c r="O24" s="156" t="inlineStr">
        <is>
          <t>Seasonal</t>
        </is>
      </c>
      <c r="P24" s="156" t="inlineStr">
        <is>
          <t>Azul</t>
        </is>
      </c>
      <c r="Q24" s="156" t="inlineStr">
        <is>
          <t>Relajado</t>
        </is>
      </c>
      <c r="R24" s="156" t="inlineStr">
        <is>
          <t>Recto</t>
        </is>
      </c>
      <c r="S24" s="156" t="inlineStr">
        <is>
          <t>100% Algodón</t>
        </is>
      </c>
      <c r="T24" s="156" t="inlineStr">
        <is>
          <t>Jean Bolsa Trasera Denim Reverso Relajado</t>
        </is>
      </c>
      <c r="U24" s="156" t="n"/>
      <c r="V24" s="156" t="inlineStr">
        <is>
          <t>PZS</t>
        </is>
      </c>
      <c r="W24" s="51" t="inlineStr">
        <is>
          <t>53101502</t>
        </is>
      </c>
      <c r="X24" s="156" t="n"/>
      <c r="Y24" s="54" t="n">
        <v>775.862069</v>
      </c>
      <c r="Z24" s="54" t="n">
        <v>1724.137931</v>
      </c>
      <c r="AA24" s="55">
        <f>IF(AND(A24="", B24="", E24=""), "", IF(AB24="", "Válido", IF((LEN(AB24)-LEN(SUBSTITUTE(AB24,"; ","")))/2+1&gt;(LEN(AB24)-LEN(SUBSTITUTE(AB24,"[Aviso]","")))/7, "Con Incidencias", "Válido")))</f>
        <v/>
      </c>
      <c r="AB24" s="56">
        <f>IF(AND(A24="", B24="", E24=""), "", TEXTJOIN("; ", TRUE, IF(OR(TRIM(A24&amp;"")="", ISNUMBER(SEARCH("FALTA", A24))), "UPC faltante/inválido", ""), IF(AND(A24&lt;&gt;"", IFERROR(_xlfn.XMATCH(A24,$A$2:$A$2509,0,1)&lt;&gt;_xlfn.XMATCH(A24,$A$2:$A$2509,0,-1),FALSE)), "Código de barras duplicado", ""), IF(AND(E24&lt;&gt;"", COUNTIF($E$2:$E$2509, E24)&gt;1), "SKU duplicado", ""), IF(OR(J24="", J24=""), "[Aviso] División no capturada ()", IF(ISNA(MATCH(J24, Criterios!$A$123:$A$126, 0)), "División no válida", "")), IF(OR(K24="", K24=""), "[Aviso] Categoría no capturada ()", IF(ISNA(MATCH(K24, Criterios!$A$81:$A$120, 0)), "Categoría no válida", IF(AND(J24&lt;&gt;"", J24&lt;&gt;"", J24&lt;&gt;VLOOKUP(K24, Criterios!$A$81:$B$120, 2, FALSE)), "División no coincide con Categoría", ""))), IF(OR(L24="", L24=""), "[Aviso] Género no capturado ()", IF(ISNA(MATCH(L24, Criterios!$B$123:$B$127, 0)), "Género no válido", "")), IF(OR(N24="", N24=""), "[Aviso] Temporada no capturada ()", IF(ISNA(MATCH(N24, Criterios!$C$123:$C$128, 0)), "Temporada no válida", "")), IF(OR(O24="", O24=""), "[Aviso] Ciclo de vida no capturado ()", IF(ISNA(MATCH(O24, Criterios!$D$123:$D$124, 0)), "Ciclo de vida no válido", ""))))</f>
        <v/>
      </c>
      <c r="AC24" s="56" t="n"/>
      <c r="AD24" s="51" t="n">
        <v>-1</v>
      </c>
      <c r="AE24" s="156" t="n"/>
      <c r="AF24" s="51" t="n">
        <v>0</v>
      </c>
      <c r="AG24" s="156" t="inlineStr">
        <is>
          <t>Catálogo existente</t>
        </is>
      </c>
      <c r="AH24" s="156" t="inlineStr">
        <is>
          <t>Stock negativo en sistema: revisar en conteo</t>
        </is>
      </c>
      <c r="AI24" s="156" t="inlineStr">
        <is>
          <t>Sí</t>
        </is>
      </c>
      <c r="AJ24" s="156" t="inlineStr">
        <is>
          <t>STETSON AMERICAS (-1)</t>
        </is>
      </c>
      <c r="AK24" s="155" t="inlineStr">
        <is>
          <t>Shopify Stetson: producto 15051554783595 / variante 53342128243051 | Odoo: producto 29871 / plantilla 38575</t>
        </is>
      </c>
      <c r="AL24" s="58" t="n">
        <v>775.862069</v>
      </c>
      <c r="AM24" s="58" t="n">
        <v>1724.137931</v>
      </c>
      <c r="AN24" s="155" t="inlineStr">
        <is>
          <t>Shopify Stetson México | Odoo Universal Unique Brands</t>
        </is>
      </c>
      <c r="AO24" s="59" t="n">
        <v>3</v>
      </c>
      <c r="AP24" s="59" t="n"/>
      <c r="AQ24" s="59" t="n">
        <v>4</v>
      </c>
      <c r="AR24" s="155" t="inlineStr">
        <is>
          <t>Shopify Stetson México › Stetson Americas: 3 | Odoo Universal Unique Brands › Bodega 25 › Bodega 25/General: 4</t>
        </is>
      </c>
    </row>
    <row r="25">
      <c r="A25" s="50" t="inlineStr">
        <is>
          <t>052356164356</t>
        </is>
      </c>
      <c r="B25" s="51" t="inlineStr">
        <is>
          <t>110549</t>
        </is>
      </c>
      <c r="C25" s="156" t="inlineStr">
        <is>
          <t>Multimarca</t>
        </is>
      </c>
      <c r="D25" s="156" t="inlineStr">
        <is>
          <t>11-004-1014-4016</t>
        </is>
      </c>
      <c r="E25" s="156" t="inlineStr">
        <is>
          <t>11-004-1014-4016-29 32</t>
        </is>
      </c>
      <c r="F25" s="156" t="inlineStr">
        <is>
          <t>29 x 32</t>
        </is>
      </c>
      <c r="G25" s="156" t="inlineStr">
        <is>
          <t>29W / 32L</t>
        </is>
      </c>
      <c r="H25" s="156" t="inlineStr">
        <is>
          <t>Stetson</t>
        </is>
      </c>
      <c r="I25" s="156" t="inlineStr">
        <is>
          <t>Jean Decorado V Denim Reverso en Bolsa Moneda</t>
        </is>
      </c>
      <c r="J25" s="156" t="inlineStr">
        <is>
          <t>Denim</t>
        </is>
      </c>
      <c r="K25" s="156" t="inlineStr">
        <is>
          <t>Jeans</t>
        </is>
      </c>
      <c r="L25" s="156" t="inlineStr">
        <is>
          <t>Hombre</t>
        </is>
      </c>
      <c r="M25" s="156" t="inlineStr">
        <is>
          <t>Stetson</t>
        </is>
      </c>
      <c r="N25" s="156" t="inlineStr">
        <is>
          <t>SS26</t>
        </is>
      </c>
      <c r="O25" s="156" t="inlineStr">
        <is>
          <t>Seasonal</t>
        </is>
      </c>
      <c r="P25" s="156" t="inlineStr">
        <is>
          <t>Azul</t>
        </is>
      </c>
      <c r="Q25" s="156" t="inlineStr">
        <is>
          <t>Slim</t>
        </is>
      </c>
      <c r="R25" s="156" t="inlineStr">
        <is>
          <t>Bootcut</t>
        </is>
      </c>
      <c r="S25" s="156" t="inlineStr">
        <is>
          <t>100% Algodón</t>
        </is>
      </c>
      <c r="T25" s="156" t="inlineStr">
        <is>
          <t>Jean Decorado V Denim Reverso en Bolsa Moneda Fitted</t>
        </is>
      </c>
      <c r="U25" s="156" t="n"/>
      <c r="V25" s="156" t="inlineStr">
        <is>
          <t>PZS</t>
        </is>
      </c>
      <c r="W25" s="51" t="inlineStr">
        <is>
          <t>53101502</t>
        </is>
      </c>
      <c r="X25" s="156" t="n"/>
      <c r="Y25" s="54" t="n">
        <v>737.0689655</v>
      </c>
      <c r="Z25" s="54" t="n">
        <v>1637.931034</v>
      </c>
      <c r="AA25" s="55">
        <f>IF(AND(A25="", B25="", E25=""), "", IF(AB25="", "Válido", IF((LEN(AB25)-LEN(SUBSTITUTE(AB25,"; ","")))/2+1&gt;(LEN(AB25)-LEN(SUBSTITUTE(AB25,"[Aviso]","")))/7, "Con Incidencias", "Válido")))</f>
        <v/>
      </c>
      <c r="AB25" s="56">
        <f>IF(AND(A25="", B25="", E25=""), "", TEXTJOIN("; ", TRUE, IF(OR(TRIM(A25&amp;"")="", ISNUMBER(SEARCH("FALTA", A25))), "UPC faltante/inválido", ""), IF(AND(A25&lt;&gt;"", IFERROR(_xlfn.XMATCH(A25,$A$2:$A$2509,0,1)&lt;&gt;_xlfn.XMATCH(A25,$A$2:$A$2509,0,-1),FALSE)), "Código de barras duplicado", ""), IF(AND(E25&lt;&gt;"", COUNTIF($E$2:$E$2509, E25)&gt;1), "SKU duplicado", ""), IF(OR(J25="", J25=""), "[Aviso] División no capturada ()", IF(ISNA(MATCH(J25, Criterios!$A$123:$A$126, 0)), "División no válida", "")), IF(OR(K25="", K25=""), "[Aviso] Categoría no capturada ()", IF(ISNA(MATCH(K25, Criterios!$A$81:$A$120, 0)), "Categoría no válida", IF(AND(J25&lt;&gt;"", J25&lt;&gt;"", J25&lt;&gt;VLOOKUP(K25, Criterios!$A$81:$B$120, 2, FALSE)), "División no coincide con Categoría", ""))), IF(OR(L25="", L25=""), "[Aviso] Género no capturado ()", IF(ISNA(MATCH(L25, Criterios!$B$123:$B$127, 0)), "Género no válido", "")), IF(OR(N25="", N25=""), "[Aviso] Temporada no capturada ()", IF(ISNA(MATCH(N25, Criterios!$C$123:$C$128, 0)), "Temporada no válida", "")), IF(OR(O25="", O25=""), "[Aviso] Ciclo de vida no capturado ()", IF(ISNA(MATCH(O25, Criterios!$D$123:$D$124, 0)), "Ciclo de vida no válido", ""))))</f>
        <v/>
      </c>
      <c r="AC25" s="56" t="n"/>
      <c r="AD25" s="51" t="n">
        <v>-2</v>
      </c>
      <c r="AE25" s="156" t="n"/>
      <c r="AF25" s="51" t="n">
        <v>0</v>
      </c>
      <c r="AG25" s="156" t="inlineStr">
        <is>
          <t>Catálogo existente</t>
        </is>
      </c>
      <c r="AH25" s="156" t="inlineStr">
        <is>
          <t>Stock negativo en sistema: revisar en conteo</t>
        </is>
      </c>
      <c r="AI25" s="156" t="inlineStr">
        <is>
          <t>Sí</t>
        </is>
      </c>
      <c r="AJ25" s="156" t="inlineStr">
        <is>
          <t>STETSON AMERICAS (-2)</t>
        </is>
      </c>
      <c r="AK25" s="155" t="inlineStr">
        <is>
          <t>Shopify Stetson: producto 15051554226539 / variante 53342124933483</t>
        </is>
      </c>
      <c r="AL25" s="58" t="n">
        <v>737.0689655</v>
      </c>
      <c r="AM25" s="58" t="n">
        <v>1637.931034</v>
      </c>
      <c r="AN25" s="155" t="inlineStr">
        <is>
          <t>Shopify Stetson México</t>
        </is>
      </c>
      <c r="AO25" s="59" t="n">
        <v>2</v>
      </c>
      <c r="AP25" s="59" t="n"/>
      <c r="AQ25" s="59" t="n"/>
      <c r="AR25" s="155" t="inlineStr">
        <is>
          <t>Shopify Stetson México › Stetson Americas: 2</t>
        </is>
      </c>
    </row>
    <row r="26">
      <c r="A26" s="50" t="inlineStr">
        <is>
          <t>052356164417</t>
        </is>
      </c>
      <c r="B26" s="51" t="inlineStr">
        <is>
          <t>110550</t>
        </is>
      </c>
      <c r="C26" s="156" t="inlineStr">
        <is>
          <t>Multimarca</t>
        </is>
      </c>
      <c r="D26" s="156" t="inlineStr">
        <is>
          <t>11-004-1014-4016</t>
        </is>
      </c>
      <c r="E26" s="156" t="inlineStr">
        <is>
          <t>11-004-1014-4016-30 32</t>
        </is>
      </c>
      <c r="F26" s="156" t="inlineStr">
        <is>
          <t>30 x 32</t>
        </is>
      </c>
      <c r="G26" s="156" t="inlineStr">
        <is>
          <t>30W / 32L</t>
        </is>
      </c>
      <c r="H26" s="156" t="inlineStr">
        <is>
          <t>Stetson</t>
        </is>
      </c>
      <c r="I26" s="156" t="inlineStr">
        <is>
          <t>Jean Decorado V Denim Reverso en Bolsa Moneda</t>
        </is>
      </c>
      <c r="J26" s="156" t="inlineStr">
        <is>
          <t>Denim</t>
        </is>
      </c>
      <c r="K26" s="156" t="inlineStr">
        <is>
          <t>Jeans</t>
        </is>
      </c>
      <c r="L26" s="156" t="inlineStr">
        <is>
          <t>Hombre</t>
        </is>
      </c>
      <c r="M26" s="156" t="inlineStr">
        <is>
          <t>Stetson</t>
        </is>
      </c>
      <c r="N26" s="156" t="inlineStr">
        <is>
          <t>SS26</t>
        </is>
      </c>
      <c r="O26" s="156" t="inlineStr">
        <is>
          <t>Seasonal</t>
        </is>
      </c>
      <c r="P26" s="156" t="inlineStr">
        <is>
          <t>Azul</t>
        </is>
      </c>
      <c r="Q26" s="156" t="inlineStr">
        <is>
          <t>Slim</t>
        </is>
      </c>
      <c r="R26" s="156" t="inlineStr">
        <is>
          <t>Bootcut</t>
        </is>
      </c>
      <c r="S26" s="156" t="inlineStr">
        <is>
          <t>100% Algodón</t>
        </is>
      </c>
      <c r="T26" s="156" t="inlineStr">
        <is>
          <t>Jean Decorado V Denim Reverso en Bolsa Moneda Fitted</t>
        </is>
      </c>
      <c r="U26" s="156" t="n"/>
      <c r="V26" s="156" t="inlineStr">
        <is>
          <t>PZS</t>
        </is>
      </c>
      <c r="W26" s="51" t="inlineStr">
        <is>
          <t>53101502</t>
        </is>
      </c>
      <c r="X26" s="156" t="n"/>
      <c r="Y26" s="54" t="n">
        <v>737.0689655</v>
      </c>
      <c r="Z26" s="54" t="n">
        <v>1637.931034</v>
      </c>
      <c r="AA26" s="55">
        <f>IF(AND(A26="", B26="", E26=""), "", IF(AB26="", "Válido", IF((LEN(AB26)-LEN(SUBSTITUTE(AB26,"; ","")))/2+1&gt;(LEN(AB26)-LEN(SUBSTITUTE(AB26,"[Aviso]","")))/7, "Con Incidencias", "Válido")))</f>
        <v/>
      </c>
      <c r="AB26" s="56">
        <f>IF(AND(A26="", B26="", E26=""), "", TEXTJOIN("; ", TRUE, IF(OR(TRIM(A26&amp;"")="", ISNUMBER(SEARCH("FALTA", A26))), "UPC faltante/inválido", ""), IF(AND(A26&lt;&gt;"", IFERROR(_xlfn.XMATCH(A26,$A$2:$A$2509,0,1)&lt;&gt;_xlfn.XMATCH(A26,$A$2:$A$2509,0,-1),FALSE)), "Código de barras duplicado", ""), IF(AND(E26&lt;&gt;"", COUNTIF($E$2:$E$2509, E26)&gt;1), "SKU duplicado", ""), IF(OR(J26="", J26=""), "[Aviso] División no capturada ()", IF(ISNA(MATCH(J26, Criterios!$A$123:$A$126, 0)), "División no válida", "")), IF(OR(K26="", K26=""), "[Aviso] Categoría no capturada ()", IF(ISNA(MATCH(K26, Criterios!$A$81:$A$120, 0)), "Categoría no válida", IF(AND(J26&lt;&gt;"", J26&lt;&gt;"", J26&lt;&gt;VLOOKUP(K26, Criterios!$A$81:$B$120, 2, FALSE)), "División no coincide con Categoría", ""))), IF(OR(L26="", L26=""), "[Aviso] Género no capturado ()", IF(ISNA(MATCH(L26, Criterios!$B$123:$B$127, 0)), "Género no válido", "")), IF(OR(N26="", N26=""), "[Aviso] Temporada no capturada ()", IF(ISNA(MATCH(N26, Criterios!$C$123:$C$128, 0)), "Temporada no válida", "")), IF(OR(O26="", O26=""), "[Aviso] Ciclo de vida no capturado ()", IF(ISNA(MATCH(O26, Criterios!$D$123:$D$124, 0)), "Ciclo de vida no válido", ""))))</f>
        <v/>
      </c>
      <c r="AC26" s="56" t="n"/>
      <c r="AD26" s="51" t="n">
        <v>-1</v>
      </c>
      <c r="AE26" s="156" t="n"/>
      <c r="AF26" s="51" t="n">
        <v>0</v>
      </c>
      <c r="AG26" s="156" t="inlineStr">
        <is>
          <t>Catálogo existente</t>
        </is>
      </c>
      <c r="AH26" s="156" t="inlineStr">
        <is>
          <t>Stock negativo en sistema: revisar en conteo</t>
        </is>
      </c>
      <c r="AI26" s="156" t="inlineStr">
        <is>
          <t>Sí</t>
        </is>
      </c>
      <c r="AJ26" s="156" t="inlineStr">
        <is>
          <t>STETSON AMERICAS (-1)</t>
        </is>
      </c>
      <c r="AK26" s="155" t="inlineStr">
        <is>
          <t>Shopify Stetson: producto 15051554226539 / variante 53342124966251</t>
        </is>
      </c>
      <c r="AL26" s="58" t="n">
        <v>737.0689655</v>
      </c>
      <c r="AM26" s="58" t="n">
        <v>1637.931034</v>
      </c>
      <c r="AN26" s="155" t="inlineStr">
        <is>
          <t>Shopify Stetson México</t>
        </is>
      </c>
      <c r="AO26" s="59" t="n">
        <v>2</v>
      </c>
      <c r="AP26" s="59" t="n"/>
      <c r="AQ26" s="59" t="n"/>
      <c r="AR26" s="155" t="inlineStr">
        <is>
          <t>Shopify Stetson México › Stetson Americas: 2</t>
        </is>
      </c>
    </row>
    <row r="27">
      <c r="A27" s="50" t="inlineStr">
        <is>
          <t>052356164479</t>
        </is>
      </c>
      <c r="B27" s="51" t="inlineStr">
        <is>
          <t>110551</t>
        </is>
      </c>
      <c r="C27" s="156" t="inlineStr">
        <is>
          <t>Multimarca</t>
        </is>
      </c>
      <c r="D27" s="156" t="inlineStr">
        <is>
          <t>11-004-1014-4016</t>
        </is>
      </c>
      <c r="E27" s="156" t="inlineStr">
        <is>
          <t>11-004-1014-4016-31 32</t>
        </is>
      </c>
      <c r="F27" s="156" t="inlineStr">
        <is>
          <t>31 x 32</t>
        </is>
      </c>
      <c r="G27" s="156" t="inlineStr">
        <is>
          <t>31W / 32L</t>
        </is>
      </c>
      <c r="H27" s="156" t="inlineStr">
        <is>
          <t>Stetson</t>
        </is>
      </c>
      <c r="I27" s="156" t="inlineStr">
        <is>
          <t>Jean Decorado V Denim Reverso en Bolsa Moneda</t>
        </is>
      </c>
      <c r="J27" s="156" t="inlineStr">
        <is>
          <t>Denim</t>
        </is>
      </c>
      <c r="K27" s="156" t="inlineStr">
        <is>
          <t>Jeans</t>
        </is>
      </c>
      <c r="L27" s="156" t="inlineStr">
        <is>
          <t>Hombre</t>
        </is>
      </c>
      <c r="M27" s="156" t="inlineStr">
        <is>
          <t>Stetson</t>
        </is>
      </c>
      <c r="N27" s="156" t="inlineStr">
        <is>
          <t>SS26</t>
        </is>
      </c>
      <c r="O27" s="156" t="inlineStr">
        <is>
          <t>Seasonal</t>
        </is>
      </c>
      <c r="P27" s="156" t="inlineStr">
        <is>
          <t>Azul</t>
        </is>
      </c>
      <c r="Q27" s="156" t="inlineStr">
        <is>
          <t>Slim</t>
        </is>
      </c>
      <c r="R27" s="156" t="inlineStr">
        <is>
          <t>Bootcut</t>
        </is>
      </c>
      <c r="S27" s="156" t="inlineStr">
        <is>
          <t>100% Algodón</t>
        </is>
      </c>
      <c r="T27" s="156" t="inlineStr">
        <is>
          <t>Jean Decorado V Denim Reverso en Bolsa Moneda Fitted</t>
        </is>
      </c>
      <c r="U27" s="156" t="n"/>
      <c r="V27" s="156" t="inlineStr">
        <is>
          <t>PZS</t>
        </is>
      </c>
      <c r="W27" s="51" t="inlineStr">
        <is>
          <t>53101502</t>
        </is>
      </c>
      <c r="X27" s="156" t="n"/>
      <c r="Y27" s="54" t="n">
        <v>737.0689655</v>
      </c>
      <c r="Z27" s="54" t="n">
        <v>1637.931034</v>
      </c>
      <c r="AA27" s="55">
        <f>IF(AND(A27="", B27="", E27=""), "", IF(AB27="", "Válido", IF((LEN(AB27)-LEN(SUBSTITUTE(AB27,"; ","")))/2+1&gt;(LEN(AB27)-LEN(SUBSTITUTE(AB27,"[Aviso]","")))/7, "Con Incidencias", "Válido")))</f>
        <v/>
      </c>
      <c r="AB27" s="56">
        <f>IF(AND(A27="", B27="", E27=""), "", TEXTJOIN("; ", TRUE, IF(OR(TRIM(A27&amp;"")="", ISNUMBER(SEARCH("FALTA", A27))), "UPC faltante/inválido", ""), IF(AND(A27&lt;&gt;"", IFERROR(_xlfn.XMATCH(A27,$A$2:$A$2509,0,1)&lt;&gt;_xlfn.XMATCH(A27,$A$2:$A$2509,0,-1),FALSE)), "Código de barras duplicado", ""), IF(AND(E27&lt;&gt;"", COUNTIF($E$2:$E$2509, E27)&gt;1), "SKU duplicado", ""), IF(OR(J27="", J27=""), "[Aviso] División no capturada ()", IF(ISNA(MATCH(J27, Criterios!$A$123:$A$126, 0)), "División no válida", "")), IF(OR(K27="", K27=""), "[Aviso] Categoría no capturada ()", IF(ISNA(MATCH(K27, Criterios!$A$81:$A$120, 0)), "Categoría no válida", IF(AND(J27&lt;&gt;"", J27&lt;&gt;"", J27&lt;&gt;VLOOKUP(K27, Criterios!$A$81:$B$120, 2, FALSE)), "División no coincide con Categoría", ""))), IF(OR(L27="", L27=""), "[Aviso] Género no capturado ()", IF(ISNA(MATCH(L27, Criterios!$B$123:$B$127, 0)), "Género no válido", "")), IF(OR(N27="", N27=""), "[Aviso] Temporada no capturada ()", IF(ISNA(MATCH(N27, Criterios!$C$123:$C$128, 0)), "Temporada no válida", "")), IF(OR(O27="", O27=""), "[Aviso] Ciclo de vida no capturado ()", IF(ISNA(MATCH(O27, Criterios!$D$123:$D$124, 0)), "Ciclo de vida no válido", ""))))</f>
        <v/>
      </c>
      <c r="AC27" s="56" t="n"/>
      <c r="AD27" s="51" t="n">
        <v>0</v>
      </c>
      <c r="AE27" s="156" t="n"/>
      <c r="AF27" s="51" t="n">
        <v>0</v>
      </c>
      <c r="AG27" s="156" t="inlineStr">
        <is>
          <t>Catálogo existente</t>
        </is>
      </c>
      <c r="AH27" s="156" t="n"/>
      <c r="AI27" s="156" t="inlineStr">
        <is>
          <t>No</t>
        </is>
      </c>
      <c r="AJ27" s="156" t="n"/>
      <c r="AK27" s="155" t="inlineStr">
        <is>
          <t>Shopify Stetson: producto 15051554226539 / variante 53342124999019</t>
        </is>
      </c>
      <c r="AL27" s="58" t="n">
        <v>737.0689655</v>
      </c>
      <c r="AM27" s="58" t="n">
        <v>1637.931034</v>
      </c>
      <c r="AN27" s="155" t="inlineStr">
        <is>
          <t>Shopify Stetson México</t>
        </is>
      </c>
      <c r="AO27" s="59" t="n">
        <v>4</v>
      </c>
      <c r="AP27" s="59" t="n"/>
      <c r="AQ27" s="59" t="n"/>
      <c r="AR27" s="155" t="inlineStr">
        <is>
          <t>Shopify Stetson México › Stetson Americas: 4</t>
        </is>
      </c>
    </row>
    <row r="28">
      <c r="A28" s="50" t="inlineStr">
        <is>
          <t>052356164530</t>
        </is>
      </c>
      <c r="B28" s="51" t="inlineStr">
        <is>
          <t>110552</t>
        </is>
      </c>
      <c r="C28" s="156" t="inlineStr">
        <is>
          <t>Multimarca</t>
        </is>
      </c>
      <c r="D28" s="156" t="inlineStr">
        <is>
          <t>11-004-1014-4016</t>
        </is>
      </c>
      <c r="E28" s="156" t="inlineStr">
        <is>
          <t>11-004-1014-4016-32 32</t>
        </is>
      </c>
      <c r="F28" s="156" t="inlineStr">
        <is>
          <t>32 x 32</t>
        </is>
      </c>
      <c r="G28" s="156" t="inlineStr">
        <is>
          <t>32W / 32L</t>
        </is>
      </c>
      <c r="H28" s="156" t="inlineStr">
        <is>
          <t>Stetson</t>
        </is>
      </c>
      <c r="I28" s="156" t="inlineStr">
        <is>
          <t>Jean Decorado V Denim Reverso en Bolsa Moneda</t>
        </is>
      </c>
      <c r="J28" s="156" t="inlineStr">
        <is>
          <t>Denim</t>
        </is>
      </c>
      <c r="K28" s="156" t="inlineStr">
        <is>
          <t>Jeans</t>
        </is>
      </c>
      <c r="L28" s="156" t="inlineStr">
        <is>
          <t>Hombre</t>
        </is>
      </c>
      <c r="M28" s="156" t="inlineStr">
        <is>
          <t>Stetson</t>
        </is>
      </c>
      <c r="N28" s="156" t="inlineStr">
        <is>
          <t>SS26</t>
        </is>
      </c>
      <c r="O28" s="156" t="inlineStr">
        <is>
          <t>Seasonal</t>
        </is>
      </c>
      <c r="P28" s="156" t="inlineStr">
        <is>
          <t>Azul</t>
        </is>
      </c>
      <c r="Q28" s="156" t="inlineStr">
        <is>
          <t>Slim</t>
        </is>
      </c>
      <c r="R28" s="156" t="inlineStr">
        <is>
          <t>Bootcut</t>
        </is>
      </c>
      <c r="S28" s="156" t="inlineStr">
        <is>
          <t>100% Algodón</t>
        </is>
      </c>
      <c r="T28" s="156" t="inlineStr">
        <is>
          <t>Jean Decorado V Denim Reverso en Bolsa Moneda Fitted</t>
        </is>
      </c>
      <c r="U28" s="156" t="n"/>
      <c r="V28" s="156" t="inlineStr">
        <is>
          <t>PZS</t>
        </is>
      </c>
      <c r="W28" s="51" t="inlineStr">
        <is>
          <t>53101502</t>
        </is>
      </c>
      <c r="X28" s="156" t="n"/>
      <c r="Y28" s="54" t="n">
        <v>737.0689655</v>
      </c>
      <c r="Z28" s="54" t="n">
        <v>1637.931034</v>
      </c>
      <c r="AA28" s="55">
        <f>IF(AND(A28="", B28="", E28=""), "", IF(AB28="", "Válido", IF((LEN(AB28)-LEN(SUBSTITUTE(AB28,"; ","")))/2+1&gt;(LEN(AB28)-LEN(SUBSTITUTE(AB28,"[Aviso]","")))/7, "Con Incidencias", "Válido")))</f>
        <v/>
      </c>
      <c r="AB28" s="56">
        <f>IF(AND(A28="", B28="", E28=""), "", TEXTJOIN("; ", TRUE, IF(OR(TRIM(A28&amp;"")="", ISNUMBER(SEARCH("FALTA", A28))), "UPC faltante/inválido", ""), IF(AND(A28&lt;&gt;"", IFERROR(_xlfn.XMATCH(A28,$A$2:$A$2509,0,1)&lt;&gt;_xlfn.XMATCH(A28,$A$2:$A$2509,0,-1),FALSE)), "Código de barras duplicado", ""), IF(AND(E28&lt;&gt;"", COUNTIF($E$2:$E$2509, E28)&gt;1), "SKU duplicado", ""), IF(OR(J28="", J28=""), "[Aviso] División no capturada ()", IF(ISNA(MATCH(J28, Criterios!$A$123:$A$126, 0)), "División no válida", "")), IF(OR(K28="", K28=""), "[Aviso] Categoría no capturada ()", IF(ISNA(MATCH(K28, Criterios!$A$81:$A$120, 0)), "Categoría no válida", IF(AND(J28&lt;&gt;"", J28&lt;&gt;"", J28&lt;&gt;VLOOKUP(K28, Criterios!$A$81:$B$120, 2, FALSE)), "División no coincide con Categoría", ""))), IF(OR(L28="", L28=""), "[Aviso] Género no capturado ()", IF(ISNA(MATCH(L28, Criterios!$B$123:$B$127, 0)), "Género no válido", "")), IF(OR(N28="", N28=""), "[Aviso] Temporada no capturada ()", IF(ISNA(MATCH(N28, Criterios!$C$123:$C$128, 0)), "Temporada no válida", "")), IF(OR(O28="", O28=""), "[Aviso] Ciclo de vida no capturado ()", IF(ISNA(MATCH(O28, Criterios!$D$123:$D$124, 0)), "Ciclo de vida no válido", ""))))</f>
        <v/>
      </c>
      <c r="AC28" s="56" t="n"/>
      <c r="AD28" s="51" t="n">
        <v>0</v>
      </c>
      <c r="AE28" s="156" t="n"/>
      <c r="AF28" s="51" t="n">
        <v>0</v>
      </c>
      <c r="AG28" s="156" t="inlineStr">
        <is>
          <t>Catálogo existente</t>
        </is>
      </c>
      <c r="AH28" s="156" t="n"/>
      <c r="AI28" s="156" t="inlineStr">
        <is>
          <t>No</t>
        </is>
      </c>
      <c r="AJ28" s="156" t="n"/>
      <c r="AK28" s="155" t="inlineStr">
        <is>
          <t>Shopify Stetson: producto 15051554226539 / variante 53342125031787</t>
        </is>
      </c>
      <c r="AL28" s="58" t="n">
        <v>737.0689655</v>
      </c>
      <c r="AM28" s="58" t="n">
        <v>1637.931034</v>
      </c>
      <c r="AN28" s="155" t="inlineStr">
        <is>
          <t>Shopify Stetson México</t>
        </is>
      </c>
      <c r="AO28" s="59" t="n">
        <v>1</v>
      </c>
      <c r="AP28" s="59" t="n"/>
      <c r="AQ28" s="59" t="n"/>
      <c r="AR28" s="155" t="inlineStr">
        <is>
          <t>Shopify Stetson México › Stetson Americas: 1</t>
        </is>
      </c>
    </row>
    <row r="29">
      <c r="A29" s="50" t="inlineStr">
        <is>
          <t>052356164547</t>
        </is>
      </c>
      <c r="B29" s="51" t="inlineStr">
        <is>
          <t>110553</t>
        </is>
      </c>
      <c r="C29" s="156" t="inlineStr">
        <is>
          <t>Multimarca</t>
        </is>
      </c>
      <c r="D29" s="156" t="inlineStr">
        <is>
          <t>11-004-1014-4016</t>
        </is>
      </c>
      <c r="E29" s="156" t="inlineStr">
        <is>
          <t>11-004-1014-4016-32 34</t>
        </is>
      </c>
      <c r="F29" s="156" t="inlineStr">
        <is>
          <t>32 x 34</t>
        </is>
      </c>
      <c r="G29" s="156" t="inlineStr">
        <is>
          <t>32W / 34L</t>
        </is>
      </c>
      <c r="H29" s="156" t="inlineStr">
        <is>
          <t>Stetson</t>
        </is>
      </c>
      <c r="I29" s="156" t="inlineStr">
        <is>
          <t>Jean Decorado V Denim Reverso en Bolsa Moneda</t>
        </is>
      </c>
      <c r="J29" s="156" t="inlineStr">
        <is>
          <t>Denim</t>
        </is>
      </c>
      <c r="K29" s="156" t="inlineStr">
        <is>
          <t>Jeans</t>
        </is>
      </c>
      <c r="L29" s="156" t="inlineStr">
        <is>
          <t>Hombre</t>
        </is>
      </c>
      <c r="M29" s="156" t="inlineStr">
        <is>
          <t>Stetson</t>
        </is>
      </c>
      <c r="N29" s="156" t="inlineStr">
        <is>
          <t>SS26</t>
        </is>
      </c>
      <c r="O29" s="156" t="inlineStr">
        <is>
          <t>Seasonal</t>
        </is>
      </c>
      <c r="P29" s="156" t="inlineStr">
        <is>
          <t>Azul</t>
        </is>
      </c>
      <c r="Q29" s="156" t="inlineStr">
        <is>
          <t>Slim</t>
        </is>
      </c>
      <c r="R29" s="156" t="inlineStr">
        <is>
          <t>Bootcut</t>
        </is>
      </c>
      <c r="S29" s="156" t="inlineStr">
        <is>
          <t>100% Algodón</t>
        </is>
      </c>
      <c r="T29" s="156" t="inlineStr">
        <is>
          <t>Jean Decorado V Denim Reverso en Bolsa Moneda Fitted</t>
        </is>
      </c>
      <c r="U29" s="156" t="n"/>
      <c r="V29" s="156" t="inlineStr">
        <is>
          <t>PZS</t>
        </is>
      </c>
      <c r="W29" s="51" t="inlineStr">
        <is>
          <t>53101502</t>
        </is>
      </c>
      <c r="X29" s="156" t="n"/>
      <c r="Y29" s="54" t="n">
        <v>737.0689655</v>
      </c>
      <c r="Z29" s="54" t="n">
        <v>1637.931034</v>
      </c>
      <c r="AA29" s="55">
        <f>IF(AND(A29="", B29="", E29=""), "", IF(AB29="", "Válido", IF((LEN(AB29)-LEN(SUBSTITUTE(AB29,"; ","")))/2+1&gt;(LEN(AB29)-LEN(SUBSTITUTE(AB29,"[Aviso]","")))/7, "Con Incidencias", "Válido")))</f>
        <v/>
      </c>
      <c r="AB29" s="56">
        <f>IF(AND(A29="", B29="", E29=""), "", TEXTJOIN("; ", TRUE, IF(OR(TRIM(A29&amp;"")="", ISNUMBER(SEARCH("FALTA", A29))), "UPC faltante/inválido", ""), IF(AND(A29&lt;&gt;"", IFERROR(_xlfn.XMATCH(A29,$A$2:$A$2509,0,1)&lt;&gt;_xlfn.XMATCH(A29,$A$2:$A$2509,0,-1),FALSE)), "Código de barras duplicado", ""), IF(AND(E29&lt;&gt;"", COUNTIF($E$2:$E$2509, E29)&gt;1), "SKU duplicado", ""), IF(OR(J29="", J29=""), "[Aviso] División no capturada ()", IF(ISNA(MATCH(J29, Criterios!$A$123:$A$126, 0)), "División no válida", "")), IF(OR(K29="", K29=""), "[Aviso] Categoría no capturada ()", IF(ISNA(MATCH(K29, Criterios!$A$81:$A$120, 0)), "Categoría no válida", IF(AND(J29&lt;&gt;"", J29&lt;&gt;"", J29&lt;&gt;VLOOKUP(K29, Criterios!$A$81:$B$120, 2, FALSE)), "División no coincide con Categoría", ""))), IF(OR(L29="", L29=""), "[Aviso] Género no capturado ()", IF(ISNA(MATCH(L29, Criterios!$B$123:$B$127, 0)), "Género no válido", "")), IF(OR(N29="", N29=""), "[Aviso] Temporada no capturada ()", IF(ISNA(MATCH(N29, Criterios!$C$123:$C$128, 0)), "Temporada no válida", "")), IF(OR(O29="", O29=""), "[Aviso] Ciclo de vida no capturado ()", IF(ISNA(MATCH(O29, Criterios!$D$123:$D$124, 0)), "Ciclo de vida no válido", ""))))</f>
        <v/>
      </c>
      <c r="AC29" s="56" t="n"/>
      <c r="AD29" s="51" t="n">
        <v>-1</v>
      </c>
      <c r="AE29" s="156" t="n"/>
      <c r="AF29" s="51" t="n">
        <v>0</v>
      </c>
      <c r="AG29" s="156" t="inlineStr">
        <is>
          <t>Catálogo existente</t>
        </is>
      </c>
      <c r="AH29" s="156" t="inlineStr">
        <is>
          <t>Stock negativo en sistema: revisar en conteo</t>
        </is>
      </c>
      <c r="AI29" s="156" t="inlineStr">
        <is>
          <t>Sí</t>
        </is>
      </c>
      <c r="AJ29" s="156" t="inlineStr">
        <is>
          <t>STETSON AMERICAS (-1)</t>
        </is>
      </c>
      <c r="AK29" s="155" t="inlineStr">
        <is>
          <t>Shopify Stetson: producto 15051554226539 / variante 53342125064555</t>
        </is>
      </c>
      <c r="AL29" s="58" t="n">
        <v>737.0689655</v>
      </c>
      <c r="AM29" s="58" t="n">
        <v>1637.931034</v>
      </c>
      <c r="AN29" s="155" t="inlineStr">
        <is>
          <t>Shopify Stetson México</t>
        </is>
      </c>
      <c r="AO29" s="59" t="n">
        <v>5</v>
      </c>
      <c r="AP29" s="59" t="n"/>
      <c r="AQ29" s="59" t="n"/>
      <c r="AR29" s="155" t="inlineStr">
        <is>
          <t>Shopify Stetson México › Stetson Americas: 5</t>
        </is>
      </c>
    </row>
    <row r="30">
      <c r="A30" s="50" t="inlineStr">
        <is>
          <t>052356164592</t>
        </is>
      </c>
      <c r="B30" s="51" t="inlineStr">
        <is>
          <t>110554</t>
        </is>
      </c>
      <c r="C30" s="156" t="inlineStr">
        <is>
          <t>Multimarca</t>
        </is>
      </c>
      <c r="D30" s="156" t="inlineStr">
        <is>
          <t>11-004-1014-4016</t>
        </is>
      </c>
      <c r="E30" s="156" t="inlineStr">
        <is>
          <t>11-004-1014-4016-33 32</t>
        </is>
      </c>
      <c r="F30" s="156" t="inlineStr">
        <is>
          <t>33 x 32</t>
        </is>
      </c>
      <c r="G30" s="156" t="inlineStr">
        <is>
          <t>33W / 32L</t>
        </is>
      </c>
      <c r="H30" s="156" t="inlineStr">
        <is>
          <t>Stetson</t>
        </is>
      </c>
      <c r="I30" s="156" t="inlineStr">
        <is>
          <t>Jean Decorado V Denim Reverso en Bolsa Moneda</t>
        </is>
      </c>
      <c r="J30" s="156" t="inlineStr">
        <is>
          <t>Denim</t>
        </is>
      </c>
      <c r="K30" s="156" t="inlineStr">
        <is>
          <t>Jeans</t>
        </is>
      </c>
      <c r="L30" s="156" t="inlineStr">
        <is>
          <t>Hombre</t>
        </is>
      </c>
      <c r="M30" s="156" t="inlineStr">
        <is>
          <t>Stetson</t>
        </is>
      </c>
      <c r="N30" s="156" t="inlineStr">
        <is>
          <t>SS26</t>
        </is>
      </c>
      <c r="O30" s="156" t="inlineStr">
        <is>
          <t>Seasonal</t>
        </is>
      </c>
      <c r="P30" s="156" t="inlineStr">
        <is>
          <t>Azul</t>
        </is>
      </c>
      <c r="Q30" s="156" t="inlineStr">
        <is>
          <t>Slim</t>
        </is>
      </c>
      <c r="R30" s="156" t="inlineStr">
        <is>
          <t>Bootcut</t>
        </is>
      </c>
      <c r="S30" s="156" t="inlineStr">
        <is>
          <t>100% Algodón</t>
        </is>
      </c>
      <c r="T30" s="156" t="inlineStr">
        <is>
          <t>Jean Decorado V Denim Reverso en Bolsa Moneda Fitted</t>
        </is>
      </c>
      <c r="U30" s="156" t="n"/>
      <c r="V30" s="156" t="inlineStr">
        <is>
          <t>PZS</t>
        </is>
      </c>
      <c r="W30" s="51" t="inlineStr">
        <is>
          <t>53101502</t>
        </is>
      </c>
      <c r="X30" s="156" t="n"/>
      <c r="Y30" s="54" t="n">
        <v>737.0689655</v>
      </c>
      <c r="Z30" s="54" t="n">
        <v>1637.931034</v>
      </c>
      <c r="AA30" s="55">
        <f>IF(AND(A30="", B30="", E30=""), "", IF(AB30="", "Válido", IF((LEN(AB30)-LEN(SUBSTITUTE(AB30,"; ","")))/2+1&gt;(LEN(AB30)-LEN(SUBSTITUTE(AB30,"[Aviso]","")))/7, "Con Incidencias", "Válido")))</f>
        <v/>
      </c>
      <c r="AB30" s="56">
        <f>IF(AND(A30="", B30="", E30=""), "", TEXTJOIN("; ", TRUE, IF(OR(TRIM(A30&amp;"")="", ISNUMBER(SEARCH("FALTA", A30))), "UPC faltante/inválido", ""), IF(AND(A30&lt;&gt;"", IFERROR(_xlfn.XMATCH(A30,$A$2:$A$2509,0,1)&lt;&gt;_xlfn.XMATCH(A30,$A$2:$A$2509,0,-1),FALSE)), "Código de barras duplicado", ""), IF(AND(E30&lt;&gt;"", COUNTIF($E$2:$E$2509, E30)&gt;1), "SKU duplicado", ""), IF(OR(J30="", J30=""), "[Aviso] División no capturada ()", IF(ISNA(MATCH(J30, Criterios!$A$123:$A$126, 0)), "División no válida", "")), IF(OR(K30="", K30=""), "[Aviso] Categoría no capturada ()", IF(ISNA(MATCH(K30, Criterios!$A$81:$A$120, 0)), "Categoría no válida", IF(AND(J30&lt;&gt;"", J30&lt;&gt;"", J30&lt;&gt;VLOOKUP(K30, Criterios!$A$81:$B$120, 2, FALSE)), "División no coincide con Categoría", ""))), IF(OR(L30="", L30=""), "[Aviso] Género no capturado ()", IF(ISNA(MATCH(L30, Criterios!$B$123:$B$127, 0)), "Género no válido", "")), IF(OR(N30="", N30=""), "[Aviso] Temporada no capturada ()", IF(ISNA(MATCH(N30, Criterios!$C$123:$C$128, 0)), "Temporada no válida", "")), IF(OR(O30="", O30=""), "[Aviso] Ciclo de vida no capturado ()", IF(ISNA(MATCH(O30, Criterios!$D$123:$D$124, 0)), "Ciclo de vida no válido", ""))))</f>
        <v/>
      </c>
      <c r="AC30" s="56" t="n"/>
      <c r="AD30" s="51" t="n">
        <v>-1</v>
      </c>
      <c r="AE30" s="156" t="n"/>
      <c r="AF30" s="51" t="n">
        <v>0</v>
      </c>
      <c r="AG30" s="156" t="inlineStr">
        <is>
          <t>Catálogo existente</t>
        </is>
      </c>
      <c r="AH30" s="156" t="inlineStr">
        <is>
          <t>Stock negativo en sistema: revisar en conteo</t>
        </is>
      </c>
      <c r="AI30" s="156" t="inlineStr">
        <is>
          <t>Sí</t>
        </is>
      </c>
      <c r="AJ30" s="156" t="inlineStr">
        <is>
          <t>STETSON AMERICAS (-1)</t>
        </is>
      </c>
      <c r="AK30" s="155" t="inlineStr">
        <is>
          <t>Shopify Stetson: producto 15051554226539 / variante 53342125097323</t>
        </is>
      </c>
      <c r="AL30" s="58" t="n">
        <v>737.0689655</v>
      </c>
      <c r="AM30" s="58" t="n">
        <v>1637.931034</v>
      </c>
      <c r="AN30" s="155" t="inlineStr">
        <is>
          <t>Shopify Stetson México</t>
        </is>
      </c>
      <c r="AO30" s="59" t="n">
        <v>5</v>
      </c>
      <c r="AP30" s="59" t="n"/>
      <c r="AQ30" s="59" t="n"/>
      <c r="AR30" s="155" t="inlineStr">
        <is>
          <t>Shopify Stetson México › Stetson Americas: 5</t>
        </is>
      </c>
    </row>
    <row r="31">
      <c r="A31" s="50" t="inlineStr">
        <is>
          <t>052356164660</t>
        </is>
      </c>
      <c r="B31" s="51" t="inlineStr">
        <is>
          <t>110555</t>
        </is>
      </c>
      <c r="C31" s="156" t="inlineStr">
        <is>
          <t>Multimarca</t>
        </is>
      </c>
      <c r="D31" s="156" t="inlineStr">
        <is>
          <t>11-004-1014-4016</t>
        </is>
      </c>
      <c r="E31" s="156" t="inlineStr">
        <is>
          <t>11-004-1014-4016-34 34</t>
        </is>
      </c>
      <c r="F31" s="156" t="inlineStr">
        <is>
          <t>34 x 34</t>
        </is>
      </c>
      <c r="G31" s="156" t="inlineStr">
        <is>
          <t>34W / 34L</t>
        </is>
      </c>
      <c r="H31" s="156" t="inlineStr">
        <is>
          <t>Stetson</t>
        </is>
      </c>
      <c r="I31" s="156" t="inlineStr">
        <is>
          <t>Jean Decorado V Denim Reverso en Bolsa Moneda</t>
        </is>
      </c>
      <c r="J31" s="156" t="inlineStr">
        <is>
          <t>Denim</t>
        </is>
      </c>
      <c r="K31" s="156" t="inlineStr">
        <is>
          <t>Jeans</t>
        </is>
      </c>
      <c r="L31" s="156" t="inlineStr">
        <is>
          <t>Hombre</t>
        </is>
      </c>
      <c r="M31" s="156" t="inlineStr">
        <is>
          <t>Stetson</t>
        </is>
      </c>
      <c r="N31" s="156" t="inlineStr">
        <is>
          <t>SS26</t>
        </is>
      </c>
      <c r="O31" s="156" t="inlineStr">
        <is>
          <t>Seasonal</t>
        </is>
      </c>
      <c r="P31" s="156" t="inlineStr">
        <is>
          <t>Azul</t>
        </is>
      </c>
      <c r="Q31" s="156" t="inlineStr">
        <is>
          <t>Slim</t>
        </is>
      </c>
      <c r="R31" s="156" t="inlineStr">
        <is>
          <t>Bootcut</t>
        </is>
      </c>
      <c r="S31" s="156" t="inlineStr">
        <is>
          <t>100% Algodón</t>
        </is>
      </c>
      <c r="T31" s="156" t="inlineStr">
        <is>
          <t>Jean Decorado V Denim Reverso en Bolsa Moneda Fitted</t>
        </is>
      </c>
      <c r="U31" s="156" t="n"/>
      <c r="V31" s="156" t="inlineStr">
        <is>
          <t>PZS</t>
        </is>
      </c>
      <c r="W31" s="51" t="inlineStr">
        <is>
          <t>53101502</t>
        </is>
      </c>
      <c r="X31" s="156" t="n"/>
      <c r="Y31" s="54" t="n">
        <v>737.0689655</v>
      </c>
      <c r="Z31" s="54" t="n">
        <v>1637.931034</v>
      </c>
      <c r="AA31" s="55">
        <f>IF(AND(A31="", B31="", E31=""), "", IF(AB31="", "Válido", IF((LEN(AB31)-LEN(SUBSTITUTE(AB31,"; ","")))/2+1&gt;(LEN(AB31)-LEN(SUBSTITUTE(AB31,"[Aviso]","")))/7, "Con Incidencias", "Válido")))</f>
        <v/>
      </c>
      <c r="AB31" s="56">
        <f>IF(AND(A31="", B31="", E31=""), "", TEXTJOIN("; ", TRUE, IF(OR(TRIM(A31&amp;"")="", ISNUMBER(SEARCH("FALTA", A31))), "UPC faltante/inválido", ""), IF(AND(A31&lt;&gt;"", IFERROR(_xlfn.XMATCH(A31,$A$2:$A$2509,0,1)&lt;&gt;_xlfn.XMATCH(A31,$A$2:$A$2509,0,-1),FALSE)), "Código de barras duplicado", ""), IF(AND(E31&lt;&gt;"", COUNTIF($E$2:$E$2509, E31)&gt;1), "SKU duplicado", ""), IF(OR(J31="", J31=""), "[Aviso] División no capturada ()", IF(ISNA(MATCH(J31, Criterios!$A$123:$A$126, 0)), "División no válida", "")), IF(OR(K31="", K31=""), "[Aviso] Categoría no capturada ()", IF(ISNA(MATCH(K31, Criterios!$A$81:$A$120, 0)), "Categoría no válida", IF(AND(J31&lt;&gt;"", J31&lt;&gt;"", J31&lt;&gt;VLOOKUP(K31, Criterios!$A$81:$B$120, 2, FALSE)), "División no coincide con Categoría", ""))), IF(OR(L31="", L31=""), "[Aviso] Género no capturado ()", IF(ISNA(MATCH(L31, Criterios!$B$123:$B$127, 0)), "Género no válido", "")), IF(OR(N31="", N31=""), "[Aviso] Temporada no capturada ()", IF(ISNA(MATCH(N31, Criterios!$C$123:$C$128, 0)), "Temporada no válida", "")), IF(OR(O31="", O31=""), "[Aviso] Ciclo de vida no capturado ()", IF(ISNA(MATCH(O31, Criterios!$D$123:$D$124, 0)), "Ciclo de vida no válido", ""))))</f>
        <v/>
      </c>
      <c r="AC31" s="56" t="n"/>
      <c r="AD31" s="51" t="n">
        <v>-2</v>
      </c>
      <c r="AE31" s="156" t="n"/>
      <c r="AF31" s="51" t="n">
        <v>0</v>
      </c>
      <c r="AG31" s="156" t="inlineStr">
        <is>
          <t>Catálogo existente</t>
        </is>
      </c>
      <c r="AH31" s="156" t="inlineStr">
        <is>
          <t>Stock negativo en sistema: revisar en conteo</t>
        </is>
      </c>
      <c r="AI31" s="156" t="inlineStr">
        <is>
          <t>Sí</t>
        </is>
      </c>
      <c r="AJ31" s="156" t="inlineStr">
        <is>
          <t>STETSON AMERICAS (-2)</t>
        </is>
      </c>
      <c r="AK31" s="155" t="inlineStr">
        <is>
          <t>Shopify Stetson: producto 15051554226539 / variante 53342125130091</t>
        </is>
      </c>
      <c r="AL31" s="58" t="n">
        <v>737.0689655</v>
      </c>
      <c r="AM31" s="58" t="n">
        <v>1637.931034</v>
      </c>
      <c r="AN31" s="155" t="inlineStr">
        <is>
          <t>Shopify Stetson México</t>
        </is>
      </c>
      <c r="AO31" s="59" t="n">
        <v>4</v>
      </c>
      <c r="AP31" s="59" t="n"/>
      <c r="AQ31" s="59" t="n"/>
      <c r="AR31" s="155" t="inlineStr">
        <is>
          <t>Shopify Stetson México › Stetson Americas: 4</t>
        </is>
      </c>
    </row>
    <row r="32">
      <c r="A32" s="50" t="inlineStr">
        <is>
          <t>052356164677</t>
        </is>
      </c>
      <c r="B32" s="51" t="inlineStr">
        <is>
          <t>110556</t>
        </is>
      </c>
      <c r="C32" s="156" t="inlineStr">
        <is>
          <t>Multimarca</t>
        </is>
      </c>
      <c r="D32" s="156" t="inlineStr">
        <is>
          <t>11-004-1014-4016</t>
        </is>
      </c>
      <c r="E32" s="156" t="inlineStr">
        <is>
          <t>11-004-1014-4016-34 36</t>
        </is>
      </c>
      <c r="F32" s="156" t="inlineStr">
        <is>
          <t>34 x 36</t>
        </is>
      </c>
      <c r="G32" s="156" t="inlineStr">
        <is>
          <t>34W / 36L</t>
        </is>
      </c>
      <c r="H32" s="156" t="inlineStr">
        <is>
          <t>Stetson</t>
        </is>
      </c>
      <c r="I32" s="156" t="inlineStr">
        <is>
          <t>Jean Decorado V Denim Reverso en Bolsa Moneda</t>
        </is>
      </c>
      <c r="J32" s="156" t="inlineStr">
        <is>
          <t>Denim</t>
        </is>
      </c>
      <c r="K32" s="156" t="inlineStr">
        <is>
          <t>Jeans</t>
        </is>
      </c>
      <c r="L32" s="156" t="inlineStr">
        <is>
          <t>Hombre</t>
        </is>
      </c>
      <c r="M32" s="156" t="inlineStr">
        <is>
          <t>Stetson</t>
        </is>
      </c>
      <c r="N32" s="156" t="inlineStr">
        <is>
          <t>SS26</t>
        </is>
      </c>
      <c r="O32" s="156" t="inlineStr">
        <is>
          <t>Seasonal</t>
        </is>
      </c>
      <c r="P32" s="156" t="inlineStr">
        <is>
          <t>Azul</t>
        </is>
      </c>
      <c r="Q32" s="156" t="inlineStr">
        <is>
          <t>Slim</t>
        </is>
      </c>
      <c r="R32" s="156" t="inlineStr">
        <is>
          <t>Bootcut</t>
        </is>
      </c>
      <c r="S32" s="156" t="inlineStr">
        <is>
          <t>100% Algodón</t>
        </is>
      </c>
      <c r="T32" s="156" t="inlineStr">
        <is>
          <t>Jean Decorado V Denim Reverso en Bolsa Moneda Fitted</t>
        </is>
      </c>
      <c r="U32" s="156" t="n"/>
      <c r="V32" s="156" t="inlineStr">
        <is>
          <t>PZS</t>
        </is>
      </c>
      <c r="W32" s="51" t="inlineStr">
        <is>
          <t>53101502</t>
        </is>
      </c>
      <c r="X32" s="156" t="n"/>
      <c r="Y32" s="54" t="n">
        <v>737.0689655</v>
      </c>
      <c r="Z32" s="54" t="n">
        <v>1637.931034</v>
      </c>
      <c r="AA32" s="55">
        <f>IF(AND(A32="", B32="", E32=""), "", IF(AB32="", "Válido", IF((LEN(AB32)-LEN(SUBSTITUTE(AB32,"; ","")))/2+1&gt;(LEN(AB32)-LEN(SUBSTITUTE(AB32,"[Aviso]","")))/7, "Con Incidencias", "Válido")))</f>
        <v/>
      </c>
      <c r="AB32" s="56">
        <f>IF(AND(A32="", B32="", E32=""), "", TEXTJOIN("; ", TRUE, IF(OR(TRIM(A32&amp;"")="", ISNUMBER(SEARCH("FALTA", A32))), "UPC faltante/inválido", ""), IF(AND(A32&lt;&gt;"", IFERROR(_xlfn.XMATCH(A32,$A$2:$A$2509,0,1)&lt;&gt;_xlfn.XMATCH(A32,$A$2:$A$2509,0,-1),FALSE)), "Código de barras duplicado", ""), IF(AND(E32&lt;&gt;"", COUNTIF($E$2:$E$2509, E32)&gt;1), "SKU duplicado", ""), IF(OR(J32="", J32=""), "[Aviso] División no capturada ()", IF(ISNA(MATCH(J32, Criterios!$A$123:$A$126, 0)), "División no válida", "")), IF(OR(K32="", K32=""), "[Aviso] Categoría no capturada ()", IF(ISNA(MATCH(K32, Criterios!$A$81:$A$120, 0)), "Categoría no válida", IF(AND(J32&lt;&gt;"", J32&lt;&gt;"", J32&lt;&gt;VLOOKUP(K32, Criterios!$A$81:$B$120, 2, FALSE)), "División no coincide con Categoría", ""))), IF(OR(L32="", L32=""), "[Aviso] Género no capturado ()", IF(ISNA(MATCH(L32, Criterios!$B$123:$B$127, 0)), "Género no válido", "")), IF(OR(N32="", N32=""), "[Aviso] Temporada no capturada ()", IF(ISNA(MATCH(N32, Criterios!$C$123:$C$128, 0)), "Temporada no válida", "")), IF(OR(O32="", O32=""), "[Aviso] Ciclo de vida no capturado ()", IF(ISNA(MATCH(O32, Criterios!$D$123:$D$124, 0)), "Ciclo de vida no válido", ""))))</f>
        <v/>
      </c>
      <c r="AC32" s="56" t="n"/>
      <c r="AD32" s="51" t="n">
        <v>0</v>
      </c>
      <c r="AE32" s="156" t="n"/>
      <c r="AF32" s="51" t="n">
        <v>0</v>
      </c>
      <c r="AG32" s="156" t="inlineStr">
        <is>
          <t>Catálogo existente</t>
        </is>
      </c>
      <c r="AH32" s="156" t="n"/>
      <c r="AI32" s="156" t="inlineStr">
        <is>
          <t>No</t>
        </is>
      </c>
      <c r="AJ32" s="156" t="n"/>
      <c r="AK32" s="155" t="inlineStr">
        <is>
          <t>Shopify Stetson: producto 15051554226539 / variante 53342125162859</t>
        </is>
      </c>
      <c r="AL32" s="58" t="n">
        <v>737.0689655</v>
      </c>
      <c r="AM32" s="58" t="n">
        <v>1637.931034</v>
      </c>
      <c r="AN32" s="155" t="inlineStr">
        <is>
          <t>Shopify Stetson México</t>
        </is>
      </c>
      <c r="AO32" s="59" t="n">
        <v>0</v>
      </c>
      <c r="AP32" s="59" t="n"/>
      <c r="AQ32" s="59" t="n"/>
      <c r="AR32" s="155" t="n"/>
    </row>
    <row r="33">
      <c r="A33" s="50" t="inlineStr">
        <is>
          <t>052356164776</t>
        </is>
      </c>
      <c r="B33" s="51" t="inlineStr">
        <is>
          <t>110557</t>
        </is>
      </c>
      <c r="C33" s="156" t="inlineStr">
        <is>
          <t>Multimarca</t>
        </is>
      </c>
      <c r="D33" s="156" t="inlineStr">
        <is>
          <t>11-004-1014-4016</t>
        </is>
      </c>
      <c r="E33" s="156" t="inlineStr">
        <is>
          <t>11-004-1014-4016-36 32</t>
        </is>
      </c>
      <c r="F33" s="156" t="inlineStr">
        <is>
          <t>36 x 32</t>
        </is>
      </c>
      <c r="G33" s="156" t="inlineStr">
        <is>
          <t>36W / 32L</t>
        </is>
      </c>
      <c r="H33" s="156" t="inlineStr">
        <is>
          <t>Stetson</t>
        </is>
      </c>
      <c r="I33" s="156" t="inlineStr">
        <is>
          <t>Jean Decorado V Denim Reverso en Bolsa Moneda</t>
        </is>
      </c>
      <c r="J33" s="156" t="inlineStr">
        <is>
          <t>Denim</t>
        </is>
      </c>
      <c r="K33" s="156" t="inlineStr">
        <is>
          <t>Jeans</t>
        </is>
      </c>
      <c r="L33" s="156" t="inlineStr">
        <is>
          <t>Hombre</t>
        </is>
      </c>
      <c r="M33" s="156" t="inlineStr">
        <is>
          <t>Stetson</t>
        </is>
      </c>
      <c r="N33" s="156" t="inlineStr">
        <is>
          <t>SS26</t>
        </is>
      </c>
      <c r="O33" s="156" t="inlineStr">
        <is>
          <t>Seasonal</t>
        </is>
      </c>
      <c r="P33" s="156" t="inlineStr">
        <is>
          <t>Azul</t>
        </is>
      </c>
      <c r="Q33" s="156" t="inlineStr">
        <is>
          <t>Slim</t>
        </is>
      </c>
      <c r="R33" s="156" t="inlineStr">
        <is>
          <t>Bootcut</t>
        </is>
      </c>
      <c r="S33" s="156" t="inlineStr">
        <is>
          <t>100% Algodón</t>
        </is>
      </c>
      <c r="T33" s="156" t="inlineStr">
        <is>
          <t>Jean Decorado V Denim Reverso en Bolsa Moneda Fitted</t>
        </is>
      </c>
      <c r="U33" s="156" t="n"/>
      <c r="V33" s="156" t="inlineStr">
        <is>
          <t>PZS</t>
        </is>
      </c>
      <c r="W33" s="51" t="inlineStr">
        <is>
          <t>53101502</t>
        </is>
      </c>
      <c r="X33" s="156" t="n"/>
      <c r="Y33" s="54" t="n">
        <v>737.0689655</v>
      </c>
      <c r="Z33" s="54" t="n">
        <v>1637.931034</v>
      </c>
      <c r="AA33" s="55">
        <f>IF(AND(A33="", B33="", E33=""), "", IF(AB33="", "Válido", IF((LEN(AB33)-LEN(SUBSTITUTE(AB33,"; ","")))/2+1&gt;(LEN(AB33)-LEN(SUBSTITUTE(AB33,"[Aviso]","")))/7, "Con Incidencias", "Válido")))</f>
        <v/>
      </c>
      <c r="AB33" s="56">
        <f>IF(AND(A33="", B33="", E33=""), "", TEXTJOIN("; ", TRUE, IF(OR(TRIM(A33&amp;"")="", ISNUMBER(SEARCH("FALTA", A33))), "UPC faltante/inválido", ""), IF(AND(A33&lt;&gt;"", IFERROR(_xlfn.XMATCH(A33,$A$2:$A$2509,0,1)&lt;&gt;_xlfn.XMATCH(A33,$A$2:$A$2509,0,-1),FALSE)), "Código de barras duplicado", ""), IF(AND(E33&lt;&gt;"", COUNTIF($E$2:$E$2509, E33)&gt;1), "SKU duplicado", ""), IF(OR(J33="", J33=""), "[Aviso] División no capturada ()", IF(ISNA(MATCH(J33, Criterios!$A$123:$A$126, 0)), "División no válida", "")), IF(OR(K33="", K33=""), "[Aviso] Categoría no capturada ()", IF(ISNA(MATCH(K33, Criterios!$A$81:$A$120, 0)), "Categoría no válida", IF(AND(J33&lt;&gt;"", J33&lt;&gt;"", J33&lt;&gt;VLOOKUP(K33, Criterios!$A$81:$B$120, 2, FALSE)), "División no coincide con Categoría", ""))), IF(OR(L33="", L33=""), "[Aviso] Género no capturado ()", IF(ISNA(MATCH(L33, Criterios!$B$123:$B$127, 0)), "Género no válido", "")), IF(OR(N33="", N33=""), "[Aviso] Temporada no capturada ()", IF(ISNA(MATCH(N33, Criterios!$C$123:$C$128, 0)), "Temporada no válida", "")), IF(OR(O33="", O33=""), "[Aviso] Ciclo de vida no capturado ()", IF(ISNA(MATCH(O33, Criterios!$D$123:$D$124, 0)), "Ciclo de vida no válido", ""))))</f>
        <v/>
      </c>
      <c r="AC33" s="56" t="n"/>
      <c r="AD33" s="51" t="n">
        <v>0</v>
      </c>
      <c r="AE33" s="156" t="n"/>
      <c r="AF33" s="51" t="n">
        <v>0</v>
      </c>
      <c r="AG33" s="156" t="inlineStr">
        <is>
          <t>Catálogo existente</t>
        </is>
      </c>
      <c r="AH33" s="156" t="n"/>
      <c r="AI33" s="156" t="inlineStr">
        <is>
          <t>No</t>
        </is>
      </c>
      <c r="AJ33" s="156" t="n"/>
      <c r="AK33" s="155" t="inlineStr">
        <is>
          <t>Shopify Stetson: producto 15051554226539 / variante 53342125195627</t>
        </is>
      </c>
      <c r="AL33" s="58" t="n">
        <v>737.0689655</v>
      </c>
      <c r="AM33" s="58" t="n">
        <v>1637.931034</v>
      </c>
      <c r="AN33" s="155" t="inlineStr">
        <is>
          <t>Shopify Stetson México</t>
        </is>
      </c>
      <c r="AO33" s="59" t="n">
        <v>2</v>
      </c>
      <c r="AP33" s="59" t="n"/>
      <c r="AQ33" s="59" t="n"/>
      <c r="AR33" s="155" t="inlineStr">
        <is>
          <t>Shopify Stetson México › Stetson Americas: 2</t>
        </is>
      </c>
    </row>
    <row r="34">
      <c r="A34" s="50" t="inlineStr">
        <is>
          <t>052356164783</t>
        </is>
      </c>
      <c r="B34" s="51" t="inlineStr">
        <is>
          <t>110558</t>
        </is>
      </c>
      <c r="C34" s="156" t="inlineStr">
        <is>
          <t>Multimarca</t>
        </is>
      </c>
      <c r="D34" s="156" t="inlineStr">
        <is>
          <t>11-004-1014-4016</t>
        </is>
      </c>
      <c r="E34" s="156" t="inlineStr">
        <is>
          <t>11-004-1014-4016-36 34</t>
        </is>
      </c>
      <c r="F34" s="156" t="inlineStr">
        <is>
          <t>36 x 34</t>
        </is>
      </c>
      <c r="G34" s="156" t="inlineStr">
        <is>
          <t>36W / 34L</t>
        </is>
      </c>
      <c r="H34" s="156" t="inlineStr">
        <is>
          <t>Stetson</t>
        </is>
      </c>
      <c r="I34" s="156" t="inlineStr">
        <is>
          <t>Jean Decorado V Denim Reverso en Bolsa Moneda</t>
        </is>
      </c>
      <c r="J34" s="156" t="inlineStr">
        <is>
          <t>Denim</t>
        </is>
      </c>
      <c r="K34" s="156" t="inlineStr">
        <is>
          <t>Jeans</t>
        </is>
      </c>
      <c r="L34" s="156" t="inlineStr">
        <is>
          <t>Hombre</t>
        </is>
      </c>
      <c r="M34" s="156" t="inlineStr">
        <is>
          <t>Stetson</t>
        </is>
      </c>
      <c r="N34" s="156" t="inlineStr">
        <is>
          <t>SS26</t>
        </is>
      </c>
      <c r="O34" s="156" t="inlineStr">
        <is>
          <t>Seasonal</t>
        </is>
      </c>
      <c r="P34" s="156" t="inlineStr">
        <is>
          <t>Azul</t>
        </is>
      </c>
      <c r="Q34" s="156" t="inlineStr">
        <is>
          <t>Slim</t>
        </is>
      </c>
      <c r="R34" s="156" t="inlineStr">
        <is>
          <t>Bootcut</t>
        </is>
      </c>
      <c r="S34" s="156" t="inlineStr">
        <is>
          <t>100% Algodón</t>
        </is>
      </c>
      <c r="T34" s="156" t="inlineStr">
        <is>
          <t>Jean Decorado V Denim Reverso en Bolsa Moneda Fitted</t>
        </is>
      </c>
      <c r="U34" s="156" t="n"/>
      <c r="V34" s="156" t="inlineStr">
        <is>
          <t>PZS</t>
        </is>
      </c>
      <c r="W34" s="51" t="inlineStr">
        <is>
          <t>53101502</t>
        </is>
      </c>
      <c r="X34" s="156" t="n"/>
      <c r="Y34" s="54" t="n">
        <v>737.0689655</v>
      </c>
      <c r="Z34" s="54" t="n">
        <v>1637.931034</v>
      </c>
      <c r="AA34" s="55">
        <f>IF(AND(A34="", B34="", E34=""), "", IF(AB34="", "Válido", IF((LEN(AB34)-LEN(SUBSTITUTE(AB34,"; ","")))/2+1&gt;(LEN(AB34)-LEN(SUBSTITUTE(AB34,"[Aviso]","")))/7, "Con Incidencias", "Válido")))</f>
        <v/>
      </c>
      <c r="AB34" s="56">
        <f>IF(AND(A34="", B34="", E34=""), "", TEXTJOIN("; ", TRUE, IF(OR(TRIM(A34&amp;"")="", ISNUMBER(SEARCH("FALTA", A34))), "UPC faltante/inválido", ""), IF(AND(A34&lt;&gt;"", IFERROR(_xlfn.XMATCH(A34,$A$2:$A$2509,0,1)&lt;&gt;_xlfn.XMATCH(A34,$A$2:$A$2509,0,-1),FALSE)), "Código de barras duplicado", ""), IF(AND(E34&lt;&gt;"", COUNTIF($E$2:$E$2509, E34)&gt;1), "SKU duplicado", ""), IF(OR(J34="", J34=""), "[Aviso] División no capturada ()", IF(ISNA(MATCH(J34, Criterios!$A$123:$A$126, 0)), "División no válida", "")), IF(OR(K34="", K34=""), "[Aviso] Categoría no capturada ()", IF(ISNA(MATCH(K34, Criterios!$A$81:$A$120, 0)), "Categoría no válida", IF(AND(J34&lt;&gt;"", J34&lt;&gt;"", J34&lt;&gt;VLOOKUP(K34, Criterios!$A$81:$B$120, 2, FALSE)), "División no coincide con Categoría", ""))), IF(OR(L34="", L34=""), "[Aviso] Género no capturado ()", IF(ISNA(MATCH(L34, Criterios!$B$123:$B$127, 0)), "Género no válido", "")), IF(OR(N34="", N34=""), "[Aviso] Temporada no capturada ()", IF(ISNA(MATCH(N34, Criterios!$C$123:$C$128, 0)), "Temporada no válida", "")), IF(OR(O34="", O34=""), "[Aviso] Ciclo de vida no capturado ()", IF(ISNA(MATCH(O34, Criterios!$D$123:$D$124, 0)), "Ciclo de vida no válido", ""))))</f>
        <v/>
      </c>
      <c r="AC34" s="56" t="n"/>
      <c r="AD34" s="51" t="n">
        <v>0</v>
      </c>
      <c r="AE34" s="156" t="n"/>
      <c r="AF34" s="51" t="n">
        <v>0</v>
      </c>
      <c r="AG34" s="156" t="inlineStr">
        <is>
          <t>Catálogo existente</t>
        </is>
      </c>
      <c r="AH34" s="156" t="n"/>
      <c r="AI34" s="156" t="inlineStr">
        <is>
          <t>No</t>
        </is>
      </c>
      <c r="AJ34" s="156" t="n"/>
      <c r="AK34" s="155" t="inlineStr">
        <is>
          <t>Shopify Stetson: producto 15051554226539 / variante 53342125228395</t>
        </is>
      </c>
      <c r="AL34" s="58" t="n">
        <v>737.0689655</v>
      </c>
      <c r="AM34" s="58" t="n">
        <v>1637.931034</v>
      </c>
      <c r="AN34" s="155" t="inlineStr">
        <is>
          <t>Shopify Stetson México</t>
        </is>
      </c>
      <c r="AO34" s="59" t="n">
        <v>2</v>
      </c>
      <c r="AP34" s="59" t="n"/>
      <c r="AQ34" s="59" t="n"/>
      <c r="AR34" s="155" t="inlineStr">
        <is>
          <t>Shopify Stetson México › Stetson Americas: 2</t>
        </is>
      </c>
    </row>
    <row r="35">
      <c r="A35" s="50" t="inlineStr">
        <is>
          <t>052356164790</t>
        </is>
      </c>
      <c r="B35" s="51" t="inlineStr">
        <is>
          <t>110559</t>
        </is>
      </c>
      <c r="C35" s="156" t="inlineStr">
        <is>
          <t>Multimarca</t>
        </is>
      </c>
      <c r="D35" s="156" t="inlineStr">
        <is>
          <t>11-004-1014-4016</t>
        </is>
      </c>
      <c r="E35" s="156" t="inlineStr">
        <is>
          <t>11-004-1014-4016-36 36</t>
        </is>
      </c>
      <c r="F35" s="156" t="inlineStr">
        <is>
          <t>36 x 36</t>
        </is>
      </c>
      <c r="G35" s="156" t="inlineStr">
        <is>
          <t>36W / 36L</t>
        </is>
      </c>
      <c r="H35" s="156" t="inlineStr">
        <is>
          <t>Stetson</t>
        </is>
      </c>
      <c r="I35" s="156" t="inlineStr">
        <is>
          <t>Jean Decorado V Denim Reverso en Bolsa Moneda</t>
        </is>
      </c>
      <c r="J35" s="156" t="inlineStr">
        <is>
          <t>Denim</t>
        </is>
      </c>
      <c r="K35" s="156" t="inlineStr">
        <is>
          <t>Jeans</t>
        </is>
      </c>
      <c r="L35" s="156" t="inlineStr">
        <is>
          <t>Hombre</t>
        </is>
      </c>
      <c r="M35" s="156" t="inlineStr">
        <is>
          <t>Stetson</t>
        </is>
      </c>
      <c r="N35" s="156" t="inlineStr">
        <is>
          <t>SS26</t>
        </is>
      </c>
      <c r="O35" s="156" t="inlineStr">
        <is>
          <t>Seasonal</t>
        </is>
      </c>
      <c r="P35" s="156" t="inlineStr">
        <is>
          <t>Azul</t>
        </is>
      </c>
      <c r="Q35" s="156" t="inlineStr">
        <is>
          <t>Slim</t>
        </is>
      </c>
      <c r="R35" s="156" t="inlineStr">
        <is>
          <t>Bootcut</t>
        </is>
      </c>
      <c r="S35" s="156" t="inlineStr">
        <is>
          <t>100% Algodón</t>
        </is>
      </c>
      <c r="T35" s="156" t="inlineStr">
        <is>
          <t>Jean Decorado V Denim Reverso en Bolsa Moneda Fitted</t>
        </is>
      </c>
      <c r="U35" s="156" t="n"/>
      <c r="V35" s="156" t="inlineStr">
        <is>
          <t>PZS</t>
        </is>
      </c>
      <c r="W35" s="51" t="inlineStr">
        <is>
          <t>53101502</t>
        </is>
      </c>
      <c r="X35" s="156" t="n"/>
      <c r="Y35" s="54" t="n">
        <v>737.0689655</v>
      </c>
      <c r="Z35" s="54" t="n">
        <v>1637.931034</v>
      </c>
      <c r="AA35" s="55">
        <f>IF(AND(A35="", B35="", E35=""), "", IF(AB35="", "Válido", IF((LEN(AB35)-LEN(SUBSTITUTE(AB35,"; ","")))/2+1&gt;(LEN(AB35)-LEN(SUBSTITUTE(AB35,"[Aviso]","")))/7, "Con Incidencias", "Válido")))</f>
        <v/>
      </c>
      <c r="AB35" s="56">
        <f>IF(AND(A35="", B35="", E35=""), "", TEXTJOIN("; ", TRUE, IF(OR(TRIM(A35&amp;"")="", ISNUMBER(SEARCH("FALTA", A35))), "UPC faltante/inválido", ""), IF(AND(A35&lt;&gt;"", IFERROR(_xlfn.XMATCH(A35,$A$2:$A$2509,0,1)&lt;&gt;_xlfn.XMATCH(A35,$A$2:$A$2509,0,-1),FALSE)), "Código de barras duplicado", ""), IF(AND(E35&lt;&gt;"", COUNTIF($E$2:$E$2509, E35)&gt;1), "SKU duplicado", ""), IF(OR(J35="", J35=""), "[Aviso] División no capturada ()", IF(ISNA(MATCH(J35, Criterios!$A$123:$A$126, 0)), "División no válida", "")), IF(OR(K35="", K35=""), "[Aviso] Categoría no capturada ()", IF(ISNA(MATCH(K35, Criterios!$A$81:$A$120, 0)), "Categoría no válida", IF(AND(J35&lt;&gt;"", J35&lt;&gt;"", J35&lt;&gt;VLOOKUP(K35, Criterios!$A$81:$B$120, 2, FALSE)), "División no coincide con Categoría", ""))), IF(OR(L35="", L35=""), "[Aviso] Género no capturado ()", IF(ISNA(MATCH(L35, Criterios!$B$123:$B$127, 0)), "Género no válido", "")), IF(OR(N35="", N35=""), "[Aviso] Temporada no capturada ()", IF(ISNA(MATCH(N35, Criterios!$C$123:$C$128, 0)), "Temporada no válida", "")), IF(OR(O35="", O35=""), "[Aviso] Ciclo de vida no capturado ()", IF(ISNA(MATCH(O35, Criterios!$D$123:$D$124, 0)), "Ciclo de vida no válido", ""))))</f>
        <v/>
      </c>
      <c r="AC35" s="56" t="n"/>
      <c r="AD35" s="51" t="n">
        <v>0</v>
      </c>
      <c r="AE35" s="156" t="n"/>
      <c r="AF35" s="51" t="n">
        <v>0</v>
      </c>
      <c r="AG35" s="156" t="inlineStr">
        <is>
          <t>Catálogo existente</t>
        </is>
      </c>
      <c r="AH35" s="156" t="n"/>
      <c r="AI35" s="156" t="inlineStr">
        <is>
          <t>No</t>
        </is>
      </c>
      <c r="AJ35" s="156" t="n"/>
      <c r="AK35" s="155" t="inlineStr">
        <is>
          <t>Shopify Stetson: producto 15051554226539 / variante 53342125261163</t>
        </is>
      </c>
      <c r="AL35" s="58" t="n">
        <v>737.0689655</v>
      </c>
      <c r="AM35" s="58" t="n">
        <v>1637.931034</v>
      </c>
      <c r="AN35" s="155" t="inlineStr">
        <is>
          <t>Shopify Stetson México</t>
        </is>
      </c>
      <c r="AO35" s="59" t="n">
        <v>2</v>
      </c>
      <c r="AP35" s="59" t="n"/>
      <c r="AQ35" s="59" t="n"/>
      <c r="AR35" s="155" t="inlineStr">
        <is>
          <t>Shopify Stetson México › Stetson Americas: 2</t>
        </is>
      </c>
    </row>
    <row r="36">
      <c r="A36" s="50" t="inlineStr">
        <is>
          <t>052356164837</t>
        </is>
      </c>
      <c r="B36" s="51" t="inlineStr">
        <is>
          <t>110560</t>
        </is>
      </c>
      <c r="C36" s="156" t="inlineStr">
        <is>
          <t>Multimarca</t>
        </is>
      </c>
      <c r="D36" s="156" t="inlineStr">
        <is>
          <t>11-004-1014-4016</t>
        </is>
      </c>
      <c r="E36" s="156" t="inlineStr">
        <is>
          <t>11-004-1014-4016-38 32</t>
        </is>
      </c>
      <c r="F36" s="156" t="inlineStr">
        <is>
          <t>38 x 32</t>
        </is>
      </c>
      <c r="G36" s="156" t="inlineStr">
        <is>
          <t>38W / 32L</t>
        </is>
      </c>
      <c r="H36" s="156" t="inlineStr">
        <is>
          <t>Stetson</t>
        </is>
      </c>
      <c r="I36" s="156" t="inlineStr">
        <is>
          <t>Jean Decorado V Denim Reverso en Bolsa Moneda</t>
        </is>
      </c>
      <c r="J36" s="156" t="inlineStr">
        <is>
          <t>Denim</t>
        </is>
      </c>
      <c r="K36" s="156" t="inlineStr">
        <is>
          <t>Jeans</t>
        </is>
      </c>
      <c r="L36" s="156" t="inlineStr">
        <is>
          <t>Hombre</t>
        </is>
      </c>
      <c r="M36" s="156" t="inlineStr">
        <is>
          <t>Stetson</t>
        </is>
      </c>
      <c r="N36" s="156" t="inlineStr">
        <is>
          <t>SS26</t>
        </is>
      </c>
      <c r="O36" s="156" t="inlineStr">
        <is>
          <t>Seasonal</t>
        </is>
      </c>
      <c r="P36" s="156" t="inlineStr">
        <is>
          <t>Azul</t>
        </is>
      </c>
      <c r="Q36" s="156" t="inlineStr">
        <is>
          <t>Slim</t>
        </is>
      </c>
      <c r="R36" s="156" t="inlineStr">
        <is>
          <t>Bootcut</t>
        </is>
      </c>
      <c r="S36" s="156" t="inlineStr">
        <is>
          <t>100% Algodón</t>
        </is>
      </c>
      <c r="T36" s="156" t="inlineStr">
        <is>
          <t>Jean Decorado V Denim Reverso en Bolsa Moneda Fitted</t>
        </is>
      </c>
      <c r="U36" s="156" t="n"/>
      <c r="V36" s="156" t="inlineStr">
        <is>
          <t>PZS</t>
        </is>
      </c>
      <c r="W36" s="51" t="inlineStr">
        <is>
          <t>53101502</t>
        </is>
      </c>
      <c r="X36" s="156" t="n"/>
      <c r="Y36" s="54" t="n">
        <v>737.0689655</v>
      </c>
      <c r="Z36" s="54" t="n">
        <v>1637.931034</v>
      </c>
      <c r="AA36" s="55">
        <f>IF(AND(A36="", B36="", E36=""), "", IF(AB36="", "Válido", IF((LEN(AB36)-LEN(SUBSTITUTE(AB36,"; ","")))/2+1&gt;(LEN(AB36)-LEN(SUBSTITUTE(AB36,"[Aviso]","")))/7, "Con Incidencias", "Válido")))</f>
        <v/>
      </c>
      <c r="AB36" s="56">
        <f>IF(AND(A36="", B36="", E36=""), "", TEXTJOIN("; ", TRUE, IF(OR(TRIM(A36&amp;"")="", ISNUMBER(SEARCH("FALTA", A36))), "UPC faltante/inválido", ""), IF(AND(A36&lt;&gt;"", IFERROR(_xlfn.XMATCH(A36,$A$2:$A$2509,0,1)&lt;&gt;_xlfn.XMATCH(A36,$A$2:$A$2509,0,-1),FALSE)), "Código de barras duplicado", ""), IF(AND(E36&lt;&gt;"", COUNTIF($E$2:$E$2509, E36)&gt;1), "SKU duplicado", ""), IF(OR(J36="", J36=""), "[Aviso] División no capturada ()", IF(ISNA(MATCH(J36, Criterios!$A$123:$A$126, 0)), "División no válida", "")), IF(OR(K36="", K36=""), "[Aviso] Categoría no capturada ()", IF(ISNA(MATCH(K36, Criterios!$A$81:$A$120, 0)), "Categoría no válida", IF(AND(J36&lt;&gt;"", J36&lt;&gt;"", J36&lt;&gt;VLOOKUP(K36, Criterios!$A$81:$B$120, 2, FALSE)), "División no coincide con Categoría", ""))), IF(OR(L36="", L36=""), "[Aviso] Género no capturado ()", IF(ISNA(MATCH(L36, Criterios!$B$123:$B$127, 0)), "Género no válido", "")), IF(OR(N36="", N36=""), "[Aviso] Temporada no capturada ()", IF(ISNA(MATCH(N36, Criterios!$C$123:$C$128, 0)), "Temporada no válida", "")), IF(OR(O36="", O36=""), "[Aviso] Ciclo de vida no capturado ()", IF(ISNA(MATCH(O36, Criterios!$D$123:$D$124, 0)), "Ciclo de vida no válido", ""))))</f>
        <v/>
      </c>
      <c r="AC36" s="56" t="n"/>
      <c r="AD36" s="51" t="n">
        <v>0</v>
      </c>
      <c r="AE36" s="156" t="n"/>
      <c r="AF36" s="51" t="n">
        <v>0</v>
      </c>
      <c r="AG36" s="156" t="inlineStr">
        <is>
          <t>Catálogo existente</t>
        </is>
      </c>
      <c r="AH36" s="156" t="n"/>
      <c r="AI36" s="156" t="inlineStr">
        <is>
          <t>No</t>
        </is>
      </c>
      <c r="AJ36" s="156" t="n"/>
      <c r="AK36" s="155" t="inlineStr">
        <is>
          <t>Shopify Stetson: producto 15051554226539 / variante 53342125293931</t>
        </is>
      </c>
      <c r="AL36" s="58" t="n">
        <v>737.0689655</v>
      </c>
      <c r="AM36" s="58" t="n">
        <v>1637.931034</v>
      </c>
      <c r="AN36" s="155" t="inlineStr">
        <is>
          <t>Shopify Stetson México</t>
        </is>
      </c>
      <c r="AO36" s="59" t="n">
        <v>2</v>
      </c>
      <c r="AP36" s="59" t="n"/>
      <c r="AQ36" s="59" t="n"/>
      <c r="AR36" s="155" t="inlineStr">
        <is>
          <t>Shopify Stetson México › Stetson Americas: 2</t>
        </is>
      </c>
    </row>
    <row r="37">
      <c r="A37" s="50" t="inlineStr">
        <is>
          <t>052356467181</t>
        </is>
      </c>
      <c r="B37" s="51" t="inlineStr">
        <is>
          <t>110513</t>
        </is>
      </c>
      <c r="C37" s="156" t="inlineStr">
        <is>
          <t>Multimarca</t>
        </is>
      </c>
      <c r="D37" s="156" t="inlineStr">
        <is>
          <t>11-001-0476-0802</t>
        </is>
      </c>
      <c r="E37" s="156" t="inlineStr">
        <is>
          <t>11-001-0476-0802-L</t>
        </is>
      </c>
      <c r="F37" s="156" t="inlineStr">
        <is>
          <t>L</t>
        </is>
      </c>
      <c r="G37" s="156" t="inlineStr">
        <is>
          <t>L</t>
        </is>
      </c>
      <c r="H37" s="156" t="inlineStr">
        <is>
          <t>Stetson</t>
        </is>
      </c>
      <c r="I37" s="156" t="inlineStr">
        <is>
          <t>Camisa Rayas Candy Azul Pervinca</t>
        </is>
      </c>
      <c r="J37" s="156" t="inlineStr">
        <is>
          <t>Ropa</t>
        </is>
      </c>
      <c r="K37" s="156" t="inlineStr">
        <is>
          <t>Camisas</t>
        </is>
      </c>
      <c r="L37" s="156" t="inlineStr">
        <is>
          <t>Hombre</t>
        </is>
      </c>
      <c r="M37" s="156" t="inlineStr">
        <is>
          <t>Stetson</t>
        </is>
      </c>
      <c r="N37" s="156" t="inlineStr">
        <is>
          <t>SS26</t>
        </is>
      </c>
      <c r="O37" s="156" t="inlineStr">
        <is>
          <t>Seasonal</t>
        </is>
      </c>
      <c r="P37" s="156" t="inlineStr">
        <is>
          <t>Azul</t>
        </is>
      </c>
      <c r="Q37" s="156" t="inlineStr">
        <is>
          <t>Regular</t>
        </is>
      </c>
      <c r="R37" s="156" t="n"/>
      <c r="S37" s="156" t="inlineStr">
        <is>
          <t>100% Algodón</t>
        </is>
      </c>
      <c r="T37" s="156" t="inlineStr">
        <is>
          <t>Camisa Rayas Candy Azul Pervinca Regular</t>
        </is>
      </c>
      <c r="U37" s="156" t="n"/>
      <c r="V37" s="156" t="inlineStr">
        <is>
          <t>PZS</t>
        </is>
      </c>
      <c r="W37" s="51" t="inlineStr">
        <is>
          <t>53101602</t>
        </is>
      </c>
      <c r="X37" s="156" t="n"/>
      <c r="Y37" s="54" t="n">
        <v>775.862069</v>
      </c>
      <c r="Z37" s="54" t="n">
        <v>1724.137931</v>
      </c>
      <c r="AA37" s="55">
        <f>IF(AND(A37="", B37="", E37=""), "", IF(AB37="", "Válido", IF((LEN(AB37)-LEN(SUBSTITUTE(AB37,"; ","")))/2+1&gt;(LEN(AB37)-LEN(SUBSTITUTE(AB37,"[Aviso]","")))/7, "Con Incidencias", "Válido")))</f>
        <v/>
      </c>
      <c r="AB37" s="56">
        <f>IF(AND(A37="", B37="", E37=""), "", TEXTJOIN("; ", TRUE, IF(OR(TRIM(A37&amp;"")="", ISNUMBER(SEARCH("FALTA", A37))), "UPC faltante/inválido", ""), IF(AND(A37&lt;&gt;"", IFERROR(_xlfn.XMATCH(A37,$A$2:$A$2509,0,1)&lt;&gt;_xlfn.XMATCH(A37,$A$2:$A$2509,0,-1),FALSE)), "Código de barras duplicado", ""), IF(AND(E37&lt;&gt;"", COUNTIF($E$2:$E$2509, E37)&gt;1), "SKU duplicado", ""), IF(OR(J37="", J37=""), "[Aviso] División no capturada ()", IF(ISNA(MATCH(J37, Criterios!$A$123:$A$126, 0)), "División no válida", "")), IF(OR(K37="", K37=""), "[Aviso] Categoría no capturada ()", IF(ISNA(MATCH(K37, Criterios!$A$81:$A$120, 0)), "Categoría no válida", IF(AND(J37&lt;&gt;"", J37&lt;&gt;"", J37&lt;&gt;VLOOKUP(K37, Criterios!$A$81:$B$120, 2, FALSE)), "División no coincide con Categoría", ""))), IF(OR(L37="", L37=""), "[Aviso] Género no capturado ()", IF(ISNA(MATCH(L37, Criterios!$B$123:$B$127, 0)), "Género no válido", "")), IF(OR(N37="", N37=""), "[Aviso] Temporada no capturada ()", IF(ISNA(MATCH(N37, Criterios!$C$123:$C$128, 0)), "Temporada no válida", "")), IF(OR(O37="", O37=""), "[Aviso] Ciclo de vida no capturado ()", IF(ISNA(MATCH(O37, Criterios!$D$123:$D$124, 0)), "Ciclo de vida no válido", ""))))</f>
        <v/>
      </c>
      <c r="AC37" s="56" t="n"/>
      <c r="AD37" s="51" t="n">
        <v>-4</v>
      </c>
      <c r="AE37" s="156" t="n"/>
      <c r="AF37" s="51" t="n">
        <v>0</v>
      </c>
      <c r="AG37" s="156" t="inlineStr">
        <is>
          <t>Catálogo existente</t>
        </is>
      </c>
      <c r="AH37" s="156" t="inlineStr">
        <is>
          <t>Stock negativo en sistema: revisar en conteo | Revisión 29/09/2026: Campos sin respaldo: U, X; Auditoría NetSuite 30/09/2026: llenado desde NetSuite [S] | 01/10/2026: complementado desde Shopify Stetson México (match por código de barras): WB Silueta</t>
        </is>
      </c>
      <c r="AI37" s="156" t="inlineStr">
        <is>
          <t>Sí</t>
        </is>
      </c>
      <c r="AJ37" s="156" t="inlineStr">
        <is>
          <t>STETSON AMERICAS (-4)</t>
        </is>
      </c>
      <c r="AK37" s="155" t="inlineStr">
        <is>
          <t>Criterios: J [R]; G1522_Extraccion_Articulos_NetSuite_2026-09-30.xlsx: fila 58328 [S] | Shopify Stetson: producto 15051553571179 / variante 53344966934891</t>
        </is>
      </c>
      <c r="AL37" s="58" t="n">
        <v>775.862069</v>
      </c>
      <c r="AM37" s="58" t="n">
        <v>1724.137931</v>
      </c>
      <c r="AN37" s="155" t="inlineStr">
        <is>
          <t>Shopify Stetson México</t>
        </is>
      </c>
      <c r="AO37" s="59" t="n">
        <v>-1</v>
      </c>
      <c r="AP37" s="59" t="n"/>
      <c r="AQ37" s="59" t="n"/>
      <c r="AR37" s="155" t="n"/>
    </row>
    <row r="38">
      <c r="A38" s="50" t="inlineStr">
        <is>
          <t>052356467198</t>
        </is>
      </c>
      <c r="B38" s="51" t="inlineStr">
        <is>
          <t>110514</t>
        </is>
      </c>
      <c r="C38" s="156" t="inlineStr">
        <is>
          <t>Multimarca</t>
        </is>
      </c>
      <c r="D38" s="156" t="inlineStr">
        <is>
          <t>11-001-0476-0802</t>
        </is>
      </c>
      <c r="E38" s="156" t="inlineStr">
        <is>
          <t>11-001-0476-0802-M</t>
        </is>
      </c>
      <c r="F38" s="156" t="inlineStr">
        <is>
          <t>M</t>
        </is>
      </c>
      <c r="G38" s="156" t="inlineStr">
        <is>
          <t>M</t>
        </is>
      </c>
      <c r="H38" s="156" t="inlineStr">
        <is>
          <t>Stetson</t>
        </is>
      </c>
      <c r="I38" s="156" t="inlineStr">
        <is>
          <t>Camisa Rayas Candy Azul Pervinca</t>
        </is>
      </c>
      <c r="J38" s="156" t="inlineStr">
        <is>
          <t>Ropa</t>
        </is>
      </c>
      <c r="K38" s="156" t="inlineStr">
        <is>
          <t>Camisas</t>
        </is>
      </c>
      <c r="L38" s="156" t="inlineStr">
        <is>
          <t>Hombre</t>
        </is>
      </c>
      <c r="M38" s="156" t="inlineStr">
        <is>
          <t>Stetson</t>
        </is>
      </c>
      <c r="N38" s="156" t="inlineStr">
        <is>
          <t>SS26</t>
        </is>
      </c>
      <c r="O38" s="156" t="inlineStr">
        <is>
          <t>Seasonal</t>
        </is>
      </c>
      <c r="P38" s="156" t="inlineStr">
        <is>
          <t>Azul</t>
        </is>
      </c>
      <c r="Q38" s="156" t="inlineStr">
        <is>
          <t>Regular</t>
        </is>
      </c>
      <c r="R38" s="156" t="n"/>
      <c r="S38" s="156" t="inlineStr">
        <is>
          <t>100% Algodón</t>
        </is>
      </c>
      <c r="T38" s="156" t="inlineStr">
        <is>
          <t>Camisa Rayas Candy Azul Pervinca Regular</t>
        </is>
      </c>
      <c r="U38" s="156" t="n"/>
      <c r="V38" s="156" t="inlineStr">
        <is>
          <t>PZS</t>
        </is>
      </c>
      <c r="W38" s="51" t="inlineStr">
        <is>
          <t>53101602</t>
        </is>
      </c>
      <c r="X38" s="156" t="n"/>
      <c r="Y38" s="54" t="n">
        <v>775.862069</v>
      </c>
      <c r="Z38" s="54" t="n">
        <v>1724.137931</v>
      </c>
      <c r="AA38" s="55">
        <f>IF(AND(A38="", B38="", E38=""), "", IF(AB38="", "Válido", IF((LEN(AB38)-LEN(SUBSTITUTE(AB38,"; ","")))/2+1&gt;(LEN(AB38)-LEN(SUBSTITUTE(AB38,"[Aviso]","")))/7, "Con Incidencias", "Válido")))</f>
        <v/>
      </c>
      <c r="AB38" s="56">
        <f>IF(AND(A38="", B38="", E38=""), "", TEXTJOIN("; ", TRUE, IF(OR(TRIM(A38&amp;"")="", ISNUMBER(SEARCH("FALTA", A38))), "UPC faltante/inválido", ""), IF(AND(A38&lt;&gt;"", IFERROR(_xlfn.XMATCH(A38,$A$2:$A$2509,0,1)&lt;&gt;_xlfn.XMATCH(A38,$A$2:$A$2509,0,-1),FALSE)), "Código de barras duplicado", ""), IF(AND(E38&lt;&gt;"", COUNTIF($E$2:$E$2509, E38)&gt;1), "SKU duplicado", ""), IF(OR(J38="", J38=""), "[Aviso] División no capturada ()", IF(ISNA(MATCH(J38, Criterios!$A$123:$A$126, 0)), "División no válida", "")), IF(OR(K38="", K38=""), "[Aviso] Categoría no capturada ()", IF(ISNA(MATCH(K38, Criterios!$A$81:$A$120, 0)), "Categoría no válida", IF(AND(J38&lt;&gt;"", J38&lt;&gt;"", J38&lt;&gt;VLOOKUP(K38, Criterios!$A$81:$B$120, 2, FALSE)), "División no coincide con Categoría", ""))), IF(OR(L38="", L38=""), "[Aviso] Género no capturado ()", IF(ISNA(MATCH(L38, Criterios!$B$123:$B$127, 0)), "Género no válido", "")), IF(OR(N38="", N38=""), "[Aviso] Temporada no capturada ()", IF(ISNA(MATCH(N38, Criterios!$C$123:$C$128, 0)), "Temporada no válida", "")), IF(OR(O38="", O38=""), "[Aviso] Ciclo de vida no capturado ()", IF(ISNA(MATCH(O38, Criterios!$D$123:$D$124, 0)), "Ciclo de vida no válido", ""))))</f>
        <v/>
      </c>
      <c r="AC38" s="56" t="n"/>
      <c r="AD38" s="51" t="n">
        <v>-2</v>
      </c>
      <c r="AE38" s="156" t="n"/>
      <c r="AF38" s="51" t="n">
        <v>0</v>
      </c>
      <c r="AG38" s="156" t="inlineStr">
        <is>
          <t>Catálogo existente</t>
        </is>
      </c>
      <c r="AH38" s="156" t="inlineStr">
        <is>
          <t>Stock negativo en sistema: revisar en conteo | Revisión 29/09/2026: Campos sin respaldo: U, X; Auditoría NetSuite 30/09/2026: llenado desde NetSuite [S] | 01/10/2026: complementado desde Shopify Stetson México (match por código de barras): WB Silueta</t>
        </is>
      </c>
      <c r="AI38" s="156" t="inlineStr">
        <is>
          <t>Sí</t>
        </is>
      </c>
      <c r="AJ38" s="156" t="inlineStr">
        <is>
          <t>STETSON AMERICAS (-2)</t>
        </is>
      </c>
      <c r="AK38" s="155" t="inlineStr">
        <is>
          <t>Criterios: J [R]; G1522_Extraccion_Articulos_NetSuite_2026-09-30.xlsx: fila 58329 [S] | Shopify Stetson: producto 15051553571179 / variante 53344966967659</t>
        </is>
      </c>
      <c r="AL38" s="58" t="n">
        <v>775.862069</v>
      </c>
      <c r="AM38" s="58" t="n">
        <v>1724.137931</v>
      </c>
      <c r="AN38" s="155" t="inlineStr">
        <is>
          <t>Shopify Stetson México</t>
        </is>
      </c>
      <c r="AO38" s="59" t="n">
        <v>1</v>
      </c>
      <c r="AP38" s="59" t="n"/>
      <c r="AQ38" s="59" t="n"/>
      <c r="AR38" s="155" t="inlineStr">
        <is>
          <t>Shopify Stetson México › Stetson Americas: 1</t>
        </is>
      </c>
    </row>
    <row r="39">
      <c r="A39" s="50" t="inlineStr">
        <is>
          <t>052356467204</t>
        </is>
      </c>
      <c r="B39" s="51" t="inlineStr">
        <is>
          <t>110515</t>
        </is>
      </c>
      <c r="C39" s="156" t="inlineStr">
        <is>
          <t>Multimarca</t>
        </is>
      </c>
      <c r="D39" s="156" t="inlineStr">
        <is>
          <t>11-001-0476-0802</t>
        </is>
      </c>
      <c r="E39" s="156" t="inlineStr">
        <is>
          <t>11-001-0476-0802-S</t>
        </is>
      </c>
      <c r="F39" s="156" t="inlineStr">
        <is>
          <t>S</t>
        </is>
      </c>
      <c r="G39" s="156" t="inlineStr">
        <is>
          <t>S</t>
        </is>
      </c>
      <c r="H39" s="156" t="inlineStr">
        <is>
          <t>Stetson</t>
        </is>
      </c>
      <c r="I39" s="156" t="inlineStr">
        <is>
          <t>Camisa Rayas Candy Azul Pervinca</t>
        </is>
      </c>
      <c r="J39" s="156" t="inlineStr">
        <is>
          <t>Ropa</t>
        </is>
      </c>
      <c r="K39" s="156" t="inlineStr">
        <is>
          <t>Camisas</t>
        </is>
      </c>
      <c r="L39" s="156" t="inlineStr">
        <is>
          <t>Hombre</t>
        </is>
      </c>
      <c r="M39" s="156" t="inlineStr">
        <is>
          <t>Stetson</t>
        </is>
      </c>
      <c r="N39" s="156" t="inlineStr">
        <is>
          <t>SS26</t>
        </is>
      </c>
      <c r="O39" s="156" t="inlineStr">
        <is>
          <t>Seasonal</t>
        </is>
      </c>
      <c r="P39" s="156" t="inlineStr">
        <is>
          <t>Azul</t>
        </is>
      </c>
      <c r="Q39" s="156" t="inlineStr">
        <is>
          <t>Regular</t>
        </is>
      </c>
      <c r="R39" s="156" t="n"/>
      <c r="S39" s="156" t="inlineStr">
        <is>
          <t>100% Algodón</t>
        </is>
      </c>
      <c r="T39" s="156" t="inlineStr">
        <is>
          <t>Camisa Rayas Candy Azul Pervinca Regular</t>
        </is>
      </c>
      <c r="U39" s="156" t="n"/>
      <c r="V39" s="156" t="inlineStr">
        <is>
          <t>PZS</t>
        </is>
      </c>
      <c r="W39" s="51" t="inlineStr">
        <is>
          <t>53101602</t>
        </is>
      </c>
      <c r="X39" s="156" t="n"/>
      <c r="Y39" s="54" t="n">
        <v>775.862069</v>
      </c>
      <c r="Z39" s="54" t="n">
        <v>1724.137931</v>
      </c>
      <c r="AA39" s="55">
        <f>IF(AND(A39="", B39="", E39=""), "", IF(AB39="", "Válido", IF((LEN(AB39)-LEN(SUBSTITUTE(AB39,"; ","")))/2+1&gt;(LEN(AB39)-LEN(SUBSTITUTE(AB39,"[Aviso]","")))/7, "Con Incidencias", "Válido")))</f>
        <v/>
      </c>
      <c r="AB39" s="56">
        <f>IF(AND(A39="", B39="", E39=""), "", TEXTJOIN("; ", TRUE, IF(OR(TRIM(A39&amp;"")="", ISNUMBER(SEARCH("FALTA", A39))), "UPC faltante/inválido", ""), IF(AND(A39&lt;&gt;"", IFERROR(_xlfn.XMATCH(A39,$A$2:$A$2509,0,1)&lt;&gt;_xlfn.XMATCH(A39,$A$2:$A$2509,0,-1),FALSE)), "Código de barras duplicado", ""), IF(AND(E39&lt;&gt;"", COUNTIF($E$2:$E$2509, E39)&gt;1), "SKU duplicado", ""), IF(OR(J39="", J39=""), "[Aviso] División no capturada ()", IF(ISNA(MATCH(J39, Criterios!$A$123:$A$126, 0)), "División no válida", "")), IF(OR(K39="", K39=""), "[Aviso] Categoría no capturada ()", IF(ISNA(MATCH(K39, Criterios!$A$81:$A$120, 0)), "Categoría no válida", IF(AND(J39&lt;&gt;"", J39&lt;&gt;"", J39&lt;&gt;VLOOKUP(K39, Criterios!$A$81:$B$120, 2, FALSE)), "División no coincide con Categoría", ""))), IF(OR(L39="", L39=""), "[Aviso] Género no capturado ()", IF(ISNA(MATCH(L39, Criterios!$B$123:$B$127, 0)), "Género no válido", "")), IF(OR(N39="", N39=""), "[Aviso] Temporada no capturada ()", IF(ISNA(MATCH(N39, Criterios!$C$123:$C$128, 0)), "Temporada no válida", "")), IF(OR(O39="", O39=""), "[Aviso] Ciclo de vida no capturado ()", IF(ISNA(MATCH(O39, Criterios!$D$123:$D$124, 0)), "Ciclo de vida no válido", ""))))</f>
        <v/>
      </c>
      <c r="AC39" s="56" t="n"/>
      <c r="AD39" s="51" t="n">
        <v>-2</v>
      </c>
      <c r="AE39" s="156" t="n"/>
      <c r="AF39" s="51" t="n">
        <v>0</v>
      </c>
      <c r="AG39" s="156" t="inlineStr">
        <is>
          <t>Catálogo existente</t>
        </is>
      </c>
      <c r="AH39" s="156" t="inlineStr">
        <is>
          <t>Stock negativo en sistema: revisar en conteo | Revisión 29/09/2026: Campos sin respaldo: U, X; Auditoría NetSuite 30/09/2026: llenado desde NetSuite [S] | 01/10/2026: complementado desde Shopify Stetson México (match por código de barras): WB Silueta</t>
        </is>
      </c>
      <c r="AI39" s="156" t="inlineStr">
        <is>
          <t>Sí</t>
        </is>
      </c>
      <c r="AJ39" s="156" t="inlineStr">
        <is>
          <t>STETSON AMERICAS (-2)</t>
        </is>
      </c>
      <c r="AK39" s="155" t="inlineStr">
        <is>
          <t>Criterios: J [R]; G1522_Extraccion_Articulos_NetSuite_2026-09-30.xlsx: fila 58330 [S] | Shopify Stetson: producto 15051553571179 / variante 53344967000427</t>
        </is>
      </c>
      <c r="AL39" s="58" t="n">
        <v>775.862069</v>
      </c>
      <c r="AM39" s="58" t="n">
        <v>1724.137931</v>
      </c>
      <c r="AN39" s="155" t="inlineStr">
        <is>
          <t>Shopify Stetson México</t>
        </is>
      </c>
      <c r="AO39" s="59" t="n">
        <v>0</v>
      </c>
      <c r="AP39" s="59" t="n"/>
      <c r="AQ39" s="59" t="n"/>
      <c r="AR39" s="155" t="n"/>
    </row>
    <row r="40">
      <c r="A40" s="50" t="inlineStr">
        <is>
          <t>052356467211</t>
        </is>
      </c>
      <c r="B40" s="51" t="inlineStr">
        <is>
          <t>110516</t>
        </is>
      </c>
      <c r="C40" s="156" t="inlineStr">
        <is>
          <t>Multimarca</t>
        </is>
      </c>
      <c r="D40" s="156" t="inlineStr">
        <is>
          <t>11-001-0476-0802</t>
        </is>
      </c>
      <c r="E40" s="156" t="inlineStr">
        <is>
          <t>11-001-0476-0802-XL</t>
        </is>
      </c>
      <c r="F40" s="156" t="inlineStr">
        <is>
          <t>XL</t>
        </is>
      </c>
      <c r="G40" s="156" t="inlineStr">
        <is>
          <t>XL</t>
        </is>
      </c>
      <c r="H40" s="156" t="inlineStr">
        <is>
          <t>Stetson</t>
        </is>
      </c>
      <c r="I40" s="156" t="inlineStr">
        <is>
          <t>Camisa Rayas Candy Azul Pervinca</t>
        </is>
      </c>
      <c r="J40" s="156" t="inlineStr">
        <is>
          <t>Ropa</t>
        </is>
      </c>
      <c r="K40" s="156" t="inlineStr">
        <is>
          <t>Camisas</t>
        </is>
      </c>
      <c r="L40" s="156" t="inlineStr">
        <is>
          <t>Hombre</t>
        </is>
      </c>
      <c r="M40" s="156" t="inlineStr">
        <is>
          <t>Stetson</t>
        </is>
      </c>
      <c r="N40" s="156" t="inlineStr">
        <is>
          <t>SS26</t>
        </is>
      </c>
      <c r="O40" s="156" t="inlineStr">
        <is>
          <t>Seasonal</t>
        </is>
      </c>
      <c r="P40" s="156" t="inlineStr">
        <is>
          <t>Azul</t>
        </is>
      </c>
      <c r="Q40" s="156" t="inlineStr">
        <is>
          <t>Regular</t>
        </is>
      </c>
      <c r="R40" s="156" t="n"/>
      <c r="S40" s="156" t="inlineStr">
        <is>
          <t>100% Algodón</t>
        </is>
      </c>
      <c r="T40" s="156" t="inlineStr">
        <is>
          <t>Camisa Rayas Candy Azul Pervinca Regular</t>
        </is>
      </c>
      <c r="U40" s="156" t="n"/>
      <c r="V40" s="156" t="inlineStr">
        <is>
          <t>PZS</t>
        </is>
      </c>
      <c r="W40" s="51" t="inlineStr">
        <is>
          <t>53101602</t>
        </is>
      </c>
      <c r="X40" s="156" t="n"/>
      <c r="Y40" s="54" t="n">
        <v>775.862069</v>
      </c>
      <c r="Z40" s="54" t="n">
        <v>1724.137931</v>
      </c>
      <c r="AA40" s="55">
        <f>IF(AND(A40="", B40="", E40=""), "", IF(AB40="", "Válido", IF((LEN(AB40)-LEN(SUBSTITUTE(AB40,"; ","")))/2+1&gt;(LEN(AB40)-LEN(SUBSTITUTE(AB40,"[Aviso]","")))/7, "Con Incidencias", "Válido")))</f>
        <v/>
      </c>
      <c r="AB40" s="56">
        <f>IF(AND(A40="", B40="", E40=""), "", TEXTJOIN("; ", TRUE, IF(OR(TRIM(A40&amp;"")="", ISNUMBER(SEARCH("FALTA", A40))), "UPC faltante/inválido", ""), IF(AND(A40&lt;&gt;"", IFERROR(_xlfn.XMATCH(A40,$A$2:$A$2509,0,1)&lt;&gt;_xlfn.XMATCH(A40,$A$2:$A$2509,0,-1),FALSE)), "Código de barras duplicado", ""), IF(AND(E40&lt;&gt;"", COUNTIF($E$2:$E$2509, E40)&gt;1), "SKU duplicado", ""), IF(OR(J40="", J40=""), "[Aviso] División no capturada ()", IF(ISNA(MATCH(J40, Criterios!$A$123:$A$126, 0)), "División no válida", "")), IF(OR(K40="", K40=""), "[Aviso] Categoría no capturada ()", IF(ISNA(MATCH(K40, Criterios!$A$81:$A$120, 0)), "Categoría no válida", IF(AND(J40&lt;&gt;"", J40&lt;&gt;"", J40&lt;&gt;VLOOKUP(K40, Criterios!$A$81:$B$120, 2, FALSE)), "División no coincide con Categoría", ""))), IF(OR(L40="", L40=""), "[Aviso] Género no capturado ()", IF(ISNA(MATCH(L40, Criterios!$B$123:$B$127, 0)), "Género no válido", "")), IF(OR(N40="", N40=""), "[Aviso] Temporada no capturada ()", IF(ISNA(MATCH(N40, Criterios!$C$123:$C$128, 0)), "Temporada no válida", "")), IF(OR(O40="", O40=""), "[Aviso] Ciclo de vida no capturado ()", IF(ISNA(MATCH(O40, Criterios!$D$123:$D$124, 0)), "Ciclo de vida no válido", ""))))</f>
        <v/>
      </c>
      <c r="AC40" s="56" t="n"/>
      <c r="AD40" s="51" t="n">
        <v>-1</v>
      </c>
      <c r="AE40" s="156" t="n"/>
      <c r="AF40" s="51" t="n">
        <v>0</v>
      </c>
      <c r="AG40" s="156" t="inlineStr">
        <is>
          <t>Catálogo existente</t>
        </is>
      </c>
      <c r="AH40" s="156" t="inlineStr">
        <is>
          <t>Stock negativo en sistema: revisar en conteo | Revisión 29/09/2026: Campos sin respaldo: U, X; Auditoría NetSuite 30/09/2026: llenado desde NetSuite [S] | 01/10/2026: complementado desde Shopify Stetson México (match por código de barras): WB Silueta</t>
        </is>
      </c>
      <c r="AI40" s="156" t="inlineStr">
        <is>
          <t>Sí</t>
        </is>
      </c>
      <c r="AJ40" s="156" t="inlineStr">
        <is>
          <t>STETSON AMERICAS (-1)</t>
        </is>
      </c>
      <c r="AK40" s="155" t="inlineStr">
        <is>
          <t>Criterios: J [R]; G1522_Extraccion_Articulos_NetSuite_2026-09-30.xlsx: fila 58331 [S] | Shopify Stetson: producto 15051553571179 / variante 53344967033195</t>
        </is>
      </c>
      <c r="AL40" s="58" t="n">
        <v>775.862069</v>
      </c>
      <c r="AM40" s="58" t="n">
        <v>1724.137931</v>
      </c>
      <c r="AN40" s="155" t="inlineStr">
        <is>
          <t>Shopify Stetson México</t>
        </is>
      </c>
      <c r="AO40" s="59" t="n">
        <v>1</v>
      </c>
      <c r="AP40" s="59" t="n"/>
      <c r="AQ40" s="59" t="n"/>
      <c r="AR40" s="155" t="inlineStr">
        <is>
          <t>Shopify Stetson México › Stetson Americas: 1</t>
        </is>
      </c>
    </row>
    <row r="41">
      <c r="A41" s="50" t="inlineStr">
        <is>
          <t>052356467228</t>
        </is>
      </c>
      <c r="B41" s="51" t="inlineStr">
        <is>
          <t>110517</t>
        </is>
      </c>
      <c r="C41" s="156" t="inlineStr">
        <is>
          <t>Multimarca</t>
        </is>
      </c>
      <c r="D41" s="156" t="inlineStr">
        <is>
          <t>11-001-0476-0802</t>
        </is>
      </c>
      <c r="E41" s="156" t="inlineStr">
        <is>
          <t>11-001-0476-0802-XXL</t>
        </is>
      </c>
      <c r="F41" s="156" t="inlineStr">
        <is>
          <t>XXL</t>
        </is>
      </c>
      <c r="G41" s="156" t="inlineStr">
        <is>
          <t>XXL</t>
        </is>
      </c>
      <c r="H41" s="156" t="inlineStr">
        <is>
          <t>Stetson</t>
        </is>
      </c>
      <c r="I41" s="156" t="inlineStr">
        <is>
          <t>Camisa Rayas Candy Azul Pervinca</t>
        </is>
      </c>
      <c r="J41" s="156" t="inlineStr">
        <is>
          <t>Ropa</t>
        </is>
      </c>
      <c r="K41" s="156" t="inlineStr">
        <is>
          <t>Camisas</t>
        </is>
      </c>
      <c r="L41" s="156" t="inlineStr">
        <is>
          <t>Hombre</t>
        </is>
      </c>
      <c r="M41" s="156" t="inlineStr">
        <is>
          <t>Stetson</t>
        </is>
      </c>
      <c r="N41" s="156" t="inlineStr">
        <is>
          <t>SS26</t>
        </is>
      </c>
      <c r="O41" s="156" t="inlineStr">
        <is>
          <t>Seasonal</t>
        </is>
      </c>
      <c r="P41" s="156" t="inlineStr">
        <is>
          <t>Azul</t>
        </is>
      </c>
      <c r="Q41" s="156" t="inlineStr">
        <is>
          <t>Regular</t>
        </is>
      </c>
      <c r="R41" s="156" t="n"/>
      <c r="S41" s="156" t="inlineStr">
        <is>
          <t>100% Algodón</t>
        </is>
      </c>
      <c r="T41" s="156" t="inlineStr">
        <is>
          <t>Camisa Rayas Candy Azul Pervinca Regular</t>
        </is>
      </c>
      <c r="U41" s="156" t="n"/>
      <c r="V41" s="156" t="inlineStr">
        <is>
          <t>PZS</t>
        </is>
      </c>
      <c r="W41" s="51" t="inlineStr">
        <is>
          <t>53101602</t>
        </is>
      </c>
      <c r="X41" s="156" t="n"/>
      <c r="Y41" s="54" t="n">
        <v>775.862069</v>
      </c>
      <c r="Z41" s="54" t="n">
        <v>1724.137931</v>
      </c>
      <c r="AA41" s="55">
        <f>IF(AND(A41="", B41="", E41=""), "", IF(AB41="", "Válido", IF((LEN(AB41)-LEN(SUBSTITUTE(AB41,"; ","")))/2+1&gt;(LEN(AB41)-LEN(SUBSTITUTE(AB41,"[Aviso]","")))/7, "Con Incidencias", "Válido")))</f>
        <v/>
      </c>
      <c r="AB41" s="56">
        <f>IF(AND(A41="", B41="", E41=""), "", TEXTJOIN("; ", TRUE, IF(OR(TRIM(A41&amp;"")="", ISNUMBER(SEARCH("FALTA", A41))), "UPC faltante/inválido", ""), IF(AND(A41&lt;&gt;"", IFERROR(_xlfn.XMATCH(A41,$A$2:$A$2509,0,1)&lt;&gt;_xlfn.XMATCH(A41,$A$2:$A$2509,0,-1),FALSE)), "Código de barras duplicado", ""), IF(AND(E41&lt;&gt;"", COUNTIF($E$2:$E$2509, E41)&gt;1), "SKU duplicado", ""), IF(OR(J41="", J41=""), "[Aviso] División no capturada ()", IF(ISNA(MATCH(J41, Criterios!$A$123:$A$126, 0)), "División no válida", "")), IF(OR(K41="", K41=""), "[Aviso] Categoría no capturada ()", IF(ISNA(MATCH(K41, Criterios!$A$81:$A$120, 0)), "Categoría no válida", IF(AND(J41&lt;&gt;"", J41&lt;&gt;"", J41&lt;&gt;VLOOKUP(K41, Criterios!$A$81:$B$120, 2, FALSE)), "División no coincide con Categoría", ""))), IF(OR(L41="", L41=""), "[Aviso] Género no capturado ()", IF(ISNA(MATCH(L41, Criterios!$B$123:$B$127, 0)), "Género no válido", "")), IF(OR(N41="", N41=""), "[Aviso] Temporada no capturada ()", IF(ISNA(MATCH(N41, Criterios!$C$123:$C$128, 0)), "Temporada no válida", "")), IF(OR(O41="", O41=""), "[Aviso] Ciclo de vida no capturado ()", IF(ISNA(MATCH(O41, Criterios!$D$123:$D$124, 0)), "Ciclo de vida no válido", ""))))</f>
        <v/>
      </c>
      <c r="AC41" s="56" t="n"/>
      <c r="AD41" s="51" t="n">
        <v>0</v>
      </c>
      <c r="AE41" s="156" t="n"/>
      <c r="AF41" s="51" t="n">
        <v>0</v>
      </c>
      <c r="AG41" s="156" t="inlineStr">
        <is>
          <t>Catálogo existente</t>
        </is>
      </c>
      <c r="AH41" s="156" t="inlineStr">
        <is>
          <t>Revisión 29/09/2026: Campos sin respaldo: U, X; Auditoría NetSuite 30/09/2026: llenado desde NetSuite [S] | 01/10/2026: complementado desde Shopify Stetson México (match por código de barras): WB Silueta</t>
        </is>
      </c>
      <c r="AI41" s="156" t="inlineStr">
        <is>
          <t>No</t>
        </is>
      </c>
      <c r="AJ41" s="156" t="n"/>
      <c r="AK41" s="155" t="inlineStr">
        <is>
          <t>Criterios: J [R]; G1522_Extraccion_Articulos_NetSuite_2026-09-30.xlsx: fila 58332 [S] | Shopify Stetson: producto 15051553571179 / variante 53344967065963</t>
        </is>
      </c>
      <c r="AL41" s="58" t="n">
        <v>775.862069</v>
      </c>
      <c r="AM41" s="58" t="n">
        <v>1724.137931</v>
      </c>
      <c r="AN41" s="155" t="inlineStr">
        <is>
          <t>Shopify Stetson México</t>
        </is>
      </c>
      <c r="AO41" s="59" t="n">
        <v>1</v>
      </c>
      <c r="AP41" s="59" t="n"/>
      <c r="AQ41" s="59" t="n"/>
      <c r="AR41" s="155" t="inlineStr">
        <is>
          <t>Shopify Stetson México › Stetson Americas: 1</t>
        </is>
      </c>
    </row>
    <row r="42">
      <c r="A42" s="50" t="inlineStr">
        <is>
          <t>052356524679</t>
        </is>
      </c>
      <c r="B42" s="51" t="inlineStr">
        <is>
          <t>110631</t>
        </is>
      </c>
      <c r="C42" s="156" t="inlineStr">
        <is>
          <t>Multimarca</t>
        </is>
      </c>
      <c r="D42" s="156" t="inlineStr">
        <is>
          <t>11-004-1312-4070</t>
        </is>
      </c>
      <c r="E42" s="156" t="inlineStr">
        <is>
          <t>11-004-1312-4070-28 32</t>
        </is>
      </c>
      <c r="F42" s="156" t="inlineStr">
        <is>
          <t>28 x 32</t>
        </is>
      </c>
      <c r="G42" s="156" t="inlineStr">
        <is>
          <t>28W / 32L</t>
        </is>
      </c>
      <c r="H42" s="156" t="inlineStr">
        <is>
          <t>Stetson</t>
        </is>
      </c>
      <c r="I42" s="156" t="inlineStr">
        <is>
          <t>Jean Bolsa Trasera Piezada</t>
        </is>
      </c>
      <c r="J42" s="156" t="inlineStr">
        <is>
          <t>Denim</t>
        </is>
      </c>
      <c r="K42" s="156" t="inlineStr">
        <is>
          <t>Jeans</t>
        </is>
      </c>
      <c r="L42" s="156" t="inlineStr">
        <is>
          <t>Hombre</t>
        </is>
      </c>
      <c r="M42" s="156" t="inlineStr">
        <is>
          <t>Stetson</t>
        </is>
      </c>
      <c r="N42" s="156" t="inlineStr">
        <is>
          <t>SS26</t>
        </is>
      </c>
      <c r="O42" s="156" t="inlineStr">
        <is>
          <t>Seasonal</t>
        </is>
      </c>
      <c r="P42" s="156" t="inlineStr">
        <is>
          <t>Azul</t>
        </is>
      </c>
      <c r="Q42" s="156" t="inlineStr">
        <is>
          <t>Relajado</t>
        </is>
      </c>
      <c r="R42" s="156" t="inlineStr">
        <is>
          <t>Recto</t>
        </is>
      </c>
      <c r="S42" s="156" t="inlineStr">
        <is>
          <t>100% Algodón</t>
        </is>
      </c>
      <c r="T42" s="156" t="inlineStr">
        <is>
          <t>Jean Bolsa Trasera Piezada Relajado</t>
        </is>
      </c>
      <c r="U42" s="156" t="n"/>
      <c r="V42" s="156" t="inlineStr">
        <is>
          <t>PZS</t>
        </is>
      </c>
      <c r="W42" s="51" t="inlineStr">
        <is>
          <t>53101502</t>
        </is>
      </c>
      <c r="X42" s="156" t="n"/>
      <c r="Y42" s="54" t="n">
        <v>775.862069</v>
      </c>
      <c r="Z42" s="54" t="n">
        <v>1724.137931</v>
      </c>
      <c r="AA42" s="55">
        <f>IF(AND(A42="", B42="", E42=""), "", IF(AB42="", "Válido", IF((LEN(AB42)-LEN(SUBSTITUTE(AB42,"; ","")))/2+1&gt;(LEN(AB42)-LEN(SUBSTITUTE(AB42,"[Aviso]","")))/7, "Con Incidencias", "Válido")))</f>
        <v/>
      </c>
      <c r="AB42" s="56">
        <f>IF(AND(A42="", B42="", E42=""), "", TEXTJOIN("; ", TRUE, IF(OR(TRIM(A42&amp;"")="", ISNUMBER(SEARCH("FALTA", A42))), "UPC faltante/inválido", ""), IF(AND(A42&lt;&gt;"", IFERROR(_xlfn.XMATCH(A42,$A$2:$A$2509,0,1)&lt;&gt;_xlfn.XMATCH(A42,$A$2:$A$2509,0,-1),FALSE)), "Código de barras duplicado", ""), IF(AND(E42&lt;&gt;"", COUNTIF($E$2:$E$2509, E42)&gt;1), "SKU duplicado", ""), IF(OR(J42="", J42=""), "[Aviso] División no capturada ()", IF(ISNA(MATCH(J42, Criterios!$A$123:$A$126, 0)), "División no válida", "")), IF(OR(K42="", K42=""), "[Aviso] Categoría no capturada ()", IF(ISNA(MATCH(K42, Criterios!$A$81:$A$120, 0)), "Categoría no válida", IF(AND(J42&lt;&gt;"", J42&lt;&gt;"", J42&lt;&gt;VLOOKUP(K42, Criterios!$A$81:$B$120, 2, FALSE)), "División no coincide con Categoría", ""))), IF(OR(L42="", L42=""), "[Aviso] Género no capturado ()", IF(ISNA(MATCH(L42, Criterios!$B$123:$B$127, 0)), "Género no válido", "")), IF(OR(N42="", N42=""), "[Aviso] Temporada no capturada ()", IF(ISNA(MATCH(N42, Criterios!$C$123:$C$128, 0)), "Temporada no válida", "")), IF(OR(O42="", O42=""), "[Aviso] Ciclo de vida no capturado ()", IF(ISNA(MATCH(O42, Criterios!$D$123:$D$124, 0)), "Ciclo de vida no válido", ""))))</f>
        <v/>
      </c>
      <c r="AC42" s="56" t="n"/>
      <c r="AD42" s="51" t="n">
        <v>0</v>
      </c>
      <c r="AE42" s="156" t="n"/>
      <c r="AF42" s="51" t="n">
        <v>0</v>
      </c>
      <c r="AG42" s="156" t="inlineStr">
        <is>
          <t>Catálogo existente</t>
        </is>
      </c>
      <c r="AH42" s="156" t="n"/>
      <c r="AI42" s="156" t="inlineStr">
        <is>
          <t>No</t>
        </is>
      </c>
      <c r="AJ42" s="156" t="n"/>
      <c r="AK42" s="155" t="inlineStr">
        <is>
          <t>Shopify Stetson: producto 15051554849131 / variante 53342128308587</t>
        </is>
      </c>
      <c r="AL42" s="58" t="n">
        <v>775.862069</v>
      </c>
      <c r="AM42" s="58" t="n">
        <v>1724.137931</v>
      </c>
      <c r="AN42" s="155" t="inlineStr">
        <is>
          <t>Shopify Stetson México</t>
        </is>
      </c>
      <c r="AO42" s="59" t="n">
        <v>2</v>
      </c>
      <c r="AP42" s="59" t="n"/>
      <c r="AQ42" s="59" t="n"/>
      <c r="AR42" s="155" t="inlineStr">
        <is>
          <t>Shopify Stetson México › Stetson Americas: 2</t>
        </is>
      </c>
    </row>
    <row r="43">
      <c r="A43" s="50" t="inlineStr">
        <is>
          <t>052356524730</t>
        </is>
      </c>
      <c r="B43" s="51" t="inlineStr">
        <is>
          <t>110632</t>
        </is>
      </c>
      <c r="C43" s="156" t="inlineStr">
        <is>
          <t>Multimarca</t>
        </is>
      </c>
      <c r="D43" s="156" t="inlineStr">
        <is>
          <t>11-004-1312-4070</t>
        </is>
      </c>
      <c r="E43" s="156" t="inlineStr">
        <is>
          <t>11-004-1312-4070-29 32</t>
        </is>
      </c>
      <c r="F43" s="156" t="inlineStr">
        <is>
          <t>29 x 32</t>
        </is>
      </c>
      <c r="G43" s="156" t="inlineStr">
        <is>
          <t>29W / 32L</t>
        </is>
      </c>
      <c r="H43" s="156" t="inlineStr">
        <is>
          <t>Stetson</t>
        </is>
      </c>
      <c r="I43" s="156" t="inlineStr">
        <is>
          <t>Jean Bolsa Trasera Piezada</t>
        </is>
      </c>
      <c r="J43" s="156" t="inlineStr">
        <is>
          <t>Denim</t>
        </is>
      </c>
      <c r="K43" s="156" t="inlineStr">
        <is>
          <t>Jeans</t>
        </is>
      </c>
      <c r="L43" s="156" t="inlineStr">
        <is>
          <t>Hombre</t>
        </is>
      </c>
      <c r="M43" s="156" t="inlineStr">
        <is>
          <t>Stetson</t>
        </is>
      </c>
      <c r="N43" s="156" t="inlineStr">
        <is>
          <t>SS26</t>
        </is>
      </c>
      <c r="O43" s="156" t="inlineStr">
        <is>
          <t>Seasonal</t>
        </is>
      </c>
      <c r="P43" s="156" t="inlineStr">
        <is>
          <t>Azul</t>
        </is>
      </c>
      <c r="Q43" s="156" t="inlineStr">
        <is>
          <t>Relajado</t>
        </is>
      </c>
      <c r="R43" s="156" t="inlineStr">
        <is>
          <t>Recto</t>
        </is>
      </c>
      <c r="S43" s="156" t="inlineStr">
        <is>
          <t>100% Algodón</t>
        </is>
      </c>
      <c r="T43" s="156" t="inlineStr">
        <is>
          <t>Jean Bolsa Trasera Piezada Relajado</t>
        </is>
      </c>
      <c r="U43" s="156" t="n"/>
      <c r="V43" s="156" t="inlineStr">
        <is>
          <t>PZS</t>
        </is>
      </c>
      <c r="W43" s="51" t="inlineStr">
        <is>
          <t>53101502</t>
        </is>
      </c>
      <c r="X43" s="156" t="n"/>
      <c r="Y43" s="54" t="n">
        <v>775.862069</v>
      </c>
      <c r="Z43" s="54" t="n">
        <v>1724.137931</v>
      </c>
      <c r="AA43" s="55">
        <f>IF(AND(A43="", B43="", E43=""), "", IF(AB43="", "Válido", IF((LEN(AB43)-LEN(SUBSTITUTE(AB43,"; ","")))/2+1&gt;(LEN(AB43)-LEN(SUBSTITUTE(AB43,"[Aviso]","")))/7, "Con Incidencias", "Válido")))</f>
        <v/>
      </c>
      <c r="AB43" s="56">
        <f>IF(AND(A43="", B43="", E43=""), "", TEXTJOIN("; ", TRUE, IF(OR(TRIM(A43&amp;"")="", ISNUMBER(SEARCH("FALTA", A43))), "UPC faltante/inválido", ""), IF(AND(A43&lt;&gt;"", IFERROR(_xlfn.XMATCH(A43,$A$2:$A$2509,0,1)&lt;&gt;_xlfn.XMATCH(A43,$A$2:$A$2509,0,-1),FALSE)), "Código de barras duplicado", ""), IF(AND(E43&lt;&gt;"", COUNTIF($E$2:$E$2509, E43)&gt;1), "SKU duplicado", ""), IF(OR(J43="", J43=""), "[Aviso] División no capturada ()", IF(ISNA(MATCH(J43, Criterios!$A$123:$A$126, 0)), "División no válida", "")), IF(OR(K43="", K43=""), "[Aviso] Categoría no capturada ()", IF(ISNA(MATCH(K43, Criterios!$A$81:$A$120, 0)), "Categoría no válida", IF(AND(J43&lt;&gt;"", J43&lt;&gt;"", J43&lt;&gt;VLOOKUP(K43, Criterios!$A$81:$B$120, 2, FALSE)), "División no coincide con Categoría", ""))), IF(OR(L43="", L43=""), "[Aviso] Género no capturado ()", IF(ISNA(MATCH(L43, Criterios!$B$123:$B$127, 0)), "Género no válido", "")), IF(OR(N43="", N43=""), "[Aviso] Temporada no capturada ()", IF(ISNA(MATCH(N43, Criterios!$C$123:$C$128, 0)), "Temporada no válida", "")), IF(OR(O43="", O43=""), "[Aviso] Ciclo de vida no capturado ()", IF(ISNA(MATCH(O43, Criterios!$D$123:$D$124, 0)), "Ciclo de vida no válido", ""))))</f>
        <v/>
      </c>
      <c r="AC43" s="56" t="n"/>
      <c r="AD43" s="51" t="n">
        <v>0</v>
      </c>
      <c r="AE43" s="156" t="n"/>
      <c r="AF43" s="51" t="n">
        <v>0</v>
      </c>
      <c r="AG43" s="156" t="inlineStr">
        <is>
          <t>Catálogo existente</t>
        </is>
      </c>
      <c r="AH43" s="156" t="n"/>
      <c r="AI43" s="156" t="inlineStr">
        <is>
          <t>No</t>
        </is>
      </c>
      <c r="AJ43" s="156" t="n"/>
      <c r="AK43" s="155" t="inlineStr">
        <is>
          <t>Shopify Stetson: producto 15051554849131 / variante 53342128341355</t>
        </is>
      </c>
      <c r="AL43" s="58" t="n">
        <v>775.862069</v>
      </c>
      <c r="AM43" s="58" t="n">
        <v>1724.137931</v>
      </c>
      <c r="AN43" s="155" t="inlineStr">
        <is>
          <t>Shopify Stetson México</t>
        </is>
      </c>
      <c r="AO43" s="59" t="n">
        <v>4</v>
      </c>
      <c r="AP43" s="59" t="n"/>
      <c r="AQ43" s="59" t="n"/>
      <c r="AR43" s="155" t="inlineStr">
        <is>
          <t>Shopify Stetson México › Stetson Americas: 4</t>
        </is>
      </c>
    </row>
    <row r="44">
      <c r="A44" s="50" t="inlineStr">
        <is>
          <t>052356524792</t>
        </is>
      </c>
      <c r="B44" s="51" t="inlineStr">
        <is>
          <t>110633</t>
        </is>
      </c>
      <c r="C44" s="156" t="inlineStr">
        <is>
          <t>Multimarca</t>
        </is>
      </c>
      <c r="D44" s="156" t="inlineStr">
        <is>
          <t>11-004-1312-4070</t>
        </is>
      </c>
      <c r="E44" s="156" t="inlineStr">
        <is>
          <t>11-004-1312-4070-30 32</t>
        </is>
      </c>
      <c r="F44" s="156" t="inlineStr">
        <is>
          <t>30 x 32</t>
        </is>
      </c>
      <c r="G44" s="156" t="inlineStr">
        <is>
          <t>30W / 32L</t>
        </is>
      </c>
      <c r="H44" s="156" t="inlineStr">
        <is>
          <t>Stetson</t>
        </is>
      </c>
      <c r="I44" s="156" t="inlineStr">
        <is>
          <t>Jean Bolsa Trasera Piezada</t>
        </is>
      </c>
      <c r="J44" s="156" t="inlineStr">
        <is>
          <t>Denim</t>
        </is>
      </c>
      <c r="K44" s="156" t="inlineStr">
        <is>
          <t>Jeans</t>
        </is>
      </c>
      <c r="L44" s="156" t="inlineStr">
        <is>
          <t>Hombre</t>
        </is>
      </c>
      <c r="M44" s="156" t="inlineStr">
        <is>
          <t>Stetson</t>
        </is>
      </c>
      <c r="N44" s="156" t="inlineStr">
        <is>
          <t>SS26</t>
        </is>
      </c>
      <c r="O44" s="156" t="inlineStr">
        <is>
          <t>Seasonal</t>
        </is>
      </c>
      <c r="P44" s="156" t="inlineStr">
        <is>
          <t>Azul</t>
        </is>
      </c>
      <c r="Q44" s="156" t="inlineStr">
        <is>
          <t>Relajado</t>
        </is>
      </c>
      <c r="R44" s="156" t="inlineStr">
        <is>
          <t>Recto</t>
        </is>
      </c>
      <c r="S44" s="156" t="inlineStr">
        <is>
          <t>100% Algodón</t>
        </is>
      </c>
      <c r="T44" s="156" t="inlineStr">
        <is>
          <t>Jean Bolsa Trasera Piezada Relajado</t>
        </is>
      </c>
      <c r="U44" s="156" t="n"/>
      <c r="V44" s="156" t="inlineStr">
        <is>
          <t>PZS</t>
        </is>
      </c>
      <c r="W44" s="51" t="inlineStr">
        <is>
          <t>53101502</t>
        </is>
      </c>
      <c r="X44" s="156" t="n"/>
      <c r="Y44" s="54" t="n">
        <v>775.862069</v>
      </c>
      <c r="Z44" s="54" t="n">
        <v>1724.137931</v>
      </c>
      <c r="AA44" s="55">
        <f>IF(AND(A44="", B44="", E44=""), "", IF(AB44="", "Válido", IF((LEN(AB44)-LEN(SUBSTITUTE(AB44,"; ","")))/2+1&gt;(LEN(AB44)-LEN(SUBSTITUTE(AB44,"[Aviso]","")))/7, "Con Incidencias", "Válido")))</f>
        <v/>
      </c>
      <c r="AB44" s="56">
        <f>IF(AND(A44="", B44="", E44=""), "", TEXTJOIN("; ", TRUE, IF(OR(TRIM(A44&amp;"")="", ISNUMBER(SEARCH("FALTA", A44))), "UPC faltante/inválido", ""), IF(AND(A44&lt;&gt;"", IFERROR(_xlfn.XMATCH(A44,$A$2:$A$2509,0,1)&lt;&gt;_xlfn.XMATCH(A44,$A$2:$A$2509,0,-1),FALSE)), "Código de barras duplicado", ""), IF(AND(E44&lt;&gt;"", COUNTIF($E$2:$E$2509, E44)&gt;1), "SKU duplicado", ""), IF(OR(J44="", J44=""), "[Aviso] División no capturada ()", IF(ISNA(MATCH(J44, Criterios!$A$123:$A$126, 0)), "División no válida", "")), IF(OR(K44="", K44=""), "[Aviso] Categoría no capturada ()", IF(ISNA(MATCH(K44, Criterios!$A$81:$A$120, 0)), "Categoría no válida", IF(AND(J44&lt;&gt;"", J44&lt;&gt;"", J44&lt;&gt;VLOOKUP(K44, Criterios!$A$81:$B$120, 2, FALSE)), "División no coincide con Categoría", ""))), IF(OR(L44="", L44=""), "[Aviso] Género no capturado ()", IF(ISNA(MATCH(L44, Criterios!$B$123:$B$127, 0)), "Género no válido", "")), IF(OR(N44="", N44=""), "[Aviso] Temporada no capturada ()", IF(ISNA(MATCH(N44, Criterios!$C$123:$C$128, 0)), "Temporada no válida", "")), IF(OR(O44="", O44=""), "[Aviso] Ciclo de vida no capturado ()", IF(ISNA(MATCH(O44, Criterios!$D$123:$D$124, 0)), "Ciclo de vida no válido", ""))))</f>
        <v/>
      </c>
      <c r="AC44" s="56" t="n"/>
      <c r="AD44" s="51" t="n">
        <v>0</v>
      </c>
      <c r="AE44" s="156" t="n"/>
      <c r="AF44" s="51" t="n">
        <v>0</v>
      </c>
      <c r="AG44" s="156" t="inlineStr">
        <is>
          <t>Catálogo existente</t>
        </is>
      </c>
      <c r="AH44" s="156" t="n"/>
      <c r="AI44" s="156" t="inlineStr">
        <is>
          <t>No</t>
        </is>
      </c>
      <c r="AJ44" s="156" t="n"/>
      <c r="AK44" s="155" t="inlineStr">
        <is>
          <t>Shopify Stetson: producto 15051554849131 / variante 53342128374123</t>
        </is>
      </c>
      <c r="AL44" s="58" t="n">
        <v>775.862069</v>
      </c>
      <c r="AM44" s="58" t="n">
        <v>1724.137931</v>
      </c>
      <c r="AN44" s="155" t="inlineStr">
        <is>
          <t>Shopify Stetson México</t>
        </is>
      </c>
      <c r="AO44" s="59" t="n">
        <v>4</v>
      </c>
      <c r="AP44" s="59" t="n"/>
      <c r="AQ44" s="59" t="n"/>
      <c r="AR44" s="155" t="inlineStr">
        <is>
          <t>Shopify Stetson México › Stetson Americas: 4</t>
        </is>
      </c>
    </row>
    <row r="45">
      <c r="A45" s="50" t="inlineStr">
        <is>
          <t>052356524853</t>
        </is>
      </c>
      <c r="B45" s="51" t="inlineStr">
        <is>
          <t>110634</t>
        </is>
      </c>
      <c r="C45" s="156" t="inlineStr">
        <is>
          <t>Multimarca</t>
        </is>
      </c>
      <c r="D45" s="156" t="inlineStr">
        <is>
          <t>11-004-1312-4070</t>
        </is>
      </c>
      <c r="E45" s="156" t="inlineStr">
        <is>
          <t>11-004-1312-4070-31 32</t>
        </is>
      </c>
      <c r="F45" s="156" t="inlineStr">
        <is>
          <t>31 x 32</t>
        </is>
      </c>
      <c r="G45" s="156" t="inlineStr">
        <is>
          <t>31W / 32L</t>
        </is>
      </c>
      <c r="H45" s="156" t="inlineStr">
        <is>
          <t>Stetson</t>
        </is>
      </c>
      <c r="I45" s="156" t="inlineStr">
        <is>
          <t>Jean Bolsa Trasera Piezada</t>
        </is>
      </c>
      <c r="J45" s="156" t="inlineStr">
        <is>
          <t>Denim</t>
        </is>
      </c>
      <c r="K45" s="156" t="inlineStr">
        <is>
          <t>Jeans</t>
        </is>
      </c>
      <c r="L45" s="156" t="inlineStr">
        <is>
          <t>Hombre</t>
        </is>
      </c>
      <c r="M45" s="156" t="inlineStr">
        <is>
          <t>Stetson</t>
        </is>
      </c>
      <c r="N45" s="156" t="inlineStr">
        <is>
          <t>SS26</t>
        </is>
      </c>
      <c r="O45" s="156" t="inlineStr">
        <is>
          <t>Seasonal</t>
        </is>
      </c>
      <c r="P45" s="156" t="inlineStr">
        <is>
          <t>Azul</t>
        </is>
      </c>
      <c r="Q45" s="156" t="inlineStr">
        <is>
          <t>Relajado</t>
        </is>
      </c>
      <c r="R45" s="156" t="inlineStr">
        <is>
          <t>Recto</t>
        </is>
      </c>
      <c r="S45" s="156" t="inlineStr">
        <is>
          <t>100% Algodón</t>
        </is>
      </c>
      <c r="T45" s="156" t="inlineStr">
        <is>
          <t>Jean Bolsa Trasera Piezada Relajado</t>
        </is>
      </c>
      <c r="U45" s="156" t="n"/>
      <c r="V45" s="156" t="inlineStr">
        <is>
          <t>PZS</t>
        </is>
      </c>
      <c r="W45" s="51" t="inlineStr">
        <is>
          <t>53101502</t>
        </is>
      </c>
      <c r="X45" s="156" t="n"/>
      <c r="Y45" s="54" t="n">
        <v>775.862069</v>
      </c>
      <c r="Z45" s="54" t="n">
        <v>1724.137931</v>
      </c>
      <c r="AA45" s="55">
        <f>IF(AND(A45="", B45="", E45=""), "", IF(AB45="", "Válido", IF((LEN(AB45)-LEN(SUBSTITUTE(AB45,"; ","")))/2+1&gt;(LEN(AB45)-LEN(SUBSTITUTE(AB45,"[Aviso]","")))/7, "Con Incidencias", "Válido")))</f>
        <v/>
      </c>
      <c r="AB45" s="56">
        <f>IF(AND(A45="", B45="", E45=""), "", TEXTJOIN("; ", TRUE, IF(OR(TRIM(A45&amp;"")="", ISNUMBER(SEARCH("FALTA", A45))), "UPC faltante/inválido", ""), IF(AND(A45&lt;&gt;"", IFERROR(_xlfn.XMATCH(A45,$A$2:$A$2509,0,1)&lt;&gt;_xlfn.XMATCH(A45,$A$2:$A$2509,0,-1),FALSE)), "Código de barras duplicado", ""), IF(AND(E45&lt;&gt;"", COUNTIF($E$2:$E$2509, E45)&gt;1), "SKU duplicado", ""), IF(OR(J45="", J45=""), "[Aviso] División no capturada ()", IF(ISNA(MATCH(J45, Criterios!$A$123:$A$126, 0)), "División no válida", "")), IF(OR(K45="", K45=""), "[Aviso] Categoría no capturada ()", IF(ISNA(MATCH(K45, Criterios!$A$81:$A$120, 0)), "Categoría no válida", IF(AND(J45&lt;&gt;"", J45&lt;&gt;"", J45&lt;&gt;VLOOKUP(K45, Criterios!$A$81:$B$120, 2, FALSE)), "División no coincide con Categoría", ""))), IF(OR(L45="", L45=""), "[Aviso] Género no capturado ()", IF(ISNA(MATCH(L45, Criterios!$B$123:$B$127, 0)), "Género no válido", "")), IF(OR(N45="", N45=""), "[Aviso] Temporada no capturada ()", IF(ISNA(MATCH(N45, Criterios!$C$123:$C$128, 0)), "Temporada no válida", "")), IF(OR(O45="", O45=""), "[Aviso] Ciclo de vida no capturado ()", IF(ISNA(MATCH(O45, Criterios!$D$123:$D$124, 0)), "Ciclo de vida no válido", ""))))</f>
        <v/>
      </c>
      <c r="AC45" s="56" t="n"/>
      <c r="AD45" s="51" t="n">
        <v>0</v>
      </c>
      <c r="AE45" s="156" t="n"/>
      <c r="AF45" s="51" t="n">
        <v>0</v>
      </c>
      <c r="AG45" s="156" t="inlineStr">
        <is>
          <t>Catálogo existente</t>
        </is>
      </c>
      <c r="AH45" s="156" t="n"/>
      <c r="AI45" s="156" t="inlineStr">
        <is>
          <t>No</t>
        </is>
      </c>
      <c r="AJ45" s="156" t="n"/>
      <c r="AK45" s="155" t="inlineStr">
        <is>
          <t>Shopify Stetson: producto 15051554849131 / variante 53342128406891</t>
        </is>
      </c>
      <c r="AL45" s="58" t="n">
        <v>775.862069</v>
      </c>
      <c r="AM45" s="58" t="n">
        <v>1724.137931</v>
      </c>
      <c r="AN45" s="155" t="inlineStr">
        <is>
          <t>Shopify Stetson México</t>
        </is>
      </c>
      <c r="AO45" s="59" t="n">
        <v>6</v>
      </c>
      <c r="AP45" s="59" t="n"/>
      <c r="AQ45" s="59" t="n"/>
      <c r="AR45" s="155" t="inlineStr">
        <is>
          <t>Shopify Stetson México › Stetson Americas: 6</t>
        </is>
      </c>
    </row>
    <row r="46">
      <c r="A46" s="50" t="inlineStr">
        <is>
          <t>052356524914</t>
        </is>
      </c>
      <c r="B46" s="51" t="inlineStr">
        <is>
          <t>110635</t>
        </is>
      </c>
      <c r="C46" s="156" t="inlineStr">
        <is>
          <t>Multimarca</t>
        </is>
      </c>
      <c r="D46" s="156" t="inlineStr">
        <is>
          <t>11-004-1312-4070</t>
        </is>
      </c>
      <c r="E46" s="156" t="inlineStr">
        <is>
          <t>11-004-1312-4070-32 32</t>
        </is>
      </c>
      <c r="F46" s="156" t="inlineStr">
        <is>
          <t>32 x 32</t>
        </is>
      </c>
      <c r="G46" s="156" t="inlineStr">
        <is>
          <t>32W / 32L</t>
        </is>
      </c>
      <c r="H46" s="156" t="inlineStr">
        <is>
          <t>Stetson</t>
        </is>
      </c>
      <c r="I46" s="156" t="inlineStr">
        <is>
          <t>Jean Bolsa Trasera Piezada</t>
        </is>
      </c>
      <c r="J46" s="156" t="inlineStr">
        <is>
          <t>Denim</t>
        </is>
      </c>
      <c r="K46" s="156" t="inlineStr">
        <is>
          <t>Jeans</t>
        </is>
      </c>
      <c r="L46" s="156" t="inlineStr">
        <is>
          <t>Hombre</t>
        </is>
      </c>
      <c r="M46" s="156" t="inlineStr">
        <is>
          <t>Stetson</t>
        </is>
      </c>
      <c r="N46" s="156" t="inlineStr">
        <is>
          <t>SS26</t>
        </is>
      </c>
      <c r="O46" s="156" t="inlineStr">
        <is>
          <t>Seasonal</t>
        </is>
      </c>
      <c r="P46" s="156" t="inlineStr">
        <is>
          <t>Azul</t>
        </is>
      </c>
      <c r="Q46" s="156" t="inlineStr">
        <is>
          <t>Relajado</t>
        </is>
      </c>
      <c r="R46" s="156" t="inlineStr">
        <is>
          <t>Recto</t>
        </is>
      </c>
      <c r="S46" s="156" t="inlineStr">
        <is>
          <t>100% Algodón</t>
        </is>
      </c>
      <c r="T46" s="156" t="inlineStr">
        <is>
          <t>Jean Bolsa Trasera Piezada Relajado</t>
        </is>
      </c>
      <c r="U46" s="156" t="n"/>
      <c r="V46" s="156" t="inlineStr">
        <is>
          <t>PZS</t>
        </is>
      </c>
      <c r="W46" s="51" t="inlineStr">
        <is>
          <t>53101502</t>
        </is>
      </c>
      <c r="X46" s="156" t="n"/>
      <c r="Y46" s="54" t="n">
        <v>775.862069</v>
      </c>
      <c r="Z46" s="54" t="n">
        <v>1724.137931</v>
      </c>
      <c r="AA46" s="55">
        <f>IF(AND(A46="", B46="", E46=""), "", IF(AB46="", "Válido", IF((LEN(AB46)-LEN(SUBSTITUTE(AB46,"; ","")))/2+1&gt;(LEN(AB46)-LEN(SUBSTITUTE(AB46,"[Aviso]","")))/7, "Con Incidencias", "Válido")))</f>
        <v/>
      </c>
      <c r="AB46" s="56">
        <f>IF(AND(A46="", B46="", E46=""), "", TEXTJOIN("; ", TRUE, IF(OR(TRIM(A46&amp;"")="", ISNUMBER(SEARCH("FALTA", A46))), "UPC faltante/inválido", ""), IF(AND(A46&lt;&gt;"", IFERROR(_xlfn.XMATCH(A46,$A$2:$A$2509,0,1)&lt;&gt;_xlfn.XMATCH(A46,$A$2:$A$2509,0,-1),FALSE)), "Código de barras duplicado", ""), IF(AND(E46&lt;&gt;"", COUNTIF($E$2:$E$2509, E46)&gt;1), "SKU duplicado", ""), IF(OR(J46="", J46=""), "[Aviso] División no capturada ()", IF(ISNA(MATCH(J46, Criterios!$A$123:$A$126, 0)), "División no válida", "")), IF(OR(K46="", K46=""), "[Aviso] Categoría no capturada ()", IF(ISNA(MATCH(K46, Criterios!$A$81:$A$120, 0)), "Categoría no válida", IF(AND(J46&lt;&gt;"", J46&lt;&gt;"", J46&lt;&gt;VLOOKUP(K46, Criterios!$A$81:$B$120, 2, FALSE)), "División no coincide con Categoría", ""))), IF(OR(L46="", L46=""), "[Aviso] Género no capturado ()", IF(ISNA(MATCH(L46, Criterios!$B$123:$B$127, 0)), "Género no válido", "")), IF(OR(N46="", N46=""), "[Aviso] Temporada no capturada ()", IF(ISNA(MATCH(N46, Criterios!$C$123:$C$128, 0)), "Temporada no válida", "")), IF(OR(O46="", O46=""), "[Aviso] Ciclo de vida no capturado ()", IF(ISNA(MATCH(O46, Criterios!$D$123:$D$124, 0)), "Ciclo de vida no válido", ""))))</f>
        <v/>
      </c>
      <c r="AC46" s="56" t="n"/>
      <c r="AD46" s="51" t="n">
        <v>0</v>
      </c>
      <c r="AE46" s="156" t="n"/>
      <c r="AF46" s="51" t="n">
        <v>0</v>
      </c>
      <c r="AG46" s="156" t="inlineStr">
        <is>
          <t>Catálogo existente</t>
        </is>
      </c>
      <c r="AH46" s="156" t="n"/>
      <c r="AI46" s="156" t="inlineStr">
        <is>
          <t>No</t>
        </is>
      </c>
      <c r="AJ46" s="156" t="n"/>
      <c r="AK46" s="155" t="inlineStr">
        <is>
          <t>Shopify Stetson: producto 15051554849131 / variante 53342128439659</t>
        </is>
      </c>
      <c r="AL46" s="58" t="n">
        <v>775.862069</v>
      </c>
      <c r="AM46" s="58" t="n">
        <v>1724.137931</v>
      </c>
      <c r="AN46" s="155" t="inlineStr">
        <is>
          <t>Shopify Stetson México</t>
        </is>
      </c>
      <c r="AO46" s="59" t="n">
        <v>10</v>
      </c>
      <c r="AP46" s="59" t="n"/>
      <c r="AQ46" s="59" t="n"/>
      <c r="AR46" s="155" t="inlineStr">
        <is>
          <t>Shopify Stetson México › Stetson Americas: 10</t>
        </is>
      </c>
    </row>
    <row r="47">
      <c r="A47" s="50" t="inlineStr">
        <is>
          <t>052356524921</t>
        </is>
      </c>
      <c r="B47" s="51" t="inlineStr">
        <is>
          <t>110636</t>
        </is>
      </c>
      <c r="C47" s="156" t="inlineStr">
        <is>
          <t>Multimarca</t>
        </is>
      </c>
      <c r="D47" s="156" t="inlineStr">
        <is>
          <t>11-004-1312-4070</t>
        </is>
      </c>
      <c r="E47" s="156" t="inlineStr">
        <is>
          <t>11-004-1312-4070-32 34</t>
        </is>
      </c>
      <c r="F47" s="156" t="inlineStr">
        <is>
          <t>32 x 34</t>
        </is>
      </c>
      <c r="G47" s="156" t="inlineStr">
        <is>
          <t>32W / 34L</t>
        </is>
      </c>
      <c r="H47" s="156" t="inlineStr">
        <is>
          <t>Stetson</t>
        </is>
      </c>
      <c r="I47" s="156" t="inlineStr">
        <is>
          <t>Jean Bolsa Trasera Piezada</t>
        </is>
      </c>
      <c r="J47" s="156" t="inlineStr">
        <is>
          <t>Denim</t>
        </is>
      </c>
      <c r="K47" s="156" t="inlineStr">
        <is>
          <t>Jeans</t>
        </is>
      </c>
      <c r="L47" s="156" t="inlineStr">
        <is>
          <t>Hombre</t>
        </is>
      </c>
      <c r="M47" s="156" t="inlineStr">
        <is>
          <t>Stetson</t>
        </is>
      </c>
      <c r="N47" s="156" t="inlineStr">
        <is>
          <t>SS26</t>
        </is>
      </c>
      <c r="O47" s="156" t="inlineStr">
        <is>
          <t>Seasonal</t>
        </is>
      </c>
      <c r="P47" s="156" t="inlineStr">
        <is>
          <t>Azul</t>
        </is>
      </c>
      <c r="Q47" s="156" t="inlineStr">
        <is>
          <t>Relajado</t>
        </is>
      </c>
      <c r="R47" s="156" t="inlineStr">
        <is>
          <t>Recto</t>
        </is>
      </c>
      <c r="S47" s="156" t="inlineStr">
        <is>
          <t>100% Algodón</t>
        </is>
      </c>
      <c r="T47" s="156" t="inlineStr">
        <is>
          <t>Jean Bolsa Trasera Piezada Relajado</t>
        </is>
      </c>
      <c r="U47" s="156" t="n"/>
      <c r="V47" s="156" t="inlineStr">
        <is>
          <t>PZS</t>
        </is>
      </c>
      <c r="W47" s="51" t="inlineStr">
        <is>
          <t>53101502</t>
        </is>
      </c>
      <c r="X47" s="156" t="n"/>
      <c r="Y47" s="54" t="n">
        <v>775.862069</v>
      </c>
      <c r="Z47" s="54" t="n">
        <v>1724.137931</v>
      </c>
      <c r="AA47" s="55">
        <f>IF(AND(A47="", B47="", E47=""), "", IF(AB47="", "Válido", IF((LEN(AB47)-LEN(SUBSTITUTE(AB47,"; ","")))/2+1&gt;(LEN(AB47)-LEN(SUBSTITUTE(AB47,"[Aviso]","")))/7, "Con Incidencias", "Válido")))</f>
        <v/>
      </c>
      <c r="AB47" s="56">
        <f>IF(AND(A47="", B47="", E47=""), "", TEXTJOIN("; ", TRUE, IF(OR(TRIM(A47&amp;"")="", ISNUMBER(SEARCH("FALTA", A47))), "UPC faltante/inválido", ""), IF(AND(A47&lt;&gt;"", IFERROR(_xlfn.XMATCH(A47,$A$2:$A$2509,0,1)&lt;&gt;_xlfn.XMATCH(A47,$A$2:$A$2509,0,-1),FALSE)), "Código de barras duplicado", ""), IF(AND(E47&lt;&gt;"", COUNTIF($E$2:$E$2509, E47)&gt;1), "SKU duplicado", ""), IF(OR(J47="", J47=""), "[Aviso] División no capturada ()", IF(ISNA(MATCH(J47, Criterios!$A$123:$A$126, 0)), "División no válida", "")), IF(OR(K47="", K47=""), "[Aviso] Categoría no capturada ()", IF(ISNA(MATCH(K47, Criterios!$A$81:$A$120, 0)), "Categoría no válida", IF(AND(J47&lt;&gt;"", J47&lt;&gt;"", J47&lt;&gt;VLOOKUP(K47, Criterios!$A$81:$B$120, 2, FALSE)), "División no coincide con Categoría", ""))), IF(OR(L47="", L47=""), "[Aviso] Género no capturado ()", IF(ISNA(MATCH(L47, Criterios!$B$123:$B$127, 0)), "Género no válido", "")), IF(OR(N47="", N47=""), "[Aviso] Temporada no capturada ()", IF(ISNA(MATCH(N47, Criterios!$C$123:$C$128, 0)), "Temporada no válida", "")), IF(OR(O47="", O47=""), "[Aviso] Ciclo de vida no capturado ()", IF(ISNA(MATCH(O47, Criterios!$D$123:$D$124, 0)), "Ciclo de vida no válido", ""))))</f>
        <v/>
      </c>
      <c r="AC47" s="56" t="n"/>
      <c r="AD47" s="51" t="n">
        <v>0</v>
      </c>
      <c r="AE47" s="156" t="n"/>
      <c r="AF47" s="51" t="n">
        <v>0</v>
      </c>
      <c r="AG47" s="156" t="inlineStr">
        <is>
          <t>Catálogo existente</t>
        </is>
      </c>
      <c r="AH47" s="156" t="n"/>
      <c r="AI47" s="156" t="inlineStr">
        <is>
          <t>No</t>
        </is>
      </c>
      <c r="AJ47" s="156" t="n"/>
      <c r="AK47" s="155" t="inlineStr">
        <is>
          <t>Shopify Stetson: producto 15051554849131 / variante 53342128472427</t>
        </is>
      </c>
      <c r="AL47" s="58" t="n">
        <v>775.862069</v>
      </c>
      <c r="AM47" s="58" t="n">
        <v>1724.137931</v>
      </c>
      <c r="AN47" s="155" t="inlineStr">
        <is>
          <t>Shopify Stetson México</t>
        </is>
      </c>
      <c r="AO47" s="59" t="n">
        <v>6</v>
      </c>
      <c r="AP47" s="59" t="n"/>
      <c r="AQ47" s="59" t="n"/>
      <c r="AR47" s="155" t="inlineStr">
        <is>
          <t>Shopify Stetson México › Stetson Americas: 6</t>
        </is>
      </c>
    </row>
    <row r="48">
      <c r="A48" s="50" t="inlineStr">
        <is>
          <t>052356524976</t>
        </is>
      </c>
      <c r="B48" s="51" t="inlineStr">
        <is>
          <t>110637</t>
        </is>
      </c>
      <c r="C48" s="156" t="inlineStr">
        <is>
          <t>Multimarca</t>
        </is>
      </c>
      <c r="D48" s="156" t="inlineStr">
        <is>
          <t>11-004-1312-4070</t>
        </is>
      </c>
      <c r="E48" s="156" t="inlineStr">
        <is>
          <t>11-004-1312-4070-33 32</t>
        </is>
      </c>
      <c r="F48" s="156" t="inlineStr">
        <is>
          <t>33 x 32</t>
        </is>
      </c>
      <c r="G48" s="156" t="inlineStr">
        <is>
          <t>33W / 32L</t>
        </is>
      </c>
      <c r="H48" s="156" t="inlineStr">
        <is>
          <t>Stetson</t>
        </is>
      </c>
      <c r="I48" s="156" t="inlineStr">
        <is>
          <t>Jean Bolsa Trasera Piezada</t>
        </is>
      </c>
      <c r="J48" s="156" t="inlineStr">
        <is>
          <t>Denim</t>
        </is>
      </c>
      <c r="K48" s="156" t="inlineStr">
        <is>
          <t>Jeans</t>
        </is>
      </c>
      <c r="L48" s="156" t="inlineStr">
        <is>
          <t>Hombre</t>
        </is>
      </c>
      <c r="M48" s="156" t="inlineStr">
        <is>
          <t>Stetson</t>
        </is>
      </c>
      <c r="N48" s="156" t="inlineStr">
        <is>
          <t>SS26</t>
        </is>
      </c>
      <c r="O48" s="156" t="inlineStr">
        <is>
          <t>Seasonal</t>
        </is>
      </c>
      <c r="P48" s="156" t="inlineStr">
        <is>
          <t>Azul</t>
        </is>
      </c>
      <c r="Q48" s="156" t="inlineStr">
        <is>
          <t>Relajado</t>
        </is>
      </c>
      <c r="R48" s="156" t="inlineStr">
        <is>
          <t>Recto</t>
        </is>
      </c>
      <c r="S48" s="156" t="inlineStr">
        <is>
          <t>100% Algodón</t>
        </is>
      </c>
      <c r="T48" s="156" t="inlineStr">
        <is>
          <t>Jean Bolsa Trasera Piezada Relajado</t>
        </is>
      </c>
      <c r="U48" s="156" t="n"/>
      <c r="V48" s="156" t="inlineStr">
        <is>
          <t>PZS</t>
        </is>
      </c>
      <c r="W48" s="51" t="inlineStr">
        <is>
          <t>53101502</t>
        </is>
      </c>
      <c r="X48" s="156" t="n"/>
      <c r="Y48" s="54" t="n">
        <v>775.862069</v>
      </c>
      <c r="Z48" s="54" t="n">
        <v>1724.137931</v>
      </c>
      <c r="AA48" s="55">
        <f>IF(AND(A48="", B48="", E48=""), "", IF(AB48="", "Válido", IF((LEN(AB48)-LEN(SUBSTITUTE(AB48,"; ","")))/2+1&gt;(LEN(AB48)-LEN(SUBSTITUTE(AB48,"[Aviso]","")))/7, "Con Incidencias", "Válido")))</f>
        <v/>
      </c>
      <c r="AB48" s="56">
        <f>IF(AND(A48="", B48="", E48=""), "", TEXTJOIN("; ", TRUE, IF(OR(TRIM(A48&amp;"")="", ISNUMBER(SEARCH("FALTA", A48))), "UPC faltante/inválido", ""), IF(AND(A48&lt;&gt;"", IFERROR(_xlfn.XMATCH(A48,$A$2:$A$2509,0,1)&lt;&gt;_xlfn.XMATCH(A48,$A$2:$A$2509,0,-1),FALSE)), "Código de barras duplicado", ""), IF(AND(E48&lt;&gt;"", COUNTIF($E$2:$E$2509, E48)&gt;1), "SKU duplicado", ""), IF(OR(J48="", J48=""), "[Aviso] División no capturada ()", IF(ISNA(MATCH(J48, Criterios!$A$123:$A$126, 0)), "División no válida", "")), IF(OR(K48="", K48=""), "[Aviso] Categoría no capturada ()", IF(ISNA(MATCH(K48, Criterios!$A$81:$A$120, 0)), "Categoría no válida", IF(AND(J48&lt;&gt;"", J48&lt;&gt;"", J48&lt;&gt;VLOOKUP(K48, Criterios!$A$81:$B$120, 2, FALSE)), "División no coincide con Categoría", ""))), IF(OR(L48="", L48=""), "[Aviso] Género no capturado ()", IF(ISNA(MATCH(L48, Criterios!$B$123:$B$127, 0)), "Género no válido", "")), IF(OR(N48="", N48=""), "[Aviso] Temporada no capturada ()", IF(ISNA(MATCH(N48, Criterios!$C$123:$C$128, 0)), "Temporada no válida", "")), IF(OR(O48="", O48=""), "[Aviso] Ciclo de vida no capturado ()", IF(ISNA(MATCH(O48, Criterios!$D$123:$D$124, 0)), "Ciclo de vida no válido", ""))))</f>
        <v/>
      </c>
      <c r="AC48" s="56" t="n"/>
      <c r="AD48" s="51" t="n">
        <v>0</v>
      </c>
      <c r="AE48" s="156" t="n"/>
      <c r="AF48" s="51" t="n">
        <v>0</v>
      </c>
      <c r="AG48" s="156" t="inlineStr">
        <is>
          <t>Catálogo existente</t>
        </is>
      </c>
      <c r="AH48" s="156" t="n"/>
      <c r="AI48" s="156" t="inlineStr">
        <is>
          <t>No</t>
        </is>
      </c>
      <c r="AJ48" s="156" t="n"/>
      <c r="AK48" s="155" t="inlineStr">
        <is>
          <t>Shopify Stetson: producto 15051554849131 / variante 53342128505195</t>
        </is>
      </c>
      <c r="AL48" s="58" t="n">
        <v>775.862069</v>
      </c>
      <c r="AM48" s="58" t="n">
        <v>1724.137931</v>
      </c>
      <c r="AN48" s="155" t="inlineStr">
        <is>
          <t>Shopify Stetson México</t>
        </is>
      </c>
      <c r="AO48" s="59" t="n">
        <v>5</v>
      </c>
      <c r="AP48" s="59" t="n"/>
      <c r="AQ48" s="59" t="n"/>
      <c r="AR48" s="155" t="inlineStr">
        <is>
          <t>Shopify Stetson México › Stetson Americas: 5</t>
        </is>
      </c>
    </row>
    <row r="49">
      <c r="A49" s="50" t="inlineStr">
        <is>
          <t>052356525034</t>
        </is>
      </c>
      <c r="B49" s="51" t="inlineStr">
        <is>
          <t>110638</t>
        </is>
      </c>
      <c r="C49" s="156" t="inlineStr">
        <is>
          <t>Multimarca</t>
        </is>
      </c>
      <c r="D49" s="156" t="inlineStr">
        <is>
          <t>11-004-1312-4070</t>
        </is>
      </c>
      <c r="E49" s="156" t="inlineStr">
        <is>
          <t>11-004-1312-4070-34 32</t>
        </is>
      </c>
      <c r="F49" s="156" t="inlineStr">
        <is>
          <t>34 x 32</t>
        </is>
      </c>
      <c r="G49" s="156" t="inlineStr">
        <is>
          <t>34W / 32L</t>
        </is>
      </c>
      <c r="H49" s="156" t="inlineStr">
        <is>
          <t>Stetson</t>
        </is>
      </c>
      <c r="I49" s="156" t="inlineStr">
        <is>
          <t>Jean Bolsa Trasera Piezada</t>
        </is>
      </c>
      <c r="J49" s="156" t="inlineStr">
        <is>
          <t>Denim</t>
        </is>
      </c>
      <c r="K49" s="156" t="inlineStr">
        <is>
          <t>Jeans</t>
        </is>
      </c>
      <c r="L49" s="156" t="inlineStr">
        <is>
          <t>Hombre</t>
        </is>
      </c>
      <c r="M49" s="156" t="inlineStr">
        <is>
          <t>Stetson</t>
        </is>
      </c>
      <c r="N49" s="156" t="inlineStr">
        <is>
          <t>SS26</t>
        </is>
      </c>
      <c r="O49" s="156" t="inlineStr">
        <is>
          <t>Seasonal</t>
        </is>
      </c>
      <c r="P49" s="156" t="inlineStr">
        <is>
          <t>Azul</t>
        </is>
      </c>
      <c r="Q49" s="156" t="inlineStr">
        <is>
          <t>Relajado</t>
        </is>
      </c>
      <c r="R49" s="156" t="inlineStr">
        <is>
          <t>Recto</t>
        </is>
      </c>
      <c r="S49" s="156" t="inlineStr">
        <is>
          <t>100% Algodón</t>
        </is>
      </c>
      <c r="T49" s="156" t="inlineStr">
        <is>
          <t>Jean Bolsa Trasera Piezada Relajado</t>
        </is>
      </c>
      <c r="U49" s="156" t="n"/>
      <c r="V49" s="156" t="inlineStr">
        <is>
          <t>PZS</t>
        </is>
      </c>
      <c r="W49" s="51" t="inlineStr">
        <is>
          <t>53101502</t>
        </is>
      </c>
      <c r="X49" s="156" t="n"/>
      <c r="Y49" s="54" t="n">
        <v>775.862069</v>
      </c>
      <c r="Z49" s="54" t="n">
        <v>1724.137931</v>
      </c>
      <c r="AA49" s="55">
        <f>IF(AND(A49="", B49="", E49=""), "", IF(AB49="", "Válido", IF((LEN(AB49)-LEN(SUBSTITUTE(AB49,"; ","")))/2+1&gt;(LEN(AB49)-LEN(SUBSTITUTE(AB49,"[Aviso]","")))/7, "Con Incidencias", "Válido")))</f>
        <v/>
      </c>
      <c r="AB49" s="56">
        <f>IF(AND(A49="", B49="", E49=""), "", TEXTJOIN("; ", TRUE, IF(OR(TRIM(A49&amp;"")="", ISNUMBER(SEARCH("FALTA", A49))), "UPC faltante/inválido", ""), IF(AND(A49&lt;&gt;"", IFERROR(_xlfn.XMATCH(A49,$A$2:$A$2509,0,1)&lt;&gt;_xlfn.XMATCH(A49,$A$2:$A$2509,0,-1),FALSE)), "Código de barras duplicado", ""), IF(AND(E49&lt;&gt;"", COUNTIF($E$2:$E$2509, E49)&gt;1), "SKU duplicado", ""), IF(OR(J49="", J49=""), "[Aviso] División no capturada ()", IF(ISNA(MATCH(J49, Criterios!$A$123:$A$126, 0)), "División no válida", "")), IF(OR(K49="", K49=""), "[Aviso] Categoría no capturada ()", IF(ISNA(MATCH(K49, Criterios!$A$81:$A$120, 0)), "Categoría no válida", IF(AND(J49&lt;&gt;"", J49&lt;&gt;"", J49&lt;&gt;VLOOKUP(K49, Criterios!$A$81:$B$120, 2, FALSE)), "División no coincide con Categoría", ""))), IF(OR(L49="", L49=""), "[Aviso] Género no capturado ()", IF(ISNA(MATCH(L49, Criterios!$B$123:$B$127, 0)), "Género no válido", "")), IF(OR(N49="", N49=""), "[Aviso] Temporada no capturada ()", IF(ISNA(MATCH(N49, Criterios!$C$123:$C$128, 0)), "Temporada no válida", "")), IF(OR(O49="", O49=""), "[Aviso] Ciclo de vida no capturado ()", IF(ISNA(MATCH(O49, Criterios!$D$123:$D$124, 0)), "Ciclo de vida no válido", ""))))</f>
        <v/>
      </c>
      <c r="AC49" s="56" t="n"/>
      <c r="AD49" s="51" t="n">
        <v>0</v>
      </c>
      <c r="AE49" s="156" t="n"/>
      <c r="AF49" s="51" t="n">
        <v>0</v>
      </c>
      <c r="AG49" s="156" t="inlineStr">
        <is>
          <t>Catálogo existente</t>
        </is>
      </c>
      <c r="AH49" s="156" t="n"/>
      <c r="AI49" s="156" t="inlineStr">
        <is>
          <t>No</t>
        </is>
      </c>
      <c r="AJ49" s="156" t="n"/>
      <c r="AK49" s="155" t="inlineStr">
        <is>
          <t>Shopify Stetson: producto 15051554849131 / variante 53342128537963</t>
        </is>
      </c>
      <c r="AL49" s="58" t="n">
        <v>775.862069</v>
      </c>
      <c r="AM49" s="58" t="n">
        <v>1724.137931</v>
      </c>
      <c r="AN49" s="155" t="inlineStr">
        <is>
          <t>Shopify Stetson México</t>
        </is>
      </c>
      <c r="AO49" s="59" t="n">
        <v>3</v>
      </c>
      <c r="AP49" s="59" t="n"/>
      <c r="AQ49" s="59" t="n"/>
      <c r="AR49" s="155" t="inlineStr">
        <is>
          <t>Shopify Stetson México › Stetson Americas: 3</t>
        </is>
      </c>
    </row>
    <row r="50">
      <c r="A50" s="50" t="inlineStr">
        <is>
          <t>052356525041</t>
        </is>
      </c>
      <c r="B50" s="51" t="inlineStr">
        <is>
          <t>110639</t>
        </is>
      </c>
      <c r="C50" s="156" t="inlineStr">
        <is>
          <t>Multimarca</t>
        </is>
      </c>
      <c r="D50" s="156" t="inlineStr">
        <is>
          <t>11-004-1312-4070</t>
        </is>
      </c>
      <c r="E50" s="156" t="inlineStr">
        <is>
          <t>11-004-1312-4070-34 34</t>
        </is>
      </c>
      <c r="F50" s="156" t="inlineStr">
        <is>
          <t>34 x 34</t>
        </is>
      </c>
      <c r="G50" s="156" t="inlineStr">
        <is>
          <t>34W / 34L</t>
        </is>
      </c>
      <c r="H50" s="156" t="inlineStr">
        <is>
          <t>Stetson</t>
        </is>
      </c>
      <c r="I50" s="156" t="inlineStr">
        <is>
          <t>Jean Bolsa Trasera Piezada</t>
        </is>
      </c>
      <c r="J50" s="156" t="inlineStr">
        <is>
          <t>Denim</t>
        </is>
      </c>
      <c r="K50" s="156" t="inlineStr">
        <is>
          <t>Jeans</t>
        </is>
      </c>
      <c r="L50" s="156" t="inlineStr">
        <is>
          <t>Hombre</t>
        </is>
      </c>
      <c r="M50" s="156" t="inlineStr">
        <is>
          <t>Stetson</t>
        </is>
      </c>
      <c r="N50" s="156" t="inlineStr">
        <is>
          <t>SS26</t>
        </is>
      </c>
      <c r="O50" s="156" t="inlineStr">
        <is>
          <t>Seasonal</t>
        </is>
      </c>
      <c r="P50" s="156" t="inlineStr">
        <is>
          <t>Azul</t>
        </is>
      </c>
      <c r="Q50" s="156" t="inlineStr">
        <is>
          <t>Relajado</t>
        </is>
      </c>
      <c r="R50" s="156" t="inlineStr">
        <is>
          <t>Recto</t>
        </is>
      </c>
      <c r="S50" s="156" t="inlineStr">
        <is>
          <t>100% Algodón</t>
        </is>
      </c>
      <c r="T50" s="156" t="inlineStr">
        <is>
          <t>Jean Bolsa Trasera Piezada Relajado</t>
        </is>
      </c>
      <c r="U50" s="156" t="n"/>
      <c r="V50" s="156" t="inlineStr">
        <is>
          <t>PZS</t>
        </is>
      </c>
      <c r="W50" s="51" t="inlineStr">
        <is>
          <t>53101502</t>
        </is>
      </c>
      <c r="X50" s="156" t="n"/>
      <c r="Y50" s="54" t="n">
        <v>775.862069</v>
      </c>
      <c r="Z50" s="54" t="n">
        <v>1724.137931</v>
      </c>
      <c r="AA50" s="55">
        <f>IF(AND(A50="", B50="", E50=""), "", IF(AB50="", "Válido", IF((LEN(AB50)-LEN(SUBSTITUTE(AB50,"; ","")))/2+1&gt;(LEN(AB50)-LEN(SUBSTITUTE(AB50,"[Aviso]","")))/7, "Con Incidencias", "Válido")))</f>
        <v/>
      </c>
      <c r="AB50" s="56">
        <f>IF(AND(A50="", B50="", E50=""), "", TEXTJOIN("; ", TRUE, IF(OR(TRIM(A50&amp;"")="", ISNUMBER(SEARCH("FALTA", A50))), "UPC faltante/inválido", ""), IF(AND(A50&lt;&gt;"", IFERROR(_xlfn.XMATCH(A50,$A$2:$A$2509,0,1)&lt;&gt;_xlfn.XMATCH(A50,$A$2:$A$2509,0,-1),FALSE)), "Código de barras duplicado", ""), IF(AND(E50&lt;&gt;"", COUNTIF($E$2:$E$2509, E50)&gt;1), "SKU duplicado", ""), IF(OR(J50="", J50=""), "[Aviso] División no capturada ()", IF(ISNA(MATCH(J50, Criterios!$A$123:$A$126, 0)), "División no válida", "")), IF(OR(K50="", K50=""), "[Aviso] Categoría no capturada ()", IF(ISNA(MATCH(K50, Criterios!$A$81:$A$120, 0)), "Categoría no válida", IF(AND(J50&lt;&gt;"", J50&lt;&gt;"", J50&lt;&gt;VLOOKUP(K50, Criterios!$A$81:$B$120, 2, FALSE)), "División no coincide con Categoría", ""))), IF(OR(L50="", L50=""), "[Aviso] Género no capturado ()", IF(ISNA(MATCH(L50, Criterios!$B$123:$B$127, 0)), "Género no válido", "")), IF(OR(N50="", N50=""), "[Aviso] Temporada no capturada ()", IF(ISNA(MATCH(N50, Criterios!$C$123:$C$128, 0)), "Temporada no válida", "")), IF(OR(O50="", O50=""), "[Aviso] Ciclo de vida no capturado ()", IF(ISNA(MATCH(O50, Criterios!$D$123:$D$124, 0)), "Ciclo de vida no válido", ""))))</f>
        <v/>
      </c>
      <c r="AC50" s="56" t="n"/>
      <c r="AD50" s="51" t="n">
        <v>-1</v>
      </c>
      <c r="AE50" s="156" t="n"/>
      <c r="AF50" s="51" t="n">
        <v>0</v>
      </c>
      <c r="AG50" s="156" t="inlineStr">
        <is>
          <t>Catálogo existente</t>
        </is>
      </c>
      <c r="AH50" s="156" t="inlineStr">
        <is>
          <t>Stock negativo en sistema: revisar en conteo</t>
        </is>
      </c>
      <c r="AI50" s="156" t="inlineStr">
        <is>
          <t>Sí</t>
        </is>
      </c>
      <c r="AJ50" s="156" t="inlineStr">
        <is>
          <t>STETSON AMERICAS (-1)</t>
        </is>
      </c>
      <c r="AK50" s="155" t="inlineStr">
        <is>
          <t>Shopify Stetson: producto 15051554849131 / variante 53342128570731</t>
        </is>
      </c>
      <c r="AL50" s="58" t="n">
        <v>775.862069</v>
      </c>
      <c r="AM50" s="58" t="n">
        <v>1724.137931</v>
      </c>
      <c r="AN50" s="155" t="inlineStr">
        <is>
          <t>Shopify Stetson México</t>
        </is>
      </c>
      <c r="AO50" s="59" t="n">
        <v>4</v>
      </c>
      <c r="AP50" s="59" t="n"/>
      <c r="AQ50" s="59" t="n"/>
      <c r="AR50" s="155" t="inlineStr">
        <is>
          <t>Shopify Stetson México › Stetson Americas: 4</t>
        </is>
      </c>
    </row>
    <row r="51">
      <c r="A51" s="50" t="inlineStr">
        <is>
          <t>052356525058</t>
        </is>
      </c>
      <c r="B51" s="51" t="inlineStr">
        <is>
          <t>110640</t>
        </is>
      </c>
      <c r="C51" s="156" t="inlineStr">
        <is>
          <t>Multimarca</t>
        </is>
      </c>
      <c r="D51" s="156" t="inlineStr">
        <is>
          <t>11-004-1312-4070</t>
        </is>
      </c>
      <c r="E51" s="156" t="inlineStr">
        <is>
          <t>11-004-1312-4070-34 36</t>
        </is>
      </c>
      <c r="F51" s="156" t="inlineStr">
        <is>
          <t>34 x 36</t>
        </is>
      </c>
      <c r="G51" s="156" t="inlineStr">
        <is>
          <t>34W / 36L</t>
        </is>
      </c>
      <c r="H51" s="156" t="inlineStr">
        <is>
          <t>Stetson</t>
        </is>
      </c>
      <c r="I51" s="156" t="inlineStr">
        <is>
          <t>Jean Bolsa Trasera Piezada</t>
        </is>
      </c>
      <c r="J51" s="156" t="inlineStr">
        <is>
          <t>Denim</t>
        </is>
      </c>
      <c r="K51" s="156" t="inlineStr">
        <is>
          <t>Jeans</t>
        </is>
      </c>
      <c r="L51" s="156" t="inlineStr">
        <is>
          <t>Hombre</t>
        </is>
      </c>
      <c r="M51" s="156" t="inlineStr">
        <is>
          <t>Stetson</t>
        </is>
      </c>
      <c r="N51" s="156" t="inlineStr">
        <is>
          <t>SS26</t>
        </is>
      </c>
      <c r="O51" s="156" t="inlineStr">
        <is>
          <t>Seasonal</t>
        </is>
      </c>
      <c r="P51" s="156" t="inlineStr">
        <is>
          <t>Azul</t>
        </is>
      </c>
      <c r="Q51" s="156" t="inlineStr">
        <is>
          <t>Relajado</t>
        </is>
      </c>
      <c r="R51" s="156" t="inlineStr">
        <is>
          <t>Recto</t>
        </is>
      </c>
      <c r="S51" s="156" t="inlineStr">
        <is>
          <t>100% Algodón</t>
        </is>
      </c>
      <c r="T51" s="156" t="inlineStr">
        <is>
          <t>Jean Bolsa Trasera Piezada Relajado</t>
        </is>
      </c>
      <c r="U51" s="156" t="n"/>
      <c r="V51" s="156" t="inlineStr">
        <is>
          <t>PZS</t>
        </is>
      </c>
      <c r="W51" s="51" t="inlineStr">
        <is>
          <t>53101502</t>
        </is>
      </c>
      <c r="X51" s="156" t="n"/>
      <c r="Y51" s="54" t="n">
        <v>775.862069</v>
      </c>
      <c r="Z51" s="54" t="n">
        <v>1724.137931</v>
      </c>
      <c r="AA51" s="55">
        <f>IF(AND(A51="", B51="", E51=""), "", IF(AB51="", "Válido", IF((LEN(AB51)-LEN(SUBSTITUTE(AB51,"; ","")))/2+1&gt;(LEN(AB51)-LEN(SUBSTITUTE(AB51,"[Aviso]","")))/7, "Con Incidencias", "Válido")))</f>
        <v/>
      </c>
      <c r="AB51" s="56">
        <f>IF(AND(A51="", B51="", E51=""), "", TEXTJOIN("; ", TRUE, IF(OR(TRIM(A51&amp;"")="", ISNUMBER(SEARCH("FALTA", A51))), "UPC faltante/inválido", ""), IF(AND(A51&lt;&gt;"", IFERROR(_xlfn.XMATCH(A51,$A$2:$A$2509,0,1)&lt;&gt;_xlfn.XMATCH(A51,$A$2:$A$2509,0,-1),FALSE)), "Código de barras duplicado", ""), IF(AND(E51&lt;&gt;"", COUNTIF($E$2:$E$2509, E51)&gt;1), "SKU duplicado", ""), IF(OR(J51="", J51=""), "[Aviso] División no capturada ()", IF(ISNA(MATCH(J51, Criterios!$A$123:$A$126, 0)), "División no válida", "")), IF(OR(K51="", K51=""), "[Aviso] Categoría no capturada ()", IF(ISNA(MATCH(K51, Criterios!$A$81:$A$120, 0)), "Categoría no válida", IF(AND(J51&lt;&gt;"", J51&lt;&gt;"", J51&lt;&gt;VLOOKUP(K51, Criterios!$A$81:$B$120, 2, FALSE)), "División no coincide con Categoría", ""))), IF(OR(L51="", L51=""), "[Aviso] Género no capturado ()", IF(ISNA(MATCH(L51, Criterios!$B$123:$B$127, 0)), "Género no válido", "")), IF(OR(N51="", N51=""), "[Aviso] Temporada no capturada ()", IF(ISNA(MATCH(N51, Criterios!$C$123:$C$128, 0)), "Temporada no válida", "")), IF(OR(O51="", O51=""), "[Aviso] Ciclo de vida no capturado ()", IF(ISNA(MATCH(O51, Criterios!$D$123:$D$124, 0)), "Ciclo de vida no válido", ""))))</f>
        <v/>
      </c>
      <c r="AC51" s="56" t="n"/>
      <c r="AD51" s="51" t="n">
        <v>0</v>
      </c>
      <c r="AE51" s="156" t="n"/>
      <c r="AF51" s="51" t="n">
        <v>0</v>
      </c>
      <c r="AG51" s="156" t="inlineStr">
        <is>
          <t>Catálogo existente</t>
        </is>
      </c>
      <c r="AH51" s="156" t="n"/>
      <c r="AI51" s="156" t="inlineStr">
        <is>
          <t>No</t>
        </is>
      </c>
      <c r="AJ51" s="156" t="n"/>
      <c r="AK51" s="155" t="inlineStr">
        <is>
          <t>Shopify Stetson: producto 15051554849131 / variante 53342128603499</t>
        </is>
      </c>
      <c r="AL51" s="58" t="n">
        <v>775.862069</v>
      </c>
      <c r="AM51" s="58" t="n">
        <v>1724.137931</v>
      </c>
      <c r="AN51" s="155" t="inlineStr">
        <is>
          <t>Shopify Stetson México</t>
        </is>
      </c>
      <c r="AO51" s="59" t="n">
        <v>2</v>
      </c>
      <c r="AP51" s="59" t="n"/>
      <c r="AQ51" s="59" t="n"/>
      <c r="AR51" s="155" t="inlineStr">
        <is>
          <t>Shopify Stetson México › Stetson Americas: 2</t>
        </is>
      </c>
    </row>
    <row r="52">
      <c r="A52" s="50" t="inlineStr">
        <is>
          <t>052356525157</t>
        </is>
      </c>
      <c r="B52" s="51" t="inlineStr">
        <is>
          <t>110641</t>
        </is>
      </c>
      <c r="C52" s="156" t="inlineStr">
        <is>
          <t>Multimarca</t>
        </is>
      </c>
      <c r="D52" s="156" t="inlineStr">
        <is>
          <t>11-004-1312-4070</t>
        </is>
      </c>
      <c r="E52" s="156" t="inlineStr">
        <is>
          <t>11-004-1312-4070-36 32</t>
        </is>
      </c>
      <c r="F52" s="156" t="inlineStr">
        <is>
          <t>36 x 32</t>
        </is>
      </c>
      <c r="G52" s="156" t="inlineStr">
        <is>
          <t>36W / 32L</t>
        </is>
      </c>
      <c r="H52" s="156" t="inlineStr">
        <is>
          <t>Stetson</t>
        </is>
      </c>
      <c r="I52" s="156" t="inlineStr">
        <is>
          <t>Jean Bolsa Trasera Piezada</t>
        </is>
      </c>
      <c r="J52" s="156" t="inlineStr">
        <is>
          <t>Denim</t>
        </is>
      </c>
      <c r="K52" s="156" t="inlineStr">
        <is>
          <t>Jeans</t>
        </is>
      </c>
      <c r="L52" s="156" t="inlineStr">
        <is>
          <t>Hombre</t>
        </is>
      </c>
      <c r="M52" s="156" t="inlineStr">
        <is>
          <t>Stetson</t>
        </is>
      </c>
      <c r="N52" s="156" t="inlineStr">
        <is>
          <t>SS26</t>
        </is>
      </c>
      <c r="O52" s="156" t="inlineStr">
        <is>
          <t>Seasonal</t>
        </is>
      </c>
      <c r="P52" s="156" t="inlineStr">
        <is>
          <t>Azul</t>
        </is>
      </c>
      <c r="Q52" s="156" t="inlineStr">
        <is>
          <t>Relajado</t>
        </is>
      </c>
      <c r="R52" s="156" t="inlineStr">
        <is>
          <t>Recto</t>
        </is>
      </c>
      <c r="S52" s="156" t="inlineStr">
        <is>
          <t>100% Algodón</t>
        </is>
      </c>
      <c r="T52" s="156" t="inlineStr">
        <is>
          <t>Jean Bolsa Trasera Piezada Relajado</t>
        </is>
      </c>
      <c r="U52" s="156" t="n"/>
      <c r="V52" s="156" t="inlineStr">
        <is>
          <t>PZS</t>
        </is>
      </c>
      <c r="W52" s="51" t="inlineStr">
        <is>
          <t>53101502</t>
        </is>
      </c>
      <c r="X52" s="156" t="n"/>
      <c r="Y52" s="54" t="n">
        <v>775.862069</v>
      </c>
      <c r="Z52" s="54" t="n">
        <v>1724.137931</v>
      </c>
      <c r="AA52" s="55">
        <f>IF(AND(A52="", B52="", E52=""), "", IF(AB52="", "Válido", IF((LEN(AB52)-LEN(SUBSTITUTE(AB52,"; ","")))/2+1&gt;(LEN(AB52)-LEN(SUBSTITUTE(AB52,"[Aviso]","")))/7, "Con Incidencias", "Válido")))</f>
        <v/>
      </c>
      <c r="AB52" s="56">
        <f>IF(AND(A52="", B52="", E52=""), "", TEXTJOIN("; ", TRUE, IF(OR(TRIM(A52&amp;"")="", ISNUMBER(SEARCH("FALTA", A52))), "UPC faltante/inválido", ""), IF(AND(A52&lt;&gt;"", IFERROR(_xlfn.XMATCH(A52,$A$2:$A$2509,0,1)&lt;&gt;_xlfn.XMATCH(A52,$A$2:$A$2509,0,-1),FALSE)), "Código de barras duplicado", ""), IF(AND(E52&lt;&gt;"", COUNTIF($E$2:$E$2509, E52)&gt;1), "SKU duplicado", ""), IF(OR(J52="", J52=""), "[Aviso] División no capturada ()", IF(ISNA(MATCH(J52, Criterios!$A$123:$A$126, 0)), "División no válida", "")), IF(OR(K52="", K52=""), "[Aviso] Categoría no capturada ()", IF(ISNA(MATCH(K52, Criterios!$A$81:$A$120, 0)), "Categoría no válida", IF(AND(J52&lt;&gt;"", J52&lt;&gt;"", J52&lt;&gt;VLOOKUP(K52, Criterios!$A$81:$B$120, 2, FALSE)), "División no coincide con Categoría", ""))), IF(OR(L52="", L52=""), "[Aviso] Género no capturado ()", IF(ISNA(MATCH(L52, Criterios!$B$123:$B$127, 0)), "Género no válido", "")), IF(OR(N52="", N52=""), "[Aviso] Temporada no capturada ()", IF(ISNA(MATCH(N52, Criterios!$C$123:$C$128, 0)), "Temporada no válida", "")), IF(OR(O52="", O52=""), "[Aviso] Ciclo de vida no capturado ()", IF(ISNA(MATCH(O52, Criterios!$D$123:$D$124, 0)), "Ciclo de vida no válido", ""))))</f>
        <v/>
      </c>
      <c r="AC52" s="56" t="n"/>
      <c r="AD52" s="51" t="n">
        <v>-1</v>
      </c>
      <c r="AE52" s="156" t="n"/>
      <c r="AF52" s="51" t="n">
        <v>0</v>
      </c>
      <c r="AG52" s="156" t="inlineStr">
        <is>
          <t>Catálogo existente</t>
        </is>
      </c>
      <c r="AH52" s="156" t="inlineStr">
        <is>
          <t>Stock negativo en sistema: revisar en conteo</t>
        </is>
      </c>
      <c r="AI52" s="156" t="inlineStr">
        <is>
          <t>Sí</t>
        </is>
      </c>
      <c r="AJ52" s="156" t="inlineStr">
        <is>
          <t>STETSON AMERICAS (-1)</t>
        </is>
      </c>
      <c r="AK52" s="155" t="inlineStr">
        <is>
          <t>Shopify Stetson: producto 15051554849131 / variante 53342128636267</t>
        </is>
      </c>
      <c r="AL52" s="58" t="n">
        <v>775.862069</v>
      </c>
      <c r="AM52" s="58" t="n">
        <v>1724.137931</v>
      </c>
      <c r="AN52" s="155" t="inlineStr">
        <is>
          <t>Shopify Stetson México</t>
        </is>
      </c>
      <c r="AO52" s="59" t="n">
        <v>1</v>
      </c>
      <c r="AP52" s="59" t="n"/>
      <c r="AQ52" s="59" t="n"/>
      <c r="AR52" s="155" t="inlineStr">
        <is>
          <t>Shopify Stetson México › Stetson Americas: 1</t>
        </is>
      </c>
    </row>
    <row r="53">
      <c r="A53" s="50" t="inlineStr">
        <is>
          <t>052356525164</t>
        </is>
      </c>
      <c r="B53" s="51" t="inlineStr">
        <is>
          <t>110642</t>
        </is>
      </c>
      <c r="C53" s="156" t="inlineStr">
        <is>
          <t>Multimarca</t>
        </is>
      </c>
      <c r="D53" s="156" t="inlineStr">
        <is>
          <t>11-004-1312-4070</t>
        </is>
      </c>
      <c r="E53" s="156" t="inlineStr">
        <is>
          <t>11-004-1312-4070-36 34</t>
        </is>
      </c>
      <c r="F53" s="156" t="inlineStr">
        <is>
          <t>36 x 34</t>
        </is>
      </c>
      <c r="G53" s="156" t="inlineStr">
        <is>
          <t>36W / 34L</t>
        </is>
      </c>
      <c r="H53" s="156" t="inlineStr">
        <is>
          <t>Stetson</t>
        </is>
      </c>
      <c r="I53" s="156" t="inlineStr">
        <is>
          <t>Jean Bolsa Trasera Piezada</t>
        </is>
      </c>
      <c r="J53" s="156" t="inlineStr">
        <is>
          <t>Denim</t>
        </is>
      </c>
      <c r="K53" s="156" t="inlineStr">
        <is>
          <t>Jeans</t>
        </is>
      </c>
      <c r="L53" s="156" t="inlineStr">
        <is>
          <t>Hombre</t>
        </is>
      </c>
      <c r="M53" s="156" t="inlineStr">
        <is>
          <t>Stetson</t>
        </is>
      </c>
      <c r="N53" s="156" t="inlineStr">
        <is>
          <t>SS26</t>
        </is>
      </c>
      <c r="O53" s="156" t="inlineStr">
        <is>
          <t>Seasonal</t>
        </is>
      </c>
      <c r="P53" s="156" t="inlineStr">
        <is>
          <t>Azul</t>
        </is>
      </c>
      <c r="Q53" s="156" t="inlineStr">
        <is>
          <t>Relajado</t>
        </is>
      </c>
      <c r="R53" s="156" t="inlineStr">
        <is>
          <t>Recto</t>
        </is>
      </c>
      <c r="S53" s="156" t="inlineStr">
        <is>
          <t>100% Algodón</t>
        </is>
      </c>
      <c r="T53" s="156" t="inlineStr">
        <is>
          <t>Jean Bolsa Trasera Piezada Relajado</t>
        </is>
      </c>
      <c r="U53" s="156" t="n"/>
      <c r="V53" s="156" t="inlineStr">
        <is>
          <t>PZS</t>
        </is>
      </c>
      <c r="W53" s="51" t="inlineStr">
        <is>
          <t>53101502</t>
        </is>
      </c>
      <c r="X53" s="156" t="n"/>
      <c r="Y53" s="54" t="n">
        <v>775.862069</v>
      </c>
      <c r="Z53" s="54" t="n">
        <v>1724.137931</v>
      </c>
      <c r="AA53" s="55">
        <f>IF(AND(A53="", B53="", E53=""), "", IF(AB53="", "Válido", IF((LEN(AB53)-LEN(SUBSTITUTE(AB53,"; ","")))/2+1&gt;(LEN(AB53)-LEN(SUBSTITUTE(AB53,"[Aviso]","")))/7, "Con Incidencias", "Válido")))</f>
        <v/>
      </c>
      <c r="AB53" s="56">
        <f>IF(AND(A53="", B53="", E53=""), "", TEXTJOIN("; ", TRUE, IF(OR(TRIM(A53&amp;"")="", ISNUMBER(SEARCH("FALTA", A53))), "UPC faltante/inválido", ""), IF(AND(A53&lt;&gt;"", IFERROR(_xlfn.XMATCH(A53,$A$2:$A$2509,0,1)&lt;&gt;_xlfn.XMATCH(A53,$A$2:$A$2509,0,-1),FALSE)), "Código de barras duplicado", ""), IF(AND(E53&lt;&gt;"", COUNTIF($E$2:$E$2509, E53)&gt;1), "SKU duplicado", ""), IF(OR(J53="", J53=""), "[Aviso] División no capturada ()", IF(ISNA(MATCH(J53, Criterios!$A$123:$A$126, 0)), "División no válida", "")), IF(OR(K53="", K53=""), "[Aviso] Categoría no capturada ()", IF(ISNA(MATCH(K53, Criterios!$A$81:$A$120, 0)), "Categoría no válida", IF(AND(J53&lt;&gt;"", J53&lt;&gt;"", J53&lt;&gt;VLOOKUP(K53, Criterios!$A$81:$B$120, 2, FALSE)), "División no coincide con Categoría", ""))), IF(OR(L53="", L53=""), "[Aviso] Género no capturado ()", IF(ISNA(MATCH(L53, Criterios!$B$123:$B$127, 0)), "Género no válido", "")), IF(OR(N53="", N53=""), "[Aviso] Temporada no capturada ()", IF(ISNA(MATCH(N53, Criterios!$C$123:$C$128, 0)), "Temporada no válida", "")), IF(OR(O53="", O53=""), "[Aviso] Ciclo de vida no capturado ()", IF(ISNA(MATCH(O53, Criterios!$D$123:$D$124, 0)), "Ciclo de vida no válido", ""))))</f>
        <v/>
      </c>
      <c r="AC53" s="56" t="n"/>
      <c r="AD53" s="51" t="n">
        <v>0</v>
      </c>
      <c r="AE53" s="156" t="n"/>
      <c r="AF53" s="51" t="n">
        <v>0</v>
      </c>
      <c r="AG53" s="156" t="inlineStr">
        <is>
          <t>Catálogo existente</t>
        </is>
      </c>
      <c r="AH53" s="156" t="n"/>
      <c r="AI53" s="156" t="inlineStr">
        <is>
          <t>No</t>
        </is>
      </c>
      <c r="AJ53" s="156" t="n"/>
      <c r="AK53" s="155" t="inlineStr">
        <is>
          <t>Shopify Stetson: producto 15051554849131 / variante 53342128669035</t>
        </is>
      </c>
      <c r="AL53" s="58" t="n">
        <v>775.862069</v>
      </c>
      <c r="AM53" s="58" t="n">
        <v>1724.137931</v>
      </c>
      <c r="AN53" s="155" t="inlineStr">
        <is>
          <t>Shopify Stetson México</t>
        </is>
      </c>
      <c r="AO53" s="59" t="n">
        <v>2</v>
      </c>
      <c r="AP53" s="59" t="n"/>
      <c r="AQ53" s="59" t="n"/>
      <c r="AR53" s="155" t="inlineStr">
        <is>
          <t>Shopify Stetson México › Stetson Americas: 2</t>
        </is>
      </c>
    </row>
    <row r="54">
      <c r="A54" s="50" t="inlineStr">
        <is>
          <t>052356525171</t>
        </is>
      </c>
      <c r="B54" s="51" t="inlineStr">
        <is>
          <t>110643</t>
        </is>
      </c>
      <c r="C54" s="156" t="inlineStr">
        <is>
          <t>Multimarca</t>
        </is>
      </c>
      <c r="D54" s="156" t="inlineStr">
        <is>
          <t>11-004-1312-4070</t>
        </is>
      </c>
      <c r="E54" s="156" t="inlineStr">
        <is>
          <t>11-004-1312-4070-36 36</t>
        </is>
      </c>
      <c r="F54" s="156" t="inlineStr">
        <is>
          <t>36 x 36</t>
        </is>
      </c>
      <c r="G54" s="156" t="inlineStr">
        <is>
          <t>36W / 36L</t>
        </is>
      </c>
      <c r="H54" s="156" t="inlineStr">
        <is>
          <t>Stetson</t>
        </is>
      </c>
      <c r="I54" s="156" t="inlineStr">
        <is>
          <t>Jean Bolsa Trasera Piezada</t>
        </is>
      </c>
      <c r="J54" s="156" t="inlineStr">
        <is>
          <t>Denim</t>
        </is>
      </c>
      <c r="K54" s="156" t="inlineStr">
        <is>
          <t>Jeans</t>
        </is>
      </c>
      <c r="L54" s="156" t="inlineStr">
        <is>
          <t>Hombre</t>
        </is>
      </c>
      <c r="M54" s="156" t="inlineStr">
        <is>
          <t>Stetson</t>
        </is>
      </c>
      <c r="N54" s="156" t="inlineStr">
        <is>
          <t>SS26</t>
        </is>
      </c>
      <c r="O54" s="156" t="inlineStr">
        <is>
          <t>Seasonal</t>
        </is>
      </c>
      <c r="P54" s="156" t="inlineStr">
        <is>
          <t>Azul</t>
        </is>
      </c>
      <c r="Q54" s="156" t="inlineStr">
        <is>
          <t>Relajado</t>
        </is>
      </c>
      <c r="R54" s="156" t="inlineStr">
        <is>
          <t>Recto</t>
        </is>
      </c>
      <c r="S54" s="156" t="inlineStr">
        <is>
          <t>100% Algodón</t>
        </is>
      </c>
      <c r="T54" s="156" t="inlineStr">
        <is>
          <t>Jean Bolsa Trasera Piezada Relajado</t>
        </is>
      </c>
      <c r="U54" s="156" t="n"/>
      <c r="V54" s="156" t="inlineStr">
        <is>
          <t>PZS</t>
        </is>
      </c>
      <c r="W54" s="51" t="inlineStr">
        <is>
          <t>53101502</t>
        </is>
      </c>
      <c r="X54" s="156" t="n"/>
      <c r="Y54" s="54" t="n">
        <v>775.862069</v>
      </c>
      <c r="Z54" s="54" t="n">
        <v>1724.137931</v>
      </c>
      <c r="AA54" s="55">
        <f>IF(AND(A54="", B54="", E54=""), "", IF(AB54="", "Válido", IF((LEN(AB54)-LEN(SUBSTITUTE(AB54,"; ","")))/2+1&gt;(LEN(AB54)-LEN(SUBSTITUTE(AB54,"[Aviso]","")))/7, "Con Incidencias", "Válido")))</f>
        <v/>
      </c>
      <c r="AB54" s="56">
        <f>IF(AND(A54="", B54="", E54=""), "", TEXTJOIN("; ", TRUE, IF(OR(TRIM(A54&amp;"")="", ISNUMBER(SEARCH("FALTA", A54))), "UPC faltante/inválido", ""), IF(AND(A54&lt;&gt;"", IFERROR(_xlfn.XMATCH(A54,$A$2:$A$2509,0,1)&lt;&gt;_xlfn.XMATCH(A54,$A$2:$A$2509,0,-1),FALSE)), "Código de barras duplicado", ""), IF(AND(E54&lt;&gt;"", COUNTIF($E$2:$E$2509, E54)&gt;1), "SKU duplicado", ""), IF(OR(J54="", J54=""), "[Aviso] División no capturada ()", IF(ISNA(MATCH(J54, Criterios!$A$123:$A$126, 0)), "División no válida", "")), IF(OR(K54="", K54=""), "[Aviso] Categoría no capturada ()", IF(ISNA(MATCH(K54, Criterios!$A$81:$A$120, 0)), "Categoría no válida", IF(AND(J54&lt;&gt;"", J54&lt;&gt;"", J54&lt;&gt;VLOOKUP(K54, Criterios!$A$81:$B$120, 2, FALSE)), "División no coincide con Categoría", ""))), IF(OR(L54="", L54=""), "[Aviso] Género no capturado ()", IF(ISNA(MATCH(L54, Criterios!$B$123:$B$127, 0)), "Género no válido", "")), IF(OR(N54="", N54=""), "[Aviso] Temporada no capturada ()", IF(ISNA(MATCH(N54, Criterios!$C$123:$C$128, 0)), "Temporada no válida", "")), IF(OR(O54="", O54=""), "[Aviso] Ciclo de vida no capturado ()", IF(ISNA(MATCH(O54, Criterios!$D$123:$D$124, 0)), "Ciclo de vida no válido", ""))))</f>
        <v/>
      </c>
      <c r="AC54" s="56" t="n"/>
      <c r="AD54" s="51" t="n">
        <v>0</v>
      </c>
      <c r="AE54" s="156" t="n"/>
      <c r="AF54" s="51" t="n">
        <v>0</v>
      </c>
      <c r="AG54" s="156" t="inlineStr">
        <is>
          <t>Catálogo existente</t>
        </is>
      </c>
      <c r="AH54" s="156" t="n"/>
      <c r="AI54" s="156" t="inlineStr">
        <is>
          <t>No</t>
        </is>
      </c>
      <c r="AJ54" s="156" t="n"/>
      <c r="AK54" s="155" t="inlineStr">
        <is>
          <t>Shopify Stetson: producto 15051554849131 / variante 53342128701803</t>
        </is>
      </c>
      <c r="AL54" s="58" t="n">
        <v>775.862069</v>
      </c>
      <c r="AM54" s="58" t="n">
        <v>1724.137931</v>
      </c>
      <c r="AN54" s="155" t="inlineStr">
        <is>
          <t>Shopify Stetson México</t>
        </is>
      </c>
      <c r="AO54" s="59" t="n">
        <v>2</v>
      </c>
      <c r="AP54" s="59" t="n"/>
      <c r="AQ54" s="59" t="n"/>
      <c r="AR54" s="155" t="inlineStr">
        <is>
          <t>Shopify Stetson México › Stetson Americas: 2</t>
        </is>
      </c>
    </row>
    <row r="55">
      <c r="A55" s="50" t="inlineStr">
        <is>
          <t>052356525218</t>
        </is>
      </c>
      <c r="B55" s="51" t="inlineStr">
        <is>
          <t>110644</t>
        </is>
      </c>
      <c r="C55" s="156" t="inlineStr">
        <is>
          <t>Multimarca</t>
        </is>
      </c>
      <c r="D55" s="156" t="inlineStr">
        <is>
          <t>11-004-1312-4070</t>
        </is>
      </c>
      <c r="E55" s="156" t="inlineStr">
        <is>
          <t>11-004-1312-4070-38 32</t>
        </is>
      </c>
      <c r="F55" s="156" t="inlineStr">
        <is>
          <t>38 x 32</t>
        </is>
      </c>
      <c r="G55" s="156" t="inlineStr">
        <is>
          <t>38W / 32L</t>
        </is>
      </c>
      <c r="H55" s="156" t="inlineStr">
        <is>
          <t>Stetson</t>
        </is>
      </c>
      <c r="I55" s="156" t="inlineStr">
        <is>
          <t>Jean Bolsa Trasera Piezada</t>
        </is>
      </c>
      <c r="J55" s="156" t="inlineStr">
        <is>
          <t>Denim</t>
        </is>
      </c>
      <c r="K55" s="156" t="inlineStr">
        <is>
          <t>Jeans</t>
        </is>
      </c>
      <c r="L55" s="156" t="inlineStr">
        <is>
          <t>Hombre</t>
        </is>
      </c>
      <c r="M55" s="156" t="inlineStr">
        <is>
          <t>Stetson</t>
        </is>
      </c>
      <c r="N55" s="156" t="inlineStr">
        <is>
          <t>SS26</t>
        </is>
      </c>
      <c r="O55" s="156" t="inlineStr">
        <is>
          <t>Seasonal</t>
        </is>
      </c>
      <c r="P55" s="156" t="inlineStr">
        <is>
          <t>Azul</t>
        </is>
      </c>
      <c r="Q55" s="156" t="inlineStr">
        <is>
          <t>Relajado</t>
        </is>
      </c>
      <c r="R55" s="156" t="inlineStr">
        <is>
          <t>Recto</t>
        </is>
      </c>
      <c r="S55" s="156" t="inlineStr">
        <is>
          <t>100% Algodón</t>
        </is>
      </c>
      <c r="T55" s="156" t="inlineStr">
        <is>
          <t>Jean Bolsa Trasera Piezada Relajado</t>
        </is>
      </c>
      <c r="U55" s="156" t="n"/>
      <c r="V55" s="156" t="inlineStr">
        <is>
          <t>PZS</t>
        </is>
      </c>
      <c r="W55" s="51" t="inlineStr">
        <is>
          <t>53101502</t>
        </is>
      </c>
      <c r="X55" s="156" t="n"/>
      <c r="Y55" s="54" t="n">
        <v>775.862069</v>
      </c>
      <c r="Z55" s="54" t="n">
        <v>1724.137931</v>
      </c>
      <c r="AA55" s="55">
        <f>IF(AND(A55="", B55="", E55=""), "", IF(AB55="", "Válido", IF((LEN(AB55)-LEN(SUBSTITUTE(AB55,"; ","")))/2+1&gt;(LEN(AB55)-LEN(SUBSTITUTE(AB55,"[Aviso]","")))/7, "Con Incidencias", "Válido")))</f>
        <v/>
      </c>
      <c r="AB55" s="56">
        <f>IF(AND(A55="", B55="", E55=""), "", TEXTJOIN("; ", TRUE, IF(OR(TRIM(A55&amp;"")="", ISNUMBER(SEARCH("FALTA", A55))), "UPC faltante/inválido", ""), IF(AND(A55&lt;&gt;"", IFERROR(_xlfn.XMATCH(A55,$A$2:$A$2509,0,1)&lt;&gt;_xlfn.XMATCH(A55,$A$2:$A$2509,0,-1),FALSE)), "Código de barras duplicado", ""), IF(AND(E55&lt;&gt;"", COUNTIF($E$2:$E$2509, E55)&gt;1), "SKU duplicado", ""), IF(OR(J55="", J55=""), "[Aviso] División no capturada ()", IF(ISNA(MATCH(J55, Criterios!$A$123:$A$126, 0)), "División no válida", "")), IF(OR(K55="", K55=""), "[Aviso] Categoría no capturada ()", IF(ISNA(MATCH(K55, Criterios!$A$81:$A$120, 0)), "Categoría no válida", IF(AND(J55&lt;&gt;"", J55&lt;&gt;"", J55&lt;&gt;VLOOKUP(K55, Criterios!$A$81:$B$120, 2, FALSE)), "División no coincide con Categoría", ""))), IF(OR(L55="", L55=""), "[Aviso] Género no capturado ()", IF(ISNA(MATCH(L55, Criterios!$B$123:$B$127, 0)), "Género no válido", "")), IF(OR(N55="", N55=""), "[Aviso] Temporada no capturada ()", IF(ISNA(MATCH(N55, Criterios!$C$123:$C$128, 0)), "Temporada no válida", "")), IF(OR(O55="", O55=""), "[Aviso] Ciclo de vida no capturado ()", IF(ISNA(MATCH(O55, Criterios!$D$123:$D$124, 0)), "Ciclo de vida no válido", ""))))</f>
        <v/>
      </c>
      <c r="AC55" s="56" t="n"/>
      <c r="AD55" s="51" t="n">
        <v>0</v>
      </c>
      <c r="AE55" s="156" t="n"/>
      <c r="AF55" s="51" t="n">
        <v>0</v>
      </c>
      <c r="AG55" s="156" t="inlineStr">
        <is>
          <t>Catálogo existente</t>
        </is>
      </c>
      <c r="AH55" s="156" t="n"/>
      <c r="AI55" s="156" t="inlineStr">
        <is>
          <t>No</t>
        </is>
      </c>
      <c r="AJ55" s="156" t="n"/>
      <c r="AK55" s="155" t="inlineStr">
        <is>
          <t>Shopify Stetson: producto 15051554849131 / variante 53342128734571</t>
        </is>
      </c>
      <c r="AL55" s="58" t="n">
        <v>775.862069</v>
      </c>
      <c r="AM55" s="58" t="n">
        <v>1724.137931</v>
      </c>
      <c r="AN55" s="155" t="inlineStr">
        <is>
          <t>Shopify Stetson México</t>
        </is>
      </c>
      <c r="AO55" s="59" t="n">
        <v>0</v>
      </c>
      <c r="AP55" s="59" t="n"/>
      <c r="AQ55" s="59" t="n"/>
      <c r="AR55" s="155" t="n"/>
    </row>
    <row r="56">
      <c r="A56" s="50" t="inlineStr">
        <is>
          <t>052356527656</t>
        </is>
      </c>
      <c r="B56" s="51" t="inlineStr">
        <is>
          <t>110645</t>
        </is>
      </c>
      <c r="C56" s="156" t="inlineStr">
        <is>
          <t>Multimarca</t>
        </is>
      </c>
      <c r="D56" s="156" t="inlineStr">
        <is>
          <t>11-004-1520-4065</t>
        </is>
      </c>
      <c r="E56" s="156" t="inlineStr">
        <is>
          <t>11-004-1520-4065-32 32</t>
        </is>
      </c>
      <c r="F56" s="156" t="inlineStr">
        <is>
          <t>32 x 32</t>
        </is>
      </c>
      <c r="G56" s="156" t="inlineStr">
        <is>
          <t>32W / 32L</t>
        </is>
      </c>
      <c r="H56" s="156" t="inlineStr">
        <is>
          <t>Stetson</t>
        </is>
      </c>
      <c r="I56" s="156" t="inlineStr">
        <is>
          <t>Jean Dos Tonos Bordado X Puntada Contraste</t>
        </is>
      </c>
      <c r="J56" s="156" t="inlineStr">
        <is>
          <t>Denim</t>
        </is>
      </c>
      <c r="K56" s="156" t="inlineStr">
        <is>
          <t>Jeans</t>
        </is>
      </c>
      <c r="L56" s="156" t="inlineStr">
        <is>
          <t>Hombre</t>
        </is>
      </c>
      <c r="M56" s="156" t="inlineStr">
        <is>
          <t>Stetson</t>
        </is>
      </c>
      <c r="N56" s="156" t="inlineStr">
        <is>
          <t>SS26</t>
        </is>
      </c>
      <c r="O56" s="156" t="inlineStr">
        <is>
          <t>Seasonal</t>
        </is>
      </c>
      <c r="P56" s="156" t="inlineStr">
        <is>
          <t>Azul</t>
        </is>
      </c>
      <c r="Q56" s="156" t="inlineStr">
        <is>
          <t>Relajado</t>
        </is>
      </c>
      <c r="R56" s="156" t="inlineStr">
        <is>
          <t>Bootcut</t>
        </is>
      </c>
      <c r="S56" s="156" t="inlineStr">
        <is>
          <t>100% Algodón</t>
        </is>
      </c>
      <c r="T56" s="156" t="inlineStr">
        <is>
          <t>Jean Dos Tonos Bordado X Puntada Contraste Relajado</t>
        </is>
      </c>
      <c r="U56" s="156" t="n"/>
      <c r="V56" s="156" t="inlineStr">
        <is>
          <t>PZS</t>
        </is>
      </c>
      <c r="W56" s="51" t="inlineStr">
        <is>
          <t>53101502</t>
        </is>
      </c>
      <c r="X56" s="156" t="n"/>
      <c r="Y56" s="54" t="n">
        <v>775.862069</v>
      </c>
      <c r="Z56" s="54" t="n">
        <v>1724.137931</v>
      </c>
      <c r="AA56" s="55">
        <f>IF(AND(A56="", B56="", E56=""), "", IF(AB56="", "Válido", IF((LEN(AB56)-LEN(SUBSTITUTE(AB56,"; ","")))/2+1&gt;(LEN(AB56)-LEN(SUBSTITUTE(AB56,"[Aviso]","")))/7, "Con Incidencias", "Válido")))</f>
        <v/>
      </c>
      <c r="AB56" s="56">
        <f>IF(AND(A56="", B56="", E56=""), "", TEXTJOIN("; ", TRUE, IF(OR(TRIM(A56&amp;"")="", ISNUMBER(SEARCH("FALTA", A56))), "UPC faltante/inválido", ""), IF(AND(A56&lt;&gt;"", IFERROR(_xlfn.XMATCH(A56,$A$2:$A$2509,0,1)&lt;&gt;_xlfn.XMATCH(A56,$A$2:$A$2509,0,-1),FALSE)), "Código de barras duplicado", ""), IF(AND(E56&lt;&gt;"", COUNTIF($E$2:$E$2509, E56)&gt;1), "SKU duplicado", ""), IF(OR(J56="", J56=""), "[Aviso] División no capturada ()", IF(ISNA(MATCH(J56, Criterios!$A$123:$A$126, 0)), "División no válida", "")), IF(OR(K56="", K56=""), "[Aviso] Categoría no capturada ()", IF(ISNA(MATCH(K56, Criterios!$A$81:$A$120, 0)), "Categoría no válida", IF(AND(J56&lt;&gt;"", J56&lt;&gt;"", J56&lt;&gt;VLOOKUP(K56, Criterios!$A$81:$B$120, 2, FALSE)), "División no coincide con Categoría", ""))), IF(OR(L56="", L56=""), "[Aviso] Género no capturado ()", IF(ISNA(MATCH(L56, Criterios!$B$123:$B$127, 0)), "Género no válido", "")), IF(OR(N56="", N56=""), "[Aviso] Temporada no capturada ()", IF(ISNA(MATCH(N56, Criterios!$C$123:$C$128, 0)), "Temporada no válida", "")), IF(OR(O56="", O56=""), "[Aviso] Ciclo de vida no capturado ()", IF(ISNA(MATCH(O56, Criterios!$D$123:$D$124, 0)), "Ciclo de vida no válido", ""))))</f>
        <v/>
      </c>
      <c r="AC56" s="56" t="n"/>
      <c r="AD56" s="51" t="n">
        <v>0</v>
      </c>
      <c r="AE56" s="156" t="n"/>
      <c r="AF56" s="51" t="n">
        <v>0</v>
      </c>
      <c r="AG56" s="156" t="inlineStr">
        <is>
          <t>Catálogo existente</t>
        </is>
      </c>
      <c r="AH56" s="156" t="n"/>
      <c r="AI56" s="156" t="inlineStr">
        <is>
          <t>No</t>
        </is>
      </c>
      <c r="AJ56" s="156" t="n"/>
      <c r="AK56" s="155" t="inlineStr">
        <is>
          <t>Shopify Stetson: producto 15051554914667 / variante 53342128800107</t>
        </is>
      </c>
      <c r="AL56" s="58" t="n">
        <v>775.862069</v>
      </c>
      <c r="AM56" s="58" t="n">
        <v>1724.137931</v>
      </c>
      <c r="AN56" s="155" t="inlineStr">
        <is>
          <t>Shopify Stetson México</t>
        </is>
      </c>
      <c r="AO56" s="59" t="n">
        <v>0</v>
      </c>
      <c r="AP56" s="59" t="n"/>
      <c r="AQ56" s="59" t="n"/>
      <c r="AR56" s="155" t="n"/>
    </row>
    <row r="57">
      <c r="A57" s="50" t="inlineStr">
        <is>
          <t>052356527663</t>
        </is>
      </c>
      <c r="B57" s="51" t="inlineStr">
        <is>
          <t>110646</t>
        </is>
      </c>
      <c r="C57" s="156" t="inlineStr">
        <is>
          <t>Multimarca</t>
        </is>
      </c>
      <c r="D57" s="156" t="inlineStr">
        <is>
          <t>11-004-1520-4065</t>
        </is>
      </c>
      <c r="E57" s="156" t="inlineStr">
        <is>
          <t>11-004-1520-4065-32 34</t>
        </is>
      </c>
      <c r="F57" s="156" t="inlineStr">
        <is>
          <t>32 x 34</t>
        </is>
      </c>
      <c r="G57" s="156" t="inlineStr">
        <is>
          <t>32W / 34L</t>
        </is>
      </c>
      <c r="H57" s="156" t="inlineStr">
        <is>
          <t>Stetson</t>
        </is>
      </c>
      <c r="I57" s="156" t="inlineStr">
        <is>
          <t>Jean Dos Tonos Bordado X Puntada Contraste</t>
        </is>
      </c>
      <c r="J57" s="156" t="inlineStr">
        <is>
          <t>Denim</t>
        </is>
      </c>
      <c r="K57" s="156" t="inlineStr">
        <is>
          <t>Jeans</t>
        </is>
      </c>
      <c r="L57" s="156" t="inlineStr">
        <is>
          <t>Hombre</t>
        </is>
      </c>
      <c r="M57" s="156" t="inlineStr">
        <is>
          <t>Stetson</t>
        </is>
      </c>
      <c r="N57" s="156" t="inlineStr">
        <is>
          <t>SS26</t>
        </is>
      </c>
      <c r="O57" s="156" t="inlineStr">
        <is>
          <t>Seasonal</t>
        </is>
      </c>
      <c r="P57" s="156" t="inlineStr">
        <is>
          <t>Azul</t>
        </is>
      </c>
      <c r="Q57" s="156" t="inlineStr">
        <is>
          <t>Relajado</t>
        </is>
      </c>
      <c r="R57" s="156" t="inlineStr">
        <is>
          <t>Bootcut</t>
        </is>
      </c>
      <c r="S57" s="156" t="inlineStr">
        <is>
          <t>100% Algodón</t>
        </is>
      </c>
      <c r="T57" s="156" t="inlineStr">
        <is>
          <t>Jean Dos Tonos Bordado X Puntada Contraste Relajado</t>
        </is>
      </c>
      <c r="U57" s="156" t="n"/>
      <c r="V57" s="156" t="inlineStr">
        <is>
          <t>PZS</t>
        </is>
      </c>
      <c r="W57" s="51" t="inlineStr">
        <is>
          <t>53101502</t>
        </is>
      </c>
      <c r="X57" s="156" t="n"/>
      <c r="Y57" s="54" t="n">
        <v>775.862069</v>
      </c>
      <c r="Z57" s="54" t="n">
        <v>1724.137931</v>
      </c>
      <c r="AA57" s="55">
        <f>IF(AND(A57="", B57="", E57=""), "", IF(AB57="", "Válido", IF((LEN(AB57)-LEN(SUBSTITUTE(AB57,"; ","")))/2+1&gt;(LEN(AB57)-LEN(SUBSTITUTE(AB57,"[Aviso]","")))/7, "Con Incidencias", "Válido")))</f>
        <v/>
      </c>
      <c r="AB57" s="56">
        <f>IF(AND(A57="", B57="", E57=""), "", TEXTJOIN("; ", TRUE, IF(OR(TRIM(A57&amp;"")="", ISNUMBER(SEARCH("FALTA", A57))), "UPC faltante/inválido", ""), IF(AND(A57&lt;&gt;"", IFERROR(_xlfn.XMATCH(A57,$A$2:$A$2509,0,1)&lt;&gt;_xlfn.XMATCH(A57,$A$2:$A$2509,0,-1),FALSE)), "Código de barras duplicado", ""), IF(AND(E57&lt;&gt;"", COUNTIF($E$2:$E$2509, E57)&gt;1), "SKU duplicado", ""), IF(OR(J57="", J57=""), "[Aviso] División no capturada ()", IF(ISNA(MATCH(J57, Criterios!$A$123:$A$126, 0)), "División no válida", "")), IF(OR(K57="", K57=""), "[Aviso] Categoría no capturada ()", IF(ISNA(MATCH(K57, Criterios!$A$81:$A$120, 0)), "Categoría no válida", IF(AND(J57&lt;&gt;"", J57&lt;&gt;"", J57&lt;&gt;VLOOKUP(K57, Criterios!$A$81:$B$120, 2, FALSE)), "División no coincide con Categoría", ""))), IF(OR(L57="", L57=""), "[Aviso] Género no capturado ()", IF(ISNA(MATCH(L57, Criterios!$B$123:$B$127, 0)), "Género no válido", "")), IF(OR(N57="", N57=""), "[Aviso] Temporada no capturada ()", IF(ISNA(MATCH(N57, Criterios!$C$123:$C$128, 0)), "Temporada no válida", "")), IF(OR(O57="", O57=""), "[Aviso] Ciclo de vida no capturado ()", IF(ISNA(MATCH(O57, Criterios!$D$123:$D$124, 0)), "Ciclo de vida no válido", ""))))</f>
        <v/>
      </c>
      <c r="AC57" s="56" t="n"/>
      <c r="AD57" s="51" t="n">
        <v>0</v>
      </c>
      <c r="AE57" s="156" t="n"/>
      <c r="AF57" s="51" t="n">
        <v>0</v>
      </c>
      <c r="AG57" s="156" t="inlineStr">
        <is>
          <t>Catálogo existente</t>
        </is>
      </c>
      <c r="AH57" s="156" t="n"/>
      <c r="AI57" s="156" t="inlineStr">
        <is>
          <t>No</t>
        </is>
      </c>
      <c r="AJ57" s="156" t="n"/>
      <c r="AK57" s="155" t="inlineStr">
        <is>
          <t>Shopify Stetson: producto 15051554914667 / variante 53342128832875</t>
        </is>
      </c>
      <c r="AL57" s="58" t="n">
        <v>775.862069</v>
      </c>
      <c r="AM57" s="58" t="n">
        <v>1724.137931</v>
      </c>
      <c r="AN57" s="155" t="inlineStr">
        <is>
          <t>Shopify Stetson México</t>
        </is>
      </c>
      <c r="AO57" s="59" t="n">
        <v>0</v>
      </c>
      <c r="AP57" s="59" t="n"/>
      <c r="AQ57" s="59" t="n"/>
      <c r="AR57" s="155" t="n"/>
    </row>
    <row r="58">
      <c r="A58" s="50" t="inlineStr">
        <is>
          <t>052356527717</t>
        </is>
      </c>
      <c r="B58" s="51" t="inlineStr">
        <is>
          <t>110647</t>
        </is>
      </c>
      <c r="C58" s="156" t="inlineStr">
        <is>
          <t>Multimarca</t>
        </is>
      </c>
      <c r="D58" s="156" t="inlineStr">
        <is>
          <t>11-004-1520-4065</t>
        </is>
      </c>
      <c r="E58" s="156" t="inlineStr">
        <is>
          <t>11-004-1520-4065-33 32</t>
        </is>
      </c>
      <c r="F58" s="156" t="inlineStr">
        <is>
          <t>33 x 32</t>
        </is>
      </c>
      <c r="G58" s="156" t="inlineStr">
        <is>
          <t>33W / 32L</t>
        </is>
      </c>
      <c r="H58" s="156" t="inlineStr">
        <is>
          <t>Stetson</t>
        </is>
      </c>
      <c r="I58" s="156" t="inlineStr">
        <is>
          <t>Jean Dos Tonos Bordado X Puntada Contraste</t>
        </is>
      </c>
      <c r="J58" s="156" t="inlineStr">
        <is>
          <t>Denim</t>
        </is>
      </c>
      <c r="K58" s="156" t="inlineStr">
        <is>
          <t>Jeans</t>
        </is>
      </c>
      <c r="L58" s="156" t="inlineStr">
        <is>
          <t>Hombre</t>
        </is>
      </c>
      <c r="M58" s="156" t="inlineStr">
        <is>
          <t>Stetson</t>
        </is>
      </c>
      <c r="N58" s="156" t="inlineStr">
        <is>
          <t>SS26</t>
        </is>
      </c>
      <c r="O58" s="156" t="inlineStr">
        <is>
          <t>Seasonal</t>
        </is>
      </c>
      <c r="P58" s="156" t="inlineStr">
        <is>
          <t>Azul</t>
        </is>
      </c>
      <c r="Q58" s="156" t="inlineStr">
        <is>
          <t>Relajado</t>
        </is>
      </c>
      <c r="R58" s="156" t="inlineStr">
        <is>
          <t>Bootcut</t>
        </is>
      </c>
      <c r="S58" s="156" t="inlineStr">
        <is>
          <t>100% Algodón</t>
        </is>
      </c>
      <c r="T58" s="156" t="inlineStr">
        <is>
          <t>Jean Dos Tonos Bordado X Puntada Contraste Relajado</t>
        </is>
      </c>
      <c r="U58" s="156" t="n"/>
      <c r="V58" s="156" t="inlineStr">
        <is>
          <t>PZS</t>
        </is>
      </c>
      <c r="W58" s="51" t="inlineStr">
        <is>
          <t>53101502</t>
        </is>
      </c>
      <c r="X58" s="156" t="n"/>
      <c r="Y58" s="54" t="n">
        <v>775.862069</v>
      </c>
      <c r="Z58" s="54" t="n">
        <v>1724.137931</v>
      </c>
      <c r="AA58" s="55">
        <f>IF(AND(A58="", B58="", E58=""), "", IF(AB58="", "Válido", IF((LEN(AB58)-LEN(SUBSTITUTE(AB58,"; ","")))/2+1&gt;(LEN(AB58)-LEN(SUBSTITUTE(AB58,"[Aviso]","")))/7, "Con Incidencias", "Válido")))</f>
        <v/>
      </c>
      <c r="AB58" s="56">
        <f>IF(AND(A58="", B58="", E58=""), "", TEXTJOIN("; ", TRUE, IF(OR(TRIM(A58&amp;"")="", ISNUMBER(SEARCH("FALTA", A58))), "UPC faltante/inválido", ""), IF(AND(A58&lt;&gt;"", IFERROR(_xlfn.XMATCH(A58,$A$2:$A$2509,0,1)&lt;&gt;_xlfn.XMATCH(A58,$A$2:$A$2509,0,-1),FALSE)), "Código de barras duplicado", ""), IF(AND(E58&lt;&gt;"", COUNTIF($E$2:$E$2509, E58)&gt;1), "SKU duplicado", ""), IF(OR(J58="", J58=""), "[Aviso] División no capturada ()", IF(ISNA(MATCH(J58, Criterios!$A$123:$A$126, 0)), "División no válida", "")), IF(OR(K58="", K58=""), "[Aviso] Categoría no capturada ()", IF(ISNA(MATCH(K58, Criterios!$A$81:$A$120, 0)), "Categoría no válida", IF(AND(J58&lt;&gt;"", J58&lt;&gt;"", J58&lt;&gt;VLOOKUP(K58, Criterios!$A$81:$B$120, 2, FALSE)), "División no coincide con Categoría", ""))), IF(OR(L58="", L58=""), "[Aviso] Género no capturado ()", IF(ISNA(MATCH(L58, Criterios!$B$123:$B$127, 0)), "Género no válido", "")), IF(OR(N58="", N58=""), "[Aviso] Temporada no capturada ()", IF(ISNA(MATCH(N58, Criterios!$C$123:$C$128, 0)), "Temporada no válida", "")), IF(OR(O58="", O58=""), "[Aviso] Ciclo de vida no capturado ()", IF(ISNA(MATCH(O58, Criterios!$D$123:$D$124, 0)), "Ciclo de vida no válido", ""))))</f>
        <v/>
      </c>
      <c r="AC58" s="56" t="n"/>
      <c r="AD58" s="51" t="n">
        <v>0</v>
      </c>
      <c r="AE58" s="156" t="n"/>
      <c r="AF58" s="51" t="n">
        <v>0</v>
      </c>
      <c r="AG58" s="156" t="inlineStr">
        <is>
          <t>Catálogo existente</t>
        </is>
      </c>
      <c r="AH58" s="156" t="n"/>
      <c r="AI58" s="156" t="inlineStr">
        <is>
          <t>No</t>
        </is>
      </c>
      <c r="AJ58" s="156" t="n"/>
      <c r="AK58" s="155" t="inlineStr">
        <is>
          <t>Shopify Stetson: producto 15051554914667 / variante 53342128865643</t>
        </is>
      </c>
      <c r="AL58" s="58" t="n">
        <v>775.862069</v>
      </c>
      <c r="AM58" s="58" t="n">
        <v>1724.137931</v>
      </c>
      <c r="AN58" s="155" t="inlineStr">
        <is>
          <t>Shopify Stetson México</t>
        </is>
      </c>
      <c r="AO58" s="59" t="n">
        <v>1</v>
      </c>
      <c r="AP58" s="59" t="n"/>
      <c r="AQ58" s="59" t="n"/>
      <c r="AR58" s="155" t="inlineStr">
        <is>
          <t>Shopify Stetson México › Stetson Americas: 1</t>
        </is>
      </c>
    </row>
    <row r="59">
      <c r="A59" s="50" t="inlineStr">
        <is>
          <t>052356527779</t>
        </is>
      </c>
      <c r="B59" s="51" t="inlineStr">
        <is>
          <t>110648</t>
        </is>
      </c>
      <c r="C59" s="156" t="inlineStr">
        <is>
          <t>Multimarca</t>
        </is>
      </c>
      <c r="D59" s="156" t="inlineStr">
        <is>
          <t>11-004-1520-4065</t>
        </is>
      </c>
      <c r="E59" s="156" t="inlineStr">
        <is>
          <t>11-004-1520-4065-34 32</t>
        </is>
      </c>
      <c r="F59" s="156" t="inlineStr">
        <is>
          <t>34 x 32</t>
        </is>
      </c>
      <c r="G59" s="156" t="inlineStr">
        <is>
          <t>34W / 32L</t>
        </is>
      </c>
      <c r="H59" s="156" t="inlineStr">
        <is>
          <t>Stetson</t>
        </is>
      </c>
      <c r="I59" s="156" t="inlineStr">
        <is>
          <t>Jean Dos Tonos Bordado X Puntada Contraste</t>
        </is>
      </c>
      <c r="J59" s="156" t="inlineStr">
        <is>
          <t>Denim</t>
        </is>
      </c>
      <c r="K59" s="156" t="inlineStr">
        <is>
          <t>Jeans</t>
        </is>
      </c>
      <c r="L59" s="156" t="inlineStr">
        <is>
          <t>Hombre</t>
        </is>
      </c>
      <c r="M59" s="156" t="inlineStr">
        <is>
          <t>Stetson</t>
        </is>
      </c>
      <c r="N59" s="156" t="inlineStr">
        <is>
          <t>SS26</t>
        </is>
      </c>
      <c r="O59" s="156" t="inlineStr">
        <is>
          <t>Seasonal</t>
        </is>
      </c>
      <c r="P59" s="156" t="inlineStr">
        <is>
          <t>Azul</t>
        </is>
      </c>
      <c r="Q59" s="156" t="inlineStr">
        <is>
          <t>Relajado</t>
        </is>
      </c>
      <c r="R59" s="156" t="inlineStr">
        <is>
          <t>Bootcut</t>
        </is>
      </c>
      <c r="S59" s="156" t="inlineStr">
        <is>
          <t>100% Algodón</t>
        </is>
      </c>
      <c r="T59" s="156" t="inlineStr">
        <is>
          <t>Jean Dos Tonos Bordado X Puntada Contraste Relajado</t>
        </is>
      </c>
      <c r="U59" s="156" t="n"/>
      <c r="V59" s="156" t="inlineStr">
        <is>
          <t>PZS</t>
        </is>
      </c>
      <c r="W59" s="51" t="inlineStr">
        <is>
          <t>53101502</t>
        </is>
      </c>
      <c r="X59" s="156" t="n"/>
      <c r="Y59" s="54" t="n">
        <v>775.862069</v>
      </c>
      <c r="Z59" s="54" t="n">
        <v>1724.137931</v>
      </c>
      <c r="AA59" s="55">
        <f>IF(AND(A59="", B59="", E59=""), "", IF(AB59="", "Válido", IF((LEN(AB59)-LEN(SUBSTITUTE(AB59,"; ","")))/2+1&gt;(LEN(AB59)-LEN(SUBSTITUTE(AB59,"[Aviso]","")))/7, "Con Incidencias", "Válido")))</f>
        <v/>
      </c>
      <c r="AB59" s="56">
        <f>IF(AND(A59="", B59="", E59=""), "", TEXTJOIN("; ", TRUE, IF(OR(TRIM(A59&amp;"")="", ISNUMBER(SEARCH("FALTA", A59))), "UPC faltante/inválido", ""), IF(AND(A59&lt;&gt;"", IFERROR(_xlfn.XMATCH(A59,$A$2:$A$2509,0,1)&lt;&gt;_xlfn.XMATCH(A59,$A$2:$A$2509,0,-1),FALSE)), "Código de barras duplicado", ""), IF(AND(E59&lt;&gt;"", COUNTIF($E$2:$E$2509, E59)&gt;1), "SKU duplicado", ""), IF(OR(J59="", J59=""), "[Aviso] División no capturada ()", IF(ISNA(MATCH(J59, Criterios!$A$123:$A$126, 0)), "División no válida", "")), IF(OR(K59="", K59=""), "[Aviso] Categoría no capturada ()", IF(ISNA(MATCH(K59, Criterios!$A$81:$A$120, 0)), "Categoría no válida", IF(AND(J59&lt;&gt;"", J59&lt;&gt;"", J59&lt;&gt;VLOOKUP(K59, Criterios!$A$81:$B$120, 2, FALSE)), "División no coincide con Categoría", ""))), IF(OR(L59="", L59=""), "[Aviso] Género no capturado ()", IF(ISNA(MATCH(L59, Criterios!$B$123:$B$127, 0)), "Género no válido", "")), IF(OR(N59="", N59=""), "[Aviso] Temporada no capturada ()", IF(ISNA(MATCH(N59, Criterios!$C$123:$C$128, 0)), "Temporada no válida", "")), IF(OR(O59="", O59=""), "[Aviso] Ciclo de vida no capturado ()", IF(ISNA(MATCH(O59, Criterios!$D$123:$D$124, 0)), "Ciclo de vida no válido", ""))))</f>
        <v/>
      </c>
      <c r="AC59" s="56" t="n"/>
      <c r="AD59" s="51" t="n">
        <v>0</v>
      </c>
      <c r="AE59" s="156" t="n"/>
      <c r="AF59" s="51" t="n">
        <v>0</v>
      </c>
      <c r="AG59" s="156" t="inlineStr">
        <is>
          <t>Catálogo existente</t>
        </is>
      </c>
      <c r="AH59" s="156" t="n"/>
      <c r="AI59" s="156" t="inlineStr">
        <is>
          <t>No</t>
        </is>
      </c>
      <c r="AJ59" s="156" t="n"/>
      <c r="AK59" s="155" t="inlineStr">
        <is>
          <t>Shopify Stetson: producto 15051554914667 / variante 53342128898411</t>
        </is>
      </c>
      <c r="AL59" s="58" t="n">
        <v>775.862069</v>
      </c>
      <c r="AM59" s="58" t="n">
        <v>1724.137931</v>
      </c>
      <c r="AN59" s="155" t="inlineStr">
        <is>
          <t>Shopify Stetson México</t>
        </is>
      </c>
      <c r="AO59" s="59" t="n">
        <v>0</v>
      </c>
      <c r="AP59" s="59" t="n"/>
      <c r="AQ59" s="59" t="n"/>
      <c r="AR59" s="155" t="n"/>
    </row>
    <row r="60">
      <c r="A60" s="50" t="inlineStr">
        <is>
          <t>052356527892</t>
        </is>
      </c>
      <c r="B60" s="51" t="inlineStr">
        <is>
          <t>110649</t>
        </is>
      </c>
      <c r="C60" s="156" t="inlineStr">
        <is>
          <t>Multimarca</t>
        </is>
      </c>
      <c r="D60" s="156" t="inlineStr">
        <is>
          <t>11-004-1520-4065</t>
        </is>
      </c>
      <c r="E60" s="156" t="inlineStr">
        <is>
          <t>11-004-1520-4065-36 32</t>
        </is>
      </c>
      <c r="F60" s="156" t="inlineStr">
        <is>
          <t>36 x 32</t>
        </is>
      </c>
      <c r="G60" s="156" t="inlineStr">
        <is>
          <t>36W / 32L</t>
        </is>
      </c>
      <c r="H60" s="156" t="inlineStr">
        <is>
          <t>Stetson</t>
        </is>
      </c>
      <c r="I60" s="156" t="inlineStr">
        <is>
          <t>Jean Dos Tonos Bordado X Puntada Contraste</t>
        </is>
      </c>
      <c r="J60" s="156" t="inlineStr">
        <is>
          <t>Denim</t>
        </is>
      </c>
      <c r="K60" s="156" t="inlineStr">
        <is>
          <t>Jeans</t>
        </is>
      </c>
      <c r="L60" s="156" t="inlineStr">
        <is>
          <t>Hombre</t>
        </is>
      </c>
      <c r="M60" s="156" t="inlineStr">
        <is>
          <t>Stetson</t>
        </is>
      </c>
      <c r="N60" s="156" t="inlineStr">
        <is>
          <t>SS26</t>
        </is>
      </c>
      <c r="O60" s="156" t="inlineStr">
        <is>
          <t>Seasonal</t>
        </is>
      </c>
      <c r="P60" s="156" t="inlineStr">
        <is>
          <t>Azul</t>
        </is>
      </c>
      <c r="Q60" s="156" t="inlineStr">
        <is>
          <t>Relajado</t>
        </is>
      </c>
      <c r="R60" s="156" t="inlineStr">
        <is>
          <t>Bootcut</t>
        </is>
      </c>
      <c r="S60" s="156" t="inlineStr">
        <is>
          <t>100% Algodón</t>
        </is>
      </c>
      <c r="T60" s="156" t="inlineStr">
        <is>
          <t>Jean Dos Tonos Bordado X Puntada Contraste Relajado</t>
        </is>
      </c>
      <c r="U60" s="156" t="n"/>
      <c r="V60" s="156" t="inlineStr">
        <is>
          <t>PZS</t>
        </is>
      </c>
      <c r="W60" s="51" t="inlineStr">
        <is>
          <t>53101502</t>
        </is>
      </c>
      <c r="X60" s="156" t="n"/>
      <c r="Y60" s="54" t="n">
        <v>775.862069</v>
      </c>
      <c r="Z60" s="54" t="n">
        <v>1724.137931</v>
      </c>
      <c r="AA60" s="55">
        <f>IF(AND(A60="", B60="", E60=""), "", IF(AB60="", "Válido", IF((LEN(AB60)-LEN(SUBSTITUTE(AB60,"; ","")))/2+1&gt;(LEN(AB60)-LEN(SUBSTITUTE(AB60,"[Aviso]","")))/7, "Con Incidencias", "Válido")))</f>
        <v/>
      </c>
      <c r="AB60" s="56">
        <f>IF(AND(A60="", B60="", E60=""), "", TEXTJOIN("; ", TRUE, IF(OR(TRIM(A60&amp;"")="", ISNUMBER(SEARCH("FALTA", A60))), "UPC faltante/inválido", ""), IF(AND(A60&lt;&gt;"", IFERROR(_xlfn.XMATCH(A60,$A$2:$A$2509,0,1)&lt;&gt;_xlfn.XMATCH(A60,$A$2:$A$2509,0,-1),FALSE)), "Código de barras duplicado", ""), IF(AND(E60&lt;&gt;"", COUNTIF($E$2:$E$2509, E60)&gt;1), "SKU duplicado", ""), IF(OR(J60="", J60=""), "[Aviso] División no capturada ()", IF(ISNA(MATCH(J60, Criterios!$A$123:$A$126, 0)), "División no válida", "")), IF(OR(K60="", K60=""), "[Aviso] Categoría no capturada ()", IF(ISNA(MATCH(K60, Criterios!$A$81:$A$120, 0)), "Categoría no válida", IF(AND(J60&lt;&gt;"", J60&lt;&gt;"", J60&lt;&gt;VLOOKUP(K60, Criterios!$A$81:$B$120, 2, FALSE)), "División no coincide con Categoría", ""))), IF(OR(L60="", L60=""), "[Aviso] Género no capturado ()", IF(ISNA(MATCH(L60, Criterios!$B$123:$B$127, 0)), "Género no válido", "")), IF(OR(N60="", N60=""), "[Aviso] Temporada no capturada ()", IF(ISNA(MATCH(N60, Criterios!$C$123:$C$128, 0)), "Temporada no válida", "")), IF(OR(O60="", O60=""), "[Aviso] Ciclo de vida no capturado ()", IF(ISNA(MATCH(O60, Criterios!$D$123:$D$124, 0)), "Ciclo de vida no válido", ""))))</f>
        <v/>
      </c>
      <c r="AC60" s="56" t="n"/>
      <c r="AD60" s="51" t="n">
        <v>0</v>
      </c>
      <c r="AE60" s="156" t="n"/>
      <c r="AF60" s="51" t="n">
        <v>0</v>
      </c>
      <c r="AG60" s="156" t="inlineStr">
        <is>
          <t>Catálogo existente</t>
        </is>
      </c>
      <c r="AH60" s="156" t="n"/>
      <c r="AI60" s="156" t="inlineStr">
        <is>
          <t>No</t>
        </is>
      </c>
      <c r="AJ60" s="156" t="n"/>
      <c r="AK60" s="155" t="inlineStr">
        <is>
          <t>Shopify Stetson: producto 15051554914667 / variante 53342128931179</t>
        </is>
      </c>
      <c r="AL60" s="58" t="n">
        <v>775.862069</v>
      </c>
      <c r="AM60" s="58" t="n">
        <v>1724.137931</v>
      </c>
      <c r="AN60" s="155" t="inlineStr">
        <is>
          <t>Shopify Stetson México</t>
        </is>
      </c>
      <c r="AO60" s="59" t="n">
        <v>0</v>
      </c>
      <c r="AP60" s="59" t="n"/>
      <c r="AQ60" s="59" t="n"/>
      <c r="AR60" s="155" t="n"/>
    </row>
    <row r="61">
      <c r="A61" s="50" t="inlineStr">
        <is>
          <t>052356627967</t>
        </is>
      </c>
      <c r="B61" s="51" t="inlineStr">
        <is>
          <t>110561</t>
        </is>
      </c>
      <c r="C61" s="156" t="inlineStr">
        <is>
          <t>Multimarca</t>
        </is>
      </c>
      <c r="D61" s="156" t="inlineStr">
        <is>
          <t>11-004-1014-4082</t>
        </is>
      </c>
      <c r="E61" s="156" t="inlineStr">
        <is>
          <t>11-004-1014-4082-29 32</t>
        </is>
      </c>
      <c r="F61" s="156" t="inlineStr">
        <is>
          <t>29 x 32</t>
        </is>
      </c>
      <c r="G61" s="156" t="inlineStr">
        <is>
          <t>29W / 32L</t>
        </is>
      </c>
      <c r="H61" s="156" t="inlineStr">
        <is>
          <t>Stetson</t>
        </is>
      </c>
      <c r="I61" s="156" t="inlineStr">
        <is>
          <t>Jean Puntada X Curva en Contraste</t>
        </is>
      </c>
      <c r="J61" s="156" t="inlineStr">
        <is>
          <t>Denim</t>
        </is>
      </c>
      <c r="K61" s="156" t="inlineStr">
        <is>
          <t>Jeans</t>
        </is>
      </c>
      <c r="L61" s="156" t="inlineStr">
        <is>
          <t>Hombre</t>
        </is>
      </c>
      <c r="M61" s="156" t="inlineStr">
        <is>
          <t>Stetson</t>
        </is>
      </c>
      <c r="N61" s="156" t="inlineStr">
        <is>
          <t>SS26</t>
        </is>
      </c>
      <c r="O61" s="156" t="inlineStr">
        <is>
          <t>Seasonal</t>
        </is>
      </c>
      <c r="P61" s="156" t="inlineStr">
        <is>
          <t>Azul</t>
        </is>
      </c>
      <c r="Q61" s="156" t="inlineStr">
        <is>
          <t>Slim</t>
        </is>
      </c>
      <c r="R61" s="156" t="inlineStr">
        <is>
          <t>Bootcut</t>
        </is>
      </c>
      <c r="S61" s="156" t="inlineStr">
        <is>
          <t>100% Algodón</t>
        </is>
      </c>
      <c r="T61" s="156" t="inlineStr">
        <is>
          <t>Jean Puntada X Curva en Contraste Fitted</t>
        </is>
      </c>
      <c r="U61" s="156" t="n"/>
      <c r="V61" s="156" t="inlineStr">
        <is>
          <t>PZS</t>
        </is>
      </c>
      <c r="W61" s="51" t="inlineStr">
        <is>
          <t>53101502</t>
        </is>
      </c>
      <c r="X61" s="156" t="n"/>
      <c r="Y61" s="54" t="n">
        <v>775.862069</v>
      </c>
      <c r="Z61" s="54" t="n">
        <v>1724.137931</v>
      </c>
      <c r="AA61" s="55">
        <f>IF(AND(A61="", B61="", E61=""), "", IF(AB61="", "Válido", IF((LEN(AB61)-LEN(SUBSTITUTE(AB61,"; ","")))/2+1&gt;(LEN(AB61)-LEN(SUBSTITUTE(AB61,"[Aviso]","")))/7, "Con Incidencias", "Válido")))</f>
        <v/>
      </c>
      <c r="AB61" s="56">
        <f>IF(AND(A61="", B61="", E61=""), "", TEXTJOIN("; ", TRUE, IF(OR(TRIM(A61&amp;"")="", ISNUMBER(SEARCH("FALTA", A61))), "UPC faltante/inválido", ""), IF(AND(A61&lt;&gt;"", IFERROR(_xlfn.XMATCH(A61,$A$2:$A$2509,0,1)&lt;&gt;_xlfn.XMATCH(A61,$A$2:$A$2509,0,-1),FALSE)), "Código de barras duplicado", ""), IF(AND(E61&lt;&gt;"", COUNTIF($E$2:$E$2509, E61)&gt;1), "SKU duplicado", ""), IF(OR(J61="", J61=""), "[Aviso] División no capturada ()", IF(ISNA(MATCH(J61, Criterios!$A$123:$A$126, 0)), "División no válida", "")), IF(OR(K61="", K61=""), "[Aviso] Categoría no capturada ()", IF(ISNA(MATCH(K61, Criterios!$A$81:$A$120, 0)), "Categoría no válida", IF(AND(J61&lt;&gt;"", J61&lt;&gt;"", J61&lt;&gt;VLOOKUP(K61, Criterios!$A$81:$B$120, 2, FALSE)), "División no coincide con Categoría", ""))), IF(OR(L61="", L61=""), "[Aviso] Género no capturado ()", IF(ISNA(MATCH(L61, Criterios!$B$123:$B$127, 0)), "Género no válido", "")), IF(OR(N61="", N61=""), "[Aviso] Temporada no capturada ()", IF(ISNA(MATCH(N61, Criterios!$C$123:$C$128, 0)), "Temporada no válida", "")), IF(OR(O61="", O61=""), "[Aviso] Ciclo de vida no capturado ()", IF(ISNA(MATCH(O61, Criterios!$D$123:$D$124, 0)), "Ciclo de vida no válido", ""))))</f>
        <v/>
      </c>
      <c r="AC61" s="56" t="n"/>
      <c r="AD61" s="51" t="n">
        <v>0</v>
      </c>
      <c r="AE61" s="156" t="n"/>
      <c r="AF61" s="51" t="n">
        <v>0</v>
      </c>
      <c r="AG61" s="156" t="inlineStr">
        <is>
          <t>Catálogo existente</t>
        </is>
      </c>
      <c r="AH61" s="156" t="n"/>
      <c r="AI61" s="156" t="inlineStr">
        <is>
          <t>No</t>
        </is>
      </c>
      <c r="AJ61" s="156" t="n"/>
      <c r="AK61" s="155" t="inlineStr">
        <is>
          <t>Shopify Stetson: producto 15051554259307 / variante 53342125621611 | Odoo: producto 29802 / plantilla 38506</t>
        </is>
      </c>
      <c r="AL61" s="58" t="n">
        <v>775.862069</v>
      </c>
      <c r="AM61" s="58" t="n">
        <v>1724.137931</v>
      </c>
      <c r="AN61" s="155" t="inlineStr">
        <is>
          <t>Shopify Stetson México | Odoo Universal Unique Brands</t>
        </is>
      </c>
      <c r="AO61" s="59" t="n">
        <v>4</v>
      </c>
      <c r="AP61" s="59" t="n"/>
      <c r="AQ61" s="59" t="n">
        <v>4</v>
      </c>
      <c r="AR61" s="155" t="inlineStr">
        <is>
          <t>Shopify Stetson México › Stetson Americas: 4 | Odoo Universal Unique Brands › Bodega 25 › Bodega 25/General: 4</t>
        </is>
      </c>
    </row>
    <row r="62">
      <c r="A62" s="50" t="inlineStr">
        <is>
          <t>052356628025</t>
        </is>
      </c>
      <c r="B62" s="51" t="inlineStr">
        <is>
          <t>110562</t>
        </is>
      </c>
      <c r="C62" s="156" t="inlineStr">
        <is>
          <t>Multimarca</t>
        </is>
      </c>
      <c r="D62" s="156" t="inlineStr">
        <is>
          <t>11-004-1014-4082</t>
        </is>
      </c>
      <c r="E62" s="156" t="inlineStr">
        <is>
          <t>11-004-1014-4082-30 32</t>
        </is>
      </c>
      <c r="F62" s="156" t="inlineStr">
        <is>
          <t>30 x 32</t>
        </is>
      </c>
      <c r="G62" s="156" t="inlineStr">
        <is>
          <t>30W / 32L</t>
        </is>
      </c>
      <c r="H62" s="156" t="inlineStr">
        <is>
          <t>Stetson</t>
        </is>
      </c>
      <c r="I62" s="156" t="inlineStr">
        <is>
          <t>Jean Puntada X Curva en Contraste</t>
        </is>
      </c>
      <c r="J62" s="156" t="inlineStr">
        <is>
          <t>Denim</t>
        </is>
      </c>
      <c r="K62" s="156" t="inlineStr">
        <is>
          <t>Jeans</t>
        </is>
      </c>
      <c r="L62" s="156" t="inlineStr">
        <is>
          <t>Hombre</t>
        </is>
      </c>
      <c r="M62" s="156" t="inlineStr">
        <is>
          <t>Stetson</t>
        </is>
      </c>
      <c r="N62" s="156" t="inlineStr">
        <is>
          <t>SS26</t>
        </is>
      </c>
      <c r="O62" s="156" t="inlineStr">
        <is>
          <t>Seasonal</t>
        </is>
      </c>
      <c r="P62" s="156" t="inlineStr">
        <is>
          <t>Azul</t>
        </is>
      </c>
      <c r="Q62" s="156" t="inlineStr">
        <is>
          <t>Slim</t>
        </is>
      </c>
      <c r="R62" s="156" t="inlineStr">
        <is>
          <t>Bootcut</t>
        </is>
      </c>
      <c r="S62" s="156" t="inlineStr">
        <is>
          <t>100% Algodón</t>
        </is>
      </c>
      <c r="T62" s="156" t="inlineStr">
        <is>
          <t>Jean Puntada X Curva en Contraste Fitted</t>
        </is>
      </c>
      <c r="U62" s="156" t="n"/>
      <c r="V62" s="156" t="inlineStr">
        <is>
          <t>PZS</t>
        </is>
      </c>
      <c r="W62" s="51" t="inlineStr">
        <is>
          <t>53101502</t>
        </is>
      </c>
      <c r="X62" s="156" t="n"/>
      <c r="Y62" s="54" t="n">
        <v>775.862069</v>
      </c>
      <c r="Z62" s="54" t="n">
        <v>1724.137931</v>
      </c>
      <c r="AA62" s="55">
        <f>IF(AND(A62="", B62="", E62=""), "", IF(AB62="", "Válido", IF((LEN(AB62)-LEN(SUBSTITUTE(AB62,"; ","")))/2+1&gt;(LEN(AB62)-LEN(SUBSTITUTE(AB62,"[Aviso]","")))/7, "Con Incidencias", "Válido")))</f>
        <v/>
      </c>
      <c r="AB62" s="56">
        <f>IF(AND(A62="", B62="", E62=""), "", TEXTJOIN("; ", TRUE, IF(OR(TRIM(A62&amp;"")="", ISNUMBER(SEARCH("FALTA", A62))), "UPC faltante/inválido", ""), IF(AND(A62&lt;&gt;"", IFERROR(_xlfn.XMATCH(A62,$A$2:$A$2509,0,1)&lt;&gt;_xlfn.XMATCH(A62,$A$2:$A$2509,0,-1),FALSE)), "Código de barras duplicado", ""), IF(AND(E62&lt;&gt;"", COUNTIF($E$2:$E$2509, E62)&gt;1), "SKU duplicado", ""), IF(OR(J62="", J62=""), "[Aviso] División no capturada ()", IF(ISNA(MATCH(J62, Criterios!$A$123:$A$126, 0)), "División no válida", "")), IF(OR(K62="", K62=""), "[Aviso] Categoría no capturada ()", IF(ISNA(MATCH(K62, Criterios!$A$81:$A$120, 0)), "Categoría no válida", IF(AND(J62&lt;&gt;"", J62&lt;&gt;"", J62&lt;&gt;VLOOKUP(K62, Criterios!$A$81:$B$120, 2, FALSE)), "División no coincide con Categoría", ""))), IF(OR(L62="", L62=""), "[Aviso] Género no capturado ()", IF(ISNA(MATCH(L62, Criterios!$B$123:$B$127, 0)), "Género no válido", "")), IF(OR(N62="", N62=""), "[Aviso] Temporada no capturada ()", IF(ISNA(MATCH(N62, Criterios!$C$123:$C$128, 0)), "Temporada no válida", "")), IF(OR(O62="", O62=""), "[Aviso] Ciclo de vida no capturado ()", IF(ISNA(MATCH(O62, Criterios!$D$123:$D$124, 0)), "Ciclo de vida no válido", ""))))</f>
        <v/>
      </c>
      <c r="AC62" s="56" t="n"/>
      <c r="AD62" s="51" t="n">
        <v>0</v>
      </c>
      <c r="AE62" s="156" t="n"/>
      <c r="AF62" s="51" t="n">
        <v>0</v>
      </c>
      <c r="AG62" s="156" t="inlineStr">
        <is>
          <t>Catálogo existente</t>
        </is>
      </c>
      <c r="AH62" s="156" t="n"/>
      <c r="AI62" s="156" t="inlineStr">
        <is>
          <t>No</t>
        </is>
      </c>
      <c r="AJ62" s="156" t="n"/>
      <c r="AK62" s="155" t="inlineStr">
        <is>
          <t>Shopify Stetson: producto 15051554259307 / variante 53342125654379 | Odoo: producto 29803 / plantilla 38507</t>
        </is>
      </c>
      <c r="AL62" s="58" t="n">
        <v>775.862069</v>
      </c>
      <c r="AM62" s="58" t="n">
        <v>1724.137931</v>
      </c>
      <c r="AN62" s="155" t="inlineStr">
        <is>
          <t>Shopify Stetson México | Odoo Universal Unique Brands</t>
        </is>
      </c>
      <c r="AO62" s="59" t="n">
        <v>3</v>
      </c>
      <c r="AP62" s="59" t="n"/>
      <c r="AQ62" s="59" t="n">
        <v>3</v>
      </c>
      <c r="AR62" s="155" t="inlineStr">
        <is>
          <t>Shopify Stetson México › Stetson Americas: 3 | Odoo Universal Unique Brands › Bodega 25 › Bodega 25/General: 3</t>
        </is>
      </c>
    </row>
    <row r="63">
      <c r="A63" s="50" t="inlineStr">
        <is>
          <t>052356628087</t>
        </is>
      </c>
      <c r="B63" s="51" t="inlineStr">
        <is>
          <t>110563</t>
        </is>
      </c>
      <c r="C63" s="156" t="inlineStr">
        <is>
          <t>Multimarca</t>
        </is>
      </c>
      <c r="D63" s="156" t="inlineStr">
        <is>
          <t>11-004-1014-4082</t>
        </is>
      </c>
      <c r="E63" s="156" t="inlineStr">
        <is>
          <t>11-004-1014-4082-31 32</t>
        </is>
      </c>
      <c r="F63" s="156" t="inlineStr">
        <is>
          <t>31 x 32</t>
        </is>
      </c>
      <c r="G63" s="156" t="inlineStr">
        <is>
          <t>31W / 32L</t>
        </is>
      </c>
      <c r="H63" s="156" t="inlineStr">
        <is>
          <t>Stetson</t>
        </is>
      </c>
      <c r="I63" s="156" t="inlineStr">
        <is>
          <t>Jean Puntada X Curva en Contraste</t>
        </is>
      </c>
      <c r="J63" s="156" t="inlineStr">
        <is>
          <t>Denim</t>
        </is>
      </c>
      <c r="K63" s="156" t="inlineStr">
        <is>
          <t>Jeans</t>
        </is>
      </c>
      <c r="L63" s="156" t="inlineStr">
        <is>
          <t>Hombre</t>
        </is>
      </c>
      <c r="M63" s="156" t="inlineStr">
        <is>
          <t>Stetson</t>
        </is>
      </c>
      <c r="N63" s="156" t="inlineStr">
        <is>
          <t>SS26</t>
        </is>
      </c>
      <c r="O63" s="156" t="inlineStr">
        <is>
          <t>Seasonal</t>
        </is>
      </c>
      <c r="P63" s="156" t="inlineStr">
        <is>
          <t>Azul</t>
        </is>
      </c>
      <c r="Q63" s="156" t="inlineStr">
        <is>
          <t>Slim</t>
        </is>
      </c>
      <c r="R63" s="156" t="inlineStr">
        <is>
          <t>Bootcut</t>
        </is>
      </c>
      <c r="S63" s="156" t="inlineStr">
        <is>
          <t>100% Algodón</t>
        </is>
      </c>
      <c r="T63" s="156" t="inlineStr">
        <is>
          <t>Jean Puntada X Curva en Contraste Fitted</t>
        </is>
      </c>
      <c r="U63" s="156" t="n"/>
      <c r="V63" s="156" t="inlineStr">
        <is>
          <t>PZS</t>
        </is>
      </c>
      <c r="W63" s="51" t="inlineStr">
        <is>
          <t>53101502</t>
        </is>
      </c>
      <c r="X63" s="156" t="n"/>
      <c r="Y63" s="54" t="n">
        <v>775.862069</v>
      </c>
      <c r="Z63" s="54" t="n">
        <v>1724.137931</v>
      </c>
      <c r="AA63" s="55">
        <f>IF(AND(A63="", B63="", E63=""), "", IF(AB63="", "Válido", IF((LEN(AB63)-LEN(SUBSTITUTE(AB63,"; ","")))/2+1&gt;(LEN(AB63)-LEN(SUBSTITUTE(AB63,"[Aviso]","")))/7, "Con Incidencias", "Válido")))</f>
        <v/>
      </c>
      <c r="AB63" s="56">
        <f>IF(AND(A63="", B63="", E63=""), "", TEXTJOIN("; ", TRUE, IF(OR(TRIM(A63&amp;"")="", ISNUMBER(SEARCH("FALTA", A63))), "UPC faltante/inválido", ""), IF(AND(A63&lt;&gt;"", IFERROR(_xlfn.XMATCH(A63,$A$2:$A$2509,0,1)&lt;&gt;_xlfn.XMATCH(A63,$A$2:$A$2509,0,-1),FALSE)), "Código de barras duplicado", ""), IF(AND(E63&lt;&gt;"", COUNTIF($E$2:$E$2509, E63)&gt;1), "SKU duplicado", ""), IF(OR(J63="", J63=""), "[Aviso] División no capturada ()", IF(ISNA(MATCH(J63, Criterios!$A$123:$A$126, 0)), "División no válida", "")), IF(OR(K63="", K63=""), "[Aviso] Categoría no capturada ()", IF(ISNA(MATCH(K63, Criterios!$A$81:$A$120, 0)), "Categoría no válida", IF(AND(J63&lt;&gt;"", J63&lt;&gt;"", J63&lt;&gt;VLOOKUP(K63, Criterios!$A$81:$B$120, 2, FALSE)), "División no coincide con Categoría", ""))), IF(OR(L63="", L63=""), "[Aviso] Género no capturado ()", IF(ISNA(MATCH(L63, Criterios!$B$123:$B$127, 0)), "Género no válido", "")), IF(OR(N63="", N63=""), "[Aviso] Temporada no capturada ()", IF(ISNA(MATCH(N63, Criterios!$C$123:$C$128, 0)), "Temporada no válida", "")), IF(OR(O63="", O63=""), "[Aviso] Ciclo de vida no capturado ()", IF(ISNA(MATCH(O63, Criterios!$D$123:$D$124, 0)), "Ciclo de vida no válido", ""))))</f>
        <v/>
      </c>
      <c r="AC63" s="56" t="n"/>
      <c r="AD63" s="51" t="n">
        <v>-1</v>
      </c>
      <c r="AE63" s="156" t="n"/>
      <c r="AF63" s="51" t="n">
        <v>0</v>
      </c>
      <c r="AG63" s="156" t="inlineStr">
        <is>
          <t>Catálogo existente</t>
        </is>
      </c>
      <c r="AH63" s="156" t="inlineStr">
        <is>
          <t>Stock negativo en sistema: revisar en conteo</t>
        </is>
      </c>
      <c r="AI63" s="156" t="inlineStr">
        <is>
          <t>Sí</t>
        </is>
      </c>
      <c r="AJ63" s="156" t="inlineStr">
        <is>
          <t>STETSON AMERICAS (-1)</t>
        </is>
      </c>
      <c r="AK63" s="155" t="inlineStr">
        <is>
          <t>Shopify Stetson: producto 15051554259307 / variante 53342125687147 | Odoo: producto 29804 / plantilla 38508</t>
        </is>
      </c>
      <c r="AL63" s="58" t="n">
        <v>775.862069</v>
      </c>
      <c r="AM63" s="58" t="n">
        <v>1724.137931</v>
      </c>
      <c r="AN63" s="155" t="inlineStr">
        <is>
          <t>Shopify Stetson México | Odoo Universal Unique Brands</t>
        </is>
      </c>
      <c r="AO63" s="59" t="n">
        <v>7</v>
      </c>
      <c r="AP63" s="59" t="n"/>
      <c r="AQ63" s="59" t="n">
        <v>8</v>
      </c>
      <c r="AR63" s="155" t="inlineStr">
        <is>
          <t>Shopify Stetson México › Stetson Americas: 7 | Odoo Universal Unique Brands › Bodega 25 › Bodega 25/General: 8</t>
        </is>
      </c>
    </row>
    <row r="64">
      <c r="A64" s="50" t="inlineStr">
        <is>
          <t>052356628148</t>
        </is>
      </c>
      <c r="B64" s="51" t="inlineStr">
        <is>
          <t>110564</t>
        </is>
      </c>
      <c r="C64" s="156" t="inlineStr">
        <is>
          <t>Multimarca</t>
        </is>
      </c>
      <c r="D64" s="156" t="inlineStr">
        <is>
          <t>11-004-1014-4082</t>
        </is>
      </c>
      <c r="E64" s="156" t="inlineStr">
        <is>
          <t>11-004-1014-4082-32 32</t>
        </is>
      </c>
      <c r="F64" s="156" t="inlineStr">
        <is>
          <t>32 x 32</t>
        </is>
      </c>
      <c r="G64" s="156" t="inlineStr">
        <is>
          <t>32W / 32L</t>
        </is>
      </c>
      <c r="H64" s="156" t="inlineStr">
        <is>
          <t>Stetson</t>
        </is>
      </c>
      <c r="I64" s="156" t="inlineStr">
        <is>
          <t>Jean Puntada X Curva en Contraste</t>
        </is>
      </c>
      <c r="J64" s="156" t="inlineStr">
        <is>
          <t>Denim</t>
        </is>
      </c>
      <c r="K64" s="156" t="inlineStr">
        <is>
          <t>Jeans</t>
        </is>
      </c>
      <c r="L64" s="156" t="inlineStr">
        <is>
          <t>Hombre</t>
        </is>
      </c>
      <c r="M64" s="156" t="inlineStr">
        <is>
          <t>Stetson</t>
        </is>
      </c>
      <c r="N64" s="156" t="inlineStr">
        <is>
          <t>SS26</t>
        </is>
      </c>
      <c r="O64" s="156" t="inlineStr">
        <is>
          <t>Seasonal</t>
        </is>
      </c>
      <c r="P64" s="156" t="inlineStr">
        <is>
          <t>Azul</t>
        </is>
      </c>
      <c r="Q64" s="156" t="inlineStr">
        <is>
          <t>Slim</t>
        </is>
      </c>
      <c r="R64" s="156" t="inlineStr">
        <is>
          <t>Bootcut</t>
        </is>
      </c>
      <c r="S64" s="156" t="inlineStr">
        <is>
          <t>100% Algodón</t>
        </is>
      </c>
      <c r="T64" s="156" t="inlineStr">
        <is>
          <t>Jean Puntada X Curva en Contraste Fitted</t>
        </is>
      </c>
      <c r="U64" s="156" t="n"/>
      <c r="V64" s="156" t="inlineStr">
        <is>
          <t>PZS</t>
        </is>
      </c>
      <c r="W64" s="51" t="inlineStr">
        <is>
          <t>53101502</t>
        </is>
      </c>
      <c r="X64" s="156" t="n"/>
      <c r="Y64" s="54" t="n">
        <v>775.862069</v>
      </c>
      <c r="Z64" s="54" t="n">
        <v>1724.137931</v>
      </c>
      <c r="AA64" s="55">
        <f>IF(AND(A64="", B64="", E64=""), "", IF(AB64="", "Válido", IF((LEN(AB64)-LEN(SUBSTITUTE(AB64,"; ","")))/2+1&gt;(LEN(AB64)-LEN(SUBSTITUTE(AB64,"[Aviso]","")))/7, "Con Incidencias", "Válido")))</f>
        <v/>
      </c>
      <c r="AB64" s="56">
        <f>IF(AND(A64="", B64="", E64=""), "", TEXTJOIN("; ", TRUE, IF(OR(TRIM(A64&amp;"")="", ISNUMBER(SEARCH("FALTA", A64))), "UPC faltante/inválido", ""), IF(AND(A64&lt;&gt;"", IFERROR(_xlfn.XMATCH(A64,$A$2:$A$2509,0,1)&lt;&gt;_xlfn.XMATCH(A64,$A$2:$A$2509,0,-1),FALSE)), "Código de barras duplicado", ""), IF(AND(E64&lt;&gt;"", COUNTIF($E$2:$E$2509, E64)&gt;1), "SKU duplicado", ""), IF(OR(J64="", J64=""), "[Aviso] División no capturada ()", IF(ISNA(MATCH(J64, Criterios!$A$123:$A$126, 0)), "División no válida", "")), IF(OR(K64="", K64=""), "[Aviso] Categoría no capturada ()", IF(ISNA(MATCH(K64, Criterios!$A$81:$A$120, 0)), "Categoría no válida", IF(AND(J64&lt;&gt;"", J64&lt;&gt;"", J64&lt;&gt;VLOOKUP(K64, Criterios!$A$81:$B$120, 2, FALSE)), "División no coincide con Categoría", ""))), IF(OR(L64="", L64=""), "[Aviso] Género no capturado ()", IF(ISNA(MATCH(L64, Criterios!$B$123:$B$127, 0)), "Género no válido", "")), IF(OR(N64="", N64=""), "[Aviso] Temporada no capturada ()", IF(ISNA(MATCH(N64, Criterios!$C$123:$C$128, 0)), "Temporada no válida", "")), IF(OR(O64="", O64=""), "[Aviso] Ciclo de vida no capturado ()", IF(ISNA(MATCH(O64, Criterios!$D$123:$D$124, 0)), "Ciclo de vida no válido", ""))))</f>
        <v/>
      </c>
      <c r="AC64" s="56" t="n"/>
      <c r="AD64" s="51" t="n">
        <v>-2</v>
      </c>
      <c r="AE64" s="156" t="n"/>
      <c r="AF64" s="51" t="n">
        <v>0</v>
      </c>
      <c r="AG64" s="156" t="inlineStr">
        <is>
          <t>Catálogo existente</t>
        </is>
      </c>
      <c r="AH64" s="156" t="inlineStr">
        <is>
          <t>Stock negativo en sistema: revisar en conteo</t>
        </is>
      </c>
      <c r="AI64" s="156" t="inlineStr">
        <is>
          <t>Sí</t>
        </is>
      </c>
      <c r="AJ64" s="156" t="inlineStr">
        <is>
          <t>STETSON AMERICAS (-2)</t>
        </is>
      </c>
      <c r="AK64" s="155" t="inlineStr">
        <is>
          <t>Shopify Stetson: producto 15051554259307 / variante 53342125719915 | Odoo: producto 29805 / plantilla 38509</t>
        </is>
      </c>
      <c r="AL64" s="58" t="n">
        <v>775.862069</v>
      </c>
      <c r="AM64" s="58" t="n">
        <v>1724.137931</v>
      </c>
      <c r="AN64" s="155" t="inlineStr">
        <is>
          <t>Shopify Stetson México | Odoo Universal Unique Brands</t>
        </is>
      </c>
      <c r="AO64" s="59" t="n">
        <v>12</v>
      </c>
      <c r="AP64" s="59" t="n"/>
      <c r="AQ64" s="59" t="n">
        <v>14</v>
      </c>
      <c r="AR64" s="155" t="inlineStr">
        <is>
          <t>Shopify Stetson México › Stetson Americas: 12 | Odoo Universal Unique Brands › Bodega 25 › Bodega 25/General: 14</t>
        </is>
      </c>
    </row>
    <row r="65">
      <c r="A65" s="50" t="inlineStr">
        <is>
          <t>052356628155</t>
        </is>
      </c>
      <c r="B65" s="51" t="inlineStr">
        <is>
          <t>110565</t>
        </is>
      </c>
      <c r="C65" s="156" t="inlineStr">
        <is>
          <t>Multimarca</t>
        </is>
      </c>
      <c r="D65" s="156" t="inlineStr">
        <is>
          <t>11-004-1014-4082</t>
        </is>
      </c>
      <c r="E65" s="156" t="inlineStr">
        <is>
          <t>11-004-1014-4082-32 34</t>
        </is>
      </c>
      <c r="F65" s="156" t="inlineStr">
        <is>
          <t>32 x 34</t>
        </is>
      </c>
      <c r="G65" s="156" t="inlineStr">
        <is>
          <t>32W / 34L</t>
        </is>
      </c>
      <c r="H65" s="156" t="inlineStr">
        <is>
          <t>Stetson</t>
        </is>
      </c>
      <c r="I65" s="156" t="inlineStr">
        <is>
          <t>Jean Puntada X Curva en Contraste</t>
        </is>
      </c>
      <c r="J65" s="156" t="inlineStr">
        <is>
          <t>Denim</t>
        </is>
      </c>
      <c r="K65" s="156" t="inlineStr">
        <is>
          <t>Jeans</t>
        </is>
      </c>
      <c r="L65" s="156" t="inlineStr">
        <is>
          <t>Hombre</t>
        </is>
      </c>
      <c r="M65" s="156" t="inlineStr">
        <is>
          <t>Stetson</t>
        </is>
      </c>
      <c r="N65" s="156" t="inlineStr">
        <is>
          <t>SS26</t>
        </is>
      </c>
      <c r="O65" s="156" t="inlineStr">
        <is>
          <t>Seasonal</t>
        </is>
      </c>
      <c r="P65" s="156" t="inlineStr">
        <is>
          <t>Azul</t>
        </is>
      </c>
      <c r="Q65" s="156" t="inlineStr">
        <is>
          <t>Slim</t>
        </is>
      </c>
      <c r="R65" s="156" t="inlineStr">
        <is>
          <t>Bootcut</t>
        </is>
      </c>
      <c r="S65" s="156" t="inlineStr">
        <is>
          <t>100% Algodón</t>
        </is>
      </c>
      <c r="T65" s="156" t="inlineStr">
        <is>
          <t>Jean Puntada X Curva en Contraste Fitted</t>
        </is>
      </c>
      <c r="U65" s="156" t="n"/>
      <c r="V65" s="156" t="inlineStr">
        <is>
          <t>PZS</t>
        </is>
      </c>
      <c r="W65" s="51" t="inlineStr">
        <is>
          <t>53101502</t>
        </is>
      </c>
      <c r="X65" s="156" t="n"/>
      <c r="Y65" s="54" t="n">
        <v>775.862069</v>
      </c>
      <c r="Z65" s="54" t="n">
        <v>1724.137931</v>
      </c>
      <c r="AA65" s="55">
        <f>IF(AND(A65="", B65="", E65=""), "", IF(AB65="", "Válido", IF((LEN(AB65)-LEN(SUBSTITUTE(AB65,"; ","")))/2+1&gt;(LEN(AB65)-LEN(SUBSTITUTE(AB65,"[Aviso]","")))/7, "Con Incidencias", "Válido")))</f>
        <v/>
      </c>
      <c r="AB65" s="56">
        <f>IF(AND(A65="", B65="", E65=""), "", TEXTJOIN("; ", TRUE, IF(OR(TRIM(A65&amp;"")="", ISNUMBER(SEARCH("FALTA", A65))), "UPC faltante/inválido", ""), IF(AND(A65&lt;&gt;"", IFERROR(_xlfn.XMATCH(A65,$A$2:$A$2509,0,1)&lt;&gt;_xlfn.XMATCH(A65,$A$2:$A$2509,0,-1),FALSE)), "Código de barras duplicado", ""), IF(AND(E65&lt;&gt;"", COUNTIF($E$2:$E$2509, E65)&gt;1), "SKU duplicado", ""), IF(OR(J65="", J65=""), "[Aviso] División no capturada ()", IF(ISNA(MATCH(J65, Criterios!$A$123:$A$126, 0)), "División no válida", "")), IF(OR(K65="", K65=""), "[Aviso] Categoría no capturada ()", IF(ISNA(MATCH(K65, Criterios!$A$81:$A$120, 0)), "Categoría no válida", IF(AND(J65&lt;&gt;"", J65&lt;&gt;"", J65&lt;&gt;VLOOKUP(K65, Criterios!$A$81:$B$120, 2, FALSE)), "División no coincide con Categoría", ""))), IF(OR(L65="", L65=""), "[Aviso] Género no capturado ()", IF(ISNA(MATCH(L65, Criterios!$B$123:$B$127, 0)), "Género no válido", "")), IF(OR(N65="", N65=""), "[Aviso] Temporada no capturada ()", IF(ISNA(MATCH(N65, Criterios!$C$123:$C$128, 0)), "Temporada no válida", "")), IF(OR(O65="", O65=""), "[Aviso] Ciclo de vida no capturado ()", IF(ISNA(MATCH(O65, Criterios!$D$123:$D$124, 0)), "Ciclo de vida no válido", ""))))</f>
        <v/>
      </c>
      <c r="AC65" s="56" t="n"/>
      <c r="AD65" s="51" t="n">
        <v>0</v>
      </c>
      <c r="AE65" s="156" t="n"/>
      <c r="AF65" s="51" t="n">
        <v>0</v>
      </c>
      <c r="AG65" s="156" t="inlineStr">
        <is>
          <t>Catálogo existente</t>
        </is>
      </c>
      <c r="AH65" s="156" t="n"/>
      <c r="AI65" s="156" t="inlineStr">
        <is>
          <t>No</t>
        </is>
      </c>
      <c r="AJ65" s="156" t="n"/>
      <c r="AK65" s="155" t="inlineStr">
        <is>
          <t>Shopify Stetson: producto 15051554259307 / variante 53342125752683 | Odoo: producto 29806 / plantilla 38510</t>
        </is>
      </c>
      <c r="AL65" s="58" t="n">
        <v>775.862069</v>
      </c>
      <c r="AM65" s="58" t="n">
        <v>1724.137931</v>
      </c>
      <c r="AN65" s="155" t="inlineStr">
        <is>
          <t>Shopify Stetson México | Odoo Universal Unique Brands</t>
        </is>
      </c>
      <c r="AO65" s="59" t="n">
        <v>3</v>
      </c>
      <c r="AP65" s="59" t="n"/>
      <c r="AQ65" s="59" t="n">
        <v>3</v>
      </c>
      <c r="AR65" s="155" t="inlineStr">
        <is>
          <t>Shopify Stetson México › Stetson Americas: 3 | Odoo Universal Unique Brands › Bodega 25 › Bodega 25/General: 3</t>
        </is>
      </c>
    </row>
    <row r="66">
      <c r="A66" s="50" t="inlineStr">
        <is>
          <t>052356628209</t>
        </is>
      </c>
      <c r="B66" s="51" t="inlineStr">
        <is>
          <t>110566</t>
        </is>
      </c>
      <c r="C66" s="156" t="inlineStr">
        <is>
          <t>Multimarca</t>
        </is>
      </c>
      <c r="D66" s="156" t="inlineStr">
        <is>
          <t>11-004-1014-4082</t>
        </is>
      </c>
      <c r="E66" s="156" t="inlineStr">
        <is>
          <t>11-004-1014-4082-33 32</t>
        </is>
      </c>
      <c r="F66" s="156" t="inlineStr">
        <is>
          <t>33 x 32</t>
        </is>
      </c>
      <c r="G66" s="156" t="inlineStr">
        <is>
          <t>33W / 32L</t>
        </is>
      </c>
      <c r="H66" s="156" t="inlineStr">
        <is>
          <t>Stetson</t>
        </is>
      </c>
      <c r="I66" s="156" t="inlineStr">
        <is>
          <t>Jean Puntada X Curva en Contraste</t>
        </is>
      </c>
      <c r="J66" s="156" t="inlineStr">
        <is>
          <t>Denim</t>
        </is>
      </c>
      <c r="K66" s="156" t="inlineStr">
        <is>
          <t>Jeans</t>
        </is>
      </c>
      <c r="L66" s="156" t="inlineStr">
        <is>
          <t>Hombre</t>
        </is>
      </c>
      <c r="M66" s="156" t="inlineStr">
        <is>
          <t>Stetson</t>
        </is>
      </c>
      <c r="N66" s="156" t="inlineStr">
        <is>
          <t>SS26</t>
        </is>
      </c>
      <c r="O66" s="156" t="inlineStr">
        <is>
          <t>Seasonal</t>
        </is>
      </c>
      <c r="P66" s="156" t="inlineStr">
        <is>
          <t>Azul</t>
        </is>
      </c>
      <c r="Q66" s="156" t="inlineStr">
        <is>
          <t>Slim</t>
        </is>
      </c>
      <c r="R66" s="156" t="inlineStr">
        <is>
          <t>Bootcut</t>
        </is>
      </c>
      <c r="S66" s="156" t="inlineStr">
        <is>
          <t>100% Algodón</t>
        </is>
      </c>
      <c r="T66" s="156" t="inlineStr">
        <is>
          <t>Jean Puntada X Curva en Contraste Fitted</t>
        </is>
      </c>
      <c r="U66" s="156" t="n"/>
      <c r="V66" s="156" t="inlineStr">
        <is>
          <t>PZS</t>
        </is>
      </c>
      <c r="W66" s="51" t="inlineStr">
        <is>
          <t>53101502</t>
        </is>
      </c>
      <c r="X66" s="156" t="n"/>
      <c r="Y66" s="54" t="n">
        <v>775.862069</v>
      </c>
      <c r="Z66" s="54" t="n">
        <v>1724.137931</v>
      </c>
      <c r="AA66" s="55">
        <f>IF(AND(A66="", B66="", E66=""), "", IF(AB66="", "Válido", IF((LEN(AB66)-LEN(SUBSTITUTE(AB66,"; ","")))/2+1&gt;(LEN(AB66)-LEN(SUBSTITUTE(AB66,"[Aviso]","")))/7, "Con Incidencias", "Válido")))</f>
        <v/>
      </c>
      <c r="AB66" s="56">
        <f>IF(AND(A66="", B66="", E66=""), "", TEXTJOIN("; ", TRUE, IF(OR(TRIM(A66&amp;"")="", ISNUMBER(SEARCH("FALTA", A66))), "UPC faltante/inválido", ""), IF(AND(A66&lt;&gt;"", IFERROR(_xlfn.XMATCH(A66,$A$2:$A$2509,0,1)&lt;&gt;_xlfn.XMATCH(A66,$A$2:$A$2509,0,-1),FALSE)), "Código de barras duplicado", ""), IF(AND(E66&lt;&gt;"", COUNTIF($E$2:$E$2509, E66)&gt;1), "SKU duplicado", ""), IF(OR(J66="", J66=""), "[Aviso] División no capturada ()", IF(ISNA(MATCH(J66, Criterios!$A$123:$A$126, 0)), "División no válida", "")), IF(OR(K66="", K66=""), "[Aviso] Categoría no capturada ()", IF(ISNA(MATCH(K66, Criterios!$A$81:$A$120, 0)), "Categoría no válida", IF(AND(J66&lt;&gt;"", J66&lt;&gt;"", J66&lt;&gt;VLOOKUP(K66, Criterios!$A$81:$B$120, 2, FALSE)), "División no coincide con Categoría", ""))), IF(OR(L66="", L66=""), "[Aviso] Género no capturado ()", IF(ISNA(MATCH(L66, Criterios!$B$123:$B$127, 0)), "Género no válido", "")), IF(OR(N66="", N66=""), "[Aviso] Temporada no capturada ()", IF(ISNA(MATCH(N66, Criterios!$C$123:$C$128, 0)), "Temporada no válida", "")), IF(OR(O66="", O66=""), "[Aviso] Ciclo de vida no capturado ()", IF(ISNA(MATCH(O66, Criterios!$D$123:$D$124, 0)), "Ciclo de vida no válido", ""))))</f>
        <v/>
      </c>
      <c r="AC66" s="56" t="n"/>
      <c r="AD66" s="51" t="n">
        <v>-1</v>
      </c>
      <c r="AE66" s="156" t="n"/>
      <c r="AF66" s="51" t="n">
        <v>0</v>
      </c>
      <c r="AG66" s="156" t="inlineStr">
        <is>
          <t>Catálogo existente</t>
        </is>
      </c>
      <c r="AH66" s="156" t="inlineStr">
        <is>
          <t>Stock negativo en sistema: revisar en conteo</t>
        </is>
      </c>
      <c r="AI66" s="156" t="inlineStr">
        <is>
          <t>Sí</t>
        </is>
      </c>
      <c r="AJ66" s="156" t="inlineStr">
        <is>
          <t>STETSON AMERICAS (-1)</t>
        </is>
      </c>
      <c r="AK66" s="155" t="inlineStr">
        <is>
          <t>Shopify Stetson: producto 15051554259307 / variante 53342125785451 | Odoo: producto 29807 / plantilla 38511</t>
        </is>
      </c>
      <c r="AL66" s="58" t="n">
        <v>775.862069</v>
      </c>
      <c r="AM66" s="58" t="n">
        <v>1724.137931</v>
      </c>
      <c r="AN66" s="155" t="inlineStr">
        <is>
          <t>Shopify Stetson México | Odoo Universal Unique Brands</t>
        </is>
      </c>
      <c r="AO66" s="59" t="n">
        <v>1</v>
      </c>
      <c r="AP66" s="59" t="n"/>
      <c r="AQ66" s="59" t="n">
        <v>2</v>
      </c>
      <c r="AR66" s="155" t="inlineStr">
        <is>
          <t>Shopify Stetson México › Stetson Americas: 1 | Odoo Universal Unique Brands › Bodega 25 › Bodega 25/General: 2</t>
        </is>
      </c>
    </row>
    <row r="67">
      <c r="A67" s="50" t="inlineStr">
        <is>
          <t>052356628261</t>
        </is>
      </c>
      <c r="B67" s="51" t="inlineStr">
        <is>
          <t>110567</t>
        </is>
      </c>
      <c r="C67" s="156" t="inlineStr">
        <is>
          <t>Multimarca</t>
        </is>
      </c>
      <c r="D67" s="156" t="inlineStr">
        <is>
          <t>11-004-1014-4082</t>
        </is>
      </c>
      <c r="E67" s="156" t="inlineStr">
        <is>
          <t>11-004-1014-4082-34 32</t>
        </is>
      </c>
      <c r="F67" s="156" t="inlineStr">
        <is>
          <t>34 x 32</t>
        </is>
      </c>
      <c r="G67" s="156" t="inlineStr">
        <is>
          <t>34W / 32L</t>
        </is>
      </c>
      <c r="H67" s="156" t="inlineStr">
        <is>
          <t>Stetson</t>
        </is>
      </c>
      <c r="I67" s="156" t="inlineStr">
        <is>
          <t>Jean Puntada X Curva en Contraste</t>
        </is>
      </c>
      <c r="J67" s="156" t="inlineStr">
        <is>
          <t>Denim</t>
        </is>
      </c>
      <c r="K67" s="156" t="inlineStr">
        <is>
          <t>Jeans</t>
        </is>
      </c>
      <c r="L67" s="156" t="inlineStr">
        <is>
          <t>Hombre</t>
        </is>
      </c>
      <c r="M67" s="156" t="inlineStr">
        <is>
          <t>Stetson</t>
        </is>
      </c>
      <c r="N67" s="156" t="inlineStr">
        <is>
          <t>SS26</t>
        </is>
      </c>
      <c r="O67" s="156" t="inlineStr">
        <is>
          <t>Seasonal</t>
        </is>
      </c>
      <c r="P67" s="156" t="inlineStr">
        <is>
          <t>Azul</t>
        </is>
      </c>
      <c r="Q67" s="156" t="inlineStr">
        <is>
          <t>Slim</t>
        </is>
      </c>
      <c r="R67" s="156" t="inlineStr">
        <is>
          <t>Bootcut</t>
        </is>
      </c>
      <c r="S67" s="156" t="inlineStr">
        <is>
          <t>100% Algodón</t>
        </is>
      </c>
      <c r="T67" s="156" t="inlineStr">
        <is>
          <t>Jean Puntada X Curva en Contraste Fitted</t>
        </is>
      </c>
      <c r="U67" s="156" t="n"/>
      <c r="V67" s="156" t="inlineStr">
        <is>
          <t>PZS</t>
        </is>
      </c>
      <c r="W67" s="51" t="inlineStr">
        <is>
          <t>53101502</t>
        </is>
      </c>
      <c r="X67" s="156" t="n"/>
      <c r="Y67" s="54" t="n">
        <v>775.862069</v>
      </c>
      <c r="Z67" s="54" t="n">
        <v>1724.137931</v>
      </c>
      <c r="AA67" s="55">
        <f>IF(AND(A67="", B67="", E67=""), "", IF(AB67="", "Válido", IF((LEN(AB67)-LEN(SUBSTITUTE(AB67,"; ","")))/2+1&gt;(LEN(AB67)-LEN(SUBSTITUTE(AB67,"[Aviso]","")))/7, "Con Incidencias", "Válido")))</f>
        <v/>
      </c>
      <c r="AB67" s="56">
        <f>IF(AND(A67="", B67="", E67=""), "", TEXTJOIN("; ", TRUE, IF(OR(TRIM(A67&amp;"")="", ISNUMBER(SEARCH("FALTA", A67))), "UPC faltante/inválido", ""), IF(AND(A67&lt;&gt;"", IFERROR(_xlfn.XMATCH(A67,$A$2:$A$2509,0,1)&lt;&gt;_xlfn.XMATCH(A67,$A$2:$A$2509,0,-1),FALSE)), "Código de barras duplicado", ""), IF(AND(E67&lt;&gt;"", COUNTIF($E$2:$E$2509, E67)&gt;1), "SKU duplicado", ""), IF(OR(J67="", J67=""), "[Aviso] División no capturada ()", IF(ISNA(MATCH(J67, Criterios!$A$123:$A$126, 0)), "División no válida", "")), IF(OR(K67="", K67=""), "[Aviso] Categoría no capturada ()", IF(ISNA(MATCH(K67, Criterios!$A$81:$A$120, 0)), "Categoría no válida", IF(AND(J67&lt;&gt;"", J67&lt;&gt;"", J67&lt;&gt;VLOOKUP(K67, Criterios!$A$81:$B$120, 2, FALSE)), "División no coincide con Categoría", ""))), IF(OR(L67="", L67=""), "[Aviso] Género no capturado ()", IF(ISNA(MATCH(L67, Criterios!$B$123:$B$127, 0)), "Género no válido", "")), IF(OR(N67="", N67=""), "[Aviso] Temporada no capturada ()", IF(ISNA(MATCH(N67, Criterios!$C$123:$C$128, 0)), "Temporada no válida", "")), IF(OR(O67="", O67=""), "[Aviso] Ciclo de vida no capturado ()", IF(ISNA(MATCH(O67, Criterios!$D$123:$D$124, 0)), "Ciclo de vida no válido", ""))))</f>
        <v/>
      </c>
      <c r="AC67" s="56" t="n"/>
      <c r="AD67" s="51" t="n">
        <v>-1</v>
      </c>
      <c r="AE67" s="156" t="n"/>
      <c r="AF67" s="51" t="n">
        <v>0</v>
      </c>
      <c r="AG67" s="156" t="inlineStr">
        <is>
          <t>Catálogo existente</t>
        </is>
      </c>
      <c r="AH67" s="156" t="inlineStr">
        <is>
          <t>Stock negativo en sistema: revisar en conteo</t>
        </is>
      </c>
      <c r="AI67" s="156" t="inlineStr">
        <is>
          <t>Sí</t>
        </is>
      </c>
      <c r="AJ67" s="156" t="inlineStr">
        <is>
          <t>STETSON AMERICAS (-1)</t>
        </is>
      </c>
      <c r="AK67" s="155" t="inlineStr">
        <is>
          <t>Shopify Stetson: producto 15051554259307 / variante 53342125818219 | Odoo: producto 29808 / plantilla 38512</t>
        </is>
      </c>
      <c r="AL67" s="58" t="n">
        <v>775.862069</v>
      </c>
      <c r="AM67" s="58" t="n">
        <v>1724.137931</v>
      </c>
      <c r="AN67" s="155" t="inlineStr">
        <is>
          <t>Shopify Stetson México | Odoo Universal Unique Brands</t>
        </is>
      </c>
      <c r="AO67" s="59" t="n">
        <v>4</v>
      </c>
      <c r="AP67" s="59" t="n"/>
      <c r="AQ67" s="59" t="n">
        <v>5</v>
      </c>
      <c r="AR67" s="155" t="inlineStr">
        <is>
          <t>Shopify Stetson México › Stetson Americas: 4 | Odoo Universal Unique Brands › Bodega 25 › Bodega 25/General: 5</t>
        </is>
      </c>
    </row>
    <row r="68">
      <c r="A68" s="50" t="inlineStr">
        <is>
          <t>052356628278</t>
        </is>
      </c>
      <c r="B68" s="51" t="inlineStr">
        <is>
          <t>110568</t>
        </is>
      </c>
      <c r="C68" s="156" t="inlineStr">
        <is>
          <t>Multimarca</t>
        </is>
      </c>
      <c r="D68" s="156" t="inlineStr">
        <is>
          <t>11-004-1014-4082</t>
        </is>
      </c>
      <c r="E68" s="156" t="inlineStr">
        <is>
          <t>11-004-1014-4082-34 34</t>
        </is>
      </c>
      <c r="F68" s="156" t="inlineStr">
        <is>
          <t>34 x 34</t>
        </is>
      </c>
      <c r="G68" s="156" t="inlineStr">
        <is>
          <t>34W / 34L</t>
        </is>
      </c>
      <c r="H68" s="156" t="inlineStr">
        <is>
          <t>Stetson</t>
        </is>
      </c>
      <c r="I68" s="156" t="inlineStr">
        <is>
          <t>Jean Puntada X Curva en Contraste</t>
        </is>
      </c>
      <c r="J68" s="156" t="inlineStr">
        <is>
          <t>Denim</t>
        </is>
      </c>
      <c r="K68" s="156" t="inlineStr">
        <is>
          <t>Jeans</t>
        </is>
      </c>
      <c r="L68" s="156" t="inlineStr">
        <is>
          <t>Hombre</t>
        </is>
      </c>
      <c r="M68" s="156" t="inlineStr">
        <is>
          <t>Stetson</t>
        </is>
      </c>
      <c r="N68" s="156" t="inlineStr">
        <is>
          <t>SS26</t>
        </is>
      </c>
      <c r="O68" s="156" t="inlineStr">
        <is>
          <t>Seasonal</t>
        </is>
      </c>
      <c r="P68" s="156" t="inlineStr">
        <is>
          <t>Azul</t>
        </is>
      </c>
      <c r="Q68" s="156" t="inlineStr">
        <is>
          <t>Slim</t>
        </is>
      </c>
      <c r="R68" s="156" t="inlineStr">
        <is>
          <t>Bootcut</t>
        </is>
      </c>
      <c r="S68" s="156" t="inlineStr">
        <is>
          <t>100% Algodón</t>
        </is>
      </c>
      <c r="T68" s="156" t="inlineStr">
        <is>
          <t>Jean Puntada X Curva en Contraste Fitted</t>
        </is>
      </c>
      <c r="U68" s="156" t="n"/>
      <c r="V68" s="156" t="inlineStr">
        <is>
          <t>PZS</t>
        </is>
      </c>
      <c r="W68" s="51" t="inlineStr">
        <is>
          <t>53101502</t>
        </is>
      </c>
      <c r="X68" s="156" t="n"/>
      <c r="Y68" s="54" t="n">
        <v>775.862069</v>
      </c>
      <c r="Z68" s="54" t="n">
        <v>1724.137931</v>
      </c>
      <c r="AA68" s="55">
        <f>IF(AND(A68="", B68="", E68=""), "", IF(AB68="", "Válido", IF((LEN(AB68)-LEN(SUBSTITUTE(AB68,"; ","")))/2+1&gt;(LEN(AB68)-LEN(SUBSTITUTE(AB68,"[Aviso]","")))/7, "Con Incidencias", "Válido")))</f>
        <v/>
      </c>
      <c r="AB68" s="56">
        <f>IF(AND(A68="", B68="", E68=""), "", TEXTJOIN("; ", TRUE, IF(OR(TRIM(A68&amp;"")="", ISNUMBER(SEARCH("FALTA", A68))), "UPC faltante/inválido", ""), IF(AND(A68&lt;&gt;"", IFERROR(_xlfn.XMATCH(A68,$A$2:$A$2509,0,1)&lt;&gt;_xlfn.XMATCH(A68,$A$2:$A$2509,0,-1),FALSE)), "Código de barras duplicado", ""), IF(AND(E68&lt;&gt;"", COUNTIF($E$2:$E$2509, E68)&gt;1), "SKU duplicado", ""), IF(OR(J68="", J68=""), "[Aviso] División no capturada ()", IF(ISNA(MATCH(J68, Criterios!$A$123:$A$126, 0)), "División no válida", "")), IF(OR(K68="", K68=""), "[Aviso] Categoría no capturada ()", IF(ISNA(MATCH(K68, Criterios!$A$81:$A$120, 0)), "Categoría no válida", IF(AND(J68&lt;&gt;"", J68&lt;&gt;"", J68&lt;&gt;VLOOKUP(K68, Criterios!$A$81:$B$120, 2, FALSE)), "División no coincide con Categoría", ""))), IF(OR(L68="", L68=""), "[Aviso] Género no capturado ()", IF(ISNA(MATCH(L68, Criterios!$B$123:$B$127, 0)), "Género no válido", "")), IF(OR(N68="", N68=""), "[Aviso] Temporada no capturada ()", IF(ISNA(MATCH(N68, Criterios!$C$123:$C$128, 0)), "Temporada no válida", "")), IF(OR(O68="", O68=""), "[Aviso] Ciclo de vida no capturado ()", IF(ISNA(MATCH(O68, Criterios!$D$123:$D$124, 0)), "Ciclo de vida no válido", ""))))</f>
        <v/>
      </c>
      <c r="AC68" s="56" t="n"/>
      <c r="AD68" s="51" t="n">
        <v>0</v>
      </c>
      <c r="AE68" s="156" t="n"/>
      <c r="AF68" s="51" t="n">
        <v>0</v>
      </c>
      <c r="AG68" s="156" t="inlineStr">
        <is>
          <t>Catálogo existente</t>
        </is>
      </c>
      <c r="AH68" s="156" t="n"/>
      <c r="AI68" s="156" t="inlineStr">
        <is>
          <t>No</t>
        </is>
      </c>
      <c r="AJ68" s="156" t="n"/>
      <c r="AK68" s="155" t="inlineStr">
        <is>
          <t>Shopify Stetson: producto 15051554259307 / variante 53342125850987 | Odoo: producto 29809 / plantilla 38513</t>
        </is>
      </c>
      <c r="AL68" s="58" t="n">
        <v>775.862069</v>
      </c>
      <c r="AM68" s="58" t="n">
        <v>1724.137931</v>
      </c>
      <c r="AN68" s="155" t="inlineStr">
        <is>
          <t>Shopify Stetson México | Odoo Universal Unique Brands</t>
        </is>
      </c>
      <c r="AO68" s="59" t="n">
        <v>4</v>
      </c>
      <c r="AP68" s="59" t="n"/>
      <c r="AQ68" s="59" t="n">
        <v>4</v>
      </c>
      <c r="AR68" s="155" t="inlineStr">
        <is>
          <t>Shopify Stetson México › Stetson Americas: 4 | Odoo Universal Unique Brands › Bodega 25 › Bodega 25/General: 4</t>
        </is>
      </c>
    </row>
    <row r="69">
      <c r="A69" s="50" t="inlineStr">
        <is>
          <t>052356628384</t>
        </is>
      </c>
      <c r="B69" s="51" t="inlineStr">
        <is>
          <t>110569</t>
        </is>
      </c>
      <c r="C69" s="156" t="inlineStr">
        <is>
          <t>Multimarca</t>
        </is>
      </c>
      <c r="D69" s="156" t="inlineStr">
        <is>
          <t>11-004-1014-4082</t>
        </is>
      </c>
      <c r="E69" s="156" t="inlineStr">
        <is>
          <t>11-004-1014-4082-36 32</t>
        </is>
      </c>
      <c r="F69" s="156" t="inlineStr">
        <is>
          <t>36 x 32</t>
        </is>
      </c>
      <c r="G69" s="156" t="inlineStr">
        <is>
          <t>36W / 32L</t>
        </is>
      </c>
      <c r="H69" s="156" t="inlineStr">
        <is>
          <t>Stetson</t>
        </is>
      </c>
      <c r="I69" s="156" t="inlineStr">
        <is>
          <t>Jean Puntada X Curva en Contraste</t>
        </is>
      </c>
      <c r="J69" s="156" t="inlineStr">
        <is>
          <t>Denim</t>
        </is>
      </c>
      <c r="K69" s="156" t="inlineStr">
        <is>
          <t>Jeans</t>
        </is>
      </c>
      <c r="L69" s="156" t="inlineStr">
        <is>
          <t>Hombre</t>
        </is>
      </c>
      <c r="M69" s="156" t="inlineStr">
        <is>
          <t>Stetson</t>
        </is>
      </c>
      <c r="N69" s="156" t="inlineStr">
        <is>
          <t>SS26</t>
        </is>
      </c>
      <c r="O69" s="156" t="inlineStr">
        <is>
          <t>Seasonal</t>
        </is>
      </c>
      <c r="P69" s="156" t="inlineStr">
        <is>
          <t>Azul</t>
        </is>
      </c>
      <c r="Q69" s="156" t="inlineStr">
        <is>
          <t>Slim</t>
        </is>
      </c>
      <c r="R69" s="156" t="inlineStr">
        <is>
          <t>Bootcut</t>
        </is>
      </c>
      <c r="S69" s="156" t="inlineStr">
        <is>
          <t>100% Algodón</t>
        </is>
      </c>
      <c r="T69" s="156" t="inlineStr">
        <is>
          <t>Jean Puntada X Curva en Contraste Fitted</t>
        </is>
      </c>
      <c r="U69" s="156" t="n"/>
      <c r="V69" s="156" t="inlineStr">
        <is>
          <t>PZS</t>
        </is>
      </c>
      <c r="W69" s="51" t="inlineStr">
        <is>
          <t>53101502</t>
        </is>
      </c>
      <c r="X69" s="156" t="n"/>
      <c r="Y69" s="54" t="n">
        <v>775.862069</v>
      </c>
      <c r="Z69" s="54" t="n">
        <v>1724.137931</v>
      </c>
      <c r="AA69" s="55">
        <f>IF(AND(A69="", B69="", E69=""), "", IF(AB69="", "Válido", IF((LEN(AB69)-LEN(SUBSTITUTE(AB69,"; ","")))/2+1&gt;(LEN(AB69)-LEN(SUBSTITUTE(AB69,"[Aviso]","")))/7, "Con Incidencias", "Válido")))</f>
        <v/>
      </c>
      <c r="AB69" s="56">
        <f>IF(AND(A69="", B69="", E69=""), "", TEXTJOIN("; ", TRUE, IF(OR(TRIM(A69&amp;"")="", ISNUMBER(SEARCH("FALTA", A69))), "UPC faltante/inválido", ""), IF(AND(A69&lt;&gt;"", IFERROR(_xlfn.XMATCH(A69,$A$2:$A$2509,0,1)&lt;&gt;_xlfn.XMATCH(A69,$A$2:$A$2509,0,-1),FALSE)), "Código de barras duplicado", ""), IF(AND(E69&lt;&gt;"", COUNTIF($E$2:$E$2509, E69)&gt;1), "SKU duplicado", ""), IF(OR(J69="", J69=""), "[Aviso] División no capturada ()", IF(ISNA(MATCH(J69, Criterios!$A$123:$A$126, 0)), "División no válida", "")), IF(OR(K69="", K69=""), "[Aviso] Categoría no capturada ()", IF(ISNA(MATCH(K69, Criterios!$A$81:$A$120, 0)), "Categoría no válida", IF(AND(J69&lt;&gt;"", J69&lt;&gt;"", J69&lt;&gt;VLOOKUP(K69, Criterios!$A$81:$B$120, 2, FALSE)), "División no coincide con Categoría", ""))), IF(OR(L69="", L69=""), "[Aviso] Género no capturado ()", IF(ISNA(MATCH(L69, Criterios!$B$123:$B$127, 0)), "Género no válido", "")), IF(OR(N69="", N69=""), "[Aviso] Temporada no capturada ()", IF(ISNA(MATCH(N69, Criterios!$C$123:$C$128, 0)), "Temporada no válida", "")), IF(OR(O69="", O69=""), "[Aviso] Ciclo de vida no capturado ()", IF(ISNA(MATCH(O69, Criterios!$D$123:$D$124, 0)), "Ciclo de vida no válido", ""))))</f>
        <v/>
      </c>
      <c r="AC69" s="56" t="n"/>
      <c r="AD69" s="51" t="n">
        <v>-1</v>
      </c>
      <c r="AE69" s="156" t="n"/>
      <c r="AF69" s="51" t="n">
        <v>0</v>
      </c>
      <c r="AG69" s="156" t="inlineStr">
        <is>
          <t>Catálogo existente</t>
        </is>
      </c>
      <c r="AH69" s="156" t="inlineStr">
        <is>
          <t>Stock negativo en sistema: revisar en conteo</t>
        </is>
      </c>
      <c r="AI69" s="156" t="inlineStr">
        <is>
          <t>Sí</t>
        </is>
      </c>
      <c r="AJ69" s="156" t="inlineStr">
        <is>
          <t>STETSON AMERICAS (-1)</t>
        </is>
      </c>
      <c r="AK69" s="155" t="inlineStr">
        <is>
          <t>Shopify Stetson: producto 15051554259307 / variante 53342125883755 | Odoo: producto 29810 / plantilla 38514</t>
        </is>
      </c>
      <c r="AL69" s="58" t="n">
        <v>775.862069</v>
      </c>
      <c r="AM69" s="58" t="n">
        <v>1724.137931</v>
      </c>
      <c r="AN69" s="155" t="inlineStr">
        <is>
          <t>Shopify Stetson México | Odoo Universal Unique Brands</t>
        </is>
      </c>
      <c r="AO69" s="59" t="n">
        <v>0</v>
      </c>
      <c r="AP69" s="59" t="n"/>
      <c r="AQ69" s="59" t="n">
        <v>1</v>
      </c>
      <c r="AR69" s="155" t="inlineStr">
        <is>
          <t>Odoo Universal Unique Brands › Bodega 25 › Bodega 25/General: 1</t>
        </is>
      </c>
    </row>
    <row r="70">
      <c r="A70" s="50" t="inlineStr">
        <is>
          <t>052356908141</t>
        </is>
      </c>
      <c r="B70" s="51" t="inlineStr">
        <is>
          <t>110540</t>
        </is>
      </c>
      <c r="C70" s="156" t="inlineStr">
        <is>
          <t>Multimarca</t>
        </is>
      </c>
      <c r="D70" s="156" t="inlineStr">
        <is>
          <t>11-004-1014-4012</t>
        </is>
      </c>
      <c r="E70" s="156" t="inlineStr">
        <is>
          <t>11-004-1014-4012-30 32</t>
        </is>
      </c>
      <c r="F70" s="156" t="inlineStr">
        <is>
          <t>30 x 32</t>
        </is>
      </c>
      <c r="G70" s="156" t="inlineStr">
        <is>
          <t>30W / 32L</t>
        </is>
      </c>
      <c r="H70" s="156" t="inlineStr">
        <is>
          <t>Stetson</t>
        </is>
      </c>
      <c r="I70" s="156" t="inlineStr">
        <is>
          <t>Jean Sandblasted con Puntada X en Bolsa</t>
        </is>
      </c>
      <c r="J70" s="156" t="inlineStr">
        <is>
          <t>Denim</t>
        </is>
      </c>
      <c r="K70" s="156" t="inlineStr">
        <is>
          <t>Jeans</t>
        </is>
      </c>
      <c r="L70" s="156" t="inlineStr">
        <is>
          <t>Hombre</t>
        </is>
      </c>
      <c r="M70" s="156" t="inlineStr">
        <is>
          <t>Stetson</t>
        </is>
      </c>
      <c r="N70" s="156" t="inlineStr">
        <is>
          <t>SS26</t>
        </is>
      </c>
      <c r="O70" s="156" t="inlineStr">
        <is>
          <t>Seasonal</t>
        </is>
      </c>
      <c r="P70" s="156" t="inlineStr">
        <is>
          <t>Azul</t>
        </is>
      </c>
      <c r="Q70" s="156" t="inlineStr">
        <is>
          <t>Slim</t>
        </is>
      </c>
      <c r="R70" s="156" t="inlineStr">
        <is>
          <t>Bootcut</t>
        </is>
      </c>
      <c r="S70" s="156" t="inlineStr">
        <is>
          <t>100% Algodón</t>
        </is>
      </c>
      <c r="T70" s="156" t="inlineStr">
        <is>
          <t>Jean Sandblasted con Puntada X en Bolsa Fitted</t>
        </is>
      </c>
      <c r="U70" s="156" t="n"/>
      <c r="V70" s="156" t="inlineStr">
        <is>
          <t>PZS</t>
        </is>
      </c>
      <c r="W70" s="51" t="inlineStr">
        <is>
          <t>53101502</t>
        </is>
      </c>
      <c r="X70" s="156" t="n"/>
      <c r="Y70" s="54" t="n">
        <v>717.6724138</v>
      </c>
      <c r="Z70" s="54" t="n">
        <v>1594.827586</v>
      </c>
      <c r="AA70" s="55">
        <f>IF(AND(A70="", B70="", E70=""), "", IF(AB70="", "Válido", IF((LEN(AB70)-LEN(SUBSTITUTE(AB70,"; ","")))/2+1&gt;(LEN(AB70)-LEN(SUBSTITUTE(AB70,"[Aviso]","")))/7, "Con Incidencias", "Válido")))</f>
        <v/>
      </c>
      <c r="AB70" s="56">
        <f>IF(AND(A70="", B70="", E70=""), "", TEXTJOIN("; ", TRUE, IF(OR(TRIM(A70&amp;"")="", ISNUMBER(SEARCH("FALTA", A70))), "UPC faltante/inválido", ""), IF(AND(A70&lt;&gt;"", IFERROR(_xlfn.XMATCH(A70,$A$2:$A$2509,0,1)&lt;&gt;_xlfn.XMATCH(A70,$A$2:$A$2509,0,-1),FALSE)), "Código de barras duplicado", ""), IF(AND(E70&lt;&gt;"", COUNTIF($E$2:$E$2509, E70)&gt;1), "SKU duplicado", ""), IF(OR(J70="", J70=""), "[Aviso] División no capturada ()", IF(ISNA(MATCH(J70, Criterios!$A$123:$A$126, 0)), "División no válida", "")), IF(OR(K70="", K70=""), "[Aviso] Categoría no capturada ()", IF(ISNA(MATCH(K70, Criterios!$A$81:$A$120, 0)), "Categoría no válida", IF(AND(J70&lt;&gt;"", J70&lt;&gt;"", J70&lt;&gt;VLOOKUP(K70, Criterios!$A$81:$B$120, 2, FALSE)), "División no coincide con Categoría", ""))), IF(OR(L70="", L70=""), "[Aviso] Género no capturado ()", IF(ISNA(MATCH(L70, Criterios!$B$123:$B$127, 0)), "Género no válido", "")), IF(OR(N70="", N70=""), "[Aviso] Temporada no capturada ()", IF(ISNA(MATCH(N70, Criterios!$C$123:$C$128, 0)), "Temporada no válida", "")), IF(OR(O70="", O70=""), "[Aviso] Ciclo de vida no capturado ()", IF(ISNA(MATCH(O70, Criterios!$D$123:$D$124, 0)), "Ciclo de vida no válido", ""))))</f>
        <v/>
      </c>
      <c r="AC70" s="56" t="n"/>
      <c r="AD70" s="51" t="n">
        <v>0</v>
      </c>
      <c r="AE70" s="156" t="n"/>
      <c r="AF70" s="51" t="n">
        <v>0</v>
      </c>
      <c r="AG70" s="156" t="inlineStr">
        <is>
          <t>Catálogo existente</t>
        </is>
      </c>
      <c r="AH70" s="156" t="n"/>
      <c r="AI70" s="156" t="inlineStr">
        <is>
          <t>No</t>
        </is>
      </c>
      <c r="AJ70" s="156" t="n"/>
      <c r="AK70" s="155" t="inlineStr">
        <is>
          <t>Shopify Stetson: producto 15051554128235 / variante 53342124573035 | Odoo: producto 29781 / plantilla 38485</t>
        </is>
      </c>
      <c r="AL70" s="58" t="n">
        <v>717.6724138</v>
      </c>
      <c r="AM70" s="58" t="n">
        <v>1594.827586</v>
      </c>
      <c r="AN70" s="155" t="inlineStr">
        <is>
          <t>Shopify Stetson México | Odoo Universal Unique Brands</t>
        </is>
      </c>
      <c r="AO70" s="59" t="n">
        <v>4</v>
      </c>
      <c r="AP70" s="59" t="n"/>
      <c r="AQ70" s="59" t="n">
        <v>4</v>
      </c>
      <c r="AR70" s="155" t="inlineStr">
        <is>
          <t>Shopify Stetson México › Stetson Americas: 4 | Odoo Universal Unique Brands › Bodega 25 › Bodega 25/General: 4</t>
        </is>
      </c>
    </row>
    <row r="71">
      <c r="A71" s="50" t="inlineStr">
        <is>
          <t>052356908202</t>
        </is>
      </c>
      <c r="B71" s="51" t="inlineStr">
        <is>
          <t>110541</t>
        </is>
      </c>
      <c r="C71" s="156" t="inlineStr">
        <is>
          <t>Multimarca</t>
        </is>
      </c>
      <c r="D71" s="156" t="inlineStr">
        <is>
          <t>11-004-1014-4012</t>
        </is>
      </c>
      <c r="E71" s="156" t="inlineStr">
        <is>
          <t>11-004-1014-4012-31 32</t>
        </is>
      </c>
      <c r="F71" s="156" t="inlineStr">
        <is>
          <t>31 x 32</t>
        </is>
      </c>
      <c r="G71" s="156" t="inlineStr">
        <is>
          <t>31W / 32L</t>
        </is>
      </c>
      <c r="H71" s="156" t="inlineStr">
        <is>
          <t>Stetson</t>
        </is>
      </c>
      <c r="I71" s="156" t="inlineStr">
        <is>
          <t>Jean Sandblasted con Puntada X en Bolsa</t>
        </is>
      </c>
      <c r="J71" s="156" t="inlineStr">
        <is>
          <t>Denim</t>
        </is>
      </c>
      <c r="K71" s="156" t="inlineStr">
        <is>
          <t>Jeans</t>
        </is>
      </c>
      <c r="L71" s="156" t="inlineStr">
        <is>
          <t>Hombre</t>
        </is>
      </c>
      <c r="M71" s="156" t="inlineStr">
        <is>
          <t>Stetson</t>
        </is>
      </c>
      <c r="N71" s="156" t="inlineStr">
        <is>
          <t>SS26</t>
        </is>
      </c>
      <c r="O71" s="156" t="inlineStr">
        <is>
          <t>Seasonal</t>
        </is>
      </c>
      <c r="P71" s="156" t="inlineStr">
        <is>
          <t>Azul</t>
        </is>
      </c>
      <c r="Q71" s="156" t="inlineStr">
        <is>
          <t>Slim</t>
        </is>
      </c>
      <c r="R71" s="156" t="inlineStr">
        <is>
          <t>Bootcut</t>
        </is>
      </c>
      <c r="S71" s="156" t="inlineStr">
        <is>
          <t>100% Algodón</t>
        </is>
      </c>
      <c r="T71" s="156" t="inlineStr">
        <is>
          <t>Jean Sandblasted con Puntada X en Bolsa Fitted</t>
        </is>
      </c>
      <c r="U71" s="156" t="n"/>
      <c r="V71" s="156" t="inlineStr">
        <is>
          <t>PZS</t>
        </is>
      </c>
      <c r="W71" s="51" t="inlineStr">
        <is>
          <t>53101502</t>
        </is>
      </c>
      <c r="X71" s="156" t="n"/>
      <c r="Y71" s="54" t="n">
        <v>717.6724138</v>
      </c>
      <c r="Z71" s="54" t="n">
        <v>1594.827586</v>
      </c>
      <c r="AA71" s="55">
        <f>IF(AND(A71="", B71="", E71=""), "", IF(AB71="", "Válido", IF((LEN(AB71)-LEN(SUBSTITUTE(AB71,"; ","")))/2+1&gt;(LEN(AB71)-LEN(SUBSTITUTE(AB71,"[Aviso]","")))/7, "Con Incidencias", "Válido")))</f>
        <v/>
      </c>
      <c r="AB71" s="56">
        <f>IF(AND(A71="", B71="", E71=""), "", TEXTJOIN("; ", TRUE, IF(OR(TRIM(A71&amp;"")="", ISNUMBER(SEARCH("FALTA", A71))), "UPC faltante/inválido", ""), IF(AND(A71&lt;&gt;"", IFERROR(_xlfn.XMATCH(A71,$A$2:$A$2509,0,1)&lt;&gt;_xlfn.XMATCH(A71,$A$2:$A$2509,0,-1),FALSE)), "Código de barras duplicado", ""), IF(AND(E71&lt;&gt;"", COUNTIF($E$2:$E$2509, E71)&gt;1), "SKU duplicado", ""), IF(OR(J71="", J71=""), "[Aviso] División no capturada ()", IF(ISNA(MATCH(J71, Criterios!$A$123:$A$126, 0)), "División no válida", "")), IF(OR(K71="", K71=""), "[Aviso] Categoría no capturada ()", IF(ISNA(MATCH(K71, Criterios!$A$81:$A$120, 0)), "Categoría no válida", IF(AND(J71&lt;&gt;"", J71&lt;&gt;"", J71&lt;&gt;VLOOKUP(K71, Criterios!$A$81:$B$120, 2, FALSE)), "División no coincide con Categoría", ""))), IF(OR(L71="", L71=""), "[Aviso] Género no capturado ()", IF(ISNA(MATCH(L71, Criterios!$B$123:$B$127, 0)), "Género no válido", "")), IF(OR(N71="", N71=""), "[Aviso] Temporada no capturada ()", IF(ISNA(MATCH(N71, Criterios!$C$123:$C$128, 0)), "Temporada no válida", "")), IF(OR(O71="", O71=""), "[Aviso] Ciclo de vida no capturado ()", IF(ISNA(MATCH(O71, Criterios!$D$123:$D$124, 0)), "Ciclo de vida no válido", ""))))</f>
        <v/>
      </c>
      <c r="AC71" s="56" t="n"/>
      <c r="AD71" s="51" t="n">
        <v>-1</v>
      </c>
      <c r="AE71" s="156" t="n"/>
      <c r="AF71" s="51" t="n">
        <v>0</v>
      </c>
      <c r="AG71" s="156" t="inlineStr">
        <is>
          <t>Catálogo existente</t>
        </is>
      </c>
      <c r="AH71" s="156" t="inlineStr">
        <is>
          <t>Stock negativo en sistema: revisar en conteo</t>
        </is>
      </c>
      <c r="AI71" s="156" t="inlineStr">
        <is>
          <t>Sí</t>
        </is>
      </c>
      <c r="AJ71" s="156" t="inlineStr">
        <is>
          <t>STETSON AMERICAS (-1)</t>
        </is>
      </c>
      <c r="AK71" s="155" t="inlineStr">
        <is>
          <t>Shopify Stetson: producto 15051554128235 / variante 53342124605803 | Odoo: producto 29782 / plantilla 38486</t>
        </is>
      </c>
      <c r="AL71" s="58" t="n">
        <v>717.6724138</v>
      </c>
      <c r="AM71" s="58" t="n">
        <v>1594.827586</v>
      </c>
      <c r="AN71" s="155" t="inlineStr">
        <is>
          <t>Shopify Stetson México | Odoo Universal Unique Brands</t>
        </is>
      </c>
      <c r="AO71" s="59" t="n">
        <v>5</v>
      </c>
      <c r="AP71" s="59" t="n"/>
      <c r="AQ71" s="59" t="n">
        <v>6</v>
      </c>
      <c r="AR71" s="155" t="inlineStr">
        <is>
          <t>Shopify Stetson México › Stetson Americas: 5 | Odoo Universal Unique Brands › Bodega 25 › Bodega 25/General: 6</t>
        </is>
      </c>
    </row>
    <row r="72">
      <c r="A72" s="50" t="inlineStr">
        <is>
          <t>052356908264</t>
        </is>
      </c>
      <c r="B72" s="51" t="inlineStr">
        <is>
          <t>110542</t>
        </is>
      </c>
      <c r="C72" s="156" t="inlineStr">
        <is>
          <t>Multimarca</t>
        </is>
      </c>
      <c r="D72" s="156" t="inlineStr">
        <is>
          <t>11-004-1014-4012</t>
        </is>
      </c>
      <c r="E72" s="156" t="inlineStr">
        <is>
          <t>11-004-1014-4012-32 32</t>
        </is>
      </c>
      <c r="F72" s="156" t="inlineStr">
        <is>
          <t>32 x 32</t>
        </is>
      </c>
      <c r="G72" s="156" t="inlineStr">
        <is>
          <t>32W / 32L</t>
        </is>
      </c>
      <c r="H72" s="156" t="inlineStr">
        <is>
          <t>Stetson</t>
        </is>
      </c>
      <c r="I72" s="156" t="inlineStr">
        <is>
          <t>Jean Sandblasted con Puntada X en Bolsa</t>
        </is>
      </c>
      <c r="J72" s="156" t="inlineStr">
        <is>
          <t>Denim</t>
        </is>
      </c>
      <c r="K72" s="156" t="inlineStr">
        <is>
          <t>Jeans</t>
        </is>
      </c>
      <c r="L72" s="156" t="inlineStr">
        <is>
          <t>Hombre</t>
        </is>
      </c>
      <c r="M72" s="156" t="inlineStr">
        <is>
          <t>Stetson</t>
        </is>
      </c>
      <c r="N72" s="156" t="inlineStr">
        <is>
          <t>SS26</t>
        </is>
      </c>
      <c r="O72" s="156" t="inlineStr">
        <is>
          <t>Seasonal</t>
        </is>
      </c>
      <c r="P72" s="156" t="inlineStr">
        <is>
          <t>Azul</t>
        </is>
      </c>
      <c r="Q72" s="156" t="inlineStr">
        <is>
          <t>Slim</t>
        </is>
      </c>
      <c r="R72" s="156" t="inlineStr">
        <is>
          <t>Bootcut</t>
        </is>
      </c>
      <c r="S72" s="156" t="inlineStr">
        <is>
          <t>100% Algodón</t>
        </is>
      </c>
      <c r="T72" s="156" t="inlineStr">
        <is>
          <t>Jean Sandblasted con Puntada X en Bolsa Fitted</t>
        </is>
      </c>
      <c r="U72" s="156" t="n"/>
      <c r="V72" s="156" t="inlineStr">
        <is>
          <t>PZS</t>
        </is>
      </c>
      <c r="W72" s="51" t="inlineStr">
        <is>
          <t>53101502</t>
        </is>
      </c>
      <c r="X72" s="156" t="n"/>
      <c r="Y72" s="54" t="n">
        <v>717.6724138</v>
      </c>
      <c r="Z72" s="54" t="n">
        <v>1594.827586</v>
      </c>
      <c r="AA72" s="55">
        <f>IF(AND(A72="", B72="", E72=""), "", IF(AB72="", "Válido", IF((LEN(AB72)-LEN(SUBSTITUTE(AB72,"; ","")))/2+1&gt;(LEN(AB72)-LEN(SUBSTITUTE(AB72,"[Aviso]","")))/7, "Con Incidencias", "Válido")))</f>
        <v/>
      </c>
      <c r="AB72" s="56">
        <f>IF(AND(A72="", B72="", E72=""), "", TEXTJOIN("; ", TRUE, IF(OR(TRIM(A72&amp;"")="", ISNUMBER(SEARCH("FALTA", A72))), "UPC faltante/inválido", ""), IF(AND(A72&lt;&gt;"", IFERROR(_xlfn.XMATCH(A72,$A$2:$A$2509,0,1)&lt;&gt;_xlfn.XMATCH(A72,$A$2:$A$2509,0,-1),FALSE)), "Código de barras duplicado", ""), IF(AND(E72&lt;&gt;"", COUNTIF($E$2:$E$2509, E72)&gt;1), "SKU duplicado", ""), IF(OR(J72="", J72=""), "[Aviso] División no capturada ()", IF(ISNA(MATCH(J72, Criterios!$A$123:$A$126, 0)), "División no válida", "")), IF(OR(K72="", K72=""), "[Aviso] Categoría no capturada ()", IF(ISNA(MATCH(K72, Criterios!$A$81:$A$120, 0)), "Categoría no válida", IF(AND(J72&lt;&gt;"", J72&lt;&gt;"", J72&lt;&gt;VLOOKUP(K72, Criterios!$A$81:$B$120, 2, FALSE)), "División no coincide con Categoría", ""))), IF(OR(L72="", L72=""), "[Aviso] Género no capturado ()", IF(ISNA(MATCH(L72, Criterios!$B$123:$B$127, 0)), "Género no válido", "")), IF(OR(N72="", N72=""), "[Aviso] Temporada no capturada ()", IF(ISNA(MATCH(N72, Criterios!$C$123:$C$128, 0)), "Temporada no válida", "")), IF(OR(O72="", O72=""), "[Aviso] Ciclo de vida no capturado ()", IF(ISNA(MATCH(O72, Criterios!$D$123:$D$124, 0)), "Ciclo de vida no válido", ""))))</f>
        <v/>
      </c>
      <c r="AC72" s="56" t="n"/>
      <c r="AD72" s="51" t="n">
        <v>0</v>
      </c>
      <c r="AE72" s="156" t="n"/>
      <c r="AF72" s="51" t="n">
        <v>0</v>
      </c>
      <c r="AG72" s="156" t="inlineStr">
        <is>
          <t>Catálogo existente</t>
        </is>
      </c>
      <c r="AH72" s="156" t="n"/>
      <c r="AI72" s="156" t="inlineStr">
        <is>
          <t>No</t>
        </is>
      </c>
      <c r="AJ72" s="156" t="n"/>
      <c r="AK72" s="155" t="inlineStr">
        <is>
          <t>Shopify Stetson: producto 15051554128235 / variante 53342124638571 | Odoo: producto 29783 / plantilla 38487</t>
        </is>
      </c>
      <c r="AL72" s="58" t="n">
        <v>717.6724138</v>
      </c>
      <c r="AM72" s="58" t="n">
        <v>1594.827586</v>
      </c>
      <c r="AN72" s="155" t="inlineStr">
        <is>
          <t>Shopify Stetson México | Odoo Universal Unique Brands</t>
        </is>
      </c>
      <c r="AO72" s="59" t="n">
        <v>2</v>
      </c>
      <c r="AP72" s="59" t="n"/>
      <c r="AQ72" s="59" t="n">
        <v>2</v>
      </c>
      <c r="AR72" s="155" t="inlineStr">
        <is>
          <t>Shopify Stetson México › Stetson Americas: 2 | Odoo Universal Unique Brands › Bodega 25 › Bodega 25/General: 2</t>
        </is>
      </c>
    </row>
    <row r="73">
      <c r="A73" s="50" t="inlineStr">
        <is>
          <t>052356908271</t>
        </is>
      </c>
      <c r="B73" s="51" t="inlineStr">
        <is>
          <t>110543</t>
        </is>
      </c>
      <c r="C73" s="156" t="inlineStr">
        <is>
          <t>Multimarca</t>
        </is>
      </c>
      <c r="D73" s="156" t="inlineStr">
        <is>
          <t>11-004-1014-4012</t>
        </is>
      </c>
      <c r="E73" s="156" t="inlineStr">
        <is>
          <t>11-004-1014-4012-32 34</t>
        </is>
      </c>
      <c r="F73" s="156" t="inlineStr">
        <is>
          <t>32 x 34</t>
        </is>
      </c>
      <c r="G73" s="156" t="inlineStr">
        <is>
          <t>32W / 34L</t>
        </is>
      </c>
      <c r="H73" s="156" t="inlineStr">
        <is>
          <t>Stetson</t>
        </is>
      </c>
      <c r="I73" s="156" t="inlineStr">
        <is>
          <t>Jean Sandblasted con Puntada X en Bolsa</t>
        </is>
      </c>
      <c r="J73" s="156" t="inlineStr">
        <is>
          <t>Denim</t>
        </is>
      </c>
      <c r="K73" s="156" t="inlineStr">
        <is>
          <t>Jeans</t>
        </is>
      </c>
      <c r="L73" s="156" t="inlineStr">
        <is>
          <t>Hombre</t>
        </is>
      </c>
      <c r="M73" s="156" t="inlineStr">
        <is>
          <t>Stetson</t>
        </is>
      </c>
      <c r="N73" s="156" t="inlineStr">
        <is>
          <t>SS26</t>
        </is>
      </c>
      <c r="O73" s="156" t="inlineStr">
        <is>
          <t>Seasonal</t>
        </is>
      </c>
      <c r="P73" s="156" t="inlineStr">
        <is>
          <t>Azul</t>
        </is>
      </c>
      <c r="Q73" s="156" t="inlineStr">
        <is>
          <t>Slim</t>
        </is>
      </c>
      <c r="R73" s="156" t="inlineStr">
        <is>
          <t>Bootcut</t>
        </is>
      </c>
      <c r="S73" s="156" t="inlineStr">
        <is>
          <t>100% Algodón</t>
        </is>
      </c>
      <c r="T73" s="156" t="inlineStr">
        <is>
          <t>Jean Sandblasted con Puntada X en Bolsa Fitted</t>
        </is>
      </c>
      <c r="U73" s="156" t="n"/>
      <c r="V73" s="156" t="inlineStr">
        <is>
          <t>PZS</t>
        </is>
      </c>
      <c r="W73" s="51" t="inlineStr">
        <is>
          <t>53101502</t>
        </is>
      </c>
      <c r="X73" s="156" t="n"/>
      <c r="Y73" s="54" t="n">
        <v>717.6724138</v>
      </c>
      <c r="Z73" s="54" t="n">
        <v>1594.827586</v>
      </c>
      <c r="AA73" s="55">
        <f>IF(AND(A73="", B73="", E73=""), "", IF(AB73="", "Válido", IF((LEN(AB73)-LEN(SUBSTITUTE(AB73,"; ","")))/2+1&gt;(LEN(AB73)-LEN(SUBSTITUTE(AB73,"[Aviso]","")))/7, "Con Incidencias", "Válido")))</f>
        <v/>
      </c>
      <c r="AB73" s="56">
        <f>IF(AND(A73="", B73="", E73=""), "", TEXTJOIN("; ", TRUE, IF(OR(TRIM(A73&amp;"")="", ISNUMBER(SEARCH("FALTA", A73))), "UPC faltante/inválido", ""), IF(AND(A73&lt;&gt;"", IFERROR(_xlfn.XMATCH(A73,$A$2:$A$2509,0,1)&lt;&gt;_xlfn.XMATCH(A73,$A$2:$A$2509,0,-1),FALSE)), "Código de barras duplicado", ""), IF(AND(E73&lt;&gt;"", COUNTIF($E$2:$E$2509, E73)&gt;1), "SKU duplicado", ""), IF(OR(J73="", J73=""), "[Aviso] División no capturada ()", IF(ISNA(MATCH(J73, Criterios!$A$123:$A$126, 0)), "División no válida", "")), IF(OR(K73="", K73=""), "[Aviso] Categoría no capturada ()", IF(ISNA(MATCH(K73, Criterios!$A$81:$A$120, 0)), "Categoría no válida", IF(AND(J73&lt;&gt;"", J73&lt;&gt;"", J73&lt;&gt;VLOOKUP(K73, Criterios!$A$81:$B$120, 2, FALSE)), "División no coincide con Categoría", ""))), IF(OR(L73="", L73=""), "[Aviso] Género no capturado ()", IF(ISNA(MATCH(L73, Criterios!$B$123:$B$127, 0)), "Género no válido", "")), IF(OR(N73="", N73=""), "[Aviso] Temporada no capturada ()", IF(ISNA(MATCH(N73, Criterios!$C$123:$C$128, 0)), "Temporada no válida", "")), IF(OR(O73="", O73=""), "[Aviso] Ciclo de vida no capturado ()", IF(ISNA(MATCH(O73, Criterios!$D$123:$D$124, 0)), "Ciclo de vida no válido", ""))))</f>
        <v/>
      </c>
      <c r="AC73" s="56" t="n"/>
      <c r="AD73" s="51" t="n">
        <v>-1</v>
      </c>
      <c r="AE73" s="156" t="n"/>
      <c r="AF73" s="51" t="n">
        <v>0</v>
      </c>
      <c r="AG73" s="156" t="inlineStr">
        <is>
          <t>Catálogo existente</t>
        </is>
      </c>
      <c r="AH73" s="156" t="inlineStr">
        <is>
          <t>Stock negativo en sistema: revisar en conteo</t>
        </is>
      </c>
      <c r="AI73" s="156" t="inlineStr">
        <is>
          <t>Sí</t>
        </is>
      </c>
      <c r="AJ73" s="156" t="inlineStr">
        <is>
          <t>STETSON AMERICAS (-1)</t>
        </is>
      </c>
      <c r="AK73" s="155" t="inlineStr">
        <is>
          <t>Shopify Stetson: producto 15051554128235 / variante 53342124671339 | Odoo: producto 29784 / plantilla 38488</t>
        </is>
      </c>
      <c r="AL73" s="58" t="n">
        <v>717.6724138</v>
      </c>
      <c r="AM73" s="58" t="n">
        <v>1594.827586</v>
      </c>
      <c r="AN73" s="155" t="inlineStr">
        <is>
          <t>Shopify Stetson México | Odoo Universal Unique Brands</t>
        </is>
      </c>
      <c r="AO73" s="59" t="n">
        <v>2</v>
      </c>
      <c r="AP73" s="59" t="n"/>
      <c r="AQ73" s="59" t="n">
        <v>3</v>
      </c>
      <c r="AR73" s="155" t="inlineStr">
        <is>
          <t>Shopify Stetson México › Stetson Americas: 2 | Odoo Universal Unique Brands › Bodega 25 › Bodega 25/General: 3</t>
        </is>
      </c>
    </row>
    <row r="74">
      <c r="A74" s="50" t="inlineStr">
        <is>
          <t>052356908325</t>
        </is>
      </c>
      <c r="B74" s="51" t="inlineStr">
        <is>
          <t>110544</t>
        </is>
      </c>
      <c r="C74" s="156" t="inlineStr">
        <is>
          <t>Multimarca</t>
        </is>
      </c>
      <c r="D74" s="156" t="inlineStr">
        <is>
          <t>11-004-1014-4012</t>
        </is>
      </c>
      <c r="E74" s="156" t="inlineStr">
        <is>
          <t>11-004-1014-4012-33 32</t>
        </is>
      </c>
      <c r="F74" s="156" t="inlineStr">
        <is>
          <t>33 x 32</t>
        </is>
      </c>
      <c r="G74" s="156" t="inlineStr">
        <is>
          <t>33W / 32L</t>
        </is>
      </c>
      <c r="H74" s="156" t="inlineStr">
        <is>
          <t>Stetson</t>
        </is>
      </c>
      <c r="I74" s="156" t="inlineStr">
        <is>
          <t>Jean Sandblasted con Puntada X en Bolsa</t>
        </is>
      </c>
      <c r="J74" s="156" t="inlineStr">
        <is>
          <t>Denim</t>
        </is>
      </c>
      <c r="K74" s="156" t="inlineStr">
        <is>
          <t>Jeans</t>
        </is>
      </c>
      <c r="L74" s="156" t="inlineStr">
        <is>
          <t>Hombre</t>
        </is>
      </c>
      <c r="M74" s="156" t="inlineStr">
        <is>
          <t>Stetson</t>
        </is>
      </c>
      <c r="N74" s="156" t="inlineStr">
        <is>
          <t>SS26</t>
        </is>
      </c>
      <c r="O74" s="156" t="inlineStr">
        <is>
          <t>Seasonal</t>
        </is>
      </c>
      <c r="P74" s="156" t="inlineStr">
        <is>
          <t>Azul</t>
        </is>
      </c>
      <c r="Q74" s="156" t="inlineStr">
        <is>
          <t>Slim</t>
        </is>
      </c>
      <c r="R74" s="156" t="inlineStr">
        <is>
          <t>Bootcut</t>
        </is>
      </c>
      <c r="S74" s="156" t="inlineStr">
        <is>
          <t>100% Algodón</t>
        </is>
      </c>
      <c r="T74" s="156" t="inlineStr">
        <is>
          <t>Jean Sandblasted con Puntada X en Bolsa Fitted</t>
        </is>
      </c>
      <c r="U74" s="156" t="n"/>
      <c r="V74" s="156" t="inlineStr">
        <is>
          <t>PZS</t>
        </is>
      </c>
      <c r="W74" s="51" t="inlineStr">
        <is>
          <t>53101502</t>
        </is>
      </c>
      <c r="X74" s="156" t="n"/>
      <c r="Y74" s="54" t="n">
        <v>717.6724138</v>
      </c>
      <c r="Z74" s="54" t="n">
        <v>1594.827586</v>
      </c>
      <c r="AA74" s="55">
        <f>IF(AND(A74="", B74="", E74=""), "", IF(AB74="", "Válido", IF((LEN(AB74)-LEN(SUBSTITUTE(AB74,"; ","")))/2+1&gt;(LEN(AB74)-LEN(SUBSTITUTE(AB74,"[Aviso]","")))/7, "Con Incidencias", "Válido")))</f>
        <v/>
      </c>
      <c r="AB74" s="56">
        <f>IF(AND(A74="", B74="", E74=""), "", TEXTJOIN("; ", TRUE, IF(OR(TRIM(A74&amp;"")="", ISNUMBER(SEARCH("FALTA", A74))), "UPC faltante/inválido", ""), IF(AND(A74&lt;&gt;"", IFERROR(_xlfn.XMATCH(A74,$A$2:$A$2509,0,1)&lt;&gt;_xlfn.XMATCH(A74,$A$2:$A$2509,0,-1),FALSE)), "Código de barras duplicado", ""), IF(AND(E74&lt;&gt;"", COUNTIF($E$2:$E$2509, E74)&gt;1), "SKU duplicado", ""), IF(OR(J74="", J74=""), "[Aviso] División no capturada ()", IF(ISNA(MATCH(J74, Criterios!$A$123:$A$126, 0)), "División no válida", "")), IF(OR(K74="", K74=""), "[Aviso] Categoría no capturada ()", IF(ISNA(MATCH(K74, Criterios!$A$81:$A$120, 0)), "Categoría no válida", IF(AND(J74&lt;&gt;"", J74&lt;&gt;"", J74&lt;&gt;VLOOKUP(K74, Criterios!$A$81:$B$120, 2, FALSE)), "División no coincide con Categoría", ""))), IF(OR(L74="", L74=""), "[Aviso] Género no capturado ()", IF(ISNA(MATCH(L74, Criterios!$B$123:$B$127, 0)), "Género no válido", "")), IF(OR(N74="", N74=""), "[Aviso] Temporada no capturada ()", IF(ISNA(MATCH(N74, Criterios!$C$123:$C$128, 0)), "Temporada no válida", "")), IF(OR(O74="", O74=""), "[Aviso] Ciclo de vida no capturado ()", IF(ISNA(MATCH(O74, Criterios!$D$123:$D$124, 0)), "Ciclo de vida no válido", ""))))</f>
        <v/>
      </c>
      <c r="AC74" s="56" t="n"/>
      <c r="AD74" s="51" t="n">
        <v>0</v>
      </c>
      <c r="AE74" s="156" t="n"/>
      <c r="AF74" s="51" t="n">
        <v>0</v>
      </c>
      <c r="AG74" s="156" t="inlineStr">
        <is>
          <t>Catálogo existente</t>
        </is>
      </c>
      <c r="AH74" s="156" t="n"/>
      <c r="AI74" s="156" t="inlineStr">
        <is>
          <t>No</t>
        </is>
      </c>
      <c r="AJ74" s="156" t="n"/>
      <c r="AK74" s="155" t="inlineStr">
        <is>
          <t>Shopify Stetson: producto 15051554128235 / variante 53342124704107 | Odoo: producto 29785 / plantilla 38489</t>
        </is>
      </c>
      <c r="AL74" s="58" t="n">
        <v>717.6724138</v>
      </c>
      <c r="AM74" s="58" t="n">
        <v>1594.827586</v>
      </c>
      <c r="AN74" s="155" t="inlineStr">
        <is>
          <t>Shopify Stetson México | Odoo Universal Unique Brands</t>
        </is>
      </c>
      <c r="AO74" s="59" t="n">
        <v>8</v>
      </c>
      <c r="AP74" s="59" t="n"/>
      <c r="AQ74" s="59" t="n">
        <v>8</v>
      </c>
      <c r="AR74" s="155" t="inlineStr">
        <is>
          <t>Shopify Stetson México › Stetson Americas: 8 | Odoo Universal Unique Brands › Bodega 25 › Bodega 25/General: 8</t>
        </is>
      </c>
    </row>
    <row r="75">
      <c r="A75" s="50" t="inlineStr">
        <is>
          <t>052356908394</t>
        </is>
      </c>
      <c r="B75" s="51" t="inlineStr">
        <is>
          <t>110545</t>
        </is>
      </c>
      <c r="C75" s="156" t="inlineStr">
        <is>
          <t>Multimarca</t>
        </is>
      </c>
      <c r="D75" s="156" t="inlineStr">
        <is>
          <t>11-004-1014-4012</t>
        </is>
      </c>
      <c r="E75" s="156" t="inlineStr">
        <is>
          <t>11-004-1014-4012-34 34</t>
        </is>
      </c>
      <c r="F75" s="156" t="inlineStr">
        <is>
          <t>34 x 34</t>
        </is>
      </c>
      <c r="G75" s="156" t="inlineStr">
        <is>
          <t>34W / 34L</t>
        </is>
      </c>
      <c r="H75" s="156" t="inlineStr">
        <is>
          <t>Stetson</t>
        </is>
      </c>
      <c r="I75" s="156" t="inlineStr">
        <is>
          <t>Jean Sandblasted con Puntada X en Bolsa</t>
        </is>
      </c>
      <c r="J75" s="156" t="inlineStr">
        <is>
          <t>Denim</t>
        </is>
      </c>
      <c r="K75" s="156" t="inlineStr">
        <is>
          <t>Jeans</t>
        </is>
      </c>
      <c r="L75" s="156" t="inlineStr">
        <is>
          <t>Hombre</t>
        </is>
      </c>
      <c r="M75" s="156" t="inlineStr">
        <is>
          <t>Stetson</t>
        </is>
      </c>
      <c r="N75" s="156" t="inlineStr">
        <is>
          <t>SS26</t>
        </is>
      </c>
      <c r="O75" s="156" t="inlineStr">
        <is>
          <t>Seasonal</t>
        </is>
      </c>
      <c r="P75" s="156" t="inlineStr">
        <is>
          <t>Azul</t>
        </is>
      </c>
      <c r="Q75" s="156" t="inlineStr">
        <is>
          <t>Slim</t>
        </is>
      </c>
      <c r="R75" s="156" t="inlineStr">
        <is>
          <t>Bootcut</t>
        </is>
      </c>
      <c r="S75" s="156" t="inlineStr">
        <is>
          <t>100% Algodón</t>
        </is>
      </c>
      <c r="T75" s="156" t="inlineStr">
        <is>
          <t>Jean Sandblasted con Puntada X en Bolsa Fitted</t>
        </is>
      </c>
      <c r="U75" s="156" t="n"/>
      <c r="V75" s="156" t="inlineStr">
        <is>
          <t>PZS</t>
        </is>
      </c>
      <c r="W75" s="51" t="inlineStr">
        <is>
          <t>53101502</t>
        </is>
      </c>
      <c r="X75" s="156" t="n"/>
      <c r="Y75" s="54" t="n">
        <v>717.6724138</v>
      </c>
      <c r="Z75" s="54" t="n">
        <v>1594.827586</v>
      </c>
      <c r="AA75" s="55">
        <f>IF(AND(A75="", B75="", E75=""), "", IF(AB75="", "Válido", IF((LEN(AB75)-LEN(SUBSTITUTE(AB75,"; ","")))/2+1&gt;(LEN(AB75)-LEN(SUBSTITUTE(AB75,"[Aviso]","")))/7, "Con Incidencias", "Válido")))</f>
        <v/>
      </c>
      <c r="AB75" s="56">
        <f>IF(AND(A75="", B75="", E75=""), "", TEXTJOIN("; ", TRUE, IF(OR(TRIM(A75&amp;"")="", ISNUMBER(SEARCH("FALTA", A75))), "UPC faltante/inválido", ""), IF(AND(A75&lt;&gt;"", IFERROR(_xlfn.XMATCH(A75,$A$2:$A$2509,0,1)&lt;&gt;_xlfn.XMATCH(A75,$A$2:$A$2509,0,-1),FALSE)), "Código de barras duplicado", ""), IF(AND(E75&lt;&gt;"", COUNTIF($E$2:$E$2509, E75)&gt;1), "SKU duplicado", ""), IF(OR(J75="", J75=""), "[Aviso] División no capturada ()", IF(ISNA(MATCH(J75, Criterios!$A$123:$A$126, 0)), "División no válida", "")), IF(OR(K75="", K75=""), "[Aviso] Categoría no capturada ()", IF(ISNA(MATCH(K75, Criterios!$A$81:$A$120, 0)), "Categoría no válida", IF(AND(J75&lt;&gt;"", J75&lt;&gt;"", J75&lt;&gt;VLOOKUP(K75, Criterios!$A$81:$B$120, 2, FALSE)), "División no coincide con Categoría", ""))), IF(OR(L75="", L75=""), "[Aviso] Género no capturado ()", IF(ISNA(MATCH(L75, Criterios!$B$123:$B$127, 0)), "Género no válido", "")), IF(OR(N75="", N75=""), "[Aviso] Temporada no capturada ()", IF(ISNA(MATCH(N75, Criterios!$C$123:$C$128, 0)), "Temporada no válida", "")), IF(OR(O75="", O75=""), "[Aviso] Ciclo de vida no capturado ()", IF(ISNA(MATCH(O75, Criterios!$D$123:$D$124, 0)), "Ciclo de vida no válido", ""))))</f>
        <v/>
      </c>
      <c r="AC75" s="56" t="n"/>
      <c r="AD75" s="51" t="n">
        <v>0</v>
      </c>
      <c r="AE75" s="156" t="n"/>
      <c r="AF75" s="51" t="n">
        <v>0</v>
      </c>
      <c r="AG75" s="156" t="inlineStr">
        <is>
          <t>Catálogo existente</t>
        </is>
      </c>
      <c r="AH75" s="156" t="n"/>
      <c r="AI75" s="156" t="inlineStr">
        <is>
          <t>No</t>
        </is>
      </c>
      <c r="AJ75" s="156" t="n"/>
      <c r="AK75" s="155" t="inlineStr">
        <is>
          <t>Shopify Stetson: producto 15051554128235 / variante 53342124736875 | Odoo: producto 29786 / plantilla 38490</t>
        </is>
      </c>
      <c r="AL75" s="58" t="n">
        <v>717.6724138</v>
      </c>
      <c r="AM75" s="58" t="n">
        <v>1594.827586</v>
      </c>
      <c r="AN75" s="155" t="inlineStr">
        <is>
          <t>Shopify Stetson México | Odoo Universal Unique Brands</t>
        </is>
      </c>
      <c r="AO75" s="59" t="n">
        <v>12</v>
      </c>
      <c r="AP75" s="59" t="n"/>
      <c r="AQ75" s="59" t="n">
        <v>12</v>
      </c>
      <c r="AR75" s="155" t="inlineStr">
        <is>
          <t>Shopify Stetson México › Stetson Americas: 12 | Odoo Universal Unique Brands › Bodega 25 › Bodega 25/General: 12</t>
        </is>
      </c>
    </row>
    <row r="76">
      <c r="A76" s="50" t="inlineStr">
        <is>
          <t>052356908400</t>
        </is>
      </c>
      <c r="B76" s="51" t="inlineStr">
        <is>
          <t>110546</t>
        </is>
      </c>
      <c r="C76" s="156" t="inlineStr">
        <is>
          <t>Multimarca</t>
        </is>
      </c>
      <c r="D76" s="156" t="inlineStr">
        <is>
          <t>11-004-1014-4012</t>
        </is>
      </c>
      <c r="E76" s="156" t="inlineStr">
        <is>
          <t>11-004-1014-4012-34 36</t>
        </is>
      </c>
      <c r="F76" s="156" t="inlineStr">
        <is>
          <t>34 x 36</t>
        </is>
      </c>
      <c r="G76" s="156" t="inlineStr">
        <is>
          <t>34W / 36L</t>
        </is>
      </c>
      <c r="H76" s="156" t="inlineStr">
        <is>
          <t>Stetson</t>
        </is>
      </c>
      <c r="I76" s="156" t="inlineStr">
        <is>
          <t>Jean Sandblasted con Puntada X en Bolsa</t>
        </is>
      </c>
      <c r="J76" s="156" t="inlineStr">
        <is>
          <t>Denim</t>
        </is>
      </c>
      <c r="K76" s="156" t="inlineStr">
        <is>
          <t>Jeans</t>
        </is>
      </c>
      <c r="L76" s="156" t="inlineStr">
        <is>
          <t>Hombre</t>
        </is>
      </c>
      <c r="M76" s="156" t="inlineStr">
        <is>
          <t>Stetson</t>
        </is>
      </c>
      <c r="N76" s="156" t="inlineStr">
        <is>
          <t>SS26</t>
        </is>
      </c>
      <c r="O76" s="156" t="inlineStr">
        <is>
          <t>Seasonal</t>
        </is>
      </c>
      <c r="P76" s="156" t="inlineStr">
        <is>
          <t>Azul</t>
        </is>
      </c>
      <c r="Q76" s="156" t="inlineStr">
        <is>
          <t>Slim</t>
        </is>
      </c>
      <c r="R76" s="156" t="inlineStr">
        <is>
          <t>Bootcut</t>
        </is>
      </c>
      <c r="S76" s="156" t="inlineStr">
        <is>
          <t>100% Algodón</t>
        </is>
      </c>
      <c r="T76" s="156" t="inlineStr">
        <is>
          <t>Jean Sandblasted con Puntada X en Bolsa Fitted</t>
        </is>
      </c>
      <c r="U76" s="156" t="n"/>
      <c r="V76" s="156" t="inlineStr">
        <is>
          <t>PZS</t>
        </is>
      </c>
      <c r="W76" s="51" t="inlineStr">
        <is>
          <t>53101502</t>
        </is>
      </c>
      <c r="X76" s="156" t="n"/>
      <c r="Y76" s="54" t="n">
        <v>717.6724138</v>
      </c>
      <c r="Z76" s="54" t="n">
        <v>1594.827586</v>
      </c>
      <c r="AA76" s="55">
        <f>IF(AND(A76="", B76="", E76=""), "", IF(AB76="", "Válido", IF((LEN(AB76)-LEN(SUBSTITUTE(AB76,"; ","")))/2+1&gt;(LEN(AB76)-LEN(SUBSTITUTE(AB76,"[Aviso]","")))/7, "Con Incidencias", "Válido")))</f>
        <v/>
      </c>
      <c r="AB76" s="56">
        <f>IF(AND(A76="", B76="", E76=""), "", TEXTJOIN("; ", TRUE, IF(OR(TRIM(A76&amp;"")="", ISNUMBER(SEARCH("FALTA", A76))), "UPC faltante/inválido", ""), IF(AND(A76&lt;&gt;"", IFERROR(_xlfn.XMATCH(A76,$A$2:$A$2509,0,1)&lt;&gt;_xlfn.XMATCH(A76,$A$2:$A$2509,0,-1),FALSE)), "Código de barras duplicado", ""), IF(AND(E76&lt;&gt;"", COUNTIF($E$2:$E$2509, E76)&gt;1), "SKU duplicado", ""), IF(OR(J76="", J76=""), "[Aviso] División no capturada ()", IF(ISNA(MATCH(J76, Criterios!$A$123:$A$126, 0)), "División no válida", "")), IF(OR(K76="", K76=""), "[Aviso] Categoría no capturada ()", IF(ISNA(MATCH(K76, Criterios!$A$81:$A$120, 0)), "Categoría no válida", IF(AND(J76&lt;&gt;"", J76&lt;&gt;"", J76&lt;&gt;VLOOKUP(K76, Criterios!$A$81:$B$120, 2, FALSE)), "División no coincide con Categoría", ""))), IF(OR(L76="", L76=""), "[Aviso] Género no capturado ()", IF(ISNA(MATCH(L76, Criterios!$B$123:$B$127, 0)), "Género no válido", "")), IF(OR(N76="", N76=""), "[Aviso] Temporada no capturada ()", IF(ISNA(MATCH(N76, Criterios!$C$123:$C$128, 0)), "Temporada no válida", "")), IF(OR(O76="", O76=""), "[Aviso] Ciclo de vida no capturado ()", IF(ISNA(MATCH(O76, Criterios!$D$123:$D$124, 0)), "Ciclo de vida no válido", ""))))</f>
        <v/>
      </c>
      <c r="AC76" s="56" t="n"/>
      <c r="AD76" s="51" t="n">
        <v>0</v>
      </c>
      <c r="AE76" s="156" t="n"/>
      <c r="AF76" s="51" t="n">
        <v>0</v>
      </c>
      <c r="AG76" s="156" t="inlineStr">
        <is>
          <t>Catálogo existente</t>
        </is>
      </c>
      <c r="AH76" s="156" t="n"/>
      <c r="AI76" s="156" t="inlineStr">
        <is>
          <t>No</t>
        </is>
      </c>
      <c r="AJ76" s="156" t="n"/>
      <c r="AK76" s="155" t="inlineStr">
        <is>
          <t>Shopify Stetson: producto 15051554128235 / variante 53342124769643 | Odoo: producto 29787 / plantilla 38491</t>
        </is>
      </c>
      <c r="AL76" s="58" t="n">
        <v>717.6724138</v>
      </c>
      <c r="AM76" s="58" t="n">
        <v>1594.827586</v>
      </c>
      <c r="AN76" s="155" t="inlineStr">
        <is>
          <t>Shopify Stetson México | Odoo Universal Unique Brands</t>
        </is>
      </c>
      <c r="AO76" s="59" t="n">
        <v>4</v>
      </c>
      <c r="AP76" s="59" t="n"/>
      <c r="AQ76" s="59" t="n">
        <v>4</v>
      </c>
      <c r="AR76" s="155" t="inlineStr">
        <is>
          <t>Shopify Stetson México › Stetson Americas: 4 | Odoo Universal Unique Brands › Bodega 25 › Bodega 25/General: 4</t>
        </is>
      </c>
    </row>
    <row r="77">
      <c r="A77" s="50" t="inlineStr">
        <is>
          <t>052356908554</t>
        </is>
      </c>
      <c r="B77" s="51" t="inlineStr">
        <is>
          <t>110547</t>
        </is>
      </c>
      <c r="C77" s="156" t="inlineStr">
        <is>
          <t>Multimarca</t>
        </is>
      </c>
      <c r="D77" s="156" t="inlineStr">
        <is>
          <t>11-004-1014-4012</t>
        </is>
      </c>
      <c r="E77" s="156" t="inlineStr">
        <is>
          <t>11-004-1014-4012-36 32</t>
        </is>
      </c>
      <c r="F77" s="156" t="inlineStr">
        <is>
          <t>36 x 32</t>
        </is>
      </c>
      <c r="G77" s="156" t="inlineStr">
        <is>
          <t>36W / 32L</t>
        </is>
      </c>
      <c r="H77" s="156" t="inlineStr">
        <is>
          <t>Stetson</t>
        </is>
      </c>
      <c r="I77" s="156" t="inlineStr">
        <is>
          <t>Jean Sandblasted con Puntada X en Bolsa</t>
        </is>
      </c>
      <c r="J77" s="156" t="inlineStr">
        <is>
          <t>Denim</t>
        </is>
      </c>
      <c r="K77" s="156" t="inlineStr">
        <is>
          <t>Jeans</t>
        </is>
      </c>
      <c r="L77" s="156" t="inlineStr">
        <is>
          <t>Hombre</t>
        </is>
      </c>
      <c r="M77" s="156" t="inlineStr">
        <is>
          <t>Stetson</t>
        </is>
      </c>
      <c r="N77" s="156" t="inlineStr">
        <is>
          <t>SS26</t>
        </is>
      </c>
      <c r="O77" s="156" t="inlineStr">
        <is>
          <t>Seasonal</t>
        </is>
      </c>
      <c r="P77" s="156" t="inlineStr">
        <is>
          <t>Azul</t>
        </is>
      </c>
      <c r="Q77" s="156" t="inlineStr">
        <is>
          <t>Slim</t>
        </is>
      </c>
      <c r="R77" s="156" t="inlineStr">
        <is>
          <t>Bootcut</t>
        </is>
      </c>
      <c r="S77" s="156" t="inlineStr">
        <is>
          <t>100% Algodón</t>
        </is>
      </c>
      <c r="T77" s="156" t="inlineStr">
        <is>
          <t>Jean Sandblasted con Puntada X en Bolsa Fitted</t>
        </is>
      </c>
      <c r="U77" s="156" t="n"/>
      <c r="V77" s="156" t="inlineStr">
        <is>
          <t>PZS</t>
        </is>
      </c>
      <c r="W77" s="51" t="inlineStr">
        <is>
          <t>53101502</t>
        </is>
      </c>
      <c r="X77" s="156" t="n"/>
      <c r="Y77" s="54" t="n">
        <v>717.6724138</v>
      </c>
      <c r="Z77" s="54" t="n">
        <v>1594.827586</v>
      </c>
      <c r="AA77" s="55">
        <f>IF(AND(A77="", B77="", E77=""), "", IF(AB77="", "Válido", IF((LEN(AB77)-LEN(SUBSTITUTE(AB77,"; ","")))/2+1&gt;(LEN(AB77)-LEN(SUBSTITUTE(AB77,"[Aviso]","")))/7, "Con Incidencias", "Válido")))</f>
        <v/>
      </c>
      <c r="AB77" s="56">
        <f>IF(AND(A77="", B77="", E77=""), "", TEXTJOIN("; ", TRUE, IF(OR(TRIM(A77&amp;"")="", ISNUMBER(SEARCH("FALTA", A77))), "UPC faltante/inválido", ""), IF(AND(A77&lt;&gt;"", IFERROR(_xlfn.XMATCH(A77,$A$2:$A$2509,0,1)&lt;&gt;_xlfn.XMATCH(A77,$A$2:$A$2509,0,-1),FALSE)), "Código de barras duplicado", ""), IF(AND(E77&lt;&gt;"", COUNTIF($E$2:$E$2509, E77)&gt;1), "SKU duplicado", ""), IF(OR(J77="", J77=""), "[Aviso] División no capturada ()", IF(ISNA(MATCH(J77, Criterios!$A$123:$A$126, 0)), "División no válida", "")), IF(OR(K77="", K77=""), "[Aviso] Categoría no capturada ()", IF(ISNA(MATCH(K77, Criterios!$A$81:$A$120, 0)), "Categoría no válida", IF(AND(J77&lt;&gt;"", J77&lt;&gt;"", J77&lt;&gt;VLOOKUP(K77, Criterios!$A$81:$B$120, 2, FALSE)), "División no coincide con Categoría", ""))), IF(OR(L77="", L77=""), "[Aviso] Género no capturado ()", IF(ISNA(MATCH(L77, Criterios!$B$123:$B$127, 0)), "Género no válido", "")), IF(OR(N77="", N77=""), "[Aviso] Temporada no capturada ()", IF(ISNA(MATCH(N77, Criterios!$C$123:$C$128, 0)), "Temporada no válida", "")), IF(OR(O77="", O77=""), "[Aviso] Ciclo de vida no capturado ()", IF(ISNA(MATCH(O77, Criterios!$D$123:$D$124, 0)), "Ciclo de vida no válido", ""))))</f>
        <v/>
      </c>
      <c r="AC77" s="56" t="n"/>
      <c r="AD77" s="51" t="n">
        <v>-1</v>
      </c>
      <c r="AE77" s="156" t="n"/>
      <c r="AF77" s="51" t="n">
        <v>0</v>
      </c>
      <c r="AG77" s="156" t="inlineStr">
        <is>
          <t>Catálogo existente</t>
        </is>
      </c>
      <c r="AH77" s="156" t="inlineStr">
        <is>
          <t>Stock negativo en sistema: revisar en conteo</t>
        </is>
      </c>
      <c r="AI77" s="156" t="inlineStr">
        <is>
          <t>Sí</t>
        </is>
      </c>
      <c r="AJ77" s="156" t="inlineStr">
        <is>
          <t>STETSON AMERICAS (-1)</t>
        </is>
      </c>
      <c r="AK77" s="155" t="inlineStr">
        <is>
          <t>Shopify Stetson: producto 15051554128235 / variante 53342124802411 | Odoo: producto 29788 / plantilla 38492</t>
        </is>
      </c>
      <c r="AL77" s="58" t="n">
        <v>717.6724138</v>
      </c>
      <c r="AM77" s="58" t="n">
        <v>1594.827586</v>
      </c>
      <c r="AN77" s="155" t="inlineStr">
        <is>
          <t>Shopify Stetson México | Odoo Universal Unique Brands</t>
        </is>
      </c>
      <c r="AO77" s="59" t="n">
        <v>0</v>
      </c>
      <c r="AP77" s="59" t="n"/>
      <c r="AQ77" s="59" t="n">
        <v>1</v>
      </c>
      <c r="AR77" s="155" t="inlineStr">
        <is>
          <t>Odoo Universal Unique Brands › Bodega 25 › Bodega 25/General: 1</t>
        </is>
      </c>
    </row>
    <row r="78">
      <c r="A78" s="50" t="inlineStr">
        <is>
          <t>052356908561</t>
        </is>
      </c>
      <c r="B78" s="51" t="inlineStr">
        <is>
          <t>110548</t>
        </is>
      </c>
      <c r="C78" s="156" t="inlineStr">
        <is>
          <t>Multimarca</t>
        </is>
      </c>
      <c r="D78" s="156" t="inlineStr">
        <is>
          <t>11-004-1014-4012</t>
        </is>
      </c>
      <c r="E78" s="156" t="inlineStr">
        <is>
          <t>11-004-1014-4012-36 34</t>
        </is>
      </c>
      <c r="F78" s="156" t="inlineStr">
        <is>
          <t>36 x 34</t>
        </is>
      </c>
      <c r="G78" s="156" t="inlineStr">
        <is>
          <t>36W / 34L</t>
        </is>
      </c>
      <c r="H78" s="156" t="inlineStr">
        <is>
          <t>Stetson</t>
        </is>
      </c>
      <c r="I78" s="156" t="inlineStr">
        <is>
          <t>Jean Sandblasted con Puntada X en Bolsa</t>
        </is>
      </c>
      <c r="J78" s="156" t="inlineStr">
        <is>
          <t>Denim</t>
        </is>
      </c>
      <c r="K78" s="156" t="inlineStr">
        <is>
          <t>Jeans</t>
        </is>
      </c>
      <c r="L78" s="156" t="inlineStr">
        <is>
          <t>Hombre</t>
        </is>
      </c>
      <c r="M78" s="156" t="inlineStr">
        <is>
          <t>Stetson</t>
        </is>
      </c>
      <c r="N78" s="156" t="inlineStr">
        <is>
          <t>SS26</t>
        </is>
      </c>
      <c r="O78" s="156" t="inlineStr">
        <is>
          <t>Seasonal</t>
        </is>
      </c>
      <c r="P78" s="156" t="inlineStr">
        <is>
          <t>Azul</t>
        </is>
      </c>
      <c r="Q78" s="156" t="inlineStr">
        <is>
          <t>Slim</t>
        </is>
      </c>
      <c r="R78" s="156" t="inlineStr">
        <is>
          <t>Bootcut</t>
        </is>
      </c>
      <c r="S78" s="156" t="inlineStr">
        <is>
          <t>100% Algodón</t>
        </is>
      </c>
      <c r="T78" s="156" t="inlineStr">
        <is>
          <t>Jean Sandblasted con Puntada X en Bolsa Fitted</t>
        </is>
      </c>
      <c r="U78" s="156" t="n"/>
      <c r="V78" s="156" t="inlineStr">
        <is>
          <t>PZS</t>
        </is>
      </c>
      <c r="W78" s="51" t="inlineStr">
        <is>
          <t>53101502</t>
        </is>
      </c>
      <c r="X78" s="156" t="n"/>
      <c r="Y78" s="54" t="n">
        <v>717.6724138</v>
      </c>
      <c r="Z78" s="54" t="n">
        <v>1594.827586</v>
      </c>
      <c r="AA78" s="55">
        <f>IF(AND(A78="", B78="", E78=""), "", IF(AB78="", "Válido", IF((LEN(AB78)-LEN(SUBSTITUTE(AB78,"; ","")))/2+1&gt;(LEN(AB78)-LEN(SUBSTITUTE(AB78,"[Aviso]","")))/7, "Con Incidencias", "Válido")))</f>
        <v/>
      </c>
      <c r="AB78" s="56">
        <f>IF(AND(A78="", B78="", E78=""), "", TEXTJOIN("; ", TRUE, IF(OR(TRIM(A78&amp;"")="", ISNUMBER(SEARCH("FALTA", A78))), "UPC faltante/inválido", ""), IF(AND(A78&lt;&gt;"", IFERROR(_xlfn.XMATCH(A78,$A$2:$A$2509,0,1)&lt;&gt;_xlfn.XMATCH(A78,$A$2:$A$2509,0,-1),FALSE)), "Código de barras duplicado", ""), IF(AND(E78&lt;&gt;"", COUNTIF($E$2:$E$2509, E78)&gt;1), "SKU duplicado", ""), IF(OR(J78="", J78=""), "[Aviso] División no capturada ()", IF(ISNA(MATCH(J78, Criterios!$A$123:$A$126, 0)), "División no válida", "")), IF(OR(K78="", K78=""), "[Aviso] Categoría no capturada ()", IF(ISNA(MATCH(K78, Criterios!$A$81:$A$120, 0)), "Categoría no válida", IF(AND(J78&lt;&gt;"", J78&lt;&gt;"", J78&lt;&gt;VLOOKUP(K78, Criterios!$A$81:$B$120, 2, FALSE)), "División no coincide con Categoría", ""))), IF(OR(L78="", L78=""), "[Aviso] Género no capturado ()", IF(ISNA(MATCH(L78, Criterios!$B$123:$B$127, 0)), "Género no válido", "")), IF(OR(N78="", N78=""), "[Aviso] Temporada no capturada ()", IF(ISNA(MATCH(N78, Criterios!$C$123:$C$128, 0)), "Temporada no válida", "")), IF(OR(O78="", O78=""), "[Aviso] Ciclo de vida no capturado ()", IF(ISNA(MATCH(O78, Criterios!$D$123:$D$124, 0)), "Ciclo de vida no válido", ""))))</f>
        <v/>
      </c>
      <c r="AC78" s="56" t="n"/>
      <c r="AD78" s="51" t="n">
        <v>-1</v>
      </c>
      <c r="AE78" s="156" t="n"/>
      <c r="AF78" s="51" t="n">
        <v>0</v>
      </c>
      <c r="AG78" s="156" t="inlineStr">
        <is>
          <t>Catálogo existente</t>
        </is>
      </c>
      <c r="AH78" s="156" t="inlineStr">
        <is>
          <t>Stock negativo en sistema: revisar en conteo</t>
        </is>
      </c>
      <c r="AI78" s="156" t="inlineStr">
        <is>
          <t>Sí</t>
        </is>
      </c>
      <c r="AJ78" s="156" t="inlineStr">
        <is>
          <t>STETSON AMERICAS (-1)</t>
        </is>
      </c>
      <c r="AK78" s="155" t="inlineStr">
        <is>
          <t>Shopify Stetson: producto 15051554128235 / variante 53342124835179 | Odoo: producto 29789 / plantilla 38493</t>
        </is>
      </c>
      <c r="AL78" s="58" t="n">
        <v>717.6724138</v>
      </c>
      <c r="AM78" s="58" t="n">
        <v>1594.827586</v>
      </c>
      <c r="AN78" s="155" t="inlineStr">
        <is>
          <t>Shopify Stetson México | Odoo Universal Unique Brands</t>
        </is>
      </c>
      <c r="AO78" s="59" t="n">
        <v>3</v>
      </c>
      <c r="AP78" s="59" t="n"/>
      <c r="AQ78" s="59" t="n">
        <v>4</v>
      </c>
      <c r="AR78" s="155" t="inlineStr">
        <is>
          <t>Shopify Stetson México › Stetson Americas: 3 | Odoo Universal Unique Brands › Bodega 25 › Bodega 25/General: 4</t>
        </is>
      </c>
    </row>
    <row r="79">
      <c r="A79" s="50" t="inlineStr">
        <is>
          <t>100000STH107</t>
        </is>
      </c>
      <c r="B79" s="51" t="inlineStr">
        <is>
          <t>110236</t>
        </is>
      </c>
      <c r="C79" s="156" t="inlineStr">
        <is>
          <t>Multimarca</t>
        </is>
      </c>
      <c r="D79" s="156" t="inlineStr">
        <is>
          <t>ST-H107</t>
        </is>
      </c>
      <c r="E79" s="156" t="inlineStr">
        <is>
          <t>ST-H107</t>
        </is>
      </c>
      <c r="F79" s="156" t="inlineStr">
        <is>
          <t>Talla única</t>
        </is>
      </c>
      <c r="G79" s="156" t="inlineStr">
        <is>
          <t>One Size</t>
        </is>
      </c>
      <c r="H79" s="156" t="inlineStr">
        <is>
          <t>Stetson</t>
        </is>
      </c>
      <c r="I79" s="156" t="inlineStr">
        <is>
          <t>Hebilla Pergaminos Diamante Azul Metal</t>
        </is>
      </c>
      <c r="J79" s="156" t="inlineStr">
        <is>
          <t>Accesorios</t>
        </is>
      </c>
      <c r="K79" s="156" t="inlineStr">
        <is>
          <t>Hebillas</t>
        </is>
      </c>
      <c r="L79" s="156" t="inlineStr">
        <is>
          <t>Hombre</t>
        </is>
      </c>
      <c r="M79" s="156" t="inlineStr">
        <is>
          <t>Stetson</t>
        </is>
      </c>
      <c r="N79" s="156" t="inlineStr">
        <is>
          <t>SS26</t>
        </is>
      </c>
      <c r="O79" s="156" t="inlineStr">
        <is>
          <t>Seasonal</t>
        </is>
      </c>
      <c r="P79" s="156" t="inlineStr">
        <is>
          <t>Azul</t>
        </is>
      </c>
      <c r="Q79" s="156" t="n"/>
      <c r="R79" s="156" t="n"/>
      <c r="S79" s="156" t="n"/>
      <c r="T79" s="156" t="inlineStr">
        <is>
          <t>Hebilla Stetson Pergaminos Diamante Azul – Estilo Clásico del Oeste Auténtica hebilla Stetson con diseño de pergaminos en relieve y detalles de diamante en color azul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79" s="156" t="n"/>
      <c r="V79" s="156" t="inlineStr">
        <is>
          <t>PZS</t>
        </is>
      </c>
      <c r="W79" s="51" t="inlineStr">
        <is>
          <t>53102501</t>
        </is>
      </c>
      <c r="X79" s="156" t="inlineStr">
        <is>
          <t>https://cdn.shopify.com/s/files/1/0888/3250/8267/files/ST-H107-01.jpg?v=1751994372</t>
        </is>
      </c>
      <c r="Y79" s="54" t="n">
        <v>329.7413793</v>
      </c>
      <c r="Z79" s="54" t="n">
        <v>732.7586207000001</v>
      </c>
      <c r="AA79" s="55">
        <f>IF(AND(A79="", B79="", E79=""), "", IF(AB79="", "Válido", IF((LEN(AB79)-LEN(SUBSTITUTE(AB79,"; ","")))/2+1&gt;(LEN(AB79)-LEN(SUBSTITUTE(AB79,"[Aviso]","")))/7, "Con Incidencias", "Válido")))</f>
        <v/>
      </c>
      <c r="AB79" s="56">
        <f>IF(AND(A79="", B79="", E79=""), "", TEXTJOIN("; ", TRUE, IF(OR(TRIM(A79&amp;"")="", ISNUMBER(SEARCH("FALTA", A79))), "UPC faltante/inválido", ""), IF(AND(A79&lt;&gt;"", IFERROR(_xlfn.XMATCH(A79,$A$2:$A$2509,0,1)&lt;&gt;_xlfn.XMATCH(A79,$A$2:$A$2509,0,-1),FALSE)), "Código de barras duplicado", ""), IF(AND(E79&lt;&gt;"", COUNTIF($E$2:$E$2509, E79)&gt;1), "SKU duplicado", ""), IF(OR(J79="", J79=""), "[Aviso] División no capturada ()", IF(ISNA(MATCH(J79, Criterios!$A$123:$A$126, 0)), "División no válida", "")), IF(OR(K79="", K79=""), "[Aviso] Categoría no capturada ()", IF(ISNA(MATCH(K79, Criterios!$A$81:$A$120, 0)), "Categoría no válida", IF(AND(J79&lt;&gt;"", J79&lt;&gt;"", J79&lt;&gt;VLOOKUP(K79, Criterios!$A$81:$B$120, 2, FALSE)), "División no coincide con Categoría", ""))), IF(OR(L79="", L79=""), "[Aviso] Género no capturado ()", IF(ISNA(MATCH(L79, Criterios!$B$123:$B$127, 0)), "Género no válido", "")), IF(OR(N79="", N79=""), "[Aviso] Temporada no capturada ()", IF(ISNA(MATCH(N79, Criterios!$C$123:$C$128, 0)), "Temporada no válida", "")), IF(OR(O79="", O79=""), "[Aviso] Ciclo de vida no capturado ()", IF(ISNA(MATCH(O79, Criterios!$D$123:$D$124, 0)), "Ciclo de vida no válido", ""))))</f>
        <v/>
      </c>
      <c r="AC79" s="56" t="n"/>
      <c r="AD79" s="51" t="n">
        <v>-3</v>
      </c>
      <c r="AE79" s="156" t="n"/>
      <c r="AF79" s="51" t="n">
        <v>0</v>
      </c>
      <c r="AG79" s="156" t="inlineStr">
        <is>
          <t>Catálogo existente</t>
        </is>
      </c>
      <c r="AH79"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79" s="156" t="inlineStr">
        <is>
          <t>Sí</t>
        </is>
      </c>
      <c r="AJ79" s="156" t="inlineStr">
        <is>
          <t>STETSON AMERICAS (-3)</t>
        </is>
      </c>
      <c r="AK79" s="155" t="inlineStr">
        <is>
          <t>Criterios: I [Q] | Criterios: J [R]; G1522_Extraccion_Articulos_NetSuite_2026-09-30.xlsx: fila 58051 [T] | Shopify Stetson: producto 14733522370923 / variante 52179795870059</t>
        </is>
      </c>
      <c r="AL79" s="58" t="n">
        <v>329.7413793</v>
      </c>
      <c r="AM79" s="58" t="n">
        <v>732.7586207000001</v>
      </c>
      <c r="AN79" s="155" t="inlineStr">
        <is>
          <t>Shopify Stetson México</t>
        </is>
      </c>
      <c r="AO79" s="59" t="n">
        <v>0</v>
      </c>
      <c r="AP79" s="59" t="n"/>
      <c r="AQ79" s="59" t="n"/>
      <c r="AR79" s="155" t="n"/>
    </row>
    <row r="80">
      <c r="A80" s="50" t="inlineStr">
        <is>
          <t>100000STH110</t>
        </is>
      </c>
      <c r="B80" s="51" t="inlineStr">
        <is>
          <t>110237</t>
        </is>
      </c>
      <c r="C80" s="156" t="inlineStr">
        <is>
          <t>Multimarca</t>
        </is>
      </c>
      <c r="D80" s="156" t="inlineStr">
        <is>
          <t>ST-H110</t>
        </is>
      </c>
      <c r="E80" s="156" t="inlineStr">
        <is>
          <t>ST-H110</t>
        </is>
      </c>
      <c r="F80" s="156" t="inlineStr">
        <is>
          <t>Talla única</t>
        </is>
      </c>
      <c r="G80" s="156" t="inlineStr">
        <is>
          <t>One Size</t>
        </is>
      </c>
      <c r="H80" s="156" t="inlineStr">
        <is>
          <t>Stetson</t>
        </is>
      </c>
      <c r="I80" s="156" t="inlineStr">
        <is>
          <t>Hebilla Ornamenta Flores Diamantes Azul Metal</t>
        </is>
      </c>
      <c r="J80" s="156" t="inlineStr">
        <is>
          <t>Accesorios</t>
        </is>
      </c>
      <c r="K80" s="156" t="inlineStr">
        <is>
          <t>Hebillas</t>
        </is>
      </c>
      <c r="L80" s="156" t="inlineStr">
        <is>
          <t>Hombre</t>
        </is>
      </c>
      <c r="M80" s="156" t="inlineStr">
        <is>
          <t>Stetson</t>
        </is>
      </c>
      <c r="N80" s="156" t="inlineStr">
        <is>
          <t>SS26</t>
        </is>
      </c>
      <c r="O80" s="156" t="inlineStr">
        <is>
          <t>Seasonal</t>
        </is>
      </c>
      <c r="P80" s="156" t="inlineStr">
        <is>
          <t>Azul</t>
        </is>
      </c>
      <c r="Q80" s="156" t="n"/>
      <c r="R80" s="156" t="n"/>
      <c r="S80" s="156" t="n"/>
      <c r="T80" s="156" t="inlineStr">
        <is>
          <t>Hebilla Stetson Ornamenta Floral Diamante Azul – Estilo Clásico del Oeste Auténtica hebilla Stetson con diseño de Ornamenta Floral en relieve y detalles de diamante en color azul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80" s="156" t="n"/>
      <c r="V80" s="156" t="inlineStr">
        <is>
          <t>PZS</t>
        </is>
      </c>
      <c r="W80" s="51" t="inlineStr">
        <is>
          <t>53102501</t>
        </is>
      </c>
      <c r="X80" s="156" t="inlineStr">
        <is>
          <t>https://cdn.shopify.com/s/files/1/0888/3250/8267/files/ST-H110-01.jpg?v=1751994573</t>
        </is>
      </c>
      <c r="Y80" s="54" t="n">
        <v>329.7413793</v>
      </c>
      <c r="Z80" s="54" t="n">
        <v>732.7586207000001</v>
      </c>
      <c r="AA80" s="55">
        <f>IF(AND(A80="", B80="", E80=""), "", IF(AB80="", "Válido", IF((LEN(AB80)-LEN(SUBSTITUTE(AB80,"; ","")))/2+1&gt;(LEN(AB80)-LEN(SUBSTITUTE(AB80,"[Aviso]","")))/7, "Con Incidencias", "Válido")))</f>
        <v/>
      </c>
      <c r="AB80" s="56">
        <f>IF(AND(A80="", B80="", E80=""), "", TEXTJOIN("; ", TRUE, IF(OR(TRIM(A80&amp;"")="", ISNUMBER(SEARCH("FALTA", A80))), "UPC faltante/inválido", ""), IF(AND(A80&lt;&gt;"", IFERROR(_xlfn.XMATCH(A80,$A$2:$A$2509,0,1)&lt;&gt;_xlfn.XMATCH(A80,$A$2:$A$2509,0,-1),FALSE)), "Código de barras duplicado", ""), IF(AND(E80&lt;&gt;"", COUNTIF($E$2:$E$2509, E80)&gt;1), "SKU duplicado", ""), IF(OR(J80="", J80=""), "[Aviso] División no capturada ()", IF(ISNA(MATCH(J80, Criterios!$A$123:$A$126, 0)), "División no válida", "")), IF(OR(K80="", K80=""), "[Aviso] Categoría no capturada ()", IF(ISNA(MATCH(K80, Criterios!$A$81:$A$120, 0)), "Categoría no válida", IF(AND(J80&lt;&gt;"", J80&lt;&gt;"", J80&lt;&gt;VLOOKUP(K80, Criterios!$A$81:$B$120, 2, FALSE)), "División no coincide con Categoría", ""))), IF(OR(L80="", L80=""), "[Aviso] Género no capturado ()", IF(ISNA(MATCH(L80, Criterios!$B$123:$B$127, 0)), "Género no válido", "")), IF(OR(N80="", N80=""), "[Aviso] Temporada no capturada ()", IF(ISNA(MATCH(N80, Criterios!$C$123:$C$128, 0)), "Temporada no válida", "")), IF(OR(O80="", O80=""), "[Aviso] Ciclo de vida no capturado ()", IF(ISNA(MATCH(O80, Criterios!$D$123:$D$124, 0)), "Ciclo de vida no válido", ""))))</f>
        <v/>
      </c>
      <c r="AC80" s="56" t="n"/>
      <c r="AD80" s="51" t="n">
        <v>0</v>
      </c>
      <c r="AE80" s="156" t="n"/>
      <c r="AF80" s="51" t="n">
        <v>0</v>
      </c>
      <c r="AG80" s="156" t="inlineStr">
        <is>
          <t>Catálogo existente</t>
        </is>
      </c>
      <c r="AH80" s="156" t="inlineStr">
        <is>
          <t>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80" s="156" t="inlineStr">
        <is>
          <t>No</t>
        </is>
      </c>
      <c r="AJ80" s="156" t="n"/>
      <c r="AK80" s="155" t="inlineStr">
        <is>
          <t>Criterios: I [Q] | Criterios: J [R]; G1522_Extraccion_Articulos_NetSuite_2026-09-30.xlsx: fila 58052 [T] | Shopify Stetson: producto 14733523976555 / variante 52179799245163</t>
        </is>
      </c>
      <c r="AL80" s="58" t="n">
        <v>329.7413793</v>
      </c>
      <c r="AM80" s="58" t="n">
        <v>732.7586207000001</v>
      </c>
      <c r="AN80" s="155" t="inlineStr">
        <is>
          <t>Shopify Stetson México</t>
        </is>
      </c>
      <c r="AO80" s="59" t="n">
        <v>0</v>
      </c>
      <c r="AP80" s="59" t="n"/>
      <c r="AQ80" s="59" t="n"/>
      <c r="AR80" s="155" t="n"/>
    </row>
    <row r="81">
      <c r="A81" s="50" t="inlineStr">
        <is>
          <t>11-057-0202-2041-L</t>
        </is>
      </c>
      <c r="B81" s="51" t="inlineStr">
        <is>
          <t>110907</t>
        </is>
      </c>
      <c r="C81" s="156" t="inlineStr">
        <is>
          <t>Multimarca</t>
        </is>
      </c>
      <c r="D81" s="156" t="inlineStr">
        <is>
          <t>11-057-0202-2041</t>
        </is>
      </c>
      <c r="E81" s="156" t="inlineStr">
        <is>
          <t>11-057-0202-2041-L</t>
        </is>
      </c>
      <c r="F81" s="156" t="inlineStr">
        <is>
          <t>L</t>
        </is>
      </c>
      <c r="G81" s="156" t="inlineStr">
        <is>
          <t>L</t>
        </is>
      </c>
      <c r="H81" s="156" t="inlineStr">
        <is>
          <t>Stetson</t>
        </is>
      </c>
      <c r="I81" s="156" t="inlineStr">
        <is>
          <t>Vestido Tirantes Mezclilla Stretch Azul</t>
        </is>
      </c>
      <c r="J81" s="156" t="inlineStr">
        <is>
          <t>Ropa</t>
        </is>
      </c>
      <c r="K81" s="156" t="inlineStr">
        <is>
          <t>Vestidos</t>
        </is>
      </c>
      <c r="L81" s="156" t="inlineStr">
        <is>
          <t>Mujer</t>
        </is>
      </c>
      <c r="M81" s="156" t="inlineStr">
        <is>
          <t>Stetson</t>
        </is>
      </c>
      <c r="N81" s="156" t="inlineStr">
        <is>
          <t>SS26</t>
        </is>
      </c>
      <c r="O81" s="156" t="inlineStr">
        <is>
          <t>Seasonal</t>
        </is>
      </c>
      <c r="P81" s="156" t="inlineStr">
        <is>
          <t>Azul</t>
        </is>
      </c>
      <c r="Q81" s="156" t="inlineStr">
        <is>
          <t>Slim</t>
        </is>
      </c>
      <c r="R81" s="156" t="n"/>
      <c r="S81" s="156" t="inlineStr">
        <is>
          <t>Mezclilla</t>
        </is>
      </c>
      <c r="T81"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81" s="156" t="n"/>
      <c r="V81" s="156" t="inlineStr">
        <is>
          <t>PZS</t>
        </is>
      </c>
      <c r="W81" s="51" t="inlineStr">
        <is>
          <t>53102000</t>
        </is>
      </c>
      <c r="X81" s="156" t="inlineStr">
        <is>
          <t>https://cdn.shopify.com/s/files/1/0888/3250/8267/files/1105702022041a.jpg?v=1751049423</t>
        </is>
      </c>
      <c r="Y81" s="54" t="n">
        <v>872.8448276</v>
      </c>
      <c r="Z81" s="54" t="n">
        <v>1939.655172</v>
      </c>
      <c r="AA81" s="55">
        <f>IF(AND(A81="", B81="", E81=""), "", IF(AB81="", "Válido", IF((LEN(AB81)-LEN(SUBSTITUTE(AB81,"; ","")))/2+1&gt;(LEN(AB81)-LEN(SUBSTITUTE(AB81,"[Aviso]","")))/7, "Con Incidencias", "Válido")))</f>
        <v/>
      </c>
      <c r="AB81" s="56">
        <f>IF(AND(A81="", B81="", E81=""), "", TEXTJOIN("; ", TRUE, IF(OR(TRIM(A81&amp;"")="", ISNUMBER(SEARCH("FALTA", A81))), "UPC faltante/inválido", ""), IF(AND(A81&lt;&gt;"", IFERROR(_xlfn.XMATCH(A81,$A$2:$A$2509,0,1)&lt;&gt;_xlfn.XMATCH(A81,$A$2:$A$2509,0,-1),FALSE)), "Código de barras duplicado", ""), IF(AND(E81&lt;&gt;"", COUNTIF($E$2:$E$2509, E81)&gt;1), "SKU duplicado", ""), IF(OR(J81="", J81=""), "[Aviso] División no capturada ()", IF(ISNA(MATCH(J81, Criterios!$A$123:$A$126, 0)), "División no válida", "")), IF(OR(K81="", K81=""), "[Aviso] Categoría no capturada ()", IF(ISNA(MATCH(K81, Criterios!$A$81:$A$120, 0)), "Categoría no válida", IF(AND(J81&lt;&gt;"", J81&lt;&gt;"", J81&lt;&gt;VLOOKUP(K81, Criterios!$A$81:$B$120, 2, FALSE)), "División no coincide con Categoría", ""))), IF(OR(L81="", L81=""), "[Aviso] Género no capturado ()", IF(ISNA(MATCH(L81, Criterios!$B$123:$B$127, 0)), "Género no válido", "")), IF(OR(N81="", N81=""), "[Aviso] Temporada no capturada ()", IF(ISNA(MATCH(N81, Criterios!$C$123:$C$128, 0)), "Temporada no válida", "")), IF(OR(O81="", O81=""), "[Aviso] Ciclo de vida no capturado ()", IF(ISNA(MATCH(O81, Criterios!$D$123:$D$124, 0)), "Ciclo de vida no válido", ""))))</f>
        <v/>
      </c>
      <c r="AC81" s="56" t="n"/>
      <c r="AD81" s="51" t="n">
        <v>0</v>
      </c>
      <c r="AE81" s="156" t="n"/>
      <c r="AF81" s="51" t="n">
        <v>0</v>
      </c>
      <c r="AG81" s="156" t="inlineStr">
        <is>
          <t>Catálogo existente</t>
        </is>
      </c>
      <c r="AH81" s="156" t="inlineStr">
        <is>
          <t>Revisión 29/09/2026: Código de barras distinto en ProductosCatalogoEstandar907.xlsx; Código de barras distinto en ProductosCatalogoEstandar565(2).xlsx; Campos sin respaldo: U, X | 30/09/2026: se retiró "FALTA_UPC (Era SKU)" del código de barras (era el SKU, no un UPC). NetSuite no tiene UPC para este artículo; capturar desde etiqueta. Producto: Stretch Denim Fitted Dress, 98% algodón/2% elastano (stetson.com); Auditoría NetSuite 30/09/2026: llenado desde NetSuite [A,V,S] | 01/10/2026: complementado desde Shopify Stetson México (match por SKU):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81" s="156" t="inlineStr">
        <is>
          <t>No</t>
        </is>
      </c>
      <c r="AJ81" s="156" t="n"/>
      <c r="AK81" s="155" t="inlineStr">
        <is>
          <t>Criterios: J [R] | Descripción del registro fuente [T]; G1522_Extraccion_Articulos_NetSuite_2026-09-30.xlsx: fila 58649 [A,V,S] | Shopify Stetson: producto 14727090340203 / variante 53350614335851</t>
        </is>
      </c>
      <c r="AL81" s="58" t="n">
        <v>872.8448276</v>
      </c>
      <c r="AM81" s="58" t="n">
        <v>1939.655172</v>
      </c>
      <c r="AN81" s="155" t="inlineStr">
        <is>
          <t>Shopify Stetson México</t>
        </is>
      </c>
      <c r="AO81" s="59" t="n">
        <v>0</v>
      </c>
      <c r="AP81" s="59" t="n"/>
      <c r="AQ81" s="59" t="n"/>
      <c r="AR81" s="155" t="n"/>
    </row>
    <row r="82">
      <c r="A82" s="50" t="inlineStr">
        <is>
          <t>12020000101017025</t>
        </is>
      </c>
      <c r="B82" s="51" t="inlineStr">
        <is>
          <t>110979</t>
        </is>
      </c>
      <c r="C82" s="156" t="inlineStr">
        <is>
          <t>Multimarca</t>
        </is>
      </c>
      <c r="D82" s="156" t="inlineStr">
        <is>
          <t>12-020-BS000-10-1017</t>
        </is>
      </c>
      <c r="E82" s="156" t="inlineStr">
        <is>
          <t>12-020-BS000-10-1017-025</t>
        </is>
      </c>
      <c r="F82" s="156" t="inlineStr">
        <is>
          <t>25</t>
        </is>
      </c>
      <c r="G82" s="156" t="inlineStr">
        <is>
          <t>7</t>
        </is>
      </c>
      <c r="H82" s="156" t="inlineStr">
        <is>
          <t>Stetson</t>
        </is>
      </c>
      <c r="I82" s="156" t="inlineStr">
        <is>
          <t>Bota Cocodrilo Negro</t>
        </is>
      </c>
      <c r="J82" s="156" t="inlineStr">
        <is>
          <t>Calzado</t>
        </is>
      </c>
      <c r="K82" s="156" t="inlineStr">
        <is>
          <t>Botas</t>
        </is>
      </c>
      <c r="L82" s="156" t="inlineStr">
        <is>
          <t>Hombre</t>
        </is>
      </c>
      <c r="M82" s="156" t="inlineStr">
        <is>
          <t>Stetson</t>
        </is>
      </c>
      <c r="N82" s="156" t="inlineStr">
        <is>
          <t>SS26</t>
        </is>
      </c>
      <c r="O82" s="156" t="inlineStr">
        <is>
          <t>Seasonal</t>
        </is>
      </c>
      <c r="P82" s="156" t="inlineStr">
        <is>
          <t>Negro</t>
        </is>
      </c>
      <c r="Q82" s="156" t="n"/>
      <c r="R82" s="156" t="inlineStr">
        <is>
          <t>Punta Redonda Ancha</t>
        </is>
      </c>
      <c r="S82" s="156" t="inlineStr">
        <is>
          <t>Piel de cocodrilo</t>
        </is>
      </c>
      <c r="T82" s="156" t="inlineStr">
        <is>
          <t>Bota Caballero Piel de cocodrilo Negro Punta Redonda Ancha</t>
        </is>
      </c>
      <c r="U82" s="156" t="inlineStr">
        <is>
          <t>México</t>
        </is>
      </c>
      <c r="V82" s="156" t="inlineStr">
        <is>
          <t>PRS</t>
        </is>
      </c>
      <c r="W82" s="51" t="inlineStr">
        <is>
          <t>53111501</t>
        </is>
      </c>
      <c r="X82" s="156" t="n"/>
      <c r="Y82" s="54" t="n">
        <v>3301.5</v>
      </c>
      <c r="Z82" s="54" t="n">
        <v>18965.51724</v>
      </c>
      <c r="AA82" s="55">
        <f>IF(AND(A82="", B82="", E82=""), "", IF(AB82="", "Válido", IF((LEN(AB82)-LEN(SUBSTITUTE(AB82,"; ","")))/2+1&gt;(LEN(AB82)-LEN(SUBSTITUTE(AB82,"[Aviso]","")))/7, "Con Incidencias", "Válido")))</f>
        <v/>
      </c>
      <c r="AB82" s="56">
        <f>IF(AND(A82="", B82="", E82=""), "", TEXTJOIN("; ", TRUE, IF(OR(TRIM(A82&amp;"")="", ISNUMBER(SEARCH("FALTA", A82))), "UPC faltante/inválido", ""), IF(AND(A82&lt;&gt;"", IFERROR(_xlfn.XMATCH(A82,$A$2:$A$2509,0,1)&lt;&gt;_xlfn.XMATCH(A82,$A$2:$A$2509,0,-1),FALSE)), "Código de barras duplicado", ""), IF(AND(E82&lt;&gt;"", COUNTIF($E$2:$E$2509, E82)&gt;1), "SKU duplicado", ""), IF(OR(J82="", J82=""), "[Aviso] División no capturada ()", IF(ISNA(MATCH(J82, Criterios!$A$123:$A$126, 0)), "División no válida", "")), IF(OR(K82="", K82=""), "[Aviso] Categoría no capturada ()", IF(ISNA(MATCH(K82, Criterios!$A$81:$A$120, 0)), "Categoría no válida", IF(AND(J82&lt;&gt;"", J82&lt;&gt;"", J82&lt;&gt;VLOOKUP(K82, Criterios!$A$81:$B$120, 2, FALSE)), "División no coincide con Categoría", ""))), IF(OR(L82="", L82=""), "[Aviso] Género no capturado ()", IF(ISNA(MATCH(L82, Criterios!$B$123:$B$127, 0)), "Género no válido", "")), IF(OR(N82="", N82=""), "[Aviso] Temporada no capturada ()", IF(ISNA(MATCH(N82, Criterios!$C$123:$C$128, 0)), "Temporada no válida", "")), IF(OR(O82="", O82=""), "[Aviso] Ciclo de vida no capturado ()", IF(ISNA(MATCH(O82, Criterios!$D$123:$D$124, 0)), "Ciclo de vida no válido", ""))))</f>
        <v/>
      </c>
      <c r="AC82" s="56" t="n"/>
      <c r="AD82" s="51" t="n">
        <v>0</v>
      </c>
      <c r="AE82" s="156" t="n"/>
      <c r="AF82" s="51" t="n">
        <v>0</v>
      </c>
      <c r="AG82" s="156" t="inlineStr">
        <is>
          <t>Catálogo existente</t>
        </is>
      </c>
      <c r="AH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2" s="156" t="inlineStr">
        <is>
          <t>No</t>
        </is>
      </c>
      <c r="AJ82" s="156" t="n"/>
      <c r="AK82" s="155" t="inlineStr">
        <is>
          <t>Criterios: I [Q]; G1522_Extraccion_Articulos_NetSuite_2026-09-30.xlsx: fila 58654 [R] | Shopify Stetson: producto 15054564295019 / variante 53350550339947</t>
        </is>
      </c>
      <c r="AL82" s="58" t="n">
        <v>3301.5</v>
      </c>
      <c r="AM82" s="58" t="n">
        <v>18965.51724</v>
      </c>
      <c r="AN82" s="155" t="inlineStr">
        <is>
          <t>Shopify Stetson México</t>
        </is>
      </c>
      <c r="AO82" s="59" t="n">
        <v>0</v>
      </c>
      <c r="AP82" s="59" t="n"/>
      <c r="AQ82" s="59" t="n"/>
      <c r="AR82" s="155" t="n"/>
    </row>
    <row r="83">
      <c r="A83" s="50" t="inlineStr">
        <is>
          <t>12020000101017026</t>
        </is>
      </c>
      <c r="B83" s="51" t="inlineStr">
        <is>
          <t>110980</t>
        </is>
      </c>
      <c r="C83" s="156" t="inlineStr">
        <is>
          <t>Multimarca</t>
        </is>
      </c>
      <c r="D83" s="156" t="inlineStr">
        <is>
          <t>12-020-BS000-10-1017</t>
        </is>
      </c>
      <c r="E83" s="156" t="inlineStr">
        <is>
          <t>12-020-BS000-10-1017-026</t>
        </is>
      </c>
      <c r="F83" s="156" t="inlineStr">
        <is>
          <t>26</t>
        </is>
      </c>
      <c r="G83" s="156" t="inlineStr">
        <is>
          <t>8</t>
        </is>
      </c>
      <c r="H83" s="156" t="inlineStr">
        <is>
          <t>Stetson</t>
        </is>
      </c>
      <c r="I83" s="156" t="inlineStr">
        <is>
          <t>Bota Cocodrilo Negro</t>
        </is>
      </c>
      <c r="J83" s="156" t="inlineStr">
        <is>
          <t>Calzado</t>
        </is>
      </c>
      <c r="K83" s="156" t="inlineStr">
        <is>
          <t>Botas</t>
        </is>
      </c>
      <c r="L83" s="156" t="inlineStr">
        <is>
          <t>Hombre</t>
        </is>
      </c>
      <c r="M83" s="156" t="inlineStr">
        <is>
          <t>Stetson</t>
        </is>
      </c>
      <c r="N83" s="156" t="inlineStr">
        <is>
          <t>SS26</t>
        </is>
      </c>
      <c r="O83" s="156" t="inlineStr">
        <is>
          <t>Seasonal</t>
        </is>
      </c>
      <c r="P83" s="156" t="inlineStr">
        <is>
          <t>Negro</t>
        </is>
      </c>
      <c r="Q83" s="156" t="n"/>
      <c r="R83" s="156" t="inlineStr">
        <is>
          <t>Punta Redonda Ancha</t>
        </is>
      </c>
      <c r="S83" s="156" t="inlineStr">
        <is>
          <t>Piel de cocodrilo</t>
        </is>
      </c>
      <c r="T83" s="156" t="inlineStr">
        <is>
          <t>Bota Caballero Piel de cocodrilo Negro Punta Redonda Ancha</t>
        </is>
      </c>
      <c r="U83" s="156" t="inlineStr">
        <is>
          <t>México</t>
        </is>
      </c>
      <c r="V83" s="156" t="inlineStr">
        <is>
          <t>PRS</t>
        </is>
      </c>
      <c r="W83" s="51" t="inlineStr">
        <is>
          <t>53111501</t>
        </is>
      </c>
      <c r="X83" s="156" t="n"/>
      <c r="Y83" s="54" t="n">
        <v>3301.5</v>
      </c>
      <c r="Z83" s="54" t="n">
        <v>18965.51724</v>
      </c>
      <c r="AA83" s="55">
        <f>IF(AND(A83="", B83="", E83=""), "", IF(AB83="", "Válido", IF((LEN(AB83)-LEN(SUBSTITUTE(AB83,"; ","")))/2+1&gt;(LEN(AB83)-LEN(SUBSTITUTE(AB83,"[Aviso]","")))/7, "Con Incidencias", "Válido")))</f>
        <v/>
      </c>
      <c r="AB83" s="56">
        <f>IF(AND(A83="", B83="", E83=""), "", TEXTJOIN("; ", TRUE, IF(OR(TRIM(A83&amp;"")="", ISNUMBER(SEARCH("FALTA", A83))), "UPC faltante/inválido", ""), IF(AND(A83&lt;&gt;"", IFERROR(_xlfn.XMATCH(A83,$A$2:$A$2509,0,1)&lt;&gt;_xlfn.XMATCH(A83,$A$2:$A$2509,0,-1),FALSE)), "Código de barras duplicado", ""), IF(AND(E83&lt;&gt;"", COUNTIF($E$2:$E$2509, E83)&gt;1), "SKU duplicado", ""), IF(OR(J83="", J83=""), "[Aviso] División no capturada ()", IF(ISNA(MATCH(J83, Criterios!$A$123:$A$126, 0)), "División no válida", "")), IF(OR(K83="", K83=""), "[Aviso] Categoría no capturada ()", IF(ISNA(MATCH(K83, Criterios!$A$81:$A$120, 0)), "Categoría no válida", IF(AND(J83&lt;&gt;"", J83&lt;&gt;"", J83&lt;&gt;VLOOKUP(K83, Criterios!$A$81:$B$120, 2, FALSE)), "División no coincide con Categoría", ""))), IF(OR(L83="", L83=""), "[Aviso] Género no capturado ()", IF(ISNA(MATCH(L83, Criterios!$B$123:$B$127, 0)), "Género no válido", "")), IF(OR(N83="", N83=""), "[Aviso] Temporada no capturada ()", IF(ISNA(MATCH(N83, Criterios!$C$123:$C$128, 0)), "Temporada no válida", "")), IF(OR(O83="", O83=""), "[Aviso] Ciclo de vida no capturado ()", IF(ISNA(MATCH(O83, Criterios!$D$123:$D$124, 0)), "Ciclo de vida no válido", ""))))</f>
        <v/>
      </c>
      <c r="AC83" s="56" t="n"/>
      <c r="AD83" s="51" t="n">
        <v>0</v>
      </c>
      <c r="AE83" s="156" t="n"/>
      <c r="AF83" s="51" t="n">
        <v>0</v>
      </c>
      <c r="AG83" s="156" t="inlineStr">
        <is>
          <t>Catálogo existente</t>
        </is>
      </c>
      <c r="AH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3" s="156" t="inlineStr">
        <is>
          <t>No</t>
        </is>
      </c>
      <c r="AJ83" s="156" t="n"/>
      <c r="AK83" s="155" t="inlineStr">
        <is>
          <t>Criterios: I [Q]; G1522_Extraccion_Articulos_NetSuite_2026-09-30.xlsx: fila 58655 [R] | Shopify Stetson: producto 15054564295019 / variante 53350550405483</t>
        </is>
      </c>
      <c r="AL83" s="58" t="n">
        <v>3301.5</v>
      </c>
      <c r="AM83" s="58" t="n">
        <v>18965.51724</v>
      </c>
      <c r="AN83" s="155" t="inlineStr">
        <is>
          <t>Shopify Stetson México</t>
        </is>
      </c>
      <c r="AO83" s="59" t="n">
        <v>0</v>
      </c>
      <c r="AP83" s="59" t="n"/>
      <c r="AQ83" s="59" t="n"/>
      <c r="AR83" s="155" t="n"/>
    </row>
    <row r="84">
      <c r="A84" s="50" t="inlineStr">
        <is>
          <t>12020000101017027</t>
        </is>
      </c>
      <c r="B84" s="51" t="inlineStr">
        <is>
          <t>110981</t>
        </is>
      </c>
      <c r="C84" s="156" t="inlineStr">
        <is>
          <t>Multimarca</t>
        </is>
      </c>
      <c r="D84" s="156" t="inlineStr">
        <is>
          <t>12-020-BS000-10-1017</t>
        </is>
      </c>
      <c r="E84" s="156" t="inlineStr">
        <is>
          <t>12-020-BS000-10-1017-027</t>
        </is>
      </c>
      <c r="F84" s="156" t="inlineStr">
        <is>
          <t>27</t>
        </is>
      </c>
      <c r="G84" s="156" t="inlineStr">
        <is>
          <t>9</t>
        </is>
      </c>
      <c r="H84" s="156" t="inlineStr">
        <is>
          <t>Stetson</t>
        </is>
      </c>
      <c r="I84" s="156" t="inlineStr">
        <is>
          <t>Bota Cocodrilo Negro</t>
        </is>
      </c>
      <c r="J84" s="156" t="inlineStr">
        <is>
          <t>Calzado</t>
        </is>
      </c>
      <c r="K84" s="156" t="inlineStr">
        <is>
          <t>Botas</t>
        </is>
      </c>
      <c r="L84" s="156" t="inlineStr">
        <is>
          <t>Hombre</t>
        </is>
      </c>
      <c r="M84" s="156" t="inlineStr">
        <is>
          <t>Stetson</t>
        </is>
      </c>
      <c r="N84" s="156" t="inlineStr">
        <is>
          <t>SS26</t>
        </is>
      </c>
      <c r="O84" s="156" t="inlineStr">
        <is>
          <t>Seasonal</t>
        </is>
      </c>
      <c r="P84" s="156" t="inlineStr">
        <is>
          <t>Negro</t>
        </is>
      </c>
      <c r="Q84" s="156" t="n"/>
      <c r="R84" s="156" t="inlineStr">
        <is>
          <t>Punta Redonda Ancha</t>
        </is>
      </c>
      <c r="S84" s="156" t="inlineStr">
        <is>
          <t>Piel de cocodrilo</t>
        </is>
      </c>
      <c r="T84" s="156" t="inlineStr">
        <is>
          <t>Bota Caballero Piel de cocodrilo Negro Punta Redonda Ancha</t>
        </is>
      </c>
      <c r="U84" s="156" t="inlineStr">
        <is>
          <t>México</t>
        </is>
      </c>
      <c r="V84" s="156" t="inlineStr">
        <is>
          <t>PRS</t>
        </is>
      </c>
      <c r="W84" s="51" t="inlineStr">
        <is>
          <t>53111501</t>
        </is>
      </c>
      <c r="X84" s="156" t="n"/>
      <c r="Y84" s="54" t="n">
        <v>3301.5</v>
      </c>
      <c r="Z84" s="54" t="n">
        <v>18965.51724</v>
      </c>
      <c r="AA84" s="55">
        <f>IF(AND(A84="", B84="", E84=""), "", IF(AB84="", "Válido", IF((LEN(AB84)-LEN(SUBSTITUTE(AB84,"; ","")))/2+1&gt;(LEN(AB84)-LEN(SUBSTITUTE(AB84,"[Aviso]","")))/7, "Con Incidencias", "Válido")))</f>
        <v/>
      </c>
      <c r="AB84" s="56">
        <f>IF(AND(A84="", B84="", E84=""), "", TEXTJOIN("; ", TRUE, IF(OR(TRIM(A84&amp;"")="", ISNUMBER(SEARCH("FALTA", A84))), "UPC faltante/inválido", ""), IF(AND(A84&lt;&gt;"", IFERROR(_xlfn.XMATCH(A84,$A$2:$A$2509,0,1)&lt;&gt;_xlfn.XMATCH(A84,$A$2:$A$2509,0,-1),FALSE)), "Código de barras duplicado", ""), IF(AND(E84&lt;&gt;"", COUNTIF($E$2:$E$2509, E84)&gt;1), "SKU duplicado", ""), IF(OR(J84="", J84=""), "[Aviso] División no capturada ()", IF(ISNA(MATCH(J84, Criterios!$A$123:$A$126, 0)), "División no válida", "")), IF(OR(K84="", K84=""), "[Aviso] Categoría no capturada ()", IF(ISNA(MATCH(K84, Criterios!$A$81:$A$120, 0)), "Categoría no válida", IF(AND(J84&lt;&gt;"", J84&lt;&gt;"", J84&lt;&gt;VLOOKUP(K84, Criterios!$A$81:$B$120, 2, FALSE)), "División no coincide con Categoría", ""))), IF(OR(L84="", L84=""), "[Aviso] Género no capturado ()", IF(ISNA(MATCH(L84, Criterios!$B$123:$B$127, 0)), "Género no válido", "")), IF(OR(N84="", N84=""), "[Aviso] Temporada no capturada ()", IF(ISNA(MATCH(N84, Criterios!$C$123:$C$128, 0)), "Temporada no válida", "")), IF(OR(O84="", O84=""), "[Aviso] Ciclo de vida no capturado ()", IF(ISNA(MATCH(O84, Criterios!$D$123:$D$124, 0)), "Ciclo de vida no válido", ""))))</f>
        <v/>
      </c>
      <c r="AC84" s="56" t="n"/>
      <c r="AD84" s="51" t="n">
        <v>1</v>
      </c>
      <c r="AE84" s="156" t="inlineStr">
        <is>
          <t>STETSON AMERICAS (1)</t>
        </is>
      </c>
      <c r="AF84" s="51" t="n">
        <v>1</v>
      </c>
      <c r="AG84" s="156" t="inlineStr">
        <is>
          <t>Catálogo existente</t>
        </is>
      </c>
      <c r="AH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4" s="156" t="inlineStr">
        <is>
          <t>No</t>
        </is>
      </c>
      <c r="AJ84" s="156" t="n"/>
      <c r="AK84" s="155" t="inlineStr">
        <is>
          <t>Criterios: I [Q]; G1522_Extraccion_Articulos_NetSuite_2026-09-30.xlsx: fila 58656 [R] | Shopify Stetson: producto 15054564295019 / variante 53350550471019</t>
        </is>
      </c>
      <c r="AL84" s="58" t="n">
        <v>3301.5</v>
      </c>
      <c r="AM84" s="58" t="n">
        <v>18965.51724</v>
      </c>
      <c r="AN84" s="155" t="inlineStr">
        <is>
          <t>Shopify Stetson México</t>
        </is>
      </c>
      <c r="AO84" s="59" t="n">
        <v>1</v>
      </c>
      <c r="AP84" s="59" t="n"/>
      <c r="AQ84" s="59" t="n"/>
      <c r="AR84" s="155" t="inlineStr">
        <is>
          <t>Shopify Stetson México › Stetson Americas: 1</t>
        </is>
      </c>
    </row>
    <row r="85">
      <c r="A85" s="50" t="inlineStr">
        <is>
          <t>12020000101017028</t>
        </is>
      </c>
      <c r="B85" s="51" t="inlineStr">
        <is>
          <t>110982</t>
        </is>
      </c>
      <c r="C85" s="156" t="inlineStr">
        <is>
          <t>Multimarca</t>
        </is>
      </c>
      <c r="D85" s="156" t="inlineStr">
        <is>
          <t>12-020-BS000-10-1017</t>
        </is>
      </c>
      <c r="E85" s="156" t="inlineStr">
        <is>
          <t>12-020-BS000-10-1017-028</t>
        </is>
      </c>
      <c r="F85" s="156" t="inlineStr">
        <is>
          <t>28</t>
        </is>
      </c>
      <c r="G85" s="156" t="inlineStr">
        <is>
          <t>10</t>
        </is>
      </c>
      <c r="H85" s="156" t="inlineStr">
        <is>
          <t>Stetson</t>
        </is>
      </c>
      <c r="I85" s="156" t="inlineStr">
        <is>
          <t>Bota Cocodrilo Negro</t>
        </is>
      </c>
      <c r="J85" s="156" t="inlineStr">
        <is>
          <t>Calzado</t>
        </is>
      </c>
      <c r="K85" s="156" t="inlineStr">
        <is>
          <t>Botas</t>
        </is>
      </c>
      <c r="L85" s="156" t="inlineStr">
        <is>
          <t>Hombre</t>
        </is>
      </c>
      <c r="M85" s="156" t="inlineStr">
        <is>
          <t>Stetson</t>
        </is>
      </c>
      <c r="N85" s="156" t="inlineStr">
        <is>
          <t>SS26</t>
        </is>
      </c>
      <c r="O85" s="156" t="inlineStr">
        <is>
          <t>Seasonal</t>
        </is>
      </c>
      <c r="P85" s="156" t="inlineStr">
        <is>
          <t>Negro</t>
        </is>
      </c>
      <c r="Q85" s="156" t="n"/>
      <c r="R85" s="156" t="inlineStr">
        <is>
          <t>Punta Redonda Ancha</t>
        </is>
      </c>
      <c r="S85" s="156" t="inlineStr">
        <is>
          <t>Piel de cocodrilo</t>
        </is>
      </c>
      <c r="T85" s="156" t="inlineStr">
        <is>
          <t>Bota Caballero Piel de cocodrilo Negro Punta Redonda Ancha</t>
        </is>
      </c>
      <c r="U85" s="156" t="inlineStr">
        <is>
          <t>México</t>
        </is>
      </c>
      <c r="V85" s="156" t="inlineStr">
        <is>
          <t>PRS</t>
        </is>
      </c>
      <c r="W85" s="51" t="inlineStr">
        <is>
          <t>53111501</t>
        </is>
      </c>
      <c r="X85" s="156" t="n"/>
      <c r="Y85" s="54" t="n">
        <v>3301.5</v>
      </c>
      <c r="Z85" s="54" t="n">
        <v>18965.51724</v>
      </c>
      <c r="AA85" s="55">
        <f>IF(AND(A85="", B85="", E85=""), "", IF(AB85="", "Válido", IF((LEN(AB85)-LEN(SUBSTITUTE(AB85,"; ","")))/2+1&gt;(LEN(AB85)-LEN(SUBSTITUTE(AB85,"[Aviso]","")))/7, "Con Incidencias", "Válido")))</f>
        <v/>
      </c>
      <c r="AB85" s="56">
        <f>IF(AND(A85="", B85="", E85=""), "", TEXTJOIN("; ", TRUE, IF(OR(TRIM(A85&amp;"")="", ISNUMBER(SEARCH("FALTA", A85))), "UPC faltante/inválido", ""), IF(AND(A85&lt;&gt;"", IFERROR(_xlfn.XMATCH(A85,$A$2:$A$2509,0,1)&lt;&gt;_xlfn.XMATCH(A85,$A$2:$A$2509,0,-1),FALSE)), "Código de barras duplicado", ""), IF(AND(E85&lt;&gt;"", COUNTIF($E$2:$E$2509, E85)&gt;1), "SKU duplicado", ""), IF(OR(J85="", J85=""), "[Aviso] División no capturada ()", IF(ISNA(MATCH(J85, Criterios!$A$123:$A$126, 0)), "División no válida", "")), IF(OR(K85="", K85=""), "[Aviso] Categoría no capturada ()", IF(ISNA(MATCH(K85, Criterios!$A$81:$A$120, 0)), "Categoría no válida", IF(AND(J85&lt;&gt;"", J85&lt;&gt;"", J85&lt;&gt;VLOOKUP(K85, Criterios!$A$81:$B$120, 2, FALSE)), "División no coincide con Categoría", ""))), IF(OR(L85="", L85=""), "[Aviso] Género no capturado ()", IF(ISNA(MATCH(L85, Criterios!$B$123:$B$127, 0)), "Género no válido", "")), IF(OR(N85="", N85=""), "[Aviso] Temporada no capturada ()", IF(ISNA(MATCH(N85, Criterios!$C$123:$C$128, 0)), "Temporada no válida", "")), IF(OR(O85="", O85=""), "[Aviso] Ciclo de vida no capturado ()", IF(ISNA(MATCH(O85, Criterios!$D$123:$D$124, 0)), "Ciclo de vida no válido", ""))))</f>
        <v/>
      </c>
      <c r="AC85" s="56" t="n"/>
      <c r="AD85" s="51" t="n">
        <v>1</v>
      </c>
      <c r="AE85" s="156" t="inlineStr">
        <is>
          <t>PUNTO DE VENTA (1)</t>
        </is>
      </c>
      <c r="AF85" s="51" t="n">
        <v>1</v>
      </c>
      <c r="AG85" s="156" t="inlineStr">
        <is>
          <t>Catálogo existente</t>
        </is>
      </c>
      <c r="AH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5" s="156" t="inlineStr">
        <is>
          <t>No</t>
        </is>
      </c>
      <c r="AJ85" s="156" t="n"/>
      <c r="AK85" s="155" t="inlineStr">
        <is>
          <t>Criterios: I [Q]; G1522_Extraccion_Articulos_NetSuite_2026-09-30.xlsx: fila 58657 [R] | Shopify Stetson: producto 15054564295019 / variante 53350550536555</t>
        </is>
      </c>
      <c r="AL85" s="58" t="n">
        <v>3301.5</v>
      </c>
      <c r="AM85" s="58" t="n">
        <v>18965.51724</v>
      </c>
      <c r="AN85" s="155" t="inlineStr">
        <is>
          <t>Shopify Stetson México</t>
        </is>
      </c>
      <c r="AO85" s="59" t="n">
        <v>0</v>
      </c>
      <c r="AP85" s="59" t="n"/>
      <c r="AQ85" s="59" t="n"/>
      <c r="AR85" s="155" t="n"/>
    </row>
    <row r="86">
      <c r="A86" s="50" t="inlineStr">
        <is>
          <t>12020000101017029</t>
        </is>
      </c>
      <c r="B86" s="51" t="inlineStr">
        <is>
          <t>110983</t>
        </is>
      </c>
      <c r="C86" s="156" t="inlineStr">
        <is>
          <t>Multimarca</t>
        </is>
      </c>
      <c r="D86" s="156" t="inlineStr">
        <is>
          <t>12-020-BS000-10-1017</t>
        </is>
      </c>
      <c r="E86" s="156" t="inlineStr">
        <is>
          <t>12-020-BS000-10-1017-029</t>
        </is>
      </c>
      <c r="F86" s="156" t="inlineStr">
        <is>
          <t>29</t>
        </is>
      </c>
      <c r="G86" s="156" t="inlineStr">
        <is>
          <t>11</t>
        </is>
      </c>
      <c r="H86" s="156" t="inlineStr">
        <is>
          <t>Stetson</t>
        </is>
      </c>
      <c r="I86" s="156" t="inlineStr">
        <is>
          <t>Bota Cocodrilo Negro</t>
        </is>
      </c>
      <c r="J86" s="156" t="inlineStr">
        <is>
          <t>Calzado</t>
        </is>
      </c>
      <c r="K86" s="156" t="inlineStr">
        <is>
          <t>Botas</t>
        </is>
      </c>
      <c r="L86" s="156" t="inlineStr">
        <is>
          <t>Hombre</t>
        </is>
      </c>
      <c r="M86" s="156" t="inlineStr">
        <is>
          <t>Stetson</t>
        </is>
      </c>
      <c r="N86" s="156" t="inlineStr">
        <is>
          <t>SS26</t>
        </is>
      </c>
      <c r="O86" s="156" t="inlineStr">
        <is>
          <t>Seasonal</t>
        </is>
      </c>
      <c r="P86" s="156" t="inlineStr">
        <is>
          <t>Negro</t>
        </is>
      </c>
      <c r="Q86" s="156" t="n"/>
      <c r="R86" s="156" t="inlineStr">
        <is>
          <t>Punta Redonda Ancha</t>
        </is>
      </c>
      <c r="S86" s="156" t="inlineStr">
        <is>
          <t>Piel de cocodrilo</t>
        </is>
      </c>
      <c r="T86" s="156" t="inlineStr">
        <is>
          <t>Bota Caballero Piel de cocodrilo Negro Punta Redonda Ancha</t>
        </is>
      </c>
      <c r="U86" s="156" t="inlineStr">
        <is>
          <t>México</t>
        </is>
      </c>
      <c r="V86" s="156" t="inlineStr">
        <is>
          <t>PRS</t>
        </is>
      </c>
      <c r="W86" s="51" t="inlineStr">
        <is>
          <t>53111501</t>
        </is>
      </c>
      <c r="X86" s="156" t="n"/>
      <c r="Y86" s="54" t="n">
        <v>3301.5</v>
      </c>
      <c r="Z86" s="54" t="n">
        <v>18965.51724</v>
      </c>
      <c r="AA86" s="55">
        <f>IF(AND(A86="", B86="", E86=""), "", IF(AB86="", "Válido", IF((LEN(AB86)-LEN(SUBSTITUTE(AB86,"; ","")))/2+1&gt;(LEN(AB86)-LEN(SUBSTITUTE(AB86,"[Aviso]","")))/7, "Con Incidencias", "Válido")))</f>
        <v/>
      </c>
      <c r="AB86" s="56">
        <f>IF(AND(A86="", B86="", E86=""), "", TEXTJOIN("; ", TRUE, IF(OR(TRIM(A86&amp;"")="", ISNUMBER(SEARCH("FALTA", A86))), "UPC faltante/inválido", ""), IF(AND(A86&lt;&gt;"", IFERROR(_xlfn.XMATCH(A86,$A$2:$A$2509,0,1)&lt;&gt;_xlfn.XMATCH(A86,$A$2:$A$2509,0,-1),FALSE)), "Código de barras duplicado", ""), IF(AND(E86&lt;&gt;"", COUNTIF($E$2:$E$2509, E86)&gt;1), "SKU duplicado", ""), IF(OR(J86="", J86=""), "[Aviso] División no capturada ()", IF(ISNA(MATCH(J86, Criterios!$A$123:$A$126, 0)), "División no válida", "")), IF(OR(K86="", K86=""), "[Aviso] Categoría no capturada ()", IF(ISNA(MATCH(K86, Criterios!$A$81:$A$120, 0)), "Categoría no válida", IF(AND(J86&lt;&gt;"", J86&lt;&gt;"", J86&lt;&gt;VLOOKUP(K86, Criterios!$A$81:$B$120, 2, FALSE)), "División no coincide con Categoría", ""))), IF(OR(L86="", L86=""), "[Aviso] Género no capturado ()", IF(ISNA(MATCH(L86, Criterios!$B$123:$B$127, 0)), "Género no válido", "")), IF(OR(N86="", N86=""), "[Aviso] Temporada no capturada ()", IF(ISNA(MATCH(N86, Criterios!$C$123:$C$128, 0)), "Temporada no válida", "")), IF(OR(O86="", O86=""), "[Aviso] Ciclo de vida no capturado ()", IF(ISNA(MATCH(O86, Criterios!$D$123:$D$124, 0)), "Ciclo de vida no válido", ""))))</f>
        <v/>
      </c>
      <c r="AC86" s="56" t="n"/>
      <c r="AD86" s="51" t="n">
        <v>1</v>
      </c>
      <c r="AE86" s="156" t="inlineStr">
        <is>
          <t>STETSON AMERICAS (1)</t>
        </is>
      </c>
      <c r="AF86" s="51" t="n">
        <v>1</v>
      </c>
      <c r="AG86" s="156" t="inlineStr">
        <is>
          <t>Catálogo existente</t>
        </is>
      </c>
      <c r="AH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6" s="156" t="inlineStr">
        <is>
          <t>No</t>
        </is>
      </c>
      <c r="AJ86" s="156" t="n"/>
      <c r="AK86" s="155" t="inlineStr">
        <is>
          <t>Criterios: I [Q]; G1522_Extraccion_Articulos_NetSuite_2026-09-30.xlsx: fila 58658 [R] | Shopify Stetson: producto 15054564295019 / variante 53350550602091</t>
        </is>
      </c>
      <c r="AL86" s="58" t="n">
        <v>3301.5</v>
      </c>
      <c r="AM86" s="58" t="n">
        <v>18965.51724</v>
      </c>
      <c r="AN86" s="155" t="inlineStr">
        <is>
          <t>Shopify Stetson México</t>
        </is>
      </c>
      <c r="AO86" s="59" t="n">
        <v>1</v>
      </c>
      <c r="AP86" s="59" t="n"/>
      <c r="AQ86" s="59" t="n"/>
      <c r="AR86" s="155" t="inlineStr">
        <is>
          <t>Shopify Stetson México › Stetson Americas: 1</t>
        </is>
      </c>
    </row>
    <row r="87">
      <c r="A87" s="50" t="inlineStr">
        <is>
          <t>12020000101017030</t>
        </is>
      </c>
      <c r="B87" s="51" t="inlineStr">
        <is>
          <t>110984</t>
        </is>
      </c>
      <c r="C87" s="156" t="inlineStr">
        <is>
          <t>Multimarca</t>
        </is>
      </c>
      <c r="D87" s="156" t="inlineStr">
        <is>
          <t>12-020-BS000-10-1017</t>
        </is>
      </c>
      <c r="E87" s="156" t="inlineStr">
        <is>
          <t>12-020-BS000-10-1017-030</t>
        </is>
      </c>
      <c r="F87" s="156" t="inlineStr">
        <is>
          <t>30</t>
        </is>
      </c>
      <c r="G87" s="156" t="inlineStr">
        <is>
          <t>12</t>
        </is>
      </c>
      <c r="H87" s="156" t="inlineStr">
        <is>
          <t>Stetson</t>
        </is>
      </c>
      <c r="I87" s="156" t="inlineStr">
        <is>
          <t>Bota Cocodrilo Negro</t>
        </is>
      </c>
      <c r="J87" s="156" t="inlineStr">
        <is>
          <t>Calzado</t>
        </is>
      </c>
      <c r="K87" s="156" t="inlineStr">
        <is>
          <t>Botas</t>
        </is>
      </c>
      <c r="L87" s="156" t="inlineStr">
        <is>
          <t>Hombre</t>
        </is>
      </c>
      <c r="M87" s="156" t="inlineStr">
        <is>
          <t>Stetson</t>
        </is>
      </c>
      <c r="N87" s="156" t="inlineStr">
        <is>
          <t>SS26</t>
        </is>
      </c>
      <c r="O87" s="156" t="inlineStr">
        <is>
          <t>Seasonal</t>
        </is>
      </c>
      <c r="P87" s="156" t="inlineStr">
        <is>
          <t>Negro</t>
        </is>
      </c>
      <c r="Q87" s="156" t="n"/>
      <c r="R87" s="156" t="inlineStr">
        <is>
          <t>Punta Redonda Ancha</t>
        </is>
      </c>
      <c r="S87" s="156" t="inlineStr">
        <is>
          <t>Piel de cocodrilo</t>
        </is>
      </c>
      <c r="T87" s="156" t="inlineStr">
        <is>
          <t>Bota Caballero Piel de cocodrilo Negro Punta Redonda Ancha</t>
        </is>
      </c>
      <c r="U87" s="156" t="inlineStr">
        <is>
          <t>México</t>
        </is>
      </c>
      <c r="V87" s="156" t="inlineStr">
        <is>
          <t>PRS</t>
        </is>
      </c>
      <c r="W87" s="51" t="inlineStr">
        <is>
          <t>53111501</t>
        </is>
      </c>
      <c r="X87" s="156" t="n"/>
      <c r="Y87" s="54" t="n">
        <v>3301.5</v>
      </c>
      <c r="Z87" s="54" t="n">
        <v>18965.51724</v>
      </c>
      <c r="AA87" s="55">
        <f>IF(AND(A87="", B87="", E87=""), "", IF(AB87="", "Válido", IF((LEN(AB87)-LEN(SUBSTITUTE(AB87,"; ","")))/2+1&gt;(LEN(AB87)-LEN(SUBSTITUTE(AB87,"[Aviso]","")))/7, "Con Incidencias", "Válido")))</f>
        <v/>
      </c>
      <c r="AB87" s="56">
        <f>IF(AND(A87="", B87="", E87=""), "", TEXTJOIN("; ", TRUE, IF(OR(TRIM(A87&amp;"")="", ISNUMBER(SEARCH("FALTA", A87))), "UPC faltante/inválido", ""), IF(AND(A87&lt;&gt;"", IFERROR(_xlfn.XMATCH(A87,$A$2:$A$2509,0,1)&lt;&gt;_xlfn.XMATCH(A87,$A$2:$A$2509,0,-1),FALSE)), "Código de barras duplicado", ""), IF(AND(E87&lt;&gt;"", COUNTIF($E$2:$E$2509, E87)&gt;1), "SKU duplicado", ""), IF(OR(J87="", J87=""), "[Aviso] División no capturada ()", IF(ISNA(MATCH(J87, Criterios!$A$123:$A$126, 0)), "División no válida", "")), IF(OR(K87="", K87=""), "[Aviso] Categoría no capturada ()", IF(ISNA(MATCH(K87, Criterios!$A$81:$A$120, 0)), "Categoría no válida", IF(AND(J87&lt;&gt;"", J87&lt;&gt;"", J87&lt;&gt;VLOOKUP(K87, Criterios!$A$81:$B$120, 2, FALSE)), "División no coincide con Categoría", ""))), IF(OR(L87="", L87=""), "[Aviso] Género no capturado ()", IF(ISNA(MATCH(L87, Criterios!$B$123:$B$127, 0)), "Género no válido", "")), IF(OR(N87="", N87=""), "[Aviso] Temporada no capturada ()", IF(ISNA(MATCH(N87, Criterios!$C$123:$C$128, 0)), "Temporada no válida", "")), IF(OR(O87="", O87=""), "[Aviso] Ciclo de vida no capturado ()", IF(ISNA(MATCH(O87, Criterios!$D$123:$D$124, 0)), "Ciclo de vida no válido", ""))))</f>
        <v/>
      </c>
      <c r="AC87" s="56" t="n"/>
      <c r="AD87" s="51" t="n">
        <v>0</v>
      </c>
      <c r="AE87" s="156" t="n"/>
      <c r="AF87" s="51" t="n">
        <v>0</v>
      </c>
      <c r="AG87" s="156" t="inlineStr">
        <is>
          <t>Catálogo existente</t>
        </is>
      </c>
      <c r="AH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7" s="156" t="inlineStr">
        <is>
          <t>No</t>
        </is>
      </c>
      <c r="AJ87" s="156" t="n"/>
      <c r="AK87" s="155" t="inlineStr">
        <is>
          <t>Criterios: I [Q]; G1522_Extraccion_Articulos_NetSuite_2026-09-30.xlsx: fila 58659 [R] | Shopify Stetson: producto 15054564295019 / variante 53350550667627</t>
        </is>
      </c>
      <c r="AL87" s="58" t="n">
        <v>3301.5</v>
      </c>
      <c r="AM87" s="58" t="n">
        <v>18965.51724</v>
      </c>
      <c r="AN87" s="155" t="inlineStr">
        <is>
          <t>Shopify Stetson México</t>
        </is>
      </c>
      <c r="AO87" s="59" t="n">
        <v>0</v>
      </c>
      <c r="AP87" s="59" t="n"/>
      <c r="AQ87" s="59" t="n"/>
      <c r="AR87" s="155" t="n"/>
    </row>
    <row r="88">
      <c r="A88" s="50" t="inlineStr">
        <is>
          <t>12020000101017031</t>
        </is>
      </c>
      <c r="B88" s="51" t="inlineStr">
        <is>
          <t>110985</t>
        </is>
      </c>
      <c r="C88" s="156" t="inlineStr">
        <is>
          <t>Multimarca</t>
        </is>
      </c>
      <c r="D88" s="156" t="inlineStr">
        <is>
          <t>12-020-BS000-10-1017</t>
        </is>
      </c>
      <c r="E88" s="156" t="inlineStr">
        <is>
          <t>12-020-BS000-10-1017-031</t>
        </is>
      </c>
      <c r="F88" s="156" t="inlineStr">
        <is>
          <t>31</t>
        </is>
      </c>
      <c r="G88" s="156" t="inlineStr">
        <is>
          <t>13</t>
        </is>
      </c>
      <c r="H88" s="156" t="inlineStr">
        <is>
          <t>Stetson</t>
        </is>
      </c>
      <c r="I88" s="156" t="inlineStr">
        <is>
          <t>Bota Cocodrilo Negro</t>
        </is>
      </c>
      <c r="J88" s="156" t="inlineStr">
        <is>
          <t>Calzado</t>
        </is>
      </c>
      <c r="K88" s="156" t="inlineStr">
        <is>
          <t>Botas</t>
        </is>
      </c>
      <c r="L88" s="156" t="inlineStr">
        <is>
          <t>Hombre</t>
        </is>
      </c>
      <c r="M88" s="156" t="inlineStr">
        <is>
          <t>Stetson</t>
        </is>
      </c>
      <c r="N88" s="156" t="inlineStr">
        <is>
          <t>SS26</t>
        </is>
      </c>
      <c r="O88" s="156" t="inlineStr">
        <is>
          <t>Seasonal</t>
        </is>
      </c>
      <c r="P88" s="156" t="inlineStr">
        <is>
          <t>Negro</t>
        </is>
      </c>
      <c r="Q88" s="156" t="n"/>
      <c r="R88" s="156" t="inlineStr">
        <is>
          <t>Punta Redonda Ancha</t>
        </is>
      </c>
      <c r="S88" s="156" t="inlineStr">
        <is>
          <t>Piel de cocodrilo</t>
        </is>
      </c>
      <c r="T88" s="156" t="inlineStr">
        <is>
          <t>Bota Caballero Piel de cocodrilo Negro Punta Redonda Ancha</t>
        </is>
      </c>
      <c r="U88" s="156" t="inlineStr">
        <is>
          <t>México</t>
        </is>
      </c>
      <c r="V88" s="156" t="inlineStr">
        <is>
          <t>PRS</t>
        </is>
      </c>
      <c r="W88" s="51" t="inlineStr">
        <is>
          <t>53111501</t>
        </is>
      </c>
      <c r="X88" s="156" t="n"/>
      <c r="Y88" s="54" t="n">
        <v>3301.5</v>
      </c>
      <c r="Z88" s="54" t="n">
        <v>18965.51724</v>
      </c>
      <c r="AA88" s="55">
        <f>IF(AND(A88="", B88="", E88=""), "", IF(AB88="", "Válido", IF((LEN(AB88)-LEN(SUBSTITUTE(AB88,"; ","")))/2+1&gt;(LEN(AB88)-LEN(SUBSTITUTE(AB88,"[Aviso]","")))/7, "Con Incidencias", "Válido")))</f>
        <v/>
      </c>
      <c r="AB88" s="56">
        <f>IF(AND(A88="", B88="", E88=""), "", TEXTJOIN("; ", TRUE, IF(OR(TRIM(A88&amp;"")="", ISNUMBER(SEARCH("FALTA", A88))), "UPC faltante/inválido", ""), IF(AND(A88&lt;&gt;"", IFERROR(_xlfn.XMATCH(A88,$A$2:$A$2509,0,1)&lt;&gt;_xlfn.XMATCH(A88,$A$2:$A$2509,0,-1),FALSE)), "Código de barras duplicado", ""), IF(AND(E88&lt;&gt;"", COUNTIF($E$2:$E$2509, E88)&gt;1), "SKU duplicado", ""), IF(OR(J88="", J88=""), "[Aviso] División no capturada ()", IF(ISNA(MATCH(J88, Criterios!$A$123:$A$126, 0)), "División no válida", "")), IF(OR(K88="", K88=""), "[Aviso] Categoría no capturada ()", IF(ISNA(MATCH(K88, Criterios!$A$81:$A$120, 0)), "Categoría no válida", IF(AND(J88&lt;&gt;"", J88&lt;&gt;"", J88&lt;&gt;VLOOKUP(K88, Criterios!$A$81:$B$120, 2, FALSE)), "División no coincide con Categoría", ""))), IF(OR(L88="", L88=""), "[Aviso] Género no capturado ()", IF(ISNA(MATCH(L88, Criterios!$B$123:$B$127, 0)), "Género no válido", "")), IF(OR(N88="", N88=""), "[Aviso] Temporada no capturada ()", IF(ISNA(MATCH(N88, Criterios!$C$123:$C$128, 0)), "Temporada no válida", "")), IF(OR(O88="", O88=""), "[Aviso] Ciclo de vida no capturado ()", IF(ISNA(MATCH(O88, Criterios!$D$123:$D$124, 0)), "Ciclo de vida no válido", ""))))</f>
        <v/>
      </c>
      <c r="AC88" s="56" t="n"/>
      <c r="AD88" s="51" t="n">
        <v>0</v>
      </c>
      <c r="AE88" s="156" t="n"/>
      <c r="AF88" s="51" t="n">
        <v>0</v>
      </c>
      <c r="AG88" s="156" t="inlineStr">
        <is>
          <t>Catálogo existente</t>
        </is>
      </c>
      <c r="AH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8" s="156" t="inlineStr">
        <is>
          <t>No</t>
        </is>
      </c>
      <c r="AJ88" s="156" t="n"/>
      <c r="AK88" s="155" t="inlineStr">
        <is>
          <t>Criterios: I [Q]; G1522_Extraccion_Articulos_NetSuite_2026-09-30.xlsx: fila 58660 [R] | Shopify Stetson: producto 15054564295019 / variante 53350550733163</t>
        </is>
      </c>
      <c r="AL88" s="58" t="n">
        <v>3301.5</v>
      </c>
      <c r="AM88" s="58" t="n">
        <v>18965.51724</v>
      </c>
      <c r="AN88" s="155" t="inlineStr">
        <is>
          <t>Shopify Stetson México</t>
        </is>
      </c>
      <c r="AO88" s="59" t="n">
        <v>0</v>
      </c>
      <c r="AP88" s="59" t="n"/>
      <c r="AQ88" s="59" t="n"/>
      <c r="AR88" s="155" t="n"/>
    </row>
    <row r="89">
      <c r="A89" s="50" t="inlineStr">
        <is>
          <t>12020000101017032</t>
        </is>
      </c>
      <c r="B89" s="51" t="inlineStr">
        <is>
          <t>110986</t>
        </is>
      </c>
      <c r="C89" s="156" t="inlineStr">
        <is>
          <t>Multimarca</t>
        </is>
      </c>
      <c r="D89" s="156" t="inlineStr">
        <is>
          <t>12-020-BS000-10-1017</t>
        </is>
      </c>
      <c r="E89" s="156" t="inlineStr">
        <is>
          <t>12-020-BS000-10-1017-032</t>
        </is>
      </c>
      <c r="F89" s="156" t="inlineStr">
        <is>
          <t>32</t>
        </is>
      </c>
      <c r="G89" s="156" t="inlineStr">
        <is>
          <t>14</t>
        </is>
      </c>
      <c r="H89" s="156" t="inlineStr">
        <is>
          <t>Stetson</t>
        </is>
      </c>
      <c r="I89" s="156" t="inlineStr">
        <is>
          <t>Bota Cocodrilo Negro</t>
        </is>
      </c>
      <c r="J89" s="156" t="inlineStr">
        <is>
          <t>Calzado</t>
        </is>
      </c>
      <c r="K89" s="156" t="inlineStr">
        <is>
          <t>Botas</t>
        </is>
      </c>
      <c r="L89" s="156" t="inlineStr">
        <is>
          <t>Hombre</t>
        </is>
      </c>
      <c r="M89" s="156" t="inlineStr">
        <is>
          <t>Stetson</t>
        </is>
      </c>
      <c r="N89" s="156" t="inlineStr">
        <is>
          <t>SS26</t>
        </is>
      </c>
      <c r="O89" s="156" t="inlineStr">
        <is>
          <t>Seasonal</t>
        </is>
      </c>
      <c r="P89" s="156" t="inlineStr">
        <is>
          <t>Negro</t>
        </is>
      </c>
      <c r="Q89" s="156" t="n"/>
      <c r="R89" s="156" t="inlineStr">
        <is>
          <t>Punta Redonda Ancha</t>
        </is>
      </c>
      <c r="S89" s="156" t="inlineStr">
        <is>
          <t>Piel de cocodrilo</t>
        </is>
      </c>
      <c r="T89" s="156" t="inlineStr">
        <is>
          <t>Bota Caballero Piel de cocodrilo Negro Punta Redonda Ancha</t>
        </is>
      </c>
      <c r="U89" s="156" t="inlineStr">
        <is>
          <t>México</t>
        </is>
      </c>
      <c r="V89" s="156" t="inlineStr">
        <is>
          <t>PRS</t>
        </is>
      </c>
      <c r="W89" s="51" t="inlineStr">
        <is>
          <t>53111501</t>
        </is>
      </c>
      <c r="X89" s="156" t="n"/>
      <c r="Y89" s="54" t="n">
        <v>3301.5</v>
      </c>
      <c r="Z89" s="54" t="n">
        <v>18965.51724</v>
      </c>
      <c r="AA89" s="55">
        <f>IF(AND(A89="", B89="", E89=""), "", IF(AB89="", "Válido", IF((LEN(AB89)-LEN(SUBSTITUTE(AB89,"; ","")))/2+1&gt;(LEN(AB89)-LEN(SUBSTITUTE(AB89,"[Aviso]","")))/7, "Con Incidencias", "Válido")))</f>
        <v/>
      </c>
      <c r="AB89" s="56">
        <f>IF(AND(A89="", B89="", E89=""), "", TEXTJOIN("; ", TRUE, IF(OR(TRIM(A89&amp;"")="", ISNUMBER(SEARCH("FALTA", A89))), "UPC faltante/inválido", ""), IF(AND(A89&lt;&gt;"", IFERROR(_xlfn.XMATCH(A89,$A$2:$A$2509,0,1)&lt;&gt;_xlfn.XMATCH(A89,$A$2:$A$2509,0,-1),FALSE)), "Código de barras duplicado", ""), IF(AND(E89&lt;&gt;"", COUNTIF($E$2:$E$2509, E89)&gt;1), "SKU duplicado", ""), IF(OR(J89="", J89=""), "[Aviso] División no capturada ()", IF(ISNA(MATCH(J89, Criterios!$A$123:$A$126, 0)), "División no válida", "")), IF(OR(K89="", K89=""), "[Aviso] Categoría no capturada ()", IF(ISNA(MATCH(K89, Criterios!$A$81:$A$120, 0)), "Categoría no válida", IF(AND(J89&lt;&gt;"", J89&lt;&gt;"", J89&lt;&gt;VLOOKUP(K89, Criterios!$A$81:$B$120, 2, FALSE)), "División no coincide con Categoría", ""))), IF(OR(L89="", L89=""), "[Aviso] Género no capturado ()", IF(ISNA(MATCH(L89, Criterios!$B$123:$B$127, 0)), "Género no válido", "")), IF(OR(N89="", N89=""), "[Aviso] Temporada no capturada ()", IF(ISNA(MATCH(N89, Criterios!$C$123:$C$128, 0)), "Temporada no válida", "")), IF(OR(O89="", O89=""), "[Aviso] Ciclo de vida no capturado ()", IF(ISNA(MATCH(O89, Criterios!$D$123:$D$124, 0)), "Ciclo de vida no válido", ""))))</f>
        <v/>
      </c>
      <c r="AC89" s="56" t="n"/>
      <c r="AD89" s="51" t="n">
        <v>0</v>
      </c>
      <c r="AE89" s="156" t="n"/>
      <c r="AF89" s="51" t="n">
        <v>0</v>
      </c>
      <c r="AG89" s="156" t="inlineStr">
        <is>
          <t>Catálogo existente</t>
        </is>
      </c>
      <c r="AH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89" s="156" t="inlineStr">
        <is>
          <t>No</t>
        </is>
      </c>
      <c r="AJ89" s="156" t="n"/>
      <c r="AK89" s="155" t="inlineStr">
        <is>
          <t>Criterios: I [Q]; G1522_Extraccion_Articulos_NetSuite_2026-09-30.xlsx: fila 58661 [R] | Shopify Stetson: producto 15054564295019 / variante 53350550798699</t>
        </is>
      </c>
      <c r="AL89" s="58" t="n">
        <v>3301.5</v>
      </c>
      <c r="AM89" s="58" t="n">
        <v>18965.51724</v>
      </c>
      <c r="AN89" s="155" t="inlineStr">
        <is>
          <t>Shopify Stetson México</t>
        </is>
      </c>
      <c r="AO89" s="59" t="n">
        <v>0</v>
      </c>
      <c r="AP89" s="59" t="n"/>
      <c r="AQ89" s="59" t="n"/>
      <c r="AR89" s="155" t="n"/>
    </row>
    <row r="90">
      <c r="A90" s="50" t="inlineStr">
        <is>
          <t>12020000101017255</t>
        </is>
      </c>
      <c r="B90" s="51" t="inlineStr">
        <is>
          <t>110987</t>
        </is>
      </c>
      <c r="C90" s="156" t="inlineStr">
        <is>
          <t>Multimarca</t>
        </is>
      </c>
      <c r="D90" s="156" t="inlineStr">
        <is>
          <t>12-020-BS000-10-1017</t>
        </is>
      </c>
      <c r="E90" s="156" t="inlineStr">
        <is>
          <t>12-020-BS000-10-1017-255</t>
        </is>
      </c>
      <c r="F90" s="156" t="inlineStr">
        <is>
          <t>25.5</t>
        </is>
      </c>
      <c r="G90" s="156" t="inlineStr">
        <is>
          <t>7.5</t>
        </is>
      </c>
      <c r="H90" s="156" t="inlineStr">
        <is>
          <t>Stetson</t>
        </is>
      </c>
      <c r="I90" s="156" t="inlineStr">
        <is>
          <t>Bota Cocodrilo Negro</t>
        </is>
      </c>
      <c r="J90" s="156" t="inlineStr">
        <is>
          <t>Calzado</t>
        </is>
      </c>
      <c r="K90" s="156" t="inlineStr">
        <is>
          <t>Botas</t>
        </is>
      </c>
      <c r="L90" s="156" t="inlineStr">
        <is>
          <t>Hombre</t>
        </is>
      </c>
      <c r="M90" s="156" t="inlineStr">
        <is>
          <t>Stetson</t>
        </is>
      </c>
      <c r="N90" s="156" t="inlineStr">
        <is>
          <t>SS26</t>
        </is>
      </c>
      <c r="O90" s="156" t="inlineStr">
        <is>
          <t>Seasonal</t>
        </is>
      </c>
      <c r="P90" s="156" t="inlineStr">
        <is>
          <t>Negro</t>
        </is>
      </c>
      <c r="Q90" s="156" t="n"/>
      <c r="R90" s="156" t="inlineStr">
        <is>
          <t>Punta Redonda Ancha</t>
        </is>
      </c>
      <c r="S90" s="156" t="inlineStr">
        <is>
          <t>Piel de cocodrilo</t>
        </is>
      </c>
      <c r="T90" s="156" t="inlineStr">
        <is>
          <t>Bota Caballero Piel de cocodrilo Negro Punta Redonda Ancha</t>
        </is>
      </c>
      <c r="U90" s="156" t="inlineStr">
        <is>
          <t>México</t>
        </is>
      </c>
      <c r="V90" s="156" t="inlineStr">
        <is>
          <t>PRS</t>
        </is>
      </c>
      <c r="W90" s="51" t="inlineStr">
        <is>
          <t>53111501</t>
        </is>
      </c>
      <c r="X90" s="156" t="n"/>
      <c r="Y90" s="54" t="n">
        <v>3301.5</v>
      </c>
      <c r="Z90" s="54" t="n">
        <v>18965.51724</v>
      </c>
      <c r="AA90" s="55">
        <f>IF(AND(A90="", B90="", E90=""), "", IF(AB90="", "Válido", IF((LEN(AB90)-LEN(SUBSTITUTE(AB90,"; ","")))/2+1&gt;(LEN(AB90)-LEN(SUBSTITUTE(AB90,"[Aviso]","")))/7, "Con Incidencias", "Válido")))</f>
        <v/>
      </c>
      <c r="AB90" s="56">
        <f>IF(AND(A90="", B90="", E90=""), "", TEXTJOIN("; ", TRUE, IF(OR(TRIM(A90&amp;"")="", ISNUMBER(SEARCH("FALTA", A90))), "UPC faltante/inválido", ""), IF(AND(A90&lt;&gt;"", IFERROR(_xlfn.XMATCH(A90,$A$2:$A$2509,0,1)&lt;&gt;_xlfn.XMATCH(A90,$A$2:$A$2509,0,-1),FALSE)), "Código de barras duplicado", ""), IF(AND(E90&lt;&gt;"", COUNTIF($E$2:$E$2509, E90)&gt;1), "SKU duplicado", ""), IF(OR(J90="", J90=""), "[Aviso] División no capturada ()", IF(ISNA(MATCH(J90, Criterios!$A$123:$A$126, 0)), "División no válida", "")), IF(OR(K90="", K90=""), "[Aviso] Categoría no capturada ()", IF(ISNA(MATCH(K90, Criterios!$A$81:$A$120, 0)), "Categoría no válida", IF(AND(J90&lt;&gt;"", J90&lt;&gt;"", J90&lt;&gt;VLOOKUP(K90, Criterios!$A$81:$B$120, 2, FALSE)), "División no coincide con Categoría", ""))), IF(OR(L90="", L90=""), "[Aviso] Género no capturado ()", IF(ISNA(MATCH(L90, Criterios!$B$123:$B$127, 0)), "Género no válido", "")), IF(OR(N90="", N90=""), "[Aviso] Temporada no capturada ()", IF(ISNA(MATCH(N90, Criterios!$C$123:$C$128, 0)), "Temporada no válida", "")), IF(OR(O90="", O90=""), "[Aviso] Ciclo de vida no capturado ()", IF(ISNA(MATCH(O90, Criterios!$D$123:$D$124, 0)), "Ciclo de vida no válido", ""))))</f>
        <v/>
      </c>
      <c r="AC90" s="56" t="n"/>
      <c r="AD90" s="51" t="n">
        <v>0</v>
      </c>
      <c r="AE90" s="156" t="n"/>
      <c r="AF90" s="51" t="n">
        <v>0</v>
      </c>
      <c r="AG90" s="156" t="inlineStr">
        <is>
          <t>Catálogo existente</t>
        </is>
      </c>
      <c r="AH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0" s="156" t="inlineStr">
        <is>
          <t>No</t>
        </is>
      </c>
      <c r="AJ90" s="156" t="n"/>
      <c r="AK90" s="155" t="inlineStr">
        <is>
          <t>Criterios: I [Q]; G1522_Extraccion_Articulos_NetSuite_2026-09-30.xlsx: fila 58662 [R] | Shopify Stetson: producto 15054564295019 / variante 53350550372715</t>
        </is>
      </c>
      <c r="AL90" s="58" t="n">
        <v>3301.5</v>
      </c>
      <c r="AM90" s="58" t="n">
        <v>18965.51724</v>
      </c>
      <c r="AN90" s="155" t="inlineStr">
        <is>
          <t>Shopify Stetson México</t>
        </is>
      </c>
      <c r="AO90" s="59" t="n">
        <v>0</v>
      </c>
      <c r="AP90" s="59" t="n"/>
      <c r="AQ90" s="59" t="n"/>
      <c r="AR90" s="155" t="n"/>
    </row>
    <row r="91">
      <c r="A91" s="50" t="inlineStr">
        <is>
          <t>12020000101017265</t>
        </is>
      </c>
      <c r="B91" s="51" t="inlineStr">
        <is>
          <t>110988</t>
        </is>
      </c>
      <c r="C91" s="156" t="inlineStr">
        <is>
          <t>Multimarca</t>
        </is>
      </c>
      <c r="D91" s="156" t="inlineStr">
        <is>
          <t>12-020-BS000-10-1017</t>
        </is>
      </c>
      <c r="E91" s="156" t="inlineStr">
        <is>
          <t>12-020-BS000-10-1017-265</t>
        </is>
      </c>
      <c r="F91" s="156" t="inlineStr">
        <is>
          <t>26.5</t>
        </is>
      </c>
      <c r="G91" s="156" t="inlineStr">
        <is>
          <t>8.5</t>
        </is>
      </c>
      <c r="H91" s="156" t="inlineStr">
        <is>
          <t>Stetson</t>
        </is>
      </c>
      <c r="I91" s="156" t="inlineStr">
        <is>
          <t>Bota Cocodrilo Negro</t>
        </is>
      </c>
      <c r="J91" s="156" t="inlineStr">
        <is>
          <t>Calzado</t>
        </is>
      </c>
      <c r="K91" s="156" t="inlineStr">
        <is>
          <t>Botas</t>
        </is>
      </c>
      <c r="L91" s="156" t="inlineStr">
        <is>
          <t>Hombre</t>
        </is>
      </c>
      <c r="M91" s="156" t="inlineStr">
        <is>
          <t>Stetson</t>
        </is>
      </c>
      <c r="N91" s="156" t="inlineStr">
        <is>
          <t>SS26</t>
        </is>
      </c>
      <c r="O91" s="156" t="inlineStr">
        <is>
          <t>Seasonal</t>
        </is>
      </c>
      <c r="P91" s="156" t="inlineStr">
        <is>
          <t>Negro</t>
        </is>
      </c>
      <c r="Q91" s="156" t="n"/>
      <c r="R91" s="156" t="inlineStr">
        <is>
          <t>Punta Redonda Ancha</t>
        </is>
      </c>
      <c r="S91" s="156" t="inlineStr">
        <is>
          <t>Piel de cocodrilo</t>
        </is>
      </c>
      <c r="T91" s="156" t="inlineStr">
        <is>
          <t>Bota Caballero Piel de cocodrilo Negro Punta Redonda Ancha</t>
        </is>
      </c>
      <c r="U91" s="156" t="inlineStr">
        <is>
          <t>México</t>
        </is>
      </c>
      <c r="V91" s="156" t="inlineStr">
        <is>
          <t>PRS</t>
        </is>
      </c>
      <c r="W91" s="51" t="inlineStr">
        <is>
          <t>53111501</t>
        </is>
      </c>
      <c r="X91" s="156" t="n"/>
      <c r="Y91" s="54" t="n">
        <v>3301.5</v>
      </c>
      <c r="Z91" s="54" t="n">
        <v>18965.51724</v>
      </c>
      <c r="AA91" s="55">
        <f>IF(AND(A91="", B91="", E91=""), "", IF(AB91="", "Válido", IF((LEN(AB91)-LEN(SUBSTITUTE(AB91,"; ","")))/2+1&gt;(LEN(AB91)-LEN(SUBSTITUTE(AB91,"[Aviso]","")))/7, "Con Incidencias", "Válido")))</f>
        <v/>
      </c>
      <c r="AB91" s="56">
        <f>IF(AND(A91="", B91="", E91=""), "", TEXTJOIN("; ", TRUE, IF(OR(TRIM(A91&amp;"")="", ISNUMBER(SEARCH("FALTA", A91))), "UPC faltante/inválido", ""), IF(AND(A91&lt;&gt;"", IFERROR(_xlfn.XMATCH(A91,$A$2:$A$2509,0,1)&lt;&gt;_xlfn.XMATCH(A91,$A$2:$A$2509,0,-1),FALSE)), "Código de barras duplicado", ""), IF(AND(E91&lt;&gt;"", COUNTIF($E$2:$E$2509, E91)&gt;1), "SKU duplicado", ""), IF(OR(J91="", J91=""), "[Aviso] División no capturada ()", IF(ISNA(MATCH(J91, Criterios!$A$123:$A$126, 0)), "División no válida", "")), IF(OR(K91="", K91=""), "[Aviso] Categoría no capturada ()", IF(ISNA(MATCH(K91, Criterios!$A$81:$A$120, 0)), "Categoría no válida", IF(AND(J91&lt;&gt;"", J91&lt;&gt;"", J91&lt;&gt;VLOOKUP(K91, Criterios!$A$81:$B$120, 2, FALSE)), "División no coincide con Categoría", ""))), IF(OR(L91="", L91=""), "[Aviso] Género no capturado ()", IF(ISNA(MATCH(L91, Criterios!$B$123:$B$127, 0)), "Género no válido", "")), IF(OR(N91="", N91=""), "[Aviso] Temporada no capturada ()", IF(ISNA(MATCH(N91, Criterios!$C$123:$C$128, 0)), "Temporada no válida", "")), IF(OR(O91="", O91=""), "[Aviso] Ciclo de vida no capturado ()", IF(ISNA(MATCH(O91, Criterios!$D$123:$D$124, 0)), "Ciclo de vida no válido", ""))))</f>
        <v/>
      </c>
      <c r="AC91" s="56" t="n"/>
      <c r="AD91" s="51" t="n">
        <v>-1</v>
      </c>
      <c r="AE91" s="156" t="n"/>
      <c r="AF91" s="51" t="n">
        <v>0</v>
      </c>
      <c r="AG91" s="156" t="inlineStr">
        <is>
          <t>Catálogo existente</t>
        </is>
      </c>
      <c r="AH9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1" s="156" t="inlineStr">
        <is>
          <t>Sí</t>
        </is>
      </c>
      <c r="AJ91" s="156" t="inlineStr">
        <is>
          <t>STETSON AMERICAS (-1)</t>
        </is>
      </c>
      <c r="AK91" s="155" t="inlineStr">
        <is>
          <t>Criterios: I [Q]; G1522_Extraccion_Articulos_NetSuite_2026-09-30.xlsx: fila 58663 [R] | Shopify Stetson: producto 15054564295019 / variante 53350550438251</t>
        </is>
      </c>
      <c r="AL91" s="58" t="n">
        <v>3301.5</v>
      </c>
      <c r="AM91" s="58" t="n">
        <v>18965.51724</v>
      </c>
      <c r="AN91" s="155" t="inlineStr">
        <is>
          <t>Shopify Stetson México</t>
        </is>
      </c>
      <c r="AO91" s="59" t="n">
        <v>0</v>
      </c>
      <c r="AP91" s="59" t="n"/>
      <c r="AQ91" s="59" t="n"/>
      <c r="AR91" s="155" t="n"/>
    </row>
    <row r="92">
      <c r="A92" s="50" t="inlineStr">
        <is>
          <t>12020000101017275</t>
        </is>
      </c>
      <c r="B92" s="51" t="inlineStr">
        <is>
          <t>110989</t>
        </is>
      </c>
      <c r="C92" s="156" t="inlineStr">
        <is>
          <t>Multimarca</t>
        </is>
      </c>
      <c r="D92" s="156" t="inlineStr">
        <is>
          <t>12-020-BS000-10-1017</t>
        </is>
      </c>
      <c r="E92" s="156" t="inlineStr">
        <is>
          <t>12-020-BS000-10-1017-275</t>
        </is>
      </c>
      <c r="F92" s="156" t="inlineStr">
        <is>
          <t>27.5</t>
        </is>
      </c>
      <c r="G92" s="156" t="inlineStr">
        <is>
          <t>9.5</t>
        </is>
      </c>
      <c r="H92" s="156" t="inlineStr">
        <is>
          <t>Stetson</t>
        </is>
      </c>
      <c r="I92" s="156" t="inlineStr">
        <is>
          <t>Bota Cocodrilo Negro</t>
        </is>
      </c>
      <c r="J92" s="156" t="inlineStr">
        <is>
          <t>Calzado</t>
        </is>
      </c>
      <c r="K92" s="156" t="inlineStr">
        <is>
          <t>Botas</t>
        </is>
      </c>
      <c r="L92" s="156" t="inlineStr">
        <is>
          <t>Hombre</t>
        </is>
      </c>
      <c r="M92" s="156" t="inlineStr">
        <is>
          <t>Stetson</t>
        </is>
      </c>
      <c r="N92" s="156" t="inlineStr">
        <is>
          <t>SS26</t>
        </is>
      </c>
      <c r="O92" s="156" t="inlineStr">
        <is>
          <t>Seasonal</t>
        </is>
      </c>
      <c r="P92" s="156" t="inlineStr">
        <is>
          <t>Negro</t>
        </is>
      </c>
      <c r="Q92" s="156" t="n"/>
      <c r="R92" s="156" t="inlineStr">
        <is>
          <t>Punta Redonda Ancha</t>
        </is>
      </c>
      <c r="S92" s="156" t="inlineStr">
        <is>
          <t>Piel de cocodrilo</t>
        </is>
      </c>
      <c r="T92" s="156" t="inlineStr">
        <is>
          <t>Bota Caballero Piel de cocodrilo Negro Punta Redonda Ancha</t>
        </is>
      </c>
      <c r="U92" s="156" t="inlineStr">
        <is>
          <t>México</t>
        </is>
      </c>
      <c r="V92" s="156" t="inlineStr">
        <is>
          <t>PRS</t>
        </is>
      </c>
      <c r="W92" s="51" t="inlineStr">
        <is>
          <t>53111501</t>
        </is>
      </c>
      <c r="X92" s="156" t="n"/>
      <c r="Y92" s="54" t="n">
        <v>3301.5</v>
      </c>
      <c r="Z92" s="54" t="n">
        <v>18965.51724</v>
      </c>
      <c r="AA92" s="55">
        <f>IF(AND(A92="", B92="", E92=""), "", IF(AB92="", "Válido", IF((LEN(AB92)-LEN(SUBSTITUTE(AB92,"; ","")))/2+1&gt;(LEN(AB92)-LEN(SUBSTITUTE(AB92,"[Aviso]","")))/7, "Con Incidencias", "Válido")))</f>
        <v/>
      </c>
      <c r="AB92" s="56">
        <f>IF(AND(A92="", B92="", E92=""), "", TEXTJOIN("; ", TRUE, IF(OR(TRIM(A92&amp;"")="", ISNUMBER(SEARCH("FALTA", A92))), "UPC faltante/inválido", ""), IF(AND(A92&lt;&gt;"", IFERROR(_xlfn.XMATCH(A92,$A$2:$A$2509,0,1)&lt;&gt;_xlfn.XMATCH(A92,$A$2:$A$2509,0,-1),FALSE)), "Código de barras duplicado", ""), IF(AND(E92&lt;&gt;"", COUNTIF($E$2:$E$2509, E92)&gt;1), "SKU duplicado", ""), IF(OR(J92="", J92=""), "[Aviso] División no capturada ()", IF(ISNA(MATCH(J92, Criterios!$A$123:$A$126, 0)), "División no válida", "")), IF(OR(K92="", K92=""), "[Aviso] Categoría no capturada ()", IF(ISNA(MATCH(K92, Criterios!$A$81:$A$120, 0)), "Categoría no válida", IF(AND(J92&lt;&gt;"", J92&lt;&gt;"", J92&lt;&gt;VLOOKUP(K92, Criterios!$A$81:$B$120, 2, FALSE)), "División no coincide con Categoría", ""))), IF(OR(L92="", L92=""), "[Aviso] Género no capturado ()", IF(ISNA(MATCH(L92, Criterios!$B$123:$B$127, 0)), "Género no válido", "")), IF(OR(N92="", N92=""), "[Aviso] Temporada no capturada ()", IF(ISNA(MATCH(N92, Criterios!$C$123:$C$128, 0)), "Temporada no válida", "")), IF(OR(O92="", O92=""), "[Aviso] Ciclo de vida no capturado ()", IF(ISNA(MATCH(O92, Criterios!$D$123:$D$124, 0)), "Ciclo de vida no válido", ""))))</f>
        <v/>
      </c>
      <c r="AC92" s="56" t="n"/>
      <c r="AD92" s="51" t="n">
        <v>1</v>
      </c>
      <c r="AE92" s="156" t="inlineStr">
        <is>
          <t>STETSON AMERICAS (1)</t>
        </is>
      </c>
      <c r="AF92" s="51" t="n">
        <v>1</v>
      </c>
      <c r="AG92" s="156" t="inlineStr">
        <is>
          <t>Catálogo existente</t>
        </is>
      </c>
      <c r="AH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2" s="156" t="inlineStr">
        <is>
          <t>No</t>
        </is>
      </c>
      <c r="AJ92" s="156" t="n"/>
      <c r="AK92" s="155" t="inlineStr">
        <is>
          <t>Criterios: I [Q]; G1522_Extraccion_Articulos_NetSuite_2026-09-30.xlsx: fila 58664 [R] | Shopify Stetson: producto 15054564295019 / variante 53350550503787</t>
        </is>
      </c>
      <c r="AL92" s="58" t="n">
        <v>3301.5</v>
      </c>
      <c r="AM92" s="58" t="n">
        <v>18965.51724</v>
      </c>
      <c r="AN92" s="155" t="inlineStr">
        <is>
          <t>Shopify Stetson México</t>
        </is>
      </c>
      <c r="AO92" s="59" t="n">
        <v>1</v>
      </c>
      <c r="AP92" s="59" t="n"/>
      <c r="AQ92" s="59" t="n"/>
      <c r="AR92" s="155" t="inlineStr">
        <is>
          <t>Shopify Stetson México › Stetson Americas: 1</t>
        </is>
      </c>
    </row>
    <row r="93">
      <c r="A93" s="50" t="inlineStr">
        <is>
          <t>12020000101017285</t>
        </is>
      </c>
      <c r="B93" s="51" t="inlineStr">
        <is>
          <t>110990</t>
        </is>
      </c>
      <c r="C93" s="156" t="inlineStr">
        <is>
          <t>Multimarca</t>
        </is>
      </c>
      <c r="D93" s="156" t="inlineStr">
        <is>
          <t>12-020-BS000-10-1017</t>
        </is>
      </c>
      <c r="E93" s="156" t="inlineStr">
        <is>
          <t>12-020-BS000-10-1017-285</t>
        </is>
      </c>
      <c r="F93" s="156" t="inlineStr">
        <is>
          <t>28.5</t>
        </is>
      </c>
      <c r="G93" s="156" t="inlineStr">
        <is>
          <t>10.5</t>
        </is>
      </c>
      <c r="H93" s="156" t="inlineStr">
        <is>
          <t>Stetson</t>
        </is>
      </c>
      <c r="I93" s="156" t="inlineStr">
        <is>
          <t>Bota Cocodrilo Negro</t>
        </is>
      </c>
      <c r="J93" s="156" t="inlineStr">
        <is>
          <t>Calzado</t>
        </is>
      </c>
      <c r="K93" s="156" t="inlineStr">
        <is>
          <t>Botas</t>
        </is>
      </c>
      <c r="L93" s="156" t="inlineStr">
        <is>
          <t>Hombre</t>
        </is>
      </c>
      <c r="M93" s="156" t="inlineStr">
        <is>
          <t>Stetson</t>
        </is>
      </c>
      <c r="N93" s="156" t="inlineStr">
        <is>
          <t>SS26</t>
        </is>
      </c>
      <c r="O93" s="156" t="inlineStr">
        <is>
          <t>Seasonal</t>
        </is>
      </c>
      <c r="P93" s="156" t="inlineStr">
        <is>
          <t>Negro</t>
        </is>
      </c>
      <c r="Q93" s="156" t="n"/>
      <c r="R93" s="156" t="inlineStr">
        <is>
          <t>Punta Redonda Ancha</t>
        </is>
      </c>
      <c r="S93" s="156" t="inlineStr">
        <is>
          <t>Piel de cocodrilo</t>
        </is>
      </c>
      <c r="T93" s="156" t="inlineStr">
        <is>
          <t>Bota Caballero Piel de cocodrilo Negro Punta Redonda Ancha</t>
        </is>
      </c>
      <c r="U93" s="156" t="inlineStr">
        <is>
          <t>México</t>
        </is>
      </c>
      <c r="V93" s="156" t="inlineStr">
        <is>
          <t>PRS</t>
        </is>
      </c>
      <c r="W93" s="51" t="inlineStr">
        <is>
          <t>53111501</t>
        </is>
      </c>
      <c r="X93" s="156" t="n"/>
      <c r="Y93" s="54" t="n">
        <v>3301.5</v>
      </c>
      <c r="Z93" s="54" t="n">
        <v>18965.51724</v>
      </c>
      <c r="AA93" s="55">
        <f>IF(AND(A93="", B93="", E93=""), "", IF(AB93="", "Válido", IF((LEN(AB93)-LEN(SUBSTITUTE(AB93,"; ","")))/2+1&gt;(LEN(AB93)-LEN(SUBSTITUTE(AB93,"[Aviso]","")))/7, "Con Incidencias", "Válido")))</f>
        <v/>
      </c>
      <c r="AB93" s="56">
        <f>IF(AND(A93="", B93="", E93=""), "", TEXTJOIN("; ", TRUE, IF(OR(TRIM(A93&amp;"")="", ISNUMBER(SEARCH("FALTA", A93))), "UPC faltante/inválido", ""), IF(AND(A93&lt;&gt;"", IFERROR(_xlfn.XMATCH(A93,$A$2:$A$2509,0,1)&lt;&gt;_xlfn.XMATCH(A93,$A$2:$A$2509,0,-1),FALSE)), "Código de barras duplicado", ""), IF(AND(E93&lt;&gt;"", COUNTIF($E$2:$E$2509, E93)&gt;1), "SKU duplicado", ""), IF(OR(J93="", J93=""), "[Aviso] División no capturada ()", IF(ISNA(MATCH(J93, Criterios!$A$123:$A$126, 0)), "División no válida", "")), IF(OR(K93="", K93=""), "[Aviso] Categoría no capturada ()", IF(ISNA(MATCH(K93, Criterios!$A$81:$A$120, 0)), "Categoría no válida", IF(AND(J93&lt;&gt;"", J93&lt;&gt;"", J93&lt;&gt;VLOOKUP(K93, Criterios!$A$81:$B$120, 2, FALSE)), "División no coincide con Categoría", ""))), IF(OR(L93="", L93=""), "[Aviso] Género no capturado ()", IF(ISNA(MATCH(L93, Criterios!$B$123:$B$127, 0)), "Género no válido", "")), IF(OR(N93="", N93=""), "[Aviso] Temporada no capturada ()", IF(ISNA(MATCH(N93, Criterios!$C$123:$C$128, 0)), "Temporada no válida", "")), IF(OR(O93="", O93=""), "[Aviso] Ciclo de vida no capturado ()", IF(ISNA(MATCH(O93, Criterios!$D$123:$D$124, 0)), "Ciclo de vida no válido", ""))))</f>
        <v/>
      </c>
      <c r="AC93" s="56" t="n"/>
      <c r="AD93" s="51" t="n">
        <v>2</v>
      </c>
      <c r="AE93" s="156" t="inlineStr">
        <is>
          <t>STETSON AMERICAS (2)</t>
        </is>
      </c>
      <c r="AF93" s="51" t="n">
        <v>2</v>
      </c>
      <c r="AG93" s="156" t="inlineStr">
        <is>
          <t>Catálogo existente</t>
        </is>
      </c>
      <c r="AH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3" s="156" t="inlineStr">
        <is>
          <t>No</t>
        </is>
      </c>
      <c r="AJ93" s="156" t="n"/>
      <c r="AK93" s="155" t="inlineStr">
        <is>
          <t>Criterios: I [Q]; G1522_Extraccion_Articulos_NetSuite_2026-09-30.xlsx: fila 58665 [R] | Shopify Stetson: producto 15054564295019 / variante 53350550569323</t>
        </is>
      </c>
      <c r="AL93" s="58" t="n">
        <v>3301.5</v>
      </c>
      <c r="AM93" s="58" t="n">
        <v>18965.51724</v>
      </c>
      <c r="AN93" s="155" t="inlineStr">
        <is>
          <t>Shopify Stetson México</t>
        </is>
      </c>
      <c r="AO93" s="59" t="n">
        <v>2</v>
      </c>
      <c r="AP93" s="59" t="n"/>
      <c r="AQ93" s="59" t="n"/>
      <c r="AR93" s="155" t="inlineStr">
        <is>
          <t>Shopify Stetson México › Stetson Americas: 2</t>
        </is>
      </c>
    </row>
    <row r="94">
      <c r="A94" s="50" t="inlineStr">
        <is>
          <t>12020000101017295</t>
        </is>
      </c>
      <c r="B94" s="51" t="inlineStr">
        <is>
          <t>110991</t>
        </is>
      </c>
      <c r="C94" s="156" t="inlineStr">
        <is>
          <t>Multimarca</t>
        </is>
      </c>
      <c r="D94" s="156" t="inlineStr">
        <is>
          <t>12-020-BS000-10-1017</t>
        </is>
      </c>
      <c r="E94" s="156" t="inlineStr">
        <is>
          <t>12-020-BS000-10-1017-295</t>
        </is>
      </c>
      <c r="F94" s="156" t="inlineStr">
        <is>
          <t>29.5</t>
        </is>
      </c>
      <c r="G94" s="156" t="inlineStr">
        <is>
          <t>11.5</t>
        </is>
      </c>
      <c r="H94" s="156" t="inlineStr">
        <is>
          <t>Stetson</t>
        </is>
      </c>
      <c r="I94" s="156" t="inlineStr">
        <is>
          <t>Bota Cocodrilo Negro</t>
        </is>
      </c>
      <c r="J94" s="156" t="inlineStr">
        <is>
          <t>Calzado</t>
        </is>
      </c>
      <c r="K94" s="156" t="inlineStr">
        <is>
          <t>Botas</t>
        </is>
      </c>
      <c r="L94" s="156" t="inlineStr">
        <is>
          <t>Hombre</t>
        </is>
      </c>
      <c r="M94" s="156" t="inlineStr">
        <is>
          <t>Stetson</t>
        </is>
      </c>
      <c r="N94" s="156" t="inlineStr">
        <is>
          <t>SS26</t>
        </is>
      </c>
      <c r="O94" s="156" t="inlineStr">
        <is>
          <t>Seasonal</t>
        </is>
      </c>
      <c r="P94" s="156" t="inlineStr">
        <is>
          <t>Negro</t>
        </is>
      </c>
      <c r="Q94" s="156" t="n"/>
      <c r="R94" s="156" t="inlineStr">
        <is>
          <t>Punta Redonda Ancha</t>
        </is>
      </c>
      <c r="S94" s="156" t="inlineStr">
        <is>
          <t>Piel de cocodrilo</t>
        </is>
      </c>
      <c r="T94" s="156" t="inlineStr">
        <is>
          <t>Bota Caballero Piel de cocodrilo Negro Punta Redonda Ancha</t>
        </is>
      </c>
      <c r="U94" s="156" t="inlineStr">
        <is>
          <t>México</t>
        </is>
      </c>
      <c r="V94" s="156" t="inlineStr">
        <is>
          <t>PRS</t>
        </is>
      </c>
      <c r="W94" s="51" t="inlineStr">
        <is>
          <t>53111501</t>
        </is>
      </c>
      <c r="X94" s="156" t="n"/>
      <c r="Y94" s="54" t="n">
        <v>3301.5</v>
      </c>
      <c r="Z94" s="54" t="n">
        <v>18965.51724</v>
      </c>
      <c r="AA94" s="55">
        <f>IF(AND(A94="", B94="", E94=""), "", IF(AB94="", "Válido", IF((LEN(AB94)-LEN(SUBSTITUTE(AB94,"; ","")))/2+1&gt;(LEN(AB94)-LEN(SUBSTITUTE(AB94,"[Aviso]","")))/7, "Con Incidencias", "Válido")))</f>
        <v/>
      </c>
      <c r="AB94" s="56">
        <f>IF(AND(A94="", B94="", E94=""), "", TEXTJOIN("; ", TRUE, IF(OR(TRIM(A94&amp;"")="", ISNUMBER(SEARCH("FALTA", A94))), "UPC faltante/inválido", ""), IF(AND(A94&lt;&gt;"", IFERROR(_xlfn.XMATCH(A94,$A$2:$A$2509,0,1)&lt;&gt;_xlfn.XMATCH(A94,$A$2:$A$2509,0,-1),FALSE)), "Código de barras duplicado", ""), IF(AND(E94&lt;&gt;"", COUNTIF($E$2:$E$2509, E94)&gt;1), "SKU duplicado", ""), IF(OR(J94="", J94=""), "[Aviso] División no capturada ()", IF(ISNA(MATCH(J94, Criterios!$A$123:$A$126, 0)), "División no válida", "")), IF(OR(K94="", K94=""), "[Aviso] Categoría no capturada ()", IF(ISNA(MATCH(K94, Criterios!$A$81:$A$120, 0)), "Categoría no válida", IF(AND(J94&lt;&gt;"", J94&lt;&gt;"", J94&lt;&gt;VLOOKUP(K94, Criterios!$A$81:$B$120, 2, FALSE)), "División no coincide con Categoría", ""))), IF(OR(L94="", L94=""), "[Aviso] Género no capturado ()", IF(ISNA(MATCH(L94, Criterios!$B$123:$B$127, 0)), "Género no válido", "")), IF(OR(N94="", N94=""), "[Aviso] Temporada no capturada ()", IF(ISNA(MATCH(N94, Criterios!$C$123:$C$128, 0)), "Temporada no válida", "")), IF(OR(O94="", O94=""), "[Aviso] Ciclo de vida no capturado ()", IF(ISNA(MATCH(O94, Criterios!$D$123:$D$124, 0)), "Ciclo de vida no válido", ""))))</f>
        <v/>
      </c>
      <c r="AC94" s="56" t="n"/>
      <c r="AD94" s="51" t="n">
        <v>0</v>
      </c>
      <c r="AE94" s="156" t="n"/>
      <c r="AF94" s="51" t="n">
        <v>0</v>
      </c>
      <c r="AG94" s="156" t="inlineStr">
        <is>
          <t>Catálogo existente</t>
        </is>
      </c>
      <c r="AH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4" s="156" t="inlineStr">
        <is>
          <t>No</t>
        </is>
      </c>
      <c r="AJ94" s="156" t="n"/>
      <c r="AK94" s="155" t="inlineStr">
        <is>
          <t>Criterios: I [Q]; G1522_Extraccion_Articulos_NetSuite_2026-09-30.xlsx: fila 58666 [R] | Shopify Stetson: producto 15054564295019 / variante 53350550634859</t>
        </is>
      </c>
      <c r="AL94" s="58" t="n">
        <v>3301.5</v>
      </c>
      <c r="AM94" s="58" t="n">
        <v>18965.51724</v>
      </c>
      <c r="AN94" s="155" t="inlineStr">
        <is>
          <t>Shopify Stetson México</t>
        </is>
      </c>
      <c r="AO94" s="59" t="n">
        <v>0</v>
      </c>
      <c r="AP94" s="59" t="n"/>
      <c r="AQ94" s="59" t="n"/>
      <c r="AR94" s="155" t="n"/>
    </row>
    <row r="95">
      <c r="A95" s="50" t="inlineStr">
        <is>
          <t>12020000101017305</t>
        </is>
      </c>
      <c r="B95" s="51" t="inlineStr">
        <is>
          <t>110992</t>
        </is>
      </c>
      <c r="C95" s="156" t="inlineStr">
        <is>
          <t>Multimarca</t>
        </is>
      </c>
      <c r="D95" s="156" t="inlineStr">
        <is>
          <t>12-020-BS000-10-1017</t>
        </is>
      </c>
      <c r="E95" s="156" t="inlineStr">
        <is>
          <t>12-020-BS000-10-1017-305</t>
        </is>
      </c>
      <c r="F95" s="156" t="inlineStr">
        <is>
          <t>30.5</t>
        </is>
      </c>
      <c r="G95" s="156" t="inlineStr">
        <is>
          <t>12.5</t>
        </is>
      </c>
      <c r="H95" s="156" t="inlineStr">
        <is>
          <t>Stetson</t>
        </is>
      </c>
      <c r="I95" s="156" t="inlineStr">
        <is>
          <t>Bota Cocodrilo Negro</t>
        </is>
      </c>
      <c r="J95" s="156" t="inlineStr">
        <is>
          <t>Calzado</t>
        </is>
      </c>
      <c r="K95" s="156" t="inlineStr">
        <is>
          <t>Botas</t>
        </is>
      </c>
      <c r="L95" s="156" t="inlineStr">
        <is>
          <t>Hombre</t>
        </is>
      </c>
      <c r="M95" s="156" t="inlineStr">
        <is>
          <t>Stetson</t>
        </is>
      </c>
      <c r="N95" s="156" t="inlineStr">
        <is>
          <t>SS26</t>
        </is>
      </c>
      <c r="O95" s="156" t="inlineStr">
        <is>
          <t>Seasonal</t>
        </is>
      </c>
      <c r="P95" s="156" t="inlineStr">
        <is>
          <t>Negro</t>
        </is>
      </c>
      <c r="Q95" s="156" t="n"/>
      <c r="R95" s="156" t="inlineStr">
        <is>
          <t>Punta Redonda Ancha</t>
        </is>
      </c>
      <c r="S95" s="156" t="inlineStr">
        <is>
          <t>Piel de cocodrilo</t>
        </is>
      </c>
      <c r="T95" s="156" t="inlineStr">
        <is>
          <t>Bota Caballero Piel de cocodrilo Negro Punta Redonda Ancha</t>
        </is>
      </c>
      <c r="U95" s="156" t="inlineStr">
        <is>
          <t>México</t>
        </is>
      </c>
      <c r="V95" s="156" t="inlineStr">
        <is>
          <t>PRS</t>
        </is>
      </c>
      <c r="W95" s="51" t="inlineStr">
        <is>
          <t>53111501</t>
        </is>
      </c>
      <c r="X95" s="156" t="n"/>
      <c r="Y95" s="54" t="n">
        <v>3301.5</v>
      </c>
      <c r="Z95" s="54" t="n">
        <v>18965.51724</v>
      </c>
      <c r="AA95" s="55">
        <f>IF(AND(A95="", B95="", E95=""), "", IF(AB95="", "Válido", IF((LEN(AB95)-LEN(SUBSTITUTE(AB95,"; ","")))/2+1&gt;(LEN(AB95)-LEN(SUBSTITUTE(AB95,"[Aviso]","")))/7, "Con Incidencias", "Válido")))</f>
        <v/>
      </c>
      <c r="AB95" s="56">
        <f>IF(AND(A95="", B95="", E95=""), "", TEXTJOIN("; ", TRUE, IF(OR(TRIM(A95&amp;"")="", ISNUMBER(SEARCH("FALTA", A95))), "UPC faltante/inválido", ""), IF(AND(A95&lt;&gt;"", IFERROR(_xlfn.XMATCH(A95,$A$2:$A$2509,0,1)&lt;&gt;_xlfn.XMATCH(A95,$A$2:$A$2509,0,-1),FALSE)), "Código de barras duplicado", ""), IF(AND(E95&lt;&gt;"", COUNTIF($E$2:$E$2509, E95)&gt;1), "SKU duplicado", ""), IF(OR(J95="", J95=""), "[Aviso] División no capturada ()", IF(ISNA(MATCH(J95, Criterios!$A$123:$A$126, 0)), "División no válida", "")), IF(OR(K95="", K95=""), "[Aviso] Categoría no capturada ()", IF(ISNA(MATCH(K95, Criterios!$A$81:$A$120, 0)), "Categoría no válida", IF(AND(J95&lt;&gt;"", J95&lt;&gt;"", J95&lt;&gt;VLOOKUP(K95, Criterios!$A$81:$B$120, 2, FALSE)), "División no coincide con Categoría", ""))), IF(OR(L95="", L95=""), "[Aviso] Género no capturado ()", IF(ISNA(MATCH(L95, Criterios!$B$123:$B$127, 0)), "Género no válido", "")), IF(OR(N95="", N95=""), "[Aviso] Temporada no capturada ()", IF(ISNA(MATCH(N95, Criterios!$C$123:$C$128, 0)), "Temporada no válida", "")), IF(OR(O95="", O95=""), "[Aviso] Ciclo de vida no capturado ()", IF(ISNA(MATCH(O95, Criterios!$D$123:$D$124, 0)), "Ciclo de vida no válido", ""))))</f>
        <v/>
      </c>
      <c r="AC95" s="56" t="n"/>
      <c r="AD95" s="51" t="n">
        <v>0</v>
      </c>
      <c r="AE95" s="156" t="n"/>
      <c r="AF95" s="51" t="n">
        <v>0</v>
      </c>
      <c r="AG95" s="156" t="inlineStr">
        <is>
          <t>Catálogo existente</t>
        </is>
      </c>
      <c r="AH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5" s="156" t="inlineStr">
        <is>
          <t>No</t>
        </is>
      </c>
      <c r="AJ95" s="156" t="n"/>
      <c r="AK95" s="155" t="inlineStr">
        <is>
          <t>Criterios: I [Q]; G1522_Extraccion_Articulos_NetSuite_2026-09-30.xlsx: fila 58667 [R] | Shopify Stetson: producto 15054564295019 / variante 53350550700395</t>
        </is>
      </c>
      <c r="AL95" s="58" t="n">
        <v>3301.5</v>
      </c>
      <c r="AM95" s="58" t="n">
        <v>18965.51724</v>
      </c>
      <c r="AN95" s="155" t="inlineStr">
        <is>
          <t>Shopify Stetson México</t>
        </is>
      </c>
      <c r="AO95" s="59" t="n">
        <v>0</v>
      </c>
      <c r="AP95" s="59" t="n"/>
      <c r="AQ95" s="59" t="n"/>
      <c r="AR95" s="155" t="n"/>
    </row>
    <row r="96">
      <c r="A96" s="50" t="inlineStr">
        <is>
          <t>12020000101017315</t>
        </is>
      </c>
      <c r="B96" s="51" t="inlineStr">
        <is>
          <t>110993</t>
        </is>
      </c>
      <c r="C96" s="156" t="inlineStr">
        <is>
          <t>Multimarca</t>
        </is>
      </c>
      <c r="D96" s="156" t="inlineStr">
        <is>
          <t>12-020-BS000-10-1017</t>
        </is>
      </c>
      <c r="E96" s="156" t="inlineStr">
        <is>
          <t>12-020-BS000-10-1017-315</t>
        </is>
      </c>
      <c r="F96" s="156" t="inlineStr">
        <is>
          <t>31.5</t>
        </is>
      </c>
      <c r="G96" s="156" t="inlineStr">
        <is>
          <t>13.5</t>
        </is>
      </c>
      <c r="H96" s="156" t="inlineStr">
        <is>
          <t>Stetson</t>
        </is>
      </c>
      <c r="I96" s="156" t="inlineStr">
        <is>
          <t>Bota Cocodrilo Negro</t>
        </is>
      </c>
      <c r="J96" s="156" t="inlineStr">
        <is>
          <t>Calzado</t>
        </is>
      </c>
      <c r="K96" s="156" t="inlineStr">
        <is>
          <t>Botas</t>
        </is>
      </c>
      <c r="L96" s="156" t="inlineStr">
        <is>
          <t>Hombre</t>
        </is>
      </c>
      <c r="M96" s="156" t="inlineStr">
        <is>
          <t>Stetson</t>
        </is>
      </c>
      <c r="N96" s="156" t="inlineStr">
        <is>
          <t>SS26</t>
        </is>
      </c>
      <c r="O96" s="156" t="inlineStr">
        <is>
          <t>Seasonal</t>
        </is>
      </c>
      <c r="P96" s="156" t="inlineStr">
        <is>
          <t>Negro</t>
        </is>
      </c>
      <c r="Q96" s="156" t="n"/>
      <c r="R96" s="156" t="inlineStr">
        <is>
          <t>Punta Redonda Ancha</t>
        </is>
      </c>
      <c r="S96" s="156" t="inlineStr">
        <is>
          <t>Piel de cocodrilo</t>
        </is>
      </c>
      <c r="T96" s="156" t="inlineStr">
        <is>
          <t>Bota Caballero Piel de cocodrilo Negro Punta Redonda Ancha</t>
        </is>
      </c>
      <c r="U96" s="156" t="inlineStr">
        <is>
          <t>México</t>
        </is>
      </c>
      <c r="V96" s="156" t="inlineStr">
        <is>
          <t>PRS</t>
        </is>
      </c>
      <c r="W96" s="51" t="inlineStr">
        <is>
          <t>53111501</t>
        </is>
      </c>
      <c r="X96" s="156" t="n"/>
      <c r="Y96" s="54" t="n">
        <v>3301.5</v>
      </c>
      <c r="Z96" s="54" t="n">
        <v>18965.51724</v>
      </c>
      <c r="AA96" s="55">
        <f>IF(AND(A96="", B96="", E96=""), "", IF(AB96="", "Válido", IF((LEN(AB96)-LEN(SUBSTITUTE(AB96,"; ","")))/2+1&gt;(LEN(AB96)-LEN(SUBSTITUTE(AB96,"[Aviso]","")))/7, "Con Incidencias", "Válido")))</f>
        <v/>
      </c>
      <c r="AB96" s="56">
        <f>IF(AND(A96="", B96="", E96=""), "", TEXTJOIN("; ", TRUE, IF(OR(TRIM(A96&amp;"")="", ISNUMBER(SEARCH("FALTA", A96))), "UPC faltante/inválido", ""), IF(AND(A96&lt;&gt;"", IFERROR(_xlfn.XMATCH(A96,$A$2:$A$2509,0,1)&lt;&gt;_xlfn.XMATCH(A96,$A$2:$A$2509,0,-1),FALSE)), "Código de barras duplicado", ""), IF(AND(E96&lt;&gt;"", COUNTIF($E$2:$E$2509, E96)&gt;1), "SKU duplicado", ""), IF(OR(J96="", J96=""), "[Aviso] División no capturada ()", IF(ISNA(MATCH(J96, Criterios!$A$123:$A$126, 0)), "División no válida", "")), IF(OR(K96="", K96=""), "[Aviso] Categoría no capturada ()", IF(ISNA(MATCH(K96, Criterios!$A$81:$A$120, 0)), "Categoría no válida", IF(AND(J96&lt;&gt;"", J96&lt;&gt;"", J96&lt;&gt;VLOOKUP(K96, Criterios!$A$81:$B$120, 2, FALSE)), "División no coincide con Categoría", ""))), IF(OR(L96="", L96=""), "[Aviso] Género no capturado ()", IF(ISNA(MATCH(L96, Criterios!$B$123:$B$127, 0)), "Género no válido", "")), IF(OR(N96="", N96=""), "[Aviso] Temporada no capturada ()", IF(ISNA(MATCH(N96, Criterios!$C$123:$C$128, 0)), "Temporada no válida", "")), IF(OR(O96="", O96=""), "[Aviso] Ciclo de vida no capturado ()", IF(ISNA(MATCH(O96, Criterios!$D$123:$D$124, 0)), "Ciclo de vida no válido", ""))))</f>
        <v/>
      </c>
      <c r="AC96" s="56" t="n"/>
      <c r="AD96" s="51" t="n">
        <v>0</v>
      </c>
      <c r="AE96" s="156" t="n"/>
      <c r="AF96" s="51" t="n">
        <v>0</v>
      </c>
      <c r="AG96" s="156" t="inlineStr">
        <is>
          <t>Catálogo existente</t>
        </is>
      </c>
      <c r="AH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6" s="156" t="inlineStr">
        <is>
          <t>No</t>
        </is>
      </c>
      <c r="AJ96" s="156" t="n"/>
      <c r="AK96" s="155" t="inlineStr">
        <is>
          <t>Criterios: I [Q]; G1522_Extraccion_Articulos_NetSuite_2026-09-30.xlsx: fila 58668 [R] | Shopify Stetson: producto 15054564295019 / variante 53350550765931</t>
        </is>
      </c>
      <c r="AL96" s="58" t="n">
        <v>3301.5</v>
      </c>
      <c r="AM96" s="58" t="n">
        <v>18965.51724</v>
      </c>
      <c r="AN96" s="155" t="inlineStr">
        <is>
          <t>Shopify Stetson México</t>
        </is>
      </c>
      <c r="AO96" s="59" t="n">
        <v>0</v>
      </c>
      <c r="AP96" s="59" t="n"/>
      <c r="AQ96" s="59" t="n"/>
      <c r="AR96" s="155" t="n"/>
    </row>
    <row r="97">
      <c r="A97" s="50" t="inlineStr">
        <is>
          <t>12020000101017325</t>
        </is>
      </c>
      <c r="B97" s="51" t="inlineStr">
        <is>
          <t>110994</t>
        </is>
      </c>
      <c r="C97" s="156" t="inlineStr">
        <is>
          <t>Multimarca</t>
        </is>
      </c>
      <c r="D97" s="156" t="inlineStr">
        <is>
          <t>12-020-BS000-10-1017</t>
        </is>
      </c>
      <c r="E97" s="156" t="inlineStr">
        <is>
          <t>12-020-BS000-10-1017-325</t>
        </is>
      </c>
      <c r="F97" s="156" t="inlineStr">
        <is>
          <t>32.5</t>
        </is>
      </c>
      <c r="G97" s="156" t="inlineStr">
        <is>
          <t>14.5</t>
        </is>
      </c>
      <c r="H97" s="156" t="inlineStr">
        <is>
          <t>Stetson</t>
        </is>
      </c>
      <c r="I97" s="156" t="inlineStr">
        <is>
          <t>Bota Cocodrilo Negro</t>
        </is>
      </c>
      <c r="J97" s="156" t="inlineStr">
        <is>
          <t>Calzado</t>
        </is>
      </c>
      <c r="K97" s="156" t="inlineStr">
        <is>
          <t>Botas</t>
        </is>
      </c>
      <c r="L97" s="156" t="inlineStr">
        <is>
          <t>Hombre</t>
        </is>
      </c>
      <c r="M97" s="156" t="inlineStr">
        <is>
          <t>Stetson</t>
        </is>
      </c>
      <c r="N97" s="156" t="inlineStr">
        <is>
          <t>SS26</t>
        </is>
      </c>
      <c r="O97" s="156" t="inlineStr">
        <is>
          <t>Seasonal</t>
        </is>
      </c>
      <c r="P97" s="156" t="inlineStr">
        <is>
          <t>Negro</t>
        </is>
      </c>
      <c r="Q97" s="156" t="n"/>
      <c r="R97" s="156" t="inlineStr">
        <is>
          <t>Punta Redonda Ancha</t>
        </is>
      </c>
      <c r="S97" s="156" t="inlineStr">
        <is>
          <t>Piel de cocodrilo</t>
        </is>
      </c>
      <c r="T97" s="156" t="inlineStr">
        <is>
          <t>Bota Caballero Piel de cocodrilo Negro Punta Redonda Ancha</t>
        </is>
      </c>
      <c r="U97" s="156" t="inlineStr">
        <is>
          <t>México</t>
        </is>
      </c>
      <c r="V97" s="156" t="inlineStr">
        <is>
          <t>PRS</t>
        </is>
      </c>
      <c r="W97" s="51" t="inlineStr">
        <is>
          <t>53111501</t>
        </is>
      </c>
      <c r="X97" s="156" t="n"/>
      <c r="Y97" s="54" t="n">
        <v>3301.5</v>
      </c>
      <c r="Z97" s="54" t="n">
        <v>18965.51724</v>
      </c>
      <c r="AA97" s="55">
        <f>IF(AND(A97="", B97="", E97=""), "", IF(AB97="", "Válido", IF((LEN(AB97)-LEN(SUBSTITUTE(AB97,"; ","")))/2+1&gt;(LEN(AB97)-LEN(SUBSTITUTE(AB97,"[Aviso]","")))/7, "Con Incidencias", "Válido")))</f>
        <v/>
      </c>
      <c r="AB97" s="56">
        <f>IF(AND(A97="", B97="", E97=""), "", TEXTJOIN("; ", TRUE, IF(OR(TRIM(A97&amp;"")="", ISNUMBER(SEARCH("FALTA", A97))), "UPC faltante/inválido", ""), IF(AND(A97&lt;&gt;"", IFERROR(_xlfn.XMATCH(A97,$A$2:$A$2509,0,1)&lt;&gt;_xlfn.XMATCH(A97,$A$2:$A$2509,0,-1),FALSE)), "Código de barras duplicado", ""), IF(AND(E97&lt;&gt;"", COUNTIF($E$2:$E$2509, E97)&gt;1), "SKU duplicado", ""), IF(OR(J97="", J97=""), "[Aviso] División no capturada ()", IF(ISNA(MATCH(J97, Criterios!$A$123:$A$126, 0)), "División no válida", "")), IF(OR(K97="", K97=""), "[Aviso] Categoría no capturada ()", IF(ISNA(MATCH(K97, Criterios!$A$81:$A$120, 0)), "Categoría no válida", IF(AND(J97&lt;&gt;"", J97&lt;&gt;"", J97&lt;&gt;VLOOKUP(K97, Criterios!$A$81:$B$120, 2, FALSE)), "División no coincide con Categoría", ""))), IF(OR(L97="", L97=""), "[Aviso] Género no capturado ()", IF(ISNA(MATCH(L97, Criterios!$B$123:$B$127, 0)), "Género no válido", "")), IF(OR(N97="", N97=""), "[Aviso] Temporada no capturada ()", IF(ISNA(MATCH(N97, Criterios!$C$123:$C$128, 0)), "Temporada no válida", "")), IF(OR(O97="", O97=""), "[Aviso] Ciclo de vida no capturado ()", IF(ISNA(MATCH(O97, Criterios!$D$123:$D$124, 0)), "Ciclo de vida no válido", ""))))</f>
        <v/>
      </c>
      <c r="AC97" s="56" t="n"/>
      <c r="AD97" s="51" t="n">
        <v>0</v>
      </c>
      <c r="AE97" s="156" t="n"/>
      <c r="AF97" s="51" t="n">
        <v>0</v>
      </c>
      <c r="AG97" s="156" t="inlineStr">
        <is>
          <t>Catálogo existente</t>
        </is>
      </c>
      <c r="AH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7" s="156" t="inlineStr">
        <is>
          <t>No</t>
        </is>
      </c>
      <c r="AJ97" s="156" t="n"/>
      <c r="AK97" s="155" t="inlineStr">
        <is>
          <t>Criterios: I [Q]; G1522_Extraccion_Articulos_NetSuite_2026-09-30.xlsx: fila 58669 [R] | Shopify Stetson: producto 15054564295019 / variante 53350550831467</t>
        </is>
      </c>
      <c r="AL97" s="58" t="n">
        <v>3301.5</v>
      </c>
      <c r="AM97" s="58" t="n">
        <v>18965.51724</v>
      </c>
      <c r="AN97" s="155" t="inlineStr">
        <is>
          <t>Shopify Stetson México</t>
        </is>
      </c>
      <c r="AO97" s="59" t="n">
        <v>0</v>
      </c>
      <c r="AP97" s="59" t="n"/>
      <c r="AQ97" s="59" t="n"/>
      <c r="AR97" s="155" t="n"/>
    </row>
    <row r="98">
      <c r="A98" s="50" t="inlineStr">
        <is>
          <t>12020000101018025</t>
        </is>
      </c>
      <c r="B98" s="51" t="inlineStr">
        <is>
          <t>110995</t>
        </is>
      </c>
      <c r="C98" s="156" t="inlineStr">
        <is>
          <t>Multimarca</t>
        </is>
      </c>
      <c r="D98" s="156" t="inlineStr">
        <is>
          <t>12-020-BS000-10-1018</t>
        </is>
      </c>
      <c r="E98" s="156" t="inlineStr">
        <is>
          <t>12-020-BS000-10-1018-025</t>
        </is>
      </c>
      <c r="F98" s="156" t="inlineStr">
        <is>
          <t>25</t>
        </is>
      </c>
      <c r="G98" s="156" t="inlineStr">
        <is>
          <t>7</t>
        </is>
      </c>
      <c r="H98" s="156" t="inlineStr">
        <is>
          <t>Stetson</t>
        </is>
      </c>
      <c r="I98" s="156" t="inlineStr">
        <is>
          <t>Bota Cocodrilo Cognac</t>
        </is>
      </c>
      <c r="J98" s="156" t="inlineStr">
        <is>
          <t>Calzado</t>
        </is>
      </c>
      <c r="K98" s="156" t="inlineStr">
        <is>
          <t>Botas</t>
        </is>
      </c>
      <c r="L98" s="156" t="inlineStr">
        <is>
          <t>Hombre</t>
        </is>
      </c>
      <c r="M98" s="156" t="inlineStr">
        <is>
          <t>Stetson</t>
        </is>
      </c>
      <c r="N98" s="156" t="inlineStr">
        <is>
          <t>SS26</t>
        </is>
      </c>
      <c r="O98" s="156" t="inlineStr">
        <is>
          <t>Seasonal</t>
        </is>
      </c>
      <c r="P98" s="156" t="inlineStr">
        <is>
          <t>Cafe</t>
        </is>
      </c>
      <c r="Q98" s="156" t="n"/>
      <c r="R98" s="156" t="inlineStr">
        <is>
          <t>Punta Redonda Ancha</t>
        </is>
      </c>
      <c r="S98" s="156" t="inlineStr">
        <is>
          <t>Piel de cocodrilo</t>
        </is>
      </c>
      <c r="T98" s="156" t="inlineStr">
        <is>
          <t>Bota Caballero Piel de cocodrilo Cognac Punta Redonda Ancha</t>
        </is>
      </c>
      <c r="U98" s="156" t="inlineStr">
        <is>
          <t>México</t>
        </is>
      </c>
      <c r="V98" s="156" t="inlineStr">
        <is>
          <t>PRS</t>
        </is>
      </c>
      <c r="W98" s="51" t="inlineStr">
        <is>
          <t>53111501</t>
        </is>
      </c>
      <c r="X98" s="156" t="n"/>
      <c r="Y98" s="54" t="n">
        <v>4241.675</v>
      </c>
      <c r="Z98" s="54" t="n">
        <v>24137.93103</v>
      </c>
      <c r="AA98" s="55">
        <f>IF(AND(A98="", B98="", E98=""), "", IF(AB98="", "Válido", IF((LEN(AB98)-LEN(SUBSTITUTE(AB98,"; ","")))/2+1&gt;(LEN(AB98)-LEN(SUBSTITUTE(AB98,"[Aviso]","")))/7, "Con Incidencias", "Válido")))</f>
        <v/>
      </c>
      <c r="AB98" s="56">
        <f>IF(AND(A98="", B98="", E98=""), "", TEXTJOIN("; ", TRUE, IF(OR(TRIM(A98&amp;"")="", ISNUMBER(SEARCH("FALTA", A98))), "UPC faltante/inválido", ""), IF(AND(A98&lt;&gt;"", IFERROR(_xlfn.XMATCH(A98,$A$2:$A$2509,0,1)&lt;&gt;_xlfn.XMATCH(A98,$A$2:$A$2509,0,-1),FALSE)), "Código de barras duplicado", ""), IF(AND(E98&lt;&gt;"", COUNTIF($E$2:$E$2509, E98)&gt;1), "SKU duplicado", ""), IF(OR(J98="", J98=""), "[Aviso] División no capturada ()", IF(ISNA(MATCH(J98, Criterios!$A$123:$A$126, 0)), "División no válida", "")), IF(OR(K98="", K98=""), "[Aviso] Categoría no capturada ()", IF(ISNA(MATCH(K98, Criterios!$A$81:$A$120, 0)), "Categoría no válida", IF(AND(J98&lt;&gt;"", J98&lt;&gt;"", J98&lt;&gt;VLOOKUP(K98, Criterios!$A$81:$B$120, 2, FALSE)), "División no coincide con Categoría", ""))), IF(OR(L98="", L98=""), "[Aviso] Género no capturado ()", IF(ISNA(MATCH(L98, Criterios!$B$123:$B$127, 0)), "Género no válido", "")), IF(OR(N98="", N98=""), "[Aviso] Temporada no capturada ()", IF(ISNA(MATCH(N98, Criterios!$C$123:$C$128, 0)), "Temporada no válida", "")), IF(OR(O98="", O98=""), "[Aviso] Ciclo de vida no capturado ()", IF(ISNA(MATCH(O98, Criterios!$D$123:$D$124, 0)), "Ciclo de vida no válido", ""))))</f>
        <v/>
      </c>
      <c r="AC98" s="56" t="n"/>
      <c r="AD98" s="51" t="n">
        <v>0</v>
      </c>
      <c r="AE98" s="156" t="n"/>
      <c r="AF98" s="51" t="n">
        <v>0</v>
      </c>
      <c r="AG98" s="156" t="inlineStr">
        <is>
          <t>Catálogo existente</t>
        </is>
      </c>
      <c r="AH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8" s="156" t="inlineStr">
        <is>
          <t>No</t>
        </is>
      </c>
      <c r="AJ98" s="156" t="n"/>
      <c r="AK98" s="155" t="inlineStr">
        <is>
          <t>Criterios: I [Q]; G1522_Extraccion_Articulos_NetSuite_2026-09-30.xlsx: fila 58670 [R] | Shopify Stetson: producto 15054564327787 / variante 53350550864235</t>
        </is>
      </c>
      <c r="AL98" s="58" t="n">
        <v>4241.675</v>
      </c>
      <c r="AM98" s="58" t="n">
        <v>24137.93103</v>
      </c>
      <c r="AN98" s="155" t="inlineStr">
        <is>
          <t>Shopify Stetson México</t>
        </is>
      </c>
      <c r="AO98" s="59" t="n">
        <v>0</v>
      </c>
      <c r="AP98" s="59" t="n"/>
      <c r="AQ98" s="59" t="n"/>
      <c r="AR98" s="155" t="n"/>
    </row>
    <row r="99">
      <c r="A99" s="50" t="inlineStr">
        <is>
          <t>12020000101018026</t>
        </is>
      </c>
      <c r="B99" s="51" t="inlineStr">
        <is>
          <t>110996</t>
        </is>
      </c>
      <c r="C99" s="156" t="inlineStr">
        <is>
          <t>Multimarca</t>
        </is>
      </c>
      <c r="D99" s="156" t="inlineStr">
        <is>
          <t>12-020-BS000-10-1018</t>
        </is>
      </c>
      <c r="E99" s="156" t="inlineStr">
        <is>
          <t>12-020-BS000-10-1018-026</t>
        </is>
      </c>
      <c r="F99" s="156" t="inlineStr">
        <is>
          <t>26</t>
        </is>
      </c>
      <c r="G99" s="156" t="inlineStr">
        <is>
          <t>8</t>
        </is>
      </c>
      <c r="H99" s="156" t="inlineStr">
        <is>
          <t>Stetson</t>
        </is>
      </c>
      <c r="I99" s="156" t="inlineStr">
        <is>
          <t>Bota Cocodrilo Cognac</t>
        </is>
      </c>
      <c r="J99" s="156" t="inlineStr">
        <is>
          <t>Calzado</t>
        </is>
      </c>
      <c r="K99" s="156" t="inlineStr">
        <is>
          <t>Botas</t>
        </is>
      </c>
      <c r="L99" s="156" t="inlineStr">
        <is>
          <t>Hombre</t>
        </is>
      </c>
      <c r="M99" s="156" t="inlineStr">
        <is>
          <t>Stetson</t>
        </is>
      </c>
      <c r="N99" s="156" t="inlineStr">
        <is>
          <t>SS26</t>
        </is>
      </c>
      <c r="O99" s="156" t="inlineStr">
        <is>
          <t>Seasonal</t>
        </is>
      </c>
      <c r="P99" s="156" t="inlineStr">
        <is>
          <t>Cafe</t>
        </is>
      </c>
      <c r="Q99" s="156" t="n"/>
      <c r="R99" s="156" t="inlineStr">
        <is>
          <t>Punta Redonda Ancha</t>
        </is>
      </c>
      <c r="S99" s="156" t="inlineStr">
        <is>
          <t>Piel de cocodrilo</t>
        </is>
      </c>
      <c r="T99" s="156" t="inlineStr">
        <is>
          <t>Bota Caballero Piel de cocodrilo Cognac Punta Redonda Ancha</t>
        </is>
      </c>
      <c r="U99" s="156" t="inlineStr">
        <is>
          <t>México</t>
        </is>
      </c>
      <c r="V99" s="156" t="inlineStr">
        <is>
          <t>PRS</t>
        </is>
      </c>
      <c r="W99" s="51" t="inlineStr">
        <is>
          <t>53111501</t>
        </is>
      </c>
      <c r="X99" s="156" t="n"/>
      <c r="Y99" s="54" t="n">
        <v>4241.675</v>
      </c>
      <c r="Z99" s="54" t="n">
        <v>24137.93103</v>
      </c>
      <c r="AA99" s="55">
        <f>IF(AND(A99="", B99="", E99=""), "", IF(AB99="", "Válido", IF((LEN(AB99)-LEN(SUBSTITUTE(AB99,"; ","")))/2+1&gt;(LEN(AB99)-LEN(SUBSTITUTE(AB99,"[Aviso]","")))/7, "Con Incidencias", "Válido")))</f>
        <v/>
      </c>
      <c r="AB99" s="56">
        <f>IF(AND(A99="", B99="", E99=""), "", TEXTJOIN("; ", TRUE, IF(OR(TRIM(A99&amp;"")="", ISNUMBER(SEARCH("FALTA", A99))), "UPC faltante/inválido", ""), IF(AND(A99&lt;&gt;"", IFERROR(_xlfn.XMATCH(A99,$A$2:$A$2509,0,1)&lt;&gt;_xlfn.XMATCH(A99,$A$2:$A$2509,0,-1),FALSE)), "Código de barras duplicado", ""), IF(AND(E99&lt;&gt;"", COUNTIF($E$2:$E$2509, E99)&gt;1), "SKU duplicado", ""), IF(OR(J99="", J99=""), "[Aviso] División no capturada ()", IF(ISNA(MATCH(J99, Criterios!$A$123:$A$126, 0)), "División no válida", "")), IF(OR(K99="", K99=""), "[Aviso] Categoría no capturada ()", IF(ISNA(MATCH(K99, Criterios!$A$81:$A$120, 0)), "Categoría no válida", IF(AND(J99&lt;&gt;"", J99&lt;&gt;"", J99&lt;&gt;VLOOKUP(K99, Criterios!$A$81:$B$120, 2, FALSE)), "División no coincide con Categoría", ""))), IF(OR(L99="", L99=""), "[Aviso] Género no capturado ()", IF(ISNA(MATCH(L99, Criterios!$B$123:$B$127, 0)), "Género no válido", "")), IF(OR(N99="", N99=""), "[Aviso] Temporada no capturada ()", IF(ISNA(MATCH(N99, Criterios!$C$123:$C$128, 0)), "Temporada no válida", "")), IF(OR(O99="", O99=""), "[Aviso] Ciclo de vida no capturado ()", IF(ISNA(MATCH(O99, Criterios!$D$123:$D$124, 0)), "Ciclo de vida no válido", ""))))</f>
        <v/>
      </c>
      <c r="AC99" s="56" t="n"/>
      <c r="AD99" s="51" t="n">
        <v>0</v>
      </c>
      <c r="AE99" s="156" t="n"/>
      <c r="AF99" s="51" t="n">
        <v>0</v>
      </c>
      <c r="AG99" s="156" t="inlineStr">
        <is>
          <t>Catálogo existente</t>
        </is>
      </c>
      <c r="AH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9" s="156" t="inlineStr">
        <is>
          <t>No</t>
        </is>
      </c>
      <c r="AJ99" s="156" t="n"/>
      <c r="AK99" s="155" t="inlineStr">
        <is>
          <t>Criterios: I [Q]; G1522_Extraccion_Articulos_NetSuite_2026-09-30.xlsx: fila 58671 [R] | Shopify Stetson: producto 15054564327787 / variante 53350550929771</t>
        </is>
      </c>
      <c r="AL99" s="58" t="n">
        <v>4241.675</v>
      </c>
      <c r="AM99" s="58" t="n">
        <v>24137.93103</v>
      </c>
      <c r="AN99" s="155" t="inlineStr">
        <is>
          <t>Shopify Stetson México</t>
        </is>
      </c>
      <c r="AO99" s="59" t="n">
        <v>0</v>
      </c>
      <c r="AP99" s="59" t="n"/>
      <c r="AQ99" s="59" t="n"/>
      <c r="AR99" s="155" t="n"/>
    </row>
    <row r="100">
      <c r="A100" s="50" t="inlineStr">
        <is>
          <t>12020000101018027</t>
        </is>
      </c>
      <c r="B100" s="51" t="inlineStr">
        <is>
          <t>110997</t>
        </is>
      </c>
      <c r="C100" s="156" t="inlineStr">
        <is>
          <t>Multimarca</t>
        </is>
      </c>
      <c r="D100" s="156" t="inlineStr">
        <is>
          <t>12-020-BS000-10-1018</t>
        </is>
      </c>
      <c r="E100" s="156" t="inlineStr">
        <is>
          <t>12-020-BS000-10-1018-027</t>
        </is>
      </c>
      <c r="F100" s="156" t="inlineStr">
        <is>
          <t>27</t>
        </is>
      </c>
      <c r="G100" s="156" t="inlineStr">
        <is>
          <t>9</t>
        </is>
      </c>
      <c r="H100" s="156" t="inlineStr">
        <is>
          <t>Stetson</t>
        </is>
      </c>
      <c r="I100" s="156" t="inlineStr">
        <is>
          <t>Bota Cocodrilo Cognac</t>
        </is>
      </c>
      <c r="J100" s="156" t="inlineStr">
        <is>
          <t>Calzado</t>
        </is>
      </c>
      <c r="K100" s="156" t="inlineStr">
        <is>
          <t>Botas</t>
        </is>
      </c>
      <c r="L100" s="156" t="inlineStr">
        <is>
          <t>Hombre</t>
        </is>
      </c>
      <c r="M100" s="156" t="inlineStr">
        <is>
          <t>Stetson</t>
        </is>
      </c>
      <c r="N100" s="156" t="inlineStr">
        <is>
          <t>SS26</t>
        </is>
      </c>
      <c r="O100" s="156" t="inlineStr">
        <is>
          <t>Seasonal</t>
        </is>
      </c>
      <c r="P100" s="156" t="inlineStr">
        <is>
          <t>Cafe</t>
        </is>
      </c>
      <c r="Q100" s="156" t="n"/>
      <c r="R100" s="156" t="inlineStr">
        <is>
          <t>Punta Redonda Ancha</t>
        </is>
      </c>
      <c r="S100" s="156" t="inlineStr">
        <is>
          <t>Piel de cocodrilo</t>
        </is>
      </c>
      <c r="T100" s="156" t="inlineStr">
        <is>
          <t>Bota Caballero Piel de cocodrilo Cognac Punta Redonda Ancha</t>
        </is>
      </c>
      <c r="U100" s="156" t="inlineStr">
        <is>
          <t>México</t>
        </is>
      </c>
      <c r="V100" s="156" t="inlineStr">
        <is>
          <t>PRS</t>
        </is>
      </c>
      <c r="W100" s="51" t="inlineStr">
        <is>
          <t>53111501</t>
        </is>
      </c>
      <c r="X100" s="156" t="n"/>
      <c r="Y100" s="54" t="n">
        <v>4241.675</v>
      </c>
      <c r="Z100" s="54" t="n">
        <v>24137.93103</v>
      </c>
      <c r="AA100" s="55">
        <f>IF(AND(A100="", B100="", E100=""), "", IF(AB100="", "Válido", IF((LEN(AB100)-LEN(SUBSTITUTE(AB100,"; ","")))/2+1&gt;(LEN(AB100)-LEN(SUBSTITUTE(AB100,"[Aviso]","")))/7, "Con Incidencias", "Válido")))</f>
        <v/>
      </c>
      <c r="AB100" s="56">
        <f>IF(AND(A100="", B100="", E100=""), "", TEXTJOIN("; ", TRUE, IF(OR(TRIM(A100&amp;"")="", ISNUMBER(SEARCH("FALTA", A100))), "UPC faltante/inválido", ""), IF(AND(A100&lt;&gt;"", IFERROR(_xlfn.XMATCH(A100,$A$2:$A$2509,0,1)&lt;&gt;_xlfn.XMATCH(A100,$A$2:$A$2509,0,-1),FALSE)), "Código de barras duplicado", ""), IF(AND(E100&lt;&gt;"", COUNTIF($E$2:$E$2509, E100)&gt;1), "SKU duplicado", ""), IF(OR(J100="", J100=""), "[Aviso] División no capturada ()", IF(ISNA(MATCH(J100, Criterios!$A$123:$A$126, 0)), "División no válida", "")), IF(OR(K100="", K100=""), "[Aviso] Categoría no capturada ()", IF(ISNA(MATCH(K100, Criterios!$A$81:$A$120, 0)), "Categoría no válida", IF(AND(J100&lt;&gt;"", J100&lt;&gt;"", J100&lt;&gt;VLOOKUP(K100, Criterios!$A$81:$B$120, 2, FALSE)), "División no coincide con Categoría", ""))), IF(OR(L100="", L100=""), "[Aviso] Género no capturado ()", IF(ISNA(MATCH(L100, Criterios!$B$123:$B$127, 0)), "Género no válido", "")), IF(OR(N100="", N100=""), "[Aviso] Temporada no capturada ()", IF(ISNA(MATCH(N100, Criterios!$C$123:$C$128, 0)), "Temporada no válida", "")), IF(OR(O100="", O100=""), "[Aviso] Ciclo de vida no capturado ()", IF(ISNA(MATCH(O100, Criterios!$D$123:$D$124, 0)), "Ciclo de vida no válido", ""))))</f>
        <v/>
      </c>
      <c r="AC100" s="56" t="n"/>
      <c r="AD100" s="51" t="n">
        <v>1</v>
      </c>
      <c r="AE100" s="156" t="inlineStr">
        <is>
          <t>STETSON AMERICAS (1)</t>
        </is>
      </c>
      <c r="AF100" s="51" t="n">
        <v>1</v>
      </c>
      <c r="AG100" s="156" t="inlineStr">
        <is>
          <t>Catálogo existente</t>
        </is>
      </c>
      <c r="AH1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0" s="156" t="inlineStr">
        <is>
          <t>No</t>
        </is>
      </c>
      <c r="AJ100" s="156" t="n"/>
      <c r="AK100" s="155" t="inlineStr">
        <is>
          <t>Criterios: I [Q]; G1522_Extraccion_Articulos_NetSuite_2026-09-30.xlsx: fila 58672 [R] | Shopify Stetson: producto 15054564327787 / variante 53350550995307</t>
        </is>
      </c>
      <c r="AL100" s="58" t="n">
        <v>4241.675</v>
      </c>
      <c r="AM100" s="58" t="n">
        <v>24137.93103</v>
      </c>
      <c r="AN100" s="155" t="inlineStr">
        <is>
          <t>Shopify Stetson México</t>
        </is>
      </c>
      <c r="AO100" s="59" t="n">
        <v>1</v>
      </c>
      <c r="AP100" s="59" t="n"/>
      <c r="AQ100" s="59" t="n"/>
      <c r="AR100" s="155" t="inlineStr">
        <is>
          <t>Shopify Stetson México › Stetson Americas: 1</t>
        </is>
      </c>
    </row>
    <row r="101">
      <c r="A101" s="50" t="inlineStr">
        <is>
          <t>12020000101018028</t>
        </is>
      </c>
      <c r="B101" s="51" t="inlineStr">
        <is>
          <t>110998</t>
        </is>
      </c>
      <c r="C101" s="156" t="inlineStr">
        <is>
          <t>Multimarca</t>
        </is>
      </c>
      <c r="D101" s="156" t="inlineStr">
        <is>
          <t>12-020-BS000-10-1018</t>
        </is>
      </c>
      <c r="E101" s="156" t="inlineStr">
        <is>
          <t>12-020-BS000-10-1018-028</t>
        </is>
      </c>
      <c r="F101" s="156" t="inlineStr">
        <is>
          <t>28</t>
        </is>
      </c>
      <c r="G101" s="156" t="inlineStr">
        <is>
          <t>10</t>
        </is>
      </c>
      <c r="H101" s="156" t="inlineStr">
        <is>
          <t>Stetson</t>
        </is>
      </c>
      <c r="I101" s="156" t="inlineStr">
        <is>
          <t>Bota Cocodrilo Cognac</t>
        </is>
      </c>
      <c r="J101" s="156" t="inlineStr">
        <is>
          <t>Calzado</t>
        </is>
      </c>
      <c r="K101" s="156" t="inlineStr">
        <is>
          <t>Botas</t>
        </is>
      </c>
      <c r="L101" s="156" t="inlineStr">
        <is>
          <t>Hombre</t>
        </is>
      </c>
      <c r="M101" s="156" t="inlineStr">
        <is>
          <t>Stetson</t>
        </is>
      </c>
      <c r="N101" s="156" t="inlineStr">
        <is>
          <t>SS26</t>
        </is>
      </c>
      <c r="O101" s="156" t="inlineStr">
        <is>
          <t>Seasonal</t>
        </is>
      </c>
      <c r="P101" s="156" t="inlineStr">
        <is>
          <t>Cafe</t>
        </is>
      </c>
      <c r="Q101" s="156" t="n"/>
      <c r="R101" s="156" t="inlineStr">
        <is>
          <t>Punta Redonda Ancha</t>
        </is>
      </c>
      <c r="S101" s="156" t="inlineStr">
        <is>
          <t>Piel de cocodrilo</t>
        </is>
      </c>
      <c r="T101" s="156" t="inlineStr">
        <is>
          <t>Bota Caballero Piel de cocodrilo Cognac Punta Redonda Ancha</t>
        </is>
      </c>
      <c r="U101" s="156" t="inlineStr">
        <is>
          <t>México</t>
        </is>
      </c>
      <c r="V101" s="156" t="inlineStr">
        <is>
          <t>PRS</t>
        </is>
      </c>
      <c r="W101" s="51" t="inlineStr">
        <is>
          <t>53111501</t>
        </is>
      </c>
      <c r="X101" s="156" t="n"/>
      <c r="Y101" s="54" t="n">
        <v>4241.675</v>
      </c>
      <c r="Z101" s="54" t="n">
        <v>24137.93103</v>
      </c>
      <c r="AA101" s="55">
        <f>IF(AND(A101="", B101="", E101=""), "", IF(AB101="", "Válido", IF((LEN(AB101)-LEN(SUBSTITUTE(AB101,"; ","")))/2+1&gt;(LEN(AB101)-LEN(SUBSTITUTE(AB101,"[Aviso]","")))/7, "Con Incidencias", "Válido")))</f>
        <v/>
      </c>
      <c r="AB101" s="56">
        <f>IF(AND(A101="", B101="", E101=""), "", TEXTJOIN("; ", TRUE, IF(OR(TRIM(A101&amp;"")="", ISNUMBER(SEARCH("FALTA", A101))), "UPC faltante/inválido", ""), IF(AND(A101&lt;&gt;"", IFERROR(_xlfn.XMATCH(A101,$A$2:$A$2509,0,1)&lt;&gt;_xlfn.XMATCH(A101,$A$2:$A$2509,0,-1),FALSE)), "Código de barras duplicado", ""), IF(AND(E101&lt;&gt;"", COUNTIF($E$2:$E$2509, E101)&gt;1), "SKU duplicado", ""), IF(OR(J101="", J101=""), "[Aviso] División no capturada ()", IF(ISNA(MATCH(J101, Criterios!$A$123:$A$126, 0)), "División no válida", "")), IF(OR(K101="", K101=""), "[Aviso] Categoría no capturada ()", IF(ISNA(MATCH(K101, Criterios!$A$81:$A$120, 0)), "Categoría no válida", IF(AND(J101&lt;&gt;"", J101&lt;&gt;"", J101&lt;&gt;VLOOKUP(K101, Criterios!$A$81:$B$120, 2, FALSE)), "División no coincide con Categoría", ""))), IF(OR(L101="", L101=""), "[Aviso] Género no capturado ()", IF(ISNA(MATCH(L101, Criterios!$B$123:$B$127, 0)), "Género no válido", "")), IF(OR(N101="", N101=""), "[Aviso] Temporada no capturada ()", IF(ISNA(MATCH(N101, Criterios!$C$123:$C$128, 0)), "Temporada no válida", "")), IF(OR(O101="", O101=""), "[Aviso] Ciclo de vida no capturado ()", IF(ISNA(MATCH(O101, Criterios!$D$123:$D$124, 0)), "Ciclo de vida no válido", ""))))</f>
        <v/>
      </c>
      <c r="AC101" s="56" t="n"/>
      <c r="AD101" s="51" t="n">
        <v>1</v>
      </c>
      <c r="AE101" s="156" t="inlineStr">
        <is>
          <t>B25 CEDIS (1)</t>
        </is>
      </c>
      <c r="AF101" s="51" t="n">
        <v>1</v>
      </c>
      <c r="AG101" s="156" t="inlineStr">
        <is>
          <t>Catálogo existente</t>
        </is>
      </c>
      <c r="AH1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1" s="156" t="inlineStr">
        <is>
          <t>No</t>
        </is>
      </c>
      <c r="AJ101" s="156" t="n"/>
      <c r="AK101" s="155" t="inlineStr">
        <is>
          <t>Criterios: I [Q]; G1522_Extraccion_Articulos_NetSuite_2026-09-30.xlsx: fila 58673 [R] | Shopify Stetson: producto 15054564327787 / variante 53350551060843</t>
        </is>
      </c>
      <c r="AL101" s="58" t="n">
        <v>4241.675</v>
      </c>
      <c r="AM101" s="58" t="n">
        <v>24137.93103</v>
      </c>
      <c r="AN101" s="155" t="inlineStr">
        <is>
          <t>Shopify Stetson México</t>
        </is>
      </c>
      <c r="AO101" s="59" t="n">
        <v>0</v>
      </c>
      <c r="AP101" s="59" t="n"/>
      <c r="AQ101" s="59" t="n"/>
      <c r="AR101" s="155" t="n"/>
    </row>
    <row r="102">
      <c r="A102" s="50" t="inlineStr">
        <is>
          <t>12020000101018029</t>
        </is>
      </c>
      <c r="B102" s="51" t="inlineStr">
        <is>
          <t>110999</t>
        </is>
      </c>
      <c r="C102" s="156" t="inlineStr">
        <is>
          <t>Multimarca</t>
        </is>
      </c>
      <c r="D102" s="156" t="inlineStr">
        <is>
          <t>12-020-BS000-10-1018</t>
        </is>
      </c>
      <c r="E102" s="156" t="inlineStr">
        <is>
          <t>12-020-BS000-10-1018-029</t>
        </is>
      </c>
      <c r="F102" s="156" t="inlineStr">
        <is>
          <t>29</t>
        </is>
      </c>
      <c r="G102" s="156" t="inlineStr">
        <is>
          <t>11</t>
        </is>
      </c>
      <c r="H102" s="156" t="inlineStr">
        <is>
          <t>Stetson</t>
        </is>
      </c>
      <c r="I102" s="156" t="inlineStr">
        <is>
          <t>Bota Cocodrilo Cognac</t>
        </is>
      </c>
      <c r="J102" s="156" t="inlineStr">
        <is>
          <t>Calzado</t>
        </is>
      </c>
      <c r="K102" s="156" t="inlineStr">
        <is>
          <t>Botas</t>
        </is>
      </c>
      <c r="L102" s="156" t="inlineStr">
        <is>
          <t>Hombre</t>
        </is>
      </c>
      <c r="M102" s="156" t="inlineStr">
        <is>
          <t>Stetson</t>
        </is>
      </c>
      <c r="N102" s="156" t="inlineStr">
        <is>
          <t>SS26</t>
        </is>
      </c>
      <c r="O102" s="156" t="inlineStr">
        <is>
          <t>Seasonal</t>
        </is>
      </c>
      <c r="P102" s="156" t="inlineStr">
        <is>
          <t>Cafe</t>
        </is>
      </c>
      <c r="Q102" s="156" t="n"/>
      <c r="R102" s="156" t="inlineStr">
        <is>
          <t>Punta Redonda Ancha</t>
        </is>
      </c>
      <c r="S102" s="156" t="inlineStr">
        <is>
          <t>Piel de cocodrilo</t>
        </is>
      </c>
      <c r="T102" s="156" t="inlineStr">
        <is>
          <t>Bota Caballero Piel de cocodrilo Cognac Punta Redonda Ancha</t>
        </is>
      </c>
      <c r="U102" s="156" t="inlineStr">
        <is>
          <t>México</t>
        </is>
      </c>
      <c r="V102" s="156" t="inlineStr">
        <is>
          <t>PRS</t>
        </is>
      </c>
      <c r="W102" s="51" t="inlineStr">
        <is>
          <t>53111501</t>
        </is>
      </c>
      <c r="X102" s="156" t="n"/>
      <c r="Y102" s="54" t="n">
        <v>4241.675</v>
      </c>
      <c r="Z102" s="54" t="n">
        <v>24137.93103</v>
      </c>
      <c r="AA102" s="55">
        <f>IF(AND(A102="", B102="", E102=""), "", IF(AB102="", "Válido", IF((LEN(AB102)-LEN(SUBSTITUTE(AB102,"; ","")))/2+1&gt;(LEN(AB102)-LEN(SUBSTITUTE(AB102,"[Aviso]","")))/7, "Con Incidencias", "Válido")))</f>
        <v/>
      </c>
      <c r="AB102" s="56">
        <f>IF(AND(A102="", B102="", E102=""), "", TEXTJOIN("; ", TRUE, IF(OR(TRIM(A102&amp;"")="", ISNUMBER(SEARCH("FALTA", A102))), "UPC faltante/inválido", ""), IF(AND(A102&lt;&gt;"", IFERROR(_xlfn.XMATCH(A102,$A$2:$A$2509,0,1)&lt;&gt;_xlfn.XMATCH(A102,$A$2:$A$2509,0,-1),FALSE)), "Código de barras duplicado", ""), IF(AND(E102&lt;&gt;"", COUNTIF($E$2:$E$2509, E102)&gt;1), "SKU duplicado", ""), IF(OR(J102="", J102=""), "[Aviso] División no capturada ()", IF(ISNA(MATCH(J102, Criterios!$A$123:$A$126, 0)), "División no válida", "")), IF(OR(K102="", K102=""), "[Aviso] Categoría no capturada ()", IF(ISNA(MATCH(K102, Criterios!$A$81:$A$120, 0)), "Categoría no válida", IF(AND(J102&lt;&gt;"", J102&lt;&gt;"", J102&lt;&gt;VLOOKUP(K102, Criterios!$A$81:$B$120, 2, FALSE)), "División no coincide con Categoría", ""))), IF(OR(L102="", L102=""), "[Aviso] Género no capturado ()", IF(ISNA(MATCH(L102, Criterios!$B$123:$B$127, 0)), "Género no válido", "")), IF(OR(N102="", N102=""), "[Aviso] Temporada no capturada ()", IF(ISNA(MATCH(N102, Criterios!$C$123:$C$128, 0)), "Temporada no válida", "")), IF(OR(O102="", O102=""), "[Aviso] Ciclo de vida no capturado ()", IF(ISNA(MATCH(O102, Criterios!$D$123:$D$124, 0)), "Ciclo de vida no válido", ""))))</f>
        <v/>
      </c>
      <c r="AC102" s="56" t="n"/>
      <c r="AD102" s="51" t="n">
        <v>1</v>
      </c>
      <c r="AE102" s="156" t="inlineStr">
        <is>
          <t>STETSON AMERICAS (1)</t>
        </is>
      </c>
      <c r="AF102" s="51" t="n">
        <v>1</v>
      </c>
      <c r="AG102" s="156" t="inlineStr">
        <is>
          <t>Catálogo existente</t>
        </is>
      </c>
      <c r="AH1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2" s="156" t="inlineStr">
        <is>
          <t>No</t>
        </is>
      </c>
      <c r="AJ102" s="156" t="n"/>
      <c r="AK102" s="155" t="inlineStr">
        <is>
          <t>Criterios: I [Q]; G1522_Extraccion_Articulos_NetSuite_2026-09-30.xlsx: fila 58674 [R] | Shopify Stetson: producto 15054564327787 / variante 53350551126379</t>
        </is>
      </c>
      <c r="AL102" s="58" t="n">
        <v>4241.675</v>
      </c>
      <c r="AM102" s="58" t="n">
        <v>24137.93103</v>
      </c>
      <c r="AN102" s="155" t="inlineStr">
        <is>
          <t>Shopify Stetson México</t>
        </is>
      </c>
      <c r="AO102" s="59" t="n">
        <v>1</v>
      </c>
      <c r="AP102" s="59" t="n"/>
      <c r="AQ102" s="59" t="n"/>
      <c r="AR102" s="155" t="inlineStr">
        <is>
          <t>Shopify Stetson México › Stetson Americas: 1</t>
        </is>
      </c>
    </row>
    <row r="103">
      <c r="A103" s="50" t="inlineStr">
        <is>
          <t>12020000101018030</t>
        </is>
      </c>
      <c r="B103" s="51" t="inlineStr">
        <is>
          <t>111000</t>
        </is>
      </c>
      <c r="C103" s="156" t="inlineStr">
        <is>
          <t>Multimarca</t>
        </is>
      </c>
      <c r="D103" s="156" t="inlineStr">
        <is>
          <t>12-020-BS000-10-1018</t>
        </is>
      </c>
      <c r="E103" s="156" t="inlineStr">
        <is>
          <t>12-020-BS000-10-1018-030</t>
        </is>
      </c>
      <c r="F103" s="156" t="inlineStr">
        <is>
          <t>30</t>
        </is>
      </c>
      <c r="G103" s="156" t="inlineStr">
        <is>
          <t>12</t>
        </is>
      </c>
      <c r="H103" s="156" t="inlineStr">
        <is>
          <t>Stetson</t>
        </is>
      </c>
      <c r="I103" s="156" t="inlineStr">
        <is>
          <t>Bota Cocodrilo Cognac</t>
        </is>
      </c>
      <c r="J103" s="156" t="inlineStr">
        <is>
          <t>Calzado</t>
        </is>
      </c>
      <c r="K103" s="156" t="inlineStr">
        <is>
          <t>Botas</t>
        </is>
      </c>
      <c r="L103" s="156" t="inlineStr">
        <is>
          <t>Hombre</t>
        </is>
      </c>
      <c r="M103" s="156" t="inlineStr">
        <is>
          <t>Stetson</t>
        </is>
      </c>
      <c r="N103" s="156" t="inlineStr">
        <is>
          <t>SS26</t>
        </is>
      </c>
      <c r="O103" s="156" t="inlineStr">
        <is>
          <t>Seasonal</t>
        </is>
      </c>
      <c r="P103" s="156" t="inlineStr">
        <is>
          <t>Cafe</t>
        </is>
      </c>
      <c r="Q103" s="156" t="n"/>
      <c r="R103" s="156" t="inlineStr">
        <is>
          <t>Punta Redonda Ancha</t>
        </is>
      </c>
      <c r="S103" s="156" t="inlineStr">
        <is>
          <t>Piel de cocodrilo</t>
        </is>
      </c>
      <c r="T103" s="156" t="inlineStr">
        <is>
          <t>Bota Caballero Piel de cocodrilo Cognac Punta Redonda Ancha</t>
        </is>
      </c>
      <c r="U103" s="156" t="inlineStr">
        <is>
          <t>México</t>
        </is>
      </c>
      <c r="V103" s="156" t="inlineStr">
        <is>
          <t>PRS</t>
        </is>
      </c>
      <c r="W103" s="51" t="inlineStr">
        <is>
          <t>53111501</t>
        </is>
      </c>
      <c r="X103" s="156" t="n"/>
      <c r="Y103" s="54" t="n">
        <v>4241.675</v>
      </c>
      <c r="Z103" s="54" t="n">
        <v>24137.93103</v>
      </c>
      <c r="AA103" s="55">
        <f>IF(AND(A103="", B103="", E103=""), "", IF(AB103="", "Válido", IF((LEN(AB103)-LEN(SUBSTITUTE(AB103,"; ","")))/2+1&gt;(LEN(AB103)-LEN(SUBSTITUTE(AB103,"[Aviso]","")))/7, "Con Incidencias", "Válido")))</f>
        <v/>
      </c>
      <c r="AB103" s="56">
        <f>IF(AND(A103="", B103="", E103=""), "", TEXTJOIN("; ", TRUE, IF(OR(TRIM(A103&amp;"")="", ISNUMBER(SEARCH("FALTA", A103))), "UPC faltante/inválido", ""), IF(AND(A103&lt;&gt;"", IFERROR(_xlfn.XMATCH(A103,$A$2:$A$2509,0,1)&lt;&gt;_xlfn.XMATCH(A103,$A$2:$A$2509,0,-1),FALSE)), "Código de barras duplicado", ""), IF(AND(E103&lt;&gt;"", COUNTIF($E$2:$E$2509, E103)&gt;1), "SKU duplicado", ""), IF(OR(J103="", J103=""), "[Aviso] División no capturada ()", IF(ISNA(MATCH(J103, Criterios!$A$123:$A$126, 0)), "División no válida", "")), IF(OR(K103="", K103=""), "[Aviso] Categoría no capturada ()", IF(ISNA(MATCH(K103, Criterios!$A$81:$A$120, 0)), "Categoría no válida", IF(AND(J103&lt;&gt;"", J103&lt;&gt;"", J103&lt;&gt;VLOOKUP(K103, Criterios!$A$81:$B$120, 2, FALSE)), "División no coincide con Categoría", ""))), IF(OR(L103="", L103=""), "[Aviso] Género no capturado ()", IF(ISNA(MATCH(L103, Criterios!$B$123:$B$127, 0)), "Género no válido", "")), IF(OR(N103="", N103=""), "[Aviso] Temporada no capturada ()", IF(ISNA(MATCH(N103, Criterios!$C$123:$C$128, 0)), "Temporada no válida", "")), IF(OR(O103="", O103=""), "[Aviso] Ciclo de vida no capturado ()", IF(ISNA(MATCH(O103, Criterios!$D$123:$D$124, 0)), "Ciclo de vida no válido", ""))))</f>
        <v/>
      </c>
      <c r="AC103" s="56" t="n"/>
      <c r="AD103" s="51" t="n">
        <v>0</v>
      </c>
      <c r="AE103" s="156" t="n"/>
      <c r="AF103" s="51" t="n">
        <v>0</v>
      </c>
      <c r="AG103" s="156" t="inlineStr">
        <is>
          <t>Catálogo existente</t>
        </is>
      </c>
      <c r="AH1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3" s="156" t="inlineStr">
        <is>
          <t>No</t>
        </is>
      </c>
      <c r="AJ103" s="156" t="n"/>
      <c r="AK103" s="155" t="inlineStr">
        <is>
          <t>Criterios: I [Q]; G1522_Extraccion_Articulos_NetSuite_2026-09-30.xlsx: fila 58675 [R] | Shopify Stetson: producto 15054564327787 / variante 53350551191915</t>
        </is>
      </c>
      <c r="AL103" s="58" t="n">
        <v>4241.675</v>
      </c>
      <c r="AM103" s="58" t="n">
        <v>24137.93103</v>
      </c>
      <c r="AN103" s="155" t="inlineStr">
        <is>
          <t>Shopify Stetson México</t>
        </is>
      </c>
      <c r="AO103" s="59" t="n">
        <v>0</v>
      </c>
      <c r="AP103" s="59" t="n"/>
      <c r="AQ103" s="59" t="n"/>
      <c r="AR103" s="155" t="n"/>
    </row>
    <row r="104">
      <c r="A104" s="50" t="inlineStr">
        <is>
          <t>12020000101018031</t>
        </is>
      </c>
      <c r="B104" s="51" t="inlineStr">
        <is>
          <t>111001</t>
        </is>
      </c>
      <c r="C104" s="156" t="inlineStr">
        <is>
          <t>Multimarca</t>
        </is>
      </c>
      <c r="D104" s="156" t="inlineStr">
        <is>
          <t>12-020-BS000-10-1018</t>
        </is>
      </c>
      <c r="E104" s="156" t="inlineStr">
        <is>
          <t>12-020-BS000-10-1018-031</t>
        </is>
      </c>
      <c r="F104" s="156" t="inlineStr">
        <is>
          <t>31</t>
        </is>
      </c>
      <c r="G104" s="156" t="inlineStr">
        <is>
          <t>13</t>
        </is>
      </c>
      <c r="H104" s="156" t="inlineStr">
        <is>
          <t>Stetson</t>
        </is>
      </c>
      <c r="I104" s="156" t="inlineStr">
        <is>
          <t>Bota Cocodrilo Cognac</t>
        </is>
      </c>
      <c r="J104" s="156" t="inlineStr">
        <is>
          <t>Calzado</t>
        </is>
      </c>
      <c r="K104" s="156" t="inlineStr">
        <is>
          <t>Botas</t>
        </is>
      </c>
      <c r="L104" s="156" t="inlineStr">
        <is>
          <t>Hombre</t>
        </is>
      </c>
      <c r="M104" s="156" t="inlineStr">
        <is>
          <t>Stetson</t>
        </is>
      </c>
      <c r="N104" s="156" t="inlineStr">
        <is>
          <t>SS26</t>
        </is>
      </c>
      <c r="O104" s="156" t="inlineStr">
        <is>
          <t>Seasonal</t>
        </is>
      </c>
      <c r="P104" s="156" t="inlineStr">
        <is>
          <t>Cafe</t>
        </is>
      </c>
      <c r="Q104" s="156" t="n"/>
      <c r="R104" s="156" t="inlineStr">
        <is>
          <t>Punta Redonda Ancha</t>
        </is>
      </c>
      <c r="S104" s="156" t="inlineStr">
        <is>
          <t>Piel de cocodrilo</t>
        </is>
      </c>
      <c r="T104" s="156" t="inlineStr">
        <is>
          <t>Bota Caballero Piel de cocodrilo Cognac Punta Redonda Ancha</t>
        </is>
      </c>
      <c r="U104" s="156" t="inlineStr">
        <is>
          <t>México</t>
        </is>
      </c>
      <c r="V104" s="156" t="inlineStr">
        <is>
          <t>PRS</t>
        </is>
      </c>
      <c r="W104" s="51" t="inlineStr">
        <is>
          <t>53111501</t>
        </is>
      </c>
      <c r="X104" s="156" t="n"/>
      <c r="Y104" s="54" t="n">
        <v>4241.675</v>
      </c>
      <c r="Z104" s="54" t="n">
        <v>24137.93103</v>
      </c>
      <c r="AA104" s="55">
        <f>IF(AND(A104="", B104="", E104=""), "", IF(AB104="", "Válido", IF((LEN(AB104)-LEN(SUBSTITUTE(AB104,"; ","")))/2+1&gt;(LEN(AB104)-LEN(SUBSTITUTE(AB104,"[Aviso]","")))/7, "Con Incidencias", "Válido")))</f>
        <v/>
      </c>
      <c r="AB104" s="56">
        <f>IF(AND(A104="", B104="", E104=""), "", TEXTJOIN("; ", TRUE, IF(OR(TRIM(A104&amp;"")="", ISNUMBER(SEARCH("FALTA", A104))), "UPC faltante/inválido", ""), IF(AND(A104&lt;&gt;"", IFERROR(_xlfn.XMATCH(A104,$A$2:$A$2509,0,1)&lt;&gt;_xlfn.XMATCH(A104,$A$2:$A$2509,0,-1),FALSE)), "Código de barras duplicado", ""), IF(AND(E104&lt;&gt;"", COUNTIF($E$2:$E$2509, E104)&gt;1), "SKU duplicado", ""), IF(OR(J104="", J104=""), "[Aviso] División no capturada ()", IF(ISNA(MATCH(J104, Criterios!$A$123:$A$126, 0)), "División no válida", "")), IF(OR(K104="", K104=""), "[Aviso] Categoría no capturada ()", IF(ISNA(MATCH(K104, Criterios!$A$81:$A$120, 0)), "Categoría no válida", IF(AND(J104&lt;&gt;"", J104&lt;&gt;"", J104&lt;&gt;VLOOKUP(K104, Criterios!$A$81:$B$120, 2, FALSE)), "División no coincide con Categoría", ""))), IF(OR(L104="", L104=""), "[Aviso] Género no capturado ()", IF(ISNA(MATCH(L104, Criterios!$B$123:$B$127, 0)), "Género no válido", "")), IF(OR(N104="", N104=""), "[Aviso] Temporada no capturada ()", IF(ISNA(MATCH(N104, Criterios!$C$123:$C$128, 0)), "Temporada no válida", "")), IF(OR(O104="", O104=""), "[Aviso] Ciclo de vida no capturado ()", IF(ISNA(MATCH(O104, Criterios!$D$123:$D$124, 0)), "Ciclo de vida no válido", ""))))</f>
        <v/>
      </c>
      <c r="AC104" s="56" t="n"/>
      <c r="AD104" s="51" t="n">
        <v>0</v>
      </c>
      <c r="AE104" s="156" t="n"/>
      <c r="AF104" s="51" t="n">
        <v>0</v>
      </c>
      <c r="AG104" s="156" t="inlineStr">
        <is>
          <t>Catálogo existente</t>
        </is>
      </c>
      <c r="AH1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4" s="156" t="inlineStr">
        <is>
          <t>No</t>
        </is>
      </c>
      <c r="AJ104" s="156" t="n"/>
      <c r="AK104" s="155" t="inlineStr">
        <is>
          <t>Criterios: I [Q]; G1522_Extraccion_Articulos_NetSuite_2026-09-30.xlsx: fila 58676 [R] | Shopify Stetson: producto 15054564327787 / variante 53350551257451</t>
        </is>
      </c>
      <c r="AL104" s="58" t="n">
        <v>4241.675</v>
      </c>
      <c r="AM104" s="58" t="n">
        <v>24137.93103</v>
      </c>
      <c r="AN104" s="155" t="inlineStr">
        <is>
          <t>Shopify Stetson México</t>
        </is>
      </c>
      <c r="AO104" s="59" t="n">
        <v>0</v>
      </c>
      <c r="AP104" s="59" t="n"/>
      <c r="AQ104" s="59" t="n"/>
      <c r="AR104" s="155" t="n"/>
    </row>
    <row r="105">
      <c r="A105" s="50" t="inlineStr">
        <is>
          <t>12020000101018032</t>
        </is>
      </c>
      <c r="B105" s="51" t="inlineStr">
        <is>
          <t>111002</t>
        </is>
      </c>
      <c r="C105" s="156" t="inlineStr">
        <is>
          <t>Multimarca</t>
        </is>
      </c>
      <c r="D105" s="156" t="inlineStr">
        <is>
          <t>12-020-BS000-10-1018</t>
        </is>
      </c>
      <c r="E105" s="156" t="inlineStr">
        <is>
          <t>12-020-BS000-10-1018-032</t>
        </is>
      </c>
      <c r="F105" s="156" t="inlineStr">
        <is>
          <t>32</t>
        </is>
      </c>
      <c r="G105" s="156" t="inlineStr">
        <is>
          <t>14</t>
        </is>
      </c>
      <c r="H105" s="156" t="inlineStr">
        <is>
          <t>Stetson</t>
        </is>
      </c>
      <c r="I105" s="156" t="inlineStr">
        <is>
          <t>Bota Cocodrilo Cognac</t>
        </is>
      </c>
      <c r="J105" s="156" t="inlineStr">
        <is>
          <t>Calzado</t>
        </is>
      </c>
      <c r="K105" s="156" t="inlineStr">
        <is>
          <t>Botas</t>
        </is>
      </c>
      <c r="L105" s="156" t="inlineStr">
        <is>
          <t>Hombre</t>
        </is>
      </c>
      <c r="M105" s="156" t="inlineStr">
        <is>
          <t>Stetson</t>
        </is>
      </c>
      <c r="N105" s="156" t="inlineStr">
        <is>
          <t>SS26</t>
        </is>
      </c>
      <c r="O105" s="156" t="inlineStr">
        <is>
          <t>Seasonal</t>
        </is>
      </c>
      <c r="P105" s="156" t="inlineStr">
        <is>
          <t>Cafe</t>
        </is>
      </c>
      <c r="Q105" s="156" t="n"/>
      <c r="R105" s="156" t="inlineStr">
        <is>
          <t>Punta Redonda Ancha</t>
        </is>
      </c>
      <c r="S105" s="156" t="inlineStr">
        <is>
          <t>Piel de cocodrilo</t>
        </is>
      </c>
      <c r="T105" s="156" t="inlineStr">
        <is>
          <t>Bota Caballero Piel de cocodrilo Cognac Punta Redonda Ancha</t>
        </is>
      </c>
      <c r="U105" s="156" t="inlineStr">
        <is>
          <t>México</t>
        </is>
      </c>
      <c r="V105" s="156" t="inlineStr">
        <is>
          <t>PRS</t>
        </is>
      </c>
      <c r="W105" s="51" t="inlineStr">
        <is>
          <t>53111501</t>
        </is>
      </c>
      <c r="X105" s="156" t="n"/>
      <c r="Y105" s="54" t="n">
        <v>4241.675</v>
      </c>
      <c r="Z105" s="54" t="n">
        <v>24137.93103</v>
      </c>
      <c r="AA105" s="55">
        <f>IF(AND(A105="", B105="", E105=""), "", IF(AB105="", "Válido", IF((LEN(AB105)-LEN(SUBSTITUTE(AB105,"; ","")))/2+1&gt;(LEN(AB105)-LEN(SUBSTITUTE(AB105,"[Aviso]","")))/7, "Con Incidencias", "Válido")))</f>
        <v/>
      </c>
      <c r="AB105" s="56">
        <f>IF(AND(A105="", B105="", E105=""), "", TEXTJOIN("; ", TRUE, IF(OR(TRIM(A105&amp;"")="", ISNUMBER(SEARCH("FALTA", A105))), "UPC faltante/inválido", ""), IF(AND(A105&lt;&gt;"", IFERROR(_xlfn.XMATCH(A105,$A$2:$A$2509,0,1)&lt;&gt;_xlfn.XMATCH(A105,$A$2:$A$2509,0,-1),FALSE)), "Código de barras duplicado", ""), IF(AND(E105&lt;&gt;"", COUNTIF($E$2:$E$2509, E105)&gt;1), "SKU duplicado", ""), IF(OR(J105="", J105=""), "[Aviso] División no capturada ()", IF(ISNA(MATCH(J105, Criterios!$A$123:$A$126, 0)), "División no válida", "")), IF(OR(K105="", K105=""), "[Aviso] Categoría no capturada ()", IF(ISNA(MATCH(K105, Criterios!$A$81:$A$120, 0)), "Categoría no válida", IF(AND(J105&lt;&gt;"", J105&lt;&gt;"", J105&lt;&gt;VLOOKUP(K105, Criterios!$A$81:$B$120, 2, FALSE)), "División no coincide con Categoría", ""))), IF(OR(L105="", L105=""), "[Aviso] Género no capturado ()", IF(ISNA(MATCH(L105, Criterios!$B$123:$B$127, 0)), "Género no válido", "")), IF(OR(N105="", N105=""), "[Aviso] Temporada no capturada ()", IF(ISNA(MATCH(N105, Criterios!$C$123:$C$128, 0)), "Temporada no válida", "")), IF(OR(O105="", O105=""), "[Aviso] Ciclo de vida no capturado ()", IF(ISNA(MATCH(O105, Criterios!$D$123:$D$124, 0)), "Ciclo de vida no válido", ""))))</f>
        <v/>
      </c>
      <c r="AC105" s="56" t="n"/>
      <c r="AD105" s="51" t="n">
        <v>0</v>
      </c>
      <c r="AE105" s="156" t="n"/>
      <c r="AF105" s="51" t="n">
        <v>0</v>
      </c>
      <c r="AG105" s="156" t="inlineStr">
        <is>
          <t>Catálogo existente</t>
        </is>
      </c>
      <c r="AH1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5" s="156" t="inlineStr">
        <is>
          <t>No</t>
        </is>
      </c>
      <c r="AJ105" s="156" t="n"/>
      <c r="AK105" s="155" t="inlineStr">
        <is>
          <t>Criterios: I [Q]; G1522_Extraccion_Articulos_NetSuite_2026-09-30.xlsx: fila 58677 [R] | Shopify Stetson: producto 15054564327787 / variante 53350551322987</t>
        </is>
      </c>
      <c r="AL105" s="58" t="n">
        <v>4241.675</v>
      </c>
      <c r="AM105" s="58" t="n">
        <v>24137.93103</v>
      </c>
      <c r="AN105" s="155" t="inlineStr">
        <is>
          <t>Shopify Stetson México</t>
        </is>
      </c>
      <c r="AO105" s="59" t="n">
        <v>0</v>
      </c>
      <c r="AP105" s="59" t="n"/>
      <c r="AQ105" s="59" t="n"/>
      <c r="AR105" s="155" t="n"/>
    </row>
    <row r="106">
      <c r="A106" s="50" t="inlineStr">
        <is>
          <t>12020000101018255</t>
        </is>
      </c>
      <c r="B106" s="51" t="inlineStr">
        <is>
          <t>111003</t>
        </is>
      </c>
      <c r="C106" s="156" t="inlineStr">
        <is>
          <t>Multimarca</t>
        </is>
      </c>
      <c r="D106" s="156" t="inlineStr">
        <is>
          <t>12-020-BS000-10-1018</t>
        </is>
      </c>
      <c r="E106" s="156" t="inlineStr">
        <is>
          <t>12-020-BS000-10-1018-255</t>
        </is>
      </c>
      <c r="F106" s="156" t="inlineStr">
        <is>
          <t>25.5</t>
        </is>
      </c>
      <c r="G106" s="156" t="inlineStr">
        <is>
          <t>7.5</t>
        </is>
      </c>
      <c r="H106" s="156" t="inlineStr">
        <is>
          <t>Stetson</t>
        </is>
      </c>
      <c r="I106" s="156" t="inlineStr">
        <is>
          <t>Bota Cocodrilo Cognac</t>
        </is>
      </c>
      <c r="J106" s="156" t="inlineStr">
        <is>
          <t>Calzado</t>
        </is>
      </c>
      <c r="K106" s="156" t="inlineStr">
        <is>
          <t>Botas</t>
        </is>
      </c>
      <c r="L106" s="156" t="inlineStr">
        <is>
          <t>Hombre</t>
        </is>
      </c>
      <c r="M106" s="156" t="inlineStr">
        <is>
          <t>Stetson</t>
        </is>
      </c>
      <c r="N106" s="156" t="inlineStr">
        <is>
          <t>SS26</t>
        </is>
      </c>
      <c r="O106" s="156" t="inlineStr">
        <is>
          <t>Seasonal</t>
        </is>
      </c>
      <c r="P106" s="156" t="inlineStr">
        <is>
          <t>Cafe</t>
        </is>
      </c>
      <c r="Q106" s="156" t="n"/>
      <c r="R106" s="156" t="inlineStr">
        <is>
          <t>Punta Redonda Ancha</t>
        </is>
      </c>
      <c r="S106" s="156" t="inlineStr">
        <is>
          <t>Piel de cocodrilo</t>
        </is>
      </c>
      <c r="T106" s="156" t="inlineStr">
        <is>
          <t>Bota Caballero Piel de cocodrilo Cognac Punta Redonda Ancha</t>
        </is>
      </c>
      <c r="U106" s="156" t="inlineStr">
        <is>
          <t>México</t>
        </is>
      </c>
      <c r="V106" s="156" t="inlineStr">
        <is>
          <t>PRS</t>
        </is>
      </c>
      <c r="W106" s="51" t="inlineStr">
        <is>
          <t>53111501</t>
        </is>
      </c>
      <c r="X106" s="156" t="n"/>
      <c r="Y106" s="54" t="n">
        <v>4241.675</v>
      </c>
      <c r="Z106" s="54" t="n">
        <v>24137.93103</v>
      </c>
      <c r="AA106" s="55">
        <f>IF(AND(A106="", B106="", E106=""), "", IF(AB106="", "Válido", IF((LEN(AB106)-LEN(SUBSTITUTE(AB106,"; ","")))/2+1&gt;(LEN(AB106)-LEN(SUBSTITUTE(AB106,"[Aviso]","")))/7, "Con Incidencias", "Válido")))</f>
        <v/>
      </c>
      <c r="AB106" s="56">
        <f>IF(AND(A106="", B106="", E106=""), "", TEXTJOIN("; ", TRUE, IF(OR(TRIM(A106&amp;"")="", ISNUMBER(SEARCH("FALTA", A106))), "UPC faltante/inválido", ""), IF(AND(A106&lt;&gt;"", IFERROR(_xlfn.XMATCH(A106,$A$2:$A$2509,0,1)&lt;&gt;_xlfn.XMATCH(A106,$A$2:$A$2509,0,-1),FALSE)), "Código de barras duplicado", ""), IF(AND(E106&lt;&gt;"", COUNTIF($E$2:$E$2509, E106)&gt;1), "SKU duplicado", ""), IF(OR(J106="", J106=""), "[Aviso] División no capturada ()", IF(ISNA(MATCH(J106, Criterios!$A$123:$A$126, 0)), "División no válida", "")), IF(OR(K106="", K106=""), "[Aviso] Categoría no capturada ()", IF(ISNA(MATCH(K106, Criterios!$A$81:$A$120, 0)), "Categoría no válida", IF(AND(J106&lt;&gt;"", J106&lt;&gt;"", J106&lt;&gt;VLOOKUP(K106, Criterios!$A$81:$B$120, 2, FALSE)), "División no coincide con Categoría", ""))), IF(OR(L106="", L106=""), "[Aviso] Género no capturado ()", IF(ISNA(MATCH(L106, Criterios!$B$123:$B$127, 0)), "Género no válido", "")), IF(OR(N106="", N106=""), "[Aviso] Temporada no capturada ()", IF(ISNA(MATCH(N106, Criterios!$C$123:$C$128, 0)), "Temporada no válida", "")), IF(OR(O106="", O106=""), "[Aviso] Ciclo de vida no capturado ()", IF(ISNA(MATCH(O106, Criterios!$D$123:$D$124, 0)), "Ciclo de vida no válido", ""))))</f>
        <v/>
      </c>
      <c r="AC106" s="56" t="n"/>
      <c r="AD106" s="51" t="n">
        <v>0</v>
      </c>
      <c r="AE106" s="156" t="n"/>
      <c r="AF106" s="51" t="n">
        <v>0</v>
      </c>
      <c r="AG106" s="156" t="inlineStr">
        <is>
          <t>Catálogo existente</t>
        </is>
      </c>
      <c r="AH1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6" s="156" t="inlineStr">
        <is>
          <t>No</t>
        </is>
      </c>
      <c r="AJ106" s="156" t="n"/>
      <c r="AK106" s="155" t="inlineStr">
        <is>
          <t>Criterios: I [Q]; G1522_Extraccion_Articulos_NetSuite_2026-09-30.xlsx: fila 58678 [R] | Shopify Stetson: producto 15054564327787 / variante 53350550897003</t>
        </is>
      </c>
      <c r="AL106" s="58" t="n">
        <v>4241.675</v>
      </c>
      <c r="AM106" s="58" t="n">
        <v>24137.93103</v>
      </c>
      <c r="AN106" s="155" t="inlineStr">
        <is>
          <t>Shopify Stetson México</t>
        </is>
      </c>
      <c r="AO106" s="59" t="n">
        <v>0</v>
      </c>
      <c r="AP106" s="59" t="n"/>
      <c r="AQ106" s="59" t="n"/>
      <c r="AR106" s="155" t="n"/>
    </row>
    <row r="107">
      <c r="A107" s="50" t="inlineStr">
        <is>
          <t>12020000101018265</t>
        </is>
      </c>
      <c r="B107" s="51" t="inlineStr">
        <is>
          <t>111004</t>
        </is>
      </c>
      <c r="C107" s="156" t="inlineStr">
        <is>
          <t>Multimarca</t>
        </is>
      </c>
      <c r="D107" s="156" t="inlineStr">
        <is>
          <t>12-020-BS000-10-1018</t>
        </is>
      </c>
      <c r="E107" s="156" t="inlineStr">
        <is>
          <t>12-020-BS000-10-1018-265</t>
        </is>
      </c>
      <c r="F107" s="156" t="inlineStr">
        <is>
          <t>26.5</t>
        </is>
      </c>
      <c r="G107" s="156" t="inlineStr">
        <is>
          <t>8.5</t>
        </is>
      </c>
      <c r="H107" s="156" t="inlineStr">
        <is>
          <t>Stetson</t>
        </is>
      </c>
      <c r="I107" s="156" t="inlineStr">
        <is>
          <t>Bota Cocodrilo Cognac</t>
        </is>
      </c>
      <c r="J107" s="156" t="inlineStr">
        <is>
          <t>Calzado</t>
        </is>
      </c>
      <c r="K107" s="156" t="inlineStr">
        <is>
          <t>Botas</t>
        </is>
      </c>
      <c r="L107" s="156" t="inlineStr">
        <is>
          <t>Hombre</t>
        </is>
      </c>
      <c r="M107" s="156" t="inlineStr">
        <is>
          <t>Stetson</t>
        </is>
      </c>
      <c r="N107" s="156" t="inlineStr">
        <is>
          <t>SS26</t>
        </is>
      </c>
      <c r="O107" s="156" t="inlineStr">
        <is>
          <t>Seasonal</t>
        </is>
      </c>
      <c r="P107" s="156" t="inlineStr">
        <is>
          <t>Cafe</t>
        </is>
      </c>
      <c r="Q107" s="156" t="n"/>
      <c r="R107" s="156" t="inlineStr">
        <is>
          <t>Punta Redonda Ancha</t>
        </is>
      </c>
      <c r="S107" s="156" t="inlineStr">
        <is>
          <t>Piel de cocodrilo</t>
        </is>
      </c>
      <c r="T107" s="156" t="inlineStr">
        <is>
          <t>Bota Caballero Piel de cocodrilo Cognac Punta Redonda Ancha</t>
        </is>
      </c>
      <c r="U107" s="156" t="inlineStr">
        <is>
          <t>México</t>
        </is>
      </c>
      <c r="V107" s="156" t="inlineStr">
        <is>
          <t>PRS</t>
        </is>
      </c>
      <c r="W107" s="51" t="inlineStr">
        <is>
          <t>53111501</t>
        </is>
      </c>
      <c r="X107" s="156" t="n"/>
      <c r="Y107" s="54" t="n">
        <v>4241.675</v>
      </c>
      <c r="Z107" s="54" t="n">
        <v>24137.93103</v>
      </c>
      <c r="AA107" s="55">
        <f>IF(AND(A107="", B107="", E107=""), "", IF(AB107="", "Válido", IF((LEN(AB107)-LEN(SUBSTITUTE(AB107,"; ","")))/2+1&gt;(LEN(AB107)-LEN(SUBSTITUTE(AB107,"[Aviso]","")))/7, "Con Incidencias", "Válido")))</f>
        <v/>
      </c>
      <c r="AB107" s="56">
        <f>IF(AND(A107="", B107="", E107=""), "", TEXTJOIN("; ", TRUE, IF(OR(TRIM(A107&amp;"")="", ISNUMBER(SEARCH("FALTA", A107))), "UPC faltante/inválido", ""), IF(AND(A107&lt;&gt;"", IFERROR(_xlfn.XMATCH(A107,$A$2:$A$2509,0,1)&lt;&gt;_xlfn.XMATCH(A107,$A$2:$A$2509,0,-1),FALSE)), "Código de barras duplicado", ""), IF(AND(E107&lt;&gt;"", COUNTIF($E$2:$E$2509, E107)&gt;1), "SKU duplicado", ""), IF(OR(J107="", J107=""), "[Aviso] División no capturada ()", IF(ISNA(MATCH(J107, Criterios!$A$123:$A$126, 0)), "División no válida", "")), IF(OR(K107="", K107=""), "[Aviso] Categoría no capturada ()", IF(ISNA(MATCH(K107, Criterios!$A$81:$A$120, 0)), "Categoría no válida", IF(AND(J107&lt;&gt;"", J107&lt;&gt;"", J107&lt;&gt;VLOOKUP(K107, Criterios!$A$81:$B$120, 2, FALSE)), "División no coincide con Categoría", ""))), IF(OR(L107="", L107=""), "[Aviso] Género no capturado ()", IF(ISNA(MATCH(L107, Criterios!$B$123:$B$127, 0)), "Género no válido", "")), IF(OR(N107="", N107=""), "[Aviso] Temporada no capturada ()", IF(ISNA(MATCH(N107, Criterios!$C$123:$C$128, 0)), "Temporada no válida", "")), IF(OR(O107="", O107=""), "[Aviso] Ciclo de vida no capturado ()", IF(ISNA(MATCH(O107, Criterios!$D$123:$D$124, 0)), "Ciclo de vida no válido", ""))))</f>
        <v/>
      </c>
      <c r="AC107" s="56" t="n"/>
      <c r="AD107" s="51" t="n">
        <v>0</v>
      </c>
      <c r="AE107" s="156" t="n"/>
      <c r="AF107" s="51" t="n">
        <v>0</v>
      </c>
      <c r="AG107" s="156" t="inlineStr">
        <is>
          <t>Catálogo existente</t>
        </is>
      </c>
      <c r="AH1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7" s="156" t="inlineStr">
        <is>
          <t>No</t>
        </is>
      </c>
      <c r="AJ107" s="156" t="n"/>
      <c r="AK107" s="155" t="inlineStr">
        <is>
          <t>Criterios: I [Q]; G1522_Extraccion_Articulos_NetSuite_2026-09-30.xlsx: fila 58679 [R] | Shopify Stetson: producto 15054564327787 / variante 53350550962539</t>
        </is>
      </c>
      <c r="AL107" s="58" t="n">
        <v>4241.675</v>
      </c>
      <c r="AM107" s="58" t="n">
        <v>24137.93103</v>
      </c>
      <c r="AN107" s="155" t="inlineStr">
        <is>
          <t>Shopify Stetson México</t>
        </is>
      </c>
      <c r="AO107" s="59" t="n">
        <v>0</v>
      </c>
      <c r="AP107" s="59" t="n"/>
      <c r="AQ107" s="59" t="n"/>
      <c r="AR107" s="155" t="n"/>
    </row>
    <row r="108">
      <c r="A108" s="50" t="inlineStr">
        <is>
          <t>12020000101018275</t>
        </is>
      </c>
      <c r="B108" s="51" t="inlineStr">
        <is>
          <t>111005</t>
        </is>
      </c>
      <c r="C108" s="156" t="inlineStr">
        <is>
          <t>Multimarca</t>
        </is>
      </c>
      <c r="D108" s="156" t="inlineStr">
        <is>
          <t>12-020-BS000-10-1018</t>
        </is>
      </c>
      <c r="E108" s="156" t="inlineStr">
        <is>
          <t>12-020-BS000-10-1018-275</t>
        </is>
      </c>
      <c r="F108" s="156" t="inlineStr">
        <is>
          <t>27.5</t>
        </is>
      </c>
      <c r="G108" s="156" t="inlineStr">
        <is>
          <t>9.5</t>
        </is>
      </c>
      <c r="H108" s="156" t="inlineStr">
        <is>
          <t>Stetson</t>
        </is>
      </c>
      <c r="I108" s="156" t="inlineStr">
        <is>
          <t>Bota Cocodrilo Cognac</t>
        </is>
      </c>
      <c r="J108" s="156" t="inlineStr">
        <is>
          <t>Calzado</t>
        </is>
      </c>
      <c r="K108" s="156" t="inlineStr">
        <is>
          <t>Botas</t>
        </is>
      </c>
      <c r="L108" s="156" t="inlineStr">
        <is>
          <t>Hombre</t>
        </is>
      </c>
      <c r="M108" s="156" t="inlineStr">
        <is>
          <t>Stetson</t>
        </is>
      </c>
      <c r="N108" s="156" t="inlineStr">
        <is>
          <t>SS26</t>
        </is>
      </c>
      <c r="O108" s="156" t="inlineStr">
        <is>
          <t>Seasonal</t>
        </is>
      </c>
      <c r="P108" s="156" t="inlineStr">
        <is>
          <t>Cafe</t>
        </is>
      </c>
      <c r="Q108" s="156" t="n"/>
      <c r="R108" s="156" t="inlineStr">
        <is>
          <t>Punta Redonda Ancha</t>
        </is>
      </c>
      <c r="S108" s="156" t="inlineStr">
        <is>
          <t>Piel de cocodrilo</t>
        </is>
      </c>
      <c r="T108" s="156" t="inlineStr">
        <is>
          <t>Bota Caballero Piel de cocodrilo Cognac Punta Redonda Ancha</t>
        </is>
      </c>
      <c r="U108" s="156" t="inlineStr">
        <is>
          <t>México</t>
        </is>
      </c>
      <c r="V108" s="156" t="inlineStr">
        <is>
          <t>PRS</t>
        </is>
      </c>
      <c r="W108" s="51" t="inlineStr">
        <is>
          <t>53111501</t>
        </is>
      </c>
      <c r="X108" s="156" t="n"/>
      <c r="Y108" s="54" t="n">
        <v>4241.675</v>
      </c>
      <c r="Z108" s="54" t="n">
        <v>24137.93103</v>
      </c>
      <c r="AA108" s="55">
        <f>IF(AND(A108="", B108="", E108=""), "", IF(AB108="", "Válido", IF((LEN(AB108)-LEN(SUBSTITUTE(AB108,"; ","")))/2+1&gt;(LEN(AB108)-LEN(SUBSTITUTE(AB108,"[Aviso]","")))/7, "Con Incidencias", "Válido")))</f>
        <v/>
      </c>
      <c r="AB108" s="56">
        <f>IF(AND(A108="", B108="", E108=""), "", TEXTJOIN("; ", TRUE, IF(OR(TRIM(A108&amp;"")="", ISNUMBER(SEARCH("FALTA", A108))), "UPC faltante/inválido", ""), IF(AND(A108&lt;&gt;"", IFERROR(_xlfn.XMATCH(A108,$A$2:$A$2509,0,1)&lt;&gt;_xlfn.XMATCH(A108,$A$2:$A$2509,0,-1),FALSE)), "Código de barras duplicado", ""), IF(AND(E108&lt;&gt;"", COUNTIF($E$2:$E$2509, E108)&gt;1), "SKU duplicado", ""), IF(OR(J108="", J108=""), "[Aviso] División no capturada ()", IF(ISNA(MATCH(J108, Criterios!$A$123:$A$126, 0)), "División no válida", "")), IF(OR(K108="", K108=""), "[Aviso] Categoría no capturada ()", IF(ISNA(MATCH(K108, Criterios!$A$81:$A$120, 0)), "Categoría no válida", IF(AND(J108&lt;&gt;"", J108&lt;&gt;"", J108&lt;&gt;VLOOKUP(K108, Criterios!$A$81:$B$120, 2, FALSE)), "División no coincide con Categoría", ""))), IF(OR(L108="", L108=""), "[Aviso] Género no capturado ()", IF(ISNA(MATCH(L108, Criterios!$B$123:$B$127, 0)), "Género no válido", "")), IF(OR(N108="", N108=""), "[Aviso] Temporada no capturada ()", IF(ISNA(MATCH(N108, Criterios!$C$123:$C$128, 0)), "Temporada no válida", "")), IF(OR(O108="", O108=""), "[Aviso] Ciclo de vida no capturado ()", IF(ISNA(MATCH(O108, Criterios!$D$123:$D$124, 0)), "Ciclo de vida no válido", ""))))</f>
        <v/>
      </c>
      <c r="AC108" s="56" t="n"/>
      <c r="AD108" s="51" t="n">
        <v>1</v>
      </c>
      <c r="AE108" s="156" t="inlineStr">
        <is>
          <t>STETSON AMERICAS (1)</t>
        </is>
      </c>
      <c r="AF108" s="51" t="n">
        <v>1</v>
      </c>
      <c r="AG108" s="156" t="inlineStr">
        <is>
          <t>Catálogo existente</t>
        </is>
      </c>
      <c r="AH1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8" s="156" t="inlineStr">
        <is>
          <t>No</t>
        </is>
      </c>
      <c r="AJ108" s="156" t="n"/>
      <c r="AK108" s="155" t="inlineStr">
        <is>
          <t>Criterios: I [Q]; G1522_Extraccion_Articulos_NetSuite_2026-09-30.xlsx: fila 58680 [R] | Shopify Stetson: producto 15054564327787 / variante 53350551028075</t>
        </is>
      </c>
      <c r="AL108" s="58" t="n">
        <v>4241.675</v>
      </c>
      <c r="AM108" s="58" t="n">
        <v>24137.93103</v>
      </c>
      <c r="AN108" s="155" t="inlineStr">
        <is>
          <t>Shopify Stetson México</t>
        </is>
      </c>
      <c r="AO108" s="59" t="n">
        <v>1</v>
      </c>
      <c r="AP108" s="59" t="n"/>
      <c r="AQ108" s="59" t="n"/>
      <c r="AR108" s="155" t="inlineStr">
        <is>
          <t>Shopify Stetson México › Stetson Americas: 1</t>
        </is>
      </c>
    </row>
    <row r="109">
      <c r="A109" s="50" t="inlineStr">
        <is>
          <t>12020000101018285</t>
        </is>
      </c>
      <c r="B109" s="51" t="inlineStr">
        <is>
          <t>111006</t>
        </is>
      </c>
      <c r="C109" s="156" t="inlineStr">
        <is>
          <t>Multimarca</t>
        </is>
      </c>
      <c r="D109" s="156" t="inlineStr">
        <is>
          <t>12-020-BS000-10-1018</t>
        </is>
      </c>
      <c r="E109" s="156" t="inlineStr">
        <is>
          <t>12-020-BS000-10-1018-285</t>
        </is>
      </c>
      <c r="F109" s="156" t="inlineStr">
        <is>
          <t>28.5</t>
        </is>
      </c>
      <c r="G109" s="156" t="inlineStr">
        <is>
          <t>10.5</t>
        </is>
      </c>
      <c r="H109" s="156" t="inlineStr">
        <is>
          <t>Stetson</t>
        </is>
      </c>
      <c r="I109" s="156" t="inlineStr">
        <is>
          <t>Bota Cocodrilo Cognac</t>
        </is>
      </c>
      <c r="J109" s="156" t="inlineStr">
        <is>
          <t>Calzado</t>
        </is>
      </c>
      <c r="K109" s="156" t="inlineStr">
        <is>
          <t>Botas</t>
        </is>
      </c>
      <c r="L109" s="156" t="inlineStr">
        <is>
          <t>Hombre</t>
        </is>
      </c>
      <c r="M109" s="156" t="inlineStr">
        <is>
          <t>Stetson</t>
        </is>
      </c>
      <c r="N109" s="156" t="inlineStr">
        <is>
          <t>SS26</t>
        </is>
      </c>
      <c r="O109" s="156" t="inlineStr">
        <is>
          <t>Seasonal</t>
        </is>
      </c>
      <c r="P109" s="156" t="inlineStr">
        <is>
          <t>Cafe</t>
        </is>
      </c>
      <c r="Q109" s="156" t="n"/>
      <c r="R109" s="156" t="inlineStr">
        <is>
          <t>Punta Redonda Ancha</t>
        </is>
      </c>
      <c r="S109" s="156" t="inlineStr">
        <is>
          <t>Piel de cocodrilo</t>
        </is>
      </c>
      <c r="T109" s="156" t="inlineStr">
        <is>
          <t>Bota Caballero Piel de cocodrilo Cognac Punta Redonda Ancha</t>
        </is>
      </c>
      <c r="U109" s="156" t="inlineStr">
        <is>
          <t>México</t>
        </is>
      </c>
      <c r="V109" s="156" t="inlineStr">
        <is>
          <t>PRS</t>
        </is>
      </c>
      <c r="W109" s="51" t="inlineStr">
        <is>
          <t>53111501</t>
        </is>
      </c>
      <c r="X109" s="156" t="n"/>
      <c r="Y109" s="54" t="n">
        <v>4241.675</v>
      </c>
      <c r="Z109" s="54" t="n">
        <v>24137.93103</v>
      </c>
      <c r="AA109" s="55">
        <f>IF(AND(A109="", B109="", E109=""), "", IF(AB109="", "Válido", IF((LEN(AB109)-LEN(SUBSTITUTE(AB109,"; ","")))/2+1&gt;(LEN(AB109)-LEN(SUBSTITUTE(AB109,"[Aviso]","")))/7, "Con Incidencias", "Válido")))</f>
        <v/>
      </c>
      <c r="AB109" s="56">
        <f>IF(AND(A109="", B109="", E109=""), "", TEXTJOIN("; ", TRUE, IF(OR(TRIM(A109&amp;"")="", ISNUMBER(SEARCH("FALTA", A109))), "UPC faltante/inválido", ""), IF(AND(A109&lt;&gt;"", IFERROR(_xlfn.XMATCH(A109,$A$2:$A$2509,0,1)&lt;&gt;_xlfn.XMATCH(A109,$A$2:$A$2509,0,-1),FALSE)), "Código de barras duplicado", ""), IF(AND(E109&lt;&gt;"", COUNTIF($E$2:$E$2509, E109)&gt;1), "SKU duplicado", ""), IF(OR(J109="", J109=""), "[Aviso] División no capturada ()", IF(ISNA(MATCH(J109, Criterios!$A$123:$A$126, 0)), "División no válida", "")), IF(OR(K109="", K109=""), "[Aviso] Categoría no capturada ()", IF(ISNA(MATCH(K109, Criterios!$A$81:$A$120, 0)), "Categoría no válida", IF(AND(J109&lt;&gt;"", J109&lt;&gt;"", J109&lt;&gt;VLOOKUP(K109, Criterios!$A$81:$B$120, 2, FALSE)), "División no coincide con Categoría", ""))), IF(OR(L109="", L109=""), "[Aviso] Género no capturado ()", IF(ISNA(MATCH(L109, Criterios!$B$123:$B$127, 0)), "Género no válido", "")), IF(OR(N109="", N109=""), "[Aviso] Temporada no capturada ()", IF(ISNA(MATCH(N109, Criterios!$C$123:$C$128, 0)), "Temporada no válida", "")), IF(OR(O109="", O109=""), "[Aviso] Ciclo de vida no capturado ()", IF(ISNA(MATCH(O109, Criterios!$D$123:$D$124, 0)), "Ciclo de vida no válido", ""))))</f>
        <v/>
      </c>
      <c r="AC109" s="56" t="n"/>
      <c r="AD109" s="51" t="n">
        <v>2</v>
      </c>
      <c r="AE109" s="156" t="inlineStr">
        <is>
          <t>STETSON AMERICAS (2)</t>
        </is>
      </c>
      <c r="AF109" s="51" t="n">
        <v>2</v>
      </c>
      <c r="AG109" s="156" t="inlineStr">
        <is>
          <t>Catálogo existente</t>
        </is>
      </c>
      <c r="AH1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9" s="156" t="inlineStr">
        <is>
          <t>No</t>
        </is>
      </c>
      <c r="AJ109" s="156" t="n"/>
      <c r="AK109" s="155" t="inlineStr">
        <is>
          <t>Criterios: I [Q]; G1522_Extraccion_Articulos_NetSuite_2026-09-30.xlsx: fila 58681 [R] | Shopify Stetson: producto 15054564327787 / variante 53350551093611</t>
        </is>
      </c>
      <c r="AL109" s="58" t="n">
        <v>4241.675</v>
      </c>
      <c r="AM109" s="58" t="n">
        <v>24137.93103</v>
      </c>
      <c r="AN109" s="155" t="inlineStr">
        <is>
          <t>Shopify Stetson México</t>
        </is>
      </c>
      <c r="AO109" s="59" t="n">
        <v>2</v>
      </c>
      <c r="AP109" s="59" t="n"/>
      <c r="AQ109" s="59" t="n"/>
      <c r="AR109" s="155" t="inlineStr">
        <is>
          <t>Shopify Stetson México › Stetson Americas: 2</t>
        </is>
      </c>
    </row>
    <row r="110">
      <c r="A110" s="50" t="inlineStr">
        <is>
          <t>12020000101018295</t>
        </is>
      </c>
      <c r="B110" s="51" t="inlineStr">
        <is>
          <t>111007</t>
        </is>
      </c>
      <c r="C110" s="156" t="inlineStr">
        <is>
          <t>Multimarca</t>
        </is>
      </c>
      <c r="D110" s="156" t="inlineStr">
        <is>
          <t>12-020-BS000-10-1018</t>
        </is>
      </c>
      <c r="E110" s="156" t="inlineStr">
        <is>
          <t>12-020-BS000-10-1018-295</t>
        </is>
      </c>
      <c r="F110" s="156" t="inlineStr">
        <is>
          <t>29.5</t>
        </is>
      </c>
      <c r="G110" s="156" t="inlineStr">
        <is>
          <t>11.5</t>
        </is>
      </c>
      <c r="H110" s="156" t="inlineStr">
        <is>
          <t>Stetson</t>
        </is>
      </c>
      <c r="I110" s="156" t="inlineStr">
        <is>
          <t>Bota Cocodrilo Cognac</t>
        </is>
      </c>
      <c r="J110" s="156" t="inlineStr">
        <is>
          <t>Calzado</t>
        </is>
      </c>
      <c r="K110" s="156" t="inlineStr">
        <is>
          <t>Botas</t>
        </is>
      </c>
      <c r="L110" s="156" t="inlineStr">
        <is>
          <t>Hombre</t>
        </is>
      </c>
      <c r="M110" s="156" t="inlineStr">
        <is>
          <t>Stetson</t>
        </is>
      </c>
      <c r="N110" s="156" t="inlineStr">
        <is>
          <t>SS26</t>
        </is>
      </c>
      <c r="O110" s="156" t="inlineStr">
        <is>
          <t>Seasonal</t>
        </is>
      </c>
      <c r="P110" s="156" t="inlineStr">
        <is>
          <t>Cafe</t>
        </is>
      </c>
      <c r="Q110" s="156" t="n"/>
      <c r="R110" s="156" t="inlineStr">
        <is>
          <t>Punta Redonda Ancha</t>
        </is>
      </c>
      <c r="S110" s="156" t="inlineStr">
        <is>
          <t>Piel de cocodrilo</t>
        </is>
      </c>
      <c r="T110" s="156" t="inlineStr">
        <is>
          <t>Bota Caballero Piel de cocodrilo Cognac Punta Redonda Ancha</t>
        </is>
      </c>
      <c r="U110" s="156" t="inlineStr">
        <is>
          <t>México</t>
        </is>
      </c>
      <c r="V110" s="156" t="inlineStr">
        <is>
          <t>PRS</t>
        </is>
      </c>
      <c r="W110" s="51" t="inlineStr">
        <is>
          <t>53111501</t>
        </is>
      </c>
      <c r="X110" s="156" t="n"/>
      <c r="Y110" s="54" t="n">
        <v>4241.675</v>
      </c>
      <c r="Z110" s="54" t="n">
        <v>24137.93103</v>
      </c>
      <c r="AA110" s="55">
        <f>IF(AND(A110="", B110="", E110=""), "", IF(AB110="", "Válido", IF((LEN(AB110)-LEN(SUBSTITUTE(AB110,"; ","")))/2+1&gt;(LEN(AB110)-LEN(SUBSTITUTE(AB110,"[Aviso]","")))/7, "Con Incidencias", "Válido")))</f>
        <v/>
      </c>
      <c r="AB110" s="56">
        <f>IF(AND(A110="", B110="", E110=""), "", TEXTJOIN("; ", TRUE, IF(OR(TRIM(A110&amp;"")="", ISNUMBER(SEARCH("FALTA", A110))), "UPC faltante/inválido", ""), IF(AND(A110&lt;&gt;"", IFERROR(_xlfn.XMATCH(A110,$A$2:$A$2509,0,1)&lt;&gt;_xlfn.XMATCH(A110,$A$2:$A$2509,0,-1),FALSE)), "Código de barras duplicado", ""), IF(AND(E110&lt;&gt;"", COUNTIF($E$2:$E$2509, E110)&gt;1), "SKU duplicado", ""), IF(OR(J110="", J110=""), "[Aviso] División no capturada ()", IF(ISNA(MATCH(J110, Criterios!$A$123:$A$126, 0)), "División no válida", "")), IF(OR(K110="", K110=""), "[Aviso] Categoría no capturada ()", IF(ISNA(MATCH(K110, Criterios!$A$81:$A$120, 0)), "Categoría no válida", IF(AND(J110&lt;&gt;"", J110&lt;&gt;"", J110&lt;&gt;VLOOKUP(K110, Criterios!$A$81:$B$120, 2, FALSE)), "División no coincide con Categoría", ""))), IF(OR(L110="", L110=""), "[Aviso] Género no capturado ()", IF(ISNA(MATCH(L110, Criterios!$B$123:$B$127, 0)), "Género no válido", "")), IF(OR(N110="", N110=""), "[Aviso] Temporada no capturada ()", IF(ISNA(MATCH(N110, Criterios!$C$123:$C$128, 0)), "Temporada no válida", "")), IF(OR(O110="", O110=""), "[Aviso] Ciclo de vida no capturado ()", IF(ISNA(MATCH(O110, Criterios!$D$123:$D$124, 0)), "Ciclo de vida no válido", ""))))</f>
        <v/>
      </c>
      <c r="AC110" s="56" t="n"/>
      <c r="AD110" s="51" t="n">
        <v>0</v>
      </c>
      <c r="AE110" s="156" t="n"/>
      <c r="AF110" s="51" t="n">
        <v>0</v>
      </c>
      <c r="AG110" s="156" t="inlineStr">
        <is>
          <t>Catálogo existente</t>
        </is>
      </c>
      <c r="AH1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0" s="156" t="inlineStr">
        <is>
          <t>No</t>
        </is>
      </c>
      <c r="AJ110" s="156" t="n"/>
      <c r="AK110" s="155" t="inlineStr">
        <is>
          <t>Criterios: I [Q]; G1522_Extraccion_Articulos_NetSuite_2026-09-30.xlsx: fila 58682 [R] | Shopify Stetson: producto 15054564327787 / variante 53350551159147</t>
        </is>
      </c>
      <c r="AL110" s="58" t="n">
        <v>4241.675</v>
      </c>
      <c r="AM110" s="58" t="n">
        <v>24137.93103</v>
      </c>
      <c r="AN110" s="155" t="inlineStr">
        <is>
          <t>Shopify Stetson México</t>
        </is>
      </c>
      <c r="AO110" s="59" t="n">
        <v>0</v>
      </c>
      <c r="AP110" s="59" t="n"/>
      <c r="AQ110" s="59" t="n"/>
      <c r="AR110" s="155" t="n"/>
    </row>
    <row r="111">
      <c r="A111" s="50" t="inlineStr">
        <is>
          <t>12020000101018305</t>
        </is>
      </c>
      <c r="B111" s="51" t="inlineStr">
        <is>
          <t>111008</t>
        </is>
      </c>
      <c r="C111" s="156" t="inlineStr">
        <is>
          <t>Multimarca</t>
        </is>
      </c>
      <c r="D111" s="156" t="inlineStr">
        <is>
          <t>12-020-BS000-10-1018</t>
        </is>
      </c>
      <c r="E111" s="156" t="inlineStr">
        <is>
          <t>12-020-BS000-10-1018-305</t>
        </is>
      </c>
      <c r="F111" s="156" t="inlineStr">
        <is>
          <t>30.5</t>
        </is>
      </c>
      <c r="G111" s="156" t="inlineStr">
        <is>
          <t>12.5</t>
        </is>
      </c>
      <c r="H111" s="156" t="inlineStr">
        <is>
          <t>Stetson</t>
        </is>
      </c>
      <c r="I111" s="156" t="inlineStr">
        <is>
          <t>Bota Cocodrilo Cognac</t>
        </is>
      </c>
      <c r="J111" s="156" t="inlineStr">
        <is>
          <t>Calzado</t>
        </is>
      </c>
      <c r="K111" s="156" t="inlineStr">
        <is>
          <t>Botas</t>
        </is>
      </c>
      <c r="L111" s="156" t="inlineStr">
        <is>
          <t>Hombre</t>
        </is>
      </c>
      <c r="M111" s="156" t="inlineStr">
        <is>
          <t>Stetson</t>
        </is>
      </c>
      <c r="N111" s="156" t="inlineStr">
        <is>
          <t>SS26</t>
        </is>
      </c>
      <c r="O111" s="156" t="inlineStr">
        <is>
          <t>Seasonal</t>
        </is>
      </c>
      <c r="P111" s="156" t="inlineStr">
        <is>
          <t>Cafe</t>
        </is>
      </c>
      <c r="Q111" s="156" t="n"/>
      <c r="R111" s="156" t="inlineStr">
        <is>
          <t>Punta Redonda Ancha</t>
        </is>
      </c>
      <c r="S111" s="156" t="inlineStr">
        <is>
          <t>Piel de cocodrilo</t>
        </is>
      </c>
      <c r="T111" s="156" t="inlineStr">
        <is>
          <t>Bota Caballero Piel de cocodrilo Cognac Punta Redonda Ancha</t>
        </is>
      </c>
      <c r="U111" s="156" t="inlineStr">
        <is>
          <t>México</t>
        </is>
      </c>
      <c r="V111" s="156" t="inlineStr">
        <is>
          <t>PRS</t>
        </is>
      </c>
      <c r="W111" s="51" t="inlineStr">
        <is>
          <t>53111501</t>
        </is>
      </c>
      <c r="X111" s="156" t="n"/>
      <c r="Y111" s="54" t="n">
        <v>4241.675</v>
      </c>
      <c r="Z111" s="54" t="n">
        <v>24137.93103</v>
      </c>
      <c r="AA111" s="55">
        <f>IF(AND(A111="", B111="", E111=""), "", IF(AB111="", "Válido", IF((LEN(AB111)-LEN(SUBSTITUTE(AB111,"; ","")))/2+1&gt;(LEN(AB111)-LEN(SUBSTITUTE(AB111,"[Aviso]","")))/7, "Con Incidencias", "Válido")))</f>
        <v/>
      </c>
      <c r="AB111" s="56">
        <f>IF(AND(A111="", B111="", E111=""), "", TEXTJOIN("; ", TRUE, IF(OR(TRIM(A111&amp;"")="", ISNUMBER(SEARCH("FALTA", A111))), "UPC faltante/inválido", ""), IF(AND(A111&lt;&gt;"", IFERROR(_xlfn.XMATCH(A111,$A$2:$A$2509,0,1)&lt;&gt;_xlfn.XMATCH(A111,$A$2:$A$2509,0,-1),FALSE)), "Código de barras duplicado", ""), IF(AND(E111&lt;&gt;"", COUNTIF($E$2:$E$2509, E111)&gt;1), "SKU duplicado", ""), IF(OR(J111="", J111=""), "[Aviso] División no capturada ()", IF(ISNA(MATCH(J111, Criterios!$A$123:$A$126, 0)), "División no válida", "")), IF(OR(K111="", K111=""), "[Aviso] Categoría no capturada ()", IF(ISNA(MATCH(K111, Criterios!$A$81:$A$120, 0)), "Categoría no válida", IF(AND(J111&lt;&gt;"", J111&lt;&gt;"", J111&lt;&gt;VLOOKUP(K111, Criterios!$A$81:$B$120, 2, FALSE)), "División no coincide con Categoría", ""))), IF(OR(L111="", L111=""), "[Aviso] Género no capturado ()", IF(ISNA(MATCH(L111, Criterios!$B$123:$B$127, 0)), "Género no válido", "")), IF(OR(N111="", N111=""), "[Aviso] Temporada no capturada ()", IF(ISNA(MATCH(N111, Criterios!$C$123:$C$128, 0)), "Temporada no válida", "")), IF(OR(O111="", O111=""), "[Aviso] Ciclo de vida no capturado ()", IF(ISNA(MATCH(O111, Criterios!$D$123:$D$124, 0)), "Ciclo de vida no válido", ""))))</f>
        <v/>
      </c>
      <c r="AC111" s="56" t="n"/>
      <c r="AD111" s="51" t="n">
        <v>0</v>
      </c>
      <c r="AE111" s="156" t="n"/>
      <c r="AF111" s="51" t="n">
        <v>0</v>
      </c>
      <c r="AG111" s="156" t="inlineStr">
        <is>
          <t>Catálogo existente</t>
        </is>
      </c>
      <c r="AH1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1" s="156" t="inlineStr">
        <is>
          <t>No</t>
        </is>
      </c>
      <c r="AJ111" s="156" t="n"/>
      <c r="AK111" s="155" t="inlineStr">
        <is>
          <t>Criterios: I [Q]; G1522_Extraccion_Articulos_NetSuite_2026-09-30.xlsx: fila 58683 [R] | Shopify Stetson: producto 15054564327787 / variante 53350551224683</t>
        </is>
      </c>
      <c r="AL111" s="58" t="n">
        <v>4241.675</v>
      </c>
      <c r="AM111" s="58" t="n">
        <v>24137.93103</v>
      </c>
      <c r="AN111" s="155" t="inlineStr">
        <is>
          <t>Shopify Stetson México</t>
        </is>
      </c>
      <c r="AO111" s="59" t="n">
        <v>0</v>
      </c>
      <c r="AP111" s="59" t="n"/>
      <c r="AQ111" s="59" t="n"/>
      <c r="AR111" s="155" t="n"/>
    </row>
    <row r="112">
      <c r="A112" s="50" t="inlineStr">
        <is>
          <t>12020000101018315</t>
        </is>
      </c>
      <c r="B112" s="51" t="inlineStr">
        <is>
          <t>111009</t>
        </is>
      </c>
      <c r="C112" s="156" t="inlineStr">
        <is>
          <t>Multimarca</t>
        </is>
      </c>
      <c r="D112" s="156" t="inlineStr">
        <is>
          <t>12-020-BS000-10-1018</t>
        </is>
      </c>
      <c r="E112" s="156" t="inlineStr">
        <is>
          <t>12-020-BS000-10-1018-315</t>
        </is>
      </c>
      <c r="F112" s="156" t="inlineStr">
        <is>
          <t>31.5</t>
        </is>
      </c>
      <c r="G112" s="156" t="inlineStr">
        <is>
          <t>13.5</t>
        </is>
      </c>
      <c r="H112" s="156" t="inlineStr">
        <is>
          <t>Stetson</t>
        </is>
      </c>
      <c r="I112" s="156" t="inlineStr">
        <is>
          <t>Bota Cocodrilo Cognac</t>
        </is>
      </c>
      <c r="J112" s="156" t="inlineStr">
        <is>
          <t>Calzado</t>
        </is>
      </c>
      <c r="K112" s="156" t="inlineStr">
        <is>
          <t>Botas</t>
        </is>
      </c>
      <c r="L112" s="156" t="inlineStr">
        <is>
          <t>Hombre</t>
        </is>
      </c>
      <c r="M112" s="156" t="inlineStr">
        <is>
          <t>Stetson</t>
        </is>
      </c>
      <c r="N112" s="156" t="inlineStr">
        <is>
          <t>SS26</t>
        </is>
      </c>
      <c r="O112" s="156" t="inlineStr">
        <is>
          <t>Seasonal</t>
        </is>
      </c>
      <c r="P112" s="156" t="inlineStr">
        <is>
          <t>Cafe</t>
        </is>
      </c>
      <c r="Q112" s="156" t="n"/>
      <c r="R112" s="156" t="inlineStr">
        <is>
          <t>Punta Redonda Ancha</t>
        </is>
      </c>
      <c r="S112" s="156" t="inlineStr">
        <is>
          <t>Piel de cocodrilo</t>
        </is>
      </c>
      <c r="T112" s="156" t="inlineStr">
        <is>
          <t>Bota Caballero Piel de cocodrilo Cognac Punta Redonda Ancha</t>
        </is>
      </c>
      <c r="U112" s="156" t="inlineStr">
        <is>
          <t>México</t>
        </is>
      </c>
      <c r="V112" s="156" t="inlineStr">
        <is>
          <t>PRS</t>
        </is>
      </c>
      <c r="W112" s="51" t="inlineStr">
        <is>
          <t>53111501</t>
        </is>
      </c>
      <c r="X112" s="156" t="n"/>
      <c r="Y112" s="54" t="n">
        <v>4241.675</v>
      </c>
      <c r="Z112" s="54" t="n">
        <v>24137.93103</v>
      </c>
      <c r="AA112" s="55">
        <f>IF(AND(A112="", B112="", E112=""), "", IF(AB112="", "Válido", IF((LEN(AB112)-LEN(SUBSTITUTE(AB112,"; ","")))/2+1&gt;(LEN(AB112)-LEN(SUBSTITUTE(AB112,"[Aviso]","")))/7, "Con Incidencias", "Válido")))</f>
        <v/>
      </c>
      <c r="AB112" s="56">
        <f>IF(AND(A112="", B112="", E112=""), "", TEXTJOIN("; ", TRUE, IF(OR(TRIM(A112&amp;"")="", ISNUMBER(SEARCH("FALTA", A112))), "UPC faltante/inválido", ""), IF(AND(A112&lt;&gt;"", IFERROR(_xlfn.XMATCH(A112,$A$2:$A$2509,0,1)&lt;&gt;_xlfn.XMATCH(A112,$A$2:$A$2509,0,-1),FALSE)), "Código de barras duplicado", ""), IF(AND(E112&lt;&gt;"", COUNTIF($E$2:$E$2509, E112)&gt;1), "SKU duplicado", ""), IF(OR(J112="", J112=""), "[Aviso] División no capturada ()", IF(ISNA(MATCH(J112, Criterios!$A$123:$A$126, 0)), "División no válida", "")), IF(OR(K112="", K112=""), "[Aviso] Categoría no capturada ()", IF(ISNA(MATCH(K112, Criterios!$A$81:$A$120, 0)), "Categoría no válida", IF(AND(J112&lt;&gt;"", J112&lt;&gt;"", J112&lt;&gt;VLOOKUP(K112, Criterios!$A$81:$B$120, 2, FALSE)), "División no coincide con Categoría", ""))), IF(OR(L112="", L112=""), "[Aviso] Género no capturado ()", IF(ISNA(MATCH(L112, Criterios!$B$123:$B$127, 0)), "Género no válido", "")), IF(OR(N112="", N112=""), "[Aviso] Temporada no capturada ()", IF(ISNA(MATCH(N112, Criterios!$C$123:$C$128, 0)), "Temporada no válida", "")), IF(OR(O112="", O112=""), "[Aviso] Ciclo de vida no capturado ()", IF(ISNA(MATCH(O112, Criterios!$D$123:$D$124, 0)), "Ciclo de vida no válido", ""))))</f>
        <v/>
      </c>
      <c r="AC112" s="56" t="n"/>
      <c r="AD112" s="51" t="n">
        <v>0</v>
      </c>
      <c r="AE112" s="156" t="n"/>
      <c r="AF112" s="51" t="n">
        <v>0</v>
      </c>
      <c r="AG112" s="156" t="inlineStr">
        <is>
          <t>Catálogo existente</t>
        </is>
      </c>
      <c r="AH1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2" s="156" t="inlineStr">
        <is>
          <t>No</t>
        </is>
      </c>
      <c r="AJ112" s="156" t="n"/>
      <c r="AK112" s="155" t="inlineStr">
        <is>
          <t>Criterios: I [Q]; G1522_Extraccion_Articulos_NetSuite_2026-09-30.xlsx: fila 58684 [R] | Shopify Stetson: producto 15054564327787 / variante 53350551290219</t>
        </is>
      </c>
      <c r="AL112" s="58" t="n">
        <v>4241.675</v>
      </c>
      <c r="AM112" s="58" t="n">
        <v>24137.93103</v>
      </c>
      <c r="AN112" s="155" t="inlineStr">
        <is>
          <t>Shopify Stetson México</t>
        </is>
      </c>
      <c r="AO112" s="59" t="n">
        <v>0</v>
      </c>
      <c r="AP112" s="59" t="n"/>
      <c r="AQ112" s="59" t="n"/>
      <c r="AR112" s="155" t="n"/>
    </row>
    <row r="113">
      <c r="A113" s="50" t="inlineStr">
        <is>
          <t>12020000101018325</t>
        </is>
      </c>
      <c r="B113" s="51" t="inlineStr">
        <is>
          <t>111010</t>
        </is>
      </c>
      <c r="C113" s="156" t="inlineStr">
        <is>
          <t>Multimarca</t>
        </is>
      </c>
      <c r="D113" s="156" t="inlineStr">
        <is>
          <t>12-020-BS000-10-1018</t>
        </is>
      </c>
      <c r="E113" s="156" t="inlineStr">
        <is>
          <t>12-020-BS000-10-1018-325</t>
        </is>
      </c>
      <c r="F113" s="156" t="inlineStr">
        <is>
          <t>32.5</t>
        </is>
      </c>
      <c r="G113" s="156" t="inlineStr">
        <is>
          <t>14.5</t>
        </is>
      </c>
      <c r="H113" s="156" t="inlineStr">
        <is>
          <t>Stetson</t>
        </is>
      </c>
      <c r="I113" s="156" t="inlineStr">
        <is>
          <t>Bota Cocodrilo Cognac</t>
        </is>
      </c>
      <c r="J113" s="156" t="inlineStr">
        <is>
          <t>Calzado</t>
        </is>
      </c>
      <c r="K113" s="156" t="inlineStr">
        <is>
          <t>Botas</t>
        </is>
      </c>
      <c r="L113" s="156" t="inlineStr">
        <is>
          <t>Hombre</t>
        </is>
      </c>
      <c r="M113" s="156" t="inlineStr">
        <is>
          <t>Stetson</t>
        </is>
      </c>
      <c r="N113" s="156" t="inlineStr">
        <is>
          <t>SS26</t>
        </is>
      </c>
      <c r="O113" s="156" t="inlineStr">
        <is>
          <t>Seasonal</t>
        </is>
      </c>
      <c r="P113" s="156" t="inlineStr">
        <is>
          <t>Cafe</t>
        </is>
      </c>
      <c r="Q113" s="156" t="n"/>
      <c r="R113" s="156" t="inlineStr">
        <is>
          <t>Punta Redonda Ancha</t>
        </is>
      </c>
      <c r="S113" s="156" t="inlineStr">
        <is>
          <t>Piel de cocodrilo</t>
        </is>
      </c>
      <c r="T113" s="156" t="inlineStr">
        <is>
          <t>Bota Caballero Piel de cocodrilo Cognac Punta Redonda Ancha</t>
        </is>
      </c>
      <c r="U113" s="156" t="inlineStr">
        <is>
          <t>México</t>
        </is>
      </c>
      <c r="V113" s="156" t="inlineStr">
        <is>
          <t>PRS</t>
        </is>
      </c>
      <c r="W113" s="51" t="inlineStr">
        <is>
          <t>53111501</t>
        </is>
      </c>
      <c r="X113" s="156" t="n"/>
      <c r="Y113" s="54" t="n">
        <v>4241.675</v>
      </c>
      <c r="Z113" s="54" t="n">
        <v>24137.93103</v>
      </c>
      <c r="AA113" s="55">
        <f>IF(AND(A113="", B113="", E113=""), "", IF(AB113="", "Válido", IF((LEN(AB113)-LEN(SUBSTITUTE(AB113,"; ","")))/2+1&gt;(LEN(AB113)-LEN(SUBSTITUTE(AB113,"[Aviso]","")))/7, "Con Incidencias", "Válido")))</f>
        <v/>
      </c>
      <c r="AB113" s="56">
        <f>IF(AND(A113="", B113="", E113=""), "", TEXTJOIN("; ", TRUE, IF(OR(TRIM(A113&amp;"")="", ISNUMBER(SEARCH("FALTA", A113))), "UPC faltante/inválido", ""), IF(AND(A113&lt;&gt;"", IFERROR(_xlfn.XMATCH(A113,$A$2:$A$2509,0,1)&lt;&gt;_xlfn.XMATCH(A113,$A$2:$A$2509,0,-1),FALSE)), "Código de barras duplicado", ""), IF(AND(E113&lt;&gt;"", COUNTIF($E$2:$E$2509, E113)&gt;1), "SKU duplicado", ""), IF(OR(J113="", J113=""), "[Aviso] División no capturada ()", IF(ISNA(MATCH(J113, Criterios!$A$123:$A$126, 0)), "División no válida", "")), IF(OR(K113="", K113=""), "[Aviso] Categoría no capturada ()", IF(ISNA(MATCH(K113, Criterios!$A$81:$A$120, 0)), "Categoría no válida", IF(AND(J113&lt;&gt;"", J113&lt;&gt;"", J113&lt;&gt;VLOOKUP(K113, Criterios!$A$81:$B$120, 2, FALSE)), "División no coincide con Categoría", ""))), IF(OR(L113="", L113=""), "[Aviso] Género no capturado ()", IF(ISNA(MATCH(L113, Criterios!$B$123:$B$127, 0)), "Género no válido", "")), IF(OR(N113="", N113=""), "[Aviso] Temporada no capturada ()", IF(ISNA(MATCH(N113, Criterios!$C$123:$C$128, 0)), "Temporada no válida", "")), IF(OR(O113="", O113=""), "[Aviso] Ciclo de vida no capturado ()", IF(ISNA(MATCH(O113, Criterios!$D$123:$D$124, 0)), "Ciclo de vida no válido", ""))))</f>
        <v/>
      </c>
      <c r="AC113" s="56" t="n"/>
      <c r="AD113" s="51" t="n">
        <v>0</v>
      </c>
      <c r="AE113" s="156" t="n"/>
      <c r="AF113" s="51" t="n">
        <v>0</v>
      </c>
      <c r="AG113" s="156" t="inlineStr">
        <is>
          <t>Catálogo existente</t>
        </is>
      </c>
      <c r="AH1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3" s="156" t="inlineStr">
        <is>
          <t>No</t>
        </is>
      </c>
      <c r="AJ113" s="156" t="n"/>
      <c r="AK113" s="155" t="inlineStr">
        <is>
          <t>Criterios: I [Q]; G1522_Extraccion_Articulos_NetSuite_2026-09-30.xlsx: fila 58685 [R] | Shopify Stetson: producto 15054564327787 / variante 53350551355755</t>
        </is>
      </c>
      <c r="AL113" s="58" t="n">
        <v>4241.675</v>
      </c>
      <c r="AM113" s="58" t="n">
        <v>24137.93103</v>
      </c>
      <c r="AN113" s="155" t="inlineStr">
        <is>
          <t>Shopify Stetson México</t>
        </is>
      </c>
      <c r="AO113" s="59" t="n">
        <v>0</v>
      </c>
      <c r="AP113" s="59" t="n"/>
      <c r="AQ113" s="59" t="n"/>
      <c r="AR113" s="155" t="n"/>
    </row>
    <row r="114">
      <c r="A114" s="50" t="inlineStr">
        <is>
          <t>12020001101000025</t>
        </is>
      </c>
      <c r="B114" s="51" t="inlineStr">
        <is>
          <t>111011</t>
        </is>
      </c>
      <c r="C114" s="156" t="inlineStr">
        <is>
          <t>Multimarca</t>
        </is>
      </c>
      <c r="D114" s="156" t="inlineStr">
        <is>
          <t>12-020-BS001-10-1000</t>
        </is>
      </c>
      <c r="E114" s="156" t="inlineStr">
        <is>
          <t>12-020-BS001-10-1000-025</t>
        </is>
      </c>
      <c r="F114" s="156" t="inlineStr">
        <is>
          <t>25</t>
        </is>
      </c>
      <c r="G114" s="156" t="inlineStr">
        <is>
          <t>7</t>
        </is>
      </c>
      <c r="H114" s="156" t="inlineStr">
        <is>
          <t>Stetson</t>
        </is>
      </c>
      <c r="I114" s="156" t="inlineStr">
        <is>
          <t>Bota Piel Negro</t>
        </is>
      </c>
      <c r="J114" s="156" t="inlineStr">
        <is>
          <t>Calzado</t>
        </is>
      </c>
      <c r="K114" s="156" t="inlineStr">
        <is>
          <t>Botas</t>
        </is>
      </c>
      <c r="L114" s="156" t="inlineStr">
        <is>
          <t>Hombre</t>
        </is>
      </c>
      <c r="M114" s="156" t="inlineStr">
        <is>
          <t>Stetson</t>
        </is>
      </c>
      <c r="N114" s="156" t="inlineStr">
        <is>
          <t>SS26</t>
        </is>
      </c>
      <c r="O114" s="156" t="inlineStr">
        <is>
          <t>Seasonal</t>
        </is>
      </c>
      <c r="P114" s="156" t="inlineStr">
        <is>
          <t>Negro</t>
        </is>
      </c>
      <c r="Q114" s="156" t="n"/>
      <c r="R114" s="156" t="inlineStr">
        <is>
          <t>Punta Redonda Ancha</t>
        </is>
      </c>
      <c r="S114" s="156" t="inlineStr">
        <is>
          <t>Piel bovina</t>
        </is>
      </c>
      <c r="T114" s="156" t="inlineStr">
        <is>
          <t>Bota Caballero Piel bovina Boney Negro Punta Redonda Ancha</t>
        </is>
      </c>
      <c r="U114" s="156" t="inlineStr">
        <is>
          <t>México</t>
        </is>
      </c>
      <c r="V114" s="156" t="inlineStr">
        <is>
          <t>PRS</t>
        </is>
      </c>
      <c r="W114" s="51" t="inlineStr">
        <is>
          <t>53111501</t>
        </is>
      </c>
      <c r="X114" s="156" t="n"/>
      <c r="Y114" s="54" t="n">
        <v>776</v>
      </c>
      <c r="Z114" s="54" t="n">
        <v>4482.758621</v>
      </c>
      <c r="AA114" s="55">
        <f>IF(AND(A114="", B114="", E114=""), "", IF(AB114="", "Válido", IF((LEN(AB114)-LEN(SUBSTITUTE(AB114,"; ","")))/2+1&gt;(LEN(AB114)-LEN(SUBSTITUTE(AB114,"[Aviso]","")))/7, "Con Incidencias", "Válido")))</f>
        <v/>
      </c>
      <c r="AB114" s="56">
        <f>IF(AND(A114="", B114="", E114=""), "", TEXTJOIN("; ", TRUE, IF(OR(TRIM(A114&amp;"")="", ISNUMBER(SEARCH("FALTA", A114))), "UPC faltante/inválido", ""), IF(AND(A114&lt;&gt;"", IFERROR(_xlfn.XMATCH(A114,$A$2:$A$2509,0,1)&lt;&gt;_xlfn.XMATCH(A114,$A$2:$A$2509,0,-1),FALSE)), "Código de barras duplicado", ""), IF(AND(E114&lt;&gt;"", COUNTIF($E$2:$E$2509, E114)&gt;1), "SKU duplicado", ""), IF(OR(J114="", J114=""), "[Aviso] División no capturada ()", IF(ISNA(MATCH(J114, Criterios!$A$123:$A$126, 0)), "División no válida", "")), IF(OR(K114="", K114=""), "[Aviso] Categoría no capturada ()", IF(ISNA(MATCH(K114, Criterios!$A$81:$A$120, 0)), "Categoría no válida", IF(AND(J114&lt;&gt;"", J114&lt;&gt;"", J114&lt;&gt;VLOOKUP(K114, Criterios!$A$81:$B$120, 2, FALSE)), "División no coincide con Categoría", ""))), IF(OR(L114="", L114=""), "[Aviso] Género no capturado ()", IF(ISNA(MATCH(L114, Criterios!$B$123:$B$127, 0)), "Género no válido", "")), IF(OR(N114="", N114=""), "[Aviso] Temporada no capturada ()", IF(ISNA(MATCH(N114, Criterios!$C$123:$C$128, 0)), "Temporada no válida", "")), IF(OR(O114="", O114=""), "[Aviso] Ciclo de vida no capturado ()", IF(ISNA(MATCH(O114, Criterios!$D$123:$D$124, 0)), "Ciclo de vida no válido", ""))))</f>
        <v/>
      </c>
      <c r="AC114" s="56" t="n"/>
      <c r="AD114" s="51" t="n">
        <v>0</v>
      </c>
      <c r="AE114" s="156" t="n"/>
      <c r="AF114" s="51" t="n">
        <v>0</v>
      </c>
      <c r="AG114" s="156" t="inlineStr">
        <is>
          <t>Catálogo existente</t>
        </is>
      </c>
      <c r="AH1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4" s="156" t="inlineStr">
        <is>
          <t>No</t>
        </is>
      </c>
      <c r="AJ114" s="156" t="n"/>
      <c r="AK114" s="155" t="inlineStr">
        <is>
          <t>Criterios: I [Q]; G1522_Extraccion_Articulos_NetSuite_2026-09-30.xlsx: fila 58686 [R] | Shopify Stetson: producto 15054563737963 / variante 53350541427051</t>
        </is>
      </c>
      <c r="AL114" s="58" t="n">
        <v>776</v>
      </c>
      <c r="AM114" s="58" t="n">
        <v>4482.758621</v>
      </c>
      <c r="AN114" s="155" t="inlineStr">
        <is>
          <t>Shopify Stetson México</t>
        </is>
      </c>
      <c r="AO114" s="59" t="n">
        <v>0</v>
      </c>
      <c r="AP114" s="59" t="n"/>
      <c r="AQ114" s="59" t="n"/>
      <c r="AR114" s="155" t="n"/>
    </row>
    <row r="115">
      <c r="A115" s="50" t="inlineStr">
        <is>
          <t>12020001101000026</t>
        </is>
      </c>
      <c r="B115" s="51" t="inlineStr">
        <is>
          <t>111012</t>
        </is>
      </c>
      <c r="C115" s="156" t="inlineStr">
        <is>
          <t>Multimarca</t>
        </is>
      </c>
      <c r="D115" s="156" t="inlineStr">
        <is>
          <t>12-020-BS001-10-1000</t>
        </is>
      </c>
      <c r="E115" s="156" t="inlineStr">
        <is>
          <t>12-020-BS001-10-1000-026</t>
        </is>
      </c>
      <c r="F115" s="156" t="inlineStr">
        <is>
          <t>26</t>
        </is>
      </c>
      <c r="G115" s="156" t="inlineStr">
        <is>
          <t>8</t>
        </is>
      </c>
      <c r="H115" s="156" t="inlineStr">
        <is>
          <t>Stetson</t>
        </is>
      </c>
      <c r="I115" s="156" t="inlineStr">
        <is>
          <t>Bota Piel Negro</t>
        </is>
      </c>
      <c r="J115" s="156" t="inlineStr">
        <is>
          <t>Calzado</t>
        </is>
      </c>
      <c r="K115" s="156" t="inlineStr">
        <is>
          <t>Botas</t>
        </is>
      </c>
      <c r="L115" s="156" t="inlineStr">
        <is>
          <t>Hombre</t>
        </is>
      </c>
      <c r="M115" s="156" t="inlineStr">
        <is>
          <t>Stetson</t>
        </is>
      </c>
      <c r="N115" s="156" t="inlineStr">
        <is>
          <t>SS26</t>
        </is>
      </c>
      <c r="O115" s="156" t="inlineStr">
        <is>
          <t>Seasonal</t>
        </is>
      </c>
      <c r="P115" s="156" t="inlineStr">
        <is>
          <t>Negro</t>
        </is>
      </c>
      <c r="Q115" s="156" t="n"/>
      <c r="R115" s="156" t="inlineStr">
        <is>
          <t>Punta Redonda Ancha</t>
        </is>
      </c>
      <c r="S115" s="156" t="inlineStr">
        <is>
          <t>Piel bovina</t>
        </is>
      </c>
      <c r="T115" s="156" t="inlineStr">
        <is>
          <t>Bota Caballero Piel bovina Boney Negro Punta Redonda Ancha</t>
        </is>
      </c>
      <c r="U115" s="156" t="inlineStr">
        <is>
          <t>México</t>
        </is>
      </c>
      <c r="V115" s="156" t="inlineStr">
        <is>
          <t>PRS</t>
        </is>
      </c>
      <c r="W115" s="51" t="inlineStr">
        <is>
          <t>53111501</t>
        </is>
      </c>
      <c r="X115" s="156" t="n"/>
      <c r="Y115" s="54" t="n">
        <v>776</v>
      </c>
      <c r="Z115" s="54" t="n">
        <v>4482.758621</v>
      </c>
      <c r="AA115" s="55">
        <f>IF(AND(A115="", B115="", E115=""), "", IF(AB115="", "Válido", IF((LEN(AB115)-LEN(SUBSTITUTE(AB115,"; ","")))/2+1&gt;(LEN(AB115)-LEN(SUBSTITUTE(AB115,"[Aviso]","")))/7, "Con Incidencias", "Válido")))</f>
        <v/>
      </c>
      <c r="AB115" s="56">
        <f>IF(AND(A115="", B115="", E115=""), "", TEXTJOIN("; ", TRUE, IF(OR(TRIM(A115&amp;"")="", ISNUMBER(SEARCH("FALTA", A115))), "UPC faltante/inválido", ""), IF(AND(A115&lt;&gt;"", IFERROR(_xlfn.XMATCH(A115,$A$2:$A$2509,0,1)&lt;&gt;_xlfn.XMATCH(A115,$A$2:$A$2509,0,-1),FALSE)), "Código de barras duplicado", ""), IF(AND(E115&lt;&gt;"", COUNTIF($E$2:$E$2509, E115)&gt;1), "SKU duplicado", ""), IF(OR(J115="", J115=""), "[Aviso] División no capturada ()", IF(ISNA(MATCH(J115, Criterios!$A$123:$A$126, 0)), "División no válida", "")), IF(OR(K115="", K115=""), "[Aviso] Categoría no capturada ()", IF(ISNA(MATCH(K115, Criterios!$A$81:$A$120, 0)), "Categoría no válida", IF(AND(J115&lt;&gt;"", J115&lt;&gt;"", J115&lt;&gt;VLOOKUP(K115, Criterios!$A$81:$B$120, 2, FALSE)), "División no coincide con Categoría", ""))), IF(OR(L115="", L115=""), "[Aviso] Género no capturado ()", IF(ISNA(MATCH(L115, Criterios!$B$123:$B$127, 0)), "Género no válido", "")), IF(OR(N115="", N115=""), "[Aviso] Temporada no capturada ()", IF(ISNA(MATCH(N115, Criterios!$C$123:$C$128, 0)), "Temporada no válida", "")), IF(OR(O115="", O115=""), "[Aviso] Ciclo de vida no capturado ()", IF(ISNA(MATCH(O115, Criterios!$D$123:$D$124, 0)), "Ciclo de vida no válido", ""))))</f>
        <v/>
      </c>
      <c r="AC115" s="56" t="n"/>
      <c r="AD115" s="51" t="n">
        <v>-1</v>
      </c>
      <c r="AE115" s="156" t="n"/>
      <c r="AF115" s="51" t="n">
        <v>0</v>
      </c>
      <c r="AG115" s="156" t="inlineStr">
        <is>
          <t>Catálogo existente</t>
        </is>
      </c>
      <c r="AH11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5" s="156" t="inlineStr">
        <is>
          <t>Sí</t>
        </is>
      </c>
      <c r="AJ115" s="156" t="inlineStr">
        <is>
          <t>STETSON AMERICAS (-1)</t>
        </is>
      </c>
      <c r="AK115" s="155" t="inlineStr">
        <is>
          <t>Criterios: I [Q]; G1522_Extraccion_Articulos_NetSuite_2026-09-30.xlsx: fila 58687 [R] | Shopify Stetson: producto 15054563737963 / variante 53350541492587</t>
        </is>
      </c>
      <c r="AL115" s="58" t="n">
        <v>776</v>
      </c>
      <c r="AM115" s="58" t="n">
        <v>4482.758621</v>
      </c>
      <c r="AN115" s="155" t="inlineStr">
        <is>
          <t>Shopify Stetson México</t>
        </is>
      </c>
      <c r="AO115" s="59" t="n">
        <v>0</v>
      </c>
      <c r="AP115" s="59" t="n"/>
      <c r="AQ115" s="59" t="n"/>
      <c r="AR115" s="155" t="n"/>
    </row>
    <row r="116">
      <c r="A116" s="50" t="inlineStr">
        <is>
          <t>12020001101000027</t>
        </is>
      </c>
      <c r="B116" s="51" t="inlineStr">
        <is>
          <t>111013</t>
        </is>
      </c>
      <c r="C116" s="156" t="inlineStr">
        <is>
          <t>Multimarca</t>
        </is>
      </c>
      <c r="D116" s="156" t="inlineStr">
        <is>
          <t>12-020-BS001-10-1000</t>
        </is>
      </c>
      <c r="E116" s="156" t="inlineStr">
        <is>
          <t>12-020-BS001-10-1000-027</t>
        </is>
      </c>
      <c r="F116" s="156" t="inlineStr">
        <is>
          <t>27</t>
        </is>
      </c>
      <c r="G116" s="156" t="inlineStr">
        <is>
          <t>9</t>
        </is>
      </c>
      <c r="H116" s="156" t="inlineStr">
        <is>
          <t>Stetson</t>
        </is>
      </c>
      <c r="I116" s="156" t="inlineStr">
        <is>
          <t>Bota Piel Negro</t>
        </is>
      </c>
      <c r="J116" s="156" t="inlineStr">
        <is>
          <t>Calzado</t>
        </is>
      </c>
      <c r="K116" s="156" t="inlineStr">
        <is>
          <t>Botas</t>
        </is>
      </c>
      <c r="L116" s="156" t="inlineStr">
        <is>
          <t>Hombre</t>
        </is>
      </c>
      <c r="M116" s="156" t="inlineStr">
        <is>
          <t>Stetson</t>
        </is>
      </c>
      <c r="N116" s="156" t="inlineStr">
        <is>
          <t>SS26</t>
        </is>
      </c>
      <c r="O116" s="156" t="inlineStr">
        <is>
          <t>Seasonal</t>
        </is>
      </c>
      <c r="P116" s="156" t="inlineStr">
        <is>
          <t>Negro</t>
        </is>
      </c>
      <c r="Q116" s="156" t="n"/>
      <c r="R116" s="156" t="inlineStr">
        <is>
          <t>Punta Redonda Ancha</t>
        </is>
      </c>
      <c r="S116" s="156" t="inlineStr">
        <is>
          <t>Piel bovina</t>
        </is>
      </c>
      <c r="T116" s="156" t="inlineStr">
        <is>
          <t>Bota Caballero Piel bovina Boney Negro Punta Redonda Ancha</t>
        </is>
      </c>
      <c r="U116" s="156" t="inlineStr">
        <is>
          <t>México</t>
        </is>
      </c>
      <c r="V116" s="156" t="inlineStr">
        <is>
          <t>PRS</t>
        </is>
      </c>
      <c r="W116" s="51" t="inlineStr">
        <is>
          <t>53111501</t>
        </is>
      </c>
      <c r="X116" s="156" t="n"/>
      <c r="Y116" s="54" t="n">
        <v>776</v>
      </c>
      <c r="Z116" s="54" t="n">
        <v>4482.758621</v>
      </c>
      <c r="AA116" s="55">
        <f>IF(AND(A116="", B116="", E116=""), "", IF(AB116="", "Válido", IF((LEN(AB116)-LEN(SUBSTITUTE(AB116,"; ","")))/2+1&gt;(LEN(AB116)-LEN(SUBSTITUTE(AB116,"[Aviso]","")))/7, "Con Incidencias", "Válido")))</f>
        <v/>
      </c>
      <c r="AB116" s="56">
        <f>IF(AND(A116="", B116="", E116=""), "", TEXTJOIN("; ", TRUE, IF(OR(TRIM(A116&amp;"")="", ISNUMBER(SEARCH("FALTA", A116))), "UPC faltante/inválido", ""), IF(AND(A116&lt;&gt;"", IFERROR(_xlfn.XMATCH(A116,$A$2:$A$2509,0,1)&lt;&gt;_xlfn.XMATCH(A116,$A$2:$A$2509,0,-1),FALSE)), "Código de barras duplicado", ""), IF(AND(E116&lt;&gt;"", COUNTIF($E$2:$E$2509, E116)&gt;1), "SKU duplicado", ""), IF(OR(J116="", J116=""), "[Aviso] División no capturada ()", IF(ISNA(MATCH(J116, Criterios!$A$123:$A$126, 0)), "División no válida", "")), IF(OR(K116="", K116=""), "[Aviso] Categoría no capturada ()", IF(ISNA(MATCH(K116, Criterios!$A$81:$A$120, 0)), "Categoría no válida", IF(AND(J116&lt;&gt;"", J116&lt;&gt;"", J116&lt;&gt;VLOOKUP(K116, Criterios!$A$81:$B$120, 2, FALSE)), "División no coincide con Categoría", ""))), IF(OR(L116="", L116=""), "[Aviso] Género no capturado ()", IF(ISNA(MATCH(L116, Criterios!$B$123:$B$127, 0)), "Género no válido", "")), IF(OR(N116="", N116=""), "[Aviso] Temporada no capturada ()", IF(ISNA(MATCH(N116, Criterios!$C$123:$C$128, 0)), "Temporada no válida", "")), IF(OR(O116="", O116=""), "[Aviso] Ciclo de vida no capturado ()", IF(ISNA(MATCH(O116, Criterios!$D$123:$D$124, 0)), "Ciclo de vida no válido", ""))))</f>
        <v/>
      </c>
      <c r="AC116" s="56" t="n"/>
      <c r="AD116" s="51" t="n">
        <v>-1</v>
      </c>
      <c r="AE116" s="156" t="n"/>
      <c r="AF116" s="51" t="n">
        <v>0</v>
      </c>
      <c r="AG116" s="156" t="inlineStr">
        <is>
          <t>Catálogo existente</t>
        </is>
      </c>
      <c r="AH11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6" s="156" t="inlineStr">
        <is>
          <t>Sí</t>
        </is>
      </c>
      <c r="AJ116" s="156" t="inlineStr">
        <is>
          <t>STETSON AMERICAS (-1)</t>
        </is>
      </c>
      <c r="AK116" s="155" t="inlineStr">
        <is>
          <t>Criterios: I [Q]; G1522_Extraccion_Articulos_NetSuite_2026-09-30.xlsx: fila 58688 [R] | Shopify Stetson: producto 15054563737963 / variante 53350541558123</t>
        </is>
      </c>
      <c r="AL116" s="58" t="n">
        <v>776</v>
      </c>
      <c r="AM116" s="58" t="n">
        <v>4482.758621</v>
      </c>
      <c r="AN116" s="155" t="inlineStr">
        <is>
          <t>Shopify Stetson México</t>
        </is>
      </c>
      <c r="AO116" s="59" t="n">
        <v>1</v>
      </c>
      <c r="AP116" s="59" t="n"/>
      <c r="AQ116" s="59" t="n"/>
      <c r="AR116" s="155" t="inlineStr">
        <is>
          <t>Shopify Stetson México › Stetson Americas: 1</t>
        </is>
      </c>
    </row>
    <row r="117">
      <c r="A117" s="50" t="inlineStr">
        <is>
          <t>12020001101000028</t>
        </is>
      </c>
      <c r="B117" s="51" t="inlineStr">
        <is>
          <t>111014</t>
        </is>
      </c>
      <c r="C117" s="156" t="inlineStr">
        <is>
          <t>Multimarca</t>
        </is>
      </c>
      <c r="D117" s="156" t="inlineStr">
        <is>
          <t>12-020-BS001-10-1000</t>
        </is>
      </c>
      <c r="E117" s="156" t="inlineStr">
        <is>
          <t>12-020-BS001-10-1000-028</t>
        </is>
      </c>
      <c r="F117" s="156" t="inlineStr">
        <is>
          <t>28</t>
        </is>
      </c>
      <c r="G117" s="156" t="inlineStr">
        <is>
          <t>10</t>
        </is>
      </c>
      <c r="H117" s="156" t="inlineStr">
        <is>
          <t>Stetson</t>
        </is>
      </c>
      <c r="I117" s="156" t="inlineStr">
        <is>
          <t>Bota Piel Negro</t>
        </is>
      </c>
      <c r="J117" s="156" t="inlineStr">
        <is>
          <t>Calzado</t>
        </is>
      </c>
      <c r="K117" s="156" t="inlineStr">
        <is>
          <t>Botas</t>
        </is>
      </c>
      <c r="L117" s="156" t="inlineStr">
        <is>
          <t>Hombre</t>
        </is>
      </c>
      <c r="M117" s="156" t="inlineStr">
        <is>
          <t>Stetson</t>
        </is>
      </c>
      <c r="N117" s="156" t="inlineStr">
        <is>
          <t>SS26</t>
        </is>
      </c>
      <c r="O117" s="156" t="inlineStr">
        <is>
          <t>Seasonal</t>
        </is>
      </c>
      <c r="P117" s="156" t="inlineStr">
        <is>
          <t>Negro</t>
        </is>
      </c>
      <c r="Q117" s="156" t="n"/>
      <c r="R117" s="156" t="inlineStr">
        <is>
          <t>Punta Redonda Ancha</t>
        </is>
      </c>
      <c r="S117" s="156" t="inlineStr">
        <is>
          <t>Piel bovina</t>
        </is>
      </c>
      <c r="T117" s="156" t="inlineStr">
        <is>
          <t>Bota Caballero Piel bovina Boney Negro Punta Redonda Ancha</t>
        </is>
      </c>
      <c r="U117" s="156" t="inlineStr">
        <is>
          <t>México</t>
        </is>
      </c>
      <c r="V117" s="156" t="inlineStr">
        <is>
          <t>PRS</t>
        </is>
      </c>
      <c r="W117" s="51" t="inlineStr">
        <is>
          <t>53111501</t>
        </is>
      </c>
      <c r="X117" s="156" t="n"/>
      <c r="Y117" s="54" t="n">
        <v>776</v>
      </c>
      <c r="Z117" s="54" t="n">
        <v>4482.758621</v>
      </c>
      <c r="AA117" s="55">
        <f>IF(AND(A117="", B117="", E117=""), "", IF(AB117="", "Válido", IF((LEN(AB117)-LEN(SUBSTITUTE(AB117,"; ","")))/2+1&gt;(LEN(AB117)-LEN(SUBSTITUTE(AB117,"[Aviso]","")))/7, "Con Incidencias", "Válido")))</f>
        <v/>
      </c>
      <c r="AB117" s="56">
        <f>IF(AND(A117="", B117="", E117=""), "", TEXTJOIN("; ", TRUE, IF(OR(TRIM(A117&amp;"")="", ISNUMBER(SEARCH("FALTA", A117))), "UPC faltante/inválido", ""), IF(AND(A117&lt;&gt;"", IFERROR(_xlfn.XMATCH(A117,$A$2:$A$2509,0,1)&lt;&gt;_xlfn.XMATCH(A117,$A$2:$A$2509,0,-1),FALSE)), "Código de barras duplicado", ""), IF(AND(E117&lt;&gt;"", COUNTIF($E$2:$E$2509, E117)&gt;1), "SKU duplicado", ""), IF(OR(J117="", J117=""), "[Aviso] División no capturada ()", IF(ISNA(MATCH(J117, Criterios!$A$123:$A$126, 0)), "División no válida", "")), IF(OR(K117="", K117=""), "[Aviso] Categoría no capturada ()", IF(ISNA(MATCH(K117, Criterios!$A$81:$A$120, 0)), "Categoría no válida", IF(AND(J117&lt;&gt;"", J117&lt;&gt;"", J117&lt;&gt;VLOOKUP(K117, Criterios!$A$81:$B$120, 2, FALSE)), "División no coincide con Categoría", ""))), IF(OR(L117="", L117=""), "[Aviso] Género no capturado ()", IF(ISNA(MATCH(L117, Criterios!$B$123:$B$127, 0)), "Género no válido", "")), IF(OR(N117="", N117=""), "[Aviso] Temporada no capturada ()", IF(ISNA(MATCH(N117, Criterios!$C$123:$C$128, 0)), "Temporada no válida", "")), IF(OR(O117="", O117=""), "[Aviso] Ciclo de vida no capturado ()", IF(ISNA(MATCH(O117, Criterios!$D$123:$D$124, 0)), "Ciclo de vida no válido", ""))))</f>
        <v/>
      </c>
      <c r="AC117" s="56" t="n"/>
      <c r="AD117" s="51" t="n">
        <v>-2</v>
      </c>
      <c r="AE117" s="156" t="n"/>
      <c r="AF117" s="51" t="n">
        <v>0</v>
      </c>
      <c r="AG117" s="156" t="inlineStr">
        <is>
          <t>Catálogo existente</t>
        </is>
      </c>
      <c r="AH11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7" s="156" t="inlineStr">
        <is>
          <t>Sí</t>
        </is>
      </c>
      <c r="AJ117" s="156" t="inlineStr">
        <is>
          <t>STETSON AMERICAS (-2)</t>
        </is>
      </c>
      <c r="AK117" s="155" t="inlineStr">
        <is>
          <t>Criterios: I [Q]; G1522_Extraccion_Articulos_NetSuite_2026-09-30.xlsx: fila 58689 [R] | Shopify Stetson: producto 15054563737963 / variante 53350541623659</t>
        </is>
      </c>
      <c r="AL117" s="58" t="n">
        <v>776</v>
      </c>
      <c r="AM117" s="58" t="n">
        <v>4482.758621</v>
      </c>
      <c r="AN117" s="155" t="inlineStr">
        <is>
          <t>Shopify Stetson México</t>
        </is>
      </c>
      <c r="AO117" s="59" t="n">
        <v>0</v>
      </c>
      <c r="AP117" s="59" t="n"/>
      <c r="AQ117" s="59" t="n"/>
      <c r="AR117" s="155" t="n"/>
    </row>
    <row r="118">
      <c r="A118" s="50" t="inlineStr">
        <is>
          <t>12020001101000029</t>
        </is>
      </c>
      <c r="B118" s="51" t="inlineStr">
        <is>
          <t>111015</t>
        </is>
      </c>
      <c r="C118" s="156" t="inlineStr">
        <is>
          <t>Multimarca</t>
        </is>
      </c>
      <c r="D118" s="156" t="inlineStr">
        <is>
          <t>12-020-BS001-10-1000</t>
        </is>
      </c>
      <c r="E118" s="156" t="inlineStr">
        <is>
          <t>12-020-BS001-10-1000-029</t>
        </is>
      </c>
      <c r="F118" s="156" t="inlineStr">
        <is>
          <t>29</t>
        </is>
      </c>
      <c r="G118" s="156" t="inlineStr">
        <is>
          <t>11</t>
        </is>
      </c>
      <c r="H118" s="156" t="inlineStr">
        <is>
          <t>Stetson</t>
        </is>
      </c>
      <c r="I118" s="156" t="inlineStr">
        <is>
          <t>Bota Piel Negro</t>
        </is>
      </c>
      <c r="J118" s="156" t="inlineStr">
        <is>
          <t>Calzado</t>
        </is>
      </c>
      <c r="K118" s="156" t="inlineStr">
        <is>
          <t>Botas</t>
        </is>
      </c>
      <c r="L118" s="156" t="inlineStr">
        <is>
          <t>Hombre</t>
        </is>
      </c>
      <c r="M118" s="156" t="inlineStr">
        <is>
          <t>Stetson</t>
        </is>
      </c>
      <c r="N118" s="156" t="inlineStr">
        <is>
          <t>SS26</t>
        </is>
      </c>
      <c r="O118" s="156" t="inlineStr">
        <is>
          <t>Seasonal</t>
        </is>
      </c>
      <c r="P118" s="156" t="inlineStr">
        <is>
          <t>Negro</t>
        </is>
      </c>
      <c r="Q118" s="156" t="n"/>
      <c r="R118" s="156" t="inlineStr">
        <is>
          <t>Punta Redonda Ancha</t>
        </is>
      </c>
      <c r="S118" s="156" t="inlineStr">
        <is>
          <t>Piel bovina</t>
        </is>
      </c>
      <c r="T118" s="156" t="inlineStr">
        <is>
          <t>Bota Caballero Piel bovina Boney Negro Punta Redonda Ancha</t>
        </is>
      </c>
      <c r="U118" s="156" t="inlineStr">
        <is>
          <t>México</t>
        </is>
      </c>
      <c r="V118" s="156" t="inlineStr">
        <is>
          <t>PRS</t>
        </is>
      </c>
      <c r="W118" s="51" t="inlineStr">
        <is>
          <t>53111501</t>
        </is>
      </c>
      <c r="X118" s="156" t="n"/>
      <c r="Y118" s="54" t="n">
        <v>776</v>
      </c>
      <c r="Z118" s="54" t="n">
        <v>4482.758621</v>
      </c>
      <c r="AA118" s="55">
        <f>IF(AND(A118="", B118="", E118=""), "", IF(AB118="", "Válido", IF((LEN(AB118)-LEN(SUBSTITUTE(AB118,"; ","")))/2+1&gt;(LEN(AB118)-LEN(SUBSTITUTE(AB118,"[Aviso]","")))/7, "Con Incidencias", "Válido")))</f>
        <v/>
      </c>
      <c r="AB118" s="56">
        <f>IF(AND(A118="", B118="", E118=""), "", TEXTJOIN("; ", TRUE, IF(OR(TRIM(A118&amp;"")="", ISNUMBER(SEARCH("FALTA", A118))), "UPC faltante/inválido", ""), IF(AND(A118&lt;&gt;"", IFERROR(_xlfn.XMATCH(A118,$A$2:$A$2509,0,1)&lt;&gt;_xlfn.XMATCH(A118,$A$2:$A$2509,0,-1),FALSE)), "Código de barras duplicado", ""), IF(AND(E118&lt;&gt;"", COUNTIF($E$2:$E$2509, E118)&gt;1), "SKU duplicado", ""), IF(OR(J118="", J118=""), "[Aviso] División no capturada ()", IF(ISNA(MATCH(J118, Criterios!$A$123:$A$126, 0)), "División no válida", "")), IF(OR(K118="", K118=""), "[Aviso] Categoría no capturada ()", IF(ISNA(MATCH(K118, Criterios!$A$81:$A$120, 0)), "Categoría no válida", IF(AND(J118&lt;&gt;"", J118&lt;&gt;"", J118&lt;&gt;VLOOKUP(K118, Criterios!$A$81:$B$120, 2, FALSE)), "División no coincide con Categoría", ""))), IF(OR(L118="", L118=""), "[Aviso] Género no capturado ()", IF(ISNA(MATCH(L118, Criterios!$B$123:$B$127, 0)), "Género no válido", "")), IF(OR(N118="", N118=""), "[Aviso] Temporada no capturada ()", IF(ISNA(MATCH(N118, Criterios!$C$123:$C$128, 0)), "Temporada no válida", "")), IF(OR(O118="", O118=""), "[Aviso] Ciclo de vida no capturado ()", IF(ISNA(MATCH(O118, Criterios!$D$123:$D$124, 0)), "Ciclo de vida no válido", ""))))</f>
        <v/>
      </c>
      <c r="AC118" s="56" t="n"/>
      <c r="AD118" s="51" t="n">
        <v>0</v>
      </c>
      <c r="AE118" s="156" t="n"/>
      <c r="AF118" s="51" t="n">
        <v>0</v>
      </c>
      <c r="AG118" s="156" t="inlineStr">
        <is>
          <t>Catálogo existente</t>
        </is>
      </c>
      <c r="AH1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8" s="156" t="inlineStr">
        <is>
          <t>No</t>
        </is>
      </c>
      <c r="AJ118" s="156" t="n"/>
      <c r="AK118" s="155" t="inlineStr">
        <is>
          <t>Criterios: I [Q]; G1522_Extraccion_Articulos_NetSuite_2026-09-30.xlsx: fila 58690 [R] | Shopify Stetson: producto 15054563737963 / variante 53350541689195</t>
        </is>
      </c>
      <c r="AL118" s="58" t="n">
        <v>776</v>
      </c>
      <c r="AM118" s="58" t="n">
        <v>4482.758621</v>
      </c>
      <c r="AN118" s="155" t="inlineStr">
        <is>
          <t>Shopify Stetson México</t>
        </is>
      </c>
      <c r="AO118" s="59" t="n">
        <v>1</v>
      </c>
      <c r="AP118" s="59" t="n"/>
      <c r="AQ118" s="59" t="n"/>
      <c r="AR118" s="155" t="inlineStr">
        <is>
          <t>Shopify Stetson México › Stetson Americas: 1</t>
        </is>
      </c>
    </row>
    <row r="119">
      <c r="A119" s="50" t="inlineStr">
        <is>
          <t>12020001101000030</t>
        </is>
      </c>
      <c r="B119" s="51" t="inlineStr">
        <is>
          <t>111016</t>
        </is>
      </c>
      <c r="C119" s="156" t="inlineStr">
        <is>
          <t>Multimarca</t>
        </is>
      </c>
      <c r="D119" s="156" t="inlineStr">
        <is>
          <t>12-020-BS001-10-1000</t>
        </is>
      </c>
      <c r="E119" s="156" t="inlineStr">
        <is>
          <t>12-020-BS001-10-1000-030</t>
        </is>
      </c>
      <c r="F119" s="156" t="inlineStr">
        <is>
          <t>30</t>
        </is>
      </c>
      <c r="G119" s="156" t="inlineStr">
        <is>
          <t>12</t>
        </is>
      </c>
      <c r="H119" s="156" t="inlineStr">
        <is>
          <t>Stetson</t>
        </is>
      </c>
      <c r="I119" s="156" t="inlineStr">
        <is>
          <t>Bota Piel Negro</t>
        </is>
      </c>
      <c r="J119" s="156" t="inlineStr">
        <is>
          <t>Calzado</t>
        </is>
      </c>
      <c r="K119" s="156" t="inlineStr">
        <is>
          <t>Botas</t>
        </is>
      </c>
      <c r="L119" s="156" t="inlineStr">
        <is>
          <t>Hombre</t>
        </is>
      </c>
      <c r="M119" s="156" t="inlineStr">
        <is>
          <t>Stetson</t>
        </is>
      </c>
      <c r="N119" s="156" t="inlineStr">
        <is>
          <t>SS26</t>
        </is>
      </c>
      <c r="O119" s="156" t="inlineStr">
        <is>
          <t>Seasonal</t>
        </is>
      </c>
      <c r="P119" s="156" t="inlineStr">
        <is>
          <t>Negro</t>
        </is>
      </c>
      <c r="Q119" s="156" t="n"/>
      <c r="R119" s="156" t="inlineStr">
        <is>
          <t>Punta Redonda Ancha</t>
        </is>
      </c>
      <c r="S119" s="156" t="inlineStr">
        <is>
          <t>Piel bovina</t>
        </is>
      </c>
      <c r="T119" s="156" t="inlineStr">
        <is>
          <t>Bota Caballero Piel bovina Boney Negro Punta Redonda Ancha</t>
        </is>
      </c>
      <c r="U119" s="156" t="inlineStr">
        <is>
          <t>México</t>
        </is>
      </c>
      <c r="V119" s="156" t="inlineStr">
        <is>
          <t>PRS</t>
        </is>
      </c>
      <c r="W119" s="51" t="inlineStr">
        <is>
          <t>53111501</t>
        </is>
      </c>
      <c r="X119" s="156" t="n"/>
      <c r="Y119" s="54" t="n">
        <v>776</v>
      </c>
      <c r="Z119" s="54" t="n">
        <v>4482.758621</v>
      </c>
      <c r="AA119" s="55">
        <f>IF(AND(A119="", B119="", E119=""), "", IF(AB119="", "Válido", IF((LEN(AB119)-LEN(SUBSTITUTE(AB119,"; ","")))/2+1&gt;(LEN(AB119)-LEN(SUBSTITUTE(AB119,"[Aviso]","")))/7, "Con Incidencias", "Válido")))</f>
        <v/>
      </c>
      <c r="AB119" s="56">
        <f>IF(AND(A119="", B119="", E119=""), "", TEXTJOIN("; ", TRUE, IF(OR(TRIM(A119&amp;"")="", ISNUMBER(SEARCH("FALTA", A119))), "UPC faltante/inválido", ""), IF(AND(A119&lt;&gt;"", IFERROR(_xlfn.XMATCH(A119,$A$2:$A$2509,0,1)&lt;&gt;_xlfn.XMATCH(A119,$A$2:$A$2509,0,-1),FALSE)), "Código de barras duplicado", ""), IF(AND(E119&lt;&gt;"", COUNTIF($E$2:$E$2509, E119)&gt;1), "SKU duplicado", ""), IF(OR(J119="", J119=""), "[Aviso] División no capturada ()", IF(ISNA(MATCH(J119, Criterios!$A$123:$A$126, 0)), "División no válida", "")), IF(OR(K119="", K119=""), "[Aviso] Categoría no capturada ()", IF(ISNA(MATCH(K119, Criterios!$A$81:$A$120, 0)), "Categoría no válida", IF(AND(J119&lt;&gt;"", J119&lt;&gt;"", J119&lt;&gt;VLOOKUP(K119, Criterios!$A$81:$B$120, 2, FALSE)), "División no coincide con Categoría", ""))), IF(OR(L119="", L119=""), "[Aviso] Género no capturado ()", IF(ISNA(MATCH(L119, Criterios!$B$123:$B$127, 0)), "Género no válido", "")), IF(OR(N119="", N119=""), "[Aviso] Temporada no capturada ()", IF(ISNA(MATCH(N119, Criterios!$C$123:$C$128, 0)), "Temporada no válida", "")), IF(OR(O119="", O119=""), "[Aviso] Ciclo de vida no capturado ()", IF(ISNA(MATCH(O119, Criterios!$D$123:$D$124, 0)), "Ciclo de vida no válido", ""))))</f>
        <v/>
      </c>
      <c r="AC119" s="56" t="n"/>
      <c r="AD119" s="51" t="n">
        <v>0</v>
      </c>
      <c r="AE119" s="156" t="n"/>
      <c r="AF119" s="51" t="n">
        <v>0</v>
      </c>
      <c r="AG119" s="156" t="inlineStr">
        <is>
          <t>Catálogo existente</t>
        </is>
      </c>
      <c r="AH1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9" s="156" t="inlineStr">
        <is>
          <t>No</t>
        </is>
      </c>
      <c r="AJ119" s="156" t="n"/>
      <c r="AK119" s="155" t="inlineStr">
        <is>
          <t>Criterios: I [Q]; G1522_Extraccion_Articulos_NetSuite_2026-09-30.xlsx: fila 58691 [R] | Shopify Stetson: producto 15054563737963 / variante 53350541754731</t>
        </is>
      </c>
      <c r="AL119" s="58" t="n">
        <v>776</v>
      </c>
      <c r="AM119" s="58" t="n">
        <v>4482.758621</v>
      </c>
      <c r="AN119" s="155" t="inlineStr">
        <is>
          <t>Shopify Stetson México</t>
        </is>
      </c>
      <c r="AO119" s="59" t="n">
        <v>1</v>
      </c>
      <c r="AP119" s="59" t="n"/>
      <c r="AQ119" s="59" t="n"/>
      <c r="AR119" s="155" t="inlineStr">
        <is>
          <t>Shopify Stetson México › Stetson Americas: 1</t>
        </is>
      </c>
    </row>
    <row r="120">
      <c r="A120" s="50" t="inlineStr">
        <is>
          <t>12020001101000031</t>
        </is>
      </c>
      <c r="B120" s="51" t="inlineStr">
        <is>
          <t>111017</t>
        </is>
      </c>
      <c r="C120" s="156" t="inlineStr">
        <is>
          <t>Multimarca</t>
        </is>
      </c>
      <c r="D120" s="156" t="inlineStr">
        <is>
          <t>12-020-BS001-10-1000</t>
        </is>
      </c>
      <c r="E120" s="156" t="inlineStr">
        <is>
          <t>12-020-BS001-10-1000-031</t>
        </is>
      </c>
      <c r="F120" s="156" t="inlineStr">
        <is>
          <t>31</t>
        </is>
      </c>
      <c r="G120" s="156" t="inlineStr">
        <is>
          <t>13</t>
        </is>
      </c>
      <c r="H120" s="156" t="inlineStr">
        <is>
          <t>Stetson</t>
        </is>
      </c>
      <c r="I120" s="156" t="inlineStr">
        <is>
          <t>Bota Piel Negro</t>
        </is>
      </c>
      <c r="J120" s="156" t="inlineStr">
        <is>
          <t>Calzado</t>
        </is>
      </c>
      <c r="K120" s="156" t="inlineStr">
        <is>
          <t>Botas</t>
        </is>
      </c>
      <c r="L120" s="156" t="inlineStr">
        <is>
          <t>Hombre</t>
        </is>
      </c>
      <c r="M120" s="156" t="inlineStr">
        <is>
          <t>Stetson</t>
        </is>
      </c>
      <c r="N120" s="156" t="inlineStr">
        <is>
          <t>SS26</t>
        </is>
      </c>
      <c r="O120" s="156" t="inlineStr">
        <is>
          <t>Seasonal</t>
        </is>
      </c>
      <c r="P120" s="156" t="inlineStr">
        <is>
          <t>Negro</t>
        </is>
      </c>
      <c r="Q120" s="156" t="n"/>
      <c r="R120" s="156" t="inlineStr">
        <is>
          <t>Punta Redonda Ancha</t>
        </is>
      </c>
      <c r="S120" s="156" t="inlineStr">
        <is>
          <t>Piel bovina</t>
        </is>
      </c>
      <c r="T120" s="156" t="inlineStr">
        <is>
          <t>Bota Caballero Piel bovina Boney Negro Punta Redonda Ancha</t>
        </is>
      </c>
      <c r="U120" s="156" t="inlineStr">
        <is>
          <t>México</t>
        </is>
      </c>
      <c r="V120" s="156" t="inlineStr">
        <is>
          <t>PRS</t>
        </is>
      </c>
      <c r="W120" s="51" t="inlineStr">
        <is>
          <t>53111501</t>
        </is>
      </c>
      <c r="X120" s="156" t="n"/>
      <c r="Y120" s="54" t="n">
        <v>776</v>
      </c>
      <c r="Z120" s="54" t="n">
        <v>4482.758621</v>
      </c>
      <c r="AA120" s="55">
        <f>IF(AND(A120="", B120="", E120=""), "", IF(AB120="", "Válido", IF((LEN(AB120)-LEN(SUBSTITUTE(AB120,"; ","")))/2+1&gt;(LEN(AB120)-LEN(SUBSTITUTE(AB120,"[Aviso]","")))/7, "Con Incidencias", "Válido")))</f>
        <v/>
      </c>
      <c r="AB120" s="56">
        <f>IF(AND(A120="", B120="", E120=""), "", TEXTJOIN("; ", TRUE, IF(OR(TRIM(A120&amp;"")="", ISNUMBER(SEARCH("FALTA", A120))), "UPC faltante/inválido", ""), IF(AND(A120&lt;&gt;"", IFERROR(_xlfn.XMATCH(A120,$A$2:$A$2509,0,1)&lt;&gt;_xlfn.XMATCH(A120,$A$2:$A$2509,0,-1),FALSE)), "Código de barras duplicado", ""), IF(AND(E120&lt;&gt;"", COUNTIF($E$2:$E$2509, E120)&gt;1), "SKU duplicado", ""), IF(OR(J120="", J120=""), "[Aviso] División no capturada ()", IF(ISNA(MATCH(J120, Criterios!$A$123:$A$126, 0)), "División no válida", "")), IF(OR(K120="", K120=""), "[Aviso] Categoría no capturada ()", IF(ISNA(MATCH(K120, Criterios!$A$81:$A$120, 0)), "Categoría no válida", IF(AND(J120&lt;&gt;"", J120&lt;&gt;"", J120&lt;&gt;VLOOKUP(K120, Criterios!$A$81:$B$120, 2, FALSE)), "División no coincide con Categoría", ""))), IF(OR(L120="", L120=""), "[Aviso] Género no capturado ()", IF(ISNA(MATCH(L120, Criterios!$B$123:$B$127, 0)), "Género no válido", "")), IF(OR(N120="", N120=""), "[Aviso] Temporada no capturada ()", IF(ISNA(MATCH(N120, Criterios!$C$123:$C$128, 0)), "Temporada no válida", "")), IF(OR(O120="", O120=""), "[Aviso] Ciclo de vida no capturado ()", IF(ISNA(MATCH(O120, Criterios!$D$123:$D$124, 0)), "Ciclo de vida no válido", ""))))</f>
        <v/>
      </c>
      <c r="AC120" s="56" t="n"/>
      <c r="AD120" s="51" t="n">
        <v>0</v>
      </c>
      <c r="AE120" s="156" t="n"/>
      <c r="AF120" s="51" t="n">
        <v>0</v>
      </c>
      <c r="AG120" s="156" t="inlineStr">
        <is>
          <t>Catálogo existente</t>
        </is>
      </c>
      <c r="AH1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0" s="156" t="inlineStr">
        <is>
          <t>No</t>
        </is>
      </c>
      <c r="AJ120" s="156" t="n"/>
      <c r="AK120" s="155" t="inlineStr">
        <is>
          <t>Criterios: I [Q]; G1522_Extraccion_Articulos_NetSuite_2026-09-30.xlsx: fila 58692 [R] | Shopify Stetson: producto 15054563737963 / variante 53350541820267</t>
        </is>
      </c>
      <c r="AL120" s="58" t="n">
        <v>776</v>
      </c>
      <c r="AM120" s="58" t="n">
        <v>4482.758621</v>
      </c>
      <c r="AN120" s="155" t="inlineStr">
        <is>
          <t>Shopify Stetson México</t>
        </is>
      </c>
      <c r="AO120" s="59" t="n">
        <v>0</v>
      </c>
      <c r="AP120" s="59" t="n"/>
      <c r="AQ120" s="59" t="n"/>
      <c r="AR120" s="155" t="n"/>
    </row>
    <row r="121">
      <c r="A121" s="50" t="inlineStr">
        <is>
          <t>12020001101000032</t>
        </is>
      </c>
      <c r="B121" s="51" t="inlineStr">
        <is>
          <t>111018</t>
        </is>
      </c>
      <c r="C121" s="156" t="inlineStr">
        <is>
          <t>Multimarca</t>
        </is>
      </c>
      <c r="D121" s="156" t="inlineStr">
        <is>
          <t>12-020-BS001-10-1000</t>
        </is>
      </c>
      <c r="E121" s="156" t="inlineStr">
        <is>
          <t>12-020-BS001-10-1000-032</t>
        </is>
      </c>
      <c r="F121" s="156" t="inlineStr">
        <is>
          <t>32</t>
        </is>
      </c>
      <c r="G121" s="156" t="inlineStr">
        <is>
          <t>14</t>
        </is>
      </c>
      <c r="H121" s="156" t="inlineStr">
        <is>
          <t>Stetson</t>
        </is>
      </c>
      <c r="I121" s="156" t="inlineStr">
        <is>
          <t>Bota Piel Negro</t>
        </is>
      </c>
      <c r="J121" s="156" t="inlineStr">
        <is>
          <t>Calzado</t>
        </is>
      </c>
      <c r="K121" s="156" t="inlineStr">
        <is>
          <t>Botas</t>
        </is>
      </c>
      <c r="L121" s="156" t="inlineStr">
        <is>
          <t>Hombre</t>
        </is>
      </c>
      <c r="M121" s="156" t="inlineStr">
        <is>
          <t>Stetson</t>
        </is>
      </c>
      <c r="N121" s="156" t="inlineStr">
        <is>
          <t>SS26</t>
        </is>
      </c>
      <c r="O121" s="156" t="inlineStr">
        <is>
          <t>Seasonal</t>
        </is>
      </c>
      <c r="P121" s="156" t="inlineStr">
        <is>
          <t>Negro</t>
        </is>
      </c>
      <c r="Q121" s="156" t="n"/>
      <c r="R121" s="156" t="inlineStr">
        <is>
          <t>Punta Redonda Ancha</t>
        </is>
      </c>
      <c r="S121" s="156" t="inlineStr">
        <is>
          <t>Piel bovina</t>
        </is>
      </c>
      <c r="T121" s="156" t="inlineStr">
        <is>
          <t>Bota Caballero Piel bovina Boney Negro Punta Redonda Ancha</t>
        </is>
      </c>
      <c r="U121" s="156" t="inlineStr">
        <is>
          <t>México</t>
        </is>
      </c>
      <c r="V121" s="156" t="inlineStr">
        <is>
          <t>PRS</t>
        </is>
      </c>
      <c r="W121" s="51" t="inlineStr">
        <is>
          <t>53111501</t>
        </is>
      </c>
      <c r="X121" s="156" t="n"/>
      <c r="Y121" s="54" t="n">
        <v>776</v>
      </c>
      <c r="Z121" s="54" t="n">
        <v>4482.758621</v>
      </c>
      <c r="AA121" s="55">
        <f>IF(AND(A121="", B121="", E121=""), "", IF(AB121="", "Válido", IF((LEN(AB121)-LEN(SUBSTITUTE(AB121,"; ","")))/2+1&gt;(LEN(AB121)-LEN(SUBSTITUTE(AB121,"[Aviso]","")))/7, "Con Incidencias", "Válido")))</f>
        <v/>
      </c>
      <c r="AB121" s="56">
        <f>IF(AND(A121="", B121="", E121=""), "", TEXTJOIN("; ", TRUE, IF(OR(TRIM(A121&amp;"")="", ISNUMBER(SEARCH("FALTA", A121))), "UPC faltante/inválido", ""), IF(AND(A121&lt;&gt;"", IFERROR(_xlfn.XMATCH(A121,$A$2:$A$2509,0,1)&lt;&gt;_xlfn.XMATCH(A121,$A$2:$A$2509,0,-1),FALSE)), "Código de barras duplicado", ""), IF(AND(E121&lt;&gt;"", COUNTIF($E$2:$E$2509, E121)&gt;1), "SKU duplicado", ""), IF(OR(J121="", J121=""), "[Aviso] División no capturada ()", IF(ISNA(MATCH(J121, Criterios!$A$123:$A$126, 0)), "División no válida", "")), IF(OR(K121="", K121=""), "[Aviso] Categoría no capturada ()", IF(ISNA(MATCH(K121, Criterios!$A$81:$A$120, 0)), "Categoría no válida", IF(AND(J121&lt;&gt;"", J121&lt;&gt;"", J121&lt;&gt;VLOOKUP(K121, Criterios!$A$81:$B$120, 2, FALSE)), "División no coincide con Categoría", ""))), IF(OR(L121="", L121=""), "[Aviso] Género no capturado ()", IF(ISNA(MATCH(L121, Criterios!$B$123:$B$127, 0)), "Género no válido", "")), IF(OR(N121="", N121=""), "[Aviso] Temporada no capturada ()", IF(ISNA(MATCH(N121, Criterios!$C$123:$C$128, 0)), "Temporada no válida", "")), IF(OR(O121="", O121=""), "[Aviso] Ciclo de vida no capturado ()", IF(ISNA(MATCH(O121, Criterios!$D$123:$D$124, 0)), "Ciclo de vida no válido", ""))))</f>
        <v/>
      </c>
      <c r="AC121" s="56" t="n"/>
      <c r="AD121" s="51" t="n">
        <v>0</v>
      </c>
      <c r="AE121" s="156" t="n"/>
      <c r="AF121" s="51" t="n">
        <v>0</v>
      </c>
      <c r="AG121" s="156" t="inlineStr">
        <is>
          <t>Catálogo existente</t>
        </is>
      </c>
      <c r="AH1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1" s="156" t="inlineStr">
        <is>
          <t>No</t>
        </is>
      </c>
      <c r="AJ121" s="156" t="n"/>
      <c r="AK121" s="155" t="inlineStr">
        <is>
          <t>Criterios: I [Q]; G1522_Extraccion_Articulos_NetSuite_2026-09-30.xlsx: fila 58693 [R] | Shopify Stetson: producto 15054563737963 / variante 53350541885803</t>
        </is>
      </c>
      <c r="AL121" s="58" t="n">
        <v>776</v>
      </c>
      <c r="AM121" s="58" t="n">
        <v>4482.758621</v>
      </c>
      <c r="AN121" s="155" t="inlineStr">
        <is>
          <t>Shopify Stetson México</t>
        </is>
      </c>
      <c r="AO121" s="59" t="n">
        <v>0</v>
      </c>
      <c r="AP121" s="59" t="n"/>
      <c r="AQ121" s="59" t="n"/>
      <c r="AR121" s="155" t="n"/>
    </row>
    <row r="122">
      <c r="A122" s="50" t="inlineStr">
        <is>
          <t>12020001101000255</t>
        </is>
      </c>
      <c r="B122" s="51" t="inlineStr">
        <is>
          <t>111019</t>
        </is>
      </c>
      <c r="C122" s="156" t="inlineStr">
        <is>
          <t>Multimarca</t>
        </is>
      </c>
      <c r="D122" s="156" t="inlineStr">
        <is>
          <t>12-020-BS001-10-1000</t>
        </is>
      </c>
      <c r="E122" s="156" t="inlineStr">
        <is>
          <t>12-020-BS001-10-1000-255</t>
        </is>
      </c>
      <c r="F122" s="156" t="inlineStr">
        <is>
          <t>25.5</t>
        </is>
      </c>
      <c r="G122" s="156" t="inlineStr">
        <is>
          <t>7.5</t>
        </is>
      </c>
      <c r="H122" s="156" t="inlineStr">
        <is>
          <t>Stetson</t>
        </is>
      </c>
      <c r="I122" s="156" t="inlineStr">
        <is>
          <t>Bota Piel Negro</t>
        </is>
      </c>
      <c r="J122" s="156" t="inlineStr">
        <is>
          <t>Calzado</t>
        </is>
      </c>
      <c r="K122" s="156" t="inlineStr">
        <is>
          <t>Botas</t>
        </is>
      </c>
      <c r="L122" s="156" t="inlineStr">
        <is>
          <t>Hombre</t>
        </is>
      </c>
      <c r="M122" s="156" t="inlineStr">
        <is>
          <t>Stetson</t>
        </is>
      </c>
      <c r="N122" s="156" t="inlineStr">
        <is>
          <t>SS26</t>
        </is>
      </c>
      <c r="O122" s="156" t="inlineStr">
        <is>
          <t>Seasonal</t>
        </is>
      </c>
      <c r="P122" s="156" t="inlineStr">
        <is>
          <t>Negro</t>
        </is>
      </c>
      <c r="Q122" s="156" t="n"/>
      <c r="R122" s="156" t="inlineStr">
        <is>
          <t>Punta Redonda Ancha</t>
        </is>
      </c>
      <c r="S122" s="156" t="inlineStr">
        <is>
          <t>Piel bovina</t>
        </is>
      </c>
      <c r="T122" s="156" t="inlineStr">
        <is>
          <t>Bota Caballero Piel bovina Boney Negro Punta Redonda Ancha</t>
        </is>
      </c>
      <c r="U122" s="156" t="inlineStr">
        <is>
          <t>México</t>
        </is>
      </c>
      <c r="V122" s="156" t="inlineStr">
        <is>
          <t>PRS</t>
        </is>
      </c>
      <c r="W122" s="51" t="inlineStr">
        <is>
          <t>53111501</t>
        </is>
      </c>
      <c r="X122" s="156" t="n"/>
      <c r="Y122" s="54" t="n">
        <v>776</v>
      </c>
      <c r="Z122" s="54" t="n">
        <v>4482.758621</v>
      </c>
      <c r="AA122" s="55">
        <f>IF(AND(A122="", B122="", E122=""), "", IF(AB122="", "Válido", IF((LEN(AB122)-LEN(SUBSTITUTE(AB122,"; ","")))/2+1&gt;(LEN(AB122)-LEN(SUBSTITUTE(AB122,"[Aviso]","")))/7, "Con Incidencias", "Válido")))</f>
        <v/>
      </c>
      <c r="AB122" s="56">
        <f>IF(AND(A122="", B122="", E122=""), "", TEXTJOIN("; ", TRUE, IF(OR(TRIM(A122&amp;"")="", ISNUMBER(SEARCH("FALTA", A122))), "UPC faltante/inválido", ""), IF(AND(A122&lt;&gt;"", IFERROR(_xlfn.XMATCH(A122,$A$2:$A$2509,0,1)&lt;&gt;_xlfn.XMATCH(A122,$A$2:$A$2509,0,-1),FALSE)), "Código de barras duplicado", ""), IF(AND(E122&lt;&gt;"", COUNTIF($E$2:$E$2509, E122)&gt;1), "SKU duplicado", ""), IF(OR(J122="", J122=""), "[Aviso] División no capturada ()", IF(ISNA(MATCH(J122, Criterios!$A$123:$A$126, 0)), "División no válida", "")), IF(OR(K122="", K122=""), "[Aviso] Categoría no capturada ()", IF(ISNA(MATCH(K122, Criterios!$A$81:$A$120, 0)), "Categoría no válida", IF(AND(J122&lt;&gt;"", J122&lt;&gt;"", J122&lt;&gt;VLOOKUP(K122, Criterios!$A$81:$B$120, 2, FALSE)), "División no coincide con Categoría", ""))), IF(OR(L122="", L122=""), "[Aviso] Género no capturado ()", IF(ISNA(MATCH(L122, Criterios!$B$123:$B$127, 0)), "Género no válido", "")), IF(OR(N122="", N122=""), "[Aviso] Temporada no capturada ()", IF(ISNA(MATCH(N122, Criterios!$C$123:$C$128, 0)), "Temporada no válida", "")), IF(OR(O122="", O122=""), "[Aviso] Ciclo de vida no capturado ()", IF(ISNA(MATCH(O122, Criterios!$D$123:$D$124, 0)), "Ciclo de vida no válido", ""))))</f>
        <v/>
      </c>
      <c r="AC122" s="56" t="n"/>
      <c r="AD122" s="51" t="n">
        <v>0</v>
      </c>
      <c r="AE122" s="156" t="n"/>
      <c r="AF122" s="51" t="n">
        <v>0</v>
      </c>
      <c r="AG122" s="156" t="inlineStr">
        <is>
          <t>Catálogo existente</t>
        </is>
      </c>
      <c r="AH1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2" s="156" t="inlineStr">
        <is>
          <t>No</t>
        </is>
      </c>
      <c r="AJ122" s="156" t="n"/>
      <c r="AK122" s="155" t="inlineStr">
        <is>
          <t>Criterios: I [Q]; G1522_Extraccion_Articulos_NetSuite_2026-09-30.xlsx: fila 58694 [R] | Shopify Stetson: producto 15054563737963 / variante 53350541459819</t>
        </is>
      </c>
      <c r="AL122" s="58" t="n">
        <v>776</v>
      </c>
      <c r="AM122" s="58" t="n">
        <v>4482.758621</v>
      </c>
      <c r="AN122" s="155" t="inlineStr">
        <is>
          <t>Shopify Stetson México</t>
        </is>
      </c>
      <c r="AO122" s="59" t="n">
        <v>0</v>
      </c>
      <c r="AP122" s="59" t="n"/>
      <c r="AQ122" s="59" t="n"/>
      <c r="AR122" s="155" t="n"/>
    </row>
    <row r="123">
      <c r="A123" s="50" t="inlineStr">
        <is>
          <t>12020001101000265</t>
        </is>
      </c>
      <c r="B123" s="51" t="inlineStr">
        <is>
          <t>111020</t>
        </is>
      </c>
      <c r="C123" s="156" t="inlineStr">
        <is>
          <t>Multimarca</t>
        </is>
      </c>
      <c r="D123" s="156" t="inlineStr">
        <is>
          <t>12-020-BS001-10-1000</t>
        </is>
      </c>
      <c r="E123" s="156" t="inlineStr">
        <is>
          <t>12-020-BS001-10-1000-265</t>
        </is>
      </c>
      <c r="F123" s="156" t="inlineStr">
        <is>
          <t>26.5</t>
        </is>
      </c>
      <c r="G123" s="156" t="inlineStr">
        <is>
          <t>8.5</t>
        </is>
      </c>
      <c r="H123" s="156" t="inlineStr">
        <is>
          <t>Stetson</t>
        </is>
      </c>
      <c r="I123" s="156" t="inlineStr">
        <is>
          <t>Bota Piel Negro</t>
        </is>
      </c>
      <c r="J123" s="156" t="inlineStr">
        <is>
          <t>Calzado</t>
        </is>
      </c>
      <c r="K123" s="156" t="inlineStr">
        <is>
          <t>Botas</t>
        </is>
      </c>
      <c r="L123" s="156" t="inlineStr">
        <is>
          <t>Hombre</t>
        </is>
      </c>
      <c r="M123" s="156" t="inlineStr">
        <is>
          <t>Stetson</t>
        </is>
      </c>
      <c r="N123" s="156" t="inlineStr">
        <is>
          <t>SS26</t>
        </is>
      </c>
      <c r="O123" s="156" t="inlineStr">
        <is>
          <t>Seasonal</t>
        </is>
      </c>
      <c r="P123" s="156" t="inlineStr">
        <is>
          <t>Negro</t>
        </is>
      </c>
      <c r="Q123" s="156" t="n"/>
      <c r="R123" s="156" t="inlineStr">
        <is>
          <t>Punta Redonda Ancha</t>
        </is>
      </c>
      <c r="S123" s="156" t="inlineStr">
        <is>
          <t>Piel bovina</t>
        </is>
      </c>
      <c r="T123" s="156" t="inlineStr">
        <is>
          <t>Bota Caballero Piel bovina Boney Negro Punta Redonda Ancha</t>
        </is>
      </c>
      <c r="U123" s="156" t="inlineStr">
        <is>
          <t>México</t>
        </is>
      </c>
      <c r="V123" s="156" t="inlineStr">
        <is>
          <t>PRS</t>
        </is>
      </c>
      <c r="W123" s="51" t="inlineStr">
        <is>
          <t>53111501</t>
        </is>
      </c>
      <c r="X123" s="156" t="n"/>
      <c r="Y123" s="54" t="n">
        <v>776</v>
      </c>
      <c r="Z123" s="54" t="n">
        <v>4482.758621</v>
      </c>
      <c r="AA123" s="55">
        <f>IF(AND(A123="", B123="", E123=""), "", IF(AB123="", "Válido", IF((LEN(AB123)-LEN(SUBSTITUTE(AB123,"; ","")))/2+1&gt;(LEN(AB123)-LEN(SUBSTITUTE(AB123,"[Aviso]","")))/7, "Con Incidencias", "Válido")))</f>
        <v/>
      </c>
      <c r="AB123" s="56">
        <f>IF(AND(A123="", B123="", E123=""), "", TEXTJOIN("; ", TRUE, IF(OR(TRIM(A123&amp;"")="", ISNUMBER(SEARCH("FALTA", A123))), "UPC faltante/inválido", ""), IF(AND(A123&lt;&gt;"", IFERROR(_xlfn.XMATCH(A123,$A$2:$A$2509,0,1)&lt;&gt;_xlfn.XMATCH(A123,$A$2:$A$2509,0,-1),FALSE)), "Código de barras duplicado", ""), IF(AND(E123&lt;&gt;"", COUNTIF($E$2:$E$2509, E123)&gt;1), "SKU duplicado", ""), IF(OR(J123="", J123=""), "[Aviso] División no capturada ()", IF(ISNA(MATCH(J123, Criterios!$A$123:$A$126, 0)), "División no válida", "")), IF(OR(K123="", K123=""), "[Aviso] Categoría no capturada ()", IF(ISNA(MATCH(K123, Criterios!$A$81:$A$120, 0)), "Categoría no válida", IF(AND(J123&lt;&gt;"", J123&lt;&gt;"", J123&lt;&gt;VLOOKUP(K123, Criterios!$A$81:$B$120, 2, FALSE)), "División no coincide con Categoría", ""))), IF(OR(L123="", L123=""), "[Aviso] Género no capturado ()", IF(ISNA(MATCH(L123, Criterios!$B$123:$B$127, 0)), "Género no válido", "")), IF(OR(N123="", N123=""), "[Aviso] Temporada no capturada ()", IF(ISNA(MATCH(N123, Criterios!$C$123:$C$128, 0)), "Temporada no válida", "")), IF(OR(O123="", O123=""), "[Aviso] Ciclo de vida no capturado ()", IF(ISNA(MATCH(O123, Criterios!$D$123:$D$124, 0)), "Ciclo de vida no válido", ""))))</f>
        <v/>
      </c>
      <c r="AC123" s="56" t="n"/>
      <c r="AD123" s="51" t="n">
        <v>-1</v>
      </c>
      <c r="AE123" s="156" t="n"/>
      <c r="AF123" s="51" t="n">
        <v>0</v>
      </c>
      <c r="AG123" s="156" t="inlineStr">
        <is>
          <t>Catálogo existente</t>
        </is>
      </c>
      <c r="AH1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3" s="156" t="inlineStr">
        <is>
          <t>Sí</t>
        </is>
      </c>
      <c r="AJ123" s="156" t="inlineStr">
        <is>
          <t>STETSON AMERICAS (-1)</t>
        </is>
      </c>
      <c r="AK123" s="155" t="inlineStr">
        <is>
          <t>Criterios: I [Q]; G1522_Extraccion_Articulos_NetSuite_2026-09-30.xlsx: fila 58695 [R] | Shopify Stetson: producto 15054563737963 / variante 53350541525355</t>
        </is>
      </c>
      <c r="AL123" s="58" t="n">
        <v>776</v>
      </c>
      <c r="AM123" s="58" t="n">
        <v>4482.758621</v>
      </c>
      <c r="AN123" s="155" t="inlineStr">
        <is>
          <t>Shopify Stetson México</t>
        </is>
      </c>
      <c r="AO123" s="59" t="n">
        <v>1</v>
      </c>
      <c r="AP123" s="59" t="n"/>
      <c r="AQ123" s="59" t="n"/>
      <c r="AR123" s="155" t="inlineStr">
        <is>
          <t>Shopify Stetson México › Stetson Americas: 1</t>
        </is>
      </c>
    </row>
    <row r="124">
      <c r="A124" s="50" t="inlineStr">
        <is>
          <t>12020001101000275</t>
        </is>
      </c>
      <c r="B124" s="51" t="inlineStr">
        <is>
          <t>111021</t>
        </is>
      </c>
      <c r="C124" s="156" t="inlineStr">
        <is>
          <t>Multimarca</t>
        </is>
      </c>
      <c r="D124" s="156" t="inlineStr">
        <is>
          <t>12-020-BS001-10-1000</t>
        </is>
      </c>
      <c r="E124" s="156" t="inlineStr">
        <is>
          <t>12-020-BS001-10-1000-275</t>
        </is>
      </c>
      <c r="F124" s="156" t="inlineStr">
        <is>
          <t>27.5</t>
        </is>
      </c>
      <c r="G124" s="156" t="inlineStr">
        <is>
          <t>9.5</t>
        </is>
      </c>
      <c r="H124" s="156" t="inlineStr">
        <is>
          <t>Stetson</t>
        </is>
      </c>
      <c r="I124" s="156" t="inlineStr">
        <is>
          <t>Bota Piel Negro</t>
        </is>
      </c>
      <c r="J124" s="156" t="inlineStr">
        <is>
          <t>Calzado</t>
        </is>
      </c>
      <c r="K124" s="156" t="inlineStr">
        <is>
          <t>Botas</t>
        </is>
      </c>
      <c r="L124" s="156" t="inlineStr">
        <is>
          <t>Hombre</t>
        </is>
      </c>
      <c r="M124" s="156" t="inlineStr">
        <is>
          <t>Stetson</t>
        </is>
      </c>
      <c r="N124" s="156" t="inlineStr">
        <is>
          <t>SS26</t>
        </is>
      </c>
      <c r="O124" s="156" t="inlineStr">
        <is>
          <t>Seasonal</t>
        </is>
      </c>
      <c r="P124" s="156" t="inlineStr">
        <is>
          <t>Negro</t>
        </is>
      </c>
      <c r="Q124" s="156" t="n"/>
      <c r="R124" s="156" t="inlineStr">
        <is>
          <t>Punta Redonda Ancha</t>
        </is>
      </c>
      <c r="S124" s="156" t="inlineStr">
        <is>
          <t>Piel bovina</t>
        </is>
      </c>
      <c r="T124" s="156" t="inlineStr">
        <is>
          <t>Bota Caballero Piel bovina Boney Negro Punta Redonda Ancha</t>
        </is>
      </c>
      <c r="U124" s="156" t="inlineStr">
        <is>
          <t>México</t>
        </is>
      </c>
      <c r="V124" s="156" t="inlineStr">
        <is>
          <t>PRS</t>
        </is>
      </c>
      <c r="W124" s="51" t="inlineStr">
        <is>
          <t>53111501</t>
        </is>
      </c>
      <c r="X124" s="156" t="n"/>
      <c r="Y124" s="54" t="n">
        <v>776</v>
      </c>
      <c r="Z124" s="54" t="n">
        <v>4482.758621</v>
      </c>
      <c r="AA124" s="55">
        <f>IF(AND(A124="", B124="", E124=""), "", IF(AB124="", "Válido", IF((LEN(AB124)-LEN(SUBSTITUTE(AB124,"; ","")))/2+1&gt;(LEN(AB124)-LEN(SUBSTITUTE(AB124,"[Aviso]","")))/7, "Con Incidencias", "Válido")))</f>
        <v/>
      </c>
      <c r="AB124" s="56">
        <f>IF(AND(A124="", B124="", E124=""), "", TEXTJOIN("; ", TRUE, IF(OR(TRIM(A124&amp;"")="", ISNUMBER(SEARCH("FALTA", A124))), "UPC faltante/inválido", ""), IF(AND(A124&lt;&gt;"", IFERROR(_xlfn.XMATCH(A124,$A$2:$A$2509,0,1)&lt;&gt;_xlfn.XMATCH(A124,$A$2:$A$2509,0,-1),FALSE)), "Código de barras duplicado", ""), IF(AND(E124&lt;&gt;"", COUNTIF($E$2:$E$2509, E124)&gt;1), "SKU duplicado", ""), IF(OR(J124="", J124=""), "[Aviso] División no capturada ()", IF(ISNA(MATCH(J124, Criterios!$A$123:$A$126, 0)), "División no válida", "")), IF(OR(K124="", K124=""), "[Aviso] Categoría no capturada ()", IF(ISNA(MATCH(K124, Criterios!$A$81:$A$120, 0)), "Categoría no válida", IF(AND(J124&lt;&gt;"", J124&lt;&gt;"", J124&lt;&gt;VLOOKUP(K124, Criterios!$A$81:$B$120, 2, FALSE)), "División no coincide con Categoría", ""))), IF(OR(L124="", L124=""), "[Aviso] Género no capturado ()", IF(ISNA(MATCH(L124, Criterios!$B$123:$B$127, 0)), "Género no válido", "")), IF(OR(N124="", N124=""), "[Aviso] Temporada no capturada ()", IF(ISNA(MATCH(N124, Criterios!$C$123:$C$128, 0)), "Temporada no válida", "")), IF(OR(O124="", O124=""), "[Aviso] Ciclo de vida no capturado ()", IF(ISNA(MATCH(O124, Criterios!$D$123:$D$124, 0)), "Ciclo de vida no válido", ""))))</f>
        <v/>
      </c>
      <c r="AC124" s="56" t="n"/>
      <c r="AD124" s="51" t="n">
        <v>-2</v>
      </c>
      <c r="AE124" s="156" t="n"/>
      <c r="AF124" s="51" t="n">
        <v>0</v>
      </c>
      <c r="AG124" s="156" t="inlineStr">
        <is>
          <t>Catálogo existente</t>
        </is>
      </c>
      <c r="AH12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4" s="156" t="inlineStr">
        <is>
          <t>Sí</t>
        </is>
      </c>
      <c r="AJ124" s="156" t="inlineStr">
        <is>
          <t>STETSON AMERICAS (-2)</t>
        </is>
      </c>
      <c r="AK124" s="155" t="inlineStr">
        <is>
          <t>Criterios: I [Q]; G1522_Extraccion_Articulos_NetSuite_2026-09-30.xlsx: fila 58696 [R] | Shopify Stetson: producto 15054563737963 / variante 53350541590891</t>
        </is>
      </c>
      <c r="AL124" s="58" t="n">
        <v>776</v>
      </c>
      <c r="AM124" s="58" t="n">
        <v>4482.758621</v>
      </c>
      <c r="AN124" s="155" t="inlineStr">
        <is>
          <t>Shopify Stetson México</t>
        </is>
      </c>
      <c r="AO124" s="59" t="n">
        <v>0</v>
      </c>
      <c r="AP124" s="59" t="n"/>
      <c r="AQ124" s="59" t="n"/>
      <c r="AR124" s="155" t="n"/>
    </row>
    <row r="125">
      <c r="A125" s="50" t="inlineStr">
        <is>
          <t>12020001101000285</t>
        </is>
      </c>
      <c r="B125" s="51" t="inlineStr">
        <is>
          <t>111022</t>
        </is>
      </c>
      <c r="C125" s="156" t="inlineStr">
        <is>
          <t>Multimarca</t>
        </is>
      </c>
      <c r="D125" s="156" t="inlineStr">
        <is>
          <t>12-020-BS001-10-1000</t>
        </is>
      </c>
      <c r="E125" s="156" t="inlineStr">
        <is>
          <t>12-020-BS001-10-1000-285</t>
        </is>
      </c>
      <c r="F125" s="156" t="inlineStr">
        <is>
          <t>28.5</t>
        </is>
      </c>
      <c r="G125" s="156" t="inlineStr">
        <is>
          <t>10.5</t>
        </is>
      </c>
      <c r="H125" s="156" t="inlineStr">
        <is>
          <t>Stetson</t>
        </is>
      </c>
      <c r="I125" s="156" t="inlineStr">
        <is>
          <t>Bota Piel Negro</t>
        </is>
      </c>
      <c r="J125" s="156" t="inlineStr">
        <is>
          <t>Calzado</t>
        </is>
      </c>
      <c r="K125" s="156" t="inlineStr">
        <is>
          <t>Botas</t>
        </is>
      </c>
      <c r="L125" s="156" t="inlineStr">
        <is>
          <t>Hombre</t>
        </is>
      </c>
      <c r="M125" s="156" t="inlineStr">
        <is>
          <t>Stetson</t>
        </is>
      </c>
      <c r="N125" s="156" t="inlineStr">
        <is>
          <t>SS26</t>
        </is>
      </c>
      <c r="O125" s="156" t="inlineStr">
        <is>
          <t>Seasonal</t>
        </is>
      </c>
      <c r="P125" s="156" t="inlineStr">
        <is>
          <t>Negro</t>
        </is>
      </c>
      <c r="Q125" s="156" t="n"/>
      <c r="R125" s="156" t="inlineStr">
        <is>
          <t>Punta Redonda Ancha</t>
        </is>
      </c>
      <c r="S125" s="156" t="inlineStr">
        <is>
          <t>Piel bovina</t>
        </is>
      </c>
      <c r="T125" s="156" t="inlineStr">
        <is>
          <t>Bota Caballero Piel bovina Boney Negro Punta Redonda Ancha</t>
        </is>
      </c>
      <c r="U125" s="156" t="inlineStr">
        <is>
          <t>México</t>
        </is>
      </c>
      <c r="V125" s="156" t="inlineStr">
        <is>
          <t>PRS</t>
        </is>
      </c>
      <c r="W125" s="51" t="inlineStr">
        <is>
          <t>53111501</t>
        </is>
      </c>
      <c r="X125" s="156" t="n"/>
      <c r="Y125" s="54" t="n">
        <v>776</v>
      </c>
      <c r="Z125" s="54" t="n">
        <v>4482.758621</v>
      </c>
      <c r="AA125" s="55">
        <f>IF(AND(A125="", B125="", E125=""), "", IF(AB125="", "Válido", IF((LEN(AB125)-LEN(SUBSTITUTE(AB125,"; ","")))/2+1&gt;(LEN(AB125)-LEN(SUBSTITUTE(AB125,"[Aviso]","")))/7, "Con Incidencias", "Válido")))</f>
        <v/>
      </c>
      <c r="AB125" s="56">
        <f>IF(AND(A125="", B125="", E125=""), "", TEXTJOIN("; ", TRUE, IF(OR(TRIM(A125&amp;"")="", ISNUMBER(SEARCH("FALTA", A125))), "UPC faltante/inválido", ""), IF(AND(A125&lt;&gt;"", IFERROR(_xlfn.XMATCH(A125,$A$2:$A$2509,0,1)&lt;&gt;_xlfn.XMATCH(A125,$A$2:$A$2509,0,-1),FALSE)), "Código de barras duplicado", ""), IF(AND(E125&lt;&gt;"", COUNTIF($E$2:$E$2509, E125)&gt;1), "SKU duplicado", ""), IF(OR(J125="", J125=""), "[Aviso] División no capturada ()", IF(ISNA(MATCH(J125, Criterios!$A$123:$A$126, 0)), "División no válida", "")), IF(OR(K125="", K125=""), "[Aviso] Categoría no capturada ()", IF(ISNA(MATCH(K125, Criterios!$A$81:$A$120, 0)), "Categoría no válida", IF(AND(J125&lt;&gt;"", J125&lt;&gt;"", J125&lt;&gt;VLOOKUP(K125, Criterios!$A$81:$B$120, 2, FALSE)), "División no coincide con Categoría", ""))), IF(OR(L125="", L125=""), "[Aviso] Género no capturado ()", IF(ISNA(MATCH(L125, Criterios!$B$123:$B$127, 0)), "Género no válido", "")), IF(OR(N125="", N125=""), "[Aviso] Temporada no capturada ()", IF(ISNA(MATCH(N125, Criterios!$C$123:$C$128, 0)), "Temporada no válida", "")), IF(OR(O125="", O125=""), "[Aviso] Ciclo de vida no capturado ()", IF(ISNA(MATCH(O125, Criterios!$D$123:$D$124, 0)), "Ciclo de vida no válido", ""))))</f>
        <v/>
      </c>
      <c r="AC125" s="56" t="n"/>
      <c r="AD125" s="51" t="n">
        <v>-2</v>
      </c>
      <c r="AE125" s="156" t="n"/>
      <c r="AF125" s="51" t="n">
        <v>0</v>
      </c>
      <c r="AG125" s="156" t="inlineStr">
        <is>
          <t>Catálogo existente</t>
        </is>
      </c>
      <c r="AH1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5" s="156" t="inlineStr">
        <is>
          <t>Sí</t>
        </is>
      </c>
      <c r="AJ125" s="156" t="inlineStr">
        <is>
          <t>STETSON AMERICAS (-2)</t>
        </is>
      </c>
      <c r="AK125" s="155" t="inlineStr">
        <is>
          <t>Criterios: I [Q]; G1522_Extraccion_Articulos_NetSuite_2026-09-30.xlsx: fila 58697 [R] | Shopify Stetson: producto 15054563737963 / variante 53350541656427</t>
        </is>
      </c>
      <c r="AL125" s="58" t="n">
        <v>776</v>
      </c>
      <c r="AM125" s="58" t="n">
        <v>4482.758621</v>
      </c>
      <c r="AN125" s="155" t="inlineStr">
        <is>
          <t>Shopify Stetson México</t>
        </is>
      </c>
      <c r="AO125" s="59" t="n">
        <v>0</v>
      </c>
      <c r="AP125" s="59" t="n"/>
      <c r="AQ125" s="59" t="n"/>
      <c r="AR125" s="155" t="n"/>
    </row>
    <row r="126">
      <c r="A126" s="50" t="inlineStr">
        <is>
          <t>12020001101000295</t>
        </is>
      </c>
      <c r="B126" s="51" t="inlineStr">
        <is>
          <t>111023</t>
        </is>
      </c>
      <c r="C126" s="156" t="inlineStr">
        <is>
          <t>Multimarca</t>
        </is>
      </c>
      <c r="D126" s="156" t="inlineStr">
        <is>
          <t>12-020-BS001-10-1000</t>
        </is>
      </c>
      <c r="E126" s="156" t="inlineStr">
        <is>
          <t>12-020-BS001-10-1000-295</t>
        </is>
      </c>
      <c r="F126" s="156" t="inlineStr">
        <is>
          <t>29.5</t>
        </is>
      </c>
      <c r="G126" s="156" t="inlineStr">
        <is>
          <t>11.5</t>
        </is>
      </c>
      <c r="H126" s="156" t="inlineStr">
        <is>
          <t>Stetson</t>
        </is>
      </c>
      <c r="I126" s="156" t="inlineStr">
        <is>
          <t>Bota Piel Negro</t>
        </is>
      </c>
      <c r="J126" s="156" t="inlineStr">
        <is>
          <t>Calzado</t>
        </is>
      </c>
      <c r="K126" s="156" t="inlineStr">
        <is>
          <t>Botas</t>
        </is>
      </c>
      <c r="L126" s="156" t="inlineStr">
        <is>
          <t>Hombre</t>
        </is>
      </c>
      <c r="M126" s="156" t="inlineStr">
        <is>
          <t>Stetson</t>
        </is>
      </c>
      <c r="N126" s="156" t="inlineStr">
        <is>
          <t>SS26</t>
        </is>
      </c>
      <c r="O126" s="156" t="inlineStr">
        <is>
          <t>Seasonal</t>
        </is>
      </c>
      <c r="P126" s="156" t="inlineStr">
        <is>
          <t>Negro</t>
        </is>
      </c>
      <c r="Q126" s="156" t="n"/>
      <c r="R126" s="156" t="inlineStr">
        <is>
          <t>Punta Redonda Ancha</t>
        </is>
      </c>
      <c r="S126" s="156" t="inlineStr">
        <is>
          <t>Piel bovina</t>
        </is>
      </c>
      <c r="T126" s="156" t="inlineStr">
        <is>
          <t>Bota Caballero Piel bovina Boney Negro Punta Redonda Ancha</t>
        </is>
      </c>
      <c r="U126" s="156" t="inlineStr">
        <is>
          <t>México</t>
        </is>
      </c>
      <c r="V126" s="156" t="inlineStr">
        <is>
          <t>PRS</t>
        </is>
      </c>
      <c r="W126" s="51" t="inlineStr">
        <is>
          <t>53111501</t>
        </is>
      </c>
      <c r="X126" s="156" t="n"/>
      <c r="Y126" s="54" t="n">
        <v>776</v>
      </c>
      <c r="Z126" s="54" t="n">
        <v>4482.758621</v>
      </c>
      <c r="AA126" s="55">
        <f>IF(AND(A126="", B126="", E126=""), "", IF(AB126="", "Válido", IF((LEN(AB126)-LEN(SUBSTITUTE(AB126,"; ","")))/2+1&gt;(LEN(AB126)-LEN(SUBSTITUTE(AB126,"[Aviso]","")))/7, "Con Incidencias", "Válido")))</f>
        <v/>
      </c>
      <c r="AB126" s="56">
        <f>IF(AND(A126="", B126="", E126=""), "", TEXTJOIN("; ", TRUE, IF(OR(TRIM(A126&amp;"")="", ISNUMBER(SEARCH("FALTA", A126))), "UPC faltante/inválido", ""), IF(AND(A126&lt;&gt;"", IFERROR(_xlfn.XMATCH(A126,$A$2:$A$2509,0,1)&lt;&gt;_xlfn.XMATCH(A126,$A$2:$A$2509,0,-1),FALSE)), "Código de barras duplicado", ""), IF(AND(E126&lt;&gt;"", COUNTIF($E$2:$E$2509, E126)&gt;1), "SKU duplicado", ""), IF(OR(J126="", J126=""), "[Aviso] División no capturada ()", IF(ISNA(MATCH(J126, Criterios!$A$123:$A$126, 0)), "División no válida", "")), IF(OR(K126="", K126=""), "[Aviso] Categoría no capturada ()", IF(ISNA(MATCH(K126, Criterios!$A$81:$A$120, 0)), "Categoría no válida", IF(AND(J126&lt;&gt;"", J126&lt;&gt;"", J126&lt;&gt;VLOOKUP(K126, Criterios!$A$81:$B$120, 2, FALSE)), "División no coincide con Categoría", ""))), IF(OR(L126="", L126=""), "[Aviso] Género no capturado ()", IF(ISNA(MATCH(L126, Criterios!$B$123:$B$127, 0)), "Género no válido", "")), IF(OR(N126="", N126=""), "[Aviso] Temporada no capturada ()", IF(ISNA(MATCH(N126, Criterios!$C$123:$C$128, 0)), "Temporada no válida", "")), IF(OR(O126="", O126=""), "[Aviso] Ciclo de vida no capturado ()", IF(ISNA(MATCH(O126, Criterios!$D$123:$D$124, 0)), "Ciclo de vida no válido", ""))))</f>
        <v/>
      </c>
      <c r="AC126" s="56" t="n"/>
      <c r="AD126" s="51" t="n">
        <v>-1</v>
      </c>
      <c r="AE126" s="156" t="n"/>
      <c r="AF126" s="51" t="n">
        <v>0</v>
      </c>
      <c r="AG126" s="156" t="inlineStr">
        <is>
          <t>Catálogo existente</t>
        </is>
      </c>
      <c r="AH1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6" s="156" t="inlineStr">
        <is>
          <t>Sí</t>
        </is>
      </c>
      <c r="AJ126" s="156" t="inlineStr">
        <is>
          <t>STETSON AMERICAS (-1)</t>
        </is>
      </c>
      <c r="AK126" s="155" t="inlineStr">
        <is>
          <t>Criterios: I [Q]; G1522_Extraccion_Articulos_NetSuite_2026-09-30.xlsx: fila 58698 [R] | Shopify Stetson: producto 15054563737963 / variante 53350541721963</t>
        </is>
      </c>
      <c r="AL126" s="58" t="n">
        <v>776</v>
      </c>
      <c r="AM126" s="58" t="n">
        <v>4482.758621</v>
      </c>
      <c r="AN126" s="155" t="inlineStr">
        <is>
          <t>Shopify Stetson México</t>
        </is>
      </c>
      <c r="AO126" s="59" t="n">
        <v>0</v>
      </c>
      <c r="AP126" s="59" t="n"/>
      <c r="AQ126" s="59" t="n"/>
      <c r="AR126" s="155" t="n"/>
    </row>
    <row r="127">
      <c r="A127" s="50" t="inlineStr">
        <is>
          <t>12020001101000305</t>
        </is>
      </c>
      <c r="B127" s="51" t="inlineStr">
        <is>
          <t>111024</t>
        </is>
      </c>
      <c r="C127" s="156" t="inlineStr">
        <is>
          <t>Multimarca</t>
        </is>
      </c>
      <c r="D127" s="156" t="inlineStr">
        <is>
          <t>12-020-BS001-10-1000</t>
        </is>
      </c>
      <c r="E127" s="156" t="inlineStr">
        <is>
          <t>12-020-BS001-10-1000-305</t>
        </is>
      </c>
      <c r="F127" s="156" t="inlineStr">
        <is>
          <t>30.5</t>
        </is>
      </c>
      <c r="G127" s="156" t="inlineStr">
        <is>
          <t>12.5</t>
        </is>
      </c>
      <c r="H127" s="156" t="inlineStr">
        <is>
          <t>Stetson</t>
        </is>
      </c>
      <c r="I127" s="156" t="inlineStr">
        <is>
          <t>Bota Piel Negro</t>
        </is>
      </c>
      <c r="J127" s="156" t="inlineStr">
        <is>
          <t>Calzado</t>
        </is>
      </c>
      <c r="K127" s="156" t="inlineStr">
        <is>
          <t>Botas</t>
        </is>
      </c>
      <c r="L127" s="156" t="inlineStr">
        <is>
          <t>Hombre</t>
        </is>
      </c>
      <c r="M127" s="156" t="inlineStr">
        <is>
          <t>Stetson</t>
        </is>
      </c>
      <c r="N127" s="156" t="inlineStr">
        <is>
          <t>SS26</t>
        </is>
      </c>
      <c r="O127" s="156" t="inlineStr">
        <is>
          <t>Seasonal</t>
        </is>
      </c>
      <c r="P127" s="156" t="inlineStr">
        <is>
          <t>Negro</t>
        </is>
      </c>
      <c r="Q127" s="156" t="n"/>
      <c r="R127" s="156" t="inlineStr">
        <is>
          <t>Punta Redonda Ancha</t>
        </is>
      </c>
      <c r="S127" s="156" t="inlineStr">
        <is>
          <t>Piel bovina</t>
        </is>
      </c>
      <c r="T127" s="156" t="inlineStr">
        <is>
          <t>Bota Caballero Piel bovina Boney Negro Punta Redonda Ancha</t>
        </is>
      </c>
      <c r="U127" s="156" t="inlineStr">
        <is>
          <t>México</t>
        </is>
      </c>
      <c r="V127" s="156" t="inlineStr">
        <is>
          <t>PRS</t>
        </is>
      </c>
      <c r="W127" s="51" t="inlineStr">
        <is>
          <t>53111501</t>
        </is>
      </c>
      <c r="X127" s="156" t="n"/>
      <c r="Y127" s="54" t="n">
        <v>776</v>
      </c>
      <c r="Z127" s="54" t="n">
        <v>4482.758621</v>
      </c>
      <c r="AA127" s="55">
        <f>IF(AND(A127="", B127="", E127=""), "", IF(AB127="", "Válido", IF((LEN(AB127)-LEN(SUBSTITUTE(AB127,"; ","")))/2+1&gt;(LEN(AB127)-LEN(SUBSTITUTE(AB127,"[Aviso]","")))/7, "Con Incidencias", "Válido")))</f>
        <v/>
      </c>
      <c r="AB127" s="56">
        <f>IF(AND(A127="", B127="", E127=""), "", TEXTJOIN("; ", TRUE, IF(OR(TRIM(A127&amp;"")="", ISNUMBER(SEARCH("FALTA", A127))), "UPC faltante/inválido", ""), IF(AND(A127&lt;&gt;"", IFERROR(_xlfn.XMATCH(A127,$A$2:$A$2509,0,1)&lt;&gt;_xlfn.XMATCH(A127,$A$2:$A$2509,0,-1),FALSE)), "Código de barras duplicado", ""), IF(AND(E127&lt;&gt;"", COUNTIF($E$2:$E$2509, E127)&gt;1), "SKU duplicado", ""), IF(OR(J127="", J127=""), "[Aviso] División no capturada ()", IF(ISNA(MATCH(J127, Criterios!$A$123:$A$126, 0)), "División no válida", "")), IF(OR(K127="", K127=""), "[Aviso] Categoría no capturada ()", IF(ISNA(MATCH(K127, Criterios!$A$81:$A$120, 0)), "Categoría no válida", IF(AND(J127&lt;&gt;"", J127&lt;&gt;"", J127&lt;&gt;VLOOKUP(K127, Criterios!$A$81:$B$120, 2, FALSE)), "División no coincide con Categoría", ""))), IF(OR(L127="", L127=""), "[Aviso] Género no capturado ()", IF(ISNA(MATCH(L127, Criterios!$B$123:$B$127, 0)), "Género no válido", "")), IF(OR(N127="", N127=""), "[Aviso] Temporada no capturada ()", IF(ISNA(MATCH(N127, Criterios!$C$123:$C$128, 0)), "Temporada no válida", "")), IF(OR(O127="", O127=""), "[Aviso] Ciclo de vida no capturado ()", IF(ISNA(MATCH(O127, Criterios!$D$123:$D$124, 0)), "Ciclo de vida no válido", ""))))</f>
        <v/>
      </c>
      <c r="AC127" s="56" t="n"/>
      <c r="AD127" s="51" t="n">
        <v>0</v>
      </c>
      <c r="AE127" s="156" t="n"/>
      <c r="AF127" s="51" t="n">
        <v>0</v>
      </c>
      <c r="AG127" s="156" t="inlineStr">
        <is>
          <t>Catálogo existente</t>
        </is>
      </c>
      <c r="AH1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7" s="156" t="inlineStr">
        <is>
          <t>No</t>
        </is>
      </c>
      <c r="AJ127" s="156" t="n"/>
      <c r="AK127" s="155" t="inlineStr">
        <is>
          <t>Criterios: I [Q]; G1522_Extraccion_Articulos_NetSuite_2026-09-30.xlsx: fila 58699 [R] | Shopify Stetson: producto 15054563737963 / variante 53350541787499</t>
        </is>
      </c>
      <c r="AL127" s="58" t="n">
        <v>776</v>
      </c>
      <c r="AM127" s="58" t="n">
        <v>4482.758621</v>
      </c>
      <c r="AN127" s="155" t="inlineStr">
        <is>
          <t>Shopify Stetson México</t>
        </is>
      </c>
      <c r="AO127" s="59" t="n">
        <v>0</v>
      </c>
      <c r="AP127" s="59" t="n"/>
      <c r="AQ127" s="59" t="n"/>
      <c r="AR127" s="155" t="n"/>
    </row>
    <row r="128">
      <c r="A128" s="50" t="inlineStr">
        <is>
          <t>12020001101000315</t>
        </is>
      </c>
      <c r="B128" s="51" t="inlineStr">
        <is>
          <t>111025</t>
        </is>
      </c>
      <c r="C128" s="156" t="inlineStr">
        <is>
          <t>Multimarca</t>
        </is>
      </c>
      <c r="D128" s="156" t="inlineStr">
        <is>
          <t>12-020-BS001-10-1000</t>
        </is>
      </c>
      <c r="E128" s="156" t="inlineStr">
        <is>
          <t>12-020-BS001-10-1000-315</t>
        </is>
      </c>
      <c r="F128" s="156" t="inlineStr">
        <is>
          <t>31.5</t>
        </is>
      </c>
      <c r="G128" s="156" t="inlineStr">
        <is>
          <t>13.5</t>
        </is>
      </c>
      <c r="H128" s="156" t="inlineStr">
        <is>
          <t>Stetson</t>
        </is>
      </c>
      <c r="I128" s="156" t="inlineStr">
        <is>
          <t>Bota Piel Negro</t>
        </is>
      </c>
      <c r="J128" s="156" t="inlineStr">
        <is>
          <t>Calzado</t>
        </is>
      </c>
      <c r="K128" s="156" t="inlineStr">
        <is>
          <t>Botas</t>
        </is>
      </c>
      <c r="L128" s="156" t="inlineStr">
        <is>
          <t>Hombre</t>
        </is>
      </c>
      <c r="M128" s="156" t="inlineStr">
        <is>
          <t>Stetson</t>
        </is>
      </c>
      <c r="N128" s="156" t="inlineStr">
        <is>
          <t>SS26</t>
        </is>
      </c>
      <c r="O128" s="156" t="inlineStr">
        <is>
          <t>Seasonal</t>
        </is>
      </c>
      <c r="P128" s="156" t="inlineStr">
        <is>
          <t>Negro</t>
        </is>
      </c>
      <c r="Q128" s="156" t="n"/>
      <c r="R128" s="156" t="inlineStr">
        <is>
          <t>Punta Redonda Ancha</t>
        </is>
      </c>
      <c r="S128" s="156" t="inlineStr">
        <is>
          <t>Piel bovina</t>
        </is>
      </c>
      <c r="T128" s="156" t="inlineStr">
        <is>
          <t>Bota Caballero Piel bovina Boney Negro Punta Redonda Ancha</t>
        </is>
      </c>
      <c r="U128" s="156" t="inlineStr">
        <is>
          <t>México</t>
        </is>
      </c>
      <c r="V128" s="156" t="inlineStr">
        <is>
          <t>PRS</t>
        </is>
      </c>
      <c r="W128" s="51" t="inlineStr">
        <is>
          <t>53111501</t>
        </is>
      </c>
      <c r="X128" s="156" t="n"/>
      <c r="Y128" s="54" t="n">
        <v>776</v>
      </c>
      <c r="Z128" s="54" t="n">
        <v>4482.758621</v>
      </c>
      <c r="AA128" s="55">
        <f>IF(AND(A128="", B128="", E128=""), "", IF(AB128="", "Válido", IF((LEN(AB128)-LEN(SUBSTITUTE(AB128,"; ","")))/2+1&gt;(LEN(AB128)-LEN(SUBSTITUTE(AB128,"[Aviso]","")))/7, "Con Incidencias", "Válido")))</f>
        <v/>
      </c>
      <c r="AB128" s="56">
        <f>IF(AND(A128="", B128="", E128=""), "", TEXTJOIN("; ", TRUE, IF(OR(TRIM(A128&amp;"")="", ISNUMBER(SEARCH("FALTA", A128))), "UPC faltante/inválido", ""), IF(AND(A128&lt;&gt;"", IFERROR(_xlfn.XMATCH(A128,$A$2:$A$2509,0,1)&lt;&gt;_xlfn.XMATCH(A128,$A$2:$A$2509,0,-1),FALSE)), "Código de barras duplicado", ""), IF(AND(E128&lt;&gt;"", COUNTIF($E$2:$E$2509, E128)&gt;1), "SKU duplicado", ""), IF(OR(J128="", J128=""), "[Aviso] División no capturada ()", IF(ISNA(MATCH(J128, Criterios!$A$123:$A$126, 0)), "División no válida", "")), IF(OR(K128="", K128=""), "[Aviso] Categoría no capturada ()", IF(ISNA(MATCH(K128, Criterios!$A$81:$A$120, 0)), "Categoría no válida", IF(AND(J128&lt;&gt;"", J128&lt;&gt;"", J128&lt;&gt;VLOOKUP(K128, Criterios!$A$81:$B$120, 2, FALSE)), "División no coincide con Categoría", ""))), IF(OR(L128="", L128=""), "[Aviso] Género no capturado ()", IF(ISNA(MATCH(L128, Criterios!$B$123:$B$127, 0)), "Género no válido", "")), IF(OR(N128="", N128=""), "[Aviso] Temporada no capturada ()", IF(ISNA(MATCH(N128, Criterios!$C$123:$C$128, 0)), "Temporada no válida", "")), IF(OR(O128="", O128=""), "[Aviso] Ciclo de vida no capturado ()", IF(ISNA(MATCH(O128, Criterios!$D$123:$D$124, 0)), "Ciclo de vida no válido", ""))))</f>
        <v/>
      </c>
      <c r="AC128" s="56" t="n"/>
      <c r="AD128" s="51" t="n">
        <v>0</v>
      </c>
      <c r="AE128" s="156" t="n"/>
      <c r="AF128" s="51" t="n">
        <v>0</v>
      </c>
      <c r="AG128" s="156" t="inlineStr">
        <is>
          <t>Catálogo existente</t>
        </is>
      </c>
      <c r="AH1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8" s="156" t="inlineStr">
        <is>
          <t>No</t>
        </is>
      </c>
      <c r="AJ128" s="156" t="n"/>
      <c r="AK128" s="155" t="inlineStr">
        <is>
          <t>Criterios: I [Q]; G1522_Extraccion_Articulos_NetSuite_2026-09-30.xlsx: fila 58700 [R] | Shopify Stetson: producto 15054563737963 / variante 53350541853035</t>
        </is>
      </c>
      <c r="AL128" s="58" t="n">
        <v>776</v>
      </c>
      <c r="AM128" s="58" t="n">
        <v>4482.758621</v>
      </c>
      <c r="AN128" s="155" t="inlineStr">
        <is>
          <t>Shopify Stetson México</t>
        </is>
      </c>
      <c r="AO128" s="59" t="n">
        <v>0</v>
      </c>
      <c r="AP128" s="59" t="n"/>
      <c r="AQ128" s="59" t="n"/>
      <c r="AR128" s="155" t="n"/>
    </row>
    <row r="129">
      <c r="A129" s="50" t="inlineStr">
        <is>
          <t>12020001101000325</t>
        </is>
      </c>
      <c r="B129" s="51" t="inlineStr">
        <is>
          <t>111026</t>
        </is>
      </c>
      <c r="C129" s="156" t="inlineStr">
        <is>
          <t>Multimarca</t>
        </is>
      </c>
      <c r="D129" s="156" t="inlineStr">
        <is>
          <t>12-020-BS001-10-1000</t>
        </is>
      </c>
      <c r="E129" s="156" t="inlineStr">
        <is>
          <t>12-020-BS001-10-1000-325</t>
        </is>
      </c>
      <c r="F129" s="156" t="inlineStr">
        <is>
          <t>32.5</t>
        </is>
      </c>
      <c r="G129" s="156" t="inlineStr">
        <is>
          <t>14.5</t>
        </is>
      </c>
      <c r="H129" s="156" t="inlineStr">
        <is>
          <t>Stetson</t>
        </is>
      </c>
      <c r="I129" s="156" t="inlineStr">
        <is>
          <t>Bota Piel Negro</t>
        </is>
      </c>
      <c r="J129" s="156" t="inlineStr">
        <is>
          <t>Calzado</t>
        </is>
      </c>
      <c r="K129" s="156" t="inlineStr">
        <is>
          <t>Botas</t>
        </is>
      </c>
      <c r="L129" s="156" t="inlineStr">
        <is>
          <t>Hombre</t>
        </is>
      </c>
      <c r="M129" s="156" t="inlineStr">
        <is>
          <t>Stetson</t>
        </is>
      </c>
      <c r="N129" s="156" t="inlineStr">
        <is>
          <t>SS26</t>
        </is>
      </c>
      <c r="O129" s="156" t="inlineStr">
        <is>
          <t>Seasonal</t>
        </is>
      </c>
      <c r="P129" s="156" t="inlineStr">
        <is>
          <t>Negro</t>
        </is>
      </c>
      <c r="Q129" s="156" t="n"/>
      <c r="R129" s="156" t="inlineStr">
        <is>
          <t>Punta Redonda Ancha</t>
        </is>
      </c>
      <c r="S129" s="156" t="inlineStr">
        <is>
          <t>Piel bovina</t>
        </is>
      </c>
      <c r="T129" s="156" t="inlineStr">
        <is>
          <t>Bota Caballero Piel bovina Boney Negro Punta Redonda Ancha</t>
        </is>
      </c>
      <c r="U129" s="156" t="inlineStr">
        <is>
          <t>México</t>
        </is>
      </c>
      <c r="V129" s="156" t="inlineStr">
        <is>
          <t>PRS</t>
        </is>
      </c>
      <c r="W129" s="51" t="inlineStr">
        <is>
          <t>53111501</t>
        </is>
      </c>
      <c r="X129" s="156" t="n"/>
      <c r="Y129" s="54" t="n">
        <v>776</v>
      </c>
      <c r="Z129" s="54" t="n">
        <v>4482.758621</v>
      </c>
      <c r="AA129" s="55">
        <f>IF(AND(A129="", B129="", E129=""), "", IF(AB129="", "Válido", IF((LEN(AB129)-LEN(SUBSTITUTE(AB129,"; ","")))/2+1&gt;(LEN(AB129)-LEN(SUBSTITUTE(AB129,"[Aviso]","")))/7, "Con Incidencias", "Válido")))</f>
        <v/>
      </c>
      <c r="AB129" s="56">
        <f>IF(AND(A129="", B129="", E129=""), "", TEXTJOIN("; ", TRUE, IF(OR(TRIM(A129&amp;"")="", ISNUMBER(SEARCH("FALTA", A129))), "UPC faltante/inválido", ""), IF(AND(A129&lt;&gt;"", IFERROR(_xlfn.XMATCH(A129,$A$2:$A$2509,0,1)&lt;&gt;_xlfn.XMATCH(A129,$A$2:$A$2509,0,-1),FALSE)), "Código de barras duplicado", ""), IF(AND(E129&lt;&gt;"", COUNTIF($E$2:$E$2509, E129)&gt;1), "SKU duplicado", ""), IF(OR(J129="", J129=""), "[Aviso] División no capturada ()", IF(ISNA(MATCH(J129, Criterios!$A$123:$A$126, 0)), "División no válida", "")), IF(OR(K129="", K129=""), "[Aviso] Categoría no capturada ()", IF(ISNA(MATCH(K129, Criterios!$A$81:$A$120, 0)), "Categoría no válida", IF(AND(J129&lt;&gt;"", J129&lt;&gt;"", J129&lt;&gt;VLOOKUP(K129, Criterios!$A$81:$B$120, 2, FALSE)), "División no coincide con Categoría", ""))), IF(OR(L129="", L129=""), "[Aviso] Género no capturado ()", IF(ISNA(MATCH(L129, Criterios!$B$123:$B$127, 0)), "Género no válido", "")), IF(OR(N129="", N129=""), "[Aviso] Temporada no capturada ()", IF(ISNA(MATCH(N129, Criterios!$C$123:$C$128, 0)), "Temporada no válida", "")), IF(OR(O129="", O129=""), "[Aviso] Ciclo de vida no capturado ()", IF(ISNA(MATCH(O129, Criterios!$D$123:$D$124, 0)), "Ciclo de vida no válido", ""))))</f>
        <v/>
      </c>
      <c r="AC129" s="56" t="n"/>
      <c r="AD129" s="51" t="n">
        <v>0</v>
      </c>
      <c r="AE129" s="156" t="n"/>
      <c r="AF129" s="51" t="n">
        <v>0</v>
      </c>
      <c r="AG129" s="156" t="inlineStr">
        <is>
          <t>Catálogo existente</t>
        </is>
      </c>
      <c r="AH1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9" s="156" t="inlineStr">
        <is>
          <t>No</t>
        </is>
      </c>
      <c r="AJ129" s="156" t="n"/>
      <c r="AK129" s="155" t="inlineStr">
        <is>
          <t>Criterios: I [Q]; G1522_Extraccion_Articulos_NetSuite_2026-09-30.xlsx: fila 58701 [R] | Shopify Stetson: producto 15054563737963 / variante 53350541918571</t>
        </is>
      </c>
      <c r="AL129" s="58" t="n">
        <v>776</v>
      </c>
      <c r="AM129" s="58" t="n">
        <v>4482.758621</v>
      </c>
      <c r="AN129" s="155" t="inlineStr">
        <is>
          <t>Shopify Stetson México</t>
        </is>
      </c>
      <c r="AO129" s="59" t="n">
        <v>0</v>
      </c>
      <c r="AP129" s="59" t="n"/>
      <c r="AQ129" s="59" t="n"/>
      <c r="AR129" s="155" t="n"/>
    </row>
    <row r="130">
      <c r="A130" s="50" t="inlineStr">
        <is>
          <t>12020001101001025</t>
        </is>
      </c>
      <c r="B130" s="51" t="inlineStr">
        <is>
          <t>111027</t>
        </is>
      </c>
      <c r="C130" s="156" t="inlineStr">
        <is>
          <t>Multimarca</t>
        </is>
      </c>
      <c r="D130" s="156" t="inlineStr">
        <is>
          <t>12-020-BS001-10-1001</t>
        </is>
      </c>
      <c r="E130" s="156" t="inlineStr">
        <is>
          <t>12-020-BS001-10-1001-025</t>
        </is>
      </c>
      <c r="F130" s="156" t="inlineStr">
        <is>
          <t>25</t>
        </is>
      </c>
      <c r="G130" s="156" t="inlineStr">
        <is>
          <t>7</t>
        </is>
      </c>
      <c r="H130" s="156" t="inlineStr">
        <is>
          <t>Stetson</t>
        </is>
      </c>
      <c r="I130" s="156" t="inlineStr">
        <is>
          <t>Bota Piel Cognac</t>
        </is>
      </c>
      <c r="J130" s="156" t="inlineStr">
        <is>
          <t>Calzado</t>
        </is>
      </c>
      <c r="K130" s="156" t="inlineStr">
        <is>
          <t>Botas</t>
        </is>
      </c>
      <c r="L130" s="156" t="inlineStr">
        <is>
          <t>Hombre</t>
        </is>
      </c>
      <c r="M130" s="156" t="inlineStr">
        <is>
          <t>Stetson</t>
        </is>
      </c>
      <c r="N130" s="156" t="inlineStr">
        <is>
          <t>SS26</t>
        </is>
      </c>
      <c r="O130" s="156" t="inlineStr">
        <is>
          <t>Seasonal</t>
        </is>
      </c>
      <c r="P130" s="156" t="inlineStr">
        <is>
          <t>Cafe</t>
        </is>
      </c>
      <c r="Q130" s="156" t="n"/>
      <c r="R130" s="156" t="inlineStr">
        <is>
          <t>Punta Redonda Ancha</t>
        </is>
      </c>
      <c r="S130" s="156" t="inlineStr">
        <is>
          <t>Piel bovina</t>
        </is>
      </c>
      <c r="T130" s="156" t="inlineStr">
        <is>
          <t>Bota Caballero Piel bovina Boney Cognac Punta Redonda Ancha</t>
        </is>
      </c>
      <c r="U130" s="156" t="inlineStr">
        <is>
          <t>México</t>
        </is>
      </c>
      <c r="V130" s="156" t="inlineStr">
        <is>
          <t>PRS</t>
        </is>
      </c>
      <c r="W130" s="51" t="inlineStr">
        <is>
          <t>53111501</t>
        </is>
      </c>
      <c r="X130" s="156" t="n"/>
      <c r="Y130" s="54" t="n">
        <v>776</v>
      </c>
      <c r="Z130" s="54" t="n">
        <v>4482.758621</v>
      </c>
      <c r="AA130" s="55">
        <f>IF(AND(A130="", B130="", E130=""), "", IF(AB130="", "Válido", IF((LEN(AB130)-LEN(SUBSTITUTE(AB130,"; ","")))/2+1&gt;(LEN(AB130)-LEN(SUBSTITUTE(AB130,"[Aviso]","")))/7, "Con Incidencias", "Válido")))</f>
        <v/>
      </c>
      <c r="AB130" s="56">
        <f>IF(AND(A130="", B130="", E130=""), "", TEXTJOIN("; ", TRUE, IF(OR(TRIM(A130&amp;"")="", ISNUMBER(SEARCH("FALTA", A130))), "UPC faltante/inválido", ""), IF(AND(A130&lt;&gt;"", IFERROR(_xlfn.XMATCH(A130,$A$2:$A$2509,0,1)&lt;&gt;_xlfn.XMATCH(A130,$A$2:$A$2509,0,-1),FALSE)), "Código de barras duplicado", ""), IF(AND(E130&lt;&gt;"", COUNTIF($E$2:$E$2509, E130)&gt;1), "SKU duplicado", ""), IF(OR(J130="", J130=""), "[Aviso] División no capturada ()", IF(ISNA(MATCH(J130, Criterios!$A$123:$A$126, 0)), "División no válida", "")), IF(OR(K130="", K130=""), "[Aviso] Categoría no capturada ()", IF(ISNA(MATCH(K130, Criterios!$A$81:$A$120, 0)), "Categoría no válida", IF(AND(J130&lt;&gt;"", J130&lt;&gt;"", J130&lt;&gt;VLOOKUP(K130, Criterios!$A$81:$B$120, 2, FALSE)), "División no coincide con Categoría", ""))), IF(OR(L130="", L130=""), "[Aviso] Género no capturado ()", IF(ISNA(MATCH(L130, Criterios!$B$123:$B$127, 0)), "Género no válido", "")), IF(OR(N130="", N130=""), "[Aviso] Temporada no capturada ()", IF(ISNA(MATCH(N130, Criterios!$C$123:$C$128, 0)), "Temporada no válida", "")), IF(OR(O130="", O130=""), "[Aviso] Ciclo de vida no capturado ()", IF(ISNA(MATCH(O130, Criterios!$D$123:$D$124, 0)), "Ciclo de vida no válido", ""))))</f>
        <v/>
      </c>
      <c r="AC130" s="56" t="n"/>
      <c r="AD130" s="51" t="n">
        <v>0</v>
      </c>
      <c r="AE130" s="156" t="n"/>
      <c r="AF130" s="51" t="n">
        <v>0</v>
      </c>
      <c r="AG130" s="156" t="inlineStr">
        <is>
          <t>Catálogo existente</t>
        </is>
      </c>
      <c r="AH1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0" s="156" t="inlineStr">
        <is>
          <t>No</t>
        </is>
      </c>
      <c r="AJ130" s="156" t="n"/>
      <c r="AK130" s="155" t="inlineStr">
        <is>
          <t>Criterios: I [Q]; G1522_Extraccion_Articulos_NetSuite_2026-09-30.xlsx: fila 58702 [R] | Shopify Stetson: producto 15054563770731 / variante 53350541951339</t>
        </is>
      </c>
      <c r="AL130" s="58" t="n">
        <v>776</v>
      </c>
      <c r="AM130" s="58" t="n">
        <v>4482.758621</v>
      </c>
      <c r="AN130" s="155" t="inlineStr">
        <is>
          <t>Shopify Stetson México</t>
        </is>
      </c>
      <c r="AO130" s="59" t="n">
        <v>0</v>
      </c>
      <c r="AP130" s="59" t="n"/>
      <c r="AQ130" s="59" t="n"/>
      <c r="AR130" s="155" t="n"/>
    </row>
    <row r="131">
      <c r="A131" s="50" t="inlineStr">
        <is>
          <t>12020001101001026</t>
        </is>
      </c>
      <c r="B131" s="51" t="inlineStr">
        <is>
          <t>111028</t>
        </is>
      </c>
      <c r="C131" s="156" t="inlineStr">
        <is>
          <t>Multimarca</t>
        </is>
      </c>
      <c r="D131" s="156" t="inlineStr">
        <is>
          <t>12-020-BS001-10-1001</t>
        </is>
      </c>
      <c r="E131" s="156" t="inlineStr">
        <is>
          <t>12-020-BS001-10-1001-026</t>
        </is>
      </c>
      <c r="F131" s="156" t="inlineStr">
        <is>
          <t>26</t>
        </is>
      </c>
      <c r="G131" s="156" t="inlineStr">
        <is>
          <t>8</t>
        </is>
      </c>
      <c r="H131" s="156" t="inlineStr">
        <is>
          <t>Stetson</t>
        </is>
      </c>
      <c r="I131" s="156" t="inlineStr">
        <is>
          <t>Bota Piel Cognac</t>
        </is>
      </c>
      <c r="J131" s="156" t="inlineStr">
        <is>
          <t>Calzado</t>
        </is>
      </c>
      <c r="K131" s="156" t="inlineStr">
        <is>
          <t>Botas</t>
        </is>
      </c>
      <c r="L131" s="156" t="inlineStr">
        <is>
          <t>Hombre</t>
        </is>
      </c>
      <c r="M131" s="156" t="inlineStr">
        <is>
          <t>Stetson</t>
        </is>
      </c>
      <c r="N131" s="156" t="inlineStr">
        <is>
          <t>SS26</t>
        </is>
      </c>
      <c r="O131" s="156" t="inlineStr">
        <is>
          <t>Seasonal</t>
        </is>
      </c>
      <c r="P131" s="156" t="inlineStr">
        <is>
          <t>Cafe</t>
        </is>
      </c>
      <c r="Q131" s="156" t="n"/>
      <c r="R131" s="156" t="inlineStr">
        <is>
          <t>Punta Redonda Ancha</t>
        </is>
      </c>
      <c r="S131" s="156" t="inlineStr">
        <is>
          <t>Piel bovina</t>
        </is>
      </c>
      <c r="T131" s="156" t="inlineStr">
        <is>
          <t>Bota Caballero Piel bovina Boney Cognac Punta Redonda Ancha</t>
        </is>
      </c>
      <c r="U131" s="156" t="inlineStr">
        <is>
          <t>México</t>
        </is>
      </c>
      <c r="V131" s="156" t="inlineStr">
        <is>
          <t>PRS</t>
        </is>
      </c>
      <c r="W131" s="51" t="inlineStr">
        <is>
          <t>53111501</t>
        </is>
      </c>
      <c r="X131" s="156" t="n"/>
      <c r="Y131" s="54" t="n">
        <v>776</v>
      </c>
      <c r="Z131" s="54" t="n">
        <v>4482.758621</v>
      </c>
      <c r="AA131" s="55">
        <f>IF(AND(A131="", B131="", E131=""), "", IF(AB131="", "Válido", IF((LEN(AB131)-LEN(SUBSTITUTE(AB131,"; ","")))/2+1&gt;(LEN(AB131)-LEN(SUBSTITUTE(AB131,"[Aviso]","")))/7, "Con Incidencias", "Válido")))</f>
        <v/>
      </c>
      <c r="AB131" s="56">
        <f>IF(AND(A131="", B131="", E131=""), "", TEXTJOIN("; ", TRUE, IF(OR(TRIM(A131&amp;"")="", ISNUMBER(SEARCH("FALTA", A131))), "UPC faltante/inválido", ""), IF(AND(A131&lt;&gt;"", IFERROR(_xlfn.XMATCH(A131,$A$2:$A$2509,0,1)&lt;&gt;_xlfn.XMATCH(A131,$A$2:$A$2509,0,-1),FALSE)), "Código de barras duplicado", ""), IF(AND(E131&lt;&gt;"", COUNTIF($E$2:$E$2509, E131)&gt;1), "SKU duplicado", ""), IF(OR(J131="", J131=""), "[Aviso] División no capturada ()", IF(ISNA(MATCH(J131, Criterios!$A$123:$A$126, 0)), "División no válida", "")), IF(OR(K131="", K131=""), "[Aviso] Categoría no capturada ()", IF(ISNA(MATCH(K131, Criterios!$A$81:$A$120, 0)), "Categoría no válida", IF(AND(J131&lt;&gt;"", J131&lt;&gt;"", J131&lt;&gt;VLOOKUP(K131, Criterios!$A$81:$B$120, 2, FALSE)), "División no coincide con Categoría", ""))), IF(OR(L131="", L131=""), "[Aviso] Género no capturado ()", IF(ISNA(MATCH(L131, Criterios!$B$123:$B$127, 0)), "Género no válido", "")), IF(OR(N131="", N131=""), "[Aviso] Temporada no capturada ()", IF(ISNA(MATCH(N131, Criterios!$C$123:$C$128, 0)), "Temporada no válida", "")), IF(OR(O131="", O131=""), "[Aviso] Ciclo de vida no capturado ()", IF(ISNA(MATCH(O131, Criterios!$D$123:$D$124, 0)), "Ciclo de vida no válido", ""))))</f>
        <v/>
      </c>
      <c r="AC131" s="56" t="n"/>
      <c r="AD131" s="51" t="n">
        <v>0</v>
      </c>
      <c r="AE131" s="156" t="n"/>
      <c r="AF131" s="51" t="n">
        <v>0</v>
      </c>
      <c r="AG131" s="156" t="inlineStr">
        <is>
          <t>Catálogo existente</t>
        </is>
      </c>
      <c r="AH1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1" s="156" t="inlineStr">
        <is>
          <t>No</t>
        </is>
      </c>
      <c r="AJ131" s="156" t="n"/>
      <c r="AK131" s="155" t="inlineStr">
        <is>
          <t>Criterios: I [Q]; G1522_Extraccion_Articulos_NetSuite_2026-09-30.xlsx: fila 58703 [R] | Shopify Stetson: producto 15054563770731 / variante 53350542016875</t>
        </is>
      </c>
      <c r="AL131" s="58" t="n">
        <v>776</v>
      </c>
      <c r="AM131" s="58" t="n">
        <v>4482.758621</v>
      </c>
      <c r="AN131" s="155" t="inlineStr">
        <is>
          <t>Shopify Stetson México</t>
        </is>
      </c>
      <c r="AO131" s="59" t="n">
        <v>1</v>
      </c>
      <c r="AP131" s="59" t="n"/>
      <c r="AQ131" s="59" t="n"/>
      <c r="AR131" s="155" t="inlineStr">
        <is>
          <t>Shopify Stetson México › Stetson Americas: 1</t>
        </is>
      </c>
    </row>
    <row r="132">
      <c r="A132" s="50" t="inlineStr">
        <is>
          <t>12020001101001027</t>
        </is>
      </c>
      <c r="B132" s="51" t="inlineStr">
        <is>
          <t>111029</t>
        </is>
      </c>
      <c r="C132" s="156" t="inlineStr">
        <is>
          <t>Multimarca</t>
        </is>
      </c>
      <c r="D132" s="156" t="inlineStr">
        <is>
          <t>12-020-BS001-10-1001</t>
        </is>
      </c>
      <c r="E132" s="156" t="inlineStr">
        <is>
          <t>12-020-BS001-10-1001-027</t>
        </is>
      </c>
      <c r="F132" s="156" t="inlineStr">
        <is>
          <t>27</t>
        </is>
      </c>
      <c r="G132" s="156" t="inlineStr">
        <is>
          <t>9</t>
        </is>
      </c>
      <c r="H132" s="156" t="inlineStr">
        <is>
          <t>Stetson</t>
        </is>
      </c>
      <c r="I132" s="156" t="inlineStr">
        <is>
          <t>Bota Piel Cognac</t>
        </is>
      </c>
      <c r="J132" s="156" t="inlineStr">
        <is>
          <t>Calzado</t>
        </is>
      </c>
      <c r="K132" s="156" t="inlineStr">
        <is>
          <t>Botas</t>
        </is>
      </c>
      <c r="L132" s="156" t="inlineStr">
        <is>
          <t>Hombre</t>
        </is>
      </c>
      <c r="M132" s="156" t="inlineStr">
        <is>
          <t>Stetson</t>
        </is>
      </c>
      <c r="N132" s="156" t="inlineStr">
        <is>
          <t>SS26</t>
        </is>
      </c>
      <c r="O132" s="156" t="inlineStr">
        <is>
          <t>Seasonal</t>
        </is>
      </c>
      <c r="P132" s="156" t="inlineStr">
        <is>
          <t>Cafe</t>
        </is>
      </c>
      <c r="Q132" s="156" t="n"/>
      <c r="R132" s="156" t="inlineStr">
        <is>
          <t>Punta Redonda Ancha</t>
        </is>
      </c>
      <c r="S132" s="156" t="inlineStr">
        <is>
          <t>Piel bovina</t>
        </is>
      </c>
      <c r="T132" s="156" t="inlineStr">
        <is>
          <t>Bota Caballero Piel bovina Boney Cognac Punta Redonda Ancha</t>
        </is>
      </c>
      <c r="U132" s="156" t="inlineStr">
        <is>
          <t>México</t>
        </is>
      </c>
      <c r="V132" s="156" t="inlineStr">
        <is>
          <t>PRS</t>
        </is>
      </c>
      <c r="W132" s="51" t="inlineStr">
        <is>
          <t>53111501</t>
        </is>
      </c>
      <c r="X132" s="156" t="n"/>
      <c r="Y132" s="54" t="n">
        <v>776</v>
      </c>
      <c r="Z132" s="54" t="n">
        <v>4482.758621</v>
      </c>
      <c r="AA132" s="55">
        <f>IF(AND(A132="", B132="", E132=""), "", IF(AB132="", "Válido", IF((LEN(AB132)-LEN(SUBSTITUTE(AB132,"; ","")))/2+1&gt;(LEN(AB132)-LEN(SUBSTITUTE(AB132,"[Aviso]","")))/7, "Con Incidencias", "Válido")))</f>
        <v/>
      </c>
      <c r="AB132" s="56">
        <f>IF(AND(A132="", B132="", E132=""), "", TEXTJOIN("; ", TRUE, IF(OR(TRIM(A132&amp;"")="", ISNUMBER(SEARCH("FALTA", A132))), "UPC faltante/inválido", ""), IF(AND(A132&lt;&gt;"", IFERROR(_xlfn.XMATCH(A132,$A$2:$A$2509,0,1)&lt;&gt;_xlfn.XMATCH(A132,$A$2:$A$2509,0,-1),FALSE)), "Código de barras duplicado", ""), IF(AND(E132&lt;&gt;"", COUNTIF($E$2:$E$2509, E132)&gt;1), "SKU duplicado", ""), IF(OR(J132="", J132=""), "[Aviso] División no capturada ()", IF(ISNA(MATCH(J132, Criterios!$A$123:$A$126, 0)), "División no válida", "")), IF(OR(K132="", K132=""), "[Aviso] Categoría no capturada ()", IF(ISNA(MATCH(K132, Criterios!$A$81:$A$120, 0)), "Categoría no válida", IF(AND(J132&lt;&gt;"", J132&lt;&gt;"", J132&lt;&gt;VLOOKUP(K132, Criterios!$A$81:$B$120, 2, FALSE)), "División no coincide con Categoría", ""))), IF(OR(L132="", L132=""), "[Aviso] Género no capturado ()", IF(ISNA(MATCH(L132, Criterios!$B$123:$B$127, 0)), "Género no válido", "")), IF(OR(N132="", N132=""), "[Aviso] Temporada no capturada ()", IF(ISNA(MATCH(N132, Criterios!$C$123:$C$128, 0)), "Temporada no válida", "")), IF(OR(O132="", O132=""), "[Aviso] Ciclo de vida no capturado ()", IF(ISNA(MATCH(O132, Criterios!$D$123:$D$124, 0)), "Ciclo de vida no válido", ""))))</f>
        <v/>
      </c>
      <c r="AC132" s="56" t="n"/>
      <c r="AD132" s="51" t="n">
        <v>0</v>
      </c>
      <c r="AE132" s="156" t="n"/>
      <c r="AF132" s="51" t="n">
        <v>0</v>
      </c>
      <c r="AG132" s="156" t="inlineStr">
        <is>
          <t>Catálogo existente</t>
        </is>
      </c>
      <c r="AH1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2" s="156" t="inlineStr">
        <is>
          <t>No</t>
        </is>
      </c>
      <c r="AJ132" s="156" t="n"/>
      <c r="AK132" s="155" t="inlineStr">
        <is>
          <t>Criterios: I [Q]; G1522_Extraccion_Articulos_NetSuite_2026-09-30.xlsx: fila 58704 [R] | Shopify Stetson: producto 15054563770731 / variante 53350542082411</t>
        </is>
      </c>
      <c r="AL132" s="58" t="n">
        <v>776</v>
      </c>
      <c r="AM132" s="58" t="n">
        <v>4482.758621</v>
      </c>
      <c r="AN132" s="155" t="inlineStr">
        <is>
          <t>Shopify Stetson México</t>
        </is>
      </c>
      <c r="AO132" s="59" t="n">
        <v>2</v>
      </c>
      <c r="AP132" s="59" t="n"/>
      <c r="AQ132" s="59" t="n"/>
      <c r="AR132" s="155" t="inlineStr">
        <is>
          <t>Shopify Stetson México › Stetson Americas: 2</t>
        </is>
      </c>
    </row>
    <row r="133">
      <c r="A133" s="50" t="inlineStr">
        <is>
          <t>12020001101001028</t>
        </is>
      </c>
      <c r="B133" s="51" t="inlineStr">
        <is>
          <t>111030</t>
        </is>
      </c>
      <c r="C133" s="156" t="inlineStr">
        <is>
          <t>Multimarca</t>
        </is>
      </c>
      <c r="D133" s="156" t="inlineStr">
        <is>
          <t>12-020-BS001-10-1001</t>
        </is>
      </c>
      <c r="E133" s="156" t="inlineStr">
        <is>
          <t>12-020-BS001-10-1001-028</t>
        </is>
      </c>
      <c r="F133" s="156" t="inlineStr">
        <is>
          <t>28</t>
        </is>
      </c>
      <c r="G133" s="156" t="inlineStr">
        <is>
          <t>10</t>
        </is>
      </c>
      <c r="H133" s="156" t="inlineStr">
        <is>
          <t>Stetson</t>
        </is>
      </c>
      <c r="I133" s="156" t="inlineStr">
        <is>
          <t>Bota Piel Cognac</t>
        </is>
      </c>
      <c r="J133" s="156" t="inlineStr">
        <is>
          <t>Calzado</t>
        </is>
      </c>
      <c r="K133" s="156" t="inlineStr">
        <is>
          <t>Botas</t>
        </is>
      </c>
      <c r="L133" s="156" t="inlineStr">
        <is>
          <t>Hombre</t>
        </is>
      </c>
      <c r="M133" s="156" t="inlineStr">
        <is>
          <t>Stetson</t>
        </is>
      </c>
      <c r="N133" s="156" t="inlineStr">
        <is>
          <t>SS26</t>
        </is>
      </c>
      <c r="O133" s="156" t="inlineStr">
        <is>
          <t>Seasonal</t>
        </is>
      </c>
      <c r="P133" s="156" t="inlineStr">
        <is>
          <t>Cafe</t>
        </is>
      </c>
      <c r="Q133" s="156" t="n"/>
      <c r="R133" s="156" t="inlineStr">
        <is>
          <t>Punta Redonda Ancha</t>
        </is>
      </c>
      <c r="S133" s="156" t="inlineStr">
        <is>
          <t>Piel bovina</t>
        </is>
      </c>
      <c r="T133" s="156" t="inlineStr">
        <is>
          <t>Bota Caballero Piel bovina Boney Cognac Punta Redonda Ancha</t>
        </is>
      </c>
      <c r="U133" s="156" t="inlineStr">
        <is>
          <t>México</t>
        </is>
      </c>
      <c r="V133" s="156" t="inlineStr">
        <is>
          <t>PRS</t>
        </is>
      </c>
      <c r="W133" s="51" t="inlineStr">
        <is>
          <t>53111501</t>
        </is>
      </c>
      <c r="X133" s="156" t="n"/>
      <c r="Y133" s="54" t="n">
        <v>776</v>
      </c>
      <c r="Z133" s="54" t="n">
        <v>4482.758621</v>
      </c>
      <c r="AA133" s="55">
        <f>IF(AND(A133="", B133="", E133=""), "", IF(AB133="", "Válido", IF((LEN(AB133)-LEN(SUBSTITUTE(AB133,"; ","")))/2+1&gt;(LEN(AB133)-LEN(SUBSTITUTE(AB133,"[Aviso]","")))/7, "Con Incidencias", "Válido")))</f>
        <v/>
      </c>
      <c r="AB133" s="56">
        <f>IF(AND(A133="", B133="", E133=""), "", TEXTJOIN("; ", TRUE, IF(OR(TRIM(A133&amp;"")="", ISNUMBER(SEARCH("FALTA", A133))), "UPC faltante/inválido", ""), IF(AND(A133&lt;&gt;"", IFERROR(_xlfn.XMATCH(A133,$A$2:$A$2509,0,1)&lt;&gt;_xlfn.XMATCH(A133,$A$2:$A$2509,0,-1),FALSE)), "Código de barras duplicado", ""), IF(AND(E133&lt;&gt;"", COUNTIF($E$2:$E$2509, E133)&gt;1), "SKU duplicado", ""), IF(OR(J133="", J133=""), "[Aviso] División no capturada ()", IF(ISNA(MATCH(J133, Criterios!$A$123:$A$126, 0)), "División no válida", "")), IF(OR(K133="", K133=""), "[Aviso] Categoría no capturada ()", IF(ISNA(MATCH(K133, Criterios!$A$81:$A$120, 0)), "Categoría no válida", IF(AND(J133&lt;&gt;"", J133&lt;&gt;"", J133&lt;&gt;VLOOKUP(K133, Criterios!$A$81:$B$120, 2, FALSE)), "División no coincide con Categoría", ""))), IF(OR(L133="", L133=""), "[Aviso] Género no capturado ()", IF(ISNA(MATCH(L133, Criterios!$B$123:$B$127, 0)), "Género no válido", "")), IF(OR(N133="", N133=""), "[Aviso] Temporada no capturada ()", IF(ISNA(MATCH(N133, Criterios!$C$123:$C$128, 0)), "Temporada no válida", "")), IF(OR(O133="", O133=""), "[Aviso] Ciclo de vida no capturado ()", IF(ISNA(MATCH(O133, Criterios!$D$123:$D$124, 0)), "Ciclo de vida no válido", ""))))</f>
        <v/>
      </c>
      <c r="AC133" s="56" t="n"/>
      <c r="AD133" s="51" t="n">
        <v>-2</v>
      </c>
      <c r="AE133" s="156" t="n"/>
      <c r="AF133" s="51" t="n">
        <v>0</v>
      </c>
      <c r="AG133" s="156" t="inlineStr">
        <is>
          <t>Catálogo existente</t>
        </is>
      </c>
      <c r="AH13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3" s="156" t="inlineStr">
        <is>
          <t>Sí</t>
        </is>
      </c>
      <c r="AJ133" s="156" t="inlineStr">
        <is>
          <t>STETSON AMERICAS (-2)</t>
        </is>
      </c>
      <c r="AK133" s="155" t="inlineStr">
        <is>
          <t>Criterios: I [Q]; G1522_Extraccion_Articulos_NetSuite_2026-09-30.xlsx: fila 58705 [R] | Shopify Stetson: producto 15054563770731 / variante 53350542147947</t>
        </is>
      </c>
      <c r="AL133" s="58" t="n">
        <v>776</v>
      </c>
      <c r="AM133" s="58" t="n">
        <v>4482.758621</v>
      </c>
      <c r="AN133" s="155" t="inlineStr">
        <is>
          <t>Shopify Stetson México</t>
        </is>
      </c>
      <c r="AO133" s="59" t="n">
        <v>0</v>
      </c>
      <c r="AP133" s="59" t="n"/>
      <c r="AQ133" s="59" t="n"/>
      <c r="AR133" s="155" t="n"/>
    </row>
    <row r="134">
      <c r="A134" s="50" t="inlineStr">
        <is>
          <t>12020001101001029</t>
        </is>
      </c>
      <c r="B134" s="51" t="inlineStr">
        <is>
          <t>111031</t>
        </is>
      </c>
      <c r="C134" s="156" t="inlineStr">
        <is>
          <t>Multimarca</t>
        </is>
      </c>
      <c r="D134" s="156" t="inlineStr">
        <is>
          <t>12-020-BS001-10-1001</t>
        </is>
      </c>
      <c r="E134" s="156" t="inlineStr">
        <is>
          <t>12-020-BS001-10-1001-029</t>
        </is>
      </c>
      <c r="F134" s="156" t="inlineStr">
        <is>
          <t>29</t>
        </is>
      </c>
      <c r="G134" s="156" t="inlineStr">
        <is>
          <t>11</t>
        </is>
      </c>
      <c r="H134" s="156" t="inlineStr">
        <is>
          <t>Stetson</t>
        </is>
      </c>
      <c r="I134" s="156" t="inlineStr">
        <is>
          <t>Bota Piel Cognac</t>
        </is>
      </c>
      <c r="J134" s="156" t="inlineStr">
        <is>
          <t>Calzado</t>
        </is>
      </c>
      <c r="K134" s="156" t="inlineStr">
        <is>
          <t>Botas</t>
        </is>
      </c>
      <c r="L134" s="156" t="inlineStr">
        <is>
          <t>Hombre</t>
        </is>
      </c>
      <c r="M134" s="156" t="inlineStr">
        <is>
          <t>Stetson</t>
        </is>
      </c>
      <c r="N134" s="156" t="inlineStr">
        <is>
          <t>SS26</t>
        </is>
      </c>
      <c r="O134" s="156" t="inlineStr">
        <is>
          <t>Seasonal</t>
        </is>
      </c>
      <c r="P134" s="156" t="inlineStr">
        <is>
          <t>Cafe</t>
        </is>
      </c>
      <c r="Q134" s="156" t="n"/>
      <c r="R134" s="156" t="inlineStr">
        <is>
          <t>Punta Redonda Ancha</t>
        </is>
      </c>
      <c r="S134" s="156" t="inlineStr">
        <is>
          <t>Piel bovina</t>
        </is>
      </c>
      <c r="T134" s="156" t="inlineStr">
        <is>
          <t>Bota Caballero Piel bovina Boney Cognac Punta Redonda Ancha</t>
        </is>
      </c>
      <c r="U134" s="156" t="inlineStr">
        <is>
          <t>México</t>
        </is>
      </c>
      <c r="V134" s="156" t="inlineStr">
        <is>
          <t>PRS</t>
        </is>
      </c>
      <c r="W134" s="51" t="inlineStr">
        <is>
          <t>53111501</t>
        </is>
      </c>
      <c r="X134" s="156" t="n"/>
      <c r="Y134" s="54" t="n">
        <v>776</v>
      </c>
      <c r="Z134" s="54" t="n">
        <v>4482.758621</v>
      </c>
      <c r="AA134" s="55">
        <f>IF(AND(A134="", B134="", E134=""), "", IF(AB134="", "Válido", IF((LEN(AB134)-LEN(SUBSTITUTE(AB134,"; ","")))/2+1&gt;(LEN(AB134)-LEN(SUBSTITUTE(AB134,"[Aviso]","")))/7, "Con Incidencias", "Válido")))</f>
        <v/>
      </c>
      <c r="AB134" s="56">
        <f>IF(AND(A134="", B134="", E134=""), "", TEXTJOIN("; ", TRUE, IF(OR(TRIM(A134&amp;"")="", ISNUMBER(SEARCH("FALTA", A134))), "UPC faltante/inválido", ""), IF(AND(A134&lt;&gt;"", IFERROR(_xlfn.XMATCH(A134,$A$2:$A$2509,0,1)&lt;&gt;_xlfn.XMATCH(A134,$A$2:$A$2509,0,-1),FALSE)), "Código de barras duplicado", ""), IF(AND(E134&lt;&gt;"", COUNTIF($E$2:$E$2509, E134)&gt;1), "SKU duplicado", ""), IF(OR(J134="", J134=""), "[Aviso] División no capturada ()", IF(ISNA(MATCH(J134, Criterios!$A$123:$A$126, 0)), "División no válida", "")), IF(OR(K134="", K134=""), "[Aviso] Categoría no capturada ()", IF(ISNA(MATCH(K134, Criterios!$A$81:$A$120, 0)), "Categoría no válida", IF(AND(J134&lt;&gt;"", J134&lt;&gt;"", J134&lt;&gt;VLOOKUP(K134, Criterios!$A$81:$B$120, 2, FALSE)), "División no coincide con Categoría", ""))), IF(OR(L134="", L134=""), "[Aviso] Género no capturado ()", IF(ISNA(MATCH(L134, Criterios!$B$123:$B$127, 0)), "Género no válido", "")), IF(OR(N134="", N134=""), "[Aviso] Temporada no capturada ()", IF(ISNA(MATCH(N134, Criterios!$C$123:$C$128, 0)), "Temporada no válida", "")), IF(OR(O134="", O134=""), "[Aviso] Ciclo de vida no capturado ()", IF(ISNA(MATCH(O134, Criterios!$D$123:$D$124, 0)), "Ciclo de vida no válido", ""))))</f>
        <v/>
      </c>
      <c r="AC134" s="56" t="n"/>
      <c r="AD134" s="51" t="n">
        <v>0</v>
      </c>
      <c r="AE134" s="156" t="n"/>
      <c r="AF134" s="51" t="n">
        <v>0</v>
      </c>
      <c r="AG134" s="156" t="inlineStr">
        <is>
          <t>Catálogo existente</t>
        </is>
      </c>
      <c r="AH1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4" s="156" t="inlineStr">
        <is>
          <t>No</t>
        </is>
      </c>
      <c r="AJ134" s="156" t="n"/>
      <c r="AK134" s="155" t="inlineStr">
        <is>
          <t>Criterios: I [Q]; G1522_Extraccion_Articulos_NetSuite_2026-09-30.xlsx: fila 58706 [R] | Shopify Stetson: producto 15054563770731 / variante 53350542213483</t>
        </is>
      </c>
      <c r="AL134" s="58" t="n">
        <v>776</v>
      </c>
      <c r="AM134" s="58" t="n">
        <v>4482.758621</v>
      </c>
      <c r="AN134" s="155" t="inlineStr">
        <is>
          <t>Shopify Stetson México</t>
        </is>
      </c>
      <c r="AO134" s="59" t="n">
        <v>2</v>
      </c>
      <c r="AP134" s="59" t="n"/>
      <c r="AQ134" s="59" t="n"/>
      <c r="AR134" s="155" t="inlineStr">
        <is>
          <t>Shopify Stetson México › Stetson Americas: 2</t>
        </is>
      </c>
    </row>
    <row r="135">
      <c r="A135" s="50" t="inlineStr">
        <is>
          <t>12020001101001030</t>
        </is>
      </c>
      <c r="B135" s="51" t="inlineStr">
        <is>
          <t>111032</t>
        </is>
      </c>
      <c r="C135" s="156" t="inlineStr">
        <is>
          <t>Multimarca</t>
        </is>
      </c>
      <c r="D135" s="156" t="inlineStr">
        <is>
          <t>12-020-BS001-10-1001</t>
        </is>
      </c>
      <c r="E135" s="156" t="inlineStr">
        <is>
          <t>12-020-BS001-10-1001-030</t>
        </is>
      </c>
      <c r="F135" s="156" t="inlineStr">
        <is>
          <t>30</t>
        </is>
      </c>
      <c r="G135" s="156" t="inlineStr">
        <is>
          <t>12</t>
        </is>
      </c>
      <c r="H135" s="156" t="inlineStr">
        <is>
          <t>Stetson</t>
        </is>
      </c>
      <c r="I135" s="156" t="inlineStr">
        <is>
          <t>Bota Piel Cognac</t>
        </is>
      </c>
      <c r="J135" s="156" t="inlineStr">
        <is>
          <t>Calzado</t>
        </is>
      </c>
      <c r="K135" s="156" t="inlineStr">
        <is>
          <t>Botas</t>
        </is>
      </c>
      <c r="L135" s="156" t="inlineStr">
        <is>
          <t>Hombre</t>
        </is>
      </c>
      <c r="M135" s="156" t="inlineStr">
        <is>
          <t>Stetson</t>
        </is>
      </c>
      <c r="N135" s="156" t="inlineStr">
        <is>
          <t>SS26</t>
        </is>
      </c>
      <c r="O135" s="156" t="inlineStr">
        <is>
          <t>Seasonal</t>
        </is>
      </c>
      <c r="P135" s="156" t="inlineStr">
        <is>
          <t>Cafe</t>
        </is>
      </c>
      <c r="Q135" s="156" t="n"/>
      <c r="R135" s="156" t="inlineStr">
        <is>
          <t>Punta Redonda Ancha</t>
        </is>
      </c>
      <c r="S135" s="156" t="inlineStr">
        <is>
          <t>Piel bovina</t>
        </is>
      </c>
      <c r="T135" s="156" t="inlineStr">
        <is>
          <t>Bota Caballero Piel bovina Boney Cognac Punta Redonda Ancha</t>
        </is>
      </c>
      <c r="U135" s="156" t="inlineStr">
        <is>
          <t>México</t>
        </is>
      </c>
      <c r="V135" s="156" t="inlineStr">
        <is>
          <t>PRS</t>
        </is>
      </c>
      <c r="W135" s="51" t="inlineStr">
        <is>
          <t>53111501</t>
        </is>
      </c>
      <c r="X135" s="156" t="n"/>
      <c r="Y135" s="54" t="n">
        <v>776</v>
      </c>
      <c r="Z135" s="54" t="n">
        <v>4482.758621</v>
      </c>
      <c r="AA135" s="55">
        <f>IF(AND(A135="", B135="", E135=""), "", IF(AB135="", "Válido", IF((LEN(AB135)-LEN(SUBSTITUTE(AB135,"; ","")))/2+1&gt;(LEN(AB135)-LEN(SUBSTITUTE(AB135,"[Aviso]","")))/7, "Con Incidencias", "Válido")))</f>
        <v/>
      </c>
      <c r="AB135" s="56">
        <f>IF(AND(A135="", B135="", E135=""), "", TEXTJOIN("; ", TRUE, IF(OR(TRIM(A135&amp;"")="", ISNUMBER(SEARCH("FALTA", A135))), "UPC faltante/inválido", ""), IF(AND(A135&lt;&gt;"", IFERROR(_xlfn.XMATCH(A135,$A$2:$A$2509,0,1)&lt;&gt;_xlfn.XMATCH(A135,$A$2:$A$2509,0,-1),FALSE)), "Código de barras duplicado", ""), IF(AND(E135&lt;&gt;"", COUNTIF($E$2:$E$2509, E135)&gt;1), "SKU duplicado", ""), IF(OR(J135="", J135=""), "[Aviso] División no capturada ()", IF(ISNA(MATCH(J135, Criterios!$A$123:$A$126, 0)), "División no válida", "")), IF(OR(K135="", K135=""), "[Aviso] Categoría no capturada ()", IF(ISNA(MATCH(K135, Criterios!$A$81:$A$120, 0)), "Categoría no válida", IF(AND(J135&lt;&gt;"", J135&lt;&gt;"", J135&lt;&gt;VLOOKUP(K135, Criterios!$A$81:$B$120, 2, FALSE)), "División no coincide con Categoría", ""))), IF(OR(L135="", L135=""), "[Aviso] Género no capturado ()", IF(ISNA(MATCH(L135, Criterios!$B$123:$B$127, 0)), "Género no válido", "")), IF(OR(N135="", N135=""), "[Aviso] Temporada no capturada ()", IF(ISNA(MATCH(N135, Criterios!$C$123:$C$128, 0)), "Temporada no válida", "")), IF(OR(O135="", O135=""), "[Aviso] Ciclo de vida no capturado ()", IF(ISNA(MATCH(O135, Criterios!$D$123:$D$124, 0)), "Ciclo de vida no válido", ""))))</f>
        <v/>
      </c>
      <c r="AC135" s="56" t="n"/>
      <c r="AD135" s="51" t="n">
        <v>0</v>
      </c>
      <c r="AE135" s="156" t="n"/>
      <c r="AF135" s="51" t="n">
        <v>0</v>
      </c>
      <c r="AG135" s="156" t="inlineStr">
        <is>
          <t>Catálogo existente</t>
        </is>
      </c>
      <c r="AH1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5" s="156" t="inlineStr">
        <is>
          <t>No</t>
        </is>
      </c>
      <c r="AJ135" s="156" t="n"/>
      <c r="AK135" s="155" t="inlineStr">
        <is>
          <t>Criterios: I [Q]; G1522_Extraccion_Articulos_NetSuite_2026-09-30.xlsx: fila 58707 [R] | Shopify Stetson: producto 15054563770731 / variante 53350542279019</t>
        </is>
      </c>
      <c r="AL135" s="58" t="n">
        <v>776</v>
      </c>
      <c r="AM135" s="58" t="n">
        <v>4482.758621</v>
      </c>
      <c r="AN135" s="155" t="inlineStr">
        <is>
          <t>Shopify Stetson México</t>
        </is>
      </c>
      <c r="AO135" s="59" t="n">
        <v>1</v>
      </c>
      <c r="AP135" s="59" t="n"/>
      <c r="AQ135" s="59" t="n"/>
      <c r="AR135" s="155" t="inlineStr">
        <is>
          <t>Shopify Stetson México › Stetson Americas: 1</t>
        </is>
      </c>
    </row>
    <row r="136">
      <c r="A136" s="50" t="inlineStr">
        <is>
          <t>12020001101001031</t>
        </is>
      </c>
      <c r="B136" s="51" t="inlineStr">
        <is>
          <t>111033</t>
        </is>
      </c>
      <c r="C136" s="156" t="inlineStr">
        <is>
          <t>Multimarca</t>
        </is>
      </c>
      <c r="D136" s="156" t="inlineStr">
        <is>
          <t>12-020-BS001-10-1001</t>
        </is>
      </c>
      <c r="E136" s="156" t="inlineStr">
        <is>
          <t>12-020-BS001-10-1001-031</t>
        </is>
      </c>
      <c r="F136" s="156" t="inlineStr">
        <is>
          <t>31</t>
        </is>
      </c>
      <c r="G136" s="156" t="inlineStr">
        <is>
          <t>13</t>
        </is>
      </c>
      <c r="H136" s="156" t="inlineStr">
        <is>
          <t>Stetson</t>
        </is>
      </c>
      <c r="I136" s="156" t="inlineStr">
        <is>
          <t>Bota Piel Cognac</t>
        </is>
      </c>
      <c r="J136" s="156" t="inlineStr">
        <is>
          <t>Calzado</t>
        </is>
      </c>
      <c r="K136" s="156" t="inlineStr">
        <is>
          <t>Botas</t>
        </is>
      </c>
      <c r="L136" s="156" t="inlineStr">
        <is>
          <t>Hombre</t>
        </is>
      </c>
      <c r="M136" s="156" t="inlineStr">
        <is>
          <t>Stetson</t>
        </is>
      </c>
      <c r="N136" s="156" t="inlineStr">
        <is>
          <t>SS26</t>
        </is>
      </c>
      <c r="O136" s="156" t="inlineStr">
        <is>
          <t>Seasonal</t>
        </is>
      </c>
      <c r="P136" s="156" t="inlineStr">
        <is>
          <t>Cafe</t>
        </is>
      </c>
      <c r="Q136" s="156" t="n"/>
      <c r="R136" s="156" t="inlineStr">
        <is>
          <t>Punta Redonda Ancha</t>
        </is>
      </c>
      <c r="S136" s="156" t="inlineStr">
        <is>
          <t>Piel bovina</t>
        </is>
      </c>
      <c r="T136" s="156" t="inlineStr">
        <is>
          <t>Bota Caballero Piel bovina Boney Cognac Punta Redonda Ancha</t>
        </is>
      </c>
      <c r="U136" s="156" t="inlineStr">
        <is>
          <t>México</t>
        </is>
      </c>
      <c r="V136" s="156" t="inlineStr">
        <is>
          <t>PRS</t>
        </is>
      </c>
      <c r="W136" s="51" t="inlineStr">
        <is>
          <t>53111501</t>
        </is>
      </c>
      <c r="X136" s="156" t="n"/>
      <c r="Y136" s="54" t="n">
        <v>776</v>
      </c>
      <c r="Z136" s="54" t="n">
        <v>4482.758621</v>
      </c>
      <c r="AA136" s="55">
        <f>IF(AND(A136="", B136="", E136=""), "", IF(AB136="", "Válido", IF((LEN(AB136)-LEN(SUBSTITUTE(AB136,"; ","")))/2+1&gt;(LEN(AB136)-LEN(SUBSTITUTE(AB136,"[Aviso]","")))/7, "Con Incidencias", "Válido")))</f>
        <v/>
      </c>
      <c r="AB136" s="56">
        <f>IF(AND(A136="", B136="", E136=""), "", TEXTJOIN("; ", TRUE, IF(OR(TRIM(A136&amp;"")="", ISNUMBER(SEARCH("FALTA", A136))), "UPC faltante/inválido", ""), IF(AND(A136&lt;&gt;"", IFERROR(_xlfn.XMATCH(A136,$A$2:$A$2509,0,1)&lt;&gt;_xlfn.XMATCH(A136,$A$2:$A$2509,0,-1),FALSE)), "Código de barras duplicado", ""), IF(AND(E136&lt;&gt;"", COUNTIF($E$2:$E$2509, E136)&gt;1), "SKU duplicado", ""), IF(OR(J136="", J136=""), "[Aviso] División no capturada ()", IF(ISNA(MATCH(J136, Criterios!$A$123:$A$126, 0)), "División no válida", "")), IF(OR(K136="", K136=""), "[Aviso] Categoría no capturada ()", IF(ISNA(MATCH(K136, Criterios!$A$81:$A$120, 0)), "Categoría no válida", IF(AND(J136&lt;&gt;"", J136&lt;&gt;"", J136&lt;&gt;VLOOKUP(K136, Criterios!$A$81:$B$120, 2, FALSE)), "División no coincide con Categoría", ""))), IF(OR(L136="", L136=""), "[Aviso] Género no capturado ()", IF(ISNA(MATCH(L136, Criterios!$B$123:$B$127, 0)), "Género no válido", "")), IF(OR(N136="", N136=""), "[Aviso] Temporada no capturada ()", IF(ISNA(MATCH(N136, Criterios!$C$123:$C$128, 0)), "Temporada no válida", "")), IF(OR(O136="", O136=""), "[Aviso] Ciclo de vida no capturado ()", IF(ISNA(MATCH(O136, Criterios!$D$123:$D$124, 0)), "Ciclo de vida no válido", ""))))</f>
        <v/>
      </c>
      <c r="AC136" s="56" t="n"/>
      <c r="AD136" s="51" t="n">
        <v>0</v>
      </c>
      <c r="AE136" s="156" t="n"/>
      <c r="AF136" s="51" t="n">
        <v>0</v>
      </c>
      <c r="AG136" s="156" t="inlineStr">
        <is>
          <t>Catálogo existente</t>
        </is>
      </c>
      <c r="AH1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6" s="156" t="inlineStr">
        <is>
          <t>No</t>
        </is>
      </c>
      <c r="AJ136" s="156" t="n"/>
      <c r="AK136" s="155" t="inlineStr">
        <is>
          <t>Criterios: I [Q]; G1522_Extraccion_Articulos_NetSuite_2026-09-30.xlsx: fila 58708 [R] | Shopify Stetson: producto 15054563770731 / variante 53350542344555</t>
        </is>
      </c>
      <c r="AL136" s="58" t="n">
        <v>776</v>
      </c>
      <c r="AM136" s="58" t="n">
        <v>4482.758621</v>
      </c>
      <c r="AN136" s="155" t="inlineStr">
        <is>
          <t>Shopify Stetson México</t>
        </is>
      </c>
      <c r="AO136" s="59" t="n">
        <v>1</v>
      </c>
      <c r="AP136" s="59" t="n"/>
      <c r="AQ136" s="59" t="n"/>
      <c r="AR136" s="155" t="inlineStr">
        <is>
          <t>Shopify Stetson México › Stetson Americas: 1</t>
        </is>
      </c>
    </row>
    <row r="137">
      <c r="A137" s="50" t="inlineStr">
        <is>
          <t>12020001101001032</t>
        </is>
      </c>
      <c r="B137" s="51" t="inlineStr">
        <is>
          <t>111034</t>
        </is>
      </c>
      <c r="C137" s="156" t="inlineStr">
        <is>
          <t>Multimarca</t>
        </is>
      </c>
      <c r="D137" s="156" t="inlineStr">
        <is>
          <t>12-020-BS001-10-1001</t>
        </is>
      </c>
      <c r="E137" s="156" t="inlineStr">
        <is>
          <t>12-020-BS001-10-1001-032</t>
        </is>
      </c>
      <c r="F137" s="156" t="inlineStr">
        <is>
          <t>32</t>
        </is>
      </c>
      <c r="G137" s="156" t="inlineStr">
        <is>
          <t>14</t>
        </is>
      </c>
      <c r="H137" s="156" t="inlineStr">
        <is>
          <t>Stetson</t>
        </is>
      </c>
      <c r="I137" s="156" t="inlineStr">
        <is>
          <t>Bota Piel Cognac</t>
        </is>
      </c>
      <c r="J137" s="156" t="inlineStr">
        <is>
          <t>Calzado</t>
        </is>
      </c>
      <c r="K137" s="156" t="inlineStr">
        <is>
          <t>Botas</t>
        </is>
      </c>
      <c r="L137" s="156" t="inlineStr">
        <is>
          <t>Hombre</t>
        </is>
      </c>
      <c r="M137" s="156" t="inlineStr">
        <is>
          <t>Stetson</t>
        </is>
      </c>
      <c r="N137" s="156" t="inlineStr">
        <is>
          <t>SS26</t>
        </is>
      </c>
      <c r="O137" s="156" t="inlineStr">
        <is>
          <t>Seasonal</t>
        </is>
      </c>
      <c r="P137" s="156" t="inlineStr">
        <is>
          <t>Cafe</t>
        </is>
      </c>
      <c r="Q137" s="156" t="n"/>
      <c r="R137" s="156" t="inlineStr">
        <is>
          <t>Punta Redonda Ancha</t>
        </is>
      </c>
      <c r="S137" s="156" t="inlineStr">
        <is>
          <t>Piel bovina</t>
        </is>
      </c>
      <c r="T137" s="156" t="inlineStr">
        <is>
          <t>Bota Caballero Piel bovina Boney Cognac Punta Redonda Ancha</t>
        </is>
      </c>
      <c r="U137" s="156" t="inlineStr">
        <is>
          <t>México</t>
        </is>
      </c>
      <c r="V137" s="156" t="inlineStr">
        <is>
          <t>PRS</t>
        </is>
      </c>
      <c r="W137" s="51" t="inlineStr">
        <is>
          <t>53111501</t>
        </is>
      </c>
      <c r="X137" s="156" t="n"/>
      <c r="Y137" s="54" t="n">
        <v>776</v>
      </c>
      <c r="Z137" s="54" t="n">
        <v>4482.758621</v>
      </c>
      <c r="AA137" s="55">
        <f>IF(AND(A137="", B137="", E137=""), "", IF(AB137="", "Válido", IF((LEN(AB137)-LEN(SUBSTITUTE(AB137,"; ","")))/2+1&gt;(LEN(AB137)-LEN(SUBSTITUTE(AB137,"[Aviso]","")))/7, "Con Incidencias", "Válido")))</f>
        <v/>
      </c>
      <c r="AB137" s="56">
        <f>IF(AND(A137="", B137="", E137=""), "", TEXTJOIN("; ", TRUE, IF(OR(TRIM(A137&amp;"")="", ISNUMBER(SEARCH("FALTA", A137))), "UPC faltante/inválido", ""), IF(AND(A137&lt;&gt;"", IFERROR(_xlfn.XMATCH(A137,$A$2:$A$2509,0,1)&lt;&gt;_xlfn.XMATCH(A137,$A$2:$A$2509,0,-1),FALSE)), "Código de barras duplicado", ""), IF(AND(E137&lt;&gt;"", COUNTIF($E$2:$E$2509, E137)&gt;1), "SKU duplicado", ""), IF(OR(J137="", J137=""), "[Aviso] División no capturada ()", IF(ISNA(MATCH(J137, Criterios!$A$123:$A$126, 0)), "División no válida", "")), IF(OR(K137="", K137=""), "[Aviso] Categoría no capturada ()", IF(ISNA(MATCH(K137, Criterios!$A$81:$A$120, 0)), "Categoría no válida", IF(AND(J137&lt;&gt;"", J137&lt;&gt;"", J137&lt;&gt;VLOOKUP(K137, Criterios!$A$81:$B$120, 2, FALSE)), "División no coincide con Categoría", ""))), IF(OR(L137="", L137=""), "[Aviso] Género no capturado ()", IF(ISNA(MATCH(L137, Criterios!$B$123:$B$127, 0)), "Género no válido", "")), IF(OR(N137="", N137=""), "[Aviso] Temporada no capturada ()", IF(ISNA(MATCH(N137, Criterios!$C$123:$C$128, 0)), "Temporada no válida", "")), IF(OR(O137="", O137=""), "[Aviso] Ciclo de vida no capturado ()", IF(ISNA(MATCH(O137, Criterios!$D$123:$D$124, 0)), "Ciclo de vida no válido", ""))))</f>
        <v/>
      </c>
      <c r="AC137" s="56" t="n"/>
      <c r="AD137" s="51" t="n">
        <v>0</v>
      </c>
      <c r="AE137" s="156" t="n"/>
      <c r="AF137" s="51" t="n">
        <v>0</v>
      </c>
      <c r="AG137" s="156" t="inlineStr">
        <is>
          <t>Catálogo existente</t>
        </is>
      </c>
      <c r="AH1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7" s="156" t="inlineStr">
        <is>
          <t>No</t>
        </is>
      </c>
      <c r="AJ137" s="156" t="n"/>
      <c r="AK137" s="155" t="inlineStr">
        <is>
          <t>Criterios: I [Q]; G1522_Extraccion_Articulos_NetSuite_2026-09-30.xlsx: fila 58709 [R] | Shopify Stetson: producto 15054563770731 / variante 53350542410091</t>
        </is>
      </c>
      <c r="AL137" s="58" t="n">
        <v>776</v>
      </c>
      <c r="AM137" s="58" t="n">
        <v>4482.758621</v>
      </c>
      <c r="AN137" s="155" t="inlineStr">
        <is>
          <t>Shopify Stetson México</t>
        </is>
      </c>
      <c r="AO137" s="59" t="n">
        <v>0</v>
      </c>
      <c r="AP137" s="59" t="n"/>
      <c r="AQ137" s="59" t="n"/>
      <c r="AR137" s="155" t="n"/>
    </row>
    <row r="138">
      <c r="A138" s="50" t="inlineStr">
        <is>
          <t>12020001101001255</t>
        </is>
      </c>
      <c r="B138" s="51" t="inlineStr">
        <is>
          <t>111035</t>
        </is>
      </c>
      <c r="C138" s="156" t="inlineStr">
        <is>
          <t>Multimarca</t>
        </is>
      </c>
      <c r="D138" s="156" t="inlineStr">
        <is>
          <t>12-020-BS001-10-1001</t>
        </is>
      </c>
      <c r="E138" s="156" t="inlineStr">
        <is>
          <t>12-020-BS001-10-1001-255</t>
        </is>
      </c>
      <c r="F138" s="156" t="inlineStr">
        <is>
          <t>25.5</t>
        </is>
      </c>
      <c r="G138" s="156" t="inlineStr">
        <is>
          <t>7.5</t>
        </is>
      </c>
      <c r="H138" s="156" t="inlineStr">
        <is>
          <t>Stetson</t>
        </is>
      </c>
      <c r="I138" s="156" t="inlineStr">
        <is>
          <t>Bota Piel Cognac</t>
        </is>
      </c>
      <c r="J138" s="156" t="inlineStr">
        <is>
          <t>Calzado</t>
        </is>
      </c>
      <c r="K138" s="156" t="inlineStr">
        <is>
          <t>Botas</t>
        </is>
      </c>
      <c r="L138" s="156" t="inlineStr">
        <is>
          <t>Hombre</t>
        </is>
      </c>
      <c r="M138" s="156" t="inlineStr">
        <is>
          <t>Stetson</t>
        </is>
      </c>
      <c r="N138" s="156" t="inlineStr">
        <is>
          <t>SS26</t>
        </is>
      </c>
      <c r="O138" s="156" t="inlineStr">
        <is>
          <t>Seasonal</t>
        </is>
      </c>
      <c r="P138" s="156" t="inlineStr">
        <is>
          <t>Cafe</t>
        </is>
      </c>
      <c r="Q138" s="156" t="n"/>
      <c r="R138" s="156" t="inlineStr">
        <is>
          <t>Punta Redonda Ancha</t>
        </is>
      </c>
      <c r="S138" s="156" t="inlineStr">
        <is>
          <t>Piel bovina</t>
        </is>
      </c>
      <c r="T138" s="156" t="inlineStr">
        <is>
          <t>Bota Caballero Piel bovina Boney Cognac Punta Redonda Ancha</t>
        </is>
      </c>
      <c r="U138" s="156" t="inlineStr">
        <is>
          <t>México</t>
        </is>
      </c>
      <c r="V138" s="156" t="inlineStr">
        <is>
          <t>PRS</t>
        </is>
      </c>
      <c r="W138" s="51" t="inlineStr">
        <is>
          <t>53111501</t>
        </is>
      </c>
      <c r="X138" s="156" t="n"/>
      <c r="Y138" s="54" t="n">
        <v>776</v>
      </c>
      <c r="Z138" s="54" t="n">
        <v>4482.758621</v>
      </c>
      <c r="AA138" s="55">
        <f>IF(AND(A138="", B138="", E138=""), "", IF(AB138="", "Válido", IF((LEN(AB138)-LEN(SUBSTITUTE(AB138,"; ","")))/2+1&gt;(LEN(AB138)-LEN(SUBSTITUTE(AB138,"[Aviso]","")))/7, "Con Incidencias", "Válido")))</f>
        <v/>
      </c>
      <c r="AB138" s="56">
        <f>IF(AND(A138="", B138="", E138=""), "", TEXTJOIN("; ", TRUE, IF(OR(TRIM(A138&amp;"")="", ISNUMBER(SEARCH("FALTA", A138))), "UPC faltante/inválido", ""), IF(AND(A138&lt;&gt;"", IFERROR(_xlfn.XMATCH(A138,$A$2:$A$2509,0,1)&lt;&gt;_xlfn.XMATCH(A138,$A$2:$A$2509,0,-1),FALSE)), "Código de barras duplicado", ""), IF(AND(E138&lt;&gt;"", COUNTIF($E$2:$E$2509, E138)&gt;1), "SKU duplicado", ""), IF(OR(J138="", J138=""), "[Aviso] División no capturada ()", IF(ISNA(MATCH(J138, Criterios!$A$123:$A$126, 0)), "División no válida", "")), IF(OR(K138="", K138=""), "[Aviso] Categoría no capturada ()", IF(ISNA(MATCH(K138, Criterios!$A$81:$A$120, 0)), "Categoría no válida", IF(AND(J138&lt;&gt;"", J138&lt;&gt;"", J138&lt;&gt;VLOOKUP(K138, Criterios!$A$81:$B$120, 2, FALSE)), "División no coincide con Categoría", ""))), IF(OR(L138="", L138=""), "[Aviso] Género no capturado ()", IF(ISNA(MATCH(L138, Criterios!$B$123:$B$127, 0)), "Género no válido", "")), IF(OR(N138="", N138=""), "[Aviso] Temporada no capturada ()", IF(ISNA(MATCH(N138, Criterios!$C$123:$C$128, 0)), "Temporada no válida", "")), IF(OR(O138="", O138=""), "[Aviso] Ciclo de vida no capturado ()", IF(ISNA(MATCH(O138, Criterios!$D$123:$D$124, 0)), "Ciclo de vida no válido", ""))))</f>
        <v/>
      </c>
      <c r="AC138" s="56" t="n"/>
      <c r="AD138" s="51" t="n">
        <v>0</v>
      </c>
      <c r="AE138" s="156" t="n"/>
      <c r="AF138" s="51" t="n">
        <v>0</v>
      </c>
      <c r="AG138" s="156" t="inlineStr">
        <is>
          <t>Catálogo existente</t>
        </is>
      </c>
      <c r="AH1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8" s="156" t="inlineStr">
        <is>
          <t>No</t>
        </is>
      </c>
      <c r="AJ138" s="156" t="n"/>
      <c r="AK138" s="155" t="inlineStr">
        <is>
          <t>Criterios: I [Q]; G1522_Extraccion_Articulos_NetSuite_2026-09-30.xlsx: fila 58710 [R] | Shopify Stetson: producto 15054563770731 / variante 53350541984107</t>
        </is>
      </c>
      <c r="AL138" s="58" t="n">
        <v>776</v>
      </c>
      <c r="AM138" s="58" t="n">
        <v>4482.758621</v>
      </c>
      <c r="AN138" s="155" t="inlineStr">
        <is>
          <t>Shopify Stetson México</t>
        </is>
      </c>
      <c r="AO138" s="59" t="n">
        <v>0</v>
      </c>
      <c r="AP138" s="59" t="n"/>
      <c r="AQ138" s="59" t="n"/>
      <c r="AR138" s="155" t="n"/>
    </row>
    <row r="139">
      <c r="A139" s="50" t="inlineStr">
        <is>
          <t>12020001101001265</t>
        </is>
      </c>
      <c r="B139" s="51" t="inlineStr">
        <is>
          <t>111036</t>
        </is>
      </c>
      <c r="C139" s="156" t="inlineStr">
        <is>
          <t>Multimarca</t>
        </is>
      </c>
      <c r="D139" s="156" t="inlineStr">
        <is>
          <t>12-020-BS001-10-1001</t>
        </is>
      </c>
      <c r="E139" s="156" t="inlineStr">
        <is>
          <t>12-020-BS001-10-1001-265</t>
        </is>
      </c>
      <c r="F139" s="156" t="inlineStr">
        <is>
          <t>26.5</t>
        </is>
      </c>
      <c r="G139" s="156" t="inlineStr">
        <is>
          <t>8.5</t>
        </is>
      </c>
      <c r="H139" s="156" t="inlineStr">
        <is>
          <t>Stetson</t>
        </is>
      </c>
      <c r="I139" s="156" t="inlineStr">
        <is>
          <t>Bota Piel Cognac</t>
        </is>
      </c>
      <c r="J139" s="156" t="inlineStr">
        <is>
          <t>Calzado</t>
        </is>
      </c>
      <c r="K139" s="156" t="inlineStr">
        <is>
          <t>Botas</t>
        </is>
      </c>
      <c r="L139" s="156" t="inlineStr">
        <is>
          <t>Hombre</t>
        </is>
      </c>
      <c r="M139" s="156" t="inlineStr">
        <is>
          <t>Stetson</t>
        </is>
      </c>
      <c r="N139" s="156" t="inlineStr">
        <is>
          <t>SS26</t>
        </is>
      </c>
      <c r="O139" s="156" t="inlineStr">
        <is>
          <t>Seasonal</t>
        </is>
      </c>
      <c r="P139" s="156" t="inlineStr">
        <is>
          <t>Cafe</t>
        </is>
      </c>
      <c r="Q139" s="156" t="n"/>
      <c r="R139" s="156" t="inlineStr">
        <is>
          <t>Punta Redonda Ancha</t>
        </is>
      </c>
      <c r="S139" s="156" t="inlineStr">
        <is>
          <t>Piel bovina</t>
        </is>
      </c>
      <c r="T139" s="156" t="inlineStr">
        <is>
          <t>Bota Caballero Piel bovina Boney Cognac Punta Redonda Ancha</t>
        </is>
      </c>
      <c r="U139" s="156" t="inlineStr">
        <is>
          <t>México</t>
        </is>
      </c>
      <c r="V139" s="156" t="inlineStr">
        <is>
          <t>PRS</t>
        </is>
      </c>
      <c r="W139" s="51" t="inlineStr">
        <is>
          <t>53111501</t>
        </is>
      </c>
      <c r="X139" s="156" t="n"/>
      <c r="Y139" s="54" t="n">
        <v>776</v>
      </c>
      <c r="Z139" s="54" t="n">
        <v>4482.758621</v>
      </c>
      <c r="AA139" s="55">
        <f>IF(AND(A139="", B139="", E139=""), "", IF(AB139="", "Válido", IF((LEN(AB139)-LEN(SUBSTITUTE(AB139,"; ","")))/2+1&gt;(LEN(AB139)-LEN(SUBSTITUTE(AB139,"[Aviso]","")))/7, "Con Incidencias", "Válido")))</f>
        <v/>
      </c>
      <c r="AB139" s="56">
        <f>IF(AND(A139="", B139="", E139=""), "", TEXTJOIN("; ", TRUE, IF(OR(TRIM(A139&amp;"")="", ISNUMBER(SEARCH("FALTA", A139))), "UPC faltante/inválido", ""), IF(AND(A139&lt;&gt;"", IFERROR(_xlfn.XMATCH(A139,$A$2:$A$2509,0,1)&lt;&gt;_xlfn.XMATCH(A139,$A$2:$A$2509,0,-1),FALSE)), "Código de barras duplicado", ""), IF(AND(E139&lt;&gt;"", COUNTIF($E$2:$E$2509, E139)&gt;1), "SKU duplicado", ""), IF(OR(J139="", J139=""), "[Aviso] División no capturada ()", IF(ISNA(MATCH(J139, Criterios!$A$123:$A$126, 0)), "División no válida", "")), IF(OR(K139="", K139=""), "[Aviso] Categoría no capturada ()", IF(ISNA(MATCH(K139, Criterios!$A$81:$A$120, 0)), "Categoría no válida", IF(AND(J139&lt;&gt;"", J139&lt;&gt;"", J139&lt;&gt;VLOOKUP(K139, Criterios!$A$81:$B$120, 2, FALSE)), "División no coincide con Categoría", ""))), IF(OR(L139="", L139=""), "[Aviso] Género no capturado ()", IF(ISNA(MATCH(L139, Criterios!$B$123:$B$127, 0)), "Género no válido", "")), IF(OR(N139="", N139=""), "[Aviso] Temporada no capturada ()", IF(ISNA(MATCH(N139, Criterios!$C$123:$C$128, 0)), "Temporada no válida", "")), IF(OR(O139="", O139=""), "[Aviso] Ciclo de vida no capturado ()", IF(ISNA(MATCH(O139, Criterios!$D$123:$D$124, 0)), "Ciclo de vida no válido", ""))))</f>
        <v/>
      </c>
      <c r="AC139" s="56" t="n"/>
      <c r="AD139" s="51" t="n">
        <v>0</v>
      </c>
      <c r="AE139" s="156" t="n"/>
      <c r="AF139" s="51" t="n">
        <v>0</v>
      </c>
      <c r="AG139" s="156" t="inlineStr">
        <is>
          <t>Catálogo existente</t>
        </is>
      </c>
      <c r="AH1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9" s="156" t="inlineStr">
        <is>
          <t>No</t>
        </is>
      </c>
      <c r="AJ139" s="156" t="n"/>
      <c r="AK139" s="155" t="inlineStr">
        <is>
          <t>Criterios: I [Q]; G1522_Extraccion_Articulos_NetSuite_2026-09-30.xlsx: fila 58711 [R] | Shopify Stetson: producto 15054563770731 / variante 53350542049643</t>
        </is>
      </c>
      <c r="AL139" s="58" t="n">
        <v>776</v>
      </c>
      <c r="AM139" s="58" t="n">
        <v>4482.758621</v>
      </c>
      <c r="AN139" s="155" t="inlineStr">
        <is>
          <t>Shopify Stetson México</t>
        </is>
      </c>
      <c r="AO139" s="59" t="n">
        <v>2</v>
      </c>
      <c r="AP139" s="59" t="n"/>
      <c r="AQ139" s="59" t="n"/>
      <c r="AR139" s="155" t="inlineStr">
        <is>
          <t>Shopify Stetson México › Stetson Americas: 2</t>
        </is>
      </c>
    </row>
    <row r="140">
      <c r="A140" s="50" t="inlineStr">
        <is>
          <t>12020001101001275</t>
        </is>
      </c>
      <c r="B140" s="51" t="inlineStr">
        <is>
          <t>111037</t>
        </is>
      </c>
      <c r="C140" s="156" t="inlineStr">
        <is>
          <t>Multimarca</t>
        </is>
      </c>
      <c r="D140" s="156" t="inlineStr">
        <is>
          <t>12-020-BS001-10-1001</t>
        </is>
      </c>
      <c r="E140" s="156" t="inlineStr">
        <is>
          <t>12-020-BS001-10-1001-275</t>
        </is>
      </c>
      <c r="F140" s="156" t="inlineStr">
        <is>
          <t>27.5</t>
        </is>
      </c>
      <c r="G140" s="156" t="inlineStr">
        <is>
          <t>9.5</t>
        </is>
      </c>
      <c r="H140" s="156" t="inlineStr">
        <is>
          <t>Stetson</t>
        </is>
      </c>
      <c r="I140" s="156" t="inlineStr">
        <is>
          <t>Bota Piel Cognac</t>
        </is>
      </c>
      <c r="J140" s="156" t="inlineStr">
        <is>
          <t>Calzado</t>
        </is>
      </c>
      <c r="K140" s="156" t="inlineStr">
        <is>
          <t>Botas</t>
        </is>
      </c>
      <c r="L140" s="156" t="inlineStr">
        <is>
          <t>Hombre</t>
        </is>
      </c>
      <c r="M140" s="156" t="inlineStr">
        <is>
          <t>Stetson</t>
        </is>
      </c>
      <c r="N140" s="156" t="inlineStr">
        <is>
          <t>SS26</t>
        </is>
      </c>
      <c r="O140" s="156" t="inlineStr">
        <is>
          <t>Seasonal</t>
        </is>
      </c>
      <c r="P140" s="156" t="inlineStr">
        <is>
          <t>Cafe</t>
        </is>
      </c>
      <c r="Q140" s="156" t="n"/>
      <c r="R140" s="156" t="inlineStr">
        <is>
          <t>Punta Redonda Ancha</t>
        </is>
      </c>
      <c r="S140" s="156" t="inlineStr">
        <is>
          <t>Piel bovina</t>
        </is>
      </c>
      <c r="T140" s="156" t="inlineStr">
        <is>
          <t>Bota Caballero Piel bovina Boney Cognac Punta Redonda Ancha</t>
        </is>
      </c>
      <c r="U140" s="156" t="inlineStr">
        <is>
          <t>México</t>
        </is>
      </c>
      <c r="V140" s="156" t="inlineStr">
        <is>
          <t>PRS</t>
        </is>
      </c>
      <c r="W140" s="51" t="inlineStr">
        <is>
          <t>53111501</t>
        </is>
      </c>
      <c r="X140" s="156" t="n"/>
      <c r="Y140" s="54" t="n">
        <v>776</v>
      </c>
      <c r="Z140" s="54" t="n">
        <v>4482.758621</v>
      </c>
      <c r="AA140" s="55">
        <f>IF(AND(A140="", B140="", E140=""), "", IF(AB140="", "Válido", IF((LEN(AB140)-LEN(SUBSTITUTE(AB140,"; ","")))/2+1&gt;(LEN(AB140)-LEN(SUBSTITUTE(AB140,"[Aviso]","")))/7, "Con Incidencias", "Válido")))</f>
        <v/>
      </c>
      <c r="AB140" s="56">
        <f>IF(AND(A140="", B140="", E140=""), "", TEXTJOIN("; ", TRUE, IF(OR(TRIM(A140&amp;"")="", ISNUMBER(SEARCH("FALTA", A140))), "UPC faltante/inválido", ""), IF(AND(A140&lt;&gt;"", IFERROR(_xlfn.XMATCH(A140,$A$2:$A$2509,0,1)&lt;&gt;_xlfn.XMATCH(A140,$A$2:$A$2509,0,-1),FALSE)), "Código de barras duplicado", ""), IF(AND(E140&lt;&gt;"", COUNTIF($E$2:$E$2509, E140)&gt;1), "SKU duplicado", ""), IF(OR(J140="", J140=""), "[Aviso] División no capturada ()", IF(ISNA(MATCH(J140, Criterios!$A$123:$A$126, 0)), "División no válida", "")), IF(OR(K140="", K140=""), "[Aviso] Categoría no capturada ()", IF(ISNA(MATCH(K140, Criterios!$A$81:$A$120, 0)), "Categoría no válida", IF(AND(J140&lt;&gt;"", J140&lt;&gt;"", J140&lt;&gt;VLOOKUP(K140, Criterios!$A$81:$B$120, 2, FALSE)), "División no coincide con Categoría", ""))), IF(OR(L140="", L140=""), "[Aviso] Género no capturado ()", IF(ISNA(MATCH(L140, Criterios!$B$123:$B$127, 0)), "Género no válido", "")), IF(OR(N140="", N140=""), "[Aviso] Temporada no capturada ()", IF(ISNA(MATCH(N140, Criterios!$C$123:$C$128, 0)), "Temporada no válida", "")), IF(OR(O140="", O140=""), "[Aviso] Ciclo de vida no capturado ()", IF(ISNA(MATCH(O140, Criterios!$D$123:$D$124, 0)), "Ciclo de vida no válido", ""))))</f>
        <v/>
      </c>
      <c r="AC140" s="56" t="n"/>
      <c r="AD140" s="51" t="n">
        <v>0</v>
      </c>
      <c r="AE140" s="156" t="n"/>
      <c r="AF140" s="51" t="n">
        <v>0</v>
      </c>
      <c r="AG140" s="156" t="inlineStr">
        <is>
          <t>Catálogo existente</t>
        </is>
      </c>
      <c r="AH1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0" s="156" t="inlineStr">
        <is>
          <t>No</t>
        </is>
      </c>
      <c r="AJ140" s="156" t="n"/>
      <c r="AK140" s="155" t="inlineStr">
        <is>
          <t>Criterios: I [Q]; G1522_Extraccion_Articulos_NetSuite_2026-09-30.xlsx: fila 58712 [R] | Shopify Stetson: producto 15054563770731 / variante 53350542115179</t>
        </is>
      </c>
      <c r="AL140" s="58" t="n">
        <v>776</v>
      </c>
      <c r="AM140" s="58" t="n">
        <v>4482.758621</v>
      </c>
      <c r="AN140" s="155" t="inlineStr">
        <is>
          <t>Shopify Stetson México</t>
        </is>
      </c>
      <c r="AO140" s="59" t="n">
        <v>2</v>
      </c>
      <c r="AP140" s="59" t="n"/>
      <c r="AQ140" s="59" t="n"/>
      <c r="AR140" s="155" t="inlineStr">
        <is>
          <t>Shopify Stetson México › Stetson Americas: 2</t>
        </is>
      </c>
    </row>
    <row r="141">
      <c r="A141" s="50" t="inlineStr">
        <is>
          <t>12020001101001285</t>
        </is>
      </c>
      <c r="B141" s="51" t="inlineStr">
        <is>
          <t>111038</t>
        </is>
      </c>
      <c r="C141" s="156" t="inlineStr">
        <is>
          <t>Multimarca</t>
        </is>
      </c>
      <c r="D141" s="156" t="inlineStr">
        <is>
          <t>12-020-BS001-10-1001</t>
        </is>
      </c>
      <c r="E141" s="156" t="inlineStr">
        <is>
          <t>12-020-BS001-10-1001-285</t>
        </is>
      </c>
      <c r="F141" s="156" t="inlineStr">
        <is>
          <t>28.5</t>
        </is>
      </c>
      <c r="G141" s="156" t="inlineStr">
        <is>
          <t>10.5</t>
        </is>
      </c>
      <c r="H141" s="156" t="inlineStr">
        <is>
          <t>Stetson</t>
        </is>
      </c>
      <c r="I141" s="156" t="inlineStr">
        <is>
          <t>Bota Piel Cognac</t>
        </is>
      </c>
      <c r="J141" s="156" t="inlineStr">
        <is>
          <t>Calzado</t>
        </is>
      </c>
      <c r="K141" s="156" t="inlineStr">
        <is>
          <t>Botas</t>
        </is>
      </c>
      <c r="L141" s="156" t="inlineStr">
        <is>
          <t>Hombre</t>
        </is>
      </c>
      <c r="M141" s="156" t="inlineStr">
        <is>
          <t>Stetson</t>
        </is>
      </c>
      <c r="N141" s="156" t="inlineStr">
        <is>
          <t>SS26</t>
        </is>
      </c>
      <c r="O141" s="156" t="inlineStr">
        <is>
          <t>Seasonal</t>
        </is>
      </c>
      <c r="P141" s="156" t="inlineStr">
        <is>
          <t>Cafe</t>
        </is>
      </c>
      <c r="Q141" s="156" t="n"/>
      <c r="R141" s="156" t="inlineStr">
        <is>
          <t>Punta Redonda Ancha</t>
        </is>
      </c>
      <c r="S141" s="156" t="inlineStr">
        <is>
          <t>Piel bovina</t>
        </is>
      </c>
      <c r="T141" s="156" t="inlineStr">
        <is>
          <t>Bota Caballero Piel bovina Boney Cognac Punta Redonda Ancha</t>
        </is>
      </c>
      <c r="U141" s="156" t="inlineStr">
        <is>
          <t>México</t>
        </is>
      </c>
      <c r="V141" s="156" t="inlineStr">
        <is>
          <t>PRS</t>
        </is>
      </c>
      <c r="W141" s="51" t="inlineStr">
        <is>
          <t>53111501</t>
        </is>
      </c>
      <c r="X141" s="156" t="n"/>
      <c r="Y141" s="54" t="n">
        <v>776</v>
      </c>
      <c r="Z141" s="54" t="n">
        <v>4482.758621</v>
      </c>
      <c r="AA141" s="55">
        <f>IF(AND(A141="", B141="", E141=""), "", IF(AB141="", "Válido", IF((LEN(AB141)-LEN(SUBSTITUTE(AB141,"; ","")))/2+1&gt;(LEN(AB141)-LEN(SUBSTITUTE(AB141,"[Aviso]","")))/7, "Con Incidencias", "Válido")))</f>
        <v/>
      </c>
      <c r="AB141" s="56">
        <f>IF(AND(A141="", B141="", E141=""), "", TEXTJOIN("; ", TRUE, IF(OR(TRIM(A141&amp;"")="", ISNUMBER(SEARCH("FALTA", A141))), "UPC faltante/inválido", ""), IF(AND(A141&lt;&gt;"", IFERROR(_xlfn.XMATCH(A141,$A$2:$A$2509,0,1)&lt;&gt;_xlfn.XMATCH(A141,$A$2:$A$2509,0,-1),FALSE)), "Código de barras duplicado", ""), IF(AND(E141&lt;&gt;"", COUNTIF($E$2:$E$2509, E141)&gt;1), "SKU duplicado", ""), IF(OR(J141="", J141=""), "[Aviso] División no capturada ()", IF(ISNA(MATCH(J141, Criterios!$A$123:$A$126, 0)), "División no válida", "")), IF(OR(K141="", K141=""), "[Aviso] Categoría no capturada ()", IF(ISNA(MATCH(K141, Criterios!$A$81:$A$120, 0)), "Categoría no válida", IF(AND(J141&lt;&gt;"", J141&lt;&gt;"", J141&lt;&gt;VLOOKUP(K141, Criterios!$A$81:$B$120, 2, FALSE)), "División no coincide con Categoría", ""))), IF(OR(L141="", L141=""), "[Aviso] Género no capturado ()", IF(ISNA(MATCH(L141, Criterios!$B$123:$B$127, 0)), "Género no válido", "")), IF(OR(N141="", N141=""), "[Aviso] Temporada no capturada ()", IF(ISNA(MATCH(N141, Criterios!$C$123:$C$128, 0)), "Temporada no válida", "")), IF(OR(O141="", O141=""), "[Aviso] Ciclo de vida no capturado ()", IF(ISNA(MATCH(O141, Criterios!$D$123:$D$124, 0)), "Ciclo de vida no válido", ""))))</f>
        <v/>
      </c>
      <c r="AC141" s="56" t="n"/>
      <c r="AD141" s="51" t="n">
        <v>0</v>
      </c>
      <c r="AE141" s="156" t="n"/>
      <c r="AF141" s="51" t="n">
        <v>0</v>
      </c>
      <c r="AG141" s="156" t="inlineStr">
        <is>
          <t>Catálogo existente</t>
        </is>
      </c>
      <c r="AH1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1" s="156" t="inlineStr">
        <is>
          <t>No</t>
        </is>
      </c>
      <c r="AJ141" s="156" t="n"/>
      <c r="AK141" s="155" t="inlineStr">
        <is>
          <t>Criterios: I [Q]; G1522_Extraccion_Articulos_NetSuite_2026-09-30.xlsx: fila 58713 [R] | Shopify Stetson: producto 15054563770731 / variante 53350542180715</t>
        </is>
      </c>
      <c r="AL141" s="58" t="n">
        <v>776</v>
      </c>
      <c r="AM141" s="58" t="n">
        <v>4482.758621</v>
      </c>
      <c r="AN141" s="155" t="inlineStr">
        <is>
          <t>Shopify Stetson México</t>
        </is>
      </c>
      <c r="AO141" s="59" t="n">
        <v>2</v>
      </c>
      <c r="AP141" s="59" t="n"/>
      <c r="AQ141" s="59" t="n"/>
      <c r="AR141" s="155" t="inlineStr">
        <is>
          <t>Shopify Stetson México › Stetson Americas: 2</t>
        </is>
      </c>
    </row>
    <row r="142">
      <c r="A142" s="50" t="inlineStr">
        <is>
          <t>12020001101001295</t>
        </is>
      </c>
      <c r="B142" s="51" t="inlineStr">
        <is>
          <t>111039</t>
        </is>
      </c>
      <c r="C142" s="156" t="inlineStr">
        <is>
          <t>Multimarca</t>
        </is>
      </c>
      <c r="D142" s="156" t="inlineStr">
        <is>
          <t>12-020-BS001-10-1001</t>
        </is>
      </c>
      <c r="E142" s="156" t="inlineStr">
        <is>
          <t>12-020-BS001-10-1001-295</t>
        </is>
      </c>
      <c r="F142" s="156" t="inlineStr">
        <is>
          <t>29.5</t>
        </is>
      </c>
      <c r="G142" s="156" t="inlineStr">
        <is>
          <t>11.5</t>
        </is>
      </c>
      <c r="H142" s="156" t="inlineStr">
        <is>
          <t>Stetson</t>
        </is>
      </c>
      <c r="I142" s="156" t="inlineStr">
        <is>
          <t>Bota Piel Cognac</t>
        </is>
      </c>
      <c r="J142" s="156" t="inlineStr">
        <is>
          <t>Calzado</t>
        </is>
      </c>
      <c r="K142" s="156" t="inlineStr">
        <is>
          <t>Botas</t>
        </is>
      </c>
      <c r="L142" s="156" t="inlineStr">
        <is>
          <t>Hombre</t>
        </is>
      </c>
      <c r="M142" s="156" t="inlineStr">
        <is>
          <t>Stetson</t>
        </is>
      </c>
      <c r="N142" s="156" t="inlineStr">
        <is>
          <t>SS26</t>
        </is>
      </c>
      <c r="O142" s="156" t="inlineStr">
        <is>
          <t>Seasonal</t>
        </is>
      </c>
      <c r="P142" s="156" t="inlineStr">
        <is>
          <t>Cafe</t>
        </is>
      </c>
      <c r="Q142" s="156" t="n"/>
      <c r="R142" s="156" t="inlineStr">
        <is>
          <t>Punta Redonda Ancha</t>
        </is>
      </c>
      <c r="S142" s="156" t="inlineStr">
        <is>
          <t>Piel bovina</t>
        </is>
      </c>
      <c r="T142" s="156" t="inlineStr">
        <is>
          <t>Bota Caballero Piel bovina Boney Cognac Punta Redonda Ancha</t>
        </is>
      </c>
      <c r="U142" s="156" t="inlineStr">
        <is>
          <t>México</t>
        </is>
      </c>
      <c r="V142" s="156" t="inlineStr">
        <is>
          <t>PRS</t>
        </is>
      </c>
      <c r="W142" s="51" t="inlineStr">
        <is>
          <t>53111501</t>
        </is>
      </c>
      <c r="X142" s="156" t="n"/>
      <c r="Y142" s="54" t="n">
        <v>776</v>
      </c>
      <c r="Z142" s="54" t="n">
        <v>4482.758621</v>
      </c>
      <c r="AA142" s="55">
        <f>IF(AND(A142="", B142="", E142=""), "", IF(AB142="", "Válido", IF((LEN(AB142)-LEN(SUBSTITUTE(AB142,"; ","")))/2+1&gt;(LEN(AB142)-LEN(SUBSTITUTE(AB142,"[Aviso]","")))/7, "Con Incidencias", "Válido")))</f>
        <v/>
      </c>
      <c r="AB142" s="56">
        <f>IF(AND(A142="", B142="", E142=""), "", TEXTJOIN("; ", TRUE, IF(OR(TRIM(A142&amp;"")="", ISNUMBER(SEARCH("FALTA", A142))), "UPC faltante/inválido", ""), IF(AND(A142&lt;&gt;"", IFERROR(_xlfn.XMATCH(A142,$A$2:$A$2509,0,1)&lt;&gt;_xlfn.XMATCH(A142,$A$2:$A$2509,0,-1),FALSE)), "Código de barras duplicado", ""), IF(AND(E142&lt;&gt;"", COUNTIF($E$2:$E$2509, E142)&gt;1), "SKU duplicado", ""), IF(OR(J142="", J142=""), "[Aviso] División no capturada ()", IF(ISNA(MATCH(J142, Criterios!$A$123:$A$126, 0)), "División no válida", "")), IF(OR(K142="", K142=""), "[Aviso] Categoría no capturada ()", IF(ISNA(MATCH(K142, Criterios!$A$81:$A$120, 0)), "Categoría no válida", IF(AND(J142&lt;&gt;"", J142&lt;&gt;"", J142&lt;&gt;VLOOKUP(K142, Criterios!$A$81:$B$120, 2, FALSE)), "División no coincide con Categoría", ""))), IF(OR(L142="", L142=""), "[Aviso] Género no capturado ()", IF(ISNA(MATCH(L142, Criterios!$B$123:$B$127, 0)), "Género no válido", "")), IF(OR(N142="", N142=""), "[Aviso] Temporada no capturada ()", IF(ISNA(MATCH(N142, Criterios!$C$123:$C$128, 0)), "Temporada no válida", "")), IF(OR(O142="", O142=""), "[Aviso] Ciclo de vida no capturado ()", IF(ISNA(MATCH(O142, Criterios!$D$123:$D$124, 0)), "Ciclo de vida no válido", ""))))</f>
        <v/>
      </c>
      <c r="AC142" s="56" t="n"/>
      <c r="AD142" s="51" t="n">
        <v>0</v>
      </c>
      <c r="AE142" s="156" t="n"/>
      <c r="AF142" s="51" t="n">
        <v>0</v>
      </c>
      <c r="AG142" s="156" t="inlineStr">
        <is>
          <t>Catálogo existente</t>
        </is>
      </c>
      <c r="AH1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2" s="156" t="inlineStr">
        <is>
          <t>No</t>
        </is>
      </c>
      <c r="AJ142" s="156" t="n"/>
      <c r="AK142" s="155" t="inlineStr">
        <is>
          <t>Criterios: I [Q]; G1522_Extraccion_Articulos_NetSuite_2026-09-30.xlsx: fila 58714 [R] | Shopify Stetson: producto 15054563770731 / variante 53350542246251</t>
        </is>
      </c>
      <c r="AL142" s="58" t="n">
        <v>776</v>
      </c>
      <c r="AM142" s="58" t="n">
        <v>4482.758621</v>
      </c>
      <c r="AN142" s="155" t="inlineStr">
        <is>
          <t>Shopify Stetson México</t>
        </is>
      </c>
      <c r="AO142" s="59" t="n">
        <v>1</v>
      </c>
      <c r="AP142" s="59" t="n"/>
      <c r="AQ142" s="59" t="n"/>
      <c r="AR142" s="155" t="inlineStr">
        <is>
          <t>Shopify Stetson México › Stetson Americas: 1</t>
        </is>
      </c>
    </row>
    <row r="143">
      <c r="A143" s="50" t="inlineStr">
        <is>
          <t>12020001101001305</t>
        </is>
      </c>
      <c r="B143" s="51" t="inlineStr">
        <is>
          <t>111040</t>
        </is>
      </c>
      <c r="C143" s="156" t="inlineStr">
        <is>
          <t>Multimarca</t>
        </is>
      </c>
      <c r="D143" s="156" t="inlineStr">
        <is>
          <t>12-020-BS001-10-1001</t>
        </is>
      </c>
      <c r="E143" s="156" t="inlineStr">
        <is>
          <t>12-020-BS001-10-1001-305</t>
        </is>
      </c>
      <c r="F143" s="156" t="inlineStr">
        <is>
          <t>30.5</t>
        </is>
      </c>
      <c r="G143" s="156" t="inlineStr">
        <is>
          <t>12.5</t>
        </is>
      </c>
      <c r="H143" s="156" t="inlineStr">
        <is>
          <t>Stetson</t>
        </is>
      </c>
      <c r="I143" s="156" t="inlineStr">
        <is>
          <t>Bota Piel Cognac</t>
        </is>
      </c>
      <c r="J143" s="156" t="inlineStr">
        <is>
          <t>Calzado</t>
        </is>
      </c>
      <c r="K143" s="156" t="inlineStr">
        <is>
          <t>Botas</t>
        </is>
      </c>
      <c r="L143" s="156" t="inlineStr">
        <is>
          <t>Hombre</t>
        </is>
      </c>
      <c r="M143" s="156" t="inlineStr">
        <is>
          <t>Stetson</t>
        </is>
      </c>
      <c r="N143" s="156" t="inlineStr">
        <is>
          <t>SS26</t>
        </is>
      </c>
      <c r="O143" s="156" t="inlineStr">
        <is>
          <t>Seasonal</t>
        </is>
      </c>
      <c r="P143" s="156" t="inlineStr">
        <is>
          <t>Cafe</t>
        </is>
      </c>
      <c r="Q143" s="156" t="n"/>
      <c r="R143" s="156" t="inlineStr">
        <is>
          <t>Punta Redonda Ancha</t>
        </is>
      </c>
      <c r="S143" s="156" t="inlineStr">
        <is>
          <t>Piel bovina</t>
        </is>
      </c>
      <c r="T143" s="156" t="inlineStr">
        <is>
          <t>Bota Caballero Piel bovina Boney Cognac Punta Redonda Ancha</t>
        </is>
      </c>
      <c r="U143" s="156" t="inlineStr">
        <is>
          <t>México</t>
        </is>
      </c>
      <c r="V143" s="156" t="inlineStr">
        <is>
          <t>PRS</t>
        </is>
      </c>
      <c r="W143" s="51" t="inlineStr">
        <is>
          <t>53111501</t>
        </is>
      </c>
      <c r="X143" s="156" t="n"/>
      <c r="Y143" s="54" t="n">
        <v>776</v>
      </c>
      <c r="Z143" s="54" t="n">
        <v>4482.758621</v>
      </c>
      <c r="AA143" s="55">
        <f>IF(AND(A143="", B143="", E143=""), "", IF(AB143="", "Válido", IF((LEN(AB143)-LEN(SUBSTITUTE(AB143,"; ","")))/2+1&gt;(LEN(AB143)-LEN(SUBSTITUTE(AB143,"[Aviso]","")))/7, "Con Incidencias", "Válido")))</f>
        <v/>
      </c>
      <c r="AB143" s="56">
        <f>IF(AND(A143="", B143="", E143=""), "", TEXTJOIN("; ", TRUE, IF(OR(TRIM(A143&amp;"")="", ISNUMBER(SEARCH("FALTA", A143))), "UPC faltante/inválido", ""), IF(AND(A143&lt;&gt;"", IFERROR(_xlfn.XMATCH(A143,$A$2:$A$2509,0,1)&lt;&gt;_xlfn.XMATCH(A143,$A$2:$A$2509,0,-1),FALSE)), "Código de barras duplicado", ""), IF(AND(E143&lt;&gt;"", COUNTIF($E$2:$E$2509, E143)&gt;1), "SKU duplicado", ""), IF(OR(J143="", J143=""), "[Aviso] División no capturada ()", IF(ISNA(MATCH(J143, Criterios!$A$123:$A$126, 0)), "División no válida", "")), IF(OR(K143="", K143=""), "[Aviso] Categoría no capturada ()", IF(ISNA(MATCH(K143, Criterios!$A$81:$A$120, 0)), "Categoría no válida", IF(AND(J143&lt;&gt;"", J143&lt;&gt;"", J143&lt;&gt;VLOOKUP(K143, Criterios!$A$81:$B$120, 2, FALSE)), "División no coincide con Categoría", ""))), IF(OR(L143="", L143=""), "[Aviso] Género no capturado ()", IF(ISNA(MATCH(L143, Criterios!$B$123:$B$127, 0)), "Género no válido", "")), IF(OR(N143="", N143=""), "[Aviso] Temporada no capturada ()", IF(ISNA(MATCH(N143, Criterios!$C$123:$C$128, 0)), "Temporada no válida", "")), IF(OR(O143="", O143=""), "[Aviso] Ciclo de vida no capturado ()", IF(ISNA(MATCH(O143, Criterios!$D$123:$D$124, 0)), "Ciclo de vida no válido", ""))))</f>
        <v/>
      </c>
      <c r="AC143" s="56" t="n"/>
      <c r="AD143" s="51" t="n">
        <v>0</v>
      </c>
      <c r="AE143" s="156" t="n"/>
      <c r="AF143" s="51" t="n">
        <v>0</v>
      </c>
      <c r="AG143" s="156" t="inlineStr">
        <is>
          <t>Catálogo existente</t>
        </is>
      </c>
      <c r="AH1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3" s="156" t="inlineStr">
        <is>
          <t>No</t>
        </is>
      </c>
      <c r="AJ143" s="156" t="n"/>
      <c r="AK143" s="155" t="inlineStr">
        <is>
          <t>Criterios: I [Q]; G1522_Extraccion_Articulos_NetSuite_2026-09-30.xlsx: fila 58715 [R] | Shopify Stetson: producto 15054563770731 / variante 53350542311787</t>
        </is>
      </c>
      <c r="AL143" s="58" t="n">
        <v>776</v>
      </c>
      <c r="AM143" s="58" t="n">
        <v>4482.758621</v>
      </c>
      <c r="AN143" s="155" t="inlineStr">
        <is>
          <t>Shopify Stetson México</t>
        </is>
      </c>
      <c r="AO143" s="59" t="n">
        <v>1</v>
      </c>
      <c r="AP143" s="59" t="n"/>
      <c r="AQ143" s="59" t="n"/>
      <c r="AR143" s="155" t="inlineStr">
        <is>
          <t>Shopify Stetson México › Stetson Americas: 1</t>
        </is>
      </c>
    </row>
    <row r="144">
      <c r="A144" s="50" t="inlineStr">
        <is>
          <t>12020001101001315</t>
        </is>
      </c>
      <c r="B144" s="51" t="inlineStr">
        <is>
          <t>111041</t>
        </is>
      </c>
      <c r="C144" s="156" t="inlineStr">
        <is>
          <t>Multimarca</t>
        </is>
      </c>
      <c r="D144" s="156" t="inlineStr">
        <is>
          <t>12-020-BS001-10-1001</t>
        </is>
      </c>
      <c r="E144" s="156" t="inlineStr">
        <is>
          <t>12-020-BS001-10-1001-315</t>
        </is>
      </c>
      <c r="F144" s="156" t="inlineStr">
        <is>
          <t>31.5</t>
        </is>
      </c>
      <c r="G144" s="156" t="inlineStr">
        <is>
          <t>13.5</t>
        </is>
      </c>
      <c r="H144" s="156" t="inlineStr">
        <is>
          <t>Stetson</t>
        </is>
      </c>
      <c r="I144" s="156" t="inlineStr">
        <is>
          <t>Bota Piel Cognac</t>
        </is>
      </c>
      <c r="J144" s="156" t="inlineStr">
        <is>
          <t>Calzado</t>
        </is>
      </c>
      <c r="K144" s="156" t="inlineStr">
        <is>
          <t>Botas</t>
        </is>
      </c>
      <c r="L144" s="156" t="inlineStr">
        <is>
          <t>Hombre</t>
        </is>
      </c>
      <c r="M144" s="156" t="inlineStr">
        <is>
          <t>Stetson</t>
        </is>
      </c>
      <c r="N144" s="156" t="inlineStr">
        <is>
          <t>SS26</t>
        </is>
      </c>
      <c r="O144" s="156" t="inlineStr">
        <is>
          <t>Seasonal</t>
        </is>
      </c>
      <c r="P144" s="156" t="inlineStr">
        <is>
          <t>Cafe</t>
        </is>
      </c>
      <c r="Q144" s="156" t="n"/>
      <c r="R144" s="156" t="inlineStr">
        <is>
          <t>Punta Redonda Ancha</t>
        </is>
      </c>
      <c r="S144" s="156" t="inlineStr">
        <is>
          <t>Piel bovina</t>
        </is>
      </c>
      <c r="T144" s="156" t="inlineStr">
        <is>
          <t>Bota Caballero Piel bovina Boney Cognac Punta Redonda Ancha</t>
        </is>
      </c>
      <c r="U144" s="156" t="inlineStr">
        <is>
          <t>México</t>
        </is>
      </c>
      <c r="V144" s="156" t="inlineStr">
        <is>
          <t>PRS</t>
        </is>
      </c>
      <c r="W144" s="51" t="inlineStr">
        <is>
          <t>53111501</t>
        </is>
      </c>
      <c r="X144" s="156" t="n"/>
      <c r="Y144" s="54" t="n">
        <v>776</v>
      </c>
      <c r="Z144" s="54" t="n">
        <v>4482.758621</v>
      </c>
      <c r="AA144" s="55">
        <f>IF(AND(A144="", B144="", E144=""), "", IF(AB144="", "Válido", IF((LEN(AB144)-LEN(SUBSTITUTE(AB144,"; ","")))/2+1&gt;(LEN(AB144)-LEN(SUBSTITUTE(AB144,"[Aviso]","")))/7, "Con Incidencias", "Válido")))</f>
        <v/>
      </c>
      <c r="AB144" s="56">
        <f>IF(AND(A144="", B144="", E144=""), "", TEXTJOIN("; ", TRUE, IF(OR(TRIM(A144&amp;"")="", ISNUMBER(SEARCH("FALTA", A144))), "UPC faltante/inválido", ""), IF(AND(A144&lt;&gt;"", IFERROR(_xlfn.XMATCH(A144,$A$2:$A$2509,0,1)&lt;&gt;_xlfn.XMATCH(A144,$A$2:$A$2509,0,-1),FALSE)), "Código de barras duplicado", ""), IF(AND(E144&lt;&gt;"", COUNTIF($E$2:$E$2509, E144)&gt;1), "SKU duplicado", ""), IF(OR(J144="", J144=""), "[Aviso] División no capturada ()", IF(ISNA(MATCH(J144, Criterios!$A$123:$A$126, 0)), "División no válida", "")), IF(OR(K144="", K144=""), "[Aviso] Categoría no capturada ()", IF(ISNA(MATCH(K144, Criterios!$A$81:$A$120, 0)), "Categoría no válida", IF(AND(J144&lt;&gt;"", J144&lt;&gt;"", J144&lt;&gt;VLOOKUP(K144, Criterios!$A$81:$B$120, 2, FALSE)), "División no coincide con Categoría", ""))), IF(OR(L144="", L144=""), "[Aviso] Género no capturado ()", IF(ISNA(MATCH(L144, Criterios!$B$123:$B$127, 0)), "Género no válido", "")), IF(OR(N144="", N144=""), "[Aviso] Temporada no capturada ()", IF(ISNA(MATCH(N144, Criterios!$C$123:$C$128, 0)), "Temporada no válida", "")), IF(OR(O144="", O144=""), "[Aviso] Ciclo de vida no capturado ()", IF(ISNA(MATCH(O144, Criterios!$D$123:$D$124, 0)), "Ciclo de vida no válido", ""))))</f>
        <v/>
      </c>
      <c r="AC144" s="56" t="n"/>
      <c r="AD144" s="51" t="n">
        <v>0</v>
      </c>
      <c r="AE144" s="156" t="n"/>
      <c r="AF144" s="51" t="n">
        <v>0</v>
      </c>
      <c r="AG144" s="156" t="inlineStr">
        <is>
          <t>Catálogo existente</t>
        </is>
      </c>
      <c r="AH1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4" s="156" t="inlineStr">
        <is>
          <t>No</t>
        </is>
      </c>
      <c r="AJ144" s="156" t="n"/>
      <c r="AK144" s="155" t="inlineStr">
        <is>
          <t>Criterios: I [Q]; G1522_Extraccion_Articulos_NetSuite_2026-09-30.xlsx: fila 58716 [R] | Shopify Stetson: producto 15054563770731 / variante 53350542377323</t>
        </is>
      </c>
      <c r="AL144" s="58" t="n">
        <v>776</v>
      </c>
      <c r="AM144" s="58" t="n">
        <v>4482.758621</v>
      </c>
      <c r="AN144" s="155" t="inlineStr">
        <is>
          <t>Shopify Stetson México</t>
        </is>
      </c>
      <c r="AO144" s="59" t="n">
        <v>0</v>
      </c>
      <c r="AP144" s="59" t="n"/>
      <c r="AQ144" s="59" t="n"/>
      <c r="AR144" s="155" t="n"/>
    </row>
    <row r="145">
      <c r="A145" s="50" t="inlineStr">
        <is>
          <t>12020001101001325</t>
        </is>
      </c>
      <c r="B145" s="51" t="inlineStr">
        <is>
          <t>111042</t>
        </is>
      </c>
      <c r="C145" s="156" t="inlineStr">
        <is>
          <t>Multimarca</t>
        </is>
      </c>
      <c r="D145" s="156" t="inlineStr">
        <is>
          <t>12-020-BS001-10-1001</t>
        </is>
      </c>
      <c r="E145" s="156" t="inlineStr">
        <is>
          <t>12-020-BS001-10-1001-325</t>
        </is>
      </c>
      <c r="F145" s="156" t="inlineStr">
        <is>
          <t>32.5</t>
        </is>
      </c>
      <c r="G145" s="156" t="inlineStr">
        <is>
          <t>14.5</t>
        </is>
      </c>
      <c r="H145" s="156" t="inlineStr">
        <is>
          <t>Stetson</t>
        </is>
      </c>
      <c r="I145" s="156" t="inlineStr">
        <is>
          <t>Bota Piel Cognac</t>
        </is>
      </c>
      <c r="J145" s="156" t="inlineStr">
        <is>
          <t>Calzado</t>
        </is>
      </c>
      <c r="K145" s="156" t="inlineStr">
        <is>
          <t>Botas</t>
        </is>
      </c>
      <c r="L145" s="156" t="inlineStr">
        <is>
          <t>Hombre</t>
        </is>
      </c>
      <c r="M145" s="156" t="inlineStr">
        <is>
          <t>Stetson</t>
        </is>
      </c>
      <c r="N145" s="156" t="inlineStr">
        <is>
          <t>SS26</t>
        </is>
      </c>
      <c r="O145" s="156" t="inlineStr">
        <is>
          <t>Seasonal</t>
        </is>
      </c>
      <c r="P145" s="156" t="inlineStr">
        <is>
          <t>Cafe</t>
        </is>
      </c>
      <c r="Q145" s="156" t="n"/>
      <c r="R145" s="156" t="inlineStr">
        <is>
          <t>Punta Redonda Ancha</t>
        </is>
      </c>
      <c r="S145" s="156" t="inlineStr">
        <is>
          <t>Piel bovina</t>
        </is>
      </c>
      <c r="T145" s="156" t="inlineStr">
        <is>
          <t>Bota Caballero Piel bovina Boney Cognac Punta Redonda Ancha</t>
        </is>
      </c>
      <c r="U145" s="156" t="inlineStr">
        <is>
          <t>México</t>
        </is>
      </c>
      <c r="V145" s="156" t="inlineStr">
        <is>
          <t>PRS</t>
        </is>
      </c>
      <c r="W145" s="51" t="inlineStr">
        <is>
          <t>53111501</t>
        </is>
      </c>
      <c r="X145" s="156" t="n"/>
      <c r="Y145" s="54" t="n">
        <v>776</v>
      </c>
      <c r="Z145" s="54" t="n">
        <v>4482.758621</v>
      </c>
      <c r="AA145" s="55">
        <f>IF(AND(A145="", B145="", E145=""), "", IF(AB145="", "Válido", IF((LEN(AB145)-LEN(SUBSTITUTE(AB145,"; ","")))/2+1&gt;(LEN(AB145)-LEN(SUBSTITUTE(AB145,"[Aviso]","")))/7, "Con Incidencias", "Válido")))</f>
        <v/>
      </c>
      <c r="AB145" s="56">
        <f>IF(AND(A145="", B145="", E145=""), "", TEXTJOIN("; ", TRUE, IF(OR(TRIM(A145&amp;"")="", ISNUMBER(SEARCH("FALTA", A145))), "UPC faltante/inválido", ""), IF(AND(A145&lt;&gt;"", IFERROR(_xlfn.XMATCH(A145,$A$2:$A$2509,0,1)&lt;&gt;_xlfn.XMATCH(A145,$A$2:$A$2509,0,-1),FALSE)), "Código de barras duplicado", ""), IF(AND(E145&lt;&gt;"", COUNTIF($E$2:$E$2509, E145)&gt;1), "SKU duplicado", ""), IF(OR(J145="", J145=""), "[Aviso] División no capturada ()", IF(ISNA(MATCH(J145, Criterios!$A$123:$A$126, 0)), "División no válida", "")), IF(OR(K145="", K145=""), "[Aviso] Categoría no capturada ()", IF(ISNA(MATCH(K145, Criterios!$A$81:$A$120, 0)), "Categoría no válida", IF(AND(J145&lt;&gt;"", J145&lt;&gt;"", J145&lt;&gt;VLOOKUP(K145, Criterios!$A$81:$B$120, 2, FALSE)), "División no coincide con Categoría", ""))), IF(OR(L145="", L145=""), "[Aviso] Género no capturado ()", IF(ISNA(MATCH(L145, Criterios!$B$123:$B$127, 0)), "Género no válido", "")), IF(OR(N145="", N145=""), "[Aviso] Temporada no capturada ()", IF(ISNA(MATCH(N145, Criterios!$C$123:$C$128, 0)), "Temporada no válida", "")), IF(OR(O145="", O145=""), "[Aviso] Ciclo de vida no capturado ()", IF(ISNA(MATCH(O145, Criterios!$D$123:$D$124, 0)), "Ciclo de vida no válido", ""))))</f>
        <v/>
      </c>
      <c r="AC145" s="56" t="n"/>
      <c r="AD145" s="51" t="n">
        <v>0</v>
      </c>
      <c r="AE145" s="156" t="n"/>
      <c r="AF145" s="51" t="n">
        <v>0</v>
      </c>
      <c r="AG145" s="156" t="inlineStr">
        <is>
          <t>Catálogo existente</t>
        </is>
      </c>
      <c r="AH14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5" s="156" t="inlineStr">
        <is>
          <t>No</t>
        </is>
      </c>
      <c r="AJ145" s="156" t="n"/>
      <c r="AK145" s="155" t="inlineStr">
        <is>
          <t>Criterios: I [Q]; G1522_Extraccion_Articulos_NetSuite_2026-09-30.xlsx: fila 58717 [R] | Shopify Stetson: producto 15054563770731 / variante 53350542442859</t>
        </is>
      </c>
      <c r="AL145" s="58" t="n">
        <v>776</v>
      </c>
      <c r="AM145" s="58" t="n">
        <v>4482.758621</v>
      </c>
      <c r="AN145" s="155" t="inlineStr">
        <is>
          <t>Shopify Stetson México</t>
        </is>
      </c>
      <c r="AO145" s="59" t="n">
        <v>0</v>
      </c>
      <c r="AP145" s="59" t="n"/>
      <c r="AQ145" s="59" t="n"/>
      <c r="AR145" s="155" t="n"/>
    </row>
    <row r="146">
      <c r="A146" s="50" t="inlineStr">
        <is>
          <t>12020001101002025</t>
        </is>
      </c>
      <c r="B146" s="51" t="inlineStr">
        <is>
          <t>111043</t>
        </is>
      </c>
      <c r="C146" s="156" t="inlineStr">
        <is>
          <t>Multimarca</t>
        </is>
      </c>
      <c r="D146" s="156" t="inlineStr">
        <is>
          <t>12-020-BS001-10-1002</t>
        </is>
      </c>
      <c r="E146" s="156" t="inlineStr">
        <is>
          <t>12-020-BS001-10-1002-025</t>
        </is>
      </c>
      <c r="F146" s="156" t="inlineStr">
        <is>
          <t>25</t>
        </is>
      </c>
      <c r="G146" s="156" t="inlineStr">
        <is>
          <t>7</t>
        </is>
      </c>
      <c r="H146" s="156" t="inlineStr">
        <is>
          <t>Stetson</t>
        </is>
      </c>
      <c r="I146" s="156" t="inlineStr">
        <is>
          <t>Bota Piel Chocolate</t>
        </is>
      </c>
      <c r="J146" s="156" t="inlineStr">
        <is>
          <t>Calzado</t>
        </is>
      </c>
      <c r="K146" s="156" t="inlineStr">
        <is>
          <t>Botas</t>
        </is>
      </c>
      <c r="L146" s="156" t="inlineStr">
        <is>
          <t>Hombre</t>
        </is>
      </c>
      <c r="M146" s="156" t="inlineStr">
        <is>
          <t>Stetson</t>
        </is>
      </c>
      <c r="N146" s="156" t="inlineStr">
        <is>
          <t>SS26</t>
        </is>
      </c>
      <c r="O146" s="156" t="inlineStr">
        <is>
          <t>Seasonal</t>
        </is>
      </c>
      <c r="P146" s="156" t="inlineStr">
        <is>
          <t>Cafe</t>
        </is>
      </c>
      <c r="Q146" s="156" t="n"/>
      <c r="R146" s="156" t="inlineStr">
        <is>
          <t>Punta Redonda Ancha</t>
        </is>
      </c>
      <c r="S146" s="156" t="inlineStr">
        <is>
          <t>Piel bovina</t>
        </is>
      </c>
      <c r="T146" s="156" t="inlineStr">
        <is>
          <t>Bota Caballero Piel bovina Clayton Chocolate Punta Redonda Ancha</t>
        </is>
      </c>
      <c r="U146" s="156" t="inlineStr">
        <is>
          <t>México</t>
        </is>
      </c>
      <c r="V146" s="156" t="inlineStr">
        <is>
          <t>PRS</t>
        </is>
      </c>
      <c r="W146" s="51" t="inlineStr">
        <is>
          <t>53111501</t>
        </is>
      </c>
      <c r="X146" s="156" t="n"/>
      <c r="Y146" s="54" t="n">
        <v>776</v>
      </c>
      <c r="Z146" s="54" t="n">
        <v>4482.758621</v>
      </c>
      <c r="AA146" s="55">
        <f>IF(AND(A146="", B146="", E146=""), "", IF(AB146="", "Válido", IF((LEN(AB146)-LEN(SUBSTITUTE(AB146,"; ","")))/2+1&gt;(LEN(AB146)-LEN(SUBSTITUTE(AB146,"[Aviso]","")))/7, "Con Incidencias", "Válido")))</f>
        <v/>
      </c>
      <c r="AB146" s="56">
        <f>IF(AND(A146="", B146="", E146=""), "", TEXTJOIN("; ", TRUE, IF(OR(TRIM(A146&amp;"")="", ISNUMBER(SEARCH("FALTA", A146))), "UPC faltante/inválido", ""), IF(AND(A146&lt;&gt;"", IFERROR(_xlfn.XMATCH(A146,$A$2:$A$2509,0,1)&lt;&gt;_xlfn.XMATCH(A146,$A$2:$A$2509,0,-1),FALSE)), "Código de barras duplicado", ""), IF(AND(E146&lt;&gt;"", COUNTIF($E$2:$E$2509, E146)&gt;1), "SKU duplicado", ""), IF(OR(J146="", J146=""), "[Aviso] División no capturada ()", IF(ISNA(MATCH(J146, Criterios!$A$123:$A$126, 0)), "División no válida", "")), IF(OR(K146="", K146=""), "[Aviso] Categoría no capturada ()", IF(ISNA(MATCH(K146, Criterios!$A$81:$A$120, 0)), "Categoría no válida", IF(AND(J146&lt;&gt;"", J146&lt;&gt;"", J146&lt;&gt;VLOOKUP(K146, Criterios!$A$81:$B$120, 2, FALSE)), "División no coincide con Categoría", ""))), IF(OR(L146="", L146=""), "[Aviso] Género no capturado ()", IF(ISNA(MATCH(L146, Criterios!$B$123:$B$127, 0)), "Género no válido", "")), IF(OR(N146="", N146=""), "[Aviso] Temporada no capturada ()", IF(ISNA(MATCH(N146, Criterios!$C$123:$C$128, 0)), "Temporada no válida", "")), IF(OR(O146="", O146=""), "[Aviso] Ciclo de vida no capturado ()", IF(ISNA(MATCH(O146, Criterios!$D$123:$D$124, 0)), "Ciclo de vida no válido", ""))))</f>
        <v/>
      </c>
      <c r="AC146" s="56" t="n"/>
      <c r="AD146" s="51" t="n">
        <v>0</v>
      </c>
      <c r="AE146" s="156" t="n"/>
      <c r="AF146" s="51" t="n">
        <v>0</v>
      </c>
      <c r="AG146" s="156" t="inlineStr">
        <is>
          <t>Catálogo existente</t>
        </is>
      </c>
      <c r="AH1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6" s="156" t="inlineStr">
        <is>
          <t>No</t>
        </is>
      </c>
      <c r="AJ146" s="156" t="n"/>
      <c r="AK146" s="155" t="inlineStr">
        <is>
          <t>Criterios: I [Q]; G1522_Extraccion_Articulos_NetSuite_2026-09-30.xlsx: fila 58718 [R] | Shopify Stetson: producto 15054563803499 / variante 53350542475627</t>
        </is>
      </c>
      <c r="AL146" s="58" t="n">
        <v>776</v>
      </c>
      <c r="AM146" s="58" t="n">
        <v>4482.758621</v>
      </c>
      <c r="AN146" s="155" t="inlineStr">
        <is>
          <t>Shopify Stetson México</t>
        </is>
      </c>
      <c r="AO146" s="59" t="n">
        <v>0</v>
      </c>
      <c r="AP146" s="59" t="n"/>
      <c r="AQ146" s="59" t="n"/>
      <c r="AR146" s="155" t="n"/>
    </row>
    <row r="147">
      <c r="A147" s="50" t="inlineStr">
        <is>
          <t>12020001101002026</t>
        </is>
      </c>
      <c r="B147" s="51" t="inlineStr">
        <is>
          <t>111044</t>
        </is>
      </c>
      <c r="C147" s="156" t="inlineStr">
        <is>
          <t>Multimarca</t>
        </is>
      </c>
      <c r="D147" s="156" t="inlineStr">
        <is>
          <t>12-020-BS001-10-1002</t>
        </is>
      </c>
      <c r="E147" s="156" t="inlineStr">
        <is>
          <t>12-020-BS001-10-1002-026</t>
        </is>
      </c>
      <c r="F147" s="156" t="inlineStr">
        <is>
          <t>26</t>
        </is>
      </c>
      <c r="G147" s="156" t="inlineStr">
        <is>
          <t>8</t>
        </is>
      </c>
      <c r="H147" s="156" t="inlineStr">
        <is>
          <t>Stetson</t>
        </is>
      </c>
      <c r="I147" s="156" t="inlineStr">
        <is>
          <t>Bota Piel Chocolate</t>
        </is>
      </c>
      <c r="J147" s="156" t="inlineStr">
        <is>
          <t>Calzado</t>
        </is>
      </c>
      <c r="K147" s="156" t="inlineStr">
        <is>
          <t>Botas</t>
        </is>
      </c>
      <c r="L147" s="156" t="inlineStr">
        <is>
          <t>Hombre</t>
        </is>
      </c>
      <c r="M147" s="156" t="inlineStr">
        <is>
          <t>Stetson</t>
        </is>
      </c>
      <c r="N147" s="156" t="inlineStr">
        <is>
          <t>SS26</t>
        </is>
      </c>
      <c r="O147" s="156" t="inlineStr">
        <is>
          <t>Seasonal</t>
        </is>
      </c>
      <c r="P147" s="156" t="inlineStr">
        <is>
          <t>Cafe</t>
        </is>
      </c>
      <c r="Q147" s="156" t="n"/>
      <c r="R147" s="156" t="inlineStr">
        <is>
          <t>Punta Redonda Ancha</t>
        </is>
      </c>
      <c r="S147" s="156" t="inlineStr">
        <is>
          <t>Piel bovina</t>
        </is>
      </c>
      <c r="T147" s="156" t="inlineStr">
        <is>
          <t>Bota Caballero Piel bovina Clayton Chocolate Punta Redonda Ancha</t>
        </is>
      </c>
      <c r="U147" s="156" t="inlineStr">
        <is>
          <t>México</t>
        </is>
      </c>
      <c r="V147" s="156" t="inlineStr">
        <is>
          <t>PRS</t>
        </is>
      </c>
      <c r="W147" s="51" t="inlineStr">
        <is>
          <t>53111501</t>
        </is>
      </c>
      <c r="X147" s="156" t="n"/>
      <c r="Y147" s="54" t="n">
        <v>776</v>
      </c>
      <c r="Z147" s="54" t="n">
        <v>4482.758621</v>
      </c>
      <c r="AA147" s="55">
        <f>IF(AND(A147="", B147="", E147=""), "", IF(AB147="", "Válido", IF((LEN(AB147)-LEN(SUBSTITUTE(AB147,"; ","")))/2+1&gt;(LEN(AB147)-LEN(SUBSTITUTE(AB147,"[Aviso]","")))/7, "Con Incidencias", "Válido")))</f>
        <v/>
      </c>
      <c r="AB147" s="56">
        <f>IF(AND(A147="", B147="", E147=""), "", TEXTJOIN("; ", TRUE, IF(OR(TRIM(A147&amp;"")="", ISNUMBER(SEARCH("FALTA", A147))), "UPC faltante/inválido", ""), IF(AND(A147&lt;&gt;"", IFERROR(_xlfn.XMATCH(A147,$A$2:$A$2509,0,1)&lt;&gt;_xlfn.XMATCH(A147,$A$2:$A$2509,0,-1),FALSE)), "Código de barras duplicado", ""), IF(AND(E147&lt;&gt;"", COUNTIF($E$2:$E$2509, E147)&gt;1), "SKU duplicado", ""), IF(OR(J147="", J147=""), "[Aviso] División no capturada ()", IF(ISNA(MATCH(J147, Criterios!$A$123:$A$126, 0)), "División no válida", "")), IF(OR(K147="", K147=""), "[Aviso] Categoría no capturada ()", IF(ISNA(MATCH(K147, Criterios!$A$81:$A$120, 0)), "Categoría no válida", IF(AND(J147&lt;&gt;"", J147&lt;&gt;"", J147&lt;&gt;VLOOKUP(K147, Criterios!$A$81:$B$120, 2, FALSE)), "División no coincide con Categoría", ""))), IF(OR(L147="", L147=""), "[Aviso] Género no capturado ()", IF(ISNA(MATCH(L147, Criterios!$B$123:$B$127, 0)), "Género no válido", "")), IF(OR(N147="", N147=""), "[Aviso] Temporada no capturada ()", IF(ISNA(MATCH(N147, Criterios!$C$123:$C$128, 0)), "Temporada no válida", "")), IF(OR(O147="", O147=""), "[Aviso] Ciclo de vida no capturado ()", IF(ISNA(MATCH(O147, Criterios!$D$123:$D$124, 0)), "Ciclo de vida no válido", ""))))</f>
        <v/>
      </c>
      <c r="AC147" s="56" t="n"/>
      <c r="AD147" s="51" t="n">
        <v>-1</v>
      </c>
      <c r="AE147" s="156" t="n"/>
      <c r="AF147" s="51" t="n">
        <v>0</v>
      </c>
      <c r="AG147" s="156" t="inlineStr">
        <is>
          <t>Catálogo existente</t>
        </is>
      </c>
      <c r="AH14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7" s="156" t="inlineStr">
        <is>
          <t>Sí</t>
        </is>
      </c>
      <c r="AJ147" s="156" t="inlineStr">
        <is>
          <t>STETSON AMERICAS (-1)</t>
        </is>
      </c>
      <c r="AK147" s="155" t="inlineStr">
        <is>
          <t>Criterios: I [Q]; G1522_Extraccion_Articulos_NetSuite_2026-09-30.xlsx: fila 58719 [R] | Shopify Stetson: producto 15054563803499 / variante 53350542541163</t>
        </is>
      </c>
      <c r="AL147" s="58" t="n">
        <v>776</v>
      </c>
      <c r="AM147" s="58" t="n">
        <v>4482.758621</v>
      </c>
      <c r="AN147" s="155" t="inlineStr">
        <is>
          <t>Shopify Stetson México</t>
        </is>
      </c>
      <c r="AO147" s="59" t="n">
        <v>0</v>
      </c>
      <c r="AP147" s="59" t="n"/>
      <c r="AQ147" s="59" t="n"/>
      <c r="AR147" s="155" t="n"/>
    </row>
    <row r="148">
      <c r="A148" s="50" t="inlineStr">
        <is>
          <t>12020001101002027</t>
        </is>
      </c>
      <c r="B148" s="51" t="inlineStr">
        <is>
          <t>111045</t>
        </is>
      </c>
      <c r="C148" s="156" t="inlineStr">
        <is>
          <t>Multimarca</t>
        </is>
      </c>
      <c r="D148" s="156" t="inlineStr">
        <is>
          <t>12-020-BS001-10-1002</t>
        </is>
      </c>
      <c r="E148" s="156" t="inlineStr">
        <is>
          <t>12-020-BS001-10-1002-027</t>
        </is>
      </c>
      <c r="F148" s="156" t="inlineStr">
        <is>
          <t>27</t>
        </is>
      </c>
      <c r="G148" s="156" t="inlineStr">
        <is>
          <t>9</t>
        </is>
      </c>
      <c r="H148" s="156" t="inlineStr">
        <is>
          <t>Stetson</t>
        </is>
      </c>
      <c r="I148" s="156" t="inlineStr">
        <is>
          <t>Bota Piel Chocolate</t>
        </is>
      </c>
      <c r="J148" s="156" t="inlineStr">
        <is>
          <t>Calzado</t>
        </is>
      </c>
      <c r="K148" s="156" t="inlineStr">
        <is>
          <t>Botas</t>
        </is>
      </c>
      <c r="L148" s="156" t="inlineStr">
        <is>
          <t>Hombre</t>
        </is>
      </c>
      <c r="M148" s="156" t="inlineStr">
        <is>
          <t>Stetson</t>
        </is>
      </c>
      <c r="N148" s="156" t="inlineStr">
        <is>
          <t>SS26</t>
        </is>
      </c>
      <c r="O148" s="156" t="inlineStr">
        <is>
          <t>Seasonal</t>
        </is>
      </c>
      <c r="P148" s="156" t="inlineStr">
        <is>
          <t>Cafe</t>
        </is>
      </c>
      <c r="Q148" s="156" t="n"/>
      <c r="R148" s="156" t="inlineStr">
        <is>
          <t>Punta Redonda Ancha</t>
        </is>
      </c>
      <c r="S148" s="156" t="inlineStr">
        <is>
          <t>Piel bovina</t>
        </is>
      </c>
      <c r="T148" s="156" t="inlineStr">
        <is>
          <t>Bota Caballero Piel bovina Clayton Chocolate Punta Redonda Ancha</t>
        </is>
      </c>
      <c r="U148" s="156" t="inlineStr">
        <is>
          <t>México</t>
        </is>
      </c>
      <c r="V148" s="156" t="inlineStr">
        <is>
          <t>PRS</t>
        </is>
      </c>
      <c r="W148" s="51" t="inlineStr">
        <is>
          <t>53111501</t>
        </is>
      </c>
      <c r="X148" s="156" t="n"/>
      <c r="Y148" s="54" t="n">
        <v>776</v>
      </c>
      <c r="Z148" s="54" t="n">
        <v>4482.758621</v>
      </c>
      <c r="AA148" s="55">
        <f>IF(AND(A148="", B148="", E148=""), "", IF(AB148="", "Válido", IF((LEN(AB148)-LEN(SUBSTITUTE(AB148,"; ","")))/2+1&gt;(LEN(AB148)-LEN(SUBSTITUTE(AB148,"[Aviso]","")))/7, "Con Incidencias", "Válido")))</f>
        <v/>
      </c>
      <c r="AB148" s="56">
        <f>IF(AND(A148="", B148="", E148=""), "", TEXTJOIN("; ", TRUE, IF(OR(TRIM(A148&amp;"")="", ISNUMBER(SEARCH("FALTA", A148))), "UPC faltante/inválido", ""), IF(AND(A148&lt;&gt;"", IFERROR(_xlfn.XMATCH(A148,$A$2:$A$2509,0,1)&lt;&gt;_xlfn.XMATCH(A148,$A$2:$A$2509,0,-1),FALSE)), "Código de barras duplicado", ""), IF(AND(E148&lt;&gt;"", COUNTIF($E$2:$E$2509, E148)&gt;1), "SKU duplicado", ""), IF(OR(J148="", J148=""), "[Aviso] División no capturada ()", IF(ISNA(MATCH(J148, Criterios!$A$123:$A$126, 0)), "División no válida", "")), IF(OR(K148="", K148=""), "[Aviso] Categoría no capturada ()", IF(ISNA(MATCH(K148, Criterios!$A$81:$A$120, 0)), "Categoría no válida", IF(AND(J148&lt;&gt;"", J148&lt;&gt;"", J148&lt;&gt;VLOOKUP(K148, Criterios!$A$81:$B$120, 2, FALSE)), "División no coincide con Categoría", ""))), IF(OR(L148="", L148=""), "[Aviso] Género no capturado ()", IF(ISNA(MATCH(L148, Criterios!$B$123:$B$127, 0)), "Género no válido", "")), IF(OR(N148="", N148=""), "[Aviso] Temporada no capturada ()", IF(ISNA(MATCH(N148, Criterios!$C$123:$C$128, 0)), "Temporada no válida", "")), IF(OR(O148="", O148=""), "[Aviso] Ciclo de vida no capturado ()", IF(ISNA(MATCH(O148, Criterios!$D$123:$D$124, 0)), "Ciclo de vida no válido", ""))))</f>
        <v/>
      </c>
      <c r="AC148" s="56" t="n"/>
      <c r="AD148" s="51" t="n">
        <v>-2</v>
      </c>
      <c r="AE148" s="156" t="n"/>
      <c r="AF148" s="51" t="n">
        <v>0</v>
      </c>
      <c r="AG148" s="156" t="inlineStr">
        <is>
          <t>Catálogo existente</t>
        </is>
      </c>
      <c r="AH14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8" s="156" t="inlineStr">
        <is>
          <t>Sí</t>
        </is>
      </c>
      <c r="AJ148" s="156" t="inlineStr">
        <is>
          <t>STETSON AMERICAS (-2)</t>
        </is>
      </c>
      <c r="AK148" s="155" t="inlineStr">
        <is>
          <t>Criterios: I [Q]; G1522_Extraccion_Articulos_NetSuite_2026-09-30.xlsx: fila 58720 [R] | Shopify Stetson: producto 15054563803499 / variante 53350542606699</t>
        </is>
      </c>
      <c r="AL148" s="58" t="n">
        <v>776</v>
      </c>
      <c r="AM148" s="58" t="n">
        <v>4482.758621</v>
      </c>
      <c r="AN148" s="155" t="inlineStr">
        <is>
          <t>Shopify Stetson México</t>
        </is>
      </c>
      <c r="AO148" s="59" t="n">
        <v>0</v>
      </c>
      <c r="AP148" s="59" t="n"/>
      <c r="AQ148" s="59" t="n"/>
      <c r="AR148" s="155" t="n"/>
    </row>
    <row r="149">
      <c r="A149" s="50" t="inlineStr">
        <is>
          <t>12020001101002028</t>
        </is>
      </c>
      <c r="B149" s="51" t="inlineStr">
        <is>
          <t>111046</t>
        </is>
      </c>
      <c r="C149" s="156" t="inlineStr">
        <is>
          <t>Multimarca</t>
        </is>
      </c>
      <c r="D149" s="156" t="inlineStr">
        <is>
          <t>12-020-BS001-10-1002</t>
        </is>
      </c>
      <c r="E149" s="156" t="inlineStr">
        <is>
          <t>12-020-BS001-10-1002-028</t>
        </is>
      </c>
      <c r="F149" s="156" t="inlineStr">
        <is>
          <t>28</t>
        </is>
      </c>
      <c r="G149" s="156" t="inlineStr">
        <is>
          <t>10</t>
        </is>
      </c>
      <c r="H149" s="156" t="inlineStr">
        <is>
          <t>Stetson</t>
        </is>
      </c>
      <c r="I149" s="156" t="inlineStr">
        <is>
          <t>Bota Piel Chocolate</t>
        </is>
      </c>
      <c r="J149" s="156" t="inlineStr">
        <is>
          <t>Calzado</t>
        </is>
      </c>
      <c r="K149" s="156" t="inlineStr">
        <is>
          <t>Botas</t>
        </is>
      </c>
      <c r="L149" s="156" t="inlineStr">
        <is>
          <t>Hombre</t>
        </is>
      </c>
      <c r="M149" s="156" t="inlineStr">
        <is>
          <t>Stetson</t>
        </is>
      </c>
      <c r="N149" s="156" t="inlineStr">
        <is>
          <t>SS26</t>
        </is>
      </c>
      <c r="O149" s="156" t="inlineStr">
        <is>
          <t>Seasonal</t>
        </is>
      </c>
      <c r="P149" s="156" t="inlineStr">
        <is>
          <t>Cafe</t>
        </is>
      </c>
      <c r="Q149" s="156" t="n"/>
      <c r="R149" s="156" t="inlineStr">
        <is>
          <t>Punta Redonda Ancha</t>
        </is>
      </c>
      <c r="S149" s="156" t="inlineStr">
        <is>
          <t>Piel bovina</t>
        </is>
      </c>
      <c r="T149" s="156" t="inlineStr">
        <is>
          <t>Bota Caballero Piel bovina Clayton Chocolate Punta Redonda Ancha</t>
        </is>
      </c>
      <c r="U149" s="156" t="inlineStr">
        <is>
          <t>México</t>
        </is>
      </c>
      <c r="V149" s="156" t="inlineStr">
        <is>
          <t>PRS</t>
        </is>
      </c>
      <c r="W149" s="51" t="inlineStr">
        <is>
          <t>53111501</t>
        </is>
      </c>
      <c r="X149" s="156" t="n"/>
      <c r="Y149" s="54" t="n">
        <v>776</v>
      </c>
      <c r="Z149" s="54" t="n">
        <v>4482.758621</v>
      </c>
      <c r="AA149" s="55">
        <f>IF(AND(A149="", B149="", E149=""), "", IF(AB149="", "Válido", IF((LEN(AB149)-LEN(SUBSTITUTE(AB149,"; ","")))/2+1&gt;(LEN(AB149)-LEN(SUBSTITUTE(AB149,"[Aviso]","")))/7, "Con Incidencias", "Válido")))</f>
        <v/>
      </c>
      <c r="AB149" s="56">
        <f>IF(AND(A149="", B149="", E149=""), "", TEXTJOIN("; ", TRUE, IF(OR(TRIM(A149&amp;"")="", ISNUMBER(SEARCH("FALTA", A149))), "UPC faltante/inválido", ""), IF(AND(A149&lt;&gt;"", IFERROR(_xlfn.XMATCH(A149,$A$2:$A$2509,0,1)&lt;&gt;_xlfn.XMATCH(A149,$A$2:$A$2509,0,-1),FALSE)), "Código de barras duplicado", ""), IF(AND(E149&lt;&gt;"", COUNTIF($E$2:$E$2509, E149)&gt;1), "SKU duplicado", ""), IF(OR(J149="", J149=""), "[Aviso] División no capturada ()", IF(ISNA(MATCH(J149, Criterios!$A$123:$A$126, 0)), "División no válida", "")), IF(OR(K149="", K149=""), "[Aviso] Categoría no capturada ()", IF(ISNA(MATCH(K149, Criterios!$A$81:$A$120, 0)), "Categoría no válida", IF(AND(J149&lt;&gt;"", J149&lt;&gt;"", J149&lt;&gt;VLOOKUP(K149, Criterios!$A$81:$B$120, 2, FALSE)), "División no coincide con Categoría", ""))), IF(OR(L149="", L149=""), "[Aviso] Género no capturado ()", IF(ISNA(MATCH(L149, Criterios!$B$123:$B$127, 0)), "Género no válido", "")), IF(OR(N149="", N149=""), "[Aviso] Temporada no capturada ()", IF(ISNA(MATCH(N149, Criterios!$C$123:$C$128, 0)), "Temporada no válida", "")), IF(OR(O149="", O149=""), "[Aviso] Ciclo de vida no capturado ()", IF(ISNA(MATCH(O149, Criterios!$D$123:$D$124, 0)), "Ciclo de vida no válido", ""))))</f>
        <v/>
      </c>
      <c r="AC149" s="56" t="n"/>
      <c r="AD149" s="51" t="n">
        <v>-2</v>
      </c>
      <c r="AE149" s="156" t="n"/>
      <c r="AF149" s="51" t="n">
        <v>0</v>
      </c>
      <c r="AG149" s="156" t="inlineStr">
        <is>
          <t>Catálogo existente</t>
        </is>
      </c>
      <c r="AH14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9" s="156" t="inlineStr">
        <is>
          <t>Sí</t>
        </is>
      </c>
      <c r="AJ149" s="156" t="inlineStr">
        <is>
          <t>STETSON AMERICAS (-2)</t>
        </is>
      </c>
      <c r="AK149" s="155" t="inlineStr">
        <is>
          <t>Criterios: I [Q]; G1522_Extraccion_Articulos_NetSuite_2026-09-30.xlsx: fila 58721 [R] | Shopify Stetson: producto 15054563803499 / variante 53350542672235</t>
        </is>
      </c>
      <c r="AL149" s="58" t="n">
        <v>776</v>
      </c>
      <c r="AM149" s="58" t="n">
        <v>4482.758621</v>
      </c>
      <c r="AN149" s="155" t="inlineStr">
        <is>
          <t>Shopify Stetson México</t>
        </is>
      </c>
      <c r="AO149" s="59" t="n">
        <v>0</v>
      </c>
      <c r="AP149" s="59" t="n"/>
      <c r="AQ149" s="59" t="n"/>
      <c r="AR149" s="155" t="n"/>
    </row>
    <row r="150">
      <c r="A150" s="50" t="inlineStr">
        <is>
          <t>12020001101002029</t>
        </is>
      </c>
      <c r="B150" s="51" t="inlineStr">
        <is>
          <t>111047</t>
        </is>
      </c>
      <c r="C150" s="156" t="inlineStr">
        <is>
          <t>Multimarca</t>
        </is>
      </c>
      <c r="D150" s="156" t="inlineStr">
        <is>
          <t>12-020-BS001-10-1002</t>
        </is>
      </c>
      <c r="E150" s="156" t="inlineStr">
        <is>
          <t>12-020-BS001-10-1002-029</t>
        </is>
      </c>
      <c r="F150" s="156" t="inlineStr">
        <is>
          <t>29</t>
        </is>
      </c>
      <c r="G150" s="156" t="inlineStr">
        <is>
          <t>11</t>
        </is>
      </c>
      <c r="H150" s="156" t="inlineStr">
        <is>
          <t>Stetson</t>
        </is>
      </c>
      <c r="I150" s="156" t="inlineStr">
        <is>
          <t>Bota Piel Chocolate</t>
        </is>
      </c>
      <c r="J150" s="156" t="inlineStr">
        <is>
          <t>Calzado</t>
        </is>
      </c>
      <c r="K150" s="156" t="inlineStr">
        <is>
          <t>Botas</t>
        </is>
      </c>
      <c r="L150" s="156" t="inlineStr">
        <is>
          <t>Hombre</t>
        </is>
      </c>
      <c r="M150" s="156" t="inlineStr">
        <is>
          <t>Stetson</t>
        </is>
      </c>
      <c r="N150" s="156" t="inlineStr">
        <is>
          <t>SS26</t>
        </is>
      </c>
      <c r="O150" s="156" t="inlineStr">
        <is>
          <t>Seasonal</t>
        </is>
      </c>
      <c r="P150" s="156" t="inlineStr">
        <is>
          <t>Cafe</t>
        </is>
      </c>
      <c r="Q150" s="156" t="n"/>
      <c r="R150" s="156" t="inlineStr">
        <is>
          <t>Punta Redonda Ancha</t>
        </is>
      </c>
      <c r="S150" s="156" t="inlineStr">
        <is>
          <t>Piel bovina</t>
        </is>
      </c>
      <c r="T150" s="156" t="inlineStr">
        <is>
          <t>Bota Caballero Piel bovina Clayton Chocolate Punta Redonda Ancha</t>
        </is>
      </c>
      <c r="U150" s="156" t="inlineStr">
        <is>
          <t>México</t>
        </is>
      </c>
      <c r="V150" s="156" t="inlineStr">
        <is>
          <t>PRS</t>
        </is>
      </c>
      <c r="W150" s="51" t="inlineStr">
        <is>
          <t>53111501</t>
        </is>
      </c>
      <c r="X150" s="156" t="n"/>
      <c r="Y150" s="54" t="n">
        <v>776</v>
      </c>
      <c r="Z150" s="54" t="n">
        <v>4482.758621</v>
      </c>
      <c r="AA150" s="55">
        <f>IF(AND(A150="", B150="", E150=""), "", IF(AB150="", "Válido", IF((LEN(AB150)-LEN(SUBSTITUTE(AB150,"; ","")))/2+1&gt;(LEN(AB150)-LEN(SUBSTITUTE(AB150,"[Aviso]","")))/7, "Con Incidencias", "Válido")))</f>
        <v/>
      </c>
      <c r="AB150" s="56">
        <f>IF(AND(A150="", B150="", E150=""), "", TEXTJOIN("; ", TRUE, IF(OR(TRIM(A150&amp;"")="", ISNUMBER(SEARCH("FALTA", A150))), "UPC faltante/inválido", ""), IF(AND(A150&lt;&gt;"", IFERROR(_xlfn.XMATCH(A150,$A$2:$A$2509,0,1)&lt;&gt;_xlfn.XMATCH(A150,$A$2:$A$2509,0,-1),FALSE)), "Código de barras duplicado", ""), IF(AND(E150&lt;&gt;"", COUNTIF($E$2:$E$2509, E150)&gt;1), "SKU duplicado", ""), IF(OR(J150="", J150=""), "[Aviso] División no capturada ()", IF(ISNA(MATCH(J150, Criterios!$A$123:$A$126, 0)), "División no válida", "")), IF(OR(K150="", K150=""), "[Aviso] Categoría no capturada ()", IF(ISNA(MATCH(K150, Criterios!$A$81:$A$120, 0)), "Categoría no válida", IF(AND(J150&lt;&gt;"", J150&lt;&gt;"", J150&lt;&gt;VLOOKUP(K150, Criterios!$A$81:$B$120, 2, FALSE)), "División no coincide con Categoría", ""))), IF(OR(L150="", L150=""), "[Aviso] Género no capturado ()", IF(ISNA(MATCH(L150, Criterios!$B$123:$B$127, 0)), "Género no válido", "")), IF(OR(N150="", N150=""), "[Aviso] Temporada no capturada ()", IF(ISNA(MATCH(N150, Criterios!$C$123:$C$128, 0)), "Temporada no válida", "")), IF(OR(O150="", O150=""), "[Aviso] Ciclo de vida no capturado ()", IF(ISNA(MATCH(O150, Criterios!$D$123:$D$124, 0)), "Ciclo de vida no válido", ""))))</f>
        <v/>
      </c>
      <c r="AC150" s="56" t="n"/>
      <c r="AD150" s="51" t="n">
        <v>0</v>
      </c>
      <c r="AE150" s="156" t="n"/>
      <c r="AF150" s="51" t="n">
        <v>0</v>
      </c>
      <c r="AG150" s="156" t="inlineStr">
        <is>
          <t>Catálogo existente</t>
        </is>
      </c>
      <c r="AH1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0" s="156" t="inlineStr">
        <is>
          <t>No</t>
        </is>
      </c>
      <c r="AJ150" s="156" t="n"/>
      <c r="AK150" s="155" t="inlineStr">
        <is>
          <t>Criterios: I [Q]; G1522_Extraccion_Articulos_NetSuite_2026-09-30.xlsx: fila 58722 [R] | Shopify Stetson: producto 15054563803499 / variante 53350542737771</t>
        </is>
      </c>
      <c r="AL150" s="58" t="n">
        <v>776</v>
      </c>
      <c r="AM150" s="58" t="n">
        <v>4482.758621</v>
      </c>
      <c r="AN150" s="155" t="inlineStr">
        <is>
          <t>Shopify Stetson México</t>
        </is>
      </c>
      <c r="AO150" s="59" t="n">
        <v>1</v>
      </c>
      <c r="AP150" s="59" t="n"/>
      <c r="AQ150" s="59" t="n"/>
      <c r="AR150" s="155" t="inlineStr">
        <is>
          <t>Shopify Stetson México › Stetson Americas: 1</t>
        </is>
      </c>
    </row>
    <row r="151">
      <c r="A151" s="50" t="inlineStr">
        <is>
          <t>12020001101002030</t>
        </is>
      </c>
      <c r="B151" s="51" t="inlineStr">
        <is>
          <t>111048</t>
        </is>
      </c>
      <c r="C151" s="156" t="inlineStr">
        <is>
          <t>Multimarca</t>
        </is>
      </c>
      <c r="D151" s="156" t="inlineStr">
        <is>
          <t>12-020-BS001-10-1002</t>
        </is>
      </c>
      <c r="E151" s="156" t="inlineStr">
        <is>
          <t>12-020-BS001-10-1002-030</t>
        </is>
      </c>
      <c r="F151" s="156" t="inlineStr">
        <is>
          <t>30</t>
        </is>
      </c>
      <c r="G151" s="156" t="inlineStr">
        <is>
          <t>12</t>
        </is>
      </c>
      <c r="H151" s="156" t="inlineStr">
        <is>
          <t>Stetson</t>
        </is>
      </c>
      <c r="I151" s="156" t="inlineStr">
        <is>
          <t>Bota Piel Chocolate</t>
        </is>
      </c>
      <c r="J151" s="156" t="inlineStr">
        <is>
          <t>Calzado</t>
        </is>
      </c>
      <c r="K151" s="156" t="inlineStr">
        <is>
          <t>Botas</t>
        </is>
      </c>
      <c r="L151" s="156" t="inlineStr">
        <is>
          <t>Hombre</t>
        </is>
      </c>
      <c r="M151" s="156" t="inlineStr">
        <is>
          <t>Stetson</t>
        </is>
      </c>
      <c r="N151" s="156" t="inlineStr">
        <is>
          <t>SS26</t>
        </is>
      </c>
      <c r="O151" s="156" t="inlineStr">
        <is>
          <t>Seasonal</t>
        </is>
      </c>
      <c r="P151" s="156" t="inlineStr">
        <is>
          <t>Cafe</t>
        </is>
      </c>
      <c r="Q151" s="156" t="n"/>
      <c r="R151" s="156" t="inlineStr">
        <is>
          <t>Punta Redonda Ancha</t>
        </is>
      </c>
      <c r="S151" s="156" t="inlineStr">
        <is>
          <t>Piel bovina</t>
        </is>
      </c>
      <c r="T151" s="156" t="inlineStr">
        <is>
          <t>Bota Caballero Piel bovina Clayton Chocolate Punta Redonda Ancha</t>
        </is>
      </c>
      <c r="U151" s="156" t="inlineStr">
        <is>
          <t>México</t>
        </is>
      </c>
      <c r="V151" s="156" t="inlineStr">
        <is>
          <t>PRS</t>
        </is>
      </c>
      <c r="W151" s="51" t="inlineStr">
        <is>
          <t>53111501</t>
        </is>
      </c>
      <c r="X151" s="156" t="n"/>
      <c r="Y151" s="54" t="n">
        <v>776</v>
      </c>
      <c r="Z151" s="54" t="n">
        <v>4482.758621</v>
      </c>
      <c r="AA151" s="55">
        <f>IF(AND(A151="", B151="", E151=""), "", IF(AB151="", "Válido", IF((LEN(AB151)-LEN(SUBSTITUTE(AB151,"; ","")))/2+1&gt;(LEN(AB151)-LEN(SUBSTITUTE(AB151,"[Aviso]","")))/7, "Con Incidencias", "Válido")))</f>
        <v/>
      </c>
      <c r="AB151" s="56">
        <f>IF(AND(A151="", B151="", E151=""), "", TEXTJOIN("; ", TRUE, IF(OR(TRIM(A151&amp;"")="", ISNUMBER(SEARCH("FALTA", A151))), "UPC faltante/inválido", ""), IF(AND(A151&lt;&gt;"", IFERROR(_xlfn.XMATCH(A151,$A$2:$A$2509,0,1)&lt;&gt;_xlfn.XMATCH(A151,$A$2:$A$2509,0,-1),FALSE)), "Código de barras duplicado", ""), IF(AND(E151&lt;&gt;"", COUNTIF($E$2:$E$2509, E151)&gt;1), "SKU duplicado", ""), IF(OR(J151="", J151=""), "[Aviso] División no capturada ()", IF(ISNA(MATCH(J151, Criterios!$A$123:$A$126, 0)), "División no válida", "")), IF(OR(K151="", K151=""), "[Aviso] Categoría no capturada ()", IF(ISNA(MATCH(K151, Criterios!$A$81:$A$120, 0)), "Categoría no válida", IF(AND(J151&lt;&gt;"", J151&lt;&gt;"", J151&lt;&gt;VLOOKUP(K151, Criterios!$A$81:$B$120, 2, FALSE)), "División no coincide con Categoría", ""))), IF(OR(L151="", L151=""), "[Aviso] Género no capturado ()", IF(ISNA(MATCH(L151, Criterios!$B$123:$B$127, 0)), "Género no válido", "")), IF(OR(N151="", N151=""), "[Aviso] Temporada no capturada ()", IF(ISNA(MATCH(N151, Criterios!$C$123:$C$128, 0)), "Temporada no válida", "")), IF(OR(O151="", O151=""), "[Aviso] Ciclo de vida no capturado ()", IF(ISNA(MATCH(O151, Criterios!$D$123:$D$124, 0)), "Ciclo de vida no válido", ""))))</f>
        <v/>
      </c>
      <c r="AC151" s="56" t="n"/>
      <c r="AD151" s="51" t="n">
        <v>-1</v>
      </c>
      <c r="AE151" s="156" t="n"/>
      <c r="AF151" s="51" t="n">
        <v>0</v>
      </c>
      <c r="AG151" s="156" t="inlineStr">
        <is>
          <t>Catálogo existente</t>
        </is>
      </c>
      <c r="AH15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1" s="156" t="inlineStr">
        <is>
          <t>Sí</t>
        </is>
      </c>
      <c r="AJ151" s="156" t="inlineStr">
        <is>
          <t>STETSON AMERICAS (-1)</t>
        </is>
      </c>
      <c r="AK151" s="155" t="inlineStr">
        <is>
          <t>Criterios: I [Q]; G1522_Extraccion_Articulos_NetSuite_2026-09-30.xlsx: fila 58723 [R] | Shopify Stetson: producto 15054563803499 / variante 53350542803307</t>
        </is>
      </c>
      <c r="AL151" s="58" t="n">
        <v>776</v>
      </c>
      <c r="AM151" s="58" t="n">
        <v>4482.758621</v>
      </c>
      <c r="AN151" s="155" t="inlineStr">
        <is>
          <t>Shopify Stetson México</t>
        </is>
      </c>
      <c r="AO151" s="59" t="n">
        <v>0</v>
      </c>
      <c r="AP151" s="59" t="n"/>
      <c r="AQ151" s="59" t="n"/>
      <c r="AR151" s="155" t="n"/>
    </row>
    <row r="152">
      <c r="A152" s="50" t="inlineStr">
        <is>
          <t>12020001101002031</t>
        </is>
      </c>
      <c r="B152" s="51" t="inlineStr">
        <is>
          <t>111049</t>
        </is>
      </c>
      <c r="C152" s="156" t="inlineStr">
        <is>
          <t>Multimarca</t>
        </is>
      </c>
      <c r="D152" s="156" t="inlineStr">
        <is>
          <t>12-020-BS001-10-1002</t>
        </is>
      </c>
      <c r="E152" s="156" t="inlineStr">
        <is>
          <t>12-020-BS001-10-1002-031</t>
        </is>
      </c>
      <c r="F152" s="156" t="inlineStr">
        <is>
          <t>31</t>
        </is>
      </c>
      <c r="G152" s="156" t="inlineStr">
        <is>
          <t>13</t>
        </is>
      </c>
      <c r="H152" s="156" t="inlineStr">
        <is>
          <t>Stetson</t>
        </is>
      </c>
      <c r="I152" s="156" t="inlineStr">
        <is>
          <t>Bota Piel Chocolate</t>
        </is>
      </c>
      <c r="J152" s="156" t="inlineStr">
        <is>
          <t>Calzado</t>
        </is>
      </c>
      <c r="K152" s="156" t="inlineStr">
        <is>
          <t>Botas</t>
        </is>
      </c>
      <c r="L152" s="156" t="inlineStr">
        <is>
          <t>Hombre</t>
        </is>
      </c>
      <c r="M152" s="156" t="inlineStr">
        <is>
          <t>Stetson</t>
        </is>
      </c>
      <c r="N152" s="156" t="inlineStr">
        <is>
          <t>SS26</t>
        </is>
      </c>
      <c r="O152" s="156" t="inlineStr">
        <is>
          <t>Seasonal</t>
        </is>
      </c>
      <c r="P152" s="156" t="inlineStr">
        <is>
          <t>Cafe</t>
        </is>
      </c>
      <c r="Q152" s="156" t="n"/>
      <c r="R152" s="156" t="inlineStr">
        <is>
          <t>Punta Redonda Ancha</t>
        </is>
      </c>
      <c r="S152" s="156" t="inlineStr">
        <is>
          <t>Piel bovina</t>
        </is>
      </c>
      <c r="T152" s="156" t="inlineStr">
        <is>
          <t>Bota Caballero Piel bovina Clayton Chocolate Punta Redonda Ancha</t>
        </is>
      </c>
      <c r="U152" s="156" t="inlineStr">
        <is>
          <t>México</t>
        </is>
      </c>
      <c r="V152" s="156" t="inlineStr">
        <is>
          <t>PRS</t>
        </is>
      </c>
      <c r="W152" s="51" t="inlineStr">
        <is>
          <t>53111501</t>
        </is>
      </c>
      <c r="X152" s="156" t="n"/>
      <c r="Y152" s="54" t="n">
        <v>776</v>
      </c>
      <c r="Z152" s="54" t="n">
        <v>4482.758621</v>
      </c>
      <c r="AA152" s="55">
        <f>IF(AND(A152="", B152="", E152=""), "", IF(AB152="", "Válido", IF((LEN(AB152)-LEN(SUBSTITUTE(AB152,"; ","")))/2+1&gt;(LEN(AB152)-LEN(SUBSTITUTE(AB152,"[Aviso]","")))/7, "Con Incidencias", "Válido")))</f>
        <v/>
      </c>
      <c r="AB152" s="56">
        <f>IF(AND(A152="", B152="", E152=""), "", TEXTJOIN("; ", TRUE, IF(OR(TRIM(A152&amp;"")="", ISNUMBER(SEARCH("FALTA", A152))), "UPC faltante/inválido", ""), IF(AND(A152&lt;&gt;"", IFERROR(_xlfn.XMATCH(A152,$A$2:$A$2509,0,1)&lt;&gt;_xlfn.XMATCH(A152,$A$2:$A$2509,0,-1),FALSE)), "Código de barras duplicado", ""), IF(AND(E152&lt;&gt;"", COUNTIF($E$2:$E$2509, E152)&gt;1), "SKU duplicado", ""), IF(OR(J152="", J152=""), "[Aviso] División no capturada ()", IF(ISNA(MATCH(J152, Criterios!$A$123:$A$126, 0)), "División no válida", "")), IF(OR(K152="", K152=""), "[Aviso] Categoría no capturada ()", IF(ISNA(MATCH(K152, Criterios!$A$81:$A$120, 0)), "Categoría no válida", IF(AND(J152&lt;&gt;"", J152&lt;&gt;"", J152&lt;&gt;VLOOKUP(K152, Criterios!$A$81:$B$120, 2, FALSE)), "División no coincide con Categoría", ""))), IF(OR(L152="", L152=""), "[Aviso] Género no capturado ()", IF(ISNA(MATCH(L152, Criterios!$B$123:$B$127, 0)), "Género no válido", "")), IF(OR(N152="", N152=""), "[Aviso] Temporada no capturada ()", IF(ISNA(MATCH(N152, Criterios!$C$123:$C$128, 0)), "Temporada no válida", "")), IF(OR(O152="", O152=""), "[Aviso] Ciclo de vida no capturado ()", IF(ISNA(MATCH(O152, Criterios!$D$123:$D$124, 0)), "Ciclo de vida no válido", ""))))</f>
        <v/>
      </c>
      <c r="AC152" s="56" t="n"/>
      <c r="AD152" s="51" t="n">
        <v>0</v>
      </c>
      <c r="AE152" s="156" t="n"/>
      <c r="AF152" s="51" t="n">
        <v>0</v>
      </c>
      <c r="AG152" s="156" t="inlineStr">
        <is>
          <t>Catálogo existente</t>
        </is>
      </c>
      <c r="AH1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2" s="156" t="inlineStr">
        <is>
          <t>No</t>
        </is>
      </c>
      <c r="AJ152" s="156" t="n"/>
      <c r="AK152" s="155" t="inlineStr">
        <is>
          <t>Criterios: I [Q]; G1522_Extraccion_Articulos_NetSuite_2026-09-30.xlsx: fila 58724 [R] | Shopify Stetson: producto 15054563803499 / variante 53350542868843</t>
        </is>
      </c>
      <c r="AL152" s="58" t="n">
        <v>776</v>
      </c>
      <c r="AM152" s="58" t="n">
        <v>4482.758621</v>
      </c>
      <c r="AN152" s="155" t="inlineStr">
        <is>
          <t>Shopify Stetson México</t>
        </is>
      </c>
      <c r="AO152" s="59" t="n">
        <v>0</v>
      </c>
      <c r="AP152" s="59" t="n"/>
      <c r="AQ152" s="59" t="n"/>
      <c r="AR152" s="155" t="n"/>
    </row>
    <row r="153">
      <c r="A153" s="50" t="inlineStr">
        <is>
          <t>12020001101002032</t>
        </is>
      </c>
      <c r="B153" s="51" t="inlineStr">
        <is>
          <t>111050</t>
        </is>
      </c>
      <c r="C153" s="156" t="inlineStr">
        <is>
          <t>Multimarca</t>
        </is>
      </c>
      <c r="D153" s="156" t="inlineStr">
        <is>
          <t>12-020-BS001-10-1002</t>
        </is>
      </c>
      <c r="E153" s="156" t="inlineStr">
        <is>
          <t>12-020-BS001-10-1002-032</t>
        </is>
      </c>
      <c r="F153" s="156" t="inlineStr">
        <is>
          <t>32</t>
        </is>
      </c>
      <c r="G153" s="156" t="inlineStr">
        <is>
          <t>14</t>
        </is>
      </c>
      <c r="H153" s="156" t="inlineStr">
        <is>
          <t>Stetson</t>
        </is>
      </c>
      <c r="I153" s="156" t="inlineStr">
        <is>
          <t>Bota Piel Chocolate</t>
        </is>
      </c>
      <c r="J153" s="156" t="inlineStr">
        <is>
          <t>Calzado</t>
        </is>
      </c>
      <c r="K153" s="156" t="inlineStr">
        <is>
          <t>Botas</t>
        </is>
      </c>
      <c r="L153" s="156" t="inlineStr">
        <is>
          <t>Hombre</t>
        </is>
      </c>
      <c r="M153" s="156" t="inlineStr">
        <is>
          <t>Stetson</t>
        </is>
      </c>
      <c r="N153" s="156" t="inlineStr">
        <is>
          <t>SS26</t>
        </is>
      </c>
      <c r="O153" s="156" t="inlineStr">
        <is>
          <t>Seasonal</t>
        </is>
      </c>
      <c r="P153" s="156" t="inlineStr">
        <is>
          <t>Cafe</t>
        </is>
      </c>
      <c r="Q153" s="156" t="n"/>
      <c r="R153" s="156" t="inlineStr">
        <is>
          <t>Punta Redonda Ancha</t>
        </is>
      </c>
      <c r="S153" s="156" t="inlineStr">
        <is>
          <t>Piel bovina</t>
        </is>
      </c>
      <c r="T153" s="156" t="inlineStr">
        <is>
          <t>Bota Caballero Piel bovina Clayton Chocolate Punta Redonda Ancha</t>
        </is>
      </c>
      <c r="U153" s="156" t="inlineStr">
        <is>
          <t>México</t>
        </is>
      </c>
      <c r="V153" s="156" t="inlineStr">
        <is>
          <t>PRS</t>
        </is>
      </c>
      <c r="W153" s="51" t="inlineStr">
        <is>
          <t>53111501</t>
        </is>
      </c>
      <c r="X153" s="156" t="n"/>
      <c r="Y153" s="54" t="n">
        <v>776</v>
      </c>
      <c r="Z153" s="54" t="n">
        <v>4482.758621</v>
      </c>
      <c r="AA153" s="55">
        <f>IF(AND(A153="", B153="", E153=""), "", IF(AB153="", "Válido", IF((LEN(AB153)-LEN(SUBSTITUTE(AB153,"; ","")))/2+1&gt;(LEN(AB153)-LEN(SUBSTITUTE(AB153,"[Aviso]","")))/7, "Con Incidencias", "Válido")))</f>
        <v/>
      </c>
      <c r="AB153" s="56">
        <f>IF(AND(A153="", B153="", E153=""), "", TEXTJOIN("; ", TRUE, IF(OR(TRIM(A153&amp;"")="", ISNUMBER(SEARCH("FALTA", A153))), "UPC faltante/inválido", ""), IF(AND(A153&lt;&gt;"", IFERROR(_xlfn.XMATCH(A153,$A$2:$A$2509,0,1)&lt;&gt;_xlfn.XMATCH(A153,$A$2:$A$2509,0,-1),FALSE)), "Código de barras duplicado", ""), IF(AND(E153&lt;&gt;"", COUNTIF($E$2:$E$2509, E153)&gt;1), "SKU duplicado", ""), IF(OR(J153="", J153=""), "[Aviso] División no capturada ()", IF(ISNA(MATCH(J153, Criterios!$A$123:$A$126, 0)), "División no válida", "")), IF(OR(K153="", K153=""), "[Aviso] Categoría no capturada ()", IF(ISNA(MATCH(K153, Criterios!$A$81:$A$120, 0)), "Categoría no válida", IF(AND(J153&lt;&gt;"", J153&lt;&gt;"", J153&lt;&gt;VLOOKUP(K153, Criterios!$A$81:$B$120, 2, FALSE)), "División no coincide con Categoría", ""))), IF(OR(L153="", L153=""), "[Aviso] Género no capturado ()", IF(ISNA(MATCH(L153, Criterios!$B$123:$B$127, 0)), "Género no válido", "")), IF(OR(N153="", N153=""), "[Aviso] Temporada no capturada ()", IF(ISNA(MATCH(N153, Criterios!$C$123:$C$128, 0)), "Temporada no válida", "")), IF(OR(O153="", O153=""), "[Aviso] Ciclo de vida no capturado ()", IF(ISNA(MATCH(O153, Criterios!$D$123:$D$124, 0)), "Ciclo de vida no válido", ""))))</f>
        <v/>
      </c>
      <c r="AC153" s="56" t="n"/>
      <c r="AD153" s="51" t="n">
        <v>0</v>
      </c>
      <c r="AE153" s="156" t="n"/>
      <c r="AF153" s="51" t="n">
        <v>0</v>
      </c>
      <c r="AG153" s="156" t="inlineStr">
        <is>
          <t>Catálogo existente</t>
        </is>
      </c>
      <c r="AH1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3" s="156" t="inlineStr">
        <is>
          <t>No</t>
        </is>
      </c>
      <c r="AJ153" s="156" t="n"/>
      <c r="AK153" s="155" t="inlineStr">
        <is>
          <t>Criterios: I [Q]; G1522_Extraccion_Articulos_NetSuite_2026-09-30.xlsx: fila 58725 [R] | Shopify Stetson: producto 15054563803499 / variante 53350542934379</t>
        </is>
      </c>
      <c r="AL153" s="58" t="n">
        <v>776</v>
      </c>
      <c r="AM153" s="58" t="n">
        <v>4482.758621</v>
      </c>
      <c r="AN153" s="155" t="inlineStr">
        <is>
          <t>Shopify Stetson México</t>
        </is>
      </c>
      <c r="AO153" s="59" t="n">
        <v>0</v>
      </c>
      <c r="AP153" s="59" t="n"/>
      <c r="AQ153" s="59" t="n"/>
      <c r="AR153" s="155" t="n"/>
    </row>
    <row r="154">
      <c r="A154" s="50" t="inlineStr">
        <is>
          <t>12020001101002255</t>
        </is>
      </c>
      <c r="B154" s="51" t="inlineStr">
        <is>
          <t>111051</t>
        </is>
      </c>
      <c r="C154" s="156" t="inlineStr">
        <is>
          <t>Multimarca</t>
        </is>
      </c>
      <c r="D154" s="156" t="inlineStr">
        <is>
          <t>12-020-BS001-10-1002</t>
        </is>
      </c>
      <c r="E154" s="156" t="inlineStr">
        <is>
          <t>12-020-BS001-10-1002-255</t>
        </is>
      </c>
      <c r="F154" s="156" t="inlineStr">
        <is>
          <t>25.5</t>
        </is>
      </c>
      <c r="G154" s="156" t="inlineStr">
        <is>
          <t>7.5</t>
        </is>
      </c>
      <c r="H154" s="156" t="inlineStr">
        <is>
          <t>Stetson</t>
        </is>
      </c>
      <c r="I154" s="156" t="inlineStr">
        <is>
          <t>Bota Piel Chocolate</t>
        </is>
      </c>
      <c r="J154" s="156" t="inlineStr">
        <is>
          <t>Calzado</t>
        </is>
      </c>
      <c r="K154" s="156" t="inlineStr">
        <is>
          <t>Botas</t>
        </is>
      </c>
      <c r="L154" s="156" t="inlineStr">
        <is>
          <t>Hombre</t>
        </is>
      </c>
      <c r="M154" s="156" t="inlineStr">
        <is>
          <t>Stetson</t>
        </is>
      </c>
      <c r="N154" s="156" t="inlineStr">
        <is>
          <t>SS26</t>
        </is>
      </c>
      <c r="O154" s="156" t="inlineStr">
        <is>
          <t>Seasonal</t>
        </is>
      </c>
      <c r="P154" s="156" t="inlineStr">
        <is>
          <t>Cafe</t>
        </is>
      </c>
      <c r="Q154" s="156" t="n"/>
      <c r="R154" s="156" t="inlineStr">
        <is>
          <t>Punta Redonda Ancha</t>
        </is>
      </c>
      <c r="S154" s="156" t="inlineStr">
        <is>
          <t>Piel bovina</t>
        </is>
      </c>
      <c r="T154" s="156" t="inlineStr">
        <is>
          <t>Bota Caballero Piel bovina Clayton Chocolate Punta Redonda Ancha</t>
        </is>
      </c>
      <c r="U154" s="156" t="inlineStr">
        <is>
          <t>México</t>
        </is>
      </c>
      <c r="V154" s="156" t="inlineStr">
        <is>
          <t>PRS</t>
        </is>
      </c>
      <c r="W154" s="51" t="inlineStr">
        <is>
          <t>53111501</t>
        </is>
      </c>
      <c r="X154" s="156" t="n"/>
      <c r="Y154" s="54" t="n">
        <v>776</v>
      </c>
      <c r="Z154" s="54" t="n">
        <v>4482.758621</v>
      </c>
      <c r="AA154" s="55">
        <f>IF(AND(A154="", B154="", E154=""), "", IF(AB154="", "Válido", IF((LEN(AB154)-LEN(SUBSTITUTE(AB154,"; ","")))/2+1&gt;(LEN(AB154)-LEN(SUBSTITUTE(AB154,"[Aviso]","")))/7, "Con Incidencias", "Válido")))</f>
        <v/>
      </c>
      <c r="AB154" s="56">
        <f>IF(AND(A154="", B154="", E154=""), "", TEXTJOIN("; ", TRUE, IF(OR(TRIM(A154&amp;"")="", ISNUMBER(SEARCH("FALTA", A154))), "UPC faltante/inválido", ""), IF(AND(A154&lt;&gt;"", IFERROR(_xlfn.XMATCH(A154,$A$2:$A$2509,0,1)&lt;&gt;_xlfn.XMATCH(A154,$A$2:$A$2509,0,-1),FALSE)), "Código de barras duplicado", ""), IF(AND(E154&lt;&gt;"", COUNTIF($E$2:$E$2509, E154)&gt;1), "SKU duplicado", ""), IF(OR(J154="", J154=""), "[Aviso] División no capturada ()", IF(ISNA(MATCH(J154, Criterios!$A$123:$A$126, 0)), "División no válida", "")), IF(OR(K154="", K154=""), "[Aviso] Categoría no capturada ()", IF(ISNA(MATCH(K154, Criterios!$A$81:$A$120, 0)), "Categoría no válida", IF(AND(J154&lt;&gt;"", J154&lt;&gt;"", J154&lt;&gt;VLOOKUP(K154, Criterios!$A$81:$B$120, 2, FALSE)), "División no coincide con Categoría", ""))), IF(OR(L154="", L154=""), "[Aviso] Género no capturado ()", IF(ISNA(MATCH(L154, Criterios!$B$123:$B$127, 0)), "Género no válido", "")), IF(OR(N154="", N154=""), "[Aviso] Temporada no capturada ()", IF(ISNA(MATCH(N154, Criterios!$C$123:$C$128, 0)), "Temporada no válida", "")), IF(OR(O154="", O154=""), "[Aviso] Ciclo de vida no capturado ()", IF(ISNA(MATCH(O154, Criterios!$D$123:$D$124, 0)), "Ciclo de vida no válido", ""))))</f>
        <v/>
      </c>
      <c r="AC154" s="56" t="n"/>
      <c r="AD154" s="51" t="n">
        <v>0</v>
      </c>
      <c r="AE154" s="156" t="n"/>
      <c r="AF154" s="51" t="n">
        <v>0</v>
      </c>
      <c r="AG154" s="156" t="inlineStr">
        <is>
          <t>Catálogo existente</t>
        </is>
      </c>
      <c r="AH1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4" s="156" t="inlineStr">
        <is>
          <t>No</t>
        </is>
      </c>
      <c r="AJ154" s="156" t="n"/>
      <c r="AK154" s="155" t="inlineStr">
        <is>
          <t>Criterios: I [Q]; G1522_Extraccion_Articulos_NetSuite_2026-09-30.xlsx: fila 58726 [R] | Shopify Stetson: producto 15054563803499 / variante 53350542508395</t>
        </is>
      </c>
      <c r="AL154" s="58" t="n">
        <v>776</v>
      </c>
      <c r="AM154" s="58" t="n">
        <v>4482.758621</v>
      </c>
      <c r="AN154" s="155" t="inlineStr">
        <is>
          <t>Shopify Stetson México</t>
        </is>
      </c>
      <c r="AO154" s="59" t="n">
        <v>0</v>
      </c>
      <c r="AP154" s="59" t="n"/>
      <c r="AQ154" s="59" t="n"/>
      <c r="AR154" s="155" t="n"/>
    </row>
    <row r="155">
      <c r="A155" s="50" t="inlineStr">
        <is>
          <t>12020001101002265</t>
        </is>
      </c>
      <c r="B155" s="51" t="inlineStr">
        <is>
          <t>111052</t>
        </is>
      </c>
      <c r="C155" s="156" t="inlineStr">
        <is>
          <t>Multimarca</t>
        </is>
      </c>
      <c r="D155" s="156" t="inlineStr">
        <is>
          <t>12-020-BS001-10-1002</t>
        </is>
      </c>
      <c r="E155" s="156" t="inlineStr">
        <is>
          <t>12-020-BS001-10-1002-265</t>
        </is>
      </c>
      <c r="F155" s="156" t="inlineStr">
        <is>
          <t>26.5</t>
        </is>
      </c>
      <c r="G155" s="156" t="inlineStr">
        <is>
          <t>8.5</t>
        </is>
      </c>
      <c r="H155" s="156" t="inlineStr">
        <is>
          <t>Stetson</t>
        </is>
      </c>
      <c r="I155" s="156" t="inlineStr">
        <is>
          <t>Bota Piel Chocolate</t>
        </is>
      </c>
      <c r="J155" s="156" t="inlineStr">
        <is>
          <t>Calzado</t>
        </is>
      </c>
      <c r="K155" s="156" t="inlineStr">
        <is>
          <t>Botas</t>
        </is>
      </c>
      <c r="L155" s="156" t="inlineStr">
        <is>
          <t>Hombre</t>
        </is>
      </c>
      <c r="M155" s="156" t="inlineStr">
        <is>
          <t>Stetson</t>
        </is>
      </c>
      <c r="N155" s="156" t="inlineStr">
        <is>
          <t>SS26</t>
        </is>
      </c>
      <c r="O155" s="156" t="inlineStr">
        <is>
          <t>Seasonal</t>
        </is>
      </c>
      <c r="P155" s="156" t="inlineStr">
        <is>
          <t>Cafe</t>
        </is>
      </c>
      <c r="Q155" s="156" t="n"/>
      <c r="R155" s="156" t="inlineStr">
        <is>
          <t>Punta Redonda Ancha</t>
        </is>
      </c>
      <c r="S155" s="156" t="inlineStr">
        <is>
          <t>Piel bovina</t>
        </is>
      </c>
      <c r="T155" s="156" t="inlineStr">
        <is>
          <t>Bota Caballero Piel bovina Clayton Chocolate Punta Redonda Ancha</t>
        </is>
      </c>
      <c r="U155" s="156" t="inlineStr">
        <is>
          <t>México</t>
        </is>
      </c>
      <c r="V155" s="156" t="inlineStr">
        <is>
          <t>PRS</t>
        </is>
      </c>
      <c r="W155" s="51" t="inlineStr">
        <is>
          <t>53111501</t>
        </is>
      </c>
      <c r="X155" s="156" t="n"/>
      <c r="Y155" s="54" t="n">
        <v>776</v>
      </c>
      <c r="Z155" s="54" t="n">
        <v>4482.758621</v>
      </c>
      <c r="AA155" s="55">
        <f>IF(AND(A155="", B155="", E155=""), "", IF(AB155="", "Válido", IF((LEN(AB155)-LEN(SUBSTITUTE(AB155,"; ","")))/2+1&gt;(LEN(AB155)-LEN(SUBSTITUTE(AB155,"[Aviso]","")))/7, "Con Incidencias", "Válido")))</f>
        <v/>
      </c>
      <c r="AB155" s="56">
        <f>IF(AND(A155="", B155="", E155=""), "", TEXTJOIN("; ", TRUE, IF(OR(TRIM(A155&amp;"")="", ISNUMBER(SEARCH("FALTA", A155))), "UPC faltante/inválido", ""), IF(AND(A155&lt;&gt;"", IFERROR(_xlfn.XMATCH(A155,$A$2:$A$2509,0,1)&lt;&gt;_xlfn.XMATCH(A155,$A$2:$A$2509,0,-1),FALSE)), "Código de barras duplicado", ""), IF(AND(E155&lt;&gt;"", COUNTIF($E$2:$E$2509, E155)&gt;1), "SKU duplicado", ""), IF(OR(J155="", J155=""), "[Aviso] División no capturada ()", IF(ISNA(MATCH(J155, Criterios!$A$123:$A$126, 0)), "División no válida", "")), IF(OR(K155="", K155=""), "[Aviso] Categoría no capturada ()", IF(ISNA(MATCH(K155, Criterios!$A$81:$A$120, 0)), "Categoría no válida", IF(AND(J155&lt;&gt;"", J155&lt;&gt;"", J155&lt;&gt;VLOOKUP(K155, Criterios!$A$81:$B$120, 2, FALSE)), "División no coincide con Categoría", ""))), IF(OR(L155="", L155=""), "[Aviso] Género no capturado ()", IF(ISNA(MATCH(L155, Criterios!$B$123:$B$127, 0)), "Género no válido", "")), IF(OR(N155="", N155=""), "[Aviso] Temporada no capturada ()", IF(ISNA(MATCH(N155, Criterios!$C$123:$C$128, 0)), "Temporada no válida", "")), IF(OR(O155="", O155=""), "[Aviso] Ciclo de vida no capturado ()", IF(ISNA(MATCH(O155, Criterios!$D$123:$D$124, 0)), "Ciclo de vida no válido", ""))))</f>
        <v/>
      </c>
      <c r="AC155" s="56" t="n"/>
      <c r="AD155" s="51" t="n">
        <v>-2</v>
      </c>
      <c r="AE155" s="156" t="n"/>
      <c r="AF155" s="51" t="n">
        <v>0</v>
      </c>
      <c r="AG155" s="156" t="inlineStr">
        <is>
          <t>Catálogo existente</t>
        </is>
      </c>
      <c r="AH15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5" s="156" t="inlineStr">
        <is>
          <t>Sí</t>
        </is>
      </c>
      <c r="AJ155" s="156" t="inlineStr">
        <is>
          <t>STETSON AMERICAS (-2)</t>
        </is>
      </c>
      <c r="AK155" s="155" t="inlineStr">
        <is>
          <t>Criterios: I [Q]; G1522_Extraccion_Articulos_NetSuite_2026-09-30.xlsx: fila 58727 [R] | Shopify Stetson: producto 15054563803499 / variante 53350542573931</t>
        </is>
      </c>
      <c r="AL155" s="58" t="n">
        <v>776</v>
      </c>
      <c r="AM155" s="58" t="n">
        <v>4482.758621</v>
      </c>
      <c r="AN155" s="155" t="inlineStr">
        <is>
          <t>Shopify Stetson México</t>
        </is>
      </c>
      <c r="AO155" s="59" t="n">
        <v>0</v>
      </c>
      <c r="AP155" s="59" t="n"/>
      <c r="AQ155" s="59" t="n"/>
      <c r="AR155" s="155" t="n"/>
    </row>
    <row r="156">
      <c r="A156" s="50" t="inlineStr">
        <is>
          <t>12020001101002275</t>
        </is>
      </c>
      <c r="B156" s="51" t="inlineStr">
        <is>
          <t>111053</t>
        </is>
      </c>
      <c r="C156" s="156" t="inlineStr">
        <is>
          <t>Multimarca</t>
        </is>
      </c>
      <c r="D156" s="156" t="inlineStr">
        <is>
          <t>12-020-BS001-10-1002</t>
        </is>
      </c>
      <c r="E156" s="156" t="inlineStr">
        <is>
          <t>12-020-BS001-10-1002-275</t>
        </is>
      </c>
      <c r="F156" s="156" t="inlineStr">
        <is>
          <t>27.5</t>
        </is>
      </c>
      <c r="G156" s="156" t="inlineStr">
        <is>
          <t>9.5</t>
        </is>
      </c>
      <c r="H156" s="156" t="inlineStr">
        <is>
          <t>Stetson</t>
        </is>
      </c>
      <c r="I156" s="156" t="inlineStr">
        <is>
          <t>Bota Piel Chocolate</t>
        </is>
      </c>
      <c r="J156" s="156" t="inlineStr">
        <is>
          <t>Calzado</t>
        </is>
      </c>
      <c r="K156" s="156" t="inlineStr">
        <is>
          <t>Botas</t>
        </is>
      </c>
      <c r="L156" s="156" t="inlineStr">
        <is>
          <t>Hombre</t>
        </is>
      </c>
      <c r="M156" s="156" t="inlineStr">
        <is>
          <t>Stetson</t>
        </is>
      </c>
      <c r="N156" s="156" t="inlineStr">
        <is>
          <t>SS26</t>
        </is>
      </c>
      <c r="O156" s="156" t="inlineStr">
        <is>
          <t>Seasonal</t>
        </is>
      </c>
      <c r="P156" s="156" t="inlineStr">
        <is>
          <t>Cafe</t>
        </is>
      </c>
      <c r="Q156" s="156" t="n"/>
      <c r="R156" s="156" t="inlineStr">
        <is>
          <t>Punta Redonda Ancha</t>
        </is>
      </c>
      <c r="S156" s="156" t="inlineStr">
        <is>
          <t>Piel bovina</t>
        </is>
      </c>
      <c r="T156" s="156" t="inlineStr">
        <is>
          <t>Bota Caballero Piel bovina Clayton Chocolate Punta Redonda Ancha</t>
        </is>
      </c>
      <c r="U156" s="156" t="inlineStr">
        <is>
          <t>México</t>
        </is>
      </c>
      <c r="V156" s="156" t="inlineStr">
        <is>
          <t>PRS</t>
        </is>
      </c>
      <c r="W156" s="51" t="inlineStr">
        <is>
          <t>53111501</t>
        </is>
      </c>
      <c r="X156" s="156" t="n"/>
      <c r="Y156" s="54" t="n">
        <v>776</v>
      </c>
      <c r="Z156" s="54" t="n">
        <v>4482.758621</v>
      </c>
      <c r="AA156" s="55">
        <f>IF(AND(A156="", B156="", E156=""), "", IF(AB156="", "Válido", IF((LEN(AB156)-LEN(SUBSTITUTE(AB156,"; ","")))/2+1&gt;(LEN(AB156)-LEN(SUBSTITUTE(AB156,"[Aviso]","")))/7, "Con Incidencias", "Válido")))</f>
        <v/>
      </c>
      <c r="AB156" s="56">
        <f>IF(AND(A156="", B156="", E156=""), "", TEXTJOIN("; ", TRUE, IF(OR(TRIM(A156&amp;"")="", ISNUMBER(SEARCH("FALTA", A156))), "UPC faltante/inválido", ""), IF(AND(A156&lt;&gt;"", IFERROR(_xlfn.XMATCH(A156,$A$2:$A$2509,0,1)&lt;&gt;_xlfn.XMATCH(A156,$A$2:$A$2509,0,-1),FALSE)), "Código de barras duplicado", ""), IF(AND(E156&lt;&gt;"", COUNTIF($E$2:$E$2509, E156)&gt;1), "SKU duplicado", ""), IF(OR(J156="", J156=""), "[Aviso] División no capturada ()", IF(ISNA(MATCH(J156, Criterios!$A$123:$A$126, 0)), "División no válida", "")), IF(OR(K156="", K156=""), "[Aviso] Categoría no capturada ()", IF(ISNA(MATCH(K156, Criterios!$A$81:$A$120, 0)), "Categoría no válida", IF(AND(J156&lt;&gt;"", J156&lt;&gt;"", J156&lt;&gt;VLOOKUP(K156, Criterios!$A$81:$B$120, 2, FALSE)), "División no coincide con Categoría", ""))), IF(OR(L156="", L156=""), "[Aviso] Género no capturado ()", IF(ISNA(MATCH(L156, Criterios!$B$123:$B$127, 0)), "Género no válido", "")), IF(OR(N156="", N156=""), "[Aviso] Temporada no capturada ()", IF(ISNA(MATCH(N156, Criterios!$C$123:$C$128, 0)), "Temporada no válida", "")), IF(OR(O156="", O156=""), "[Aviso] Ciclo de vida no capturado ()", IF(ISNA(MATCH(O156, Criterios!$D$123:$D$124, 0)), "Ciclo de vida no válido", ""))))</f>
        <v/>
      </c>
      <c r="AC156" s="56" t="n"/>
      <c r="AD156" s="51" t="n">
        <v>-2</v>
      </c>
      <c r="AE156" s="156" t="n"/>
      <c r="AF156" s="51" t="n">
        <v>0</v>
      </c>
      <c r="AG156" s="156" t="inlineStr">
        <is>
          <t>Catálogo existente</t>
        </is>
      </c>
      <c r="AH15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6" s="156" t="inlineStr">
        <is>
          <t>Sí</t>
        </is>
      </c>
      <c r="AJ156" s="156" t="inlineStr">
        <is>
          <t>STETSON AMERICAS (-2)</t>
        </is>
      </c>
      <c r="AK156" s="155" t="inlineStr">
        <is>
          <t>Criterios: I [Q]; G1522_Extraccion_Articulos_NetSuite_2026-09-30.xlsx: fila 58728 [R] | Shopify Stetson: producto 15054563803499 / variante 53350542639467</t>
        </is>
      </c>
      <c r="AL156" s="58" t="n">
        <v>776</v>
      </c>
      <c r="AM156" s="58" t="n">
        <v>4482.758621</v>
      </c>
      <c r="AN156" s="155" t="inlineStr">
        <is>
          <t>Shopify Stetson México</t>
        </is>
      </c>
      <c r="AO156" s="59" t="n">
        <v>0</v>
      </c>
      <c r="AP156" s="59" t="n"/>
      <c r="AQ156" s="59" t="n"/>
      <c r="AR156" s="155" t="n"/>
    </row>
    <row r="157">
      <c r="A157" s="50" t="inlineStr">
        <is>
          <t>12020001101002285</t>
        </is>
      </c>
      <c r="B157" s="51" t="inlineStr">
        <is>
          <t>111054</t>
        </is>
      </c>
      <c r="C157" s="156" t="inlineStr">
        <is>
          <t>Multimarca</t>
        </is>
      </c>
      <c r="D157" s="156" t="inlineStr">
        <is>
          <t>12-020-BS001-10-1002</t>
        </is>
      </c>
      <c r="E157" s="156" t="inlineStr">
        <is>
          <t>12-020-BS001-10-1002-285</t>
        </is>
      </c>
      <c r="F157" s="156" t="inlineStr">
        <is>
          <t>28.5</t>
        </is>
      </c>
      <c r="G157" s="156" t="inlineStr">
        <is>
          <t>10.5</t>
        </is>
      </c>
      <c r="H157" s="156" t="inlineStr">
        <is>
          <t>Stetson</t>
        </is>
      </c>
      <c r="I157" s="156" t="inlineStr">
        <is>
          <t>Bota Piel Chocolate</t>
        </is>
      </c>
      <c r="J157" s="156" t="inlineStr">
        <is>
          <t>Calzado</t>
        </is>
      </c>
      <c r="K157" s="156" t="inlineStr">
        <is>
          <t>Botas</t>
        </is>
      </c>
      <c r="L157" s="156" t="inlineStr">
        <is>
          <t>Hombre</t>
        </is>
      </c>
      <c r="M157" s="156" t="inlineStr">
        <is>
          <t>Stetson</t>
        </is>
      </c>
      <c r="N157" s="156" t="inlineStr">
        <is>
          <t>SS26</t>
        </is>
      </c>
      <c r="O157" s="156" t="inlineStr">
        <is>
          <t>Seasonal</t>
        </is>
      </c>
      <c r="P157" s="156" t="inlineStr">
        <is>
          <t>Cafe</t>
        </is>
      </c>
      <c r="Q157" s="156" t="n"/>
      <c r="R157" s="156" t="inlineStr">
        <is>
          <t>Punta Redonda Ancha</t>
        </is>
      </c>
      <c r="S157" s="156" t="inlineStr">
        <is>
          <t>Piel bovina</t>
        </is>
      </c>
      <c r="T157" s="156" t="inlineStr">
        <is>
          <t>Bota Caballero Piel bovina Clayton Chocolate Punta Redonda Ancha</t>
        </is>
      </c>
      <c r="U157" s="156" t="inlineStr">
        <is>
          <t>México</t>
        </is>
      </c>
      <c r="V157" s="156" t="inlineStr">
        <is>
          <t>PRS</t>
        </is>
      </c>
      <c r="W157" s="51" t="inlineStr">
        <is>
          <t>53111501</t>
        </is>
      </c>
      <c r="X157" s="156" t="n"/>
      <c r="Y157" s="54" t="n">
        <v>776</v>
      </c>
      <c r="Z157" s="54" t="n">
        <v>4482.758621</v>
      </c>
      <c r="AA157" s="55">
        <f>IF(AND(A157="", B157="", E157=""), "", IF(AB157="", "Válido", IF((LEN(AB157)-LEN(SUBSTITUTE(AB157,"; ","")))/2+1&gt;(LEN(AB157)-LEN(SUBSTITUTE(AB157,"[Aviso]","")))/7, "Con Incidencias", "Válido")))</f>
        <v/>
      </c>
      <c r="AB157" s="56">
        <f>IF(AND(A157="", B157="", E157=""), "", TEXTJOIN("; ", TRUE, IF(OR(TRIM(A157&amp;"")="", ISNUMBER(SEARCH("FALTA", A157))), "UPC faltante/inválido", ""), IF(AND(A157&lt;&gt;"", IFERROR(_xlfn.XMATCH(A157,$A$2:$A$2509,0,1)&lt;&gt;_xlfn.XMATCH(A157,$A$2:$A$2509,0,-1),FALSE)), "Código de barras duplicado", ""), IF(AND(E157&lt;&gt;"", COUNTIF($E$2:$E$2509, E157)&gt;1), "SKU duplicado", ""), IF(OR(J157="", J157=""), "[Aviso] División no capturada ()", IF(ISNA(MATCH(J157, Criterios!$A$123:$A$126, 0)), "División no válida", "")), IF(OR(K157="", K157=""), "[Aviso] Categoría no capturada ()", IF(ISNA(MATCH(K157, Criterios!$A$81:$A$120, 0)), "Categoría no válida", IF(AND(J157&lt;&gt;"", J157&lt;&gt;"", J157&lt;&gt;VLOOKUP(K157, Criterios!$A$81:$B$120, 2, FALSE)), "División no coincide con Categoría", ""))), IF(OR(L157="", L157=""), "[Aviso] Género no capturado ()", IF(ISNA(MATCH(L157, Criterios!$B$123:$B$127, 0)), "Género no válido", "")), IF(OR(N157="", N157=""), "[Aviso] Temporada no capturada ()", IF(ISNA(MATCH(N157, Criterios!$C$123:$C$128, 0)), "Temporada no válida", "")), IF(OR(O157="", O157=""), "[Aviso] Ciclo de vida no capturado ()", IF(ISNA(MATCH(O157, Criterios!$D$123:$D$124, 0)), "Ciclo de vida no válido", ""))))</f>
        <v/>
      </c>
      <c r="AC157" s="56" t="n"/>
      <c r="AD157" s="51" t="n">
        <v>-1</v>
      </c>
      <c r="AE157" s="156" t="n"/>
      <c r="AF157" s="51" t="n">
        <v>0</v>
      </c>
      <c r="AG157" s="156" t="inlineStr">
        <is>
          <t>Catálogo existente</t>
        </is>
      </c>
      <c r="AH15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7" s="156" t="inlineStr">
        <is>
          <t>Sí</t>
        </is>
      </c>
      <c r="AJ157" s="156" t="inlineStr">
        <is>
          <t>STETSON AMERICAS (-1)</t>
        </is>
      </c>
      <c r="AK157" s="155" t="inlineStr">
        <is>
          <t>Criterios: I [Q]; G1522_Extraccion_Articulos_NetSuite_2026-09-30.xlsx: fila 58729 [R] | Shopify Stetson: producto 15054563803499 / variante 53350542705003</t>
        </is>
      </c>
      <c r="AL157" s="58" t="n">
        <v>776</v>
      </c>
      <c r="AM157" s="58" t="n">
        <v>4482.758621</v>
      </c>
      <c r="AN157" s="155" t="inlineStr">
        <is>
          <t>Shopify Stetson México</t>
        </is>
      </c>
      <c r="AO157" s="59" t="n">
        <v>0</v>
      </c>
      <c r="AP157" s="59" t="n"/>
      <c r="AQ157" s="59" t="n"/>
      <c r="AR157" s="155" t="n"/>
    </row>
    <row r="158">
      <c r="A158" s="50" t="inlineStr">
        <is>
          <t>12020001101002295</t>
        </is>
      </c>
      <c r="B158" s="51" t="inlineStr">
        <is>
          <t>111055</t>
        </is>
      </c>
      <c r="C158" s="156" t="inlineStr">
        <is>
          <t>Multimarca</t>
        </is>
      </c>
      <c r="D158" s="156" t="inlineStr">
        <is>
          <t>12-020-BS001-10-1002</t>
        </is>
      </c>
      <c r="E158" s="156" t="inlineStr">
        <is>
          <t>12-020-BS001-10-1002-295</t>
        </is>
      </c>
      <c r="F158" s="156" t="inlineStr">
        <is>
          <t>29.5</t>
        </is>
      </c>
      <c r="G158" s="156" t="inlineStr">
        <is>
          <t>11.5</t>
        </is>
      </c>
      <c r="H158" s="156" t="inlineStr">
        <is>
          <t>Stetson</t>
        </is>
      </c>
      <c r="I158" s="156" t="inlineStr">
        <is>
          <t>Bota Piel Chocolate</t>
        </is>
      </c>
      <c r="J158" s="156" t="inlineStr">
        <is>
          <t>Calzado</t>
        </is>
      </c>
      <c r="K158" s="156" t="inlineStr">
        <is>
          <t>Botas</t>
        </is>
      </c>
      <c r="L158" s="156" t="inlineStr">
        <is>
          <t>Hombre</t>
        </is>
      </c>
      <c r="M158" s="156" t="inlineStr">
        <is>
          <t>Stetson</t>
        </is>
      </c>
      <c r="N158" s="156" t="inlineStr">
        <is>
          <t>SS26</t>
        </is>
      </c>
      <c r="O158" s="156" t="inlineStr">
        <is>
          <t>Seasonal</t>
        </is>
      </c>
      <c r="P158" s="156" t="inlineStr">
        <is>
          <t>Cafe</t>
        </is>
      </c>
      <c r="Q158" s="156" t="n"/>
      <c r="R158" s="156" t="inlineStr">
        <is>
          <t>Punta Redonda Ancha</t>
        </is>
      </c>
      <c r="S158" s="156" t="inlineStr">
        <is>
          <t>Piel bovina</t>
        </is>
      </c>
      <c r="T158" s="156" t="inlineStr">
        <is>
          <t>Bota Caballero Piel bovina Clayton Chocolate Punta Redonda Ancha</t>
        </is>
      </c>
      <c r="U158" s="156" t="inlineStr">
        <is>
          <t>México</t>
        </is>
      </c>
      <c r="V158" s="156" t="inlineStr">
        <is>
          <t>PRS</t>
        </is>
      </c>
      <c r="W158" s="51" t="inlineStr">
        <is>
          <t>53111501</t>
        </is>
      </c>
      <c r="X158" s="156" t="n"/>
      <c r="Y158" s="54" t="n">
        <v>776</v>
      </c>
      <c r="Z158" s="54" t="n">
        <v>4482.758621</v>
      </c>
      <c r="AA158" s="55">
        <f>IF(AND(A158="", B158="", E158=""), "", IF(AB158="", "Válido", IF((LEN(AB158)-LEN(SUBSTITUTE(AB158,"; ","")))/2+1&gt;(LEN(AB158)-LEN(SUBSTITUTE(AB158,"[Aviso]","")))/7, "Con Incidencias", "Válido")))</f>
        <v/>
      </c>
      <c r="AB158" s="56">
        <f>IF(AND(A158="", B158="", E158=""), "", TEXTJOIN("; ", TRUE, IF(OR(TRIM(A158&amp;"")="", ISNUMBER(SEARCH("FALTA", A158))), "UPC faltante/inválido", ""), IF(AND(A158&lt;&gt;"", IFERROR(_xlfn.XMATCH(A158,$A$2:$A$2509,0,1)&lt;&gt;_xlfn.XMATCH(A158,$A$2:$A$2509,0,-1),FALSE)), "Código de barras duplicado", ""), IF(AND(E158&lt;&gt;"", COUNTIF($E$2:$E$2509, E158)&gt;1), "SKU duplicado", ""), IF(OR(J158="", J158=""), "[Aviso] División no capturada ()", IF(ISNA(MATCH(J158, Criterios!$A$123:$A$126, 0)), "División no válida", "")), IF(OR(K158="", K158=""), "[Aviso] Categoría no capturada ()", IF(ISNA(MATCH(K158, Criterios!$A$81:$A$120, 0)), "Categoría no válida", IF(AND(J158&lt;&gt;"", J158&lt;&gt;"", J158&lt;&gt;VLOOKUP(K158, Criterios!$A$81:$B$120, 2, FALSE)), "División no coincide con Categoría", ""))), IF(OR(L158="", L158=""), "[Aviso] Género no capturado ()", IF(ISNA(MATCH(L158, Criterios!$B$123:$B$127, 0)), "Género no válido", "")), IF(OR(N158="", N158=""), "[Aviso] Temporada no capturada ()", IF(ISNA(MATCH(N158, Criterios!$C$123:$C$128, 0)), "Temporada no válida", "")), IF(OR(O158="", O158=""), "[Aviso] Ciclo de vida no capturado ()", IF(ISNA(MATCH(O158, Criterios!$D$123:$D$124, 0)), "Ciclo de vida no válido", ""))))</f>
        <v/>
      </c>
      <c r="AC158" s="56" t="n"/>
      <c r="AD158" s="51" t="n">
        <v>0</v>
      </c>
      <c r="AE158" s="156" t="n"/>
      <c r="AF158" s="51" t="n">
        <v>0</v>
      </c>
      <c r="AG158" s="156" t="inlineStr">
        <is>
          <t>Catálogo existente</t>
        </is>
      </c>
      <c r="AH1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8" s="156" t="inlineStr">
        <is>
          <t>No</t>
        </is>
      </c>
      <c r="AJ158" s="156" t="n"/>
      <c r="AK158" s="155" t="inlineStr">
        <is>
          <t>Criterios: I [Q]; G1522_Extraccion_Articulos_NetSuite_2026-09-30.xlsx: fila 58730 [R] | Shopify Stetson: producto 15054563803499 / variante 53350542770539</t>
        </is>
      </c>
      <c r="AL158" s="58" t="n">
        <v>776</v>
      </c>
      <c r="AM158" s="58" t="n">
        <v>4482.758621</v>
      </c>
      <c r="AN158" s="155" t="inlineStr">
        <is>
          <t>Shopify Stetson México</t>
        </is>
      </c>
      <c r="AO158" s="59" t="n">
        <v>1</v>
      </c>
      <c r="AP158" s="59" t="n"/>
      <c r="AQ158" s="59" t="n"/>
      <c r="AR158" s="155" t="inlineStr">
        <is>
          <t>Shopify Stetson México › Stetson Americas: 1</t>
        </is>
      </c>
    </row>
    <row r="159">
      <c r="A159" s="50" t="inlineStr">
        <is>
          <t>12020001101002305</t>
        </is>
      </c>
      <c r="B159" s="51" t="inlineStr">
        <is>
          <t>111056</t>
        </is>
      </c>
      <c r="C159" s="156" t="inlineStr">
        <is>
          <t>Multimarca</t>
        </is>
      </c>
      <c r="D159" s="156" t="inlineStr">
        <is>
          <t>12-020-BS001-10-1002</t>
        </is>
      </c>
      <c r="E159" s="156" t="inlineStr">
        <is>
          <t>12-020-BS001-10-1002-305</t>
        </is>
      </c>
      <c r="F159" s="156" t="inlineStr">
        <is>
          <t>30.5</t>
        </is>
      </c>
      <c r="G159" s="156" t="inlineStr">
        <is>
          <t>12.5</t>
        </is>
      </c>
      <c r="H159" s="156" t="inlineStr">
        <is>
          <t>Stetson</t>
        </is>
      </c>
      <c r="I159" s="156" t="inlineStr">
        <is>
          <t>Bota Piel Chocolate</t>
        </is>
      </c>
      <c r="J159" s="156" t="inlineStr">
        <is>
          <t>Calzado</t>
        </is>
      </c>
      <c r="K159" s="156" t="inlineStr">
        <is>
          <t>Botas</t>
        </is>
      </c>
      <c r="L159" s="156" t="inlineStr">
        <is>
          <t>Hombre</t>
        </is>
      </c>
      <c r="M159" s="156" t="inlineStr">
        <is>
          <t>Stetson</t>
        </is>
      </c>
      <c r="N159" s="156" t="inlineStr">
        <is>
          <t>SS26</t>
        </is>
      </c>
      <c r="O159" s="156" t="inlineStr">
        <is>
          <t>Seasonal</t>
        </is>
      </c>
      <c r="P159" s="156" t="inlineStr">
        <is>
          <t>Cafe</t>
        </is>
      </c>
      <c r="Q159" s="156" t="n"/>
      <c r="R159" s="156" t="inlineStr">
        <is>
          <t>Punta Redonda Ancha</t>
        </is>
      </c>
      <c r="S159" s="156" t="inlineStr">
        <is>
          <t>Piel bovina</t>
        </is>
      </c>
      <c r="T159" s="156" t="inlineStr">
        <is>
          <t>Bota Caballero Piel bovina Clayton Chocolate Punta Redonda Ancha</t>
        </is>
      </c>
      <c r="U159" s="156" t="inlineStr">
        <is>
          <t>México</t>
        </is>
      </c>
      <c r="V159" s="156" t="inlineStr">
        <is>
          <t>PRS</t>
        </is>
      </c>
      <c r="W159" s="51" t="inlineStr">
        <is>
          <t>53111501</t>
        </is>
      </c>
      <c r="X159" s="156" t="n"/>
      <c r="Y159" s="54" t="n">
        <v>776</v>
      </c>
      <c r="Z159" s="54" t="n">
        <v>4482.758621</v>
      </c>
      <c r="AA159" s="55">
        <f>IF(AND(A159="", B159="", E159=""), "", IF(AB159="", "Válido", IF((LEN(AB159)-LEN(SUBSTITUTE(AB159,"; ","")))/2+1&gt;(LEN(AB159)-LEN(SUBSTITUTE(AB159,"[Aviso]","")))/7, "Con Incidencias", "Válido")))</f>
        <v/>
      </c>
      <c r="AB159" s="56">
        <f>IF(AND(A159="", B159="", E159=""), "", TEXTJOIN("; ", TRUE, IF(OR(TRIM(A159&amp;"")="", ISNUMBER(SEARCH("FALTA", A159))), "UPC faltante/inválido", ""), IF(AND(A159&lt;&gt;"", IFERROR(_xlfn.XMATCH(A159,$A$2:$A$2509,0,1)&lt;&gt;_xlfn.XMATCH(A159,$A$2:$A$2509,0,-1),FALSE)), "Código de barras duplicado", ""), IF(AND(E159&lt;&gt;"", COUNTIF($E$2:$E$2509, E159)&gt;1), "SKU duplicado", ""), IF(OR(J159="", J159=""), "[Aviso] División no capturada ()", IF(ISNA(MATCH(J159, Criterios!$A$123:$A$126, 0)), "División no válida", "")), IF(OR(K159="", K159=""), "[Aviso] Categoría no capturada ()", IF(ISNA(MATCH(K159, Criterios!$A$81:$A$120, 0)), "Categoría no válida", IF(AND(J159&lt;&gt;"", J159&lt;&gt;"", J159&lt;&gt;VLOOKUP(K159, Criterios!$A$81:$B$120, 2, FALSE)), "División no coincide con Categoría", ""))), IF(OR(L159="", L159=""), "[Aviso] Género no capturado ()", IF(ISNA(MATCH(L159, Criterios!$B$123:$B$127, 0)), "Género no válido", "")), IF(OR(N159="", N159=""), "[Aviso] Temporada no capturada ()", IF(ISNA(MATCH(N159, Criterios!$C$123:$C$128, 0)), "Temporada no válida", "")), IF(OR(O159="", O159=""), "[Aviso] Ciclo de vida no capturado ()", IF(ISNA(MATCH(O159, Criterios!$D$123:$D$124, 0)), "Ciclo de vida no válido", ""))))</f>
        <v/>
      </c>
      <c r="AC159" s="56" t="n"/>
      <c r="AD159" s="51" t="n">
        <v>0</v>
      </c>
      <c r="AE159" s="156" t="n"/>
      <c r="AF159" s="51" t="n">
        <v>0</v>
      </c>
      <c r="AG159" s="156" t="inlineStr">
        <is>
          <t>Catálogo existente</t>
        </is>
      </c>
      <c r="AH1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9" s="156" t="inlineStr">
        <is>
          <t>No</t>
        </is>
      </c>
      <c r="AJ159" s="156" t="n"/>
      <c r="AK159" s="155" t="inlineStr">
        <is>
          <t>Criterios: I [Q]; G1522_Extraccion_Articulos_NetSuite_2026-09-30.xlsx: fila 58731 [R] | Shopify Stetson: producto 15054563803499 / variante 53350542836075</t>
        </is>
      </c>
      <c r="AL159" s="58" t="n">
        <v>776</v>
      </c>
      <c r="AM159" s="58" t="n">
        <v>4482.758621</v>
      </c>
      <c r="AN159" s="155" t="inlineStr">
        <is>
          <t>Shopify Stetson México</t>
        </is>
      </c>
      <c r="AO159" s="59" t="n">
        <v>0</v>
      </c>
      <c r="AP159" s="59" t="n"/>
      <c r="AQ159" s="59" t="n"/>
      <c r="AR159" s="155" t="n"/>
    </row>
    <row r="160">
      <c r="A160" s="50" t="inlineStr">
        <is>
          <t>12020001101002315</t>
        </is>
      </c>
      <c r="B160" s="51" t="inlineStr">
        <is>
          <t>111057</t>
        </is>
      </c>
      <c r="C160" s="156" t="inlineStr">
        <is>
          <t>Multimarca</t>
        </is>
      </c>
      <c r="D160" s="156" t="inlineStr">
        <is>
          <t>12-020-BS001-10-1002</t>
        </is>
      </c>
      <c r="E160" s="156" t="inlineStr">
        <is>
          <t>12-020-BS001-10-1002-315</t>
        </is>
      </c>
      <c r="F160" s="156" t="inlineStr">
        <is>
          <t>31.5</t>
        </is>
      </c>
      <c r="G160" s="156" t="inlineStr">
        <is>
          <t>13.5</t>
        </is>
      </c>
      <c r="H160" s="156" t="inlineStr">
        <is>
          <t>Stetson</t>
        </is>
      </c>
      <c r="I160" s="156" t="inlineStr">
        <is>
          <t>Bota Piel Chocolate</t>
        </is>
      </c>
      <c r="J160" s="156" t="inlineStr">
        <is>
          <t>Calzado</t>
        </is>
      </c>
      <c r="K160" s="156" t="inlineStr">
        <is>
          <t>Botas</t>
        </is>
      </c>
      <c r="L160" s="156" t="inlineStr">
        <is>
          <t>Hombre</t>
        </is>
      </c>
      <c r="M160" s="156" t="inlineStr">
        <is>
          <t>Stetson</t>
        </is>
      </c>
      <c r="N160" s="156" t="inlineStr">
        <is>
          <t>SS26</t>
        </is>
      </c>
      <c r="O160" s="156" t="inlineStr">
        <is>
          <t>Seasonal</t>
        </is>
      </c>
      <c r="P160" s="156" t="inlineStr">
        <is>
          <t>Cafe</t>
        </is>
      </c>
      <c r="Q160" s="156" t="n"/>
      <c r="R160" s="156" t="inlineStr">
        <is>
          <t>Punta Redonda Ancha</t>
        </is>
      </c>
      <c r="S160" s="156" t="inlineStr">
        <is>
          <t>Piel bovina</t>
        </is>
      </c>
      <c r="T160" s="156" t="inlineStr">
        <is>
          <t>Bota Caballero Piel bovina Clayton Chocolate Punta Redonda Ancha</t>
        </is>
      </c>
      <c r="U160" s="156" t="inlineStr">
        <is>
          <t>México</t>
        </is>
      </c>
      <c r="V160" s="156" t="inlineStr">
        <is>
          <t>PRS</t>
        </is>
      </c>
      <c r="W160" s="51" t="inlineStr">
        <is>
          <t>53111501</t>
        </is>
      </c>
      <c r="X160" s="156" t="n"/>
      <c r="Y160" s="54" t="n">
        <v>776</v>
      </c>
      <c r="Z160" s="54" t="n">
        <v>4482.758621</v>
      </c>
      <c r="AA160" s="55">
        <f>IF(AND(A160="", B160="", E160=""), "", IF(AB160="", "Válido", IF((LEN(AB160)-LEN(SUBSTITUTE(AB160,"; ","")))/2+1&gt;(LEN(AB160)-LEN(SUBSTITUTE(AB160,"[Aviso]","")))/7, "Con Incidencias", "Válido")))</f>
        <v/>
      </c>
      <c r="AB160" s="56">
        <f>IF(AND(A160="", B160="", E160=""), "", TEXTJOIN("; ", TRUE, IF(OR(TRIM(A160&amp;"")="", ISNUMBER(SEARCH("FALTA", A160))), "UPC faltante/inválido", ""), IF(AND(A160&lt;&gt;"", IFERROR(_xlfn.XMATCH(A160,$A$2:$A$2509,0,1)&lt;&gt;_xlfn.XMATCH(A160,$A$2:$A$2509,0,-1),FALSE)), "Código de barras duplicado", ""), IF(AND(E160&lt;&gt;"", COUNTIF($E$2:$E$2509, E160)&gt;1), "SKU duplicado", ""), IF(OR(J160="", J160=""), "[Aviso] División no capturada ()", IF(ISNA(MATCH(J160, Criterios!$A$123:$A$126, 0)), "División no válida", "")), IF(OR(K160="", K160=""), "[Aviso] Categoría no capturada ()", IF(ISNA(MATCH(K160, Criterios!$A$81:$A$120, 0)), "Categoría no válida", IF(AND(J160&lt;&gt;"", J160&lt;&gt;"", J160&lt;&gt;VLOOKUP(K160, Criterios!$A$81:$B$120, 2, FALSE)), "División no coincide con Categoría", ""))), IF(OR(L160="", L160=""), "[Aviso] Género no capturado ()", IF(ISNA(MATCH(L160, Criterios!$B$123:$B$127, 0)), "Género no válido", "")), IF(OR(N160="", N160=""), "[Aviso] Temporada no capturada ()", IF(ISNA(MATCH(N160, Criterios!$C$123:$C$128, 0)), "Temporada no válida", "")), IF(OR(O160="", O160=""), "[Aviso] Ciclo de vida no capturado ()", IF(ISNA(MATCH(O160, Criterios!$D$123:$D$124, 0)), "Ciclo de vida no válido", ""))))</f>
        <v/>
      </c>
      <c r="AC160" s="56" t="n"/>
      <c r="AD160" s="51" t="n">
        <v>0</v>
      </c>
      <c r="AE160" s="156" t="n"/>
      <c r="AF160" s="51" t="n">
        <v>0</v>
      </c>
      <c r="AG160" s="156" t="inlineStr">
        <is>
          <t>Catálogo existente</t>
        </is>
      </c>
      <c r="AH1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0" s="156" t="inlineStr">
        <is>
          <t>No</t>
        </is>
      </c>
      <c r="AJ160" s="156" t="n"/>
      <c r="AK160" s="155" t="inlineStr">
        <is>
          <t>Criterios: I [Q]; G1522_Extraccion_Articulos_NetSuite_2026-09-30.xlsx: fila 58732 [R] | Shopify Stetson: producto 15054563803499 / variante 53350542901611</t>
        </is>
      </c>
      <c r="AL160" s="58" t="n">
        <v>776</v>
      </c>
      <c r="AM160" s="58" t="n">
        <v>4482.758621</v>
      </c>
      <c r="AN160" s="155" t="inlineStr">
        <is>
          <t>Shopify Stetson México</t>
        </is>
      </c>
      <c r="AO160" s="59" t="n">
        <v>0</v>
      </c>
      <c r="AP160" s="59" t="n"/>
      <c r="AQ160" s="59" t="n"/>
      <c r="AR160" s="155" t="n"/>
    </row>
    <row r="161">
      <c r="A161" s="50" t="inlineStr">
        <is>
          <t>12020001101002325</t>
        </is>
      </c>
      <c r="B161" s="51" t="inlineStr">
        <is>
          <t>111058</t>
        </is>
      </c>
      <c r="C161" s="156" t="inlineStr">
        <is>
          <t>Multimarca</t>
        </is>
      </c>
      <c r="D161" s="156" t="inlineStr">
        <is>
          <t>12-020-BS001-10-1002</t>
        </is>
      </c>
      <c r="E161" s="156" t="inlineStr">
        <is>
          <t>12-020-BS001-10-1002-325</t>
        </is>
      </c>
      <c r="F161" s="156" t="inlineStr">
        <is>
          <t>32.5</t>
        </is>
      </c>
      <c r="G161" s="156" t="inlineStr">
        <is>
          <t>14.5</t>
        </is>
      </c>
      <c r="H161" s="156" t="inlineStr">
        <is>
          <t>Stetson</t>
        </is>
      </c>
      <c r="I161" s="156" t="inlineStr">
        <is>
          <t>Bota Piel Chocolate</t>
        </is>
      </c>
      <c r="J161" s="156" t="inlineStr">
        <is>
          <t>Calzado</t>
        </is>
      </c>
      <c r="K161" s="156" t="inlineStr">
        <is>
          <t>Botas</t>
        </is>
      </c>
      <c r="L161" s="156" t="inlineStr">
        <is>
          <t>Hombre</t>
        </is>
      </c>
      <c r="M161" s="156" t="inlineStr">
        <is>
          <t>Stetson</t>
        </is>
      </c>
      <c r="N161" s="156" t="inlineStr">
        <is>
          <t>SS26</t>
        </is>
      </c>
      <c r="O161" s="156" t="inlineStr">
        <is>
          <t>Seasonal</t>
        </is>
      </c>
      <c r="P161" s="156" t="inlineStr">
        <is>
          <t>Cafe</t>
        </is>
      </c>
      <c r="Q161" s="156" t="n"/>
      <c r="R161" s="156" t="inlineStr">
        <is>
          <t>Punta Redonda Ancha</t>
        </is>
      </c>
      <c r="S161" s="156" t="inlineStr">
        <is>
          <t>Piel bovina</t>
        </is>
      </c>
      <c r="T161" s="156" t="inlineStr">
        <is>
          <t>Bota Caballero Piel bovina Clayton Chocolate Punta Redonda Ancha</t>
        </is>
      </c>
      <c r="U161" s="156" t="inlineStr">
        <is>
          <t>México</t>
        </is>
      </c>
      <c r="V161" s="156" t="inlineStr">
        <is>
          <t>PRS</t>
        </is>
      </c>
      <c r="W161" s="51" t="inlineStr">
        <is>
          <t>53111501</t>
        </is>
      </c>
      <c r="X161" s="156" t="n"/>
      <c r="Y161" s="54" t="n">
        <v>776</v>
      </c>
      <c r="Z161" s="54" t="n">
        <v>4482.758621</v>
      </c>
      <c r="AA161" s="55">
        <f>IF(AND(A161="", B161="", E161=""), "", IF(AB161="", "Válido", IF((LEN(AB161)-LEN(SUBSTITUTE(AB161,"; ","")))/2+1&gt;(LEN(AB161)-LEN(SUBSTITUTE(AB161,"[Aviso]","")))/7, "Con Incidencias", "Válido")))</f>
        <v/>
      </c>
      <c r="AB161" s="56">
        <f>IF(AND(A161="", B161="", E161=""), "", TEXTJOIN("; ", TRUE, IF(OR(TRIM(A161&amp;"")="", ISNUMBER(SEARCH("FALTA", A161))), "UPC faltante/inválido", ""), IF(AND(A161&lt;&gt;"", IFERROR(_xlfn.XMATCH(A161,$A$2:$A$2509,0,1)&lt;&gt;_xlfn.XMATCH(A161,$A$2:$A$2509,0,-1),FALSE)), "Código de barras duplicado", ""), IF(AND(E161&lt;&gt;"", COUNTIF($E$2:$E$2509, E161)&gt;1), "SKU duplicado", ""), IF(OR(J161="", J161=""), "[Aviso] División no capturada ()", IF(ISNA(MATCH(J161, Criterios!$A$123:$A$126, 0)), "División no válida", "")), IF(OR(K161="", K161=""), "[Aviso] Categoría no capturada ()", IF(ISNA(MATCH(K161, Criterios!$A$81:$A$120, 0)), "Categoría no válida", IF(AND(J161&lt;&gt;"", J161&lt;&gt;"", J161&lt;&gt;VLOOKUP(K161, Criterios!$A$81:$B$120, 2, FALSE)), "División no coincide con Categoría", ""))), IF(OR(L161="", L161=""), "[Aviso] Género no capturado ()", IF(ISNA(MATCH(L161, Criterios!$B$123:$B$127, 0)), "Género no válido", "")), IF(OR(N161="", N161=""), "[Aviso] Temporada no capturada ()", IF(ISNA(MATCH(N161, Criterios!$C$123:$C$128, 0)), "Temporada no válida", "")), IF(OR(O161="", O161=""), "[Aviso] Ciclo de vida no capturado ()", IF(ISNA(MATCH(O161, Criterios!$D$123:$D$124, 0)), "Ciclo de vida no válido", ""))))</f>
        <v/>
      </c>
      <c r="AC161" s="56" t="n"/>
      <c r="AD161" s="51" t="n">
        <v>0</v>
      </c>
      <c r="AE161" s="156" t="n"/>
      <c r="AF161" s="51" t="n">
        <v>0</v>
      </c>
      <c r="AG161" s="156" t="inlineStr">
        <is>
          <t>Catálogo existente</t>
        </is>
      </c>
      <c r="AH1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1" s="156" t="inlineStr">
        <is>
          <t>No</t>
        </is>
      </c>
      <c r="AJ161" s="156" t="n"/>
      <c r="AK161" s="155" t="inlineStr">
        <is>
          <t>Criterios: I [Q]; G1522_Extraccion_Articulos_NetSuite_2026-09-30.xlsx: fila 58733 [R] | Shopify Stetson: producto 15054563803499 / variante 53350542967147</t>
        </is>
      </c>
      <c r="AL161" s="58" t="n">
        <v>776</v>
      </c>
      <c r="AM161" s="58" t="n">
        <v>4482.758621</v>
      </c>
      <c r="AN161" s="155" t="inlineStr">
        <is>
          <t>Shopify Stetson México</t>
        </is>
      </c>
      <c r="AO161" s="59" t="n">
        <v>0</v>
      </c>
      <c r="AP161" s="59" t="n"/>
      <c r="AQ161" s="59" t="n"/>
      <c r="AR161" s="155" t="n"/>
    </row>
    <row r="162">
      <c r="A162" s="50" t="inlineStr">
        <is>
          <t>12020001101003025</t>
        </is>
      </c>
      <c r="B162" s="51" t="inlineStr">
        <is>
          <t>111059</t>
        </is>
      </c>
      <c r="C162" s="156" t="inlineStr">
        <is>
          <t>Multimarca</t>
        </is>
      </c>
      <c r="D162" s="156" t="inlineStr">
        <is>
          <t>12-020-BS001-10-1003</t>
        </is>
      </c>
      <c r="E162" s="156" t="inlineStr">
        <is>
          <t>12-020-BS001-10-1003-025</t>
        </is>
      </c>
      <c r="F162" s="156" t="inlineStr">
        <is>
          <t>25</t>
        </is>
      </c>
      <c r="G162" s="156" t="inlineStr">
        <is>
          <t>7</t>
        </is>
      </c>
      <c r="H162" s="156" t="inlineStr">
        <is>
          <t>Stetson</t>
        </is>
      </c>
      <c r="I162" s="156" t="inlineStr">
        <is>
          <t>Bota Piel Azul</t>
        </is>
      </c>
      <c r="J162" s="156" t="inlineStr">
        <is>
          <t>Calzado</t>
        </is>
      </c>
      <c r="K162" s="156" t="inlineStr">
        <is>
          <t>Botas</t>
        </is>
      </c>
      <c r="L162" s="156" t="inlineStr">
        <is>
          <t>Hombre</t>
        </is>
      </c>
      <c r="M162" s="156" t="inlineStr">
        <is>
          <t>Stetson</t>
        </is>
      </c>
      <c r="N162" s="156" t="inlineStr">
        <is>
          <t>SS26</t>
        </is>
      </c>
      <c r="O162" s="156" t="inlineStr">
        <is>
          <t>Seasonal</t>
        </is>
      </c>
      <c r="P162" s="156" t="inlineStr">
        <is>
          <t>Azul</t>
        </is>
      </c>
      <c r="Q162" s="156" t="n"/>
      <c r="R162" s="156" t="inlineStr">
        <is>
          <t>Punta Redonda Ancha</t>
        </is>
      </c>
      <c r="S162" s="156" t="inlineStr">
        <is>
          <t>Piel bovina</t>
        </is>
      </c>
      <c r="T162" s="156" t="inlineStr">
        <is>
          <t>Bota Caballero Piel bovina Clayton Azul Punta Redonda Ancha</t>
        </is>
      </c>
      <c r="U162" s="156" t="inlineStr">
        <is>
          <t>México</t>
        </is>
      </c>
      <c r="V162" s="156" t="inlineStr">
        <is>
          <t>PRS</t>
        </is>
      </c>
      <c r="W162" s="51" t="inlineStr">
        <is>
          <t>53111501</t>
        </is>
      </c>
      <c r="X162" s="156" t="n"/>
      <c r="Y162" s="54" t="n">
        <v>776</v>
      </c>
      <c r="Z162" s="54" t="n">
        <v>4482.758621</v>
      </c>
      <c r="AA162" s="55">
        <f>IF(AND(A162="", B162="", E162=""), "", IF(AB162="", "Válido", IF((LEN(AB162)-LEN(SUBSTITUTE(AB162,"; ","")))/2+1&gt;(LEN(AB162)-LEN(SUBSTITUTE(AB162,"[Aviso]","")))/7, "Con Incidencias", "Válido")))</f>
        <v/>
      </c>
      <c r="AB162" s="56">
        <f>IF(AND(A162="", B162="", E162=""), "", TEXTJOIN("; ", TRUE, IF(OR(TRIM(A162&amp;"")="", ISNUMBER(SEARCH("FALTA", A162))), "UPC faltante/inválido", ""), IF(AND(A162&lt;&gt;"", IFERROR(_xlfn.XMATCH(A162,$A$2:$A$2509,0,1)&lt;&gt;_xlfn.XMATCH(A162,$A$2:$A$2509,0,-1),FALSE)), "Código de barras duplicado", ""), IF(AND(E162&lt;&gt;"", COUNTIF($E$2:$E$2509, E162)&gt;1), "SKU duplicado", ""), IF(OR(J162="", J162=""), "[Aviso] División no capturada ()", IF(ISNA(MATCH(J162, Criterios!$A$123:$A$126, 0)), "División no válida", "")), IF(OR(K162="", K162=""), "[Aviso] Categoría no capturada ()", IF(ISNA(MATCH(K162, Criterios!$A$81:$A$120, 0)), "Categoría no válida", IF(AND(J162&lt;&gt;"", J162&lt;&gt;"", J162&lt;&gt;VLOOKUP(K162, Criterios!$A$81:$B$120, 2, FALSE)), "División no coincide con Categoría", ""))), IF(OR(L162="", L162=""), "[Aviso] Género no capturado ()", IF(ISNA(MATCH(L162, Criterios!$B$123:$B$127, 0)), "Género no válido", "")), IF(OR(N162="", N162=""), "[Aviso] Temporada no capturada ()", IF(ISNA(MATCH(N162, Criterios!$C$123:$C$128, 0)), "Temporada no válida", "")), IF(OR(O162="", O162=""), "[Aviso] Ciclo de vida no capturado ()", IF(ISNA(MATCH(O162, Criterios!$D$123:$D$124, 0)), "Ciclo de vida no válido", ""))))</f>
        <v/>
      </c>
      <c r="AC162" s="56" t="n"/>
      <c r="AD162" s="51" t="n">
        <v>0</v>
      </c>
      <c r="AE162" s="156" t="n"/>
      <c r="AF162" s="51" t="n">
        <v>0</v>
      </c>
      <c r="AG162" s="156" t="inlineStr">
        <is>
          <t>Catálogo existente</t>
        </is>
      </c>
      <c r="AH1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2" s="156" t="inlineStr">
        <is>
          <t>No</t>
        </is>
      </c>
      <c r="AJ162" s="156" t="n"/>
      <c r="AK162" s="155" t="inlineStr">
        <is>
          <t>Criterios: I [Q]; G1522_Extraccion_Articulos_NetSuite_2026-09-30.xlsx: fila 58734 [R] | Shopify Stetson: producto 15054563836267 / variante 53350542999915</t>
        </is>
      </c>
      <c r="AL162" s="58" t="n">
        <v>776</v>
      </c>
      <c r="AM162" s="58" t="n">
        <v>4482.758621</v>
      </c>
      <c r="AN162" s="155" t="inlineStr">
        <is>
          <t>Shopify Stetson México</t>
        </is>
      </c>
      <c r="AO162" s="59" t="n">
        <v>0</v>
      </c>
      <c r="AP162" s="59" t="n"/>
      <c r="AQ162" s="59" t="n"/>
      <c r="AR162" s="155" t="n"/>
    </row>
    <row r="163">
      <c r="A163" s="50" t="inlineStr">
        <is>
          <t>12020001101003026</t>
        </is>
      </c>
      <c r="B163" s="51" t="inlineStr">
        <is>
          <t>111060</t>
        </is>
      </c>
      <c r="C163" s="156" t="inlineStr">
        <is>
          <t>Multimarca</t>
        </is>
      </c>
      <c r="D163" s="156" t="inlineStr">
        <is>
          <t>12-020-BS001-10-1003</t>
        </is>
      </c>
      <c r="E163" s="156" t="inlineStr">
        <is>
          <t>12-020-BS001-10-1003-026</t>
        </is>
      </c>
      <c r="F163" s="156" t="inlineStr">
        <is>
          <t>26</t>
        </is>
      </c>
      <c r="G163" s="156" t="inlineStr">
        <is>
          <t>8</t>
        </is>
      </c>
      <c r="H163" s="156" t="inlineStr">
        <is>
          <t>Stetson</t>
        </is>
      </c>
      <c r="I163" s="156" t="inlineStr">
        <is>
          <t>Bota Piel Azul</t>
        </is>
      </c>
      <c r="J163" s="156" t="inlineStr">
        <is>
          <t>Calzado</t>
        </is>
      </c>
      <c r="K163" s="156" t="inlineStr">
        <is>
          <t>Botas</t>
        </is>
      </c>
      <c r="L163" s="156" t="inlineStr">
        <is>
          <t>Hombre</t>
        </is>
      </c>
      <c r="M163" s="156" t="inlineStr">
        <is>
          <t>Stetson</t>
        </is>
      </c>
      <c r="N163" s="156" t="inlineStr">
        <is>
          <t>SS26</t>
        </is>
      </c>
      <c r="O163" s="156" t="inlineStr">
        <is>
          <t>Seasonal</t>
        </is>
      </c>
      <c r="P163" s="156" t="inlineStr">
        <is>
          <t>Azul</t>
        </is>
      </c>
      <c r="Q163" s="156" t="n"/>
      <c r="R163" s="156" t="inlineStr">
        <is>
          <t>Punta Redonda Ancha</t>
        </is>
      </c>
      <c r="S163" s="156" t="inlineStr">
        <is>
          <t>Piel bovina</t>
        </is>
      </c>
      <c r="T163" s="156" t="inlineStr">
        <is>
          <t>Bota Caballero Piel bovina Clayton Azul Punta Redonda Ancha</t>
        </is>
      </c>
      <c r="U163" s="156" t="inlineStr">
        <is>
          <t>México</t>
        </is>
      </c>
      <c r="V163" s="156" t="inlineStr">
        <is>
          <t>PRS</t>
        </is>
      </c>
      <c r="W163" s="51" t="inlineStr">
        <is>
          <t>53111501</t>
        </is>
      </c>
      <c r="X163" s="156" t="n"/>
      <c r="Y163" s="54" t="n">
        <v>776</v>
      </c>
      <c r="Z163" s="54" t="n">
        <v>4482.758621</v>
      </c>
      <c r="AA163" s="55">
        <f>IF(AND(A163="", B163="", E163=""), "", IF(AB163="", "Válido", IF((LEN(AB163)-LEN(SUBSTITUTE(AB163,"; ","")))/2+1&gt;(LEN(AB163)-LEN(SUBSTITUTE(AB163,"[Aviso]","")))/7, "Con Incidencias", "Válido")))</f>
        <v/>
      </c>
      <c r="AB163" s="56">
        <f>IF(AND(A163="", B163="", E163=""), "", TEXTJOIN("; ", TRUE, IF(OR(TRIM(A163&amp;"")="", ISNUMBER(SEARCH("FALTA", A163))), "UPC faltante/inválido", ""), IF(AND(A163&lt;&gt;"", IFERROR(_xlfn.XMATCH(A163,$A$2:$A$2509,0,1)&lt;&gt;_xlfn.XMATCH(A163,$A$2:$A$2509,0,-1),FALSE)), "Código de barras duplicado", ""), IF(AND(E163&lt;&gt;"", COUNTIF($E$2:$E$2509, E163)&gt;1), "SKU duplicado", ""), IF(OR(J163="", J163=""), "[Aviso] División no capturada ()", IF(ISNA(MATCH(J163, Criterios!$A$123:$A$126, 0)), "División no válida", "")), IF(OR(K163="", K163=""), "[Aviso] Categoría no capturada ()", IF(ISNA(MATCH(K163, Criterios!$A$81:$A$120, 0)), "Categoría no válida", IF(AND(J163&lt;&gt;"", J163&lt;&gt;"", J163&lt;&gt;VLOOKUP(K163, Criterios!$A$81:$B$120, 2, FALSE)), "División no coincide con Categoría", ""))), IF(OR(L163="", L163=""), "[Aviso] Género no capturado ()", IF(ISNA(MATCH(L163, Criterios!$B$123:$B$127, 0)), "Género no válido", "")), IF(OR(N163="", N163=""), "[Aviso] Temporada no capturada ()", IF(ISNA(MATCH(N163, Criterios!$C$123:$C$128, 0)), "Temporada no válida", "")), IF(OR(O163="", O163=""), "[Aviso] Ciclo de vida no capturado ()", IF(ISNA(MATCH(O163, Criterios!$D$123:$D$124, 0)), "Ciclo de vida no válido", ""))))</f>
        <v/>
      </c>
      <c r="AC163" s="56" t="n"/>
      <c r="AD163" s="51" t="n">
        <v>-1</v>
      </c>
      <c r="AE163" s="156" t="n"/>
      <c r="AF163" s="51" t="n">
        <v>0</v>
      </c>
      <c r="AG163" s="156" t="inlineStr">
        <is>
          <t>Catálogo existente</t>
        </is>
      </c>
      <c r="AH16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3" s="156" t="inlineStr">
        <is>
          <t>Sí</t>
        </is>
      </c>
      <c r="AJ163" s="156" t="inlineStr">
        <is>
          <t>STETSON AMERICAS (-1)</t>
        </is>
      </c>
      <c r="AK163" s="155" t="inlineStr">
        <is>
          <t>Criterios: I [Q]; G1522_Extraccion_Articulos_NetSuite_2026-09-30.xlsx: fila 58735 [R] | Shopify Stetson: producto 15054563836267 / variante 53350543065451</t>
        </is>
      </c>
      <c r="AL163" s="58" t="n">
        <v>776</v>
      </c>
      <c r="AM163" s="58" t="n">
        <v>4482.758621</v>
      </c>
      <c r="AN163" s="155" t="inlineStr">
        <is>
          <t>Shopify Stetson México</t>
        </is>
      </c>
      <c r="AO163" s="59" t="n">
        <v>0</v>
      </c>
      <c r="AP163" s="59" t="n"/>
      <c r="AQ163" s="59" t="n"/>
      <c r="AR163" s="155" t="n"/>
    </row>
    <row r="164">
      <c r="A164" s="50" t="inlineStr">
        <is>
          <t>12020001101003027</t>
        </is>
      </c>
      <c r="B164" s="51" t="inlineStr">
        <is>
          <t>111061</t>
        </is>
      </c>
      <c r="C164" s="156" t="inlineStr">
        <is>
          <t>Multimarca</t>
        </is>
      </c>
      <c r="D164" s="156" t="inlineStr">
        <is>
          <t>12-020-BS001-10-1003</t>
        </is>
      </c>
      <c r="E164" s="156" t="inlineStr">
        <is>
          <t>12-020-BS001-10-1003-027</t>
        </is>
      </c>
      <c r="F164" s="156" t="inlineStr">
        <is>
          <t>27</t>
        </is>
      </c>
      <c r="G164" s="156" t="inlineStr">
        <is>
          <t>9</t>
        </is>
      </c>
      <c r="H164" s="156" t="inlineStr">
        <is>
          <t>Stetson</t>
        </is>
      </c>
      <c r="I164" s="156" t="inlineStr">
        <is>
          <t>Bota Piel Azul</t>
        </is>
      </c>
      <c r="J164" s="156" t="inlineStr">
        <is>
          <t>Calzado</t>
        </is>
      </c>
      <c r="K164" s="156" t="inlineStr">
        <is>
          <t>Botas</t>
        </is>
      </c>
      <c r="L164" s="156" t="inlineStr">
        <is>
          <t>Hombre</t>
        </is>
      </c>
      <c r="M164" s="156" t="inlineStr">
        <is>
          <t>Stetson</t>
        </is>
      </c>
      <c r="N164" s="156" t="inlineStr">
        <is>
          <t>SS26</t>
        </is>
      </c>
      <c r="O164" s="156" t="inlineStr">
        <is>
          <t>Seasonal</t>
        </is>
      </c>
      <c r="P164" s="156" t="inlineStr">
        <is>
          <t>Azul</t>
        </is>
      </c>
      <c r="Q164" s="156" t="n"/>
      <c r="R164" s="156" t="inlineStr">
        <is>
          <t>Punta Redonda Ancha</t>
        </is>
      </c>
      <c r="S164" s="156" t="inlineStr">
        <is>
          <t>Piel bovina</t>
        </is>
      </c>
      <c r="T164" s="156" t="inlineStr">
        <is>
          <t>Bota Caballero Piel bovina Clayton Azul Punta Redonda Ancha</t>
        </is>
      </c>
      <c r="U164" s="156" t="inlineStr">
        <is>
          <t>México</t>
        </is>
      </c>
      <c r="V164" s="156" t="inlineStr">
        <is>
          <t>PRS</t>
        </is>
      </c>
      <c r="W164" s="51" t="inlineStr">
        <is>
          <t>53111501</t>
        </is>
      </c>
      <c r="X164" s="156" t="n"/>
      <c r="Y164" s="54" t="n">
        <v>776</v>
      </c>
      <c r="Z164" s="54" t="n">
        <v>4482.758621</v>
      </c>
      <c r="AA164" s="55">
        <f>IF(AND(A164="", B164="", E164=""), "", IF(AB164="", "Válido", IF((LEN(AB164)-LEN(SUBSTITUTE(AB164,"; ","")))/2+1&gt;(LEN(AB164)-LEN(SUBSTITUTE(AB164,"[Aviso]","")))/7, "Con Incidencias", "Válido")))</f>
        <v/>
      </c>
      <c r="AB164" s="56">
        <f>IF(AND(A164="", B164="", E164=""), "", TEXTJOIN("; ", TRUE, IF(OR(TRIM(A164&amp;"")="", ISNUMBER(SEARCH("FALTA", A164))), "UPC faltante/inválido", ""), IF(AND(A164&lt;&gt;"", IFERROR(_xlfn.XMATCH(A164,$A$2:$A$2509,0,1)&lt;&gt;_xlfn.XMATCH(A164,$A$2:$A$2509,0,-1),FALSE)), "Código de barras duplicado", ""), IF(AND(E164&lt;&gt;"", COUNTIF($E$2:$E$2509, E164)&gt;1), "SKU duplicado", ""), IF(OR(J164="", J164=""), "[Aviso] División no capturada ()", IF(ISNA(MATCH(J164, Criterios!$A$123:$A$126, 0)), "División no válida", "")), IF(OR(K164="", K164=""), "[Aviso] Categoría no capturada ()", IF(ISNA(MATCH(K164, Criterios!$A$81:$A$120, 0)), "Categoría no válida", IF(AND(J164&lt;&gt;"", J164&lt;&gt;"", J164&lt;&gt;VLOOKUP(K164, Criterios!$A$81:$B$120, 2, FALSE)), "División no coincide con Categoría", ""))), IF(OR(L164="", L164=""), "[Aviso] Género no capturado ()", IF(ISNA(MATCH(L164, Criterios!$B$123:$B$127, 0)), "Género no válido", "")), IF(OR(N164="", N164=""), "[Aviso] Temporada no capturada ()", IF(ISNA(MATCH(N164, Criterios!$C$123:$C$128, 0)), "Temporada no válida", "")), IF(OR(O164="", O164=""), "[Aviso] Ciclo de vida no capturado ()", IF(ISNA(MATCH(O164, Criterios!$D$123:$D$124, 0)), "Ciclo de vida no válido", ""))))</f>
        <v/>
      </c>
      <c r="AC164" s="56" t="n"/>
      <c r="AD164" s="51" t="n">
        <v>-1</v>
      </c>
      <c r="AE164" s="156" t="n"/>
      <c r="AF164" s="51" t="n">
        <v>0</v>
      </c>
      <c r="AG164" s="156" t="inlineStr">
        <is>
          <t>Catálogo existente</t>
        </is>
      </c>
      <c r="AH16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4" s="156" t="inlineStr">
        <is>
          <t>Sí</t>
        </is>
      </c>
      <c r="AJ164" s="156" t="inlineStr">
        <is>
          <t>STETSON AMERICAS (-1)</t>
        </is>
      </c>
      <c r="AK164" s="155" t="inlineStr">
        <is>
          <t>Criterios: I [Q]; G1522_Extraccion_Articulos_NetSuite_2026-09-30.xlsx: fila 58736 [R] | Shopify Stetson: producto 15054563836267 / variante 53350543130987</t>
        </is>
      </c>
      <c r="AL164" s="58" t="n">
        <v>776</v>
      </c>
      <c r="AM164" s="58" t="n">
        <v>4482.758621</v>
      </c>
      <c r="AN164" s="155" t="inlineStr">
        <is>
          <t>Shopify Stetson México</t>
        </is>
      </c>
      <c r="AO164" s="59" t="n">
        <v>1</v>
      </c>
      <c r="AP164" s="59" t="n"/>
      <c r="AQ164" s="59" t="n"/>
      <c r="AR164" s="155" t="inlineStr">
        <is>
          <t>Shopify Stetson México › Stetson Americas: 1</t>
        </is>
      </c>
    </row>
    <row r="165">
      <c r="A165" s="50" t="inlineStr">
        <is>
          <t>12020001101003028</t>
        </is>
      </c>
      <c r="B165" s="51" t="inlineStr">
        <is>
          <t>111062</t>
        </is>
      </c>
      <c r="C165" s="156" t="inlineStr">
        <is>
          <t>Multimarca</t>
        </is>
      </c>
      <c r="D165" s="156" t="inlineStr">
        <is>
          <t>12-020-BS001-10-1003</t>
        </is>
      </c>
      <c r="E165" s="156" t="inlineStr">
        <is>
          <t>12-020-BS001-10-1003-028</t>
        </is>
      </c>
      <c r="F165" s="156" t="inlineStr">
        <is>
          <t>28</t>
        </is>
      </c>
      <c r="G165" s="156" t="inlineStr">
        <is>
          <t>10</t>
        </is>
      </c>
      <c r="H165" s="156" t="inlineStr">
        <is>
          <t>Stetson</t>
        </is>
      </c>
      <c r="I165" s="156" t="inlineStr">
        <is>
          <t>Bota Piel Azul</t>
        </is>
      </c>
      <c r="J165" s="156" t="inlineStr">
        <is>
          <t>Calzado</t>
        </is>
      </c>
      <c r="K165" s="156" t="inlineStr">
        <is>
          <t>Botas</t>
        </is>
      </c>
      <c r="L165" s="156" t="inlineStr">
        <is>
          <t>Hombre</t>
        </is>
      </c>
      <c r="M165" s="156" t="inlineStr">
        <is>
          <t>Stetson</t>
        </is>
      </c>
      <c r="N165" s="156" t="inlineStr">
        <is>
          <t>SS26</t>
        </is>
      </c>
      <c r="O165" s="156" t="inlineStr">
        <is>
          <t>Seasonal</t>
        </is>
      </c>
      <c r="P165" s="156" t="inlineStr">
        <is>
          <t>Azul</t>
        </is>
      </c>
      <c r="Q165" s="156" t="n"/>
      <c r="R165" s="156" t="inlineStr">
        <is>
          <t>Punta Redonda Ancha</t>
        </is>
      </c>
      <c r="S165" s="156" t="inlineStr">
        <is>
          <t>Piel bovina</t>
        </is>
      </c>
      <c r="T165" s="156" t="inlineStr">
        <is>
          <t>Bota Caballero Piel bovina Clayton Azul Punta Redonda Ancha</t>
        </is>
      </c>
      <c r="U165" s="156" t="inlineStr">
        <is>
          <t>México</t>
        </is>
      </c>
      <c r="V165" s="156" t="inlineStr">
        <is>
          <t>PRS</t>
        </is>
      </c>
      <c r="W165" s="51" t="inlineStr">
        <is>
          <t>53111501</t>
        </is>
      </c>
      <c r="X165" s="156" t="n"/>
      <c r="Y165" s="54" t="n">
        <v>776</v>
      </c>
      <c r="Z165" s="54" t="n">
        <v>4482.758621</v>
      </c>
      <c r="AA165" s="55">
        <f>IF(AND(A165="", B165="", E165=""), "", IF(AB165="", "Válido", IF((LEN(AB165)-LEN(SUBSTITUTE(AB165,"; ","")))/2+1&gt;(LEN(AB165)-LEN(SUBSTITUTE(AB165,"[Aviso]","")))/7, "Con Incidencias", "Válido")))</f>
        <v/>
      </c>
      <c r="AB165" s="56">
        <f>IF(AND(A165="", B165="", E165=""), "", TEXTJOIN("; ", TRUE, IF(OR(TRIM(A165&amp;"")="", ISNUMBER(SEARCH("FALTA", A165))), "UPC faltante/inválido", ""), IF(AND(A165&lt;&gt;"", IFERROR(_xlfn.XMATCH(A165,$A$2:$A$2509,0,1)&lt;&gt;_xlfn.XMATCH(A165,$A$2:$A$2509,0,-1),FALSE)), "Código de barras duplicado", ""), IF(AND(E165&lt;&gt;"", COUNTIF($E$2:$E$2509, E165)&gt;1), "SKU duplicado", ""), IF(OR(J165="", J165=""), "[Aviso] División no capturada ()", IF(ISNA(MATCH(J165, Criterios!$A$123:$A$126, 0)), "División no válida", "")), IF(OR(K165="", K165=""), "[Aviso] Categoría no capturada ()", IF(ISNA(MATCH(K165, Criterios!$A$81:$A$120, 0)), "Categoría no válida", IF(AND(J165&lt;&gt;"", J165&lt;&gt;"", J165&lt;&gt;VLOOKUP(K165, Criterios!$A$81:$B$120, 2, FALSE)), "División no coincide con Categoría", ""))), IF(OR(L165="", L165=""), "[Aviso] Género no capturado ()", IF(ISNA(MATCH(L165, Criterios!$B$123:$B$127, 0)), "Género no válido", "")), IF(OR(N165="", N165=""), "[Aviso] Temporada no capturada ()", IF(ISNA(MATCH(N165, Criterios!$C$123:$C$128, 0)), "Temporada no válida", "")), IF(OR(O165="", O165=""), "[Aviso] Ciclo de vida no capturado ()", IF(ISNA(MATCH(O165, Criterios!$D$123:$D$124, 0)), "Ciclo de vida no válido", ""))))</f>
        <v/>
      </c>
      <c r="AC165" s="56" t="n"/>
      <c r="AD165" s="51" t="n">
        <v>0</v>
      </c>
      <c r="AE165" s="156" t="n"/>
      <c r="AF165" s="51" t="n">
        <v>0</v>
      </c>
      <c r="AG165" s="156" t="inlineStr">
        <is>
          <t>Catálogo existente</t>
        </is>
      </c>
      <c r="AH1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5" s="156" t="inlineStr">
        <is>
          <t>No</t>
        </is>
      </c>
      <c r="AJ165" s="156" t="n"/>
      <c r="AK165" s="155" t="inlineStr">
        <is>
          <t>Criterios: I [Q]; G1522_Extraccion_Articulos_NetSuite_2026-09-30.xlsx: fila 58737 [R] | Shopify Stetson: producto 15054563836267 / variante 53350543196523</t>
        </is>
      </c>
      <c r="AL165" s="58" t="n">
        <v>776</v>
      </c>
      <c r="AM165" s="58" t="n">
        <v>4482.758621</v>
      </c>
      <c r="AN165" s="155" t="inlineStr">
        <is>
          <t>Shopify Stetson México</t>
        </is>
      </c>
      <c r="AO165" s="59" t="n">
        <v>2</v>
      </c>
      <c r="AP165" s="59" t="n"/>
      <c r="AQ165" s="59" t="n"/>
      <c r="AR165" s="155" t="inlineStr">
        <is>
          <t>Shopify Stetson México › Stetson Americas: 2</t>
        </is>
      </c>
    </row>
    <row r="166">
      <c r="A166" s="50" t="inlineStr">
        <is>
          <t>12020001101003029</t>
        </is>
      </c>
      <c r="B166" s="51" t="inlineStr">
        <is>
          <t>111063</t>
        </is>
      </c>
      <c r="C166" s="156" t="inlineStr">
        <is>
          <t>Multimarca</t>
        </is>
      </c>
      <c r="D166" s="156" t="inlineStr">
        <is>
          <t>12-020-BS001-10-1003</t>
        </is>
      </c>
      <c r="E166" s="156" t="inlineStr">
        <is>
          <t>12-020-BS001-10-1003-029</t>
        </is>
      </c>
      <c r="F166" s="156" t="inlineStr">
        <is>
          <t>29</t>
        </is>
      </c>
      <c r="G166" s="156" t="inlineStr">
        <is>
          <t>11</t>
        </is>
      </c>
      <c r="H166" s="156" t="inlineStr">
        <is>
          <t>Stetson</t>
        </is>
      </c>
      <c r="I166" s="156" t="inlineStr">
        <is>
          <t>Bota Piel Azul</t>
        </is>
      </c>
      <c r="J166" s="156" t="inlineStr">
        <is>
          <t>Calzado</t>
        </is>
      </c>
      <c r="K166" s="156" t="inlineStr">
        <is>
          <t>Botas</t>
        </is>
      </c>
      <c r="L166" s="156" t="inlineStr">
        <is>
          <t>Hombre</t>
        </is>
      </c>
      <c r="M166" s="156" t="inlineStr">
        <is>
          <t>Stetson</t>
        </is>
      </c>
      <c r="N166" s="156" t="inlineStr">
        <is>
          <t>SS26</t>
        </is>
      </c>
      <c r="O166" s="156" t="inlineStr">
        <is>
          <t>Seasonal</t>
        </is>
      </c>
      <c r="P166" s="156" t="inlineStr">
        <is>
          <t>Azul</t>
        </is>
      </c>
      <c r="Q166" s="156" t="n"/>
      <c r="R166" s="156" t="inlineStr">
        <is>
          <t>Punta Redonda Ancha</t>
        </is>
      </c>
      <c r="S166" s="156" t="inlineStr">
        <is>
          <t>Piel bovina</t>
        </is>
      </c>
      <c r="T166" s="156" t="inlineStr">
        <is>
          <t>Bota Caballero Piel bovina Clayton Azul Punta Redonda Ancha</t>
        </is>
      </c>
      <c r="U166" s="156" t="inlineStr">
        <is>
          <t>México</t>
        </is>
      </c>
      <c r="V166" s="156" t="inlineStr">
        <is>
          <t>PRS</t>
        </is>
      </c>
      <c r="W166" s="51" t="inlineStr">
        <is>
          <t>53111501</t>
        </is>
      </c>
      <c r="X166" s="156" t="n"/>
      <c r="Y166" s="54" t="n">
        <v>776</v>
      </c>
      <c r="Z166" s="54" t="n">
        <v>4482.758621</v>
      </c>
      <c r="AA166" s="55">
        <f>IF(AND(A166="", B166="", E166=""), "", IF(AB166="", "Válido", IF((LEN(AB166)-LEN(SUBSTITUTE(AB166,"; ","")))/2+1&gt;(LEN(AB166)-LEN(SUBSTITUTE(AB166,"[Aviso]","")))/7, "Con Incidencias", "Válido")))</f>
        <v/>
      </c>
      <c r="AB166" s="56">
        <f>IF(AND(A166="", B166="", E166=""), "", TEXTJOIN("; ", TRUE, IF(OR(TRIM(A166&amp;"")="", ISNUMBER(SEARCH("FALTA", A166))), "UPC faltante/inválido", ""), IF(AND(A166&lt;&gt;"", IFERROR(_xlfn.XMATCH(A166,$A$2:$A$2509,0,1)&lt;&gt;_xlfn.XMATCH(A166,$A$2:$A$2509,0,-1),FALSE)), "Código de barras duplicado", ""), IF(AND(E166&lt;&gt;"", COUNTIF($E$2:$E$2509, E166)&gt;1), "SKU duplicado", ""), IF(OR(J166="", J166=""), "[Aviso] División no capturada ()", IF(ISNA(MATCH(J166, Criterios!$A$123:$A$126, 0)), "División no válida", "")), IF(OR(K166="", K166=""), "[Aviso] Categoría no capturada ()", IF(ISNA(MATCH(K166, Criterios!$A$81:$A$120, 0)), "Categoría no válida", IF(AND(J166&lt;&gt;"", J166&lt;&gt;"", J166&lt;&gt;VLOOKUP(K166, Criterios!$A$81:$B$120, 2, FALSE)), "División no coincide con Categoría", ""))), IF(OR(L166="", L166=""), "[Aviso] Género no capturado ()", IF(ISNA(MATCH(L166, Criterios!$B$123:$B$127, 0)), "Género no válido", "")), IF(OR(N166="", N166=""), "[Aviso] Temporada no capturada ()", IF(ISNA(MATCH(N166, Criterios!$C$123:$C$128, 0)), "Temporada no válida", "")), IF(OR(O166="", O166=""), "[Aviso] Ciclo de vida no capturado ()", IF(ISNA(MATCH(O166, Criterios!$D$123:$D$124, 0)), "Ciclo de vida no válido", ""))))</f>
        <v/>
      </c>
      <c r="AC166" s="56" t="n"/>
      <c r="AD166" s="51" t="n">
        <v>-1</v>
      </c>
      <c r="AE166" s="156" t="n"/>
      <c r="AF166" s="51" t="n">
        <v>0</v>
      </c>
      <c r="AG166" s="156" t="inlineStr">
        <is>
          <t>Catálogo existente</t>
        </is>
      </c>
      <c r="AH16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6" s="156" t="inlineStr">
        <is>
          <t>Sí</t>
        </is>
      </c>
      <c r="AJ166" s="156" t="inlineStr">
        <is>
          <t>STETSON AMERICAS (-1)</t>
        </is>
      </c>
      <c r="AK166" s="155" t="inlineStr">
        <is>
          <t>Criterios: I [Q]; G1522_Extraccion_Articulos_NetSuite_2026-09-30.xlsx: fila 58738 [R] | Shopify Stetson: producto 15054563836267 / variante 53350543262059</t>
        </is>
      </c>
      <c r="AL166" s="58" t="n">
        <v>776</v>
      </c>
      <c r="AM166" s="58" t="n">
        <v>4482.758621</v>
      </c>
      <c r="AN166" s="155" t="inlineStr">
        <is>
          <t>Shopify Stetson México</t>
        </is>
      </c>
      <c r="AO166" s="59" t="n">
        <v>1</v>
      </c>
      <c r="AP166" s="59" t="n"/>
      <c r="AQ166" s="59" t="n"/>
      <c r="AR166" s="155" t="inlineStr">
        <is>
          <t>Shopify Stetson México › Stetson Americas: 1</t>
        </is>
      </c>
    </row>
    <row r="167">
      <c r="A167" s="50" t="inlineStr">
        <is>
          <t>12020001101003030</t>
        </is>
      </c>
      <c r="B167" s="51" t="inlineStr">
        <is>
          <t>111064</t>
        </is>
      </c>
      <c r="C167" s="156" t="inlineStr">
        <is>
          <t>Multimarca</t>
        </is>
      </c>
      <c r="D167" s="156" t="inlineStr">
        <is>
          <t>12-020-BS001-10-1003</t>
        </is>
      </c>
      <c r="E167" s="156" t="inlineStr">
        <is>
          <t>12-020-BS001-10-1003-030</t>
        </is>
      </c>
      <c r="F167" s="156" t="inlineStr">
        <is>
          <t>30</t>
        </is>
      </c>
      <c r="G167" s="156" t="inlineStr">
        <is>
          <t>12</t>
        </is>
      </c>
      <c r="H167" s="156" t="inlineStr">
        <is>
          <t>Stetson</t>
        </is>
      </c>
      <c r="I167" s="156" t="inlineStr">
        <is>
          <t>Bota Piel Azul</t>
        </is>
      </c>
      <c r="J167" s="156" t="inlineStr">
        <is>
          <t>Calzado</t>
        </is>
      </c>
      <c r="K167" s="156" t="inlineStr">
        <is>
          <t>Botas</t>
        </is>
      </c>
      <c r="L167" s="156" t="inlineStr">
        <is>
          <t>Hombre</t>
        </is>
      </c>
      <c r="M167" s="156" t="inlineStr">
        <is>
          <t>Stetson</t>
        </is>
      </c>
      <c r="N167" s="156" t="inlineStr">
        <is>
          <t>SS26</t>
        </is>
      </c>
      <c r="O167" s="156" t="inlineStr">
        <is>
          <t>Seasonal</t>
        </is>
      </c>
      <c r="P167" s="156" t="inlineStr">
        <is>
          <t>Azul</t>
        </is>
      </c>
      <c r="Q167" s="156" t="n"/>
      <c r="R167" s="156" t="inlineStr">
        <is>
          <t>Punta Redonda Ancha</t>
        </is>
      </c>
      <c r="S167" s="156" t="inlineStr">
        <is>
          <t>Piel bovina</t>
        </is>
      </c>
      <c r="T167" s="156" t="inlineStr">
        <is>
          <t>Bota Caballero Piel bovina Clayton Azul Punta Redonda Ancha</t>
        </is>
      </c>
      <c r="U167" s="156" t="inlineStr">
        <is>
          <t>México</t>
        </is>
      </c>
      <c r="V167" s="156" t="inlineStr">
        <is>
          <t>PRS</t>
        </is>
      </c>
      <c r="W167" s="51" t="inlineStr">
        <is>
          <t>53111501</t>
        </is>
      </c>
      <c r="X167" s="156" t="n"/>
      <c r="Y167" s="54" t="n">
        <v>776</v>
      </c>
      <c r="Z167" s="54" t="n">
        <v>4482.758621</v>
      </c>
      <c r="AA167" s="55">
        <f>IF(AND(A167="", B167="", E167=""), "", IF(AB167="", "Válido", IF((LEN(AB167)-LEN(SUBSTITUTE(AB167,"; ","")))/2+1&gt;(LEN(AB167)-LEN(SUBSTITUTE(AB167,"[Aviso]","")))/7, "Con Incidencias", "Válido")))</f>
        <v/>
      </c>
      <c r="AB167" s="56">
        <f>IF(AND(A167="", B167="", E167=""), "", TEXTJOIN("; ", TRUE, IF(OR(TRIM(A167&amp;"")="", ISNUMBER(SEARCH("FALTA", A167))), "UPC faltante/inválido", ""), IF(AND(A167&lt;&gt;"", IFERROR(_xlfn.XMATCH(A167,$A$2:$A$2509,0,1)&lt;&gt;_xlfn.XMATCH(A167,$A$2:$A$2509,0,-1),FALSE)), "Código de barras duplicado", ""), IF(AND(E167&lt;&gt;"", COUNTIF($E$2:$E$2509, E167)&gt;1), "SKU duplicado", ""), IF(OR(J167="", J167=""), "[Aviso] División no capturada ()", IF(ISNA(MATCH(J167, Criterios!$A$123:$A$126, 0)), "División no válida", "")), IF(OR(K167="", K167=""), "[Aviso] Categoría no capturada ()", IF(ISNA(MATCH(K167, Criterios!$A$81:$A$120, 0)), "Categoría no válida", IF(AND(J167&lt;&gt;"", J167&lt;&gt;"", J167&lt;&gt;VLOOKUP(K167, Criterios!$A$81:$B$120, 2, FALSE)), "División no coincide con Categoría", ""))), IF(OR(L167="", L167=""), "[Aviso] Género no capturado ()", IF(ISNA(MATCH(L167, Criterios!$B$123:$B$127, 0)), "Género no válido", "")), IF(OR(N167="", N167=""), "[Aviso] Temporada no capturada ()", IF(ISNA(MATCH(N167, Criterios!$C$123:$C$128, 0)), "Temporada no válida", "")), IF(OR(O167="", O167=""), "[Aviso] Ciclo de vida no capturado ()", IF(ISNA(MATCH(O167, Criterios!$D$123:$D$124, 0)), "Ciclo de vida no válido", ""))))</f>
        <v/>
      </c>
      <c r="AC167" s="56" t="n"/>
      <c r="AD167" s="51" t="n">
        <v>-1</v>
      </c>
      <c r="AE167" s="156" t="n"/>
      <c r="AF167" s="51" t="n">
        <v>0</v>
      </c>
      <c r="AG167" s="156" t="inlineStr">
        <is>
          <t>Catálogo existente</t>
        </is>
      </c>
      <c r="AH16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7" s="156" t="inlineStr">
        <is>
          <t>Sí</t>
        </is>
      </c>
      <c r="AJ167" s="156" t="inlineStr">
        <is>
          <t>STETSON AMERICAS (-1)</t>
        </is>
      </c>
      <c r="AK167" s="155" t="inlineStr">
        <is>
          <t>Criterios: I [Q]; G1522_Extraccion_Articulos_NetSuite_2026-09-30.xlsx: fila 58739 [R] | Shopify Stetson: producto 15054563836267 / variante 53350543327595</t>
        </is>
      </c>
      <c r="AL167" s="58" t="n">
        <v>776</v>
      </c>
      <c r="AM167" s="58" t="n">
        <v>4482.758621</v>
      </c>
      <c r="AN167" s="155" t="inlineStr">
        <is>
          <t>Shopify Stetson México</t>
        </is>
      </c>
      <c r="AO167" s="59" t="n">
        <v>0</v>
      </c>
      <c r="AP167" s="59" t="n"/>
      <c r="AQ167" s="59" t="n"/>
      <c r="AR167" s="155" t="n"/>
    </row>
    <row r="168">
      <c r="A168" s="50" t="inlineStr">
        <is>
          <t>12020001101003031</t>
        </is>
      </c>
      <c r="B168" s="51" t="inlineStr">
        <is>
          <t>111065</t>
        </is>
      </c>
      <c r="C168" s="156" t="inlineStr">
        <is>
          <t>Multimarca</t>
        </is>
      </c>
      <c r="D168" s="156" t="inlineStr">
        <is>
          <t>12-020-BS001-10-1003</t>
        </is>
      </c>
      <c r="E168" s="156" t="inlineStr">
        <is>
          <t>12-020-BS001-10-1003-031</t>
        </is>
      </c>
      <c r="F168" s="156" t="inlineStr">
        <is>
          <t>31</t>
        </is>
      </c>
      <c r="G168" s="156" t="inlineStr">
        <is>
          <t>13</t>
        </is>
      </c>
      <c r="H168" s="156" t="inlineStr">
        <is>
          <t>Stetson</t>
        </is>
      </c>
      <c r="I168" s="156" t="inlineStr">
        <is>
          <t>Bota Piel Azul</t>
        </is>
      </c>
      <c r="J168" s="156" t="inlineStr">
        <is>
          <t>Calzado</t>
        </is>
      </c>
      <c r="K168" s="156" t="inlineStr">
        <is>
          <t>Botas</t>
        </is>
      </c>
      <c r="L168" s="156" t="inlineStr">
        <is>
          <t>Hombre</t>
        </is>
      </c>
      <c r="M168" s="156" t="inlineStr">
        <is>
          <t>Stetson</t>
        </is>
      </c>
      <c r="N168" s="156" t="inlineStr">
        <is>
          <t>SS26</t>
        </is>
      </c>
      <c r="O168" s="156" t="inlineStr">
        <is>
          <t>Seasonal</t>
        </is>
      </c>
      <c r="P168" s="156" t="inlineStr">
        <is>
          <t>Azul</t>
        </is>
      </c>
      <c r="Q168" s="156" t="n"/>
      <c r="R168" s="156" t="inlineStr">
        <is>
          <t>Punta Redonda Ancha</t>
        </is>
      </c>
      <c r="S168" s="156" t="inlineStr">
        <is>
          <t>Piel bovina</t>
        </is>
      </c>
      <c r="T168" s="156" t="inlineStr">
        <is>
          <t>Bota Caballero Piel bovina Clayton Azul Punta Redonda Ancha</t>
        </is>
      </c>
      <c r="U168" s="156" t="inlineStr">
        <is>
          <t>México</t>
        </is>
      </c>
      <c r="V168" s="156" t="inlineStr">
        <is>
          <t>PRS</t>
        </is>
      </c>
      <c r="W168" s="51" t="inlineStr">
        <is>
          <t>53111501</t>
        </is>
      </c>
      <c r="X168" s="156" t="n"/>
      <c r="Y168" s="54" t="n">
        <v>776</v>
      </c>
      <c r="Z168" s="54" t="n">
        <v>4482.758621</v>
      </c>
      <c r="AA168" s="55">
        <f>IF(AND(A168="", B168="", E168=""), "", IF(AB168="", "Válido", IF((LEN(AB168)-LEN(SUBSTITUTE(AB168,"; ","")))/2+1&gt;(LEN(AB168)-LEN(SUBSTITUTE(AB168,"[Aviso]","")))/7, "Con Incidencias", "Válido")))</f>
        <v/>
      </c>
      <c r="AB168" s="56">
        <f>IF(AND(A168="", B168="", E168=""), "", TEXTJOIN("; ", TRUE, IF(OR(TRIM(A168&amp;"")="", ISNUMBER(SEARCH("FALTA", A168))), "UPC faltante/inválido", ""), IF(AND(A168&lt;&gt;"", IFERROR(_xlfn.XMATCH(A168,$A$2:$A$2509,0,1)&lt;&gt;_xlfn.XMATCH(A168,$A$2:$A$2509,0,-1),FALSE)), "Código de barras duplicado", ""), IF(AND(E168&lt;&gt;"", COUNTIF($E$2:$E$2509, E168)&gt;1), "SKU duplicado", ""), IF(OR(J168="", J168=""), "[Aviso] División no capturada ()", IF(ISNA(MATCH(J168, Criterios!$A$123:$A$126, 0)), "División no válida", "")), IF(OR(K168="", K168=""), "[Aviso] Categoría no capturada ()", IF(ISNA(MATCH(K168, Criterios!$A$81:$A$120, 0)), "Categoría no válida", IF(AND(J168&lt;&gt;"", J168&lt;&gt;"", J168&lt;&gt;VLOOKUP(K168, Criterios!$A$81:$B$120, 2, FALSE)), "División no coincide con Categoría", ""))), IF(OR(L168="", L168=""), "[Aviso] Género no capturado ()", IF(ISNA(MATCH(L168, Criterios!$B$123:$B$127, 0)), "Género no válido", "")), IF(OR(N168="", N168=""), "[Aviso] Temporada no capturada ()", IF(ISNA(MATCH(N168, Criterios!$C$123:$C$128, 0)), "Temporada no válida", "")), IF(OR(O168="", O168=""), "[Aviso] Ciclo de vida no capturado ()", IF(ISNA(MATCH(O168, Criterios!$D$123:$D$124, 0)), "Ciclo de vida no válido", ""))))</f>
        <v/>
      </c>
      <c r="AC168" s="56" t="n"/>
      <c r="AD168" s="51" t="n">
        <v>0</v>
      </c>
      <c r="AE168" s="156" t="n"/>
      <c r="AF168" s="51" t="n">
        <v>0</v>
      </c>
      <c r="AG168" s="156" t="inlineStr">
        <is>
          <t>Catálogo existente</t>
        </is>
      </c>
      <c r="AH1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8" s="156" t="inlineStr">
        <is>
          <t>No</t>
        </is>
      </c>
      <c r="AJ168" s="156" t="n"/>
      <c r="AK168" s="155" t="inlineStr">
        <is>
          <t>Criterios: I [Q]; G1522_Extraccion_Articulos_NetSuite_2026-09-30.xlsx: fila 58740 [R] | Shopify Stetson: producto 15054563836267 / variante 53350543393131</t>
        </is>
      </c>
      <c r="AL168" s="58" t="n">
        <v>776</v>
      </c>
      <c r="AM168" s="58" t="n">
        <v>4482.758621</v>
      </c>
      <c r="AN168" s="155" t="inlineStr">
        <is>
          <t>Shopify Stetson México</t>
        </is>
      </c>
      <c r="AO168" s="59" t="n">
        <v>1</v>
      </c>
      <c r="AP168" s="59" t="n"/>
      <c r="AQ168" s="59" t="n"/>
      <c r="AR168" s="155" t="inlineStr">
        <is>
          <t>Shopify Stetson México › Stetson Americas: 1</t>
        </is>
      </c>
    </row>
    <row r="169">
      <c r="A169" s="50" t="inlineStr">
        <is>
          <t>12020001101003032</t>
        </is>
      </c>
      <c r="B169" s="51" t="inlineStr">
        <is>
          <t>111066</t>
        </is>
      </c>
      <c r="C169" s="156" t="inlineStr">
        <is>
          <t>Multimarca</t>
        </is>
      </c>
      <c r="D169" s="156" t="inlineStr">
        <is>
          <t>12-020-BS001-10-1003</t>
        </is>
      </c>
      <c r="E169" s="156" t="inlineStr">
        <is>
          <t>12-020-BS001-10-1003-032</t>
        </is>
      </c>
      <c r="F169" s="156" t="inlineStr">
        <is>
          <t>32</t>
        </is>
      </c>
      <c r="G169" s="156" t="inlineStr">
        <is>
          <t>14</t>
        </is>
      </c>
      <c r="H169" s="156" t="inlineStr">
        <is>
          <t>Stetson</t>
        </is>
      </c>
      <c r="I169" s="156" t="inlineStr">
        <is>
          <t>Bota Piel Azul</t>
        </is>
      </c>
      <c r="J169" s="156" t="inlineStr">
        <is>
          <t>Calzado</t>
        </is>
      </c>
      <c r="K169" s="156" t="inlineStr">
        <is>
          <t>Botas</t>
        </is>
      </c>
      <c r="L169" s="156" t="inlineStr">
        <is>
          <t>Hombre</t>
        </is>
      </c>
      <c r="M169" s="156" t="inlineStr">
        <is>
          <t>Stetson</t>
        </is>
      </c>
      <c r="N169" s="156" t="inlineStr">
        <is>
          <t>SS26</t>
        </is>
      </c>
      <c r="O169" s="156" t="inlineStr">
        <is>
          <t>Seasonal</t>
        </is>
      </c>
      <c r="P169" s="156" t="inlineStr">
        <is>
          <t>Azul</t>
        </is>
      </c>
      <c r="Q169" s="156" t="n"/>
      <c r="R169" s="156" t="inlineStr">
        <is>
          <t>Punta Redonda Ancha</t>
        </is>
      </c>
      <c r="S169" s="156" t="inlineStr">
        <is>
          <t>Piel bovina</t>
        </is>
      </c>
      <c r="T169" s="156" t="inlineStr">
        <is>
          <t>Bota Caballero Piel bovina Clayton Azul Punta Redonda Ancha</t>
        </is>
      </c>
      <c r="U169" s="156" t="inlineStr">
        <is>
          <t>México</t>
        </is>
      </c>
      <c r="V169" s="156" t="inlineStr">
        <is>
          <t>PRS</t>
        </is>
      </c>
      <c r="W169" s="51" t="inlineStr">
        <is>
          <t>53111501</t>
        </is>
      </c>
      <c r="X169" s="156" t="n"/>
      <c r="Y169" s="54" t="n">
        <v>776</v>
      </c>
      <c r="Z169" s="54" t="n">
        <v>4482.758621</v>
      </c>
      <c r="AA169" s="55">
        <f>IF(AND(A169="", B169="", E169=""), "", IF(AB169="", "Válido", IF((LEN(AB169)-LEN(SUBSTITUTE(AB169,"; ","")))/2+1&gt;(LEN(AB169)-LEN(SUBSTITUTE(AB169,"[Aviso]","")))/7, "Con Incidencias", "Válido")))</f>
        <v/>
      </c>
      <c r="AB169" s="56">
        <f>IF(AND(A169="", B169="", E169=""), "", TEXTJOIN("; ", TRUE, IF(OR(TRIM(A169&amp;"")="", ISNUMBER(SEARCH("FALTA", A169))), "UPC faltante/inválido", ""), IF(AND(A169&lt;&gt;"", IFERROR(_xlfn.XMATCH(A169,$A$2:$A$2509,0,1)&lt;&gt;_xlfn.XMATCH(A169,$A$2:$A$2509,0,-1),FALSE)), "Código de barras duplicado", ""), IF(AND(E169&lt;&gt;"", COUNTIF($E$2:$E$2509, E169)&gt;1), "SKU duplicado", ""), IF(OR(J169="", J169=""), "[Aviso] División no capturada ()", IF(ISNA(MATCH(J169, Criterios!$A$123:$A$126, 0)), "División no válida", "")), IF(OR(K169="", K169=""), "[Aviso] Categoría no capturada ()", IF(ISNA(MATCH(K169, Criterios!$A$81:$A$120, 0)), "Categoría no válida", IF(AND(J169&lt;&gt;"", J169&lt;&gt;"", J169&lt;&gt;VLOOKUP(K169, Criterios!$A$81:$B$120, 2, FALSE)), "División no coincide con Categoría", ""))), IF(OR(L169="", L169=""), "[Aviso] Género no capturado ()", IF(ISNA(MATCH(L169, Criterios!$B$123:$B$127, 0)), "Género no válido", "")), IF(OR(N169="", N169=""), "[Aviso] Temporada no capturada ()", IF(ISNA(MATCH(N169, Criterios!$C$123:$C$128, 0)), "Temporada no válida", "")), IF(OR(O169="", O169=""), "[Aviso] Ciclo de vida no capturado ()", IF(ISNA(MATCH(O169, Criterios!$D$123:$D$124, 0)), "Ciclo de vida no válido", ""))))</f>
        <v/>
      </c>
      <c r="AC169" s="56" t="n"/>
      <c r="AD169" s="51" t="n">
        <v>0</v>
      </c>
      <c r="AE169" s="156" t="n"/>
      <c r="AF169" s="51" t="n">
        <v>0</v>
      </c>
      <c r="AG169" s="156" t="inlineStr">
        <is>
          <t>Catálogo existente</t>
        </is>
      </c>
      <c r="AH1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9" s="156" t="inlineStr">
        <is>
          <t>No</t>
        </is>
      </c>
      <c r="AJ169" s="156" t="n"/>
      <c r="AK169" s="155" t="inlineStr">
        <is>
          <t>Criterios: I [Q]; G1522_Extraccion_Articulos_NetSuite_2026-09-30.xlsx: fila 58741 [R] | Shopify Stetson: producto 15054563836267 / variante 53350543458667</t>
        </is>
      </c>
      <c r="AL169" s="58" t="n">
        <v>776</v>
      </c>
      <c r="AM169" s="58" t="n">
        <v>4482.758621</v>
      </c>
      <c r="AN169" s="155" t="inlineStr">
        <is>
          <t>Shopify Stetson México</t>
        </is>
      </c>
      <c r="AO169" s="59" t="n">
        <v>0</v>
      </c>
      <c r="AP169" s="59" t="n"/>
      <c r="AQ169" s="59" t="n"/>
      <c r="AR169" s="155" t="n"/>
    </row>
    <row r="170">
      <c r="A170" s="50" t="inlineStr">
        <is>
          <t>12020001101003255</t>
        </is>
      </c>
      <c r="B170" s="51" t="inlineStr">
        <is>
          <t>111067</t>
        </is>
      </c>
      <c r="C170" s="156" t="inlineStr">
        <is>
          <t>Multimarca</t>
        </is>
      </c>
      <c r="D170" s="156" t="inlineStr">
        <is>
          <t>12-020-BS001-10-1003</t>
        </is>
      </c>
      <c r="E170" s="156" t="inlineStr">
        <is>
          <t>12-020-BS001-10-1003-255</t>
        </is>
      </c>
      <c r="F170" s="156" t="inlineStr">
        <is>
          <t>25.5</t>
        </is>
      </c>
      <c r="G170" s="156" t="inlineStr">
        <is>
          <t>7.5</t>
        </is>
      </c>
      <c r="H170" s="156" t="inlineStr">
        <is>
          <t>Stetson</t>
        </is>
      </c>
      <c r="I170" s="156" t="inlineStr">
        <is>
          <t>Bota Piel Azul</t>
        </is>
      </c>
      <c r="J170" s="156" t="inlineStr">
        <is>
          <t>Calzado</t>
        </is>
      </c>
      <c r="K170" s="156" t="inlineStr">
        <is>
          <t>Botas</t>
        </is>
      </c>
      <c r="L170" s="156" t="inlineStr">
        <is>
          <t>Hombre</t>
        </is>
      </c>
      <c r="M170" s="156" t="inlineStr">
        <is>
          <t>Stetson</t>
        </is>
      </c>
      <c r="N170" s="156" t="inlineStr">
        <is>
          <t>SS26</t>
        </is>
      </c>
      <c r="O170" s="156" t="inlineStr">
        <is>
          <t>Seasonal</t>
        </is>
      </c>
      <c r="P170" s="156" t="inlineStr">
        <is>
          <t>Azul</t>
        </is>
      </c>
      <c r="Q170" s="156" t="n"/>
      <c r="R170" s="156" t="inlineStr">
        <is>
          <t>Punta Redonda Ancha</t>
        </is>
      </c>
      <c r="S170" s="156" t="inlineStr">
        <is>
          <t>Piel bovina</t>
        </is>
      </c>
      <c r="T170" s="156" t="inlineStr">
        <is>
          <t>Bota Caballero Piel bovina Clayton Azul Punta Redonda Ancha</t>
        </is>
      </c>
      <c r="U170" s="156" t="inlineStr">
        <is>
          <t>México</t>
        </is>
      </c>
      <c r="V170" s="156" t="inlineStr">
        <is>
          <t>PRS</t>
        </is>
      </c>
      <c r="W170" s="51" t="inlineStr">
        <is>
          <t>53111501</t>
        </is>
      </c>
      <c r="X170" s="156" t="n"/>
      <c r="Y170" s="54" t="n">
        <v>776</v>
      </c>
      <c r="Z170" s="54" t="n">
        <v>4482.758621</v>
      </c>
      <c r="AA170" s="55">
        <f>IF(AND(A170="", B170="", E170=""), "", IF(AB170="", "Válido", IF((LEN(AB170)-LEN(SUBSTITUTE(AB170,"; ","")))/2+1&gt;(LEN(AB170)-LEN(SUBSTITUTE(AB170,"[Aviso]","")))/7, "Con Incidencias", "Válido")))</f>
        <v/>
      </c>
      <c r="AB170" s="56">
        <f>IF(AND(A170="", B170="", E170=""), "", TEXTJOIN("; ", TRUE, IF(OR(TRIM(A170&amp;"")="", ISNUMBER(SEARCH("FALTA", A170))), "UPC faltante/inválido", ""), IF(AND(A170&lt;&gt;"", IFERROR(_xlfn.XMATCH(A170,$A$2:$A$2509,0,1)&lt;&gt;_xlfn.XMATCH(A170,$A$2:$A$2509,0,-1),FALSE)), "Código de barras duplicado", ""), IF(AND(E170&lt;&gt;"", COUNTIF($E$2:$E$2509, E170)&gt;1), "SKU duplicado", ""), IF(OR(J170="", J170=""), "[Aviso] División no capturada ()", IF(ISNA(MATCH(J170, Criterios!$A$123:$A$126, 0)), "División no válida", "")), IF(OR(K170="", K170=""), "[Aviso] Categoría no capturada ()", IF(ISNA(MATCH(K170, Criterios!$A$81:$A$120, 0)), "Categoría no válida", IF(AND(J170&lt;&gt;"", J170&lt;&gt;"", J170&lt;&gt;VLOOKUP(K170, Criterios!$A$81:$B$120, 2, FALSE)), "División no coincide con Categoría", ""))), IF(OR(L170="", L170=""), "[Aviso] Género no capturado ()", IF(ISNA(MATCH(L170, Criterios!$B$123:$B$127, 0)), "Género no válido", "")), IF(OR(N170="", N170=""), "[Aviso] Temporada no capturada ()", IF(ISNA(MATCH(N170, Criterios!$C$123:$C$128, 0)), "Temporada no válida", "")), IF(OR(O170="", O170=""), "[Aviso] Ciclo de vida no capturado ()", IF(ISNA(MATCH(O170, Criterios!$D$123:$D$124, 0)), "Ciclo de vida no válido", ""))))</f>
        <v/>
      </c>
      <c r="AC170" s="56" t="n"/>
      <c r="AD170" s="51" t="n">
        <v>0</v>
      </c>
      <c r="AE170" s="156" t="n"/>
      <c r="AF170" s="51" t="n">
        <v>0</v>
      </c>
      <c r="AG170" s="156" t="inlineStr">
        <is>
          <t>Catálogo existente</t>
        </is>
      </c>
      <c r="AH1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0" s="156" t="inlineStr">
        <is>
          <t>No</t>
        </is>
      </c>
      <c r="AJ170" s="156" t="n"/>
      <c r="AK170" s="155" t="inlineStr">
        <is>
          <t>Criterios: I [Q]; G1522_Extraccion_Articulos_NetSuite_2026-09-30.xlsx: fila 58742 [R] | Shopify Stetson: producto 15054563836267 / variante 53350543032683</t>
        </is>
      </c>
      <c r="AL170" s="58" t="n">
        <v>776</v>
      </c>
      <c r="AM170" s="58" t="n">
        <v>4482.758621</v>
      </c>
      <c r="AN170" s="155" t="inlineStr">
        <is>
          <t>Shopify Stetson México</t>
        </is>
      </c>
      <c r="AO170" s="59" t="n">
        <v>0</v>
      </c>
      <c r="AP170" s="59" t="n"/>
      <c r="AQ170" s="59" t="n"/>
      <c r="AR170" s="155" t="n"/>
    </row>
    <row r="171">
      <c r="A171" s="50" t="inlineStr">
        <is>
          <t>12020001101003265</t>
        </is>
      </c>
      <c r="B171" s="51" t="inlineStr">
        <is>
          <t>111068</t>
        </is>
      </c>
      <c r="C171" s="156" t="inlineStr">
        <is>
          <t>Multimarca</t>
        </is>
      </c>
      <c r="D171" s="156" t="inlineStr">
        <is>
          <t>12-020-BS001-10-1003</t>
        </is>
      </c>
      <c r="E171" s="156" t="inlineStr">
        <is>
          <t>12-020-BS001-10-1003-265</t>
        </is>
      </c>
      <c r="F171" s="156" t="inlineStr">
        <is>
          <t>26.5</t>
        </is>
      </c>
      <c r="G171" s="156" t="inlineStr">
        <is>
          <t>8.5</t>
        </is>
      </c>
      <c r="H171" s="156" t="inlineStr">
        <is>
          <t>Stetson</t>
        </is>
      </c>
      <c r="I171" s="156" t="inlineStr">
        <is>
          <t>Bota Piel Azul</t>
        </is>
      </c>
      <c r="J171" s="156" t="inlineStr">
        <is>
          <t>Calzado</t>
        </is>
      </c>
      <c r="K171" s="156" t="inlineStr">
        <is>
          <t>Botas</t>
        </is>
      </c>
      <c r="L171" s="156" t="inlineStr">
        <is>
          <t>Hombre</t>
        </is>
      </c>
      <c r="M171" s="156" t="inlineStr">
        <is>
          <t>Stetson</t>
        </is>
      </c>
      <c r="N171" s="156" t="inlineStr">
        <is>
          <t>SS26</t>
        </is>
      </c>
      <c r="O171" s="156" t="inlineStr">
        <is>
          <t>Seasonal</t>
        </is>
      </c>
      <c r="P171" s="156" t="inlineStr">
        <is>
          <t>Azul</t>
        </is>
      </c>
      <c r="Q171" s="156" t="n"/>
      <c r="R171" s="156" t="inlineStr">
        <is>
          <t>Punta Redonda Ancha</t>
        </is>
      </c>
      <c r="S171" s="156" t="inlineStr">
        <is>
          <t>Piel bovina</t>
        </is>
      </c>
      <c r="T171" s="156" t="inlineStr">
        <is>
          <t>Bota Caballero Piel bovina Clayton Azul Punta Redonda Ancha</t>
        </is>
      </c>
      <c r="U171" s="156" t="inlineStr">
        <is>
          <t>México</t>
        </is>
      </c>
      <c r="V171" s="156" t="inlineStr">
        <is>
          <t>PRS</t>
        </is>
      </c>
      <c r="W171" s="51" t="inlineStr">
        <is>
          <t>53111501</t>
        </is>
      </c>
      <c r="X171" s="156" t="n"/>
      <c r="Y171" s="54" t="n">
        <v>776</v>
      </c>
      <c r="Z171" s="54" t="n">
        <v>4482.758621</v>
      </c>
      <c r="AA171" s="55">
        <f>IF(AND(A171="", B171="", E171=""), "", IF(AB171="", "Válido", IF((LEN(AB171)-LEN(SUBSTITUTE(AB171,"; ","")))/2+1&gt;(LEN(AB171)-LEN(SUBSTITUTE(AB171,"[Aviso]","")))/7, "Con Incidencias", "Válido")))</f>
        <v/>
      </c>
      <c r="AB171" s="56">
        <f>IF(AND(A171="", B171="", E171=""), "", TEXTJOIN("; ", TRUE, IF(OR(TRIM(A171&amp;"")="", ISNUMBER(SEARCH("FALTA", A171))), "UPC faltante/inválido", ""), IF(AND(A171&lt;&gt;"", IFERROR(_xlfn.XMATCH(A171,$A$2:$A$2509,0,1)&lt;&gt;_xlfn.XMATCH(A171,$A$2:$A$2509,0,-1),FALSE)), "Código de barras duplicado", ""), IF(AND(E171&lt;&gt;"", COUNTIF($E$2:$E$2509, E171)&gt;1), "SKU duplicado", ""), IF(OR(J171="", J171=""), "[Aviso] División no capturada ()", IF(ISNA(MATCH(J171, Criterios!$A$123:$A$126, 0)), "División no válida", "")), IF(OR(K171="", K171=""), "[Aviso] Categoría no capturada ()", IF(ISNA(MATCH(K171, Criterios!$A$81:$A$120, 0)), "Categoría no válida", IF(AND(J171&lt;&gt;"", J171&lt;&gt;"", J171&lt;&gt;VLOOKUP(K171, Criterios!$A$81:$B$120, 2, FALSE)), "División no coincide con Categoría", ""))), IF(OR(L171="", L171=""), "[Aviso] Género no capturado ()", IF(ISNA(MATCH(L171, Criterios!$B$123:$B$127, 0)), "Género no válido", "")), IF(OR(N171="", N171=""), "[Aviso] Temporada no capturada ()", IF(ISNA(MATCH(N171, Criterios!$C$123:$C$128, 0)), "Temporada no válida", "")), IF(OR(O171="", O171=""), "[Aviso] Ciclo de vida no capturado ()", IF(ISNA(MATCH(O171, Criterios!$D$123:$D$124, 0)), "Ciclo de vida no válido", ""))))</f>
        <v/>
      </c>
      <c r="AC171" s="56" t="n"/>
      <c r="AD171" s="51" t="n">
        <v>0</v>
      </c>
      <c r="AE171" s="156" t="n"/>
      <c r="AF171" s="51" t="n">
        <v>0</v>
      </c>
      <c r="AG171" s="156" t="inlineStr">
        <is>
          <t>Catálogo existente</t>
        </is>
      </c>
      <c r="AH1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1" s="156" t="inlineStr">
        <is>
          <t>No</t>
        </is>
      </c>
      <c r="AJ171" s="156" t="n"/>
      <c r="AK171" s="155" t="inlineStr">
        <is>
          <t>Criterios: I [Q]; G1522_Extraccion_Articulos_NetSuite_2026-09-30.xlsx: fila 58743 [R] | Shopify Stetson: producto 15054563836267 / variante 53350543098219</t>
        </is>
      </c>
      <c r="AL171" s="58" t="n">
        <v>776</v>
      </c>
      <c r="AM171" s="58" t="n">
        <v>4482.758621</v>
      </c>
      <c r="AN171" s="155" t="inlineStr">
        <is>
          <t>Shopify Stetson México</t>
        </is>
      </c>
      <c r="AO171" s="59" t="n">
        <v>2</v>
      </c>
      <c r="AP171" s="59" t="n"/>
      <c r="AQ171" s="59" t="n"/>
      <c r="AR171" s="155" t="inlineStr">
        <is>
          <t>Shopify Stetson México › Stetson Americas: 2</t>
        </is>
      </c>
    </row>
    <row r="172">
      <c r="A172" s="50" t="inlineStr">
        <is>
          <t>12020001101003275</t>
        </is>
      </c>
      <c r="B172" s="51" t="inlineStr">
        <is>
          <t>111069</t>
        </is>
      </c>
      <c r="C172" s="156" t="inlineStr">
        <is>
          <t>Multimarca</t>
        </is>
      </c>
      <c r="D172" s="156" t="inlineStr">
        <is>
          <t>12-020-BS001-10-1003</t>
        </is>
      </c>
      <c r="E172" s="156" t="inlineStr">
        <is>
          <t>12-020-BS001-10-1003-275</t>
        </is>
      </c>
      <c r="F172" s="156" t="inlineStr">
        <is>
          <t>27.5</t>
        </is>
      </c>
      <c r="G172" s="156" t="inlineStr">
        <is>
          <t>9.5</t>
        </is>
      </c>
      <c r="H172" s="156" t="inlineStr">
        <is>
          <t>Stetson</t>
        </is>
      </c>
      <c r="I172" s="156" t="inlineStr">
        <is>
          <t>Bota Piel Azul</t>
        </is>
      </c>
      <c r="J172" s="156" t="inlineStr">
        <is>
          <t>Calzado</t>
        </is>
      </c>
      <c r="K172" s="156" t="inlineStr">
        <is>
          <t>Botas</t>
        </is>
      </c>
      <c r="L172" s="156" t="inlineStr">
        <is>
          <t>Hombre</t>
        </is>
      </c>
      <c r="M172" s="156" t="inlineStr">
        <is>
          <t>Stetson</t>
        </is>
      </c>
      <c r="N172" s="156" t="inlineStr">
        <is>
          <t>SS26</t>
        </is>
      </c>
      <c r="O172" s="156" t="inlineStr">
        <is>
          <t>Seasonal</t>
        </is>
      </c>
      <c r="P172" s="156" t="inlineStr">
        <is>
          <t>Azul</t>
        </is>
      </c>
      <c r="Q172" s="156" t="n"/>
      <c r="R172" s="156" t="inlineStr">
        <is>
          <t>Punta Redonda Ancha</t>
        </is>
      </c>
      <c r="S172" s="156" t="inlineStr">
        <is>
          <t>Piel bovina</t>
        </is>
      </c>
      <c r="T172" s="156" t="inlineStr">
        <is>
          <t>Bota Caballero Piel bovina Clayton Azul Punta Redonda Ancha</t>
        </is>
      </c>
      <c r="U172" s="156" t="inlineStr">
        <is>
          <t>México</t>
        </is>
      </c>
      <c r="V172" s="156" t="inlineStr">
        <is>
          <t>PRS</t>
        </is>
      </c>
      <c r="W172" s="51" t="inlineStr">
        <is>
          <t>53111501</t>
        </is>
      </c>
      <c r="X172" s="156" t="n"/>
      <c r="Y172" s="54" t="n">
        <v>776</v>
      </c>
      <c r="Z172" s="54" t="n">
        <v>4482.758621</v>
      </c>
      <c r="AA172" s="55">
        <f>IF(AND(A172="", B172="", E172=""), "", IF(AB172="", "Válido", IF((LEN(AB172)-LEN(SUBSTITUTE(AB172,"; ","")))/2+1&gt;(LEN(AB172)-LEN(SUBSTITUTE(AB172,"[Aviso]","")))/7, "Con Incidencias", "Válido")))</f>
        <v/>
      </c>
      <c r="AB172" s="56">
        <f>IF(AND(A172="", B172="", E172=""), "", TEXTJOIN("; ", TRUE, IF(OR(TRIM(A172&amp;"")="", ISNUMBER(SEARCH("FALTA", A172))), "UPC faltante/inválido", ""), IF(AND(A172&lt;&gt;"", IFERROR(_xlfn.XMATCH(A172,$A$2:$A$2509,0,1)&lt;&gt;_xlfn.XMATCH(A172,$A$2:$A$2509,0,-1),FALSE)), "Código de barras duplicado", ""), IF(AND(E172&lt;&gt;"", COUNTIF($E$2:$E$2509, E172)&gt;1), "SKU duplicado", ""), IF(OR(J172="", J172=""), "[Aviso] División no capturada ()", IF(ISNA(MATCH(J172, Criterios!$A$123:$A$126, 0)), "División no válida", "")), IF(OR(K172="", K172=""), "[Aviso] Categoría no capturada ()", IF(ISNA(MATCH(K172, Criterios!$A$81:$A$120, 0)), "Categoría no válida", IF(AND(J172&lt;&gt;"", J172&lt;&gt;"", J172&lt;&gt;VLOOKUP(K172, Criterios!$A$81:$B$120, 2, FALSE)), "División no coincide con Categoría", ""))), IF(OR(L172="", L172=""), "[Aviso] Género no capturado ()", IF(ISNA(MATCH(L172, Criterios!$B$123:$B$127, 0)), "Género no válido", "")), IF(OR(N172="", N172=""), "[Aviso] Temporada no capturada ()", IF(ISNA(MATCH(N172, Criterios!$C$123:$C$128, 0)), "Temporada no válida", "")), IF(OR(O172="", O172=""), "[Aviso] Ciclo de vida no capturado ()", IF(ISNA(MATCH(O172, Criterios!$D$123:$D$124, 0)), "Ciclo de vida no válido", ""))))</f>
        <v/>
      </c>
      <c r="AC172" s="56" t="n"/>
      <c r="AD172" s="51" t="n">
        <v>-1</v>
      </c>
      <c r="AE172" s="156" t="n"/>
      <c r="AF172" s="51" t="n">
        <v>0</v>
      </c>
      <c r="AG172" s="156" t="inlineStr">
        <is>
          <t>Catálogo existente</t>
        </is>
      </c>
      <c r="AH17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2" s="156" t="inlineStr">
        <is>
          <t>Sí</t>
        </is>
      </c>
      <c r="AJ172" s="156" t="inlineStr">
        <is>
          <t>STETSON AMERICAS (-1)</t>
        </is>
      </c>
      <c r="AK172" s="155" t="inlineStr">
        <is>
          <t>Criterios: I [Q]; G1522_Extraccion_Articulos_NetSuite_2026-09-30.xlsx: fila 58744 [R] | Shopify Stetson: producto 15054563836267 / variante 53350543163755</t>
        </is>
      </c>
      <c r="AL172" s="58" t="n">
        <v>776</v>
      </c>
      <c r="AM172" s="58" t="n">
        <v>4482.758621</v>
      </c>
      <c r="AN172" s="155" t="inlineStr">
        <is>
          <t>Shopify Stetson México</t>
        </is>
      </c>
      <c r="AO172" s="59" t="n">
        <v>1</v>
      </c>
      <c r="AP172" s="59" t="n"/>
      <c r="AQ172" s="59" t="n"/>
      <c r="AR172" s="155" t="inlineStr">
        <is>
          <t>Shopify Stetson México › Stetson Americas: 1</t>
        </is>
      </c>
    </row>
    <row r="173">
      <c r="A173" s="50" t="inlineStr">
        <is>
          <t>12020001101003285</t>
        </is>
      </c>
      <c r="B173" s="51" t="inlineStr">
        <is>
          <t>111070</t>
        </is>
      </c>
      <c r="C173" s="156" t="inlineStr">
        <is>
          <t>Multimarca</t>
        </is>
      </c>
      <c r="D173" s="156" t="inlineStr">
        <is>
          <t>12-020-BS001-10-1003</t>
        </is>
      </c>
      <c r="E173" s="156" t="inlineStr">
        <is>
          <t>12-020-BS001-10-1003-285</t>
        </is>
      </c>
      <c r="F173" s="156" t="inlineStr">
        <is>
          <t>28.5</t>
        </is>
      </c>
      <c r="G173" s="156" t="inlineStr">
        <is>
          <t>10.5</t>
        </is>
      </c>
      <c r="H173" s="156" t="inlineStr">
        <is>
          <t>Stetson</t>
        </is>
      </c>
      <c r="I173" s="156" t="inlineStr">
        <is>
          <t>Bota Piel Azul</t>
        </is>
      </c>
      <c r="J173" s="156" t="inlineStr">
        <is>
          <t>Calzado</t>
        </is>
      </c>
      <c r="K173" s="156" t="inlineStr">
        <is>
          <t>Botas</t>
        </is>
      </c>
      <c r="L173" s="156" t="inlineStr">
        <is>
          <t>Hombre</t>
        </is>
      </c>
      <c r="M173" s="156" t="inlineStr">
        <is>
          <t>Stetson</t>
        </is>
      </c>
      <c r="N173" s="156" t="inlineStr">
        <is>
          <t>SS26</t>
        </is>
      </c>
      <c r="O173" s="156" t="inlineStr">
        <is>
          <t>Seasonal</t>
        </is>
      </c>
      <c r="P173" s="156" t="inlineStr">
        <is>
          <t>Azul</t>
        </is>
      </c>
      <c r="Q173" s="156" t="n"/>
      <c r="R173" s="156" t="inlineStr">
        <is>
          <t>Punta Redonda Ancha</t>
        </is>
      </c>
      <c r="S173" s="156" t="inlineStr">
        <is>
          <t>Piel bovina</t>
        </is>
      </c>
      <c r="T173" s="156" t="inlineStr">
        <is>
          <t>Bota Caballero Piel bovina Clayton Azul Punta Redonda Ancha</t>
        </is>
      </c>
      <c r="U173" s="156" t="inlineStr">
        <is>
          <t>México</t>
        </is>
      </c>
      <c r="V173" s="156" t="inlineStr">
        <is>
          <t>PRS</t>
        </is>
      </c>
      <c r="W173" s="51" t="inlineStr">
        <is>
          <t>53111501</t>
        </is>
      </c>
      <c r="X173" s="156" t="n"/>
      <c r="Y173" s="54" t="n">
        <v>776</v>
      </c>
      <c r="Z173" s="54" t="n">
        <v>4482.758621</v>
      </c>
      <c r="AA173" s="55">
        <f>IF(AND(A173="", B173="", E173=""), "", IF(AB173="", "Válido", IF((LEN(AB173)-LEN(SUBSTITUTE(AB173,"; ","")))/2+1&gt;(LEN(AB173)-LEN(SUBSTITUTE(AB173,"[Aviso]","")))/7, "Con Incidencias", "Válido")))</f>
        <v/>
      </c>
      <c r="AB173" s="56">
        <f>IF(AND(A173="", B173="", E173=""), "", TEXTJOIN("; ", TRUE, IF(OR(TRIM(A173&amp;"")="", ISNUMBER(SEARCH("FALTA", A173))), "UPC faltante/inválido", ""), IF(AND(A173&lt;&gt;"", IFERROR(_xlfn.XMATCH(A173,$A$2:$A$2509,0,1)&lt;&gt;_xlfn.XMATCH(A173,$A$2:$A$2509,0,-1),FALSE)), "Código de barras duplicado", ""), IF(AND(E173&lt;&gt;"", COUNTIF($E$2:$E$2509, E173)&gt;1), "SKU duplicado", ""), IF(OR(J173="", J173=""), "[Aviso] División no capturada ()", IF(ISNA(MATCH(J173, Criterios!$A$123:$A$126, 0)), "División no válida", "")), IF(OR(K173="", K173=""), "[Aviso] Categoría no capturada ()", IF(ISNA(MATCH(K173, Criterios!$A$81:$A$120, 0)), "Categoría no válida", IF(AND(J173&lt;&gt;"", J173&lt;&gt;"", J173&lt;&gt;VLOOKUP(K173, Criterios!$A$81:$B$120, 2, FALSE)), "División no coincide con Categoría", ""))), IF(OR(L173="", L173=""), "[Aviso] Género no capturado ()", IF(ISNA(MATCH(L173, Criterios!$B$123:$B$127, 0)), "Género no válido", "")), IF(OR(N173="", N173=""), "[Aviso] Temporada no capturada ()", IF(ISNA(MATCH(N173, Criterios!$C$123:$C$128, 0)), "Temporada no válida", "")), IF(OR(O173="", O173=""), "[Aviso] Ciclo de vida no capturado ()", IF(ISNA(MATCH(O173, Criterios!$D$123:$D$124, 0)), "Ciclo de vida no válido", ""))))</f>
        <v/>
      </c>
      <c r="AC173" s="56" t="n"/>
      <c r="AD173" s="51" t="n">
        <v>-1</v>
      </c>
      <c r="AE173" s="156" t="n"/>
      <c r="AF173" s="51" t="n">
        <v>0</v>
      </c>
      <c r="AG173" s="156" t="inlineStr">
        <is>
          <t>Catálogo existente</t>
        </is>
      </c>
      <c r="AH17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3" s="156" t="inlineStr">
        <is>
          <t>Sí</t>
        </is>
      </c>
      <c r="AJ173" s="156" t="inlineStr">
        <is>
          <t>STETSON AMERICAS (-1)</t>
        </is>
      </c>
      <c r="AK173" s="155" t="inlineStr">
        <is>
          <t>Criterios: I [Q]; G1522_Extraccion_Articulos_NetSuite_2026-09-30.xlsx: fila 58745 [R] | Shopify Stetson: producto 15054563836267 / variante 53350543229291</t>
        </is>
      </c>
      <c r="AL173" s="58" t="n">
        <v>776</v>
      </c>
      <c r="AM173" s="58" t="n">
        <v>4482.758621</v>
      </c>
      <c r="AN173" s="155" t="inlineStr">
        <is>
          <t>Shopify Stetson México</t>
        </is>
      </c>
      <c r="AO173" s="59" t="n">
        <v>1</v>
      </c>
      <c r="AP173" s="59" t="n"/>
      <c r="AQ173" s="59" t="n"/>
      <c r="AR173" s="155" t="inlineStr">
        <is>
          <t>Shopify Stetson México › Stetson Americas: 1</t>
        </is>
      </c>
    </row>
    <row r="174">
      <c r="A174" s="50" t="inlineStr">
        <is>
          <t>12020001101003295</t>
        </is>
      </c>
      <c r="B174" s="51" t="inlineStr">
        <is>
          <t>111071</t>
        </is>
      </c>
      <c r="C174" s="156" t="inlineStr">
        <is>
          <t>Multimarca</t>
        </is>
      </c>
      <c r="D174" s="156" t="inlineStr">
        <is>
          <t>12-020-BS001-10-1003</t>
        </is>
      </c>
      <c r="E174" s="156" t="inlineStr">
        <is>
          <t>12-020-BS001-10-1003-295</t>
        </is>
      </c>
      <c r="F174" s="156" t="inlineStr">
        <is>
          <t>29.5</t>
        </is>
      </c>
      <c r="G174" s="156" t="inlineStr">
        <is>
          <t>11.5</t>
        </is>
      </c>
      <c r="H174" s="156" t="inlineStr">
        <is>
          <t>Stetson</t>
        </is>
      </c>
      <c r="I174" s="156" t="inlineStr">
        <is>
          <t>Bota Piel Azul</t>
        </is>
      </c>
      <c r="J174" s="156" t="inlineStr">
        <is>
          <t>Calzado</t>
        </is>
      </c>
      <c r="K174" s="156" t="inlineStr">
        <is>
          <t>Botas</t>
        </is>
      </c>
      <c r="L174" s="156" t="inlineStr">
        <is>
          <t>Hombre</t>
        </is>
      </c>
      <c r="M174" s="156" t="inlineStr">
        <is>
          <t>Stetson</t>
        </is>
      </c>
      <c r="N174" s="156" t="inlineStr">
        <is>
          <t>SS26</t>
        </is>
      </c>
      <c r="O174" s="156" t="inlineStr">
        <is>
          <t>Seasonal</t>
        </is>
      </c>
      <c r="P174" s="156" t="inlineStr">
        <is>
          <t>Azul</t>
        </is>
      </c>
      <c r="Q174" s="156" t="n"/>
      <c r="R174" s="156" t="inlineStr">
        <is>
          <t>Punta Redonda Ancha</t>
        </is>
      </c>
      <c r="S174" s="156" t="inlineStr">
        <is>
          <t>Piel bovina</t>
        </is>
      </c>
      <c r="T174" s="156" t="inlineStr">
        <is>
          <t>Bota Caballero Piel bovina Clayton Azul Punta Redonda Ancha</t>
        </is>
      </c>
      <c r="U174" s="156" t="inlineStr">
        <is>
          <t>México</t>
        </is>
      </c>
      <c r="V174" s="156" t="inlineStr">
        <is>
          <t>PRS</t>
        </is>
      </c>
      <c r="W174" s="51" t="inlineStr">
        <is>
          <t>53111501</t>
        </is>
      </c>
      <c r="X174" s="156" t="n"/>
      <c r="Y174" s="54" t="n">
        <v>776</v>
      </c>
      <c r="Z174" s="54" t="n">
        <v>4482.758621</v>
      </c>
      <c r="AA174" s="55">
        <f>IF(AND(A174="", B174="", E174=""), "", IF(AB174="", "Válido", IF((LEN(AB174)-LEN(SUBSTITUTE(AB174,"; ","")))/2+1&gt;(LEN(AB174)-LEN(SUBSTITUTE(AB174,"[Aviso]","")))/7, "Con Incidencias", "Válido")))</f>
        <v/>
      </c>
      <c r="AB174" s="56">
        <f>IF(AND(A174="", B174="", E174=""), "", TEXTJOIN("; ", TRUE, IF(OR(TRIM(A174&amp;"")="", ISNUMBER(SEARCH("FALTA", A174))), "UPC faltante/inválido", ""), IF(AND(A174&lt;&gt;"", IFERROR(_xlfn.XMATCH(A174,$A$2:$A$2509,0,1)&lt;&gt;_xlfn.XMATCH(A174,$A$2:$A$2509,0,-1),FALSE)), "Código de barras duplicado", ""), IF(AND(E174&lt;&gt;"", COUNTIF($E$2:$E$2509, E174)&gt;1), "SKU duplicado", ""), IF(OR(J174="", J174=""), "[Aviso] División no capturada ()", IF(ISNA(MATCH(J174, Criterios!$A$123:$A$126, 0)), "División no válida", "")), IF(OR(K174="", K174=""), "[Aviso] Categoría no capturada ()", IF(ISNA(MATCH(K174, Criterios!$A$81:$A$120, 0)), "Categoría no válida", IF(AND(J174&lt;&gt;"", J174&lt;&gt;"", J174&lt;&gt;VLOOKUP(K174, Criterios!$A$81:$B$120, 2, FALSE)), "División no coincide con Categoría", ""))), IF(OR(L174="", L174=""), "[Aviso] Género no capturado ()", IF(ISNA(MATCH(L174, Criterios!$B$123:$B$127, 0)), "Género no válido", "")), IF(OR(N174="", N174=""), "[Aviso] Temporada no capturada ()", IF(ISNA(MATCH(N174, Criterios!$C$123:$C$128, 0)), "Temporada no válida", "")), IF(OR(O174="", O174=""), "[Aviso] Ciclo de vida no capturado ()", IF(ISNA(MATCH(O174, Criterios!$D$123:$D$124, 0)), "Ciclo de vida no válido", ""))))</f>
        <v/>
      </c>
      <c r="AC174" s="56" t="n"/>
      <c r="AD174" s="51" t="n">
        <v>0</v>
      </c>
      <c r="AE174" s="156" t="n"/>
      <c r="AF174" s="51" t="n">
        <v>0</v>
      </c>
      <c r="AG174" s="156" t="inlineStr">
        <is>
          <t>Catálogo existente</t>
        </is>
      </c>
      <c r="AH1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4" s="156" t="inlineStr">
        <is>
          <t>No</t>
        </is>
      </c>
      <c r="AJ174" s="156" t="n"/>
      <c r="AK174" s="155" t="inlineStr">
        <is>
          <t>Criterios: I [Q]; G1522_Extraccion_Articulos_NetSuite_2026-09-30.xlsx: fila 58746 [R] | Shopify Stetson: producto 15054563836267 / variante 53350543294827</t>
        </is>
      </c>
      <c r="AL174" s="58" t="n">
        <v>776</v>
      </c>
      <c r="AM174" s="58" t="n">
        <v>4482.758621</v>
      </c>
      <c r="AN174" s="155" t="inlineStr">
        <is>
          <t>Shopify Stetson México</t>
        </is>
      </c>
      <c r="AO174" s="59" t="n">
        <v>1</v>
      </c>
      <c r="AP174" s="59" t="n"/>
      <c r="AQ174" s="59" t="n"/>
      <c r="AR174" s="155" t="inlineStr">
        <is>
          <t>Shopify Stetson México › Stetson Americas: 1</t>
        </is>
      </c>
    </row>
    <row r="175">
      <c r="A175" s="50" t="inlineStr">
        <is>
          <t>12020001101003305</t>
        </is>
      </c>
      <c r="B175" s="51" t="inlineStr">
        <is>
          <t>111072</t>
        </is>
      </c>
      <c r="C175" s="156" t="inlineStr">
        <is>
          <t>Multimarca</t>
        </is>
      </c>
      <c r="D175" s="156" t="inlineStr">
        <is>
          <t>12-020-BS001-10-1003</t>
        </is>
      </c>
      <c r="E175" s="156" t="inlineStr">
        <is>
          <t>12-020-BS001-10-1003-305</t>
        </is>
      </c>
      <c r="F175" s="156" t="inlineStr">
        <is>
          <t>30.5</t>
        </is>
      </c>
      <c r="G175" s="156" t="inlineStr">
        <is>
          <t>12.5</t>
        </is>
      </c>
      <c r="H175" s="156" t="inlineStr">
        <is>
          <t>Stetson</t>
        </is>
      </c>
      <c r="I175" s="156" t="inlineStr">
        <is>
          <t>Bota Piel Azul</t>
        </is>
      </c>
      <c r="J175" s="156" t="inlineStr">
        <is>
          <t>Calzado</t>
        </is>
      </c>
      <c r="K175" s="156" t="inlineStr">
        <is>
          <t>Botas</t>
        </is>
      </c>
      <c r="L175" s="156" t="inlineStr">
        <is>
          <t>Hombre</t>
        </is>
      </c>
      <c r="M175" s="156" t="inlineStr">
        <is>
          <t>Stetson</t>
        </is>
      </c>
      <c r="N175" s="156" t="inlineStr">
        <is>
          <t>SS26</t>
        </is>
      </c>
      <c r="O175" s="156" t="inlineStr">
        <is>
          <t>Seasonal</t>
        </is>
      </c>
      <c r="P175" s="156" t="inlineStr">
        <is>
          <t>Azul</t>
        </is>
      </c>
      <c r="Q175" s="156" t="n"/>
      <c r="R175" s="156" t="inlineStr">
        <is>
          <t>Punta Redonda Ancha</t>
        </is>
      </c>
      <c r="S175" s="156" t="inlineStr">
        <is>
          <t>Piel bovina</t>
        </is>
      </c>
      <c r="T175" s="156" t="inlineStr">
        <is>
          <t>Bota Caballero Piel bovina Clayton Azul Punta Redonda Ancha</t>
        </is>
      </c>
      <c r="U175" s="156" t="inlineStr">
        <is>
          <t>México</t>
        </is>
      </c>
      <c r="V175" s="156" t="inlineStr">
        <is>
          <t>PRS</t>
        </is>
      </c>
      <c r="W175" s="51" t="inlineStr">
        <is>
          <t>53111501</t>
        </is>
      </c>
      <c r="X175" s="156" t="n"/>
      <c r="Y175" s="54" t="n">
        <v>776</v>
      </c>
      <c r="Z175" s="54" t="n">
        <v>4482.758621</v>
      </c>
      <c r="AA175" s="55">
        <f>IF(AND(A175="", B175="", E175=""), "", IF(AB175="", "Válido", IF((LEN(AB175)-LEN(SUBSTITUTE(AB175,"; ","")))/2+1&gt;(LEN(AB175)-LEN(SUBSTITUTE(AB175,"[Aviso]","")))/7, "Con Incidencias", "Válido")))</f>
        <v/>
      </c>
      <c r="AB175" s="56">
        <f>IF(AND(A175="", B175="", E175=""), "", TEXTJOIN("; ", TRUE, IF(OR(TRIM(A175&amp;"")="", ISNUMBER(SEARCH("FALTA", A175))), "UPC faltante/inválido", ""), IF(AND(A175&lt;&gt;"", IFERROR(_xlfn.XMATCH(A175,$A$2:$A$2509,0,1)&lt;&gt;_xlfn.XMATCH(A175,$A$2:$A$2509,0,-1),FALSE)), "Código de barras duplicado", ""), IF(AND(E175&lt;&gt;"", COUNTIF($E$2:$E$2509, E175)&gt;1), "SKU duplicado", ""), IF(OR(J175="", J175=""), "[Aviso] División no capturada ()", IF(ISNA(MATCH(J175, Criterios!$A$123:$A$126, 0)), "División no válida", "")), IF(OR(K175="", K175=""), "[Aviso] Categoría no capturada ()", IF(ISNA(MATCH(K175, Criterios!$A$81:$A$120, 0)), "Categoría no válida", IF(AND(J175&lt;&gt;"", J175&lt;&gt;"", J175&lt;&gt;VLOOKUP(K175, Criterios!$A$81:$B$120, 2, FALSE)), "División no coincide con Categoría", ""))), IF(OR(L175="", L175=""), "[Aviso] Género no capturado ()", IF(ISNA(MATCH(L175, Criterios!$B$123:$B$127, 0)), "Género no válido", "")), IF(OR(N175="", N175=""), "[Aviso] Temporada no capturada ()", IF(ISNA(MATCH(N175, Criterios!$C$123:$C$128, 0)), "Temporada no válida", "")), IF(OR(O175="", O175=""), "[Aviso] Ciclo de vida no capturado ()", IF(ISNA(MATCH(O175, Criterios!$D$123:$D$124, 0)), "Ciclo de vida no válido", ""))))</f>
        <v/>
      </c>
      <c r="AC175" s="56" t="n"/>
      <c r="AD175" s="51" t="n">
        <v>0</v>
      </c>
      <c r="AE175" s="156" t="n"/>
      <c r="AF175" s="51" t="n">
        <v>0</v>
      </c>
      <c r="AG175" s="156" t="inlineStr">
        <is>
          <t>Catálogo existente</t>
        </is>
      </c>
      <c r="AH1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5" s="156" t="inlineStr">
        <is>
          <t>No</t>
        </is>
      </c>
      <c r="AJ175" s="156" t="n"/>
      <c r="AK175" s="155" t="inlineStr">
        <is>
          <t>Criterios: I [Q]; G1522_Extraccion_Articulos_NetSuite_2026-09-30.xlsx: fila 58747 [R] | Shopify Stetson: producto 15054563836267 / variante 53350543360363</t>
        </is>
      </c>
      <c r="AL175" s="58" t="n">
        <v>776</v>
      </c>
      <c r="AM175" s="58" t="n">
        <v>4482.758621</v>
      </c>
      <c r="AN175" s="155" t="inlineStr">
        <is>
          <t>Shopify Stetson México</t>
        </is>
      </c>
      <c r="AO175" s="59" t="n">
        <v>1</v>
      </c>
      <c r="AP175" s="59" t="n"/>
      <c r="AQ175" s="59" t="n"/>
      <c r="AR175" s="155" t="inlineStr">
        <is>
          <t>Shopify Stetson México › Stetson Americas: 1</t>
        </is>
      </c>
    </row>
    <row r="176">
      <c r="A176" s="50" t="inlineStr">
        <is>
          <t>12020001101003315</t>
        </is>
      </c>
      <c r="B176" s="51" t="inlineStr">
        <is>
          <t>111073</t>
        </is>
      </c>
      <c r="C176" s="156" t="inlineStr">
        <is>
          <t>Multimarca</t>
        </is>
      </c>
      <c r="D176" s="156" t="inlineStr">
        <is>
          <t>12-020-BS001-10-1003</t>
        </is>
      </c>
      <c r="E176" s="156" t="inlineStr">
        <is>
          <t>12-020-BS001-10-1003-315</t>
        </is>
      </c>
      <c r="F176" s="156" t="inlineStr">
        <is>
          <t>31.5</t>
        </is>
      </c>
      <c r="G176" s="156" t="inlineStr">
        <is>
          <t>13.5</t>
        </is>
      </c>
      <c r="H176" s="156" t="inlineStr">
        <is>
          <t>Stetson</t>
        </is>
      </c>
      <c r="I176" s="156" t="inlineStr">
        <is>
          <t>Bota Piel Azul</t>
        </is>
      </c>
      <c r="J176" s="156" t="inlineStr">
        <is>
          <t>Calzado</t>
        </is>
      </c>
      <c r="K176" s="156" t="inlineStr">
        <is>
          <t>Botas</t>
        </is>
      </c>
      <c r="L176" s="156" t="inlineStr">
        <is>
          <t>Hombre</t>
        </is>
      </c>
      <c r="M176" s="156" t="inlineStr">
        <is>
          <t>Stetson</t>
        </is>
      </c>
      <c r="N176" s="156" t="inlineStr">
        <is>
          <t>SS26</t>
        </is>
      </c>
      <c r="O176" s="156" t="inlineStr">
        <is>
          <t>Seasonal</t>
        </is>
      </c>
      <c r="P176" s="156" t="inlineStr">
        <is>
          <t>Azul</t>
        </is>
      </c>
      <c r="Q176" s="156" t="n"/>
      <c r="R176" s="156" t="inlineStr">
        <is>
          <t>Punta Redonda Ancha</t>
        </is>
      </c>
      <c r="S176" s="156" t="inlineStr">
        <is>
          <t>Piel bovina</t>
        </is>
      </c>
      <c r="T176" s="156" t="inlineStr">
        <is>
          <t>Bota Caballero Piel bovina Clayton Azul Punta Redonda Ancha</t>
        </is>
      </c>
      <c r="U176" s="156" t="inlineStr">
        <is>
          <t>México</t>
        </is>
      </c>
      <c r="V176" s="156" t="inlineStr">
        <is>
          <t>PRS</t>
        </is>
      </c>
      <c r="W176" s="51" t="inlineStr">
        <is>
          <t>53111501</t>
        </is>
      </c>
      <c r="X176" s="156" t="n"/>
      <c r="Y176" s="54" t="n">
        <v>776</v>
      </c>
      <c r="Z176" s="54" t="n">
        <v>4482.758621</v>
      </c>
      <c r="AA176" s="55">
        <f>IF(AND(A176="", B176="", E176=""), "", IF(AB176="", "Válido", IF((LEN(AB176)-LEN(SUBSTITUTE(AB176,"; ","")))/2+1&gt;(LEN(AB176)-LEN(SUBSTITUTE(AB176,"[Aviso]","")))/7, "Con Incidencias", "Válido")))</f>
        <v/>
      </c>
      <c r="AB176" s="56">
        <f>IF(AND(A176="", B176="", E176=""), "", TEXTJOIN("; ", TRUE, IF(OR(TRIM(A176&amp;"")="", ISNUMBER(SEARCH("FALTA", A176))), "UPC faltante/inválido", ""), IF(AND(A176&lt;&gt;"", IFERROR(_xlfn.XMATCH(A176,$A$2:$A$2509,0,1)&lt;&gt;_xlfn.XMATCH(A176,$A$2:$A$2509,0,-1),FALSE)), "Código de barras duplicado", ""), IF(AND(E176&lt;&gt;"", COUNTIF($E$2:$E$2509, E176)&gt;1), "SKU duplicado", ""), IF(OR(J176="", J176=""), "[Aviso] División no capturada ()", IF(ISNA(MATCH(J176, Criterios!$A$123:$A$126, 0)), "División no válida", "")), IF(OR(K176="", K176=""), "[Aviso] Categoría no capturada ()", IF(ISNA(MATCH(K176, Criterios!$A$81:$A$120, 0)), "Categoría no válida", IF(AND(J176&lt;&gt;"", J176&lt;&gt;"", J176&lt;&gt;VLOOKUP(K176, Criterios!$A$81:$B$120, 2, FALSE)), "División no coincide con Categoría", ""))), IF(OR(L176="", L176=""), "[Aviso] Género no capturado ()", IF(ISNA(MATCH(L176, Criterios!$B$123:$B$127, 0)), "Género no válido", "")), IF(OR(N176="", N176=""), "[Aviso] Temporada no capturada ()", IF(ISNA(MATCH(N176, Criterios!$C$123:$C$128, 0)), "Temporada no válida", "")), IF(OR(O176="", O176=""), "[Aviso] Ciclo de vida no capturado ()", IF(ISNA(MATCH(O176, Criterios!$D$123:$D$124, 0)), "Ciclo de vida no válido", ""))))</f>
        <v/>
      </c>
      <c r="AC176" s="56" t="n"/>
      <c r="AD176" s="51" t="n">
        <v>0</v>
      </c>
      <c r="AE176" s="156" t="n"/>
      <c r="AF176" s="51" t="n">
        <v>0</v>
      </c>
      <c r="AG176" s="156" t="inlineStr">
        <is>
          <t>Catálogo existente</t>
        </is>
      </c>
      <c r="AH1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6" s="156" t="inlineStr">
        <is>
          <t>No</t>
        </is>
      </c>
      <c r="AJ176" s="156" t="n"/>
      <c r="AK176" s="155" t="inlineStr">
        <is>
          <t>Criterios: I [Q]; G1522_Extraccion_Articulos_NetSuite_2026-09-30.xlsx: fila 58748 [R] | Shopify Stetson: producto 15054563836267 / variante 53350543425899</t>
        </is>
      </c>
      <c r="AL176" s="58" t="n">
        <v>776</v>
      </c>
      <c r="AM176" s="58" t="n">
        <v>4482.758621</v>
      </c>
      <c r="AN176" s="155" t="inlineStr">
        <is>
          <t>Shopify Stetson México</t>
        </is>
      </c>
      <c r="AO176" s="59" t="n">
        <v>0</v>
      </c>
      <c r="AP176" s="59" t="n"/>
      <c r="AQ176" s="59" t="n"/>
      <c r="AR176" s="155" t="n"/>
    </row>
    <row r="177">
      <c r="A177" s="50" t="inlineStr">
        <is>
          <t>12020001101003325</t>
        </is>
      </c>
      <c r="B177" s="51" t="inlineStr">
        <is>
          <t>111074</t>
        </is>
      </c>
      <c r="C177" s="156" t="inlineStr">
        <is>
          <t>Multimarca</t>
        </is>
      </c>
      <c r="D177" s="156" t="inlineStr">
        <is>
          <t>12-020-BS001-10-1003</t>
        </is>
      </c>
      <c r="E177" s="156" t="inlineStr">
        <is>
          <t>12-020-BS001-10-1003-325</t>
        </is>
      </c>
      <c r="F177" s="156" t="inlineStr">
        <is>
          <t>32.5</t>
        </is>
      </c>
      <c r="G177" s="156" t="inlineStr">
        <is>
          <t>14.5</t>
        </is>
      </c>
      <c r="H177" s="156" t="inlineStr">
        <is>
          <t>Stetson</t>
        </is>
      </c>
      <c r="I177" s="156" t="inlineStr">
        <is>
          <t>Bota Piel Azul</t>
        </is>
      </c>
      <c r="J177" s="156" t="inlineStr">
        <is>
          <t>Calzado</t>
        </is>
      </c>
      <c r="K177" s="156" t="inlineStr">
        <is>
          <t>Botas</t>
        </is>
      </c>
      <c r="L177" s="156" t="inlineStr">
        <is>
          <t>Hombre</t>
        </is>
      </c>
      <c r="M177" s="156" t="inlineStr">
        <is>
          <t>Stetson</t>
        </is>
      </c>
      <c r="N177" s="156" t="inlineStr">
        <is>
          <t>SS26</t>
        </is>
      </c>
      <c r="O177" s="156" t="inlineStr">
        <is>
          <t>Seasonal</t>
        </is>
      </c>
      <c r="P177" s="156" t="inlineStr">
        <is>
          <t>Azul</t>
        </is>
      </c>
      <c r="Q177" s="156" t="n"/>
      <c r="R177" s="156" t="inlineStr">
        <is>
          <t>Punta Redonda Ancha</t>
        </is>
      </c>
      <c r="S177" s="156" t="inlineStr">
        <is>
          <t>Piel bovina</t>
        </is>
      </c>
      <c r="T177" s="156" t="inlineStr">
        <is>
          <t>Bota Caballero Piel bovina Clayton Azul Punta Redonda Ancha</t>
        </is>
      </c>
      <c r="U177" s="156" t="inlineStr">
        <is>
          <t>México</t>
        </is>
      </c>
      <c r="V177" s="156" t="inlineStr">
        <is>
          <t>PRS</t>
        </is>
      </c>
      <c r="W177" s="51" t="inlineStr">
        <is>
          <t>53111501</t>
        </is>
      </c>
      <c r="X177" s="156" t="n"/>
      <c r="Y177" s="54" t="n">
        <v>776</v>
      </c>
      <c r="Z177" s="54" t="n">
        <v>4482.758621</v>
      </c>
      <c r="AA177" s="55">
        <f>IF(AND(A177="", B177="", E177=""), "", IF(AB177="", "Válido", IF((LEN(AB177)-LEN(SUBSTITUTE(AB177,"; ","")))/2+1&gt;(LEN(AB177)-LEN(SUBSTITUTE(AB177,"[Aviso]","")))/7, "Con Incidencias", "Válido")))</f>
        <v/>
      </c>
      <c r="AB177" s="56">
        <f>IF(AND(A177="", B177="", E177=""), "", TEXTJOIN("; ", TRUE, IF(OR(TRIM(A177&amp;"")="", ISNUMBER(SEARCH("FALTA", A177))), "UPC faltante/inválido", ""), IF(AND(A177&lt;&gt;"", IFERROR(_xlfn.XMATCH(A177,$A$2:$A$2509,0,1)&lt;&gt;_xlfn.XMATCH(A177,$A$2:$A$2509,0,-1),FALSE)), "Código de barras duplicado", ""), IF(AND(E177&lt;&gt;"", COUNTIF($E$2:$E$2509, E177)&gt;1), "SKU duplicado", ""), IF(OR(J177="", J177=""), "[Aviso] División no capturada ()", IF(ISNA(MATCH(J177, Criterios!$A$123:$A$126, 0)), "División no válida", "")), IF(OR(K177="", K177=""), "[Aviso] Categoría no capturada ()", IF(ISNA(MATCH(K177, Criterios!$A$81:$A$120, 0)), "Categoría no válida", IF(AND(J177&lt;&gt;"", J177&lt;&gt;"", J177&lt;&gt;VLOOKUP(K177, Criterios!$A$81:$B$120, 2, FALSE)), "División no coincide con Categoría", ""))), IF(OR(L177="", L177=""), "[Aviso] Género no capturado ()", IF(ISNA(MATCH(L177, Criterios!$B$123:$B$127, 0)), "Género no válido", "")), IF(OR(N177="", N177=""), "[Aviso] Temporada no capturada ()", IF(ISNA(MATCH(N177, Criterios!$C$123:$C$128, 0)), "Temporada no válida", "")), IF(OR(O177="", O177=""), "[Aviso] Ciclo de vida no capturado ()", IF(ISNA(MATCH(O177, Criterios!$D$123:$D$124, 0)), "Ciclo de vida no válido", ""))))</f>
        <v/>
      </c>
      <c r="AC177" s="56" t="n"/>
      <c r="AD177" s="51" t="n">
        <v>0</v>
      </c>
      <c r="AE177" s="156" t="n"/>
      <c r="AF177" s="51" t="n">
        <v>0</v>
      </c>
      <c r="AG177" s="156" t="inlineStr">
        <is>
          <t>Catálogo existente</t>
        </is>
      </c>
      <c r="AH1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7" s="156" t="inlineStr">
        <is>
          <t>No</t>
        </is>
      </c>
      <c r="AJ177" s="156" t="n"/>
      <c r="AK177" s="155" t="inlineStr">
        <is>
          <t>Criterios: I [Q]; G1522_Extraccion_Articulos_NetSuite_2026-09-30.xlsx: fila 58749 [R] | Shopify Stetson: producto 15054563836267 / variante 53350543491435</t>
        </is>
      </c>
      <c r="AL177" s="58" t="n">
        <v>776</v>
      </c>
      <c r="AM177" s="58" t="n">
        <v>4482.758621</v>
      </c>
      <c r="AN177" s="155" t="inlineStr">
        <is>
          <t>Shopify Stetson México</t>
        </is>
      </c>
      <c r="AO177" s="59" t="n">
        <v>0</v>
      </c>
      <c r="AP177" s="59" t="n"/>
      <c r="AQ177" s="59" t="n"/>
      <c r="AR177" s="155" t="n"/>
    </row>
    <row r="178">
      <c r="A178" s="50" t="inlineStr">
        <is>
          <t>12020001101004025</t>
        </is>
      </c>
      <c r="B178" s="51" t="inlineStr">
        <is>
          <t>111075</t>
        </is>
      </c>
      <c r="C178" s="156" t="inlineStr">
        <is>
          <t>Multimarca</t>
        </is>
      </c>
      <c r="D178" s="156" t="inlineStr">
        <is>
          <t>12-020-BS001-10-1004</t>
        </is>
      </c>
      <c r="E178" s="156" t="inlineStr">
        <is>
          <t>12-020-BS001-10-1004-025</t>
        </is>
      </c>
      <c r="F178" s="156" t="inlineStr">
        <is>
          <t>25</t>
        </is>
      </c>
      <c r="G178" s="156" t="inlineStr">
        <is>
          <t>7</t>
        </is>
      </c>
      <c r="H178" s="156" t="inlineStr">
        <is>
          <t>Stetson</t>
        </is>
      </c>
      <c r="I178" s="156" t="inlineStr">
        <is>
          <t>Bota Cabra Cereza</t>
        </is>
      </c>
      <c r="J178" s="156" t="inlineStr">
        <is>
          <t>Calzado</t>
        </is>
      </c>
      <c r="K178" s="156" t="inlineStr">
        <is>
          <t>Botas</t>
        </is>
      </c>
      <c r="L178" s="156" t="inlineStr">
        <is>
          <t>Hombre</t>
        </is>
      </c>
      <c r="M178" s="156" t="inlineStr">
        <is>
          <t>Stetson</t>
        </is>
      </c>
      <c r="N178" s="156" t="inlineStr">
        <is>
          <t>SS26</t>
        </is>
      </c>
      <c r="O178" s="156" t="inlineStr">
        <is>
          <t>Seasonal</t>
        </is>
      </c>
      <c r="P178" s="156" t="inlineStr">
        <is>
          <t>Rojo</t>
        </is>
      </c>
      <c r="Q178" s="156" t="n"/>
      <c r="R178" s="156" t="inlineStr">
        <is>
          <t>Punta Redonda Ancha</t>
        </is>
      </c>
      <c r="S178" s="156" t="inlineStr">
        <is>
          <t>Piel de cabra</t>
        </is>
      </c>
      <c r="T178" s="156" t="inlineStr">
        <is>
          <t>Bota Caballero Piel de cabra Cereza Punta Redonda Ancha</t>
        </is>
      </c>
      <c r="U178" s="156" t="inlineStr">
        <is>
          <t>México</t>
        </is>
      </c>
      <c r="V178" s="156" t="inlineStr">
        <is>
          <t>PRS</t>
        </is>
      </c>
      <c r="W178" s="51" t="inlineStr">
        <is>
          <t>53111501</t>
        </is>
      </c>
      <c r="X178" s="156" t="n"/>
      <c r="Y178" s="54" t="n">
        <v>785.5</v>
      </c>
      <c r="Z178" s="54" t="n">
        <v>4568.965517</v>
      </c>
      <c r="AA178" s="55">
        <f>IF(AND(A178="", B178="", E178=""), "", IF(AB178="", "Válido", IF((LEN(AB178)-LEN(SUBSTITUTE(AB178,"; ","")))/2+1&gt;(LEN(AB178)-LEN(SUBSTITUTE(AB178,"[Aviso]","")))/7, "Con Incidencias", "Válido")))</f>
        <v/>
      </c>
      <c r="AB178" s="56">
        <f>IF(AND(A178="", B178="", E178=""), "", TEXTJOIN("; ", TRUE, IF(OR(TRIM(A178&amp;"")="", ISNUMBER(SEARCH("FALTA", A178))), "UPC faltante/inválido", ""), IF(AND(A178&lt;&gt;"", IFERROR(_xlfn.XMATCH(A178,$A$2:$A$2509,0,1)&lt;&gt;_xlfn.XMATCH(A178,$A$2:$A$2509,0,-1),FALSE)), "Código de barras duplicado", ""), IF(AND(E178&lt;&gt;"", COUNTIF($E$2:$E$2509, E178)&gt;1), "SKU duplicado", ""), IF(OR(J178="", J178=""), "[Aviso] División no capturada ()", IF(ISNA(MATCH(J178, Criterios!$A$123:$A$126, 0)), "División no válida", "")), IF(OR(K178="", K178=""), "[Aviso] Categoría no capturada ()", IF(ISNA(MATCH(K178, Criterios!$A$81:$A$120, 0)), "Categoría no válida", IF(AND(J178&lt;&gt;"", J178&lt;&gt;"", J178&lt;&gt;VLOOKUP(K178, Criterios!$A$81:$B$120, 2, FALSE)), "División no coincide con Categoría", ""))), IF(OR(L178="", L178=""), "[Aviso] Género no capturado ()", IF(ISNA(MATCH(L178, Criterios!$B$123:$B$127, 0)), "Género no válido", "")), IF(OR(N178="", N178=""), "[Aviso] Temporada no capturada ()", IF(ISNA(MATCH(N178, Criterios!$C$123:$C$128, 0)), "Temporada no válida", "")), IF(OR(O178="", O178=""), "[Aviso] Ciclo de vida no capturado ()", IF(ISNA(MATCH(O178, Criterios!$D$123:$D$124, 0)), "Ciclo de vida no válido", ""))))</f>
        <v/>
      </c>
      <c r="AC178" s="56" t="n"/>
      <c r="AD178" s="51" t="n">
        <v>0</v>
      </c>
      <c r="AE178" s="156" t="n"/>
      <c r="AF178" s="51" t="n">
        <v>0</v>
      </c>
      <c r="AG178" s="156" t="inlineStr">
        <is>
          <t>Catálogo existente</t>
        </is>
      </c>
      <c r="AH1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8" s="156" t="inlineStr">
        <is>
          <t>No</t>
        </is>
      </c>
      <c r="AJ178" s="156" t="n"/>
      <c r="AK178" s="155" t="inlineStr">
        <is>
          <t>Criterios: I [Q]; G1522_Extraccion_Articulos_NetSuite_2026-09-30.xlsx: fila 58750 [R] | Shopify Stetson: producto 15054563869035 / variante 53350543524203</t>
        </is>
      </c>
      <c r="AL178" s="58" t="n">
        <v>785.5</v>
      </c>
      <c r="AM178" s="58" t="n">
        <v>4568.965517</v>
      </c>
      <c r="AN178" s="155" t="inlineStr">
        <is>
          <t>Shopify Stetson México</t>
        </is>
      </c>
      <c r="AO178" s="59" t="n">
        <v>0</v>
      </c>
      <c r="AP178" s="59" t="n"/>
      <c r="AQ178" s="59" t="n"/>
      <c r="AR178" s="155" t="n"/>
    </row>
    <row r="179">
      <c r="A179" s="50" t="inlineStr">
        <is>
          <t>12020001101004026</t>
        </is>
      </c>
      <c r="B179" s="51" t="inlineStr">
        <is>
          <t>111076</t>
        </is>
      </c>
      <c r="C179" s="156" t="inlineStr">
        <is>
          <t>Multimarca</t>
        </is>
      </c>
      <c r="D179" s="156" t="inlineStr">
        <is>
          <t>12-020-BS001-10-1004</t>
        </is>
      </c>
      <c r="E179" s="156" t="inlineStr">
        <is>
          <t>12-020-BS001-10-1004-026</t>
        </is>
      </c>
      <c r="F179" s="156" t="inlineStr">
        <is>
          <t>26</t>
        </is>
      </c>
      <c r="G179" s="156" t="inlineStr">
        <is>
          <t>8</t>
        </is>
      </c>
      <c r="H179" s="156" t="inlineStr">
        <is>
          <t>Stetson</t>
        </is>
      </c>
      <c r="I179" s="156" t="inlineStr">
        <is>
          <t>Bota Cabra Cereza</t>
        </is>
      </c>
      <c r="J179" s="156" t="inlineStr">
        <is>
          <t>Calzado</t>
        </is>
      </c>
      <c r="K179" s="156" t="inlineStr">
        <is>
          <t>Botas</t>
        </is>
      </c>
      <c r="L179" s="156" t="inlineStr">
        <is>
          <t>Hombre</t>
        </is>
      </c>
      <c r="M179" s="156" t="inlineStr">
        <is>
          <t>Stetson</t>
        </is>
      </c>
      <c r="N179" s="156" t="inlineStr">
        <is>
          <t>SS26</t>
        </is>
      </c>
      <c r="O179" s="156" t="inlineStr">
        <is>
          <t>Seasonal</t>
        </is>
      </c>
      <c r="P179" s="156" t="inlineStr">
        <is>
          <t>Rojo</t>
        </is>
      </c>
      <c r="Q179" s="156" t="n"/>
      <c r="R179" s="156" t="inlineStr">
        <is>
          <t>Punta Redonda Ancha</t>
        </is>
      </c>
      <c r="S179" s="156" t="inlineStr">
        <is>
          <t>Piel de cabra</t>
        </is>
      </c>
      <c r="T179" s="156" t="inlineStr">
        <is>
          <t>Bota Caballero Piel de cabra Cereza Punta Redonda Ancha</t>
        </is>
      </c>
      <c r="U179" s="156" t="inlineStr">
        <is>
          <t>México</t>
        </is>
      </c>
      <c r="V179" s="156" t="inlineStr">
        <is>
          <t>PRS</t>
        </is>
      </c>
      <c r="W179" s="51" t="inlineStr">
        <is>
          <t>53111501</t>
        </is>
      </c>
      <c r="X179" s="156" t="n"/>
      <c r="Y179" s="54" t="n">
        <v>785.5</v>
      </c>
      <c r="Z179" s="54" t="n">
        <v>4568.965517</v>
      </c>
      <c r="AA179" s="55">
        <f>IF(AND(A179="", B179="", E179=""), "", IF(AB179="", "Válido", IF((LEN(AB179)-LEN(SUBSTITUTE(AB179,"; ","")))/2+1&gt;(LEN(AB179)-LEN(SUBSTITUTE(AB179,"[Aviso]","")))/7, "Con Incidencias", "Válido")))</f>
        <v/>
      </c>
      <c r="AB179" s="56">
        <f>IF(AND(A179="", B179="", E179=""), "", TEXTJOIN("; ", TRUE, IF(OR(TRIM(A179&amp;"")="", ISNUMBER(SEARCH("FALTA", A179))), "UPC faltante/inválido", ""), IF(AND(A179&lt;&gt;"", IFERROR(_xlfn.XMATCH(A179,$A$2:$A$2509,0,1)&lt;&gt;_xlfn.XMATCH(A179,$A$2:$A$2509,0,-1),FALSE)), "Código de barras duplicado", ""), IF(AND(E179&lt;&gt;"", COUNTIF($E$2:$E$2509, E179)&gt;1), "SKU duplicado", ""), IF(OR(J179="", J179=""), "[Aviso] División no capturada ()", IF(ISNA(MATCH(J179, Criterios!$A$123:$A$126, 0)), "División no válida", "")), IF(OR(K179="", K179=""), "[Aviso] Categoría no capturada ()", IF(ISNA(MATCH(K179, Criterios!$A$81:$A$120, 0)), "Categoría no válida", IF(AND(J179&lt;&gt;"", J179&lt;&gt;"", J179&lt;&gt;VLOOKUP(K179, Criterios!$A$81:$B$120, 2, FALSE)), "División no coincide con Categoría", ""))), IF(OR(L179="", L179=""), "[Aviso] Género no capturado ()", IF(ISNA(MATCH(L179, Criterios!$B$123:$B$127, 0)), "Género no válido", "")), IF(OR(N179="", N179=""), "[Aviso] Temporada no capturada ()", IF(ISNA(MATCH(N179, Criterios!$C$123:$C$128, 0)), "Temporada no válida", "")), IF(OR(O179="", O179=""), "[Aviso] Ciclo de vida no capturado ()", IF(ISNA(MATCH(O179, Criterios!$D$123:$D$124, 0)), "Ciclo de vida no válido", ""))))</f>
        <v/>
      </c>
      <c r="AC179" s="56" t="n"/>
      <c r="AD179" s="51" t="n">
        <v>0</v>
      </c>
      <c r="AE179" s="156" t="n"/>
      <c r="AF179" s="51" t="n">
        <v>0</v>
      </c>
      <c r="AG179" s="156" t="inlineStr">
        <is>
          <t>Catálogo existente</t>
        </is>
      </c>
      <c r="AH1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9" s="156" t="inlineStr">
        <is>
          <t>No</t>
        </is>
      </c>
      <c r="AJ179" s="156" t="n"/>
      <c r="AK179" s="155" t="inlineStr">
        <is>
          <t>Criterios: I [Q]; G1522_Extraccion_Articulos_NetSuite_2026-09-30.xlsx: fila 58751 [R] | Shopify Stetson: producto 15054563869035 / variante 53350543589739</t>
        </is>
      </c>
      <c r="AL179" s="58" t="n">
        <v>785.5</v>
      </c>
      <c r="AM179" s="58" t="n">
        <v>4568.965517</v>
      </c>
      <c r="AN179" s="155" t="inlineStr">
        <is>
          <t>Shopify Stetson México</t>
        </is>
      </c>
      <c r="AO179" s="59" t="n">
        <v>1</v>
      </c>
      <c r="AP179" s="59" t="n"/>
      <c r="AQ179" s="59" t="n"/>
      <c r="AR179" s="155" t="inlineStr">
        <is>
          <t>Shopify Stetson México › Stetson Americas: 1</t>
        </is>
      </c>
    </row>
    <row r="180">
      <c r="A180" s="50" t="inlineStr">
        <is>
          <t>12020001101004027</t>
        </is>
      </c>
      <c r="B180" s="51" t="inlineStr">
        <is>
          <t>111077</t>
        </is>
      </c>
      <c r="C180" s="156" t="inlineStr">
        <is>
          <t>Multimarca</t>
        </is>
      </c>
      <c r="D180" s="156" t="inlineStr">
        <is>
          <t>12-020-BS001-10-1004</t>
        </is>
      </c>
      <c r="E180" s="156" t="inlineStr">
        <is>
          <t>12-020-BS001-10-1004-027</t>
        </is>
      </c>
      <c r="F180" s="156" t="inlineStr">
        <is>
          <t>27</t>
        </is>
      </c>
      <c r="G180" s="156" t="inlineStr">
        <is>
          <t>9</t>
        </is>
      </c>
      <c r="H180" s="156" t="inlineStr">
        <is>
          <t>Stetson</t>
        </is>
      </c>
      <c r="I180" s="156" t="inlineStr">
        <is>
          <t>Bota Cabra Cereza</t>
        </is>
      </c>
      <c r="J180" s="156" t="inlineStr">
        <is>
          <t>Calzado</t>
        </is>
      </c>
      <c r="K180" s="156" t="inlineStr">
        <is>
          <t>Botas</t>
        </is>
      </c>
      <c r="L180" s="156" t="inlineStr">
        <is>
          <t>Hombre</t>
        </is>
      </c>
      <c r="M180" s="156" t="inlineStr">
        <is>
          <t>Stetson</t>
        </is>
      </c>
      <c r="N180" s="156" t="inlineStr">
        <is>
          <t>SS26</t>
        </is>
      </c>
      <c r="O180" s="156" t="inlineStr">
        <is>
          <t>Seasonal</t>
        </is>
      </c>
      <c r="P180" s="156" t="inlineStr">
        <is>
          <t>Rojo</t>
        </is>
      </c>
      <c r="Q180" s="156" t="n"/>
      <c r="R180" s="156" t="inlineStr">
        <is>
          <t>Punta Redonda Ancha</t>
        </is>
      </c>
      <c r="S180" s="156" t="inlineStr">
        <is>
          <t>Piel de cabra</t>
        </is>
      </c>
      <c r="T180" s="156" t="inlineStr">
        <is>
          <t>Bota Caballero Piel de cabra Cereza Punta Redonda Ancha</t>
        </is>
      </c>
      <c r="U180" s="156" t="inlineStr">
        <is>
          <t>México</t>
        </is>
      </c>
      <c r="V180" s="156" t="inlineStr">
        <is>
          <t>PRS</t>
        </is>
      </c>
      <c r="W180" s="51" t="inlineStr">
        <is>
          <t>53111501</t>
        </is>
      </c>
      <c r="X180" s="156" t="n"/>
      <c r="Y180" s="54" t="n">
        <v>785.5</v>
      </c>
      <c r="Z180" s="54" t="n">
        <v>4568.965517</v>
      </c>
      <c r="AA180" s="55">
        <f>IF(AND(A180="", B180="", E180=""), "", IF(AB180="", "Válido", IF((LEN(AB180)-LEN(SUBSTITUTE(AB180,"; ","")))/2+1&gt;(LEN(AB180)-LEN(SUBSTITUTE(AB180,"[Aviso]","")))/7, "Con Incidencias", "Válido")))</f>
        <v/>
      </c>
      <c r="AB180" s="56">
        <f>IF(AND(A180="", B180="", E180=""), "", TEXTJOIN("; ", TRUE, IF(OR(TRIM(A180&amp;"")="", ISNUMBER(SEARCH("FALTA", A180))), "UPC faltante/inválido", ""), IF(AND(A180&lt;&gt;"", IFERROR(_xlfn.XMATCH(A180,$A$2:$A$2509,0,1)&lt;&gt;_xlfn.XMATCH(A180,$A$2:$A$2509,0,-1),FALSE)), "Código de barras duplicado", ""), IF(AND(E180&lt;&gt;"", COUNTIF($E$2:$E$2509, E180)&gt;1), "SKU duplicado", ""), IF(OR(J180="", J180=""), "[Aviso] División no capturada ()", IF(ISNA(MATCH(J180, Criterios!$A$123:$A$126, 0)), "División no válida", "")), IF(OR(K180="", K180=""), "[Aviso] Categoría no capturada ()", IF(ISNA(MATCH(K180, Criterios!$A$81:$A$120, 0)), "Categoría no válida", IF(AND(J180&lt;&gt;"", J180&lt;&gt;"", J180&lt;&gt;VLOOKUP(K180, Criterios!$A$81:$B$120, 2, FALSE)), "División no coincide con Categoría", ""))), IF(OR(L180="", L180=""), "[Aviso] Género no capturado ()", IF(ISNA(MATCH(L180, Criterios!$B$123:$B$127, 0)), "Género no válido", "")), IF(OR(N180="", N180=""), "[Aviso] Temporada no capturada ()", IF(ISNA(MATCH(N180, Criterios!$C$123:$C$128, 0)), "Temporada no válida", "")), IF(OR(O180="", O180=""), "[Aviso] Ciclo de vida no capturado ()", IF(ISNA(MATCH(O180, Criterios!$D$123:$D$124, 0)), "Ciclo de vida no válido", ""))))</f>
        <v/>
      </c>
      <c r="AC180" s="56" t="n"/>
      <c r="AD180" s="51" t="n">
        <v>-1</v>
      </c>
      <c r="AE180" s="156" t="n"/>
      <c r="AF180" s="51" t="n">
        <v>0</v>
      </c>
      <c r="AG180" s="156" t="inlineStr">
        <is>
          <t>Catálogo existente</t>
        </is>
      </c>
      <c r="AH18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0" s="156" t="inlineStr">
        <is>
          <t>Sí</t>
        </is>
      </c>
      <c r="AJ180" s="156" t="inlineStr">
        <is>
          <t>STETSON AMERICAS (-1)</t>
        </is>
      </c>
      <c r="AK180" s="155" t="inlineStr">
        <is>
          <t>Criterios: I [Q]; G1522_Extraccion_Articulos_NetSuite_2026-09-30.xlsx: fila 58752 [R] | Shopify Stetson: producto 15054563869035 / variante 53350543655275</t>
        </is>
      </c>
      <c r="AL180" s="58" t="n">
        <v>785.5</v>
      </c>
      <c r="AM180" s="58" t="n">
        <v>4568.965517</v>
      </c>
      <c r="AN180" s="155" t="inlineStr">
        <is>
          <t>Shopify Stetson México</t>
        </is>
      </c>
      <c r="AO180" s="59" t="n">
        <v>1</v>
      </c>
      <c r="AP180" s="59" t="n"/>
      <c r="AQ180" s="59" t="n"/>
      <c r="AR180" s="155" t="inlineStr">
        <is>
          <t>Shopify Stetson México › Stetson Americas: 1</t>
        </is>
      </c>
    </row>
    <row r="181">
      <c r="A181" s="50" t="inlineStr">
        <is>
          <t>12020001101004028</t>
        </is>
      </c>
      <c r="B181" s="51" t="inlineStr">
        <is>
          <t>111078</t>
        </is>
      </c>
      <c r="C181" s="156" t="inlineStr">
        <is>
          <t>Multimarca</t>
        </is>
      </c>
      <c r="D181" s="156" t="inlineStr">
        <is>
          <t>12-020-BS001-10-1004</t>
        </is>
      </c>
      <c r="E181" s="156" t="inlineStr">
        <is>
          <t>12-020-BS001-10-1004-028</t>
        </is>
      </c>
      <c r="F181" s="156" t="inlineStr">
        <is>
          <t>28</t>
        </is>
      </c>
      <c r="G181" s="156" t="inlineStr">
        <is>
          <t>10</t>
        </is>
      </c>
      <c r="H181" s="156" t="inlineStr">
        <is>
          <t>Stetson</t>
        </is>
      </c>
      <c r="I181" s="156" t="inlineStr">
        <is>
          <t>Bota Cabra Cereza</t>
        </is>
      </c>
      <c r="J181" s="156" t="inlineStr">
        <is>
          <t>Calzado</t>
        </is>
      </c>
      <c r="K181" s="156" t="inlineStr">
        <is>
          <t>Botas</t>
        </is>
      </c>
      <c r="L181" s="156" t="inlineStr">
        <is>
          <t>Hombre</t>
        </is>
      </c>
      <c r="M181" s="156" t="inlineStr">
        <is>
          <t>Stetson</t>
        </is>
      </c>
      <c r="N181" s="156" t="inlineStr">
        <is>
          <t>SS26</t>
        </is>
      </c>
      <c r="O181" s="156" t="inlineStr">
        <is>
          <t>Seasonal</t>
        </is>
      </c>
      <c r="P181" s="156" t="inlineStr">
        <is>
          <t>Rojo</t>
        </is>
      </c>
      <c r="Q181" s="156" t="n"/>
      <c r="R181" s="156" t="inlineStr">
        <is>
          <t>Punta Redonda Ancha</t>
        </is>
      </c>
      <c r="S181" s="156" t="inlineStr">
        <is>
          <t>Piel de cabra</t>
        </is>
      </c>
      <c r="T181" s="156" t="inlineStr">
        <is>
          <t>Bota Caballero Piel de cabra Cereza Punta Redonda Ancha</t>
        </is>
      </c>
      <c r="U181" s="156" t="inlineStr">
        <is>
          <t>México</t>
        </is>
      </c>
      <c r="V181" s="156" t="inlineStr">
        <is>
          <t>PRS</t>
        </is>
      </c>
      <c r="W181" s="51" t="inlineStr">
        <is>
          <t>53111501</t>
        </is>
      </c>
      <c r="X181" s="156" t="n"/>
      <c r="Y181" s="54" t="n">
        <v>785.5</v>
      </c>
      <c r="Z181" s="54" t="n">
        <v>4568.965517</v>
      </c>
      <c r="AA181" s="55">
        <f>IF(AND(A181="", B181="", E181=""), "", IF(AB181="", "Válido", IF((LEN(AB181)-LEN(SUBSTITUTE(AB181,"; ","")))/2+1&gt;(LEN(AB181)-LEN(SUBSTITUTE(AB181,"[Aviso]","")))/7, "Con Incidencias", "Válido")))</f>
        <v/>
      </c>
      <c r="AB181" s="56">
        <f>IF(AND(A181="", B181="", E181=""), "", TEXTJOIN("; ", TRUE, IF(OR(TRIM(A181&amp;"")="", ISNUMBER(SEARCH("FALTA", A181))), "UPC faltante/inválido", ""), IF(AND(A181&lt;&gt;"", IFERROR(_xlfn.XMATCH(A181,$A$2:$A$2509,0,1)&lt;&gt;_xlfn.XMATCH(A181,$A$2:$A$2509,0,-1),FALSE)), "Código de barras duplicado", ""), IF(AND(E181&lt;&gt;"", COUNTIF($E$2:$E$2509, E181)&gt;1), "SKU duplicado", ""), IF(OR(J181="", J181=""), "[Aviso] División no capturada ()", IF(ISNA(MATCH(J181, Criterios!$A$123:$A$126, 0)), "División no válida", "")), IF(OR(K181="", K181=""), "[Aviso] Categoría no capturada ()", IF(ISNA(MATCH(K181, Criterios!$A$81:$A$120, 0)), "Categoría no válida", IF(AND(J181&lt;&gt;"", J181&lt;&gt;"", J181&lt;&gt;VLOOKUP(K181, Criterios!$A$81:$B$120, 2, FALSE)), "División no coincide con Categoría", ""))), IF(OR(L181="", L181=""), "[Aviso] Género no capturado ()", IF(ISNA(MATCH(L181, Criterios!$B$123:$B$127, 0)), "Género no válido", "")), IF(OR(N181="", N181=""), "[Aviso] Temporada no capturada ()", IF(ISNA(MATCH(N181, Criterios!$C$123:$C$128, 0)), "Temporada no válida", "")), IF(OR(O181="", O181=""), "[Aviso] Ciclo de vida no capturado ()", IF(ISNA(MATCH(O181, Criterios!$D$123:$D$124, 0)), "Ciclo de vida no válido", ""))))</f>
        <v/>
      </c>
      <c r="AC181" s="56" t="n"/>
      <c r="AD181" s="51" t="n">
        <v>-1</v>
      </c>
      <c r="AE181" s="156" t="n"/>
      <c r="AF181" s="51" t="n">
        <v>0</v>
      </c>
      <c r="AG181" s="156" t="inlineStr">
        <is>
          <t>Catálogo existente</t>
        </is>
      </c>
      <c r="AH18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1" s="156" t="inlineStr">
        <is>
          <t>Sí</t>
        </is>
      </c>
      <c r="AJ181" s="156" t="inlineStr">
        <is>
          <t>STETSON AMERICAS (-1)</t>
        </is>
      </c>
      <c r="AK181" s="155" t="inlineStr">
        <is>
          <t>Criterios: I [Q]; G1522_Extraccion_Articulos_NetSuite_2026-09-30.xlsx: fila 58753 [R] | Shopify Stetson: producto 15054563869035 / variante 53350543720811</t>
        </is>
      </c>
      <c r="AL181" s="58" t="n">
        <v>785.5</v>
      </c>
      <c r="AM181" s="58" t="n">
        <v>4568.965517</v>
      </c>
      <c r="AN181" s="155" t="inlineStr">
        <is>
          <t>Shopify Stetson México</t>
        </is>
      </c>
      <c r="AO181" s="59" t="n">
        <v>1</v>
      </c>
      <c r="AP181" s="59" t="n"/>
      <c r="AQ181" s="59" t="n"/>
      <c r="AR181" s="155" t="inlineStr">
        <is>
          <t>Shopify Stetson México › Stetson Americas: 1</t>
        </is>
      </c>
    </row>
    <row r="182">
      <c r="A182" s="50" t="inlineStr">
        <is>
          <t>12020001101004029</t>
        </is>
      </c>
      <c r="B182" s="51" t="inlineStr">
        <is>
          <t>111079</t>
        </is>
      </c>
      <c r="C182" s="156" t="inlineStr">
        <is>
          <t>Multimarca</t>
        </is>
      </c>
      <c r="D182" s="156" t="inlineStr">
        <is>
          <t>12-020-BS001-10-1004</t>
        </is>
      </c>
      <c r="E182" s="156" t="inlineStr">
        <is>
          <t>12-020-BS001-10-1004-029</t>
        </is>
      </c>
      <c r="F182" s="156" t="inlineStr">
        <is>
          <t>29</t>
        </is>
      </c>
      <c r="G182" s="156" t="inlineStr">
        <is>
          <t>11</t>
        </is>
      </c>
      <c r="H182" s="156" t="inlineStr">
        <is>
          <t>Stetson</t>
        </is>
      </c>
      <c r="I182" s="156" t="inlineStr">
        <is>
          <t>Bota Cabra Cereza</t>
        </is>
      </c>
      <c r="J182" s="156" t="inlineStr">
        <is>
          <t>Calzado</t>
        </is>
      </c>
      <c r="K182" s="156" t="inlineStr">
        <is>
          <t>Botas</t>
        </is>
      </c>
      <c r="L182" s="156" t="inlineStr">
        <is>
          <t>Hombre</t>
        </is>
      </c>
      <c r="M182" s="156" t="inlineStr">
        <is>
          <t>Stetson</t>
        </is>
      </c>
      <c r="N182" s="156" t="inlineStr">
        <is>
          <t>SS26</t>
        </is>
      </c>
      <c r="O182" s="156" t="inlineStr">
        <is>
          <t>Seasonal</t>
        </is>
      </c>
      <c r="P182" s="156" t="inlineStr">
        <is>
          <t>Rojo</t>
        </is>
      </c>
      <c r="Q182" s="156" t="n"/>
      <c r="R182" s="156" t="inlineStr">
        <is>
          <t>Punta Redonda Ancha</t>
        </is>
      </c>
      <c r="S182" s="156" t="inlineStr">
        <is>
          <t>Piel de cabra</t>
        </is>
      </c>
      <c r="T182" s="156" t="inlineStr">
        <is>
          <t>Bota Caballero Piel de cabra Cereza Punta Redonda Ancha</t>
        </is>
      </c>
      <c r="U182" s="156" t="inlineStr">
        <is>
          <t>México</t>
        </is>
      </c>
      <c r="V182" s="156" t="inlineStr">
        <is>
          <t>PRS</t>
        </is>
      </c>
      <c r="W182" s="51" t="inlineStr">
        <is>
          <t>53111501</t>
        </is>
      </c>
      <c r="X182" s="156" t="n"/>
      <c r="Y182" s="54" t="n">
        <v>785.5</v>
      </c>
      <c r="Z182" s="54" t="n">
        <v>4568.965517</v>
      </c>
      <c r="AA182" s="55">
        <f>IF(AND(A182="", B182="", E182=""), "", IF(AB182="", "Válido", IF((LEN(AB182)-LEN(SUBSTITUTE(AB182,"; ","")))/2+1&gt;(LEN(AB182)-LEN(SUBSTITUTE(AB182,"[Aviso]","")))/7, "Con Incidencias", "Válido")))</f>
        <v/>
      </c>
      <c r="AB182" s="56">
        <f>IF(AND(A182="", B182="", E182=""), "", TEXTJOIN("; ", TRUE, IF(OR(TRIM(A182&amp;"")="", ISNUMBER(SEARCH("FALTA", A182))), "UPC faltante/inválido", ""), IF(AND(A182&lt;&gt;"", IFERROR(_xlfn.XMATCH(A182,$A$2:$A$2509,0,1)&lt;&gt;_xlfn.XMATCH(A182,$A$2:$A$2509,0,-1),FALSE)), "Código de barras duplicado", ""), IF(AND(E182&lt;&gt;"", COUNTIF($E$2:$E$2509, E182)&gt;1), "SKU duplicado", ""), IF(OR(J182="", J182=""), "[Aviso] División no capturada ()", IF(ISNA(MATCH(J182, Criterios!$A$123:$A$126, 0)), "División no válida", "")), IF(OR(K182="", K182=""), "[Aviso] Categoría no capturada ()", IF(ISNA(MATCH(K182, Criterios!$A$81:$A$120, 0)), "Categoría no válida", IF(AND(J182&lt;&gt;"", J182&lt;&gt;"", J182&lt;&gt;VLOOKUP(K182, Criterios!$A$81:$B$120, 2, FALSE)), "División no coincide con Categoría", ""))), IF(OR(L182="", L182=""), "[Aviso] Género no capturado ()", IF(ISNA(MATCH(L182, Criterios!$B$123:$B$127, 0)), "Género no válido", "")), IF(OR(N182="", N182=""), "[Aviso] Temporada no capturada ()", IF(ISNA(MATCH(N182, Criterios!$C$123:$C$128, 0)), "Temporada no válida", "")), IF(OR(O182="", O182=""), "[Aviso] Ciclo de vida no capturado ()", IF(ISNA(MATCH(O182, Criterios!$D$123:$D$124, 0)), "Ciclo de vida no válido", ""))))</f>
        <v/>
      </c>
      <c r="AC182" s="56" t="n"/>
      <c r="AD182" s="51" t="n">
        <v>0</v>
      </c>
      <c r="AE182" s="156" t="n"/>
      <c r="AF182" s="51" t="n">
        <v>0</v>
      </c>
      <c r="AG182" s="156" t="inlineStr">
        <is>
          <t>Catálogo existente</t>
        </is>
      </c>
      <c r="AH1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2" s="156" t="inlineStr">
        <is>
          <t>No</t>
        </is>
      </c>
      <c r="AJ182" s="156" t="n"/>
      <c r="AK182" s="155" t="inlineStr">
        <is>
          <t>Criterios: I [Q]; G1522_Extraccion_Articulos_NetSuite_2026-09-30.xlsx: fila 58754 [R] | Shopify Stetson: producto 15054563869035 / variante 53350543786347</t>
        </is>
      </c>
      <c r="AL182" s="58" t="n">
        <v>785.5</v>
      </c>
      <c r="AM182" s="58" t="n">
        <v>4568.965517</v>
      </c>
      <c r="AN182" s="155" t="inlineStr">
        <is>
          <t>Shopify Stetson México</t>
        </is>
      </c>
      <c r="AO182" s="59" t="n">
        <v>2</v>
      </c>
      <c r="AP182" s="59" t="n"/>
      <c r="AQ182" s="59" t="n"/>
      <c r="AR182" s="155" t="inlineStr">
        <is>
          <t>Shopify Stetson México › Stetson Americas: 2</t>
        </is>
      </c>
    </row>
    <row r="183">
      <c r="A183" s="50" t="inlineStr">
        <is>
          <t>12020001101004030</t>
        </is>
      </c>
      <c r="B183" s="51" t="inlineStr">
        <is>
          <t>111080</t>
        </is>
      </c>
      <c r="C183" s="156" t="inlineStr">
        <is>
          <t>Multimarca</t>
        </is>
      </c>
      <c r="D183" s="156" t="inlineStr">
        <is>
          <t>12-020-BS001-10-1004</t>
        </is>
      </c>
      <c r="E183" s="156" t="inlineStr">
        <is>
          <t>12-020-BS001-10-1004-030</t>
        </is>
      </c>
      <c r="F183" s="156" t="inlineStr">
        <is>
          <t>30</t>
        </is>
      </c>
      <c r="G183" s="156" t="inlineStr">
        <is>
          <t>12</t>
        </is>
      </c>
      <c r="H183" s="156" t="inlineStr">
        <is>
          <t>Stetson</t>
        </is>
      </c>
      <c r="I183" s="156" t="inlineStr">
        <is>
          <t>Bota Cabra Cereza</t>
        </is>
      </c>
      <c r="J183" s="156" t="inlineStr">
        <is>
          <t>Calzado</t>
        </is>
      </c>
      <c r="K183" s="156" t="inlineStr">
        <is>
          <t>Botas</t>
        </is>
      </c>
      <c r="L183" s="156" t="inlineStr">
        <is>
          <t>Hombre</t>
        </is>
      </c>
      <c r="M183" s="156" t="inlineStr">
        <is>
          <t>Stetson</t>
        </is>
      </c>
      <c r="N183" s="156" t="inlineStr">
        <is>
          <t>SS26</t>
        </is>
      </c>
      <c r="O183" s="156" t="inlineStr">
        <is>
          <t>Seasonal</t>
        </is>
      </c>
      <c r="P183" s="156" t="inlineStr">
        <is>
          <t>Rojo</t>
        </is>
      </c>
      <c r="Q183" s="156" t="n"/>
      <c r="R183" s="156" t="inlineStr">
        <is>
          <t>Punta Redonda Ancha</t>
        </is>
      </c>
      <c r="S183" s="156" t="inlineStr">
        <is>
          <t>Piel de cabra</t>
        </is>
      </c>
      <c r="T183" s="156" t="inlineStr">
        <is>
          <t>Bota Caballero Piel de cabra Cereza Punta Redonda Ancha</t>
        </is>
      </c>
      <c r="U183" s="156" t="inlineStr">
        <is>
          <t>México</t>
        </is>
      </c>
      <c r="V183" s="156" t="inlineStr">
        <is>
          <t>PRS</t>
        </is>
      </c>
      <c r="W183" s="51" t="inlineStr">
        <is>
          <t>53111501</t>
        </is>
      </c>
      <c r="X183" s="156" t="n"/>
      <c r="Y183" s="54" t="n">
        <v>785.5</v>
      </c>
      <c r="Z183" s="54" t="n">
        <v>4568.965517</v>
      </c>
      <c r="AA183" s="55">
        <f>IF(AND(A183="", B183="", E183=""), "", IF(AB183="", "Válido", IF((LEN(AB183)-LEN(SUBSTITUTE(AB183,"; ","")))/2+1&gt;(LEN(AB183)-LEN(SUBSTITUTE(AB183,"[Aviso]","")))/7, "Con Incidencias", "Válido")))</f>
        <v/>
      </c>
      <c r="AB183" s="56">
        <f>IF(AND(A183="", B183="", E183=""), "", TEXTJOIN("; ", TRUE, IF(OR(TRIM(A183&amp;"")="", ISNUMBER(SEARCH("FALTA", A183))), "UPC faltante/inválido", ""), IF(AND(A183&lt;&gt;"", IFERROR(_xlfn.XMATCH(A183,$A$2:$A$2509,0,1)&lt;&gt;_xlfn.XMATCH(A183,$A$2:$A$2509,0,-1),FALSE)), "Código de barras duplicado", ""), IF(AND(E183&lt;&gt;"", COUNTIF($E$2:$E$2509, E183)&gt;1), "SKU duplicado", ""), IF(OR(J183="", J183=""), "[Aviso] División no capturada ()", IF(ISNA(MATCH(J183, Criterios!$A$123:$A$126, 0)), "División no válida", "")), IF(OR(K183="", K183=""), "[Aviso] Categoría no capturada ()", IF(ISNA(MATCH(K183, Criterios!$A$81:$A$120, 0)), "Categoría no válida", IF(AND(J183&lt;&gt;"", J183&lt;&gt;"", J183&lt;&gt;VLOOKUP(K183, Criterios!$A$81:$B$120, 2, FALSE)), "División no coincide con Categoría", ""))), IF(OR(L183="", L183=""), "[Aviso] Género no capturado ()", IF(ISNA(MATCH(L183, Criterios!$B$123:$B$127, 0)), "Género no válido", "")), IF(OR(N183="", N183=""), "[Aviso] Temporada no capturada ()", IF(ISNA(MATCH(N183, Criterios!$C$123:$C$128, 0)), "Temporada no válida", "")), IF(OR(O183="", O183=""), "[Aviso] Ciclo de vida no capturado ()", IF(ISNA(MATCH(O183, Criterios!$D$123:$D$124, 0)), "Ciclo de vida no válido", ""))))</f>
        <v/>
      </c>
      <c r="AC183" s="56" t="n"/>
      <c r="AD183" s="51" t="n">
        <v>0</v>
      </c>
      <c r="AE183" s="156" t="n"/>
      <c r="AF183" s="51" t="n">
        <v>0</v>
      </c>
      <c r="AG183" s="156" t="inlineStr">
        <is>
          <t>Catálogo existente</t>
        </is>
      </c>
      <c r="AH1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3" s="156" t="inlineStr">
        <is>
          <t>No</t>
        </is>
      </c>
      <c r="AJ183" s="156" t="n"/>
      <c r="AK183" s="155" t="inlineStr">
        <is>
          <t>Criterios: I [Q]; G1522_Extraccion_Articulos_NetSuite_2026-09-30.xlsx: fila 58755 [R] | Shopify Stetson: producto 15054563869035 / variante 53350543851883</t>
        </is>
      </c>
      <c r="AL183" s="58" t="n">
        <v>785.5</v>
      </c>
      <c r="AM183" s="58" t="n">
        <v>4568.965517</v>
      </c>
      <c r="AN183" s="155" t="inlineStr">
        <is>
          <t>Shopify Stetson México</t>
        </is>
      </c>
      <c r="AO183" s="59" t="n">
        <v>1</v>
      </c>
      <c r="AP183" s="59" t="n"/>
      <c r="AQ183" s="59" t="n"/>
      <c r="AR183" s="155" t="inlineStr">
        <is>
          <t>Shopify Stetson México › Stetson Americas: 1</t>
        </is>
      </c>
    </row>
    <row r="184">
      <c r="A184" s="50" t="inlineStr">
        <is>
          <t>12020001101004031</t>
        </is>
      </c>
      <c r="B184" s="51" t="inlineStr">
        <is>
          <t>111081</t>
        </is>
      </c>
      <c r="C184" s="156" t="inlineStr">
        <is>
          <t>Multimarca</t>
        </is>
      </c>
      <c r="D184" s="156" t="inlineStr">
        <is>
          <t>12-020-BS001-10-1004</t>
        </is>
      </c>
      <c r="E184" s="156" t="inlineStr">
        <is>
          <t>12-020-BS001-10-1004-031</t>
        </is>
      </c>
      <c r="F184" s="156" t="inlineStr">
        <is>
          <t>31</t>
        </is>
      </c>
      <c r="G184" s="156" t="inlineStr">
        <is>
          <t>13</t>
        </is>
      </c>
      <c r="H184" s="156" t="inlineStr">
        <is>
          <t>Stetson</t>
        </is>
      </c>
      <c r="I184" s="156" t="inlineStr">
        <is>
          <t>Bota Cabra Cereza</t>
        </is>
      </c>
      <c r="J184" s="156" t="inlineStr">
        <is>
          <t>Calzado</t>
        </is>
      </c>
      <c r="K184" s="156" t="inlineStr">
        <is>
          <t>Botas</t>
        </is>
      </c>
      <c r="L184" s="156" t="inlineStr">
        <is>
          <t>Hombre</t>
        </is>
      </c>
      <c r="M184" s="156" t="inlineStr">
        <is>
          <t>Stetson</t>
        </is>
      </c>
      <c r="N184" s="156" t="inlineStr">
        <is>
          <t>SS26</t>
        </is>
      </c>
      <c r="O184" s="156" t="inlineStr">
        <is>
          <t>Seasonal</t>
        </is>
      </c>
      <c r="P184" s="156" t="inlineStr">
        <is>
          <t>Rojo</t>
        </is>
      </c>
      <c r="Q184" s="156" t="n"/>
      <c r="R184" s="156" t="inlineStr">
        <is>
          <t>Punta Redonda Ancha</t>
        </is>
      </c>
      <c r="S184" s="156" t="inlineStr">
        <is>
          <t>Piel de cabra</t>
        </is>
      </c>
      <c r="T184" s="156" t="inlineStr">
        <is>
          <t>Bota Caballero Piel de cabra Cereza Punta Redonda Ancha</t>
        </is>
      </c>
      <c r="U184" s="156" t="inlineStr">
        <is>
          <t>México</t>
        </is>
      </c>
      <c r="V184" s="156" t="inlineStr">
        <is>
          <t>PRS</t>
        </is>
      </c>
      <c r="W184" s="51" t="inlineStr">
        <is>
          <t>53111501</t>
        </is>
      </c>
      <c r="X184" s="156" t="n"/>
      <c r="Y184" s="54" t="n">
        <v>785.5</v>
      </c>
      <c r="Z184" s="54" t="n">
        <v>4568.965517</v>
      </c>
      <c r="AA184" s="55">
        <f>IF(AND(A184="", B184="", E184=""), "", IF(AB184="", "Válido", IF((LEN(AB184)-LEN(SUBSTITUTE(AB184,"; ","")))/2+1&gt;(LEN(AB184)-LEN(SUBSTITUTE(AB184,"[Aviso]","")))/7, "Con Incidencias", "Válido")))</f>
        <v/>
      </c>
      <c r="AB184" s="56">
        <f>IF(AND(A184="", B184="", E184=""), "", TEXTJOIN("; ", TRUE, IF(OR(TRIM(A184&amp;"")="", ISNUMBER(SEARCH("FALTA", A184))), "UPC faltante/inválido", ""), IF(AND(A184&lt;&gt;"", IFERROR(_xlfn.XMATCH(A184,$A$2:$A$2509,0,1)&lt;&gt;_xlfn.XMATCH(A184,$A$2:$A$2509,0,-1),FALSE)), "Código de barras duplicado", ""), IF(AND(E184&lt;&gt;"", COUNTIF($E$2:$E$2509, E184)&gt;1), "SKU duplicado", ""), IF(OR(J184="", J184=""), "[Aviso] División no capturada ()", IF(ISNA(MATCH(J184, Criterios!$A$123:$A$126, 0)), "División no válida", "")), IF(OR(K184="", K184=""), "[Aviso] Categoría no capturada ()", IF(ISNA(MATCH(K184, Criterios!$A$81:$A$120, 0)), "Categoría no válida", IF(AND(J184&lt;&gt;"", J184&lt;&gt;"", J184&lt;&gt;VLOOKUP(K184, Criterios!$A$81:$B$120, 2, FALSE)), "División no coincide con Categoría", ""))), IF(OR(L184="", L184=""), "[Aviso] Género no capturado ()", IF(ISNA(MATCH(L184, Criterios!$B$123:$B$127, 0)), "Género no válido", "")), IF(OR(N184="", N184=""), "[Aviso] Temporada no capturada ()", IF(ISNA(MATCH(N184, Criterios!$C$123:$C$128, 0)), "Temporada no válida", "")), IF(OR(O184="", O184=""), "[Aviso] Ciclo de vida no capturado ()", IF(ISNA(MATCH(O184, Criterios!$D$123:$D$124, 0)), "Ciclo de vida no válido", ""))))</f>
        <v/>
      </c>
      <c r="AC184" s="56" t="n"/>
      <c r="AD184" s="51" t="n">
        <v>0</v>
      </c>
      <c r="AE184" s="156" t="n"/>
      <c r="AF184" s="51" t="n">
        <v>0</v>
      </c>
      <c r="AG184" s="156" t="inlineStr">
        <is>
          <t>Catálogo existente</t>
        </is>
      </c>
      <c r="AH1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4" s="156" t="inlineStr">
        <is>
          <t>No</t>
        </is>
      </c>
      <c r="AJ184" s="156" t="n"/>
      <c r="AK184" s="155" t="inlineStr">
        <is>
          <t>Criterios: I [Q]; G1522_Extraccion_Articulos_NetSuite_2026-09-30.xlsx: fila 58756 [R] | Shopify Stetson: producto 15054563869035 / variante 53350543917419</t>
        </is>
      </c>
      <c r="AL184" s="58" t="n">
        <v>785.5</v>
      </c>
      <c r="AM184" s="58" t="n">
        <v>4568.965517</v>
      </c>
      <c r="AN184" s="155" t="inlineStr">
        <is>
          <t>Shopify Stetson México</t>
        </is>
      </c>
      <c r="AO184" s="59" t="n">
        <v>0</v>
      </c>
      <c r="AP184" s="59" t="n"/>
      <c r="AQ184" s="59" t="n"/>
      <c r="AR184" s="155" t="n"/>
    </row>
    <row r="185">
      <c r="A185" s="50" t="inlineStr">
        <is>
          <t>12020001101004032</t>
        </is>
      </c>
      <c r="B185" s="51" t="inlineStr">
        <is>
          <t>111082</t>
        </is>
      </c>
      <c r="C185" s="156" t="inlineStr">
        <is>
          <t>Multimarca</t>
        </is>
      </c>
      <c r="D185" s="156" t="inlineStr">
        <is>
          <t>12-020-BS001-10-1004</t>
        </is>
      </c>
      <c r="E185" s="156" t="inlineStr">
        <is>
          <t>12-020-BS001-10-1004-032</t>
        </is>
      </c>
      <c r="F185" s="156" t="inlineStr">
        <is>
          <t>32</t>
        </is>
      </c>
      <c r="G185" s="156" t="inlineStr">
        <is>
          <t>14</t>
        </is>
      </c>
      <c r="H185" s="156" t="inlineStr">
        <is>
          <t>Stetson</t>
        </is>
      </c>
      <c r="I185" s="156" t="inlineStr">
        <is>
          <t>Bota Cabra Cereza</t>
        </is>
      </c>
      <c r="J185" s="156" t="inlineStr">
        <is>
          <t>Calzado</t>
        </is>
      </c>
      <c r="K185" s="156" t="inlineStr">
        <is>
          <t>Botas</t>
        </is>
      </c>
      <c r="L185" s="156" t="inlineStr">
        <is>
          <t>Hombre</t>
        </is>
      </c>
      <c r="M185" s="156" t="inlineStr">
        <is>
          <t>Stetson</t>
        </is>
      </c>
      <c r="N185" s="156" t="inlineStr">
        <is>
          <t>SS26</t>
        </is>
      </c>
      <c r="O185" s="156" t="inlineStr">
        <is>
          <t>Seasonal</t>
        </is>
      </c>
      <c r="P185" s="156" t="inlineStr">
        <is>
          <t>Rojo</t>
        </is>
      </c>
      <c r="Q185" s="156" t="n"/>
      <c r="R185" s="156" t="inlineStr">
        <is>
          <t>Punta Redonda Ancha</t>
        </is>
      </c>
      <c r="S185" s="156" t="inlineStr">
        <is>
          <t>Piel de cabra</t>
        </is>
      </c>
      <c r="T185" s="156" t="inlineStr">
        <is>
          <t>Bota Caballero Piel de cabra Cereza Punta Redonda Ancha</t>
        </is>
      </c>
      <c r="U185" s="156" t="inlineStr">
        <is>
          <t>México</t>
        </is>
      </c>
      <c r="V185" s="156" t="inlineStr">
        <is>
          <t>PRS</t>
        </is>
      </c>
      <c r="W185" s="51" t="inlineStr">
        <is>
          <t>53111501</t>
        </is>
      </c>
      <c r="X185" s="156" t="n"/>
      <c r="Y185" s="54" t="n">
        <v>785.5</v>
      </c>
      <c r="Z185" s="54" t="n">
        <v>4568.965517</v>
      </c>
      <c r="AA185" s="55">
        <f>IF(AND(A185="", B185="", E185=""), "", IF(AB185="", "Válido", IF((LEN(AB185)-LEN(SUBSTITUTE(AB185,"; ","")))/2+1&gt;(LEN(AB185)-LEN(SUBSTITUTE(AB185,"[Aviso]","")))/7, "Con Incidencias", "Válido")))</f>
        <v/>
      </c>
      <c r="AB185" s="56">
        <f>IF(AND(A185="", B185="", E185=""), "", TEXTJOIN("; ", TRUE, IF(OR(TRIM(A185&amp;"")="", ISNUMBER(SEARCH("FALTA", A185))), "UPC faltante/inválido", ""), IF(AND(A185&lt;&gt;"", IFERROR(_xlfn.XMATCH(A185,$A$2:$A$2509,0,1)&lt;&gt;_xlfn.XMATCH(A185,$A$2:$A$2509,0,-1),FALSE)), "Código de barras duplicado", ""), IF(AND(E185&lt;&gt;"", COUNTIF($E$2:$E$2509, E185)&gt;1), "SKU duplicado", ""), IF(OR(J185="", J185=""), "[Aviso] División no capturada ()", IF(ISNA(MATCH(J185, Criterios!$A$123:$A$126, 0)), "División no válida", "")), IF(OR(K185="", K185=""), "[Aviso] Categoría no capturada ()", IF(ISNA(MATCH(K185, Criterios!$A$81:$A$120, 0)), "Categoría no válida", IF(AND(J185&lt;&gt;"", J185&lt;&gt;"", J185&lt;&gt;VLOOKUP(K185, Criterios!$A$81:$B$120, 2, FALSE)), "División no coincide con Categoría", ""))), IF(OR(L185="", L185=""), "[Aviso] Género no capturado ()", IF(ISNA(MATCH(L185, Criterios!$B$123:$B$127, 0)), "Género no válido", "")), IF(OR(N185="", N185=""), "[Aviso] Temporada no capturada ()", IF(ISNA(MATCH(N185, Criterios!$C$123:$C$128, 0)), "Temporada no válida", "")), IF(OR(O185="", O185=""), "[Aviso] Ciclo de vida no capturado ()", IF(ISNA(MATCH(O185, Criterios!$D$123:$D$124, 0)), "Ciclo de vida no válido", ""))))</f>
        <v/>
      </c>
      <c r="AC185" s="56" t="n"/>
      <c r="AD185" s="51" t="n">
        <v>0</v>
      </c>
      <c r="AE185" s="156" t="n"/>
      <c r="AF185" s="51" t="n">
        <v>0</v>
      </c>
      <c r="AG185" s="156" t="inlineStr">
        <is>
          <t>Catálogo existente</t>
        </is>
      </c>
      <c r="AH1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5" s="156" t="inlineStr">
        <is>
          <t>No</t>
        </is>
      </c>
      <c r="AJ185" s="156" t="n"/>
      <c r="AK185" s="155" t="inlineStr">
        <is>
          <t>Criterios: I [Q]; G1522_Extraccion_Articulos_NetSuite_2026-09-30.xlsx: fila 58757 [R] | Shopify Stetson: producto 15054563869035 / variante 53350543982955</t>
        </is>
      </c>
      <c r="AL185" s="58" t="n">
        <v>785.5</v>
      </c>
      <c r="AM185" s="58" t="n">
        <v>4568.965517</v>
      </c>
      <c r="AN185" s="155" t="inlineStr">
        <is>
          <t>Shopify Stetson México</t>
        </is>
      </c>
      <c r="AO185" s="59" t="n">
        <v>0</v>
      </c>
      <c r="AP185" s="59" t="n"/>
      <c r="AQ185" s="59" t="n"/>
      <c r="AR185" s="155" t="n"/>
    </row>
    <row r="186">
      <c r="A186" s="50" t="inlineStr">
        <is>
          <t>12020001101004255</t>
        </is>
      </c>
      <c r="B186" s="51" t="inlineStr">
        <is>
          <t>111083</t>
        </is>
      </c>
      <c r="C186" s="156" t="inlineStr">
        <is>
          <t>Multimarca</t>
        </is>
      </c>
      <c r="D186" s="156" t="inlineStr">
        <is>
          <t>12-020-BS001-10-1004</t>
        </is>
      </c>
      <c r="E186" s="156" t="inlineStr">
        <is>
          <t>12-020-BS001-10-1004-255</t>
        </is>
      </c>
      <c r="F186" s="156" t="inlineStr">
        <is>
          <t>25.5</t>
        </is>
      </c>
      <c r="G186" s="156" t="inlineStr">
        <is>
          <t>7.5</t>
        </is>
      </c>
      <c r="H186" s="156" t="inlineStr">
        <is>
          <t>Stetson</t>
        </is>
      </c>
      <c r="I186" s="156" t="inlineStr">
        <is>
          <t>Bota Cabra Cereza</t>
        </is>
      </c>
      <c r="J186" s="156" t="inlineStr">
        <is>
          <t>Calzado</t>
        </is>
      </c>
      <c r="K186" s="156" t="inlineStr">
        <is>
          <t>Botas</t>
        </is>
      </c>
      <c r="L186" s="156" t="inlineStr">
        <is>
          <t>Hombre</t>
        </is>
      </c>
      <c r="M186" s="156" t="inlineStr">
        <is>
          <t>Stetson</t>
        </is>
      </c>
      <c r="N186" s="156" t="inlineStr">
        <is>
          <t>SS26</t>
        </is>
      </c>
      <c r="O186" s="156" t="inlineStr">
        <is>
          <t>Seasonal</t>
        </is>
      </c>
      <c r="P186" s="156" t="inlineStr">
        <is>
          <t>Rojo</t>
        </is>
      </c>
      <c r="Q186" s="156" t="n"/>
      <c r="R186" s="156" t="inlineStr">
        <is>
          <t>Punta Redonda Ancha</t>
        </is>
      </c>
      <c r="S186" s="156" t="inlineStr">
        <is>
          <t>Piel de cabra</t>
        </is>
      </c>
      <c r="T186" s="156" t="inlineStr">
        <is>
          <t>Bota Caballero Piel de cabra Cereza Punta Redonda Ancha</t>
        </is>
      </c>
      <c r="U186" s="156" t="inlineStr">
        <is>
          <t>México</t>
        </is>
      </c>
      <c r="V186" s="156" t="inlineStr">
        <is>
          <t>PRS</t>
        </is>
      </c>
      <c r="W186" s="51" t="inlineStr">
        <is>
          <t>53111501</t>
        </is>
      </c>
      <c r="X186" s="156" t="n"/>
      <c r="Y186" s="54" t="n">
        <v>785.5</v>
      </c>
      <c r="Z186" s="54" t="n">
        <v>4568.965517</v>
      </c>
      <c r="AA186" s="55">
        <f>IF(AND(A186="", B186="", E186=""), "", IF(AB186="", "Válido", IF((LEN(AB186)-LEN(SUBSTITUTE(AB186,"; ","")))/2+1&gt;(LEN(AB186)-LEN(SUBSTITUTE(AB186,"[Aviso]","")))/7, "Con Incidencias", "Válido")))</f>
        <v/>
      </c>
      <c r="AB186" s="56">
        <f>IF(AND(A186="", B186="", E186=""), "", TEXTJOIN("; ", TRUE, IF(OR(TRIM(A186&amp;"")="", ISNUMBER(SEARCH("FALTA", A186))), "UPC faltante/inválido", ""), IF(AND(A186&lt;&gt;"", IFERROR(_xlfn.XMATCH(A186,$A$2:$A$2509,0,1)&lt;&gt;_xlfn.XMATCH(A186,$A$2:$A$2509,0,-1),FALSE)), "Código de barras duplicado", ""), IF(AND(E186&lt;&gt;"", COUNTIF($E$2:$E$2509, E186)&gt;1), "SKU duplicado", ""), IF(OR(J186="", J186=""), "[Aviso] División no capturada ()", IF(ISNA(MATCH(J186, Criterios!$A$123:$A$126, 0)), "División no válida", "")), IF(OR(K186="", K186=""), "[Aviso] Categoría no capturada ()", IF(ISNA(MATCH(K186, Criterios!$A$81:$A$120, 0)), "Categoría no válida", IF(AND(J186&lt;&gt;"", J186&lt;&gt;"", J186&lt;&gt;VLOOKUP(K186, Criterios!$A$81:$B$120, 2, FALSE)), "División no coincide con Categoría", ""))), IF(OR(L186="", L186=""), "[Aviso] Género no capturado ()", IF(ISNA(MATCH(L186, Criterios!$B$123:$B$127, 0)), "Género no válido", "")), IF(OR(N186="", N186=""), "[Aviso] Temporada no capturada ()", IF(ISNA(MATCH(N186, Criterios!$C$123:$C$128, 0)), "Temporada no válida", "")), IF(OR(O186="", O186=""), "[Aviso] Ciclo de vida no capturado ()", IF(ISNA(MATCH(O186, Criterios!$D$123:$D$124, 0)), "Ciclo de vida no válido", ""))))</f>
        <v/>
      </c>
      <c r="AC186" s="56" t="n"/>
      <c r="AD186" s="51" t="n">
        <v>0</v>
      </c>
      <c r="AE186" s="156" t="n"/>
      <c r="AF186" s="51" t="n">
        <v>0</v>
      </c>
      <c r="AG186" s="156" t="inlineStr">
        <is>
          <t>Catálogo existente</t>
        </is>
      </c>
      <c r="AH1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6" s="156" t="inlineStr">
        <is>
          <t>No</t>
        </is>
      </c>
      <c r="AJ186" s="156" t="n"/>
      <c r="AK186" s="155" t="inlineStr">
        <is>
          <t>Criterios: I [Q]; G1522_Extraccion_Articulos_NetSuite_2026-09-30.xlsx: fila 58758 [R] | Shopify Stetson: producto 15054563869035 / variante 53350543556971</t>
        </is>
      </c>
      <c r="AL186" s="58" t="n">
        <v>785.5</v>
      </c>
      <c r="AM186" s="58" t="n">
        <v>4568.965517</v>
      </c>
      <c r="AN186" s="155" t="inlineStr">
        <is>
          <t>Shopify Stetson México</t>
        </is>
      </c>
      <c r="AO186" s="59" t="n">
        <v>0</v>
      </c>
      <c r="AP186" s="59" t="n"/>
      <c r="AQ186" s="59" t="n"/>
      <c r="AR186" s="155" t="n"/>
    </row>
    <row r="187">
      <c r="A187" s="50" t="inlineStr">
        <is>
          <t>12020001101004265</t>
        </is>
      </c>
      <c r="B187" s="51" t="inlineStr">
        <is>
          <t>111084</t>
        </is>
      </c>
      <c r="C187" s="156" t="inlineStr">
        <is>
          <t>Multimarca</t>
        </is>
      </c>
      <c r="D187" s="156" t="inlineStr">
        <is>
          <t>12-020-BS001-10-1004</t>
        </is>
      </c>
      <c r="E187" s="156" t="inlineStr">
        <is>
          <t>12-020-BS001-10-1004-265</t>
        </is>
      </c>
      <c r="F187" s="156" t="inlineStr">
        <is>
          <t>26.5</t>
        </is>
      </c>
      <c r="G187" s="156" t="inlineStr">
        <is>
          <t>8.5</t>
        </is>
      </c>
      <c r="H187" s="156" t="inlineStr">
        <is>
          <t>Stetson</t>
        </is>
      </c>
      <c r="I187" s="156" t="inlineStr">
        <is>
          <t>Bota Cabra Cereza</t>
        </is>
      </c>
      <c r="J187" s="156" t="inlineStr">
        <is>
          <t>Calzado</t>
        </is>
      </c>
      <c r="K187" s="156" t="inlineStr">
        <is>
          <t>Botas</t>
        </is>
      </c>
      <c r="L187" s="156" t="inlineStr">
        <is>
          <t>Hombre</t>
        </is>
      </c>
      <c r="M187" s="156" t="inlineStr">
        <is>
          <t>Stetson</t>
        </is>
      </c>
      <c r="N187" s="156" t="inlineStr">
        <is>
          <t>SS26</t>
        </is>
      </c>
      <c r="O187" s="156" t="inlineStr">
        <is>
          <t>Seasonal</t>
        </is>
      </c>
      <c r="P187" s="156" t="inlineStr">
        <is>
          <t>Rojo</t>
        </is>
      </c>
      <c r="Q187" s="156" t="n"/>
      <c r="R187" s="156" t="inlineStr">
        <is>
          <t>Punta Redonda Ancha</t>
        </is>
      </c>
      <c r="S187" s="156" t="inlineStr">
        <is>
          <t>Piel de cabra</t>
        </is>
      </c>
      <c r="T187" s="156" t="inlineStr">
        <is>
          <t>Bota Caballero Piel de cabra Cereza Punta Redonda Ancha</t>
        </is>
      </c>
      <c r="U187" s="156" t="inlineStr">
        <is>
          <t>México</t>
        </is>
      </c>
      <c r="V187" s="156" t="inlineStr">
        <is>
          <t>PRS</t>
        </is>
      </c>
      <c r="W187" s="51" t="inlineStr">
        <is>
          <t>53111501</t>
        </is>
      </c>
      <c r="X187" s="156" t="n"/>
      <c r="Y187" s="54" t="n">
        <v>785.5</v>
      </c>
      <c r="Z187" s="54" t="n">
        <v>4568.965517</v>
      </c>
      <c r="AA187" s="55">
        <f>IF(AND(A187="", B187="", E187=""), "", IF(AB187="", "Válido", IF((LEN(AB187)-LEN(SUBSTITUTE(AB187,"; ","")))/2+1&gt;(LEN(AB187)-LEN(SUBSTITUTE(AB187,"[Aviso]","")))/7, "Con Incidencias", "Válido")))</f>
        <v/>
      </c>
      <c r="AB187" s="56">
        <f>IF(AND(A187="", B187="", E187=""), "", TEXTJOIN("; ", TRUE, IF(OR(TRIM(A187&amp;"")="", ISNUMBER(SEARCH("FALTA", A187))), "UPC faltante/inválido", ""), IF(AND(A187&lt;&gt;"", IFERROR(_xlfn.XMATCH(A187,$A$2:$A$2509,0,1)&lt;&gt;_xlfn.XMATCH(A187,$A$2:$A$2509,0,-1),FALSE)), "Código de barras duplicado", ""), IF(AND(E187&lt;&gt;"", COUNTIF($E$2:$E$2509, E187)&gt;1), "SKU duplicado", ""), IF(OR(J187="", J187=""), "[Aviso] División no capturada ()", IF(ISNA(MATCH(J187, Criterios!$A$123:$A$126, 0)), "División no válida", "")), IF(OR(K187="", K187=""), "[Aviso] Categoría no capturada ()", IF(ISNA(MATCH(K187, Criterios!$A$81:$A$120, 0)), "Categoría no válida", IF(AND(J187&lt;&gt;"", J187&lt;&gt;"", J187&lt;&gt;VLOOKUP(K187, Criterios!$A$81:$B$120, 2, FALSE)), "División no coincide con Categoría", ""))), IF(OR(L187="", L187=""), "[Aviso] Género no capturado ()", IF(ISNA(MATCH(L187, Criterios!$B$123:$B$127, 0)), "Género no válido", "")), IF(OR(N187="", N187=""), "[Aviso] Temporada no capturada ()", IF(ISNA(MATCH(N187, Criterios!$C$123:$C$128, 0)), "Temporada no válida", "")), IF(OR(O187="", O187=""), "[Aviso] Ciclo de vida no capturado ()", IF(ISNA(MATCH(O187, Criterios!$D$123:$D$124, 0)), "Ciclo de vida no válido", ""))))</f>
        <v/>
      </c>
      <c r="AC187" s="56" t="n"/>
      <c r="AD187" s="51" t="n">
        <v>0</v>
      </c>
      <c r="AE187" s="156" t="n"/>
      <c r="AF187" s="51" t="n">
        <v>0</v>
      </c>
      <c r="AG187" s="156" t="inlineStr">
        <is>
          <t>Catálogo existente</t>
        </is>
      </c>
      <c r="AH1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7" s="156" t="inlineStr">
        <is>
          <t>No</t>
        </is>
      </c>
      <c r="AJ187" s="156" t="n"/>
      <c r="AK187" s="155" t="inlineStr">
        <is>
          <t>Criterios: I [Q]; G1522_Extraccion_Articulos_NetSuite_2026-09-30.xlsx: fila 58759 [R] | Shopify Stetson: producto 15054563869035 / variante 53350543622507</t>
        </is>
      </c>
      <c r="AL187" s="58" t="n">
        <v>785.5</v>
      </c>
      <c r="AM187" s="58" t="n">
        <v>4568.965517</v>
      </c>
      <c r="AN187" s="155" t="inlineStr">
        <is>
          <t>Shopify Stetson México</t>
        </is>
      </c>
      <c r="AO187" s="59" t="n">
        <v>2</v>
      </c>
      <c r="AP187" s="59" t="n"/>
      <c r="AQ187" s="59" t="n"/>
      <c r="AR187" s="155" t="inlineStr">
        <is>
          <t>Shopify Stetson México › Stetson Americas: 2</t>
        </is>
      </c>
    </row>
    <row r="188">
      <c r="A188" s="50" t="inlineStr">
        <is>
          <t>12020001101004275</t>
        </is>
      </c>
      <c r="B188" s="51" t="inlineStr">
        <is>
          <t>111085</t>
        </is>
      </c>
      <c r="C188" s="156" t="inlineStr">
        <is>
          <t>Multimarca</t>
        </is>
      </c>
      <c r="D188" s="156" t="inlineStr">
        <is>
          <t>12-020-BS001-10-1004</t>
        </is>
      </c>
      <c r="E188" s="156" t="inlineStr">
        <is>
          <t>12-020-BS001-10-1004-275</t>
        </is>
      </c>
      <c r="F188" s="156" t="inlineStr">
        <is>
          <t>27.5</t>
        </is>
      </c>
      <c r="G188" s="156" t="inlineStr">
        <is>
          <t>9.5</t>
        </is>
      </c>
      <c r="H188" s="156" t="inlineStr">
        <is>
          <t>Stetson</t>
        </is>
      </c>
      <c r="I188" s="156" t="inlineStr">
        <is>
          <t>Bota Cabra Cereza</t>
        </is>
      </c>
      <c r="J188" s="156" t="inlineStr">
        <is>
          <t>Calzado</t>
        </is>
      </c>
      <c r="K188" s="156" t="inlineStr">
        <is>
          <t>Botas</t>
        </is>
      </c>
      <c r="L188" s="156" t="inlineStr">
        <is>
          <t>Hombre</t>
        </is>
      </c>
      <c r="M188" s="156" t="inlineStr">
        <is>
          <t>Stetson</t>
        </is>
      </c>
      <c r="N188" s="156" t="inlineStr">
        <is>
          <t>SS26</t>
        </is>
      </c>
      <c r="O188" s="156" t="inlineStr">
        <is>
          <t>Seasonal</t>
        </is>
      </c>
      <c r="P188" s="156" t="inlineStr">
        <is>
          <t>Rojo</t>
        </is>
      </c>
      <c r="Q188" s="156" t="n"/>
      <c r="R188" s="156" t="inlineStr">
        <is>
          <t>Punta Redonda Ancha</t>
        </is>
      </c>
      <c r="S188" s="156" t="inlineStr">
        <is>
          <t>Piel de cabra</t>
        </is>
      </c>
      <c r="T188" s="156" t="inlineStr">
        <is>
          <t>Bota Caballero Piel de cabra Cereza Punta Redonda Ancha</t>
        </is>
      </c>
      <c r="U188" s="156" t="inlineStr">
        <is>
          <t>México</t>
        </is>
      </c>
      <c r="V188" s="156" t="inlineStr">
        <is>
          <t>PRS</t>
        </is>
      </c>
      <c r="W188" s="51" t="inlineStr">
        <is>
          <t>53111501</t>
        </is>
      </c>
      <c r="X188" s="156" t="n"/>
      <c r="Y188" s="54" t="n">
        <v>785.5</v>
      </c>
      <c r="Z188" s="54" t="n">
        <v>4568.965517</v>
      </c>
      <c r="AA188" s="55">
        <f>IF(AND(A188="", B188="", E188=""), "", IF(AB188="", "Válido", IF((LEN(AB188)-LEN(SUBSTITUTE(AB188,"; ","")))/2+1&gt;(LEN(AB188)-LEN(SUBSTITUTE(AB188,"[Aviso]","")))/7, "Con Incidencias", "Válido")))</f>
        <v/>
      </c>
      <c r="AB188" s="56">
        <f>IF(AND(A188="", B188="", E188=""), "", TEXTJOIN("; ", TRUE, IF(OR(TRIM(A188&amp;"")="", ISNUMBER(SEARCH("FALTA", A188))), "UPC faltante/inválido", ""), IF(AND(A188&lt;&gt;"", IFERROR(_xlfn.XMATCH(A188,$A$2:$A$2509,0,1)&lt;&gt;_xlfn.XMATCH(A188,$A$2:$A$2509,0,-1),FALSE)), "Código de barras duplicado", ""), IF(AND(E188&lt;&gt;"", COUNTIF($E$2:$E$2509, E188)&gt;1), "SKU duplicado", ""), IF(OR(J188="", J188=""), "[Aviso] División no capturada ()", IF(ISNA(MATCH(J188, Criterios!$A$123:$A$126, 0)), "División no válida", "")), IF(OR(K188="", K188=""), "[Aviso] Categoría no capturada ()", IF(ISNA(MATCH(K188, Criterios!$A$81:$A$120, 0)), "Categoría no válida", IF(AND(J188&lt;&gt;"", J188&lt;&gt;"", J188&lt;&gt;VLOOKUP(K188, Criterios!$A$81:$B$120, 2, FALSE)), "División no coincide con Categoría", ""))), IF(OR(L188="", L188=""), "[Aviso] Género no capturado ()", IF(ISNA(MATCH(L188, Criterios!$B$123:$B$127, 0)), "Género no válido", "")), IF(OR(N188="", N188=""), "[Aviso] Temporada no capturada ()", IF(ISNA(MATCH(N188, Criterios!$C$123:$C$128, 0)), "Temporada no válida", "")), IF(OR(O188="", O188=""), "[Aviso] Ciclo de vida no capturado ()", IF(ISNA(MATCH(O188, Criterios!$D$123:$D$124, 0)), "Ciclo de vida no válido", ""))))</f>
        <v/>
      </c>
      <c r="AC188" s="56" t="n"/>
      <c r="AD188" s="51" t="n">
        <v>0</v>
      </c>
      <c r="AE188" s="156" t="n"/>
      <c r="AF188" s="51" t="n">
        <v>0</v>
      </c>
      <c r="AG188" s="156" t="inlineStr">
        <is>
          <t>Catálogo existente</t>
        </is>
      </c>
      <c r="AH1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 s="156" t="inlineStr">
        <is>
          <t>No</t>
        </is>
      </c>
      <c r="AJ188" s="156" t="n"/>
      <c r="AK188" s="155" t="inlineStr">
        <is>
          <t>Criterios: I [Q]; G1522_Extraccion_Articulos_NetSuite_2026-09-30.xlsx: fila 58760 [R] | Shopify Stetson: producto 15054563869035 / variante 53350543688043</t>
        </is>
      </c>
      <c r="AL188" s="58" t="n">
        <v>785.5</v>
      </c>
      <c r="AM188" s="58" t="n">
        <v>4568.965517</v>
      </c>
      <c r="AN188" s="155" t="inlineStr">
        <is>
          <t>Shopify Stetson México</t>
        </is>
      </c>
      <c r="AO188" s="59" t="n">
        <v>2</v>
      </c>
      <c r="AP188" s="59" t="n"/>
      <c r="AQ188" s="59" t="n"/>
      <c r="AR188" s="155" t="inlineStr">
        <is>
          <t>Shopify Stetson México › Stetson Americas: 2</t>
        </is>
      </c>
    </row>
    <row r="189">
      <c r="A189" s="50" t="inlineStr">
        <is>
          <t>12020001101004285</t>
        </is>
      </c>
      <c r="B189" s="51" t="inlineStr">
        <is>
          <t>111086</t>
        </is>
      </c>
      <c r="C189" s="156" t="inlineStr">
        <is>
          <t>Multimarca</t>
        </is>
      </c>
      <c r="D189" s="156" t="inlineStr">
        <is>
          <t>12-020-BS001-10-1004</t>
        </is>
      </c>
      <c r="E189" s="156" t="inlineStr">
        <is>
          <t>12-020-BS001-10-1004-285</t>
        </is>
      </c>
      <c r="F189" s="156" t="inlineStr">
        <is>
          <t>28.5</t>
        </is>
      </c>
      <c r="G189" s="156" t="inlineStr">
        <is>
          <t>10.5</t>
        </is>
      </c>
      <c r="H189" s="156" t="inlineStr">
        <is>
          <t>Stetson</t>
        </is>
      </c>
      <c r="I189" s="156" t="inlineStr">
        <is>
          <t>Bota Cabra Cereza</t>
        </is>
      </c>
      <c r="J189" s="156" t="inlineStr">
        <is>
          <t>Calzado</t>
        </is>
      </c>
      <c r="K189" s="156" t="inlineStr">
        <is>
          <t>Botas</t>
        </is>
      </c>
      <c r="L189" s="156" t="inlineStr">
        <is>
          <t>Hombre</t>
        </is>
      </c>
      <c r="M189" s="156" t="inlineStr">
        <is>
          <t>Stetson</t>
        </is>
      </c>
      <c r="N189" s="156" t="inlineStr">
        <is>
          <t>SS26</t>
        </is>
      </c>
      <c r="O189" s="156" t="inlineStr">
        <is>
          <t>Seasonal</t>
        </is>
      </c>
      <c r="P189" s="156" t="inlineStr">
        <is>
          <t>Rojo</t>
        </is>
      </c>
      <c r="Q189" s="156" t="n"/>
      <c r="R189" s="156" t="inlineStr">
        <is>
          <t>Punta Redonda Ancha</t>
        </is>
      </c>
      <c r="S189" s="156" t="inlineStr">
        <is>
          <t>Piel de cabra</t>
        </is>
      </c>
      <c r="T189" s="156" t="inlineStr">
        <is>
          <t>Bota Caballero Piel de cabra Cereza Punta Redonda Ancha</t>
        </is>
      </c>
      <c r="U189" s="156" t="inlineStr">
        <is>
          <t>México</t>
        </is>
      </c>
      <c r="V189" s="156" t="inlineStr">
        <is>
          <t>PRS</t>
        </is>
      </c>
      <c r="W189" s="51" t="inlineStr">
        <is>
          <t>53111501</t>
        </is>
      </c>
      <c r="X189" s="156" t="n"/>
      <c r="Y189" s="54" t="n">
        <v>785.5</v>
      </c>
      <c r="Z189" s="54" t="n">
        <v>4568.965517</v>
      </c>
      <c r="AA189" s="55">
        <f>IF(AND(A189="", B189="", E189=""), "", IF(AB189="", "Válido", IF((LEN(AB189)-LEN(SUBSTITUTE(AB189,"; ","")))/2+1&gt;(LEN(AB189)-LEN(SUBSTITUTE(AB189,"[Aviso]","")))/7, "Con Incidencias", "Válido")))</f>
        <v/>
      </c>
      <c r="AB189" s="56">
        <f>IF(AND(A189="", B189="", E189=""), "", TEXTJOIN("; ", TRUE, IF(OR(TRIM(A189&amp;"")="", ISNUMBER(SEARCH("FALTA", A189))), "UPC faltante/inválido", ""), IF(AND(A189&lt;&gt;"", IFERROR(_xlfn.XMATCH(A189,$A$2:$A$2509,0,1)&lt;&gt;_xlfn.XMATCH(A189,$A$2:$A$2509,0,-1),FALSE)), "Código de barras duplicado", ""), IF(AND(E189&lt;&gt;"", COUNTIF($E$2:$E$2509, E189)&gt;1), "SKU duplicado", ""), IF(OR(J189="", J189=""), "[Aviso] División no capturada ()", IF(ISNA(MATCH(J189, Criterios!$A$123:$A$126, 0)), "División no válida", "")), IF(OR(K189="", K189=""), "[Aviso] Categoría no capturada ()", IF(ISNA(MATCH(K189, Criterios!$A$81:$A$120, 0)), "Categoría no válida", IF(AND(J189&lt;&gt;"", J189&lt;&gt;"", J189&lt;&gt;VLOOKUP(K189, Criterios!$A$81:$B$120, 2, FALSE)), "División no coincide con Categoría", ""))), IF(OR(L189="", L189=""), "[Aviso] Género no capturado ()", IF(ISNA(MATCH(L189, Criterios!$B$123:$B$127, 0)), "Género no válido", "")), IF(OR(N189="", N189=""), "[Aviso] Temporada no capturada ()", IF(ISNA(MATCH(N189, Criterios!$C$123:$C$128, 0)), "Temporada no válida", "")), IF(OR(O189="", O189=""), "[Aviso] Ciclo de vida no capturado ()", IF(ISNA(MATCH(O189, Criterios!$D$123:$D$124, 0)), "Ciclo de vida no válido", ""))))</f>
        <v/>
      </c>
      <c r="AC189" s="56" t="n"/>
      <c r="AD189" s="51" t="n">
        <v>0</v>
      </c>
      <c r="AE189" s="156" t="n"/>
      <c r="AF189" s="51" t="n">
        <v>0</v>
      </c>
      <c r="AG189" s="156" t="inlineStr">
        <is>
          <t>Catálogo existente</t>
        </is>
      </c>
      <c r="AH1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9" s="156" t="inlineStr">
        <is>
          <t>No</t>
        </is>
      </c>
      <c r="AJ189" s="156" t="n"/>
      <c r="AK189" s="155" t="inlineStr">
        <is>
          <t>Criterios: I [Q]; G1522_Extraccion_Articulos_NetSuite_2026-09-30.xlsx: fila 58761 [R] | Shopify Stetson: producto 15054563869035 / variante 53350543753579</t>
        </is>
      </c>
      <c r="AL189" s="58" t="n">
        <v>785.5</v>
      </c>
      <c r="AM189" s="58" t="n">
        <v>4568.965517</v>
      </c>
      <c r="AN189" s="155" t="inlineStr">
        <is>
          <t>Shopify Stetson México</t>
        </is>
      </c>
      <c r="AO189" s="59" t="n">
        <v>2</v>
      </c>
      <c r="AP189" s="59" t="n"/>
      <c r="AQ189" s="59" t="n"/>
      <c r="AR189" s="155" t="inlineStr">
        <is>
          <t>Shopify Stetson México › Stetson Americas: 2</t>
        </is>
      </c>
    </row>
    <row r="190">
      <c r="A190" s="50" t="inlineStr">
        <is>
          <t>12020001101004295</t>
        </is>
      </c>
      <c r="B190" s="51" t="inlineStr">
        <is>
          <t>111087</t>
        </is>
      </c>
      <c r="C190" s="156" t="inlineStr">
        <is>
          <t>Multimarca</t>
        </is>
      </c>
      <c r="D190" s="156" t="inlineStr">
        <is>
          <t>12-020-BS001-10-1004</t>
        </is>
      </c>
      <c r="E190" s="156" t="inlineStr">
        <is>
          <t>12-020-BS001-10-1004-295</t>
        </is>
      </c>
      <c r="F190" s="156" t="inlineStr">
        <is>
          <t>29.5</t>
        </is>
      </c>
      <c r="G190" s="156" t="inlineStr">
        <is>
          <t>11.5</t>
        </is>
      </c>
      <c r="H190" s="156" t="inlineStr">
        <is>
          <t>Stetson</t>
        </is>
      </c>
      <c r="I190" s="156" t="inlineStr">
        <is>
          <t>Bota Cabra Cereza</t>
        </is>
      </c>
      <c r="J190" s="156" t="inlineStr">
        <is>
          <t>Calzado</t>
        </is>
      </c>
      <c r="K190" s="156" t="inlineStr">
        <is>
          <t>Botas</t>
        </is>
      </c>
      <c r="L190" s="156" t="inlineStr">
        <is>
          <t>Hombre</t>
        </is>
      </c>
      <c r="M190" s="156" t="inlineStr">
        <is>
          <t>Stetson</t>
        </is>
      </c>
      <c r="N190" s="156" t="inlineStr">
        <is>
          <t>SS26</t>
        </is>
      </c>
      <c r="O190" s="156" t="inlineStr">
        <is>
          <t>Seasonal</t>
        </is>
      </c>
      <c r="P190" s="156" t="inlineStr">
        <is>
          <t>Rojo</t>
        </is>
      </c>
      <c r="Q190" s="156" t="n"/>
      <c r="R190" s="156" t="inlineStr">
        <is>
          <t>Punta Redonda Ancha</t>
        </is>
      </c>
      <c r="S190" s="156" t="inlineStr">
        <is>
          <t>Piel de cabra</t>
        </is>
      </c>
      <c r="T190" s="156" t="inlineStr">
        <is>
          <t>Bota Caballero Piel de cabra Cereza Punta Redonda Ancha</t>
        </is>
      </c>
      <c r="U190" s="156" t="inlineStr">
        <is>
          <t>México</t>
        </is>
      </c>
      <c r="V190" s="156" t="inlineStr">
        <is>
          <t>PRS</t>
        </is>
      </c>
      <c r="W190" s="51" t="inlineStr">
        <is>
          <t>53111501</t>
        </is>
      </c>
      <c r="X190" s="156" t="n"/>
      <c r="Y190" s="54" t="n">
        <v>785.5</v>
      </c>
      <c r="Z190" s="54" t="n">
        <v>4568.965517</v>
      </c>
      <c r="AA190" s="55">
        <f>IF(AND(A190="", B190="", E190=""), "", IF(AB190="", "Válido", IF((LEN(AB190)-LEN(SUBSTITUTE(AB190,"; ","")))/2+1&gt;(LEN(AB190)-LEN(SUBSTITUTE(AB190,"[Aviso]","")))/7, "Con Incidencias", "Válido")))</f>
        <v/>
      </c>
      <c r="AB190" s="56">
        <f>IF(AND(A190="", B190="", E190=""), "", TEXTJOIN("; ", TRUE, IF(OR(TRIM(A190&amp;"")="", ISNUMBER(SEARCH("FALTA", A190))), "UPC faltante/inválido", ""), IF(AND(A190&lt;&gt;"", IFERROR(_xlfn.XMATCH(A190,$A$2:$A$2509,0,1)&lt;&gt;_xlfn.XMATCH(A190,$A$2:$A$2509,0,-1),FALSE)), "Código de barras duplicado", ""), IF(AND(E190&lt;&gt;"", COUNTIF($E$2:$E$2509, E190)&gt;1), "SKU duplicado", ""), IF(OR(J190="", J190=""), "[Aviso] División no capturada ()", IF(ISNA(MATCH(J190, Criterios!$A$123:$A$126, 0)), "División no válida", "")), IF(OR(K190="", K190=""), "[Aviso] Categoría no capturada ()", IF(ISNA(MATCH(K190, Criterios!$A$81:$A$120, 0)), "Categoría no válida", IF(AND(J190&lt;&gt;"", J190&lt;&gt;"", J190&lt;&gt;VLOOKUP(K190, Criterios!$A$81:$B$120, 2, FALSE)), "División no coincide con Categoría", ""))), IF(OR(L190="", L190=""), "[Aviso] Género no capturado ()", IF(ISNA(MATCH(L190, Criterios!$B$123:$B$127, 0)), "Género no válido", "")), IF(OR(N190="", N190=""), "[Aviso] Temporada no capturada ()", IF(ISNA(MATCH(N190, Criterios!$C$123:$C$128, 0)), "Temporada no válida", "")), IF(OR(O190="", O190=""), "[Aviso] Ciclo de vida no capturado ()", IF(ISNA(MATCH(O190, Criterios!$D$123:$D$124, 0)), "Ciclo de vida no válido", ""))))</f>
        <v/>
      </c>
      <c r="AC190" s="56" t="n"/>
      <c r="AD190" s="51" t="n">
        <v>0</v>
      </c>
      <c r="AE190" s="156" t="n"/>
      <c r="AF190" s="51" t="n">
        <v>0</v>
      </c>
      <c r="AG190" s="156" t="inlineStr">
        <is>
          <t>Catálogo existente</t>
        </is>
      </c>
      <c r="AH1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0" s="156" t="inlineStr">
        <is>
          <t>No</t>
        </is>
      </c>
      <c r="AJ190" s="156" t="n"/>
      <c r="AK190" s="155" t="inlineStr">
        <is>
          <t>Criterios: I [Q]; G1522_Extraccion_Articulos_NetSuite_2026-09-30.xlsx: fila 58762 [R] | Shopify Stetson: producto 15054563869035 / variante 53350543819115</t>
        </is>
      </c>
      <c r="AL190" s="58" t="n">
        <v>785.5</v>
      </c>
      <c r="AM190" s="58" t="n">
        <v>4568.965517</v>
      </c>
      <c r="AN190" s="155" t="inlineStr">
        <is>
          <t>Shopify Stetson México</t>
        </is>
      </c>
      <c r="AO190" s="59" t="n">
        <v>1</v>
      </c>
      <c r="AP190" s="59" t="n"/>
      <c r="AQ190" s="59" t="n"/>
      <c r="AR190" s="155" t="inlineStr">
        <is>
          <t>Shopify Stetson México › Stetson Americas: 1</t>
        </is>
      </c>
    </row>
    <row r="191">
      <c r="A191" s="50" t="inlineStr">
        <is>
          <t>12020001101004305</t>
        </is>
      </c>
      <c r="B191" s="51" t="inlineStr">
        <is>
          <t>111088</t>
        </is>
      </c>
      <c r="C191" s="156" t="inlineStr">
        <is>
          <t>Multimarca</t>
        </is>
      </c>
      <c r="D191" s="156" t="inlineStr">
        <is>
          <t>12-020-BS001-10-1004</t>
        </is>
      </c>
      <c r="E191" s="156" t="inlineStr">
        <is>
          <t>12-020-BS001-10-1004-305</t>
        </is>
      </c>
      <c r="F191" s="156" t="inlineStr">
        <is>
          <t>30.5</t>
        </is>
      </c>
      <c r="G191" s="156" t="inlineStr">
        <is>
          <t>12.5</t>
        </is>
      </c>
      <c r="H191" s="156" t="inlineStr">
        <is>
          <t>Stetson</t>
        </is>
      </c>
      <c r="I191" s="156" t="inlineStr">
        <is>
          <t>Bota Cabra Cereza</t>
        </is>
      </c>
      <c r="J191" s="156" t="inlineStr">
        <is>
          <t>Calzado</t>
        </is>
      </c>
      <c r="K191" s="156" t="inlineStr">
        <is>
          <t>Botas</t>
        </is>
      </c>
      <c r="L191" s="156" t="inlineStr">
        <is>
          <t>Hombre</t>
        </is>
      </c>
      <c r="M191" s="156" t="inlineStr">
        <is>
          <t>Stetson</t>
        </is>
      </c>
      <c r="N191" s="156" t="inlineStr">
        <is>
          <t>SS26</t>
        </is>
      </c>
      <c r="O191" s="156" t="inlineStr">
        <is>
          <t>Seasonal</t>
        </is>
      </c>
      <c r="P191" s="156" t="inlineStr">
        <is>
          <t>Rojo</t>
        </is>
      </c>
      <c r="Q191" s="156" t="n"/>
      <c r="R191" s="156" t="inlineStr">
        <is>
          <t>Punta Redonda Ancha</t>
        </is>
      </c>
      <c r="S191" s="156" t="inlineStr">
        <is>
          <t>Piel de cabra</t>
        </is>
      </c>
      <c r="T191" s="156" t="inlineStr">
        <is>
          <t>Bota Caballero Piel de cabra Cereza Punta Redonda Ancha</t>
        </is>
      </c>
      <c r="U191" s="156" t="inlineStr">
        <is>
          <t>México</t>
        </is>
      </c>
      <c r="V191" s="156" t="inlineStr">
        <is>
          <t>PRS</t>
        </is>
      </c>
      <c r="W191" s="51" t="inlineStr">
        <is>
          <t>53111501</t>
        </is>
      </c>
      <c r="X191" s="156" t="n"/>
      <c r="Y191" s="54" t="n">
        <v>785.5</v>
      </c>
      <c r="Z191" s="54" t="n">
        <v>4568.965517</v>
      </c>
      <c r="AA191" s="55">
        <f>IF(AND(A191="", B191="", E191=""), "", IF(AB191="", "Válido", IF((LEN(AB191)-LEN(SUBSTITUTE(AB191,"; ","")))/2+1&gt;(LEN(AB191)-LEN(SUBSTITUTE(AB191,"[Aviso]","")))/7, "Con Incidencias", "Válido")))</f>
        <v/>
      </c>
      <c r="AB191" s="56">
        <f>IF(AND(A191="", B191="", E191=""), "", TEXTJOIN("; ", TRUE, IF(OR(TRIM(A191&amp;"")="", ISNUMBER(SEARCH("FALTA", A191))), "UPC faltante/inválido", ""), IF(AND(A191&lt;&gt;"", IFERROR(_xlfn.XMATCH(A191,$A$2:$A$2509,0,1)&lt;&gt;_xlfn.XMATCH(A191,$A$2:$A$2509,0,-1),FALSE)), "Código de barras duplicado", ""), IF(AND(E191&lt;&gt;"", COUNTIF($E$2:$E$2509, E191)&gt;1), "SKU duplicado", ""), IF(OR(J191="", J191=""), "[Aviso] División no capturada ()", IF(ISNA(MATCH(J191, Criterios!$A$123:$A$126, 0)), "División no válida", "")), IF(OR(K191="", K191=""), "[Aviso] Categoría no capturada ()", IF(ISNA(MATCH(K191, Criterios!$A$81:$A$120, 0)), "Categoría no válida", IF(AND(J191&lt;&gt;"", J191&lt;&gt;"", J191&lt;&gt;VLOOKUP(K191, Criterios!$A$81:$B$120, 2, FALSE)), "División no coincide con Categoría", ""))), IF(OR(L191="", L191=""), "[Aviso] Género no capturado ()", IF(ISNA(MATCH(L191, Criterios!$B$123:$B$127, 0)), "Género no válido", "")), IF(OR(N191="", N191=""), "[Aviso] Temporada no capturada ()", IF(ISNA(MATCH(N191, Criterios!$C$123:$C$128, 0)), "Temporada no válida", "")), IF(OR(O191="", O191=""), "[Aviso] Ciclo de vida no capturado ()", IF(ISNA(MATCH(O191, Criterios!$D$123:$D$124, 0)), "Ciclo de vida no válido", ""))))</f>
        <v/>
      </c>
      <c r="AC191" s="56" t="n"/>
      <c r="AD191" s="51" t="n">
        <v>0</v>
      </c>
      <c r="AE191" s="156" t="n"/>
      <c r="AF191" s="51" t="n">
        <v>0</v>
      </c>
      <c r="AG191" s="156" t="inlineStr">
        <is>
          <t>Catálogo existente</t>
        </is>
      </c>
      <c r="AH1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1" s="156" t="inlineStr">
        <is>
          <t>No</t>
        </is>
      </c>
      <c r="AJ191" s="156" t="n"/>
      <c r="AK191" s="155" t="inlineStr">
        <is>
          <t>Criterios: I [Q]; G1522_Extraccion_Articulos_NetSuite_2026-09-30.xlsx: fila 58763 [R] | Shopify Stetson: producto 15054563869035 / variante 53350543884651</t>
        </is>
      </c>
      <c r="AL191" s="58" t="n">
        <v>785.5</v>
      </c>
      <c r="AM191" s="58" t="n">
        <v>4568.965517</v>
      </c>
      <c r="AN191" s="155" t="inlineStr">
        <is>
          <t>Shopify Stetson México</t>
        </is>
      </c>
      <c r="AO191" s="59" t="n">
        <v>0</v>
      </c>
      <c r="AP191" s="59" t="n"/>
      <c r="AQ191" s="59" t="n"/>
      <c r="AR191" s="155" t="n"/>
    </row>
    <row r="192">
      <c r="A192" s="50" t="inlineStr">
        <is>
          <t>12020001101004315</t>
        </is>
      </c>
      <c r="B192" s="51" t="inlineStr">
        <is>
          <t>111089</t>
        </is>
      </c>
      <c r="C192" s="156" t="inlineStr">
        <is>
          <t>Multimarca</t>
        </is>
      </c>
      <c r="D192" s="156" t="inlineStr">
        <is>
          <t>12-020-BS001-10-1004</t>
        </is>
      </c>
      <c r="E192" s="156" t="inlineStr">
        <is>
          <t>12-020-BS001-10-1004-315</t>
        </is>
      </c>
      <c r="F192" s="156" t="inlineStr">
        <is>
          <t>31.5</t>
        </is>
      </c>
      <c r="G192" s="156" t="inlineStr">
        <is>
          <t>13.5</t>
        </is>
      </c>
      <c r="H192" s="156" t="inlineStr">
        <is>
          <t>Stetson</t>
        </is>
      </c>
      <c r="I192" s="156" t="inlineStr">
        <is>
          <t>Bota Cabra Cereza</t>
        </is>
      </c>
      <c r="J192" s="156" t="inlineStr">
        <is>
          <t>Calzado</t>
        </is>
      </c>
      <c r="K192" s="156" t="inlineStr">
        <is>
          <t>Botas</t>
        </is>
      </c>
      <c r="L192" s="156" t="inlineStr">
        <is>
          <t>Hombre</t>
        </is>
      </c>
      <c r="M192" s="156" t="inlineStr">
        <is>
          <t>Stetson</t>
        </is>
      </c>
      <c r="N192" s="156" t="inlineStr">
        <is>
          <t>SS26</t>
        </is>
      </c>
      <c r="O192" s="156" t="inlineStr">
        <is>
          <t>Seasonal</t>
        </is>
      </c>
      <c r="P192" s="156" t="inlineStr">
        <is>
          <t>Rojo</t>
        </is>
      </c>
      <c r="Q192" s="156" t="n"/>
      <c r="R192" s="156" t="inlineStr">
        <is>
          <t>Punta Redonda Ancha</t>
        </is>
      </c>
      <c r="S192" s="156" t="inlineStr">
        <is>
          <t>Piel de cabra</t>
        </is>
      </c>
      <c r="T192" s="156" t="inlineStr">
        <is>
          <t>Bota Caballero Piel de cabra Cereza Punta Redonda Ancha</t>
        </is>
      </c>
      <c r="U192" s="156" t="inlineStr">
        <is>
          <t>México</t>
        </is>
      </c>
      <c r="V192" s="156" t="inlineStr">
        <is>
          <t>PRS</t>
        </is>
      </c>
      <c r="W192" s="51" t="inlineStr">
        <is>
          <t>53111501</t>
        </is>
      </c>
      <c r="X192" s="156" t="n"/>
      <c r="Y192" s="54" t="n">
        <v>785.5</v>
      </c>
      <c r="Z192" s="54" t="n">
        <v>4568.965517</v>
      </c>
      <c r="AA192" s="55">
        <f>IF(AND(A192="", B192="", E192=""), "", IF(AB192="", "Válido", IF((LEN(AB192)-LEN(SUBSTITUTE(AB192,"; ","")))/2+1&gt;(LEN(AB192)-LEN(SUBSTITUTE(AB192,"[Aviso]","")))/7, "Con Incidencias", "Válido")))</f>
        <v/>
      </c>
      <c r="AB192" s="56">
        <f>IF(AND(A192="", B192="", E192=""), "", TEXTJOIN("; ", TRUE, IF(OR(TRIM(A192&amp;"")="", ISNUMBER(SEARCH("FALTA", A192))), "UPC faltante/inválido", ""), IF(AND(A192&lt;&gt;"", IFERROR(_xlfn.XMATCH(A192,$A$2:$A$2509,0,1)&lt;&gt;_xlfn.XMATCH(A192,$A$2:$A$2509,0,-1),FALSE)), "Código de barras duplicado", ""), IF(AND(E192&lt;&gt;"", COUNTIF($E$2:$E$2509, E192)&gt;1), "SKU duplicado", ""), IF(OR(J192="", J192=""), "[Aviso] División no capturada ()", IF(ISNA(MATCH(J192, Criterios!$A$123:$A$126, 0)), "División no válida", "")), IF(OR(K192="", K192=""), "[Aviso] Categoría no capturada ()", IF(ISNA(MATCH(K192, Criterios!$A$81:$A$120, 0)), "Categoría no válida", IF(AND(J192&lt;&gt;"", J192&lt;&gt;"", J192&lt;&gt;VLOOKUP(K192, Criterios!$A$81:$B$120, 2, FALSE)), "División no coincide con Categoría", ""))), IF(OR(L192="", L192=""), "[Aviso] Género no capturado ()", IF(ISNA(MATCH(L192, Criterios!$B$123:$B$127, 0)), "Género no válido", "")), IF(OR(N192="", N192=""), "[Aviso] Temporada no capturada ()", IF(ISNA(MATCH(N192, Criterios!$C$123:$C$128, 0)), "Temporada no válida", "")), IF(OR(O192="", O192=""), "[Aviso] Ciclo de vida no capturado ()", IF(ISNA(MATCH(O192, Criterios!$D$123:$D$124, 0)), "Ciclo de vida no válido", ""))))</f>
        <v/>
      </c>
      <c r="AC192" s="56" t="n"/>
      <c r="AD192" s="51" t="n">
        <v>0</v>
      </c>
      <c r="AE192" s="156" t="n"/>
      <c r="AF192" s="51" t="n">
        <v>0</v>
      </c>
      <c r="AG192" s="156" t="inlineStr">
        <is>
          <t>Catálogo existente</t>
        </is>
      </c>
      <c r="AH1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2" s="156" t="inlineStr">
        <is>
          <t>No</t>
        </is>
      </c>
      <c r="AJ192" s="156" t="n"/>
      <c r="AK192" s="155" t="inlineStr">
        <is>
          <t>Criterios: I [Q]; G1522_Extraccion_Articulos_NetSuite_2026-09-30.xlsx: fila 58764 [R] | Shopify Stetson: producto 15054563869035 / variante 53350543950187</t>
        </is>
      </c>
      <c r="AL192" s="58" t="n">
        <v>785.5</v>
      </c>
      <c r="AM192" s="58" t="n">
        <v>4568.965517</v>
      </c>
      <c r="AN192" s="155" t="inlineStr">
        <is>
          <t>Shopify Stetson México</t>
        </is>
      </c>
      <c r="AO192" s="59" t="n">
        <v>0</v>
      </c>
      <c r="AP192" s="59" t="n"/>
      <c r="AQ192" s="59" t="n"/>
      <c r="AR192" s="155" t="n"/>
    </row>
    <row r="193">
      <c r="A193" s="50" t="inlineStr">
        <is>
          <t>12020001101004325</t>
        </is>
      </c>
      <c r="B193" s="51" t="inlineStr">
        <is>
          <t>111090</t>
        </is>
      </c>
      <c r="C193" s="156" t="inlineStr">
        <is>
          <t>Multimarca</t>
        </is>
      </c>
      <c r="D193" s="156" t="inlineStr">
        <is>
          <t>12-020-BS001-10-1004</t>
        </is>
      </c>
      <c r="E193" s="156" t="inlineStr">
        <is>
          <t>12-020-BS001-10-1004-325</t>
        </is>
      </c>
      <c r="F193" s="156" t="inlineStr">
        <is>
          <t>32.5</t>
        </is>
      </c>
      <c r="G193" s="156" t="inlineStr">
        <is>
          <t>14.5</t>
        </is>
      </c>
      <c r="H193" s="156" t="inlineStr">
        <is>
          <t>Stetson</t>
        </is>
      </c>
      <c r="I193" s="156" t="inlineStr">
        <is>
          <t>Bota Cabra Cereza</t>
        </is>
      </c>
      <c r="J193" s="156" t="inlineStr">
        <is>
          <t>Calzado</t>
        </is>
      </c>
      <c r="K193" s="156" t="inlineStr">
        <is>
          <t>Botas</t>
        </is>
      </c>
      <c r="L193" s="156" t="inlineStr">
        <is>
          <t>Hombre</t>
        </is>
      </c>
      <c r="M193" s="156" t="inlineStr">
        <is>
          <t>Stetson</t>
        </is>
      </c>
      <c r="N193" s="156" t="inlineStr">
        <is>
          <t>SS26</t>
        </is>
      </c>
      <c r="O193" s="156" t="inlineStr">
        <is>
          <t>Seasonal</t>
        </is>
      </c>
      <c r="P193" s="156" t="inlineStr">
        <is>
          <t>Rojo</t>
        </is>
      </c>
      <c r="Q193" s="156" t="n"/>
      <c r="R193" s="156" t="inlineStr">
        <is>
          <t>Punta Redonda Ancha</t>
        </is>
      </c>
      <c r="S193" s="156" t="inlineStr">
        <is>
          <t>Piel de cabra</t>
        </is>
      </c>
      <c r="T193" s="156" t="inlineStr">
        <is>
          <t>Bota Caballero Piel de cabra Cereza Punta Redonda Ancha</t>
        </is>
      </c>
      <c r="U193" s="156" t="inlineStr">
        <is>
          <t>México</t>
        </is>
      </c>
      <c r="V193" s="156" t="inlineStr">
        <is>
          <t>PRS</t>
        </is>
      </c>
      <c r="W193" s="51" t="inlineStr">
        <is>
          <t>53111501</t>
        </is>
      </c>
      <c r="X193" s="156" t="n"/>
      <c r="Y193" s="54" t="n">
        <v>785.5</v>
      </c>
      <c r="Z193" s="54" t="n">
        <v>4568.965517</v>
      </c>
      <c r="AA193" s="55">
        <f>IF(AND(A193="", B193="", E193=""), "", IF(AB193="", "Válido", IF((LEN(AB193)-LEN(SUBSTITUTE(AB193,"; ","")))/2+1&gt;(LEN(AB193)-LEN(SUBSTITUTE(AB193,"[Aviso]","")))/7, "Con Incidencias", "Válido")))</f>
        <v/>
      </c>
      <c r="AB193" s="56">
        <f>IF(AND(A193="", B193="", E193=""), "", TEXTJOIN("; ", TRUE, IF(OR(TRIM(A193&amp;"")="", ISNUMBER(SEARCH("FALTA", A193))), "UPC faltante/inválido", ""), IF(AND(A193&lt;&gt;"", IFERROR(_xlfn.XMATCH(A193,$A$2:$A$2509,0,1)&lt;&gt;_xlfn.XMATCH(A193,$A$2:$A$2509,0,-1),FALSE)), "Código de barras duplicado", ""), IF(AND(E193&lt;&gt;"", COUNTIF($E$2:$E$2509, E193)&gt;1), "SKU duplicado", ""), IF(OR(J193="", J193=""), "[Aviso] División no capturada ()", IF(ISNA(MATCH(J193, Criterios!$A$123:$A$126, 0)), "División no válida", "")), IF(OR(K193="", K193=""), "[Aviso] Categoría no capturada ()", IF(ISNA(MATCH(K193, Criterios!$A$81:$A$120, 0)), "Categoría no válida", IF(AND(J193&lt;&gt;"", J193&lt;&gt;"", J193&lt;&gt;VLOOKUP(K193, Criterios!$A$81:$B$120, 2, FALSE)), "División no coincide con Categoría", ""))), IF(OR(L193="", L193=""), "[Aviso] Género no capturado ()", IF(ISNA(MATCH(L193, Criterios!$B$123:$B$127, 0)), "Género no válido", "")), IF(OR(N193="", N193=""), "[Aviso] Temporada no capturada ()", IF(ISNA(MATCH(N193, Criterios!$C$123:$C$128, 0)), "Temporada no válida", "")), IF(OR(O193="", O193=""), "[Aviso] Ciclo de vida no capturado ()", IF(ISNA(MATCH(O193, Criterios!$D$123:$D$124, 0)), "Ciclo de vida no válido", ""))))</f>
        <v/>
      </c>
      <c r="AC193" s="56" t="n"/>
      <c r="AD193" s="51" t="n">
        <v>0</v>
      </c>
      <c r="AE193" s="156" t="n"/>
      <c r="AF193" s="51" t="n">
        <v>0</v>
      </c>
      <c r="AG193" s="156" t="inlineStr">
        <is>
          <t>Catálogo existente</t>
        </is>
      </c>
      <c r="AH1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3" s="156" t="inlineStr">
        <is>
          <t>No</t>
        </is>
      </c>
      <c r="AJ193" s="156" t="n"/>
      <c r="AK193" s="155" t="inlineStr">
        <is>
          <t>Criterios: I [Q]; G1522_Extraccion_Articulos_NetSuite_2026-09-30.xlsx: fila 58765 [R] | Shopify Stetson: producto 15054563869035 / variante 53350544015723</t>
        </is>
      </c>
      <c r="AL193" s="58" t="n">
        <v>785.5</v>
      </c>
      <c r="AM193" s="58" t="n">
        <v>4568.965517</v>
      </c>
      <c r="AN193" s="155" t="inlineStr">
        <is>
          <t>Shopify Stetson México</t>
        </is>
      </c>
      <c r="AO193" s="59" t="n">
        <v>0</v>
      </c>
      <c r="AP193" s="59" t="n"/>
      <c r="AQ193" s="59" t="n"/>
      <c r="AR193" s="155" t="n"/>
    </row>
    <row r="194">
      <c r="A194" s="50" t="inlineStr">
        <is>
          <t>12020002101005025</t>
        </is>
      </c>
      <c r="B194" s="51" t="inlineStr">
        <is>
          <t>111091</t>
        </is>
      </c>
      <c r="C194" s="156" t="inlineStr">
        <is>
          <t>Multimarca</t>
        </is>
      </c>
      <c r="D194" s="156" t="inlineStr">
        <is>
          <t>12-020-BS002-10-1005</t>
        </is>
      </c>
      <c r="E194" s="156" t="inlineStr">
        <is>
          <t>12-020-BS002-10-1005-025</t>
        </is>
      </c>
      <c r="F194" s="156" t="inlineStr">
        <is>
          <t>25</t>
        </is>
      </c>
      <c r="G194" s="156" t="inlineStr">
        <is>
          <t>7</t>
        </is>
      </c>
      <c r="H194" s="156" t="inlineStr">
        <is>
          <t>Stetson</t>
        </is>
      </c>
      <c r="I194" s="156" t="inlineStr">
        <is>
          <t>Bota Gamuza Caramelo</t>
        </is>
      </c>
      <c r="J194" s="156" t="inlineStr">
        <is>
          <t>Calzado</t>
        </is>
      </c>
      <c r="K194" s="156" t="inlineStr">
        <is>
          <t>Botas</t>
        </is>
      </c>
      <c r="L194" s="156" t="inlineStr">
        <is>
          <t>Hombre</t>
        </is>
      </c>
      <c r="M194" s="156" t="inlineStr">
        <is>
          <t>Stetson</t>
        </is>
      </c>
      <c r="N194" s="156" t="inlineStr">
        <is>
          <t>SS26</t>
        </is>
      </c>
      <c r="O194" s="156" t="inlineStr">
        <is>
          <t>Seasonal</t>
        </is>
      </c>
      <c r="P194" s="156" t="inlineStr">
        <is>
          <t>Cafe</t>
        </is>
      </c>
      <c r="Q194" s="156" t="n"/>
      <c r="R194" s="156" t="inlineStr">
        <is>
          <t>Punta Redonda Ancha</t>
        </is>
      </c>
      <c r="S194" s="156" t="inlineStr">
        <is>
          <t>Gamuza</t>
        </is>
      </c>
      <c r="T194" s="156" t="inlineStr">
        <is>
          <t>Bota Caballero Gamuza Caramelo Punta Redonda Ancha</t>
        </is>
      </c>
      <c r="U194" s="156" t="inlineStr">
        <is>
          <t>México</t>
        </is>
      </c>
      <c r="V194" s="156" t="inlineStr">
        <is>
          <t>PRS</t>
        </is>
      </c>
      <c r="W194" s="51" t="inlineStr">
        <is>
          <t>53111501</t>
        </is>
      </c>
      <c r="X194" s="156" t="n"/>
      <c r="Y194" s="54" t="n">
        <v>675</v>
      </c>
      <c r="Z194" s="54" t="n">
        <v>3879.310345</v>
      </c>
      <c r="AA194" s="55">
        <f>IF(AND(A194="", B194="", E194=""), "", IF(AB194="", "Válido", IF((LEN(AB194)-LEN(SUBSTITUTE(AB194,"; ","")))/2+1&gt;(LEN(AB194)-LEN(SUBSTITUTE(AB194,"[Aviso]","")))/7, "Con Incidencias", "Válido")))</f>
        <v/>
      </c>
      <c r="AB194" s="56">
        <f>IF(AND(A194="", B194="", E194=""), "", TEXTJOIN("; ", TRUE, IF(OR(TRIM(A194&amp;"")="", ISNUMBER(SEARCH("FALTA", A194))), "UPC faltante/inválido", ""), IF(AND(A194&lt;&gt;"", IFERROR(_xlfn.XMATCH(A194,$A$2:$A$2509,0,1)&lt;&gt;_xlfn.XMATCH(A194,$A$2:$A$2509,0,-1),FALSE)), "Código de barras duplicado", ""), IF(AND(E194&lt;&gt;"", COUNTIF($E$2:$E$2509, E194)&gt;1), "SKU duplicado", ""), IF(OR(J194="", J194=""), "[Aviso] División no capturada ()", IF(ISNA(MATCH(J194, Criterios!$A$123:$A$126, 0)), "División no válida", "")), IF(OR(K194="", K194=""), "[Aviso] Categoría no capturada ()", IF(ISNA(MATCH(K194, Criterios!$A$81:$A$120, 0)), "Categoría no válida", IF(AND(J194&lt;&gt;"", J194&lt;&gt;"", J194&lt;&gt;VLOOKUP(K194, Criterios!$A$81:$B$120, 2, FALSE)), "División no coincide con Categoría", ""))), IF(OR(L194="", L194=""), "[Aviso] Género no capturado ()", IF(ISNA(MATCH(L194, Criterios!$B$123:$B$127, 0)), "Género no válido", "")), IF(OR(N194="", N194=""), "[Aviso] Temporada no capturada ()", IF(ISNA(MATCH(N194, Criterios!$C$123:$C$128, 0)), "Temporada no válida", "")), IF(OR(O194="", O194=""), "[Aviso] Ciclo de vida no capturado ()", IF(ISNA(MATCH(O194, Criterios!$D$123:$D$124, 0)), "Ciclo de vida no válido", ""))))</f>
        <v/>
      </c>
      <c r="AC194" s="56" t="n"/>
      <c r="AD194" s="51" t="n">
        <v>0</v>
      </c>
      <c r="AE194" s="156" t="n"/>
      <c r="AF194" s="51" t="n">
        <v>0</v>
      </c>
      <c r="AG194" s="156" t="inlineStr">
        <is>
          <t>Catálogo existente</t>
        </is>
      </c>
      <c r="AH1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4" s="156" t="inlineStr">
        <is>
          <t>No</t>
        </is>
      </c>
      <c r="AJ194" s="156" t="n"/>
      <c r="AK194" s="155" t="inlineStr">
        <is>
          <t>Criterios: I [Q]; G1522_Extraccion_Articulos_NetSuite_2026-09-30.xlsx: fila 58766 [R] | Shopify Stetson: producto 15054563901803 / variante 53350544048491</t>
        </is>
      </c>
      <c r="AL194" s="58" t="n">
        <v>675</v>
      </c>
      <c r="AM194" s="58" t="n">
        <v>3879.310345</v>
      </c>
      <c r="AN194" s="155" t="inlineStr">
        <is>
          <t>Shopify Stetson México</t>
        </is>
      </c>
      <c r="AO194" s="59" t="n">
        <v>0</v>
      </c>
      <c r="AP194" s="59" t="n"/>
      <c r="AQ194" s="59" t="n"/>
      <c r="AR194" s="155" t="n"/>
    </row>
    <row r="195">
      <c r="A195" s="50" t="inlineStr">
        <is>
          <t>12020002101005026</t>
        </is>
      </c>
      <c r="B195" s="51" t="inlineStr">
        <is>
          <t>111092</t>
        </is>
      </c>
      <c r="C195" s="156" t="inlineStr">
        <is>
          <t>Multimarca</t>
        </is>
      </c>
      <c r="D195" s="156" t="inlineStr">
        <is>
          <t>12-020-BS002-10-1005</t>
        </is>
      </c>
      <c r="E195" s="156" t="inlineStr">
        <is>
          <t>12-020-BS002-10-1005-026</t>
        </is>
      </c>
      <c r="F195" s="156" t="inlineStr">
        <is>
          <t>26</t>
        </is>
      </c>
      <c r="G195" s="156" t="inlineStr">
        <is>
          <t>8</t>
        </is>
      </c>
      <c r="H195" s="156" t="inlineStr">
        <is>
          <t>Stetson</t>
        </is>
      </c>
      <c r="I195" s="156" t="inlineStr">
        <is>
          <t>Bota Gamuza Caramelo</t>
        </is>
      </c>
      <c r="J195" s="156" t="inlineStr">
        <is>
          <t>Calzado</t>
        </is>
      </c>
      <c r="K195" s="156" t="inlineStr">
        <is>
          <t>Botas</t>
        </is>
      </c>
      <c r="L195" s="156" t="inlineStr">
        <is>
          <t>Hombre</t>
        </is>
      </c>
      <c r="M195" s="156" t="inlineStr">
        <is>
          <t>Stetson</t>
        </is>
      </c>
      <c r="N195" s="156" t="inlineStr">
        <is>
          <t>SS26</t>
        </is>
      </c>
      <c r="O195" s="156" t="inlineStr">
        <is>
          <t>Seasonal</t>
        </is>
      </c>
      <c r="P195" s="156" t="inlineStr">
        <is>
          <t>Cafe</t>
        </is>
      </c>
      <c r="Q195" s="156" t="n"/>
      <c r="R195" s="156" t="inlineStr">
        <is>
          <t>Punta Redonda Ancha</t>
        </is>
      </c>
      <c r="S195" s="156" t="inlineStr">
        <is>
          <t>Gamuza</t>
        </is>
      </c>
      <c r="T195" s="156" t="inlineStr">
        <is>
          <t>Bota Caballero Gamuza Caramelo Punta Redonda Ancha</t>
        </is>
      </c>
      <c r="U195" s="156" t="inlineStr">
        <is>
          <t>México</t>
        </is>
      </c>
      <c r="V195" s="156" t="inlineStr">
        <is>
          <t>PRS</t>
        </is>
      </c>
      <c r="W195" s="51" t="inlineStr">
        <is>
          <t>53111501</t>
        </is>
      </c>
      <c r="X195" s="156" t="n"/>
      <c r="Y195" s="54" t="n">
        <v>675</v>
      </c>
      <c r="Z195" s="54" t="n">
        <v>3879.310345</v>
      </c>
      <c r="AA195" s="55">
        <f>IF(AND(A195="", B195="", E195=""), "", IF(AB195="", "Válido", IF((LEN(AB195)-LEN(SUBSTITUTE(AB195,"; ","")))/2+1&gt;(LEN(AB195)-LEN(SUBSTITUTE(AB195,"[Aviso]","")))/7, "Con Incidencias", "Válido")))</f>
        <v/>
      </c>
      <c r="AB195" s="56">
        <f>IF(AND(A195="", B195="", E195=""), "", TEXTJOIN("; ", TRUE, IF(OR(TRIM(A195&amp;"")="", ISNUMBER(SEARCH("FALTA", A195))), "UPC faltante/inválido", ""), IF(AND(A195&lt;&gt;"", IFERROR(_xlfn.XMATCH(A195,$A$2:$A$2509,0,1)&lt;&gt;_xlfn.XMATCH(A195,$A$2:$A$2509,0,-1),FALSE)), "Código de barras duplicado", ""), IF(AND(E195&lt;&gt;"", COUNTIF($E$2:$E$2509, E195)&gt;1), "SKU duplicado", ""), IF(OR(J195="", J195=""), "[Aviso] División no capturada ()", IF(ISNA(MATCH(J195, Criterios!$A$123:$A$126, 0)), "División no válida", "")), IF(OR(K195="", K195=""), "[Aviso] Categoría no capturada ()", IF(ISNA(MATCH(K195, Criterios!$A$81:$A$120, 0)), "Categoría no válida", IF(AND(J195&lt;&gt;"", J195&lt;&gt;"", J195&lt;&gt;VLOOKUP(K195, Criterios!$A$81:$B$120, 2, FALSE)), "División no coincide con Categoría", ""))), IF(OR(L195="", L195=""), "[Aviso] Género no capturado ()", IF(ISNA(MATCH(L195, Criterios!$B$123:$B$127, 0)), "Género no válido", "")), IF(OR(N195="", N195=""), "[Aviso] Temporada no capturada ()", IF(ISNA(MATCH(N195, Criterios!$C$123:$C$128, 0)), "Temporada no válida", "")), IF(OR(O195="", O195=""), "[Aviso] Ciclo de vida no capturado ()", IF(ISNA(MATCH(O195, Criterios!$D$123:$D$124, 0)), "Ciclo de vida no válido", ""))))</f>
        <v/>
      </c>
      <c r="AC195" s="56" t="n"/>
      <c r="AD195" s="51" t="n">
        <v>1</v>
      </c>
      <c r="AE195" s="156" t="inlineStr">
        <is>
          <t>STETSON AMERICAS (1)</t>
        </is>
      </c>
      <c r="AF195" s="51" t="n">
        <v>1</v>
      </c>
      <c r="AG195" s="156" t="inlineStr">
        <is>
          <t>Catálogo existente</t>
        </is>
      </c>
      <c r="AH1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5" s="156" t="inlineStr">
        <is>
          <t>No</t>
        </is>
      </c>
      <c r="AJ195" s="156" t="n"/>
      <c r="AK195" s="155" t="inlineStr">
        <is>
          <t>Criterios: I [Q]; G1522_Extraccion_Articulos_NetSuite_2026-09-30.xlsx: fila 58767 [R] | Shopify Stetson: producto 15054563901803 / variante 53350544114027</t>
        </is>
      </c>
      <c r="AL195" s="58" t="n">
        <v>675</v>
      </c>
      <c r="AM195" s="58" t="n">
        <v>3879.310345</v>
      </c>
      <c r="AN195" s="155" t="inlineStr">
        <is>
          <t>Shopify Stetson México</t>
        </is>
      </c>
      <c r="AO195" s="59" t="n">
        <v>1</v>
      </c>
      <c r="AP195" s="59" t="n"/>
      <c r="AQ195" s="59" t="n"/>
      <c r="AR195" s="155" t="inlineStr">
        <is>
          <t>Shopify Stetson México › Stetson Americas: 1</t>
        </is>
      </c>
    </row>
    <row r="196">
      <c r="A196" s="50" t="inlineStr">
        <is>
          <t>12020002101005027</t>
        </is>
      </c>
      <c r="B196" s="51" t="inlineStr">
        <is>
          <t>111093</t>
        </is>
      </c>
      <c r="C196" s="156" t="inlineStr">
        <is>
          <t>Multimarca</t>
        </is>
      </c>
      <c r="D196" s="156" t="inlineStr">
        <is>
          <t>12-020-BS002-10-1005</t>
        </is>
      </c>
      <c r="E196" s="156" t="inlineStr">
        <is>
          <t>12-020-BS002-10-1005-027</t>
        </is>
      </c>
      <c r="F196" s="156" t="inlineStr">
        <is>
          <t>27</t>
        </is>
      </c>
      <c r="G196" s="156" t="inlineStr">
        <is>
          <t>9</t>
        </is>
      </c>
      <c r="H196" s="156" t="inlineStr">
        <is>
          <t>Stetson</t>
        </is>
      </c>
      <c r="I196" s="156" t="inlineStr">
        <is>
          <t>Bota Gamuza Caramelo</t>
        </is>
      </c>
      <c r="J196" s="156" t="inlineStr">
        <is>
          <t>Calzado</t>
        </is>
      </c>
      <c r="K196" s="156" t="inlineStr">
        <is>
          <t>Botas</t>
        </is>
      </c>
      <c r="L196" s="156" t="inlineStr">
        <is>
          <t>Hombre</t>
        </is>
      </c>
      <c r="M196" s="156" t="inlineStr">
        <is>
          <t>Stetson</t>
        </is>
      </c>
      <c r="N196" s="156" t="inlineStr">
        <is>
          <t>SS26</t>
        </is>
      </c>
      <c r="O196" s="156" t="inlineStr">
        <is>
          <t>Seasonal</t>
        </is>
      </c>
      <c r="P196" s="156" t="inlineStr">
        <is>
          <t>Cafe</t>
        </is>
      </c>
      <c r="Q196" s="156" t="n"/>
      <c r="R196" s="156" t="inlineStr">
        <is>
          <t>Punta Redonda Ancha</t>
        </is>
      </c>
      <c r="S196" s="156" t="inlineStr">
        <is>
          <t>Gamuza</t>
        </is>
      </c>
      <c r="T196" s="156" t="inlineStr">
        <is>
          <t>Bota Caballero Gamuza Caramelo Punta Redonda Ancha</t>
        </is>
      </c>
      <c r="U196" s="156" t="inlineStr">
        <is>
          <t>México</t>
        </is>
      </c>
      <c r="V196" s="156" t="inlineStr">
        <is>
          <t>PRS</t>
        </is>
      </c>
      <c r="W196" s="51" t="inlineStr">
        <is>
          <t>53111501</t>
        </is>
      </c>
      <c r="X196" s="156" t="n"/>
      <c r="Y196" s="54" t="n">
        <v>675</v>
      </c>
      <c r="Z196" s="54" t="n">
        <v>3879.310345</v>
      </c>
      <c r="AA196" s="55">
        <f>IF(AND(A196="", B196="", E196=""), "", IF(AB196="", "Válido", IF((LEN(AB196)-LEN(SUBSTITUTE(AB196,"; ","")))/2+1&gt;(LEN(AB196)-LEN(SUBSTITUTE(AB196,"[Aviso]","")))/7, "Con Incidencias", "Válido")))</f>
        <v/>
      </c>
      <c r="AB196" s="56">
        <f>IF(AND(A196="", B196="", E196=""), "", TEXTJOIN("; ", TRUE, IF(OR(TRIM(A196&amp;"")="", ISNUMBER(SEARCH("FALTA", A196))), "UPC faltante/inválido", ""), IF(AND(A196&lt;&gt;"", IFERROR(_xlfn.XMATCH(A196,$A$2:$A$2509,0,1)&lt;&gt;_xlfn.XMATCH(A196,$A$2:$A$2509,0,-1),FALSE)), "Código de barras duplicado", ""), IF(AND(E196&lt;&gt;"", COUNTIF($E$2:$E$2509, E196)&gt;1), "SKU duplicado", ""), IF(OR(J196="", J196=""), "[Aviso] División no capturada ()", IF(ISNA(MATCH(J196, Criterios!$A$123:$A$126, 0)), "División no válida", "")), IF(OR(K196="", K196=""), "[Aviso] Categoría no capturada ()", IF(ISNA(MATCH(K196, Criterios!$A$81:$A$120, 0)), "Categoría no válida", IF(AND(J196&lt;&gt;"", J196&lt;&gt;"", J196&lt;&gt;VLOOKUP(K196, Criterios!$A$81:$B$120, 2, FALSE)), "División no coincide con Categoría", ""))), IF(OR(L196="", L196=""), "[Aviso] Género no capturado ()", IF(ISNA(MATCH(L196, Criterios!$B$123:$B$127, 0)), "Género no válido", "")), IF(OR(N196="", N196=""), "[Aviso] Temporada no capturada ()", IF(ISNA(MATCH(N196, Criterios!$C$123:$C$128, 0)), "Temporada no válida", "")), IF(OR(O196="", O196=""), "[Aviso] Ciclo de vida no capturado ()", IF(ISNA(MATCH(O196, Criterios!$D$123:$D$124, 0)), "Ciclo de vida no válido", ""))))</f>
        <v/>
      </c>
      <c r="AC196" s="56" t="n"/>
      <c r="AD196" s="51" t="n">
        <v>2</v>
      </c>
      <c r="AE196" s="156" t="inlineStr">
        <is>
          <t>STETSON AMERICAS (2)</t>
        </is>
      </c>
      <c r="AF196" s="51" t="n">
        <v>2</v>
      </c>
      <c r="AG196" s="156" t="inlineStr">
        <is>
          <t>Catálogo existente</t>
        </is>
      </c>
      <c r="AH1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6" s="156" t="inlineStr">
        <is>
          <t>No</t>
        </is>
      </c>
      <c r="AJ196" s="156" t="n"/>
      <c r="AK196" s="155" t="inlineStr">
        <is>
          <t>Criterios: I [Q]; G1522_Extraccion_Articulos_NetSuite_2026-09-30.xlsx: fila 58768 [R] | Shopify Stetson: producto 15054563901803 / variante 53350544179563</t>
        </is>
      </c>
      <c r="AL196" s="58" t="n">
        <v>675</v>
      </c>
      <c r="AM196" s="58" t="n">
        <v>3879.310345</v>
      </c>
      <c r="AN196" s="155" t="inlineStr">
        <is>
          <t>Shopify Stetson México</t>
        </is>
      </c>
      <c r="AO196" s="59" t="n">
        <v>2</v>
      </c>
      <c r="AP196" s="59" t="n"/>
      <c r="AQ196" s="59" t="n"/>
      <c r="AR196" s="155" t="inlineStr">
        <is>
          <t>Shopify Stetson México › Stetson Americas: 2</t>
        </is>
      </c>
    </row>
    <row r="197">
      <c r="A197" s="50" t="inlineStr">
        <is>
          <t>12020002101005028</t>
        </is>
      </c>
      <c r="B197" s="51" t="inlineStr">
        <is>
          <t>111094</t>
        </is>
      </c>
      <c r="C197" s="156" t="inlineStr">
        <is>
          <t>Multimarca</t>
        </is>
      </c>
      <c r="D197" s="156" t="inlineStr">
        <is>
          <t>12-020-BS002-10-1005</t>
        </is>
      </c>
      <c r="E197" s="156" t="inlineStr">
        <is>
          <t>12-020-BS002-10-1005-028</t>
        </is>
      </c>
      <c r="F197" s="156" t="inlineStr">
        <is>
          <t>28</t>
        </is>
      </c>
      <c r="G197" s="156" t="inlineStr">
        <is>
          <t>10</t>
        </is>
      </c>
      <c r="H197" s="156" t="inlineStr">
        <is>
          <t>Stetson</t>
        </is>
      </c>
      <c r="I197" s="156" t="inlineStr">
        <is>
          <t>Bota Gamuza Caramelo</t>
        </is>
      </c>
      <c r="J197" s="156" t="inlineStr">
        <is>
          <t>Calzado</t>
        </is>
      </c>
      <c r="K197" s="156" t="inlineStr">
        <is>
          <t>Botas</t>
        </is>
      </c>
      <c r="L197" s="156" t="inlineStr">
        <is>
          <t>Hombre</t>
        </is>
      </c>
      <c r="M197" s="156" t="inlineStr">
        <is>
          <t>Stetson</t>
        </is>
      </c>
      <c r="N197" s="156" t="inlineStr">
        <is>
          <t>SS26</t>
        </is>
      </c>
      <c r="O197" s="156" t="inlineStr">
        <is>
          <t>Seasonal</t>
        </is>
      </c>
      <c r="P197" s="156" t="inlineStr">
        <is>
          <t>Cafe</t>
        </is>
      </c>
      <c r="Q197" s="156" t="n"/>
      <c r="R197" s="156" t="inlineStr">
        <is>
          <t>Punta Redonda Ancha</t>
        </is>
      </c>
      <c r="S197" s="156" t="inlineStr">
        <is>
          <t>Gamuza</t>
        </is>
      </c>
      <c r="T197" s="156" t="inlineStr">
        <is>
          <t>Bota Caballero Gamuza Caramelo Punta Redonda Ancha</t>
        </is>
      </c>
      <c r="U197" s="156" t="inlineStr">
        <is>
          <t>México</t>
        </is>
      </c>
      <c r="V197" s="156" t="inlineStr">
        <is>
          <t>PRS</t>
        </is>
      </c>
      <c r="W197" s="51" t="inlineStr">
        <is>
          <t>53111501</t>
        </is>
      </c>
      <c r="X197" s="156" t="n"/>
      <c r="Y197" s="54" t="n">
        <v>675</v>
      </c>
      <c r="Z197" s="54" t="n">
        <v>3879.310345</v>
      </c>
      <c r="AA197" s="55">
        <f>IF(AND(A197="", B197="", E197=""), "", IF(AB197="", "Válido", IF((LEN(AB197)-LEN(SUBSTITUTE(AB197,"; ","")))/2+1&gt;(LEN(AB197)-LEN(SUBSTITUTE(AB197,"[Aviso]","")))/7, "Con Incidencias", "Válido")))</f>
        <v/>
      </c>
      <c r="AB197" s="56">
        <f>IF(AND(A197="", B197="", E197=""), "", TEXTJOIN("; ", TRUE, IF(OR(TRIM(A197&amp;"")="", ISNUMBER(SEARCH("FALTA", A197))), "UPC faltante/inválido", ""), IF(AND(A197&lt;&gt;"", IFERROR(_xlfn.XMATCH(A197,$A$2:$A$2509,0,1)&lt;&gt;_xlfn.XMATCH(A197,$A$2:$A$2509,0,-1),FALSE)), "Código de barras duplicado", ""), IF(AND(E197&lt;&gt;"", COUNTIF($E$2:$E$2509, E197)&gt;1), "SKU duplicado", ""), IF(OR(J197="", J197=""), "[Aviso] División no capturada ()", IF(ISNA(MATCH(J197, Criterios!$A$123:$A$126, 0)), "División no válida", "")), IF(OR(K197="", K197=""), "[Aviso] Categoría no capturada ()", IF(ISNA(MATCH(K197, Criterios!$A$81:$A$120, 0)), "Categoría no válida", IF(AND(J197&lt;&gt;"", J197&lt;&gt;"", J197&lt;&gt;VLOOKUP(K197, Criterios!$A$81:$B$120, 2, FALSE)), "División no coincide con Categoría", ""))), IF(OR(L197="", L197=""), "[Aviso] Género no capturado ()", IF(ISNA(MATCH(L197, Criterios!$B$123:$B$127, 0)), "Género no válido", "")), IF(OR(N197="", N197=""), "[Aviso] Temporada no capturada ()", IF(ISNA(MATCH(N197, Criterios!$C$123:$C$128, 0)), "Temporada no válida", "")), IF(OR(O197="", O197=""), "[Aviso] Ciclo de vida no capturado ()", IF(ISNA(MATCH(O197, Criterios!$D$123:$D$124, 0)), "Ciclo de vida no válido", ""))))</f>
        <v/>
      </c>
      <c r="AC197" s="56" t="n"/>
      <c r="AD197" s="51" t="n">
        <v>1</v>
      </c>
      <c r="AE197" s="156" t="inlineStr">
        <is>
          <t>STETSON AMERICAS (1)</t>
        </is>
      </c>
      <c r="AF197" s="51" t="n">
        <v>1</v>
      </c>
      <c r="AG197" s="156" t="inlineStr">
        <is>
          <t>Catálogo existente</t>
        </is>
      </c>
      <c r="AH1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7" s="156" t="inlineStr">
        <is>
          <t>No</t>
        </is>
      </c>
      <c r="AJ197" s="156" t="n"/>
      <c r="AK197" s="155" t="inlineStr">
        <is>
          <t>Criterios: I [Q]; G1522_Extraccion_Articulos_NetSuite_2026-09-30.xlsx: fila 58769 [R] | Shopify Stetson: producto 15054563901803 / variante 53350544245099</t>
        </is>
      </c>
      <c r="AL197" s="58" t="n">
        <v>675</v>
      </c>
      <c r="AM197" s="58" t="n">
        <v>3879.310345</v>
      </c>
      <c r="AN197" s="155" t="inlineStr">
        <is>
          <t>Shopify Stetson México</t>
        </is>
      </c>
      <c r="AO197" s="59" t="n">
        <v>1</v>
      </c>
      <c r="AP197" s="59" t="n"/>
      <c r="AQ197" s="59" t="n"/>
      <c r="AR197" s="155" t="inlineStr">
        <is>
          <t>Shopify Stetson México › Stetson Americas: 1</t>
        </is>
      </c>
    </row>
    <row r="198">
      <c r="A198" s="50" t="inlineStr">
        <is>
          <t>12020002101005029</t>
        </is>
      </c>
      <c r="B198" s="51" t="inlineStr">
        <is>
          <t>111095</t>
        </is>
      </c>
      <c r="C198" s="156" t="inlineStr">
        <is>
          <t>Multimarca</t>
        </is>
      </c>
      <c r="D198" s="156" t="inlineStr">
        <is>
          <t>12-020-BS002-10-1005</t>
        </is>
      </c>
      <c r="E198" s="156" t="inlineStr">
        <is>
          <t>12-020-BS002-10-1005-029</t>
        </is>
      </c>
      <c r="F198" s="156" t="inlineStr">
        <is>
          <t>29</t>
        </is>
      </c>
      <c r="G198" s="156" t="inlineStr">
        <is>
          <t>11</t>
        </is>
      </c>
      <c r="H198" s="156" t="inlineStr">
        <is>
          <t>Stetson</t>
        </is>
      </c>
      <c r="I198" s="156" t="inlineStr">
        <is>
          <t>Bota Gamuza Caramelo</t>
        </is>
      </c>
      <c r="J198" s="156" t="inlineStr">
        <is>
          <t>Calzado</t>
        </is>
      </c>
      <c r="K198" s="156" t="inlineStr">
        <is>
          <t>Botas</t>
        </is>
      </c>
      <c r="L198" s="156" t="inlineStr">
        <is>
          <t>Hombre</t>
        </is>
      </c>
      <c r="M198" s="156" t="inlineStr">
        <is>
          <t>Stetson</t>
        </is>
      </c>
      <c r="N198" s="156" t="inlineStr">
        <is>
          <t>SS26</t>
        </is>
      </c>
      <c r="O198" s="156" t="inlineStr">
        <is>
          <t>Seasonal</t>
        </is>
      </c>
      <c r="P198" s="156" t="inlineStr">
        <is>
          <t>Cafe</t>
        </is>
      </c>
      <c r="Q198" s="156" t="n"/>
      <c r="R198" s="156" t="inlineStr">
        <is>
          <t>Punta Redonda Ancha</t>
        </is>
      </c>
      <c r="S198" s="156" t="inlineStr">
        <is>
          <t>Gamuza</t>
        </is>
      </c>
      <c r="T198" s="156" t="inlineStr">
        <is>
          <t>Bota Caballero Gamuza Caramelo Punta Redonda Ancha</t>
        </is>
      </c>
      <c r="U198" s="156" t="inlineStr">
        <is>
          <t>México</t>
        </is>
      </c>
      <c r="V198" s="156" t="inlineStr">
        <is>
          <t>PRS</t>
        </is>
      </c>
      <c r="W198" s="51" t="inlineStr">
        <is>
          <t>53111501</t>
        </is>
      </c>
      <c r="X198" s="156" t="n"/>
      <c r="Y198" s="54" t="n">
        <v>675</v>
      </c>
      <c r="Z198" s="54" t="n">
        <v>3879.310345</v>
      </c>
      <c r="AA198" s="55">
        <f>IF(AND(A198="", B198="", E198=""), "", IF(AB198="", "Válido", IF((LEN(AB198)-LEN(SUBSTITUTE(AB198,"; ","")))/2+1&gt;(LEN(AB198)-LEN(SUBSTITUTE(AB198,"[Aviso]","")))/7, "Con Incidencias", "Válido")))</f>
        <v/>
      </c>
      <c r="AB198" s="56">
        <f>IF(AND(A198="", B198="", E198=""), "", TEXTJOIN("; ", TRUE, IF(OR(TRIM(A198&amp;"")="", ISNUMBER(SEARCH("FALTA", A198))), "UPC faltante/inválido", ""), IF(AND(A198&lt;&gt;"", IFERROR(_xlfn.XMATCH(A198,$A$2:$A$2509,0,1)&lt;&gt;_xlfn.XMATCH(A198,$A$2:$A$2509,0,-1),FALSE)), "Código de barras duplicado", ""), IF(AND(E198&lt;&gt;"", COUNTIF($E$2:$E$2509, E198)&gt;1), "SKU duplicado", ""), IF(OR(J198="", J198=""), "[Aviso] División no capturada ()", IF(ISNA(MATCH(J198, Criterios!$A$123:$A$126, 0)), "División no válida", "")), IF(OR(K198="", K198=""), "[Aviso] Categoría no capturada ()", IF(ISNA(MATCH(K198, Criterios!$A$81:$A$120, 0)), "Categoría no válida", IF(AND(J198&lt;&gt;"", J198&lt;&gt;"", J198&lt;&gt;VLOOKUP(K198, Criterios!$A$81:$B$120, 2, FALSE)), "División no coincide con Categoría", ""))), IF(OR(L198="", L198=""), "[Aviso] Género no capturado ()", IF(ISNA(MATCH(L198, Criterios!$B$123:$B$127, 0)), "Género no válido", "")), IF(OR(N198="", N198=""), "[Aviso] Temporada no capturada ()", IF(ISNA(MATCH(N198, Criterios!$C$123:$C$128, 0)), "Temporada no válida", "")), IF(OR(O198="", O198=""), "[Aviso] Ciclo de vida no capturado ()", IF(ISNA(MATCH(O198, Criterios!$D$123:$D$124, 0)), "Ciclo de vida no válido", ""))))</f>
        <v/>
      </c>
      <c r="AC198" s="56" t="n"/>
      <c r="AD198" s="51" t="n">
        <v>1</v>
      </c>
      <c r="AE198" s="156" t="inlineStr">
        <is>
          <t>STETSON AMERICAS (1)</t>
        </is>
      </c>
      <c r="AF198" s="51" t="n">
        <v>1</v>
      </c>
      <c r="AG198" s="156" t="inlineStr">
        <is>
          <t>Catálogo existente</t>
        </is>
      </c>
      <c r="AH1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8" s="156" t="inlineStr">
        <is>
          <t>No</t>
        </is>
      </c>
      <c r="AJ198" s="156" t="n"/>
      <c r="AK198" s="155" t="inlineStr">
        <is>
          <t>Criterios: I [Q]; G1522_Extraccion_Articulos_NetSuite_2026-09-30.xlsx: fila 58770 [R] | Shopify Stetson: producto 15054563901803 / variante 53350544310635</t>
        </is>
      </c>
      <c r="AL198" s="58" t="n">
        <v>675</v>
      </c>
      <c r="AM198" s="58" t="n">
        <v>3879.310345</v>
      </c>
      <c r="AN198" s="155" t="inlineStr">
        <is>
          <t>Shopify Stetson México</t>
        </is>
      </c>
      <c r="AO198" s="59" t="n">
        <v>1</v>
      </c>
      <c r="AP198" s="59" t="n"/>
      <c r="AQ198" s="59" t="n"/>
      <c r="AR198" s="155" t="inlineStr">
        <is>
          <t>Shopify Stetson México › Stetson Americas: 1</t>
        </is>
      </c>
    </row>
    <row r="199">
      <c r="A199" s="50" t="inlineStr">
        <is>
          <t>12020002101005030</t>
        </is>
      </c>
      <c r="B199" s="51" t="inlineStr">
        <is>
          <t>111096</t>
        </is>
      </c>
      <c r="C199" s="156" t="inlineStr">
        <is>
          <t>Multimarca</t>
        </is>
      </c>
      <c r="D199" s="156" t="inlineStr">
        <is>
          <t>12-020-BS002-10-1005</t>
        </is>
      </c>
      <c r="E199" s="156" t="inlineStr">
        <is>
          <t>12-020-BS002-10-1005-030</t>
        </is>
      </c>
      <c r="F199" s="156" t="inlineStr">
        <is>
          <t>30</t>
        </is>
      </c>
      <c r="G199" s="156" t="inlineStr">
        <is>
          <t>12</t>
        </is>
      </c>
      <c r="H199" s="156" t="inlineStr">
        <is>
          <t>Stetson</t>
        </is>
      </c>
      <c r="I199" s="156" t="inlineStr">
        <is>
          <t>Bota Gamuza Caramelo</t>
        </is>
      </c>
      <c r="J199" s="156" t="inlineStr">
        <is>
          <t>Calzado</t>
        </is>
      </c>
      <c r="K199" s="156" t="inlineStr">
        <is>
          <t>Botas</t>
        </is>
      </c>
      <c r="L199" s="156" t="inlineStr">
        <is>
          <t>Hombre</t>
        </is>
      </c>
      <c r="M199" s="156" t="inlineStr">
        <is>
          <t>Stetson</t>
        </is>
      </c>
      <c r="N199" s="156" t="inlineStr">
        <is>
          <t>SS26</t>
        </is>
      </c>
      <c r="O199" s="156" t="inlineStr">
        <is>
          <t>Seasonal</t>
        </is>
      </c>
      <c r="P199" s="156" t="inlineStr">
        <is>
          <t>Cafe</t>
        </is>
      </c>
      <c r="Q199" s="156" t="n"/>
      <c r="R199" s="156" t="inlineStr">
        <is>
          <t>Punta Redonda Ancha</t>
        </is>
      </c>
      <c r="S199" s="156" t="inlineStr">
        <is>
          <t>Gamuza</t>
        </is>
      </c>
      <c r="T199" s="156" t="inlineStr">
        <is>
          <t>Bota Caballero Gamuza Caramelo Punta Redonda Ancha</t>
        </is>
      </c>
      <c r="U199" s="156" t="inlineStr">
        <is>
          <t>México</t>
        </is>
      </c>
      <c r="V199" s="156" t="inlineStr">
        <is>
          <t>PRS</t>
        </is>
      </c>
      <c r="W199" s="51" t="inlineStr">
        <is>
          <t>53111501</t>
        </is>
      </c>
      <c r="X199" s="156" t="n"/>
      <c r="Y199" s="54" t="n">
        <v>675</v>
      </c>
      <c r="Z199" s="54" t="n">
        <v>3879.310345</v>
      </c>
      <c r="AA199" s="55">
        <f>IF(AND(A199="", B199="", E199=""), "", IF(AB199="", "Válido", IF((LEN(AB199)-LEN(SUBSTITUTE(AB199,"; ","")))/2+1&gt;(LEN(AB199)-LEN(SUBSTITUTE(AB199,"[Aviso]","")))/7, "Con Incidencias", "Válido")))</f>
        <v/>
      </c>
      <c r="AB199" s="56">
        <f>IF(AND(A199="", B199="", E199=""), "", TEXTJOIN("; ", TRUE, IF(OR(TRIM(A199&amp;"")="", ISNUMBER(SEARCH("FALTA", A199))), "UPC faltante/inválido", ""), IF(AND(A199&lt;&gt;"", IFERROR(_xlfn.XMATCH(A199,$A$2:$A$2509,0,1)&lt;&gt;_xlfn.XMATCH(A199,$A$2:$A$2509,0,-1),FALSE)), "Código de barras duplicado", ""), IF(AND(E199&lt;&gt;"", COUNTIF($E$2:$E$2509, E199)&gt;1), "SKU duplicado", ""), IF(OR(J199="", J199=""), "[Aviso] División no capturada ()", IF(ISNA(MATCH(J199, Criterios!$A$123:$A$126, 0)), "División no válida", "")), IF(OR(K199="", K199=""), "[Aviso] Categoría no capturada ()", IF(ISNA(MATCH(K199, Criterios!$A$81:$A$120, 0)), "Categoría no válida", IF(AND(J199&lt;&gt;"", J199&lt;&gt;"", J199&lt;&gt;VLOOKUP(K199, Criterios!$A$81:$B$120, 2, FALSE)), "División no coincide con Categoría", ""))), IF(OR(L199="", L199=""), "[Aviso] Género no capturado ()", IF(ISNA(MATCH(L199, Criterios!$B$123:$B$127, 0)), "Género no válido", "")), IF(OR(N199="", N199=""), "[Aviso] Temporada no capturada ()", IF(ISNA(MATCH(N199, Criterios!$C$123:$C$128, 0)), "Temporada no válida", "")), IF(OR(O199="", O199=""), "[Aviso] Ciclo de vida no capturado ()", IF(ISNA(MATCH(O199, Criterios!$D$123:$D$124, 0)), "Ciclo de vida no válido", ""))))</f>
        <v/>
      </c>
      <c r="AC199" s="56" t="n"/>
      <c r="AD199" s="51" t="n">
        <v>1</v>
      </c>
      <c r="AE199" s="156" t="inlineStr">
        <is>
          <t>STETSON AMERICAS (1)</t>
        </is>
      </c>
      <c r="AF199" s="51" t="n">
        <v>1</v>
      </c>
      <c r="AG199" s="156" t="inlineStr">
        <is>
          <t>Catálogo existente</t>
        </is>
      </c>
      <c r="AH1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9" s="156" t="inlineStr">
        <is>
          <t>No</t>
        </is>
      </c>
      <c r="AJ199" s="156" t="n"/>
      <c r="AK199" s="155" t="inlineStr">
        <is>
          <t>Criterios: I [Q]; G1522_Extraccion_Articulos_NetSuite_2026-09-30.xlsx: fila 58771 [R] | Shopify Stetson: producto 15054563901803 / variante 53350544376171</t>
        </is>
      </c>
      <c r="AL199" s="58" t="n">
        <v>675</v>
      </c>
      <c r="AM199" s="58" t="n">
        <v>3879.310345</v>
      </c>
      <c r="AN199" s="155" t="inlineStr">
        <is>
          <t>Shopify Stetson México</t>
        </is>
      </c>
      <c r="AO199" s="59" t="n">
        <v>1</v>
      </c>
      <c r="AP199" s="59" t="n"/>
      <c r="AQ199" s="59" t="n"/>
      <c r="AR199" s="155" t="inlineStr">
        <is>
          <t>Shopify Stetson México › Stetson Americas: 1</t>
        </is>
      </c>
    </row>
    <row r="200">
      <c r="A200" s="50" t="inlineStr">
        <is>
          <t>12020002101005031</t>
        </is>
      </c>
      <c r="B200" s="51" t="inlineStr">
        <is>
          <t>111097</t>
        </is>
      </c>
      <c r="C200" s="156" t="inlineStr">
        <is>
          <t>Multimarca</t>
        </is>
      </c>
      <c r="D200" s="156" t="inlineStr">
        <is>
          <t>12-020-BS002-10-1005</t>
        </is>
      </c>
      <c r="E200" s="156" t="inlineStr">
        <is>
          <t>12-020-BS002-10-1005-031</t>
        </is>
      </c>
      <c r="F200" s="156" t="inlineStr">
        <is>
          <t>31</t>
        </is>
      </c>
      <c r="G200" s="156" t="inlineStr">
        <is>
          <t>13</t>
        </is>
      </c>
      <c r="H200" s="156" t="inlineStr">
        <is>
          <t>Stetson</t>
        </is>
      </c>
      <c r="I200" s="156" t="inlineStr">
        <is>
          <t>Bota Gamuza Caramelo</t>
        </is>
      </c>
      <c r="J200" s="156" t="inlineStr">
        <is>
          <t>Calzado</t>
        </is>
      </c>
      <c r="K200" s="156" t="inlineStr">
        <is>
          <t>Botas</t>
        </is>
      </c>
      <c r="L200" s="156" t="inlineStr">
        <is>
          <t>Hombre</t>
        </is>
      </c>
      <c r="M200" s="156" t="inlineStr">
        <is>
          <t>Stetson</t>
        </is>
      </c>
      <c r="N200" s="156" t="inlineStr">
        <is>
          <t>SS26</t>
        </is>
      </c>
      <c r="O200" s="156" t="inlineStr">
        <is>
          <t>Seasonal</t>
        </is>
      </c>
      <c r="P200" s="156" t="inlineStr">
        <is>
          <t>Cafe</t>
        </is>
      </c>
      <c r="Q200" s="156" t="n"/>
      <c r="R200" s="156" t="inlineStr">
        <is>
          <t>Punta Redonda Ancha</t>
        </is>
      </c>
      <c r="S200" s="156" t="inlineStr">
        <is>
          <t>Gamuza</t>
        </is>
      </c>
      <c r="T200" s="156" t="inlineStr">
        <is>
          <t>Bota Caballero Gamuza Caramelo Punta Redonda Ancha</t>
        </is>
      </c>
      <c r="U200" s="156" t="inlineStr">
        <is>
          <t>México</t>
        </is>
      </c>
      <c r="V200" s="156" t="inlineStr">
        <is>
          <t>PRS</t>
        </is>
      </c>
      <c r="W200" s="51" t="inlineStr">
        <is>
          <t>53111501</t>
        </is>
      </c>
      <c r="X200" s="156" t="n"/>
      <c r="Y200" s="54" t="n">
        <v>675</v>
      </c>
      <c r="Z200" s="54" t="n">
        <v>3879.310345</v>
      </c>
      <c r="AA200" s="55">
        <f>IF(AND(A200="", B200="", E200=""), "", IF(AB200="", "Válido", IF((LEN(AB200)-LEN(SUBSTITUTE(AB200,"; ","")))/2+1&gt;(LEN(AB200)-LEN(SUBSTITUTE(AB200,"[Aviso]","")))/7, "Con Incidencias", "Válido")))</f>
        <v/>
      </c>
      <c r="AB200" s="56">
        <f>IF(AND(A200="", B200="", E200=""), "", TEXTJOIN("; ", TRUE, IF(OR(TRIM(A200&amp;"")="", ISNUMBER(SEARCH("FALTA", A200))), "UPC faltante/inválido", ""), IF(AND(A200&lt;&gt;"", IFERROR(_xlfn.XMATCH(A200,$A$2:$A$2509,0,1)&lt;&gt;_xlfn.XMATCH(A200,$A$2:$A$2509,0,-1),FALSE)), "Código de barras duplicado", ""), IF(AND(E200&lt;&gt;"", COUNTIF($E$2:$E$2509, E200)&gt;1), "SKU duplicado", ""), IF(OR(J200="", J200=""), "[Aviso] División no capturada ()", IF(ISNA(MATCH(J200, Criterios!$A$123:$A$126, 0)), "División no válida", "")), IF(OR(K200="", K200=""), "[Aviso] Categoría no capturada ()", IF(ISNA(MATCH(K200, Criterios!$A$81:$A$120, 0)), "Categoría no válida", IF(AND(J200&lt;&gt;"", J200&lt;&gt;"", J200&lt;&gt;VLOOKUP(K200, Criterios!$A$81:$B$120, 2, FALSE)), "División no coincide con Categoría", ""))), IF(OR(L200="", L200=""), "[Aviso] Género no capturado ()", IF(ISNA(MATCH(L200, Criterios!$B$123:$B$127, 0)), "Género no válido", "")), IF(OR(N200="", N200=""), "[Aviso] Temporada no capturada ()", IF(ISNA(MATCH(N200, Criterios!$C$123:$C$128, 0)), "Temporada no válida", "")), IF(OR(O200="", O200=""), "[Aviso] Ciclo de vida no capturado ()", IF(ISNA(MATCH(O200, Criterios!$D$123:$D$124, 0)), "Ciclo de vida no válido", ""))))</f>
        <v/>
      </c>
      <c r="AC200" s="56" t="n"/>
      <c r="AD200" s="51" t="n">
        <v>1</v>
      </c>
      <c r="AE200" s="156" t="inlineStr">
        <is>
          <t>STETSON AMERICAS (1)</t>
        </is>
      </c>
      <c r="AF200" s="51" t="n">
        <v>1</v>
      </c>
      <c r="AG200" s="156" t="inlineStr">
        <is>
          <t>Catálogo existente</t>
        </is>
      </c>
      <c r="AH2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0" s="156" t="inlineStr">
        <is>
          <t>No</t>
        </is>
      </c>
      <c r="AJ200" s="156" t="n"/>
      <c r="AK200" s="155" t="inlineStr">
        <is>
          <t>Criterios: I [Q]; G1522_Extraccion_Articulos_NetSuite_2026-09-30.xlsx: fila 58772 [R] | Shopify Stetson: producto 15054563901803 / variante 53350544441707</t>
        </is>
      </c>
      <c r="AL200" s="58" t="n">
        <v>675</v>
      </c>
      <c r="AM200" s="58" t="n">
        <v>3879.310345</v>
      </c>
      <c r="AN200" s="155" t="inlineStr">
        <is>
          <t>Shopify Stetson México</t>
        </is>
      </c>
      <c r="AO200" s="59" t="n">
        <v>1</v>
      </c>
      <c r="AP200" s="59" t="n"/>
      <c r="AQ200" s="59" t="n"/>
      <c r="AR200" s="155" t="inlineStr">
        <is>
          <t>Shopify Stetson México › Stetson Americas: 1</t>
        </is>
      </c>
    </row>
    <row r="201">
      <c r="A201" s="50" t="inlineStr">
        <is>
          <t>12020002101005032</t>
        </is>
      </c>
      <c r="B201" s="51" t="inlineStr">
        <is>
          <t>111098</t>
        </is>
      </c>
      <c r="C201" s="156" t="inlineStr">
        <is>
          <t>Multimarca</t>
        </is>
      </c>
      <c r="D201" s="156" t="inlineStr">
        <is>
          <t>12-020-BS002-10-1005</t>
        </is>
      </c>
      <c r="E201" s="156" t="inlineStr">
        <is>
          <t>12-020-BS002-10-1005-032</t>
        </is>
      </c>
      <c r="F201" s="156" t="inlineStr">
        <is>
          <t>32</t>
        </is>
      </c>
      <c r="G201" s="156" t="inlineStr">
        <is>
          <t>14</t>
        </is>
      </c>
      <c r="H201" s="156" t="inlineStr">
        <is>
          <t>Stetson</t>
        </is>
      </c>
      <c r="I201" s="156" t="inlineStr">
        <is>
          <t>Bota Gamuza Caramelo</t>
        </is>
      </c>
      <c r="J201" s="156" t="inlineStr">
        <is>
          <t>Calzado</t>
        </is>
      </c>
      <c r="K201" s="156" t="inlineStr">
        <is>
          <t>Botas</t>
        </is>
      </c>
      <c r="L201" s="156" t="inlineStr">
        <is>
          <t>Hombre</t>
        </is>
      </c>
      <c r="M201" s="156" t="inlineStr">
        <is>
          <t>Stetson</t>
        </is>
      </c>
      <c r="N201" s="156" t="inlineStr">
        <is>
          <t>SS26</t>
        </is>
      </c>
      <c r="O201" s="156" t="inlineStr">
        <is>
          <t>Seasonal</t>
        </is>
      </c>
      <c r="P201" s="156" t="inlineStr">
        <is>
          <t>Cafe</t>
        </is>
      </c>
      <c r="Q201" s="156" t="n"/>
      <c r="R201" s="156" t="inlineStr">
        <is>
          <t>Punta Redonda Ancha</t>
        </is>
      </c>
      <c r="S201" s="156" t="inlineStr">
        <is>
          <t>Gamuza</t>
        </is>
      </c>
      <c r="T201" s="156" t="inlineStr">
        <is>
          <t>Bota Caballero Gamuza Caramelo Punta Redonda Ancha</t>
        </is>
      </c>
      <c r="U201" s="156" t="inlineStr">
        <is>
          <t>México</t>
        </is>
      </c>
      <c r="V201" s="156" t="inlineStr">
        <is>
          <t>PRS</t>
        </is>
      </c>
      <c r="W201" s="51" t="inlineStr">
        <is>
          <t>53111501</t>
        </is>
      </c>
      <c r="X201" s="156" t="n"/>
      <c r="Y201" s="54" t="n">
        <v>675</v>
      </c>
      <c r="Z201" s="54" t="n">
        <v>3879.310345</v>
      </c>
      <c r="AA201" s="55">
        <f>IF(AND(A201="", B201="", E201=""), "", IF(AB201="", "Válido", IF((LEN(AB201)-LEN(SUBSTITUTE(AB201,"; ","")))/2+1&gt;(LEN(AB201)-LEN(SUBSTITUTE(AB201,"[Aviso]","")))/7, "Con Incidencias", "Válido")))</f>
        <v/>
      </c>
      <c r="AB201" s="56">
        <f>IF(AND(A201="", B201="", E201=""), "", TEXTJOIN("; ", TRUE, IF(OR(TRIM(A201&amp;"")="", ISNUMBER(SEARCH("FALTA", A201))), "UPC faltante/inválido", ""), IF(AND(A201&lt;&gt;"", IFERROR(_xlfn.XMATCH(A201,$A$2:$A$2509,0,1)&lt;&gt;_xlfn.XMATCH(A201,$A$2:$A$2509,0,-1),FALSE)), "Código de barras duplicado", ""), IF(AND(E201&lt;&gt;"", COUNTIF($E$2:$E$2509, E201)&gt;1), "SKU duplicado", ""), IF(OR(J201="", J201=""), "[Aviso] División no capturada ()", IF(ISNA(MATCH(J201, Criterios!$A$123:$A$126, 0)), "División no válida", "")), IF(OR(K201="", K201=""), "[Aviso] Categoría no capturada ()", IF(ISNA(MATCH(K201, Criterios!$A$81:$A$120, 0)), "Categoría no válida", IF(AND(J201&lt;&gt;"", J201&lt;&gt;"", J201&lt;&gt;VLOOKUP(K201, Criterios!$A$81:$B$120, 2, FALSE)), "División no coincide con Categoría", ""))), IF(OR(L201="", L201=""), "[Aviso] Género no capturado ()", IF(ISNA(MATCH(L201, Criterios!$B$123:$B$127, 0)), "Género no válido", "")), IF(OR(N201="", N201=""), "[Aviso] Temporada no capturada ()", IF(ISNA(MATCH(N201, Criterios!$C$123:$C$128, 0)), "Temporada no válida", "")), IF(OR(O201="", O201=""), "[Aviso] Ciclo de vida no capturado ()", IF(ISNA(MATCH(O201, Criterios!$D$123:$D$124, 0)), "Ciclo de vida no válido", ""))))</f>
        <v/>
      </c>
      <c r="AC201" s="56" t="n"/>
      <c r="AD201" s="51" t="n">
        <v>0</v>
      </c>
      <c r="AE201" s="156" t="n"/>
      <c r="AF201" s="51" t="n">
        <v>0</v>
      </c>
      <c r="AG201" s="156" t="inlineStr">
        <is>
          <t>Catálogo existente</t>
        </is>
      </c>
      <c r="AH2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1" s="156" t="inlineStr">
        <is>
          <t>No</t>
        </is>
      </c>
      <c r="AJ201" s="156" t="n"/>
      <c r="AK201" s="155" t="inlineStr">
        <is>
          <t>Criterios: I [Q]; G1522_Extraccion_Articulos_NetSuite_2026-09-30.xlsx: fila 58773 [R] | Shopify Stetson: producto 15054563901803 / variante 53350544507243</t>
        </is>
      </c>
      <c r="AL201" s="58" t="n">
        <v>675</v>
      </c>
      <c r="AM201" s="58" t="n">
        <v>3879.310345</v>
      </c>
      <c r="AN201" s="155" t="inlineStr">
        <is>
          <t>Shopify Stetson México</t>
        </is>
      </c>
      <c r="AO201" s="59" t="n">
        <v>0</v>
      </c>
      <c r="AP201" s="59" t="n"/>
      <c r="AQ201" s="59" t="n"/>
      <c r="AR201" s="155" t="n"/>
    </row>
    <row r="202">
      <c r="A202" s="50" t="inlineStr">
        <is>
          <t>12020002101005255</t>
        </is>
      </c>
      <c r="B202" s="51" t="inlineStr">
        <is>
          <t>111099</t>
        </is>
      </c>
      <c r="C202" s="156" t="inlineStr">
        <is>
          <t>Multimarca</t>
        </is>
      </c>
      <c r="D202" s="156" t="inlineStr">
        <is>
          <t>12-020-BS002-10-1005</t>
        </is>
      </c>
      <c r="E202" s="156" t="inlineStr">
        <is>
          <t>12-020-BS002-10-1005-255</t>
        </is>
      </c>
      <c r="F202" s="156" t="inlineStr">
        <is>
          <t>25.5</t>
        </is>
      </c>
      <c r="G202" s="156" t="inlineStr">
        <is>
          <t>7.5</t>
        </is>
      </c>
      <c r="H202" s="156" t="inlineStr">
        <is>
          <t>Stetson</t>
        </is>
      </c>
      <c r="I202" s="156" t="inlineStr">
        <is>
          <t>Bota Gamuza Caramelo</t>
        </is>
      </c>
      <c r="J202" s="156" t="inlineStr">
        <is>
          <t>Calzado</t>
        </is>
      </c>
      <c r="K202" s="156" t="inlineStr">
        <is>
          <t>Botas</t>
        </is>
      </c>
      <c r="L202" s="156" t="inlineStr">
        <is>
          <t>Hombre</t>
        </is>
      </c>
      <c r="M202" s="156" t="inlineStr">
        <is>
          <t>Stetson</t>
        </is>
      </c>
      <c r="N202" s="156" t="inlineStr">
        <is>
          <t>SS26</t>
        </is>
      </c>
      <c r="O202" s="156" t="inlineStr">
        <is>
          <t>Seasonal</t>
        </is>
      </c>
      <c r="P202" s="156" t="inlineStr">
        <is>
          <t>Cafe</t>
        </is>
      </c>
      <c r="Q202" s="156" t="n"/>
      <c r="R202" s="156" t="inlineStr">
        <is>
          <t>Punta Redonda Ancha</t>
        </is>
      </c>
      <c r="S202" s="156" t="inlineStr">
        <is>
          <t>Gamuza</t>
        </is>
      </c>
      <c r="T202" s="156" t="inlineStr">
        <is>
          <t>Bota Caballero Gamuza Caramelo Punta Redonda Ancha</t>
        </is>
      </c>
      <c r="U202" s="156" t="inlineStr">
        <is>
          <t>México</t>
        </is>
      </c>
      <c r="V202" s="156" t="inlineStr">
        <is>
          <t>PRS</t>
        </is>
      </c>
      <c r="W202" s="51" t="inlineStr">
        <is>
          <t>53111501</t>
        </is>
      </c>
      <c r="X202" s="156" t="n"/>
      <c r="Y202" s="54" t="n">
        <v>675</v>
      </c>
      <c r="Z202" s="54" t="n">
        <v>3879.310345</v>
      </c>
      <c r="AA202" s="55">
        <f>IF(AND(A202="", B202="", E202=""), "", IF(AB202="", "Válido", IF((LEN(AB202)-LEN(SUBSTITUTE(AB202,"; ","")))/2+1&gt;(LEN(AB202)-LEN(SUBSTITUTE(AB202,"[Aviso]","")))/7, "Con Incidencias", "Válido")))</f>
        <v/>
      </c>
      <c r="AB202" s="56">
        <f>IF(AND(A202="", B202="", E202=""), "", TEXTJOIN("; ", TRUE, IF(OR(TRIM(A202&amp;"")="", ISNUMBER(SEARCH("FALTA", A202))), "UPC faltante/inválido", ""), IF(AND(A202&lt;&gt;"", IFERROR(_xlfn.XMATCH(A202,$A$2:$A$2509,0,1)&lt;&gt;_xlfn.XMATCH(A202,$A$2:$A$2509,0,-1),FALSE)), "Código de barras duplicado", ""), IF(AND(E202&lt;&gt;"", COUNTIF($E$2:$E$2509, E202)&gt;1), "SKU duplicado", ""), IF(OR(J202="", J202=""), "[Aviso] División no capturada ()", IF(ISNA(MATCH(J202, Criterios!$A$123:$A$126, 0)), "División no válida", "")), IF(OR(K202="", K202=""), "[Aviso] Categoría no capturada ()", IF(ISNA(MATCH(K202, Criterios!$A$81:$A$120, 0)), "Categoría no válida", IF(AND(J202&lt;&gt;"", J202&lt;&gt;"", J202&lt;&gt;VLOOKUP(K202, Criterios!$A$81:$B$120, 2, FALSE)), "División no coincide con Categoría", ""))), IF(OR(L202="", L202=""), "[Aviso] Género no capturado ()", IF(ISNA(MATCH(L202, Criterios!$B$123:$B$127, 0)), "Género no válido", "")), IF(OR(N202="", N202=""), "[Aviso] Temporada no capturada ()", IF(ISNA(MATCH(N202, Criterios!$C$123:$C$128, 0)), "Temporada no válida", "")), IF(OR(O202="", O202=""), "[Aviso] Ciclo de vida no capturado ()", IF(ISNA(MATCH(O202, Criterios!$D$123:$D$124, 0)), "Ciclo de vida no válido", ""))))</f>
        <v/>
      </c>
      <c r="AC202" s="56" t="n"/>
      <c r="AD202" s="51" t="n">
        <v>0</v>
      </c>
      <c r="AE202" s="156" t="n"/>
      <c r="AF202" s="51" t="n">
        <v>0</v>
      </c>
      <c r="AG202" s="156" t="inlineStr">
        <is>
          <t>Catálogo existente</t>
        </is>
      </c>
      <c r="AH2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2" s="156" t="inlineStr">
        <is>
          <t>No</t>
        </is>
      </c>
      <c r="AJ202" s="156" t="n"/>
      <c r="AK202" s="155" t="inlineStr">
        <is>
          <t>Criterios: I [Q]; G1522_Extraccion_Articulos_NetSuite_2026-09-30.xlsx: fila 58774 [R] | Shopify Stetson: producto 15054563901803 / variante 53350544081259</t>
        </is>
      </c>
      <c r="AL202" s="58" t="n">
        <v>675</v>
      </c>
      <c r="AM202" s="58" t="n">
        <v>3879.310345</v>
      </c>
      <c r="AN202" s="155" t="inlineStr">
        <is>
          <t>Shopify Stetson México</t>
        </is>
      </c>
      <c r="AO202" s="59" t="n">
        <v>0</v>
      </c>
      <c r="AP202" s="59" t="n"/>
      <c r="AQ202" s="59" t="n"/>
      <c r="AR202" s="155" t="n"/>
    </row>
    <row r="203">
      <c r="A203" s="50" t="inlineStr">
        <is>
          <t>12020002101005265</t>
        </is>
      </c>
      <c r="B203" s="51" t="inlineStr">
        <is>
          <t>111100</t>
        </is>
      </c>
      <c r="C203" s="156" t="inlineStr">
        <is>
          <t>Multimarca</t>
        </is>
      </c>
      <c r="D203" s="156" t="inlineStr">
        <is>
          <t>12-020-BS002-10-1005</t>
        </is>
      </c>
      <c r="E203" s="156" t="inlineStr">
        <is>
          <t>12-020-BS002-10-1005-265</t>
        </is>
      </c>
      <c r="F203" s="156" t="inlineStr">
        <is>
          <t>26.5</t>
        </is>
      </c>
      <c r="G203" s="156" t="inlineStr">
        <is>
          <t>8.5</t>
        </is>
      </c>
      <c r="H203" s="156" t="inlineStr">
        <is>
          <t>Stetson</t>
        </is>
      </c>
      <c r="I203" s="156" t="inlineStr">
        <is>
          <t>Bota Gamuza Caramelo</t>
        </is>
      </c>
      <c r="J203" s="156" t="inlineStr">
        <is>
          <t>Calzado</t>
        </is>
      </c>
      <c r="K203" s="156" t="inlineStr">
        <is>
          <t>Botas</t>
        </is>
      </c>
      <c r="L203" s="156" t="inlineStr">
        <is>
          <t>Hombre</t>
        </is>
      </c>
      <c r="M203" s="156" t="inlineStr">
        <is>
          <t>Stetson</t>
        </is>
      </c>
      <c r="N203" s="156" t="inlineStr">
        <is>
          <t>SS26</t>
        </is>
      </c>
      <c r="O203" s="156" t="inlineStr">
        <is>
          <t>Seasonal</t>
        </is>
      </c>
      <c r="P203" s="156" t="inlineStr">
        <is>
          <t>Cafe</t>
        </is>
      </c>
      <c r="Q203" s="156" t="n"/>
      <c r="R203" s="156" t="inlineStr">
        <is>
          <t>Punta Redonda Ancha</t>
        </is>
      </c>
      <c r="S203" s="156" t="inlineStr">
        <is>
          <t>Gamuza</t>
        </is>
      </c>
      <c r="T203" s="156" t="inlineStr">
        <is>
          <t>Bota Caballero Gamuza Caramelo Punta Redonda Ancha</t>
        </is>
      </c>
      <c r="U203" s="156" t="inlineStr">
        <is>
          <t>México</t>
        </is>
      </c>
      <c r="V203" s="156" t="inlineStr">
        <is>
          <t>PRS</t>
        </is>
      </c>
      <c r="W203" s="51" t="inlineStr">
        <is>
          <t>53111501</t>
        </is>
      </c>
      <c r="X203" s="156" t="n"/>
      <c r="Y203" s="54" t="n">
        <v>675</v>
      </c>
      <c r="Z203" s="54" t="n">
        <v>3879.310345</v>
      </c>
      <c r="AA203" s="55">
        <f>IF(AND(A203="", B203="", E203=""), "", IF(AB203="", "Válido", IF((LEN(AB203)-LEN(SUBSTITUTE(AB203,"; ","")))/2+1&gt;(LEN(AB203)-LEN(SUBSTITUTE(AB203,"[Aviso]","")))/7, "Con Incidencias", "Válido")))</f>
        <v/>
      </c>
      <c r="AB203" s="56">
        <f>IF(AND(A203="", B203="", E203=""), "", TEXTJOIN("; ", TRUE, IF(OR(TRIM(A203&amp;"")="", ISNUMBER(SEARCH("FALTA", A203))), "UPC faltante/inválido", ""), IF(AND(A203&lt;&gt;"", IFERROR(_xlfn.XMATCH(A203,$A$2:$A$2509,0,1)&lt;&gt;_xlfn.XMATCH(A203,$A$2:$A$2509,0,-1),FALSE)), "Código de barras duplicado", ""), IF(AND(E203&lt;&gt;"", COUNTIF($E$2:$E$2509, E203)&gt;1), "SKU duplicado", ""), IF(OR(J203="", J203=""), "[Aviso] División no capturada ()", IF(ISNA(MATCH(J203, Criterios!$A$123:$A$126, 0)), "División no válida", "")), IF(OR(K203="", K203=""), "[Aviso] Categoría no capturada ()", IF(ISNA(MATCH(K203, Criterios!$A$81:$A$120, 0)), "Categoría no válida", IF(AND(J203&lt;&gt;"", J203&lt;&gt;"", J203&lt;&gt;VLOOKUP(K203, Criterios!$A$81:$B$120, 2, FALSE)), "División no coincide con Categoría", ""))), IF(OR(L203="", L203=""), "[Aviso] Género no capturado ()", IF(ISNA(MATCH(L203, Criterios!$B$123:$B$127, 0)), "Género no válido", "")), IF(OR(N203="", N203=""), "[Aviso] Temporada no capturada ()", IF(ISNA(MATCH(N203, Criterios!$C$123:$C$128, 0)), "Temporada no válida", "")), IF(OR(O203="", O203=""), "[Aviso] Ciclo de vida no capturado ()", IF(ISNA(MATCH(O203, Criterios!$D$123:$D$124, 0)), "Ciclo de vida no válido", ""))))</f>
        <v/>
      </c>
      <c r="AC203" s="56" t="n"/>
      <c r="AD203" s="51" t="n">
        <v>2</v>
      </c>
      <c r="AE203" s="156" t="inlineStr">
        <is>
          <t>STETSON AMERICAS (2)</t>
        </is>
      </c>
      <c r="AF203" s="51" t="n">
        <v>2</v>
      </c>
      <c r="AG203" s="156" t="inlineStr">
        <is>
          <t>Catálogo existente</t>
        </is>
      </c>
      <c r="AH2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3" s="156" t="inlineStr">
        <is>
          <t>No</t>
        </is>
      </c>
      <c r="AJ203" s="156" t="n"/>
      <c r="AK203" s="155" t="inlineStr">
        <is>
          <t>Criterios: I [Q]; G1522_Extraccion_Articulos_NetSuite_2026-09-30.xlsx: fila 58775 [R] | Shopify Stetson: producto 15054563901803 / variante 53350544146795</t>
        </is>
      </c>
      <c r="AL203" s="58" t="n">
        <v>675</v>
      </c>
      <c r="AM203" s="58" t="n">
        <v>3879.310345</v>
      </c>
      <c r="AN203" s="155" t="inlineStr">
        <is>
          <t>Shopify Stetson México</t>
        </is>
      </c>
      <c r="AO203" s="59" t="n">
        <v>2</v>
      </c>
      <c r="AP203" s="59" t="n"/>
      <c r="AQ203" s="59" t="n"/>
      <c r="AR203" s="155" t="inlineStr">
        <is>
          <t>Shopify Stetson México › Stetson Americas: 2</t>
        </is>
      </c>
    </row>
    <row r="204">
      <c r="A204" s="50" t="inlineStr">
        <is>
          <t>12020002101005275</t>
        </is>
      </c>
      <c r="B204" s="51" t="inlineStr">
        <is>
          <t>111101</t>
        </is>
      </c>
      <c r="C204" s="156" t="inlineStr">
        <is>
          <t>Multimarca</t>
        </is>
      </c>
      <c r="D204" s="156" t="inlineStr">
        <is>
          <t>12-020-BS002-10-1005</t>
        </is>
      </c>
      <c r="E204" s="156" t="inlineStr">
        <is>
          <t>12-020-BS002-10-1005-275</t>
        </is>
      </c>
      <c r="F204" s="156" t="inlineStr">
        <is>
          <t>27.5</t>
        </is>
      </c>
      <c r="G204" s="156" t="inlineStr">
        <is>
          <t>9.5</t>
        </is>
      </c>
      <c r="H204" s="156" t="inlineStr">
        <is>
          <t>Stetson</t>
        </is>
      </c>
      <c r="I204" s="156" t="inlineStr">
        <is>
          <t>Bota Gamuza Caramelo</t>
        </is>
      </c>
      <c r="J204" s="156" t="inlineStr">
        <is>
          <t>Calzado</t>
        </is>
      </c>
      <c r="K204" s="156" t="inlineStr">
        <is>
          <t>Botas</t>
        </is>
      </c>
      <c r="L204" s="156" t="inlineStr">
        <is>
          <t>Hombre</t>
        </is>
      </c>
      <c r="M204" s="156" t="inlineStr">
        <is>
          <t>Stetson</t>
        </is>
      </c>
      <c r="N204" s="156" t="inlineStr">
        <is>
          <t>SS26</t>
        </is>
      </c>
      <c r="O204" s="156" t="inlineStr">
        <is>
          <t>Seasonal</t>
        </is>
      </c>
      <c r="P204" s="156" t="inlineStr">
        <is>
          <t>Cafe</t>
        </is>
      </c>
      <c r="Q204" s="156" t="n"/>
      <c r="R204" s="156" t="inlineStr">
        <is>
          <t>Punta Redonda Ancha</t>
        </is>
      </c>
      <c r="S204" s="156" t="inlineStr">
        <is>
          <t>Gamuza</t>
        </is>
      </c>
      <c r="T204" s="156" t="inlineStr">
        <is>
          <t>Bota Caballero Gamuza Caramelo Punta Redonda Ancha</t>
        </is>
      </c>
      <c r="U204" s="156" t="inlineStr">
        <is>
          <t>México</t>
        </is>
      </c>
      <c r="V204" s="156" t="inlineStr">
        <is>
          <t>PRS</t>
        </is>
      </c>
      <c r="W204" s="51" t="inlineStr">
        <is>
          <t>53111501</t>
        </is>
      </c>
      <c r="X204" s="156" t="n"/>
      <c r="Y204" s="54" t="n">
        <v>675</v>
      </c>
      <c r="Z204" s="54" t="n">
        <v>3879.310345</v>
      </c>
      <c r="AA204" s="55">
        <f>IF(AND(A204="", B204="", E204=""), "", IF(AB204="", "Válido", IF((LEN(AB204)-LEN(SUBSTITUTE(AB204,"; ","")))/2+1&gt;(LEN(AB204)-LEN(SUBSTITUTE(AB204,"[Aviso]","")))/7, "Con Incidencias", "Válido")))</f>
        <v/>
      </c>
      <c r="AB204" s="56">
        <f>IF(AND(A204="", B204="", E204=""), "", TEXTJOIN("; ", TRUE, IF(OR(TRIM(A204&amp;"")="", ISNUMBER(SEARCH("FALTA", A204))), "UPC faltante/inválido", ""), IF(AND(A204&lt;&gt;"", IFERROR(_xlfn.XMATCH(A204,$A$2:$A$2509,0,1)&lt;&gt;_xlfn.XMATCH(A204,$A$2:$A$2509,0,-1),FALSE)), "Código de barras duplicado", ""), IF(AND(E204&lt;&gt;"", COUNTIF($E$2:$E$2509, E204)&gt;1), "SKU duplicado", ""), IF(OR(J204="", J204=""), "[Aviso] División no capturada ()", IF(ISNA(MATCH(J204, Criterios!$A$123:$A$126, 0)), "División no válida", "")), IF(OR(K204="", K204=""), "[Aviso] Categoría no capturada ()", IF(ISNA(MATCH(K204, Criterios!$A$81:$A$120, 0)), "Categoría no válida", IF(AND(J204&lt;&gt;"", J204&lt;&gt;"", J204&lt;&gt;VLOOKUP(K204, Criterios!$A$81:$B$120, 2, FALSE)), "División no coincide con Categoría", ""))), IF(OR(L204="", L204=""), "[Aviso] Género no capturado ()", IF(ISNA(MATCH(L204, Criterios!$B$123:$B$127, 0)), "Género no válido", "")), IF(OR(N204="", N204=""), "[Aviso] Temporada no capturada ()", IF(ISNA(MATCH(N204, Criterios!$C$123:$C$128, 0)), "Temporada no válida", "")), IF(OR(O204="", O204=""), "[Aviso] Ciclo de vida no capturado ()", IF(ISNA(MATCH(O204, Criterios!$D$123:$D$124, 0)), "Ciclo de vida no válido", ""))))</f>
        <v/>
      </c>
      <c r="AC204" s="56" t="n"/>
      <c r="AD204" s="51" t="n">
        <v>1</v>
      </c>
      <c r="AE204" s="156" t="inlineStr">
        <is>
          <t>STETSON AMERICAS (1)</t>
        </is>
      </c>
      <c r="AF204" s="51" t="n">
        <v>1</v>
      </c>
      <c r="AG204" s="156" t="inlineStr">
        <is>
          <t>Catálogo existente</t>
        </is>
      </c>
      <c r="AH2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4" s="156" t="inlineStr">
        <is>
          <t>No</t>
        </is>
      </c>
      <c r="AJ204" s="156" t="n"/>
      <c r="AK204" s="155" t="inlineStr">
        <is>
          <t>Criterios: I [Q]; G1522_Extraccion_Articulos_NetSuite_2026-09-30.xlsx: fila 58776 [R] | Shopify Stetson: producto 15054563901803 / variante 53350544212331</t>
        </is>
      </c>
      <c r="AL204" s="58" t="n">
        <v>675</v>
      </c>
      <c r="AM204" s="58" t="n">
        <v>3879.310345</v>
      </c>
      <c r="AN204" s="155" t="inlineStr">
        <is>
          <t>Shopify Stetson México</t>
        </is>
      </c>
      <c r="AO204" s="59" t="n">
        <v>1</v>
      </c>
      <c r="AP204" s="59" t="n"/>
      <c r="AQ204" s="59" t="n"/>
      <c r="AR204" s="155" t="inlineStr">
        <is>
          <t>Shopify Stetson México › Stetson Americas: 1</t>
        </is>
      </c>
    </row>
    <row r="205">
      <c r="A205" s="50" t="inlineStr">
        <is>
          <t>12020002101005285</t>
        </is>
      </c>
      <c r="B205" s="51" t="inlineStr">
        <is>
          <t>111102</t>
        </is>
      </c>
      <c r="C205" s="156" t="inlineStr">
        <is>
          <t>Multimarca</t>
        </is>
      </c>
      <c r="D205" s="156" t="inlineStr">
        <is>
          <t>12-020-BS002-10-1005</t>
        </is>
      </c>
      <c r="E205" s="156" t="inlineStr">
        <is>
          <t>12-020-BS002-10-1005-285</t>
        </is>
      </c>
      <c r="F205" s="156" t="inlineStr">
        <is>
          <t>28.5</t>
        </is>
      </c>
      <c r="G205" s="156" t="inlineStr">
        <is>
          <t>10.5</t>
        </is>
      </c>
      <c r="H205" s="156" t="inlineStr">
        <is>
          <t>Stetson</t>
        </is>
      </c>
      <c r="I205" s="156" t="inlineStr">
        <is>
          <t>Bota Gamuza Caramelo</t>
        </is>
      </c>
      <c r="J205" s="156" t="inlineStr">
        <is>
          <t>Calzado</t>
        </is>
      </c>
      <c r="K205" s="156" t="inlineStr">
        <is>
          <t>Botas</t>
        </is>
      </c>
      <c r="L205" s="156" t="inlineStr">
        <is>
          <t>Hombre</t>
        </is>
      </c>
      <c r="M205" s="156" t="inlineStr">
        <is>
          <t>Stetson</t>
        </is>
      </c>
      <c r="N205" s="156" t="inlineStr">
        <is>
          <t>SS26</t>
        </is>
      </c>
      <c r="O205" s="156" t="inlineStr">
        <is>
          <t>Seasonal</t>
        </is>
      </c>
      <c r="P205" s="156" t="inlineStr">
        <is>
          <t>Cafe</t>
        </is>
      </c>
      <c r="Q205" s="156" t="n"/>
      <c r="R205" s="156" t="inlineStr">
        <is>
          <t>Punta Redonda Ancha</t>
        </is>
      </c>
      <c r="S205" s="156" t="inlineStr">
        <is>
          <t>Gamuza</t>
        </is>
      </c>
      <c r="T205" s="156" t="inlineStr">
        <is>
          <t>Bota Caballero Gamuza Caramelo Punta Redonda Ancha</t>
        </is>
      </c>
      <c r="U205" s="156" t="inlineStr">
        <is>
          <t>México</t>
        </is>
      </c>
      <c r="V205" s="156" t="inlineStr">
        <is>
          <t>PRS</t>
        </is>
      </c>
      <c r="W205" s="51" t="inlineStr">
        <is>
          <t>53111501</t>
        </is>
      </c>
      <c r="X205" s="156" t="n"/>
      <c r="Y205" s="54" t="n">
        <v>675</v>
      </c>
      <c r="Z205" s="54" t="n">
        <v>3879.310345</v>
      </c>
      <c r="AA205" s="55">
        <f>IF(AND(A205="", B205="", E205=""), "", IF(AB205="", "Válido", IF((LEN(AB205)-LEN(SUBSTITUTE(AB205,"; ","")))/2+1&gt;(LEN(AB205)-LEN(SUBSTITUTE(AB205,"[Aviso]","")))/7, "Con Incidencias", "Válido")))</f>
        <v/>
      </c>
      <c r="AB205" s="56">
        <f>IF(AND(A205="", B205="", E205=""), "", TEXTJOIN("; ", TRUE, IF(OR(TRIM(A205&amp;"")="", ISNUMBER(SEARCH("FALTA", A205))), "UPC faltante/inválido", ""), IF(AND(A205&lt;&gt;"", IFERROR(_xlfn.XMATCH(A205,$A$2:$A$2509,0,1)&lt;&gt;_xlfn.XMATCH(A205,$A$2:$A$2509,0,-1),FALSE)), "Código de barras duplicado", ""), IF(AND(E205&lt;&gt;"", COUNTIF($E$2:$E$2509, E205)&gt;1), "SKU duplicado", ""), IF(OR(J205="", J205=""), "[Aviso] División no capturada ()", IF(ISNA(MATCH(J205, Criterios!$A$123:$A$126, 0)), "División no válida", "")), IF(OR(K205="", K205=""), "[Aviso] Categoría no capturada ()", IF(ISNA(MATCH(K205, Criterios!$A$81:$A$120, 0)), "Categoría no válida", IF(AND(J205&lt;&gt;"", J205&lt;&gt;"", J205&lt;&gt;VLOOKUP(K205, Criterios!$A$81:$B$120, 2, FALSE)), "División no coincide con Categoría", ""))), IF(OR(L205="", L205=""), "[Aviso] Género no capturado ()", IF(ISNA(MATCH(L205, Criterios!$B$123:$B$127, 0)), "Género no válido", "")), IF(OR(N205="", N205=""), "[Aviso] Temporada no capturada ()", IF(ISNA(MATCH(N205, Criterios!$C$123:$C$128, 0)), "Temporada no válida", "")), IF(OR(O205="", O205=""), "[Aviso] Ciclo de vida no capturado ()", IF(ISNA(MATCH(O205, Criterios!$D$123:$D$124, 0)), "Ciclo de vida no válido", ""))))</f>
        <v/>
      </c>
      <c r="AC205" s="56" t="n"/>
      <c r="AD205" s="51" t="n">
        <v>1</v>
      </c>
      <c r="AE205" s="156" t="inlineStr">
        <is>
          <t>STETSON AMERICAS (1)</t>
        </is>
      </c>
      <c r="AF205" s="51" t="n">
        <v>1</v>
      </c>
      <c r="AG205" s="156" t="inlineStr">
        <is>
          <t>Catálogo existente</t>
        </is>
      </c>
      <c r="AH2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5" s="156" t="inlineStr">
        <is>
          <t>No</t>
        </is>
      </c>
      <c r="AJ205" s="156" t="n"/>
      <c r="AK205" s="155" t="inlineStr">
        <is>
          <t>Criterios: I [Q]; G1522_Extraccion_Articulos_NetSuite_2026-09-30.xlsx: fila 58777 [R] | Shopify Stetson: producto 15054563901803 / variante 53350544277867</t>
        </is>
      </c>
      <c r="AL205" s="58" t="n">
        <v>675</v>
      </c>
      <c r="AM205" s="58" t="n">
        <v>3879.310345</v>
      </c>
      <c r="AN205" s="155" t="inlineStr">
        <is>
          <t>Shopify Stetson México</t>
        </is>
      </c>
      <c r="AO205" s="59" t="n">
        <v>1</v>
      </c>
      <c r="AP205" s="59" t="n"/>
      <c r="AQ205" s="59" t="n"/>
      <c r="AR205" s="155" t="inlineStr">
        <is>
          <t>Shopify Stetson México › Stetson Americas: 1</t>
        </is>
      </c>
    </row>
    <row r="206">
      <c r="A206" s="50" t="inlineStr">
        <is>
          <t>12020002101005295</t>
        </is>
      </c>
      <c r="B206" s="51" t="inlineStr">
        <is>
          <t>111103</t>
        </is>
      </c>
      <c r="C206" s="156" t="inlineStr">
        <is>
          <t>Multimarca</t>
        </is>
      </c>
      <c r="D206" s="156" t="inlineStr">
        <is>
          <t>12-020-BS002-10-1005</t>
        </is>
      </c>
      <c r="E206" s="156" t="inlineStr">
        <is>
          <t>12-020-BS002-10-1005-295</t>
        </is>
      </c>
      <c r="F206" s="156" t="inlineStr">
        <is>
          <t>29.5</t>
        </is>
      </c>
      <c r="G206" s="156" t="inlineStr">
        <is>
          <t>11.5</t>
        </is>
      </c>
      <c r="H206" s="156" t="inlineStr">
        <is>
          <t>Stetson</t>
        </is>
      </c>
      <c r="I206" s="156" t="inlineStr">
        <is>
          <t>Bota Gamuza Caramelo</t>
        </is>
      </c>
      <c r="J206" s="156" t="inlineStr">
        <is>
          <t>Calzado</t>
        </is>
      </c>
      <c r="K206" s="156" t="inlineStr">
        <is>
          <t>Botas</t>
        </is>
      </c>
      <c r="L206" s="156" t="inlineStr">
        <is>
          <t>Hombre</t>
        </is>
      </c>
      <c r="M206" s="156" t="inlineStr">
        <is>
          <t>Stetson</t>
        </is>
      </c>
      <c r="N206" s="156" t="inlineStr">
        <is>
          <t>SS26</t>
        </is>
      </c>
      <c r="O206" s="156" t="inlineStr">
        <is>
          <t>Seasonal</t>
        </is>
      </c>
      <c r="P206" s="156" t="inlineStr">
        <is>
          <t>Cafe</t>
        </is>
      </c>
      <c r="Q206" s="156" t="n"/>
      <c r="R206" s="156" t="inlineStr">
        <is>
          <t>Punta Redonda Ancha</t>
        </is>
      </c>
      <c r="S206" s="156" t="inlineStr">
        <is>
          <t>Gamuza</t>
        </is>
      </c>
      <c r="T206" s="156" t="inlineStr">
        <is>
          <t>Bota Caballero Gamuza Caramelo Punta Redonda Ancha</t>
        </is>
      </c>
      <c r="U206" s="156" t="inlineStr">
        <is>
          <t>México</t>
        </is>
      </c>
      <c r="V206" s="156" t="inlineStr">
        <is>
          <t>PRS</t>
        </is>
      </c>
      <c r="W206" s="51" t="inlineStr">
        <is>
          <t>53111501</t>
        </is>
      </c>
      <c r="X206" s="156" t="n"/>
      <c r="Y206" s="54" t="n">
        <v>675</v>
      </c>
      <c r="Z206" s="54" t="n">
        <v>3879.310345</v>
      </c>
      <c r="AA206" s="55">
        <f>IF(AND(A206="", B206="", E206=""), "", IF(AB206="", "Válido", IF((LEN(AB206)-LEN(SUBSTITUTE(AB206,"; ","")))/2+1&gt;(LEN(AB206)-LEN(SUBSTITUTE(AB206,"[Aviso]","")))/7, "Con Incidencias", "Válido")))</f>
        <v/>
      </c>
      <c r="AB206" s="56">
        <f>IF(AND(A206="", B206="", E206=""), "", TEXTJOIN("; ", TRUE, IF(OR(TRIM(A206&amp;"")="", ISNUMBER(SEARCH("FALTA", A206))), "UPC faltante/inválido", ""), IF(AND(A206&lt;&gt;"", IFERROR(_xlfn.XMATCH(A206,$A$2:$A$2509,0,1)&lt;&gt;_xlfn.XMATCH(A206,$A$2:$A$2509,0,-1),FALSE)), "Código de barras duplicado", ""), IF(AND(E206&lt;&gt;"", COUNTIF($E$2:$E$2509, E206)&gt;1), "SKU duplicado", ""), IF(OR(J206="", J206=""), "[Aviso] División no capturada ()", IF(ISNA(MATCH(J206, Criterios!$A$123:$A$126, 0)), "División no válida", "")), IF(OR(K206="", K206=""), "[Aviso] Categoría no capturada ()", IF(ISNA(MATCH(K206, Criterios!$A$81:$A$120, 0)), "Categoría no válida", IF(AND(J206&lt;&gt;"", J206&lt;&gt;"", J206&lt;&gt;VLOOKUP(K206, Criterios!$A$81:$B$120, 2, FALSE)), "División no coincide con Categoría", ""))), IF(OR(L206="", L206=""), "[Aviso] Género no capturado ()", IF(ISNA(MATCH(L206, Criterios!$B$123:$B$127, 0)), "Género no válido", "")), IF(OR(N206="", N206=""), "[Aviso] Temporada no capturada ()", IF(ISNA(MATCH(N206, Criterios!$C$123:$C$128, 0)), "Temporada no válida", "")), IF(OR(O206="", O206=""), "[Aviso] Ciclo de vida no capturado ()", IF(ISNA(MATCH(O206, Criterios!$D$123:$D$124, 0)), "Ciclo de vida no válido", ""))))</f>
        <v/>
      </c>
      <c r="AC206" s="56" t="n"/>
      <c r="AD206" s="51" t="n">
        <v>1</v>
      </c>
      <c r="AE206" s="156" t="inlineStr">
        <is>
          <t>STETSON AMERICAS (1)</t>
        </is>
      </c>
      <c r="AF206" s="51" t="n">
        <v>1</v>
      </c>
      <c r="AG206" s="156" t="inlineStr">
        <is>
          <t>Catálogo existente</t>
        </is>
      </c>
      <c r="AH2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6" s="156" t="inlineStr">
        <is>
          <t>No</t>
        </is>
      </c>
      <c r="AJ206" s="156" t="n"/>
      <c r="AK206" s="155" t="inlineStr">
        <is>
          <t>Criterios: I [Q]; G1522_Extraccion_Articulos_NetSuite_2026-09-30.xlsx: fila 58778 [R] | Shopify Stetson: producto 15054563901803 / variante 53350544343403</t>
        </is>
      </c>
      <c r="AL206" s="58" t="n">
        <v>675</v>
      </c>
      <c r="AM206" s="58" t="n">
        <v>3879.310345</v>
      </c>
      <c r="AN206" s="155" t="inlineStr">
        <is>
          <t>Shopify Stetson México</t>
        </is>
      </c>
      <c r="AO206" s="59" t="n">
        <v>1</v>
      </c>
      <c r="AP206" s="59" t="n"/>
      <c r="AQ206" s="59" t="n"/>
      <c r="AR206" s="155" t="inlineStr">
        <is>
          <t>Shopify Stetson México › Stetson Americas: 1</t>
        </is>
      </c>
    </row>
    <row r="207">
      <c r="A207" s="50" t="inlineStr">
        <is>
          <t>12020002101005305</t>
        </is>
      </c>
      <c r="B207" s="51" t="inlineStr">
        <is>
          <t>111104</t>
        </is>
      </c>
      <c r="C207" s="156" t="inlineStr">
        <is>
          <t>Multimarca</t>
        </is>
      </c>
      <c r="D207" s="156" t="inlineStr">
        <is>
          <t>12-020-BS002-10-1005</t>
        </is>
      </c>
      <c r="E207" s="156" t="inlineStr">
        <is>
          <t>12-020-BS002-10-1005-305</t>
        </is>
      </c>
      <c r="F207" s="156" t="inlineStr">
        <is>
          <t>30.5</t>
        </is>
      </c>
      <c r="G207" s="156" t="inlineStr">
        <is>
          <t>12.5</t>
        </is>
      </c>
      <c r="H207" s="156" t="inlineStr">
        <is>
          <t>Stetson</t>
        </is>
      </c>
      <c r="I207" s="156" t="inlineStr">
        <is>
          <t>Bota Gamuza Caramelo</t>
        </is>
      </c>
      <c r="J207" s="156" t="inlineStr">
        <is>
          <t>Calzado</t>
        </is>
      </c>
      <c r="K207" s="156" t="inlineStr">
        <is>
          <t>Botas</t>
        </is>
      </c>
      <c r="L207" s="156" t="inlineStr">
        <is>
          <t>Hombre</t>
        </is>
      </c>
      <c r="M207" s="156" t="inlineStr">
        <is>
          <t>Stetson</t>
        </is>
      </c>
      <c r="N207" s="156" t="inlineStr">
        <is>
          <t>SS26</t>
        </is>
      </c>
      <c r="O207" s="156" t="inlineStr">
        <is>
          <t>Seasonal</t>
        </is>
      </c>
      <c r="P207" s="156" t="inlineStr">
        <is>
          <t>Cafe</t>
        </is>
      </c>
      <c r="Q207" s="156" t="n"/>
      <c r="R207" s="156" t="inlineStr">
        <is>
          <t>Punta Redonda Ancha</t>
        </is>
      </c>
      <c r="S207" s="156" t="inlineStr">
        <is>
          <t>Gamuza</t>
        </is>
      </c>
      <c r="T207" s="156" t="inlineStr">
        <is>
          <t>Bota Caballero Gamuza Caramelo Punta Redonda Ancha</t>
        </is>
      </c>
      <c r="U207" s="156" t="inlineStr">
        <is>
          <t>México</t>
        </is>
      </c>
      <c r="V207" s="156" t="inlineStr">
        <is>
          <t>PRS</t>
        </is>
      </c>
      <c r="W207" s="51" t="inlineStr">
        <is>
          <t>53111501</t>
        </is>
      </c>
      <c r="X207" s="156" t="n"/>
      <c r="Y207" s="54" t="n">
        <v>675</v>
      </c>
      <c r="Z207" s="54" t="n">
        <v>3879.310345</v>
      </c>
      <c r="AA207" s="55">
        <f>IF(AND(A207="", B207="", E207=""), "", IF(AB207="", "Válido", IF((LEN(AB207)-LEN(SUBSTITUTE(AB207,"; ","")))/2+1&gt;(LEN(AB207)-LEN(SUBSTITUTE(AB207,"[Aviso]","")))/7, "Con Incidencias", "Válido")))</f>
        <v/>
      </c>
      <c r="AB207" s="56">
        <f>IF(AND(A207="", B207="", E207=""), "", TEXTJOIN("; ", TRUE, IF(OR(TRIM(A207&amp;"")="", ISNUMBER(SEARCH("FALTA", A207))), "UPC faltante/inválido", ""), IF(AND(A207&lt;&gt;"", IFERROR(_xlfn.XMATCH(A207,$A$2:$A$2509,0,1)&lt;&gt;_xlfn.XMATCH(A207,$A$2:$A$2509,0,-1),FALSE)), "Código de barras duplicado", ""), IF(AND(E207&lt;&gt;"", COUNTIF($E$2:$E$2509, E207)&gt;1), "SKU duplicado", ""), IF(OR(J207="", J207=""), "[Aviso] División no capturada ()", IF(ISNA(MATCH(J207, Criterios!$A$123:$A$126, 0)), "División no válida", "")), IF(OR(K207="", K207=""), "[Aviso] Categoría no capturada ()", IF(ISNA(MATCH(K207, Criterios!$A$81:$A$120, 0)), "Categoría no válida", IF(AND(J207&lt;&gt;"", J207&lt;&gt;"", J207&lt;&gt;VLOOKUP(K207, Criterios!$A$81:$B$120, 2, FALSE)), "División no coincide con Categoría", ""))), IF(OR(L207="", L207=""), "[Aviso] Género no capturado ()", IF(ISNA(MATCH(L207, Criterios!$B$123:$B$127, 0)), "Género no válido", "")), IF(OR(N207="", N207=""), "[Aviso] Temporada no capturada ()", IF(ISNA(MATCH(N207, Criterios!$C$123:$C$128, 0)), "Temporada no válida", "")), IF(OR(O207="", O207=""), "[Aviso] Ciclo de vida no capturado ()", IF(ISNA(MATCH(O207, Criterios!$D$123:$D$124, 0)), "Ciclo de vida no válido", ""))))</f>
        <v/>
      </c>
      <c r="AC207" s="56" t="n"/>
      <c r="AD207" s="51" t="n">
        <v>1</v>
      </c>
      <c r="AE207" s="156" t="inlineStr">
        <is>
          <t>STETSON AMERICAS (1)</t>
        </is>
      </c>
      <c r="AF207" s="51" t="n">
        <v>1</v>
      </c>
      <c r="AG207" s="156" t="inlineStr">
        <is>
          <t>Catálogo existente</t>
        </is>
      </c>
      <c r="AH2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7" s="156" t="inlineStr">
        <is>
          <t>No</t>
        </is>
      </c>
      <c r="AJ207" s="156" t="n"/>
      <c r="AK207" s="155" t="inlineStr">
        <is>
          <t>Criterios: I [Q]; G1522_Extraccion_Articulos_NetSuite_2026-09-30.xlsx: fila 58779 [R] | Shopify Stetson: producto 15054563901803 / variante 53350544408939</t>
        </is>
      </c>
      <c r="AL207" s="58" t="n">
        <v>675</v>
      </c>
      <c r="AM207" s="58" t="n">
        <v>3879.310345</v>
      </c>
      <c r="AN207" s="155" t="inlineStr">
        <is>
          <t>Shopify Stetson México</t>
        </is>
      </c>
      <c r="AO207" s="59" t="n">
        <v>1</v>
      </c>
      <c r="AP207" s="59" t="n"/>
      <c r="AQ207" s="59" t="n"/>
      <c r="AR207" s="155" t="inlineStr">
        <is>
          <t>Shopify Stetson México › Stetson Americas: 1</t>
        </is>
      </c>
    </row>
    <row r="208">
      <c r="A208" s="50" t="inlineStr">
        <is>
          <t>12020002101005315</t>
        </is>
      </c>
      <c r="B208" s="51" t="inlineStr">
        <is>
          <t>111105</t>
        </is>
      </c>
      <c r="C208" s="156" t="inlineStr">
        <is>
          <t>Multimarca</t>
        </is>
      </c>
      <c r="D208" s="156" t="inlineStr">
        <is>
          <t>12-020-BS002-10-1005</t>
        </is>
      </c>
      <c r="E208" s="156" t="inlineStr">
        <is>
          <t>12-020-BS002-10-1005-315</t>
        </is>
      </c>
      <c r="F208" s="156" t="inlineStr">
        <is>
          <t>31.5</t>
        </is>
      </c>
      <c r="G208" s="156" t="inlineStr">
        <is>
          <t>13.5</t>
        </is>
      </c>
      <c r="H208" s="156" t="inlineStr">
        <is>
          <t>Stetson</t>
        </is>
      </c>
      <c r="I208" s="156" t="inlineStr">
        <is>
          <t>Bota Gamuza Caramelo</t>
        </is>
      </c>
      <c r="J208" s="156" t="inlineStr">
        <is>
          <t>Calzado</t>
        </is>
      </c>
      <c r="K208" s="156" t="inlineStr">
        <is>
          <t>Botas</t>
        </is>
      </c>
      <c r="L208" s="156" t="inlineStr">
        <is>
          <t>Hombre</t>
        </is>
      </c>
      <c r="M208" s="156" t="inlineStr">
        <is>
          <t>Stetson</t>
        </is>
      </c>
      <c r="N208" s="156" t="inlineStr">
        <is>
          <t>SS26</t>
        </is>
      </c>
      <c r="O208" s="156" t="inlineStr">
        <is>
          <t>Seasonal</t>
        </is>
      </c>
      <c r="P208" s="156" t="inlineStr">
        <is>
          <t>Cafe</t>
        </is>
      </c>
      <c r="Q208" s="156" t="n"/>
      <c r="R208" s="156" t="inlineStr">
        <is>
          <t>Punta Redonda Ancha</t>
        </is>
      </c>
      <c r="S208" s="156" t="inlineStr">
        <is>
          <t>Gamuza</t>
        </is>
      </c>
      <c r="T208" s="156" t="inlineStr">
        <is>
          <t>Bota Caballero Gamuza Caramelo Punta Redonda Ancha</t>
        </is>
      </c>
      <c r="U208" s="156" t="inlineStr">
        <is>
          <t>México</t>
        </is>
      </c>
      <c r="V208" s="156" t="inlineStr">
        <is>
          <t>PRS</t>
        </is>
      </c>
      <c r="W208" s="51" t="inlineStr">
        <is>
          <t>53111501</t>
        </is>
      </c>
      <c r="X208" s="156" t="n"/>
      <c r="Y208" s="54" t="n">
        <v>675</v>
      </c>
      <c r="Z208" s="54" t="n">
        <v>3879.310345</v>
      </c>
      <c r="AA208" s="55">
        <f>IF(AND(A208="", B208="", E208=""), "", IF(AB208="", "Válido", IF((LEN(AB208)-LEN(SUBSTITUTE(AB208,"; ","")))/2+1&gt;(LEN(AB208)-LEN(SUBSTITUTE(AB208,"[Aviso]","")))/7, "Con Incidencias", "Válido")))</f>
        <v/>
      </c>
      <c r="AB208" s="56">
        <f>IF(AND(A208="", B208="", E208=""), "", TEXTJOIN("; ", TRUE, IF(OR(TRIM(A208&amp;"")="", ISNUMBER(SEARCH("FALTA", A208))), "UPC faltante/inválido", ""), IF(AND(A208&lt;&gt;"", IFERROR(_xlfn.XMATCH(A208,$A$2:$A$2509,0,1)&lt;&gt;_xlfn.XMATCH(A208,$A$2:$A$2509,0,-1),FALSE)), "Código de barras duplicado", ""), IF(AND(E208&lt;&gt;"", COUNTIF($E$2:$E$2509, E208)&gt;1), "SKU duplicado", ""), IF(OR(J208="", J208=""), "[Aviso] División no capturada ()", IF(ISNA(MATCH(J208, Criterios!$A$123:$A$126, 0)), "División no válida", "")), IF(OR(K208="", K208=""), "[Aviso] Categoría no capturada ()", IF(ISNA(MATCH(K208, Criterios!$A$81:$A$120, 0)), "Categoría no válida", IF(AND(J208&lt;&gt;"", J208&lt;&gt;"", J208&lt;&gt;VLOOKUP(K208, Criterios!$A$81:$B$120, 2, FALSE)), "División no coincide con Categoría", ""))), IF(OR(L208="", L208=""), "[Aviso] Género no capturado ()", IF(ISNA(MATCH(L208, Criterios!$B$123:$B$127, 0)), "Género no válido", "")), IF(OR(N208="", N208=""), "[Aviso] Temporada no capturada ()", IF(ISNA(MATCH(N208, Criterios!$C$123:$C$128, 0)), "Temporada no válida", "")), IF(OR(O208="", O208=""), "[Aviso] Ciclo de vida no capturado ()", IF(ISNA(MATCH(O208, Criterios!$D$123:$D$124, 0)), "Ciclo de vida no válido", ""))))</f>
        <v/>
      </c>
      <c r="AC208" s="56" t="n"/>
      <c r="AD208" s="51" t="n">
        <v>0</v>
      </c>
      <c r="AE208" s="156" t="n"/>
      <c r="AF208" s="51" t="n">
        <v>0</v>
      </c>
      <c r="AG208" s="156" t="inlineStr">
        <is>
          <t>Catálogo existente</t>
        </is>
      </c>
      <c r="AH2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8" s="156" t="inlineStr">
        <is>
          <t>No</t>
        </is>
      </c>
      <c r="AJ208" s="156" t="n"/>
      <c r="AK208" s="155" t="inlineStr">
        <is>
          <t>Criterios: I [Q]; G1522_Extraccion_Articulos_NetSuite_2026-09-30.xlsx: fila 58780 [R] | Shopify Stetson: producto 15054563901803 / variante 53350544474475</t>
        </is>
      </c>
      <c r="AL208" s="58" t="n">
        <v>675</v>
      </c>
      <c r="AM208" s="58" t="n">
        <v>3879.310345</v>
      </c>
      <c r="AN208" s="155" t="inlineStr">
        <is>
          <t>Shopify Stetson México</t>
        </is>
      </c>
      <c r="AO208" s="59" t="n">
        <v>0</v>
      </c>
      <c r="AP208" s="59" t="n"/>
      <c r="AQ208" s="59" t="n"/>
      <c r="AR208" s="155" t="n"/>
    </row>
    <row r="209">
      <c r="A209" s="50" t="inlineStr">
        <is>
          <t>12020002101005325</t>
        </is>
      </c>
      <c r="B209" s="51" t="inlineStr">
        <is>
          <t>111106</t>
        </is>
      </c>
      <c r="C209" s="156" t="inlineStr">
        <is>
          <t>Multimarca</t>
        </is>
      </c>
      <c r="D209" s="156" t="inlineStr">
        <is>
          <t>12-020-BS002-10-1005</t>
        </is>
      </c>
      <c r="E209" s="156" t="inlineStr">
        <is>
          <t>12-020-BS002-10-1005-325</t>
        </is>
      </c>
      <c r="F209" s="156" t="inlineStr">
        <is>
          <t>32.5</t>
        </is>
      </c>
      <c r="G209" s="156" t="inlineStr">
        <is>
          <t>14.5</t>
        </is>
      </c>
      <c r="H209" s="156" t="inlineStr">
        <is>
          <t>Stetson</t>
        </is>
      </c>
      <c r="I209" s="156" t="inlineStr">
        <is>
          <t>Bota Gamuza Caramelo</t>
        </is>
      </c>
      <c r="J209" s="156" t="inlineStr">
        <is>
          <t>Calzado</t>
        </is>
      </c>
      <c r="K209" s="156" t="inlineStr">
        <is>
          <t>Botas</t>
        </is>
      </c>
      <c r="L209" s="156" t="inlineStr">
        <is>
          <t>Hombre</t>
        </is>
      </c>
      <c r="M209" s="156" t="inlineStr">
        <is>
          <t>Stetson</t>
        </is>
      </c>
      <c r="N209" s="156" t="inlineStr">
        <is>
          <t>SS26</t>
        </is>
      </c>
      <c r="O209" s="156" t="inlineStr">
        <is>
          <t>Seasonal</t>
        </is>
      </c>
      <c r="P209" s="156" t="inlineStr">
        <is>
          <t>Cafe</t>
        </is>
      </c>
      <c r="Q209" s="156" t="n"/>
      <c r="R209" s="156" t="inlineStr">
        <is>
          <t>Punta Redonda Ancha</t>
        </is>
      </c>
      <c r="S209" s="156" t="inlineStr">
        <is>
          <t>Gamuza</t>
        </is>
      </c>
      <c r="T209" s="156" t="inlineStr">
        <is>
          <t>Bota Caballero Gamuza Caramelo Punta Redonda Ancha</t>
        </is>
      </c>
      <c r="U209" s="156" t="inlineStr">
        <is>
          <t>México</t>
        </is>
      </c>
      <c r="V209" s="156" t="inlineStr">
        <is>
          <t>PRS</t>
        </is>
      </c>
      <c r="W209" s="51" t="inlineStr">
        <is>
          <t>53111501</t>
        </is>
      </c>
      <c r="X209" s="156" t="n"/>
      <c r="Y209" s="54" t="n">
        <v>675</v>
      </c>
      <c r="Z209" s="54" t="n">
        <v>3879.310345</v>
      </c>
      <c r="AA209" s="55">
        <f>IF(AND(A209="", B209="", E209=""), "", IF(AB209="", "Válido", IF((LEN(AB209)-LEN(SUBSTITUTE(AB209,"; ","")))/2+1&gt;(LEN(AB209)-LEN(SUBSTITUTE(AB209,"[Aviso]","")))/7, "Con Incidencias", "Válido")))</f>
        <v/>
      </c>
      <c r="AB209" s="56">
        <f>IF(AND(A209="", B209="", E209=""), "", TEXTJOIN("; ", TRUE, IF(OR(TRIM(A209&amp;"")="", ISNUMBER(SEARCH("FALTA", A209))), "UPC faltante/inválido", ""), IF(AND(A209&lt;&gt;"", IFERROR(_xlfn.XMATCH(A209,$A$2:$A$2509,0,1)&lt;&gt;_xlfn.XMATCH(A209,$A$2:$A$2509,0,-1),FALSE)), "Código de barras duplicado", ""), IF(AND(E209&lt;&gt;"", COUNTIF($E$2:$E$2509, E209)&gt;1), "SKU duplicado", ""), IF(OR(J209="", J209=""), "[Aviso] División no capturada ()", IF(ISNA(MATCH(J209, Criterios!$A$123:$A$126, 0)), "División no válida", "")), IF(OR(K209="", K209=""), "[Aviso] Categoría no capturada ()", IF(ISNA(MATCH(K209, Criterios!$A$81:$A$120, 0)), "Categoría no válida", IF(AND(J209&lt;&gt;"", J209&lt;&gt;"", J209&lt;&gt;VLOOKUP(K209, Criterios!$A$81:$B$120, 2, FALSE)), "División no coincide con Categoría", ""))), IF(OR(L209="", L209=""), "[Aviso] Género no capturado ()", IF(ISNA(MATCH(L209, Criterios!$B$123:$B$127, 0)), "Género no válido", "")), IF(OR(N209="", N209=""), "[Aviso] Temporada no capturada ()", IF(ISNA(MATCH(N209, Criterios!$C$123:$C$128, 0)), "Temporada no válida", "")), IF(OR(O209="", O209=""), "[Aviso] Ciclo de vida no capturado ()", IF(ISNA(MATCH(O209, Criterios!$D$123:$D$124, 0)), "Ciclo de vida no válido", ""))))</f>
        <v/>
      </c>
      <c r="AC209" s="56" t="n"/>
      <c r="AD209" s="51" t="n">
        <v>0</v>
      </c>
      <c r="AE209" s="156" t="n"/>
      <c r="AF209" s="51" t="n">
        <v>0</v>
      </c>
      <c r="AG209" s="156" t="inlineStr">
        <is>
          <t>Catálogo existente</t>
        </is>
      </c>
      <c r="AH2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9" s="156" t="inlineStr">
        <is>
          <t>No</t>
        </is>
      </c>
      <c r="AJ209" s="156" t="n"/>
      <c r="AK209" s="155" t="inlineStr">
        <is>
          <t>Criterios: I [Q]; G1522_Extraccion_Articulos_NetSuite_2026-09-30.xlsx: fila 58781 [R] | Shopify Stetson: producto 15054563901803 / variante 53350544540011</t>
        </is>
      </c>
      <c r="AL209" s="58" t="n">
        <v>675</v>
      </c>
      <c r="AM209" s="58" t="n">
        <v>3879.310345</v>
      </c>
      <c r="AN209" s="155" t="inlineStr">
        <is>
          <t>Shopify Stetson México</t>
        </is>
      </c>
      <c r="AO209" s="59" t="n">
        <v>0</v>
      </c>
      <c r="AP209" s="59" t="n"/>
      <c r="AQ209" s="59" t="n"/>
      <c r="AR209" s="155" t="n"/>
    </row>
    <row r="210">
      <c r="A210" s="50" t="inlineStr">
        <is>
          <t>12020002101006025</t>
        </is>
      </c>
      <c r="B210" s="51" t="inlineStr">
        <is>
          <t>111107</t>
        </is>
      </c>
      <c r="C210" s="156" t="inlineStr">
        <is>
          <t>Multimarca</t>
        </is>
      </c>
      <c r="D210" s="156" t="inlineStr">
        <is>
          <t>12-020-BS002-10-1006</t>
        </is>
      </c>
      <c r="E210" s="156" t="inlineStr">
        <is>
          <t>12-020-BS002-10-1006-025</t>
        </is>
      </c>
      <c r="F210" s="156" t="inlineStr">
        <is>
          <t>25</t>
        </is>
      </c>
      <c r="G210" s="156" t="inlineStr">
        <is>
          <t>7</t>
        </is>
      </c>
      <c r="H210" s="156" t="inlineStr">
        <is>
          <t>Stetson</t>
        </is>
      </c>
      <c r="I210" s="156" t="inlineStr">
        <is>
          <t>Bota Gamuza Chocolate</t>
        </is>
      </c>
      <c r="J210" s="156" t="inlineStr">
        <is>
          <t>Calzado</t>
        </is>
      </c>
      <c r="K210" s="156" t="inlineStr">
        <is>
          <t>Botas</t>
        </is>
      </c>
      <c r="L210" s="156" t="inlineStr">
        <is>
          <t>Hombre</t>
        </is>
      </c>
      <c r="M210" s="156" t="inlineStr">
        <is>
          <t>Stetson</t>
        </is>
      </c>
      <c r="N210" s="156" t="inlineStr">
        <is>
          <t>SS26</t>
        </is>
      </c>
      <c r="O210" s="156" t="inlineStr">
        <is>
          <t>Seasonal</t>
        </is>
      </c>
      <c r="P210" s="156" t="inlineStr">
        <is>
          <t>Cafe</t>
        </is>
      </c>
      <c r="Q210" s="156" t="n"/>
      <c r="R210" s="156" t="inlineStr">
        <is>
          <t>Punta Redonda Ancha</t>
        </is>
      </c>
      <c r="S210" s="156" t="inlineStr">
        <is>
          <t>Gamuza</t>
        </is>
      </c>
      <c r="T210" s="156" t="inlineStr">
        <is>
          <t>Bota Caballero Gamuza Chocolate Punta Redonda Ancha</t>
        </is>
      </c>
      <c r="U210" s="156" t="inlineStr">
        <is>
          <t>México</t>
        </is>
      </c>
      <c r="V210" s="156" t="inlineStr">
        <is>
          <t>PRS</t>
        </is>
      </c>
      <c r="W210" s="51" t="inlineStr">
        <is>
          <t>53111501</t>
        </is>
      </c>
      <c r="X210" s="156" t="n"/>
      <c r="Y210" s="54" t="n">
        <v>675</v>
      </c>
      <c r="Z210" s="54" t="n">
        <v>3879.310345</v>
      </c>
      <c r="AA210" s="55">
        <f>IF(AND(A210="", B210="", E210=""), "", IF(AB210="", "Válido", IF((LEN(AB210)-LEN(SUBSTITUTE(AB210,"; ","")))/2+1&gt;(LEN(AB210)-LEN(SUBSTITUTE(AB210,"[Aviso]","")))/7, "Con Incidencias", "Válido")))</f>
        <v/>
      </c>
      <c r="AB210" s="56">
        <f>IF(AND(A210="", B210="", E210=""), "", TEXTJOIN("; ", TRUE, IF(OR(TRIM(A210&amp;"")="", ISNUMBER(SEARCH("FALTA", A210))), "UPC faltante/inválido", ""), IF(AND(A210&lt;&gt;"", IFERROR(_xlfn.XMATCH(A210,$A$2:$A$2509,0,1)&lt;&gt;_xlfn.XMATCH(A210,$A$2:$A$2509,0,-1),FALSE)), "Código de barras duplicado", ""), IF(AND(E210&lt;&gt;"", COUNTIF($E$2:$E$2509, E210)&gt;1), "SKU duplicado", ""), IF(OR(J210="", J210=""), "[Aviso] División no capturada ()", IF(ISNA(MATCH(J210, Criterios!$A$123:$A$126, 0)), "División no válida", "")), IF(OR(K210="", K210=""), "[Aviso] Categoría no capturada ()", IF(ISNA(MATCH(K210, Criterios!$A$81:$A$120, 0)), "Categoría no válida", IF(AND(J210&lt;&gt;"", J210&lt;&gt;"", J210&lt;&gt;VLOOKUP(K210, Criterios!$A$81:$B$120, 2, FALSE)), "División no coincide con Categoría", ""))), IF(OR(L210="", L210=""), "[Aviso] Género no capturado ()", IF(ISNA(MATCH(L210, Criterios!$B$123:$B$127, 0)), "Género no válido", "")), IF(OR(N210="", N210=""), "[Aviso] Temporada no capturada ()", IF(ISNA(MATCH(N210, Criterios!$C$123:$C$128, 0)), "Temporada no válida", "")), IF(OR(O210="", O210=""), "[Aviso] Ciclo de vida no capturado ()", IF(ISNA(MATCH(O210, Criterios!$D$123:$D$124, 0)), "Ciclo de vida no válido", ""))))</f>
        <v/>
      </c>
      <c r="AC210" s="56" t="n"/>
      <c r="AD210" s="51" t="n">
        <v>0</v>
      </c>
      <c r="AE210" s="156" t="n"/>
      <c r="AF210" s="51" t="n">
        <v>0</v>
      </c>
      <c r="AG210" s="156" t="inlineStr">
        <is>
          <t>Catálogo existente</t>
        </is>
      </c>
      <c r="AH2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0" s="156" t="inlineStr">
        <is>
          <t>No</t>
        </is>
      </c>
      <c r="AJ210" s="156" t="n"/>
      <c r="AK210" s="155" t="inlineStr">
        <is>
          <t>Criterios: I [Q]; G1522_Extraccion_Articulos_NetSuite_2026-09-30.xlsx: fila 58782 [R] | Shopify Stetson: producto 15054563934571 / variante 53350544572779</t>
        </is>
      </c>
      <c r="AL210" s="58" t="n">
        <v>675</v>
      </c>
      <c r="AM210" s="58" t="n">
        <v>3879.310345</v>
      </c>
      <c r="AN210" s="155" t="inlineStr">
        <is>
          <t>Shopify Stetson México</t>
        </is>
      </c>
      <c r="AO210" s="59" t="n">
        <v>0</v>
      </c>
      <c r="AP210" s="59" t="n"/>
      <c r="AQ210" s="59" t="n"/>
      <c r="AR210" s="155" t="n"/>
    </row>
    <row r="211">
      <c r="A211" s="50" t="inlineStr">
        <is>
          <t>12020002101006026</t>
        </is>
      </c>
      <c r="B211" s="51" t="inlineStr">
        <is>
          <t>111108</t>
        </is>
      </c>
      <c r="C211" s="156" t="inlineStr">
        <is>
          <t>Multimarca</t>
        </is>
      </c>
      <c r="D211" s="156" t="inlineStr">
        <is>
          <t>12-020-BS002-10-1006</t>
        </is>
      </c>
      <c r="E211" s="156" t="inlineStr">
        <is>
          <t>12-020-BS002-10-1006-026</t>
        </is>
      </c>
      <c r="F211" s="156" t="inlineStr">
        <is>
          <t>26</t>
        </is>
      </c>
      <c r="G211" s="156" t="inlineStr">
        <is>
          <t>8</t>
        </is>
      </c>
      <c r="H211" s="156" t="inlineStr">
        <is>
          <t>Stetson</t>
        </is>
      </c>
      <c r="I211" s="156" t="inlineStr">
        <is>
          <t>Bota Gamuza Chocolate</t>
        </is>
      </c>
      <c r="J211" s="156" t="inlineStr">
        <is>
          <t>Calzado</t>
        </is>
      </c>
      <c r="K211" s="156" t="inlineStr">
        <is>
          <t>Botas</t>
        </is>
      </c>
      <c r="L211" s="156" t="inlineStr">
        <is>
          <t>Hombre</t>
        </is>
      </c>
      <c r="M211" s="156" t="inlineStr">
        <is>
          <t>Stetson</t>
        </is>
      </c>
      <c r="N211" s="156" t="inlineStr">
        <is>
          <t>SS26</t>
        </is>
      </c>
      <c r="O211" s="156" t="inlineStr">
        <is>
          <t>Seasonal</t>
        </is>
      </c>
      <c r="P211" s="156" t="inlineStr">
        <is>
          <t>Cafe</t>
        </is>
      </c>
      <c r="Q211" s="156" t="n"/>
      <c r="R211" s="156" t="inlineStr">
        <is>
          <t>Punta Redonda Ancha</t>
        </is>
      </c>
      <c r="S211" s="156" t="inlineStr">
        <is>
          <t>Gamuza</t>
        </is>
      </c>
      <c r="T211" s="156" t="inlineStr">
        <is>
          <t>Bota Caballero Gamuza Chocolate Punta Redonda Ancha</t>
        </is>
      </c>
      <c r="U211" s="156" t="inlineStr">
        <is>
          <t>México</t>
        </is>
      </c>
      <c r="V211" s="156" t="inlineStr">
        <is>
          <t>PRS</t>
        </is>
      </c>
      <c r="W211" s="51" t="inlineStr">
        <is>
          <t>53111501</t>
        </is>
      </c>
      <c r="X211" s="156" t="n"/>
      <c r="Y211" s="54" t="n">
        <v>675</v>
      </c>
      <c r="Z211" s="54" t="n">
        <v>3879.310345</v>
      </c>
      <c r="AA211" s="55">
        <f>IF(AND(A211="", B211="", E211=""), "", IF(AB211="", "Válido", IF((LEN(AB211)-LEN(SUBSTITUTE(AB211,"; ","")))/2+1&gt;(LEN(AB211)-LEN(SUBSTITUTE(AB211,"[Aviso]","")))/7, "Con Incidencias", "Válido")))</f>
        <v/>
      </c>
      <c r="AB211" s="56">
        <f>IF(AND(A211="", B211="", E211=""), "", TEXTJOIN("; ", TRUE, IF(OR(TRIM(A211&amp;"")="", ISNUMBER(SEARCH("FALTA", A211))), "UPC faltante/inválido", ""), IF(AND(A211&lt;&gt;"", IFERROR(_xlfn.XMATCH(A211,$A$2:$A$2509,0,1)&lt;&gt;_xlfn.XMATCH(A211,$A$2:$A$2509,0,-1),FALSE)), "Código de barras duplicado", ""), IF(AND(E211&lt;&gt;"", COUNTIF($E$2:$E$2509, E211)&gt;1), "SKU duplicado", ""), IF(OR(J211="", J211=""), "[Aviso] División no capturada ()", IF(ISNA(MATCH(J211, Criterios!$A$123:$A$126, 0)), "División no válida", "")), IF(OR(K211="", K211=""), "[Aviso] Categoría no capturada ()", IF(ISNA(MATCH(K211, Criterios!$A$81:$A$120, 0)), "Categoría no válida", IF(AND(J211&lt;&gt;"", J211&lt;&gt;"", J211&lt;&gt;VLOOKUP(K211, Criterios!$A$81:$B$120, 2, FALSE)), "División no coincide con Categoría", ""))), IF(OR(L211="", L211=""), "[Aviso] Género no capturado ()", IF(ISNA(MATCH(L211, Criterios!$B$123:$B$127, 0)), "Género no válido", "")), IF(OR(N211="", N211=""), "[Aviso] Temporada no capturada ()", IF(ISNA(MATCH(N211, Criterios!$C$123:$C$128, 0)), "Temporada no válida", "")), IF(OR(O211="", O211=""), "[Aviso] Ciclo de vida no capturado ()", IF(ISNA(MATCH(O211, Criterios!$D$123:$D$124, 0)), "Ciclo de vida no válido", ""))))</f>
        <v/>
      </c>
      <c r="AC211" s="56" t="n"/>
      <c r="AD211" s="51" t="n">
        <v>0</v>
      </c>
      <c r="AE211" s="156" t="n"/>
      <c r="AF211" s="51" t="n">
        <v>0</v>
      </c>
      <c r="AG211" s="156" t="inlineStr">
        <is>
          <t>Catálogo existente</t>
        </is>
      </c>
      <c r="AH2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1" s="156" t="inlineStr">
        <is>
          <t>No</t>
        </is>
      </c>
      <c r="AJ211" s="156" t="n"/>
      <c r="AK211" s="155" t="inlineStr">
        <is>
          <t>Criterios: I [Q]; G1522_Extraccion_Articulos_NetSuite_2026-09-30.xlsx: fila 58783 [R] | Shopify Stetson: producto 15054563934571 / variante 53350544638315</t>
        </is>
      </c>
      <c r="AL211" s="58" t="n">
        <v>675</v>
      </c>
      <c r="AM211" s="58" t="n">
        <v>3879.310345</v>
      </c>
      <c r="AN211" s="155" t="inlineStr">
        <is>
          <t>Shopify Stetson México</t>
        </is>
      </c>
      <c r="AO211" s="59" t="n">
        <v>0</v>
      </c>
      <c r="AP211" s="59" t="n"/>
      <c r="AQ211" s="59" t="n"/>
      <c r="AR211" s="155" t="n"/>
    </row>
    <row r="212">
      <c r="A212" s="50" t="inlineStr">
        <is>
          <t>12020002101006027</t>
        </is>
      </c>
      <c r="B212" s="51" t="inlineStr">
        <is>
          <t>111109</t>
        </is>
      </c>
      <c r="C212" s="156" t="inlineStr">
        <is>
          <t>Multimarca</t>
        </is>
      </c>
      <c r="D212" s="156" t="inlineStr">
        <is>
          <t>12-020-BS002-10-1006</t>
        </is>
      </c>
      <c r="E212" s="156" t="inlineStr">
        <is>
          <t>12-020-BS002-10-1006-027</t>
        </is>
      </c>
      <c r="F212" s="156" t="inlineStr">
        <is>
          <t>27</t>
        </is>
      </c>
      <c r="G212" s="156" t="inlineStr">
        <is>
          <t>9</t>
        </is>
      </c>
      <c r="H212" s="156" t="inlineStr">
        <is>
          <t>Stetson</t>
        </is>
      </c>
      <c r="I212" s="156" t="inlineStr">
        <is>
          <t>Bota Gamuza Chocolate</t>
        </is>
      </c>
      <c r="J212" s="156" t="inlineStr">
        <is>
          <t>Calzado</t>
        </is>
      </c>
      <c r="K212" s="156" t="inlineStr">
        <is>
          <t>Botas</t>
        </is>
      </c>
      <c r="L212" s="156" t="inlineStr">
        <is>
          <t>Hombre</t>
        </is>
      </c>
      <c r="M212" s="156" t="inlineStr">
        <is>
          <t>Stetson</t>
        </is>
      </c>
      <c r="N212" s="156" t="inlineStr">
        <is>
          <t>SS26</t>
        </is>
      </c>
      <c r="O212" s="156" t="inlineStr">
        <is>
          <t>Seasonal</t>
        </is>
      </c>
      <c r="P212" s="156" t="inlineStr">
        <is>
          <t>Cafe</t>
        </is>
      </c>
      <c r="Q212" s="156" t="n"/>
      <c r="R212" s="156" t="inlineStr">
        <is>
          <t>Punta Redonda Ancha</t>
        </is>
      </c>
      <c r="S212" s="156" t="inlineStr">
        <is>
          <t>Gamuza</t>
        </is>
      </c>
      <c r="T212" s="156" t="inlineStr">
        <is>
          <t>Bota Caballero Gamuza Chocolate Punta Redonda Ancha</t>
        </is>
      </c>
      <c r="U212" s="156" t="inlineStr">
        <is>
          <t>México</t>
        </is>
      </c>
      <c r="V212" s="156" t="inlineStr">
        <is>
          <t>PRS</t>
        </is>
      </c>
      <c r="W212" s="51" t="inlineStr">
        <is>
          <t>53111501</t>
        </is>
      </c>
      <c r="X212" s="156" t="n"/>
      <c r="Y212" s="54" t="n">
        <v>675</v>
      </c>
      <c r="Z212" s="54" t="n">
        <v>3879.310345</v>
      </c>
      <c r="AA212" s="55">
        <f>IF(AND(A212="", B212="", E212=""), "", IF(AB212="", "Válido", IF((LEN(AB212)-LEN(SUBSTITUTE(AB212,"; ","")))/2+1&gt;(LEN(AB212)-LEN(SUBSTITUTE(AB212,"[Aviso]","")))/7, "Con Incidencias", "Válido")))</f>
        <v/>
      </c>
      <c r="AB212" s="56">
        <f>IF(AND(A212="", B212="", E212=""), "", TEXTJOIN("; ", TRUE, IF(OR(TRIM(A212&amp;"")="", ISNUMBER(SEARCH("FALTA", A212))), "UPC faltante/inválido", ""), IF(AND(A212&lt;&gt;"", IFERROR(_xlfn.XMATCH(A212,$A$2:$A$2509,0,1)&lt;&gt;_xlfn.XMATCH(A212,$A$2:$A$2509,0,-1),FALSE)), "Código de barras duplicado", ""), IF(AND(E212&lt;&gt;"", COUNTIF($E$2:$E$2509, E212)&gt;1), "SKU duplicado", ""), IF(OR(J212="", J212=""), "[Aviso] División no capturada ()", IF(ISNA(MATCH(J212, Criterios!$A$123:$A$126, 0)), "División no válida", "")), IF(OR(K212="", K212=""), "[Aviso] Categoría no capturada ()", IF(ISNA(MATCH(K212, Criterios!$A$81:$A$120, 0)), "Categoría no válida", IF(AND(J212&lt;&gt;"", J212&lt;&gt;"", J212&lt;&gt;VLOOKUP(K212, Criterios!$A$81:$B$120, 2, FALSE)), "División no coincide con Categoría", ""))), IF(OR(L212="", L212=""), "[Aviso] Género no capturado ()", IF(ISNA(MATCH(L212, Criterios!$B$123:$B$127, 0)), "Género no válido", "")), IF(OR(N212="", N212=""), "[Aviso] Temporada no capturada ()", IF(ISNA(MATCH(N212, Criterios!$C$123:$C$128, 0)), "Temporada no válida", "")), IF(OR(O212="", O212=""), "[Aviso] Ciclo de vida no capturado ()", IF(ISNA(MATCH(O212, Criterios!$D$123:$D$124, 0)), "Ciclo de vida no válido", ""))))</f>
        <v/>
      </c>
      <c r="AC212" s="56" t="n"/>
      <c r="AD212" s="51" t="n">
        <v>2</v>
      </c>
      <c r="AE212" s="156" t="inlineStr">
        <is>
          <t>STETSON AMERICAS (2)</t>
        </is>
      </c>
      <c r="AF212" s="51" t="n">
        <v>2</v>
      </c>
      <c r="AG212" s="156" t="inlineStr">
        <is>
          <t>Catálogo existente</t>
        </is>
      </c>
      <c r="AH2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2" s="156" t="inlineStr">
        <is>
          <t>No</t>
        </is>
      </c>
      <c r="AJ212" s="156" t="n"/>
      <c r="AK212" s="155" t="inlineStr">
        <is>
          <t>Criterios: I [Q]; G1522_Extraccion_Articulos_NetSuite_2026-09-30.xlsx: fila 58784 [R] | Shopify Stetson: producto 15054563934571 / variante 53350544703851</t>
        </is>
      </c>
      <c r="AL212" s="58" t="n">
        <v>675</v>
      </c>
      <c r="AM212" s="58" t="n">
        <v>3879.310345</v>
      </c>
      <c r="AN212" s="155" t="inlineStr">
        <is>
          <t>Shopify Stetson México</t>
        </is>
      </c>
      <c r="AO212" s="59" t="n">
        <v>2</v>
      </c>
      <c r="AP212" s="59" t="n"/>
      <c r="AQ212" s="59" t="n"/>
      <c r="AR212" s="155" t="inlineStr">
        <is>
          <t>Shopify Stetson México › Stetson Americas: 2</t>
        </is>
      </c>
    </row>
    <row r="213">
      <c r="A213" s="50" t="inlineStr">
        <is>
          <t>12020002101006028</t>
        </is>
      </c>
      <c r="B213" s="51" t="inlineStr">
        <is>
          <t>111110</t>
        </is>
      </c>
      <c r="C213" s="156" t="inlineStr">
        <is>
          <t>Multimarca</t>
        </is>
      </c>
      <c r="D213" s="156" t="inlineStr">
        <is>
          <t>12-020-BS002-10-1006</t>
        </is>
      </c>
      <c r="E213" s="156" t="inlineStr">
        <is>
          <t>12-020-BS002-10-1006-028</t>
        </is>
      </c>
      <c r="F213" s="156" t="inlineStr">
        <is>
          <t>28</t>
        </is>
      </c>
      <c r="G213" s="156" t="inlineStr">
        <is>
          <t>10</t>
        </is>
      </c>
      <c r="H213" s="156" t="inlineStr">
        <is>
          <t>Stetson</t>
        </is>
      </c>
      <c r="I213" s="156" t="inlineStr">
        <is>
          <t>Bota Gamuza Chocolate</t>
        </is>
      </c>
      <c r="J213" s="156" t="inlineStr">
        <is>
          <t>Calzado</t>
        </is>
      </c>
      <c r="K213" s="156" t="inlineStr">
        <is>
          <t>Botas</t>
        </is>
      </c>
      <c r="L213" s="156" t="inlineStr">
        <is>
          <t>Hombre</t>
        </is>
      </c>
      <c r="M213" s="156" t="inlineStr">
        <is>
          <t>Stetson</t>
        </is>
      </c>
      <c r="N213" s="156" t="inlineStr">
        <is>
          <t>SS26</t>
        </is>
      </c>
      <c r="O213" s="156" t="inlineStr">
        <is>
          <t>Seasonal</t>
        </is>
      </c>
      <c r="P213" s="156" t="inlineStr">
        <is>
          <t>Cafe</t>
        </is>
      </c>
      <c r="Q213" s="156" t="n"/>
      <c r="R213" s="156" t="inlineStr">
        <is>
          <t>Punta Redonda Ancha</t>
        </is>
      </c>
      <c r="S213" s="156" t="inlineStr">
        <is>
          <t>Gamuza</t>
        </is>
      </c>
      <c r="T213" s="156" t="inlineStr">
        <is>
          <t>Bota Caballero Gamuza Chocolate Punta Redonda Ancha</t>
        </is>
      </c>
      <c r="U213" s="156" t="inlineStr">
        <is>
          <t>México</t>
        </is>
      </c>
      <c r="V213" s="156" t="inlineStr">
        <is>
          <t>PRS</t>
        </is>
      </c>
      <c r="W213" s="51" t="inlineStr">
        <is>
          <t>53111501</t>
        </is>
      </c>
      <c r="X213" s="156" t="n"/>
      <c r="Y213" s="54" t="n">
        <v>675</v>
      </c>
      <c r="Z213" s="54" t="n">
        <v>3879.310345</v>
      </c>
      <c r="AA213" s="55">
        <f>IF(AND(A213="", B213="", E213=""), "", IF(AB213="", "Válido", IF((LEN(AB213)-LEN(SUBSTITUTE(AB213,"; ","")))/2+1&gt;(LEN(AB213)-LEN(SUBSTITUTE(AB213,"[Aviso]","")))/7, "Con Incidencias", "Válido")))</f>
        <v/>
      </c>
      <c r="AB213" s="56">
        <f>IF(AND(A213="", B213="", E213=""), "", TEXTJOIN("; ", TRUE, IF(OR(TRIM(A213&amp;"")="", ISNUMBER(SEARCH("FALTA", A213))), "UPC faltante/inválido", ""), IF(AND(A213&lt;&gt;"", IFERROR(_xlfn.XMATCH(A213,$A$2:$A$2509,0,1)&lt;&gt;_xlfn.XMATCH(A213,$A$2:$A$2509,0,-1),FALSE)), "Código de barras duplicado", ""), IF(AND(E213&lt;&gt;"", COUNTIF($E$2:$E$2509, E213)&gt;1), "SKU duplicado", ""), IF(OR(J213="", J213=""), "[Aviso] División no capturada ()", IF(ISNA(MATCH(J213, Criterios!$A$123:$A$126, 0)), "División no válida", "")), IF(OR(K213="", K213=""), "[Aviso] Categoría no capturada ()", IF(ISNA(MATCH(K213, Criterios!$A$81:$A$120, 0)), "Categoría no válida", IF(AND(J213&lt;&gt;"", J213&lt;&gt;"", J213&lt;&gt;VLOOKUP(K213, Criterios!$A$81:$B$120, 2, FALSE)), "División no coincide con Categoría", ""))), IF(OR(L213="", L213=""), "[Aviso] Género no capturado ()", IF(ISNA(MATCH(L213, Criterios!$B$123:$B$127, 0)), "Género no válido", "")), IF(OR(N213="", N213=""), "[Aviso] Temporada no capturada ()", IF(ISNA(MATCH(N213, Criterios!$C$123:$C$128, 0)), "Temporada no válida", "")), IF(OR(O213="", O213=""), "[Aviso] Ciclo de vida no capturado ()", IF(ISNA(MATCH(O213, Criterios!$D$123:$D$124, 0)), "Ciclo de vida no válido", ""))))</f>
        <v/>
      </c>
      <c r="AC213" s="56" t="n"/>
      <c r="AD213" s="51" t="n">
        <v>2</v>
      </c>
      <c r="AE213" s="156" t="inlineStr">
        <is>
          <t>STETSON AMERICAS (2)</t>
        </is>
      </c>
      <c r="AF213" s="51" t="n">
        <v>2</v>
      </c>
      <c r="AG213" s="156" t="inlineStr">
        <is>
          <t>Catálogo existente</t>
        </is>
      </c>
      <c r="AH2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3" s="156" t="inlineStr">
        <is>
          <t>No</t>
        </is>
      </c>
      <c r="AJ213" s="156" t="n"/>
      <c r="AK213" s="155" t="inlineStr">
        <is>
          <t>Criterios: I [Q]; G1522_Extraccion_Articulos_NetSuite_2026-09-30.xlsx: fila 58785 [R] | Shopify Stetson: producto 15054563934571 / variante 53350544769387</t>
        </is>
      </c>
      <c r="AL213" s="58" t="n">
        <v>675</v>
      </c>
      <c r="AM213" s="58" t="n">
        <v>3879.310345</v>
      </c>
      <c r="AN213" s="155" t="inlineStr">
        <is>
          <t>Shopify Stetson México</t>
        </is>
      </c>
      <c r="AO213" s="59" t="n">
        <v>2</v>
      </c>
      <c r="AP213" s="59" t="n"/>
      <c r="AQ213" s="59" t="n"/>
      <c r="AR213" s="155" t="inlineStr">
        <is>
          <t>Shopify Stetson México › Stetson Americas: 2</t>
        </is>
      </c>
    </row>
    <row r="214">
      <c r="A214" s="50" t="inlineStr">
        <is>
          <t>12020002101006029</t>
        </is>
      </c>
      <c r="B214" s="51" t="inlineStr">
        <is>
          <t>111111</t>
        </is>
      </c>
      <c r="C214" s="156" t="inlineStr">
        <is>
          <t>Multimarca</t>
        </is>
      </c>
      <c r="D214" s="156" t="inlineStr">
        <is>
          <t>12-020-BS002-10-1006</t>
        </is>
      </c>
      <c r="E214" s="156" t="inlineStr">
        <is>
          <t>12-020-BS002-10-1006-029</t>
        </is>
      </c>
      <c r="F214" s="156" t="inlineStr">
        <is>
          <t>29</t>
        </is>
      </c>
      <c r="G214" s="156" t="inlineStr">
        <is>
          <t>11</t>
        </is>
      </c>
      <c r="H214" s="156" t="inlineStr">
        <is>
          <t>Stetson</t>
        </is>
      </c>
      <c r="I214" s="156" t="inlineStr">
        <is>
          <t>Bota Gamuza Chocolate</t>
        </is>
      </c>
      <c r="J214" s="156" t="inlineStr">
        <is>
          <t>Calzado</t>
        </is>
      </c>
      <c r="K214" s="156" t="inlineStr">
        <is>
          <t>Botas</t>
        </is>
      </c>
      <c r="L214" s="156" t="inlineStr">
        <is>
          <t>Hombre</t>
        </is>
      </c>
      <c r="M214" s="156" t="inlineStr">
        <is>
          <t>Stetson</t>
        </is>
      </c>
      <c r="N214" s="156" t="inlineStr">
        <is>
          <t>SS26</t>
        </is>
      </c>
      <c r="O214" s="156" t="inlineStr">
        <is>
          <t>Seasonal</t>
        </is>
      </c>
      <c r="P214" s="156" t="inlineStr">
        <is>
          <t>Cafe</t>
        </is>
      </c>
      <c r="Q214" s="156" t="n"/>
      <c r="R214" s="156" t="inlineStr">
        <is>
          <t>Punta Redonda Ancha</t>
        </is>
      </c>
      <c r="S214" s="156" t="inlineStr">
        <is>
          <t>Gamuza</t>
        </is>
      </c>
      <c r="T214" s="156" t="inlineStr">
        <is>
          <t>Bota Caballero Gamuza Chocolate Punta Redonda Ancha</t>
        </is>
      </c>
      <c r="U214" s="156" t="inlineStr">
        <is>
          <t>México</t>
        </is>
      </c>
      <c r="V214" s="156" t="inlineStr">
        <is>
          <t>PRS</t>
        </is>
      </c>
      <c r="W214" s="51" t="inlineStr">
        <is>
          <t>53111501</t>
        </is>
      </c>
      <c r="X214" s="156" t="n"/>
      <c r="Y214" s="54" t="n">
        <v>675</v>
      </c>
      <c r="Z214" s="54" t="n">
        <v>3879.310345</v>
      </c>
      <c r="AA214" s="55">
        <f>IF(AND(A214="", B214="", E214=""), "", IF(AB214="", "Válido", IF((LEN(AB214)-LEN(SUBSTITUTE(AB214,"; ","")))/2+1&gt;(LEN(AB214)-LEN(SUBSTITUTE(AB214,"[Aviso]","")))/7, "Con Incidencias", "Válido")))</f>
        <v/>
      </c>
      <c r="AB214" s="56">
        <f>IF(AND(A214="", B214="", E214=""), "", TEXTJOIN("; ", TRUE, IF(OR(TRIM(A214&amp;"")="", ISNUMBER(SEARCH("FALTA", A214))), "UPC faltante/inválido", ""), IF(AND(A214&lt;&gt;"", IFERROR(_xlfn.XMATCH(A214,$A$2:$A$2509,0,1)&lt;&gt;_xlfn.XMATCH(A214,$A$2:$A$2509,0,-1),FALSE)), "Código de barras duplicado", ""), IF(AND(E214&lt;&gt;"", COUNTIF($E$2:$E$2509, E214)&gt;1), "SKU duplicado", ""), IF(OR(J214="", J214=""), "[Aviso] División no capturada ()", IF(ISNA(MATCH(J214, Criterios!$A$123:$A$126, 0)), "División no válida", "")), IF(OR(K214="", K214=""), "[Aviso] Categoría no capturada ()", IF(ISNA(MATCH(K214, Criterios!$A$81:$A$120, 0)), "Categoría no válida", IF(AND(J214&lt;&gt;"", J214&lt;&gt;"", J214&lt;&gt;VLOOKUP(K214, Criterios!$A$81:$B$120, 2, FALSE)), "División no coincide con Categoría", ""))), IF(OR(L214="", L214=""), "[Aviso] Género no capturado ()", IF(ISNA(MATCH(L214, Criterios!$B$123:$B$127, 0)), "Género no válido", "")), IF(OR(N214="", N214=""), "[Aviso] Temporada no capturada ()", IF(ISNA(MATCH(N214, Criterios!$C$123:$C$128, 0)), "Temporada no válida", "")), IF(OR(O214="", O214=""), "[Aviso] Ciclo de vida no capturado ()", IF(ISNA(MATCH(O214, Criterios!$D$123:$D$124, 0)), "Ciclo de vida no válido", ""))))</f>
        <v/>
      </c>
      <c r="AC214" s="56" t="n"/>
      <c r="AD214" s="51" t="n">
        <v>2</v>
      </c>
      <c r="AE214" s="156" t="inlineStr">
        <is>
          <t>STETSON AMERICAS (2)</t>
        </is>
      </c>
      <c r="AF214" s="51" t="n">
        <v>2</v>
      </c>
      <c r="AG214" s="156" t="inlineStr">
        <is>
          <t>Catálogo existente</t>
        </is>
      </c>
      <c r="AH2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4" s="156" t="inlineStr">
        <is>
          <t>No</t>
        </is>
      </c>
      <c r="AJ214" s="156" t="n"/>
      <c r="AK214" s="155" t="inlineStr">
        <is>
          <t>Criterios: I [Q]; G1522_Extraccion_Articulos_NetSuite_2026-09-30.xlsx: fila 58786 [R] | Shopify Stetson: producto 15054563934571 / variante 53350544834923</t>
        </is>
      </c>
      <c r="AL214" s="58" t="n">
        <v>675</v>
      </c>
      <c r="AM214" s="58" t="n">
        <v>3879.310345</v>
      </c>
      <c r="AN214" s="155" t="inlineStr">
        <is>
          <t>Shopify Stetson México</t>
        </is>
      </c>
      <c r="AO214" s="59" t="n">
        <v>2</v>
      </c>
      <c r="AP214" s="59" t="n"/>
      <c r="AQ214" s="59" t="n"/>
      <c r="AR214" s="155" t="inlineStr">
        <is>
          <t>Shopify Stetson México › Stetson Americas: 2</t>
        </is>
      </c>
    </row>
    <row r="215">
      <c r="A215" s="50" t="inlineStr">
        <is>
          <t>12020002101006030</t>
        </is>
      </c>
      <c r="B215" s="51" t="inlineStr">
        <is>
          <t>111112</t>
        </is>
      </c>
      <c r="C215" s="156" t="inlineStr">
        <is>
          <t>Multimarca</t>
        </is>
      </c>
      <c r="D215" s="156" t="inlineStr">
        <is>
          <t>12-020-BS002-10-1006</t>
        </is>
      </c>
      <c r="E215" s="156" t="inlineStr">
        <is>
          <t>12-020-BS002-10-1006-030</t>
        </is>
      </c>
      <c r="F215" s="156" t="inlineStr">
        <is>
          <t>30</t>
        </is>
      </c>
      <c r="G215" s="156" t="inlineStr">
        <is>
          <t>12</t>
        </is>
      </c>
      <c r="H215" s="156" t="inlineStr">
        <is>
          <t>Stetson</t>
        </is>
      </c>
      <c r="I215" s="156" t="inlineStr">
        <is>
          <t>Bota Gamuza Chocolate</t>
        </is>
      </c>
      <c r="J215" s="156" t="inlineStr">
        <is>
          <t>Calzado</t>
        </is>
      </c>
      <c r="K215" s="156" t="inlineStr">
        <is>
          <t>Botas</t>
        </is>
      </c>
      <c r="L215" s="156" t="inlineStr">
        <is>
          <t>Hombre</t>
        </is>
      </c>
      <c r="M215" s="156" t="inlineStr">
        <is>
          <t>Stetson</t>
        </is>
      </c>
      <c r="N215" s="156" t="inlineStr">
        <is>
          <t>SS26</t>
        </is>
      </c>
      <c r="O215" s="156" t="inlineStr">
        <is>
          <t>Seasonal</t>
        </is>
      </c>
      <c r="P215" s="156" t="inlineStr">
        <is>
          <t>Cafe</t>
        </is>
      </c>
      <c r="Q215" s="156" t="n"/>
      <c r="R215" s="156" t="inlineStr">
        <is>
          <t>Punta Redonda Ancha</t>
        </is>
      </c>
      <c r="S215" s="156" t="inlineStr">
        <is>
          <t>Gamuza</t>
        </is>
      </c>
      <c r="T215" s="156" t="inlineStr">
        <is>
          <t>Bota Caballero Gamuza Chocolate Punta Redonda Ancha</t>
        </is>
      </c>
      <c r="U215" s="156" t="inlineStr">
        <is>
          <t>México</t>
        </is>
      </c>
      <c r="V215" s="156" t="inlineStr">
        <is>
          <t>PRS</t>
        </is>
      </c>
      <c r="W215" s="51" t="inlineStr">
        <is>
          <t>53111501</t>
        </is>
      </c>
      <c r="X215" s="156" t="n"/>
      <c r="Y215" s="54" t="n">
        <v>675</v>
      </c>
      <c r="Z215" s="54" t="n">
        <v>3879.310345</v>
      </c>
      <c r="AA215" s="55">
        <f>IF(AND(A215="", B215="", E215=""), "", IF(AB215="", "Válido", IF((LEN(AB215)-LEN(SUBSTITUTE(AB215,"; ","")))/2+1&gt;(LEN(AB215)-LEN(SUBSTITUTE(AB215,"[Aviso]","")))/7, "Con Incidencias", "Válido")))</f>
        <v/>
      </c>
      <c r="AB215" s="56">
        <f>IF(AND(A215="", B215="", E215=""), "", TEXTJOIN("; ", TRUE, IF(OR(TRIM(A215&amp;"")="", ISNUMBER(SEARCH("FALTA", A215))), "UPC faltante/inválido", ""), IF(AND(A215&lt;&gt;"", IFERROR(_xlfn.XMATCH(A215,$A$2:$A$2509,0,1)&lt;&gt;_xlfn.XMATCH(A215,$A$2:$A$2509,0,-1),FALSE)), "Código de barras duplicado", ""), IF(AND(E215&lt;&gt;"", COUNTIF($E$2:$E$2509, E215)&gt;1), "SKU duplicado", ""), IF(OR(J215="", J215=""), "[Aviso] División no capturada ()", IF(ISNA(MATCH(J215, Criterios!$A$123:$A$126, 0)), "División no válida", "")), IF(OR(K215="", K215=""), "[Aviso] Categoría no capturada ()", IF(ISNA(MATCH(K215, Criterios!$A$81:$A$120, 0)), "Categoría no válida", IF(AND(J215&lt;&gt;"", J215&lt;&gt;"", J215&lt;&gt;VLOOKUP(K215, Criterios!$A$81:$B$120, 2, FALSE)), "División no coincide con Categoría", ""))), IF(OR(L215="", L215=""), "[Aviso] Género no capturado ()", IF(ISNA(MATCH(L215, Criterios!$B$123:$B$127, 0)), "Género no válido", "")), IF(OR(N215="", N215=""), "[Aviso] Temporada no capturada ()", IF(ISNA(MATCH(N215, Criterios!$C$123:$C$128, 0)), "Temporada no válida", "")), IF(OR(O215="", O215=""), "[Aviso] Ciclo de vida no capturado ()", IF(ISNA(MATCH(O215, Criterios!$D$123:$D$124, 0)), "Ciclo de vida no válido", ""))))</f>
        <v/>
      </c>
      <c r="AC215" s="56" t="n"/>
      <c r="AD215" s="51" t="n">
        <v>1</v>
      </c>
      <c r="AE215" s="156" t="inlineStr">
        <is>
          <t>STETSON AMERICAS (1)</t>
        </is>
      </c>
      <c r="AF215" s="51" t="n">
        <v>1</v>
      </c>
      <c r="AG215" s="156" t="inlineStr">
        <is>
          <t>Catálogo existente</t>
        </is>
      </c>
      <c r="AH2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5" s="156" t="inlineStr">
        <is>
          <t>No</t>
        </is>
      </c>
      <c r="AJ215" s="156" t="n"/>
      <c r="AK215" s="155" t="inlineStr">
        <is>
          <t>Criterios: I [Q]; G1522_Extraccion_Articulos_NetSuite_2026-09-30.xlsx: fila 58787 [R] | Shopify Stetson: producto 15054563934571 / variante 53350544900459</t>
        </is>
      </c>
      <c r="AL215" s="58" t="n">
        <v>675</v>
      </c>
      <c r="AM215" s="58" t="n">
        <v>3879.310345</v>
      </c>
      <c r="AN215" s="155" t="inlineStr">
        <is>
          <t>Shopify Stetson México</t>
        </is>
      </c>
      <c r="AO215" s="59" t="n">
        <v>1</v>
      </c>
      <c r="AP215" s="59" t="n"/>
      <c r="AQ215" s="59" t="n"/>
      <c r="AR215" s="155" t="inlineStr">
        <is>
          <t>Shopify Stetson México › Stetson Americas: 1</t>
        </is>
      </c>
    </row>
    <row r="216">
      <c r="A216" s="50" t="inlineStr">
        <is>
          <t>12020002101006031</t>
        </is>
      </c>
      <c r="B216" s="51" t="inlineStr">
        <is>
          <t>111113</t>
        </is>
      </c>
      <c r="C216" s="156" t="inlineStr">
        <is>
          <t>Multimarca</t>
        </is>
      </c>
      <c r="D216" s="156" t="inlineStr">
        <is>
          <t>12-020-BS002-10-1006</t>
        </is>
      </c>
      <c r="E216" s="156" t="inlineStr">
        <is>
          <t>12-020-BS002-10-1006-031</t>
        </is>
      </c>
      <c r="F216" s="156" t="inlineStr">
        <is>
          <t>31</t>
        </is>
      </c>
      <c r="G216" s="156" t="inlineStr">
        <is>
          <t>13</t>
        </is>
      </c>
      <c r="H216" s="156" t="inlineStr">
        <is>
          <t>Stetson</t>
        </is>
      </c>
      <c r="I216" s="156" t="inlineStr">
        <is>
          <t>Bota Gamuza Chocolate</t>
        </is>
      </c>
      <c r="J216" s="156" t="inlineStr">
        <is>
          <t>Calzado</t>
        </is>
      </c>
      <c r="K216" s="156" t="inlineStr">
        <is>
          <t>Botas</t>
        </is>
      </c>
      <c r="L216" s="156" t="inlineStr">
        <is>
          <t>Hombre</t>
        </is>
      </c>
      <c r="M216" s="156" t="inlineStr">
        <is>
          <t>Stetson</t>
        </is>
      </c>
      <c r="N216" s="156" t="inlineStr">
        <is>
          <t>SS26</t>
        </is>
      </c>
      <c r="O216" s="156" t="inlineStr">
        <is>
          <t>Seasonal</t>
        </is>
      </c>
      <c r="P216" s="156" t="inlineStr">
        <is>
          <t>Cafe</t>
        </is>
      </c>
      <c r="Q216" s="156" t="n"/>
      <c r="R216" s="156" t="inlineStr">
        <is>
          <t>Punta Redonda Ancha</t>
        </is>
      </c>
      <c r="S216" s="156" t="inlineStr">
        <is>
          <t>Gamuza</t>
        </is>
      </c>
      <c r="T216" s="156" t="inlineStr">
        <is>
          <t>Bota Caballero Gamuza Chocolate Punta Redonda Ancha</t>
        </is>
      </c>
      <c r="U216" s="156" t="inlineStr">
        <is>
          <t>México</t>
        </is>
      </c>
      <c r="V216" s="156" t="inlineStr">
        <is>
          <t>PRS</t>
        </is>
      </c>
      <c r="W216" s="51" t="inlineStr">
        <is>
          <t>53111501</t>
        </is>
      </c>
      <c r="X216" s="156" t="n"/>
      <c r="Y216" s="54" t="n">
        <v>675</v>
      </c>
      <c r="Z216" s="54" t="n">
        <v>3879.310345</v>
      </c>
      <c r="AA216" s="55">
        <f>IF(AND(A216="", B216="", E216=""), "", IF(AB216="", "Válido", IF((LEN(AB216)-LEN(SUBSTITUTE(AB216,"; ","")))/2+1&gt;(LEN(AB216)-LEN(SUBSTITUTE(AB216,"[Aviso]","")))/7, "Con Incidencias", "Válido")))</f>
        <v/>
      </c>
      <c r="AB216" s="56">
        <f>IF(AND(A216="", B216="", E216=""), "", TEXTJOIN("; ", TRUE, IF(OR(TRIM(A216&amp;"")="", ISNUMBER(SEARCH("FALTA", A216))), "UPC faltante/inválido", ""), IF(AND(A216&lt;&gt;"", IFERROR(_xlfn.XMATCH(A216,$A$2:$A$2509,0,1)&lt;&gt;_xlfn.XMATCH(A216,$A$2:$A$2509,0,-1),FALSE)), "Código de barras duplicado", ""), IF(AND(E216&lt;&gt;"", COUNTIF($E$2:$E$2509, E216)&gt;1), "SKU duplicado", ""), IF(OR(J216="", J216=""), "[Aviso] División no capturada ()", IF(ISNA(MATCH(J216, Criterios!$A$123:$A$126, 0)), "División no válida", "")), IF(OR(K216="", K216=""), "[Aviso] Categoría no capturada ()", IF(ISNA(MATCH(K216, Criterios!$A$81:$A$120, 0)), "Categoría no válida", IF(AND(J216&lt;&gt;"", J216&lt;&gt;"", J216&lt;&gt;VLOOKUP(K216, Criterios!$A$81:$B$120, 2, FALSE)), "División no coincide con Categoría", ""))), IF(OR(L216="", L216=""), "[Aviso] Género no capturado ()", IF(ISNA(MATCH(L216, Criterios!$B$123:$B$127, 0)), "Género no válido", "")), IF(OR(N216="", N216=""), "[Aviso] Temporada no capturada ()", IF(ISNA(MATCH(N216, Criterios!$C$123:$C$128, 0)), "Temporada no válida", "")), IF(OR(O216="", O216=""), "[Aviso] Ciclo de vida no capturado ()", IF(ISNA(MATCH(O216, Criterios!$D$123:$D$124, 0)), "Ciclo de vida no válido", ""))))</f>
        <v/>
      </c>
      <c r="AC216" s="56" t="n"/>
      <c r="AD216" s="51" t="n">
        <v>0</v>
      </c>
      <c r="AE216" s="156" t="n"/>
      <c r="AF216" s="51" t="n">
        <v>0</v>
      </c>
      <c r="AG216" s="156" t="inlineStr">
        <is>
          <t>Catálogo existente</t>
        </is>
      </c>
      <c r="AH2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6" s="156" t="inlineStr">
        <is>
          <t>No</t>
        </is>
      </c>
      <c r="AJ216" s="156" t="n"/>
      <c r="AK216" s="155" t="inlineStr">
        <is>
          <t>Criterios: I [Q]; G1522_Extraccion_Articulos_NetSuite_2026-09-30.xlsx: fila 58788 [R] | Shopify Stetson: producto 15054563934571 / variante 53350544965995</t>
        </is>
      </c>
      <c r="AL216" s="58" t="n">
        <v>675</v>
      </c>
      <c r="AM216" s="58" t="n">
        <v>3879.310345</v>
      </c>
      <c r="AN216" s="155" t="inlineStr">
        <is>
          <t>Shopify Stetson México</t>
        </is>
      </c>
      <c r="AO216" s="59" t="n">
        <v>0</v>
      </c>
      <c r="AP216" s="59" t="n"/>
      <c r="AQ216" s="59" t="n"/>
      <c r="AR216" s="155" t="n"/>
    </row>
    <row r="217">
      <c r="A217" s="50" t="inlineStr">
        <is>
          <t>12020002101006032</t>
        </is>
      </c>
      <c r="B217" s="51" t="inlineStr">
        <is>
          <t>111114</t>
        </is>
      </c>
      <c r="C217" s="156" t="inlineStr">
        <is>
          <t>Multimarca</t>
        </is>
      </c>
      <c r="D217" s="156" t="inlineStr">
        <is>
          <t>12-020-BS002-10-1006</t>
        </is>
      </c>
      <c r="E217" s="156" t="inlineStr">
        <is>
          <t>12-020-BS002-10-1006-032</t>
        </is>
      </c>
      <c r="F217" s="156" t="inlineStr">
        <is>
          <t>32</t>
        </is>
      </c>
      <c r="G217" s="156" t="inlineStr">
        <is>
          <t>14</t>
        </is>
      </c>
      <c r="H217" s="156" t="inlineStr">
        <is>
          <t>Stetson</t>
        </is>
      </c>
      <c r="I217" s="156" t="inlineStr">
        <is>
          <t>Bota Gamuza Chocolate</t>
        </is>
      </c>
      <c r="J217" s="156" t="inlineStr">
        <is>
          <t>Calzado</t>
        </is>
      </c>
      <c r="K217" s="156" t="inlineStr">
        <is>
          <t>Botas</t>
        </is>
      </c>
      <c r="L217" s="156" t="inlineStr">
        <is>
          <t>Hombre</t>
        </is>
      </c>
      <c r="M217" s="156" t="inlineStr">
        <is>
          <t>Stetson</t>
        </is>
      </c>
      <c r="N217" s="156" t="inlineStr">
        <is>
          <t>SS26</t>
        </is>
      </c>
      <c r="O217" s="156" t="inlineStr">
        <is>
          <t>Seasonal</t>
        </is>
      </c>
      <c r="P217" s="156" t="inlineStr">
        <is>
          <t>Cafe</t>
        </is>
      </c>
      <c r="Q217" s="156" t="n"/>
      <c r="R217" s="156" t="inlineStr">
        <is>
          <t>Punta Redonda Ancha</t>
        </is>
      </c>
      <c r="S217" s="156" t="inlineStr">
        <is>
          <t>Gamuza</t>
        </is>
      </c>
      <c r="T217" s="156" t="inlineStr">
        <is>
          <t>Bota Caballero Gamuza Chocolate Punta Redonda Ancha</t>
        </is>
      </c>
      <c r="U217" s="156" t="inlineStr">
        <is>
          <t>México</t>
        </is>
      </c>
      <c r="V217" s="156" t="inlineStr">
        <is>
          <t>PRS</t>
        </is>
      </c>
      <c r="W217" s="51" t="inlineStr">
        <is>
          <t>53111501</t>
        </is>
      </c>
      <c r="X217" s="156" t="n"/>
      <c r="Y217" s="54" t="n">
        <v>675</v>
      </c>
      <c r="Z217" s="54" t="n">
        <v>3879.310345</v>
      </c>
      <c r="AA217" s="55">
        <f>IF(AND(A217="", B217="", E217=""), "", IF(AB217="", "Válido", IF((LEN(AB217)-LEN(SUBSTITUTE(AB217,"; ","")))/2+1&gt;(LEN(AB217)-LEN(SUBSTITUTE(AB217,"[Aviso]","")))/7, "Con Incidencias", "Válido")))</f>
        <v/>
      </c>
      <c r="AB217" s="56">
        <f>IF(AND(A217="", B217="", E217=""), "", TEXTJOIN("; ", TRUE, IF(OR(TRIM(A217&amp;"")="", ISNUMBER(SEARCH("FALTA", A217))), "UPC faltante/inválido", ""), IF(AND(A217&lt;&gt;"", IFERROR(_xlfn.XMATCH(A217,$A$2:$A$2509,0,1)&lt;&gt;_xlfn.XMATCH(A217,$A$2:$A$2509,0,-1),FALSE)), "Código de barras duplicado", ""), IF(AND(E217&lt;&gt;"", COUNTIF($E$2:$E$2509, E217)&gt;1), "SKU duplicado", ""), IF(OR(J217="", J217=""), "[Aviso] División no capturada ()", IF(ISNA(MATCH(J217, Criterios!$A$123:$A$126, 0)), "División no válida", "")), IF(OR(K217="", K217=""), "[Aviso] Categoría no capturada ()", IF(ISNA(MATCH(K217, Criterios!$A$81:$A$120, 0)), "Categoría no válida", IF(AND(J217&lt;&gt;"", J217&lt;&gt;"", J217&lt;&gt;VLOOKUP(K217, Criterios!$A$81:$B$120, 2, FALSE)), "División no coincide con Categoría", ""))), IF(OR(L217="", L217=""), "[Aviso] Género no capturado ()", IF(ISNA(MATCH(L217, Criterios!$B$123:$B$127, 0)), "Género no válido", "")), IF(OR(N217="", N217=""), "[Aviso] Temporada no capturada ()", IF(ISNA(MATCH(N217, Criterios!$C$123:$C$128, 0)), "Temporada no válida", "")), IF(OR(O217="", O217=""), "[Aviso] Ciclo de vida no capturado ()", IF(ISNA(MATCH(O217, Criterios!$D$123:$D$124, 0)), "Ciclo de vida no válido", ""))))</f>
        <v/>
      </c>
      <c r="AC217" s="56" t="n"/>
      <c r="AD217" s="51" t="n">
        <v>0</v>
      </c>
      <c r="AE217" s="156" t="n"/>
      <c r="AF217" s="51" t="n">
        <v>0</v>
      </c>
      <c r="AG217" s="156" t="inlineStr">
        <is>
          <t>Catálogo existente</t>
        </is>
      </c>
      <c r="AH2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7" s="156" t="inlineStr">
        <is>
          <t>No</t>
        </is>
      </c>
      <c r="AJ217" s="156" t="n"/>
      <c r="AK217" s="155" t="inlineStr">
        <is>
          <t>Criterios: I [Q]; G1522_Extraccion_Articulos_NetSuite_2026-09-30.xlsx: fila 58789 [R] | Shopify Stetson: producto 15054563934571 / variante 53350545031531</t>
        </is>
      </c>
      <c r="AL217" s="58" t="n">
        <v>675</v>
      </c>
      <c r="AM217" s="58" t="n">
        <v>3879.310345</v>
      </c>
      <c r="AN217" s="155" t="inlineStr">
        <is>
          <t>Shopify Stetson México</t>
        </is>
      </c>
      <c r="AO217" s="59" t="n">
        <v>0</v>
      </c>
      <c r="AP217" s="59" t="n"/>
      <c r="AQ217" s="59" t="n"/>
      <c r="AR217" s="155" t="n"/>
    </row>
    <row r="218">
      <c r="A218" s="50" t="inlineStr">
        <is>
          <t>12020002101006255</t>
        </is>
      </c>
      <c r="B218" s="51" t="inlineStr">
        <is>
          <t>111115</t>
        </is>
      </c>
      <c r="C218" s="156" t="inlineStr">
        <is>
          <t>Multimarca</t>
        </is>
      </c>
      <c r="D218" s="156" t="inlineStr">
        <is>
          <t>12-020-BS002-10-1006</t>
        </is>
      </c>
      <c r="E218" s="156" t="inlineStr">
        <is>
          <t>12-020-BS002-10-1006-255</t>
        </is>
      </c>
      <c r="F218" s="156" t="inlineStr">
        <is>
          <t>25.5</t>
        </is>
      </c>
      <c r="G218" s="156" t="inlineStr">
        <is>
          <t>7.5</t>
        </is>
      </c>
      <c r="H218" s="156" t="inlineStr">
        <is>
          <t>Stetson</t>
        </is>
      </c>
      <c r="I218" s="156" t="inlineStr">
        <is>
          <t>Bota Gamuza Chocolate</t>
        </is>
      </c>
      <c r="J218" s="156" t="inlineStr">
        <is>
          <t>Calzado</t>
        </is>
      </c>
      <c r="K218" s="156" t="inlineStr">
        <is>
          <t>Botas</t>
        </is>
      </c>
      <c r="L218" s="156" t="inlineStr">
        <is>
          <t>Hombre</t>
        </is>
      </c>
      <c r="M218" s="156" t="inlineStr">
        <is>
          <t>Stetson</t>
        </is>
      </c>
      <c r="N218" s="156" t="inlineStr">
        <is>
          <t>SS26</t>
        </is>
      </c>
      <c r="O218" s="156" t="inlineStr">
        <is>
          <t>Seasonal</t>
        </is>
      </c>
      <c r="P218" s="156" t="inlineStr">
        <is>
          <t>Cafe</t>
        </is>
      </c>
      <c r="Q218" s="156" t="n"/>
      <c r="R218" s="156" t="inlineStr">
        <is>
          <t>Punta Redonda Ancha</t>
        </is>
      </c>
      <c r="S218" s="156" t="inlineStr">
        <is>
          <t>Gamuza</t>
        </is>
      </c>
      <c r="T218" s="156" t="inlineStr">
        <is>
          <t>Bota Caballero Gamuza Chocolate Punta Redonda Ancha</t>
        </is>
      </c>
      <c r="U218" s="156" t="inlineStr">
        <is>
          <t>México</t>
        </is>
      </c>
      <c r="V218" s="156" t="inlineStr">
        <is>
          <t>PRS</t>
        </is>
      </c>
      <c r="W218" s="51" t="inlineStr">
        <is>
          <t>53111501</t>
        </is>
      </c>
      <c r="X218" s="156" t="n"/>
      <c r="Y218" s="54" t="n">
        <v>675</v>
      </c>
      <c r="Z218" s="54" t="n">
        <v>3879.310345</v>
      </c>
      <c r="AA218" s="55">
        <f>IF(AND(A218="", B218="", E218=""), "", IF(AB218="", "Válido", IF((LEN(AB218)-LEN(SUBSTITUTE(AB218,"; ","")))/2+1&gt;(LEN(AB218)-LEN(SUBSTITUTE(AB218,"[Aviso]","")))/7, "Con Incidencias", "Válido")))</f>
        <v/>
      </c>
      <c r="AB218" s="56">
        <f>IF(AND(A218="", B218="", E218=""), "", TEXTJOIN("; ", TRUE, IF(OR(TRIM(A218&amp;"")="", ISNUMBER(SEARCH("FALTA", A218))), "UPC faltante/inválido", ""), IF(AND(A218&lt;&gt;"", IFERROR(_xlfn.XMATCH(A218,$A$2:$A$2509,0,1)&lt;&gt;_xlfn.XMATCH(A218,$A$2:$A$2509,0,-1),FALSE)), "Código de barras duplicado", ""), IF(AND(E218&lt;&gt;"", COUNTIF($E$2:$E$2509, E218)&gt;1), "SKU duplicado", ""), IF(OR(J218="", J218=""), "[Aviso] División no capturada ()", IF(ISNA(MATCH(J218, Criterios!$A$123:$A$126, 0)), "División no válida", "")), IF(OR(K218="", K218=""), "[Aviso] Categoría no capturada ()", IF(ISNA(MATCH(K218, Criterios!$A$81:$A$120, 0)), "Categoría no válida", IF(AND(J218&lt;&gt;"", J218&lt;&gt;"", J218&lt;&gt;VLOOKUP(K218, Criterios!$A$81:$B$120, 2, FALSE)), "División no coincide con Categoría", ""))), IF(OR(L218="", L218=""), "[Aviso] Género no capturado ()", IF(ISNA(MATCH(L218, Criterios!$B$123:$B$127, 0)), "Género no válido", "")), IF(OR(N218="", N218=""), "[Aviso] Temporada no capturada ()", IF(ISNA(MATCH(N218, Criterios!$C$123:$C$128, 0)), "Temporada no válida", "")), IF(OR(O218="", O218=""), "[Aviso] Ciclo de vida no capturado ()", IF(ISNA(MATCH(O218, Criterios!$D$123:$D$124, 0)), "Ciclo de vida no válido", ""))))</f>
        <v/>
      </c>
      <c r="AC218" s="56" t="n"/>
      <c r="AD218" s="51" t="n">
        <v>0</v>
      </c>
      <c r="AE218" s="156" t="n"/>
      <c r="AF218" s="51" t="n">
        <v>0</v>
      </c>
      <c r="AG218" s="156" t="inlineStr">
        <is>
          <t>Catálogo existente</t>
        </is>
      </c>
      <c r="AH2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8" s="156" t="inlineStr">
        <is>
          <t>No</t>
        </is>
      </c>
      <c r="AJ218" s="156" t="n"/>
      <c r="AK218" s="155" t="inlineStr">
        <is>
          <t>Criterios: I [Q]; G1522_Extraccion_Articulos_NetSuite_2026-09-30.xlsx: fila 58790 [R] | Shopify Stetson: producto 15054563934571 / variante 53350544605547</t>
        </is>
      </c>
      <c r="AL218" s="58" t="n">
        <v>675</v>
      </c>
      <c r="AM218" s="58" t="n">
        <v>3879.310345</v>
      </c>
      <c r="AN218" s="155" t="inlineStr">
        <is>
          <t>Shopify Stetson México</t>
        </is>
      </c>
      <c r="AO218" s="59" t="n">
        <v>0</v>
      </c>
      <c r="AP218" s="59" t="n"/>
      <c r="AQ218" s="59" t="n"/>
      <c r="AR218" s="155" t="n"/>
    </row>
    <row r="219">
      <c r="A219" s="50" t="inlineStr">
        <is>
          <t>12020002101006265</t>
        </is>
      </c>
      <c r="B219" s="51" t="inlineStr">
        <is>
          <t>111116</t>
        </is>
      </c>
      <c r="C219" s="156" t="inlineStr">
        <is>
          <t>Multimarca</t>
        </is>
      </c>
      <c r="D219" s="156" t="inlineStr">
        <is>
          <t>12-020-BS002-10-1006</t>
        </is>
      </c>
      <c r="E219" s="156" t="inlineStr">
        <is>
          <t>12-020-BS002-10-1006-265</t>
        </is>
      </c>
      <c r="F219" s="156" t="inlineStr">
        <is>
          <t>26.5</t>
        </is>
      </c>
      <c r="G219" s="156" t="inlineStr">
        <is>
          <t>8.5</t>
        </is>
      </c>
      <c r="H219" s="156" t="inlineStr">
        <is>
          <t>Stetson</t>
        </is>
      </c>
      <c r="I219" s="156" t="inlineStr">
        <is>
          <t>Bota Gamuza Chocolate</t>
        </is>
      </c>
      <c r="J219" s="156" t="inlineStr">
        <is>
          <t>Calzado</t>
        </is>
      </c>
      <c r="K219" s="156" t="inlineStr">
        <is>
          <t>Botas</t>
        </is>
      </c>
      <c r="L219" s="156" t="inlineStr">
        <is>
          <t>Hombre</t>
        </is>
      </c>
      <c r="M219" s="156" t="inlineStr">
        <is>
          <t>Stetson</t>
        </is>
      </c>
      <c r="N219" s="156" t="inlineStr">
        <is>
          <t>SS26</t>
        </is>
      </c>
      <c r="O219" s="156" t="inlineStr">
        <is>
          <t>Seasonal</t>
        </is>
      </c>
      <c r="P219" s="156" t="inlineStr">
        <is>
          <t>Cafe</t>
        </is>
      </c>
      <c r="Q219" s="156" t="n"/>
      <c r="R219" s="156" t="inlineStr">
        <is>
          <t>Punta Redonda Ancha</t>
        </is>
      </c>
      <c r="S219" s="156" t="inlineStr">
        <is>
          <t>Gamuza</t>
        </is>
      </c>
      <c r="T219" s="156" t="inlineStr">
        <is>
          <t>Bota Caballero Gamuza Chocolate Punta Redonda Ancha</t>
        </is>
      </c>
      <c r="U219" s="156" t="inlineStr">
        <is>
          <t>México</t>
        </is>
      </c>
      <c r="V219" s="156" t="inlineStr">
        <is>
          <t>PRS</t>
        </is>
      </c>
      <c r="W219" s="51" t="inlineStr">
        <is>
          <t>53111501</t>
        </is>
      </c>
      <c r="X219" s="156" t="n"/>
      <c r="Y219" s="54" t="n">
        <v>675</v>
      </c>
      <c r="Z219" s="54" t="n">
        <v>3879.310345</v>
      </c>
      <c r="AA219" s="55">
        <f>IF(AND(A219="", B219="", E219=""), "", IF(AB219="", "Válido", IF((LEN(AB219)-LEN(SUBSTITUTE(AB219,"; ","")))/2+1&gt;(LEN(AB219)-LEN(SUBSTITUTE(AB219,"[Aviso]","")))/7, "Con Incidencias", "Válido")))</f>
        <v/>
      </c>
      <c r="AB219" s="56">
        <f>IF(AND(A219="", B219="", E219=""), "", TEXTJOIN("; ", TRUE, IF(OR(TRIM(A219&amp;"")="", ISNUMBER(SEARCH("FALTA", A219))), "UPC faltante/inválido", ""), IF(AND(A219&lt;&gt;"", IFERROR(_xlfn.XMATCH(A219,$A$2:$A$2509,0,1)&lt;&gt;_xlfn.XMATCH(A219,$A$2:$A$2509,0,-1),FALSE)), "Código de barras duplicado", ""), IF(AND(E219&lt;&gt;"", COUNTIF($E$2:$E$2509, E219)&gt;1), "SKU duplicado", ""), IF(OR(J219="", J219=""), "[Aviso] División no capturada ()", IF(ISNA(MATCH(J219, Criterios!$A$123:$A$126, 0)), "División no válida", "")), IF(OR(K219="", K219=""), "[Aviso] Categoría no capturada ()", IF(ISNA(MATCH(K219, Criterios!$A$81:$A$120, 0)), "Categoría no válida", IF(AND(J219&lt;&gt;"", J219&lt;&gt;"", J219&lt;&gt;VLOOKUP(K219, Criterios!$A$81:$B$120, 2, FALSE)), "División no coincide con Categoría", ""))), IF(OR(L219="", L219=""), "[Aviso] Género no capturado ()", IF(ISNA(MATCH(L219, Criterios!$B$123:$B$127, 0)), "Género no válido", "")), IF(OR(N219="", N219=""), "[Aviso] Temporada no capturada ()", IF(ISNA(MATCH(N219, Criterios!$C$123:$C$128, 0)), "Temporada no válida", "")), IF(OR(O219="", O219=""), "[Aviso] Ciclo de vida no capturado ()", IF(ISNA(MATCH(O219, Criterios!$D$123:$D$124, 0)), "Ciclo de vida no válido", ""))))</f>
        <v/>
      </c>
      <c r="AC219" s="56" t="n"/>
      <c r="AD219" s="51" t="n">
        <v>2</v>
      </c>
      <c r="AE219" s="156" t="inlineStr">
        <is>
          <t>STETSON AMERICAS (2)</t>
        </is>
      </c>
      <c r="AF219" s="51" t="n">
        <v>2</v>
      </c>
      <c r="AG219" s="156" t="inlineStr">
        <is>
          <t>Catálogo existente</t>
        </is>
      </c>
      <c r="AH2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9" s="156" t="inlineStr">
        <is>
          <t>No</t>
        </is>
      </c>
      <c r="AJ219" s="156" t="n"/>
      <c r="AK219" s="155" t="inlineStr">
        <is>
          <t>Criterios: I [Q]; G1522_Extraccion_Articulos_NetSuite_2026-09-30.xlsx: fila 58791 [R] | Shopify Stetson: producto 15054563934571 / variante 53350544671083</t>
        </is>
      </c>
      <c r="AL219" s="58" t="n">
        <v>675</v>
      </c>
      <c r="AM219" s="58" t="n">
        <v>3879.310345</v>
      </c>
      <c r="AN219" s="155" t="inlineStr">
        <is>
          <t>Shopify Stetson México</t>
        </is>
      </c>
      <c r="AO219" s="59" t="n">
        <v>2</v>
      </c>
      <c r="AP219" s="59" t="n"/>
      <c r="AQ219" s="59" t="n"/>
      <c r="AR219" s="155" t="inlineStr">
        <is>
          <t>Shopify Stetson México › Stetson Americas: 2</t>
        </is>
      </c>
    </row>
    <row r="220">
      <c r="A220" s="50" t="inlineStr">
        <is>
          <t>12020002101006275</t>
        </is>
      </c>
      <c r="B220" s="51" t="inlineStr">
        <is>
          <t>111117</t>
        </is>
      </c>
      <c r="C220" s="156" t="inlineStr">
        <is>
          <t>Multimarca</t>
        </is>
      </c>
      <c r="D220" s="156" t="inlineStr">
        <is>
          <t>12-020-BS002-10-1006</t>
        </is>
      </c>
      <c r="E220" s="156" t="inlineStr">
        <is>
          <t>12-020-BS002-10-1006-275</t>
        </is>
      </c>
      <c r="F220" s="156" t="inlineStr">
        <is>
          <t>27.5</t>
        </is>
      </c>
      <c r="G220" s="156" t="inlineStr">
        <is>
          <t>9.5</t>
        </is>
      </c>
      <c r="H220" s="156" t="inlineStr">
        <is>
          <t>Stetson</t>
        </is>
      </c>
      <c r="I220" s="156" t="inlineStr">
        <is>
          <t>Bota Gamuza Chocolate</t>
        </is>
      </c>
      <c r="J220" s="156" t="inlineStr">
        <is>
          <t>Calzado</t>
        </is>
      </c>
      <c r="K220" s="156" t="inlineStr">
        <is>
          <t>Botas</t>
        </is>
      </c>
      <c r="L220" s="156" t="inlineStr">
        <is>
          <t>Hombre</t>
        </is>
      </c>
      <c r="M220" s="156" t="inlineStr">
        <is>
          <t>Stetson</t>
        </is>
      </c>
      <c r="N220" s="156" t="inlineStr">
        <is>
          <t>SS26</t>
        </is>
      </c>
      <c r="O220" s="156" t="inlineStr">
        <is>
          <t>Seasonal</t>
        </is>
      </c>
      <c r="P220" s="156" t="inlineStr">
        <is>
          <t>Cafe</t>
        </is>
      </c>
      <c r="Q220" s="156" t="n"/>
      <c r="R220" s="156" t="inlineStr">
        <is>
          <t>Punta Redonda Ancha</t>
        </is>
      </c>
      <c r="S220" s="156" t="inlineStr">
        <is>
          <t>Gamuza</t>
        </is>
      </c>
      <c r="T220" s="156" t="inlineStr">
        <is>
          <t>Bota Caballero Gamuza Chocolate Punta Redonda Ancha</t>
        </is>
      </c>
      <c r="U220" s="156" t="inlineStr">
        <is>
          <t>México</t>
        </is>
      </c>
      <c r="V220" s="156" t="inlineStr">
        <is>
          <t>PRS</t>
        </is>
      </c>
      <c r="W220" s="51" t="inlineStr">
        <is>
          <t>53111501</t>
        </is>
      </c>
      <c r="X220" s="156" t="n"/>
      <c r="Y220" s="54" t="n">
        <v>675</v>
      </c>
      <c r="Z220" s="54" t="n">
        <v>3879.310345</v>
      </c>
      <c r="AA220" s="55">
        <f>IF(AND(A220="", B220="", E220=""), "", IF(AB220="", "Válido", IF((LEN(AB220)-LEN(SUBSTITUTE(AB220,"; ","")))/2+1&gt;(LEN(AB220)-LEN(SUBSTITUTE(AB220,"[Aviso]","")))/7, "Con Incidencias", "Válido")))</f>
        <v/>
      </c>
      <c r="AB220" s="56">
        <f>IF(AND(A220="", B220="", E220=""), "", TEXTJOIN("; ", TRUE, IF(OR(TRIM(A220&amp;"")="", ISNUMBER(SEARCH("FALTA", A220))), "UPC faltante/inválido", ""), IF(AND(A220&lt;&gt;"", IFERROR(_xlfn.XMATCH(A220,$A$2:$A$2509,0,1)&lt;&gt;_xlfn.XMATCH(A220,$A$2:$A$2509,0,-1),FALSE)), "Código de barras duplicado", ""), IF(AND(E220&lt;&gt;"", COUNTIF($E$2:$E$2509, E220)&gt;1), "SKU duplicado", ""), IF(OR(J220="", J220=""), "[Aviso] División no capturada ()", IF(ISNA(MATCH(J220, Criterios!$A$123:$A$126, 0)), "División no válida", "")), IF(OR(K220="", K220=""), "[Aviso] Categoría no capturada ()", IF(ISNA(MATCH(K220, Criterios!$A$81:$A$120, 0)), "Categoría no válida", IF(AND(J220&lt;&gt;"", J220&lt;&gt;"", J220&lt;&gt;VLOOKUP(K220, Criterios!$A$81:$B$120, 2, FALSE)), "División no coincide con Categoría", ""))), IF(OR(L220="", L220=""), "[Aviso] Género no capturado ()", IF(ISNA(MATCH(L220, Criterios!$B$123:$B$127, 0)), "Género no válido", "")), IF(OR(N220="", N220=""), "[Aviso] Temporada no capturada ()", IF(ISNA(MATCH(N220, Criterios!$C$123:$C$128, 0)), "Temporada no válida", "")), IF(OR(O220="", O220=""), "[Aviso] Ciclo de vida no capturado ()", IF(ISNA(MATCH(O220, Criterios!$D$123:$D$124, 0)), "Ciclo de vida no válido", ""))))</f>
        <v/>
      </c>
      <c r="AC220" s="56" t="n"/>
      <c r="AD220" s="51" t="n">
        <v>1</v>
      </c>
      <c r="AE220" s="156" t="inlineStr">
        <is>
          <t>STETSON AMERICAS (1)</t>
        </is>
      </c>
      <c r="AF220" s="51" t="n">
        <v>1</v>
      </c>
      <c r="AG220" s="156" t="inlineStr">
        <is>
          <t>Catálogo existente</t>
        </is>
      </c>
      <c r="AH2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0" s="156" t="inlineStr">
        <is>
          <t>No</t>
        </is>
      </c>
      <c r="AJ220" s="156" t="n"/>
      <c r="AK220" s="155" t="inlineStr">
        <is>
          <t>Criterios: I [Q]; G1522_Extraccion_Articulos_NetSuite_2026-09-30.xlsx: fila 58792 [R] | Shopify Stetson: producto 15054563934571 / variante 53350544736619</t>
        </is>
      </c>
      <c r="AL220" s="58" t="n">
        <v>675</v>
      </c>
      <c r="AM220" s="58" t="n">
        <v>3879.310345</v>
      </c>
      <c r="AN220" s="155" t="inlineStr">
        <is>
          <t>Shopify Stetson México</t>
        </is>
      </c>
      <c r="AO220" s="59" t="n">
        <v>1</v>
      </c>
      <c r="AP220" s="59" t="n"/>
      <c r="AQ220" s="59" t="n"/>
      <c r="AR220" s="155" t="inlineStr">
        <is>
          <t>Shopify Stetson México › Stetson Americas: 1</t>
        </is>
      </c>
    </row>
    <row r="221">
      <c r="A221" s="50" t="inlineStr">
        <is>
          <t>12020002101006285</t>
        </is>
      </c>
      <c r="B221" s="51" t="inlineStr">
        <is>
          <t>111118</t>
        </is>
      </c>
      <c r="C221" s="156" t="inlineStr">
        <is>
          <t>Multimarca</t>
        </is>
      </c>
      <c r="D221" s="156" t="inlineStr">
        <is>
          <t>12-020-BS002-10-1006</t>
        </is>
      </c>
      <c r="E221" s="156" t="inlineStr">
        <is>
          <t>12-020-BS002-10-1006-285</t>
        </is>
      </c>
      <c r="F221" s="156" t="inlineStr">
        <is>
          <t>28.5</t>
        </is>
      </c>
      <c r="G221" s="156" t="inlineStr">
        <is>
          <t>10.5</t>
        </is>
      </c>
      <c r="H221" s="156" t="inlineStr">
        <is>
          <t>Stetson</t>
        </is>
      </c>
      <c r="I221" s="156" t="inlineStr">
        <is>
          <t>Bota Gamuza Chocolate</t>
        </is>
      </c>
      <c r="J221" s="156" t="inlineStr">
        <is>
          <t>Calzado</t>
        </is>
      </c>
      <c r="K221" s="156" t="inlineStr">
        <is>
          <t>Botas</t>
        </is>
      </c>
      <c r="L221" s="156" t="inlineStr">
        <is>
          <t>Hombre</t>
        </is>
      </c>
      <c r="M221" s="156" t="inlineStr">
        <is>
          <t>Stetson</t>
        </is>
      </c>
      <c r="N221" s="156" t="inlineStr">
        <is>
          <t>SS26</t>
        </is>
      </c>
      <c r="O221" s="156" t="inlineStr">
        <is>
          <t>Seasonal</t>
        </is>
      </c>
      <c r="P221" s="156" t="inlineStr">
        <is>
          <t>Cafe</t>
        </is>
      </c>
      <c r="Q221" s="156" t="n"/>
      <c r="R221" s="156" t="inlineStr">
        <is>
          <t>Punta Redonda Ancha</t>
        </is>
      </c>
      <c r="S221" s="156" t="inlineStr">
        <is>
          <t>Gamuza</t>
        </is>
      </c>
      <c r="T221" s="156" t="inlineStr">
        <is>
          <t>Bota Caballero Gamuza Chocolate Punta Redonda Ancha</t>
        </is>
      </c>
      <c r="U221" s="156" t="inlineStr">
        <is>
          <t>México</t>
        </is>
      </c>
      <c r="V221" s="156" t="inlineStr">
        <is>
          <t>PRS</t>
        </is>
      </c>
      <c r="W221" s="51" t="inlineStr">
        <is>
          <t>53111501</t>
        </is>
      </c>
      <c r="X221" s="156" t="n"/>
      <c r="Y221" s="54" t="n">
        <v>675</v>
      </c>
      <c r="Z221" s="54" t="n">
        <v>3879.310345</v>
      </c>
      <c r="AA221" s="55">
        <f>IF(AND(A221="", B221="", E221=""), "", IF(AB221="", "Válido", IF((LEN(AB221)-LEN(SUBSTITUTE(AB221,"; ","")))/2+1&gt;(LEN(AB221)-LEN(SUBSTITUTE(AB221,"[Aviso]","")))/7, "Con Incidencias", "Válido")))</f>
        <v/>
      </c>
      <c r="AB221" s="56">
        <f>IF(AND(A221="", B221="", E221=""), "", TEXTJOIN("; ", TRUE, IF(OR(TRIM(A221&amp;"")="", ISNUMBER(SEARCH("FALTA", A221))), "UPC faltante/inválido", ""), IF(AND(A221&lt;&gt;"", IFERROR(_xlfn.XMATCH(A221,$A$2:$A$2509,0,1)&lt;&gt;_xlfn.XMATCH(A221,$A$2:$A$2509,0,-1),FALSE)), "Código de barras duplicado", ""), IF(AND(E221&lt;&gt;"", COUNTIF($E$2:$E$2509, E221)&gt;1), "SKU duplicado", ""), IF(OR(J221="", J221=""), "[Aviso] División no capturada ()", IF(ISNA(MATCH(J221, Criterios!$A$123:$A$126, 0)), "División no válida", "")), IF(OR(K221="", K221=""), "[Aviso] Categoría no capturada ()", IF(ISNA(MATCH(K221, Criterios!$A$81:$A$120, 0)), "Categoría no válida", IF(AND(J221&lt;&gt;"", J221&lt;&gt;"", J221&lt;&gt;VLOOKUP(K221, Criterios!$A$81:$B$120, 2, FALSE)), "División no coincide con Categoría", ""))), IF(OR(L221="", L221=""), "[Aviso] Género no capturado ()", IF(ISNA(MATCH(L221, Criterios!$B$123:$B$127, 0)), "Género no válido", "")), IF(OR(N221="", N221=""), "[Aviso] Temporada no capturada ()", IF(ISNA(MATCH(N221, Criterios!$C$123:$C$128, 0)), "Temporada no válida", "")), IF(OR(O221="", O221=""), "[Aviso] Ciclo de vida no capturado ()", IF(ISNA(MATCH(O221, Criterios!$D$123:$D$124, 0)), "Ciclo de vida no válido", ""))))</f>
        <v/>
      </c>
      <c r="AC221" s="56" t="n"/>
      <c r="AD221" s="51" t="n">
        <v>1</v>
      </c>
      <c r="AE221" s="156" t="inlineStr">
        <is>
          <t>STETSON AMERICAS (1)</t>
        </is>
      </c>
      <c r="AF221" s="51" t="n">
        <v>1</v>
      </c>
      <c r="AG221" s="156" t="inlineStr">
        <is>
          <t>Catálogo existente</t>
        </is>
      </c>
      <c r="AH2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1" s="156" t="inlineStr">
        <is>
          <t>No</t>
        </is>
      </c>
      <c r="AJ221" s="156" t="n"/>
      <c r="AK221" s="155" t="inlineStr">
        <is>
          <t>Criterios: I [Q]; G1522_Extraccion_Articulos_NetSuite_2026-09-30.xlsx: fila 58793 [R] | Shopify Stetson: producto 15054563934571 / variante 53350544802155</t>
        </is>
      </c>
      <c r="AL221" s="58" t="n">
        <v>675</v>
      </c>
      <c r="AM221" s="58" t="n">
        <v>3879.310345</v>
      </c>
      <c r="AN221" s="155" t="inlineStr">
        <is>
          <t>Shopify Stetson México</t>
        </is>
      </c>
      <c r="AO221" s="59" t="n">
        <v>1</v>
      </c>
      <c r="AP221" s="59" t="n"/>
      <c r="AQ221" s="59" t="n"/>
      <c r="AR221" s="155" t="inlineStr">
        <is>
          <t>Shopify Stetson México › Stetson Americas: 1</t>
        </is>
      </c>
    </row>
    <row r="222">
      <c r="A222" s="50" t="inlineStr">
        <is>
          <t>12020002101006295</t>
        </is>
      </c>
      <c r="B222" s="51" t="inlineStr">
        <is>
          <t>111119</t>
        </is>
      </c>
      <c r="C222" s="156" t="inlineStr">
        <is>
          <t>Multimarca</t>
        </is>
      </c>
      <c r="D222" s="156" t="inlineStr">
        <is>
          <t>12-020-BS002-10-1006</t>
        </is>
      </c>
      <c r="E222" s="156" t="inlineStr">
        <is>
          <t>12-020-BS002-10-1006-295</t>
        </is>
      </c>
      <c r="F222" s="156" t="inlineStr">
        <is>
          <t>29.5</t>
        </is>
      </c>
      <c r="G222" s="156" t="inlineStr">
        <is>
          <t>11.5</t>
        </is>
      </c>
      <c r="H222" s="156" t="inlineStr">
        <is>
          <t>Stetson</t>
        </is>
      </c>
      <c r="I222" s="156" t="inlineStr">
        <is>
          <t>Bota Gamuza Chocolate</t>
        </is>
      </c>
      <c r="J222" s="156" t="inlineStr">
        <is>
          <t>Calzado</t>
        </is>
      </c>
      <c r="K222" s="156" t="inlineStr">
        <is>
          <t>Botas</t>
        </is>
      </c>
      <c r="L222" s="156" t="inlineStr">
        <is>
          <t>Hombre</t>
        </is>
      </c>
      <c r="M222" s="156" t="inlineStr">
        <is>
          <t>Stetson</t>
        </is>
      </c>
      <c r="N222" s="156" t="inlineStr">
        <is>
          <t>SS26</t>
        </is>
      </c>
      <c r="O222" s="156" t="inlineStr">
        <is>
          <t>Seasonal</t>
        </is>
      </c>
      <c r="P222" s="156" t="inlineStr">
        <is>
          <t>Cafe</t>
        </is>
      </c>
      <c r="Q222" s="156" t="n"/>
      <c r="R222" s="156" t="inlineStr">
        <is>
          <t>Punta Redonda Ancha</t>
        </is>
      </c>
      <c r="S222" s="156" t="inlineStr">
        <is>
          <t>Gamuza</t>
        </is>
      </c>
      <c r="T222" s="156" t="inlineStr">
        <is>
          <t>Bota Caballero Gamuza Chocolate Punta Redonda Ancha</t>
        </is>
      </c>
      <c r="U222" s="156" t="inlineStr">
        <is>
          <t>México</t>
        </is>
      </c>
      <c r="V222" s="156" t="inlineStr">
        <is>
          <t>PRS</t>
        </is>
      </c>
      <c r="W222" s="51" t="inlineStr">
        <is>
          <t>53111501</t>
        </is>
      </c>
      <c r="X222" s="156" t="n"/>
      <c r="Y222" s="54" t="n">
        <v>675</v>
      </c>
      <c r="Z222" s="54" t="n">
        <v>3879.310345</v>
      </c>
      <c r="AA222" s="55">
        <f>IF(AND(A222="", B222="", E222=""), "", IF(AB222="", "Válido", IF((LEN(AB222)-LEN(SUBSTITUTE(AB222,"; ","")))/2+1&gt;(LEN(AB222)-LEN(SUBSTITUTE(AB222,"[Aviso]","")))/7, "Con Incidencias", "Válido")))</f>
        <v/>
      </c>
      <c r="AB222" s="56">
        <f>IF(AND(A222="", B222="", E222=""), "", TEXTJOIN("; ", TRUE, IF(OR(TRIM(A222&amp;"")="", ISNUMBER(SEARCH("FALTA", A222))), "UPC faltante/inválido", ""), IF(AND(A222&lt;&gt;"", IFERROR(_xlfn.XMATCH(A222,$A$2:$A$2509,0,1)&lt;&gt;_xlfn.XMATCH(A222,$A$2:$A$2509,0,-1),FALSE)), "Código de barras duplicado", ""), IF(AND(E222&lt;&gt;"", COUNTIF($E$2:$E$2509, E222)&gt;1), "SKU duplicado", ""), IF(OR(J222="", J222=""), "[Aviso] División no capturada ()", IF(ISNA(MATCH(J222, Criterios!$A$123:$A$126, 0)), "División no válida", "")), IF(OR(K222="", K222=""), "[Aviso] Categoría no capturada ()", IF(ISNA(MATCH(K222, Criterios!$A$81:$A$120, 0)), "Categoría no válida", IF(AND(J222&lt;&gt;"", J222&lt;&gt;"", J222&lt;&gt;VLOOKUP(K222, Criterios!$A$81:$B$120, 2, FALSE)), "División no coincide con Categoría", ""))), IF(OR(L222="", L222=""), "[Aviso] Género no capturado ()", IF(ISNA(MATCH(L222, Criterios!$B$123:$B$127, 0)), "Género no válido", "")), IF(OR(N222="", N222=""), "[Aviso] Temporada no capturada ()", IF(ISNA(MATCH(N222, Criterios!$C$123:$C$128, 0)), "Temporada no válida", "")), IF(OR(O222="", O222=""), "[Aviso] Ciclo de vida no capturado ()", IF(ISNA(MATCH(O222, Criterios!$D$123:$D$124, 0)), "Ciclo de vida no válido", ""))))</f>
        <v/>
      </c>
      <c r="AC222" s="56" t="n"/>
      <c r="AD222" s="51" t="n">
        <v>1</v>
      </c>
      <c r="AE222" s="156" t="inlineStr">
        <is>
          <t>STETSON AMERICAS (1)</t>
        </is>
      </c>
      <c r="AF222" s="51" t="n">
        <v>1</v>
      </c>
      <c r="AG222" s="156" t="inlineStr">
        <is>
          <t>Catálogo existente</t>
        </is>
      </c>
      <c r="AH2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2" s="156" t="inlineStr">
        <is>
          <t>No</t>
        </is>
      </c>
      <c r="AJ222" s="156" t="n"/>
      <c r="AK222" s="155" t="inlineStr">
        <is>
          <t>Criterios: I [Q]; G1522_Extraccion_Articulos_NetSuite_2026-09-30.xlsx: fila 58794 [R] | Shopify Stetson: producto 15054563934571 / variante 53350544867691</t>
        </is>
      </c>
      <c r="AL222" s="58" t="n">
        <v>675</v>
      </c>
      <c r="AM222" s="58" t="n">
        <v>3879.310345</v>
      </c>
      <c r="AN222" s="155" t="inlineStr">
        <is>
          <t>Shopify Stetson México</t>
        </is>
      </c>
      <c r="AO222" s="59" t="n">
        <v>1</v>
      </c>
      <c r="AP222" s="59" t="n"/>
      <c r="AQ222" s="59" t="n"/>
      <c r="AR222" s="155" t="inlineStr">
        <is>
          <t>Shopify Stetson México › Stetson Americas: 1</t>
        </is>
      </c>
    </row>
    <row r="223">
      <c r="A223" s="50" t="inlineStr">
        <is>
          <t>12020002101006305</t>
        </is>
      </c>
      <c r="B223" s="51" t="inlineStr">
        <is>
          <t>111120</t>
        </is>
      </c>
      <c r="C223" s="156" t="inlineStr">
        <is>
          <t>Multimarca</t>
        </is>
      </c>
      <c r="D223" s="156" t="inlineStr">
        <is>
          <t>12-020-BS002-10-1006</t>
        </is>
      </c>
      <c r="E223" s="156" t="inlineStr">
        <is>
          <t>12-020-BS002-10-1006-305</t>
        </is>
      </c>
      <c r="F223" s="156" t="inlineStr">
        <is>
          <t>30.5</t>
        </is>
      </c>
      <c r="G223" s="156" t="inlineStr">
        <is>
          <t>12.5</t>
        </is>
      </c>
      <c r="H223" s="156" t="inlineStr">
        <is>
          <t>Stetson</t>
        </is>
      </c>
      <c r="I223" s="156" t="inlineStr">
        <is>
          <t>Bota Gamuza Chocolate</t>
        </is>
      </c>
      <c r="J223" s="156" t="inlineStr">
        <is>
          <t>Calzado</t>
        </is>
      </c>
      <c r="K223" s="156" t="inlineStr">
        <is>
          <t>Botas</t>
        </is>
      </c>
      <c r="L223" s="156" t="inlineStr">
        <is>
          <t>Hombre</t>
        </is>
      </c>
      <c r="M223" s="156" t="inlineStr">
        <is>
          <t>Stetson</t>
        </is>
      </c>
      <c r="N223" s="156" t="inlineStr">
        <is>
          <t>SS26</t>
        </is>
      </c>
      <c r="O223" s="156" t="inlineStr">
        <is>
          <t>Seasonal</t>
        </is>
      </c>
      <c r="P223" s="156" t="inlineStr">
        <is>
          <t>Cafe</t>
        </is>
      </c>
      <c r="Q223" s="156" t="n"/>
      <c r="R223" s="156" t="inlineStr">
        <is>
          <t>Punta Redonda Ancha</t>
        </is>
      </c>
      <c r="S223" s="156" t="inlineStr">
        <is>
          <t>Gamuza</t>
        </is>
      </c>
      <c r="T223" s="156" t="inlineStr">
        <is>
          <t>Bota Caballero Gamuza Chocolate Punta Redonda Ancha</t>
        </is>
      </c>
      <c r="U223" s="156" t="inlineStr">
        <is>
          <t>México</t>
        </is>
      </c>
      <c r="V223" s="156" t="inlineStr">
        <is>
          <t>PRS</t>
        </is>
      </c>
      <c r="W223" s="51" t="inlineStr">
        <is>
          <t>53111501</t>
        </is>
      </c>
      <c r="X223" s="156" t="n"/>
      <c r="Y223" s="54" t="n">
        <v>675</v>
      </c>
      <c r="Z223" s="54" t="n">
        <v>3879.310345</v>
      </c>
      <c r="AA223" s="55">
        <f>IF(AND(A223="", B223="", E223=""), "", IF(AB223="", "Válido", IF((LEN(AB223)-LEN(SUBSTITUTE(AB223,"; ","")))/2+1&gt;(LEN(AB223)-LEN(SUBSTITUTE(AB223,"[Aviso]","")))/7, "Con Incidencias", "Válido")))</f>
        <v/>
      </c>
      <c r="AB223" s="56">
        <f>IF(AND(A223="", B223="", E223=""), "", TEXTJOIN("; ", TRUE, IF(OR(TRIM(A223&amp;"")="", ISNUMBER(SEARCH("FALTA", A223))), "UPC faltante/inválido", ""), IF(AND(A223&lt;&gt;"", IFERROR(_xlfn.XMATCH(A223,$A$2:$A$2509,0,1)&lt;&gt;_xlfn.XMATCH(A223,$A$2:$A$2509,0,-1),FALSE)), "Código de barras duplicado", ""), IF(AND(E223&lt;&gt;"", COUNTIF($E$2:$E$2509, E223)&gt;1), "SKU duplicado", ""), IF(OR(J223="", J223=""), "[Aviso] División no capturada ()", IF(ISNA(MATCH(J223, Criterios!$A$123:$A$126, 0)), "División no válida", "")), IF(OR(K223="", K223=""), "[Aviso] Categoría no capturada ()", IF(ISNA(MATCH(K223, Criterios!$A$81:$A$120, 0)), "Categoría no válida", IF(AND(J223&lt;&gt;"", J223&lt;&gt;"", J223&lt;&gt;VLOOKUP(K223, Criterios!$A$81:$B$120, 2, FALSE)), "División no coincide con Categoría", ""))), IF(OR(L223="", L223=""), "[Aviso] Género no capturado ()", IF(ISNA(MATCH(L223, Criterios!$B$123:$B$127, 0)), "Género no válido", "")), IF(OR(N223="", N223=""), "[Aviso] Temporada no capturada ()", IF(ISNA(MATCH(N223, Criterios!$C$123:$C$128, 0)), "Temporada no válida", "")), IF(OR(O223="", O223=""), "[Aviso] Ciclo de vida no capturado ()", IF(ISNA(MATCH(O223, Criterios!$D$123:$D$124, 0)), "Ciclo de vida no válido", ""))))</f>
        <v/>
      </c>
      <c r="AC223" s="56" t="n"/>
      <c r="AD223" s="51" t="n">
        <v>0</v>
      </c>
      <c r="AE223" s="156" t="n"/>
      <c r="AF223" s="51" t="n">
        <v>0</v>
      </c>
      <c r="AG223" s="156" t="inlineStr">
        <is>
          <t>Catálogo existente</t>
        </is>
      </c>
      <c r="AH2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3" s="156" t="inlineStr">
        <is>
          <t>No</t>
        </is>
      </c>
      <c r="AJ223" s="156" t="n"/>
      <c r="AK223" s="155" t="inlineStr">
        <is>
          <t>Criterios: I [Q]; G1522_Extraccion_Articulos_NetSuite_2026-09-30.xlsx: fila 58795 [R] | Shopify Stetson: producto 15054563934571 / variante 53350544933227</t>
        </is>
      </c>
      <c r="AL223" s="58" t="n">
        <v>675</v>
      </c>
      <c r="AM223" s="58" t="n">
        <v>3879.310345</v>
      </c>
      <c r="AN223" s="155" t="inlineStr">
        <is>
          <t>Shopify Stetson México</t>
        </is>
      </c>
      <c r="AO223" s="59" t="n">
        <v>0</v>
      </c>
      <c r="AP223" s="59" t="n"/>
      <c r="AQ223" s="59" t="n"/>
      <c r="AR223" s="155" t="n"/>
    </row>
    <row r="224">
      <c r="A224" s="50" t="inlineStr">
        <is>
          <t>12020002101006315</t>
        </is>
      </c>
      <c r="B224" s="51" t="inlineStr">
        <is>
          <t>111121</t>
        </is>
      </c>
      <c r="C224" s="156" t="inlineStr">
        <is>
          <t>Multimarca</t>
        </is>
      </c>
      <c r="D224" s="156" t="inlineStr">
        <is>
          <t>12-020-BS002-10-1006</t>
        </is>
      </c>
      <c r="E224" s="156" t="inlineStr">
        <is>
          <t>12-020-BS002-10-1006-315</t>
        </is>
      </c>
      <c r="F224" s="156" t="inlineStr">
        <is>
          <t>31.5</t>
        </is>
      </c>
      <c r="G224" s="156" t="inlineStr">
        <is>
          <t>13.5</t>
        </is>
      </c>
      <c r="H224" s="156" t="inlineStr">
        <is>
          <t>Stetson</t>
        </is>
      </c>
      <c r="I224" s="156" t="inlineStr">
        <is>
          <t>Bota Gamuza Chocolate</t>
        </is>
      </c>
      <c r="J224" s="156" t="inlineStr">
        <is>
          <t>Calzado</t>
        </is>
      </c>
      <c r="K224" s="156" t="inlineStr">
        <is>
          <t>Botas</t>
        </is>
      </c>
      <c r="L224" s="156" t="inlineStr">
        <is>
          <t>Hombre</t>
        </is>
      </c>
      <c r="M224" s="156" t="inlineStr">
        <is>
          <t>Stetson</t>
        </is>
      </c>
      <c r="N224" s="156" t="inlineStr">
        <is>
          <t>SS26</t>
        </is>
      </c>
      <c r="O224" s="156" t="inlineStr">
        <is>
          <t>Seasonal</t>
        </is>
      </c>
      <c r="P224" s="156" t="inlineStr">
        <is>
          <t>Cafe</t>
        </is>
      </c>
      <c r="Q224" s="156" t="n"/>
      <c r="R224" s="156" t="inlineStr">
        <is>
          <t>Punta Redonda Ancha</t>
        </is>
      </c>
      <c r="S224" s="156" t="inlineStr">
        <is>
          <t>Gamuza</t>
        </is>
      </c>
      <c r="T224" s="156" t="inlineStr">
        <is>
          <t>Bota Caballero Gamuza Chocolate Punta Redonda Ancha</t>
        </is>
      </c>
      <c r="U224" s="156" t="inlineStr">
        <is>
          <t>México</t>
        </is>
      </c>
      <c r="V224" s="156" t="inlineStr">
        <is>
          <t>PRS</t>
        </is>
      </c>
      <c r="W224" s="51" t="inlineStr">
        <is>
          <t>53111501</t>
        </is>
      </c>
      <c r="X224" s="156" t="n"/>
      <c r="Y224" s="54" t="n">
        <v>675</v>
      </c>
      <c r="Z224" s="54" t="n">
        <v>3879.310345</v>
      </c>
      <c r="AA224" s="55">
        <f>IF(AND(A224="", B224="", E224=""), "", IF(AB224="", "Válido", IF((LEN(AB224)-LEN(SUBSTITUTE(AB224,"; ","")))/2+1&gt;(LEN(AB224)-LEN(SUBSTITUTE(AB224,"[Aviso]","")))/7, "Con Incidencias", "Válido")))</f>
        <v/>
      </c>
      <c r="AB224" s="56">
        <f>IF(AND(A224="", B224="", E224=""), "", TEXTJOIN("; ", TRUE, IF(OR(TRIM(A224&amp;"")="", ISNUMBER(SEARCH("FALTA", A224))), "UPC faltante/inválido", ""), IF(AND(A224&lt;&gt;"", IFERROR(_xlfn.XMATCH(A224,$A$2:$A$2509,0,1)&lt;&gt;_xlfn.XMATCH(A224,$A$2:$A$2509,0,-1),FALSE)), "Código de barras duplicado", ""), IF(AND(E224&lt;&gt;"", COUNTIF($E$2:$E$2509, E224)&gt;1), "SKU duplicado", ""), IF(OR(J224="", J224=""), "[Aviso] División no capturada ()", IF(ISNA(MATCH(J224, Criterios!$A$123:$A$126, 0)), "División no válida", "")), IF(OR(K224="", K224=""), "[Aviso] Categoría no capturada ()", IF(ISNA(MATCH(K224, Criterios!$A$81:$A$120, 0)), "Categoría no válida", IF(AND(J224&lt;&gt;"", J224&lt;&gt;"", J224&lt;&gt;VLOOKUP(K224, Criterios!$A$81:$B$120, 2, FALSE)), "División no coincide con Categoría", ""))), IF(OR(L224="", L224=""), "[Aviso] Género no capturado ()", IF(ISNA(MATCH(L224, Criterios!$B$123:$B$127, 0)), "Género no válido", "")), IF(OR(N224="", N224=""), "[Aviso] Temporada no capturada ()", IF(ISNA(MATCH(N224, Criterios!$C$123:$C$128, 0)), "Temporada no válida", "")), IF(OR(O224="", O224=""), "[Aviso] Ciclo de vida no capturado ()", IF(ISNA(MATCH(O224, Criterios!$D$123:$D$124, 0)), "Ciclo de vida no válido", ""))))</f>
        <v/>
      </c>
      <c r="AC224" s="56" t="n"/>
      <c r="AD224" s="51" t="n">
        <v>0</v>
      </c>
      <c r="AE224" s="156" t="n"/>
      <c r="AF224" s="51" t="n">
        <v>0</v>
      </c>
      <c r="AG224" s="156" t="inlineStr">
        <is>
          <t>Catálogo existente</t>
        </is>
      </c>
      <c r="AH2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4" s="156" t="inlineStr">
        <is>
          <t>No</t>
        </is>
      </c>
      <c r="AJ224" s="156" t="n"/>
      <c r="AK224" s="155" t="inlineStr">
        <is>
          <t>Criterios: I [Q]; G1522_Extraccion_Articulos_NetSuite_2026-09-30.xlsx: fila 58796 [R] | Shopify Stetson: producto 15054563934571 / variante 53350544998763</t>
        </is>
      </c>
      <c r="AL224" s="58" t="n">
        <v>675</v>
      </c>
      <c r="AM224" s="58" t="n">
        <v>3879.310345</v>
      </c>
      <c r="AN224" s="155" t="inlineStr">
        <is>
          <t>Shopify Stetson México</t>
        </is>
      </c>
      <c r="AO224" s="59" t="n">
        <v>0</v>
      </c>
      <c r="AP224" s="59" t="n"/>
      <c r="AQ224" s="59" t="n"/>
      <c r="AR224" s="155" t="n"/>
    </row>
    <row r="225">
      <c r="A225" s="50" t="inlineStr">
        <is>
          <t>12020002101006325</t>
        </is>
      </c>
      <c r="B225" s="51" t="inlineStr">
        <is>
          <t>111122</t>
        </is>
      </c>
      <c r="C225" s="156" t="inlineStr">
        <is>
          <t>Multimarca</t>
        </is>
      </c>
      <c r="D225" s="156" t="inlineStr">
        <is>
          <t>12-020-BS002-10-1006</t>
        </is>
      </c>
      <c r="E225" s="156" t="inlineStr">
        <is>
          <t>12-020-BS002-10-1006-325</t>
        </is>
      </c>
      <c r="F225" s="156" t="inlineStr">
        <is>
          <t>32.5</t>
        </is>
      </c>
      <c r="G225" s="156" t="inlineStr">
        <is>
          <t>14.5</t>
        </is>
      </c>
      <c r="H225" s="156" t="inlineStr">
        <is>
          <t>Stetson</t>
        </is>
      </c>
      <c r="I225" s="156" t="inlineStr">
        <is>
          <t>Bota Gamuza Chocolate</t>
        </is>
      </c>
      <c r="J225" s="156" t="inlineStr">
        <is>
          <t>Calzado</t>
        </is>
      </c>
      <c r="K225" s="156" t="inlineStr">
        <is>
          <t>Botas</t>
        </is>
      </c>
      <c r="L225" s="156" t="inlineStr">
        <is>
          <t>Hombre</t>
        </is>
      </c>
      <c r="M225" s="156" t="inlineStr">
        <is>
          <t>Stetson</t>
        </is>
      </c>
      <c r="N225" s="156" t="inlineStr">
        <is>
          <t>SS26</t>
        </is>
      </c>
      <c r="O225" s="156" t="inlineStr">
        <is>
          <t>Seasonal</t>
        </is>
      </c>
      <c r="P225" s="156" t="inlineStr">
        <is>
          <t>Cafe</t>
        </is>
      </c>
      <c r="Q225" s="156" t="n"/>
      <c r="R225" s="156" t="inlineStr">
        <is>
          <t>Punta Redonda Ancha</t>
        </is>
      </c>
      <c r="S225" s="156" t="inlineStr">
        <is>
          <t>Gamuza</t>
        </is>
      </c>
      <c r="T225" s="156" t="inlineStr">
        <is>
          <t>Bota Caballero Gamuza Chocolate Punta Redonda Ancha</t>
        </is>
      </c>
      <c r="U225" s="156" t="inlineStr">
        <is>
          <t>México</t>
        </is>
      </c>
      <c r="V225" s="156" t="inlineStr">
        <is>
          <t>PRS</t>
        </is>
      </c>
      <c r="W225" s="51" t="inlineStr">
        <is>
          <t>53111501</t>
        </is>
      </c>
      <c r="X225" s="156" t="n"/>
      <c r="Y225" s="54" t="n">
        <v>675</v>
      </c>
      <c r="Z225" s="54" t="n">
        <v>3879.310345</v>
      </c>
      <c r="AA225" s="55">
        <f>IF(AND(A225="", B225="", E225=""), "", IF(AB225="", "Válido", IF((LEN(AB225)-LEN(SUBSTITUTE(AB225,"; ","")))/2+1&gt;(LEN(AB225)-LEN(SUBSTITUTE(AB225,"[Aviso]","")))/7, "Con Incidencias", "Válido")))</f>
        <v/>
      </c>
      <c r="AB225" s="56">
        <f>IF(AND(A225="", B225="", E225=""), "", TEXTJOIN("; ", TRUE, IF(OR(TRIM(A225&amp;"")="", ISNUMBER(SEARCH("FALTA", A225))), "UPC faltante/inválido", ""), IF(AND(A225&lt;&gt;"", IFERROR(_xlfn.XMATCH(A225,$A$2:$A$2509,0,1)&lt;&gt;_xlfn.XMATCH(A225,$A$2:$A$2509,0,-1),FALSE)), "Código de barras duplicado", ""), IF(AND(E225&lt;&gt;"", COUNTIF($E$2:$E$2509, E225)&gt;1), "SKU duplicado", ""), IF(OR(J225="", J225=""), "[Aviso] División no capturada ()", IF(ISNA(MATCH(J225, Criterios!$A$123:$A$126, 0)), "División no válida", "")), IF(OR(K225="", K225=""), "[Aviso] Categoría no capturada ()", IF(ISNA(MATCH(K225, Criterios!$A$81:$A$120, 0)), "Categoría no válida", IF(AND(J225&lt;&gt;"", J225&lt;&gt;"", J225&lt;&gt;VLOOKUP(K225, Criterios!$A$81:$B$120, 2, FALSE)), "División no coincide con Categoría", ""))), IF(OR(L225="", L225=""), "[Aviso] Género no capturado ()", IF(ISNA(MATCH(L225, Criterios!$B$123:$B$127, 0)), "Género no válido", "")), IF(OR(N225="", N225=""), "[Aviso] Temporada no capturada ()", IF(ISNA(MATCH(N225, Criterios!$C$123:$C$128, 0)), "Temporada no válida", "")), IF(OR(O225="", O225=""), "[Aviso] Ciclo de vida no capturado ()", IF(ISNA(MATCH(O225, Criterios!$D$123:$D$124, 0)), "Ciclo de vida no válido", ""))))</f>
        <v/>
      </c>
      <c r="AC225" s="56" t="n"/>
      <c r="AD225" s="51" t="n">
        <v>0</v>
      </c>
      <c r="AE225" s="156" t="n"/>
      <c r="AF225" s="51" t="n">
        <v>0</v>
      </c>
      <c r="AG225" s="156" t="inlineStr">
        <is>
          <t>Catálogo existente</t>
        </is>
      </c>
      <c r="AH2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5" s="156" t="inlineStr">
        <is>
          <t>No</t>
        </is>
      </c>
      <c r="AJ225" s="156" t="n"/>
      <c r="AK225" s="155" t="inlineStr">
        <is>
          <t>Criterios: I [Q]; G1522_Extraccion_Articulos_NetSuite_2026-09-30.xlsx: fila 58797 [R] | Shopify Stetson: producto 15054563934571 / variante 53350545064299</t>
        </is>
      </c>
      <c r="AL225" s="58" t="n">
        <v>675</v>
      </c>
      <c r="AM225" s="58" t="n">
        <v>3879.310345</v>
      </c>
      <c r="AN225" s="155" t="inlineStr">
        <is>
          <t>Shopify Stetson México</t>
        </is>
      </c>
      <c r="AO225" s="59" t="n">
        <v>0</v>
      </c>
      <c r="AP225" s="59" t="n"/>
      <c r="AQ225" s="59" t="n"/>
      <c r="AR225" s="155" t="n"/>
    </row>
    <row r="226">
      <c r="A226" s="50" t="inlineStr">
        <is>
          <t>12020002101007025</t>
        </is>
      </c>
      <c r="B226" s="51" t="inlineStr">
        <is>
          <t>111123</t>
        </is>
      </c>
      <c r="C226" s="156" t="inlineStr">
        <is>
          <t>Multimarca</t>
        </is>
      </c>
      <c r="D226" s="156" t="inlineStr">
        <is>
          <t>12-020-BS002-10-1007</t>
        </is>
      </c>
      <c r="E226" s="156" t="inlineStr">
        <is>
          <t>12-020-BS002-10-1007-025</t>
        </is>
      </c>
      <c r="F226" s="156" t="inlineStr">
        <is>
          <t>25</t>
        </is>
      </c>
      <c r="G226" s="156" t="inlineStr">
        <is>
          <t>7</t>
        </is>
      </c>
      <c r="H226" s="156" t="inlineStr">
        <is>
          <t>Stetson</t>
        </is>
      </c>
      <c r="I226" s="156" t="inlineStr">
        <is>
          <t>Bota Gamuza Plomo</t>
        </is>
      </c>
      <c r="J226" s="156" t="inlineStr">
        <is>
          <t>Calzado</t>
        </is>
      </c>
      <c r="K226" s="156" t="inlineStr">
        <is>
          <t>Botas</t>
        </is>
      </c>
      <c r="L226" s="156" t="inlineStr">
        <is>
          <t>Hombre</t>
        </is>
      </c>
      <c r="M226" s="156" t="inlineStr">
        <is>
          <t>Stetson</t>
        </is>
      </c>
      <c r="N226" s="156" t="inlineStr">
        <is>
          <t>SS26</t>
        </is>
      </c>
      <c r="O226" s="156" t="inlineStr">
        <is>
          <t>Seasonal</t>
        </is>
      </c>
      <c r="P226" s="156" t="inlineStr">
        <is>
          <t>Gris</t>
        </is>
      </c>
      <c r="Q226" s="156" t="n"/>
      <c r="R226" s="156" t="inlineStr">
        <is>
          <t>Punta Redonda Ancha</t>
        </is>
      </c>
      <c r="S226" s="156" t="inlineStr">
        <is>
          <t>Gamuza</t>
        </is>
      </c>
      <c r="T226" s="156" t="inlineStr">
        <is>
          <t>Bota Caballero Gamuza Plomo Punta Redonda Ancha</t>
        </is>
      </c>
      <c r="U226" s="156" t="inlineStr">
        <is>
          <t>México</t>
        </is>
      </c>
      <c r="V226" s="156" t="inlineStr">
        <is>
          <t>PRS</t>
        </is>
      </c>
      <c r="W226" s="51" t="inlineStr">
        <is>
          <t>53111501</t>
        </is>
      </c>
      <c r="X226" s="156" t="n"/>
      <c r="Y226" s="54" t="n">
        <v>707</v>
      </c>
      <c r="Z226" s="54" t="n">
        <v>4051.724138</v>
      </c>
      <c r="AA226" s="55">
        <f>IF(AND(A226="", B226="", E226=""), "", IF(AB226="", "Válido", IF((LEN(AB226)-LEN(SUBSTITUTE(AB226,"; ","")))/2+1&gt;(LEN(AB226)-LEN(SUBSTITUTE(AB226,"[Aviso]","")))/7, "Con Incidencias", "Válido")))</f>
        <v/>
      </c>
      <c r="AB226" s="56">
        <f>IF(AND(A226="", B226="", E226=""), "", TEXTJOIN("; ", TRUE, IF(OR(TRIM(A226&amp;"")="", ISNUMBER(SEARCH("FALTA", A226))), "UPC faltante/inválido", ""), IF(AND(A226&lt;&gt;"", IFERROR(_xlfn.XMATCH(A226,$A$2:$A$2509,0,1)&lt;&gt;_xlfn.XMATCH(A226,$A$2:$A$2509,0,-1),FALSE)), "Código de barras duplicado", ""), IF(AND(E226&lt;&gt;"", COUNTIF($E$2:$E$2509, E226)&gt;1), "SKU duplicado", ""), IF(OR(J226="", J226=""), "[Aviso] División no capturada ()", IF(ISNA(MATCH(J226, Criterios!$A$123:$A$126, 0)), "División no válida", "")), IF(OR(K226="", K226=""), "[Aviso] Categoría no capturada ()", IF(ISNA(MATCH(K226, Criterios!$A$81:$A$120, 0)), "Categoría no válida", IF(AND(J226&lt;&gt;"", J226&lt;&gt;"", J226&lt;&gt;VLOOKUP(K226, Criterios!$A$81:$B$120, 2, FALSE)), "División no coincide con Categoría", ""))), IF(OR(L226="", L226=""), "[Aviso] Género no capturado ()", IF(ISNA(MATCH(L226, Criterios!$B$123:$B$127, 0)), "Género no válido", "")), IF(OR(N226="", N226=""), "[Aviso] Temporada no capturada ()", IF(ISNA(MATCH(N226, Criterios!$C$123:$C$128, 0)), "Temporada no válida", "")), IF(OR(O226="", O226=""), "[Aviso] Ciclo de vida no capturado ()", IF(ISNA(MATCH(O226, Criterios!$D$123:$D$124, 0)), "Ciclo de vida no válido", ""))))</f>
        <v/>
      </c>
      <c r="AC226" s="56" t="n"/>
      <c r="AD226" s="51" t="n">
        <v>0</v>
      </c>
      <c r="AE226" s="156" t="n"/>
      <c r="AF226" s="51" t="n">
        <v>0</v>
      </c>
      <c r="AG226" s="156" t="inlineStr">
        <is>
          <t>Catálogo existente</t>
        </is>
      </c>
      <c r="AH22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6" s="156" t="inlineStr">
        <is>
          <t>No</t>
        </is>
      </c>
      <c r="AJ226" s="156" t="n"/>
      <c r="AK226" s="155" t="inlineStr">
        <is>
          <t>Criterios: I [Q]; G1522_Extraccion_Articulos_NetSuite_2026-09-30.xlsx: fila 58798 [R] | Shopify Stetson: producto 15054563967339 / variante 53350545097067</t>
        </is>
      </c>
      <c r="AL226" s="58" t="n">
        <v>707</v>
      </c>
      <c r="AM226" s="58" t="n">
        <v>4051.724138</v>
      </c>
      <c r="AN226" s="155" t="inlineStr">
        <is>
          <t>Shopify Stetson México</t>
        </is>
      </c>
      <c r="AO226" s="59" t="n">
        <v>0</v>
      </c>
      <c r="AP226" s="59" t="n"/>
      <c r="AQ226" s="59" t="n"/>
      <c r="AR226" s="155" t="n"/>
    </row>
    <row r="227">
      <c r="A227" s="50" t="inlineStr">
        <is>
          <t>12020002101007026</t>
        </is>
      </c>
      <c r="B227" s="51" t="inlineStr">
        <is>
          <t>111124</t>
        </is>
      </c>
      <c r="C227" s="156" t="inlineStr">
        <is>
          <t>Multimarca</t>
        </is>
      </c>
      <c r="D227" s="156" t="inlineStr">
        <is>
          <t>12-020-BS002-10-1007</t>
        </is>
      </c>
      <c r="E227" s="156" t="inlineStr">
        <is>
          <t>12-020-BS002-10-1007-026</t>
        </is>
      </c>
      <c r="F227" s="156" t="inlineStr">
        <is>
          <t>26</t>
        </is>
      </c>
      <c r="G227" s="156" t="inlineStr">
        <is>
          <t>8</t>
        </is>
      </c>
      <c r="H227" s="156" t="inlineStr">
        <is>
          <t>Stetson</t>
        </is>
      </c>
      <c r="I227" s="156" t="inlineStr">
        <is>
          <t>Bota Gamuza Plomo</t>
        </is>
      </c>
      <c r="J227" s="156" t="inlineStr">
        <is>
          <t>Calzado</t>
        </is>
      </c>
      <c r="K227" s="156" t="inlineStr">
        <is>
          <t>Botas</t>
        </is>
      </c>
      <c r="L227" s="156" t="inlineStr">
        <is>
          <t>Hombre</t>
        </is>
      </c>
      <c r="M227" s="156" t="inlineStr">
        <is>
          <t>Stetson</t>
        </is>
      </c>
      <c r="N227" s="156" t="inlineStr">
        <is>
          <t>SS26</t>
        </is>
      </c>
      <c r="O227" s="156" t="inlineStr">
        <is>
          <t>Seasonal</t>
        </is>
      </c>
      <c r="P227" s="156" t="inlineStr">
        <is>
          <t>Gris</t>
        </is>
      </c>
      <c r="Q227" s="156" t="n"/>
      <c r="R227" s="156" t="inlineStr">
        <is>
          <t>Punta Redonda Ancha</t>
        </is>
      </c>
      <c r="S227" s="156" t="inlineStr">
        <is>
          <t>Gamuza</t>
        </is>
      </c>
      <c r="T227" s="156" t="inlineStr">
        <is>
          <t>Bota Caballero Gamuza Plomo Punta Redonda Ancha</t>
        </is>
      </c>
      <c r="U227" s="156" t="inlineStr">
        <is>
          <t>México</t>
        </is>
      </c>
      <c r="V227" s="156" t="inlineStr">
        <is>
          <t>PRS</t>
        </is>
      </c>
      <c r="W227" s="51" t="inlineStr">
        <is>
          <t>53111501</t>
        </is>
      </c>
      <c r="X227" s="156" t="n"/>
      <c r="Y227" s="54" t="n">
        <v>707</v>
      </c>
      <c r="Z227" s="54" t="n">
        <v>4051.724138</v>
      </c>
      <c r="AA227" s="55">
        <f>IF(AND(A227="", B227="", E227=""), "", IF(AB227="", "Válido", IF((LEN(AB227)-LEN(SUBSTITUTE(AB227,"; ","")))/2+1&gt;(LEN(AB227)-LEN(SUBSTITUTE(AB227,"[Aviso]","")))/7, "Con Incidencias", "Válido")))</f>
        <v/>
      </c>
      <c r="AB227" s="56">
        <f>IF(AND(A227="", B227="", E227=""), "", TEXTJOIN("; ", TRUE, IF(OR(TRIM(A227&amp;"")="", ISNUMBER(SEARCH("FALTA", A227))), "UPC faltante/inválido", ""), IF(AND(A227&lt;&gt;"", IFERROR(_xlfn.XMATCH(A227,$A$2:$A$2509,0,1)&lt;&gt;_xlfn.XMATCH(A227,$A$2:$A$2509,0,-1),FALSE)), "Código de barras duplicado", ""), IF(AND(E227&lt;&gt;"", COUNTIF($E$2:$E$2509, E227)&gt;1), "SKU duplicado", ""), IF(OR(J227="", J227=""), "[Aviso] División no capturada ()", IF(ISNA(MATCH(J227, Criterios!$A$123:$A$126, 0)), "División no válida", "")), IF(OR(K227="", K227=""), "[Aviso] Categoría no capturada ()", IF(ISNA(MATCH(K227, Criterios!$A$81:$A$120, 0)), "Categoría no válida", IF(AND(J227&lt;&gt;"", J227&lt;&gt;"", J227&lt;&gt;VLOOKUP(K227, Criterios!$A$81:$B$120, 2, FALSE)), "División no coincide con Categoría", ""))), IF(OR(L227="", L227=""), "[Aviso] Género no capturado ()", IF(ISNA(MATCH(L227, Criterios!$B$123:$B$127, 0)), "Género no válido", "")), IF(OR(N227="", N227=""), "[Aviso] Temporada no capturada ()", IF(ISNA(MATCH(N227, Criterios!$C$123:$C$128, 0)), "Temporada no válida", "")), IF(OR(O227="", O227=""), "[Aviso] Ciclo de vida no capturado ()", IF(ISNA(MATCH(O227, Criterios!$D$123:$D$124, 0)), "Ciclo de vida no válido", ""))))</f>
        <v/>
      </c>
      <c r="AC227" s="56" t="n"/>
      <c r="AD227" s="51" t="n">
        <v>0</v>
      </c>
      <c r="AE227" s="156" t="n"/>
      <c r="AF227" s="51" t="n">
        <v>0</v>
      </c>
      <c r="AG227" s="156" t="inlineStr">
        <is>
          <t>Catálogo existente</t>
        </is>
      </c>
      <c r="AH2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7" s="156" t="inlineStr">
        <is>
          <t>No</t>
        </is>
      </c>
      <c r="AJ227" s="156" t="n"/>
      <c r="AK227" s="155" t="inlineStr">
        <is>
          <t>Criterios: I [Q]; G1522_Extraccion_Articulos_NetSuite_2026-09-30.xlsx: fila 58799 [R] | Shopify Stetson: producto 15054563967339 / variante 53350545162603</t>
        </is>
      </c>
      <c r="AL227" s="58" t="n">
        <v>707</v>
      </c>
      <c r="AM227" s="58" t="n">
        <v>4051.724138</v>
      </c>
      <c r="AN227" s="155" t="inlineStr">
        <is>
          <t>Shopify Stetson México</t>
        </is>
      </c>
      <c r="AO227" s="59" t="n">
        <v>0</v>
      </c>
      <c r="AP227" s="59" t="n"/>
      <c r="AQ227" s="59" t="n"/>
      <c r="AR227" s="155" t="n"/>
    </row>
    <row r="228">
      <c r="A228" s="50" t="inlineStr">
        <is>
          <t>12020002101007027</t>
        </is>
      </c>
      <c r="B228" s="51" t="inlineStr">
        <is>
          <t>111125</t>
        </is>
      </c>
      <c r="C228" s="156" t="inlineStr">
        <is>
          <t>Multimarca</t>
        </is>
      </c>
      <c r="D228" s="156" t="inlineStr">
        <is>
          <t>12-020-BS002-10-1007</t>
        </is>
      </c>
      <c r="E228" s="156" t="inlineStr">
        <is>
          <t>12-020-BS002-10-1007-027</t>
        </is>
      </c>
      <c r="F228" s="156" t="inlineStr">
        <is>
          <t>27</t>
        </is>
      </c>
      <c r="G228" s="156" t="inlineStr">
        <is>
          <t>9</t>
        </is>
      </c>
      <c r="H228" s="156" t="inlineStr">
        <is>
          <t>Stetson</t>
        </is>
      </c>
      <c r="I228" s="156" t="inlineStr">
        <is>
          <t>Bota Gamuza Plomo</t>
        </is>
      </c>
      <c r="J228" s="156" t="inlineStr">
        <is>
          <t>Calzado</t>
        </is>
      </c>
      <c r="K228" s="156" t="inlineStr">
        <is>
          <t>Botas</t>
        </is>
      </c>
      <c r="L228" s="156" t="inlineStr">
        <is>
          <t>Hombre</t>
        </is>
      </c>
      <c r="M228" s="156" t="inlineStr">
        <is>
          <t>Stetson</t>
        </is>
      </c>
      <c r="N228" s="156" t="inlineStr">
        <is>
          <t>SS26</t>
        </is>
      </c>
      <c r="O228" s="156" t="inlineStr">
        <is>
          <t>Seasonal</t>
        </is>
      </c>
      <c r="P228" s="156" t="inlineStr">
        <is>
          <t>Gris</t>
        </is>
      </c>
      <c r="Q228" s="156" t="n"/>
      <c r="R228" s="156" t="inlineStr">
        <is>
          <t>Punta Redonda Ancha</t>
        </is>
      </c>
      <c r="S228" s="156" t="inlineStr">
        <is>
          <t>Gamuza</t>
        </is>
      </c>
      <c r="T228" s="156" t="inlineStr">
        <is>
          <t>Bota Caballero Gamuza Plomo Punta Redonda Ancha</t>
        </is>
      </c>
      <c r="U228" s="156" t="inlineStr">
        <is>
          <t>México</t>
        </is>
      </c>
      <c r="V228" s="156" t="inlineStr">
        <is>
          <t>PRS</t>
        </is>
      </c>
      <c r="W228" s="51" t="inlineStr">
        <is>
          <t>53111501</t>
        </is>
      </c>
      <c r="X228" s="156" t="n"/>
      <c r="Y228" s="54" t="n">
        <v>707</v>
      </c>
      <c r="Z228" s="54" t="n">
        <v>4051.724138</v>
      </c>
      <c r="AA228" s="55">
        <f>IF(AND(A228="", B228="", E228=""), "", IF(AB228="", "Válido", IF((LEN(AB228)-LEN(SUBSTITUTE(AB228,"; ","")))/2+1&gt;(LEN(AB228)-LEN(SUBSTITUTE(AB228,"[Aviso]","")))/7, "Con Incidencias", "Válido")))</f>
        <v/>
      </c>
      <c r="AB228" s="56">
        <f>IF(AND(A228="", B228="", E228=""), "", TEXTJOIN("; ", TRUE, IF(OR(TRIM(A228&amp;"")="", ISNUMBER(SEARCH("FALTA", A228))), "UPC faltante/inválido", ""), IF(AND(A228&lt;&gt;"", IFERROR(_xlfn.XMATCH(A228,$A$2:$A$2509,0,1)&lt;&gt;_xlfn.XMATCH(A228,$A$2:$A$2509,0,-1),FALSE)), "Código de barras duplicado", ""), IF(AND(E228&lt;&gt;"", COUNTIF($E$2:$E$2509, E228)&gt;1), "SKU duplicado", ""), IF(OR(J228="", J228=""), "[Aviso] División no capturada ()", IF(ISNA(MATCH(J228, Criterios!$A$123:$A$126, 0)), "División no válida", "")), IF(OR(K228="", K228=""), "[Aviso] Categoría no capturada ()", IF(ISNA(MATCH(K228, Criterios!$A$81:$A$120, 0)), "Categoría no válida", IF(AND(J228&lt;&gt;"", J228&lt;&gt;"", J228&lt;&gt;VLOOKUP(K228, Criterios!$A$81:$B$120, 2, FALSE)), "División no coincide con Categoría", ""))), IF(OR(L228="", L228=""), "[Aviso] Género no capturado ()", IF(ISNA(MATCH(L228, Criterios!$B$123:$B$127, 0)), "Género no válido", "")), IF(OR(N228="", N228=""), "[Aviso] Temporada no capturada ()", IF(ISNA(MATCH(N228, Criterios!$C$123:$C$128, 0)), "Temporada no válida", "")), IF(OR(O228="", O228=""), "[Aviso] Ciclo de vida no capturado ()", IF(ISNA(MATCH(O228, Criterios!$D$123:$D$124, 0)), "Ciclo de vida no válido", ""))))</f>
        <v/>
      </c>
      <c r="AC228" s="56" t="n"/>
      <c r="AD228" s="51" t="n">
        <v>1</v>
      </c>
      <c r="AE228" s="156" t="inlineStr">
        <is>
          <t>STETSON AMERICAS (1)</t>
        </is>
      </c>
      <c r="AF228" s="51" t="n">
        <v>1</v>
      </c>
      <c r="AG228" s="156" t="inlineStr">
        <is>
          <t>Catálogo existente</t>
        </is>
      </c>
      <c r="AH2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8" s="156" t="inlineStr">
        <is>
          <t>No</t>
        </is>
      </c>
      <c r="AJ228" s="156" t="n"/>
      <c r="AK228" s="155" t="inlineStr">
        <is>
          <t>Criterios: I [Q]; G1522_Extraccion_Articulos_NetSuite_2026-09-30.xlsx: fila 58800 [R] | Shopify Stetson: producto 15054563967339 / variante 53350545228139</t>
        </is>
      </c>
      <c r="AL228" s="58" t="n">
        <v>707</v>
      </c>
      <c r="AM228" s="58" t="n">
        <v>4051.724138</v>
      </c>
      <c r="AN228" s="155" t="inlineStr">
        <is>
          <t>Shopify Stetson México</t>
        </is>
      </c>
      <c r="AO228" s="59" t="n">
        <v>1</v>
      </c>
      <c r="AP228" s="59" t="n"/>
      <c r="AQ228" s="59" t="n"/>
      <c r="AR228" s="155" t="inlineStr">
        <is>
          <t>Shopify Stetson México › Stetson Americas: 1</t>
        </is>
      </c>
    </row>
    <row r="229">
      <c r="A229" s="50" t="inlineStr">
        <is>
          <t>12020002101007028</t>
        </is>
      </c>
      <c r="B229" s="51" t="inlineStr">
        <is>
          <t>111126</t>
        </is>
      </c>
      <c r="C229" s="156" t="inlineStr">
        <is>
          <t>Multimarca</t>
        </is>
      </c>
      <c r="D229" s="156" t="inlineStr">
        <is>
          <t>12-020-BS002-10-1007</t>
        </is>
      </c>
      <c r="E229" s="156" t="inlineStr">
        <is>
          <t>12-020-BS002-10-1007-028</t>
        </is>
      </c>
      <c r="F229" s="156" t="inlineStr">
        <is>
          <t>28</t>
        </is>
      </c>
      <c r="G229" s="156" t="inlineStr">
        <is>
          <t>10</t>
        </is>
      </c>
      <c r="H229" s="156" t="inlineStr">
        <is>
          <t>Stetson</t>
        </is>
      </c>
      <c r="I229" s="156" t="inlineStr">
        <is>
          <t>Bota Gamuza Plomo</t>
        </is>
      </c>
      <c r="J229" s="156" t="inlineStr">
        <is>
          <t>Calzado</t>
        </is>
      </c>
      <c r="K229" s="156" t="inlineStr">
        <is>
          <t>Botas</t>
        </is>
      </c>
      <c r="L229" s="156" t="inlineStr">
        <is>
          <t>Hombre</t>
        </is>
      </c>
      <c r="M229" s="156" t="inlineStr">
        <is>
          <t>Stetson</t>
        </is>
      </c>
      <c r="N229" s="156" t="inlineStr">
        <is>
          <t>SS26</t>
        </is>
      </c>
      <c r="O229" s="156" t="inlineStr">
        <is>
          <t>Seasonal</t>
        </is>
      </c>
      <c r="P229" s="156" t="inlineStr">
        <is>
          <t>Gris</t>
        </is>
      </c>
      <c r="Q229" s="156" t="n"/>
      <c r="R229" s="156" t="inlineStr">
        <is>
          <t>Punta Redonda Ancha</t>
        </is>
      </c>
      <c r="S229" s="156" t="inlineStr">
        <is>
          <t>Gamuza</t>
        </is>
      </c>
      <c r="T229" s="156" t="inlineStr">
        <is>
          <t>Bota Caballero Gamuza Plomo Punta Redonda Ancha</t>
        </is>
      </c>
      <c r="U229" s="156" t="inlineStr">
        <is>
          <t>México</t>
        </is>
      </c>
      <c r="V229" s="156" t="inlineStr">
        <is>
          <t>PRS</t>
        </is>
      </c>
      <c r="W229" s="51" t="inlineStr">
        <is>
          <t>53111501</t>
        </is>
      </c>
      <c r="X229" s="156" t="n"/>
      <c r="Y229" s="54" t="n">
        <v>707</v>
      </c>
      <c r="Z229" s="54" t="n">
        <v>4051.724138</v>
      </c>
      <c r="AA229" s="55">
        <f>IF(AND(A229="", B229="", E229=""), "", IF(AB229="", "Válido", IF((LEN(AB229)-LEN(SUBSTITUTE(AB229,"; ","")))/2+1&gt;(LEN(AB229)-LEN(SUBSTITUTE(AB229,"[Aviso]","")))/7, "Con Incidencias", "Válido")))</f>
        <v/>
      </c>
      <c r="AB229" s="56">
        <f>IF(AND(A229="", B229="", E229=""), "", TEXTJOIN("; ", TRUE, IF(OR(TRIM(A229&amp;"")="", ISNUMBER(SEARCH("FALTA", A229))), "UPC faltante/inválido", ""), IF(AND(A229&lt;&gt;"", IFERROR(_xlfn.XMATCH(A229,$A$2:$A$2509,0,1)&lt;&gt;_xlfn.XMATCH(A229,$A$2:$A$2509,0,-1),FALSE)), "Código de barras duplicado", ""), IF(AND(E229&lt;&gt;"", COUNTIF($E$2:$E$2509, E229)&gt;1), "SKU duplicado", ""), IF(OR(J229="", J229=""), "[Aviso] División no capturada ()", IF(ISNA(MATCH(J229, Criterios!$A$123:$A$126, 0)), "División no válida", "")), IF(OR(K229="", K229=""), "[Aviso] Categoría no capturada ()", IF(ISNA(MATCH(K229, Criterios!$A$81:$A$120, 0)), "Categoría no válida", IF(AND(J229&lt;&gt;"", J229&lt;&gt;"", J229&lt;&gt;VLOOKUP(K229, Criterios!$A$81:$B$120, 2, FALSE)), "División no coincide con Categoría", ""))), IF(OR(L229="", L229=""), "[Aviso] Género no capturado ()", IF(ISNA(MATCH(L229, Criterios!$B$123:$B$127, 0)), "Género no válido", "")), IF(OR(N229="", N229=""), "[Aviso] Temporada no capturada ()", IF(ISNA(MATCH(N229, Criterios!$C$123:$C$128, 0)), "Temporada no válida", "")), IF(OR(O229="", O229=""), "[Aviso] Ciclo de vida no capturado ()", IF(ISNA(MATCH(O229, Criterios!$D$123:$D$124, 0)), "Ciclo de vida no válido", ""))))</f>
        <v/>
      </c>
      <c r="AC229" s="56" t="n"/>
      <c r="AD229" s="51" t="n">
        <v>1</v>
      </c>
      <c r="AE229" s="156" t="inlineStr">
        <is>
          <t>PUNTO DE VENTA (1)</t>
        </is>
      </c>
      <c r="AF229" s="51" t="n">
        <v>1</v>
      </c>
      <c r="AG229" s="156" t="inlineStr">
        <is>
          <t>Catálogo existente</t>
        </is>
      </c>
      <c r="AH2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9" s="156" t="inlineStr">
        <is>
          <t>No</t>
        </is>
      </c>
      <c r="AJ229" s="156" t="n"/>
      <c r="AK229" s="155" t="inlineStr">
        <is>
          <t>Criterios: I [Q]; G1522_Extraccion_Articulos_NetSuite_2026-09-30.xlsx: fila 58801 [R] | Shopify Stetson: producto 15054563967339 / variante 53350545293675</t>
        </is>
      </c>
      <c r="AL229" s="58" t="n">
        <v>707</v>
      </c>
      <c r="AM229" s="58" t="n">
        <v>4051.724138</v>
      </c>
      <c r="AN229" s="155" t="inlineStr">
        <is>
          <t>Shopify Stetson México</t>
        </is>
      </c>
      <c r="AO229" s="59" t="n">
        <v>0</v>
      </c>
      <c r="AP229" s="59" t="n"/>
      <c r="AQ229" s="59" t="n"/>
      <c r="AR229" s="155" t="n"/>
    </row>
    <row r="230">
      <c r="A230" s="50" t="inlineStr">
        <is>
          <t>12020002101007029</t>
        </is>
      </c>
      <c r="B230" s="51" t="inlineStr">
        <is>
          <t>111127</t>
        </is>
      </c>
      <c r="C230" s="156" t="inlineStr">
        <is>
          <t>Multimarca</t>
        </is>
      </c>
      <c r="D230" s="156" t="inlineStr">
        <is>
          <t>12-020-BS002-10-1007</t>
        </is>
      </c>
      <c r="E230" s="156" t="inlineStr">
        <is>
          <t>12-020-BS002-10-1007-029</t>
        </is>
      </c>
      <c r="F230" s="156" t="inlineStr">
        <is>
          <t>29</t>
        </is>
      </c>
      <c r="G230" s="156" t="inlineStr">
        <is>
          <t>11</t>
        </is>
      </c>
      <c r="H230" s="156" t="inlineStr">
        <is>
          <t>Stetson</t>
        </is>
      </c>
      <c r="I230" s="156" t="inlineStr">
        <is>
          <t>Bota Gamuza Plomo</t>
        </is>
      </c>
      <c r="J230" s="156" t="inlineStr">
        <is>
          <t>Calzado</t>
        </is>
      </c>
      <c r="K230" s="156" t="inlineStr">
        <is>
          <t>Botas</t>
        </is>
      </c>
      <c r="L230" s="156" t="inlineStr">
        <is>
          <t>Hombre</t>
        </is>
      </c>
      <c r="M230" s="156" t="inlineStr">
        <is>
          <t>Stetson</t>
        </is>
      </c>
      <c r="N230" s="156" t="inlineStr">
        <is>
          <t>SS26</t>
        </is>
      </c>
      <c r="O230" s="156" t="inlineStr">
        <is>
          <t>Seasonal</t>
        </is>
      </c>
      <c r="P230" s="156" t="inlineStr">
        <is>
          <t>Gris</t>
        </is>
      </c>
      <c r="Q230" s="156" t="n"/>
      <c r="R230" s="156" t="inlineStr">
        <is>
          <t>Punta Redonda Ancha</t>
        </is>
      </c>
      <c r="S230" s="156" t="inlineStr">
        <is>
          <t>Gamuza</t>
        </is>
      </c>
      <c r="T230" s="156" t="inlineStr">
        <is>
          <t>Bota Caballero Gamuza Plomo Punta Redonda Ancha</t>
        </is>
      </c>
      <c r="U230" s="156" t="inlineStr">
        <is>
          <t>México</t>
        </is>
      </c>
      <c r="V230" s="156" t="inlineStr">
        <is>
          <t>PRS</t>
        </is>
      </c>
      <c r="W230" s="51" t="inlineStr">
        <is>
          <t>53111501</t>
        </is>
      </c>
      <c r="X230" s="156" t="n"/>
      <c r="Y230" s="54" t="n">
        <v>707</v>
      </c>
      <c r="Z230" s="54" t="n">
        <v>4051.724138</v>
      </c>
      <c r="AA230" s="55">
        <f>IF(AND(A230="", B230="", E230=""), "", IF(AB230="", "Válido", IF((LEN(AB230)-LEN(SUBSTITUTE(AB230,"; ","")))/2+1&gt;(LEN(AB230)-LEN(SUBSTITUTE(AB230,"[Aviso]","")))/7, "Con Incidencias", "Válido")))</f>
        <v/>
      </c>
      <c r="AB230" s="56">
        <f>IF(AND(A230="", B230="", E230=""), "", TEXTJOIN("; ", TRUE, IF(OR(TRIM(A230&amp;"")="", ISNUMBER(SEARCH("FALTA", A230))), "UPC faltante/inválido", ""), IF(AND(A230&lt;&gt;"", IFERROR(_xlfn.XMATCH(A230,$A$2:$A$2509,0,1)&lt;&gt;_xlfn.XMATCH(A230,$A$2:$A$2509,0,-1),FALSE)), "Código de barras duplicado", ""), IF(AND(E230&lt;&gt;"", COUNTIF($E$2:$E$2509, E230)&gt;1), "SKU duplicado", ""), IF(OR(J230="", J230=""), "[Aviso] División no capturada ()", IF(ISNA(MATCH(J230, Criterios!$A$123:$A$126, 0)), "División no válida", "")), IF(OR(K230="", K230=""), "[Aviso] Categoría no capturada ()", IF(ISNA(MATCH(K230, Criterios!$A$81:$A$120, 0)), "Categoría no válida", IF(AND(J230&lt;&gt;"", J230&lt;&gt;"", J230&lt;&gt;VLOOKUP(K230, Criterios!$A$81:$B$120, 2, FALSE)), "División no coincide con Categoría", ""))), IF(OR(L230="", L230=""), "[Aviso] Género no capturado ()", IF(ISNA(MATCH(L230, Criterios!$B$123:$B$127, 0)), "Género no válido", "")), IF(OR(N230="", N230=""), "[Aviso] Temporada no capturada ()", IF(ISNA(MATCH(N230, Criterios!$C$123:$C$128, 0)), "Temporada no válida", "")), IF(OR(O230="", O230=""), "[Aviso] Ciclo de vida no capturado ()", IF(ISNA(MATCH(O230, Criterios!$D$123:$D$124, 0)), "Ciclo de vida no válido", ""))))</f>
        <v/>
      </c>
      <c r="AC230" s="56" t="n"/>
      <c r="AD230" s="51" t="n">
        <v>0</v>
      </c>
      <c r="AE230" s="156" t="n"/>
      <c r="AF230" s="51" t="n">
        <v>0</v>
      </c>
      <c r="AG230" s="156" t="inlineStr">
        <is>
          <t>Catálogo existente</t>
        </is>
      </c>
      <c r="AH2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0" s="156" t="inlineStr">
        <is>
          <t>No</t>
        </is>
      </c>
      <c r="AJ230" s="156" t="n"/>
      <c r="AK230" s="155" t="inlineStr">
        <is>
          <t>Criterios: I [Q]; G1522_Extraccion_Articulos_NetSuite_2026-09-30.xlsx: fila 58802 [R] | Shopify Stetson: producto 15054563967339 / variante 53350545359211</t>
        </is>
      </c>
      <c r="AL230" s="58" t="n">
        <v>707</v>
      </c>
      <c r="AM230" s="58" t="n">
        <v>4051.724138</v>
      </c>
      <c r="AN230" s="155" t="inlineStr">
        <is>
          <t>Shopify Stetson México</t>
        </is>
      </c>
      <c r="AO230" s="59" t="n">
        <v>0</v>
      </c>
      <c r="AP230" s="59" t="n"/>
      <c r="AQ230" s="59" t="n"/>
      <c r="AR230" s="155" t="n"/>
    </row>
    <row r="231">
      <c r="A231" s="50" t="inlineStr">
        <is>
          <t>12020002101007030</t>
        </is>
      </c>
      <c r="B231" s="51" t="inlineStr">
        <is>
          <t>111128</t>
        </is>
      </c>
      <c r="C231" s="156" t="inlineStr">
        <is>
          <t>Multimarca</t>
        </is>
      </c>
      <c r="D231" s="156" t="inlineStr">
        <is>
          <t>12-020-BS002-10-1007</t>
        </is>
      </c>
      <c r="E231" s="156" t="inlineStr">
        <is>
          <t>12-020-BS002-10-1007-030</t>
        </is>
      </c>
      <c r="F231" s="156" t="inlineStr">
        <is>
          <t>30</t>
        </is>
      </c>
      <c r="G231" s="156" t="inlineStr">
        <is>
          <t>12</t>
        </is>
      </c>
      <c r="H231" s="156" t="inlineStr">
        <is>
          <t>Stetson</t>
        </is>
      </c>
      <c r="I231" s="156" t="inlineStr">
        <is>
          <t>Bota Gamuza Plomo</t>
        </is>
      </c>
      <c r="J231" s="156" t="inlineStr">
        <is>
          <t>Calzado</t>
        </is>
      </c>
      <c r="K231" s="156" t="inlineStr">
        <is>
          <t>Botas</t>
        </is>
      </c>
      <c r="L231" s="156" t="inlineStr">
        <is>
          <t>Hombre</t>
        </is>
      </c>
      <c r="M231" s="156" t="inlineStr">
        <is>
          <t>Stetson</t>
        </is>
      </c>
      <c r="N231" s="156" t="inlineStr">
        <is>
          <t>SS26</t>
        </is>
      </c>
      <c r="O231" s="156" t="inlineStr">
        <is>
          <t>Seasonal</t>
        </is>
      </c>
      <c r="P231" s="156" t="inlineStr">
        <is>
          <t>Gris</t>
        </is>
      </c>
      <c r="Q231" s="156" t="n"/>
      <c r="R231" s="156" t="inlineStr">
        <is>
          <t>Punta Redonda Ancha</t>
        </is>
      </c>
      <c r="S231" s="156" t="inlineStr">
        <is>
          <t>Gamuza</t>
        </is>
      </c>
      <c r="T231" s="156" t="inlineStr">
        <is>
          <t>Bota Caballero Gamuza Plomo Punta Redonda Ancha</t>
        </is>
      </c>
      <c r="U231" s="156" t="inlineStr">
        <is>
          <t>México</t>
        </is>
      </c>
      <c r="V231" s="156" t="inlineStr">
        <is>
          <t>PRS</t>
        </is>
      </c>
      <c r="W231" s="51" t="inlineStr">
        <is>
          <t>53111501</t>
        </is>
      </c>
      <c r="X231" s="156" t="n"/>
      <c r="Y231" s="54" t="n">
        <v>707</v>
      </c>
      <c r="Z231" s="54" t="n">
        <v>4051.724138</v>
      </c>
      <c r="AA231" s="55">
        <f>IF(AND(A231="", B231="", E231=""), "", IF(AB231="", "Válido", IF((LEN(AB231)-LEN(SUBSTITUTE(AB231,"; ","")))/2+1&gt;(LEN(AB231)-LEN(SUBSTITUTE(AB231,"[Aviso]","")))/7, "Con Incidencias", "Válido")))</f>
        <v/>
      </c>
      <c r="AB231" s="56">
        <f>IF(AND(A231="", B231="", E231=""), "", TEXTJOIN("; ", TRUE, IF(OR(TRIM(A231&amp;"")="", ISNUMBER(SEARCH("FALTA", A231))), "UPC faltante/inválido", ""), IF(AND(A231&lt;&gt;"", IFERROR(_xlfn.XMATCH(A231,$A$2:$A$2509,0,1)&lt;&gt;_xlfn.XMATCH(A231,$A$2:$A$2509,0,-1),FALSE)), "Código de barras duplicado", ""), IF(AND(E231&lt;&gt;"", COUNTIF($E$2:$E$2509, E231)&gt;1), "SKU duplicado", ""), IF(OR(J231="", J231=""), "[Aviso] División no capturada ()", IF(ISNA(MATCH(J231, Criterios!$A$123:$A$126, 0)), "División no válida", "")), IF(OR(K231="", K231=""), "[Aviso] Categoría no capturada ()", IF(ISNA(MATCH(K231, Criterios!$A$81:$A$120, 0)), "Categoría no válida", IF(AND(J231&lt;&gt;"", J231&lt;&gt;"", J231&lt;&gt;VLOOKUP(K231, Criterios!$A$81:$B$120, 2, FALSE)), "División no coincide con Categoría", ""))), IF(OR(L231="", L231=""), "[Aviso] Género no capturado ()", IF(ISNA(MATCH(L231, Criterios!$B$123:$B$127, 0)), "Género no válido", "")), IF(OR(N231="", N231=""), "[Aviso] Temporada no capturada ()", IF(ISNA(MATCH(N231, Criterios!$C$123:$C$128, 0)), "Temporada no válida", "")), IF(OR(O231="", O231=""), "[Aviso] Ciclo de vida no capturado ()", IF(ISNA(MATCH(O231, Criterios!$D$123:$D$124, 0)), "Ciclo de vida no válido", ""))))</f>
        <v/>
      </c>
      <c r="AC231" s="56" t="n"/>
      <c r="AD231" s="51" t="n">
        <v>0</v>
      </c>
      <c r="AE231" s="156" t="n"/>
      <c r="AF231" s="51" t="n">
        <v>0</v>
      </c>
      <c r="AG231" s="156" t="inlineStr">
        <is>
          <t>Catálogo existente</t>
        </is>
      </c>
      <c r="AH2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1" s="156" t="inlineStr">
        <is>
          <t>No</t>
        </is>
      </c>
      <c r="AJ231" s="156" t="n"/>
      <c r="AK231" s="155" t="inlineStr">
        <is>
          <t>Criterios: I [Q]; G1522_Extraccion_Articulos_NetSuite_2026-09-30.xlsx: fila 58803 [R] | Shopify Stetson: producto 15054563967339 / variante 53350545424747</t>
        </is>
      </c>
      <c r="AL231" s="58" t="n">
        <v>707</v>
      </c>
      <c r="AM231" s="58" t="n">
        <v>4051.724138</v>
      </c>
      <c r="AN231" s="155" t="inlineStr">
        <is>
          <t>Shopify Stetson México</t>
        </is>
      </c>
      <c r="AO231" s="59" t="n">
        <v>0</v>
      </c>
      <c r="AP231" s="59" t="n"/>
      <c r="AQ231" s="59" t="n"/>
      <c r="AR231" s="155" t="n"/>
    </row>
    <row r="232">
      <c r="A232" s="50" t="inlineStr">
        <is>
          <t>12020002101007031</t>
        </is>
      </c>
      <c r="B232" s="51" t="inlineStr">
        <is>
          <t>111129</t>
        </is>
      </c>
      <c r="C232" s="156" t="inlineStr">
        <is>
          <t>Multimarca</t>
        </is>
      </c>
      <c r="D232" s="156" t="inlineStr">
        <is>
          <t>12-020-BS002-10-1007</t>
        </is>
      </c>
      <c r="E232" s="156" t="inlineStr">
        <is>
          <t>12-020-BS002-10-1007-031</t>
        </is>
      </c>
      <c r="F232" s="156" t="inlineStr">
        <is>
          <t>31</t>
        </is>
      </c>
      <c r="G232" s="156" t="inlineStr">
        <is>
          <t>13</t>
        </is>
      </c>
      <c r="H232" s="156" t="inlineStr">
        <is>
          <t>Stetson</t>
        </is>
      </c>
      <c r="I232" s="156" t="inlineStr">
        <is>
          <t>Bota Gamuza Plomo</t>
        </is>
      </c>
      <c r="J232" s="156" t="inlineStr">
        <is>
          <t>Calzado</t>
        </is>
      </c>
      <c r="K232" s="156" t="inlineStr">
        <is>
          <t>Botas</t>
        </is>
      </c>
      <c r="L232" s="156" t="inlineStr">
        <is>
          <t>Hombre</t>
        </is>
      </c>
      <c r="M232" s="156" t="inlineStr">
        <is>
          <t>Stetson</t>
        </is>
      </c>
      <c r="N232" s="156" t="inlineStr">
        <is>
          <t>SS26</t>
        </is>
      </c>
      <c r="O232" s="156" t="inlineStr">
        <is>
          <t>Seasonal</t>
        </is>
      </c>
      <c r="P232" s="156" t="inlineStr">
        <is>
          <t>Gris</t>
        </is>
      </c>
      <c r="Q232" s="156" t="n"/>
      <c r="R232" s="156" t="inlineStr">
        <is>
          <t>Punta Redonda Ancha</t>
        </is>
      </c>
      <c r="S232" s="156" t="inlineStr">
        <is>
          <t>Gamuza</t>
        </is>
      </c>
      <c r="T232" s="156" t="inlineStr">
        <is>
          <t>Bota Caballero Gamuza Plomo Punta Redonda Ancha</t>
        </is>
      </c>
      <c r="U232" s="156" t="inlineStr">
        <is>
          <t>México</t>
        </is>
      </c>
      <c r="V232" s="156" t="inlineStr">
        <is>
          <t>PRS</t>
        </is>
      </c>
      <c r="W232" s="51" t="inlineStr">
        <is>
          <t>53111501</t>
        </is>
      </c>
      <c r="X232" s="156" t="n"/>
      <c r="Y232" s="54" t="n">
        <v>707</v>
      </c>
      <c r="Z232" s="54" t="n">
        <v>4051.724138</v>
      </c>
      <c r="AA232" s="55">
        <f>IF(AND(A232="", B232="", E232=""), "", IF(AB232="", "Válido", IF((LEN(AB232)-LEN(SUBSTITUTE(AB232,"; ","")))/2+1&gt;(LEN(AB232)-LEN(SUBSTITUTE(AB232,"[Aviso]","")))/7, "Con Incidencias", "Válido")))</f>
        <v/>
      </c>
      <c r="AB232" s="56">
        <f>IF(AND(A232="", B232="", E232=""), "", TEXTJOIN("; ", TRUE, IF(OR(TRIM(A232&amp;"")="", ISNUMBER(SEARCH("FALTA", A232))), "UPC faltante/inválido", ""), IF(AND(A232&lt;&gt;"", IFERROR(_xlfn.XMATCH(A232,$A$2:$A$2509,0,1)&lt;&gt;_xlfn.XMATCH(A232,$A$2:$A$2509,0,-1),FALSE)), "Código de barras duplicado", ""), IF(AND(E232&lt;&gt;"", COUNTIF($E$2:$E$2509, E232)&gt;1), "SKU duplicado", ""), IF(OR(J232="", J232=""), "[Aviso] División no capturada ()", IF(ISNA(MATCH(J232, Criterios!$A$123:$A$126, 0)), "División no válida", "")), IF(OR(K232="", K232=""), "[Aviso] Categoría no capturada ()", IF(ISNA(MATCH(K232, Criterios!$A$81:$A$120, 0)), "Categoría no válida", IF(AND(J232&lt;&gt;"", J232&lt;&gt;"", J232&lt;&gt;VLOOKUP(K232, Criterios!$A$81:$B$120, 2, FALSE)), "División no coincide con Categoría", ""))), IF(OR(L232="", L232=""), "[Aviso] Género no capturado ()", IF(ISNA(MATCH(L232, Criterios!$B$123:$B$127, 0)), "Género no válido", "")), IF(OR(N232="", N232=""), "[Aviso] Temporada no capturada ()", IF(ISNA(MATCH(N232, Criterios!$C$123:$C$128, 0)), "Temporada no válida", "")), IF(OR(O232="", O232=""), "[Aviso] Ciclo de vida no capturado ()", IF(ISNA(MATCH(O232, Criterios!$D$123:$D$124, 0)), "Ciclo de vida no válido", ""))))</f>
        <v/>
      </c>
      <c r="AC232" s="56" t="n"/>
      <c r="AD232" s="51" t="n">
        <v>0</v>
      </c>
      <c r="AE232" s="156" t="n"/>
      <c r="AF232" s="51" t="n">
        <v>0</v>
      </c>
      <c r="AG232" s="156" t="inlineStr">
        <is>
          <t>Catálogo existente</t>
        </is>
      </c>
      <c r="AH2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2" s="156" t="inlineStr">
        <is>
          <t>No</t>
        </is>
      </c>
      <c r="AJ232" s="156" t="n"/>
      <c r="AK232" s="155" t="inlineStr">
        <is>
          <t>Criterios: I [Q]; G1522_Extraccion_Articulos_NetSuite_2026-09-30.xlsx: fila 58804 [R] | Shopify Stetson: producto 15054563967339 / variante 53350545490283</t>
        </is>
      </c>
      <c r="AL232" s="58" t="n">
        <v>707</v>
      </c>
      <c r="AM232" s="58" t="n">
        <v>4051.724138</v>
      </c>
      <c r="AN232" s="155" t="inlineStr">
        <is>
          <t>Shopify Stetson México</t>
        </is>
      </c>
      <c r="AO232" s="59" t="n">
        <v>0</v>
      </c>
      <c r="AP232" s="59" t="n"/>
      <c r="AQ232" s="59" t="n"/>
      <c r="AR232" s="155" t="n"/>
    </row>
    <row r="233">
      <c r="A233" s="50" t="inlineStr">
        <is>
          <t>12020002101007032</t>
        </is>
      </c>
      <c r="B233" s="51" t="inlineStr">
        <is>
          <t>111130</t>
        </is>
      </c>
      <c r="C233" s="156" t="inlineStr">
        <is>
          <t>Multimarca</t>
        </is>
      </c>
      <c r="D233" s="156" t="inlineStr">
        <is>
          <t>12-020-BS002-10-1007</t>
        </is>
      </c>
      <c r="E233" s="156" t="inlineStr">
        <is>
          <t>12-020-BS002-10-1007-032</t>
        </is>
      </c>
      <c r="F233" s="156" t="inlineStr">
        <is>
          <t>32</t>
        </is>
      </c>
      <c r="G233" s="156" t="inlineStr">
        <is>
          <t>14</t>
        </is>
      </c>
      <c r="H233" s="156" t="inlineStr">
        <is>
          <t>Stetson</t>
        </is>
      </c>
      <c r="I233" s="156" t="inlineStr">
        <is>
          <t>Bota Gamuza Plomo</t>
        </is>
      </c>
      <c r="J233" s="156" t="inlineStr">
        <is>
          <t>Calzado</t>
        </is>
      </c>
      <c r="K233" s="156" t="inlineStr">
        <is>
          <t>Botas</t>
        </is>
      </c>
      <c r="L233" s="156" t="inlineStr">
        <is>
          <t>Hombre</t>
        </is>
      </c>
      <c r="M233" s="156" t="inlineStr">
        <is>
          <t>Stetson</t>
        </is>
      </c>
      <c r="N233" s="156" t="inlineStr">
        <is>
          <t>SS26</t>
        </is>
      </c>
      <c r="O233" s="156" t="inlineStr">
        <is>
          <t>Seasonal</t>
        </is>
      </c>
      <c r="P233" s="156" t="inlineStr">
        <is>
          <t>Gris</t>
        </is>
      </c>
      <c r="Q233" s="156" t="n"/>
      <c r="R233" s="156" t="inlineStr">
        <is>
          <t>Punta Redonda Ancha</t>
        </is>
      </c>
      <c r="S233" s="156" t="inlineStr">
        <is>
          <t>Gamuza</t>
        </is>
      </c>
      <c r="T233" s="156" t="inlineStr">
        <is>
          <t>Bota Caballero Gamuza Plomo Punta Redonda Ancha</t>
        </is>
      </c>
      <c r="U233" s="156" t="inlineStr">
        <is>
          <t>México</t>
        </is>
      </c>
      <c r="V233" s="156" t="inlineStr">
        <is>
          <t>PRS</t>
        </is>
      </c>
      <c r="W233" s="51" t="inlineStr">
        <is>
          <t>53111501</t>
        </is>
      </c>
      <c r="X233" s="156" t="n"/>
      <c r="Y233" s="54" t="n">
        <v>707</v>
      </c>
      <c r="Z233" s="54" t="n">
        <v>4051.724138</v>
      </c>
      <c r="AA233" s="55">
        <f>IF(AND(A233="", B233="", E233=""), "", IF(AB233="", "Válido", IF((LEN(AB233)-LEN(SUBSTITUTE(AB233,"; ","")))/2+1&gt;(LEN(AB233)-LEN(SUBSTITUTE(AB233,"[Aviso]","")))/7, "Con Incidencias", "Válido")))</f>
        <v/>
      </c>
      <c r="AB233" s="56">
        <f>IF(AND(A233="", B233="", E233=""), "", TEXTJOIN("; ", TRUE, IF(OR(TRIM(A233&amp;"")="", ISNUMBER(SEARCH("FALTA", A233))), "UPC faltante/inválido", ""), IF(AND(A233&lt;&gt;"", IFERROR(_xlfn.XMATCH(A233,$A$2:$A$2509,0,1)&lt;&gt;_xlfn.XMATCH(A233,$A$2:$A$2509,0,-1),FALSE)), "Código de barras duplicado", ""), IF(AND(E233&lt;&gt;"", COUNTIF($E$2:$E$2509, E233)&gt;1), "SKU duplicado", ""), IF(OR(J233="", J233=""), "[Aviso] División no capturada ()", IF(ISNA(MATCH(J233, Criterios!$A$123:$A$126, 0)), "División no válida", "")), IF(OR(K233="", K233=""), "[Aviso] Categoría no capturada ()", IF(ISNA(MATCH(K233, Criterios!$A$81:$A$120, 0)), "Categoría no válida", IF(AND(J233&lt;&gt;"", J233&lt;&gt;"", J233&lt;&gt;VLOOKUP(K233, Criterios!$A$81:$B$120, 2, FALSE)), "División no coincide con Categoría", ""))), IF(OR(L233="", L233=""), "[Aviso] Género no capturado ()", IF(ISNA(MATCH(L233, Criterios!$B$123:$B$127, 0)), "Género no válido", "")), IF(OR(N233="", N233=""), "[Aviso] Temporada no capturada ()", IF(ISNA(MATCH(N233, Criterios!$C$123:$C$128, 0)), "Temporada no válida", "")), IF(OR(O233="", O233=""), "[Aviso] Ciclo de vida no capturado ()", IF(ISNA(MATCH(O233, Criterios!$D$123:$D$124, 0)), "Ciclo de vida no válido", ""))))</f>
        <v/>
      </c>
      <c r="AC233" s="56" t="n"/>
      <c r="AD233" s="51" t="n">
        <v>0</v>
      </c>
      <c r="AE233" s="156" t="n"/>
      <c r="AF233" s="51" t="n">
        <v>0</v>
      </c>
      <c r="AG233" s="156" t="inlineStr">
        <is>
          <t>Catálogo existente</t>
        </is>
      </c>
      <c r="AH23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3" s="156" t="inlineStr">
        <is>
          <t>No</t>
        </is>
      </c>
      <c r="AJ233" s="156" t="n"/>
      <c r="AK233" s="155" t="inlineStr">
        <is>
          <t>Criterios: I [Q]; G1522_Extraccion_Articulos_NetSuite_2026-09-30.xlsx: fila 58805 [R] | Shopify Stetson: producto 15054563967339 / variante 53350545555819</t>
        </is>
      </c>
      <c r="AL233" s="58" t="n">
        <v>707</v>
      </c>
      <c r="AM233" s="58" t="n">
        <v>4051.724138</v>
      </c>
      <c r="AN233" s="155" t="inlineStr">
        <is>
          <t>Shopify Stetson México</t>
        </is>
      </c>
      <c r="AO233" s="59" t="n">
        <v>0</v>
      </c>
      <c r="AP233" s="59" t="n"/>
      <c r="AQ233" s="59" t="n"/>
      <c r="AR233" s="155" t="n"/>
    </row>
    <row r="234">
      <c r="A234" s="50" t="inlineStr">
        <is>
          <t>12020002101007255</t>
        </is>
      </c>
      <c r="B234" s="51" t="inlineStr">
        <is>
          <t>111131</t>
        </is>
      </c>
      <c r="C234" s="156" t="inlineStr">
        <is>
          <t>Multimarca</t>
        </is>
      </c>
      <c r="D234" s="156" t="inlineStr">
        <is>
          <t>12-020-BS002-10-1007</t>
        </is>
      </c>
      <c r="E234" s="156" t="inlineStr">
        <is>
          <t>12-020-BS002-10-1007-255</t>
        </is>
      </c>
      <c r="F234" s="156" t="inlineStr">
        <is>
          <t>25.5</t>
        </is>
      </c>
      <c r="G234" s="156" t="inlineStr">
        <is>
          <t>7.5</t>
        </is>
      </c>
      <c r="H234" s="156" t="inlineStr">
        <is>
          <t>Stetson</t>
        </is>
      </c>
      <c r="I234" s="156" t="inlineStr">
        <is>
          <t>Bota Gamuza Plomo</t>
        </is>
      </c>
      <c r="J234" s="156" t="inlineStr">
        <is>
          <t>Calzado</t>
        </is>
      </c>
      <c r="K234" s="156" t="inlineStr">
        <is>
          <t>Botas</t>
        </is>
      </c>
      <c r="L234" s="156" t="inlineStr">
        <is>
          <t>Hombre</t>
        </is>
      </c>
      <c r="M234" s="156" t="inlineStr">
        <is>
          <t>Stetson</t>
        </is>
      </c>
      <c r="N234" s="156" t="inlineStr">
        <is>
          <t>SS26</t>
        </is>
      </c>
      <c r="O234" s="156" t="inlineStr">
        <is>
          <t>Seasonal</t>
        </is>
      </c>
      <c r="P234" s="156" t="inlineStr">
        <is>
          <t>Gris</t>
        </is>
      </c>
      <c r="Q234" s="156" t="n"/>
      <c r="R234" s="156" t="inlineStr">
        <is>
          <t>Punta Redonda Ancha</t>
        </is>
      </c>
      <c r="S234" s="156" t="inlineStr">
        <is>
          <t>Gamuza</t>
        </is>
      </c>
      <c r="T234" s="156" t="inlineStr">
        <is>
          <t>Bota Caballero Gamuza Plomo Punta Redonda Ancha</t>
        </is>
      </c>
      <c r="U234" s="156" t="inlineStr">
        <is>
          <t>México</t>
        </is>
      </c>
      <c r="V234" s="156" t="inlineStr">
        <is>
          <t>PRS</t>
        </is>
      </c>
      <c r="W234" s="51" t="inlineStr">
        <is>
          <t>53111501</t>
        </is>
      </c>
      <c r="X234" s="156" t="n"/>
      <c r="Y234" s="54" t="n">
        <v>707</v>
      </c>
      <c r="Z234" s="54" t="n">
        <v>4051.724138</v>
      </c>
      <c r="AA234" s="55">
        <f>IF(AND(A234="", B234="", E234=""), "", IF(AB234="", "Válido", IF((LEN(AB234)-LEN(SUBSTITUTE(AB234,"; ","")))/2+1&gt;(LEN(AB234)-LEN(SUBSTITUTE(AB234,"[Aviso]","")))/7, "Con Incidencias", "Válido")))</f>
        <v/>
      </c>
      <c r="AB234" s="56">
        <f>IF(AND(A234="", B234="", E234=""), "", TEXTJOIN("; ", TRUE, IF(OR(TRIM(A234&amp;"")="", ISNUMBER(SEARCH("FALTA", A234))), "UPC faltante/inválido", ""), IF(AND(A234&lt;&gt;"", IFERROR(_xlfn.XMATCH(A234,$A$2:$A$2509,0,1)&lt;&gt;_xlfn.XMATCH(A234,$A$2:$A$2509,0,-1),FALSE)), "Código de barras duplicado", ""), IF(AND(E234&lt;&gt;"", COUNTIF($E$2:$E$2509, E234)&gt;1), "SKU duplicado", ""), IF(OR(J234="", J234=""), "[Aviso] División no capturada ()", IF(ISNA(MATCH(J234, Criterios!$A$123:$A$126, 0)), "División no válida", "")), IF(OR(K234="", K234=""), "[Aviso] Categoría no capturada ()", IF(ISNA(MATCH(K234, Criterios!$A$81:$A$120, 0)), "Categoría no válida", IF(AND(J234&lt;&gt;"", J234&lt;&gt;"", J234&lt;&gt;VLOOKUP(K234, Criterios!$A$81:$B$120, 2, FALSE)), "División no coincide con Categoría", ""))), IF(OR(L234="", L234=""), "[Aviso] Género no capturado ()", IF(ISNA(MATCH(L234, Criterios!$B$123:$B$127, 0)), "Género no válido", "")), IF(OR(N234="", N234=""), "[Aviso] Temporada no capturada ()", IF(ISNA(MATCH(N234, Criterios!$C$123:$C$128, 0)), "Temporada no válida", "")), IF(OR(O234="", O234=""), "[Aviso] Ciclo de vida no capturado ()", IF(ISNA(MATCH(O234, Criterios!$D$123:$D$124, 0)), "Ciclo de vida no válido", ""))))</f>
        <v/>
      </c>
      <c r="AC234" s="56" t="n"/>
      <c r="AD234" s="51" t="n">
        <v>0</v>
      </c>
      <c r="AE234" s="156" t="n"/>
      <c r="AF234" s="51" t="n">
        <v>0</v>
      </c>
      <c r="AG234" s="156" t="inlineStr">
        <is>
          <t>Catálogo existente</t>
        </is>
      </c>
      <c r="AH2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4" s="156" t="inlineStr">
        <is>
          <t>No</t>
        </is>
      </c>
      <c r="AJ234" s="156" t="n"/>
      <c r="AK234" s="155" t="inlineStr">
        <is>
          <t>Criterios: I [Q]; G1522_Extraccion_Articulos_NetSuite_2026-09-30.xlsx: fila 58806 [R] | Shopify Stetson: producto 15054563967339 / variante 53350545129835</t>
        </is>
      </c>
      <c r="AL234" s="58" t="n">
        <v>707</v>
      </c>
      <c r="AM234" s="58" t="n">
        <v>4051.724138</v>
      </c>
      <c r="AN234" s="155" t="inlineStr">
        <is>
          <t>Shopify Stetson México</t>
        </is>
      </c>
      <c r="AO234" s="59" t="n">
        <v>0</v>
      </c>
      <c r="AP234" s="59" t="n"/>
      <c r="AQ234" s="59" t="n"/>
      <c r="AR234" s="155" t="n"/>
    </row>
    <row r="235">
      <c r="A235" s="50" t="inlineStr">
        <is>
          <t>12020002101007265</t>
        </is>
      </c>
      <c r="B235" s="51" t="inlineStr">
        <is>
          <t>111132</t>
        </is>
      </c>
      <c r="C235" s="156" t="inlineStr">
        <is>
          <t>Multimarca</t>
        </is>
      </c>
      <c r="D235" s="156" t="inlineStr">
        <is>
          <t>12-020-BS002-10-1007</t>
        </is>
      </c>
      <c r="E235" s="156" t="inlineStr">
        <is>
          <t>12-020-BS002-10-1007-265</t>
        </is>
      </c>
      <c r="F235" s="156" t="inlineStr">
        <is>
          <t>26.5</t>
        </is>
      </c>
      <c r="G235" s="156" t="inlineStr">
        <is>
          <t>8.5</t>
        </is>
      </c>
      <c r="H235" s="156" t="inlineStr">
        <is>
          <t>Stetson</t>
        </is>
      </c>
      <c r="I235" s="156" t="inlineStr">
        <is>
          <t>Bota Gamuza Plomo</t>
        </is>
      </c>
      <c r="J235" s="156" t="inlineStr">
        <is>
          <t>Calzado</t>
        </is>
      </c>
      <c r="K235" s="156" t="inlineStr">
        <is>
          <t>Botas</t>
        </is>
      </c>
      <c r="L235" s="156" t="inlineStr">
        <is>
          <t>Hombre</t>
        </is>
      </c>
      <c r="M235" s="156" t="inlineStr">
        <is>
          <t>Stetson</t>
        </is>
      </c>
      <c r="N235" s="156" t="inlineStr">
        <is>
          <t>SS26</t>
        </is>
      </c>
      <c r="O235" s="156" t="inlineStr">
        <is>
          <t>Seasonal</t>
        </is>
      </c>
      <c r="P235" s="156" t="inlineStr">
        <is>
          <t>Gris</t>
        </is>
      </c>
      <c r="Q235" s="156" t="n"/>
      <c r="R235" s="156" t="inlineStr">
        <is>
          <t>Punta Redonda Ancha</t>
        </is>
      </c>
      <c r="S235" s="156" t="inlineStr">
        <is>
          <t>Gamuza</t>
        </is>
      </c>
      <c r="T235" s="156" t="inlineStr">
        <is>
          <t>Bota Caballero Gamuza Plomo Punta Redonda Ancha</t>
        </is>
      </c>
      <c r="U235" s="156" t="inlineStr">
        <is>
          <t>México</t>
        </is>
      </c>
      <c r="V235" s="156" t="inlineStr">
        <is>
          <t>PRS</t>
        </is>
      </c>
      <c r="W235" s="51" t="inlineStr">
        <is>
          <t>53111501</t>
        </is>
      </c>
      <c r="X235" s="156" t="n"/>
      <c r="Y235" s="54" t="n">
        <v>707</v>
      </c>
      <c r="Z235" s="54" t="n">
        <v>4051.724138</v>
      </c>
      <c r="AA235" s="55">
        <f>IF(AND(A235="", B235="", E235=""), "", IF(AB235="", "Válido", IF((LEN(AB235)-LEN(SUBSTITUTE(AB235,"; ","")))/2+1&gt;(LEN(AB235)-LEN(SUBSTITUTE(AB235,"[Aviso]","")))/7, "Con Incidencias", "Válido")))</f>
        <v/>
      </c>
      <c r="AB235" s="56">
        <f>IF(AND(A235="", B235="", E235=""), "", TEXTJOIN("; ", TRUE, IF(OR(TRIM(A235&amp;"")="", ISNUMBER(SEARCH("FALTA", A235))), "UPC faltante/inválido", ""), IF(AND(A235&lt;&gt;"", IFERROR(_xlfn.XMATCH(A235,$A$2:$A$2509,0,1)&lt;&gt;_xlfn.XMATCH(A235,$A$2:$A$2509,0,-1),FALSE)), "Código de barras duplicado", ""), IF(AND(E235&lt;&gt;"", COUNTIF($E$2:$E$2509, E235)&gt;1), "SKU duplicado", ""), IF(OR(J235="", J235=""), "[Aviso] División no capturada ()", IF(ISNA(MATCH(J235, Criterios!$A$123:$A$126, 0)), "División no válida", "")), IF(OR(K235="", K235=""), "[Aviso] Categoría no capturada ()", IF(ISNA(MATCH(K235, Criterios!$A$81:$A$120, 0)), "Categoría no válida", IF(AND(J235&lt;&gt;"", J235&lt;&gt;"", J235&lt;&gt;VLOOKUP(K235, Criterios!$A$81:$B$120, 2, FALSE)), "División no coincide con Categoría", ""))), IF(OR(L235="", L235=""), "[Aviso] Género no capturado ()", IF(ISNA(MATCH(L235, Criterios!$B$123:$B$127, 0)), "Género no válido", "")), IF(OR(N235="", N235=""), "[Aviso] Temporada no capturada ()", IF(ISNA(MATCH(N235, Criterios!$C$123:$C$128, 0)), "Temporada no válida", "")), IF(OR(O235="", O235=""), "[Aviso] Ciclo de vida no capturado ()", IF(ISNA(MATCH(O235, Criterios!$D$123:$D$124, 0)), "Ciclo de vida no válido", ""))))</f>
        <v/>
      </c>
      <c r="AC235" s="56" t="n"/>
      <c r="AD235" s="51" t="n">
        <v>0</v>
      </c>
      <c r="AE235" s="156" t="n"/>
      <c r="AF235" s="51" t="n">
        <v>0</v>
      </c>
      <c r="AG235" s="156" t="inlineStr">
        <is>
          <t>Catálogo existente</t>
        </is>
      </c>
      <c r="AH2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5" s="156" t="inlineStr">
        <is>
          <t>No</t>
        </is>
      </c>
      <c r="AJ235" s="156" t="n"/>
      <c r="AK235" s="155" t="inlineStr">
        <is>
          <t>Criterios: I [Q]; G1522_Extraccion_Articulos_NetSuite_2026-09-30.xlsx: fila 58807 [R] | Shopify Stetson: producto 15054563967339 / variante 53350545195371</t>
        </is>
      </c>
      <c r="AL235" s="58" t="n">
        <v>707</v>
      </c>
      <c r="AM235" s="58" t="n">
        <v>4051.724138</v>
      </c>
      <c r="AN235" s="155" t="inlineStr">
        <is>
          <t>Shopify Stetson México</t>
        </is>
      </c>
      <c r="AO235" s="59" t="n">
        <v>0</v>
      </c>
      <c r="AP235" s="59" t="n"/>
      <c r="AQ235" s="59" t="n"/>
      <c r="AR235" s="155" t="n"/>
    </row>
    <row r="236">
      <c r="A236" s="50" t="inlineStr">
        <is>
          <t>12020002101007275</t>
        </is>
      </c>
      <c r="B236" s="51" t="inlineStr">
        <is>
          <t>111133</t>
        </is>
      </c>
      <c r="C236" s="156" t="inlineStr">
        <is>
          <t>Multimarca</t>
        </is>
      </c>
      <c r="D236" s="156" t="inlineStr">
        <is>
          <t>12-020-BS002-10-1007</t>
        </is>
      </c>
      <c r="E236" s="156" t="inlineStr">
        <is>
          <t>12-020-BS002-10-1007-275</t>
        </is>
      </c>
      <c r="F236" s="156" t="inlineStr">
        <is>
          <t>27.5</t>
        </is>
      </c>
      <c r="G236" s="156" t="inlineStr">
        <is>
          <t>9.5</t>
        </is>
      </c>
      <c r="H236" s="156" t="inlineStr">
        <is>
          <t>Stetson</t>
        </is>
      </c>
      <c r="I236" s="156" t="inlineStr">
        <is>
          <t>Bota Gamuza Plomo</t>
        </is>
      </c>
      <c r="J236" s="156" t="inlineStr">
        <is>
          <t>Calzado</t>
        </is>
      </c>
      <c r="K236" s="156" t="inlineStr">
        <is>
          <t>Botas</t>
        </is>
      </c>
      <c r="L236" s="156" t="inlineStr">
        <is>
          <t>Hombre</t>
        </is>
      </c>
      <c r="M236" s="156" t="inlineStr">
        <is>
          <t>Stetson</t>
        </is>
      </c>
      <c r="N236" s="156" t="inlineStr">
        <is>
          <t>SS26</t>
        </is>
      </c>
      <c r="O236" s="156" t="inlineStr">
        <is>
          <t>Seasonal</t>
        </is>
      </c>
      <c r="P236" s="156" t="inlineStr">
        <is>
          <t>Gris</t>
        </is>
      </c>
      <c r="Q236" s="156" t="n"/>
      <c r="R236" s="156" t="inlineStr">
        <is>
          <t>Punta Redonda Ancha</t>
        </is>
      </c>
      <c r="S236" s="156" t="inlineStr">
        <is>
          <t>Gamuza</t>
        </is>
      </c>
      <c r="T236" s="156" t="inlineStr">
        <is>
          <t>Bota Caballero Gamuza Plomo Punta Redonda Ancha</t>
        </is>
      </c>
      <c r="U236" s="156" t="inlineStr">
        <is>
          <t>México</t>
        </is>
      </c>
      <c r="V236" s="156" t="inlineStr">
        <is>
          <t>PRS</t>
        </is>
      </c>
      <c r="W236" s="51" t="inlineStr">
        <is>
          <t>53111501</t>
        </is>
      </c>
      <c r="X236" s="156" t="n"/>
      <c r="Y236" s="54" t="n">
        <v>707</v>
      </c>
      <c r="Z236" s="54" t="n">
        <v>4051.724138</v>
      </c>
      <c r="AA236" s="55">
        <f>IF(AND(A236="", B236="", E236=""), "", IF(AB236="", "Válido", IF((LEN(AB236)-LEN(SUBSTITUTE(AB236,"; ","")))/2+1&gt;(LEN(AB236)-LEN(SUBSTITUTE(AB236,"[Aviso]","")))/7, "Con Incidencias", "Válido")))</f>
        <v/>
      </c>
      <c r="AB236" s="56">
        <f>IF(AND(A236="", B236="", E236=""), "", TEXTJOIN("; ", TRUE, IF(OR(TRIM(A236&amp;"")="", ISNUMBER(SEARCH("FALTA", A236))), "UPC faltante/inválido", ""), IF(AND(A236&lt;&gt;"", IFERROR(_xlfn.XMATCH(A236,$A$2:$A$2509,0,1)&lt;&gt;_xlfn.XMATCH(A236,$A$2:$A$2509,0,-1),FALSE)), "Código de barras duplicado", ""), IF(AND(E236&lt;&gt;"", COUNTIF($E$2:$E$2509, E236)&gt;1), "SKU duplicado", ""), IF(OR(J236="", J236=""), "[Aviso] División no capturada ()", IF(ISNA(MATCH(J236, Criterios!$A$123:$A$126, 0)), "División no válida", "")), IF(OR(K236="", K236=""), "[Aviso] Categoría no capturada ()", IF(ISNA(MATCH(K236, Criterios!$A$81:$A$120, 0)), "Categoría no válida", IF(AND(J236&lt;&gt;"", J236&lt;&gt;"", J236&lt;&gt;VLOOKUP(K236, Criterios!$A$81:$B$120, 2, FALSE)), "División no coincide con Categoría", ""))), IF(OR(L236="", L236=""), "[Aviso] Género no capturado ()", IF(ISNA(MATCH(L236, Criterios!$B$123:$B$127, 0)), "Género no válido", "")), IF(OR(N236="", N236=""), "[Aviso] Temporada no capturada ()", IF(ISNA(MATCH(N236, Criterios!$C$123:$C$128, 0)), "Temporada no válida", "")), IF(OR(O236="", O236=""), "[Aviso] Ciclo de vida no capturado ()", IF(ISNA(MATCH(O236, Criterios!$D$123:$D$124, 0)), "Ciclo de vida no válido", ""))))</f>
        <v/>
      </c>
      <c r="AC236" s="56" t="n"/>
      <c r="AD236" s="51" t="n">
        <v>1</v>
      </c>
      <c r="AE236" s="156" t="inlineStr">
        <is>
          <t>STETSON AMERICAS (1)</t>
        </is>
      </c>
      <c r="AF236" s="51" t="n">
        <v>1</v>
      </c>
      <c r="AG236" s="156" t="inlineStr">
        <is>
          <t>Catálogo existente</t>
        </is>
      </c>
      <c r="AH2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6" s="156" t="inlineStr">
        <is>
          <t>No</t>
        </is>
      </c>
      <c r="AJ236" s="156" t="n"/>
      <c r="AK236" s="155" t="inlineStr">
        <is>
          <t>Criterios: I [Q]; G1522_Extraccion_Articulos_NetSuite_2026-09-30.xlsx: fila 58808 [R] | Shopify Stetson: producto 15054563967339 / variante 53350545260907</t>
        </is>
      </c>
      <c r="AL236" s="58" t="n">
        <v>707</v>
      </c>
      <c r="AM236" s="58" t="n">
        <v>4051.724138</v>
      </c>
      <c r="AN236" s="155" t="inlineStr">
        <is>
          <t>Shopify Stetson México</t>
        </is>
      </c>
      <c r="AO236" s="59" t="n">
        <v>1</v>
      </c>
      <c r="AP236" s="59" t="n"/>
      <c r="AQ236" s="59" t="n"/>
      <c r="AR236" s="155" t="inlineStr">
        <is>
          <t>Shopify Stetson México › Stetson Americas: 1</t>
        </is>
      </c>
    </row>
    <row r="237">
      <c r="A237" s="50" t="inlineStr">
        <is>
          <t>12020002101007285</t>
        </is>
      </c>
      <c r="B237" s="51" t="inlineStr">
        <is>
          <t>111134</t>
        </is>
      </c>
      <c r="C237" s="156" t="inlineStr">
        <is>
          <t>Multimarca</t>
        </is>
      </c>
      <c r="D237" s="156" t="inlineStr">
        <is>
          <t>12-020-BS002-10-1007</t>
        </is>
      </c>
      <c r="E237" s="156" t="inlineStr">
        <is>
          <t>12-020-BS002-10-1007-285</t>
        </is>
      </c>
      <c r="F237" s="156" t="inlineStr">
        <is>
          <t>28.5</t>
        </is>
      </c>
      <c r="G237" s="156" t="inlineStr">
        <is>
          <t>10.5</t>
        </is>
      </c>
      <c r="H237" s="156" t="inlineStr">
        <is>
          <t>Stetson</t>
        </is>
      </c>
      <c r="I237" s="156" t="inlineStr">
        <is>
          <t>Bota Gamuza Plomo</t>
        </is>
      </c>
      <c r="J237" s="156" t="inlineStr">
        <is>
          <t>Calzado</t>
        </is>
      </c>
      <c r="K237" s="156" t="inlineStr">
        <is>
          <t>Botas</t>
        </is>
      </c>
      <c r="L237" s="156" t="inlineStr">
        <is>
          <t>Hombre</t>
        </is>
      </c>
      <c r="M237" s="156" t="inlineStr">
        <is>
          <t>Stetson</t>
        </is>
      </c>
      <c r="N237" s="156" t="inlineStr">
        <is>
          <t>SS26</t>
        </is>
      </c>
      <c r="O237" s="156" t="inlineStr">
        <is>
          <t>Seasonal</t>
        </is>
      </c>
      <c r="P237" s="156" t="inlineStr">
        <is>
          <t>Gris</t>
        </is>
      </c>
      <c r="Q237" s="156" t="n"/>
      <c r="R237" s="156" t="inlineStr">
        <is>
          <t>Punta Redonda Ancha</t>
        </is>
      </c>
      <c r="S237" s="156" t="inlineStr">
        <is>
          <t>Gamuza</t>
        </is>
      </c>
      <c r="T237" s="156" t="inlineStr">
        <is>
          <t>Bota Caballero Gamuza Plomo Punta Redonda Ancha</t>
        </is>
      </c>
      <c r="U237" s="156" t="inlineStr">
        <is>
          <t>México</t>
        </is>
      </c>
      <c r="V237" s="156" t="inlineStr">
        <is>
          <t>PRS</t>
        </is>
      </c>
      <c r="W237" s="51" t="inlineStr">
        <is>
          <t>53111501</t>
        </is>
      </c>
      <c r="X237" s="156" t="n"/>
      <c r="Y237" s="54" t="n">
        <v>707</v>
      </c>
      <c r="Z237" s="54" t="n">
        <v>4051.724138</v>
      </c>
      <c r="AA237" s="55">
        <f>IF(AND(A237="", B237="", E237=""), "", IF(AB237="", "Válido", IF((LEN(AB237)-LEN(SUBSTITUTE(AB237,"; ","")))/2+1&gt;(LEN(AB237)-LEN(SUBSTITUTE(AB237,"[Aviso]","")))/7, "Con Incidencias", "Válido")))</f>
        <v/>
      </c>
      <c r="AB237" s="56">
        <f>IF(AND(A237="", B237="", E237=""), "", TEXTJOIN("; ", TRUE, IF(OR(TRIM(A237&amp;"")="", ISNUMBER(SEARCH("FALTA", A237))), "UPC faltante/inválido", ""), IF(AND(A237&lt;&gt;"", IFERROR(_xlfn.XMATCH(A237,$A$2:$A$2509,0,1)&lt;&gt;_xlfn.XMATCH(A237,$A$2:$A$2509,0,-1),FALSE)), "Código de barras duplicado", ""), IF(AND(E237&lt;&gt;"", COUNTIF($E$2:$E$2509, E237)&gt;1), "SKU duplicado", ""), IF(OR(J237="", J237=""), "[Aviso] División no capturada ()", IF(ISNA(MATCH(J237, Criterios!$A$123:$A$126, 0)), "División no válida", "")), IF(OR(K237="", K237=""), "[Aviso] Categoría no capturada ()", IF(ISNA(MATCH(K237, Criterios!$A$81:$A$120, 0)), "Categoría no válida", IF(AND(J237&lt;&gt;"", J237&lt;&gt;"", J237&lt;&gt;VLOOKUP(K237, Criterios!$A$81:$B$120, 2, FALSE)), "División no coincide con Categoría", ""))), IF(OR(L237="", L237=""), "[Aviso] Género no capturado ()", IF(ISNA(MATCH(L237, Criterios!$B$123:$B$127, 0)), "Género no válido", "")), IF(OR(N237="", N237=""), "[Aviso] Temporada no capturada ()", IF(ISNA(MATCH(N237, Criterios!$C$123:$C$128, 0)), "Temporada no válida", "")), IF(OR(O237="", O237=""), "[Aviso] Ciclo de vida no capturado ()", IF(ISNA(MATCH(O237, Criterios!$D$123:$D$124, 0)), "Ciclo de vida no válido", ""))))</f>
        <v/>
      </c>
      <c r="AC237" s="56" t="n"/>
      <c r="AD237" s="51" t="n">
        <v>1</v>
      </c>
      <c r="AE237" s="156" t="inlineStr">
        <is>
          <t>STETSON AMERICAS (1)</t>
        </is>
      </c>
      <c r="AF237" s="51" t="n">
        <v>1</v>
      </c>
      <c r="AG237" s="156" t="inlineStr">
        <is>
          <t>Catálogo existente</t>
        </is>
      </c>
      <c r="AH2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7" s="156" t="inlineStr">
        <is>
          <t>No</t>
        </is>
      </c>
      <c r="AJ237" s="156" t="n"/>
      <c r="AK237" s="155" t="inlineStr">
        <is>
          <t>Criterios: I [Q]; G1522_Extraccion_Articulos_NetSuite_2026-09-30.xlsx: fila 58809 [R] | Shopify Stetson: producto 15054563967339 / variante 53350545326443</t>
        </is>
      </c>
      <c r="AL237" s="58" t="n">
        <v>707</v>
      </c>
      <c r="AM237" s="58" t="n">
        <v>4051.724138</v>
      </c>
      <c r="AN237" s="155" t="inlineStr">
        <is>
          <t>Shopify Stetson México</t>
        </is>
      </c>
      <c r="AO237" s="59" t="n">
        <v>1</v>
      </c>
      <c r="AP237" s="59" t="n"/>
      <c r="AQ237" s="59" t="n"/>
      <c r="AR237" s="155" t="inlineStr">
        <is>
          <t>Shopify Stetson México › Stetson Americas: 1</t>
        </is>
      </c>
    </row>
    <row r="238">
      <c r="A238" s="50" t="inlineStr">
        <is>
          <t>12020002101007295</t>
        </is>
      </c>
      <c r="B238" s="51" t="inlineStr">
        <is>
          <t>111135</t>
        </is>
      </c>
      <c r="C238" s="156" t="inlineStr">
        <is>
          <t>Multimarca</t>
        </is>
      </c>
      <c r="D238" s="156" t="inlineStr">
        <is>
          <t>12-020-BS002-10-1007</t>
        </is>
      </c>
      <c r="E238" s="156" t="inlineStr">
        <is>
          <t>12-020-BS002-10-1007-295</t>
        </is>
      </c>
      <c r="F238" s="156" t="inlineStr">
        <is>
          <t>29.5</t>
        </is>
      </c>
      <c r="G238" s="156" t="inlineStr">
        <is>
          <t>11.5</t>
        </is>
      </c>
      <c r="H238" s="156" t="inlineStr">
        <is>
          <t>Stetson</t>
        </is>
      </c>
      <c r="I238" s="156" t="inlineStr">
        <is>
          <t>Bota Gamuza Plomo</t>
        </is>
      </c>
      <c r="J238" s="156" t="inlineStr">
        <is>
          <t>Calzado</t>
        </is>
      </c>
      <c r="K238" s="156" t="inlineStr">
        <is>
          <t>Botas</t>
        </is>
      </c>
      <c r="L238" s="156" t="inlineStr">
        <is>
          <t>Hombre</t>
        </is>
      </c>
      <c r="M238" s="156" t="inlineStr">
        <is>
          <t>Stetson</t>
        </is>
      </c>
      <c r="N238" s="156" t="inlineStr">
        <is>
          <t>SS26</t>
        </is>
      </c>
      <c r="O238" s="156" t="inlineStr">
        <is>
          <t>Seasonal</t>
        </is>
      </c>
      <c r="P238" s="156" t="inlineStr">
        <is>
          <t>Gris</t>
        </is>
      </c>
      <c r="Q238" s="156" t="n"/>
      <c r="R238" s="156" t="inlineStr">
        <is>
          <t>Punta Redonda Ancha</t>
        </is>
      </c>
      <c r="S238" s="156" t="inlineStr">
        <is>
          <t>Gamuza</t>
        </is>
      </c>
      <c r="T238" s="156" t="inlineStr">
        <is>
          <t>Bota Caballero Gamuza Plomo Punta Redonda Ancha</t>
        </is>
      </c>
      <c r="U238" s="156" t="inlineStr">
        <is>
          <t>México</t>
        </is>
      </c>
      <c r="V238" s="156" t="inlineStr">
        <is>
          <t>PRS</t>
        </is>
      </c>
      <c r="W238" s="51" t="inlineStr">
        <is>
          <t>53111501</t>
        </is>
      </c>
      <c r="X238" s="156" t="n"/>
      <c r="Y238" s="54" t="n">
        <v>707</v>
      </c>
      <c r="Z238" s="54" t="n">
        <v>4051.724138</v>
      </c>
      <c r="AA238" s="55">
        <f>IF(AND(A238="", B238="", E238=""), "", IF(AB238="", "Válido", IF((LEN(AB238)-LEN(SUBSTITUTE(AB238,"; ","")))/2+1&gt;(LEN(AB238)-LEN(SUBSTITUTE(AB238,"[Aviso]","")))/7, "Con Incidencias", "Válido")))</f>
        <v/>
      </c>
      <c r="AB238" s="56">
        <f>IF(AND(A238="", B238="", E238=""), "", TEXTJOIN("; ", TRUE, IF(OR(TRIM(A238&amp;"")="", ISNUMBER(SEARCH("FALTA", A238))), "UPC faltante/inválido", ""), IF(AND(A238&lt;&gt;"", IFERROR(_xlfn.XMATCH(A238,$A$2:$A$2509,0,1)&lt;&gt;_xlfn.XMATCH(A238,$A$2:$A$2509,0,-1),FALSE)), "Código de barras duplicado", ""), IF(AND(E238&lt;&gt;"", COUNTIF($E$2:$E$2509, E238)&gt;1), "SKU duplicado", ""), IF(OR(J238="", J238=""), "[Aviso] División no capturada ()", IF(ISNA(MATCH(J238, Criterios!$A$123:$A$126, 0)), "División no válida", "")), IF(OR(K238="", K238=""), "[Aviso] Categoría no capturada ()", IF(ISNA(MATCH(K238, Criterios!$A$81:$A$120, 0)), "Categoría no válida", IF(AND(J238&lt;&gt;"", J238&lt;&gt;"", J238&lt;&gt;VLOOKUP(K238, Criterios!$A$81:$B$120, 2, FALSE)), "División no coincide con Categoría", ""))), IF(OR(L238="", L238=""), "[Aviso] Género no capturado ()", IF(ISNA(MATCH(L238, Criterios!$B$123:$B$127, 0)), "Género no válido", "")), IF(OR(N238="", N238=""), "[Aviso] Temporada no capturada ()", IF(ISNA(MATCH(N238, Criterios!$C$123:$C$128, 0)), "Temporada no válida", "")), IF(OR(O238="", O238=""), "[Aviso] Ciclo de vida no capturado ()", IF(ISNA(MATCH(O238, Criterios!$D$123:$D$124, 0)), "Ciclo de vida no válido", ""))))</f>
        <v/>
      </c>
      <c r="AC238" s="56" t="n"/>
      <c r="AD238" s="51" t="n">
        <v>0</v>
      </c>
      <c r="AE238" s="156" t="n"/>
      <c r="AF238" s="51" t="n">
        <v>0</v>
      </c>
      <c r="AG238" s="156" t="inlineStr">
        <is>
          <t>Catálogo existente</t>
        </is>
      </c>
      <c r="AH2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8" s="156" t="inlineStr">
        <is>
          <t>No</t>
        </is>
      </c>
      <c r="AJ238" s="156" t="n"/>
      <c r="AK238" s="155" t="inlineStr">
        <is>
          <t>Criterios: I [Q]; G1522_Extraccion_Articulos_NetSuite_2026-09-30.xlsx: fila 58810 [R] | Shopify Stetson: producto 15054563967339 / variante 53350545391979</t>
        </is>
      </c>
      <c r="AL238" s="58" t="n">
        <v>707</v>
      </c>
      <c r="AM238" s="58" t="n">
        <v>4051.724138</v>
      </c>
      <c r="AN238" s="155" t="inlineStr">
        <is>
          <t>Shopify Stetson México</t>
        </is>
      </c>
      <c r="AO238" s="59" t="n">
        <v>0</v>
      </c>
      <c r="AP238" s="59" t="n"/>
      <c r="AQ238" s="59" t="n"/>
      <c r="AR238" s="155" t="n"/>
    </row>
    <row r="239">
      <c r="A239" s="50" t="inlineStr">
        <is>
          <t>12020002101007305</t>
        </is>
      </c>
      <c r="B239" s="51" t="inlineStr">
        <is>
          <t>111136</t>
        </is>
      </c>
      <c r="C239" s="156" t="inlineStr">
        <is>
          <t>Multimarca</t>
        </is>
      </c>
      <c r="D239" s="156" t="inlineStr">
        <is>
          <t>12-020-BS002-10-1007</t>
        </is>
      </c>
      <c r="E239" s="156" t="inlineStr">
        <is>
          <t>12-020-BS002-10-1007-305</t>
        </is>
      </c>
      <c r="F239" s="156" t="inlineStr">
        <is>
          <t>30.5</t>
        </is>
      </c>
      <c r="G239" s="156" t="inlineStr">
        <is>
          <t>12.5</t>
        </is>
      </c>
      <c r="H239" s="156" t="inlineStr">
        <is>
          <t>Stetson</t>
        </is>
      </c>
      <c r="I239" s="156" t="inlineStr">
        <is>
          <t>Bota Gamuza Plomo</t>
        </is>
      </c>
      <c r="J239" s="156" t="inlineStr">
        <is>
          <t>Calzado</t>
        </is>
      </c>
      <c r="K239" s="156" t="inlineStr">
        <is>
          <t>Botas</t>
        </is>
      </c>
      <c r="L239" s="156" t="inlineStr">
        <is>
          <t>Hombre</t>
        </is>
      </c>
      <c r="M239" s="156" t="inlineStr">
        <is>
          <t>Stetson</t>
        </is>
      </c>
      <c r="N239" s="156" t="inlineStr">
        <is>
          <t>SS26</t>
        </is>
      </c>
      <c r="O239" s="156" t="inlineStr">
        <is>
          <t>Seasonal</t>
        </is>
      </c>
      <c r="P239" s="156" t="inlineStr">
        <is>
          <t>Gris</t>
        </is>
      </c>
      <c r="Q239" s="156" t="n"/>
      <c r="R239" s="156" t="inlineStr">
        <is>
          <t>Punta Redonda Ancha</t>
        </is>
      </c>
      <c r="S239" s="156" t="inlineStr">
        <is>
          <t>Gamuza</t>
        </is>
      </c>
      <c r="T239" s="156" t="inlineStr">
        <is>
          <t>Bota Caballero Gamuza Plomo Punta Redonda Ancha</t>
        </is>
      </c>
      <c r="U239" s="156" t="inlineStr">
        <is>
          <t>México</t>
        </is>
      </c>
      <c r="V239" s="156" t="inlineStr">
        <is>
          <t>PRS</t>
        </is>
      </c>
      <c r="W239" s="51" t="inlineStr">
        <is>
          <t>53111501</t>
        </is>
      </c>
      <c r="X239" s="156" t="n"/>
      <c r="Y239" s="54" t="n">
        <v>707</v>
      </c>
      <c r="Z239" s="54" t="n">
        <v>4051.724138</v>
      </c>
      <c r="AA239" s="55">
        <f>IF(AND(A239="", B239="", E239=""), "", IF(AB239="", "Válido", IF((LEN(AB239)-LEN(SUBSTITUTE(AB239,"; ","")))/2+1&gt;(LEN(AB239)-LEN(SUBSTITUTE(AB239,"[Aviso]","")))/7, "Con Incidencias", "Válido")))</f>
        <v/>
      </c>
      <c r="AB239" s="56">
        <f>IF(AND(A239="", B239="", E239=""), "", TEXTJOIN("; ", TRUE, IF(OR(TRIM(A239&amp;"")="", ISNUMBER(SEARCH("FALTA", A239))), "UPC faltante/inválido", ""), IF(AND(A239&lt;&gt;"", IFERROR(_xlfn.XMATCH(A239,$A$2:$A$2509,0,1)&lt;&gt;_xlfn.XMATCH(A239,$A$2:$A$2509,0,-1),FALSE)), "Código de barras duplicado", ""), IF(AND(E239&lt;&gt;"", COUNTIF($E$2:$E$2509, E239)&gt;1), "SKU duplicado", ""), IF(OR(J239="", J239=""), "[Aviso] División no capturada ()", IF(ISNA(MATCH(J239, Criterios!$A$123:$A$126, 0)), "División no válida", "")), IF(OR(K239="", K239=""), "[Aviso] Categoría no capturada ()", IF(ISNA(MATCH(K239, Criterios!$A$81:$A$120, 0)), "Categoría no válida", IF(AND(J239&lt;&gt;"", J239&lt;&gt;"", J239&lt;&gt;VLOOKUP(K239, Criterios!$A$81:$B$120, 2, FALSE)), "División no coincide con Categoría", ""))), IF(OR(L239="", L239=""), "[Aviso] Género no capturado ()", IF(ISNA(MATCH(L239, Criterios!$B$123:$B$127, 0)), "Género no válido", "")), IF(OR(N239="", N239=""), "[Aviso] Temporada no capturada ()", IF(ISNA(MATCH(N239, Criterios!$C$123:$C$128, 0)), "Temporada no válida", "")), IF(OR(O239="", O239=""), "[Aviso] Ciclo de vida no capturado ()", IF(ISNA(MATCH(O239, Criterios!$D$123:$D$124, 0)), "Ciclo de vida no válido", ""))))</f>
        <v/>
      </c>
      <c r="AC239" s="56" t="n"/>
      <c r="AD239" s="51" t="n">
        <v>1</v>
      </c>
      <c r="AE239" s="156" t="inlineStr">
        <is>
          <t>STETSON AMERICAS (1)</t>
        </is>
      </c>
      <c r="AF239" s="51" t="n">
        <v>1</v>
      </c>
      <c r="AG239" s="156" t="inlineStr">
        <is>
          <t>Catálogo existente</t>
        </is>
      </c>
      <c r="AH2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39" s="156" t="inlineStr">
        <is>
          <t>No</t>
        </is>
      </c>
      <c r="AJ239" s="156" t="n"/>
      <c r="AK239" s="155" t="inlineStr">
        <is>
          <t>Criterios: I [Q]; G1522_Extraccion_Articulos_NetSuite_2026-09-30.xlsx: fila 58811 [R] | Shopify Stetson: producto 15054563967339 / variante 53350545457515</t>
        </is>
      </c>
      <c r="AL239" s="58" t="n">
        <v>707</v>
      </c>
      <c r="AM239" s="58" t="n">
        <v>4051.724138</v>
      </c>
      <c r="AN239" s="155" t="inlineStr">
        <is>
          <t>Shopify Stetson México</t>
        </is>
      </c>
      <c r="AO239" s="59" t="n">
        <v>1</v>
      </c>
      <c r="AP239" s="59" t="n"/>
      <c r="AQ239" s="59" t="n"/>
      <c r="AR239" s="155" t="inlineStr">
        <is>
          <t>Shopify Stetson México › Stetson Americas: 1</t>
        </is>
      </c>
    </row>
    <row r="240">
      <c r="A240" s="50" t="inlineStr">
        <is>
          <t>12020002101007315</t>
        </is>
      </c>
      <c r="B240" s="51" t="inlineStr">
        <is>
          <t>111137</t>
        </is>
      </c>
      <c r="C240" s="156" t="inlineStr">
        <is>
          <t>Multimarca</t>
        </is>
      </c>
      <c r="D240" s="156" t="inlineStr">
        <is>
          <t>12-020-BS002-10-1007</t>
        </is>
      </c>
      <c r="E240" s="156" t="inlineStr">
        <is>
          <t>12-020-BS002-10-1007-315</t>
        </is>
      </c>
      <c r="F240" s="156" t="inlineStr">
        <is>
          <t>31.5</t>
        </is>
      </c>
      <c r="G240" s="156" t="inlineStr">
        <is>
          <t>13.5</t>
        </is>
      </c>
      <c r="H240" s="156" t="inlineStr">
        <is>
          <t>Stetson</t>
        </is>
      </c>
      <c r="I240" s="156" t="inlineStr">
        <is>
          <t>Bota Gamuza Plomo</t>
        </is>
      </c>
      <c r="J240" s="156" t="inlineStr">
        <is>
          <t>Calzado</t>
        </is>
      </c>
      <c r="K240" s="156" t="inlineStr">
        <is>
          <t>Botas</t>
        </is>
      </c>
      <c r="L240" s="156" t="inlineStr">
        <is>
          <t>Hombre</t>
        </is>
      </c>
      <c r="M240" s="156" t="inlineStr">
        <is>
          <t>Stetson</t>
        </is>
      </c>
      <c r="N240" s="156" t="inlineStr">
        <is>
          <t>SS26</t>
        </is>
      </c>
      <c r="O240" s="156" t="inlineStr">
        <is>
          <t>Seasonal</t>
        </is>
      </c>
      <c r="P240" s="156" t="inlineStr">
        <is>
          <t>Gris</t>
        </is>
      </c>
      <c r="Q240" s="156" t="n"/>
      <c r="R240" s="156" t="inlineStr">
        <is>
          <t>Punta Redonda Ancha</t>
        </is>
      </c>
      <c r="S240" s="156" t="inlineStr">
        <is>
          <t>Gamuza</t>
        </is>
      </c>
      <c r="T240" s="156" t="inlineStr">
        <is>
          <t>Bota Caballero Gamuza Plomo Punta Redonda Ancha</t>
        </is>
      </c>
      <c r="U240" s="156" t="inlineStr">
        <is>
          <t>México</t>
        </is>
      </c>
      <c r="V240" s="156" t="inlineStr">
        <is>
          <t>PRS</t>
        </is>
      </c>
      <c r="W240" s="51" t="inlineStr">
        <is>
          <t>53111501</t>
        </is>
      </c>
      <c r="X240" s="156" t="n"/>
      <c r="Y240" s="54" t="n">
        <v>707</v>
      </c>
      <c r="Z240" s="54" t="n">
        <v>4051.724138</v>
      </c>
      <c r="AA240" s="55">
        <f>IF(AND(A240="", B240="", E240=""), "", IF(AB240="", "Válido", IF((LEN(AB240)-LEN(SUBSTITUTE(AB240,"; ","")))/2+1&gt;(LEN(AB240)-LEN(SUBSTITUTE(AB240,"[Aviso]","")))/7, "Con Incidencias", "Válido")))</f>
        <v/>
      </c>
      <c r="AB240" s="56">
        <f>IF(AND(A240="", B240="", E240=""), "", TEXTJOIN("; ", TRUE, IF(OR(TRIM(A240&amp;"")="", ISNUMBER(SEARCH("FALTA", A240))), "UPC faltante/inválido", ""), IF(AND(A240&lt;&gt;"", IFERROR(_xlfn.XMATCH(A240,$A$2:$A$2509,0,1)&lt;&gt;_xlfn.XMATCH(A240,$A$2:$A$2509,0,-1),FALSE)), "Código de barras duplicado", ""), IF(AND(E240&lt;&gt;"", COUNTIF($E$2:$E$2509, E240)&gt;1), "SKU duplicado", ""), IF(OR(J240="", J240=""), "[Aviso] División no capturada ()", IF(ISNA(MATCH(J240, Criterios!$A$123:$A$126, 0)), "División no válida", "")), IF(OR(K240="", K240=""), "[Aviso] Categoría no capturada ()", IF(ISNA(MATCH(K240, Criterios!$A$81:$A$120, 0)), "Categoría no válida", IF(AND(J240&lt;&gt;"", J240&lt;&gt;"", J240&lt;&gt;VLOOKUP(K240, Criterios!$A$81:$B$120, 2, FALSE)), "División no coincide con Categoría", ""))), IF(OR(L240="", L240=""), "[Aviso] Género no capturado ()", IF(ISNA(MATCH(L240, Criterios!$B$123:$B$127, 0)), "Género no válido", "")), IF(OR(N240="", N240=""), "[Aviso] Temporada no capturada ()", IF(ISNA(MATCH(N240, Criterios!$C$123:$C$128, 0)), "Temporada no válida", "")), IF(OR(O240="", O240=""), "[Aviso] Ciclo de vida no capturado ()", IF(ISNA(MATCH(O240, Criterios!$D$123:$D$124, 0)), "Ciclo de vida no válido", ""))))</f>
        <v/>
      </c>
      <c r="AC240" s="56" t="n"/>
      <c r="AD240" s="51" t="n">
        <v>0</v>
      </c>
      <c r="AE240" s="156" t="n"/>
      <c r="AF240" s="51" t="n">
        <v>0</v>
      </c>
      <c r="AG240" s="156" t="inlineStr">
        <is>
          <t>Catálogo existente</t>
        </is>
      </c>
      <c r="AH2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0" s="156" t="inlineStr">
        <is>
          <t>No</t>
        </is>
      </c>
      <c r="AJ240" s="156" t="n"/>
      <c r="AK240" s="155" t="inlineStr">
        <is>
          <t>Criterios: I [Q]; G1522_Extraccion_Articulos_NetSuite_2026-09-30.xlsx: fila 58812 [R] | Shopify Stetson: producto 15054563967339 / variante 53350545523051</t>
        </is>
      </c>
      <c r="AL240" s="58" t="n">
        <v>707</v>
      </c>
      <c r="AM240" s="58" t="n">
        <v>4051.724138</v>
      </c>
      <c r="AN240" s="155" t="inlineStr">
        <is>
          <t>Shopify Stetson México</t>
        </is>
      </c>
      <c r="AO240" s="59" t="n">
        <v>0</v>
      </c>
      <c r="AP240" s="59" t="n"/>
      <c r="AQ240" s="59" t="n"/>
      <c r="AR240" s="155" t="n"/>
    </row>
    <row r="241">
      <c r="A241" s="50" t="inlineStr">
        <is>
          <t>12020002101007325</t>
        </is>
      </c>
      <c r="B241" s="51" t="inlineStr">
        <is>
          <t>111138</t>
        </is>
      </c>
      <c r="C241" s="156" t="inlineStr">
        <is>
          <t>Multimarca</t>
        </is>
      </c>
      <c r="D241" s="156" t="inlineStr">
        <is>
          <t>12-020-BS002-10-1007</t>
        </is>
      </c>
      <c r="E241" s="156" t="inlineStr">
        <is>
          <t>12-020-BS002-10-1007-325</t>
        </is>
      </c>
      <c r="F241" s="156" t="inlineStr">
        <is>
          <t>32.5</t>
        </is>
      </c>
      <c r="G241" s="156" t="inlineStr">
        <is>
          <t>14.5</t>
        </is>
      </c>
      <c r="H241" s="156" t="inlineStr">
        <is>
          <t>Stetson</t>
        </is>
      </c>
      <c r="I241" s="156" t="inlineStr">
        <is>
          <t>Bota Gamuza Plomo</t>
        </is>
      </c>
      <c r="J241" s="156" t="inlineStr">
        <is>
          <t>Calzado</t>
        </is>
      </c>
      <c r="K241" s="156" t="inlineStr">
        <is>
          <t>Botas</t>
        </is>
      </c>
      <c r="L241" s="156" t="inlineStr">
        <is>
          <t>Hombre</t>
        </is>
      </c>
      <c r="M241" s="156" t="inlineStr">
        <is>
          <t>Stetson</t>
        </is>
      </c>
      <c r="N241" s="156" t="inlineStr">
        <is>
          <t>SS26</t>
        </is>
      </c>
      <c r="O241" s="156" t="inlineStr">
        <is>
          <t>Seasonal</t>
        </is>
      </c>
      <c r="P241" s="156" t="inlineStr">
        <is>
          <t>Gris</t>
        </is>
      </c>
      <c r="Q241" s="156" t="n"/>
      <c r="R241" s="156" t="inlineStr">
        <is>
          <t>Punta Redonda Ancha</t>
        </is>
      </c>
      <c r="S241" s="156" t="inlineStr">
        <is>
          <t>Gamuza</t>
        </is>
      </c>
      <c r="T241" s="156" t="inlineStr">
        <is>
          <t>Bota Caballero Gamuza Plomo Punta Redonda Ancha</t>
        </is>
      </c>
      <c r="U241" s="156" t="inlineStr">
        <is>
          <t>México</t>
        </is>
      </c>
      <c r="V241" s="156" t="inlineStr">
        <is>
          <t>PRS</t>
        </is>
      </c>
      <c r="W241" s="51" t="inlineStr">
        <is>
          <t>53111501</t>
        </is>
      </c>
      <c r="X241" s="156" t="n"/>
      <c r="Y241" s="54" t="n">
        <v>707</v>
      </c>
      <c r="Z241" s="54" t="n">
        <v>4051.724138</v>
      </c>
      <c r="AA241" s="55">
        <f>IF(AND(A241="", B241="", E241=""), "", IF(AB241="", "Válido", IF((LEN(AB241)-LEN(SUBSTITUTE(AB241,"; ","")))/2+1&gt;(LEN(AB241)-LEN(SUBSTITUTE(AB241,"[Aviso]","")))/7, "Con Incidencias", "Válido")))</f>
        <v/>
      </c>
      <c r="AB241" s="56">
        <f>IF(AND(A241="", B241="", E241=""), "", TEXTJOIN("; ", TRUE, IF(OR(TRIM(A241&amp;"")="", ISNUMBER(SEARCH("FALTA", A241))), "UPC faltante/inválido", ""), IF(AND(A241&lt;&gt;"", IFERROR(_xlfn.XMATCH(A241,$A$2:$A$2509,0,1)&lt;&gt;_xlfn.XMATCH(A241,$A$2:$A$2509,0,-1),FALSE)), "Código de barras duplicado", ""), IF(AND(E241&lt;&gt;"", COUNTIF($E$2:$E$2509, E241)&gt;1), "SKU duplicado", ""), IF(OR(J241="", J241=""), "[Aviso] División no capturada ()", IF(ISNA(MATCH(J241, Criterios!$A$123:$A$126, 0)), "División no válida", "")), IF(OR(K241="", K241=""), "[Aviso] Categoría no capturada ()", IF(ISNA(MATCH(K241, Criterios!$A$81:$A$120, 0)), "Categoría no válida", IF(AND(J241&lt;&gt;"", J241&lt;&gt;"", J241&lt;&gt;VLOOKUP(K241, Criterios!$A$81:$B$120, 2, FALSE)), "División no coincide con Categoría", ""))), IF(OR(L241="", L241=""), "[Aviso] Género no capturado ()", IF(ISNA(MATCH(L241, Criterios!$B$123:$B$127, 0)), "Género no válido", "")), IF(OR(N241="", N241=""), "[Aviso] Temporada no capturada ()", IF(ISNA(MATCH(N241, Criterios!$C$123:$C$128, 0)), "Temporada no válida", "")), IF(OR(O241="", O241=""), "[Aviso] Ciclo de vida no capturado ()", IF(ISNA(MATCH(O241, Criterios!$D$123:$D$124, 0)), "Ciclo de vida no válido", ""))))</f>
        <v/>
      </c>
      <c r="AC241" s="56" t="n"/>
      <c r="AD241" s="51" t="n">
        <v>0</v>
      </c>
      <c r="AE241" s="156" t="n"/>
      <c r="AF241" s="51" t="n">
        <v>0</v>
      </c>
      <c r="AG241" s="156" t="inlineStr">
        <is>
          <t>Catálogo existente</t>
        </is>
      </c>
      <c r="AH2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1" s="156" t="inlineStr">
        <is>
          <t>No</t>
        </is>
      </c>
      <c r="AJ241" s="156" t="n"/>
      <c r="AK241" s="155" t="inlineStr">
        <is>
          <t>Criterios: I [Q]; G1522_Extraccion_Articulos_NetSuite_2026-09-30.xlsx: fila 58813 [R] | Shopify Stetson: producto 15054563967339 / variante 53350545588587</t>
        </is>
      </c>
      <c r="AL241" s="58" t="n">
        <v>707</v>
      </c>
      <c r="AM241" s="58" t="n">
        <v>4051.724138</v>
      </c>
      <c r="AN241" s="155" t="inlineStr">
        <is>
          <t>Shopify Stetson México</t>
        </is>
      </c>
      <c r="AO241" s="59" t="n">
        <v>0</v>
      </c>
      <c r="AP241" s="59" t="n"/>
      <c r="AQ241" s="59" t="n"/>
      <c r="AR241" s="155" t="n"/>
    </row>
    <row r="242">
      <c r="A242" s="50" t="inlineStr">
        <is>
          <t>12020003101008025</t>
        </is>
      </c>
      <c r="B242" s="51" t="inlineStr">
        <is>
          <t>111139</t>
        </is>
      </c>
      <c r="C242" s="156" t="inlineStr">
        <is>
          <t>Multimarca</t>
        </is>
      </c>
      <c r="D242" s="156" t="inlineStr">
        <is>
          <t>12-020-BS003-10-1008</t>
        </is>
      </c>
      <c r="E242" s="156" t="inlineStr">
        <is>
          <t>12-020-BS003-10-1008-025</t>
        </is>
      </c>
      <c r="F242" s="156" t="inlineStr">
        <is>
          <t>25</t>
        </is>
      </c>
      <c r="G242" s="156" t="inlineStr">
        <is>
          <t>7</t>
        </is>
      </c>
      <c r="H242" s="156" t="inlineStr">
        <is>
          <t>Stetson</t>
        </is>
      </c>
      <c r="I242" s="156" t="inlineStr">
        <is>
          <t>Bota Piel Tan</t>
        </is>
      </c>
      <c r="J242" s="156" t="inlineStr">
        <is>
          <t>Calzado</t>
        </is>
      </c>
      <c r="K242" s="156" t="inlineStr">
        <is>
          <t>Botas</t>
        </is>
      </c>
      <c r="L242" s="156" t="inlineStr">
        <is>
          <t>Hombre</t>
        </is>
      </c>
      <c r="M242" s="156" t="inlineStr">
        <is>
          <t>Stetson</t>
        </is>
      </c>
      <c r="N242" s="156" t="inlineStr">
        <is>
          <t>SS26</t>
        </is>
      </c>
      <c r="O242" s="156" t="inlineStr">
        <is>
          <t>Seasonal</t>
        </is>
      </c>
      <c r="P242" s="156" t="inlineStr">
        <is>
          <t>Beige</t>
        </is>
      </c>
      <c r="Q242" s="156" t="n"/>
      <c r="R242" s="156" t="inlineStr">
        <is>
          <t>Punta Redonda Ancha</t>
        </is>
      </c>
      <c r="S242" s="156" t="inlineStr">
        <is>
          <t>Piel bovina</t>
        </is>
      </c>
      <c r="T242" s="156" t="inlineStr">
        <is>
          <t>Bota Caballero Piel bovina Crazy Horse Tan Punta Redonda Ancha</t>
        </is>
      </c>
      <c r="U242" s="156" t="inlineStr">
        <is>
          <t>México</t>
        </is>
      </c>
      <c r="V242" s="156" t="inlineStr">
        <is>
          <t>PRS</t>
        </is>
      </c>
      <c r="W242" s="51" t="inlineStr">
        <is>
          <t>53111501</t>
        </is>
      </c>
      <c r="X242" s="156" t="n"/>
      <c r="Y242" s="54" t="n">
        <v>675</v>
      </c>
      <c r="Z242" s="54" t="n">
        <v>3879.310345</v>
      </c>
      <c r="AA242" s="55">
        <f>IF(AND(A242="", B242="", E242=""), "", IF(AB242="", "Válido", IF((LEN(AB242)-LEN(SUBSTITUTE(AB242,"; ","")))/2+1&gt;(LEN(AB242)-LEN(SUBSTITUTE(AB242,"[Aviso]","")))/7, "Con Incidencias", "Válido")))</f>
        <v/>
      </c>
      <c r="AB242" s="56">
        <f>IF(AND(A242="", B242="", E242=""), "", TEXTJOIN("; ", TRUE, IF(OR(TRIM(A242&amp;"")="", ISNUMBER(SEARCH("FALTA", A242))), "UPC faltante/inválido", ""), IF(AND(A242&lt;&gt;"", IFERROR(_xlfn.XMATCH(A242,$A$2:$A$2509,0,1)&lt;&gt;_xlfn.XMATCH(A242,$A$2:$A$2509,0,-1),FALSE)), "Código de barras duplicado", ""), IF(AND(E242&lt;&gt;"", COUNTIF($E$2:$E$2509, E242)&gt;1), "SKU duplicado", ""), IF(OR(J242="", J242=""), "[Aviso] División no capturada ()", IF(ISNA(MATCH(J242, Criterios!$A$123:$A$126, 0)), "División no válida", "")), IF(OR(K242="", K242=""), "[Aviso] Categoría no capturada ()", IF(ISNA(MATCH(K242, Criterios!$A$81:$A$120, 0)), "Categoría no válida", IF(AND(J242&lt;&gt;"", J242&lt;&gt;"", J242&lt;&gt;VLOOKUP(K242, Criterios!$A$81:$B$120, 2, FALSE)), "División no coincide con Categoría", ""))), IF(OR(L242="", L242=""), "[Aviso] Género no capturado ()", IF(ISNA(MATCH(L242, Criterios!$B$123:$B$127, 0)), "Género no válido", "")), IF(OR(N242="", N242=""), "[Aviso] Temporada no capturada ()", IF(ISNA(MATCH(N242, Criterios!$C$123:$C$128, 0)), "Temporada no válida", "")), IF(OR(O242="", O242=""), "[Aviso] Ciclo de vida no capturado ()", IF(ISNA(MATCH(O242, Criterios!$D$123:$D$124, 0)), "Ciclo de vida no válido", ""))))</f>
        <v/>
      </c>
      <c r="AC242" s="56" t="n"/>
      <c r="AD242" s="51" t="n">
        <v>0</v>
      </c>
      <c r="AE242" s="156" t="n"/>
      <c r="AF242" s="51" t="n">
        <v>0</v>
      </c>
      <c r="AG242" s="156" t="inlineStr">
        <is>
          <t>Catálogo existente</t>
        </is>
      </c>
      <c r="AH2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2" s="156" t="inlineStr">
        <is>
          <t>No</t>
        </is>
      </c>
      <c r="AJ242" s="156" t="n"/>
      <c r="AK242" s="155" t="inlineStr">
        <is>
          <t>Criterios: I [Q]; G1522_Extraccion_Articulos_NetSuite_2026-09-30.xlsx: fila 58814 [R] | Shopify Stetson: producto 15054564000107 / variante 53350545621355</t>
        </is>
      </c>
      <c r="AL242" s="58" t="n">
        <v>675</v>
      </c>
      <c r="AM242" s="58" t="n">
        <v>3879.310345</v>
      </c>
      <c r="AN242" s="155" t="inlineStr">
        <is>
          <t>Shopify Stetson México</t>
        </is>
      </c>
      <c r="AO242" s="59" t="n">
        <v>0</v>
      </c>
      <c r="AP242" s="59" t="n"/>
      <c r="AQ242" s="59" t="n"/>
      <c r="AR242" s="155" t="n"/>
    </row>
    <row r="243">
      <c r="A243" s="50" t="inlineStr">
        <is>
          <t>12020003101008026</t>
        </is>
      </c>
      <c r="B243" s="51" t="inlineStr">
        <is>
          <t>111140</t>
        </is>
      </c>
      <c r="C243" s="156" t="inlineStr">
        <is>
          <t>Multimarca</t>
        </is>
      </c>
      <c r="D243" s="156" t="inlineStr">
        <is>
          <t>12-020-BS003-10-1008</t>
        </is>
      </c>
      <c r="E243" s="156" t="inlineStr">
        <is>
          <t>12-020-BS003-10-1008-026</t>
        </is>
      </c>
      <c r="F243" s="156" t="inlineStr">
        <is>
          <t>26</t>
        </is>
      </c>
      <c r="G243" s="156" t="inlineStr">
        <is>
          <t>8</t>
        </is>
      </c>
      <c r="H243" s="156" t="inlineStr">
        <is>
          <t>Stetson</t>
        </is>
      </c>
      <c r="I243" s="156" t="inlineStr">
        <is>
          <t>Bota Piel Tan</t>
        </is>
      </c>
      <c r="J243" s="156" t="inlineStr">
        <is>
          <t>Calzado</t>
        </is>
      </c>
      <c r="K243" s="156" t="inlineStr">
        <is>
          <t>Botas</t>
        </is>
      </c>
      <c r="L243" s="156" t="inlineStr">
        <is>
          <t>Hombre</t>
        </is>
      </c>
      <c r="M243" s="156" t="inlineStr">
        <is>
          <t>Stetson</t>
        </is>
      </c>
      <c r="N243" s="156" t="inlineStr">
        <is>
          <t>SS26</t>
        </is>
      </c>
      <c r="O243" s="156" t="inlineStr">
        <is>
          <t>Seasonal</t>
        </is>
      </c>
      <c r="P243" s="156" t="inlineStr">
        <is>
          <t>Beige</t>
        </is>
      </c>
      <c r="Q243" s="156" t="n"/>
      <c r="R243" s="156" t="inlineStr">
        <is>
          <t>Punta Redonda Ancha</t>
        </is>
      </c>
      <c r="S243" s="156" t="inlineStr">
        <is>
          <t>Piel bovina</t>
        </is>
      </c>
      <c r="T243" s="156" t="inlineStr">
        <is>
          <t>Bota Caballero Piel bovina Crazy Horse Tan Punta Redonda Ancha</t>
        </is>
      </c>
      <c r="U243" s="156" t="inlineStr">
        <is>
          <t>México</t>
        </is>
      </c>
      <c r="V243" s="156" t="inlineStr">
        <is>
          <t>PRS</t>
        </is>
      </c>
      <c r="W243" s="51" t="inlineStr">
        <is>
          <t>53111501</t>
        </is>
      </c>
      <c r="X243" s="156" t="n"/>
      <c r="Y243" s="54" t="n">
        <v>675</v>
      </c>
      <c r="Z243" s="54" t="n">
        <v>3879.310345</v>
      </c>
      <c r="AA243" s="55">
        <f>IF(AND(A243="", B243="", E243=""), "", IF(AB243="", "Válido", IF((LEN(AB243)-LEN(SUBSTITUTE(AB243,"; ","")))/2+1&gt;(LEN(AB243)-LEN(SUBSTITUTE(AB243,"[Aviso]","")))/7, "Con Incidencias", "Válido")))</f>
        <v/>
      </c>
      <c r="AB243" s="56">
        <f>IF(AND(A243="", B243="", E243=""), "", TEXTJOIN("; ", TRUE, IF(OR(TRIM(A243&amp;"")="", ISNUMBER(SEARCH("FALTA", A243))), "UPC faltante/inválido", ""), IF(AND(A243&lt;&gt;"", IFERROR(_xlfn.XMATCH(A243,$A$2:$A$2509,0,1)&lt;&gt;_xlfn.XMATCH(A243,$A$2:$A$2509,0,-1),FALSE)), "Código de barras duplicado", ""), IF(AND(E243&lt;&gt;"", COUNTIF($E$2:$E$2509, E243)&gt;1), "SKU duplicado", ""), IF(OR(J243="", J243=""), "[Aviso] División no capturada ()", IF(ISNA(MATCH(J243, Criterios!$A$123:$A$126, 0)), "División no válida", "")), IF(OR(K243="", K243=""), "[Aviso] Categoría no capturada ()", IF(ISNA(MATCH(K243, Criterios!$A$81:$A$120, 0)), "Categoría no válida", IF(AND(J243&lt;&gt;"", J243&lt;&gt;"", J243&lt;&gt;VLOOKUP(K243, Criterios!$A$81:$B$120, 2, FALSE)), "División no coincide con Categoría", ""))), IF(OR(L243="", L243=""), "[Aviso] Género no capturado ()", IF(ISNA(MATCH(L243, Criterios!$B$123:$B$127, 0)), "Género no válido", "")), IF(OR(N243="", N243=""), "[Aviso] Temporada no capturada ()", IF(ISNA(MATCH(N243, Criterios!$C$123:$C$128, 0)), "Temporada no válida", "")), IF(OR(O243="", O243=""), "[Aviso] Ciclo de vida no capturado ()", IF(ISNA(MATCH(O243, Criterios!$D$123:$D$124, 0)), "Ciclo de vida no válido", ""))))</f>
        <v/>
      </c>
      <c r="AC243" s="56" t="n"/>
      <c r="AD243" s="51" t="n">
        <v>-1</v>
      </c>
      <c r="AE243" s="156" t="n"/>
      <c r="AF243" s="51" t="n">
        <v>0</v>
      </c>
      <c r="AG243" s="156" t="inlineStr">
        <is>
          <t>Catálogo existente</t>
        </is>
      </c>
      <c r="AH24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3" s="156" t="inlineStr">
        <is>
          <t>Sí</t>
        </is>
      </c>
      <c r="AJ243" s="156" t="inlineStr">
        <is>
          <t>STETSON AMERICAS (-1)</t>
        </is>
      </c>
      <c r="AK243" s="155" t="inlineStr">
        <is>
          <t>Criterios: I [Q]; G1522_Extraccion_Articulos_NetSuite_2026-09-30.xlsx: fila 58815 [R] | Shopify Stetson: producto 15054564000107 / variante 53350545686891</t>
        </is>
      </c>
      <c r="AL243" s="58" t="n">
        <v>675</v>
      </c>
      <c r="AM243" s="58" t="n">
        <v>3879.310345</v>
      </c>
      <c r="AN243" s="155" t="inlineStr">
        <is>
          <t>Shopify Stetson México</t>
        </is>
      </c>
      <c r="AO243" s="59" t="n">
        <v>0</v>
      </c>
      <c r="AP243" s="59" t="n"/>
      <c r="AQ243" s="59" t="n"/>
      <c r="AR243" s="155" t="n"/>
    </row>
    <row r="244">
      <c r="A244" s="50" t="inlineStr">
        <is>
          <t>12020003101008027</t>
        </is>
      </c>
      <c r="B244" s="51" t="inlineStr">
        <is>
          <t>111141</t>
        </is>
      </c>
      <c r="C244" s="156" t="inlineStr">
        <is>
          <t>Multimarca</t>
        </is>
      </c>
      <c r="D244" s="156" t="inlineStr">
        <is>
          <t>12-020-BS003-10-1008</t>
        </is>
      </c>
      <c r="E244" s="156" t="inlineStr">
        <is>
          <t>12-020-BS003-10-1008-027</t>
        </is>
      </c>
      <c r="F244" s="156" t="inlineStr">
        <is>
          <t>27</t>
        </is>
      </c>
      <c r="G244" s="156" t="inlineStr">
        <is>
          <t>9</t>
        </is>
      </c>
      <c r="H244" s="156" t="inlineStr">
        <is>
          <t>Stetson</t>
        </is>
      </c>
      <c r="I244" s="156" t="inlineStr">
        <is>
          <t>Bota Piel Tan</t>
        </is>
      </c>
      <c r="J244" s="156" t="inlineStr">
        <is>
          <t>Calzado</t>
        </is>
      </c>
      <c r="K244" s="156" t="inlineStr">
        <is>
          <t>Botas</t>
        </is>
      </c>
      <c r="L244" s="156" t="inlineStr">
        <is>
          <t>Hombre</t>
        </is>
      </c>
      <c r="M244" s="156" t="inlineStr">
        <is>
          <t>Stetson</t>
        </is>
      </c>
      <c r="N244" s="156" t="inlineStr">
        <is>
          <t>SS26</t>
        </is>
      </c>
      <c r="O244" s="156" t="inlineStr">
        <is>
          <t>Seasonal</t>
        </is>
      </c>
      <c r="P244" s="156" t="inlineStr">
        <is>
          <t>Beige</t>
        </is>
      </c>
      <c r="Q244" s="156" t="n"/>
      <c r="R244" s="156" t="inlineStr">
        <is>
          <t>Punta Redonda Ancha</t>
        </is>
      </c>
      <c r="S244" s="156" t="inlineStr">
        <is>
          <t>Piel bovina</t>
        </is>
      </c>
      <c r="T244" s="156" t="inlineStr">
        <is>
          <t>Bota Caballero Piel bovina Crazy Horse Tan Punta Redonda Ancha</t>
        </is>
      </c>
      <c r="U244" s="156" t="inlineStr">
        <is>
          <t>México</t>
        </is>
      </c>
      <c r="V244" s="156" t="inlineStr">
        <is>
          <t>PRS</t>
        </is>
      </c>
      <c r="W244" s="51" t="inlineStr">
        <is>
          <t>53111501</t>
        </is>
      </c>
      <c r="X244" s="156" t="n"/>
      <c r="Y244" s="54" t="n">
        <v>675</v>
      </c>
      <c r="Z244" s="54" t="n">
        <v>3879.310345</v>
      </c>
      <c r="AA244" s="55">
        <f>IF(AND(A244="", B244="", E244=""), "", IF(AB244="", "Válido", IF((LEN(AB244)-LEN(SUBSTITUTE(AB244,"; ","")))/2+1&gt;(LEN(AB244)-LEN(SUBSTITUTE(AB244,"[Aviso]","")))/7, "Con Incidencias", "Válido")))</f>
        <v/>
      </c>
      <c r="AB244" s="56">
        <f>IF(AND(A244="", B244="", E244=""), "", TEXTJOIN("; ", TRUE, IF(OR(TRIM(A244&amp;"")="", ISNUMBER(SEARCH("FALTA", A244))), "UPC faltante/inválido", ""), IF(AND(A244&lt;&gt;"", IFERROR(_xlfn.XMATCH(A244,$A$2:$A$2509,0,1)&lt;&gt;_xlfn.XMATCH(A244,$A$2:$A$2509,0,-1),FALSE)), "Código de barras duplicado", ""), IF(AND(E244&lt;&gt;"", COUNTIF($E$2:$E$2509, E244)&gt;1), "SKU duplicado", ""), IF(OR(J244="", J244=""), "[Aviso] División no capturada ()", IF(ISNA(MATCH(J244, Criterios!$A$123:$A$126, 0)), "División no válida", "")), IF(OR(K244="", K244=""), "[Aviso] Categoría no capturada ()", IF(ISNA(MATCH(K244, Criterios!$A$81:$A$120, 0)), "Categoría no válida", IF(AND(J244&lt;&gt;"", J244&lt;&gt;"", J244&lt;&gt;VLOOKUP(K244, Criterios!$A$81:$B$120, 2, FALSE)), "División no coincide con Categoría", ""))), IF(OR(L244="", L244=""), "[Aviso] Género no capturado ()", IF(ISNA(MATCH(L244, Criterios!$B$123:$B$127, 0)), "Género no válido", "")), IF(OR(N244="", N244=""), "[Aviso] Temporada no capturada ()", IF(ISNA(MATCH(N244, Criterios!$C$123:$C$128, 0)), "Temporada no válida", "")), IF(OR(O244="", O244=""), "[Aviso] Ciclo de vida no capturado ()", IF(ISNA(MATCH(O244, Criterios!$D$123:$D$124, 0)), "Ciclo de vida no válido", ""))))</f>
        <v/>
      </c>
      <c r="AC244" s="56" t="n"/>
      <c r="AD244" s="51" t="n">
        <v>0</v>
      </c>
      <c r="AE244" s="156" t="n"/>
      <c r="AF244" s="51" t="n">
        <v>0</v>
      </c>
      <c r="AG244" s="156" t="inlineStr">
        <is>
          <t>Catálogo existente</t>
        </is>
      </c>
      <c r="AH2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4" s="156" t="inlineStr">
        <is>
          <t>No</t>
        </is>
      </c>
      <c r="AJ244" s="156" t="n"/>
      <c r="AK244" s="155" t="inlineStr">
        <is>
          <t>Criterios: I [Q]; G1522_Extraccion_Articulos_NetSuite_2026-09-30.xlsx: fila 58816 [R] | Shopify Stetson: producto 15054564000107 / variante 53350545752427</t>
        </is>
      </c>
      <c r="AL244" s="58" t="n">
        <v>675</v>
      </c>
      <c r="AM244" s="58" t="n">
        <v>3879.310345</v>
      </c>
      <c r="AN244" s="155" t="inlineStr">
        <is>
          <t>Shopify Stetson México</t>
        </is>
      </c>
      <c r="AO244" s="59" t="n">
        <v>2</v>
      </c>
      <c r="AP244" s="59" t="n"/>
      <c r="AQ244" s="59" t="n"/>
      <c r="AR244" s="155" t="inlineStr">
        <is>
          <t>Shopify Stetson México › Stetson Americas: 2</t>
        </is>
      </c>
    </row>
    <row r="245">
      <c r="A245" s="50" t="inlineStr">
        <is>
          <t>12020003101008028</t>
        </is>
      </c>
      <c r="B245" s="51" t="inlineStr">
        <is>
          <t>111142</t>
        </is>
      </c>
      <c r="C245" s="156" t="inlineStr">
        <is>
          <t>Multimarca</t>
        </is>
      </c>
      <c r="D245" s="156" t="inlineStr">
        <is>
          <t>12-020-BS003-10-1008</t>
        </is>
      </c>
      <c r="E245" s="156" t="inlineStr">
        <is>
          <t>12-020-BS003-10-1008-028</t>
        </is>
      </c>
      <c r="F245" s="156" t="inlineStr">
        <is>
          <t>28</t>
        </is>
      </c>
      <c r="G245" s="156" t="inlineStr">
        <is>
          <t>10</t>
        </is>
      </c>
      <c r="H245" s="156" t="inlineStr">
        <is>
          <t>Stetson</t>
        </is>
      </c>
      <c r="I245" s="156" t="inlineStr">
        <is>
          <t>Bota Piel Tan</t>
        </is>
      </c>
      <c r="J245" s="156" t="inlineStr">
        <is>
          <t>Calzado</t>
        </is>
      </c>
      <c r="K245" s="156" t="inlineStr">
        <is>
          <t>Botas</t>
        </is>
      </c>
      <c r="L245" s="156" t="inlineStr">
        <is>
          <t>Hombre</t>
        </is>
      </c>
      <c r="M245" s="156" t="inlineStr">
        <is>
          <t>Stetson</t>
        </is>
      </c>
      <c r="N245" s="156" t="inlineStr">
        <is>
          <t>SS26</t>
        </is>
      </c>
      <c r="O245" s="156" t="inlineStr">
        <is>
          <t>Seasonal</t>
        </is>
      </c>
      <c r="P245" s="156" t="inlineStr">
        <is>
          <t>Beige</t>
        </is>
      </c>
      <c r="Q245" s="156" t="n"/>
      <c r="R245" s="156" t="inlineStr">
        <is>
          <t>Punta Redonda Ancha</t>
        </is>
      </c>
      <c r="S245" s="156" t="inlineStr">
        <is>
          <t>Piel bovina</t>
        </is>
      </c>
      <c r="T245" s="156" t="inlineStr">
        <is>
          <t>Bota Caballero Piel bovina Crazy Horse Tan Punta Redonda Ancha</t>
        </is>
      </c>
      <c r="U245" s="156" t="inlineStr">
        <is>
          <t>México</t>
        </is>
      </c>
      <c r="V245" s="156" t="inlineStr">
        <is>
          <t>PRS</t>
        </is>
      </c>
      <c r="W245" s="51" t="inlineStr">
        <is>
          <t>53111501</t>
        </is>
      </c>
      <c r="X245" s="156" t="n"/>
      <c r="Y245" s="54" t="n">
        <v>675</v>
      </c>
      <c r="Z245" s="54" t="n">
        <v>3879.310345</v>
      </c>
      <c r="AA245" s="55">
        <f>IF(AND(A245="", B245="", E245=""), "", IF(AB245="", "Válido", IF((LEN(AB245)-LEN(SUBSTITUTE(AB245,"; ","")))/2+1&gt;(LEN(AB245)-LEN(SUBSTITUTE(AB245,"[Aviso]","")))/7, "Con Incidencias", "Válido")))</f>
        <v/>
      </c>
      <c r="AB245" s="56">
        <f>IF(AND(A245="", B245="", E245=""), "", TEXTJOIN("; ", TRUE, IF(OR(TRIM(A245&amp;"")="", ISNUMBER(SEARCH("FALTA", A245))), "UPC faltante/inválido", ""), IF(AND(A245&lt;&gt;"", IFERROR(_xlfn.XMATCH(A245,$A$2:$A$2509,0,1)&lt;&gt;_xlfn.XMATCH(A245,$A$2:$A$2509,0,-1),FALSE)), "Código de barras duplicado", ""), IF(AND(E245&lt;&gt;"", COUNTIF($E$2:$E$2509, E245)&gt;1), "SKU duplicado", ""), IF(OR(J245="", J245=""), "[Aviso] División no capturada ()", IF(ISNA(MATCH(J245, Criterios!$A$123:$A$126, 0)), "División no válida", "")), IF(OR(K245="", K245=""), "[Aviso] Categoría no capturada ()", IF(ISNA(MATCH(K245, Criterios!$A$81:$A$120, 0)), "Categoría no válida", IF(AND(J245&lt;&gt;"", J245&lt;&gt;"", J245&lt;&gt;VLOOKUP(K245, Criterios!$A$81:$B$120, 2, FALSE)), "División no coincide con Categoría", ""))), IF(OR(L245="", L245=""), "[Aviso] Género no capturado ()", IF(ISNA(MATCH(L245, Criterios!$B$123:$B$127, 0)), "Género no válido", "")), IF(OR(N245="", N245=""), "[Aviso] Temporada no capturada ()", IF(ISNA(MATCH(N245, Criterios!$C$123:$C$128, 0)), "Temporada no válida", "")), IF(OR(O245="", O245=""), "[Aviso] Ciclo de vida no capturado ()", IF(ISNA(MATCH(O245, Criterios!$D$123:$D$124, 0)), "Ciclo de vida no válido", ""))))</f>
        <v/>
      </c>
      <c r="AC245" s="56" t="n"/>
      <c r="AD245" s="51" t="n">
        <v>-1</v>
      </c>
      <c r="AE245" s="156" t="n"/>
      <c r="AF245" s="51" t="n">
        <v>0</v>
      </c>
      <c r="AG245" s="156" t="inlineStr">
        <is>
          <t>Catálogo existente</t>
        </is>
      </c>
      <c r="AH24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5" s="156" t="inlineStr">
        <is>
          <t>Sí</t>
        </is>
      </c>
      <c r="AJ245" s="156" t="inlineStr">
        <is>
          <t>STETSON AMERICAS (-1)</t>
        </is>
      </c>
      <c r="AK245" s="155" t="inlineStr">
        <is>
          <t>Criterios: I [Q]; G1522_Extraccion_Articulos_NetSuite_2026-09-30.xlsx: fila 58817 [R] | Shopify Stetson: producto 15054564000107 / variante 53350545817963</t>
        </is>
      </c>
      <c r="AL245" s="58" t="n">
        <v>675</v>
      </c>
      <c r="AM245" s="58" t="n">
        <v>3879.310345</v>
      </c>
      <c r="AN245" s="155" t="inlineStr">
        <is>
          <t>Shopify Stetson México</t>
        </is>
      </c>
      <c r="AO245" s="59" t="n">
        <v>1</v>
      </c>
      <c r="AP245" s="59" t="n"/>
      <c r="AQ245" s="59" t="n"/>
      <c r="AR245" s="155" t="inlineStr">
        <is>
          <t>Shopify Stetson México › Stetson Americas: 1</t>
        </is>
      </c>
    </row>
    <row r="246">
      <c r="A246" s="50" t="inlineStr">
        <is>
          <t>12020003101008029</t>
        </is>
      </c>
      <c r="B246" s="51" t="inlineStr">
        <is>
          <t>111143</t>
        </is>
      </c>
      <c r="C246" s="156" t="inlineStr">
        <is>
          <t>Multimarca</t>
        </is>
      </c>
      <c r="D246" s="156" t="inlineStr">
        <is>
          <t>12-020-BS003-10-1008</t>
        </is>
      </c>
      <c r="E246" s="156" t="inlineStr">
        <is>
          <t>12-020-BS003-10-1008-029</t>
        </is>
      </c>
      <c r="F246" s="156" t="inlineStr">
        <is>
          <t>29</t>
        </is>
      </c>
      <c r="G246" s="156" t="inlineStr">
        <is>
          <t>11</t>
        </is>
      </c>
      <c r="H246" s="156" t="inlineStr">
        <is>
          <t>Stetson</t>
        </is>
      </c>
      <c r="I246" s="156" t="inlineStr">
        <is>
          <t>Bota Piel Tan</t>
        </is>
      </c>
      <c r="J246" s="156" t="inlineStr">
        <is>
          <t>Calzado</t>
        </is>
      </c>
      <c r="K246" s="156" t="inlineStr">
        <is>
          <t>Botas</t>
        </is>
      </c>
      <c r="L246" s="156" t="inlineStr">
        <is>
          <t>Hombre</t>
        </is>
      </c>
      <c r="M246" s="156" t="inlineStr">
        <is>
          <t>Stetson</t>
        </is>
      </c>
      <c r="N246" s="156" t="inlineStr">
        <is>
          <t>SS26</t>
        </is>
      </c>
      <c r="O246" s="156" t="inlineStr">
        <is>
          <t>Seasonal</t>
        </is>
      </c>
      <c r="P246" s="156" t="inlineStr">
        <is>
          <t>Beige</t>
        </is>
      </c>
      <c r="Q246" s="156" t="n"/>
      <c r="R246" s="156" t="inlineStr">
        <is>
          <t>Punta Redonda Ancha</t>
        </is>
      </c>
      <c r="S246" s="156" t="inlineStr">
        <is>
          <t>Piel bovina</t>
        </is>
      </c>
      <c r="T246" s="156" t="inlineStr">
        <is>
          <t>Bota Caballero Piel bovina Crazy Horse Tan Punta Redonda Ancha</t>
        </is>
      </c>
      <c r="U246" s="156" t="inlineStr">
        <is>
          <t>México</t>
        </is>
      </c>
      <c r="V246" s="156" t="inlineStr">
        <is>
          <t>PRS</t>
        </is>
      </c>
      <c r="W246" s="51" t="inlineStr">
        <is>
          <t>53111501</t>
        </is>
      </c>
      <c r="X246" s="156" t="n"/>
      <c r="Y246" s="54" t="n">
        <v>675</v>
      </c>
      <c r="Z246" s="54" t="n">
        <v>3879.310345</v>
      </c>
      <c r="AA246" s="55">
        <f>IF(AND(A246="", B246="", E246=""), "", IF(AB246="", "Válido", IF((LEN(AB246)-LEN(SUBSTITUTE(AB246,"; ","")))/2+1&gt;(LEN(AB246)-LEN(SUBSTITUTE(AB246,"[Aviso]","")))/7, "Con Incidencias", "Válido")))</f>
        <v/>
      </c>
      <c r="AB246" s="56">
        <f>IF(AND(A246="", B246="", E246=""), "", TEXTJOIN("; ", TRUE, IF(OR(TRIM(A246&amp;"")="", ISNUMBER(SEARCH("FALTA", A246))), "UPC faltante/inválido", ""), IF(AND(A246&lt;&gt;"", IFERROR(_xlfn.XMATCH(A246,$A$2:$A$2509,0,1)&lt;&gt;_xlfn.XMATCH(A246,$A$2:$A$2509,0,-1),FALSE)), "Código de barras duplicado", ""), IF(AND(E246&lt;&gt;"", COUNTIF($E$2:$E$2509, E246)&gt;1), "SKU duplicado", ""), IF(OR(J246="", J246=""), "[Aviso] División no capturada ()", IF(ISNA(MATCH(J246, Criterios!$A$123:$A$126, 0)), "División no válida", "")), IF(OR(K246="", K246=""), "[Aviso] Categoría no capturada ()", IF(ISNA(MATCH(K246, Criterios!$A$81:$A$120, 0)), "Categoría no válida", IF(AND(J246&lt;&gt;"", J246&lt;&gt;"", J246&lt;&gt;VLOOKUP(K246, Criterios!$A$81:$B$120, 2, FALSE)), "División no coincide con Categoría", ""))), IF(OR(L246="", L246=""), "[Aviso] Género no capturado ()", IF(ISNA(MATCH(L246, Criterios!$B$123:$B$127, 0)), "Género no válido", "")), IF(OR(N246="", N246=""), "[Aviso] Temporada no capturada ()", IF(ISNA(MATCH(N246, Criterios!$C$123:$C$128, 0)), "Temporada no válida", "")), IF(OR(O246="", O246=""), "[Aviso] Ciclo de vida no capturado ()", IF(ISNA(MATCH(O246, Criterios!$D$123:$D$124, 0)), "Ciclo de vida no válido", ""))))</f>
        <v/>
      </c>
      <c r="AC246" s="56" t="n"/>
      <c r="AD246" s="51" t="n">
        <v>-1</v>
      </c>
      <c r="AE246" s="156" t="n"/>
      <c r="AF246" s="51" t="n">
        <v>0</v>
      </c>
      <c r="AG246" s="156" t="inlineStr">
        <is>
          <t>Catálogo existente</t>
        </is>
      </c>
      <c r="AH24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6" s="156" t="inlineStr">
        <is>
          <t>Sí</t>
        </is>
      </c>
      <c r="AJ246" s="156" t="inlineStr">
        <is>
          <t>STETSON AMERICAS (-1)</t>
        </is>
      </c>
      <c r="AK246" s="155" t="inlineStr">
        <is>
          <t>Criterios: I [Q]; G1522_Extraccion_Articulos_NetSuite_2026-09-30.xlsx: fila 58818 [R] | Shopify Stetson: producto 15054564000107 / variante 53350545883499</t>
        </is>
      </c>
      <c r="AL246" s="58" t="n">
        <v>675</v>
      </c>
      <c r="AM246" s="58" t="n">
        <v>3879.310345</v>
      </c>
      <c r="AN246" s="155" t="inlineStr">
        <is>
          <t>Shopify Stetson México</t>
        </is>
      </c>
      <c r="AO246" s="59" t="n">
        <v>1</v>
      </c>
      <c r="AP246" s="59" t="n"/>
      <c r="AQ246" s="59" t="n"/>
      <c r="AR246" s="155" t="inlineStr">
        <is>
          <t>Shopify Stetson México › Stetson Americas: 1</t>
        </is>
      </c>
    </row>
    <row r="247">
      <c r="A247" s="50" t="inlineStr">
        <is>
          <t>12020003101008030</t>
        </is>
      </c>
      <c r="B247" s="51" t="inlineStr">
        <is>
          <t>111144</t>
        </is>
      </c>
      <c r="C247" s="156" t="inlineStr">
        <is>
          <t>Multimarca</t>
        </is>
      </c>
      <c r="D247" s="156" t="inlineStr">
        <is>
          <t>12-020-BS003-10-1008</t>
        </is>
      </c>
      <c r="E247" s="156" t="inlineStr">
        <is>
          <t>12-020-BS003-10-1008-030</t>
        </is>
      </c>
      <c r="F247" s="156" t="inlineStr">
        <is>
          <t>30</t>
        </is>
      </c>
      <c r="G247" s="156" t="inlineStr">
        <is>
          <t>12</t>
        </is>
      </c>
      <c r="H247" s="156" t="inlineStr">
        <is>
          <t>Stetson</t>
        </is>
      </c>
      <c r="I247" s="156" t="inlineStr">
        <is>
          <t>Bota Piel Tan</t>
        </is>
      </c>
      <c r="J247" s="156" t="inlineStr">
        <is>
          <t>Calzado</t>
        </is>
      </c>
      <c r="K247" s="156" t="inlineStr">
        <is>
          <t>Botas</t>
        </is>
      </c>
      <c r="L247" s="156" t="inlineStr">
        <is>
          <t>Hombre</t>
        </is>
      </c>
      <c r="M247" s="156" t="inlineStr">
        <is>
          <t>Stetson</t>
        </is>
      </c>
      <c r="N247" s="156" t="inlineStr">
        <is>
          <t>SS26</t>
        </is>
      </c>
      <c r="O247" s="156" t="inlineStr">
        <is>
          <t>Seasonal</t>
        </is>
      </c>
      <c r="P247" s="156" t="inlineStr">
        <is>
          <t>Beige</t>
        </is>
      </c>
      <c r="Q247" s="156" t="n"/>
      <c r="R247" s="156" t="inlineStr">
        <is>
          <t>Punta Redonda Ancha</t>
        </is>
      </c>
      <c r="S247" s="156" t="inlineStr">
        <is>
          <t>Piel bovina</t>
        </is>
      </c>
      <c r="T247" s="156" t="inlineStr">
        <is>
          <t>Bota Caballero Piel bovina Crazy Horse Tan Punta Redonda Ancha</t>
        </is>
      </c>
      <c r="U247" s="156" t="inlineStr">
        <is>
          <t>México</t>
        </is>
      </c>
      <c r="V247" s="156" t="inlineStr">
        <is>
          <t>PRS</t>
        </is>
      </c>
      <c r="W247" s="51" t="inlineStr">
        <is>
          <t>53111501</t>
        </is>
      </c>
      <c r="X247" s="156" t="n"/>
      <c r="Y247" s="54" t="n">
        <v>675</v>
      </c>
      <c r="Z247" s="54" t="n">
        <v>3879.310345</v>
      </c>
      <c r="AA247" s="55">
        <f>IF(AND(A247="", B247="", E247=""), "", IF(AB247="", "Válido", IF((LEN(AB247)-LEN(SUBSTITUTE(AB247,"; ","")))/2+1&gt;(LEN(AB247)-LEN(SUBSTITUTE(AB247,"[Aviso]","")))/7, "Con Incidencias", "Válido")))</f>
        <v/>
      </c>
      <c r="AB247" s="56">
        <f>IF(AND(A247="", B247="", E247=""), "", TEXTJOIN("; ", TRUE, IF(OR(TRIM(A247&amp;"")="", ISNUMBER(SEARCH("FALTA", A247))), "UPC faltante/inválido", ""), IF(AND(A247&lt;&gt;"", IFERROR(_xlfn.XMATCH(A247,$A$2:$A$2509,0,1)&lt;&gt;_xlfn.XMATCH(A247,$A$2:$A$2509,0,-1),FALSE)), "Código de barras duplicado", ""), IF(AND(E247&lt;&gt;"", COUNTIF($E$2:$E$2509, E247)&gt;1), "SKU duplicado", ""), IF(OR(J247="", J247=""), "[Aviso] División no capturada ()", IF(ISNA(MATCH(J247, Criterios!$A$123:$A$126, 0)), "División no válida", "")), IF(OR(K247="", K247=""), "[Aviso] Categoría no capturada ()", IF(ISNA(MATCH(K247, Criterios!$A$81:$A$120, 0)), "Categoría no válida", IF(AND(J247&lt;&gt;"", J247&lt;&gt;"", J247&lt;&gt;VLOOKUP(K247, Criterios!$A$81:$B$120, 2, FALSE)), "División no coincide con Categoría", ""))), IF(OR(L247="", L247=""), "[Aviso] Género no capturado ()", IF(ISNA(MATCH(L247, Criterios!$B$123:$B$127, 0)), "Género no válido", "")), IF(OR(N247="", N247=""), "[Aviso] Temporada no capturada ()", IF(ISNA(MATCH(N247, Criterios!$C$123:$C$128, 0)), "Temporada no válida", "")), IF(OR(O247="", O247=""), "[Aviso] Ciclo de vida no capturado ()", IF(ISNA(MATCH(O247, Criterios!$D$123:$D$124, 0)), "Ciclo de vida no válido", ""))))</f>
        <v/>
      </c>
      <c r="AC247" s="56" t="n"/>
      <c r="AD247" s="51" t="n">
        <v>0</v>
      </c>
      <c r="AE247" s="156" t="n"/>
      <c r="AF247" s="51" t="n">
        <v>0</v>
      </c>
      <c r="AG247" s="156" t="inlineStr">
        <is>
          <t>Catálogo existente</t>
        </is>
      </c>
      <c r="AH2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7" s="156" t="inlineStr">
        <is>
          <t>No</t>
        </is>
      </c>
      <c r="AJ247" s="156" t="n"/>
      <c r="AK247" s="155" t="inlineStr">
        <is>
          <t>Criterios: I [Q]; G1522_Extraccion_Articulos_NetSuite_2026-09-30.xlsx: fila 58819 [R] | Shopify Stetson: producto 15054564000107 / variante 53350545949035</t>
        </is>
      </c>
      <c r="AL247" s="58" t="n">
        <v>675</v>
      </c>
      <c r="AM247" s="58" t="n">
        <v>3879.310345</v>
      </c>
      <c r="AN247" s="155" t="inlineStr">
        <is>
          <t>Shopify Stetson México</t>
        </is>
      </c>
      <c r="AO247" s="59" t="n">
        <v>1</v>
      </c>
      <c r="AP247" s="59" t="n"/>
      <c r="AQ247" s="59" t="n"/>
      <c r="AR247" s="155" t="inlineStr">
        <is>
          <t>Shopify Stetson México › Stetson Americas: 1</t>
        </is>
      </c>
    </row>
    <row r="248">
      <c r="A248" s="50" t="inlineStr">
        <is>
          <t>12020003101008031</t>
        </is>
      </c>
      <c r="B248" s="51" t="inlineStr">
        <is>
          <t>111145</t>
        </is>
      </c>
      <c r="C248" s="156" t="inlineStr">
        <is>
          <t>Multimarca</t>
        </is>
      </c>
      <c r="D248" s="156" t="inlineStr">
        <is>
          <t>12-020-BS003-10-1008</t>
        </is>
      </c>
      <c r="E248" s="156" t="inlineStr">
        <is>
          <t>12-020-BS003-10-1008-031</t>
        </is>
      </c>
      <c r="F248" s="156" t="inlineStr">
        <is>
          <t>31</t>
        </is>
      </c>
      <c r="G248" s="156" t="inlineStr">
        <is>
          <t>13</t>
        </is>
      </c>
      <c r="H248" s="156" t="inlineStr">
        <is>
          <t>Stetson</t>
        </is>
      </c>
      <c r="I248" s="156" t="inlineStr">
        <is>
          <t>Bota Piel Tan</t>
        </is>
      </c>
      <c r="J248" s="156" t="inlineStr">
        <is>
          <t>Calzado</t>
        </is>
      </c>
      <c r="K248" s="156" t="inlineStr">
        <is>
          <t>Botas</t>
        </is>
      </c>
      <c r="L248" s="156" t="inlineStr">
        <is>
          <t>Hombre</t>
        </is>
      </c>
      <c r="M248" s="156" t="inlineStr">
        <is>
          <t>Stetson</t>
        </is>
      </c>
      <c r="N248" s="156" t="inlineStr">
        <is>
          <t>SS26</t>
        </is>
      </c>
      <c r="O248" s="156" t="inlineStr">
        <is>
          <t>Seasonal</t>
        </is>
      </c>
      <c r="P248" s="156" t="inlineStr">
        <is>
          <t>Beige</t>
        </is>
      </c>
      <c r="Q248" s="156" t="n"/>
      <c r="R248" s="156" t="inlineStr">
        <is>
          <t>Punta Redonda Ancha</t>
        </is>
      </c>
      <c r="S248" s="156" t="inlineStr">
        <is>
          <t>Piel bovina</t>
        </is>
      </c>
      <c r="T248" s="156" t="inlineStr">
        <is>
          <t>Bota Caballero Piel bovina Crazy Horse Tan Punta Redonda Ancha</t>
        </is>
      </c>
      <c r="U248" s="156" t="inlineStr">
        <is>
          <t>México</t>
        </is>
      </c>
      <c r="V248" s="156" t="inlineStr">
        <is>
          <t>PRS</t>
        </is>
      </c>
      <c r="W248" s="51" t="inlineStr">
        <is>
          <t>53111501</t>
        </is>
      </c>
      <c r="X248" s="156" t="n"/>
      <c r="Y248" s="54" t="n">
        <v>675</v>
      </c>
      <c r="Z248" s="54" t="n">
        <v>3879.310345</v>
      </c>
      <c r="AA248" s="55">
        <f>IF(AND(A248="", B248="", E248=""), "", IF(AB248="", "Válido", IF((LEN(AB248)-LEN(SUBSTITUTE(AB248,"; ","")))/2+1&gt;(LEN(AB248)-LEN(SUBSTITUTE(AB248,"[Aviso]","")))/7, "Con Incidencias", "Válido")))</f>
        <v/>
      </c>
      <c r="AB248" s="56">
        <f>IF(AND(A248="", B248="", E248=""), "", TEXTJOIN("; ", TRUE, IF(OR(TRIM(A248&amp;"")="", ISNUMBER(SEARCH("FALTA", A248))), "UPC faltante/inválido", ""), IF(AND(A248&lt;&gt;"", IFERROR(_xlfn.XMATCH(A248,$A$2:$A$2509,0,1)&lt;&gt;_xlfn.XMATCH(A248,$A$2:$A$2509,0,-1),FALSE)), "Código de barras duplicado", ""), IF(AND(E248&lt;&gt;"", COUNTIF($E$2:$E$2509, E248)&gt;1), "SKU duplicado", ""), IF(OR(J248="", J248=""), "[Aviso] División no capturada ()", IF(ISNA(MATCH(J248, Criterios!$A$123:$A$126, 0)), "División no válida", "")), IF(OR(K248="", K248=""), "[Aviso] Categoría no capturada ()", IF(ISNA(MATCH(K248, Criterios!$A$81:$A$120, 0)), "Categoría no válida", IF(AND(J248&lt;&gt;"", J248&lt;&gt;"", J248&lt;&gt;VLOOKUP(K248, Criterios!$A$81:$B$120, 2, FALSE)), "División no coincide con Categoría", ""))), IF(OR(L248="", L248=""), "[Aviso] Género no capturado ()", IF(ISNA(MATCH(L248, Criterios!$B$123:$B$127, 0)), "Género no válido", "")), IF(OR(N248="", N248=""), "[Aviso] Temporada no capturada ()", IF(ISNA(MATCH(N248, Criterios!$C$123:$C$128, 0)), "Temporada no válida", "")), IF(OR(O248="", O248=""), "[Aviso] Ciclo de vida no capturado ()", IF(ISNA(MATCH(O248, Criterios!$D$123:$D$124, 0)), "Ciclo de vida no válido", ""))))</f>
        <v/>
      </c>
      <c r="AC248" s="56" t="n"/>
      <c r="AD248" s="51" t="n">
        <v>0</v>
      </c>
      <c r="AE248" s="156" t="n"/>
      <c r="AF248" s="51" t="n">
        <v>0</v>
      </c>
      <c r="AG248" s="156" t="inlineStr">
        <is>
          <t>Catálogo existente</t>
        </is>
      </c>
      <c r="AH2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8" s="156" t="inlineStr">
        <is>
          <t>No</t>
        </is>
      </c>
      <c r="AJ248" s="156" t="n"/>
      <c r="AK248" s="155" t="inlineStr">
        <is>
          <t>Criterios: I [Q]; G1522_Extraccion_Articulos_NetSuite_2026-09-30.xlsx: fila 58820 [R] | Shopify Stetson: producto 15054564000107 / variante 53350546014571</t>
        </is>
      </c>
      <c r="AL248" s="58" t="n">
        <v>675</v>
      </c>
      <c r="AM248" s="58" t="n">
        <v>3879.310345</v>
      </c>
      <c r="AN248" s="155" t="inlineStr">
        <is>
          <t>Shopify Stetson México</t>
        </is>
      </c>
      <c r="AO248" s="59" t="n">
        <v>0</v>
      </c>
      <c r="AP248" s="59" t="n"/>
      <c r="AQ248" s="59" t="n"/>
      <c r="AR248" s="155" t="n"/>
    </row>
    <row r="249">
      <c r="A249" s="50" t="inlineStr">
        <is>
          <t>12020003101008032</t>
        </is>
      </c>
      <c r="B249" s="51" t="inlineStr">
        <is>
          <t>111146</t>
        </is>
      </c>
      <c r="C249" s="156" t="inlineStr">
        <is>
          <t>Multimarca</t>
        </is>
      </c>
      <c r="D249" s="156" t="inlineStr">
        <is>
          <t>12-020-BS003-10-1008</t>
        </is>
      </c>
      <c r="E249" s="156" t="inlineStr">
        <is>
          <t>12-020-BS003-10-1008-032</t>
        </is>
      </c>
      <c r="F249" s="156" t="inlineStr">
        <is>
          <t>32</t>
        </is>
      </c>
      <c r="G249" s="156" t="inlineStr">
        <is>
          <t>14</t>
        </is>
      </c>
      <c r="H249" s="156" t="inlineStr">
        <is>
          <t>Stetson</t>
        </is>
      </c>
      <c r="I249" s="156" t="inlineStr">
        <is>
          <t>Bota Piel Tan</t>
        </is>
      </c>
      <c r="J249" s="156" t="inlineStr">
        <is>
          <t>Calzado</t>
        </is>
      </c>
      <c r="K249" s="156" t="inlineStr">
        <is>
          <t>Botas</t>
        </is>
      </c>
      <c r="L249" s="156" t="inlineStr">
        <is>
          <t>Hombre</t>
        </is>
      </c>
      <c r="M249" s="156" t="inlineStr">
        <is>
          <t>Stetson</t>
        </is>
      </c>
      <c r="N249" s="156" t="inlineStr">
        <is>
          <t>SS26</t>
        </is>
      </c>
      <c r="O249" s="156" t="inlineStr">
        <is>
          <t>Seasonal</t>
        </is>
      </c>
      <c r="P249" s="156" t="inlineStr">
        <is>
          <t>Beige</t>
        </is>
      </c>
      <c r="Q249" s="156" t="n"/>
      <c r="R249" s="156" t="inlineStr">
        <is>
          <t>Punta Redonda Ancha</t>
        </is>
      </c>
      <c r="S249" s="156" t="inlineStr">
        <is>
          <t>Piel bovina</t>
        </is>
      </c>
      <c r="T249" s="156" t="inlineStr">
        <is>
          <t>Bota Caballero Piel bovina Crazy Horse Tan Punta Redonda Ancha</t>
        </is>
      </c>
      <c r="U249" s="156" t="inlineStr">
        <is>
          <t>México</t>
        </is>
      </c>
      <c r="V249" s="156" t="inlineStr">
        <is>
          <t>PRS</t>
        </is>
      </c>
      <c r="W249" s="51" t="inlineStr">
        <is>
          <t>53111501</t>
        </is>
      </c>
      <c r="X249" s="156" t="n"/>
      <c r="Y249" s="54" t="n">
        <v>675</v>
      </c>
      <c r="Z249" s="54" t="n">
        <v>3879.310345</v>
      </c>
      <c r="AA249" s="55">
        <f>IF(AND(A249="", B249="", E249=""), "", IF(AB249="", "Válido", IF((LEN(AB249)-LEN(SUBSTITUTE(AB249,"; ","")))/2+1&gt;(LEN(AB249)-LEN(SUBSTITUTE(AB249,"[Aviso]","")))/7, "Con Incidencias", "Válido")))</f>
        <v/>
      </c>
      <c r="AB249" s="56">
        <f>IF(AND(A249="", B249="", E249=""), "", TEXTJOIN("; ", TRUE, IF(OR(TRIM(A249&amp;"")="", ISNUMBER(SEARCH("FALTA", A249))), "UPC faltante/inválido", ""), IF(AND(A249&lt;&gt;"", IFERROR(_xlfn.XMATCH(A249,$A$2:$A$2509,0,1)&lt;&gt;_xlfn.XMATCH(A249,$A$2:$A$2509,0,-1),FALSE)), "Código de barras duplicado", ""), IF(AND(E249&lt;&gt;"", COUNTIF($E$2:$E$2509, E249)&gt;1), "SKU duplicado", ""), IF(OR(J249="", J249=""), "[Aviso] División no capturada ()", IF(ISNA(MATCH(J249, Criterios!$A$123:$A$126, 0)), "División no válida", "")), IF(OR(K249="", K249=""), "[Aviso] Categoría no capturada ()", IF(ISNA(MATCH(K249, Criterios!$A$81:$A$120, 0)), "Categoría no válida", IF(AND(J249&lt;&gt;"", J249&lt;&gt;"", J249&lt;&gt;VLOOKUP(K249, Criterios!$A$81:$B$120, 2, FALSE)), "División no coincide con Categoría", ""))), IF(OR(L249="", L249=""), "[Aviso] Género no capturado ()", IF(ISNA(MATCH(L249, Criterios!$B$123:$B$127, 0)), "Género no válido", "")), IF(OR(N249="", N249=""), "[Aviso] Temporada no capturada ()", IF(ISNA(MATCH(N249, Criterios!$C$123:$C$128, 0)), "Temporada no válida", "")), IF(OR(O249="", O249=""), "[Aviso] Ciclo de vida no capturado ()", IF(ISNA(MATCH(O249, Criterios!$D$123:$D$124, 0)), "Ciclo de vida no válido", ""))))</f>
        <v/>
      </c>
      <c r="AC249" s="56" t="n"/>
      <c r="AD249" s="51" t="n">
        <v>0</v>
      </c>
      <c r="AE249" s="156" t="n"/>
      <c r="AF249" s="51" t="n">
        <v>0</v>
      </c>
      <c r="AG249" s="156" t="inlineStr">
        <is>
          <t>Catálogo existente</t>
        </is>
      </c>
      <c r="AH2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9" s="156" t="inlineStr">
        <is>
          <t>No</t>
        </is>
      </c>
      <c r="AJ249" s="156" t="n"/>
      <c r="AK249" s="155" t="inlineStr">
        <is>
          <t>Criterios: I [Q]; G1522_Extraccion_Articulos_NetSuite_2026-09-30.xlsx: fila 58821 [R] | Shopify Stetson: producto 15054564000107 / variante 53350546080107</t>
        </is>
      </c>
      <c r="AL249" s="58" t="n">
        <v>675</v>
      </c>
      <c r="AM249" s="58" t="n">
        <v>3879.310345</v>
      </c>
      <c r="AN249" s="155" t="inlineStr">
        <is>
          <t>Shopify Stetson México</t>
        </is>
      </c>
      <c r="AO249" s="59" t="n">
        <v>0</v>
      </c>
      <c r="AP249" s="59" t="n"/>
      <c r="AQ249" s="59" t="n"/>
      <c r="AR249" s="155" t="n"/>
    </row>
    <row r="250">
      <c r="A250" s="50" t="inlineStr">
        <is>
          <t>12020003101008255</t>
        </is>
      </c>
      <c r="B250" s="51" t="inlineStr">
        <is>
          <t>111147</t>
        </is>
      </c>
      <c r="C250" s="156" t="inlineStr">
        <is>
          <t>Multimarca</t>
        </is>
      </c>
      <c r="D250" s="156" t="inlineStr">
        <is>
          <t>12-020-BS003-10-1008</t>
        </is>
      </c>
      <c r="E250" s="156" t="inlineStr">
        <is>
          <t>12-020-BS003-10-1008-255</t>
        </is>
      </c>
      <c r="F250" s="156" t="inlineStr">
        <is>
          <t>25.5</t>
        </is>
      </c>
      <c r="G250" s="156" t="inlineStr">
        <is>
          <t>7.5</t>
        </is>
      </c>
      <c r="H250" s="156" t="inlineStr">
        <is>
          <t>Stetson</t>
        </is>
      </c>
      <c r="I250" s="156" t="inlineStr">
        <is>
          <t>Bota Piel Tan</t>
        </is>
      </c>
      <c r="J250" s="156" t="inlineStr">
        <is>
          <t>Calzado</t>
        </is>
      </c>
      <c r="K250" s="156" t="inlineStr">
        <is>
          <t>Botas</t>
        </is>
      </c>
      <c r="L250" s="156" t="inlineStr">
        <is>
          <t>Hombre</t>
        </is>
      </c>
      <c r="M250" s="156" t="inlineStr">
        <is>
          <t>Stetson</t>
        </is>
      </c>
      <c r="N250" s="156" t="inlineStr">
        <is>
          <t>SS26</t>
        </is>
      </c>
      <c r="O250" s="156" t="inlineStr">
        <is>
          <t>Seasonal</t>
        </is>
      </c>
      <c r="P250" s="156" t="inlineStr">
        <is>
          <t>Beige</t>
        </is>
      </c>
      <c r="Q250" s="156" t="n"/>
      <c r="R250" s="156" t="inlineStr">
        <is>
          <t>Punta Redonda Ancha</t>
        </is>
      </c>
      <c r="S250" s="156" t="inlineStr">
        <is>
          <t>Piel bovina</t>
        </is>
      </c>
      <c r="T250" s="156" t="inlineStr">
        <is>
          <t>Bota Caballero Piel bovina Crazy Horse Tan Punta Redonda Ancha</t>
        </is>
      </c>
      <c r="U250" s="156" t="inlineStr">
        <is>
          <t>México</t>
        </is>
      </c>
      <c r="V250" s="156" t="inlineStr">
        <is>
          <t>PRS</t>
        </is>
      </c>
      <c r="W250" s="51" t="inlineStr">
        <is>
          <t>53111501</t>
        </is>
      </c>
      <c r="X250" s="156" t="n"/>
      <c r="Y250" s="54" t="n">
        <v>675</v>
      </c>
      <c r="Z250" s="54" t="n">
        <v>3879.310345</v>
      </c>
      <c r="AA250" s="55">
        <f>IF(AND(A250="", B250="", E250=""), "", IF(AB250="", "Válido", IF((LEN(AB250)-LEN(SUBSTITUTE(AB250,"; ","")))/2+1&gt;(LEN(AB250)-LEN(SUBSTITUTE(AB250,"[Aviso]","")))/7, "Con Incidencias", "Válido")))</f>
        <v/>
      </c>
      <c r="AB250" s="56">
        <f>IF(AND(A250="", B250="", E250=""), "", TEXTJOIN("; ", TRUE, IF(OR(TRIM(A250&amp;"")="", ISNUMBER(SEARCH("FALTA", A250))), "UPC faltante/inválido", ""), IF(AND(A250&lt;&gt;"", IFERROR(_xlfn.XMATCH(A250,$A$2:$A$2509,0,1)&lt;&gt;_xlfn.XMATCH(A250,$A$2:$A$2509,0,-1),FALSE)), "Código de barras duplicado", ""), IF(AND(E250&lt;&gt;"", COUNTIF($E$2:$E$2509, E250)&gt;1), "SKU duplicado", ""), IF(OR(J250="", J250=""), "[Aviso] División no capturada ()", IF(ISNA(MATCH(J250, Criterios!$A$123:$A$126, 0)), "División no válida", "")), IF(OR(K250="", K250=""), "[Aviso] Categoría no capturada ()", IF(ISNA(MATCH(K250, Criterios!$A$81:$A$120, 0)), "Categoría no válida", IF(AND(J250&lt;&gt;"", J250&lt;&gt;"", J250&lt;&gt;VLOOKUP(K250, Criterios!$A$81:$B$120, 2, FALSE)), "División no coincide con Categoría", ""))), IF(OR(L250="", L250=""), "[Aviso] Género no capturado ()", IF(ISNA(MATCH(L250, Criterios!$B$123:$B$127, 0)), "Género no válido", "")), IF(OR(N250="", N250=""), "[Aviso] Temporada no capturada ()", IF(ISNA(MATCH(N250, Criterios!$C$123:$C$128, 0)), "Temporada no válida", "")), IF(OR(O250="", O250=""), "[Aviso] Ciclo de vida no capturado ()", IF(ISNA(MATCH(O250, Criterios!$D$123:$D$124, 0)), "Ciclo de vida no válido", ""))))</f>
        <v/>
      </c>
      <c r="AC250" s="56" t="n"/>
      <c r="AD250" s="51" t="n">
        <v>0</v>
      </c>
      <c r="AE250" s="156" t="n"/>
      <c r="AF250" s="51" t="n">
        <v>0</v>
      </c>
      <c r="AG250" s="156" t="inlineStr">
        <is>
          <t>Catálogo existente</t>
        </is>
      </c>
      <c r="AH2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0" s="156" t="inlineStr">
        <is>
          <t>No</t>
        </is>
      </c>
      <c r="AJ250" s="156" t="n"/>
      <c r="AK250" s="155" t="inlineStr">
        <is>
          <t>Criterios: I [Q]; G1522_Extraccion_Articulos_NetSuite_2026-09-30.xlsx: fila 58822 [R] | Shopify Stetson: producto 15054564000107 / variante 53350545654123</t>
        </is>
      </c>
      <c r="AL250" s="58" t="n">
        <v>675</v>
      </c>
      <c r="AM250" s="58" t="n">
        <v>3879.310345</v>
      </c>
      <c r="AN250" s="155" t="inlineStr">
        <is>
          <t>Shopify Stetson México</t>
        </is>
      </c>
      <c r="AO250" s="59" t="n">
        <v>0</v>
      </c>
      <c r="AP250" s="59" t="n"/>
      <c r="AQ250" s="59" t="n"/>
      <c r="AR250" s="155" t="n"/>
    </row>
    <row r="251">
      <c r="A251" s="50" t="inlineStr">
        <is>
          <t>12020003101008265</t>
        </is>
      </c>
      <c r="B251" s="51" t="inlineStr">
        <is>
          <t>111148</t>
        </is>
      </c>
      <c r="C251" s="156" t="inlineStr">
        <is>
          <t>Multimarca</t>
        </is>
      </c>
      <c r="D251" s="156" t="inlineStr">
        <is>
          <t>12-020-BS003-10-1008</t>
        </is>
      </c>
      <c r="E251" s="156" t="inlineStr">
        <is>
          <t>12-020-BS003-10-1008-265</t>
        </is>
      </c>
      <c r="F251" s="156" t="inlineStr">
        <is>
          <t>26.5</t>
        </is>
      </c>
      <c r="G251" s="156" t="inlineStr">
        <is>
          <t>8.5</t>
        </is>
      </c>
      <c r="H251" s="156" t="inlineStr">
        <is>
          <t>Stetson</t>
        </is>
      </c>
      <c r="I251" s="156" t="inlineStr">
        <is>
          <t>Bota Piel Tan</t>
        </is>
      </c>
      <c r="J251" s="156" t="inlineStr">
        <is>
          <t>Calzado</t>
        </is>
      </c>
      <c r="K251" s="156" t="inlineStr">
        <is>
          <t>Botas</t>
        </is>
      </c>
      <c r="L251" s="156" t="inlineStr">
        <is>
          <t>Hombre</t>
        </is>
      </c>
      <c r="M251" s="156" t="inlineStr">
        <is>
          <t>Stetson</t>
        </is>
      </c>
      <c r="N251" s="156" t="inlineStr">
        <is>
          <t>SS26</t>
        </is>
      </c>
      <c r="O251" s="156" t="inlineStr">
        <is>
          <t>Seasonal</t>
        </is>
      </c>
      <c r="P251" s="156" t="inlineStr">
        <is>
          <t>Beige</t>
        </is>
      </c>
      <c r="Q251" s="156" t="n"/>
      <c r="R251" s="156" t="inlineStr">
        <is>
          <t>Punta Redonda Ancha</t>
        </is>
      </c>
      <c r="S251" s="156" t="inlineStr">
        <is>
          <t>Piel bovina</t>
        </is>
      </c>
      <c r="T251" s="156" t="inlineStr">
        <is>
          <t>Bota Caballero Piel bovina Crazy Horse Tan Punta Redonda Ancha</t>
        </is>
      </c>
      <c r="U251" s="156" t="inlineStr">
        <is>
          <t>México</t>
        </is>
      </c>
      <c r="V251" s="156" t="inlineStr">
        <is>
          <t>PRS</t>
        </is>
      </c>
      <c r="W251" s="51" t="inlineStr">
        <is>
          <t>53111501</t>
        </is>
      </c>
      <c r="X251" s="156" t="n"/>
      <c r="Y251" s="54" t="n">
        <v>675</v>
      </c>
      <c r="Z251" s="54" t="n">
        <v>3879.310345</v>
      </c>
      <c r="AA251" s="55">
        <f>IF(AND(A251="", B251="", E251=""), "", IF(AB251="", "Válido", IF((LEN(AB251)-LEN(SUBSTITUTE(AB251,"; ","")))/2+1&gt;(LEN(AB251)-LEN(SUBSTITUTE(AB251,"[Aviso]","")))/7, "Con Incidencias", "Válido")))</f>
        <v/>
      </c>
      <c r="AB251" s="56">
        <f>IF(AND(A251="", B251="", E251=""), "", TEXTJOIN("; ", TRUE, IF(OR(TRIM(A251&amp;"")="", ISNUMBER(SEARCH("FALTA", A251))), "UPC faltante/inválido", ""), IF(AND(A251&lt;&gt;"", IFERROR(_xlfn.XMATCH(A251,$A$2:$A$2509,0,1)&lt;&gt;_xlfn.XMATCH(A251,$A$2:$A$2509,0,-1),FALSE)), "Código de barras duplicado", ""), IF(AND(E251&lt;&gt;"", COUNTIF($E$2:$E$2509, E251)&gt;1), "SKU duplicado", ""), IF(OR(J251="", J251=""), "[Aviso] División no capturada ()", IF(ISNA(MATCH(J251, Criterios!$A$123:$A$126, 0)), "División no válida", "")), IF(OR(K251="", K251=""), "[Aviso] Categoría no capturada ()", IF(ISNA(MATCH(K251, Criterios!$A$81:$A$120, 0)), "Categoría no válida", IF(AND(J251&lt;&gt;"", J251&lt;&gt;"", J251&lt;&gt;VLOOKUP(K251, Criterios!$A$81:$B$120, 2, FALSE)), "División no coincide con Categoría", ""))), IF(OR(L251="", L251=""), "[Aviso] Género no capturado ()", IF(ISNA(MATCH(L251, Criterios!$B$123:$B$127, 0)), "Género no válido", "")), IF(OR(N251="", N251=""), "[Aviso] Temporada no capturada ()", IF(ISNA(MATCH(N251, Criterios!$C$123:$C$128, 0)), "Temporada no válida", "")), IF(OR(O251="", O251=""), "[Aviso] Ciclo de vida no capturado ()", IF(ISNA(MATCH(O251, Criterios!$D$123:$D$124, 0)), "Ciclo de vida no válido", ""))))</f>
        <v/>
      </c>
      <c r="AC251" s="56" t="n"/>
      <c r="AD251" s="51" t="n">
        <v>-2</v>
      </c>
      <c r="AE251" s="156" t="n"/>
      <c r="AF251" s="51" t="n">
        <v>0</v>
      </c>
      <c r="AG251" s="156" t="inlineStr">
        <is>
          <t>Catálogo existente</t>
        </is>
      </c>
      <c r="AH25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1" s="156" t="inlineStr">
        <is>
          <t>Sí</t>
        </is>
      </c>
      <c r="AJ251" s="156" t="inlineStr">
        <is>
          <t>STETSON AMERICAS (-2)</t>
        </is>
      </c>
      <c r="AK251" s="155" t="inlineStr">
        <is>
          <t>Criterios: I [Q]; G1522_Extraccion_Articulos_NetSuite_2026-09-30.xlsx: fila 58823 [R] | Shopify Stetson: producto 15054564000107 / variante 53350545719659</t>
        </is>
      </c>
      <c r="AL251" s="58" t="n">
        <v>675</v>
      </c>
      <c r="AM251" s="58" t="n">
        <v>3879.310345</v>
      </c>
      <c r="AN251" s="155" t="inlineStr">
        <is>
          <t>Shopify Stetson México</t>
        </is>
      </c>
      <c r="AO251" s="59" t="n">
        <v>0</v>
      </c>
      <c r="AP251" s="59" t="n"/>
      <c r="AQ251" s="59" t="n"/>
      <c r="AR251" s="155" t="n"/>
    </row>
    <row r="252">
      <c r="A252" s="50" t="inlineStr">
        <is>
          <t>12020003101008275</t>
        </is>
      </c>
      <c r="B252" s="51" t="inlineStr">
        <is>
          <t>111149</t>
        </is>
      </c>
      <c r="C252" s="156" t="inlineStr">
        <is>
          <t>Multimarca</t>
        </is>
      </c>
      <c r="D252" s="156" t="inlineStr">
        <is>
          <t>12-020-BS003-10-1008</t>
        </is>
      </c>
      <c r="E252" s="156" t="inlineStr">
        <is>
          <t>12-020-BS003-10-1008-275</t>
        </is>
      </c>
      <c r="F252" s="156" t="inlineStr">
        <is>
          <t>27.5</t>
        </is>
      </c>
      <c r="G252" s="156" t="inlineStr">
        <is>
          <t>9.5</t>
        </is>
      </c>
      <c r="H252" s="156" t="inlineStr">
        <is>
          <t>Stetson</t>
        </is>
      </c>
      <c r="I252" s="156" t="inlineStr">
        <is>
          <t>Bota Piel Tan</t>
        </is>
      </c>
      <c r="J252" s="156" t="inlineStr">
        <is>
          <t>Calzado</t>
        </is>
      </c>
      <c r="K252" s="156" t="inlineStr">
        <is>
          <t>Botas</t>
        </is>
      </c>
      <c r="L252" s="156" t="inlineStr">
        <is>
          <t>Hombre</t>
        </is>
      </c>
      <c r="M252" s="156" t="inlineStr">
        <is>
          <t>Stetson</t>
        </is>
      </c>
      <c r="N252" s="156" t="inlineStr">
        <is>
          <t>SS26</t>
        </is>
      </c>
      <c r="O252" s="156" t="inlineStr">
        <is>
          <t>Seasonal</t>
        </is>
      </c>
      <c r="P252" s="156" t="inlineStr">
        <is>
          <t>Beige</t>
        </is>
      </c>
      <c r="Q252" s="156" t="n"/>
      <c r="R252" s="156" t="inlineStr">
        <is>
          <t>Punta Redonda Ancha</t>
        </is>
      </c>
      <c r="S252" s="156" t="inlineStr">
        <is>
          <t>Piel bovina</t>
        </is>
      </c>
      <c r="T252" s="156" t="inlineStr">
        <is>
          <t>Bota Caballero Piel bovina Crazy Horse Tan Punta Redonda Ancha</t>
        </is>
      </c>
      <c r="U252" s="156" t="inlineStr">
        <is>
          <t>México</t>
        </is>
      </c>
      <c r="V252" s="156" t="inlineStr">
        <is>
          <t>PRS</t>
        </is>
      </c>
      <c r="W252" s="51" t="inlineStr">
        <is>
          <t>53111501</t>
        </is>
      </c>
      <c r="X252" s="156" t="n"/>
      <c r="Y252" s="54" t="n">
        <v>675</v>
      </c>
      <c r="Z252" s="54" t="n">
        <v>3879.310345</v>
      </c>
      <c r="AA252" s="55">
        <f>IF(AND(A252="", B252="", E252=""), "", IF(AB252="", "Válido", IF((LEN(AB252)-LEN(SUBSTITUTE(AB252,"; ","")))/2+1&gt;(LEN(AB252)-LEN(SUBSTITUTE(AB252,"[Aviso]","")))/7, "Con Incidencias", "Válido")))</f>
        <v/>
      </c>
      <c r="AB252" s="56">
        <f>IF(AND(A252="", B252="", E252=""), "", TEXTJOIN("; ", TRUE, IF(OR(TRIM(A252&amp;"")="", ISNUMBER(SEARCH("FALTA", A252))), "UPC faltante/inválido", ""), IF(AND(A252&lt;&gt;"", IFERROR(_xlfn.XMATCH(A252,$A$2:$A$2509,0,1)&lt;&gt;_xlfn.XMATCH(A252,$A$2:$A$2509,0,-1),FALSE)), "Código de barras duplicado", ""), IF(AND(E252&lt;&gt;"", COUNTIF($E$2:$E$2509, E252)&gt;1), "SKU duplicado", ""), IF(OR(J252="", J252=""), "[Aviso] División no capturada ()", IF(ISNA(MATCH(J252, Criterios!$A$123:$A$126, 0)), "División no válida", "")), IF(OR(K252="", K252=""), "[Aviso] Categoría no capturada ()", IF(ISNA(MATCH(K252, Criterios!$A$81:$A$120, 0)), "Categoría no válida", IF(AND(J252&lt;&gt;"", J252&lt;&gt;"", J252&lt;&gt;VLOOKUP(K252, Criterios!$A$81:$B$120, 2, FALSE)), "División no coincide con Categoría", ""))), IF(OR(L252="", L252=""), "[Aviso] Género no capturado ()", IF(ISNA(MATCH(L252, Criterios!$B$123:$B$127, 0)), "Género no válido", "")), IF(OR(N252="", N252=""), "[Aviso] Temporada no capturada ()", IF(ISNA(MATCH(N252, Criterios!$C$123:$C$128, 0)), "Temporada no válida", "")), IF(OR(O252="", O252=""), "[Aviso] Ciclo de vida no capturado ()", IF(ISNA(MATCH(O252, Criterios!$D$123:$D$124, 0)), "Ciclo de vida no válido", ""))))</f>
        <v/>
      </c>
      <c r="AC252" s="56" t="n"/>
      <c r="AD252" s="51" t="n">
        <v>-2</v>
      </c>
      <c r="AE252" s="156" t="n"/>
      <c r="AF252" s="51" t="n">
        <v>0</v>
      </c>
      <c r="AG252" s="156" t="inlineStr">
        <is>
          <t>Catálogo existente</t>
        </is>
      </c>
      <c r="AH25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2" s="156" t="inlineStr">
        <is>
          <t>Sí</t>
        </is>
      </c>
      <c r="AJ252" s="156" t="inlineStr">
        <is>
          <t>STETSON AMERICAS (-2)</t>
        </is>
      </c>
      <c r="AK252" s="155" t="inlineStr">
        <is>
          <t>Criterios: I [Q]; G1522_Extraccion_Articulos_NetSuite_2026-09-30.xlsx: fila 58824 [R] | Shopify Stetson: producto 15054564000107 / variante 53350545785195</t>
        </is>
      </c>
      <c r="AL252" s="58" t="n">
        <v>675</v>
      </c>
      <c r="AM252" s="58" t="n">
        <v>3879.310345</v>
      </c>
      <c r="AN252" s="155" t="inlineStr">
        <is>
          <t>Shopify Stetson México</t>
        </is>
      </c>
      <c r="AO252" s="59" t="n">
        <v>0</v>
      </c>
      <c r="AP252" s="59" t="n"/>
      <c r="AQ252" s="59" t="n"/>
      <c r="AR252" s="155" t="n"/>
    </row>
    <row r="253">
      <c r="A253" s="50" t="inlineStr">
        <is>
          <t>12020003101008285</t>
        </is>
      </c>
      <c r="B253" s="51" t="inlineStr">
        <is>
          <t>111150</t>
        </is>
      </c>
      <c r="C253" s="156" t="inlineStr">
        <is>
          <t>Multimarca</t>
        </is>
      </c>
      <c r="D253" s="156" t="inlineStr">
        <is>
          <t>12-020-BS003-10-1008</t>
        </is>
      </c>
      <c r="E253" s="156" t="inlineStr">
        <is>
          <t>12-020-BS003-10-1008-285</t>
        </is>
      </c>
      <c r="F253" s="156" t="inlineStr">
        <is>
          <t>28.5</t>
        </is>
      </c>
      <c r="G253" s="156" t="inlineStr">
        <is>
          <t>10.5</t>
        </is>
      </c>
      <c r="H253" s="156" t="inlineStr">
        <is>
          <t>Stetson</t>
        </is>
      </c>
      <c r="I253" s="156" t="inlineStr">
        <is>
          <t>Bota Piel Tan</t>
        </is>
      </c>
      <c r="J253" s="156" t="inlineStr">
        <is>
          <t>Calzado</t>
        </is>
      </c>
      <c r="K253" s="156" t="inlineStr">
        <is>
          <t>Botas</t>
        </is>
      </c>
      <c r="L253" s="156" t="inlineStr">
        <is>
          <t>Hombre</t>
        </is>
      </c>
      <c r="M253" s="156" t="inlineStr">
        <is>
          <t>Stetson</t>
        </is>
      </c>
      <c r="N253" s="156" t="inlineStr">
        <is>
          <t>SS26</t>
        </is>
      </c>
      <c r="O253" s="156" t="inlineStr">
        <is>
          <t>Seasonal</t>
        </is>
      </c>
      <c r="P253" s="156" t="inlineStr">
        <is>
          <t>Beige</t>
        </is>
      </c>
      <c r="Q253" s="156" t="n"/>
      <c r="R253" s="156" t="inlineStr">
        <is>
          <t>Punta Redonda Ancha</t>
        </is>
      </c>
      <c r="S253" s="156" t="inlineStr">
        <is>
          <t>Piel bovina</t>
        </is>
      </c>
      <c r="T253" s="156" t="inlineStr">
        <is>
          <t>Bota Caballero Piel bovina Crazy Horse Tan Punta Redonda Ancha</t>
        </is>
      </c>
      <c r="U253" s="156" t="inlineStr">
        <is>
          <t>México</t>
        </is>
      </c>
      <c r="V253" s="156" t="inlineStr">
        <is>
          <t>PRS</t>
        </is>
      </c>
      <c r="W253" s="51" t="inlineStr">
        <is>
          <t>53111501</t>
        </is>
      </c>
      <c r="X253" s="156" t="n"/>
      <c r="Y253" s="54" t="n">
        <v>675</v>
      </c>
      <c r="Z253" s="54" t="n">
        <v>3879.310345</v>
      </c>
      <c r="AA253" s="55">
        <f>IF(AND(A253="", B253="", E253=""), "", IF(AB253="", "Válido", IF((LEN(AB253)-LEN(SUBSTITUTE(AB253,"; ","")))/2+1&gt;(LEN(AB253)-LEN(SUBSTITUTE(AB253,"[Aviso]","")))/7, "Con Incidencias", "Válido")))</f>
        <v/>
      </c>
      <c r="AB253" s="56">
        <f>IF(AND(A253="", B253="", E253=""), "", TEXTJOIN("; ", TRUE, IF(OR(TRIM(A253&amp;"")="", ISNUMBER(SEARCH("FALTA", A253))), "UPC faltante/inválido", ""), IF(AND(A253&lt;&gt;"", IFERROR(_xlfn.XMATCH(A253,$A$2:$A$2509,0,1)&lt;&gt;_xlfn.XMATCH(A253,$A$2:$A$2509,0,-1),FALSE)), "Código de barras duplicado", ""), IF(AND(E253&lt;&gt;"", COUNTIF($E$2:$E$2509, E253)&gt;1), "SKU duplicado", ""), IF(OR(J253="", J253=""), "[Aviso] División no capturada ()", IF(ISNA(MATCH(J253, Criterios!$A$123:$A$126, 0)), "División no válida", "")), IF(OR(K253="", K253=""), "[Aviso] Categoría no capturada ()", IF(ISNA(MATCH(K253, Criterios!$A$81:$A$120, 0)), "Categoría no válida", IF(AND(J253&lt;&gt;"", J253&lt;&gt;"", J253&lt;&gt;VLOOKUP(K253, Criterios!$A$81:$B$120, 2, FALSE)), "División no coincide con Categoría", ""))), IF(OR(L253="", L253=""), "[Aviso] Género no capturado ()", IF(ISNA(MATCH(L253, Criterios!$B$123:$B$127, 0)), "Género no válido", "")), IF(OR(N253="", N253=""), "[Aviso] Temporada no capturada ()", IF(ISNA(MATCH(N253, Criterios!$C$123:$C$128, 0)), "Temporada no válida", "")), IF(OR(O253="", O253=""), "[Aviso] Ciclo de vida no capturado ()", IF(ISNA(MATCH(O253, Criterios!$D$123:$D$124, 0)), "Ciclo de vida no válido", ""))))</f>
        <v/>
      </c>
      <c r="AC253" s="56" t="n"/>
      <c r="AD253" s="51" t="n">
        <v>-1</v>
      </c>
      <c r="AE253" s="156" t="n"/>
      <c r="AF253" s="51" t="n">
        <v>0</v>
      </c>
      <c r="AG253" s="156" t="inlineStr">
        <is>
          <t>Catálogo existente</t>
        </is>
      </c>
      <c r="AH25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3" s="156" t="inlineStr">
        <is>
          <t>Sí</t>
        </is>
      </c>
      <c r="AJ253" s="156" t="inlineStr">
        <is>
          <t>STETSON AMERICAS (-1)</t>
        </is>
      </c>
      <c r="AK253" s="155" t="inlineStr">
        <is>
          <t>Criterios: I [Q]; G1522_Extraccion_Articulos_NetSuite_2026-09-30.xlsx: fila 58825 [R] | Shopify Stetson: producto 15054564000107 / variante 53350545850731</t>
        </is>
      </c>
      <c r="AL253" s="58" t="n">
        <v>675</v>
      </c>
      <c r="AM253" s="58" t="n">
        <v>3879.310345</v>
      </c>
      <c r="AN253" s="155" t="inlineStr">
        <is>
          <t>Shopify Stetson México</t>
        </is>
      </c>
      <c r="AO253" s="59" t="n">
        <v>1</v>
      </c>
      <c r="AP253" s="59" t="n"/>
      <c r="AQ253" s="59" t="n"/>
      <c r="AR253" s="155" t="inlineStr">
        <is>
          <t>Shopify Stetson México › Stetson Americas: 1</t>
        </is>
      </c>
    </row>
    <row r="254">
      <c r="A254" s="50" t="inlineStr">
        <is>
          <t>12020003101008295</t>
        </is>
      </c>
      <c r="B254" s="51" t="inlineStr">
        <is>
          <t>111151</t>
        </is>
      </c>
      <c r="C254" s="156" t="inlineStr">
        <is>
          <t>Multimarca</t>
        </is>
      </c>
      <c r="D254" s="156" t="inlineStr">
        <is>
          <t>12-020-BS003-10-1008</t>
        </is>
      </c>
      <c r="E254" s="156" t="inlineStr">
        <is>
          <t>12-020-BS003-10-1008-295</t>
        </is>
      </c>
      <c r="F254" s="156" t="inlineStr">
        <is>
          <t>29.5</t>
        </is>
      </c>
      <c r="G254" s="156" t="inlineStr">
        <is>
          <t>11.5</t>
        </is>
      </c>
      <c r="H254" s="156" t="inlineStr">
        <is>
          <t>Stetson</t>
        </is>
      </c>
      <c r="I254" s="156" t="inlineStr">
        <is>
          <t>Bota Piel Tan</t>
        </is>
      </c>
      <c r="J254" s="156" t="inlineStr">
        <is>
          <t>Calzado</t>
        </is>
      </c>
      <c r="K254" s="156" t="inlineStr">
        <is>
          <t>Botas</t>
        </is>
      </c>
      <c r="L254" s="156" t="inlineStr">
        <is>
          <t>Hombre</t>
        </is>
      </c>
      <c r="M254" s="156" t="inlineStr">
        <is>
          <t>Stetson</t>
        </is>
      </c>
      <c r="N254" s="156" t="inlineStr">
        <is>
          <t>SS26</t>
        </is>
      </c>
      <c r="O254" s="156" t="inlineStr">
        <is>
          <t>Seasonal</t>
        </is>
      </c>
      <c r="P254" s="156" t="inlineStr">
        <is>
          <t>Beige</t>
        </is>
      </c>
      <c r="Q254" s="156" t="n"/>
      <c r="R254" s="156" t="inlineStr">
        <is>
          <t>Punta Redonda Ancha</t>
        </is>
      </c>
      <c r="S254" s="156" t="inlineStr">
        <is>
          <t>Piel bovina</t>
        </is>
      </c>
      <c r="T254" s="156" t="inlineStr">
        <is>
          <t>Bota Caballero Piel bovina Crazy Horse Tan Punta Redonda Ancha</t>
        </is>
      </c>
      <c r="U254" s="156" t="inlineStr">
        <is>
          <t>México</t>
        </is>
      </c>
      <c r="V254" s="156" t="inlineStr">
        <is>
          <t>PRS</t>
        </is>
      </c>
      <c r="W254" s="51" t="inlineStr">
        <is>
          <t>53111501</t>
        </is>
      </c>
      <c r="X254" s="156" t="n"/>
      <c r="Y254" s="54" t="n">
        <v>675</v>
      </c>
      <c r="Z254" s="54" t="n">
        <v>3879.310345</v>
      </c>
      <c r="AA254" s="55">
        <f>IF(AND(A254="", B254="", E254=""), "", IF(AB254="", "Válido", IF((LEN(AB254)-LEN(SUBSTITUTE(AB254,"; ","")))/2+1&gt;(LEN(AB254)-LEN(SUBSTITUTE(AB254,"[Aviso]","")))/7, "Con Incidencias", "Válido")))</f>
        <v/>
      </c>
      <c r="AB254" s="56">
        <f>IF(AND(A254="", B254="", E254=""), "", TEXTJOIN("; ", TRUE, IF(OR(TRIM(A254&amp;"")="", ISNUMBER(SEARCH("FALTA", A254))), "UPC faltante/inválido", ""), IF(AND(A254&lt;&gt;"", IFERROR(_xlfn.XMATCH(A254,$A$2:$A$2509,0,1)&lt;&gt;_xlfn.XMATCH(A254,$A$2:$A$2509,0,-1),FALSE)), "Código de barras duplicado", ""), IF(AND(E254&lt;&gt;"", COUNTIF($E$2:$E$2509, E254)&gt;1), "SKU duplicado", ""), IF(OR(J254="", J254=""), "[Aviso] División no capturada ()", IF(ISNA(MATCH(J254, Criterios!$A$123:$A$126, 0)), "División no válida", "")), IF(OR(K254="", K254=""), "[Aviso] Categoría no capturada ()", IF(ISNA(MATCH(K254, Criterios!$A$81:$A$120, 0)), "Categoría no válida", IF(AND(J254&lt;&gt;"", J254&lt;&gt;"", J254&lt;&gt;VLOOKUP(K254, Criterios!$A$81:$B$120, 2, FALSE)), "División no coincide con Categoría", ""))), IF(OR(L254="", L254=""), "[Aviso] Género no capturado ()", IF(ISNA(MATCH(L254, Criterios!$B$123:$B$127, 0)), "Género no válido", "")), IF(OR(N254="", N254=""), "[Aviso] Temporada no capturada ()", IF(ISNA(MATCH(N254, Criterios!$C$123:$C$128, 0)), "Temporada no válida", "")), IF(OR(O254="", O254=""), "[Aviso] Ciclo de vida no capturado ()", IF(ISNA(MATCH(O254, Criterios!$D$123:$D$124, 0)), "Ciclo de vida no válido", ""))))</f>
        <v/>
      </c>
      <c r="AC254" s="56" t="n"/>
      <c r="AD254" s="51" t="n">
        <v>-1</v>
      </c>
      <c r="AE254" s="156" t="n"/>
      <c r="AF254" s="51" t="n">
        <v>0</v>
      </c>
      <c r="AG254" s="156" t="inlineStr">
        <is>
          <t>Catálogo existente</t>
        </is>
      </c>
      <c r="AH25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4" s="156" t="inlineStr">
        <is>
          <t>Sí</t>
        </is>
      </c>
      <c r="AJ254" s="156" t="inlineStr">
        <is>
          <t>STETSON AMERICAS (-1)</t>
        </is>
      </c>
      <c r="AK254" s="155" t="inlineStr">
        <is>
          <t>Criterios: I [Q]; G1522_Extraccion_Articulos_NetSuite_2026-09-30.xlsx: fila 58826 [R] | Shopify Stetson: producto 15054564000107 / variante 53350545916267</t>
        </is>
      </c>
      <c r="AL254" s="58" t="n">
        <v>675</v>
      </c>
      <c r="AM254" s="58" t="n">
        <v>3879.310345</v>
      </c>
      <c r="AN254" s="155" t="inlineStr">
        <is>
          <t>Shopify Stetson México</t>
        </is>
      </c>
      <c r="AO254" s="59" t="n">
        <v>0</v>
      </c>
      <c r="AP254" s="59" t="n"/>
      <c r="AQ254" s="59" t="n"/>
      <c r="AR254" s="155" t="n"/>
    </row>
    <row r="255">
      <c r="A255" s="50" t="inlineStr">
        <is>
          <t>12020003101008305</t>
        </is>
      </c>
      <c r="B255" s="51" t="inlineStr">
        <is>
          <t>111152</t>
        </is>
      </c>
      <c r="C255" s="156" t="inlineStr">
        <is>
          <t>Multimarca</t>
        </is>
      </c>
      <c r="D255" s="156" t="inlineStr">
        <is>
          <t>12-020-BS003-10-1008</t>
        </is>
      </c>
      <c r="E255" s="156" t="inlineStr">
        <is>
          <t>12-020-BS003-10-1008-305</t>
        </is>
      </c>
      <c r="F255" s="156" t="inlineStr">
        <is>
          <t>30.5</t>
        </is>
      </c>
      <c r="G255" s="156" t="inlineStr">
        <is>
          <t>12.5</t>
        </is>
      </c>
      <c r="H255" s="156" t="inlineStr">
        <is>
          <t>Stetson</t>
        </is>
      </c>
      <c r="I255" s="156" t="inlineStr">
        <is>
          <t>Bota Piel Tan</t>
        </is>
      </c>
      <c r="J255" s="156" t="inlineStr">
        <is>
          <t>Calzado</t>
        </is>
      </c>
      <c r="K255" s="156" t="inlineStr">
        <is>
          <t>Botas</t>
        </is>
      </c>
      <c r="L255" s="156" t="inlineStr">
        <is>
          <t>Hombre</t>
        </is>
      </c>
      <c r="M255" s="156" t="inlineStr">
        <is>
          <t>Stetson</t>
        </is>
      </c>
      <c r="N255" s="156" t="inlineStr">
        <is>
          <t>SS26</t>
        </is>
      </c>
      <c r="O255" s="156" t="inlineStr">
        <is>
          <t>Seasonal</t>
        </is>
      </c>
      <c r="P255" s="156" t="inlineStr">
        <is>
          <t>Beige</t>
        </is>
      </c>
      <c r="Q255" s="156" t="n"/>
      <c r="R255" s="156" t="inlineStr">
        <is>
          <t>Punta Redonda Ancha</t>
        </is>
      </c>
      <c r="S255" s="156" t="inlineStr">
        <is>
          <t>Piel bovina</t>
        </is>
      </c>
      <c r="T255" s="156" t="inlineStr">
        <is>
          <t>Bota Caballero Piel bovina Crazy Horse Tan Punta Redonda Ancha</t>
        </is>
      </c>
      <c r="U255" s="156" t="inlineStr">
        <is>
          <t>México</t>
        </is>
      </c>
      <c r="V255" s="156" t="inlineStr">
        <is>
          <t>PRS</t>
        </is>
      </c>
      <c r="W255" s="51" t="inlineStr">
        <is>
          <t>53111501</t>
        </is>
      </c>
      <c r="X255" s="156" t="n"/>
      <c r="Y255" s="54" t="n">
        <v>675</v>
      </c>
      <c r="Z255" s="54" t="n">
        <v>3879.310345</v>
      </c>
      <c r="AA255" s="55">
        <f>IF(AND(A255="", B255="", E255=""), "", IF(AB255="", "Válido", IF((LEN(AB255)-LEN(SUBSTITUTE(AB255,"; ","")))/2+1&gt;(LEN(AB255)-LEN(SUBSTITUTE(AB255,"[Aviso]","")))/7, "Con Incidencias", "Válido")))</f>
        <v/>
      </c>
      <c r="AB255" s="56">
        <f>IF(AND(A255="", B255="", E255=""), "", TEXTJOIN("; ", TRUE, IF(OR(TRIM(A255&amp;"")="", ISNUMBER(SEARCH("FALTA", A255))), "UPC faltante/inválido", ""), IF(AND(A255&lt;&gt;"", IFERROR(_xlfn.XMATCH(A255,$A$2:$A$2509,0,1)&lt;&gt;_xlfn.XMATCH(A255,$A$2:$A$2509,0,-1),FALSE)), "Código de barras duplicado", ""), IF(AND(E255&lt;&gt;"", COUNTIF($E$2:$E$2509, E255)&gt;1), "SKU duplicado", ""), IF(OR(J255="", J255=""), "[Aviso] División no capturada ()", IF(ISNA(MATCH(J255, Criterios!$A$123:$A$126, 0)), "División no válida", "")), IF(OR(K255="", K255=""), "[Aviso] Categoría no capturada ()", IF(ISNA(MATCH(K255, Criterios!$A$81:$A$120, 0)), "Categoría no válida", IF(AND(J255&lt;&gt;"", J255&lt;&gt;"", J255&lt;&gt;VLOOKUP(K255, Criterios!$A$81:$B$120, 2, FALSE)), "División no coincide con Categoría", ""))), IF(OR(L255="", L255=""), "[Aviso] Género no capturado ()", IF(ISNA(MATCH(L255, Criterios!$B$123:$B$127, 0)), "Género no válido", "")), IF(OR(N255="", N255=""), "[Aviso] Temporada no capturada ()", IF(ISNA(MATCH(N255, Criterios!$C$123:$C$128, 0)), "Temporada no válida", "")), IF(OR(O255="", O255=""), "[Aviso] Ciclo de vida no capturado ()", IF(ISNA(MATCH(O255, Criterios!$D$123:$D$124, 0)), "Ciclo de vida no válido", ""))))</f>
        <v/>
      </c>
      <c r="AC255" s="56" t="n"/>
      <c r="AD255" s="51" t="n">
        <v>0</v>
      </c>
      <c r="AE255" s="156" t="n"/>
      <c r="AF255" s="51" t="n">
        <v>0</v>
      </c>
      <c r="AG255" s="156" t="inlineStr">
        <is>
          <t>Catálogo existente</t>
        </is>
      </c>
      <c r="AH2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5" s="156" t="inlineStr">
        <is>
          <t>No</t>
        </is>
      </c>
      <c r="AJ255" s="156" t="n"/>
      <c r="AK255" s="155" t="inlineStr">
        <is>
          <t>Criterios: I [Q]; G1522_Extraccion_Articulos_NetSuite_2026-09-30.xlsx: fila 58827 [R] | Shopify Stetson: producto 15054564000107 / variante 53350545981803</t>
        </is>
      </c>
      <c r="AL255" s="58" t="n">
        <v>675</v>
      </c>
      <c r="AM255" s="58" t="n">
        <v>3879.310345</v>
      </c>
      <c r="AN255" s="155" t="inlineStr">
        <is>
          <t>Shopify Stetson México</t>
        </is>
      </c>
      <c r="AO255" s="59" t="n">
        <v>0</v>
      </c>
      <c r="AP255" s="59" t="n"/>
      <c r="AQ255" s="59" t="n"/>
      <c r="AR255" s="155" t="n"/>
    </row>
    <row r="256">
      <c r="A256" s="50" t="inlineStr">
        <is>
          <t>12020003101008315</t>
        </is>
      </c>
      <c r="B256" s="51" t="inlineStr">
        <is>
          <t>111153</t>
        </is>
      </c>
      <c r="C256" s="156" t="inlineStr">
        <is>
          <t>Multimarca</t>
        </is>
      </c>
      <c r="D256" s="156" t="inlineStr">
        <is>
          <t>12-020-BS003-10-1008</t>
        </is>
      </c>
      <c r="E256" s="156" t="inlineStr">
        <is>
          <t>12-020-BS003-10-1008-315</t>
        </is>
      </c>
      <c r="F256" s="156" t="inlineStr">
        <is>
          <t>31.5</t>
        </is>
      </c>
      <c r="G256" s="156" t="inlineStr">
        <is>
          <t>13.5</t>
        </is>
      </c>
      <c r="H256" s="156" t="inlineStr">
        <is>
          <t>Stetson</t>
        </is>
      </c>
      <c r="I256" s="156" t="inlineStr">
        <is>
          <t>Bota Piel Tan</t>
        </is>
      </c>
      <c r="J256" s="156" t="inlineStr">
        <is>
          <t>Calzado</t>
        </is>
      </c>
      <c r="K256" s="156" t="inlineStr">
        <is>
          <t>Botas</t>
        </is>
      </c>
      <c r="L256" s="156" t="inlineStr">
        <is>
          <t>Hombre</t>
        </is>
      </c>
      <c r="M256" s="156" t="inlineStr">
        <is>
          <t>Stetson</t>
        </is>
      </c>
      <c r="N256" s="156" t="inlineStr">
        <is>
          <t>SS26</t>
        </is>
      </c>
      <c r="O256" s="156" t="inlineStr">
        <is>
          <t>Seasonal</t>
        </is>
      </c>
      <c r="P256" s="156" t="inlineStr">
        <is>
          <t>Beige</t>
        </is>
      </c>
      <c r="Q256" s="156" t="n"/>
      <c r="R256" s="156" t="inlineStr">
        <is>
          <t>Punta Redonda Ancha</t>
        </is>
      </c>
      <c r="S256" s="156" t="inlineStr">
        <is>
          <t>Piel bovina</t>
        </is>
      </c>
      <c r="T256" s="156" t="inlineStr">
        <is>
          <t>Bota Caballero Piel bovina Crazy Horse Tan Punta Redonda Ancha</t>
        </is>
      </c>
      <c r="U256" s="156" t="inlineStr">
        <is>
          <t>México</t>
        </is>
      </c>
      <c r="V256" s="156" t="inlineStr">
        <is>
          <t>PRS</t>
        </is>
      </c>
      <c r="W256" s="51" t="inlineStr">
        <is>
          <t>53111501</t>
        </is>
      </c>
      <c r="X256" s="156" t="n"/>
      <c r="Y256" s="54" t="n">
        <v>675</v>
      </c>
      <c r="Z256" s="54" t="n">
        <v>3879.310345</v>
      </c>
      <c r="AA256" s="55">
        <f>IF(AND(A256="", B256="", E256=""), "", IF(AB256="", "Válido", IF((LEN(AB256)-LEN(SUBSTITUTE(AB256,"; ","")))/2+1&gt;(LEN(AB256)-LEN(SUBSTITUTE(AB256,"[Aviso]","")))/7, "Con Incidencias", "Válido")))</f>
        <v/>
      </c>
      <c r="AB256" s="56">
        <f>IF(AND(A256="", B256="", E256=""), "", TEXTJOIN("; ", TRUE, IF(OR(TRIM(A256&amp;"")="", ISNUMBER(SEARCH("FALTA", A256))), "UPC faltante/inválido", ""), IF(AND(A256&lt;&gt;"", IFERROR(_xlfn.XMATCH(A256,$A$2:$A$2509,0,1)&lt;&gt;_xlfn.XMATCH(A256,$A$2:$A$2509,0,-1),FALSE)), "Código de barras duplicado", ""), IF(AND(E256&lt;&gt;"", COUNTIF($E$2:$E$2509, E256)&gt;1), "SKU duplicado", ""), IF(OR(J256="", J256=""), "[Aviso] División no capturada ()", IF(ISNA(MATCH(J256, Criterios!$A$123:$A$126, 0)), "División no válida", "")), IF(OR(K256="", K256=""), "[Aviso] Categoría no capturada ()", IF(ISNA(MATCH(K256, Criterios!$A$81:$A$120, 0)), "Categoría no válida", IF(AND(J256&lt;&gt;"", J256&lt;&gt;"", J256&lt;&gt;VLOOKUP(K256, Criterios!$A$81:$B$120, 2, FALSE)), "División no coincide con Categoría", ""))), IF(OR(L256="", L256=""), "[Aviso] Género no capturado ()", IF(ISNA(MATCH(L256, Criterios!$B$123:$B$127, 0)), "Género no válido", "")), IF(OR(N256="", N256=""), "[Aviso] Temporada no capturada ()", IF(ISNA(MATCH(N256, Criterios!$C$123:$C$128, 0)), "Temporada no válida", "")), IF(OR(O256="", O256=""), "[Aviso] Ciclo de vida no capturado ()", IF(ISNA(MATCH(O256, Criterios!$D$123:$D$124, 0)), "Ciclo de vida no válido", ""))))</f>
        <v/>
      </c>
      <c r="AC256" s="56" t="n"/>
      <c r="AD256" s="51" t="n">
        <v>0</v>
      </c>
      <c r="AE256" s="156" t="n"/>
      <c r="AF256" s="51" t="n">
        <v>0</v>
      </c>
      <c r="AG256" s="156" t="inlineStr">
        <is>
          <t>Catálogo existente</t>
        </is>
      </c>
      <c r="AH25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6" s="156" t="inlineStr">
        <is>
          <t>No</t>
        </is>
      </c>
      <c r="AJ256" s="156" t="n"/>
      <c r="AK256" s="155" t="inlineStr">
        <is>
          <t>Criterios: I [Q]; G1522_Extraccion_Articulos_NetSuite_2026-09-30.xlsx: fila 58828 [R] | Shopify Stetson: producto 15054564000107 / variante 53350546047339</t>
        </is>
      </c>
      <c r="AL256" s="58" t="n">
        <v>675</v>
      </c>
      <c r="AM256" s="58" t="n">
        <v>3879.310345</v>
      </c>
      <c r="AN256" s="155" t="inlineStr">
        <is>
          <t>Shopify Stetson México</t>
        </is>
      </c>
      <c r="AO256" s="59" t="n">
        <v>0</v>
      </c>
      <c r="AP256" s="59" t="n"/>
      <c r="AQ256" s="59" t="n"/>
      <c r="AR256" s="155" t="n"/>
    </row>
    <row r="257">
      <c r="A257" s="50" t="inlineStr">
        <is>
          <t>12020003101008325</t>
        </is>
      </c>
      <c r="B257" s="51" t="inlineStr">
        <is>
          <t>111154</t>
        </is>
      </c>
      <c r="C257" s="156" t="inlineStr">
        <is>
          <t>Multimarca</t>
        </is>
      </c>
      <c r="D257" s="156" t="inlineStr">
        <is>
          <t>12-020-BS003-10-1008</t>
        </is>
      </c>
      <c r="E257" s="156" t="inlineStr">
        <is>
          <t>12-020-BS003-10-1008-325</t>
        </is>
      </c>
      <c r="F257" s="156" t="inlineStr">
        <is>
          <t>32.5</t>
        </is>
      </c>
      <c r="G257" s="156" t="inlineStr">
        <is>
          <t>14.5</t>
        </is>
      </c>
      <c r="H257" s="156" t="inlineStr">
        <is>
          <t>Stetson</t>
        </is>
      </c>
      <c r="I257" s="156" t="inlineStr">
        <is>
          <t>Bota Piel Tan</t>
        </is>
      </c>
      <c r="J257" s="156" t="inlineStr">
        <is>
          <t>Calzado</t>
        </is>
      </c>
      <c r="K257" s="156" t="inlineStr">
        <is>
          <t>Botas</t>
        </is>
      </c>
      <c r="L257" s="156" t="inlineStr">
        <is>
          <t>Hombre</t>
        </is>
      </c>
      <c r="M257" s="156" t="inlineStr">
        <is>
          <t>Stetson</t>
        </is>
      </c>
      <c r="N257" s="156" t="inlineStr">
        <is>
          <t>SS26</t>
        </is>
      </c>
      <c r="O257" s="156" t="inlineStr">
        <is>
          <t>Seasonal</t>
        </is>
      </c>
      <c r="P257" s="156" t="inlineStr">
        <is>
          <t>Beige</t>
        </is>
      </c>
      <c r="Q257" s="156" t="n"/>
      <c r="R257" s="156" t="inlineStr">
        <is>
          <t>Punta Redonda Ancha</t>
        </is>
      </c>
      <c r="S257" s="156" t="inlineStr">
        <is>
          <t>Piel bovina</t>
        </is>
      </c>
      <c r="T257" s="156" t="inlineStr">
        <is>
          <t>Bota Caballero Piel bovina Crazy Horse Tan Punta Redonda Ancha</t>
        </is>
      </c>
      <c r="U257" s="156" t="inlineStr">
        <is>
          <t>México</t>
        </is>
      </c>
      <c r="V257" s="156" t="inlineStr">
        <is>
          <t>PRS</t>
        </is>
      </c>
      <c r="W257" s="51" t="inlineStr">
        <is>
          <t>53111501</t>
        </is>
      </c>
      <c r="X257" s="156" t="n"/>
      <c r="Y257" s="54" t="n">
        <v>675</v>
      </c>
      <c r="Z257" s="54" t="n">
        <v>3879.310345</v>
      </c>
      <c r="AA257" s="55">
        <f>IF(AND(A257="", B257="", E257=""), "", IF(AB257="", "Válido", IF((LEN(AB257)-LEN(SUBSTITUTE(AB257,"; ","")))/2+1&gt;(LEN(AB257)-LEN(SUBSTITUTE(AB257,"[Aviso]","")))/7, "Con Incidencias", "Válido")))</f>
        <v/>
      </c>
      <c r="AB257" s="56">
        <f>IF(AND(A257="", B257="", E257=""), "", TEXTJOIN("; ", TRUE, IF(OR(TRIM(A257&amp;"")="", ISNUMBER(SEARCH("FALTA", A257))), "UPC faltante/inválido", ""), IF(AND(A257&lt;&gt;"", IFERROR(_xlfn.XMATCH(A257,$A$2:$A$2509,0,1)&lt;&gt;_xlfn.XMATCH(A257,$A$2:$A$2509,0,-1),FALSE)), "Código de barras duplicado", ""), IF(AND(E257&lt;&gt;"", COUNTIF($E$2:$E$2509, E257)&gt;1), "SKU duplicado", ""), IF(OR(J257="", J257=""), "[Aviso] División no capturada ()", IF(ISNA(MATCH(J257, Criterios!$A$123:$A$126, 0)), "División no válida", "")), IF(OR(K257="", K257=""), "[Aviso] Categoría no capturada ()", IF(ISNA(MATCH(K257, Criterios!$A$81:$A$120, 0)), "Categoría no válida", IF(AND(J257&lt;&gt;"", J257&lt;&gt;"", J257&lt;&gt;VLOOKUP(K257, Criterios!$A$81:$B$120, 2, FALSE)), "División no coincide con Categoría", ""))), IF(OR(L257="", L257=""), "[Aviso] Género no capturado ()", IF(ISNA(MATCH(L257, Criterios!$B$123:$B$127, 0)), "Género no válido", "")), IF(OR(N257="", N257=""), "[Aviso] Temporada no capturada ()", IF(ISNA(MATCH(N257, Criterios!$C$123:$C$128, 0)), "Temporada no válida", "")), IF(OR(O257="", O257=""), "[Aviso] Ciclo de vida no capturado ()", IF(ISNA(MATCH(O257, Criterios!$D$123:$D$124, 0)), "Ciclo de vida no válido", ""))))</f>
        <v/>
      </c>
      <c r="AC257" s="56" t="n"/>
      <c r="AD257" s="51" t="n">
        <v>0</v>
      </c>
      <c r="AE257" s="156" t="n"/>
      <c r="AF257" s="51" t="n">
        <v>0</v>
      </c>
      <c r="AG257" s="156" t="inlineStr">
        <is>
          <t>Catálogo existente</t>
        </is>
      </c>
      <c r="AH2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7" s="156" t="inlineStr">
        <is>
          <t>No</t>
        </is>
      </c>
      <c r="AJ257" s="156" t="n"/>
      <c r="AK257" s="155" t="inlineStr">
        <is>
          <t>Criterios: I [Q]; G1522_Extraccion_Articulos_NetSuite_2026-09-30.xlsx: fila 58829 [R] | Shopify Stetson: producto 15054564000107 / variante 53350546112875</t>
        </is>
      </c>
      <c r="AL257" s="58" t="n">
        <v>675</v>
      </c>
      <c r="AM257" s="58" t="n">
        <v>3879.310345</v>
      </c>
      <c r="AN257" s="155" t="inlineStr">
        <is>
          <t>Shopify Stetson México</t>
        </is>
      </c>
      <c r="AO257" s="59" t="n">
        <v>0</v>
      </c>
      <c r="AP257" s="59" t="n"/>
      <c r="AQ257" s="59" t="n"/>
      <c r="AR257" s="155" t="n"/>
    </row>
    <row r="258">
      <c r="A258" s="50" t="inlineStr">
        <is>
          <t>12020003101009025</t>
        </is>
      </c>
      <c r="B258" s="51" t="inlineStr">
        <is>
          <t>111155</t>
        </is>
      </c>
      <c r="C258" s="156" t="inlineStr">
        <is>
          <t>Multimarca</t>
        </is>
      </c>
      <c r="D258" s="156" t="inlineStr">
        <is>
          <t>12-020-BS003-10-1009</t>
        </is>
      </c>
      <c r="E258" s="156" t="inlineStr">
        <is>
          <t>12-020-BS003-10-1009-025</t>
        </is>
      </c>
      <c r="F258" s="156" t="inlineStr">
        <is>
          <t>25</t>
        </is>
      </c>
      <c r="G258" s="156" t="inlineStr">
        <is>
          <t>7</t>
        </is>
      </c>
      <c r="H258" s="156" t="inlineStr">
        <is>
          <t>Stetson</t>
        </is>
      </c>
      <c r="I258" s="156" t="inlineStr">
        <is>
          <t>Bota Piel Chocolate</t>
        </is>
      </c>
      <c r="J258" s="156" t="inlineStr">
        <is>
          <t>Calzado</t>
        </is>
      </c>
      <c r="K258" s="156" t="inlineStr">
        <is>
          <t>Botas</t>
        </is>
      </c>
      <c r="L258" s="156" t="inlineStr">
        <is>
          <t>Hombre</t>
        </is>
      </c>
      <c r="M258" s="156" t="inlineStr">
        <is>
          <t>Stetson</t>
        </is>
      </c>
      <c r="N258" s="156" t="inlineStr">
        <is>
          <t>SS26</t>
        </is>
      </c>
      <c r="O258" s="156" t="inlineStr">
        <is>
          <t>Seasonal</t>
        </is>
      </c>
      <c r="P258" s="156" t="inlineStr">
        <is>
          <t>Cafe</t>
        </is>
      </c>
      <c r="Q258" s="156" t="n"/>
      <c r="R258" s="156" t="inlineStr">
        <is>
          <t>Punta Redonda Ancha</t>
        </is>
      </c>
      <c r="S258" s="156" t="inlineStr">
        <is>
          <t>Piel bovina</t>
        </is>
      </c>
      <c r="T258" s="156" t="inlineStr">
        <is>
          <t>Bota Caballero Piel bovina Crazy Horse Chocolate Punta Redonda Ancha</t>
        </is>
      </c>
      <c r="U258" s="156" t="inlineStr">
        <is>
          <t>México</t>
        </is>
      </c>
      <c r="V258" s="156" t="inlineStr">
        <is>
          <t>PRS</t>
        </is>
      </c>
      <c r="W258" s="51" t="inlineStr">
        <is>
          <t>53111501</t>
        </is>
      </c>
      <c r="X258" s="156" t="n"/>
      <c r="Y258" s="54" t="n">
        <v>675</v>
      </c>
      <c r="Z258" s="54" t="n">
        <v>3879.310345</v>
      </c>
      <c r="AA258" s="55">
        <f>IF(AND(A258="", B258="", E258=""), "", IF(AB258="", "Válido", IF((LEN(AB258)-LEN(SUBSTITUTE(AB258,"; ","")))/2+1&gt;(LEN(AB258)-LEN(SUBSTITUTE(AB258,"[Aviso]","")))/7, "Con Incidencias", "Válido")))</f>
        <v/>
      </c>
      <c r="AB258" s="56">
        <f>IF(AND(A258="", B258="", E258=""), "", TEXTJOIN("; ", TRUE, IF(OR(TRIM(A258&amp;"")="", ISNUMBER(SEARCH("FALTA", A258))), "UPC faltante/inválido", ""), IF(AND(A258&lt;&gt;"", IFERROR(_xlfn.XMATCH(A258,$A$2:$A$2509,0,1)&lt;&gt;_xlfn.XMATCH(A258,$A$2:$A$2509,0,-1),FALSE)), "Código de barras duplicado", ""), IF(AND(E258&lt;&gt;"", COUNTIF($E$2:$E$2509, E258)&gt;1), "SKU duplicado", ""), IF(OR(J258="", J258=""), "[Aviso] División no capturada ()", IF(ISNA(MATCH(J258, Criterios!$A$123:$A$126, 0)), "División no válida", "")), IF(OR(K258="", K258=""), "[Aviso] Categoría no capturada ()", IF(ISNA(MATCH(K258, Criterios!$A$81:$A$120, 0)), "Categoría no válida", IF(AND(J258&lt;&gt;"", J258&lt;&gt;"", J258&lt;&gt;VLOOKUP(K258, Criterios!$A$81:$B$120, 2, FALSE)), "División no coincide con Categoría", ""))), IF(OR(L258="", L258=""), "[Aviso] Género no capturado ()", IF(ISNA(MATCH(L258, Criterios!$B$123:$B$127, 0)), "Género no válido", "")), IF(OR(N258="", N258=""), "[Aviso] Temporada no capturada ()", IF(ISNA(MATCH(N258, Criterios!$C$123:$C$128, 0)), "Temporada no válida", "")), IF(OR(O258="", O258=""), "[Aviso] Ciclo de vida no capturado ()", IF(ISNA(MATCH(O258, Criterios!$D$123:$D$124, 0)), "Ciclo de vida no válido", ""))))</f>
        <v/>
      </c>
      <c r="AC258" s="56" t="n"/>
      <c r="AD258" s="51" t="n">
        <v>0</v>
      </c>
      <c r="AE258" s="156" t="n"/>
      <c r="AF258" s="51" t="n">
        <v>0</v>
      </c>
      <c r="AG258" s="156" t="inlineStr">
        <is>
          <t>Catálogo existente</t>
        </is>
      </c>
      <c r="AH2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8" s="156" t="inlineStr">
        <is>
          <t>No</t>
        </is>
      </c>
      <c r="AJ258" s="156" t="n"/>
      <c r="AK258" s="155" t="inlineStr">
        <is>
          <t>Criterios: I [Q]; G1522_Extraccion_Articulos_NetSuite_2026-09-30.xlsx: fila 58830 [R] | Shopify Stetson: producto 15054564032875 / variante 53350546145643</t>
        </is>
      </c>
      <c r="AL258" s="58" t="n">
        <v>675</v>
      </c>
      <c r="AM258" s="58" t="n">
        <v>3879.310345</v>
      </c>
      <c r="AN258" s="155" t="inlineStr">
        <is>
          <t>Shopify Stetson México</t>
        </is>
      </c>
      <c r="AO258" s="59" t="n">
        <v>0</v>
      </c>
      <c r="AP258" s="59" t="n"/>
      <c r="AQ258" s="59" t="n"/>
      <c r="AR258" s="155" t="n"/>
    </row>
    <row r="259">
      <c r="A259" s="50" t="inlineStr">
        <is>
          <t>12020003101009026</t>
        </is>
      </c>
      <c r="B259" s="51" t="inlineStr">
        <is>
          <t>111156</t>
        </is>
      </c>
      <c r="C259" s="156" t="inlineStr">
        <is>
          <t>Multimarca</t>
        </is>
      </c>
      <c r="D259" s="156" t="inlineStr">
        <is>
          <t>12-020-BS003-10-1009</t>
        </is>
      </c>
      <c r="E259" s="156" t="inlineStr">
        <is>
          <t>12-020-BS003-10-1009-026</t>
        </is>
      </c>
      <c r="F259" s="156" t="inlineStr">
        <is>
          <t>26</t>
        </is>
      </c>
      <c r="G259" s="156" t="inlineStr">
        <is>
          <t>8</t>
        </is>
      </c>
      <c r="H259" s="156" t="inlineStr">
        <is>
          <t>Stetson</t>
        </is>
      </c>
      <c r="I259" s="156" t="inlineStr">
        <is>
          <t>Bota Piel Chocolate</t>
        </is>
      </c>
      <c r="J259" s="156" t="inlineStr">
        <is>
          <t>Calzado</t>
        </is>
      </c>
      <c r="K259" s="156" t="inlineStr">
        <is>
          <t>Botas</t>
        </is>
      </c>
      <c r="L259" s="156" t="inlineStr">
        <is>
          <t>Hombre</t>
        </is>
      </c>
      <c r="M259" s="156" t="inlineStr">
        <is>
          <t>Stetson</t>
        </is>
      </c>
      <c r="N259" s="156" t="inlineStr">
        <is>
          <t>SS26</t>
        </is>
      </c>
      <c r="O259" s="156" t="inlineStr">
        <is>
          <t>Seasonal</t>
        </is>
      </c>
      <c r="P259" s="156" t="inlineStr">
        <is>
          <t>Cafe</t>
        </is>
      </c>
      <c r="Q259" s="156" t="n"/>
      <c r="R259" s="156" t="inlineStr">
        <is>
          <t>Punta Redonda Ancha</t>
        </is>
      </c>
      <c r="S259" s="156" t="inlineStr">
        <is>
          <t>Piel bovina</t>
        </is>
      </c>
      <c r="T259" s="156" t="inlineStr">
        <is>
          <t>Bota Caballero Piel bovina Crazy Horse Chocolate Punta Redonda Ancha</t>
        </is>
      </c>
      <c r="U259" s="156" t="inlineStr">
        <is>
          <t>México</t>
        </is>
      </c>
      <c r="V259" s="156" t="inlineStr">
        <is>
          <t>PRS</t>
        </is>
      </c>
      <c r="W259" s="51" t="inlineStr">
        <is>
          <t>53111501</t>
        </is>
      </c>
      <c r="X259" s="156" t="n"/>
      <c r="Y259" s="54" t="n">
        <v>675</v>
      </c>
      <c r="Z259" s="54" t="n">
        <v>3879.310345</v>
      </c>
      <c r="AA259" s="55">
        <f>IF(AND(A259="", B259="", E259=""), "", IF(AB259="", "Válido", IF((LEN(AB259)-LEN(SUBSTITUTE(AB259,"; ","")))/2+1&gt;(LEN(AB259)-LEN(SUBSTITUTE(AB259,"[Aviso]","")))/7, "Con Incidencias", "Válido")))</f>
        <v/>
      </c>
      <c r="AB259" s="56">
        <f>IF(AND(A259="", B259="", E259=""), "", TEXTJOIN("; ", TRUE, IF(OR(TRIM(A259&amp;"")="", ISNUMBER(SEARCH("FALTA", A259))), "UPC faltante/inválido", ""), IF(AND(A259&lt;&gt;"", IFERROR(_xlfn.XMATCH(A259,$A$2:$A$2509,0,1)&lt;&gt;_xlfn.XMATCH(A259,$A$2:$A$2509,0,-1),FALSE)), "Código de barras duplicado", ""), IF(AND(E259&lt;&gt;"", COUNTIF($E$2:$E$2509, E259)&gt;1), "SKU duplicado", ""), IF(OR(J259="", J259=""), "[Aviso] División no capturada ()", IF(ISNA(MATCH(J259, Criterios!$A$123:$A$126, 0)), "División no válida", "")), IF(OR(K259="", K259=""), "[Aviso] Categoría no capturada ()", IF(ISNA(MATCH(K259, Criterios!$A$81:$A$120, 0)), "Categoría no válida", IF(AND(J259&lt;&gt;"", J259&lt;&gt;"", J259&lt;&gt;VLOOKUP(K259, Criterios!$A$81:$B$120, 2, FALSE)), "División no coincide con Categoría", ""))), IF(OR(L259="", L259=""), "[Aviso] Género no capturado ()", IF(ISNA(MATCH(L259, Criterios!$B$123:$B$127, 0)), "Género no válido", "")), IF(OR(N259="", N259=""), "[Aviso] Temporada no capturada ()", IF(ISNA(MATCH(N259, Criterios!$C$123:$C$128, 0)), "Temporada no válida", "")), IF(OR(O259="", O259=""), "[Aviso] Ciclo de vida no capturado ()", IF(ISNA(MATCH(O259, Criterios!$D$123:$D$124, 0)), "Ciclo de vida no válido", ""))))</f>
        <v/>
      </c>
      <c r="AC259" s="56" t="n"/>
      <c r="AD259" s="51" t="n">
        <v>-1</v>
      </c>
      <c r="AE259" s="156" t="n"/>
      <c r="AF259" s="51" t="n">
        <v>0</v>
      </c>
      <c r="AG259" s="156" t="inlineStr">
        <is>
          <t>Catálogo existente</t>
        </is>
      </c>
      <c r="AH25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9" s="156" t="inlineStr">
        <is>
          <t>Sí</t>
        </is>
      </c>
      <c r="AJ259" s="156" t="inlineStr">
        <is>
          <t>STETSON AMERICAS (-1)</t>
        </is>
      </c>
      <c r="AK259" s="155" t="inlineStr">
        <is>
          <t>Criterios: I [Q]; G1522_Extraccion_Articulos_NetSuite_2026-09-30.xlsx: fila 58831 [R] | Shopify Stetson: producto 15054564032875 / variante 53350546211179</t>
        </is>
      </c>
      <c r="AL259" s="58" t="n">
        <v>675</v>
      </c>
      <c r="AM259" s="58" t="n">
        <v>3879.310345</v>
      </c>
      <c r="AN259" s="155" t="inlineStr">
        <is>
          <t>Shopify Stetson México</t>
        </is>
      </c>
      <c r="AO259" s="59" t="n">
        <v>0</v>
      </c>
      <c r="AP259" s="59" t="n"/>
      <c r="AQ259" s="59" t="n"/>
      <c r="AR259" s="155" t="n"/>
    </row>
    <row r="260">
      <c r="A260" s="50" t="inlineStr">
        <is>
          <t>12020003101009027</t>
        </is>
      </c>
      <c r="B260" s="51" t="inlineStr">
        <is>
          <t>111157</t>
        </is>
      </c>
      <c r="C260" s="156" t="inlineStr">
        <is>
          <t>Multimarca</t>
        </is>
      </c>
      <c r="D260" s="156" t="inlineStr">
        <is>
          <t>12-020-BS003-10-1009</t>
        </is>
      </c>
      <c r="E260" s="156" t="inlineStr">
        <is>
          <t>12-020-BS003-10-1009-027</t>
        </is>
      </c>
      <c r="F260" s="156" t="inlineStr">
        <is>
          <t>27</t>
        </is>
      </c>
      <c r="G260" s="156" t="inlineStr">
        <is>
          <t>9</t>
        </is>
      </c>
      <c r="H260" s="156" t="inlineStr">
        <is>
          <t>Stetson</t>
        </is>
      </c>
      <c r="I260" s="156" t="inlineStr">
        <is>
          <t>Bota Piel Chocolate</t>
        </is>
      </c>
      <c r="J260" s="156" t="inlineStr">
        <is>
          <t>Calzado</t>
        </is>
      </c>
      <c r="K260" s="156" t="inlineStr">
        <is>
          <t>Botas</t>
        </is>
      </c>
      <c r="L260" s="156" t="inlineStr">
        <is>
          <t>Hombre</t>
        </is>
      </c>
      <c r="M260" s="156" t="inlineStr">
        <is>
          <t>Stetson</t>
        </is>
      </c>
      <c r="N260" s="156" t="inlineStr">
        <is>
          <t>SS26</t>
        </is>
      </c>
      <c r="O260" s="156" t="inlineStr">
        <is>
          <t>Seasonal</t>
        </is>
      </c>
      <c r="P260" s="156" t="inlineStr">
        <is>
          <t>Cafe</t>
        </is>
      </c>
      <c r="Q260" s="156" t="n"/>
      <c r="R260" s="156" t="inlineStr">
        <is>
          <t>Punta Redonda Ancha</t>
        </is>
      </c>
      <c r="S260" s="156" t="inlineStr">
        <is>
          <t>Piel bovina</t>
        </is>
      </c>
      <c r="T260" s="156" t="inlineStr">
        <is>
          <t>Bota Caballero Piel bovina Crazy Horse Chocolate Punta Redonda Ancha</t>
        </is>
      </c>
      <c r="U260" s="156" t="inlineStr">
        <is>
          <t>México</t>
        </is>
      </c>
      <c r="V260" s="156" t="inlineStr">
        <is>
          <t>PRS</t>
        </is>
      </c>
      <c r="W260" s="51" t="inlineStr">
        <is>
          <t>53111501</t>
        </is>
      </c>
      <c r="X260" s="156" t="n"/>
      <c r="Y260" s="54" t="n">
        <v>675</v>
      </c>
      <c r="Z260" s="54" t="n">
        <v>3879.310345</v>
      </c>
      <c r="AA260" s="55">
        <f>IF(AND(A260="", B260="", E260=""), "", IF(AB260="", "Válido", IF((LEN(AB260)-LEN(SUBSTITUTE(AB260,"; ","")))/2+1&gt;(LEN(AB260)-LEN(SUBSTITUTE(AB260,"[Aviso]","")))/7, "Con Incidencias", "Válido")))</f>
        <v/>
      </c>
      <c r="AB260" s="56">
        <f>IF(AND(A260="", B260="", E260=""), "", TEXTJOIN("; ", TRUE, IF(OR(TRIM(A260&amp;"")="", ISNUMBER(SEARCH("FALTA", A260))), "UPC faltante/inválido", ""), IF(AND(A260&lt;&gt;"", IFERROR(_xlfn.XMATCH(A260,$A$2:$A$2509,0,1)&lt;&gt;_xlfn.XMATCH(A260,$A$2:$A$2509,0,-1),FALSE)), "Código de barras duplicado", ""), IF(AND(E260&lt;&gt;"", COUNTIF($E$2:$E$2509, E260)&gt;1), "SKU duplicado", ""), IF(OR(J260="", J260=""), "[Aviso] División no capturada ()", IF(ISNA(MATCH(J260, Criterios!$A$123:$A$126, 0)), "División no válida", "")), IF(OR(K260="", K260=""), "[Aviso] Categoría no capturada ()", IF(ISNA(MATCH(K260, Criterios!$A$81:$A$120, 0)), "Categoría no válida", IF(AND(J260&lt;&gt;"", J260&lt;&gt;"", J260&lt;&gt;VLOOKUP(K260, Criterios!$A$81:$B$120, 2, FALSE)), "División no coincide con Categoría", ""))), IF(OR(L260="", L260=""), "[Aviso] Género no capturado ()", IF(ISNA(MATCH(L260, Criterios!$B$123:$B$127, 0)), "Género no válido", "")), IF(OR(N260="", N260=""), "[Aviso] Temporada no capturada ()", IF(ISNA(MATCH(N260, Criterios!$C$123:$C$128, 0)), "Temporada no válida", "")), IF(OR(O260="", O260=""), "[Aviso] Ciclo de vida no capturado ()", IF(ISNA(MATCH(O260, Criterios!$D$123:$D$124, 0)), "Ciclo de vida no válido", ""))))</f>
        <v/>
      </c>
      <c r="AC260" s="56" t="n"/>
      <c r="AD260" s="51" t="n">
        <v>0</v>
      </c>
      <c r="AE260" s="156" t="n"/>
      <c r="AF260" s="51" t="n">
        <v>0</v>
      </c>
      <c r="AG260" s="156" t="inlineStr">
        <is>
          <t>Catálogo existente</t>
        </is>
      </c>
      <c r="AH2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0" s="156" t="inlineStr">
        <is>
          <t>No</t>
        </is>
      </c>
      <c r="AJ260" s="156" t="n"/>
      <c r="AK260" s="155" t="inlineStr">
        <is>
          <t>Criterios: I [Q]; G1522_Extraccion_Articulos_NetSuite_2026-09-30.xlsx: fila 58832 [R] | Shopify Stetson: producto 15054564032875 / variante 53350546276715</t>
        </is>
      </c>
      <c r="AL260" s="58" t="n">
        <v>675</v>
      </c>
      <c r="AM260" s="58" t="n">
        <v>3879.310345</v>
      </c>
      <c r="AN260" s="155" t="inlineStr">
        <is>
          <t>Shopify Stetson México</t>
        </is>
      </c>
      <c r="AO260" s="59" t="n">
        <v>1</v>
      </c>
      <c r="AP260" s="59" t="n"/>
      <c r="AQ260" s="59" t="n"/>
      <c r="AR260" s="155" t="inlineStr">
        <is>
          <t>Shopify Stetson México › Stetson Americas: 1</t>
        </is>
      </c>
    </row>
    <row r="261">
      <c r="A261" s="50" t="inlineStr">
        <is>
          <t>12020003101009028</t>
        </is>
      </c>
      <c r="B261" s="51" t="inlineStr">
        <is>
          <t>111158</t>
        </is>
      </c>
      <c r="C261" s="156" t="inlineStr">
        <is>
          <t>Multimarca</t>
        </is>
      </c>
      <c r="D261" s="156" t="inlineStr">
        <is>
          <t>12-020-BS003-10-1009</t>
        </is>
      </c>
      <c r="E261" s="156" t="inlineStr">
        <is>
          <t>12-020-BS003-10-1009-028</t>
        </is>
      </c>
      <c r="F261" s="156" t="inlineStr">
        <is>
          <t>28</t>
        </is>
      </c>
      <c r="G261" s="156" t="inlineStr">
        <is>
          <t>10</t>
        </is>
      </c>
      <c r="H261" s="156" t="inlineStr">
        <is>
          <t>Stetson</t>
        </is>
      </c>
      <c r="I261" s="156" t="inlineStr">
        <is>
          <t>Bota Piel Chocolate</t>
        </is>
      </c>
      <c r="J261" s="156" t="inlineStr">
        <is>
          <t>Calzado</t>
        </is>
      </c>
      <c r="K261" s="156" t="inlineStr">
        <is>
          <t>Botas</t>
        </is>
      </c>
      <c r="L261" s="156" t="inlineStr">
        <is>
          <t>Hombre</t>
        </is>
      </c>
      <c r="M261" s="156" t="inlineStr">
        <is>
          <t>Stetson</t>
        </is>
      </c>
      <c r="N261" s="156" t="inlineStr">
        <is>
          <t>SS26</t>
        </is>
      </c>
      <c r="O261" s="156" t="inlineStr">
        <is>
          <t>Seasonal</t>
        </is>
      </c>
      <c r="P261" s="156" t="inlineStr">
        <is>
          <t>Cafe</t>
        </is>
      </c>
      <c r="Q261" s="156" t="n"/>
      <c r="R261" s="156" t="inlineStr">
        <is>
          <t>Punta Redonda Ancha</t>
        </is>
      </c>
      <c r="S261" s="156" t="inlineStr">
        <is>
          <t>Piel bovina</t>
        </is>
      </c>
      <c r="T261" s="156" t="inlineStr">
        <is>
          <t>Bota Caballero Piel bovina Crazy Horse Chocolate Punta Redonda Ancha</t>
        </is>
      </c>
      <c r="U261" s="156" t="inlineStr">
        <is>
          <t>México</t>
        </is>
      </c>
      <c r="V261" s="156" t="inlineStr">
        <is>
          <t>PRS</t>
        </is>
      </c>
      <c r="W261" s="51" t="inlineStr">
        <is>
          <t>53111501</t>
        </is>
      </c>
      <c r="X261" s="156" t="n"/>
      <c r="Y261" s="54" t="n">
        <v>675</v>
      </c>
      <c r="Z261" s="54" t="n">
        <v>3879.310345</v>
      </c>
      <c r="AA261" s="55">
        <f>IF(AND(A261="", B261="", E261=""), "", IF(AB261="", "Válido", IF((LEN(AB261)-LEN(SUBSTITUTE(AB261,"; ","")))/2+1&gt;(LEN(AB261)-LEN(SUBSTITUTE(AB261,"[Aviso]","")))/7, "Con Incidencias", "Válido")))</f>
        <v/>
      </c>
      <c r="AB261" s="56">
        <f>IF(AND(A261="", B261="", E261=""), "", TEXTJOIN("; ", TRUE, IF(OR(TRIM(A261&amp;"")="", ISNUMBER(SEARCH("FALTA", A261))), "UPC faltante/inválido", ""), IF(AND(A261&lt;&gt;"", IFERROR(_xlfn.XMATCH(A261,$A$2:$A$2509,0,1)&lt;&gt;_xlfn.XMATCH(A261,$A$2:$A$2509,0,-1),FALSE)), "Código de barras duplicado", ""), IF(AND(E261&lt;&gt;"", COUNTIF($E$2:$E$2509, E261)&gt;1), "SKU duplicado", ""), IF(OR(J261="", J261=""), "[Aviso] División no capturada ()", IF(ISNA(MATCH(J261, Criterios!$A$123:$A$126, 0)), "División no válida", "")), IF(OR(K261="", K261=""), "[Aviso] Categoría no capturada ()", IF(ISNA(MATCH(K261, Criterios!$A$81:$A$120, 0)), "Categoría no válida", IF(AND(J261&lt;&gt;"", J261&lt;&gt;"", J261&lt;&gt;VLOOKUP(K261, Criterios!$A$81:$B$120, 2, FALSE)), "División no coincide con Categoría", ""))), IF(OR(L261="", L261=""), "[Aviso] Género no capturado ()", IF(ISNA(MATCH(L261, Criterios!$B$123:$B$127, 0)), "Género no válido", "")), IF(OR(N261="", N261=""), "[Aviso] Temporada no capturada ()", IF(ISNA(MATCH(N261, Criterios!$C$123:$C$128, 0)), "Temporada no válida", "")), IF(OR(O261="", O261=""), "[Aviso] Ciclo de vida no capturado ()", IF(ISNA(MATCH(O261, Criterios!$D$123:$D$124, 0)), "Ciclo de vida no válido", ""))))</f>
        <v/>
      </c>
      <c r="AC261" s="56" t="n"/>
      <c r="AD261" s="51" t="n">
        <v>0</v>
      </c>
      <c r="AE261" s="156" t="n"/>
      <c r="AF261" s="51" t="n">
        <v>0</v>
      </c>
      <c r="AG261" s="156" t="inlineStr">
        <is>
          <t>Catálogo existente</t>
        </is>
      </c>
      <c r="AH2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1" s="156" t="inlineStr">
        <is>
          <t>No</t>
        </is>
      </c>
      <c r="AJ261" s="156" t="n"/>
      <c r="AK261" s="155" t="inlineStr">
        <is>
          <t>Criterios: I [Q]; G1522_Extraccion_Articulos_NetSuite_2026-09-30.xlsx: fila 58833 [R] | Shopify Stetson: producto 15054564032875 / variante 53350546342251</t>
        </is>
      </c>
      <c r="AL261" s="58" t="n">
        <v>675</v>
      </c>
      <c r="AM261" s="58" t="n">
        <v>3879.310345</v>
      </c>
      <c r="AN261" s="155" t="inlineStr">
        <is>
          <t>Shopify Stetson México</t>
        </is>
      </c>
      <c r="AO261" s="59" t="n">
        <v>2</v>
      </c>
      <c r="AP261" s="59" t="n"/>
      <c r="AQ261" s="59" t="n"/>
      <c r="AR261" s="155" t="inlineStr">
        <is>
          <t>Shopify Stetson México › Stetson Americas: 2</t>
        </is>
      </c>
    </row>
    <row r="262">
      <c r="A262" s="50" t="inlineStr">
        <is>
          <t>12020003101009029</t>
        </is>
      </c>
      <c r="B262" s="51" t="inlineStr">
        <is>
          <t>111159</t>
        </is>
      </c>
      <c r="C262" s="156" t="inlineStr">
        <is>
          <t>Multimarca</t>
        </is>
      </c>
      <c r="D262" s="156" t="inlineStr">
        <is>
          <t>12-020-BS003-10-1009</t>
        </is>
      </c>
      <c r="E262" s="156" t="inlineStr">
        <is>
          <t>12-020-BS003-10-1009-029</t>
        </is>
      </c>
      <c r="F262" s="156" t="inlineStr">
        <is>
          <t>29</t>
        </is>
      </c>
      <c r="G262" s="156" t="inlineStr">
        <is>
          <t>11</t>
        </is>
      </c>
      <c r="H262" s="156" t="inlineStr">
        <is>
          <t>Stetson</t>
        </is>
      </c>
      <c r="I262" s="156" t="inlineStr">
        <is>
          <t>Bota Piel Chocolate</t>
        </is>
      </c>
      <c r="J262" s="156" t="inlineStr">
        <is>
          <t>Calzado</t>
        </is>
      </c>
      <c r="K262" s="156" t="inlineStr">
        <is>
          <t>Botas</t>
        </is>
      </c>
      <c r="L262" s="156" t="inlineStr">
        <is>
          <t>Hombre</t>
        </is>
      </c>
      <c r="M262" s="156" t="inlineStr">
        <is>
          <t>Stetson</t>
        </is>
      </c>
      <c r="N262" s="156" t="inlineStr">
        <is>
          <t>SS26</t>
        </is>
      </c>
      <c r="O262" s="156" t="inlineStr">
        <is>
          <t>Seasonal</t>
        </is>
      </c>
      <c r="P262" s="156" t="inlineStr">
        <is>
          <t>Cafe</t>
        </is>
      </c>
      <c r="Q262" s="156" t="n"/>
      <c r="R262" s="156" t="inlineStr">
        <is>
          <t>Punta Redonda Ancha</t>
        </is>
      </c>
      <c r="S262" s="156" t="inlineStr">
        <is>
          <t>Piel bovina</t>
        </is>
      </c>
      <c r="T262" s="156" t="inlineStr">
        <is>
          <t>Bota Caballero Piel bovina Crazy Horse Chocolate Punta Redonda Ancha</t>
        </is>
      </c>
      <c r="U262" s="156" t="inlineStr">
        <is>
          <t>México</t>
        </is>
      </c>
      <c r="V262" s="156" t="inlineStr">
        <is>
          <t>PRS</t>
        </is>
      </c>
      <c r="W262" s="51" t="inlineStr">
        <is>
          <t>53111501</t>
        </is>
      </c>
      <c r="X262" s="156" t="n"/>
      <c r="Y262" s="54" t="n">
        <v>675</v>
      </c>
      <c r="Z262" s="54" t="n">
        <v>3879.310345</v>
      </c>
      <c r="AA262" s="55">
        <f>IF(AND(A262="", B262="", E262=""), "", IF(AB262="", "Válido", IF((LEN(AB262)-LEN(SUBSTITUTE(AB262,"; ","")))/2+1&gt;(LEN(AB262)-LEN(SUBSTITUTE(AB262,"[Aviso]","")))/7, "Con Incidencias", "Válido")))</f>
        <v/>
      </c>
      <c r="AB262" s="56">
        <f>IF(AND(A262="", B262="", E262=""), "", TEXTJOIN("; ", TRUE, IF(OR(TRIM(A262&amp;"")="", ISNUMBER(SEARCH("FALTA", A262))), "UPC faltante/inválido", ""), IF(AND(A262&lt;&gt;"", IFERROR(_xlfn.XMATCH(A262,$A$2:$A$2509,0,1)&lt;&gt;_xlfn.XMATCH(A262,$A$2:$A$2509,0,-1),FALSE)), "Código de barras duplicado", ""), IF(AND(E262&lt;&gt;"", COUNTIF($E$2:$E$2509, E262)&gt;1), "SKU duplicado", ""), IF(OR(J262="", J262=""), "[Aviso] División no capturada ()", IF(ISNA(MATCH(J262, Criterios!$A$123:$A$126, 0)), "División no válida", "")), IF(OR(K262="", K262=""), "[Aviso] Categoría no capturada ()", IF(ISNA(MATCH(K262, Criterios!$A$81:$A$120, 0)), "Categoría no válida", IF(AND(J262&lt;&gt;"", J262&lt;&gt;"", J262&lt;&gt;VLOOKUP(K262, Criterios!$A$81:$B$120, 2, FALSE)), "División no coincide con Categoría", ""))), IF(OR(L262="", L262=""), "[Aviso] Género no capturado ()", IF(ISNA(MATCH(L262, Criterios!$B$123:$B$127, 0)), "Género no válido", "")), IF(OR(N262="", N262=""), "[Aviso] Temporada no capturada ()", IF(ISNA(MATCH(N262, Criterios!$C$123:$C$128, 0)), "Temporada no válida", "")), IF(OR(O262="", O262=""), "[Aviso] Ciclo de vida no capturado ()", IF(ISNA(MATCH(O262, Criterios!$D$123:$D$124, 0)), "Ciclo de vida no válido", ""))))</f>
        <v/>
      </c>
      <c r="AC262" s="56" t="n"/>
      <c r="AD262" s="51" t="n">
        <v>0</v>
      </c>
      <c r="AE262" s="156" t="n"/>
      <c r="AF262" s="51" t="n">
        <v>0</v>
      </c>
      <c r="AG262" s="156" t="inlineStr">
        <is>
          <t>Catálogo existente</t>
        </is>
      </c>
      <c r="AH2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2" s="156" t="inlineStr">
        <is>
          <t>No</t>
        </is>
      </c>
      <c r="AJ262" s="156" t="n"/>
      <c r="AK262" s="155" t="inlineStr">
        <is>
          <t>Criterios: I [Q]; G1522_Extraccion_Articulos_NetSuite_2026-09-30.xlsx: fila 58834 [R] | Shopify Stetson: producto 15054564032875 / variante 53350546407787</t>
        </is>
      </c>
      <c r="AL262" s="58" t="n">
        <v>675</v>
      </c>
      <c r="AM262" s="58" t="n">
        <v>3879.310345</v>
      </c>
      <c r="AN262" s="155" t="inlineStr">
        <is>
          <t>Shopify Stetson México</t>
        </is>
      </c>
      <c r="AO262" s="59" t="n">
        <v>2</v>
      </c>
      <c r="AP262" s="59" t="n"/>
      <c r="AQ262" s="59" t="n"/>
      <c r="AR262" s="155" t="inlineStr">
        <is>
          <t>Shopify Stetson México › Stetson Americas: 2</t>
        </is>
      </c>
    </row>
    <row r="263">
      <c r="A263" s="50" t="inlineStr">
        <is>
          <t>12020003101009030</t>
        </is>
      </c>
      <c r="B263" s="51" t="inlineStr">
        <is>
          <t>111160</t>
        </is>
      </c>
      <c r="C263" s="156" t="inlineStr">
        <is>
          <t>Multimarca</t>
        </is>
      </c>
      <c r="D263" s="156" t="inlineStr">
        <is>
          <t>12-020-BS003-10-1009</t>
        </is>
      </c>
      <c r="E263" s="156" t="inlineStr">
        <is>
          <t>12-020-BS003-10-1009-030</t>
        </is>
      </c>
      <c r="F263" s="156" t="inlineStr">
        <is>
          <t>30</t>
        </is>
      </c>
      <c r="G263" s="156" t="inlineStr">
        <is>
          <t>12</t>
        </is>
      </c>
      <c r="H263" s="156" t="inlineStr">
        <is>
          <t>Stetson</t>
        </is>
      </c>
      <c r="I263" s="156" t="inlineStr">
        <is>
          <t>Bota Piel Chocolate</t>
        </is>
      </c>
      <c r="J263" s="156" t="inlineStr">
        <is>
          <t>Calzado</t>
        </is>
      </c>
      <c r="K263" s="156" t="inlineStr">
        <is>
          <t>Botas</t>
        </is>
      </c>
      <c r="L263" s="156" t="inlineStr">
        <is>
          <t>Hombre</t>
        </is>
      </c>
      <c r="M263" s="156" t="inlineStr">
        <is>
          <t>Stetson</t>
        </is>
      </c>
      <c r="N263" s="156" t="inlineStr">
        <is>
          <t>SS26</t>
        </is>
      </c>
      <c r="O263" s="156" t="inlineStr">
        <is>
          <t>Seasonal</t>
        </is>
      </c>
      <c r="P263" s="156" t="inlineStr">
        <is>
          <t>Cafe</t>
        </is>
      </c>
      <c r="Q263" s="156" t="n"/>
      <c r="R263" s="156" t="inlineStr">
        <is>
          <t>Punta Redonda Ancha</t>
        </is>
      </c>
      <c r="S263" s="156" t="inlineStr">
        <is>
          <t>Piel bovina</t>
        </is>
      </c>
      <c r="T263" s="156" t="inlineStr">
        <is>
          <t>Bota Caballero Piel bovina Crazy Horse Chocolate Punta Redonda Ancha</t>
        </is>
      </c>
      <c r="U263" s="156" t="inlineStr">
        <is>
          <t>México</t>
        </is>
      </c>
      <c r="V263" s="156" t="inlineStr">
        <is>
          <t>PRS</t>
        </is>
      </c>
      <c r="W263" s="51" t="inlineStr">
        <is>
          <t>53111501</t>
        </is>
      </c>
      <c r="X263" s="156" t="n"/>
      <c r="Y263" s="54" t="n">
        <v>675</v>
      </c>
      <c r="Z263" s="54" t="n">
        <v>3879.310345</v>
      </c>
      <c r="AA263" s="55">
        <f>IF(AND(A263="", B263="", E263=""), "", IF(AB263="", "Válido", IF((LEN(AB263)-LEN(SUBSTITUTE(AB263,"; ","")))/2+1&gt;(LEN(AB263)-LEN(SUBSTITUTE(AB263,"[Aviso]","")))/7, "Con Incidencias", "Válido")))</f>
        <v/>
      </c>
      <c r="AB263" s="56">
        <f>IF(AND(A263="", B263="", E263=""), "", TEXTJOIN("; ", TRUE, IF(OR(TRIM(A263&amp;"")="", ISNUMBER(SEARCH("FALTA", A263))), "UPC faltante/inválido", ""), IF(AND(A263&lt;&gt;"", IFERROR(_xlfn.XMATCH(A263,$A$2:$A$2509,0,1)&lt;&gt;_xlfn.XMATCH(A263,$A$2:$A$2509,0,-1),FALSE)), "Código de barras duplicado", ""), IF(AND(E263&lt;&gt;"", COUNTIF($E$2:$E$2509, E263)&gt;1), "SKU duplicado", ""), IF(OR(J263="", J263=""), "[Aviso] División no capturada ()", IF(ISNA(MATCH(J263, Criterios!$A$123:$A$126, 0)), "División no válida", "")), IF(OR(K263="", K263=""), "[Aviso] Categoría no capturada ()", IF(ISNA(MATCH(K263, Criterios!$A$81:$A$120, 0)), "Categoría no válida", IF(AND(J263&lt;&gt;"", J263&lt;&gt;"", J263&lt;&gt;VLOOKUP(K263, Criterios!$A$81:$B$120, 2, FALSE)), "División no coincide con Categoría", ""))), IF(OR(L263="", L263=""), "[Aviso] Género no capturado ()", IF(ISNA(MATCH(L263, Criterios!$B$123:$B$127, 0)), "Género no válido", "")), IF(OR(N263="", N263=""), "[Aviso] Temporada no capturada ()", IF(ISNA(MATCH(N263, Criterios!$C$123:$C$128, 0)), "Temporada no válida", "")), IF(OR(O263="", O263=""), "[Aviso] Ciclo de vida no capturado ()", IF(ISNA(MATCH(O263, Criterios!$D$123:$D$124, 0)), "Ciclo de vida no válido", ""))))</f>
        <v/>
      </c>
      <c r="AC263" s="56" t="n"/>
      <c r="AD263" s="51" t="n">
        <v>0</v>
      </c>
      <c r="AE263" s="156" t="n"/>
      <c r="AF263" s="51" t="n">
        <v>0</v>
      </c>
      <c r="AG263" s="156" t="inlineStr">
        <is>
          <t>Catálogo existente</t>
        </is>
      </c>
      <c r="AH2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3" s="156" t="inlineStr">
        <is>
          <t>No</t>
        </is>
      </c>
      <c r="AJ263" s="156" t="n"/>
      <c r="AK263" s="155" t="inlineStr">
        <is>
          <t>Criterios: I [Q]; G1522_Extraccion_Articulos_NetSuite_2026-09-30.xlsx: fila 58835 [R] | Shopify Stetson: producto 15054564032875 / variante 53350546473323</t>
        </is>
      </c>
      <c r="AL263" s="58" t="n">
        <v>675</v>
      </c>
      <c r="AM263" s="58" t="n">
        <v>3879.310345</v>
      </c>
      <c r="AN263" s="155" t="inlineStr">
        <is>
          <t>Shopify Stetson México</t>
        </is>
      </c>
      <c r="AO263" s="59" t="n">
        <v>1</v>
      </c>
      <c r="AP263" s="59" t="n"/>
      <c r="AQ263" s="59" t="n"/>
      <c r="AR263" s="155" t="inlineStr">
        <is>
          <t>Shopify Stetson México › Stetson Americas: 1</t>
        </is>
      </c>
    </row>
    <row r="264">
      <c r="A264" s="50" t="inlineStr">
        <is>
          <t>12020003101009031</t>
        </is>
      </c>
      <c r="B264" s="51" t="inlineStr">
        <is>
          <t>111161</t>
        </is>
      </c>
      <c r="C264" s="156" t="inlineStr">
        <is>
          <t>Multimarca</t>
        </is>
      </c>
      <c r="D264" s="156" t="inlineStr">
        <is>
          <t>12-020-BS003-10-1009</t>
        </is>
      </c>
      <c r="E264" s="156" t="inlineStr">
        <is>
          <t>12-020-BS003-10-1009-031</t>
        </is>
      </c>
      <c r="F264" s="156" t="inlineStr">
        <is>
          <t>31</t>
        </is>
      </c>
      <c r="G264" s="156" t="inlineStr">
        <is>
          <t>13</t>
        </is>
      </c>
      <c r="H264" s="156" t="inlineStr">
        <is>
          <t>Stetson</t>
        </is>
      </c>
      <c r="I264" s="156" t="inlineStr">
        <is>
          <t>Bota Piel Chocolate</t>
        </is>
      </c>
      <c r="J264" s="156" t="inlineStr">
        <is>
          <t>Calzado</t>
        </is>
      </c>
      <c r="K264" s="156" t="inlineStr">
        <is>
          <t>Botas</t>
        </is>
      </c>
      <c r="L264" s="156" t="inlineStr">
        <is>
          <t>Hombre</t>
        </is>
      </c>
      <c r="M264" s="156" t="inlineStr">
        <is>
          <t>Stetson</t>
        </is>
      </c>
      <c r="N264" s="156" t="inlineStr">
        <is>
          <t>SS26</t>
        </is>
      </c>
      <c r="O264" s="156" t="inlineStr">
        <is>
          <t>Seasonal</t>
        </is>
      </c>
      <c r="P264" s="156" t="inlineStr">
        <is>
          <t>Cafe</t>
        </is>
      </c>
      <c r="Q264" s="156" t="n"/>
      <c r="R264" s="156" t="inlineStr">
        <is>
          <t>Punta Redonda Ancha</t>
        </is>
      </c>
      <c r="S264" s="156" t="inlineStr">
        <is>
          <t>Piel bovina</t>
        </is>
      </c>
      <c r="T264" s="156" t="inlineStr">
        <is>
          <t>Bota Caballero Piel bovina Crazy Horse Chocolate Punta Redonda Ancha</t>
        </is>
      </c>
      <c r="U264" s="156" t="inlineStr">
        <is>
          <t>México</t>
        </is>
      </c>
      <c r="V264" s="156" t="inlineStr">
        <is>
          <t>PRS</t>
        </is>
      </c>
      <c r="W264" s="51" t="inlineStr">
        <is>
          <t>53111501</t>
        </is>
      </c>
      <c r="X264" s="156" t="n"/>
      <c r="Y264" s="54" t="n">
        <v>675</v>
      </c>
      <c r="Z264" s="54" t="n">
        <v>3879.310345</v>
      </c>
      <c r="AA264" s="55">
        <f>IF(AND(A264="", B264="", E264=""), "", IF(AB264="", "Válido", IF((LEN(AB264)-LEN(SUBSTITUTE(AB264,"; ","")))/2+1&gt;(LEN(AB264)-LEN(SUBSTITUTE(AB264,"[Aviso]","")))/7, "Con Incidencias", "Válido")))</f>
        <v/>
      </c>
      <c r="AB264" s="56">
        <f>IF(AND(A264="", B264="", E264=""), "", TEXTJOIN("; ", TRUE, IF(OR(TRIM(A264&amp;"")="", ISNUMBER(SEARCH("FALTA", A264))), "UPC faltante/inválido", ""), IF(AND(A264&lt;&gt;"", IFERROR(_xlfn.XMATCH(A264,$A$2:$A$2509,0,1)&lt;&gt;_xlfn.XMATCH(A264,$A$2:$A$2509,0,-1),FALSE)), "Código de barras duplicado", ""), IF(AND(E264&lt;&gt;"", COUNTIF($E$2:$E$2509, E264)&gt;1), "SKU duplicado", ""), IF(OR(J264="", J264=""), "[Aviso] División no capturada ()", IF(ISNA(MATCH(J264, Criterios!$A$123:$A$126, 0)), "División no válida", "")), IF(OR(K264="", K264=""), "[Aviso] Categoría no capturada ()", IF(ISNA(MATCH(K264, Criterios!$A$81:$A$120, 0)), "Categoría no válida", IF(AND(J264&lt;&gt;"", J264&lt;&gt;"", J264&lt;&gt;VLOOKUP(K264, Criterios!$A$81:$B$120, 2, FALSE)), "División no coincide con Categoría", ""))), IF(OR(L264="", L264=""), "[Aviso] Género no capturado ()", IF(ISNA(MATCH(L264, Criterios!$B$123:$B$127, 0)), "Género no válido", "")), IF(OR(N264="", N264=""), "[Aviso] Temporada no capturada ()", IF(ISNA(MATCH(N264, Criterios!$C$123:$C$128, 0)), "Temporada no válida", "")), IF(OR(O264="", O264=""), "[Aviso] Ciclo de vida no capturado ()", IF(ISNA(MATCH(O264, Criterios!$D$123:$D$124, 0)), "Ciclo de vida no válido", ""))))</f>
        <v/>
      </c>
      <c r="AC264" s="56" t="n"/>
      <c r="AD264" s="51" t="n">
        <v>0</v>
      </c>
      <c r="AE264" s="156" t="n"/>
      <c r="AF264" s="51" t="n">
        <v>0</v>
      </c>
      <c r="AG264" s="156" t="inlineStr">
        <is>
          <t>Catálogo existente</t>
        </is>
      </c>
      <c r="AH2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4" s="156" t="inlineStr">
        <is>
          <t>No</t>
        </is>
      </c>
      <c r="AJ264" s="156" t="n"/>
      <c r="AK264" s="155" t="inlineStr">
        <is>
          <t>Criterios: I [Q]; G1522_Extraccion_Articulos_NetSuite_2026-09-30.xlsx: fila 58836 [R] | Shopify Stetson: producto 15054564032875 / variante 53350546538859</t>
        </is>
      </c>
      <c r="AL264" s="58" t="n">
        <v>675</v>
      </c>
      <c r="AM264" s="58" t="n">
        <v>3879.310345</v>
      </c>
      <c r="AN264" s="155" t="inlineStr">
        <is>
          <t>Shopify Stetson México</t>
        </is>
      </c>
      <c r="AO264" s="59" t="n">
        <v>1</v>
      </c>
      <c r="AP264" s="59" t="n"/>
      <c r="AQ264" s="59" t="n"/>
      <c r="AR264" s="155" t="inlineStr">
        <is>
          <t>Shopify Stetson México › Stetson Americas: 1</t>
        </is>
      </c>
    </row>
    <row r="265">
      <c r="A265" s="50" t="inlineStr">
        <is>
          <t>12020003101009032</t>
        </is>
      </c>
      <c r="B265" s="51" t="inlineStr">
        <is>
          <t>111162</t>
        </is>
      </c>
      <c r="C265" s="156" t="inlineStr">
        <is>
          <t>Multimarca</t>
        </is>
      </c>
      <c r="D265" s="156" t="inlineStr">
        <is>
          <t>12-020-BS003-10-1009</t>
        </is>
      </c>
      <c r="E265" s="156" t="inlineStr">
        <is>
          <t>12-020-BS003-10-1009-032</t>
        </is>
      </c>
      <c r="F265" s="156" t="inlineStr">
        <is>
          <t>32</t>
        </is>
      </c>
      <c r="G265" s="156" t="inlineStr">
        <is>
          <t>14</t>
        </is>
      </c>
      <c r="H265" s="156" t="inlineStr">
        <is>
          <t>Stetson</t>
        </is>
      </c>
      <c r="I265" s="156" t="inlineStr">
        <is>
          <t>Bota Piel Chocolate</t>
        </is>
      </c>
      <c r="J265" s="156" t="inlineStr">
        <is>
          <t>Calzado</t>
        </is>
      </c>
      <c r="K265" s="156" t="inlineStr">
        <is>
          <t>Botas</t>
        </is>
      </c>
      <c r="L265" s="156" t="inlineStr">
        <is>
          <t>Hombre</t>
        </is>
      </c>
      <c r="M265" s="156" t="inlineStr">
        <is>
          <t>Stetson</t>
        </is>
      </c>
      <c r="N265" s="156" t="inlineStr">
        <is>
          <t>SS26</t>
        </is>
      </c>
      <c r="O265" s="156" t="inlineStr">
        <is>
          <t>Seasonal</t>
        </is>
      </c>
      <c r="P265" s="156" t="inlineStr">
        <is>
          <t>Cafe</t>
        </is>
      </c>
      <c r="Q265" s="156" t="n"/>
      <c r="R265" s="156" t="inlineStr">
        <is>
          <t>Punta Redonda Ancha</t>
        </is>
      </c>
      <c r="S265" s="156" t="inlineStr">
        <is>
          <t>Piel bovina</t>
        </is>
      </c>
      <c r="T265" s="156" t="inlineStr">
        <is>
          <t>Bota Caballero Piel bovina Crazy Horse Chocolate Punta Redonda Ancha</t>
        </is>
      </c>
      <c r="U265" s="156" t="inlineStr">
        <is>
          <t>México</t>
        </is>
      </c>
      <c r="V265" s="156" t="inlineStr">
        <is>
          <t>PRS</t>
        </is>
      </c>
      <c r="W265" s="51" t="inlineStr">
        <is>
          <t>53111501</t>
        </is>
      </c>
      <c r="X265" s="156" t="n"/>
      <c r="Y265" s="54" t="n">
        <v>675</v>
      </c>
      <c r="Z265" s="54" t="n">
        <v>3879.310345</v>
      </c>
      <c r="AA265" s="55">
        <f>IF(AND(A265="", B265="", E265=""), "", IF(AB265="", "Válido", IF((LEN(AB265)-LEN(SUBSTITUTE(AB265,"; ","")))/2+1&gt;(LEN(AB265)-LEN(SUBSTITUTE(AB265,"[Aviso]","")))/7, "Con Incidencias", "Válido")))</f>
        <v/>
      </c>
      <c r="AB265" s="56">
        <f>IF(AND(A265="", B265="", E265=""), "", TEXTJOIN("; ", TRUE, IF(OR(TRIM(A265&amp;"")="", ISNUMBER(SEARCH("FALTA", A265))), "UPC faltante/inválido", ""), IF(AND(A265&lt;&gt;"", IFERROR(_xlfn.XMATCH(A265,$A$2:$A$2509,0,1)&lt;&gt;_xlfn.XMATCH(A265,$A$2:$A$2509,0,-1),FALSE)), "Código de barras duplicado", ""), IF(AND(E265&lt;&gt;"", COUNTIF($E$2:$E$2509, E265)&gt;1), "SKU duplicado", ""), IF(OR(J265="", J265=""), "[Aviso] División no capturada ()", IF(ISNA(MATCH(J265, Criterios!$A$123:$A$126, 0)), "División no válida", "")), IF(OR(K265="", K265=""), "[Aviso] Categoría no capturada ()", IF(ISNA(MATCH(K265, Criterios!$A$81:$A$120, 0)), "Categoría no válida", IF(AND(J265&lt;&gt;"", J265&lt;&gt;"", J265&lt;&gt;VLOOKUP(K265, Criterios!$A$81:$B$120, 2, FALSE)), "División no coincide con Categoría", ""))), IF(OR(L265="", L265=""), "[Aviso] Género no capturado ()", IF(ISNA(MATCH(L265, Criterios!$B$123:$B$127, 0)), "Género no válido", "")), IF(OR(N265="", N265=""), "[Aviso] Temporada no capturada ()", IF(ISNA(MATCH(N265, Criterios!$C$123:$C$128, 0)), "Temporada no válida", "")), IF(OR(O265="", O265=""), "[Aviso] Ciclo de vida no capturado ()", IF(ISNA(MATCH(O265, Criterios!$D$123:$D$124, 0)), "Ciclo de vida no válido", ""))))</f>
        <v/>
      </c>
      <c r="AC265" s="56" t="n"/>
      <c r="AD265" s="51" t="n">
        <v>0</v>
      </c>
      <c r="AE265" s="156" t="n"/>
      <c r="AF265" s="51" t="n">
        <v>0</v>
      </c>
      <c r="AG265" s="156" t="inlineStr">
        <is>
          <t>Catálogo existente</t>
        </is>
      </c>
      <c r="AH2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5" s="156" t="inlineStr">
        <is>
          <t>No</t>
        </is>
      </c>
      <c r="AJ265" s="156" t="n"/>
      <c r="AK265" s="155" t="inlineStr">
        <is>
          <t>Criterios: I [Q]; G1522_Extraccion_Articulos_NetSuite_2026-09-30.xlsx: fila 58837 [R] | Shopify Stetson: producto 15054564032875 / variante 53350546604395</t>
        </is>
      </c>
      <c r="AL265" s="58" t="n">
        <v>675</v>
      </c>
      <c r="AM265" s="58" t="n">
        <v>3879.310345</v>
      </c>
      <c r="AN265" s="155" t="inlineStr">
        <is>
          <t>Shopify Stetson México</t>
        </is>
      </c>
      <c r="AO265" s="59" t="n">
        <v>0</v>
      </c>
      <c r="AP265" s="59" t="n"/>
      <c r="AQ265" s="59" t="n"/>
      <c r="AR265" s="155" t="n"/>
    </row>
    <row r="266">
      <c r="A266" s="50" t="inlineStr">
        <is>
          <t>12020003101009255</t>
        </is>
      </c>
      <c r="B266" s="51" t="inlineStr">
        <is>
          <t>111163</t>
        </is>
      </c>
      <c r="C266" s="156" t="inlineStr">
        <is>
          <t>Multimarca</t>
        </is>
      </c>
      <c r="D266" s="156" t="inlineStr">
        <is>
          <t>12-020-BS003-10-1009</t>
        </is>
      </c>
      <c r="E266" s="156" t="inlineStr">
        <is>
          <t>12-020-BS003-10-1009-255</t>
        </is>
      </c>
      <c r="F266" s="156" t="inlineStr">
        <is>
          <t>25.5</t>
        </is>
      </c>
      <c r="G266" s="156" t="inlineStr">
        <is>
          <t>7.5</t>
        </is>
      </c>
      <c r="H266" s="156" t="inlineStr">
        <is>
          <t>Stetson</t>
        </is>
      </c>
      <c r="I266" s="156" t="inlineStr">
        <is>
          <t>Bota Piel Chocolate</t>
        </is>
      </c>
      <c r="J266" s="156" t="inlineStr">
        <is>
          <t>Calzado</t>
        </is>
      </c>
      <c r="K266" s="156" t="inlineStr">
        <is>
          <t>Botas</t>
        </is>
      </c>
      <c r="L266" s="156" t="inlineStr">
        <is>
          <t>Hombre</t>
        </is>
      </c>
      <c r="M266" s="156" t="inlineStr">
        <is>
          <t>Stetson</t>
        </is>
      </c>
      <c r="N266" s="156" t="inlineStr">
        <is>
          <t>SS26</t>
        </is>
      </c>
      <c r="O266" s="156" t="inlineStr">
        <is>
          <t>Seasonal</t>
        </is>
      </c>
      <c r="P266" s="156" t="inlineStr">
        <is>
          <t>Cafe</t>
        </is>
      </c>
      <c r="Q266" s="156" t="n"/>
      <c r="R266" s="156" t="inlineStr">
        <is>
          <t>Punta Redonda Ancha</t>
        </is>
      </c>
      <c r="S266" s="156" t="inlineStr">
        <is>
          <t>Piel bovina</t>
        </is>
      </c>
      <c r="T266" s="156" t="inlineStr">
        <is>
          <t>Bota Caballero Piel bovina Crazy Horse Chocolate Punta Redonda Ancha</t>
        </is>
      </c>
      <c r="U266" s="156" t="inlineStr">
        <is>
          <t>México</t>
        </is>
      </c>
      <c r="V266" s="156" t="inlineStr">
        <is>
          <t>PRS</t>
        </is>
      </c>
      <c r="W266" s="51" t="inlineStr">
        <is>
          <t>53111501</t>
        </is>
      </c>
      <c r="X266" s="156" t="n"/>
      <c r="Y266" s="54" t="n">
        <v>675</v>
      </c>
      <c r="Z266" s="54" t="n">
        <v>3879.310345</v>
      </c>
      <c r="AA266" s="55">
        <f>IF(AND(A266="", B266="", E266=""), "", IF(AB266="", "Válido", IF((LEN(AB266)-LEN(SUBSTITUTE(AB266,"; ","")))/2+1&gt;(LEN(AB266)-LEN(SUBSTITUTE(AB266,"[Aviso]","")))/7, "Con Incidencias", "Válido")))</f>
        <v/>
      </c>
      <c r="AB266" s="56">
        <f>IF(AND(A266="", B266="", E266=""), "", TEXTJOIN("; ", TRUE, IF(OR(TRIM(A266&amp;"")="", ISNUMBER(SEARCH("FALTA", A266))), "UPC faltante/inválido", ""), IF(AND(A266&lt;&gt;"", IFERROR(_xlfn.XMATCH(A266,$A$2:$A$2509,0,1)&lt;&gt;_xlfn.XMATCH(A266,$A$2:$A$2509,0,-1),FALSE)), "Código de barras duplicado", ""), IF(AND(E266&lt;&gt;"", COUNTIF($E$2:$E$2509, E266)&gt;1), "SKU duplicado", ""), IF(OR(J266="", J266=""), "[Aviso] División no capturada ()", IF(ISNA(MATCH(J266, Criterios!$A$123:$A$126, 0)), "División no válida", "")), IF(OR(K266="", K266=""), "[Aviso] Categoría no capturada ()", IF(ISNA(MATCH(K266, Criterios!$A$81:$A$120, 0)), "Categoría no válida", IF(AND(J266&lt;&gt;"", J266&lt;&gt;"", J266&lt;&gt;VLOOKUP(K266, Criterios!$A$81:$B$120, 2, FALSE)), "División no coincide con Categoría", ""))), IF(OR(L266="", L266=""), "[Aviso] Género no capturado ()", IF(ISNA(MATCH(L266, Criterios!$B$123:$B$127, 0)), "Género no válido", "")), IF(OR(N266="", N266=""), "[Aviso] Temporada no capturada ()", IF(ISNA(MATCH(N266, Criterios!$C$123:$C$128, 0)), "Temporada no válida", "")), IF(OR(O266="", O266=""), "[Aviso] Ciclo de vida no capturado ()", IF(ISNA(MATCH(O266, Criterios!$D$123:$D$124, 0)), "Ciclo de vida no válido", ""))))</f>
        <v/>
      </c>
      <c r="AC266" s="56" t="n"/>
      <c r="AD266" s="51" t="n">
        <v>0</v>
      </c>
      <c r="AE266" s="156" t="n"/>
      <c r="AF266" s="51" t="n">
        <v>0</v>
      </c>
      <c r="AG266" s="156" t="inlineStr">
        <is>
          <t>Catálogo existente</t>
        </is>
      </c>
      <c r="AH26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6" s="156" t="inlineStr">
        <is>
          <t>No</t>
        </is>
      </c>
      <c r="AJ266" s="156" t="n"/>
      <c r="AK266" s="155" t="inlineStr">
        <is>
          <t>Criterios: I [Q]; G1522_Extraccion_Articulos_NetSuite_2026-09-30.xlsx: fila 58838 [R] | Shopify Stetson: producto 15054564032875 / variante 53350546178411</t>
        </is>
      </c>
      <c r="AL266" s="58" t="n">
        <v>675</v>
      </c>
      <c r="AM266" s="58" t="n">
        <v>3879.310345</v>
      </c>
      <c r="AN266" s="155" t="inlineStr">
        <is>
          <t>Shopify Stetson México</t>
        </is>
      </c>
      <c r="AO266" s="59" t="n">
        <v>0</v>
      </c>
      <c r="AP266" s="59" t="n"/>
      <c r="AQ266" s="59" t="n"/>
      <c r="AR266" s="155" t="n"/>
    </row>
    <row r="267">
      <c r="A267" s="50" t="inlineStr">
        <is>
          <t>12020003101009265</t>
        </is>
      </c>
      <c r="B267" s="51" t="inlineStr">
        <is>
          <t>111164</t>
        </is>
      </c>
      <c r="C267" s="156" t="inlineStr">
        <is>
          <t>Multimarca</t>
        </is>
      </c>
      <c r="D267" s="156" t="inlineStr">
        <is>
          <t>12-020-BS003-10-1009</t>
        </is>
      </c>
      <c r="E267" s="156" t="inlineStr">
        <is>
          <t>12-020-BS003-10-1009-265</t>
        </is>
      </c>
      <c r="F267" s="156" t="inlineStr">
        <is>
          <t>26.5</t>
        </is>
      </c>
      <c r="G267" s="156" t="inlineStr">
        <is>
          <t>8.5</t>
        </is>
      </c>
      <c r="H267" s="156" t="inlineStr">
        <is>
          <t>Stetson</t>
        </is>
      </c>
      <c r="I267" s="156" t="inlineStr">
        <is>
          <t>Bota Piel Chocolate</t>
        </is>
      </c>
      <c r="J267" s="156" t="inlineStr">
        <is>
          <t>Calzado</t>
        </is>
      </c>
      <c r="K267" s="156" t="inlineStr">
        <is>
          <t>Botas</t>
        </is>
      </c>
      <c r="L267" s="156" t="inlineStr">
        <is>
          <t>Hombre</t>
        </is>
      </c>
      <c r="M267" s="156" t="inlineStr">
        <is>
          <t>Stetson</t>
        </is>
      </c>
      <c r="N267" s="156" t="inlineStr">
        <is>
          <t>SS26</t>
        </is>
      </c>
      <c r="O267" s="156" t="inlineStr">
        <is>
          <t>Seasonal</t>
        </is>
      </c>
      <c r="P267" s="156" t="inlineStr">
        <is>
          <t>Cafe</t>
        </is>
      </c>
      <c r="Q267" s="156" t="n"/>
      <c r="R267" s="156" t="inlineStr">
        <is>
          <t>Punta Redonda Ancha</t>
        </is>
      </c>
      <c r="S267" s="156" t="inlineStr">
        <is>
          <t>Piel bovina</t>
        </is>
      </c>
      <c r="T267" s="156" t="inlineStr">
        <is>
          <t>Bota Caballero Piel bovina Crazy Horse Chocolate Punta Redonda Ancha</t>
        </is>
      </c>
      <c r="U267" s="156" t="inlineStr">
        <is>
          <t>México</t>
        </is>
      </c>
      <c r="V267" s="156" t="inlineStr">
        <is>
          <t>PRS</t>
        </is>
      </c>
      <c r="W267" s="51" t="inlineStr">
        <is>
          <t>53111501</t>
        </is>
      </c>
      <c r="X267" s="156" t="n"/>
      <c r="Y267" s="54" t="n">
        <v>675</v>
      </c>
      <c r="Z267" s="54" t="n">
        <v>3879.310345</v>
      </c>
      <c r="AA267" s="55">
        <f>IF(AND(A267="", B267="", E267=""), "", IF(AB267="", "Válido", IF((LEN(AB267)-LEN(SUBSTITUTE(AB267,"; ","")))/2+1&gt;(LEN(AB267)-LEN(SUBSTITUTE(AB267,"[Aviso]","")))/7, "Con Incidencias", "Válido")))</f>
        <v/>
      </c>
      <c r="AB267" s="56">
        <f>IF(AND(A267="", B267="", E267=""), "", TEXTJOIN("; ", TRUE, IF(OR(TRIM(A267&amp;"")="", ISNUMBER(SEARCH("FALTA", A267))), "UPC faltante/inválido", ""), IF(AND(A267&lt;&gt;"", IFERROR(_xlfn.XMATCH(A267,$A$2:$A$2509,0,1)&lt;&gt;_xlfn.XMATCH(A267,$A$2:$A$2509,0,-1),FALSE)), "Código de barras duplicado", ""), IF(AND(E267&lt;&gt;"", COUNTIF($E$2:$E$2509, E267)&gt;1), "SKU duplicado", ""), IF(OR(J267="", J267=""), "[Aviso] División no capturada ()", IF(ISNA(MATCH(J267, Criterios!$A$123:$A$126, 0)), "División no válida", "")), IF(OR(K267="", K267=""), "[Aviso] Categoría no capturada ()", IF(ISNA(MATCH(K267, Criterios!$A$81:$A$120, 0)), "Categoría no válida", IF(AND(J267&lt;&gt;"", J267&lt;&gt;"", J267&lt;&gt;VLOOKUP(K267, Criterios!$A$81:$B$120, 2, FALSE)), "División no coincide con Categoría", ""))), IF(OR(L267="", L267=""), "[Aviso] Género no capturado ()", IF(ISNA(MATCH(L267, Criterios!$B$123:$B$127, 0)), "Género no válido", "")), IF(OR(N267="", N267=""), "[Aviso] Temporada no capturada ()", IF(ISNA(MATCH(N267, Criterios!$C$123:$C$128, 0)), "Temporada no válida", "")), IF(OR(O267="", O267=""), "[Aviso] Ciclo de vida no capturado ()", IF(ISNA(MATCH(O267, Criterios!$D$123:$D$124, 0)), "Ciclo de vida no válido", ""))))</f>
        <v/>
      </c>
      <c r="AC267" s="56" t="n"/>
      <c r="AD267" s="51" t="n">
        <v>-1</v>
      </c>
      <c r="AE267" s="156" t="n"/>
      <c r="AF267" s="51" t="n">
        <v>0</v>
      </c>
      <c r="AG267" s="156" t="inlineStr">
        <is>
          <t>Catálogo existente</t>
        </is>
      </c>
      <c r="AH26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7" s="156" t="inlineStr">
        <is>
          <t>Sí</t>
        </is>
      </c>
      <c r="AJ267" s="156" t="inlineStr">
        <is>
          <t>STETSON AMERICAS (-1)</t>
        </is>
      </c>
      <c r="AK267" s="155" t="inlineStr">
        <is>
          <t>Criterios: I [Q]; G1522_Extraccion_Articulos_NetSuite_2026-09-30.xlsx: fila 58839 [R] | Shopify Stetson: producto 15054564032875 / variante 53350546243947</t>
        </is>
      </c>
      <c r="AL267" s="58" t="n">
        <v>675</v>
      </c>
      <c r="AM267" s="58" t="n">
        <v>3879.310345</v>
      </c>
      <c r="AN267" s="155" t="inlineStr">
        <is>
          <t>Shopify Stetson México</t>
        </is>
      </c>
      <c r="AO267" s="59" t="n">
        <v>1</v>
      </c>
      <c r="AP267" s="59" t="n"/>
      <c r="AQ267" s="59" t="n"/>
      <c r="AR267" s="155" t="inlineStr">
        <is>
          <t>Shopify Stetson México › Stetson Americas: 1</t>
        </is>
      </c>
    </row>
    <row r="268">
      <c r="A268" s="50" t="inlineStr">
        <is>
          <t>12020003101009275</t>
        </is>
      </c>
      <c r="B268" s="51" t="inlineStr">
        <is>
          <t>111165</t>
        </is>
      </c>
      <c r="C268" s="156" t="inlineStr">
        <is>
          <t>Multimarca</t>
        </is>
      </c>
      <c r="D268" s="156" t="inlineStr">
        <is>
          <t>12-020-BS003-10-1009</t>
        </is>
      </c>
      <c r="E268" s="156" t="inlineStr">
        <is>
          <t>12-020-BS003-10-1009-275</t>
        </is>
      </c>
      <c r="F268" s="156" t="inlineStr">
        <is>
          <t>27.5</t>
        </is>
      </c>
      <c r="G268" s="156" t="inlineStr">
        <is>
          <t>9.5</t>
        </is>
      </c>
      <c r="H268" s="156" t="inlineStr">
        <is>
          <t>Stetson</t>
        </is>
      </c>
      <c r="I268" s="156" t="inlineStr">
        <is>
          <t>Bota Piel Chocolate</t>
        </is>
      </c>
      <c r="J268" s="156" t="inlineStr">
        <is>
          <t>Calzado</t>
        </is>
      </c>
      <c r="K268" s="156" t="inlineStr">
        <is>
          <t>Botas</t>
        </is>
      </c>
      <c r="L268" s="156" t="inlineStr">
        <is>
          <t>Hombre</t>
        </is>
      </c>
      <c r="M268" s="156" t="inlineStr">
        <is>
          <t>Stetson</t>
        </is>
      </c>
      <c r="N268" s="156" t="inlineStr">
        <is>
          <t>SS26</t>
        </is>
      </c>
      <c r="O268" s="156" t="inlineStr">
        <is>
          <t>Seasonal</t>
        </is>
      </c>
      <c r="P268" s="156" t="inlineStr">
        <is>
          <t>Cafe</t>
        </is>
      </c>
      <c r="Q268" s="156" t="n"/>
      <c r="R268" s="156" t="inlineStr">
        <is>
          <t>Punta Redonda Ancha</t>
        </is>
      </c>
      <c r="S268" s="156" t="inlineStr">
        <is>
          <t>Piel bovina</t>
        </is>
      </c>
      <c r="T268" s="156" t="inlineStr">
        <is>
          <t>Bota Caballero Piel bovina Crazy Horse Chocolate Punta Redonda Ancha</t>
        </is>
      </c>
      <c r="U268" s="156" t="inlineStr">
        <is>
          <t>México</t>
        </is>
      </c>
      <c r="V268" s="156" t="inlineStr">
        <is>
          <t>PRS</t>
        </is>
      </c>
      <c r="W268" s="51" t="inlineStr">
        <is>
          <t>53111501</t>
        </is>
      </c>
      <c r="X268" s="156" t="n"/>
      <c r="Y268" s="54" t="n">
        <v>675</v>
      </c>
      <c r="Z268" s="54" t="n">
        <v>3879.310345</v>
      </c>
      <c r="AA268" s="55">
        <f>IF(AND(A268="", B268="", E268=""), "", IF(AB268="", "Válido", IF((LEN(AB268)-LEN(SUBSTITUTE(AB268,"; ","")))/2+1&gt;(LEN(AB268)-LEN(SUBSTITUTE(AB268,"[Aviso]","")))/7, "Con Incidencias", "Válido")))</f>
        <v/>
      </c>
      <c r="AB268" s="56">
        <f>IF(AND(A268="", B268="", E268=""), "", TEXTJOIN("; ", TRUE, IF(OR(TRIM(A268&amp;"")="", ISNUMBER(SEARCH("FALTA", A268))), "UPC faltante/inválido", ""), IF(AND(A268&lt;&gt;"", IFERROR(_xlfn.XMATCH(A268,$A$2:$A$2509,0,1)&lt;&gt;_xlfn.XMATCH(A268,$A$2:$A$2509,0,-1),FALSE)), "Código de barras duplicado", ""), IF(AND(E268&lt;&gt;"", COUNTIF($E$2:$E$2509, E268)&gt;1), "SKU duplicado", ""), IF(OR(J268="", J268=""), "[Aviso] División no capturada ()", IF(ISNA(MATCH(J268, Criterios!$A$123:$A$126, 0)), "División no válida", "")), IF(OR(K268="", K268=""), "[Aviso] Categoría no capturada ()", IF(ISNA(MATCH(K268, Criterios!$A$81:$A$120, 0)), "Categoría no válida", IF(AND(J268&lt;&gt;"", J268&lt;&gt;"", J268&lt;&gt;VLOOKUP(K268, Criterios!$A$81:$B$120, 2, FALSE)), "División no coincide con Categoría", ""))), IF(OR(L268="", L268=""), "[Aviso] Género no capturado ()", IF(ISNA(MATCH(L268, Criterios!$B$123:$B$127, 0)), "Género no válido", "")), IF(OR(N268="", N268=""), "[Aviso] Temporada no capturada ()", IF(ISNA(MATCH(N268, Criterios!$C$123:$C$128, 0)), "Temporada no válida", "")), IF(OR(O268="", O268=""), "[Aviso] Ciclo de vida no capturado ()", IF(ISNA(MATCH(O268, Criterios!$D$123:$D$124, 0)), "Ciclo de vida no válido", ""))))</f>
        <v/>
      </c>
      <c r="AC268" s="56" t="n"/>
      <c r="AD268" s="51" t="n">
        <v>-1</v>
      </c>
      <c r="AE268" s="156" t="n"/>
      <c r="AF268" s="51" t="n">
        <v>0</v>
      </c>
      <c r="AG268" s="156" t="inlineStr">
        <is>
          <t>Catálogo existente</t>
        </is>
      </c>
      <c r="AH26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8" s="156" t="inlineStr">
        <is>
          <t>Sí</t>
        </is>
      </c>
      <c r="AJ268" s="156" t="inlineStr">
        <is>
          <t>STETSON AMERICAS (-1)</t>
        </is>
      </c>
      <c r="AK268" s="155" t="inlineStr">
        <is>
          <t>Criterios: I [Q]; G1522_Extraccion_Articulos_NetSuite_2026-09-30.xlsx: fila 58840 [R] | Shopify Stetson: producto 15054564032875 / variante 53350546309483</t>
        </is>
      </c>
      <c r="AL268" s="58" t="n">
        <v>675</v>
      </c>
      <c r="AM268" s="58" t="n">
        <v>3879.310345</v>
      </c>
      <c r="AN268" s="155" t="inlineStr">
        <is>
          <t>Shopify Stetson México</t>
        </is>
      </c>
      <c r="AO268" s="59" t="n">
        <v>1</v>
      </c>
      <c r="AP268" s="59" t="n"/>
      <c r="AQ268" s="59" t="n"/>
      <c r="AR268" s="155" t="inlineStr">
        <is>
          <t>Shopify Stetson México › Stetson Americas: 1</t>
        </is>
      </c>
    </row>
    <row r="269">
      <c r="A269" s="50" t="inlineStr">
        <is>
          <t>12020003101009285</t>
        </is>
      </c>
      <c r="B269" s="51" t="inlineStr">
        <is>
          <t>111166</t>
        </is>
      </c>
      <c r="C269" s="156" t="inlineStr">
        <is>
          <t>Multimarca</t>
        </is>
      </c>
      <c r="D269" s="156" t="inlineStr">
        <is>
          <t>12-020-BS003-10-1009</t>
        </is>
      </c>
      <c r="E269" s="156" t="inlineStr">
        <is>
          <t>12-020-BS003-10-1009-285</t>
        </is>
      </c>
      <c r="F269" s="156" t="inlineStr">
        <is>
          <t>28.5</t>
        </is>
      </c>
      <c r="G269" s="156" t="inlineStr">
        <is>
          <t>10.5</t>
        </is>
      </c>
      <c r="H269" s="156" t="inlineStr">
        <is>
          <t>Stetson</t>
        </is>
      </c>
      <c r="I269" s="156" t="inlineStr">
        <is>
          <t>Bota Piel Chocolate</t>
        </is>
      </c>
      <c r="J269" s="156" t="inlineStr">
        <is>
          <t>Calzado</t>
        </is>
      </c>
      <c r="K269" s="156" t="inlineStr">
        <is>
          <t>Botas</t>
        </is>
      </c>
      <c r="L269" s="156" t="inlineStr">
        <is>
          <t>Hombre</t>
        </is>
      </c>
      <c r="M269" s="156" t="inlineStr">
        <is>
          <t>Stetson</t>
        </is>
      </c>
      <c r="N269" s="156" t="inlineStr">
        <is>
          <t>SS26</t>
        </is>
      </c>
      <c r="O269" s="156" t="inlineStr">
        <is>
          <t>Seasonal</t>
        </is>
      </c>
      <c r="P269" s="156" t="inlineStr">
        <is>
          <t>Cafe</t>
        </is>
      </c>
      <c r="Q269" s="156" t="n"/>
      <c r="R269" s="156" t="inlineStr">
        <is>
          <t>Punta Redonda Ancha</t>
        </is>
      </c>
      <c r="S269" s="156" t="inlineStr">
        <is>
          <t>Piel bovina</t>
        </is>
      </c>
      <c r="T269" s="156" t="inlineStr">
        <is>
          <t>Bota Caballero Piel bovina Crazy Horse Chocolate Punta Redonda Ancha</t>
        </is>
      </c>
      <c r="U269" s="156" t="inlineStr">
        <is>
          <t>México</t>
        </is>
      </c>
      <c r="V269" s="156" t="inlineStr">
        <is>
          <t>PRS</t>
        </is>
      </c>
      <c r="W269" s="51" t="inlineStr">
        <is>
          <t>53111501</t>
        </is>
      </c>
      <c r="X269" s="156" t="n"/>
      <c r="Y269" s="54" t="n">
        <v>675</v>
      </c>
      <c r="Z269" s="54" t="n">
        <v>3879.310345</v>
      </c>
      <c r="AA269" s="55">
        <f>IF(AND(A269="", B269="", E269=""), "", IF(AB269="", "Válido", IF((LEN(AB269)-LEN(SUBSTITUTE(AB269,"; ","")))/2+1&gt;(LEN(AB269)-LEN(SUBSTITUTE(AB269,"[Aviso]","")))/7, "Con Incidencias", "Válido")))</f>
        <v/>
      </c>
      <c r="AB269" s="56">
        <f>IF(AND(A269="", B269="", E269=""), "", TEXTJOIN("; ", TRUE, IF(OR(TRIM(A269&amp;"")="", ISNUMBER(SEARCH("FALTA", A269))), "UPC faltante/inválido", ""), IF(AND(A269&lt;&gt;"", IFERROR(_xlfn.XMATCH(A269,$A$2:$A$2509,0,1)&lt;&gt;_xlfn.XMATCH(A269,$A$2:$A$2509,0,-1),FALSE)), "Código de barras duplicado", ""), IF(AND(E269&lt;&gt;"", COUNTIF($E$2:$E$2509, E269)&gt;1), "SKU duplicado", ""), IF(OR(J269="", J269=""), "[Aviso] División no capturada ()", IF(ISNA(MATCH(J269, Criterios!$A$123:$A$126, 0)), "División no válida", "")), IF(OR(K269="", K269=""), "[Aviso] Categoría no capturada ()", IF(ISNA(MATCH(K269, Criterios!$A$81:$A$120, 0)), "Categoría no válida", IF(AND(J269&lt;&gt;"", J269&lt;&gt;"", J269&lt;&gt;VLOOKUP(K269, Criterios!$A$81:$B$120, 2, FALSE)), "División no coincide con Categoría", ""))), IF(OR(L269="", L269=""), "[Aviso] Género no capturado ()", IF(ISNA(MATCH(L269, Criterios!$B$123:$B$127, 0)), "Género no válido", "")), IF(OR(N269="", N269=""), "[Aviso] Temporada no capturada ()", IF(ISNA(MATCH(N269, Criterios!$C$123:$C$128, 0)), "Temporada no válida", "")), IF(OR(O269="", O269=""), "[Aviso] Ciclo de vida no capturado ()", IF(ISNA(MATCH(O269, Criterios!$D$123:$D$124, 0)), "Ciclo de vida no válido", ""))))</f>
        <v/>
      </c>
      <c r="AC269" s="56" t="n"/>
      <c r="AD269" s="51" t="n">
        <v>-2</v>
      </c>
      <c r="AE269" s="156" t="n"/>
      <c r="AF269" s="51" t="n">
        <v>0</v>
      </c>
      <c r="AG269" s="156" t="inlineStr">
        <is>
          <t>Catálogo existente</t>
        </is>
      </c>
      <c r="AH26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9" s="156" t="inlineStr">
        <is>
          <t>Sí</t>
        </is>
      </c>
      <c r="AJ269" s="156" t="inlineStr">
        <is>
          <t>STETSON AMERICAS (-2)</t>
        </is>
      </c>
      <c r="AK269" s="155" t="inlineStr">
        <is>
          <t>Criterios: I [Q]; G1522_Extraccion_Articulos_NetSuite_2026-09-30.xlsx: fila 58841 [R] | Shopify Stetson: producto 15054564032875 / variante 53350546375019</t>
        </is>
      </c>
      <c r="AL269" s="58" t="n">
        <v>675</v>
      </c>
      <c r="AM269" s="58" t="n">
        <v>3879.310345</v>
      </c>
      <c r="AN269" s="155" t="inlineStr">
        <is>
          <t>Shopify Stetson México</t>
        </is>
      </c>
      <c r="AO269" s="59" t="n">
        <v>0</v>
      </c>
      <c r="AP269" s="59" t="n"/>
      <c r="AQ269" s="59" t="n"/>
      <c r="AR269" s="155" t="n"/>
    </row>
    <row r="270">
      <c r="A270" s="50" t="inlineStr">
        <is>
          <t>12020003101009295</t>
        </is>
      </c>
      <c r="B270" s="51" t="inlineStr">
        <is>
          <t>111167</t>
        </is>
      </c>
      <c r="C270" s="156" t="inlineStr">
        <is>
          <t>Multimarca</t>
        </is>
      </c>
      <c r="D270" s="156" t="inlineStr">
        <is>
          <t>12-020-BS003-10-1009</t>
        </is>
      </c>
      <c r="E270" s="156" t="inlineStr">
        <is>
          <t>12-020-BS003-10-1009-295</t>
        </is>
      </c>
      <c r="F270" s="156" t="inlineStr">
        <is>
          <t>29.5</t>
        </is>
      </c>
      <c r="G270" s="156" t="inlineStr">
        <is>
          <t>11.5</t>
        </is>
      </c>
      <c r="H270" s="156" t="inlineStr">
        <is>
          <t>Stetson</t>
        </is>
      </c>
      <c r="I270" s="156" t="inlineStr">
        <is>
          <t>Bota Piel Chocolate</t>
        </is>
      </c>
      <c r="J270" s="156" t="inlineStr">
        <is>
          <t>Calzado</t>
        </is>
      </c>
      <c r="K270" s="156" t="inlineStr">
        <is>
          <t>Botas</t>
        </is>
      </c>
      <c r="L270" s="156" t="inlineStr">
        <is>
          <t>Hombre</t>
        </is>
      </c>
      <c r="M270" s="156" t="inlineStr">
        <is>
          <t>Stetson</t>
        </is>
      </c>
      <c r="N270" s="156" t="inlineStr">
        <is>
          <t>SS26</t>
        </is>
      </c>
      <c r="O270" s="156" t="inlineStr">
        <is>
          <t>Seasonal</t>
        </is>
      </c>
      <c r="P270" s="156" t="inlineStr">
        <is>
          <t>Cafe</t>
        </is>
      </c>
      <c r="Q270" s="156" t="n"/>
      <c r="R270" s="156" t="inlineStr">
        <is>
          <t>Punta Redonda Ancha</t>
        </is>
      </c>
      <c r="S270" s="156" t="inlineStr">
        <is>
          <t>Piel bovina</t>
        </is>
      </c>
      <c r="T270" s="156" t="inlineStr">
        <is>
          <t>Bota Caballero Piel bovina Crazy Horse Chocolate Punta Redonda Ancha</t>
        </is>
      </c>
      <c r="U270" s="156" t="inlineStr">
        <is>
          <t>México</t>
        </is>
      </c>
      <c r="V270" s="156" t="inlineStr">
        <is>
          <t>PRS</t>
        </is>
      </c>
      <c r="W270" s="51" t="inlineStr">
        <is>
          <t>53111501</t>
        </is>
      </c>
      <c r="X270" s="156" t="n"/>
      <c r="Y270" s="54" t="n">
        <v>675</v>
      </c>
      <c r="Z270" s="54" t="n">
        <v>3879.310345</v>
      </c>
      <c r="AA270" s="55">
        <f>IF(AND(A270="", B270="", E270=""), "", IF(AB270="", "Válido", IF((LEN(AB270)-LEN(SUBSTITUTE(AB270,"; ","")))/2+1&gt;(LEN(AB270)-LEN(SUBSTITUTE(AB270,"[Aviso]","")))/7, "Con Incidencias", "Válido")))</f>
        <v/>
      </c>
      <c r="AB270" s="56">
        <f>IF(AND(A270="", B270="", E270=""), "", TEXTJOIN("; ", TRUE, IF(OR(TRIM(A270&amp;"")="", ISNUMBER(SEARCH("FALTA", A270))), "UPC faltante/inválido", ""), IF(AND(A270&lt;&gt;"", IFERROR(_xlfn.XMATCH(A270,$A$2:$A$2509,0,1)&lt;&gt;_xlfn.XMATCH(A270,$A$2:$A$2509,0,-1),FALSE)), "Código de barras duplicado", ""), IF(AND(E270&lt;&gt;"", COUNTIF($E$2:$E$2509, E270)&gt;1), "SKU duplicado", ""), IF(OR(J270="", J270=""), "[Aviso] División no capturada ()", IF(ISNA(MATCH(J270, Criterios!$A$123:$A$126, 0)), "División no válida", "")), IF(OR(K270="", K270=""), "[Aviso] Categoría no capturada ()", IF(ISNA(MATCH(K270, Criterios!$A$81:$A$120, 0)), "Categoría no válida", IF(AND(J270&lt;&gt;"", J270&lt;&gt;"", J270&lt;&gt;VLOOKUP(K270, Criterios!$A$81:$B$120, 2, FALSE)), "División no coincide con Categoría", ""))), IF(OR(L270="", L270=""), "[Aviso] Género no capturado ()", IF(ISNA(MATCH(L270, Criterios!$B$123:$B$127, 0)), "Género no válido", "")), IF(OR(N270="", N270=""), "[Aviso] Temporada no capturada ()", IF(ISNA(MATCH(N270, Criterios!$C$123:$C$128, 0)), "Temporada no válida", "")), IF(OR(O270="", O270=""), "[Aviso] Ciclo de vida no capturado ()", IF(ISNA(MATCH(O270, Criterios!$D$123:$D$124, 0)), "Ciclo de vida no válido", ""))))</f>
        <v/>
      </c>
      <c r="AC270" s="56" t="n"/>
      <c r="AD270" s="51" t="n">
        <v>-1</v>
      </c>
      <c r="AE270" s="156" t="n"/>
      <c r="AF270" s="51" t="n">
        <v>0</v>
      </c>
      <c r="AG270" s="156" t="inlineStr">
        <is>
          <t>Catálogo existente</t>
        </is>
      </c>
      <c r="AH27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0" s="156" t="inlineStr">
        <is>
          <t>Sí</t>
        </is>
      </c>
      <c r="AJ270" s="156" t="inlineStr">
        <is>
          <t>STETSON AMERICAS (-1)</t>
        </is>
      </c>
      <c r="AK270" s="155" t="inlineStr">
        <is>
          <t>Criterios: I [Q]; G1522_Extraccion_Articulos_NetSuite_2026-09-30.xlsx: fila 58842 [R] | Shopify Stetson: producto 15054564032875 / variante 53350546440555</t>
        </is>
      </c>
      <c r="AL270" s="58" t="n">
        <v>675</v>
      </c>
      <c r="AM270" s="58" t="n">
        <v>3879.310345</v>
      </c>
      <c r="AN270" s="155" t="inlineStr">
        <is>
          <t>Shopify Stetson México</t>
        </is>
      </c>
      <c r="AO270" s="59" t="n">
        <v>0</v>
      </c>
      <c r="AP270" s="59" t="n"/>
      <c r="AQ270" s="59" t="n"/>
      <c r="AR270" s="155" t="n"/>
    </row>
    <row r="271">
      <c r="A271" s="50" t="inlineStr">
        <is>
          <t>12020003101009305</t>
        </is>
      </c>
      <c r="B271" s="51" t="inlineStr">
        <is>
          <t>111168</t>
        </is>
      </c>
      <c r="C271" s="156" t="inlineStr">
        <is>
          <t>Multimarca</t>
        </is>
      </c>
      <c r="D271" s="156" t="inlineStr">
        <is>
          <t>12-020-BS003-10-1009</t>
        </is>
      </c>
      <c r="E271" s="156" t="inlineStr">
        <is>
          <t>12-020-BS003-10-1009-305</t>
        </is>
      </c>
      <c r="F271" s="156" t="inlineStr">
        <is>
          <t>30.5</t>
        </is>
      </c>
      <c r="G271" s="156" t="inlineStr">
        <is>
          <t>12.5</t>
        </is>
      </c>
      <c r="H271" s="156" t="inlineStr">
        <is>
          <t>Stetson</t>
        </is>
      </c>
      <c r="I271" s="156" t="inlineStr">
        <is>
          <t>Bota Piel Chocolate</t>
        </is>
      </c>
      <c r="J271" s="156" t="inlineStr">
        <is>
          <t>Calzado</t>
        </is>
      </c>
      <c r="K271" s="156" t="inlineStr">
        <is>
          <t>Botas</t>
        </is>
      </c>
      <c r="L271" s="156" t="inlineStr">
        <is>
          <t>Hombre</t>
        </is>
      </c>
      <c r="M271" s="156" t="inlineStr">
        <is>
          <t>Stetson</t>
        </is>
      </c>
      <c r="N271" s="156" t="inlineStr">
        <is>
          <t>SS26</t>
        </is>
      </c>
      <c r="O271" s="156" t="inlineStr">
        <is>
          <t>Seasonal</t>
        </is>
      </c>
      <c r="P271" s="156" t="inlineStr">
        <is>
          <t>Cafe</t>
        </is>
      </c>
      <c r="Q271" s="156" t="n"/>
      <c r="R271" s="156" t="inlineStr">
        <is>
          <t>Punta Redonda Ancha</t>
        </is>
      </c>
      <c r="S271" s="156" t="inlineStr">
        <is>
          <t>Piel bovina</t>
        </is>
      </c>
      <c r="T271" s="156" t="inlineStr">
        <is>
          <t>Bota Caballero Piel bovina Crazy Horse Chocolate Punta Redonda Ancha</t>
        </is>
      </c>
      <c r="U271" s="156" t="inlineStr">
        <is>
          <t>México</t>
        </is>
      </c>
      <c r="V271" s="156" t="inlineStr">
        <is>
          <t>PRS</t>
        </is>
      </c>
      <c r="W271" s="51" t="inlineStr">
        <is>
          <t>53111501</t>
        </is>
      </c>
      <c r="X271" s="156" t="n"/>
      <c r="Y271" s="54" t="n">
        <v>675</v>
      </c>
      <c r="Z271" s="54" t="n">
        <v>3879.310345</v>
      </c>
      <c r="AA271" s="55">
        <f>IF(AND(A271="", B271="", E271=""), "", IF(AB271="", "Válido", IF((LEN(AB271)-LEN(SUBSTITUTE(AB271,"; ","")))/2+1&gt;(LEN(AB271)-LEN(SUBSTITUTE(AB271,"[Aviso]","")))/7, "Con Incidencias", "Válido")))</f>
        <v/>
      </c>
      <c r="AB271" s="56">
        <f>IF(AND(A271="", B271="", E271=""), "", TEXTJOIN("; ", TRUE, IF(OR(TRIM(A271&amp;"")="", ISNUMBER(SEARCH("FALTA", A271))), "UPC faltante/inválido", ""), IF(AND(A271&lt;&gt;"", IFERROR(_xlfn.XMATCH(A271,$A$2:$A$2509,0,1)&lt;&gt;_xlfn.XMATCH(A271,$A$2:$A$2509,0,-1),FALSE)), "Código de barras duplicado", ""), IF(AND(E271&lt;&gt;"", COUNTIF($E$2:$E$2509, E271)&gt;1), "SKU duplicado", ""), IF(OR(J271="", J271=""), "[Aviso] División no capturada ()", IF(ISNA(MATCH(J271, Criterios!$A$123:$A$126, 0)), "División no válida", "")), IF(OR(K271="", K271=""), "[Aviso] Categoría no capturada ()", IF(ISNA(MATCH(K271, Criterios!$A$81:$A$120, 0)), "Categoría no válida", IF(AND(J271&lt;&gt;"", J271&lt;&gt;"", J271&lt;&gt;VLOOKUP(K271, Criterios!$A$81:$B$120, 2, FALSE)), "División no coincide con Categoría", ""))), IF(OR(L271="", L271=""), "[Aviso] Género no capturado ()", IF(ISNA(MATCH(L271, Criterios!$B$123:$B$127, 0)), "Género no válido", "")), IF(OR(N271="", N271=""), "[Aviso] Temporada no capturada ()", IF(ISNA(MATCH(N271, Criterios!$C$123:$C$128, 0)), "Temporada no válida", "")), IF(OR(O271="", O271=""), "[Aviso] Ciclo de vida no capturado ()", IF(ISNA(MATCH(O271, Criterios!$D$123:$D$124, 0)), "Ciclo de vida no válido", ""))))</f>
        <v/>
      </c>
      <c r="AC271" s="56" t="n"/>
      <c r="AD271" s="51" t="n">
        <v>0</v>
      </c>
      <c r="AE271" s="156" t="n"/>
      <c r="AF271" s="51" t="n">
        <v>0</v>
      </c>
      <c r="AG271" s="156" t="inlineStr">
        <is>
          <t>Catálogo existente</t>
        </is>
      </c>
      <c r="AH2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1" s="156" t="inlineStr">
        <is>
          <t>No</t>
        </is>
      </c>
      <c r="AJ271" s="156" t="n"/>
      <c r="AK271" s="155" t="inlineStr">
        <is>
          <t>Criterios: I [Q]; G1522_Extraccion_Articulos_NetSuite_2026-09-30.xlsx: fila 58843 [R] | Shopify Stetson: producto 15054564032875 / variante 53350546506091</t>
        </is>
      </c>
      <c r="AL271" s="58" t="n">
        <v>675</v>
      </c>
      <c r="AM271" s="58" t="n">
        <v>3879.310345</v>
      </c>
      <c r="AN271" s="155" t="inlineStr">
        <is>
          <t>Shopify Stetson México</t>
        </is>
      </c>
      <c r="AO271" s="59" t="n">
        <v>1</v>
      </c>
      <c r="AP271" s="59" t="n"/>
      <c r="AQ271" s="59" t="n"/>
      <c r="AR271" s="155" t="inlineStr">
        <is>
          <t>Shopify Stetson México › Stetson Americas: 1</t>
        </is>
      </c>
    </row>
    <row r="272">
      <c r="A272" s="50" t="inlineStr">
        <is>
          <t>12020003101009315</t>
        </is>
      </c>
      <c r="B272" s="51" t="inlineStr">
        <is>
          <t>111169</t>
        </is>
      </c>
      <c r="C272" s="156" t="inlineStr">
        <is>
          <t>Multimarca</t>
        </is>
      </c>
      <c r="D272" s="156" t="inlineStr">
        <is>
          <t>12-020-BS003-10-1009</t>
        </is>
      </c>
      <c r="E272" s="156" t="inlineStr">
        <is>
          <t>12-020-BS003-10-1009-315</t>
        </is>
      </c>
      <c r="F272" s="156" t="inlineStr">
        <is>
          <t>31.5</t>
        </is>
      </c>
      <c r="G272" s="156" t="inlineStr">
        <is>
          <t>13.5</t>
        </is>
      </c>
      <c r="H272" s="156" t="inlineStr">
        <is>
          <t>Stetson</t>
        </is>
      </c>
      <c r="I272" s="156" t="inlineStr">
        <is>
          <t>Bota Piel Chocolate</t>
        </is>
      </c>
      <c r="J272" s="156" t="inlineStr">
        <is>
          <t>Calzado</t>
        </is>
      </c>
      <c r="K272" s="156" t="inlineStr">
        <is>
          <t>Botas</t>
        </is>
      </c>
      <c r="L272" s="156" t="inlineStr">
        <is>
          <t>Hombre</t>
        </is>
      </c>
      <c r="M272" s="156" t="inlineStr">
        <is>
          <t>Stetson</t>
        </is>
      </c>
      <c r="N272" s="156" t="inlineStr">
        <is>
          <t>SS26</t>
        </is>
      </c>
      <c r="O272" s="156" t="inlineStr">
        <is>
          <t>Seasonal</t>
        </is>
      </c>
      <c r="P272" s="156" t="inlineStr">
        <is>
          <t>Cafe</t>
        </is>
      </c>
      <c r="Q272" s="156" t="n"/>
      <c r="R272" s="156" t="inlineStr">
        <is>
          <t>Punta Redonda Ancha</t>
        </is>
      </c>
      <c r="S272" s="156" t="inlineStr">
        <is>
          <t>Piel bovina</t>
        </is>
      </c>
      <c r="T272" s="156" t="inlineStr">
        <is>
          <t>Bota Caballero Piel bovina Crazy Horse Chocolate Punta Redonda Ancha</t>
        </is>
      </c>
      <c r="U272" s="156" t="inlineStr">
        <is>
          <t>México</t>
        </is>
      </c>
      <c r="V272" s="156" t="inlineStr">
        <is>
          <t>PRS</t>
        </is>
      </c>
      <c r="W272" s="51" t="inlineStr">
        <is>
          <t>53111501</t>
        </is>
      </c>
      <c r="X272" s="156" t="n"/>
      <c r="Y272" s="54" t="n">
        <v>675</v>
      </c>
      <c r="Z272" s="54" t="n">
        <v>3879.310345</v>
      </c>
      <c r="AA272" s="55">
        <f>IF(AND(A272="", B272="", E272=""), "", IF(AB272="", "Válido", IF((LEN(AB272)-LEN(SUBSTITUTE(AB272,"; ","")))/2+1&gt;(LEN(AB272)-LEN(SUBSTITUTE(AB272,"[Aviso]","")))/7, "Con Incidencias", "Válido")))</f>
        <v/>
      </c>
      <c r="AB272" s="56">
        <f>IF(AND(A272="", B272="", E272=""), "", TEXTJOIN("; ", TRUE, IF(OR(TRIM(A272&amp;"")="", ISNUMBER(SEARCH("FALTA", A272))), "UPC faltante/inválido", ""), IF(AND(A272&lt;&gt;"", IFERROR(_xlfn.XMATCH(A272,$A$2:$A$2509,0,1)&lt;&gt;_xlfn.XMATCH(A272,$A$2:$A$2509,0,-1),FALSE)), "Código de barras duplicado", ""), IF(AND(E272&lt;&gt;"", COUNTIF($E$2:$E$2509, E272)&gt;1), "SKU duplicado", ""), IF(OR(J272="", J272=""), "[Aviso] División no capturada ()", IF(ISNA(MATCH(J272, Criterios!$A$123:$A$126, 0)), "División no válida", "")), IF(OR(K272="", K272=""), "[Aviso] Categoría no capturada ()", IF(ISNA(MATCH(K272, Criterios!$A$81:$A$120, 0)), "Categoría no válida", IF(AND(J272&lt;&gt;"", J272&lt;&gt;"", J272&lt;&gt;VLOOKUP(K272, Criterios!$A$81:$B$120, 2, FALSE)), "División no coincide con Categoría", ""))), IF(OR(L272="", L272=""), "[Aviso] Género no capturado ()", IF(ISNA(MATCH(L272, Criterios!$B$123:$B$127, 0)), "Género no válido", "")), IF(OR(N272="", N272=""), "[Aviso] Temporada no capturada ()", IF(ISNA(MATCH(N272, Criterios!$C$123:$C$128, 0)), "Temporada no válida", "")), IF(OR(O272="", O272=""), "[Aviso] Ciclo de vida no capturado ()", IF(ISNA(MATCH(O272, Criterios!$D$123:$D$124, 0)), "Ciclo de vida no válido", ""))))</f>
        <v/>
      </c>
      <c r="AC272" s="56" t="n"/>
      <c r="AD272" s="51" t="n">
        <v>0</v>
      </c>
      <c r="AE272" s="156" t="n"/>
      <c r="AF272" s="51" t="n">
        <v>0</v>
      </c>
      <c r="AG272" s="156" t="inlineStr">
        <is>
          <t>Catálogo existente</t>
        </is>
      </c>
      <c r="AH2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2" s="156" t="inlineStr">
        <is>
          <t>No</t>
        </is>
      </c>
      <c r="AJ272" s="156" t="n"/>
      <c r="AK272" s="155" t="inlineStr">
        <is>
          <t>Criterios: I [Q]; G1522_Extraccion_Articulos_NetSuite_2026-09-30.xlsx: fila 58844 [R] | Shopify Stetson: producto 15054564032875 / variante 53350546571627</t>
        </is>
      </c>
      <c r="AL272" s="58" t="n">
        <v>675</v>
      </c>
      <c r="AM272" s="58" t="n">
        <v>3879.310345</v>
      </c>
      <c r="AN272" s="155" t="inlineStr">
        <is>
          <t>Shopify Stetson México</t>
        </is>
      </c>
      <c r="AO272" s="59" t="n">
        <v>0</v>
      </c>
      <c r="AP272" s="59" t="n"/>
      <c r="AQ272" s="59" t="n"/>
      <c r="AR272" s="155" t="n"/>
    </row>
    <row r="273">
      <c r="A273" s="50" t="inlineStr">
        <is>
          <t>12020003101009325</t>
        </is>
      </c>
      <c r="B273" s="51" t="inlineStr">
        <is>
          <t>111170</t>
        </is>
      </c>
      <c r="C273" s="156" t="inlineStr">
        <is>
          <t>Multimarca</t>
        </is>
      </c>
      <c r="D273" s="156" t="inlineStr">
        <is>
          <t>12-020-BS003-10-1009</t>
        </is>
      </c>
      <c r="E273" s="156" t="inlineStr">
        <is>
          <t>12-020-BS003-10-1009-325</t>
        </is>
      </c>
      <c r="F273" s="156" t="inlineStr">
        <is>
          <t>32.5</t>
        </is>
      </c>
      <c r="G273" s="156" t="inlineStr">
        <is>
          <t>14.5</t>
        </is>
      </c>
      <c r="H273" s="156" t="inlineStr">
        <is>
          <t>Stetson</t>
        </is>
      </c>
      <c r="I273" s="156" t="inlineStr">
        <is>
          <t>Bota Piel Chocolate</t>
        </is>
      </c>
      <c r="J273" s="156" t="inlineStr">
        <is>
          <t>Calzado</t>
        </is>
      </c>
      <c r="K273" s="156" t="inlineStr">
        <is>
          <t>Botas</t>
        </is>
      </c>
      <c r="L273" s="156" t="inlineStr">
        <is>
          <t>Hombre</t>
        </is>
      </c>
      <c r="M273" s="156" t="inlineStr">
        <is>
          <t>Stetson</t>
        </is>
      </c>
      <c r="N273" s="156" t="inlineStr">
        <is>
          <t>SS26</t>
        </is>
      </c>
      <c r="O273" s="156" t="inlineStr">
        <is>
          <t>Seasonal</t>
        </is>
      </c>
      <c r="P273" s="156" t="inlineStr">
        <is>
          <t>Cafe</t>
        </is>
      </c>
      <c r="Q273" s="156" t="n"/>
      <c r="R273" s="156" t="inlineStr">
        <is>
          <t>Punta Redonda Ancha</t>
        </is>
      </c>
      <c r="S273" s="156" t="inlineStr">
        <is>
          <t>Piel bovina</t>
        </is>
      </c>
      <c r="T273" s="156" t="inlineStr">
        <is>
          <t>Bota Caballero Piel bovina Crazy Horse Chocolate Punta Redonda Ancha</t>
        </is>
      </c>
      <c r="U273" s="156" t="inlineStr">
        <is>
          <t>México</t>
        </is>
      </c>
      <c r="V273" s="156" t="inlineStr">
        <is>
          <t>PRS</t>
        </is>
      </c>
      <c r="W273" s="51" t="inlineStr">
        <is>
          <t>53111501</t>
        </is>
      </c>
      <c r="X273" s="156" t="n"/>
      <c r="Y273" s="54" t="n">
        <v>675</v>
      </c>
      <c r="Z273" s="54" t="n">
        <v>3879.310345</v>
      </c>
      <c r="AA273" s="55">
        <f>IF(AND(A273="", B273="", E273=""), "", IF(AB273="", "Válido", IF((LEN(AB273)-LEN(SUBSTITUTE(AB273,"; ","")))/2+1&gt;(LEN(AB273)-LEN(SUBSTITUTE(AB273,"[Aviso]","")))/7, "Con Incidencias", "Válido")))</f>
        <v/>
      </c>
      <c r="AB273" s="56">
        <f>IF(AND(A273="", B273="", E273=""), "", TEXTJOIN("; ", TRUE, IF(OR(TRIM(A273&amp;"")="", ISNUMBER(SEARCH("FALTA", A273))), "UPC faltante/inválido", ""), IF(AND(A273&lt;&gt;"", IFERROR(_xlfn.XMATCH(A273,$A$2:$A$2509,0,1)&lt;&gt;_xlfn.XMATCH(A273,$A$2:$A$2509,0,-1),FALSE)), "Código de barras duplicado", ""), IF(AND(E273&lt;&gt;"", COUNTIF($E$2:$E$2509, E273)&gt;1), "SKU duplicado", ""), IF(OR(J273="", J273=""), "[Aviso] División no capturada ()", IF(ISNA(MATCH(J273, Criterios!$A$123:$A$126, 0)), "División no válida", "")), IF(OR(K273="", K273=""), "[Aviso] Categoría no capturada ()", IF(ISNA(MATCH(K273, Criterios!$A$81:$A$120, 0)), "Categoría no válida", IF(AND(J273&lt;&gt;"", J273&lt;&gt;"", J273&lt;&gt;VLOOKUP(K273, Criterios!$A$81:$B$120, 2, FALSE)), "División no coincide con Categoría", ""))), IF(OR(L273="", L273=""), "[Aviso] Género no capturado ()", IF(ISNA(MATCH(L273, Criterios!$B$123:$B$127, 0)), "Género no válido", "")), IF(OR(N273="", N273=""), "[Aviso] Temporada no capturada ()", IF(ISNA(MATCH(N273, Criterios!$C$123:$C$128, 0)), "Temporada no válida", "")), IF(OR(O273="", O273=""), "[Aviso] Ciclo de vida no capturado ()", IF(ISNA(MATCH(O273, Criterios!$D$123:$D$124, 0)), "Ciclo de vida no válido", ""))))</f>
        <v/>
      </c>
      <c r="AC273" s="56" t="n"/>
      <c r="AD273" s="51" t="n">
        <v>0</v>
      </c>
      <c r="AE273" s="156" t="n"/>
      <c r="AF273" s="51" t="n">
        <v>0</v>
      </c>
      <c r="AG273" s="156" t="inlineStr">
        <is>
          <t>Catálogo existente</t>
        </is>
      </c>
      <c r="AH2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3" s="156" t="inlineStr">
        <is>
          <t>No</t>
        </is>
      </c>
      <c r="AJ273" s="156" t="n"/>
      <c r="AK273" s="155" t="inlineStr">
        <is>
          <t>Criterios: I [Q]; G1522_Extraccion_Articulos_NetSuite_2026-09-30.xlsx: fila 58845 [R] | Shopify Stetson: producto 15054564032875 / variante 53350546637163</t>
        </is>
      </c>
      <c r="AL273" s="58" t="n">
        <v>675</v>
      </c>
      <c r="AM273" s="58" t="n">
        <v>3879.310345</v>
      </c>
      <c r="AN273" s="155" t="inlineStr">
        <is>
          <t>Shopify Stetson México</t>
        </is>
      </c>
      <c r="AO273" s="59" t="n">
        <v>0</v>
      </c>
      <c r="AP273" s="59" t="n"/>
      <c r="AQ273" s="59" t="n"/>
      <c r="AR273" s="155" t="n"/>
    </row>
    <row r="274">
      <c r="A274" s="50" t="inlineStr">
        <is>
          <t>12020003101010025</t>
        </is>
      </c>
      <c r="B274" s="51" t="inlineStr">
        <is>
          <t>111171</t>
        </is>
      </c>
      <c r="C274" s="156" t="inlineStr">
        <is>
          <t>Multimarca</t>
        </is>
      </c>
      <c r="D274" s="156" t="inlineStr">
        <is>
          <t>12-020-BS003-10-1010</t>
        </is>
      </c>
      <c r="E274" s="156" t="inlineStr">
        <is>
          <t>12-020-BS003-10-1010-025</t>
        </is>
      </c>
      <c r="F274" s="156" t="inlineStr">
        <is>
          <t>25</t>
        </is>
      </c>
      <c r="G274" s="156" t="inlineStr">
        <is>
          <t>7</t>
        </is>
      </c>
      <c r="H274" s="156" t="inlineStr">
        <is>
          <t>Stetson</t>
        </is>
      </c>
      <c r="I274" s="156" t="inlineStr">
        <is>
          <t>Bota Piel Cereza</t>
        </is>
      </c>
      <c r="J274" s="156" t="inlineStr">
        <is>
          <t>Calzado</t>
        </is>
      </c>
      <c r="K274" s="156" t="inlineStr">
        <is>
          <t>Botas</t>
        </is>
      </c>
      <c r="L274" s="156" t="inlineStr">
        <is>
          <t>Hombre</t>
        </is>
      </c>
      <c r="M274" s="156" t="inlineStr">
        <is>
          <t>Stetson</t>
        </is>
      </c>
      <c r="N274" s="156" t="inlineStr">
        <is>
          <t>SS26</t>
        </is>
      </c>
      <c r="O274" s="156" t="inlineStr">
        <is>
          <t>Seasonal</t>
        </is>
      </c>
      <c r="P274" s="156" t="inlineStr">
        <is>
          <t>Rojo</t>
        </is>
      </c>
      <c r="Q274" s="156" t="n"/>
      <c r="R274" s="156" t="inlineStr">
        <is>
          <t>Punta Redonda Ancha</t>
        </is>
      </c>
      <c r="S274" s="156" t="inlineStr">
        <is>
          <t>Piel bovina</t>
        </is>
      </c>
      <c r="T274" s="156" t="inlineStr">
        <is>
          <t>Bota Caballero Piel bovina Clayton Cereza Punta Redonda Ancha</t>
        </is>
      </c>
      <c r="U274" s="156" t="inlineStr">
        <is>
          <t>México</t>
        </is>
      </c>
      <c r="V274" s="156" t="inlineStr">
        <is>
          <t>PRS</t>
        </is>
      </c>
      <c r="W274" s="51" t="inlineStr">
        <is>
          <t>53111501</t>
        </is>
      </c>
      <c r="X274" s="156" t="n"/>
      <c r="Y274" s="54" t="n">
        <v>750</v>
      </c>
      <c r="Z274" s="54" t="n">
        <v>4310.344828</v>
      </c>
      <c r="AA274" s="55">
        <f>IF(AND(A274="", B274="", E274=""), "", IF(AB274="", "Válido", IF((LEN(AB274)-LEN(SUBSTITUTE(AB274,"; ","")))/2+1&gt;(LEN(AB274)-LEN(SUBSTITUTE(AB274,"[Aviso]","")))/7, "Con Incidencias", "Válido")))</f>
        <v/>
      </c>
      <c r="AB274" s="56">
        <f>IF(AND(A274="", B274="", E274=""), "", TEXTJOIN("; ", TRUE, IF(OR(TRIM(A274&amp;"")="", ISNUMBER(SEARCH("FALTA", A274))), "UPC faltante/inválido", ""), IF(AND(A274&lt;&gt;"", IFERROR(_xlfn.XMATCH(A274,$A$2:$A$2509,0,1)&lt;&gt;_xlfn.XMATCH(A274,$A$2:$A$2509,0,-1),FALSE)), "Código de barras duplicado", ""), IF(AND(E274&lt;&gt;"", COUNTIF($E$2:$E$2509, E274)&gt;1), "SKU duplicado", ""), IF(OR(J274="", J274=""), "[Aviso] División no capturada ()", IF(ISNA(MATCH(J274, Criterios!$A$123:$A$126, 0)), "División no válida", "")), IF(OR(K274="", K274=""), "[Aviso] Categoría no capturada ()", IF(ISNA(MATCH(K274, Criterios!$A$81:$A$120, 0)), "Categoría no válida", IF(AND(J274&lt;&gt;"", J274&lt;&gt;"", J274&lt;&gt;VLOOKUP(K274, Criterios!$A$81:$B$120, 2, FALSE)), "División no coincide con Categoría", ""))), IF(OR(L274="", L274=""), "[Aviso] Género no capturado ()", IF(ISNA(MATCH(L274, Criterios!$B$123:$B$127, 0)), "Género no válido", "")), IF(OR(N274="", N274=""), "[Aviso] Temporada no capturada ()", IF(ISNA(MATCH(N274, Criterios!$C$123:$C$128, 0)), "Temporada no válida", "")), IF(OR(O274="", O274=""), "[Aviso] Ciclo de vida no capturado ()", IF(ISNA(MATCH(O274, Criterios!$D$123:$D$124, 0)), "Ciclo de vida no válido", ""))))</f>
        <v/>
      </c>
      <c r="AC274" s="56" t="n"/>
      <c r="AD274" s="51" t="n">
        <v>0</v>
      </c>
      <c r="AE274" s="156" t="n"/>
      <c r="AF274" s="51" t="n">
        <v>0</v>
      </c>
      <c r="AG274" s="156" t="inlineStr">
        <is>
          <t>Catálogo existente</t>
        </is>
      </c>
      <c r="AH2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4" s="156" t="inlineStr">
        <is>
          <t>No</t>
        </is>
      </c>
      <c r="AJ274" s="156" t="n"/>
      <c r="AK274" s="155" t="inlineStr">
        <is>
          <t>Criterios: I [Q]; G1522_Extraccion_Articulos_NetSuite_2026-09-30.xlsx: fila 58846 [R] | Shopify Stetson: producto 15054564065643 / variante 53350546669931</t>
        </is>
      </c>
      <c r="AL274" s="58" t="n">
        <v>750</v>
      </c>
      <c r="AM274" s="58" t="n">
        <v>4310.344828</v>
      </c>
      <c r="AN274" s="155" t="inlineStr">
        <is>
          <t>Shopify Stetson México</t>
        </is>
      </c>
      <c r="AO274" s="59" t="n">
        <v>0</v>
      </c>
      <c r="AP274" s="59" t="n"/>
      <c r="AQ274" s="59" t="n"/>
      <c r="AR274" s="155" t="n"/>
    </row>
    <row r="275">
      <c r="A275" s="50" t="inlineStr">
        <is>
          <t>12020003101010026</t>
        </is>
      </c>
      <c r="B275" s="51" t="inlineStr">
        <is>
          <t>111172</t>
        </is>
      </c>
      <c r="C275" s="156" t="inlineStr">
        <is>
          <t>Multimarca</t>
        </is>
      </c>
      <c r="D275" s="156" t="inlineStr">
        <is>
          <t>12-020-BS003-10-1010</t>
        </is>
      </c>
      <c r="E275" s="156" t="inlineStr">
        <is>
          <t>12-020-BS003-10-1010-026</t>
        </is>
      </c>
      <c r="F275" s="156" t="inlineStr">
        <is>
          <t>26</t>
        </is>
      </c>
      <c r="G275" s="156" t="inlineStr">
        <is>
          <t>8</t>
        </is>
      </c>
      <c r="H275" s="156" t="inlineStr">
        <is>
          <t>Stetson</t>
        </is>
      </c>
      <c r="I275" s="156" t="inlineStr">
        <is>
          <t>Bota Piel Cereza</t>
        </is>
      </c>
      <c r="J275" s="156" t="inlineStr">
        <is>
          <t>Calzado</t>
        </is>
      </c>
      <c r="K275" s="156" t="inlineStr">
        <is>
          <t>Botas</t>
        </is>
      </c>
      <c r="L275" s="156" t="inlineStr">
        <is>
          <t>Hombre</t>
        </is>
      </c>
      <c r="M275" s="156" t="inlineStr">
        <is>
          <t>Stetson</t>
        </is>
      </c>
      <c r="N275" s="156" t="inlineStr">
        <is>
          <t>SS26</t>
        </is>
      </c>
      <c r="O275" s="156" t="inlineStr">
        <is>
          <t>Seasonal</t>
        </is>
      </c>
      <c r="P275" s="156" t="inlineStr">
        <is>
          <t>Rojo</t>
        </is>
      </c>
      <c r="Q275" s="156" t="n"/>
      <c r="R275" s="156" t="inlineStr">
        <is>
          <t>Punta Redonda Ancha</t>
        </is>
      </c>
      <c r="S275" s="156" t="inlineStr">
        <is>
          <t>Piel bovina</t>
        </is>
      </c>
      <c r="T275" s="156" t="inlineStr">
        <is>
          <t>Bota Caballero Piel bovina Clayton Cereza Punta Redonda Ancha</t>
        </is>
      </c>
      <c r="U275" s="156" t="inlineStr">
        <is>
          <t>México</t>
        </is>
      </c>
      <c r="V275" s="156" t="inlineStr">
        <is>
          <t>PRS</t>
        </is>
      </c>
      <c r="W275" s="51" t="inlineStr">
        <is>
          <t>53111501</t>
        </is>
      </c>
      <c r="X275" s="156" t="n"/>
      <c r="Y275" s="54" t="n">
        <v>750</v>
      </c>
      <c r="Z275" s="54" t="n">
        <v>4310.344828</v>
      </c>
      <c r="AA275" s="55">
        <f>IF(AND(A275="", B275="", E275=""), "", IF(AB275="", "Válido", IF((LEN(AB275)-LEN(SUBSTITUTE(AB275,"; ","")))/2+1&gt;(LEN(AB275)-LEN(SUBSTITUTE(AB275,"[Aviso]","")))/7, "Con Incidencias", "Válido")))</f>
        <v/>
      </c>
      <c r="AB275" s="56">
        <f>IF(AND(A275="", B275="", E275=""), "", TEXTJOIN("; ", TRUE, IF(OR(TRIM(A275&amp;"")="", ISNUMBER(SEARCH("FALTA", A275))), "UPC faltante/inválido", ""), IF(AND(A275&lt;&gt;"", IFERROR(_xlfn.XMATCH(A275,$A$2:$A$2509,0,1)&lt;&gt;_xlfn.XMATCH(A275,$A$2:$A$2509,0,-1),FALSE)), "Código de barras duplicado", ""), IF(AND(E275&lt;&gt;"", COUNTIF($E$2:$E$2509, E275)&gt;1), "SKU duplicado", ""), IF(OR(J275="", J275=""), "[Aviso] División no capturada ()", IF(ISNA(MATCH(J275, Criterios!$A$123:$A$126, 0)), "División no válida", "")), IF(OR(K275="", K275=""), "[Aviso] Categoría no capturada ()", IF(ISNA(MATCH(K275, Criterios!$A$81:$A$120, 0)), "Categoría no válida", IF(AND(J275&lt;&gt;"", J275&lt;&gt;"", J275&lt;&gt;VLOOKUP(K275, Criterios!$A$81:$B$120, 2, FALSE)), "División no coincide con Categoría", ""))), IF(OR(L275="", L275=""), "[Aviso] Género no capturado ()", IF(ISNA(MATCH(L275, Criterios!$B$123:$B$127, 0)), "Género no válido", "")), IF(OR(N275="", N275=""), "[Aviso] Temporada no capturada ()", IF(ISNA(MATCH(N275, Criterios!$C$123:$C$128, 0)), "Temporada no válida", "")), IF(OR(O275="", O275=""), "[Aviso] Ciclo de vida no capturado ()", IF(ISNA(MATCH(O275, Criterios!$D$123:$D$124, 0)), "Ciclo de vida no válido", ""))))</f>
        <v/>
      </c>
      <c r="AC275" s="56" t="n"/>
      <c r="AD275" s="51" t="n">
        <v>0</v>
      </c>
      <c r="AE275" s="156" t="n"/>
      <c r="AF275" s="51" t="n">
        <v>0</v>
      </c>
      <c r="AG275" s="156" t="inlineStr">
        <is>
          <t>Catálogo existente</t>
        </is>
      </c>
      <c r="AH2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5" s="156" t="inlineStr">
        <is>
          <t>No</t>
        </is>
      </c>
      <c r="AJ275" s="156" t="n"/>
      <c r="AK275" s="155" t="inlineStr">
        <is>
          <t>Criterios: I [Q]; G1522_Extraccion_Articulos_NetSuite_2026-09-30.xlsx: fila 58847 [R] | Shopify Stetson: producto 15054564065643 / variante 53350546735467</t>
        </is>
      </c>
      <c r="AL275" s="58" t="n">
        <v>750</v>
      </c>
      <c r="AM275" s="58" t="n">
        <v>4310.344828</v>
      </c>
      <c r="AN275" s="155" t="inlineStr">
        <is>
          <t>Shopify Stetson México</t>
        </is>
      </c>
      <c r="AO275" s="59" t="n">
        <v>1</v>
      </c>
      <c r="AP275" s="59" t="n"/>
      <c r="AQ275" s="59" t="n"/>
      <c r="AR275" s="155" t="inlineStr">
        <is>
          <t>Shopify Stetson México › Stetson Americas: 1</t>
        </is>
      </c>
    </row>
    <row r="276">
      <c r="A276" s="50" t="inlineStr">
        <is>
          <t>12020003101010027</t>
        </is>
      </c>
      <c r="B276" s="51" t="inlineStr">
        <is>
          <t>111173</t>
        </is>
      </c>
      <c r="C276" s="156" t="inlineStr">
        <is>
          <t>Multimarca</t>
        </is>
      </c>
      <c r="D276" s="156" t="inlineStr">
        <is>
          <t>12-020-BS003-10-1010</t>
        </is>
      </c>
      <c r="E276" s="156" t="inlineStr">
        <is>
          <t>12-020-BS003-10-1010-027</t>
        </is>
      </c>
      <c r="F276" s="156" t="inlineStr">
        <is>
          <t>27</t>
        </is>
      </c>
      <c r="G276" s="156" t="inlineStr">
        <is>
          <t>9</t>
        </is>
      </c>
      <c r="H276" s="156" t="inlineStr">
        <is>
          <t>Stetson</t>
        </is>
      </c>
      <c r="I276" s="156" t="inlineStr">
        <is>
          <t>Bota Piel Cereza</t>
        </is>
      </c>
      <c r="J276" s="156" t="inlineStr">
        <is>
          <t>Calzado</t>
        </is>
      </c>
      <c r="K276" s="156" t="inlineStr">
        <is>
          <t>Botas</t>
        </is>
      </c>
      <c r="L276" s="156" t="inlineStr">
        <is>
          <t>Hombre</t>
        </is>
      </c>
      <c r="M276" s="156" t="inlineStr">
        <is>
          <t>Stetson</t>
        </is>
      </c>
      <c r="N276" s="156" t="inlineStr">
        <is>
          <t>SS26</t>
        </is>
      </c>
      <c r="O276" s="156" t="inlineStr">
        <is>
          <t>Seasonal</t>
        </is>
      </c>
      <c r="P276" s="156" t="inlineStr">
        <is>
          <t>Rojo</t>
        </is>
      </c>
      <c r="Q276" s="156" t="n"/>
      <c r="R276" s="156" t="inlineStr">
        <is>
          <t>Punta Redonda Ancha</t>
        </is>
      </c>
      <c r="S276" s="156" t="inlineStr">
        <is>
          <t>Piel bovina</t>
        </is>
      </c>
      <c r="T276" s="156" t="inlineStr">
        <is>
          <t>Bota Caballero Piel bovina Clayton Cereza Punta Redonda Ancha</t>
        </is>
      </c>
      <c r="U276" s="156" t="inlineStr">
        <is>
          <t>México</t>
        </is>
      </c>
      <c r="V276" s="156" t="inlineStr">
        <is>
          <t>PRS</t>
        </is>
      </c>
      <c r="W276" s="51" t="inlineStr">
        <is>
          <t>53111501</t>
        </is>
      </c>
      <c r="X276" s="156" t="n"/>
      <c r="Y276" s="54" t="n">
        <v>750</v>
      </c>
      <c r="Z276" s="54" t="n">
        <v>4310.344828</v>
      </c>
      <c r="AA276" s="55">
        <f>IF(AND(A276="", B276="", E276=""), "", IF(AB276="", "Válido", IF((LEN(AB276)-LEN(SUBSTITUTE(AB276,"; ","")))/2+1&gt;(LEN(AB276)-LEN(SUBSTITUTE(AB276,"[Aviso]","")))/7, "Con Incidencias", "Válido")))</f>
        <v/>
      </c>
      <c r="AB276" s="56">
        <f>IF(AND(A276="", B276="", E276=""), "", TEXTJOIN("; ", TRUE, IF(OR(TRIM(A276&amp;"")="", ISNUMBER(SEARCH("FALTA", A276))), "UPC faltante/inválido", ""), IF(AND(A276&lt;&gt;"", IFERROR(_xlfn.XMATCH(A276,$A$2:$A$2509,0,1)&lt;&gt;_xlfn.XMATCH(A276,$A$2:$A$2509,0,-1),FALSE)), "Código de barras duplicado", ""), IF(AND(E276&lt;&gt;"", COUNTIF($E$2:$E$2509, E276)&gt;1), "SKU duplicado", ""), IF(OR(J276="", J276=""), "[Aviso] División no capturada ()", IF(ISNA(MATCH(J276, Criterios!$A$123:$A$126, 0)), "División no válida", "")), IF(OR(K276="", K276=""), "[Aviso] Categoría no capturada ()", IF(ISNA(MATCH(K276, Criterios!$A$81:$A$120, 0)), "Categoría no válida", IF(AND(J276&lt;&gt;"", J276&lt;&gt;"", J276&lt;&gt;VLOOKUP(K276, Criterios!$A$81:$B$120, 2, FALSE)), "División no coincide con Categoría", ""))), IF(OR(L276="", L276=""), "[Aviso] Género no capturado ()", IF(ISNA(MATCH(L276, Criterios!$B$123:$B$127, 0)), "Género no válido", "")), IF(OR(N276="", N276=""), "[Aviso] Temporada no capturada ()", IF(ISNA(MATCH(N276, Criterios!$C$123:$C$128, 0)), "Temporada no válida", "")), IF(OR(O276="", O276=""), "[Aviso] Ciclo de vida no capturado ()", IF(ISNA(MATCH(O276, Criterios!$D$123:$D$124, 0)), "Ciclo de vida no válido", ""))))</f>
        <v/>
      </c>
      <c r="AC276" s="56" t="n"/>
      <c r="AD276" s="51" t="n">
        <v>-2</v>
      </c>
      <c r="AE276" s="156" t="n"/>
      <c r="AF276" s="51" t="n">
        <v>0</v>
      </c>
      <c r="AG276" s="156" t="inlineStr">
        <is>
          <t>Catálogo existente</t>
        </is>
      </c>
      <c r="AH27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6" s="156" t="inlineStr">
        <is>
          <t>Sí</t>
        </is>
      </c>
      <c r="AJ276" s="156" t="inlineStr">
        <is>
          <t>STETSON AMERICAS (-2)</t>
        </is>
      </c>
      <c r="AK276" s="155" t="inlineStr">
        <is>
          <t>Criterios: I [Q]; G1522_Extraccion_Articulos_NetSuite_2026-09-30.xlsx: fila 58848 [R] | Shopify Stetson: producto 15054564065643 / variante 53350546801003</t>
        </is>
      </c>
      <c r="AL276" s="58" t="n">
        <v>750</v>
      </c>
      <c r="AM276" s="58" t="n">
        <v>4310.344828</v>
      </c>
      <c r="AN276" s="155" t="inlineStr">
        <is>
          <t>Shopify Stetson México</t>
        </is>
      </c>
      <c r="AO276" s="59" t="n">
        <v>0</v>
      </c>
      <c r="AP276" s="59" t="n"/>
      <c r="AQ276" s="59" t="n"/>
      <c r="AR276" s="155" t="n"/>
    </row>
    <row r="277">
      <c r="A277" s="50" t="inlineStr">
        <is>
          <t>12020003101010028</t>
        </is>
      </c>
      <c r="B277" s="51" t="inlineStr">
        <is>
          <t>111174</t>
        </is>
      </c>
      <c r="C277" s="156" t="inlineStr">
        <is>
          <t>Multimarca</t>
        </is>
      </c>
      <c r="D277" s="156" t="inlineStr">
        <is>
          <t>12-020-BS003-10-1010</t>
        </is>
      </c>
      <c r="E277" s="156" t="inlineStr">
        <is>
          <t>12-020-BS003-10-1010-028</t>
        </is>
      </c>
      <c r="F277" s="156" t="inlineStr">
        <is>
          <t>28</t>
        </is>
      </c>
      <c r="G277" s="156" t="inlineStr">
        <is>
          <t>10</t>
        </is>
      </c>
      <c r="H277" s="156" t="inlineStr">
        <is>
          <t>Stetson</t>
        </is>
      </c>
      <c r="I277" s="156" t="inlineStr">
        <is>
          <t>Bota Piel Cereza</t>
        </is>
      </c>
      <c r="J277" s="156" t="inlineStr">
        <is>
          <t>Calzado</t>
        </is>
      </c>
      <c r="K277" s="156" t="inlineStr">
        <is>
          <t>Botas</t>
        </is>
      </c>
      <c r="L277" s="156" t="inlineStr">
        <is>
          <t>Hombre</t>
        </is>
      </c>
      <c r="M277" s="156" t="inlineStr">
        <is>
          <t>Stetson</t>
        </is>
      </c>
      <c r="N277" s="156" t="inlineStr">
        <is>
          <t>SS26</t>
        </is>
      </c>
      <c r="O277" s="156" t="inlineStr">
        <is>
          <t>Seasonal</t>
        </is>
      </c>
      <c r="P277" s="156" t="inlineStr">
        <is>
          <t>Rojo</t>
        </is>
      </c>
      <c r="Q277" s="156" t="n"/>
      <c r="R277" s="156" t="inlineStr">
        <is>
          <t>Punta Redonda Ancha</t>
        </is>
      </c>
      <c r="S277" s="156" t="inlineStr">
        <is>
          <t>Piel bovina</t>
        </is>
      </c>
      <c r="T277" s="156" t="inlineStr">
        <is>
          <t>Bota Caballero Piel bovina Clayton Cereza Punta Redonda Ancha</t>
        </is>
      </c>
      <c r="U277" s="156" t="inlineStr">
        <is>
          <t>México</t>
        </is>
      </c>
      <c r="V277" s="156" t="inlineStr">
        <is>
          <t>PRS</t>
        </is>
      </c>
      <c r="W277" s="51" t="inlineStr">
        <is>
          <t>53111501</t>
        </is>
      </c>
      <c r="X277" s="156" t="n"/>
      <c r="Y277" s="54" t="n">
        <v>750</v>
      </c>
      <c r="Z277" s="54" t="n">
        <v>4310.344828</v>
      </c>
      <c r="AA277" s="55">
        <f>IF(AND(A277="", B277="", E277=""), "", IF(AB277="", "Válido", IF((LEN(AB277)-LEN(SUBSTITUTE(AB277,"; ","")))/2+1&gt;(LEN(AB277)-LEN(SUBSTITUTE(AB277,"[Aviso]","")))/7, "Con Incidencias", "Válido")))</f>
        <v/>
      </c>
      <c r="AB277" s="56">
        <f>IF(AND(A277="", B277="", E277=""), "", TEXTJOIN("; ", TRUE, IF(OR(TRIM(A277&amp;"")="", ISNUMBER(SEARCH("FALTA", A277))), "UPC faltante/inválido", ""), IF(AND(A277&lt;&gt;"", IFERROR(_xlfn.XMATCH(A277,$A$2:$A$2509,0,1)&lt;&gt;_xlfn.XMATCH(A277,$A$2:$A$2509,0,-1),FALSE)), "Código de barras duplicado", ""), IF(AND(E277&lt;&gt;"", COUNTIF($E$2:$E$2509, E277)&gt;1), "SKU duplicado", ""), IF(OR(J277="", J277=""), "[Aviso] División no capturada ()", IF(ISNA(MATCH(J277, Criterios!$A$123:$A$126, 0)), "División no válida", "")), IF(OR(K277="", K277=""), "[Aviso] Categoría no capturada ()", IF(ISNA(MATCH(K277, Criterios!$A$81:$A$120, 0)), "Categoría no válida", IF(AND(J277&lt;&gt;"", J277&lt;&gt;"", J277&lt;&gt;VLOOKUP(K277, Criterios!$A$81:$B$120, 2, FALSE)), "División no coincide con Categoría", ""))), IF(OR(L277="", L277=""), "[Aviso] Género no capturado ()", IF(ISNA(MATCH(L277, Criterios!$B$123:$B$127, 0)), "Género no válido", "")), IF(OR(N277="", N277=""), "[Aviso] Temporada no capturada ()", IF(ISNA(MATCH(N277, Criterios!$C$123:$C$128, 0)), "Temporada no válida", "")), IF(OR(O277="", O277=""), "[Aviso] Ciclo de vida no capturado ()", IF(ISNA(MATCH(O277, Criterios!$D$123:$D$124, 0)), "Ciclo de vida no válido", ""))))</f>
        <v/>
      </c>
      <c r="AC277" s="56" t="n"/>
      <c r="AD277" s="51" t="n">
        <v>-2</v>
      </c>
      <c r="AE277" s="156" t="n"/>
      <c r="AF277" s="51" t="n">
        <v>0</v>
      </c>
      <c r="AG277" s="156" t="inlineStr">
        <is>
          <t>Catálogo existente</t>
        </is>
      </c>
      <c r="AH27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7" s="156" t="inlineStr">
        <is>
          <t>Sí</t>
        </is>
      </c>
      <c r="AJ277" s="156" t="inlineStr">
        <is>
          <t>STETSON AMERICAS (-2)</t>
        </is>
      </c>
      <c r="AK277" s="155" t="inlineStr">
        <is>
          <t>Criterios: I [Q]; G1522_Extraccion_Articulos_NetSuite_2026-09-30.xlsx: fila 58849 [R] | Shopify Stetson: producto 15054564065643 / variante 53350546866539</t>
        </is>
      </c>
      <c r="AL277" s="58" t="n">
        <v>750</v>
      </c>
      <c r="AM277" s="58" t="n">
        <v>4310.344828</v>
      </c>
      <c r="AN277" s="155" t="inlineStr">
        <is>
          <t>Shopify Stetson México</t>
        </is>
      </c>
      <c r="AO277" s="59" t="n">
        <v>0</v>
      </c>
      <c r="AP277" s="59" t="n"/>
      <c r="AQ277" s="59" t="n"/>
      <c r="AR277" s="155" t="n"/>
    </row>
    <row r="278">
      <c r="A278" s="50" t="inlineStr">
        <is>
          <t>12020003101010029</t>
        </is>
      </c>
      <c r="B278" s="51" t="inlineStr">
        <is>
          <t>111175</t>
        </is>
      </c>
      <c r="C278" s="156" t="inlineStr">
        <is>
          <t>Multimarca</t>
        </is>
      </c>
      <c r="D278" s="156" t="inlineStr">
        <is>
          <t>12-020-BS003-10-1010</t>
        </is>
      </c>
      <c r="E278" s="156" t="inlineStr">
        <is>
          <t>12-020-BS003-10-1010-029</t>
        </is>
      </c>
      <c r="F278" s="156" t="inlineStr">
        <is>
          <t>29</t>
        </is>
      </c>
      <c r="G278" s="156" t="inlineStr">
        <is>
          <t>11</t>
        </is>
      </c>
      <c r="H278" s="156" t="inlineStr">
        <is>
          <t>Stetson</t>
        </is>
      </c>
      <c r="I278" s="156" t="inlineStr">
        <is>
          <t>Bota Piel Cereza</t>
        </is>
      </c>
      <c r="J278" s="156" t="inlineStr">
        <is>
          <t>Calzado</t>
        </is>
      </c>
      <c r="K278" s="156" t="inlineStr">
        <is>
          <t>Botas</t>
        </is>
      </c>
      <c r="L278" s="156" t="inlineStr">
        <is>
          <t>Hombre</t>
        </is>
      </c>
      <c r="M278" s="156" t="inlineStr">
        <is>
          <t>Stetson</t>
        </is>
      </c>
      <c r="N278" s="156" t="inlineStr">
        <is>
          <t>SS26</t>
        </is>
      </c>
      <c r="O278" s="156" t="inlineStr">
        <is>
          <t>Seasonal</t>
        </is>
      </c>
      <c r="P278" s="156" t="inlineStr">
        <is>
          <t>Rojo</t>
        </is>
      </c>
      <c r="Q278" s="156" t="n"/>
      <c r="R278" s="156" t="inlineStr">
        <is>
          <t>Punta Redonda Ancha</t>
        </is>
      </c>
      <c r="S278" s="156" t="inlineStr">
        <is>
          <t>Piel bovina</t>
        </is>
      </c>
      <c r="T278" s="156" t="inlineStr">
        <is>
          <t>Bota Caballero Piel bovina Clayton Cereza Punta Redonda Ancha</t>
        </is>
      </c>
      <c r="U278" s="156" t="inlineStr">
        <is>
          <t>México</t>
        </is>
      </c>
      <c r="V278" s="156" t="inlineStr">
        <is>
          <t>PRS</t>
        </is>
      </c>
      <c r="W278" s="51" t="inlineStr">
        <is>
          <t>53111501</t>
        </is>
      </c>
      <c r="X278" s="156" t="n"/>
      <c r="Y278" s="54" t="n">
        <v>750</v>
      </c>
      <c r="Z278" s="54" t="n">
        <v>4310.344828</v>
      </c>
      <c r="AA278" s="55">
        <f>IF(AND(A278="", B278="", E278=""), "", IF(AB278="", "Válido", IF((LEN(AB278)-LEN(SUBSTITUTE(AB278,"; ","")))/2+1&gt;(LEN(AB278)-LEN(SUBSTITUTE(AB278,"[Aviso]","")))/7, "Con Incidencias", "Válido")))</f>
        <v/>
      </c>
      <c r="AB278" s="56">
        <f>IF(AND(A278="", B278="", E278=""), "", TEXTJOIN("; ", TRUE, IF(OR(TRIM(A278&amp;"")="", ISNUMBER(SEARCH("FALTA", A278))), "UPC faltante/inválido", ""), IF(AND(A278&lt;&gt;"", IFERROR(_xlfn.XMATCH(A278,$A$2:$A$2509,0,1)&lt;&gt;_xlfn.XMATCH(A278,$A$2:$A$2509,0,-1),FALSE)), "Código de barras duplicado", ""), IF(AND(E278&lt;&gt;"", COUNTIF($E$2:$E$2509, E278)&gt;1), "SKU duplicado", ""), IF(OR(J278="", J278=""), "[Aviso] División no capturada ()", IF(ISNA(MATCH(J278, Criterios!$A$123:$A$126, 0)), "División no válida", "")), IF(OR(K278="", K278=""), "[Aviso] Categoría no capturada ()", IF(ISNA(MATCH(K278, Criterios!$A$81:$A$120, 0)), "Categoría no válida", IF(AND(J278&lt;&gt;"", J278&lt;&gt;"", J278&lt;&gt;VLOOKUP(K278, Criterios!$A$81:$B$120, 2, FALSE)), "División no coincide con Categoría", ""))), IF(OR(L278="", L278=""), "[Aviso] Género no capturado ()", IF(ISNA(MATCH(L278, Criterios!$B$123:$B$127, 0)), "Género no válido", "")), IF(OR(N278="", N278=""), "[Aviso] Temporada no capturada ()", IF(ISNA(MATCH(N278, Criterios!$C$123:$C$128, 0)), "Temporada no válida", "")), IF(OR(O278="", O278=""), "[Aviso] Ciclo de vida no capturado ()", IF(ISNA(MATCH(O278, Criterios!$D$123:$D$124, 0)), "Ciclo de vida no válido", ""))))</f>
        <v/>
      </c>
      <c r="AC278" s="56" t="n"/>
      <c r="AD278" s="51" t="n">
        <v>0</v>
      </c>
      <c r="AE278" s="156" t="n"/>
      <c r="AF278" s="51" t="n">
        <v>0</v>
      </c>
      <c r="AG278" s="156" t="inlineStr">
        <is>
          <t>Catálogo existente</t>
        </is>
      </c>
      <c r="AH2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8" s="156" t="inlineStr">
        <is>
          <t>No</t>
        </is>
      </c>
      <c r="AJ278" s="156" t="n"/>
      <c r="AK278" s="155" t="inlineStr">
        <is>
          <t>Criterios: I [Q]; G1522_Extraccion_Articulos_NetSuite_2026-09-30.xlsx: fila 58850 [R] | Shopify Stetson: producto 15054564065643 / variante 53350546932075</t>
        </is>
      </c>
      <c r="AL278" s="58" t="n">
        <v>750</v>
      </c>
      <c r="AM278" s="58" t="n">
        <v>4310.344828</v>
      </c>
      <c r="AN278" s="155" t="inlineStr">
        <is>
          <t>Shopify Stetson México</t>
        </is>
      </c>
      <c r="AO278" s="59" t="n">
        <v>2</v>
      </c>
      <c r="AP278" s="59" t="n"/>
      <c r="AQ278" s="59" t="n"/>
      <c r="AR278" s="155" t="inlineStr">
        <is>
          <t>Shopify Stetson México › Stetson Americas: 2</t>
        </is>
      </c>
    </row>
    <row r="279">
      <c r="A279" s="50" t="inlineStr">
        <is>
          <t>12020003101010030</t>
        </is>
      </c>
      <c r="B279" s="51" t="inlineStr">
        <is>
          <t>111176</t>
        </is>
      </c>
      <c r="C279" s="156" t="inlineStr">
        <is>
          <t>Multimarca</t>
        </is>
      </c>
      <c r="D279" s="156" t="inlineStr">
        <is>
          <t>12-020-BS003-10-1010</t>
        </is>
      </c>
      <c r="E279" s="156" t="inlineStr">
        <is>
          <t>12-020-BS003-10-1010-030</t>
        </is>
      </c>
      <c r="F279" s="156" t="inlineStr">
        <is>
          <t>30</t>
        </is>
      </c>
      <c r="G279" s="156" t="inlineStr">
        <is>
          <t>12</t>
        </is>
      </c>
      <c r="H279" s="156" t="inlineStr">
        <is>
          <t>Stetson</t>
        </is>
      </c>
      <c r="I279" s="156" t="inlineStr">
        <is>
          <t>Bota Piel Cereza</t>
        </is>
      </c>
      <c r="J279" s="156" t="inlineStr">
        <is>
          <t>Calzado</t>
        </is>
      </c>
      <c r="K279" s="156" t="inlineStr">
        <is>
          <t>Botas</t>
        </is>
      </c>
      <c r="L279" s="156" t="inlineStr">
        <is>
          <t>Hombre</t>
        </is>
      </c>
      <c r="M279" s="156" t="inlineStr">
        <is>
          <t>Stetson</t>
        </is>
      </c>
      <c r="N279" s="156" t="inlineStr">
        <is>
          <t>SS26</t>
        </is>
      </c>
      <c r="O279" s="156" t="inlineStr">
        <is>
          <t>Seasonal</t>
        </is>
      </c>
      <c r="P279" s="156" t="inlineStr">
        <is>
          <t>Rojo</t>
        </is>
      </c>
      <c r="Q279" s="156" t="n"/>
      <c r="R279" s="156" t="inlineStr">
        <is>
          <t>Punta Redonda Ancha</t>
        </is>
      </c>
      <c r="S279" s="156" t="inlineStr">
        <is>
          <t>Piel bovina</t>
        </is>
      </c>
      <c r="T279" s="156" t="inlineStr">
        <is>
          <t>Bota Caballero Piel bovina Clayton Cereza Punta Redonda Ancha</t>
        </is>
      </c>
      <c r="U279" s="156" t="inlineStr">
        <is>
          <t>México</t>
        </is>
      </c>
      <c r="V279" s="156" t="inlineStr">
        <is>
          <t>PRS</t>
        </is>
      </c>
      <c r="W279" s="51" t="inlineStr">
        <is>
          <t>53111501</t>
        </is>
      </c>
      <c r="X279" s="156" t="n"/>
      <c r="Y279" s="54" t="n">
        <v>750</v>
      </c>
      <c r="Z279" s="54" t="n">
        <v>4310.344828</v>
      </c>
      <c r="AA279" s="55">
        <f>IF(AND(A279="", B279="", E279=""), "", IF(AB279="", "Válido", IF((LEN(AB279)-LEN(SUBSTITUTE(AB279,"; ","")))/2+1&gt;(LEN(AB279)-LEN(SUBSTITUTE(AB279,"[Aviso]","")))/7, "Con Incidencias", "Válido")))</f>
        <v/>
      </c>
      <c r="AB279" s="56">
        <f>IF(AND(A279="", B279="", E279=""), "", TEXTJOIN("; ", TRUE, IF(OR(TRIM(A279&amp;"")="", ISNUMBER(SEARCH("FALTA", A279))), "UPC faltante/inválido", ""), IF(AND(A279&lt;&gt;"", IFERROR(_xlfn.XMATCH(A279,$A$2:$A$2509,0,1)&lt;&gt;_xlfn.XMATCH(A279,$A$2:$A$2509,0,-1),FALSE)), "Código de barras duplicado", ""), IF(AND(E279&lt;&gt;"", COUNTIF($E$2:$E$2509, E279)&gt;1), "SKU duplicado", ""), IF(OR(J279="", J279=""), "[Aviso] División no capturada ()", IF(ISNA(MATCH(J279, Criterios!$A$123:$A$126, 0)), "División no válida", "")), IF(OR(K279="", K279=""), "[Aviso] Categoría no capturada ()", IF(ISNA(MATCH(K279, Criterios!$A$81:$A$120, 0)), "Categoría no válida", IF(AND(J279&lt;&gt;"", J279&lt;&gt;"", J279&lt;&gt;VLOOKUP(K279, Criterios!$A$81:$B$120, 2, FALSE)), "División no coincide con Categoría", ""))), IF(OR(L279="", L279=""), "[Aviso] Género no capturado ()", IF(ISNA(MATCH(L279, Criterios!$B$123:$B$127, 0)), "Género no válido", "")), IF(OR(N279="", N279=""), "[Aviso] Temporada no capturada ()", IF(ISNA(MATCH(N279, Criterios!$C$123:$C$128, 0)), "Temporada no válida", "")), IF(OR(O279="", O279=""), "[Aviso] Ciclo de vida no capturado ()", IF(ISNA(MATCH(O279, Criterios!$D$123:$D$124, 0)), "Ciclo de vida no válido", ""))))</f>
        <v/>
      </c>
      <c r="AC279" s="56" t="n"/>
      <c r="AD279" s="51" t="n">
        <v>0</v>
      </c>
      <c r="AE279" s="156" t="n"/>
      <c r="AF279" s="51" t="n">
        <v>0</v>
      </c>
      <c r="AG279" s="156" t="inlineStr">
        <is>
          <t>Catálogo existente</t>
        </is>
      </c>
      <c r="AH2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9" s="156" t="inlineStr">
        <is>
          <t>No</t>
        </is>
      </c>
      <c r="AJ279" s="156" t="n"/>
      <c r="AK279" s="155" t="inlineStr">
        <is>
          <t>Criterios: I [Q]; G1522_Extraccion_Articulos_NetSuite_2026-09-30.xlsx: fila 58851 [R] | Shopify Stetson: producto 15054564065643 / variante 53350546997611</t>
        </is>
      </c>
      <c r="AL279" s="58" t="n">
        <v>750</v>
      </c>
      <c r="AM279" s="58" t="n">
        <v>4310.344828</v>
      </c>
      <c r="AN279" s="155" t="inlineStr">
        <is>
          <t>Shopify Stetson México</t>
        </is>
      </c>
      <c r="AO279" s="59" t="n">
        <v>1</v>
      </c>
      <c r="AP279" s="59" t="n"/>
      <c r="AQ279" s="59" t="n"/>
      <c r="AR279" s="155" t="inlineStr">
        <is>
          <t>Shopify Stetson México › Stetson Americas: 1</t>
        </is>
      </c>
    </row>
    <row r="280">
      <c r="A280" s="50" t="inlineStr">
        <is>
          <t>12020003101010031</t>
        </is>
      </c>
      <c r="B280" s="51" t="inlineStr">
        <is>
          <t>111177</t>
        </is>
      </c>
      <c r="C280" s="156" t="inlineStr">
        <is>
          <t>Multimarca</t>
        </is>
      </c>
      <c r="D280" s="156" t="inlineStr">
        <is>
          <t>12-020-BS003-10-1010</t>
        </is>
      </c>
      <c r="E280" s="156" t="inlineStr">
        <is>
          <t>12-020-BS003-10-1010-031</t>
        </is>
      </c>
      <c r="F280" s="156" t="inlineStr">
        <is>
          <t>31</t>
        </is>
      </c>
      <c r="G280" s="156" t="inlineStr">
        <is>
          <t>13</t>
        </is>
      </c>
      <c r="H280" s="156" t="inlineStr">
        <is>
          <t>Stetson</t>
        </is>
      </c>
      <c r="I280" s="156" t="inlineStr">
        <is>
          <t>Bota Piel Cereza</t>
        </is>
      </c>
      <c r="J280" s="156" t="inlineStr">
        <is>
          <t>Calzado</t>
        </is>
      </c>
      <c r="K280" s="156" t="inlineStr">
        <is>
          <t>Botas</t>
        </is>
      </c>
      <c r="L280" s="156" t="inlineStr">
        <is>
          <t>Hombre</t>
        </is>
      </c>
      <c r="M280" s="156" t="inlineStr">
        <is>
          <t>Stetson</t>
        </is>
      </c>
      <c r="N280" s="156" t="inlineStr">
        <is>
          <t>SS26</t>
        </is>
      </c>
      <c r="O280" s="156" t="inlineStr">
        <is>
          <t>Seasonal</t>
        </is>
      </c>
      <c r="P280" s="156" t="inlineStr">
        <is>
          <t>Rojo</t>
        </is>
      </c>
      <c r="Q280" s="156" t="n"/>
      <c r="R280" s="156" t="inlineStr">
        <is>
          <t>Punta Redonda Ancha</t>
        </is>
      </c>
      <c r="S280" s="156" t="inlineStr">
        <is>
          <t>Piel bovina</t>
        </is>
      </c>
      <c r="T280" s="156" t="inlineStr">
        <is>
          <t>Bota Caballero Piel bovina Clayton Cereza Punta Redonda Ancha</t>
        </is>
      </c>
      <c r="U280" s="156" t="inlineStr">
        <is>
          <t>México</t>
        </is>
      </c>
      <c r="V280" s="156" t="inlineStr">
        <is>
          <t>PRS</t>
        </is>
      </c>
      <c r="W280" s="51" t="inlineStr">
        <is>
          <t>53111501</t>
        </is>
      </c>
      <c r="X280" s="156" t="n"/>
      <c r="Y280" s="54" t="n">
        <v>750</v>
      </c>
      <c r="Z280" s="54" t="n">
        <v>4310.344828</v>
      </c>
      <c r="AA280" s="55">
        <f>IF(AND(A280="", B280="", E280=""), "", IF(AB280="", "Válido", IF((LEN(AB280)-LEN(SUBSTITUTE(AB280,"; ","")))/2+1&gt;(LEN(AB280)-LEN(SUBSTITUTE(AB280,"[Aviso]","")))/7, "Con Incidencias", "Válido")))</f>
        <v/>
      </c>
      <c r="AB280" s="56">
        <f>IF(AND(A280="", B280="", E280=""), "", TEXTJOIN("; ", TRUE, IF(OR(TRIM(A280&amp;"")="", ISNUMBER(SEARCH("FALTA", A280))), "UPC faltante/inválido", ""), IF(AND(A280&lt;&gt;"", IFERROR(_xlfn.XMATCH(A280,$A$2:$A$2509,0,1)&lt;&gt;_xlfn.XMATCH(A280,$A$2:$A$2509,0,-1),FALSE)), "Código de barras duplicado", ""), IF(AND(E280&lt;&gt;"", COUNTIF($E$2:$E$2509, E280)&gt;1), "SKU duplicado", ""), IF(OR(J280="", J280=""), "[Aviso] División no capturada ()", IF(ISNA(MATCH(J280, Criterios!$A$123:$A$126, 0)), "División no válida", "")), IF(OR(K280="", K280=""), "[Aviso] Categoría no capturada ()", IF(ISNA(MATCH(K280, Criterios!$A$81:$A$120, 0)), "Categoría no válida", IF(AND(J280&lt;&gt;"", J280&lt;&gt;"", J280&lt;&gt;VLOOKUP(K280, Criterios!$A$81:$B$120, 2, FALSE)), "División no coincide con Categoría", ""))), IF(OR(L280="", L280=""), "[Aviso] Género no capturado ()", IF(ISNA(MATCH(L280, Criterios!$B$123:$B$127, 0)), "Género no válido", "")), IF(OR(N280="", N280=""), "[Aviso] Temporada no capturada ()", IF(ISNA(MATCH(N280, Criterios!$C$123:$C$128, 0)), "Temporada no válida", "")), IF(OR(O280="", O280=""), "[Aviso] Ciclo de vida no capturado ()", IF(ISNA(MATCH(O280, Criterios!$D$123:$D$124, 0)), "Ciclo de vida no válido", ""))))</f>
        <v/>
      </c>
      <c r="AC280" s="56" t="n"/>
      <c r="AD280" s="51" t="n">
        <v>0</v>
      </c>
      <c r="AE280" s="156" t="n"/>
      <c r="AF280" s="51" t="n">
        <v>0</v>
      </c>
      <c r="AG280" s="156" t="inlineStr">
        <is>
          <t>Catálogo existente</t>
        </is>
      </c>
      <c r="AH2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0" s="156" t="inlineStr">
        <is>
          <t>No</t>
        </is>
      </c>
      <c r="AJ280" s="156" t="n"/>
      <c r="AK280" s="155" t="inlineStr">
        <is>
          <t>Criterios: I [Q]; G1522_Extraccion_Articulos_NetSuite_2026-09-30.xlsx: fila 58852 [R] | Shopify Stetson: producto 15054564065643 / variante 53350547063147</t>
        </is>
      </c>
      <c r="AL280" s="58" t="n">
        <v>750</v>
      </c>
      <c r="AM280" s="58" t="n">
        <v>4310.344828</v>
      </c>
      <c r="AN280" s="155" t="inlineStr">
        <is>
          <t>Shopify Stetson México</t>
        </is>
      </c>
      <c r="AO280" s="59" t="n">
        <v>0</v>
      </c>
      <c r="AP280" s="59" t="n"/>
      <c r="AQ280" s="59" t="n"/>
      <c r="AR280" s="155" t="n"/>
    </row>
    <row r="281">
      <c r="A281" s="50" t="inlineStr">
        <is>
          <t>12020003101010032</t>
        </is>
      </c>
      <c r="B281" s="51" t="inlineStr">
        <is>
          <t>111178</t>
        </is>
      </c>
      <c r="C281" s="156" t="inlineStr">
        <is>
          <t>Multimarca</t>
        </is>
      </c>
      <c r="D281" s="156" t="inlineStr">
        <is>
          <t>12-020-BS003-10-1010</t>
        </is>
      </c>
      <c r="E281" s="156" t="inlineStr">
        <is>
          <t>12-020-BS003-10-1010-032</t>
        </is>
      </c>
      <c r="F281" s="156" t="inlineStr">
        <is>
          <t>32</t>
        </is>
      </c>
      <c r="G281" s="156" t="inlineStr">
        <is>
          <t>14</t>
        </is>
      </c>
      <c r="H281" s="156" t="inlineStr">
        <is>
          <t>Stetson</t>
        </is>
      </c>
      <c r="I281" s="156" t="inlineStr">
        <is>
          <t>Bota Piel Cereza</t>
        </is>
      </c>
      <c r="J281" s="156" t="inlineStr">
        <is>
          <t>Calzado</t>
        </is>
      </c>
      <c r="K281" s="156" t="inlineStr">
        <is>
          <t>Botas</t>
        </is>
      </c>
      <c r="L281" s="156" t="inlineStr">
        <is>
          <t>Hombre</t>
        </is>
      </c>
      <c r="M281" s="156" t="inlineStr">
        <is>
          <t>Stetson</t>
        </is>
      </c>
      <c r="N281" s="156" t="inlineStr">
        <is>
          <t>SS26</t>
        </is>
      </c>
      <c r="O281" s="156" t="inlineStr">
        <is>
          <t>Seasonal</t>
        </is>
      </c>
      <c r="P281" s="156" t="inlineStr">
        <is>
          <t>Rojo</t>
        </is>
      </c>
      <c r="Q281" s="156" t="n"/>
      <c r="R281" s="156" t="inlineStr">
        <is>
          <t>Punta Redonda Ancha</t>
        </is>
      </c>
      <c r="S281" s="156" t="inlineStr">
        <is>
          <t>Piel bovina</t>
        </is>
      </c>
      <c r="T281" s="156" t="inlineStr">
        <is>
          <t>Bota Caballero Piel bovina Clayton Cereza Punta Redonda Ancha</t>
        </is>
      </c>
      <c r="U281" s="156" t="inlineStr">
        <is>
          <t>México</t>
        </is>
      </c>
      <c r="V281" s="156" t="inlineStr">
        <is>
          <t>PRS</t>
        </is>
      </c>
      <c r="W281" s="51" t="inlineStr">
        <is>
          <t>53111501</t>
        </is>
      </c>
      <c r="X281" s="156" t="n"/>
      <c r="Y281" s="54" t="n">
        <v>750</v>
      </c>
      <c r="Z281" s="54" t="n">
        <v>4310.344828</v>
      </c>
      <c r="AA281" s="55">
        <f>IF(AND(A281="", B281="", E281=""), "", IF(AB281="", "Válido", IF((LEN(AB281)-LEN(SUBSTITUTE(AB281,"; ","")))/2+1&gt;(LEN(AB281)-LEN(SUBSTITUTE(AB281,"[Aviso]","")))/7, "Con Incidencias", "Válido")))</f>
        <v/>
      </c>
      <c r="AB281" s="56">
        <f>IF(AND(A281="", B281="", E281=""), "", TEXTJOIN("; ", TRUE, IF(OR(TRIM(A281&amp;"")="", ISNUMBER(SEARCH("FALTA", A281))), "UPC faltante/inválido", ""), IF(AND(A281&lt;&gt;"", IFERROR(_xlfn.XMATCH(A281,$A$2:$A$2509,0,1)&lt;&gt;_xlfn.XMATCH(A281,$A$2:$A$2509,0,-1),FALSE)), "Código de barras duplicado", ""), IF(AND(E281&lt;&gt;"", COUNTIF($E$2:$E$2509, E281)&gt;1), "SKU duplicado", ""), IF(OR(J281="", J281=""), "[Aviso] División no capturada ()", IF(ISNA(MATCH(J281, Criterios!$A$123:$A$126, 0)), "División no válida", "")), IF(OR(K281="", K281=""), "[Aviso] Categoría no capturada ()", IF(ISNA(MATCH(K281, Criterios!$A$81:$A$120, 0)), "Categoría no válida", IF(AND(J281&lt;&gt;"", J281&lt;&gt;"", J281&lt;&gt;VLOOKUP(K281, Criterios!$A$81:$B$120, 2, FALSE)), "División no coincide con Categoría", ""))), IF(OR(L281="", L281=""), "[Aviso] Género no capturado ()", IF(ISNA(MATCH(L281, Criterios!$B$123:$B$127, 0)), "Género no válido", "")), IF(OR(N281="", N281=""), "[Aviso] Temporada no capturada ()", IF(ISNA(MATCH(N281, Criterios!$C$123:$C$128, 0)), "Temporada no válida", "")), IF(OR(O281="", O281=""), "[Aviso] Ciclo de vida no capturado ()", IF(ISNA(MATCH(O281, Criterios!$D$123:$D$124, 0)), "Ciclo de vida no válido", ""))))</f>
        <v/>
      </c>
      <c r="AC281" s="56" t="n"/>
      <c r="AD281" s="51" t="n">
        <v>0</v>
      </c>
      <c r="AE281" s="156" t="n"/>
      <c r="AF281" s="51" t="n">
        <v>0</v>
      </c>
      <c r="AG281" s="156" t="inlineStr">
        <is>
          <t>Catálogo existente</t>
        </is>
      </c>
      <c r="AH2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1" s="156" t="inlineStr">
        <is>
          <t>No</t>
        </is>
      </c>
      <c r="AJ281" s="156" t="n"/>
      <c r="AK281" s="155" t="inlineStr">
        <is>
          <t>Criterios: I [Q]; G1522_Extraccion_Articulos_NetSuite_2026-09-30.xlsx: fila 58853 [R] | Shopify Stetson: producto 15054564065643 / variante 53350547128683</t>
        </is>
      </c>
      <c r="AL281" s="58" t="n">
        <v>750</v>
      </c>
      <c r="AM281" s="58" t="n">
        <v>4310.344828</v>
      </c>
      <c r="AN281" s="155" t="inlineStr">
        <is>
          <t>Shopify Stetson México</t>
        </is>
      </c>
      <c r="AO281" s="59" t="n">
        <v>0</v>
      </c>
      <c r="AP281" s="59" t="n"/>
      <c r="AQ281" s="59" t="n"/>
      <c r="AR281" s="155" t="n"/>
    </row>
    <row r="282">
      <c r="A282" s="50" t="inlineStr">
        <is>
          <t>12020003101010255</t>
        </is>
      </c>
      <c r="B282" s="51" t="inlineStr">
        <is>
          <t>111179</t>
        </is>
      </c>
      <c r="C282" s="156" t="inlineStr">
        <is>
          <t>Multimarca</t>
        </is>
      </c>
      <c r="D282" s="156" t="inlineStr">
        <is>
          <t>12-020-BS003-10-1010</t>
        </is>
      </c>
      <c r="E282" s="156" t="inlineStr">
        <is>
          <t>12-020-BS003-10-1010-255</t>
        </is>
      </c>
      <c r="F282" s="156" t="inlineStr">
        <is>
          <t>25.5</t>
        </is>
      </c>
      <c r="G282" s="156" t="inlineStr">
        <is>
          <t>7.5</t>
        </is>
      </c>
      <c r="H282" s="156" t="inlineStr">
        <is>
          <t>Stetson</t>
        </is>
      </c>
      <c r="I282" s="156" t="inlineStr">
        <is>
          <t>Bota Piel Cereza</t>
        </is>
      </c>
      <c r="J282" s="156" t="inlineStr">
        <is>
          <t>Calzado</t>
        </is>
      </c>
      <c r="K282" s="156" t="inlineStr">
        <is>
          <t>Botas</t>
        </is>
      </c>
      <c r="L282" s="156" t="inlineStr">
        <is>
          <t>Hombre</t>
        </is>
      </c>
      <c r="M282" s="156" t="inlineStr">
        <is>
          <t>Stetson</t>
        </is>
      </c>
      <c r="N282" s="156" t="inlineStr">
        <is>
          <t>SS26</t>
        </is>
      </c>
      <c r="O282" s="156" t="inlineStr">
        <is>
          <t>Seasonal</t>
        </is>
      </c>
      <c r="P282" s="156" t="inlineStr">
        <is>
          <t>Rojo</t>
        </is>
      </c>
      <c r="Q282" s="156" t="n"/>
      <c r="R282" s="156" t="inlineStr">
        <is>
          <t>Punta Redonda Ancha</t>
        </is>
      </c>
      <c r="S282" s="156" t="inlineStr">
        <is>
          <t>Piel bovina</t>
        </is>
      </c>
      <c r="T282" s="156" t="inlineStr">
        <is>
          <t>Bota Caballero Piel bovina Clayton Cereza Punta Redonda Ancha</t>
        </is>
      </c>
      <c r="U282" s="156" t="inlineStr">
        <is>
          <t>México</t>
        </is>
      </c>
      <c r="V282" s="156" t="inlineStr">
        <is>
          <t>PRS</t>
        </is>
      </c>
      <c r="W282" s="51" t="inlineStr">
        <is>
          <t>53111501</t>
        </is>
      </c>
      <c r="X282" s="156" t="n"/>
      <c r="Y282" s="54" t="n">
        <v>750</v>
      </c>
      <c r="Z282" s="54" t="n">
        <v>4310.344828</v>
      </c>
      <c r="AA282" s="55">
        <f>IF(AND(A282="", B282="", E282=""), "", IF(AB282="", "Válido", IF((LEN(AB282)-LEN(SUBSTITUTE(AB282,"; ","")))/2+1&gt;(LEN(AB282)-LEN(SUBSTITUTE(AB282,"[Aviso]","")))/7, "Con Incidencias", "Válido")))</f>
        <v/>
      </c>
      <c r="AB282" s="56">
        <f>IF(AND(A282="", B282="", E282=""), "", TEXTJOIN("; ", TRUE, IF(OR(TRIM(A282&amp;"")="", ISNUMBER(SEARCH("FALTA", A282))), "UPC faltante/inválido", ""), IF(AND(A282&lt;&gt;"", IFERROR(_xlfn.XMATCH(A282,$A$2:$A$2509,0,1)&lt;&gt;_xlfn.XMATCH(A282,$A$2:$A$2509,0,-1),FALSE)), "Código de barras duplicado", ""), IF(AND(E282&lt;&gt;"", COUNTIF($E$2:$E$2509, E282)&gt;1), "SKU duplicado", ""), IF(OR(J282="", J282=""), "[Aviso] División no capturada ()", IF(ISNA(MATCH(J282, Criterios!$A$123:$A$126, 0)), "División no válida", "")), IF(OR(K282="", K282=""), "[Aviso] Categoría no capturada ()", IF(ISNA(MATCH(K282, Criterios!$A$81:$A$120, 0)), "Categoría no válida", IF(AND(J282&lt;&gt;"", J282&lt;&gt;"", J282&lt;&gt;VLOOKUP(K282, Criterios!$A$81:$B$120, 2, FALSE)), "División no coincide con Categoría", ""))), IF(OR(L282="", L282=""), "[Aviso] Género no capturado ()", IF(ISNA(MATCH(L282, Criterios!$B$123:$B$127, 0)), "Género no válido", "")), IF(OR(N282="", N282=""), "[Aviso] Temporada no capturada ()", IF(ISNA(MATCH(N282, Criterios!$C$123:$C$128, 0)), "Temporada no válida", "")), IF(OR(O282="", O282=""), "[Aviso] Ciclo de vida no capturado ()", IF(ISNA(MATCH(O282, Criterios!$D$123:$D$124, 0)), "Ciclo de vida no válido", ""))))</f>
        <v/>
      </c>
      <c r="AC282" s="56" t="n"/>
      <c r="AD282" s="51" t="n">
        <v>0</v>
      </c>
      <c r="AE282" s="156" t="n"/>
      <c r="AF282" s="51" t="n">
        <v>0</v>
      </c>
      <c r="AG282" s="156" t="inlineStr">
        <is>
          <t>Catálogo existente</t>
        </is>
      </c>
      <c r="AH2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2" s="156" t="inlineStr">
        <is>
          <t>No</t>
        </is>
      </c>
      <c r="AJ282" s="156" t="n"/>
      <c r="AK282" s="155" t="inlineStr">
        <is>
          <t>Criterios: I [Q]; G1522_Extraccion_Articulos_NetSuite_2026-09-30.xlsx: fila 58854 [R] | Shopify Stetson: producto 15054564065643 / variante 53350546702699</t>
        </is>
      </c>
      <c r="AL282" s="58" t="n">
        <v>750</v>
      </c>
      <c r="AM282" s="58" t="n">
        <v>4310.344828</v>
      </c>
      <c r="AN282" s="155" t="inlineStr">
        <is>
          <t>Shopify Stetson México</t>
        </is>
      </c>
      <c r="AO282" s="59" t="n">
        <v>0</v>
      </c>
      <c r="AP282" s="59" t="n"/>
      <c r="AQ282" s="59" t="n"/>
      <c r="AR282" s="155" t="n"/>
    </row>
    <row r="283">
      <c r="A283" s="50" t="inlineStr">
        <is>
          <t>12020003101010265</t>
        </is>
      </c>
      <c r="B283" s="51" t="inlineStr">
        <is>
          <t>111180</t>
        </is>
      </c>
      <c r="C283" s="156" t="inlineStr">
        <is>
          <t>Multimarca</t>
        </is>
      </c>
      <c r="D283" s="156" t="inlineStr">
        <is>
          <t>12-020-BS003-10-1010</t>
        </is>
      </c>
      <c r="E283" s="156" t="inlineStr">
        <is>
          <t>12-020-BS003-10-1010-265</t>
        </is>
      </c>
      <c r="F283" s="156" t="inlineStr">
        <is>
          <t>26.5</t>
        </is>
      </c>
      <c r="G283" s="156" t="inlineStr">
        <is>
          <t>8.5</t>
        </is>
      </c>
      <c r="H283" s="156" t="inlineStr">
        <is>
          <t>Stetson</t>
        </is>
      </c>
      <c r="I283" s="156" t="inlineStr">
        <is>
          <t>Bota Piel Cereza</t>
        </is>
      </c>
      <c r="J283" s="156" t="inlineStr">
        <is>
          <t>Calzado</t>
        </is>
      </c>
      <c r="K283" s="156" t="inlineStr">
        <is>
          <t>Botas</t>
        </is>
      </c>
      <c r="L283" s="156" t="inlineStr">
        <is>
          <t>Hombre</t>
        </is>
      </c>
      <c r="M283" s="156" t="inlineStr">
        <is>
          <t>Stetson</t>
        </is>
      </c>
      <c r="N283" s="156" t="inlineStr">
        <is>
          <t>SS26</t>
        </is>
      </c>
      <c r="O283" s="156" t="inlineStr">
        <is>
          <t>Seasonal</t>
        </is>
      </c>
      <c r="P283" s="156" t="inlineStr">
        <is>
          <t>Rojo</t>
        </is>
      </c>
      <c r="Q283" s="156" t="n"/>
      <c r="R283" s="156" t="inlineStr">
        <is>
          <t>Punta Redonda Ancha</t>
        </is>
      </c>
      <c r="S283" s="156" t="inlineStr">
        <is>
          <t>Piel bovina</t>
        </is>
      </c>
      <c r="T283" s="156" t="inlineStr">
        <is>
          <t>Bota Caballero Piel bovina Clayton Cereza Punta Redonda Ancha</t>
        </is>
      </c>
      <c r="U283" s="156" t="inlineStr">
        <is>
          <t>México</t>
        </is>
      </c>
      <c r="V283" s="156" t="inlineStr">
        <is>
          <t>PRS</t>
        </is>
      </c>
      <c r="W283" s="51" t="inlineStr">
        <is>
          <t>53111501</t>
        </is>
      </c>
      <c r="X283" s="156" t="n"/>
      <c r="Y283" s="54" t="n">
        <v>750</v>
      </c>
      <c r="Z283" s="54" t="n">
        <v>4310.344828</v>
      </c>
      <c r="AA283" s="55">
        <f>IF(AND(A283="", B283="", E283=""), "", IF(AB283="", "Válido", IF((LEN(AB283)-LEN(SUBSTITUTE(AB283,"; ","")))/2+1&gt;(LEN(AB283)-LEN(SUBSTITUTE(AB283,"[Aviso]","")))/7, "Con Incidencias", "Válido")))</f>
        <v/>
      </c>
      <c r="AB283" s="56">
        <f>IF(AND(A283="", B283="", E283=""), "", TEXTJOIN("; ", TRUE, IF(OR(TRIM(A283&amp;"")="", ISNUMBER(SEARCH("FALTA", A283))), "UPC faltante/inválido", ""), IF(AND(A283&lt;&gt;"", IFERROR(_xlfn.XMATCH(A283,$A$2:$A$2509,0,1)&lt;&gt;_xlfn.XMATCH(A283,$A$2:$A$2509,0,-1),FALSE)), "Código de barras duplicado", ""), IF(AND(E283&lt;&gt;"", COUNTIF($E$2:$E$2509, E283)&gt;1), "SKU duplicado", ""), IF(OR(J283="", J283=""), "[Aviso] División no capturada ()", IF(ISNA(MATCH(J283, Criterios!$A$123:$A$126, 0)), "División no válida", "")), IF(OR(K283="", K283=""), "[Aviso] Categoría no capturada ()", IF(ISNA(MATCH(K283, Criterios!$A$81:$A$120, 0)), "Categoría no válida", IF(AND(J283&lt;&gt;"", J283&lt;&gt;"", J283&lt;&gt;VLOOKUP(K283, Criterios!$A$81:$B$120, 2, FALSE)), "División no coincide con Categoría", ""))), IF(OR(L283="", L283=""), "[Aviso] Género no capturado ()", IF(ISNA(MATCH(L283, Criterios!$B$123:$B$127, 0)), "Género no válido", "")), IF(OR(N283="", N283=""), "[Aviso] Temporada no capturada ()", IF(ISNA(MATCH(N283, Criterios!$C$123:$C$128, 0)), "Temporada no válida", "")), IF(OR(O283="", O283=""), "[Aviso] Ciclo de vida no capturado ()", IF(ISNA(MATCH(O283, Criterios!$D$123:$D$124, 0)), "Ciclo de vida no válido", ""))))</f>
        <v/>
      </c>
      <c r="AC283" s="56" t="n"/>
      <c r="AD283" s="51" t="n">
        <v>0</v>
      </c>
      <c r="AE283" s="156" t="n"/>
      <c r="AF283" s="51" t="n">
        <v>0</v>
      </c>
      <c r="AG283" s="156" t="inlineStr">
        <is>
          <t>Catálogo existente</t>
        </is>
      </c>
      <c r="AH2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3" s="156" t="inlineStr">
        <is>
          <t>No</t>
        </is>
      </c>
      <c r="AJ283" s="156" t="n"/>
      <c r="AK283" s="155" t="inlineStr">
        <is>
          <t>Criterios: I [Q]; G1522_Extraccion_Articulos_NetSuite_2026-09-30.xlsx: fila 58855 [R] | Shopify Stetson: producto 15054564065643 / variante 53350546768235</t>
        </is>
      </c>
      <c r="AL283" s="58" t="n">
        <v>750</v>
      </c>
      <c r="AM283" s="58" t="n">
        <v>4310.344828</v>
      </c>
      <c r="AN283" s="155" t="inlineStr">
        <is>
          <t>Shopify Stetson México</t>
        </is>
      </c>
      <c r="AO283" s="59" t="n">
        <v>2</v>
      </c>
      <c r="AP283" s="59" t="n"/>
      <c r="AQ283" s="59" t="n"/>
      <c r="AR283" s="155" t="inlineStr">
        <is>
          <t>Shopify Stetson México › Stetson Americas: 2</t>
        </is>
      </c>
    </row>
    <row r="284">
      <c r="A284" s="50" t="inlineStr">
        <is>
          <t>12020003101010275</t>
        </is>
      </c>
      <c r="B284" s="51" t="inlineStr">
        <is>
          <t>111181</t>
        </is>
      </c>
      <c r="C284" s="156" t="inlineStr">
        <is>
          <t>Multimarca</t>
        </is>
      </c>
      <c r="D284" s="156" t="inlineStr">
        <is>
          <t>12-020-BS003-10-1010</t>
        </is>
      </c>
      <c r="E284" s="156" t="inlineStr">
        <is>
          <t>12-020-BS003-10-1010-275</t>
        </is>
      </c>
      <c r="F284" s="156" t="inlineStr">
        <is>
          <t>27.5</t>
        </is>
      </c>
      <c r="G284" s="156" t="inlineStr">
        <is>
          <t>9.5</t>
        </is>
      </c>
      <c r="H284" s="156" t="inlineStr">
        <is>
          <t>Stetson</t>
        </is>
      </c>
      <c r="I284" s="156" t="inlineStr">
        <is>
          <t>Bota Piel Cereza</t>
        </is>
      </c>
      <c r="J284" s="156" t="inlineStr">
        <is>
          <t>Calzado</t>
        </is>
      </c>
      <c r="K284" s="156" t="inlineStr">
        <is>
          <t>Botas</t>
        </is>
      </c>
      <c r="L284" s="156" t="inlineStr">
        <is>
          <t>Hombre</t>
        </is>
      </c>
      <c r="M284" s="156" t="inlineStr">
        <is>
          <t>Stetson</t>
        </is>
      </c>
      <c r="N284" s="156" t="inlineStr">
        <is>
          <t>SS26</t>
        </is>
      </c>
      <c r="O284" s="156" t="inlineStr">
        <is>
          <t>Seasonal</t>
        </is>
      </c>
      <c r="P284" s="156" t="inlineStr">
        <is>
          <t>Rojo</t>
        </is>
      </c>
      <c r="Q284" s="156" t="n"/>
      <c r="R284" s="156" t="inlineStr">
        <is>
          <t>Punta Redonda Ancha</t>
        </is>
      </c>
      <c r="S284" s="156" t="inlineStr">
        <is>
          <t>Piel bovina</t>
        </is>
      </c>
      <c r="T284" s="156" t="inlineStr">
        <is>
          <t>Bota Caballero Piel bovina Clayton Cereza Punta Redonda Ancha</t>
        </is>
      </c>
      <c r="U284" s="156" t="inlineStr">
        <is>
          <t>México</t>
        </is>
      </c>
      <c r="V284" s="156" t="inlineStr">
        <is>
          <t>PRS</t>
        </is>
      </c>
      <c r="W284" s="51" t="inlineStr">
        <is>
          <t>53111501</t>
        </is>
      </c>
      <c r="X284" s="156" t="n"/>
      <c r="Y284" s="54" t="n">
        <v>750</v>
      </c>
      <c r="Z284" s="54" t="n">
        <v>4310.344828</v>
      </c>
      <c r="AA284" s="55">
        <f>IF(AND(A284="", B284="", E284=""), "", IF(AB284="", "Válido", IF((LEN(AB284)-LEN(SUBSTITUTE(AB284,"; ","")))/2+1&gt;(LEN(AB284)-LEN(SUBSTITUTE(AB284,"[Aviso]","")))/7, "Con Incidencias", "Válido")))</f>
        <v/>
      </c>
      <c r="AB284" s="56">
        <f>IF(AND(A284="", B284="", E284=""), "", TEXTJOIN("; ", TRUE, IF(OR(TRIM(A284&amp;"")="", ISNUMBER(SEARCH("FALTA", A284))), "UPC faltante/inválido", ""), IF(AND(A284&lt;&gt;"", IFERROR(_xlfn.XMATCH(A284,$A$2:$A$2509,0,1)&lt;&gt;_xlfn.XMATCH(A284,$A$2:$A$2509,0,-1),FALSE)), "Código de barras duplicado", ""), IF(AND(E284&lt;&gt;"", COUNTIF($E$2:$E$2509, E284)&gt;1), "SKU duplicado", ""), IF(OR(J284="", J284=""), "[Aviso] División no capturada ()", IF(ISNA(MATCH(J284, Criterios!$A$123:$A$126, 0)), "División no válida", "")), IF(OR(K284="", K284=""), "[Aviso] Categoría no capturada ()", IF(ISNA(MATCH(K284, Criterios!$A$81:$A$120, 0)), "Categoría no válida", IF(AND(J284&lt;&gt;"", J284&lt;&gt;"", J284&lt;&gt;VLOOKUP(K284, Criterios!$A$81:$B$120, 2, FALSE)), "División no coincide con Categoría", ""))), IF(OR(L284="", L284=""), "[Aviso] Género no capturado ()", IF(ISNA(MATCH(L284, Criterios!$B$123:$B$127, 0)), "Género no válido", "")), IF(OR(N284="", N284=""), "[Aviso] Temporada no capturada ()", IF(ISNA(MATCH(N284, Criterios!$C$123:$C$128, 0)), "Temporada no válida", "")), IF(OR(O284="", O284=""), "[Aviso] Ciclo de vida no capturado ()", IF(ISNA(MATCH(O284, Criterios!$D$123:$D$124, 0)), "Ciclo de vida no válido", ""))))</f>
        <v/>
      </c>
      <c r="AC284" s="56" t="n"/>
      <c r="AD284" s="51" t="n">
        <v>0</v>
      </c>
      <c r="AE284" s="156" t="n"/>
      <c r="AF284" s="51" t="n">
        <v>0</v>
      </c>
      <c r="AG284" s="156" t="inlineStr">
        <is>
          <t>Catálogo existente</t>
        </is>
      </c>
      <c r="AH2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4" s="156" t="inlineStr">
        <is>
          <t>No</t>
        </is>
      </c>
      <c r="AJ284" s="156" t="n"/>
      <c r="AK284" s="155" t="inlineStr">
        <is>
          <t>Criterios: I [Q]; G1522_Extraccion_Articulos_NetSuite_2026-09-30.xlsx: fila 58856 [R] | Shopify Stetson: producto 15054564065643 / variante 53350546833771</t>
        </is>
      </c>
      <c r="AL284" s="58" t="n">
        <v>750</v>
      </c>
      <c r="AM284" s="58" t="n">
        <v>4310.344828</v>
      </c>
      <c r="AN284" s="155" t="inlineStr">
        <is>
          <t>Shopify Stetson México</t>
        </is>
      </c>
      <c r="AO284" s="59" t="n">
        <v>2</v>
      </c>
      <c r="AP284" s="59" t="n"/>
      <c r="AQ284" s="59" t="n"/>
      <c r="AR284" s="155" t="inlineStr">
        <is>
          <t>Shopify Stetson México › Stetson Americas: 2</t>
        </is>
      </c>
    </row>
    <row r="285">
      <c r="A285" s="50" t="inlineStr">
        <is>
          <t>12020003101010285</t>
        </is>
      </c>
      <c r="B285" s="51" t="inlineStr">
        <is>
          <t>111182</t>
        </is>
      </c>
      <c r="C285" s="156" t="inlineStr">
        <is>
          <t>Multimarca</t>
        </is>
      </c>
      <c r="D285" s="156" t="inlineStr">
        <is>
          <t>12-020-BS003-10-1010</t>
        </is>
      </c>
      <c r="E285" s="156" t="inlineStr">
        <is>
          <t>12-020-BS003-10-1010-285</t>
        </is>
      </c>
      <c r="F285" s="156" t="inlineStr">
        <is>
          <t>28.5</t>
        </is>
      </c>
      <c r="G285" s="156" t="inlineStr">
        <is>
          <t>10.5</t>
        </is>
      </c>
      <c r="H285" s="156" t="inlineStr">
        <is>
          <t>Stetson</t>
        </is>
      </c>
      <c r="I285" s="156" t="inlineStr">
        <is>
          <t>Bota Piel Cereza</t>
        </is>
      </c>
      <c r="J285" s="156" t="inlineStr">
        <is>
          <t>Calzado</t>
        </is>
      </c>
      <c r="K285" s="156" t="inlineStr">
        <is>
          <t>Botas</t>
        </is>
      </c>
      <c r="L285" s="156" t="inlineStr">
        <is>
          <t>Hombre</t>
        </is>
      </c>
      <c r="M285" s="156" t="inlineStr">
        <is>
          <t>Stetson</t>
        </is>
      </c>
      <c r="N285" s="156" t="inlineStr">
        <is>
          <t>SS26</t>
        </is>
      </c>
      <c r="O285" s="156" t="inlineStr">
        <is>
          <t>Seasonal</t>
        </is>
      </c>
      <c r="P285" s="156" t="inlineStr">
        <is>
          <t>Rojo</t>
        </is>
      </c>
      <c r="Q285" s="156" t="n"/>
      <c r="R285" s="156" t="inlineStr">
        <is>
          <t>Punta Redonda Ancha</t>
        </is>
      </c>
      <c r="S285" s="156" t="inlineStr">
        <is>
          <t>Piel bovina</t>
        </is>
      </c>
      <c r="T285" s="156" t="inlineStr">
        <is>
          <t>Bota Caballero Piel bovina Clayton Cereza Punta Redonda Ancha</t>
        </is>
      </c>
      <c r="U285" s="156" t="inlineStr">
        <is>
          <t>México</t>
        </is>
      </c>
      <c r="V285" s="156" t="inlineStr">
        <is>
          <t>PRS</t>
        </is>
      </c>
      <c r="W285" s="51" t="inlineStr">
        <is>
          <t>53111501</t>
        </is>
      </c>
      <c r="X285" s="156" t="n"/>
      <c r="Y285" s="54" t="n">
        <v>750</v>
      </c>
      <c r="Z285" s="54" t="n">
        <v>4310.344828</v>
      </c>
      <c r="AA285" s="55">
        <f>IF(AND(A285="", B285="", E285=""), "", IF(AB285="", "Válido", IF((LEN(AB285)-LEN(SUBSTITUTE(AB285,"; ","")))/2+1&gt;(LEN(AB285)-LEN(SUBSTITUTE(AB285,"[Aviso]","")))/7, "Con Incidencias", "Válido")))</f>
        <v/>
      </c>
      <c r="AB285" s="56">
        <f>IF(AND(A285="", B285="", E285=""), "", TEXTJOIN("; ", TRUE, IF(OR(TRIM(A285&amp;"")="", ISNUMBER(SEARCH("FALTA", A285))), "UPC faltante/inválido", ""), IF(AND(A285&lt;&gt;"", IFERROR(_xlfn.XMATCH(A285,$A$2:$A$2509,0,1)&lt;&gt;_xlfn.XMATCH(A285,$A$2:$A$2509,0,-1),FALSE)), "Código de barras duplicado", ""), IF(AND(E285&lt;&gt;"", COUNTIF($E$2:$E$2509, E285)&gt;1), "SKU duplicado", ""), IF(OR(J285="", J285=""), "[Aviso] División no capturada ()", IF(ISNA(MATCH(J285, Criterios!$A$123:$A$126, 0)), "División no válida", "")), IF(OR(K285="", K285=""), "[Aviso] Categoría no capturada ()", IF(ISNA(MATCH(K285, Criterios!$A$81:$A$120, 0)), "Categoría no válida", IF(AND(J285&lt;&gt;"", J285&lt;&gt;"", J285&lt;&gt;VLOOKUP(K285, Criterios!$A$81:$B$120, 2, FALSE)), "División no coincide con Categoría", ""))), IF(OR(L285="", L285=""), "[Aviso] Género no capturado ()", IF(ISNA(MATCH(L285, Criterios!$B$123:$B$127, 0)), "Género no válido", "")), IF(OR(N285="", N285=""), "[Aviso] Temporada no capturada ()", IF(ISNA(MATCH(N285, Criterios!$C$123:$C$128, 0)), "Temporada no válida", "")), IF(OR(O285="", O285=""), "[Aviso] Ciclo de vida no capturado ()", IF(ISNA(MATCH(O285, Criterios!$D$123:$D$124, 0)), "Ciclo de vida no válido", ""))))</f>
        <v/>
      </c>
      <c r="AC285" s="56" t="n"/>
      <c r="AD285" s="51" t="n">
        <v>-1</v>
      </c>
      <c r="AE285" s="156" t="n"/>
      <c r="AF285" s="51" t="n">
        <v>0</v>
      </c>
      <c r="AG285" s="156" t="inlineStr">
        <is>
          <t>Catálogo existente</t>
        </is>
      </c>
      <c r="AH28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5" s="156" t="inlineStr">
        <is>
          <t>Sí</t>
        </is>
      </c>
      <c r="AJ285" s="156" t="inlineStr">
        <is>
          <t>STETSON AMERICAS (-1)</t>
        </is>
      </c>
      <c r="AK285" s="155" t="inlineStr">
        <is>
          <t>Criterios: I [Q]; G1522_Extraccion_Articulos_NetSuite_2026-09-30.xlsx: fila 58857 [R] | Shopify Stetson: producto 15054564065643 / variante 53350546899307</t>
        </is>
      </c>
      <c r="AL285" s="58" t="n">
        <v>750</v>
      </c>
      <c r="AM285" s="58" t="n">
        <v>4310.344828</v>
      </c>
      <c r="AN285" s="155" t="inlineStr">
        <is>
          <t>Shopify Stetson México</t>
        </is>
      </c>
      <c r="AO285" s="59" t="n">
        <v>1</v>
      </c>
      <c r="AP285" s="59" t="n"/>
      <c r="AQ285" s="59" t="n"/>
      <c r="AR285" s="155" t="inlineStr">
        <is>
          <t>Shopify Stetson México › Stetson Americas: 1</t>
        </is>
      </c>
    </row>
    <row r="286">
      <c r="A286" s="50" t="inlineStr">
        <is>
          <t>12020003101010295</t>
        </is>
      </c>
      <c r="B286" s="51" t="inlineStr">
        <is>
          <t>111183</t>
        </is>
      </c>
      <c r="C286" s="156" t="inlineStr">
        <is>
          <t>Multimarca</t>
        </is>
      </c>
      <c r="D286" s="156" t="inlineStr">
        <is>
          <t>12-020-BS003-10-1010</t>
        </is>
      </c>
      <c r="E286" s="156" t="inlineStr">
        <is>
          <t>12-020-BS003-10-1010-295</t>
        </is>
      </c>
      <c r="F286" s="156" t="inlineStr">
        <is>
          <t>29.5</t>
        </is>
      </c>
      <c r="G286" s="156" t="inlineStr">
        <is>
          <t>11.5</t>
        </is>
      </c>
      <c r="H286" s="156" t="inlineStr">
        <is>
          <t>Stetson</t>
        </is>
      </c>
      <c r="I286" s="156" t="inlineStr">
        <is>
          <t>Bota Piel Cereza</t>
        </is>
      </c>
      <c r="J286" s="156" t="inlineStr">
        <is>
          <t>Calzado</t>
        </is>
      </c>
      <c r="K286" s="156" t="inlineStr">
        <is>
          <t>Botas</t>
        </is>
      </c>
      <c r="L286" s="156" t="inlineStr">
        <is>
          <t>Hombre</t>
        </is>
      </c>
      <c r="M286" s="156" t="inlineStr">
        <is>
          <t>Stetson</t>
        </is>
      </c>
      <c r="N286" s="156" t="inlineStr">
        <is>
          <t>SS26</t>
        </is>
      </c>
      <c r="O286" s="156" t="inlineStr">
        <is>
          <t>Seasonal</t>
        </is>
      </c>
      <c r="P286" s="156" t="inlineStr">
        <is>
          <t>Rojo</t>
        </is>
      </c>
      <c r="Q286" s="156" t="n"/>
      <c r="R286" s="156" t="inlineStr">
        <is>
          <t>Punta Redonda Ancha</t>
        </is>
      </c>
      <c r="S286" s="156" t="inlineStr">
        <is>
          <t>Piel bovina</t>
        </is>
      </c>
      <c r="T286" s="156" t="inlineStr">
        <is>
          <t>Bota Caballero Piel bovina Clayton Cereza Punta Redonda Ancha</t>
        </is>
      </c>
      <c r="U286" s="156" t="inlineStr">
        <is>
          <t>México</t>
        </is>
      </c>
      <c r="V286" s="156" t="inlineStr">
        <is>
          <t>PRS</t>
        </is>
      </c>
      <c r="W286" s="51" t="inlineStr">
        <is>
          <t>53111501</t>
        </is>
      </c>
      <c r="X286" s="156" t="n"/>
      <c r="Y286" s="54" t="n">
        <v>750</v>
      </c>
      <c r="Z286" s="54" t="n">
        <v>4310.344828</v>
      </c>
      <c r="AA286" s="55">
        <f>IF(AND(A286="", B286="", E286=""), "", IF(AB286="", "Válido", IF((LEN(AB286)-LEN(SUBSTITUTE(AB286,"; ","")))/2+1&gt;(LEN(AB286)-LEN(SUBSTITUTE(AB286,"[Aviso]","")))/7, "Con Incidencias", "Válido")))</f>
        <v/>
      </c>
      <c r="AB286" s="56">
        <f>IF(AND(A286="", B286="", E286=""), "", TEXTJOIN("; ", TRUE, IF(OR(TRIM(A286&amp;"")="", ISNUMBER(SEARCH("FALTA", A286))), "UPC faltante/inválido", ""), IF(AND(A286&lt;&gt;"", IFERROR(_xlfn.XMATCH(A286,$A$2:$A$2509,0,1)&lt;&gt;_xlfn.XMATCH(A286,$A$2:$A$2509,0,-1),FALSE)), "Código de barras duplicado", ""), IF(AND(E286&lt;&gt;"", COUNTIF($E$2:$E$2509, E286)&gt;1), "SKU duplicado", ""), IF(OR(J286="", J286=""), "[Aviso] División no capturada ()", IF(ISNA(MATCH(J286, Criterios!$A$123:$A$126, 0)), "División no válida", "")), IF(OR(K286="", K286=""), "[Aviso] Categoría no capturada ()", IF(ISNA(MATCH(K286, Criterios!$A$81:$A$120, 0)), "Categoría no válida", IF(AND(J286&lt;&gt;"", J286&lt;&gt;"", J286&lt;&gt;VLOOKUP(K286, Criterios!$A$81:$B$120, 2, FALSE)), "División no coincide con Categoría", ""))), IF(OR(L286="", L286=""), "[Aviso] Género no capturado ()", IF(ISNA(MATCH(L286, Criterios!$B$123:$B$127, 0)), "Género no válido", "")), IF(OR(N286="", N286=""), "[Aviso] Temporada no capturada ()", IF(ISNA(MATCH(N286, Criterios!$C$123:$C$128, 0)), "Temporada no válida", "")), IF(OR(O286="", O286=""), "[Aviso] Ciclo de vida no capturado ()", IF(ISNA(MATCH(O286, Criterios!$D$123:$D$124, 0)), "Ciclo de vida no válido", ""))))</f>
        <v/>
      </c>
      <c r="AC286" s="56" t="n"/>
      <c r="AD286" s="51" t="n">
        <v>0</v>
      </c>
      <c r="AE286" s="156" t="n"/>
      <c r="AF286" s="51" t="n">
        <v>0</v>
      </c>
      <c r="AG286" s="156" t="inlineStr">
        <is>
          <t>Catálogo existente</t>
        </is>
      </c>
      <c r="AH2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6" s="156" t="inlineStr">
        <is>
          <t>No</t>
        </is>
      </c>
      <c r="AJ286" s="156" t="n"/>
      <c r="AK286" s="155" t="inlineStr">
        <is>
          <t>Criterios: I [Q]; G1522_Extraccion_Articulos_NetSuite_2026-09-30.xlsx: fila 58858 [R] | Shopify Stetson: producto 15054564065643 / variante 53350546964843</t>
        </is>
      </c>
      <c r="AL286" s="58" t="n">
        <v>750</v>
      </c>
      <c r="AM286" s="58" t="n">
        <v>4310.344828</v>
      </c>
      <c r="AN286" s="155" t="inlineStr">
        <is>
          <t>Shopify Stetson México</t>
        </is>
      </c>
      <c r="AO286" s="59" t="n">
        <v>1</v>
      </c>
      <c r="AP286" s="59" t="n"/>
      <c r="AQ286" s="59" t="n"/>
      <c r="AR286" s="155" t="inlineStr">
        <is>
          <t>Shopify Stetson México › Stetson Americas: 1</t>
        </is>
      </c>
    </row>
    <row r="287">
      <c r="A287" s="50" t="inlineStr">
        <is>
          <t>12020003101010305</t>
        </is>
      </c>
      <c r="B287" s="51" t="inlineStr">
        <is>
          <t>111184</t>
        </is>
      </c>
      <c r="C287" s="156" t="inlineStr">
        <is>
          <t>Multimarca</t>
        </is>
      </c>
      <c r="D287" s="156" t="inlineStr">
        <is>
          <t>12-020-BS003-10-1010</t>
        </is>
      </c>
      <c r="E287" s="156" t="inlineStr">
        <is>
          <t>12-020-BS003-10-1010-305</t>
        </is>
      </c>
      <c r="F287" s="156" t="inlineStr">
        <is>
          <t>30.5</t>
        </is>
      </c>
      <c r="G287" s="156" t="inlineStr">
        <is>
          <t>12.5</t>
        </is>
      </c>
      <c r="H287" s="156" t="inlineStr">
        <is>
          <t>Stetson</t>
        </is>
      </c>
      <c r="I287" s="156" t="inlineStr">
        <is>
          <t>Bota Piel Cereza</t>
        </is>
      </c>
      <c r="J287" s="156" t="inlineStr">
        <is>
          <t>Calzado</t>
        </is>
      </c>
      <c r="K287" s="156" t="inlineStr">
        <is>
          <t>Botas</t>
        </is>
      </c>
      <c r="L287" s="156" t="inlineStr">
        <is>
          <t>Hombre</t>
        </is>
      </c>
      <c r="M287" s="156" t="inlineStr">
        <is>
          <t>Stetson</t>
        </is>
      </c>
      <c r="N287" s="156" t="inlineStr">
        <is>
          <t>SS26</t>
        </is>
      </c>
      <c r="O287" s="156" t="inlineStr">
        <is>
          <t>Seasonal</t>
        </is>
      </c>
      <c r="P287" s="156" t="inlineStr">
        <is>
          <t>Rojo</t>
        </is>
      </c>
      <c r="Q287" s="156" t="n"/>
      <c r="R287" s="156" t="inlineStr">
        <is>
          <t>Punta Redonda Ancha</t>
        </is>
      </c>
      <c r="S287" s="156" t="inlineStr">
        <is>
          <t>Piel bovina</t>
        </is>
      </c>
      <c r="T287" s="156" t="inlineStr">
        <is>
          <t>Bota Caballero Piel bovina Clayton Cereza Punta Redonda Ancha</t>
        </is>
      </c>
      <c r="U287" s="156" t="inlineStr">
        <is>
          <t>México</t>
        </is>
      </c>
      <c r="V287" s="156" t="inlineStr">
        <is>
          <t>PRS</t>
        </is>
      </c>
      <c r="W287" s="51" t="inlineStr">
        <is>
          <t>53111501</t>
        </is>
      </c>
      <c r="X287" s="156" t="n"/>
      <c r="Y287" s="54" t="n">
        <v>750</v>
      </c>
      <c r="Z287" s="54" t="n">
        <v>4310.344828</v>
      </c>
      <c r="AA287" s="55">
        <f>IF(AND(A287="", B287="", E287=""), "", IF(AB287="", "Válido", IF((LEN(AB287)-LEN(SUBSTITUTE(AB287,"; ","")))/2+1&gt;(LEN(AB287)-LEN(SUBSTITUTE(AB287,"[Aviso]","")))/7, "Con Incidencias", "Válido")))</f>
        <v/>
      </c>
      <c r="AB287" s="56">
        <f>IF(AND(A287="", B287="", E287=""), "", TEXTJOIN("; ", TRUE, IF(OR(TRIM(A287&amp;"")="", ISNUMBER(SEARCH("FALTA", A287))), "UPC faltante/inválido", ""), IF(AND(A287&lt;&gt;"", IFERROR(_xlfn.XMATCH(A287,$A$2:$A$2509,0,1)&lt;&gt;_xlfn.XMATCH(A287,$A$2:$A$2509,0,-1),FALSE)), "Código de barras duplicado", ""), IF(AND(E287&lt;&gt;"", COUNTIF($E$2:$E$2509, E287)&gt;1), "SKU duplicado", ""), IF(OR(J287="", J287=""), "[Aviso] División no capturada ()", IF(ISNA(MATCH(J287, Criterios!$A$123:$A$126, 0)), "División no válida", "")), IF(OR(K287="", K287=""), "[Aviso] Categoría no capturada ()", IF(ISNA(MATCH(K287, Criterios!$A$81:$A$120, 0)), "Categoría no válida", IF(AND(J287&lt;&gt;"", J287&lt;&gt;"", J287&lt;&gt;VLOOKUP(K287, Criterios!$A$81:$B$120, 2, FALSE)), "División no coincide con Categoría", ""))), IF(OR(L287="", L287=""), "[Aviso] Género no capturado ()", IF(ISNA(MATCH(L287, Criterios!$B$123:$B$127, 0)), "Género no válido", "")), IF(OR(N287="", N287=""), "[Aviso] Temporada no capturada ()", IF(ISNA(MATCH(N287, Criterios!$C$123:$C$128, 0)), "Temporada no válida", "")), IF(OR(O287="", O287=""), "[Aviso] Ciclo de vida no capturado ()", IF(ISNA(MATCH(O287, Criterios!$D$123:$D$124, 0)), "Ciclo de vida no válido", ""))))</f>
        <v/>
      </c>
      <c r="AC287" s="56" t="n"/>
      <c r="AD287" s="51" t="n">
        <v>0</v>
      </c>
      <c r="AE287" s="156" t="n"/>
      <c r="AF287" s="51" t="n">
        <v>0</v>
      </c>
      <c r="AG287" s="156" t="inlineStr">
        <is>
          <t>Catálogo existente</t>
        </is>
      </c>
      <c r="AH2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7" s="156" t="inlineStr">
        <is>
          <t>No</t>
        </is>
      </c>
      <c r="AJ287" s="156" t="n"/>
      <c r="AK287" s="155" t="inlineStr">
        <is>
          <t>Criterios: I [Q]; G1522_Extraccion_Articulos_NetSuite_2026-09-30.xlsx: fila 58859 [R] | Shopify Stetson: producto 15054564065643 / variante 53350547030379</t>
        </is>
      </c>
      <c r="AL287" s="58" t="n">
        <v>750</v>
      </c>
      <c r="AM287" s="58" t="n">
        <v>4310.344828</v>
      </c>
      <c r="AN287" s="155" t="inlineStr">
        <is>
          <t>Shopify Stetson México</t>
        </is>
      </c>
      <c r="AO287" s="59" t="n">
        <v>0</v>
      </c>
      <c r="AP287" s="59" t="n"/>
      <c r="AQ287" s="59" t="n"/>
      <c r="AR287" s="155" t="n"/>
    </row>
    <row r="288">
      <c r="A288" s="50" t="inlineStr">
        <is>
          <t>12020003101010315</t>
        </is>
      </c>
      <c r="B288" s="51" t="inlineStr">
        <is>
          <t>111185</t>
        </is>
      </c>
      <c r="C288" s="156" t="inlineStr">
        <is>
          <t>Multimarca</t>
        </is>
      </c>
      <c r="D288" s="156" t="inlineStr">
        <is>
          <t>12-020-BS003-10-1010</t>
        </is>
      </c>
      <c r="E288" s="156" t="inlineStr">
        <is>
          <t>12-020-BS003-10-1010-315</t>
        </is>
      </c>
      <c r="F288" s="156" t="inlineStr">
        <is>
          <t>31.5</t>
        </is>
      </c>
      <c r="G288" s="156" t="inlineStr">
        <is>
          <t>13.5</t>
        </is>
      </c>
      <c r="H288" s="156" t="inlineStr">
        <is>
          <t>Stetson</t>
        </is>
      </c>
      <c r="I288" s="156" t="inlineStr">
        <is>
          <t>Bota Piel Cereza</t>
        </is>
      </c>
      <c r="J288" s="156" t="inlineStr">
        <is>
          <t>Calzado</t>
        </is>
      </c>
      <c r="K288" s="156" t="inlineStr">
        <is>
          <t>Botas</t>
        </is>
      </c>
      <c r="L288" s="156" t="inlineStr">
        <is>
          <t>Hombre</t>
        </is>
      </c>
      <c r="M288" s="156" t="inlineStr">
        <is>
          <t>Stetson</t>
        </is>
      </c>
      <c r="N288" s="156" t="inlineStr">
        <is>
          <t>SS26</t>
        </is>
      </c>
      <c r="O288" s="156" t="inlineStr">
        <is>
          <t>Seasonal</t>
        </is>
      </c>
      <c r="P288" s="156" t="inlineStr">
        <is>
          <t>Rojo</t>
        </is>
      </c>
      <c r="Q288" s="156" t="n"/>
      <c r="R288" s="156" t="inlineStr">
        <is>
          <t>Punta Redonda Ancha</t>
        </is>
      </c>
      <c r="S288" s="156" t="inlineStr">
        <is>
          <t>Piel bovina</t>
        </is>
      </c>
      <c r="T288" s="156" t="inlineStr">
        <is>
          <t>Bota Caballero Piel bovina Clayton Cereza Punta Redonda Ancha</t>
        </is>
      </c>
      <c r="U288" s="156" t="inlineStr">
        <is>
          <t>México</t>
        </is>
      </c>
      <c r="V288" s="156" t="inlineStr">
        <is>
          <t>PRS</t>
        </is>
      </c>
      <c r="W288" s="51" t="inlineStr">
        <is>
          <t>53111501</t>
        </is>
      </c>
      <c r="X288" s="156" t="n"/>
      <c r="Y288" s="54" t="n">
        <v>750</v>
      </c>
      <c r="Z288" s="54" t="n">
        <v>4310.344828</v>
      </c>
      <c r="AA288" s="55">
        <f>IF(AND(A288="", B288="", E288=""), "", IF(AB288="", "Válido", IF((LEN(AB288)-LEN(SUBSTITUTE(AB288,"; ","")))/2+1&gt;(LEN(AB288)-LEN(SUBSTITUTE(AB288,"[Aviso]","")))/7, "Con Incidencias", "Válido")))</f>
        <v/>
      </c>
      <c r="AB288" s="56">
        <f>IF(AND(A288="", B288="", E288=""), "", TEXTJOIN("; ", TRUE, IF(OR(TRIM(A288&amp;"")="", ISNUMBER(SEARCH("FALTA", A288))), "UPC faltante/inválido", ""), IF(AND(A288&lt;&gt;"", IFERROR(_xlfn.XMATCH(A288,$A$2:$A$2509,0,1)&lt;&gt;_xlfn.XMATCH(A288,$A$2:$A$2509,0,-1),FALSE)), "Código de barras duplicado", ""), IF(AND(E288&lt;&gt;"", COUNTIF($E$2:$E$2509, E288)&gt;1), "SKU duplicado", ""), IF(OR(J288="", J288=""), "[Aviso] División no capturada ()", IF(ISNA(MATCH(J288, Criterios!$A$123:$A$126, 0)), "División no válida", "")), IF(OR(K288="", K288=""), "[Aviso] Categoría no capturada ()", IF(ISNA(MATCH(K288, Criterios!$A$81:$A$120, 0)), "Categoría no válida", IF(AND(J288&lt;&gt;"", J288&lt;&gt;"", J288&lt;&gt;VLOOKUP(K288, Criterios!$A$81:$B$120, 2, FALSE)), "División no coincide con Categoría", ""))), IF(OR(L288="", L288=""), "[Aviso] Género no capturado ()", IF(ISNA(MATCH(L288, Criterios!$B$123:$B$127, 0)), "Género no válido", "")), IF(OR(N288="", N288=""), "[Aviso] Temporada no capturada ()", IF(ISNA(MATCH(N288, Criterios!$C$123:$C$128, 0)), "Temporada no válida", "")), IF(OR(O288="", O288=""), "[Aviso] Ciclo de vida no capturado ()", IF(ISNA(MATCH(O288, Criterios!$D$123:$D$124, 0)), "Ciclo de vida no válido", ""))))</f>
        <v/>
      </c>
      <c r="AC288" s="56" t="n"/>
      <c r="AD288" s="51" t="n">
        <v>0</v>
      </c>
      <c r="AE288" s="156" t="n"/>
      <c r="AF288" s="51" t="n">
        <v>0</v>
      </c>
      <c r="AG288" s="156" t="inlineStr">
        <is>
          <t>Catálogo existente</t>
        </is>
      </c>
      <c r="AH2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8" s="156" t="inlineStr">
        <is>
          <t>No</t>
        </is>
      </c>
      <c r="AJ288" s="156" t="n"/>
      <c r="AK288" s="155" t="inlineStr">
        <is>
          <t>Criterios: I [Q]; G1522_Extraccion_Articulos_NetSuite_2026-09-30.xlsx: fila 58860 [R] | Shopify Stetson: producto 15054564065643 / variante 53350547095915</t>
        </is>
      </c>
      <c r="AL288" s="58" t="n">
        <v>750</v>
      </c>
      <c r="AM288" s="58" t="n">
        <v>4310.344828</v>
      </c>
      <c r="AN288" s="155" t="inlineStr">
        <is>
          <t>Shopify Stetson México</t>
        </is>
      </c>
      <c r="AO288" s="59" t="n">
        <v>0</v>
      </c>
      <c r="AP288" s="59" t="n"/>
      <c r="AQ288" s="59" t="n"/>
      <c r="AR288" s="155" t="n"/>
    </row>
    <row r="289">
      <c r="A289" s="50" t="inlineStr">
        <is>
          <t>12020003101010325</t>
        </is>
      </c>
      <c r="B289" s="51" t="inlineStr">
        <is>
          <t>111186</t>
        </is>
      </c>
      <c r="C289" s="156" t="inlineStr">
        <is>
          <t>Multimarca</t>
        </is>
      </c>
      <c r="D289" s="156" t="inlineStr">
        <is>
          <t>12-020-BS003-10-1010</t>
        </is>
      </c>
      <c r="E289" s="156" t="inlineStr">
        <is>
          <t>12-020-BS003-10-1010-325</t>
        </is>
      </c>
      <c r="F289" s="156" t="inlineStr">
        <is>
          <t>32.5</t>
        </is>
      </c>
      <c r="G289" s="156" t="inlineStr">
        <is>
          <t>14.5</t>
        </is>
      </c>
      <c r="H289" s="156" t="inlineStr">
        <is>
          <t>Stetson</t>
        </is>
      </c>
      <c r="I289" s="156" t="inlineStr">
        <is>
          <t>Bota Piel Cereza</t>
        </is>
      </c>
      <c r="J289" s="156" t="inlineStr">
        <is>
          <t>Calzado</t>
        </is>
      </c>
      <c r="K289" s="156" t="inlineStr">
        <is>
          <t>Botas</t>
        </is>
      </c>
      <c r="L289" s="156" t="inlineStr">
        <is>
          <t>Hombre</t>
        </is>
      </c>
      <c r="M289" s="156" t="inlineStr">
        <is>
          <t>Stetson</t>
        </is>
      </c>
      <c r="N289" s="156" t="inlineStr">
        <is>
          <t>SS26</t>
        </is>
      </c>
      <c r="O289" s="156" t="inlineStr">
        <is>
          <t>Seasonal</t>
        </is>
      </c>
      <c r="P289" s="156" t="inlineStr">
        <is>
          <t>Rojo</t>
        </is>
      </c>
      <c r="Q289" s="156" t="n"/>
      <c r="R289" s="156" t="inlineStr">
        <is>
          <t>Punta Redonda Ancha</t>
        </is>
      </c>
      <c r="S289" s="156" t="inlineStr">
        <is>
          <t>Piel bovina</t>
        </is>
      </c>
      <c r="T289" s="156" t="inlineStr">
        <is>
          <t>Bota Caballero Piel bovina Clayton Cereza Punta Redonda Ancha</t>
        </is>
      </c>
      <c r="U289" s="156" t="inlineStr">
        <is>
          <t>México</t>
        </is>
      </c>
      <c r="V289" s="156" t="inlineStr">
        <is>
          <t>PRS</t>
        </is>
      </c>
      <c r="W289" s="51" t="inlineStr">
        <is>
          <t>53111501</t>
        </is>
      </c>
      <c r="X289" s="156" t="n"/>
      <c r="Y289" s="54" t="n">
        <v>750</v>
      </c>
      <c r="Z289" s="54" t="n">
        <v>4310.344828</v>
      </c>
      <c r="AA289" s="55">
        <f>IF(AND(A289="", B289="", E289=""), "", IF(AB289="", "Válido", IF((LEN(AB289)-LEN(SUBSTITUTE(AB289,"; ","")))/2+1&gt;(LEN(AB289)-LEN(SUBSTITUTE(AB289,"[Aviso]","")))/7, "Con Incidencias", "Válido")))</f>
        <v/>
      </c>
      <c r="AB289" s="56">
        <f>IF(AND(A289="", B289="", E289=""), "", TEXTJOIN("; ", TRUE, IF(OR(TRIM(A289&amp;"")="", ISNUMBER(SEARCH("FALTA", A289))), "UPC faltante/inválido", ""), IF(AND(A289&lt;&gt;"", IFERROR(_xlfn.XMATCH(A289,$A$2:$A$2509,0,1)&lt;&gt;_xlfn.XMATCH(A289,$A$2:$A$2509,0,-1),FALSE)), "Código de barras duplicado", ""), IF(AND(E289&lt;&gt;"", COUNTIF($E$2:$E$2509, E289)&gt;1), "SKU duplicado", ""), IF(OR(J289="", J289=""), "[Aviso] División no capturada ()", IF(ISNA(MATCH(J289, Criterios!$A$123:$A$126, 0)), "División no válida", "")), IF(OR(K289="", K289=""), "[Aviso] Categoría no capturada ()", IF(ISNA(MATCH(K289, Criterios!$A$81:$A$120, 0)), "Categoría no válida", IF(AND(J289&lt;&gt;"", J289&lt;&gt;"", J289&lt;&gt;VLOOKUP(K289, Criterios!$A$81:$B$120, 2, FALSE)), "División no coincide con Categoría", ""))), IF(OR(L289="", L289=""), "[Aviso] Género no capturado ()", IF(ISNA(MATCH(L289, Criterios!$B$123:$B$127, 0)), "Género no válido", "")), IF(OR(N289="", N289=""), "[Aviso] Temporada no capturada ()", IF(ISNA(MATCH(N289, Criterios!$C$123:$C$128, 0)), "Temporada no válida", "")), IF(OR(O289="", O289=""), "[Aviso] Ciclo de vida no capturado ()", IF(ISNA(MATCH(O289, Criterios!$D$123:$D$124, 0)), "Ciclo de vida no válido", ""))))</f>
        <v/>
      </c>
      <c r="AC289" s="56" t="n"/>
      <c r="AD289" s="51" t="n">
        <v>0</v>
      </c>
      <c r="AE289" s="156" t="n"/>
      <c r="AF289" s="51" t="n">
        <v>0</v>
      </c>
      <c r="AG289" s="156" t="inlineStr">
        <is>
          <t>Catálogo existente</t>
        </is>
      </c>
      <c r="AH2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9" s="156" t="inlineStr">
        <is>
          <t>No</t>
        </is>
      </c>
      <c r="AJ289" s="156" t="n"/>
      <c r="AK289" s="155" t="inlineStr">
        <is>
          <t>Criterios: I [Q]; G1522_Extraccion_Articulos_NetSuite_2026-09-30.xlsx: fila 58861 [R] | Shopify Stetson: producto 15054564065643 / variante 53350547161451</t>
        </is>
      </c>
      <c r="AL289" s="58" t="n">
        <v>750</v>
      </c>
      <c r="AM289" s="58" t="n">
        <v>4310.344828</v>
      </c>
      <c r="AN289" s="155" t="inlineStr">
        <is>
          <t>Shopify Stetson México</t>
        </is>
      </c>
      <c r="AO289" s="59" t="n">
        <v>0</v>
      </c>
      <c r="AP289" s="59" t="n"/>
      <c r="AQ289" s="59" t="n"/>
      <c r="AR289" s="155" t="n"/>
    </row>
    <row r="290">
      <c r="A290" s="50" t="inlineStr">
        <is>
          <t>12020003101011025</t>
        </is>
      </c>
      <c r="B290" s="51" t="inlineStr">
        <is>
          <t>111187</t>
        </is>
      </c>
      <c r="C290" s="156" t="inlineStr">
        <is>
          <t>Multimarca</t>
        </is>
      </c>
      <c r="D290" s="156" t="inlineStr">
        <is>
          <t>12-020-BS003-10-1011</t>
        </is>
      </c>
      <c r="E290" s="156" t="inlineStr">
        <is>
          <t>12-020-BS003-10-1011-025</t>
        </is>
      </c>
      <c r="F290" s="156" t="inlineStr">
        <is>
          <t>25</t>
        </is>
      </c>
      <c r="G290" s="156" t="inlineStr">
        <is>
          <t>7</t>
        </is>
      </c>
      <c r="H290" s="156" t="inlineStr">
        <is>
          <t>Stetson</t>
        </is>
      </c>
      <c r="I290" s="156" t="inlineStr">
        <is>
          <t>Bota Piel Café</t>
        </is>
      </c>
      <c r="J290" s="156" t="inlineStr">
        <is>
          <t>Calzado</t>
        </is>
      </c>
      <c r="K290" s="156" t="inlineStr">
        <is>
          <t>Botas</t>
        </is>
      </c>
      <c r="L290" s="156" t="inlineStr">
        <is>
          <t>Hombre</t>
        </is>
      </c>
      <c r="M290" s="156" t="inlineStr">
        <is>
          <t>Stetson</t>
        </is>
      </c>
      <c r="N290" s="156" t="inlineStr">
        <is>
          <t>SS26</t>
        </is>
      </c>
      <c r="O290" s="156" t="inlineStr">
        <is>
          <t>Seasonal</t>
        </is>
      </c>
      <c r="P290" s="156" t="inlineStr">
        <is>
          <t>Cafe</t>
        </is>
      </c>
      <c r="Q290" s="156" t="n"/>
      <c r="R290" s="156" t="inlineStr">
        <is>
          <t>Punta Redonda Ancha</t>
        </is>
      </c>
      <c r="S290" s="156" t="inlineStr">
        <is>
          <t>Piel bovina</t>
        </is>
      </c>
      <c r="T290" s="156" t="inlineStr">
        <is>
          <t>Bota Caballero Piel bovina Boney Café Punta Redonda Ancha</t>
        </is>
      </c>
      <c r="U290" s="156" t="inlineStr">
        <is>
          <t>México</t>
        </is>
      </c>
      <c r="V290" s="156" t="inlineStr">
        <is>
          <t>PRS</t>
        </is>
      </c>
      <c r="W290" s="51" t="inlineStr">
        <is>
          <t>53111501</t>
        </is>
      </c>
      <c r="X290" s="156" t="n"/>
      <c r="Y290" s="54" t="n">
        <v>750</v>
      </c>
      <c r="Z290" s="54" t="n">
        <v>4310.344828</v>
      </c>
      <c r="AA290" s="55">
        <f>IF(AND(A290="", B290="", E290=""), "", IF(AB290="", "Válido", IF((LEN(AB290)-LEN(SUBSTITUTE(AB290,"; ","")))/2+1&gt;(LEN(AB290)-LEN(SUBSTITUTE(AB290,"[Aviso]","")))/7, "Con Incidencias", "Válido")))</f>
        <v/>
      </c>
      <c r="AB290" s="56">
        <f>IF(AND(A290="", B290="", E290=""), "", TEXTJOIN("; ", TRUE, IF(OR(TRIM(A290&amp;"")="", ISNUMBER(SEARCH("FALTA", A290))), "UPC faltante/inválido", ""), IF(AND(A290&lt;&gt;"", IFERROR(_xlfn.XMATCH(A290,$A$2:$A$2509,0,1)&lt;&gt;_xlfn.XMATCH(A290,$A$2:$A$2509,0,-1),FALSE)), "Código de barras duplicado", ""), IF(AND(E290&lt;&gt;"", COUNTIF($E$2:$E$2509, E290)&gt;1), "SKU duplicado", ""), IF(OR(J290="", J290=""), "[Aviso] División no capturada ()", IF(ISNA(MATCH(J290, Criterios!$A$123:$A$126, 0)), "División no válida", "")), IF(OR(K290="", K290=""), "[Aviso] Categoría no capturada ()", IF(ISNA(MATCH(K290, Criterios!$A$81:$A$120, 0)), "Categoría no válida", IF(AND(J290&lt;&gt;"", J290&lt;&gt;"", J290&lt;&gt;VLOOKUP(K290, Criterios!$A$81:$B$120, 2, FALSE)), "División no coincide con Categoría", ""))), IF(OR(L290="", L290=""), "[Aviso] Género no capturado ()", IF(ISNA(MATCH(L290, Criterios!$B$123:$B$127, 0)), "Género no válido", "")), IF(OR(N290="", N290=""), "[Aviso] Temporada no capturada ()", IF(ISNA(MATCH(N290, Criterios!$C$123:$C$128, 0)), "Temporada no válida", "")), IF(OR(O290="", O290=""), "[Aviso] Ciclo de vida no capturado ()", IF(ISNA(MATCH(O290, Criterios!$D$123:$D$124, 0)), "Ciclo de vida no válido", ""))))</f>
        <v/>
      </c>
      <c r="AC290" s="56" t="n"/>
      <c r="AD290" s="51" t="n">
        <v>0</v>
      </c>
      <c r="AE290" s="156" t="n"/>
      <c r="AF290" s="51" t="n">
        <v>0</v>
      </c>
      <c r="AG290" s="156" t="inlineStr">
        <is>
          <t>Catálogo existente</t>
        </is>
      </c>
      <c r="AH2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0" s="156" t="inlineStr">
        <is>
          <t>No</t>
        </is>
      </c>
      <c r="AJ290" s="156" t="n"/>
      <c r="AK290" s="155" t="inlineStr">
        <is>
          <t>Criterios: I [Q]; G1522_Extraccion_Articulos_NetSuite_2026-09-30.xlsx: fila 58862 [R] | Shopify Stetson: producto 15054564098411 / variante 53350547194219</t>
        </is>
      </c>
      <c r="AL290" s="58" t="n">
        <v>750</v>
      </c>
      <c r="AM290" s="58" t="n">
        <v>4310.344828</v>
      </c>
      <c r="AN290" s="155" t="inlineStr">
        <is>
          <t>Shopify Stetson México</t>
        </is>
      </c>
      <c r="AO290" s="59" t="n">
        <v>0</v>
      </c>
      <c r="AP290" s="59" t="n"/>
      <c r="AQ290" s="59" t="n"/>
      <c r="AR290" s="155" t="n"/>
    </row>
    <row r="291">
      <c r="A291" s="50" t="inlineStr">
        <is>
          <t>12020003101011026</t>
        </is>
      </c>
      <c r="B291" s="51" t="inlineStr">
        <is>
          <t>111188</t>
        </is>
      </c>
      <c r="C291" s="156" t="inlineStr">
        <is>
          <t>Multimarca</t>
        </is>
      </c>
      <c r="D291" s="156" t="inlineStr">
        <is>
          <t>12-020-BS003-10-1011</t>
        </is>
      </c>
      <c r="E291" s="156" t="inlineStr">
        <is>
          <t>12-020-BS003-10-1011-026</t>
        </is>
      </c>
      <c r="F291" s="156" t="inlineStr">
        <is>
          <t>26</t>
        </is>
      </c>
      <c r="G291" s="156" t="inlineStr">
        <is>
          <t>8</t>
        </is>
      </c>
      <c r="H291" s="156" t="inlineStr">
        <is>
          <t>Stetson</t>
        </is>
      </c>
      <c r="I291" s="156" t="inlineStr">
        <is>
          <t>Bota Piel Café</t>
        </is>
      </c>
      <c r="J291" s="156" t="inlineStr">
        <is>
          <t>Calzado</t>
        </is>
      </c>
      <c r="K291" s="156" t="inlineStr">
        <is>
          <t>Botas</t>
        </is>
      </c>
      <c r="L291" s="156" t="inlineStr">
        <is>
          <t>Hombre</t>
        </is>
      </c>
      <c r="M291" s="156" t="inlineStr">
        <is>
          <t>Stetson</t>
        </is>
      </c>
      <c r="N291" s="156" t="inlineStr">
        <is>
          <t>SS26</t>
        </is>
      </c>
      <c r="O291" s="156" t="inlineStr">
        <is>
          <t>Seasonal</t>
        </is>
      </c>
      <c r="P291" s="156" t="inlineStr">
        <is>
          <t>Cafe</t>
        </is>
      </c>
      <c r="Q291" s="156" t="n"/>
      <c r="R291" s="156" t="inlineStr">
        <is>
          <t>Punta Redonda Ancha</t>
        </is>
      </c>
      <c r="S291" s="156" t="inlineStr">
        <is>
          <t>Piel bovina</t>
        </is>
      </c>
      <c r="T291" s="156" t="inlineStr">
        <is>
          <t>Bota Caballero Piel bovina Boney Café Punta Redonda Ancha</t>
        </is>
      </c>
      <c r="U291" s="156" t="inlineStr">
        <is>
          <t>México</t>
        </is>
      </c>
      <c r="V291" s="156" t="inlineStr">
        <is>
          <t>PRS</t>
        </is>
      </c>
      <c r="W291" s="51" t="inlineStr">
        <is>
          <t>53111501</t>
        </is>
      </c>
      <c r="X291" s="156" t="n"/>
      <c r="Y291" s="54" t="n">
        <v>750</v>
      </c>
      <c r="Z291" s="54" t="n">
        <v>4310.344828</v>
      </c>
      <c r="AA291" s="55">
        <f>IF(AND(A291="", B291="", E291=""), "", IF(AB291="", "Válido", IF((LEN(AB291)-LEN(SUBSTITUTE(AB291,"; ","")))/2+1&gt;(LEN(AB291)-LEN(SUBSTITUTE(AB291,"[Aviso]","")))/7, "Con Incidencias", "Válido")))</f>
        <v/>
      </c>
      <c r="AB291" s="56">
        <f>IF(AND(A291="", B291="", E291=""), "", TEXTJOIN("; ", TRUE, IF(OR(TRIM(A291&amp;"")="", ISNUMBER(SEARCH("FALTA", A291))), "UPC faltante/inválido", ""), IF(AND(A291&lt;&gt;"", IFERROR(_xlfn.XMATCH(A291,$A$2:$A$2509,0,1)&lt;&gt;_xlfn.XMATCH(A291,$A$2:$A$2509,0,-1),FALSE)), "Código de barras duplicado", ""), IF(AND(E291&lt;&gt;"", COUNTIF($E$2:$E$2509, E291)&gt;1), "SKU duplicado", ""), IF(OR(J291="", J291=""), "[Aviso] División no capturada ()", IF(ISNA(MATCH(J291, Criterios!$A$123:$A$126, 0)), "División no válida", "")), IF(OR(K291="", K291=""), "[Aviso] Categoría no capturada ()", IF(ISNA(MATCH(K291, Criterios!$A$81:$A$120, 0)), "Categoría no válida", IF(AND(J291&lt;&gt;"", J291&lt;&gt;"", J291&lt;&gt;VLOOKUP(K291, Criterios!$A$81:$B$120, 2, FALSE)), "División no coincide con Categoría", ""))), IF(OR(L291="", L291=""), "[Aviso] Género no capturado ()", IF(ISNA(MATCH(L291, Criterios!$B$123:$B$127, 0)), "Género no válido", "")), IF(OR(N291="", N291=""), "[Aviso] Temporada no capturada ()", IF(ISNA(MATCH(N291, Criterios!$C$123:$C$128, 0)), "Temporada no válida", "")), IF(OR(O291="", O291=""), "[Aviso] Ciclo de vida no capturado ()", IF(ISNA(MATCH(O291, Criterios!$D$123:$D$124, 0)), "Ciclo de vida no válido", ""))))</f>
        <v/>
      </c>
      <c r="AC291" s="56" t="n"/>
      <c r="AD291" s="51" t="n">
        <v>-1</v>
      </c>
      <c r="AE291" s="156" t="n"/>
      <c r="AF291" s="51" t="n">
        <v>0</v>
      </c>
      <c r="AG291" s="156" t="inlineStr">
        <is>
          <t>Catálogo existente</t>
        </is>
      </c>
      <c r="AH29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1" s="156" t="inlineStr">
        <is>
          <t>Sí</t>
        </is>
      </c>
      <c r="AJ291" s="156" t="inlineStr">
        <is>
          <t>STETSON AMERICAS (-1)</t>
        </is>
      </c>
      <c r="AK291" s="155" t="inlineStr">
        <is>
          <t>Criterios: I [Q]; G1522_Extraccion_Articulos_NetSuite_2026-09-30.xlsx: fila 58863 [R] | Shopify Stetson: producto 15054564098411 / variante 53350547259755</t>
        </is>
      </c>
      <c r="AL291" s="58" t="n">
        <v>750</v>
      </c>
      <c r="AM291" s="58" t="n">
        <v>4310.344828</v>
      </c>
      <c r="AN291" s="155" t="inlineStr">
        <is>
          <t>Shopify Stetson México</t>
        </is>
      </c>
      <c r="AO291" s="59" t="n">
        <v>0</v>
      </c>
      <c r="AP291" s="59" t="n"/>
      <c r="AQ291" s="59" t="n"/>
      <c r="AR291" s="155" t="n"/>
    </row>
    <row r="292">
      <c r="A292" s="50" t="inlineStr">
        <is>
          <t>12020003101011027</t>
        </is>
      </c>
      <c r="B292" s="51" t="inlineStr">
        <is>
          <t>111189</t>
        </is>
      </c>
      <c r="C292" s="156" t="inlineStr">
        <is>
          <t>Multimarca</t>
        </is>
      </c>
      <c r="D292" s="156" t="inlineStr">
        <is>
          <t>12-020-BS003-10-1011</t>
        </is>
      </c>
      <c r="E292" s="156" t="inlineStr">
        <is>
          <t>12-020-BS003-10-1011-027</t>
        </is>
      </c>
      <c r="F292" s="156" t="inlineStr">
        <is>
          <t>27</t>
        </is>
      </c>
      <c r="G292" s="156" t="inlineStr">
        <is>
          <t>9</t>
        </is>
      </c>
      <c r="H292" s="156" t="inlineStr">
        <is>
          <t>Stetson</t>
        </is>
      </c>
      <c r="I292" s="156" t="inlineStr">
        <is>
          <t>Bota Piel Café</t>
        </is>
      </c>
      <c r="J292" s="156" t="inlineStr">
        <is>
          <t>Calzado</t>
        </is>
      </c>
      <c r="K292" s="156" t="inlineStr">
        <is>
          <t>Botas</t>
        </is>
      </c>
      <c r="L292" s="156" t="inlineStr">
        <is>
          <t>Hombre</t>
        </is>
      </c>
      <c r="M292" s="156" t="inlineStr">
        <is>
          <t>Stetson</t>
        </is>
      </c>
      <c r="N292" s="156" t="inlineStr">
        <is>
          <t>SS26</t>
        </is>
      </c>
      <c r="O292" s="156" t="inlineStr">
        <is>
          <t>Seasonal</t>
        </is>
      </c>
      <c r="P292" s="156" t="inlineStr">
        <is>
          <t>Cafe</t>
        </is>
      </c>
      <c r="Q292" s="156" t="n"/>
      <c r="R292" s="156" t="inlineStr">
        <is>
          <t>Punta Redonda Ancha</t>
        </is>
      </c>
      <c r="S292" s="156" t="inlineStr">
        <is>
          <t>Piel bovina</t>
        </is>
      </c>
      <c r="T292" s="156" t="inlineStr">
        <is>
          <t>Bota Caballero Piel bovina Boney Café Punta Redonda Ancha</t>
        </is>
      </c>
      <c r="U292" s="156" t="inlineStr">
        <is>
          <t>México</t>
        </is>
      </c>
      <c r="V292" s="156" t="inlineStr">
        <is>
          <t>PRS</t>
        </is>
      </c>
      <c r="W292" s="51" t="inlineStr">
        <is>
          <t>53111501</t>
        </is>
      </c>
      <c r="X292" s="156" t="n"/>
      <c r="Y292" s="54" t="n">
        <v>750</v>
      </c>
      <c r="Z292" s="54" t="n">
        <v>4310.344828</v>
      </c>
      <c r="AA292" s="55">
        <f>IF(AND(A292="", B292="", E292=""), "", IF(AB292="", "Válido", IF((LEN(AB292)-LEN(SUBSTITUTE(AB292,"; ","")))/2+1&gt;(LEN(AB292)-LEN(SUBSTITUTE(AB292,"[Aviso]","")))/7, "Con Incidencias", "Válido")))</f>
        <v/>
      </c>
      <c r="AB292" s="56">
        <f>IF(AND(A292="", B292="", E292=""), "", TEXTJOIN("; ", TRUE, IF(OR(TRIM(A292&amp;"")="", ISNUMBER(SEARCH("FALTA", A292))), "UPC faltante/inválido", ""), IF(AND(A292&lt;&gt;"", IFERROR(_xlfn.XMATCH(A292,$A$2:$A$2509,0,1)&lt;&gt;_xlfn.XMATCH(A292,$A$2:$A$2509,0,-1),FALSE)), "Código de barras duplicado", ""), IF(AND(E292&lt;&gt;"", COUNTIF($E$2:$E$2509, E292)&gt;1), "SKU duplicado", ""), IF(OR(J292="", J292=""), "[Aviso] División no capturada ()", IF(ISNA(MATCH(J292, Criterios!$A$123:$A$126, 0)), "División no válida", "")), IF(OR(K292="", K292=""), "[Aviso] Categoría no capturada ()", IF(ISNA(MATCH(K292, Criterios!$A$81:$A$120, 0)), "Categoría no válida", IF(AND(J292&lt;&gt;"", J292&lt;&gt;"", J292&lt;&gt;VLOOKUP(K292, Criterios!$A$81:$B$120, 2, FALSE)), "División no coincide con Categoría", ""))), IF(OR(L292="", L292=""), "[Aviso] Género no capturado ()", IF(ISNA(MATCH(L292, Criterios!$B$123:$B$127, 0)), "Género no válido", "")), IF(OR(N292="", N292=""), "[Aviso] Temporada no capturada ()", IF(ISNA(MATCH(N292, Criterios!$C$123:$C$128, 0)), "Temporada no válida", "")), IF(OR(O292="", O292=""), "[Aviso] Ciclo de vida no capturado ()", IF(ISNA(MATCH(O292, Criterios!$D$123:$D$124, 0)), "Ciclo de vida no válido", ""))))</f>
        <v/>
      </c>
      <c r="AC292" s="56" t="n"/>
      <c r="AD292" s="51" t="n">
        <v>-1</v>
      </c>
      <c r="AE292" s="156" t="n"/>
      <c r="AF292" s="51" t="n">
        <v>0</v>
      </c>
      <c r="AG292" s="156" t="inlineStr">
        <is>
          <t>Catálogo existente</t>
        </is>
      </c>
      <c r="AH29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2" s="156" t="inlineStr">
        <is>
          <t>Sí</t>
        </is>
      </c>
      <c r="AJ292" s="156" t="inlineStr">
        <is>
          <t>STETSON AMERICAS (-1)</t>
        </is>
      </c>
      <c r="AK292" s="155" t="inlineStr">
        <is>
          <t>Criterios: I [Q]; G1522_Extraccion_Articulos_NetSuite_2026-09-30.xlsx: fila 58864 [R] | Shopify Stetson: producto 15054564098411 / variante 53350547325291</t>
        </is>
      </c>
      <c r="AL292" s="58" t="n">
        <v>750</v>
      </c>
      <c r="AM292" s="58" t="n">
        <v>4310.344828</v>
      </c>
      <c r="AN292" s="155" t="inlineStr">
        <is>
          <t>Shopify Stetson México</t>
        </is>
      </c>
      <c r="AO292" s="59" t="n">
        <v>1</v>
      </c>
      <c r="AP292" s="59" t="n"/>
      <c r="AQ292" s="59" t="n"/>
      <c r="AR292" s="155" t="inlineStr">
        <is>
          <t>Shopify Stetson México › Stetson Americas: 1</t>
        </is>
      </c>
    </row>
    <row r="293">
      <c r="A293" s="50" t="inlineStr">
        <is>
          <t>12020003101011028</t>
        </is>
      </c>
      <c r="B293" s="51" t="inlineStr">
        <is>
          <t>111190</t>
        </is>
      </c>
      <c r="C293" s="156" t="inlineStr">
        <is>
          <t>Multimarca</t>
        </is>
      </c>
      <c r="D293" s="156" t="inlineStr">
        <is>
          <t>12-020-BS003-10-1011</t>
        </is>
      </c>
      <c r="E293" s="156" t="inlineStr">
        <is>
          <t>12-020-BS003-10-1011-028</t>
        </is>
      </c>
      <c r="F293" s="156" t="inlineStr">
        <is>
          <t>28</t>
        </is>
      </c>
      <c r="G293" s="156" t="inlineStr">
        <is>
          <t>10</t>
        </is>
      </c>
      <c r="H293" s="156" t="inlineStr">
        <is>
          <t>Stetson</t>
        </is>
      </c>
      <c r="I293" s="156" t="inlineStr">
        <is>
          <t>Bota Piel Café</t>
        </is>
      </c>
      <c r="J293" s="156" t="inlineStr">
        <is>
          <t>Calzado</t>
        </is>
      </c>
      <c r="K293" s="156" t="inlineStr">
        <is>
          <t>Botas</t>
        </is>
      </c>
      <c r="L293" s="156" t="inlineStr">
        <is>
          <t>Hombre</t>
        </is>
      </c>
      <c r="M293" s="156" t="inlineStr">
        <is>
          <t>Stetson</t>
        </is>
      </c>
      <c r="N293" s="156" t="inlineStr">
        <is>
          <t>SS26</t>
        </is>
      </c>
      <c r="O293" s="156" t="inlineStr">
        <is>
          <t>Seasonal</t>
        </is>
      </c>
      <c r="P293" s="156" t="inlineStr">
        <is>
          <t>Cafe</t>
        </is>
      </c>
      <c r="Q293" s="156" t="n"/>
      <c r="R293" s="156" t="inlineStr">
        <is>
          <t>Punta Redonda Ancha</t>
        </is>
      </c>
      <c r="S293" s="156" t="inlineStr">
        <is>
          <t>Piel bovina</t>
        </is>
      </c>
      <c r="T293" s="156" t="inlineStr">
        <is>
          <t>Bota Caballero Piel bovina Boney Café Punta Redonda Ancha</t>
        </is>
      </c>
      <c r="U293" s="156" t="inlineStr">
        <is>
          <t>México</t>
        </is>
      </c>
      <c r="V293" s="156" t="inlineStr">
        <is>
          <t>PRS</t>
        </is>
      </c>
      <c r="W293" s="51" t="inlineStr">
        <is>
          <t>53111501</t>
        </is>
      </c>
      <c r="X293" s="156" t="n"/>
      <c r="Y293" s="54" t="n">
        <v>750</v>
      </c>
      <c r="Z293" s="54" t="n">
        <v>4310.344828</v>
      </c>
      <c r="AA293" s="55">
        <f>IF(AND(A293="", B293="", E293=""), "", IF(AB293="", "Válido", IF((LEN(AB293)-LEN(SUBSTITUTE(AB293,"; ","")))/2+1&gt;(LEN(AB293)-LEN(SUBSTITUTE(AB293,"[Aviso]","")))/7, "Con Incidencias", "Válido")))</f>
        <v/>
      </c>
      <c r="AB293" s="56">
        <f>IF(AND(A293="", B293="", E293=""), "", TEXTJOIN("; ", TRUE, IF(OR(TRIM(A293&amp;"")="", ISNUMBER(SEARCH("FALTA", A293))), "UPC faltante/inválido", ""), IF(AND(A293&lt;&gt;"", IFERROR(_xlfn.XMATCH(A293,$A$2:$A$2509,0,1)&lt;&gt;_xlfn.XMATCH(A293,$A$2:$A$2509,0,-1),FALSE)), "Código de barras duplicado", ""), IF(AND(E293&lt;&gt;"", COUNTIF($E$2:$E$2509, E293)&gt;1), "SKU duplicado", ""), IF(OR(J293="", J293=""), "[Aviso] División no capturada ()", IF(ISNA(MATCH(J293, Criterios!$A$123:$A$126, 0)), "División no válida", "")), IF(OR(K293="", K293=""), "[Aviso] Categoría no capturada ()", IF(ISNA(MATCH(K293, Criterios!$A$81:$A$120, 0)), "Categoría no válida", IF(AND(J293&lt;&gt;"", J293&lt;&gt;"", J293&lt;&gt;VLOOKUP(K293, Criterios!$A$81:$B$120, 2, FALSE)), "División no coincide con Categoría", ""))), IF(OR(L293="", L293=""), "[Aviso] Género no capturado ()", IF(ISNA(MATCH(L293, Criterios!$B$123:$B$127, 0)), "Género no válido", "")), IF(OR(N293="", N293=""), "[Aviso] Temporada no capturada ()", IF(ISNA(MATCH(N293, Criterios!$C$123:$C$128, 0)), "Temporada no válida", "")), IF(OR(O293="", O293=""), "[Aviso] Ciclo de vida no capturado ()", IF(ISNA(MATCH(O293, Criterios!$D$123:$D$124, 0)), "Ciclo de vida no válido", ""))))</f>
        <v/>
      </c>
      <c r="AC293" s="56" t="n"/>
      <c r="AD293" s="51" t="n">
        <v>-1</v>
      </c>
      <c r="AE293" s="156" t="n"/>
      <c r="AF293" s="51" t="n">
        <v>0</v>
      </c>
      <c r="AG293" s="156" t="inlineStr">
        <is>
          <t>Catálogo existente</t>
        </is>
      </c>
      <c r="AH29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3" s="156" t="inlineStr">
        <is>
          <t>Sí</t>
        </is>
      </c>
      <c r="AJ293" s="156" t="inlineStr">
        <is>
          <t>STETSON AMERICAS (-1)</t>
        </is>
      </c>
      <c r="AK293" s="155" t="inlineStr">
        <is>
          <t>Criterios: I [Q]; G1522_Extraccion_Articulos_NetSuite_2026-09-30.xlsx: fila 58865 [R] | Shopify Stetson: producto 15054564098411 / variante 53350547390827</t>
        </is>
      </c>
      <c r="AL293" s="58" t="n">
        <v>750</v>
      </c>
      <c r="AM293" s="58" t="n">
        <v>4310.344828</v>
      </c>
      <c r="AN293" s="155" t="inlineStr">
        <is>
          <t>Shopify Stetson México</t>
        </is>
      </c>
      <c r="AO293" s="59" t="n">
        <v>1</v>
      </c>
      <c r="AP293" s="59" t="n"/>
      <c r="AQ293" s="59" t="n"/>
      <c r="AR293" s="155" t="inlineStr">
        <is>
          <t>Shopify Stetson México › Stetson Americas: 1</t>
        </is>
      </c>
    </row>
    <row r="294">
      <c r="A294" s="50" t="inlineStr">
        <is>
          <t>12020003101011029</t>
        </is>
      </c>
      <c r="B294" s="51" t="inlineStr">
        <is>
          <t>111191</t>
        </is>
      </c>
      <c r="C294" s="156" t="inlineStr">
        <is>
          <t>Multimarca</t>
        </is>
      </c>
      <c r="D294" s="156" t="inlineStr">
        <is>
          <t>12-020-BS003-10-1011</t>
        </is>
      </c>
      <c r="E294" s="156" t="inlineStr">
        <is>
          <t>12-020-BS003-10-1011-029</t>
        </is>
      </c>
      <c r="F294" s="156" t="inlineStr">
        <is>
          <t>29</t>
        </is>
      </c>
      <c r="G294" s="156" t="inlineStr">
        <is>
          <t>11</t>
        </is>
      </c>
      <c r="H294" s="156" t="inlineStr">
        <is>
          <t>Stetson</t>
        </is>
      </c>
      <c r="I294" s="156" t="inlineStr">
        <is>
          <t>Bota Piel Café</t>
        </is>
      </c>
      <c r="J294" s="156" t="inlineStr">
        <is>
          <t>Calzado</t>
        </is>
      </c>
      <c r="K294" s="156" t="inlineStr">
        <is>
          <t>Botas</t>
        </is>
      </c>
      <c r="L294" s="156" t="inlineStr">
        <is>
          <t>Hombre</t>
        </is>
      </c>
      <c r="M294" s="156" t="inlineStr">
        <is>
          <t>Stetson</t>
        </is>
      </c>
      <c r="N294" s="156" t="inlineStr">
        <is>
          <t>SS26</t>
        </is>
      </c>
      <c r="O294" s="156" t="inlineStr">
        <is>
          <t>Seasonal</t>
        </is>
      </c>
      <c r="P294" s="156" t="inlineStr">
        <is>
          <t>Cafe</t>
        </is>
      </c>
      <c r="Q294" s="156" t="n"/>
      <c r="R294" s="156" t="inlineStr">
        <is>
          <t>Punta Redonda Ancha</t>
        </is>
      </c>
      <c r="S294" s="156" t="inlineStr">
        <is>
          <t>Piel bovina</t>
        </is>
      </c>
      <c r="T294" s="156" t="inlineStr">
        <is>
          <t>Bota Caballero Piel bovina Boney Café Punta Redonda Ancha</t>
        </is>
      </c>
      <c r="U294" s="156" t="inlineStr">
        <is>
          <t>México</t>
        </is>
      </c>
      <c r="V294" s="156" t="inlineStr">
        <is>
          <t>PRS</t>
        </is>
      </c>
      <c r="W294" s="51" t="inlineStr">
        <is>
          <t>53111501</t>
        </is>
      </c>
      <c r="X294" s="156" t="n"/>
      <c r="Y294" s="54" t="n">
        <v>750</v>
      </c>
      <c r="Z294" s="54" t="n">
        <v>4310.344828</v>
      </c>
      <c r="AA294" s="55">
        <f>IF(AND(A294="", B294="", E294=""), "", IF(AB294="", "Válido", IF((LEN(AB294)-LEN(SUBSTITUTE(AB294,"; ","")))/2+1&gt;(LEN(AB294)-LEN(SUBSTITUTE(AB294,"[Aviso]","")))/7, "Con Incidencias", "Válido")))</f>
        <v/>
      </c>
      <c r="AB294" s="56">
        <f>IF(AND(A294="", B294="", E294=""), "", TEXTJOIN("; ", TRUE, IF(OR(TRIM(A294&amp;"")="", ISNUMBER(SEARCH("FALTA", A294))), "UPC faltante/inválido", ""), IF(AND(A294&lt;&gt;"", IFERROR(_xlfn.XMATCH(A294,$A$2:$A$2509,0,1)&lt;&gt;_xlfn.XMATCH(A294,$A$2:$A$2509,0,-1),FALSE)), "Código de barras duplicado", ""), IF(AND(E294&lt;&gt;"", COUNTIF($E$2:$E$2509, E294)&gt;1), "SKU duplicado", ""), IF(OR(J294="", J294=""), "[Aviso] División no capturada ()", IF(ISNA(MATCH(J294, Criterios!$A$123:$A$126, 0)), "División no válida", "")), IF(OR(K294="", K294=""), "[Aviso] Categoría no capturada ()", IF(ISNA(MATCH(K294, Criterios!$A$81:$A$120, 0)), "Categoría no válida", IF(AND(J294&lt;&gt;"", J294&lt;&gt;"", J294&lt;&gt;VLOOKUP(K294, Criterios!$A$81:$B$120, 2, FALSE)), "División no coincide con Categoría", ""))), IF(OR(L294="", L294=""), "[Aviso] Género no capturado ()", IF(ISNA(MATCH(L294, Criterios!$B$123:$B$127, 0)), "Género no válido", "")), IF(OR(N294="", N294=""), "[Aviso] Temporada no capturada ()", IF(ISNA(MATCH(N294, Criterios!$C$123:$C$128, 0)), "Temporada no válida", "")), IF(OR(O294="", O294=""), "[Aviso] Ciclo de vida no capturado ()", IF(ISNA(MATCH(O294, Criterios!$D$123:$D$124, 0)), "Ciclo de vida no válido", ""))))</f>
        <v/>
      </c>
      <c r="AC294" s="56" t="n"/>
      <c r="AD294" s="51" t="n">
        <v>-1</v>
      </c>
      <c r="AE294" s="156" t="n"/>
      <c r="AF294" s="51" t="n">
        <v>0</v>
      </c>
      <c r="AG294" s="156" t="inlineStr">
        <is>
          <t>Catálogo existente</t>
        </is>
      </c>
      <c r="AH29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4" s="156" t="inlineStr">
        <is>
          <t>Sí</t>
        </is>
      </c>
      <c r="AJ294" s="156" t="inlineStr">
        <is>
          <t>STETSON AMERICAS (-1)</t>
        </is>
      </c>
      <c r="AK294" s="155" t="inlineStr">
        <is>
          <t>Criterios: I [Q]; G1522_Extraccion_Articulos_NetSuite_2026-09-30.xlsx: fila 58866 [R] | Shopify Stetson: producto 15054564098411 / variante 53350547456363</t>
        </is>
      </c>
      <c r="AL294" s="58" t="n">
        <v>750</v>
      </c>
      <c r="AM294" s="58" t="n">
        <v>4310.344828</v>
      </c>
      <c r="AN294" s="155" t="inlineStr">
        <is>
          <t>Shopify Stetson México</t>
        </is>
      </c>
      <c r="AO294" s="59" t="n">
        <v>1</v>
      </c>
      <c r="AP294" s="59" t="n"/>
      <c r="AQ294" s="59" t="n"/>
      <c r="AR294" s="155" t="inlineStr">
        <is>
          <t>Shopify Stetson México › Stetson Americas: 1</t>
        </is>
      </c>
    </row>
    <row r="295">
      <c r="A295" s="50" t="inlineStr">
        <is>
          <t>12020003101011030</t>
        </is>
      </c>
      <c r="B295" s="51" t="inlineStr">
        <is>
          <t>111192</t>
        </is>
      </c>
      <c r="C295" s="156" t="inlineStr">
        <is>
          <t>Multimarca</t>
        </is>
      </c>
      <c r="D295" s="156" t="inlineStr">
        <is>
          <t>12-020-BS003-10-1011</t>
        </is>
      </c>
      <c r="E295" s="156" t="inlineStr">
        <is>
          <t>12-020-BS003-10-1011-030</t>
        </is>
      </c>
      <c r="F295" s="156" t="inlineStr">
        <is>
          <t>30</t>
        </is>
      </c>
      <c r="G295" s="156" t="inlineStr">
        <is>
          <t>12</t>
        </is>
      </c>
      <c r="H295" s="156" t="inlineStr">
        <is>
          <t>Stetson</t>
        </is>
      </c>
      <c r="I295" s="156" t="inlineStr">
        <is>
          <t>Bota Piel Café</t>
        </is>
      </c>
      <c r="J295" s="156" t="inlineStr">
        <is>
          <t>Calzado</t>
        </is>
      </c>
      <c r="K295" s="156" t="inlineStr">
        <is>
          <t>Botas</t>
        </is>
      </c>
      <c r="L295" s="156" t="inlineStr">
        <is>
          <t>Hombre</t>
        </is>
      </c>
      <c r="M295" s="156" t="inlineStr">
        <is>
          <t>Stetson</t>
        </is>
      </c>
      <c r="N295" s="156" t="inlineStr">
        <is>
          <t>SS26</t>
        </is>
      </c>
      <c r="O295" s="156" t="inlineStr">
        <is>
          <t>Seasonal</t>
        </is>
      </c>
      <c r="P295" s="156" t="inlineStr">
        <is>
          <t>Cafe</t>
        </is>
      </c>
      <c r="Q295" s="156" t="n"/>
      <c r="R295" s="156" t="inlineStr">
        <is>
          <t>Punta Redonda Ancha</t>
        </is>
      </c>
      <c r="S295" s="156" t="inlineStr">
        <is>
          <t>Piel bovina</t>
        </is>
      </c>
      <c r="T295" s="156" t="inlineStr">
        <is>
          <t>Bota Caballero Piel bovina Boney Café Punta Redonda Ancha</t>
        </is>
      </c>
      <c r="U295" s="156" t="inlineStr">
        <is>
          <t>México</t>
        </is>
      </c>
      <c r="V295" s="156" t="inlineStr">
        <is>
          <t>PRS</t>
        </is>
      </c>
      <c r="W295" s="51" t="inlineStr">
        <is>
          <t>53111501</t>
        </is>
      </c>
      <c r="X295" s="156" t="n"/>
      <c r="Y295" s="54" t="n">
        <v>750</v>
      </c>
      <c r="Z295" s="54" t="n">
        <v>4310.344828</v>
      </c>
      <c r="AA295" s="55">
        <f>IF(AND(A295="", B295="", E295=""), "", IF(AB295="", "Válido", IF((LEN(AB295)-LEN(SUBSTITUTE(AB295,"; ","")))/2+1&gt;(LEN(AB295)-LEN(SUBSTITUTE(AB295,"[Aviso]","")))/7, "Con Incidencias", "Válido")))</f>
        <v/>
      </c>
      <c r="AB295" s="56">
        <f>IF(AND(A295="", B295="", E295=""), "", TEXTJOIN("; ", TRUE, IF(OR(TRIM(A295&amp;"")="", ISNUMBER(SEARCH("FALTA", A295))), "UPC faltante/inválido", ""), IF(AND(A295&lt;&gt;"", IFERROR(_xlfn.XMATCH(A295,$A$2:$A$2509,0,1)&lt;&gt;_xlfn.XMATCH(A295,$A$2:$A$2509,0,-1),FALSE)), "Código de barras duplicado", ""), IF(AND(E295&lt;&gt;"", COUNTIF($E$2:$E$2509, E295)&gt;1), "SKU duplicado", ""), IF(OR(J295="", J295=""), "[Aviso] División no capturada ()", IF(ISNA(MATCH(J295, Criterios!$A$123:$A$126, 0)), "División no válida", "")), IF(OR(K295="", K295=""), "[Aviso] Categoría no capturada ()", IF(ISNA(MATCH(K295, Criterios!$A$81:$A$120, 0)), "Categoría no válida", IF(AND(J295&lt;&gt;"", J295&lt;&gt;"", J295&lt;&gt;VLOOKUP(K295, Criterios!$A$81:$B$120, 2, FALSE)), "División no coincide con Categoría", ""))), IF(OR(L295="", L295=""), "[Aviso] Género no capturado ()", IF(ISNA(MATCH(L295, Criterios!$B$123:$B$127, 0)), "Género no válido", "")), IF(OR(N295="", N295=""), "[Aviso] Temporada no capturada ()", IF(ISNA(MATCH(N295, Criterios!$C$123:$C$128, 0)), "Temporada no válida", "")), IF(OR(O295="", O295=""), "[Aviso] Ciclo de vida no capturado ()", IF(ISNA(MATCH(O295, Criterios!$D$123:$D$124, 0)), "Ciclo de vida no válido", ""))))</f>
        <v/>
      </c>
      <c r="AC295" s="56" t="n"/>
      <c r="AD295" s="51" t="n">
        <v>0</v>
      </c>
      <c r="AE295" s="156" t="n"/>
      <c r="AF295" s="51" t="n">
        <v>0</v>
      </c>
      <c r="AG295" s="156" t="inlineStr">
        <is>
          <t>Catálogo existente</t>
        </is>
      </c>
      <c r="AH2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5" s="156" t="inlineStr">
        <is>
          <t>No</t>
        </is>
      </c>
      <c r="AJ295" s="156" t="n"/>
      <c r="AK295" s="155" t="inlineStr">
        <is>
          <t>Criterios: I [Q]; G1522_Extraccion_Articulos_NetSuite_2026-09-30.xlsx: fila 58867 [R] | Shopify Stetson: producto 15054564098411 / variante 53350547521899</t>
        </is>
      </c>
      <c r="AL295" s="58" t="n">
        <v>750</v>
      </c>
      <c r="AM295" s="58" t="n">
        <v>4310.344828</v>
      </c>
      <c r="AN295" s="155" t="inlineStr">
        <is>
          <t>Shopify Stetson México</t>
        </is>
      </c>
      <c r="AO295" s="59" t="n">
        <v>1</v>
      </c>
      <c r="AP295" s="59" t="n"/>
      <c r="AQ295" s="59" t="n"/>
      <c r="AR295" s="155" t="inlineStr">
        <is>
          <t>Shopify Stetson México › Stetson Americas: 1</t>
        </is>
      </c>
    </row>
    <row r="296">
      <c r="A296" s="50" t="inlineStr">
        <is>
          <t>12020003101011031</t>
        </is>
      </c>
      <c r="B296" s="51" t="inlineStr">
        <is>
          <t>111193</t>
        </is>
      </c>
      <c r="C296" s="156" t="inlineStr">
        <is>
          <t>Multimarca</t>
        </is>
      </c>
      <c r="D296" s="156" t="inlineStr">
        <is>
          <t>12-020-BS003-10-1011</t>
        </is>
      </c>
      <c r="E296" s="156" t="inlineStr">
        <is>
          <t>12-020-BS003-10-1011-031</t>
        </is>
      </c>
      <c r="F296" s="156" t="inlineStr">
        <is>
          <t>31</t>
        </is>
      </c>
      <c r="G296" s="156" t="inlineStr">
        <is>
          <t>13</t>
        </is>
      </c>
      <c r="H296" s="156" t="inlineStr">
        <is>
          <t>Stetson</t>
        </is>
      </c>
      <c r="I296" s="156" t="inlineStr">
        <is>
          <t>Bota Piel Café</t>
        </is>
      </c>
      <c r="J296" s="156" t="inlineStr">
        <is>
          <t>Calzado</t>
        </is>
      </c>
      <c r="K296" s="156" t="inlineStr">
        <is>
          <t>Botas</t>
        </is>
      </c>
      <c r="L296" s="156" t="inlineStr">
        <is>
          <t>Hombre</t>
        </is>
      </c>
      <c r="M296" s="156" t="inlineStr">
        <is>
          <t>Stetson</t>
        </is>
      </c>
      <c r="N296" s="156" t="inlineStr">
        <is>
          <t>SS26</t>
        </is>
      </c>
      <c r="O296" s="156" t="inlineStr">
        <is>
          <t>Seasonal</t>
        </is>
      </c>
      <c r="P296" s="156" t="inlineStr">
        <is>
          <t>Cafe</t>
        </is>
      </c>
      <c r="Q296" s="156" t="n"/>
      <c r="R296" s="156" t="inlineStr">
        <is>
          <t>Punta Redonda Ancha</t>
        </is>
      </c>
      <c r="S296" s="156" t="inlineStr">
        <is>
          <t>Piel bovina</t>
        </is>
      </c>
      <c r="T296" s="156" t="inlineStr">
        <is>
          <t>Bota Caballero Piel bovina Boney Café Punta Redonda Ancha</t>
        </is>
      </c>
      <c r="U296" s="156" t="inlineStr">
        <is>
          <t>México</t>
        </is>
      </c>
      <c r="V296" s="156" t="inlineStr">
        <is>
          <t>PRS</t>
        </is>
      </c>
      <c r="W296" s="51" t="inlineStr">
        <is>
          <t>53111501</t>
        </is>
      </c>
      <c r="X296" s="156" t="n"/>
      <c r="Y296" s="54" t="n">
        <v>750</v>
      </c>
      <c r="Z296" s="54" t="n">
        <v>4310.344828</v>
      </c>
      <c r="AA296" s="55">
        <f>IF(AND(A296="", B296="", E296=""), "", IF(AB296="", "Válido", IF((LEN(AB296)-LEN(SUBSTITUTE(AB296,"; ","")))/2+1&gt;(LEN(AB296)-LEN(SUBSTITUTE(AB296,"[Aviso]","")))/7, "Con Incidencias", "Válido")))</f>
        <v/>
      </c>
      <c r="AB296" s="56">
        <f>IF(AND(A296="", B296="", E296=""), "", TEXTJOIN("; ", TRUE, IF(OR(TRIM(A296&amp;"")="", ISNUMBER(SEARCH("FALTA", A296))), "UPC faltante/inválido", ""), IF(AND(A296&lt;&gt;"", IFERROR(_xlfn.XMATCH(A296,$A$2:$A$2509,0,1)&lt;&gt;_xlfn.XMATCH(A296,$A$2:$A$2509,0,-1),FALSE)), "Código de barras duplicado", ""), IF(AND(E296&lt;&gt;"", COUNTIF($E$2:$E$2509, E296)&gt;1), "SKU duplicado", ""), IF(OR(J296="", J296=""), "[Aviso] División no capturada ()", IF(ISNA(MATCH(J296, Criterios!$A$123:$A$126, 0)), "División no válida", "")), IF(OR(K296="", K296=""), "[Aviso] Categoría no capturada ()", IF(ISNA(MATCH(K296, Criterios!$A$81:$A$120, 0)), "Categoría no válida", IF(AND(J296&lt;&gt;"", J296&lt;&gt;"", J296&lt;&gt;VLOOKUP(K296, Criterios!$A$81:$B$120, 2, FALSE)), "División no coincide con Categoría", ""))), IF(OR(L296="", L296=""), "[Aviso] Género no capturado ()", IF(ISNA(MATCH(L296, Criterios!$B$123:$B$127, 0)), "Género no válido", "")), IF(OR(N296="", N296=""), "[Aviso] Temporada no capturada ()", IF(ISNA(MATCH(N296, Criterios!$C$123:$C$128, 0)), "Temporada no válida", "")), IF(OR(O296="", O296=""), "[Aviso] Ciclo de vida no capturado ()", IF(ISNA(MATCH(O296, Criterios!$D$123:$D$124, 0)), "Ciclo de vida no válido", ""))))</f>
        <v/>
      </c>
      <c r="AC296" s="56" t="n"/>
      <c r="AD296" s="51" t="n">
        <v>-1</v>
      </c>
      <c r="AE296" s="156" t="n"/>
      <c r="AF296" s="51" t="n">
        <v>0</v>
      </c>
      <c r="AG296" s="156" t="inlineStr">
        <is>
          <t>Catálogo existente</t>
        </is>
      </c>
      <c r="AH29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6" s="156" t="inlineStr">
        <is>
          <t>Sí</t>
        </is>
      </c>
      <c r="AJ296" s="156" t="inlineStr">
        <is>
          <t>STETSON AMERICAS (-1)</t>
        </is>
      </c>
      <c r="AK296" s="155" t="inlineStr">
        <is>
          <t>Criterios: I [Q]; G1522_Extraccion_Articulos_NetSuite_2026-09-30.xlsx: fila 58868 [R] | Shopify Stetson: producto 15054564098411 / variante 53350547587435</t>
        </is>
      </c>
      <c r="AL296" s="58" t="n">
        <v>750</v>
      </c>
      <c r="AM296" s="58" t="n">
        <v>4310.344828</v>
      </c>
      <c r="AN296" s="155" t="inlineStr">
        <is>
          <t>Shopify Stetson México</t>
        </is>
      </c>
      <c r="AO296" s="59" t="n">
        <v>0</v>
      </c>
      <c r="AP296" s="59" t="n"/>
      <c r="AQ296" s="59" t="n"/>
      <c r="AR296" s="155" t="n"/>
    </row>
    <row r="297">
      <c r="A297" s="50" t="inlineStr">
        <is>
          <t>12020003101011032</t>
        </is>
      </c>
      <c r="B297" s="51" t="inlineStr">
        <is>
          <t>111194</t>
        </is>
      </c>
      <c r="C297" s="156" t="inlineStr">
        <is>
          <t>Multimarca</t>
        </is>
      </c>
      <c r="D297" s="156" t="inlineStr">
        <is>
          <t>12-020-BS003-10-1011</t>
        </is>
      </c>
      <c r="E297" s="156" t="inlineStr">
        <is>
          <t>12-020-BS003-10-1011-032</t>
        </is>
      </c>
      <c r="F297" s="156" t="inlineStr">
        <is>
          <t>32</t>
        </is>
      </c>
      <c r="G297" s="156" t="inlineStr">
        <is>
          <t>14</t>
        </is>
      </c>
      <c r="H297" s="156" t="inlineStr">
        <is>
          <t>Stetson</t>
        </is>
      </c>
      <c r="I297" s="156" t="inlineStr">
        <is>
          <t>Bota Piel Café</t>
        </is>
      </c>
      <c r="J297" s="156" t="inlineStr">
        <is>
          <t>Calzado</t>
        </is>
      </c>
      <c r="K297" s="156" t="inlineStr">
        <is>
          <t>Botas</t>
        </is>
      </c>
      <c r="L297" s="156" t="inlineStr">
        <is>
          <t>Hombre</t>
        </is>
      </c>
      <c r="M297" s="156" t="inlineStr">
        <is>
          <t>Stetson</t>
        </is>
      </c>
      <c r="N297" s="156" t="inlineStr">
        <is>
          <t>SS26</t>
        </is>
      </c>
      <c r="O297" s="156" t="inlineStr">
        <is>
          <t>Seasonal</t>
        </is>
      </c>
      <c r="P297" s="156" t="inlineStr">
        <is>
          <t>Cafe</t>
        </is>
      </c>
      <c r="Q297" s="156" t="n"/>
      <c r="R297" s="156" t="inlineStr">
        <is>
          <t>Punta Redonda Ancha</t>
        </is>
      </c>
      <c r="S297" s="156" t="inlineStr">
        <is>
          <t>Piel bovina</t>
        </is>
      </c>
      <c r="T297" s="156" t="inlineStr">
        <is>
          <t>Bota Caballero Piel bovina Boney Café Punta Redonda Ancha</t>
        </is>
      </c>
      <c r="U297" s="156" t="inlineStr">
        <is>
          <t>México</t>
        </is>
      </c>
      <c r="V297" s="156" t="inlineStr">
        <is>
          <t>PRS</t>
        </is>
      </c>
      <c r="W297" s="51" t="inlineStr">
        <is>
          <t>53111501</t>
        </is>
      </c>
      <c r="X297" s="156" t="n"/>
      <c r="Y297" s="54" t="n">
        <v>750</v>
      </c>
      <c r="Z297" s="54" t="n">
        <v>4310.344828</v>
      </c>
      <c r="AA297" s="55">
        <f>IF(AND(A297="", B297="", E297=""), "", IF(AB297="", "Válido", IF((LEN(AB297)-LEN(SUBSTITUTE(AB297,"; ","")))/2+1&gt;(LEN(AB297)-LEN(SUBSTITUTE(AB297,"[Aviso]","")))/7, "Con Incidencias", "Válido")))</f>
        <v/>
      </c>
      <c r="AB297" s="56">
        <f>IF(AND(A297="", B297="", E297=""), "", TEXTJOIN("; ", TRUE, IF(OR(TRIM(A297&amp;"")="", ISNUMBER(SEARCH("FALTA", A297))), "UPC faltante/inválido", ""), IF(AND(A297&lt;&gt;"", IFERROR(_xlfn.XMATCH(A297,$A$2:$A$2509,0,1)&lt;&gt;_xlfn.XMATCH(A297,$A$2:$A$2509,0,-1),FALSE)), "Código de barras duplicado", ""), IF(AND(E297&lt;&gt;"", COUNTIF($E$2:$E$2509, E297)&gt;1), "SKU duplicado", ""), IF(OR(J297="", J297=""), "[Aviso] División no capturada ()", IF(ISNA(MATCH(J297, Criterios!$A$123:$A$126, 0)), "División no válida", "")), IF(OR(K297="", K297=""), "[Aviso] Categoría no capturada ()", IF(ISNA(MATCH(K297, Criterios!$A$81:$A$120, 0)), "Categoría no válida", IF(AND(J297&lt;&gt;"", J297&lt;&gt;"", J297&lt;&gt;VLOOKUP(K297, Criterios!$A$81:$B$120, 2, FALSE)), "División no coincide con Categoría", ""))), IF(OR(L297="", L297=""), "[Aviso] Género no capturado ()", IF(ISNA(MATCH(L297, Criterios!$B$123:$B$127, 0)), "Género no válido", "")), IF(OR(N297="", N297=""), "[Aviso] Temporada no capturada ()", IF(ISNA(MATCH(N297, Criterios!$C$123:$C$128, 0)), "Temporada no válida", "")), IF(OR(O297="", O297=""), "[Aviso] Ciclo de vida no capturado ()", IF(ISNA(MATCH(O297, Criterios!$D$123:$D$124, 0)), "Ciclo de vida no válido", ""))))</f>
        <v/>
      </c>
      <c r="AC297" s="56" t="n"/>
      <c r="AD297" s="51" t="n">
        <v>0</v>
      </c>
      <c r="AE297" s="156" t="n"/>
      <c r="AF297" s="51" t="n">
        <v>0</v>
      </c>
      <c r="AG297" s="156" t="inlineStr">
        <is>
          <t>Catálogo existente</t>
        </is>
      </c>
      <c r="AH2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7" s="156" t="inlineStr">
        <is>
          <t>No</t>
        </is>
      </c>
      <c r="AJ297" s="156" t="n"/>
      <c r="AK297" s="155" t="inlineStr">
        <is>
          <t>Criterios: I [Q]; G1522_Extraccion_Articulos_NetSuite_2026-09-30.xlsx: fila 58869 [R] | Shopify Stetson: producto 15054564098411 / variante 53350547652971</t>
        </is>
      </c>
      <c r="AL297" s="58" t="n">
        <v>750</v>
      </c>
      <c r="AM297" s="58" t="n">
        <v>4310.344828</v>
      </c>
      <c r="AN297" s="155" t="inlineStr">
        <is>
          <t>Shopify Stetson México</t>
        </is>
      </c>
      <c r="AO297" s="59" t="n">
        <v>0</v>
      </c>
      <c r="AP297" s="59" t="n"/>
      <c r="AQ297" s="59" t="n"/>
      <c r="AR297" s="155" t="n"/>
    </row>
    <row r="298">
      <c r="A298" s="50" t="inlineStr">
        <is>
          <t>12020003101011255</t>
        </is>
      </c>
      <c r="B298" s="51" t="inlineStr">
        <is>
          <t>111195</t>
        </is>
      </c>
      <c r="C298" s="156" t="inlineStr">
        <is>
          <t>Multimarca</t>
        </is>
      </c>
      <c r="D298" s="156" t="inlineStr">
        <is>
          <t>12-020-BS003-10-1011</t>
        </is>
      </c>
      <c r="E298" s="156" t="inlineStr">
        <is>
          <t>12-020-BS003-10-1011-255</t>
        </is>
      </c>
      <c r="F298" s="156" t="inlineStr">
        <is>
          <t>25.5</t>
        </is>
      </c>
      <c r="G298" s="156" t="inlineStr">
        <is>
          <t>7.5</t>
        </is>
      </c>
      <c r="H298" s="156" t="inlineStr">
        <is>
          <t>Stetson</t>
        </is>
      </c>
      <c r="I298" s="156" t="inlineStr">
        <is>
          <t>Bota Piel Café</t>
        </is>
      </c>
      <c r="J298" s="156" t="inlineStr">
        <is>
          <t>Calzado</t>
        </is>
      </c>
      <c r="K298" s="156" t="inlineStr">
        <is>
          <t>Botas</t>
        </is>
      </c>
      <c r="L298" s="156" t="inlineStr">
        <is>
          <t>Hombre</t>
        </is>
      </c>
      <c r="M298" s="156" t="inlineStr">
        <is>
          <t>Stetson</t>
        </is>
      </c>
      <c r="N298" s="156" t="inlineStr">
        <is>
          <t>SS26</t>
        </is>
      </c>
      <c r="O298" s="156" t="inlineStr">
        <is>
          <t>Seasonal</t>
        </is>
      </c>
      <c r="P298" s="156" t="inlineStr">
        <is>
          <t>Cafe</t>
        </is>
      </c>
      <c r="Q298" s="156" t="n"/>
      <c r="R298" s="156" t="inlineStr">
        <is>
          <t>Punta Redonda Ancha</t>
        </is>
      </c>
      <c r="S298" s="156" t="inlineStr">
        <is>
          <t>Piel bovina</t>
        </is>
      </c>
      <c r="T298" s="156" t="inlineStr">
        <is>
          <t>Bota Caballero Piel bovina Boney Café Punta Redonda Ancha</t>
        </is>
      </c>
      <c r="U298" s="156" t="inlineStr">
        <is>
          <t>México</t>
        </is>
      </c>
      <c r="V298" s="156" t="inlineStr">
        <is>
          <t>PRS</t>
        </is>
      </c>
      <c r="W298" s="51" t="inlineStr">
        <is>
          <t>53111501</t>
        </is>
      </c>
      <c r="X298" s="156" t="n"/>
      <c r="Y298" s="54" t="n">
        <v>750</v>
      </c>
      <c r="Z298" s="54" t="n">
        <v>4310.344828</v>
      </c>
      <c r="AA298" s="55">
        <f>IF(AND(A298="", B298="", E298=""), "", IF(AB298="", "Válido", IF((LEN(AB298)-LEN(SUBSTITUTE(AB298,"; ","")))/2+1&gt;(LEN(AB298)-LEN(SUBSTITUTE(AB298,"[Aviso]","")))/7, "Con Incidencias", "Válido")))</f>
        <v/>
      </c>
      <c r="AB298" s="56">
        <f>IF(AND(A298="", B298="", E298=""), "", TEXTJOIN("; ", TRUE, IF(OR(TRIM(A298&amp;"")="", ISNUMBER(SEARCH("FALTA", A298))), "UPC faltante/inválido", ""), IF(AND(A298&lt;&gt;"", IFERROR(_xlfn.XMATCH(A298,$A$2:$A$2509,0,1)&lt;&gt;_xlfn.XMATCH(A298,$A$2:$A$2509,0,-1),FALSE)), "Código de barras duplicado", ""), IF(AND(E298&lt;&gt;"", COUNTIF($E$2:$E$2509, E298)&gt;1), "SKU duplicado", ""), IF(OR(J298="", J298=""), "[Aviso] División no capturada ()", IF(ISNA(MATCH(J298, Criterios!$A$123:$A$126, 0)), "División no válida", "")), IF(OR(K298="", K298=""), "[Aviso] Categoría no capturada ()", IF(ISNA(MATCH(K298, Criterios!$A$81:$A$120, 0)), "Categoría no válida", IF(AND(J298&lt;&gt;"", J298&lt;&gt;"", J298&lt;&gt;VLOOKUP(K298, Criterios!$A$81:$B$120, 2, FALSE)), "División no coincide con Categoría", ""))), IF(OR(L298="", L298=""), "[Aviso] Género no capturado ()", IF(ISNA(MATCH(L298, Criterios!$B$123:$B$127, 0)), "Género no válido", "")), IF(OR(N298="", N298=""), "[Aviso] Temporada no capturada ()", IF(ISNA(MATCH(N298, Criterios!$C$123:$C$128, 0)), "Temporada no válida", "")), IF(OR(O298="", O298=""), "[Aviso] Ciclo de vida no capturado ()", IF(ISNA(MATCH(O298, Criterios!$D$123:$D$124, 0)), "Ciclo de vida no válido", ""))))</f>
        <v/>
      </c>
      <c r="AC298" s="56" t="n"/>
      <c r="AD298" s="51" t="n">
        <v>0</v>
      </c>
      <c r="AE298" s="156" t="n"/>
      <c r="AF298" s="51" t="n">
        <v>0</v>
      </c>
      <c r="AG298" s="156" t="inlineStr">
        <is>
          <t>Catálogo existente</t>
        </is>
      </c>
      <c r="AH2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8" s="156" t="inlineStr">
        <is>
          <t>No</t>
        </is>
      </c>
      <c r="AJ298" s="156" t="n"/>
      <c r="AK298" s="155" t="inlineStr">
        <is>
          <t>Criterios: I [Q]; G1522_Extraccion_Articulos_NetSuite_2026-09-30.xlsx: fila 58870 [R] | Shopify Stetson: producto 15054564098411 / variante 53350547226987</t>
        </is>
      </c>
      <c r="AL298" s="58" t="n">
        <v>750</v>
      </c>
      <c r="AM298" s="58" t="n">
        <v>4310.344828</v>
      </c>
      <c r="AN298" s="155" t="inlineStr">
        <is>
          <t>Shopify Stetson México</t>
        </is>
      </c>
      <c r="AO298" s="59" t="n">
        <v>0</v>
      </c>
      <c r="AP298" s="59" t="n"/>
      <c r="AQ298" s="59" t="n"/>
      <c r="AR298" s="155" t="n"/>
    </row>
    <row r="299">
      <c r="A299" s="50" t="inlineStr">
        <is>
          <t>12020003101011265</t>
        </is>
      </c>
      <c r="B299" s="51" t="inlineStr">
        <is>
          <t>111196</t>
        </is>
      </c>
      <c r="C299" s="156" t="inlineStr">
        <is>
          <t>Multimarca</t>
        </is>
      </c>
      <c r="D299" s="156" t="inlineStr">
        <is>
          <t>12-020-BS003-10-1011</t>
        </is>
      </c>
      <c r="E299" s="156" t="inlineStr">
        <is>
          <t>12-020-BS003-10-1011-265</t>
        </is>
      </c>
      <c r="F299" s="156" t="inlineStr">
        <is>
          <t>26.5</t>
        </is>
      </c>
      <c r="G299" s="156" t="inlineStr">
        <is>
          <t>8.5</t>
        </is>
      </c>
      <c r="H299" s="156" t="inlineStr">
        <is>
          <t>Stetson</t>
        </is>
      </c>
      <c r="I299" s="156" t="inlineStr">
        <is>
          <t>Bota Piel Café</t>
        </is>
      </c>
      <c r="J299" s="156" t="inlineStr">
        <is>
          <t>Calzado</t>
        </is>
      </c>
      <c r="K299" s="156" t="inlineStr">
        <is>
          <t>Botas</t>
        </is>
      </c>
      <c r="L299" s="156" t="inlineStr">
        <is>
          <t>Hombre</t>
        </is>
      </c>
      <c r="M299" s="156" t="inlineStr">
        <is>
          <t>Stetson</t>
        </is>
      </c>
      <c r="N299" s="156" t="inlineStr">
        <is>
          <t>SS26</t>
        </is>
      </c>
      <c r="O299" s="156" t="inlineStr">
        <is>
          <t>Seasonal</t>
        </is>
      </c>
      <c r="P299" s="156" t="inlineStr">
        <is>
          <t>Cafe</t>
        </is>
      </c>
      <c r="Q299" s="156" t="n"/>
      <c r="R299" s="156" t="inlineStr">
        <is>
          <t>Punta Redonda Ancha</t>
        </is>
      </c>
      <c r="S299" s="156" t="inlineStr">
        <is>
          <t>Piel bovina</t>
        </is>
      </c>
      <c r="T299" s="156" t="inlineStr">
        <is>
          <t>Bota Caballero Piel bovina Boney Café Punta Redonda Ancha</t>
        </is>
      </c>
      <c r="U299" s="156" t="inlineStr">
        <is>
          <t>México</t>
        </is>
      </c>
      <c r="V299" s="156" t="inlineStr">
        <is>
          <t>PRS</t>
        </is>
      </c>
      <c r="W299" s="51" t="inlineStr">
        <is>
          <t>53111501</t>
        </is>
      </c>
      <c r="X299" s="156" t="n"/>
      <c r="Y299" s="54" t="n">
        <v>750</v>
      </c>
      <c r="Z299" s="54" t="n">
        <v>4310.344828</v>
      </c>
      <c r="AA299" s="55">
        <f>IF(AND(A299="", B299="", E299=""), "", IF(AB299="", "Válido", IF((LEN(AB299)-LEN(SUBSTITUTE(AB299,"; ","")))/2+1&gt;(LEN(AB299)-LEN(SUBSTITUTE(AB299,"[Aviso]","")))/7, "Con Incidencias", "Válido")))</f>
        <v/>
      </c>
      <c r="AB299" s="56">
        <f>IF(AND(A299="", B299="", E299=""), "", TEXTJOIN("; ", TRUE, IF(OR(TRIM(A299&amp;"")="", ISNUMBER(SEARCH("FALTA", A299))), "UPC faltante/inválido", ""), IF(AND(A299&lt;&gt;"", IFERROR(_xlfn.XMATCH(A299,$A$2:$A$2509,0,1)&lt;&gt;_xlfn.XMATCH(A299,$A$2:$A$2509,0,-1),FALSE)), "Código de barras duplicado", ""), IF(AND(E299&lt;&gt;"", COUNTIF($E$2:$E$2509, E299)&gt;1), "SKU duplicado", ""), IF(OR(J299="", J299=""), "[Aviso] División no capturada ()", IF(ISNA(MATCH(J299, Criterios!$A$123:$A$126, 0)), "División no válida", "")), IF(OR(K299="", K299=""), "[Aviso] Categoría no capturada ()", IF(ISNA(MATCH(K299, Criterios!$A$81:$A$120, 0)), "Categoría no válida", IF(AND(J299&lt;&gt;"", J299&lt;&gt;"", J299&lt;&gt;VLOOKUP(K299, Criterios!$A$81:$B$120, 2, FALSE)), "División no coincide con Categoría", ""))), IF(OR(L299="", L299=""), "[Aviso] Género no capturado ()", IF(ISNA(MATCH(L299, Criterios!$B$123:$B$127, 0)), "Género no válido", "")), IF(OR(N299="", N299=""), "[Aviso] Temporada no capturada ()", IF(ISNA(MATCH(N299, Criterios!$C$123:$C$128, 0)), "Temporada no válida", "")), IF(OR(O299="", O299=""), "[Aviso] Ciclo de vida no capturado ()", IF(ISNA(MATCH(O299, Criterios!$D$123:$D$124, 0)), "Ciclo de vida no válido", ""))))</f>
        <v/>
      </c>
      <c r="AC299" s="56" t="n"/>
      <c r="AD299" s="51" t="n">
        <v>-2</v>
      </c>
      <c r="AE299" s="156" t="n"/>
      <c r="AF299" s="51" t="n">
        <v>0</v>
      </c>
      <c r="AG299" s="156" t="inlineStr">
        <is>
          <t>Catálogo existente</t>
        </is>
      </c>
      <c r="AH29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9" s="156" t="inlineStr">
        <is>
          <t>Sí</t>
        </is>
      </c>
      <c r="AJ299" s="156" t="inlineStr">
        <is>
          <t>STETSON AMERICAS (-2)</t>
        </is>
      </c>
      <c r="AK299" s="155" t="inlineStr">
        <is>
          <t>Criterios: I [Q]; G1522_Extraccion_Articulos_NetSuite_2026-09-30.xlsx: fila 58871 [R] | Shopify Stetson: producto 15054564098411 / variante 53350547292523</t>
        </is>
      </c>
      <c r="AL299" s="58" t="n">
        <v>750</v>
      </c>
      <c r="AM299" s="58" t="n">
        <v>4310.344828</v>
      </c>
      <c r="AN299" s="155" t="inlineStr">
        <is>
          <t>Shopify Stetson México</t>
        </is>
      </c>
      <c r="AO299" s="59" t="n">
        <v>0</v>
      </c>
      <c r="AP299" s="59" t="n"/>
      <c r="AQ299" s="59" t="n"/>
      <c r="AR299" s="155" t="n"/>
    </row>
    <row r="300">
      <c r="A300" s="50" t="inlineStr">
        <is>
          <t>12020003101011275</t>
        </is>
      </c>
      <c r="B300" s="51" t="inlineStr">
        <is>
          <t>111197</t>
        </is>
      </c>
      <c r="C300" s="156" t="inlineStr">
        <is>
          <t>Multimarca</t>
        </is>
      </c>
      <c r="D300" s="156" t="inlineStr">
        <is>
          <t>12-020-BS003-10-1011</t>
        </is>
      </c>
      <c r="E300" s="156" t="inlineStr">
        <is>
          <t>12-020-BS003-10-1011-275</t>
        </is>
      </c>
      <c r="F300" s="156" t="inlineStr">
        <is>
          <t>27.5</t>
        </is>
      </c>
      <c r="G300" s="156" t="inlineStr">
        <is>
          <t>9.5</t>
        </is>
      </c>
      <c r="H300" s="156" t="inlineStr">
        <is>
          <t>Stetson</t>
        </is>
      </c>
      <c r="I300" s="156" t="inlineStr">
        <is>
          <t>Bota Piel Café</t>
        </is>
      </c>
      <c r="J300" s="156" t="inlineStr">
        <is>
          <t>Calzado</t>
        </is>
      </c>
      <c r="K300" s="156" t="inlineStr">
        <is>
          <t>Botas</t>
        </is>
      </c>
      <c r="L300" s="156" t="inlineStr">
        <is>
          <t>Hombre</t>
        </is>
      </c>
      <c r="M300" s="156" t="inlineStr">
        <is>
          <t>Stetson</t>
        </is>
      </c>
      <c r="N300" s="156" t="inlineStr">
        <is>
          <t>SS26</t>
        </is>
      </c>
      <c r="O300" s="156" t="inlineStr">
        <is>
          <t>Seasonal</t>
        </is>
      </c>
      <c r="P300" s="156" t="inlineStr">
        <is>
          <t>Cafe</t>
        </is>
      </c>
      <c r="Q300" s="156" t="n"/>
      <c r="R300" s="156" t="inlineStr">
        <is>
          <t>Punta Redonda Ancha</t>
        </is>
      </c>
      <c r="S300" s="156" t="inlineStr">
        <is>
          <t>Piel bovina</t>
        </is>
      </c>
      <c r="T300" s="156" t="inlineStr">
        <is>
          <t>Bota Caballero Piel bovina Boney Café Punta Redonda Ancha</t>
        </is>
      </c>
      <c r="U300" s="156" t="inlineStr">
        <is>
          <t>México</t>
        </is>
      </c>
      <c r="V300" s="156" t="inlineStr">
        <is>
          <t>PRS</t>
        </is>
      </c>
      <c r="W300" s="51" t="inlineStr">
        <is>
          <t>53111501</t>
        </is>
      </c>
      <c r="X300" s="156" t="n"/>
      <c r="Y300" s="54" t="n">
        <v>750</v>
      </c>
      <c r="Z300" s="54" t="n">
        <v>4310.344828</v>
      </c>
      <c r="AA300" s="55">
        <f>IF(AND(A300="", B300="", E300=""), "", IF(AB300="", "Válido", IF((LEN(AB300)-LEN(SUBSTITUTE(AB300,"; ","")))/2+1&gt;(LEN(AB300)-LEN(SUBSTITUTE(AB300,"[Aviso]","")))/7, "Con Incidencias", "Válido")))</f>
        <v/>
      </c>
      <c r="AB300" s="56">
        <f>IF(AND(A300="", B300="", E300=""), "", TEXTJOIN("; ", TRUE, IF(OR(TRIM(A300&amp;"")="", ISNUMBER(SEARCH("FALTA", A300))), "UPC faltante/inválido", ""), IF(AND(A300&lt;&gt;"", IFERROR(_xlfn.XMATCH(A300,$A$2:$A$2509,0,1)&lt;&gt;_xlfn.XMATCH(A300,$A$2:$A$2509,0,-1),FALSE)), "Código de barras duplicado", ""), IF(AND(E300&lt;&gt;"", COUNTIF($E$2:$E$2509, E300)&gt;1), "SKU duplicado", ""), IF(OR(J300="", J300=""), "[Aviso] División no capturada ()", IF(ISNA(MATCH(J300, Criterios!$A$123:$A$126, 0)), "División no válida", "")), IF(OR(K300="", K300=""), "[Aviso] Categoría no capturada ()", IF(ISNA(MATCH(K300, Criterios!$A$81:$A$120, 0)), "Categoría no válida", IF(AND(J300&lt;&gt;"", J300&lt;&gt;"", J300&lt;&gt;VLOOKUP(K300, Criterios!$A$81:$B$120, 2, FALSE)), "División no coincide con Categoría", ""))), IF(OR(L300="", L300=""), "[Aviso] Género no capturado ()", IF(ISNA(MATCH(L300, Criterios!$B$123:$B$127, 0)), "Género no válido", "")), IF(OR(N300="", N300=""), "[Aviso] Temporada no capturada ()", IF(ISNA(MATCH(N300, Criterios!$C$123:$C$128, 0)), "Temporada no válida", "")), IF(OR(O300="", O300=""), "[Aviso] Ciclo de vida no capturado ()", IF(ISNA(MATCH(O300, Criterios!$D$123:$D$124, 0)), "Ciclo de vida no válido", ""))))</f>
        <v/>
      </c>
      <c r="AC300" s="56" t="n"/>
      <c r="AD300" s="51" t="n">
        <v>-1</v>
      </c>
      <c r="AE300" s="156" t="n"/>
      <c r="AF300" s="51" t="n">
        <v>0</v>
      </c>
      <c r="AG300" s="156" t="inlineStr">
        <is>
          <t>Catálogo existente</t>
        </is>
      </c>
      <c r="AH3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0" s="156" t="inlineStr">
        <is>
          <t>Sí</t>
        </is>
      </c>
      <c r="AJ300" s="156" t="inlineStr">
        <is>
          <t>STETSON AMERICAS (-1)</t>
        </is>
      </c>
      <c r="AK300" s="155" t="inlineStr">
        <is>
          <t>Criterios: I [Q]; G1522_Extraccion_Articulos_NetSuite_2026-09-30.xlsx: fila 58872 [R] | Shopify Stetson: producto 15054564098411 / variante 53350547358059</t>
        </is>
      </c>
      <c r="AL300" s="58" t="n">
        <v>750</v>
      </c>
      <c r="AM300" s="58" t="n">
        <v>4310.344828</v>
      </c>
      <c r="AN300" s="155" t="inlineStr">
        <is>
          <t>Shopify Stetson México</t>
        </is>
      </c>
      <c r="AO300" s="59" t="n">
        <v>1</v>
      </c>
      <c r="AP300" s="59" t="n"/>
      <c r="AQ300" s="59" t="n"/>
      <c r="AR300" s="155" t="inlineStr">
        <is>
          <t>Shopify Stetson México › Stetson Americas: 1</t>
        </is>
      </c>
    </row>
    <row r="301">
      <c r="A301" s="50" t="inlineStr">
        <is>
          <t>12020003101011285</t>
        </is>
      </c>
      <c r="B301" s="51" t="inlineStr">
        <is>
          <t>111198</t>
        </is>
      </c>
      <c r="C301" s="156" t="inlineStr">
        <is>
          <t>Multimarca</t>
        </is>
      </c>
      <c r="D301" s="156" t="inlineStr">
        <is>
          <t>12-020-BS003-10-1011</t>
        </is>
      </c>
      <c r="E301" s="156" t="inlineStr">
        <is>
          <t>12-020-BS003-10-1011-285</t>
        </is>
      </c>
      <c r="F301" s="156" t="inlineStr">
        <is>
          <t>28.5</t>
        </is>
      </c>
      <c r="G301" s="156" t="inlineStr">
        <is>
          <t>10.5</t>
        </is>
      </c>
      <c r="H301" s="156" t="inlineStr">
        <is>
          <t>Stetson</t>
        </is>
      </c>
      <c r="I301" s="156" t="inlineStr">
        <is>
          <t>Bota Piel Café</t>
        </is>
      </c>
      <c r="J301" s="156" t="inlineStr">
        <is>
          <t>Calzado</t>
        </is>
      </c>
      <c r="K301" s="156" t="inlineStr">
        <is>
          <t>Botas</t>
        </is>
      </c>
      <c r="L301" s="156" t="inlineStr">
        <is>
          <t>Hombre</t>
        </is>
      </c>
      <c r="M301" s="156" t="inlineStr">
        <is>
          <t>Stetson</t>
        </is>
      </c>
      <c r="N301" s="156" t="inlineStr">
        <is>
          <t>SS26</t>
        </is>
      </c>
      <c r="O301" s="156" t="inlineStr">
        <is>
          <t>Seasonal</t>
        </is>
      </c>
      <c r="P301" s="156" t="inlineStr">
        <is>
          <t>Cafe</t>
        </is>
      </c>
      <c r="Q301" s="156" t="n"/>
      <c r="R301" s="156" t="inlineStr">
        <is>
          <t>Punta Redonda Ancha</t>
        </is>
      </c>
      <c r="S301" s="156" t="inlineStr">
        <is>
          <t>Piel bovina</t>
        </is>
      </c>
      <c r="T301" s="156" t="inlineStr">
        <is>
          <t>Bota Caballero Piel bovina Boney Café Punta Redonda Ancha</t>
        </is>
      </c>
      <c r="U301" s="156" t="inlineStr">
        <is>
          <t>México</t>
        </is>
      </c>
      <c r="V301" s="156" t="inlineStr">
        <is>
          <t>PRS</t>
        </is>
      </c>
      <c r="W301" s="51" t="inlineStr">
        <is>
          <t>53111501</t>
        </is>
      </c>
      <c r="X301" s="156" t="n"/>
      <c r="Y301" s="54" t="n">
        <v>750</v>
      </c>
      <c r="Z301" s="54" t="n">
        <v>4310.344828</v>
      </c>
      <c r="AA301" s="55">
        <f>IF(AND(A301="", B301="", E301=""), "", IF(AB301="", "Válido", IF((LEN(AB301)-LEN(SUBSTITUTE(AB301,"; ","")))/2+1&gt;(LEN(AB301)-LEN(SUBSTITUTE(AB301,"[Aviso]","")))/7, "Con Incidencias", "Válido")))</f>
        <v/>
      </c>
      <c r="AB301" s="56">
        <f>IF(AND(A301="", B301="", E301=""), "", TEXTJOIN("; ", TRUE, IF(OR(TRIM(A301&amp;"")="", ISNUMBER(SEARCH("FALTA", A301))), "UPC faltante/inválido", ""), IF(AND(A301&lt;&gt;"", IFERROR(_xlfn.XMATCH(A301,$A$2:$A$2509,0,1)&lt;&gt;_xlfn.XMATCH(A301,$A$2:$A$2509,0,-1),FALSE)), "Código de barras duplicado", ""), IF(AND(E301&lt;&gt;"", COUNTIF($E$2:$E$2509, E301)&gt;1), "SKU duplicado", ""), IF(OR(J301="", J301=""), "[Aviso] División no capturada ()", IF(ISNA(MATCH(J301, Criterios!$A$123:$A$126, 0)), "División no válida", "")), IF(OR(K301="", K301=""), "[Aviso] Categoría no capturada ()", IF(ISNA(MATCH(K301, Criterios!$A$81:$A$120, 0)), "Categoría no válida", IF(AND(J301&lt;&gt;"", J301&lt;&gt;"", J301&lt;&gt;VLOOKUP(K301, Criterios!$A$81:$B$120, 2, FALSE)), "División no coincide con Categoría", ""))), IF(OR(L301="", L301=""), "[Aviso] Género no capturado ()", IF(ISNA(MATCH(L301, Criterios!$B$123:$B$127, 0)), "Género no válido", "")), IF(OR(N301="", N301=""), "[Aviso] Temporada no capturada ()", IF(ISNA(MATCH(N301, Criterios!$C$123:$C$128, 0)), "Temporada no válida", "")), IF(OR(O301="", O301=""), "[Aviso] Ciclo de vida no capturado ()", IF(ISNA(MATCH(O301, Criterios!$D$123:$D$124, 0)), "Ciclo de vida no válido", ""))))</f>
        <v/>
      </c>
      <c r="AC301" s="56" t="n"/>
      <c r="AD301" s="51" t="n">
        <v>-2</v>
      </c>
      <c r="AE301" s="156" t="n"/>
      <c r="AF301" s="51" t="n">
        <v>0</v>
      </c>
      <c r="AG301" s="156" t="inlineStr">
        <is>
          <t>Catálogo existente</t>
        </is>
      </c>
      <c r="AH3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1" s="156" t="inlineStr">
        <is>
          <t>Sí</t>
        </is>
      </c>
      <c r="AJ301" s="156" t="inlineStr">
        <is>
          <t>STETSON AMERICAS (-2)</t>
        </is>
      </c>
      <c r="AK301" s="155" t="inlineStr">
        <is>
          <t>Criterios: I [Q]; G1522_Extraccion_Articulos_NetSuite_2026-09-30.xlsx: fila 58873 [R] | Shopify Stetson: producto 15054564098411 / variante 53350547423595</t>
        </is>
      </c>
      <c r="AL301" s="58" t="n">
        <v>750</v>
      </c>
      <c r="AM301" s="58" t="n">
        <v>4310.344828</v>
      </c>
      <c r="AN301" s="155" t="inlineStr">
        <is>
          <t>Shopify Stetson México</t>
        </is>
      </c>
      <c r="AO301" s="59" t="n">
        <v>0</v>
      </c>
      <c r="AP301" s="59" t="n"/>
      <c r="AQ301" s="59" t="n"/>
      <c r="AR301" s="155" t="n"/>
    </row>
    <row r="302">
      <c r="A302" s="50" t="inlineStr">
        <is>
          <t>12020003101011295</t>
        </is>
      </c>
      <c r="B302" s="51" t="inlineStr">
        <is>
          <t>111199</t>
        </is>
      </c>
      <c r="C302" s="156" t="inlineStr">
        <is>
          <t>Multimarca</t>
        </is>
      </c>
      <c r="D302" s="156" t="inlineStr">
        <is>
          <t>12-020-BS003-10-1011</t>
        </is>
      </c>
      <c r="E302" s="156" t="inlineStr">
        <is>
          <t>12-020-BS003-10-1011-295</t>
        </is>
      </c>
      <c r="F302" s="156" t="inlineStr">
        <is>
          <t>29.5</t>
        </is>
      </c>
      <c r="G302" s="156" t="inlineStr">
        <is>
          <t>11.5</t>
        </is>
      </c>
      <c r="H302" s="156" t="inlineStr">
        <is>
          <t>Stetson</t>
        </is>
      </c>
      <c r="I302" s="156" t="inlineStr">
        <is>
          <t>Bota Piel Café</t>
        </is>
      </c>
      <c r="J302" s="156" t="inlineStr">
        <is>
          <t>Calzado</t>
        </is>
      </c>
      <c r="K302" s="156" t="inlineStr">
        <is>
          <t>Botas</t>
        </is>
      </c>
      <c r="L302" s="156" t="inlineStr">
        <is>
          <t>Hombre</t>
        </is>
      </c>
      <c r="M302" s="156" t="inlineStr">
        <is>
          <t>Stetson</t>
        </is>
      </c>
      <c r="N302" s="156" t="inlineStr">
        <is>
          <t>SS26</t>
        </is>
      </c>
      <c r="O302" s="156" t="inlineStr">
        <is>
          <t>Seasonal</t>
        </is>
      </c>
      <c r="P302" s="156" t="inlineStr">
        <is>
          <t>Cafe</t>
        </is>
      </c>
      <c r="Q302" s="156" t="n"/>
      <c r="R302" s="156" t="inlineStr">
        <is>
          <t>Punta Redonda Ancha</t>
        </is>
      </c>
      <c r="S302" s="156" t="inlineStr">
        <is>
          <t>Piel bovina</t>
        </is>
      </c>
      <c r="T302" s="156" t="inlineStr">
        <is>
          <t>Bota Caballero Piel bovina Boney Café Punta Redonda Ancha</t>
        </is>
      </c>
      <c r="U302" s="156" t="inlineStr">
        <is>
          <t>México</t>
        </is>
      </c>
      <c r="V302" s="156" t="inlineStr">
        <is>
          <t>PRS</t>
        </is>
      </c>
      <c r="W302" s="51" t="inlineStr">
        <is>
          <t>53111501</t>
        </is>
      </c>
      <c r="X302" s="156" t="n"/>
      <c r="Y302" s="54" t="n">
        <v>750</v>
      </c>
      <c r="Z302" s="54" t="n">
        <v>4310.344828</v>
      </c>
      <c r="AA302" s="55">
        <f>IF(AND(A302="", B302="", E302=""), "", IF(AB302="", "Válido", IF((LEN(AB302)-LEN(SUBSTITUTE(AB302,"; ","")))/2+1&gt;(LEN(AB302)-LEN(SUBSTITUTE(AB302,"[Aviso]","")))/7, "Con Incidencias", "Válido")))</f>
        <v/>
      </c>
      <c r="AB302" s="56">
        <f>IF(AND(A302="", B302="", E302=""), "", TEXTJOIN("; ", TRUE, IF(OR(TRIM(A302&amp;"")="", ISNUMBER(SEARCH("FALTA", A302))), "UPC faltante/inválido", ""), IF(AND(A302&lt;&gt;"", IFERROR(_xlfn.XMATCH(A302,$A$2:$A$2509,0,1)&lt;&gt;_xlfn.XMATCH(A302,$A$2:$A$2509,0,-1),FALSE)), "Código de barras duplicado", ""), IF(AND(E302&lt;&gt;"", COUNTIF($E$2:$E$2509, E302)&gt;1), "SKU duplicado", ""), IF(OR(J302="", J302=""), "[Aviso] División no capturada ()", IF(ISNA(MATCH(J302, Criterios!$A$123:$A$126, 0)), "División no válida", "")), IF(OR(K302="", K302=""), "[Aviso] Categoría no capturada ()", IF(ISNA(MATCH(K302, Criterios!$A$81:$A$120, 0)), "Categoría no válida", IF(AND(J302&lt;&gt;"", J302&lt;&gt;"", J302&lt;&gt;VLOOKUP(K302, Criterios!$A$81:$B$120, 2, FALSE)), "División no coincide con Categoría", ""))), IF(OR(L302="", L302=""), "[Aviso] Género no capturado ()", IF(ISNA(MATCH(L302, Criterios!$B$123:$B$127, 0)), "Género no válido", "")), IF(OR(N302="", N302=""), "[Aviso] Temporada no capturada ()", IF(ISNA(MATCH(N302, Criterios!$C$123:$C$128, 0)), "Temporada no válida", "")), IF(OR(O302="", O302=""), "[Aviso] Ciclo de vida no capturado ()", IF(ISNA(MATCH(O302, Criterios!$D$123:$D$124, 0)), "Ciclo de vida no válido", ""))))</f>
        <v/>
      </c>
      <c r="AC302" s="56" t="n"/>
      <c r="AD302" s="51" t="n">
        <v>0</v>
      </c>
      <c r="AE302" s="156" t="n"/>
      <c r="AF302" s="51" t="n">
        <v>0</v>
      </c>
      <c r="AG302" s="156" t="inlineStr">
        <is>
          <t>Catálogo existente</t>
        </is>
      </c>
      <c r="AH3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2" s="156" t="inlineStr">
        <is>
          <t>No</t>
        </is>
      </c>
      <c r="AJ302" s="156" t="n"/>
      <c r="AK302" s="155" t="inlineStr">
        <is>
          <t>Criterios: I [Q]; G1522_Extraccion_Articulos_NetSuite_2026-09-30.xlsx: fila 58874 [R] | Shopify Stetson: producto 15054564098411 / variante 53350547489131</t>
        </is>
      </c>
      <c r="AL302" s="58" t="n">
        <v>750</v>
      </c>
      <c r="AM302" s="58" t="n">
        <v>4310.344828</v>
      </c>
      <c r="AN302" s="155" t="inlineStr">
        <is>
          <t>Shopify Stetson México</t>
        </is>
      </c>
      <c r="AO302" s="59" t="n">
        <v>1</v>
      </c>
      <c r="AP302" s="59" t="n"/>
      <c r="AQ302" s="59" t="n"/>
      <c r="AR302" s="155" t="inlineStr">
        <is>
          <t>Shopify Stetson México › Stetson Americas: 1</t>
        </is>
      </c>
    </row>
    <row r="303">
      <c r="A303" s="50" t="inlineStr">
        <is>
          <t>12020003101011305</t>
        </is>
      </c>
      <c r="B303" s="51" t="inlineStr">
        <is>
          <t>111200</t>
        </is>
      </c>
      <c r="C303" s="156" t="inlineStr">
        <is>
          <t>Multimarca</t>
        </is>
      </c>
      <c r="D303" s="156" t="inlineStr">
        <is>
          <t>12-020-BS003-10-1011</t>
        </is>
      </c>
      <c r="E303" s="156" t="inlineStr">
        <is>
          <t>12-020-BS003-10-1011-305</t>
        </is>
      </c>
      <c r="F303" s="156" t="inlineStr">
        <is>
          <t>30.5</t>
        </is>
      </c>
      <c r="G303" s="156" t="inlineStr">
        <is>
          <t>12.5</t>
        </is>
      </c>
      <c r="H303" s="156" t="inlineStr">
        <is>
          <t>Stetson</t>
        </is>
      </c>
      <c r="I303" s="156" t="inlineStr">
        <is>
          <t>Bota Piel Café</t>
        </is>
      </c>
      <c r="J303" s="156" t="inlineStr">
        <is>
          <t>Calzado</t>
        </is>
      </c>
      <c r="K303" s="156" t="inlineStr">
        <is>
          <t>Botas</t>
        </is>
      </c>
      <c r="L303" s="156" t="inlineStr">
        <is>
          <t>Hombre</t>
        </is>
      </c>
      <c r="M303" s="156" t="inlineStr">
        <is>
          <t>Stetson</t>
        </is>
      </c>
      <c r="N303" s="156" t="inlineStr">
        <is>
          <t>SS26</t>
        </is>
      </c>
      <c r="O303" s="156" t="inlineStr">
        <is>
          <t>Seasonal</t>
        </is>
      </c>
      <c r="P303" s="156" t="inlineStr">
        <is>
          <t>Cafe</t>
        </is>
      </c>
      <c r="Q303" s="156" t="n"/>
      <c r="R303" s="156" t="inlineStr">
        <is>
          <t>Punta Redonda Ancha</t>
        </is>
      </c>
      <c r="S303" s="156" t="inlineStr">
        <is>
          <t>Piel bovina</t>
        </is>
      </c>
      <c r="T303" s="156" t="inlineStr">
        <is>
          <t>Bota Caballero Piel bovina Boney Café Punta Redonda Ancha</t>
        </is>
      </c>
      <c r="U303" s="156" t="inlineStr">
        <is>
          <t>México</t>
        </is>
      </c>
      <c r="V303" s="156" t="inlineStr">
        <is>
          <t>PRS</t>
        </is>
      </c>
      <c r="W303" s="51" t="inlineStr">
        <is>
          <t>53111501</t>
        </is>
      </c>
      <c r="X303" s="156" t="n"/>
      <c r="Y303" s="54" t="n">
        <v>750</v>
      </c>
      <c r="Z303" s="54" t="n">
        <v>4310.344828</v>
      </c>
      <c r="AA303" s="55">
        <f>IF(AND(A303="", B303="", E303=""), "", IF(AB303="", "Válido", IF((LEN(AB303)-LEN(SUBSTITUTE(AB303,"; ","")))/2+1&gt;(LEN(AB303)-LEN(SUBSTITUTE(AB303,"[Aviso]","")))/7, "Con Incidencias", "Válido")))</f>
        <v/>
      </c>
      <c r="AB303" s="56">
        <f>IF(AND(A303="", B303="", E303=""), "", TEXTJOIN("; ", TRUE, IF(OR(TRIM(A303&amp;"")="", ISNUMBER(SEARCH("FALTA", A303))), "UPC faltante/inválido", ""), IF(AND(A303&lt;&gt;"", IFERROR(_xlfn.XMATCH(A303,$A$2:$A$2509,0,1)&lt;&gt;_xlfn.XMATCH(A303,$A$2:$A$2509,0,-1),FALSE)), "Código de barras duplicado", ""), IF(AND(E303&lt;&gt;"", COUNTIF($E$2:$E$2509, E303)&gt;1), "SKU duplicado", ""), IF(OR(J303="", J303=""), "[Aviso] División no capturada ()", IF(ISNA(MATCH(J303, Criterios!$A$123:$A$126, 0)), "División no válida", "")), IF(OR(K303="", K303=""), "[Aviso] Categoría no capturada ()", IF(ISNA(MATCH(K303, Criterios!$A$81:$A$120, 0)), "Categoría no válida", IF(AND(J303&lt;&gt;"", J303&lt;&gt;"", J303&lt;&gt;VLOOKUP(K303, Criterios!$A$81:$B$120, 2, FALSE)), "División no coincide con Categoría", ""))), IF(OR(L303="", L303=""), "[Aviso] Género no capturado ()", IF(ISNA(MATCH(L303, Criterios!$B$123:$B$127, 0)), "Género no válido", "")), IF(OR(N303="", N303=""), "[Aviso] Temporada no capturada ()", IF(ISNA(MATCH(N303, Criterios!$C$123:$C$128, 0)), "Temporada no válida", "")), IF(OR(O303="", O303=""), "[Aviso] Ciclo de vida no capturado ()", IF(ISNA(MATCH(O303, Criterios!$D$123:$D$124, 0)), "Ciclo de vida no válido", ""))))</f>
        <v/>
      </c>
      <c r="AC303" s="56" t="n"/>
      <c r="AD303" s="51" t="n">
        <v>0</v>
      </c>
      <c r="AE303" s="156" t="n"/>
      <c r="AF303" s="51" t="n">
        <v>0</v>
      </c>
      <c r="AG303" s="156" t="inlineStr">
        <is>
          <t>Catálogo existente</t>
        </is>
      </c>
      <c r="AH3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3" s="156" t="inlineStr">
        <is>
          <t>No</t>
        </is>
      </c>
      <c r="AJ303" s="156" t="n"/>
      <c r="AK303" s="155" t="inlineStr">
        <is>
          <t>Criterios: I [Q]; G1522_Extraccion_Articulos_NetSuite_2026-09-30.xlsx: fila 58875 [R] | Shopify Stetson: producto 15054564098411 / variante 53350547554667</t>
        </is>
      </c>
      <c r="AL303" s="58" t="n">
        <v>750</v>
      </c>
      <c r="AM303" s="58" t="n">
        <v>4310.344828</v>
      </c>
      <c r="AN303" s="155" t="inlineStr">
        <is>
          <t>Shopify Stetson México</t>
        </is>
      </c>
      <c r="AO303" s="59" t="n">
        <v>1</v>
      </c>
      <c r="AP303" s="59" t="n"/>
      <c r="AQ303" s="59" t="n"/>
      <c r="AR303" s="155" t="inlineStr">
        <is>
          <t>Shopify Stetson México › Stetson Americas: 1</t>
        </is>
      </c>
    </row>
    <row r="304">
      <c r="A304" s="50" t="inlineStr">
        <is>
          <t>12020003101011315</t>
        </is>
      </c>
      <c r="B304" s="51" t="inlineStr">
        <is>
          <t>111201</t>
        </is>
      </c>
      <c r="C304" s="156" t="inlineStr">
        <is>
          <t>Multimarca</t>
        </is>
      </c>
      <c r="D304" s="156" t="inlineStr">
        <is>
          <t>12-020-BS003-10-1011</t>
        </is>
      </c>
      <c r="E304" s="156" t="inlineStr">
        <is>
          <t>12-020-BS003-10-1011-315</t>
        </is>
      </c>
      <c r="F304" s="156" t="inlineStr">
        <is>
          <t>31.5</t>
        </is>
      </c>
      <c r="G304" s="156" t="inlineStr">
        <is>
          <t>13.5</t>
        </is>
      </c>
      <c r="H304" s="156" t="inlineStr">
        <is>
          <t>Stetson</t>
        </is>
      </c>
      <c r="I304" s="156" t="inlineStr">
        <is>
          <t>Bota Piel Café</t>
        </is>
      </c>
      <c r="J304" s="156" t="inlineStr">
        <is>
          <t>Calzado</t>
        </is>
      </c>
      <c r="K304" s="156" t="inlineStr">
        <is>
          <t>Botas</t>
        </is>
      </c>
      <c r="L304" s="156" t="inlineStr">
        <is>
          <t>Hombre</t>
        </is>
      </c>
      <c r="M304" s="156" t="inlineStr">
        <is>
          <t>Stetson</t>
        </is>
      </c>
      <c r="N304" s="156" t="inlineStr">
        <is>
          <t>SS26</t>
        </is>
      </c>
      <c r="O304" s="156" t="inlineStr">
        <is>
          <t>Seasonal</t>
        </is>
      </c>
      <c r="P304" s="156" t="inlineStr">
        <is>
          <t>Cafe</t>
        </is>
      </c>
      <c r="Q304" s="156" t="n"/>
      <c r="R304" s="156" t="inlineStr">
        <is>
          <t>Punta Redonda Ancha</t>
        </is>
      </c>
      <c r="S304" s="156" t="inlineStr">
        <is>
          <t>Piel bovina</t>
        </is>
      </c>
      <c r="T304" s="156" t="inlineStr">
        <is>
          <t>Bota Caballero Piel bovina Boney Café Punta Redonda Ancha</t>
        </is>
      </c>
      <c r="U304" s="156" t="inlineStr">
        <is>
          <t>México</t>
        </is>
      </c>
      <c r="V304" s="156" t="inlineStr">
        <is>
          <t>PRS</t>
        </is>
      </c>
      <c r="W304" s="51" t="inlineStr">
        <is>
          <t>53111501</t>
        </is>
      </c>
      <c r="X304" s="156" t="n"/>
      <c r="Y304" s="54" t="n">
        <v>750</v>
      </c>
      <c r="Z304" s="54" t="n">
        <v>4310.344828</v>
      </c>
      <c r="AA304" s="55">
        <f>IF(AND(A304="", B304="", E304=""), "", IF(AB304="", "Válido", IF((LEN(AB304)-LEN(SUBSTITUTE(AB304,"; ","")))/2+1&gt;(LEN(AB304)-LEN(SUBSTITUTE(AB304,"[Aviso]","")))/7, "Con Incidencias", "Válido")))</f>
        <v/>
      </c>
      <c r="AB304" s="56">
        <f>IF(AND(A304="", B304="", E304=""), "", TEXTJOIN("; ", TRUE, IF(OR(TRIM(A304&amp;"")="", ISNUMBER(SEARCH("FALTA", A304))), "UPC faltante/inválido", ""), IF(AND(A304&lt;&gt;"", IFERROR(_xlfn.XMATCH(A304,$A$2:$A$2509,0,1)&lt;&gt;_xlfn.XMATCH(A304,$A$2:$A$2509,0,-1),FALSE)), "Código de barras duplicado", ""), IF(AND(E304&lt;&gt;"", COUNTIF($E$2:$E$2509, E304)&gt;1), "SKU duplicado", ""), IF(OR(J304="", J304=""), "[Aviso] División no capturada ()", IF(ISNA(MATCH(J304, Criterios!$A$123:$A$126, 0)), "División no válida", "")), IF(OR(K304="", K304=""), "[Aviso] Categoría no capturada ()", IF(ISNA(MATCH(K304, Criterios!$A$81:$A$120, 0)), "Categoría no válida", IF(AND(J304&lt;&gt;"", J304&lt;&gt;"", J304&lt;&gt;VLOOKUP(K304, Criterios!$A$81:$B$120, 2, FALSE)), "División no coincide con Categoría", ""))), IF(OR(L304="", L304=""), "[Aviso] Género no capturado ()", IF(ISNA(MATCH(L304, Criterios!$B$123:$B$127, 0)), "Género no válido", "")), IF(OR(N304="", N304=""), "[Aviso] Temporada no capturada ()", IF(ISNA(MATCH(N304, Criterios!$C$123:$C$128, 0)), "Temporada no válida", "")), IF(OR(O304="", O304=""), "[Aviso] Ciclo de vida no capturado ()", IF(ISNA(MATCH(O304, Criterios!$D$123:$D$124, 0)), "Ciclo de vida no válido", ""))))</f>
        <v/>
      </c>
      <c r="AC304" s="56" t="n"/>
      <c r="AD304" s="51" t="n">
        <v>0</v>
      </c>
      <c r="AE304" s="156" t="n"/>
      <c r="AF304" s="51" t="n">
        <v>0</v>
      </c>
      <c r="AG304" s="156" t="inlineStr">
        <is>
          <t>Catálogo existente</t>
        </is>
      </c>
      <c r="AH3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4" s="156" t="inlineStr">
        <is>
          <t>No</t>
        </is>
      </c>
      <c r="AJ304" s="156" t="n"/>
      <c r="AK304" s="155" t="inlineStr">
        <is>
          <t>Criterios: I [Q]; G1522_Extraccion_Articulos_NetSuite_2026-09-30.xlsx: fila 58876 [R] | Shopify Stetson: producto 15054564098411 / variante 53350547620203</t>
        </is>
      </c>
      <c r="AL304" s="58" t="n">
        <v>750</v>
      </c>
      <c r="AM304" s="58" t="n">
        <v>4310.344828</v>
      </c>
      <c r="AN304" s="155" t="inlineStr">
        <is>
          <t>Shopify Stetson México</t>
        </is>
      </c>
      <c r="AO304" s="59" t="n">
        <v>0</v>
      </c>
      <c r="AP304" s="59" t="n"/>
      <c r="AQ304" s="59" t="n"/>
      <c r="AR304" s="155" t="n"/>
    </row>
    <row r="305">
      <c r="A305" s="50" t="inlineStr">
        <is>
          <t>12020003101011325</t>
        </is>
      </c>
      <c r="B305" s="51" t="inlineStr">
        <is>
          <t>111202</t>
        </is>
      </c>
      <c r="C305" s="156" t="inlineStr">
        <is>
          <t>Multimarca</t>
        </is>
      </c>
      <c r="D305" s="156" t="inlineStr">
        <is>
          <t>12-020-BS003-10-1011</t>
        </is>
      </c>
      <c r="E305" s="156" t="inlineStr">
        <is>
          <t>12-020-BS003-10-1011-325</t>
        </is>
      </c>
      <c r="F305" s="156" t="inlineStr">
        <is>
          <t>32.5</t>
        </is>
      </c>
      <c r="G305" s="156" t="inlineStr">
        <is>
          <t>14.5</t>
        </is>
      </c>
      <c r="H305" s="156" t="inlineStr">
        <is>
          <t>Stetson</t>
        </is>
      </c>
      <c r="I305" s="156" t="inlineStr">
        <is>
          <t>Bota Piel Café</t>
        </is>
      </c>
      <c r="J305" s="156" t="inlineStr">
        <is>
          <t>Calzado</t>
        </is>
      </c>
      <c r="K305" s="156" t="inlineStr">
        <is>
          <t>Botas</t>
        </is>
      </c>
      <c r="L305" s="156" t="inlineStr">
        <is>
          <t>Hombre</t>
        </is>
      </c>
      <c r="M305" s="156" t="inlineStr">
        <is>
          <t>Stetson</t>
        </is>
      </c>
      <c r="N305" s="156" t="inlineStr">
        <is>
          <t>SS26</t>
        </is>
      </c>
      <c r="O305" s="156" t="inlineStr">
        <is>
          <t>Seasonal</t>
        </is>
      </c>
      <c r="P305" s="156" t="inlineStr">
        <is>
          <t>Cafe</t>
        </is>
      </c>
      <c r="Q305" s="156" t="n"/>
      <c r="R305" s="156" t="inlineStr">
        <is>
          <t>Punta Redonda Ancha</t>
        </is>
      </c>
      <c r="S305" s="156" t="inlineStr">
        <is>
          <t>Piel bovina</t>
        </is>
      </c>
      <c r="T305" s="156" t="inlineStr">
        <is>
          <t>Bota Caballero Piel bovina Boney Café Punta Redonda Ancha</t>
        </is>
      </c>
      <c r="U305" s="156" t="inlineStr">
        <is>
          <t>México</t>
        </is>
      </c>
      <c r="V305" s="156" t="inlineStr">
        <is>
          <t>PRS</t>
        </is>
      </c>
      <c r="W305" s="51" t="inlineStr">
        <is>
          <t>53111501</t>
        </is>
      </c>
      <c r="X305" s="156" t="n"/>
      <c r="Y305" s="54" t="n">
        <v>750</v>
      </c>
      <c r="Z305" s="54" t="n">
        <v>4310.344828</v>
      </c>
      <c r="AA305" s="55">
        <f>IF(AND(A305="", B305="", E305=""), "", IF(AB305="", "Válido", IF((LEN(AB305)-LEN(SUBSTITUTE(AB305,"; ","")))/2+1&gt;(LEN(AB305)-LEN(SUBSTITUTE(AB305,"[Aviso]","")))/7, "Con Incidencias", "Válido")))</f>
        <v/>
      </c>
      <c r="AB305" s="56">
        <f>IF(AND(A305="", B305="", E305=""), "", TEXTJOIN("; ", TRUE, IF(OR(TRIM(A305&amp;"")="", ISNUMBER(SEARCH("FALTA", A305))), "UPC faltante/inválido", ""), IF(AND(A305&lt;&gt;"", IFERROR(_xlfn.XMATCH(A305,$A$2:$A$2509,0,1)&lt;&gt;_xlfn.XMATCH(A305,$A$2:$A$2509,0,-1),FALSE)), "Código de barras duplicado", ""), IF(AND(E305&lt;&gt;"", COUNTIF($E$2:$E$2509, E305)&gt;1), "SKU duplicado", ""), IF(OR(J305="", J305=""), "[Aviso] División no capturada ()", IF(ISNA(MATCH(J305, Criterios!$A$123:$A$126, 0)), "División no válida", "")), IF(OR(K305="", K305=""), "[Aviso] Categoría no capturada ()", IF(ISNA(MATCH(K305, Criterios!$A$81:$A$120, 0)), "Categoría no válida", IF(AND(J305&lt;&gt;"", J305&lt;&gt;"", J305&lt;&gt;VLOOKUP(K305, Criterios!$A$81:$B$120, 2, FALSE)), "División no coincide con Categoría", ""))), IF(OR(L305="", L305=""), "[Aviso] Género no capturado ()", IF(ISNA(MATCH(L305, Criterios!$B$123:$B$127, 0)), "Género no válido", "")), IF(OR(N305="", N305=""), "[Aviso] Temporada no capturada ()", IF(ISNA(MATCH(N305, Criterios!$C$123:$C$128, 0)), "Temporada no válida", "")), IF(OR(O305="", O305=""), "[Aviso] Ciclo de vida no capturado ()", IF(ISNA(MATCH(O305, Criterios!$D$123:$D$124, 0)), "Ciclo de vida no válido", ""))))</f>
        <v/>
      </c>
      <c r="AC305" s="56" t="n"/>
      <c r="AD305" s="51" t="n">
        <v>0</v>
      </c>
      <c r="AE305" s="156" t="n"/>
      <c r="AF305" s="51" t="n">
        <v>0</v>
      </c>
      <c r="AG305" s="156" t="inlineStr">
        <is>
          <t>Catálogo existente</t>
        </is>
      </c>
      <c r="AH3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5" s="156" t="inlineStr">
        <is>
          <t>No</t>
        </is>
      </c>
      <c r="AJ305" s="156" t="n"/>
      <c r="AK305" s="155" t="inlineStr">
        <is>
          <t>Criterios: I [Q]; G1522_Extraccion_Articulos_NetSuite_2026-09-30.xlsx: fila 58877 [R] | Shopify Stetson: producto 15054564098411 / variante 53350547685739</t>
        </is>
      </c>
      <c r="AL305" s="58" t="n">
        <v>750</v>
      </c>
      <c r="AM305" s="58" t="n">
        <v>4310.344828</v>
      </c>
      <c r="AN305" s="155" t="inlineStr">
        <is>
          <t>Shopify Stetson México</t>
        </is>
      </c>
      <c r="AO305" s="59" t="n">
        <v>0</v>
      </c>
      <c r="AP305" s="59" t="n"/>
      <c r="AQ305" s="59" t="n"/>
      <c r="AR305" s="155" t="n"/>
    </row>
    <row r="306">
      <c r="A306" s="50" t="inlineStr">
        <is>
          <t>12020004101012025</t>
        </is>
      </c>
      <c r="B306" s="51" t="inlineStr">
        <is>
          <t>111203</t>
        </is>
      </c>
      <c r="C306" s="156" t="inlineStr">
        <is>
          <t>Multimarca</t>
        </is>
      </c>
      <c r="D306" s="156" t="inlineStr">
        <is>
          <t>12-020-BS004-10-1012</t>
        </is>
      </c>
      <c r="E306" s="156" t="inlineStr">
        <is>
          <t>12-020-BS004-10-1012-025</t>
        </is>
      </c>
      <c r="F306" s="156" t="inlineStr">
        <is>
          <t>25</t>
        </is>
      </c>
      <c r="G306" s="156" t="inlineStr">
        <is>
          <t>7</t>
        </is>
      </c>
      <c r="H306" s="156" t="inlineStr">
        <is>
          <t>Stetson</t>
        </is>
      </c>
      <c r="I306" s="156" t="inlineStr">
        <is>
          <t>Bota Cocodrilo Negro</t>
        </is>
      </c>
      <c r="J306" s="156" t="inlineStr">
        <is>
          <t>Calzado</t>
        </is>
      </c>
      <c r="K306" s="156" t="inlineStr">
        <is>
          <t>Botas</t>
        </is>
      </c>
      <c r="L306" s="156" t="inlineStr">
        <is>
          <t>Hombre</t>
        </is>
      </c>
      <c r="M306" s="156" t="inlineStr">
        <is>
          <t>Stetson</t>
        </is>
      </c>
      <c r="N306" s="156" t="inlineStr">
        <is>
          <t>SS26</t>
        </is>
      </c>
      <c r="O306" s="156" t="inlineStr">
        <is>
          <t>Seasonal</t>
        </is>
      </c>
      <c r="P306" s="156" t="inlineStr">
        <is>
          <t>Negro</t>
        </is>
      </c>
      <c r="Q306" s="156" t="n"/>
      <c r="R306" s="156" t="inlineStr">
        <is>
          <t>Punta Redonda Ancha</t>
        </is>
      </c>
      <c r="S306" s="156" t="inlineStr">
        <is>
          <t>Piel de cocodrilo</t>
        </is>
      </c>
      <c r="T306" s="156" t="inlineStr">
        <is>
          <t>Bota Caballero Piel de cocodrilo Negro Punta Redonda Ancha</t>
        </is>
      </c>
      <c r="U306" s="156" t="inlineStr">
        <is>
          <t>México</t>
        </is>
      </c>
      <c r="V306" s="156" t="inlineStr">
        <is>
          <t>PRS</t>
        </is>
      </c>
      <c r="W306" s="51" t="inlineStr">
        <is>
          <t>53111501</t>
        </is>
      </c>
      <c r="X306" s="156" t="n"/>
      <c r="Y306" s="54" t="n">
        <v>3301.5</v>
      </c>
      <c r="Z306" s="54" t="n">
        <v>18965.51724</v>
      </c>
      <c r="AA306" s="55">
        <f>IF(AND(A306="", B306="", E306=""), "", IF(AB306="", "Válido", IF((LEN(AB306)-LEN(SUBSTITUTE(AB306,"; ","")))/2+1&gt;(LEN(AB306)-LEN(SUBSTITUTE(AB306,"[Aviso]","")))/7, "Con Incidencias", "Válido")))</f>
        <v/>
      </c>
      <c r="AB306" s="56">
        <f>IF(AND(A306="", B306="", E306=""), "", TEXTJOIN("; ", TRUE, IF(OR(TRIM(A306&amp;"")="", ISNUMBER(SEARCH("FALTA", A306))), "UPC faltante/inválido", ""), IF(AND(A306&lt;&gt;"", IFERROR(_xlfn.XMATCH(A306,$A$2:$A$2509,0,1)&lt;&gt;_xlfn.XMATCH(A306,$A$2:$A$2509,0,-1),FALSE)), "Código de barras duplicado", ""), IF(AND(E306&lt;&gt;"", COUNTIF($E$2:$E$2509, E306)&gt;1), "SKU duplicado", ""), IF(OR(J306="", J306=""), "[Aviso] División no capturada ()", IF(ISNA(MATCH(J306, Criterios!$A$123:$A$126, 0)), "División no válida", "")), IF(OR(K306="", K306=""), "[Aviso] Categoría no capturada ()", IF(ISNA(MATCH(K306, Criterios!$A$81:$A$120, 0)), "Categoría no válida", IF(AND(J306&lt;&gt;"", J306&lt;&gt;"", J306&lt;&gt;VLOOKUP(K306, Criterios!$A$81:$B$120, 2, FALSE)), "División no coincide con Categoría", ""))), IF(OR(L306="", L306=""), "[Aviso] Género no capturado ()", IF(ISNA(MATCH(L306, Criterios!$B$123:$B$127, 0)), "Género no válido", "")), IF(OR(N306="", N306=""), "[Aviso] Temporada no capturada ()", IF(ISNA(MATCH(N306, Criterios!$C$123:$C$128, 0)), "Temporada no válida", "")), IF(OR(O306="", O306=""), "[Aviso] Ciclo de vida no capturado ()", IF(ISNA(MATCH(O306, Criterios!$D$123:$D$124, 0)), "Ciclo de vida no válido", ""))))</f>
        <v/>
      </c>
      <c r="AC306" s="56" t="n"/>
      <c r="AD306" s="51" t="n">
        <v>0</v>
      </c>
      <c r="AE306" s="156" t="n"/>
      <c r="AF306" s="51" t="n">
        <v>0</v>
      </c>
      <c r="AG306" s="156" t="inlineStr">
        <is>
          <t>Catálogo existente</t>
        </is>
      </c>
      <c r="AH3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6" s="156" t="inlineStr">
        <is>
          <t>No</t>
        </is>
      </c>
      <c r="AJ306" s="156" t="n"/>
      <c r="AK306" s="155" t="inlineStr">
        <is>
          <t>Criterios: I [Q]; G1522_Extraccion_Articulos_NetSuite_2026-09-30.xlsx: fila 58878 [R] | Shopify Stetson: producto 15054564131179 / variante 53350547718507</t>
        </is>
      </c>
      <c r="AL306" s="58" t="n">
        <v>3301.5</v>
      </c>
      <c r="AM306" s="58" t="n">
        <v>18965.51724</v>
      </c>
      <c r="AN306" s="155" t="inlineStr">
        <is>
          <t>Shopify Stetson México</t>
        </is>
      </c>
      <c r="AO306" s="59" t="n">
        <v>0</v>
      </c>
      <c r="AP306" s="59" t="n"/>
      <c r="AQ306" s="59" t="n"/>
      <c r="AR306" s="155" t="n"/>
    </row>
    <row r="307">
      <c r="A307" s="50" t="inlineStr">
        <is>
          <t>12020004101012026</t>
        </is>
      </c>
      <c r="B307" s="51" t="inlineStr">
        <is>
          <t>111204</t>
        </is>
      </c>
      <c r="C307" s="156" t="inlineStr">
        <is>
          <t>Multimarca</t>
        </is>
      </c>
      <c r="D307" s="156" t="inlineStr">
        <is>
          <t>12-020-BS004-10-1012</t>
        </is>
      </c>
      <c r="E307" s="156" t="inlineStr">
        <is>
          <t>12-020-BS004-10-1012-026</t>
        </is>
      </c>
      <c r="F307" s="156" t="inlineStr">
        <is>
          <t>26</t>
        </is>
      </c>
      <c r="G307" s="156" t="inlineStr">
        <is>
          <t>8</t>
        </is>
      </c>
      <c r="H307" s="156" t="inlineStr">
        <is>
          <t>Stetson</t>
        </is>
      </c>
      <c r="I307" s="156" t="inlineStr">
        <is>
          <t>Bota Cocodrilo Negro</t>
        </is>
      </c>
      <c r="J307" s="156" t="inlineStr">
        <is>
          <t>Calzado</t>
        </is>
      </c>
      <c r="K307" s="156" t="inlineStr">
        <is>
          <t>Botas</t>
        </is>
      </c>
      <c r="L307" s="156" t="inlineStr">
        <is>
          <t>Hombre</t>
        </is>
      </c>
      <c r="M307" s="156" t="inlineStr">
        <is>
          <t>Stetson</t>
        </is>
      </c>
      <c r="N307" s="156" t="inlineStr">
        <is>
          <t>SS26</t>
        </is>
      </c>
      <c r="O307" s="156" t="inlineStr">
        <is>
          <t>Seasonal</t>
        </is>
      </c>
      <c r="P307" s="156" t="inlineStr">
        <is>
          <t>Negro</t>
        </is>
      </c>
      <c r="Q307" s="156" t="n"/>
      <c r="R307" s="156" t="inlineStr">
        <is>
          <t>Punta Redonda Ancha</t>
        </is>
      </c>
      <c r="S307" s="156" t="inlineStr">
        <is>
          <t>Piel de cocodrilo</t>
        </is>
      </c>
      <c r="T307" s="156" t="inlineStr">
        <is>
          <t>Bota Caballero Piel de cocodrilo Negro Punta Redonda Ancha</t>
        </is>
      </c>
      <c r="U307" s="156" t="inlineStr">
        <is>
          <t>México</t>
        </is>
      </c>
      <c r="V307" s="156" t="inlineStr">
        <is>
          <t>PRS</t>
        </is>
      </c>
      <c r="W307" s="51" t="inlineStr">
        <is>
          <t>53111501</t>
        </is>
      </c>
      <c r="X307" s="156" t="n"/>
      <c r="Y307" s="54" t="n">
        <v>3301.5</v>
      </c>
      <c r="Z307" s="54" t="n">
        <v>18965.51724</v>
      </c>
      <c r="AA307" s="55">
        <f>IF(AND(A307="", B307="", E307=""), "", IF(AB307="", "Válido", IF((LEN(AB307)-LEN(SUBSTITUTE(AB307,"; ","")))/2+1&gt;(LEN(AB307)-LEN(SUBSTITUTE(AB307,"[Aviso]","")))/7, "Con Incidencias", "Válido")))</f>
        <v/>
      </c>
      <c r="AB307" s="56">
        <f>IF(AND(A307="", B307="", E307=""), "", TEXTJOIN("; ", TRUE, IF(OR(TRIM(A307&amp;"")="", ISNUMBER(SEARCH("FALTA", A307))), "UPC faltante/inválido", ""), IF(AND(A307&lt;&gt;"", IFERROR(_xlfn.XMATCH(A307,$A$2:$A$2509,0,1)&lt;&gt;_xlfn.XMATCH(A307,$A$2:$A$2509,0,-1),FALSE)), "Código de barras duplicado", ""), IF(AND(E307&lt;&gt;"", COUNTIF($E$2:$E$2509, E307)&gt;1), "SKU duplicado", ""), IF(OR(J307="", J307=""), "[Aviso] División no capturada ()", IF(ISNA(MATCH(J307, Criterios!$A$123:$A$126, 0)), "División no válida", "")), IF(OR(K307="", K307=""), "[Aviso] Categoría no capturada ()", IF(ISNA(MATCH(K307, Criterios!$A$81:$A$120, 0)), "Categoría no válida", IF(AND(J307&lt;&gt;"", J307&lt;&gt;"", J307&lt;&gt;VLOOKUP(K307, Criterios!$A$81:$B$120, 2, FALSE)), "División no coincide con Categoría", ""))), IF(OR(L307="", L307=""), "[Aviso] Género no capturado ()", IF(ISNA(MATCH(L307, Criterios!$B$123:$B$127, 0)), "Género no válido", "")), IF(OR(N307="", N307=""), "[Aviso] Temporada no capturada ()", IF(ISNA(MATCH(N307, Criterios!$C$123:$C$128, 0)), "Temporada no válida", "")), IF(OR(O307="", O307=""), "[Aviso] Ciclo de vida no capturado ()", IF(ISNA(MATCH(O307, Criterios!$D$123:$D$124, 0)), "Ciclo de vida no válido", ""))))</f>
        <v/>
      </c>
      <c r="AC307" s="56" t="n"/>
      <c r="AD307" s="51" t="n">
        <v>0</v>
      </c>
      <c r="AE307" s="156" t="n"/>
      <c r="AF307" s="51" t="n">
        <v>0</v>
      </c>
      <c r="AG307" s="156" t="inlineStr">
        <is>
          <t>Catálogo existente</t>
        </is>
      </c>
      <c r="AH3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7" s="156" t="inlineStr">
        <is>
          <t>No</t>
        </is>
      </c>
      <c r="AJ307" s="156" t="n"/>
      <c r="AK307" s="155" t="inlineStr">
        <is>
          <t>Criterios: I [Q]; G1522_Extraccion_Articulos_NetSuite_2026-09-30.xlsx: fila 58879 [R] | Shopify Stetson: producto 15054564131179 / variante 53350547784043</t>
        </is>
      </c>
      <c r="AL307" s="58" t="n">
        <v>3301.5</v>
      </c>
      <c r="AM307" s="58" t="n">
        <v>18965.51724</v>
      </c>
      <c r="AN307" s="155" t="inlineStr">
        <is>
          <t>Shopify Stetson México</t>
        </is>
      </c>
      <c r="AO307" s="59" t="n">
        <v>0</v>
      </c>
      <c r="AP307" s="59" t="n"/>
      <c r="AQ307" s="59" t="n"/>
      <c r="AR307" s="155" t="n"/>
    </row>
    <row r="308">
      <c r="A308" s="50" t="inlineStr">
        <is>
          <t>12020004101012027</t>
        </is>
      </c>
      <c r="B308" s="51" t="inlineStr">
        <is>
          <t>111205</t>
        </is>
      </c>
      <c r="C308" s="156" t="inlineStr">
        <is>
          <t>Multimarca</t>
        </is>
      </c>
      <c r="D308" s="156" t="inlineStr">
        <is>
          <t>12-020-BS004-10-1012</t>
        </is>
      </c>
      <c r="E308" s="156" t="inlineStr">
        <is>
          <t>12-020-BS004-10-1012-027</t>
        </is>
      </c>
      <c r="F308" s="156" t="inlineStr">
        <is>
          <t>27</t>
        </is>
      </c>
      <c r="G308" s="156" t="inlineStr">
        <is>
          <t>9</t>
        </is>
      </c>
      <c r="H308" s="156" t="inlineStr">
        <is>
          <t>Stetson</t>
        </is>
      </c>
      <c r="I308" s="156" t="inlineStr">
        <is>
          <t>Bota Cocodrilo Negro</t>
        </is>
      </c>
      <c r="J308" s="156" t="inlineStr">
        <is>
          <t>Calzado</t>
        </is>
      </c>
      <c r="K308" s="156" t="inlineStr">
        <is>
          <t>Botas</t>
        </is>
      </c>
      <c r="L308" s="156" t="inlineStr">
        <is>
          <t>Hombre</t>
        </is>
      </c>
      <c r="M308" s="156" t="inlineStr">
        <is>
          <t>Stetson</t>
        </is>
      </c>
      <c r="N308" s="156" t="inlineStr">
        <is>
          <t>SS26</t>
        </is>
      </c>
      <c r="O308" s="156" t="inlineStr">
        <is>
          <t>Seasonal</t>
        </is>
      </c>
      <c r="P308" s="156" t="inlineStr">
        <is>
          <t>Negro</t>
        </is>
      </c>
      <c r="Q308" s="156" t="n"/>
      <c r="R308" s="156" t="inlineStr">
        <is>
          <t>Punta Redonda Ancha</t>
        </is>
      </c>
      <c r="S308" s="156" t="inlineStr">
        <is>
          <t>Piel de cocodrilo</t>
        </is>
      </c>
      <c r="T308" s="156" t="inlineStr">
        <is>
          <t>Bota Caballero Piel de cocodrilo Negro Punta Redonda Ancha</t>
        </is>
      </c>
      <c r="U308" s="156" t="inlineStr">
        <is>
          <t>México</t>
        </is>
      </c>
      <c r="V308" s="156" t="inlineStr">
        <is>
          <t>PRS</t>
        </is>
      </c>
      <c r="W308" s="51" t="inlineStr">
        <is>
          <t>53111501</t>
        </is>
      </c>
      <c r="X308" s="156" t="n"/>
      <c r="Y308" s="54" t="n">
        <v>3301.5</v>
      </c>
      <c r="Z308" s="54" t="n">
        <v>18965.51724</v>
      </c>
      <c r="AA308" s="55">
        <f>IF(AND(A308="", B308="", E308=""), "", IF(AB308="", "Válido", IF((LEN(AB308)-LEN(SUBSTITUTE(AB308,"; ","")))/2+1&gt;(LEN(AB308)-LEN(SUBSTITUTE(AB308,"[Aviso]","")))/7, "Con Incidencias", "Válido")))</f>
        <v/>
      </c>
      <c r="AB308" s="56">
        <f>IF(AND(A308="", B308="", E308=""), "", TEXTJOIN("; ", TRUE, IF(OR(TRIM(A308&amp;"")="", ISNUMBER(SEARCH("FALTA", A308))), "UPC faltante/inválido", ""), IF(AND(A308&lt;&gt;"", IFERROR(_xlfn.XMATCH(A308,$A$2:$A$2509,0,1)&lt;&gt;_xlfn.XMATCH(A308,$A$2:$A$2509,0,-1),FALSE)), "Código de barras duplicado", ""), IF(AND(E308&lt;&gt;"", COUNTIF($E$2:$E$2509, E308)&gt;1), "SKU duplicado", ""), IF(OR(J308="", J308=""), "[Aviso] División no capturada ()", IF(ISNA(MATCH(J308, Criterios!$A$123:$A$126, 0)), "División no válida", "")), IF(OR(K308="", K308=""), "[Aviso] Categoría no capturada ()", IF(ISNA(MATCH(K308, Criterios!$A$81:$A$120, 0)), "Categoría no válida", IF(AND(J308&lt;&gt;"", J308&lt;&gt;"", J308&lt;&gt;VLOOKUP(K308, Criterios!$A$81:$B$120, 2, FALSE)), "División no coincide con Categoría", ""))), IF(OR(L308="", L308=""), "[Aviso] Género no capturado ()", IF(ISNA(MATCH(L308, Criterios!$B$123:$B$127, 0)), "Género no válido", "")), IF(OR(N308="", N308=""), "[Aviso] Temporada no capturada ()", IF(ISNA(MATCH(N308, Criterios!$C$123:$C$128, 0)), "Temporada no válida", "")), IF(OR(O308="", O308=""), "[Aviso] Ciclo de vida no capturado ()", IF(ISNA(MATCH(O308, Criterios!$D$123:$D$124, 0)), "Ciclo de vida no válido", ""))))</f>
        <v/>
      </c>
      <c r="AC308" s="56" t="n"/>
      <c r="AD308" s="51" t="n">
        <v>2</v>
      </c>
      <c r="AE308" s="156" t="inlineStr">
        <is>
          <t>STETSON AMERICAS (2)</t>
        </is>
      </c>
      <c r="AF308" s="51" t="n">
        <v>2</v>
      </c>
      <c r="AG308" s="156" t="inlineStr">
        <is>
          <t>Catálogo existente</t>
        </is>
      </c>
      <c r="AH3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8" s="156" t="inlineStr">
        <is>
          <t>No</t>
        </is>
      </c>
      <c r="AJ308" s="156" t="n"/>
      <c r="AK308" s="155" t="inlineStr">
        <is>
          <t>Criterios: I [Q]; G1522_Extraccion_Articulos_NetSuite_2026-09-30.xlsx: fila 58880 [R] | Shopify Stetson: producto 15054564131179 / variante 53350547849579</t>
        </is>
      </c>
      <c r="AL308" s="58" t="n">
        <v>3301.5</v>
      </c>
      <c r="AM308" s="58" t="n">
        <v>18965.51724</v>
      </c>
      <c r="AN308" s="155" t="inlineStr">
        <is>
          <t>Shopify Stetson México</t>
        </is>
      </c>
      <c r="AO308" s="59" t="n">
        <v>2</v>
      </c>
      <c r="AP308" s="59" t="n"/>
      <c r="AQ308" s="59" t="n"/>
      <c r="AR308" s="155" t="inlineStr">
        <is>
          <t>Shopify Stetson México › Stetson Americas: 2</t>
        </is>
      </c>
    </row>
    <row r="309">
      <c r="A309" s="50" t="inlineStr">
        <is>
          <t>12020004101012028</t>
        </is>
      </c>
      <c r="B309" s="51" t="inlineStr">
        <is>
          <t>111206</t>
        </is>
      </c>
      <c r="C309" s="156" t="inlineStr">
        <is>
          <t>Multimarca</t>
        </is>
      </c>
      <c r="D309" s="156" t="inlineStr">
        <is>
          <t>12-020-BS004-10-1012</t>
        </is>
      </c>
      <c r="E309" s="156" t="inlineStr">
        <is>
          <t>12-020-BS004-10-1012-028</t>
        </is>
      </c>
      <c r="F309" s="156" t="inlineStr">
        <is>
          <t>28</t>
        </is>
      </c>
      <c r="G309" s="156" t="inlineStr">
        <is>
          <t>10</t>
        </is>
      </c>
      <c r="H309" s="156" t="inlineStr">
        <is>
          <t>Stetson</t>
        </is>
      </c>
      <c r="I309" s="156" t="inlineStr">
        <is>
          <t>Bota Cocodrilo Negro</t>
        </is>
      </c>
      <c r="J309" s="156" t="inlineStr">
        <is>
          <t>Calzado</t>
        </is>
      </c>
      <c r="K309" s="156" t="inlineStr">
        <is>
          <t>Botas</t>
        </is>
      </c>
      <c r="L309" s="156" t="inlineStr">
        <is>
          <t>Hombre</t>
        </is>
      </c>
      <c r="M309" s="156" t="inlineStr">
        <is>
          <t>Stetson</t>
        </is>
      </c>
      <c r="N309" s="156" t="inlineStr">
        <is>
          <t>SS26</t>
        </is>
      </c>
      <c r="O309" s="156" t="inlineStr">
        <is>
          <t>Seasonal</t>
        </is>
      </c>
      <c r="P309" s="156" t="inlineStr">
        <is>
          <t>Negro</t>
        </is>
      </c>
      <c r="Q309" s="156" t="n"/>
      <c r="R309" s="156" t="inlineStr">
        <is>
          <t>Punta Redonda Ancha</t>
        </is>
      </c>
      <c r="S309" s="156" t="inlineStr">
        <is>
          <t>Piel de cocodrilo</t>
        </is>
      </c>
      <c r="T309" s="156" t="inlineStr">
        <is>
          <t>Bota Caballero Piel de cocodrilo Negro Punta Redonda Ancha</t>
        </is>
      </c>
      <c r="U309" s="156" t="inlineStr">
        <is>
          <t>México</t>
        </is>
      </c>
      <c r="V309" s="156" t="inlineStr">
        <is>
          <t>PRS</t>
        </is>
      </c>
      <c r="W309" s="51" t="inlineStr">
        <is>
          <t>53111501</t>
        </is>
      </c>
      <c r="X309" s="156" t="n"/>
      <c r="Y309" s="54" t="n">
        <v>3301.5</v>
      </c>
      <c r="Z309" s="54" t="n">
        <v>18965.51724</v>
      </c>
      <c r="AA309" s="55">
        <f>IF(AND(A309="", B309="", E309=""), "", IF(AB309="", "Válido", IF((LEN(AB309)-LEN(SUBSTITUTE(AB309,"; ","")))/2+1&gt;(LEN(AB309)-LEN(SUBSTITUTE(AB309,"[Aviso]","")))/7, "Con Incidencias", "Válido")))</f>
        <v/>
      </c>
      <c r="AB309" s="56">
        <f>IF(AND(A309="", B309="", E309=""), "", TEXTJOIN("; ", TRUE, IF(OR(TRIM(A309&amp;"")="", ISNUMBER(SEARCH("FALTA", A309))), "UPC faltante/inválido", ""), IF(AND(A309&lt;&gt;"", IFERROR(_xlfn.XMATCH(A309,$A$2:$A$2509,0,1)&lt;&gt;_xlfn.XMATCH(A309,$A$2:$A$2509,0,-1),FALSE)), "Código de barras duplicado", ""), IF(AND(E309&lt;&gt;"", COUNTIF($E$2:$E$2509, E309)&gt;1), "SKU duplicado", ""), IF(OR(J309="", J309=""), "[Aviso] División no capturada ()", IF(ISNA(MATCH(J309, Criterios!$A$123:$A$126, 0)), "División no válida", "")), IF(OR(K309="", K309=""), "[Aviso] Categoría no capturada ()", IF(ISNA(MATCH(K309, Criterios!$A$81:$A$120, 0)), "Categoría no válida", IF(AND(J309&lt;&gt;"", J309&lt;&gt;"", J309&lt;&gt;VLOOKUP(K309, Criterios!$A$81:$B$120, 2, FALSE)), "División no coincide con Categoría", ""))), IF(OR(L309="", L309=""), "[Aviso] Género no capturado ()", IF(ISNA(MATCH(L309, Criterios!$B$123:$B$127, 0)), "Género no válido", "")), IF(OR(N309="", N309=""), "[Aviso] Temporada no capturada ()", IF(ISNA(MATCH(N309, Criterios!$C$123:$C$128, 0)), "Temporada no válida", "")), IF(OR(O309="", O309=""), "[Aviso] Ciclo de vida no capturado ()", IF(ISNA(MATCH(O309, Criterios!$D$123:$D$124, 0)), "Ciclo de vida no válido", ""))))</f>
        <v/>
      </c>
      <c r="AC309" s="56" t="n"/>
      <c r="AD309" s="51" t="n">
        <v>1</v>
      </c>
      <c r="AE309" s="156" t="inlineStr">
        <is>
          <t>STETSON AMERICAS (1)</t>
        </is>
      </c>
      <c r="AF309" s="51" t="n">
        <v>1</v>
      </c>
      <c r="AG309" s="156" t="inlineStr">
        <is>
          <t>Catálogo existente</t>
        </is>
      </c>
      <c r="AH3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9" s="156" t="inlineStr">
        <is>
          <t>No</t>
        </is>
      </c>
      <c r="AJ309" s="156" t="n"/>
      <c r="AK309" s="155" t="inlineStr">
        <is>
          <t>Criterios: I [Q]; G1522_Extraccion_Articulos_NetSuite_2026-09-30.xlsx: fila 58881 [R] | Shopify Stetson: producto 15054564131179 / variante 53350547915115</t>
        </is>
      </c>
      <c r="AL309" s="58" t="n">
        <v>3301.5</v>
      </c>
      <c r="AM309" s="58" t="n">
        <v>18965.51724</v>
      </c>
      <c r="AN309" s="155" t="inlineStr">
        <is>
          <t>Shopify Stetson México</t>
        </is>
      </c>
      <c r="AO309" s="59" t="n">
        <v>1</v>
      </c>
      <c r="AP309" s="59" t="n"/>
      <c r="AQ309" s="59" t="n"/>
      <c r="AR309" s="155" t="inlineStr">
        <is>
          <t>Shopify Stetson México › Stetson Americas: 1</t>
        </is>
      </c>
    </row>
    <row r="310">
      <c r="A310" s="50" t="inlineStr">
        <is>
          <t>12020004101012029</t>
        </is>
      </c>
      <c r="B310" s="51" t="inlineStr">
        <is>
          <t>111207</t>
        </is>
      </c>
      <c r="C310" s="156" t="inlineStr">
        <is>
          <t>Multimarca</t>
        </is>
      </c>
      <c r="D310" s="156" t="inlineStr">
        <is>
          <t>12-020-BS004-10-1012</t>
        </is>
      </c>
      <c r="E310" s="156" t="inlineStr">
        <is>
          <t>12-020-BS004-10-1012-029</t>
        </is>
      </c>
      <c r="F310" s="156" t="inlineStr">
        <is>
          <t>29</t>
        </is>
      </c>
      <c r="G310" s="156" t="inlineStr">
        <is>
          <t>11</t>
        </is>
      </c>
      <c r="H310" s="156" t="inlineStr">
        <is>
          <t>Stetson</t>
        </is>
      </c>
      <c r="I310" s="156" t="inlineStr">
        <is>
          <t>Bota Cocodrilo Negro</t>
        </is>
      </c>
      <c r="J310" s="156" t="inlineStr">
        <is>
          <t>Calzado</t>
        </is>
      </c>
      <c r="K310" s="156" t="inlineStr">
        <is>
          <t>Botas</t>
        </is>
      </c>
      <c r="L310" s="156" t="inlineStr">
        <is>
          <t>Hombre</t>
        </is>
      </c>
      <c r="M310" s="156" t="inlineStr">
        <is>
          <t>Stetson</t>
        </is>
      </c>
      <c r="N310" s="156" t="inlineStr">
        <is>
          <t>SS26</t>
        </is>
      </c>
      <c r="O310" s="156" t="inlineStr">
        <is>
          <t>Seasonal</t>
        </is>
      </c>
      <c r="P310" s="156" t="inlineStr">
        <is>
          <t>Negro</t>
        </is>
      </c>
      <c r="Q310" s="156" t="n"/>
      <c r="R310" s="156" t="inlineStr">
        <is>
          <t>Punta Redonda Ancha</t>
        </is>
      </c>
      <c r="S310" s="156" t="inlineStr">
        <is>
          <t>Piel de cocodrilo</t>
        </is>
      </c>
      <c r="T310" s="156" t="inlineStr">
        <is>
          <t>Bota Caballero Piel de cocodrilo Negro Punta Redonda Ancha</t>
        </is>
      </c>
      <c r="U310" s="156" t="inlineStr">
        <is>
          <t>México</t>
        </is>
      </c>
      <c r="V310" s="156" t="inlineStr">
        <is>
          <t>PRS</t>
        </is>
      </c>
      <c r="W310" s="51" t="inlineStr">
        <is>
          <t>53111501</t>
        </is>
      </c>
      <c r="X310" s="156" t="n"/>
      <c r="Y310" s="54" t="n">
        <v>3301.5</v>
      </c>
      <c r="Z310" s="54" t="n">
        <v>18965.51724</v>
      </c>
      <c r="AA310" s="55">
        <f>IF(AND(A310="", B310="", E310=""), "", IF(AB310="", "Válido", IF((LEN(AB310)-LEN(SUBSTITUTE(AB310,"; ","")))/2+1&gt;(LEN(AB310)-LEN(SUBSTITUTE(AB310,"[Aviso]","")))/7, "Con Incidencias", "Válido")))</f>
        <v/>
      </c>
      <c r="AB310" s="56">
        <f>IF(AND(A310="", B310="", E310=""), "", TEXTJOIN("; ", TRUE, IF(OR(TRIM(A310&amp;"")="", ISNUMBER(SEARCH("FALTA", A310))), "UPC faltante/inválido", ""), IF(AND(A310&lt;&gt;"", IFERROR(_xlfn.XMATCH(A310,$A$2:$A$2509,0,1)&lt;&gt;_xlfn.XMATCH(A310,$A$2:$A$2509,0,-1),FALSE)), "Código de barras duplicado", ""), IF(AND(E310&lt;&gt;"", COUNTIF($E$2:$E$2509, E310)&gt;1), "SKU duplicado", ""), IF(OR(J310="", J310=""), "[Aviso] División no capturada ()", IF(ISNA(MATCH(J310, Criterios!$A$123:$A$126, 0)), "División no válida", "")), IF(OR(K310="", K310=""), "[Aviso] Categoría no capturada ()", IF(ISNA(MATCH(K310, Criterios!$A$81:$A$120, 0)), "Categoría no válida", IF(AND(J310&lt;&gt;"", J310&lt;&gt;"", J310&lt;&gt;VLOOKUP(K310, Criterios!$A$81:$B$120, 2, FALSE)), "División no coincide con Categoría", ""))), IF(OR(L310="", L310=""), "[Aviso] Género no capturado ()", IF(ISNA(MATCH(L310, Criterios!$B$123:$B$127, 0)), "Género no válido", "")), IF(OR(N310="", N310=""), "[Aviso] Temporada no capturada ()", IF(ISNA(MATCH(N310, Criterios!$C$123:$C$128, 0)), "Temporada no válida", "")), IF(OR(O310="", O310=""), "[Aviso] Ciclo de vida no capturado ()", IF(ISNA(MATCH(O310, Criterios!$D$123:$D$124, 0)), "Ciclo de vida no válido", ""))))</f>
        <v/>
      </c>
      <c r="AC310" s="56" t="n"/>
      <c r="AD310" s="51" t="n">
        <v>1</v>
      </c>
      <c r="AE310" s="156" t="inlineStr">
        <is>
          <t>STETSON AMERICAS (1)</t>
        </is>
      </c>
      <c r="AF310" s="51" t="n">
        <v>1</v>
      </c>
      <c r="AG310" s="156" t="inlineStr">
        <is>
          <t>Catálogo existente</t>
        </is>
      </c>
      <c r="AH3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0" s="156" t="inlineStr">
        <is>
          <t>No</t>
        </is>
      </c>
      <c r="AJ310" s="156" t="n"/>
      <c r="AK310" s="155" t="inlineStr">
        <is>
          <t>Criterios: I [Q]; G1522_Extraccion_Articulos_NetSuite_2026-09-30.xlsx: fila 58882 [R] | Shopify Stetson: producto 15054564131179 / variante 53350547980651</t>
        </is>
      </c>
      <c r="AL310" s="58" t="n">
        <v>3301.5</v>
      </c>
      <c r="AM310" s="58" t="n">
        <v>18965.51724</v>
      </c>
      <c r="AN310" s="155" t="inlineStr">
        <is>
          <t>Shopify Stetson México</t>
        </is>
      </c>
      <c r="AO310" s="59" t="n">
        <v>1</v>
      </c>
      <c r="AP310" s="59" t="n"/>
      <c r="AQ310" s="59" t="n"/>
      <c r="AR310" s="155" t="inlineStr">
        <is>
          <t>Shopify Stetson México › Stetson Americas: 1</t>
        </is>
      </c>
    </row>
    <row r="311">
      <c r="A311" s="50" t="inlineStr">
        <is>
          <t>12020004101012030</t>
        </is>
      </c>
      <c r="B311" s="51" t="inlineStr">
        <is>
          <t>111208</t>
        </is>
      </c>
      <c r="C311" s="156" t="inlineStr">
        <is>
          <t>Multimarca</t>
        </is>
      </c>
      <c r="D311" s="156" t="inlineStr">
        <is>
          <t>12-020-BS004-10-1012</t>
        </is>
      </c>
      <c r="E311" s="156" t="inlineStr">
        <is>
          <t>12-020-BS004-10-1012-030</t>
        </is>
      </c>
      <c r="F311" s="156" t="inlineStr">
        <is>
          <t>30</t>
        </is>
      </c>
      <c r="G311" s="156" t="inlineStr">
        <is>
          <t>12</t>
        </is>
      </c>
      <c r="H311" s="156" t="inlineStr">
        <is>
          <t>Stetson</t>
        </is>
      </c>
      <c r="I311" s="156" t="inlineStr">
        <is>
          <t>Bota Cocodrilo Negro</t>
        </is>
      </c>
      <c r="J311" s="156" t="inlineStr">
        <is>
          <t>Calzado</t>
        </is>
      </c>
      <c r="K311" s="156" t="inlineStr">
        <is>
          <t>Botas</t>
        </is>
      </c>
      <c r="L311" s="156" t="inlineStr">
        <is>
          <t>Hombre</t>
        </is>
      </c>
      <c r="M311" s="156" t="inlineStr">
        <is>
          <t>Stetson</t>
        </is>
      </c>
      <c r="N311" s="156" t="inlineStr">
        <is>
          <t>SS26</t>
        </is>
      </c>
      <c r="O311" s="156" t="inlineStr">
        <is>
          <t>Seasonal</t>
        </is>
      </c>
      <c r="P311" s="156" t="inlineStr">
        <is>
          <t>Negro</t>
        </is>
      </c>
      <c r="Q311" s="156" t="n"/>
      <c r="R311" s="156" t="inlineStr">
        <is>
          <t>Punta Redonda Ancha</t>
        </is>
      </c>
      <c r="S311" s="156" t="inlineStr">
        <is>
          <t>Piel de cocodrilo</t>
        </is>
      </c>
      <c r="T311" s="156" t="inlineStr">
        <is>
          <t>Bota Caballero Piel de cocodrilo Negro Punta Redonda Ancha</t>
        </is>
      </c>
      <c r="U311" s="156" t="inlineStr">
        <is>
          <t>México</t>
        </is>
      </c>
      <c r="V311" s="156" t="inlineStr">
        <is>
          <t>PRS</t>
        </is>
      </c>
      <c r="W311" s="51" t="inlineStr">
        <is>
          <t>53111501</t>
        </is>
      </c>
      <c r="X311" s="156" t="n"/>
      <c r="Y311" s="54" t="n">
        <v>3301.5</v>
      </c>
      <c r="Z311" s="54" t="n">
        <v>18965.51724</v>
      </c>
      <c r="AA311" s="55">
        <f>IF(AND(A311="", B311="", E311=""), "", IF(AB311="", "Válido", IF((LEN(AB311)-LEN(SUBSTITUTE(AB311,"; ","")))/2+1&gt;(LEN(AB311)-LEN(SUBSTITUTE(AB311,"[Aviso]","")))/7, "Con Incidencias", "Válido")))</f>
        <v/>
      </c>
      <c r="AB311" s="56">
        <f>IF(AND(A311="", B311="", E311=""), "", TEXTJOIN("; ", TRUE, IF(OR(TRIM(A311&amp;"")="", ISNUMBER(SEARCH("FALTA", A311))), "UPC faltante/inválido", ""), IF(AND(A311&lt;&gt;"", IFERROR(_xlfn.XMATCH(A311,$A$2:$A$2509,0,1)&lt;&gt;_xlfn.XMATCH(A311,$A$2:$A$2509,0,-1),FALSE)), "Código de barras duplicado", ""), IF(AND(E311&lt;&gt;"", COUNTIF($E$2:$E$2509, E311)&gt;1), "SKU duplicado", ""), IF(OR(J311="", J311=""), "[Aviso] División no capturada ()", IF(ISNA(MATCH(J311, Criterios!$A$123:$A$126, 0)), "División no válida", "")), IF(OR(K311="", K311=""), "[Aviso] Categoría no capturada ()", IF(ISNA(MATCH(K311, Criterios!$A$81:$A$120, 0)), "Categoría no válida", IF(AND(J311&lt;&gt;"", J311&lt;&gt;"", J311&lt;&gt;VLOOKUP(K311, Criterios!$A$81:$B$120, 2, FALSE)), "División no coincide con Categoría", ""))), IF(OR(L311="", L311=""), "[Aviso] Género no capturado ()", IF(ISNA(MATCH(L311, Criterios!$B$123:$B$127, 0)), "Género no válido", "")), IF(OR(N311="", N311=""), "[Aviso] Temporada no capturada ()", IF(ISNA(MATCH(N311, Criterios!$C$123:$C$128, 0)), "Temporada no válida", "")), IF(OR(O311="", O311=""), "[Aviso] Ciclo de vida no capturado ()", IF(ISNA(MATCH(O311, Criterios!$D$123:$D$124, 0)), "Ciclo de vida no válido", ""))))</f>
        <v/>
      </c>
      <c r="AC311" s="56" t="n"/>
      <c r="AD311" s="51" t="n">
        <v>0</v>
      </c>
      <c r="AE311" s="156" t="n"/>
      <c r="AF311" s="51" t="n">
        <v>0</v>
      </c>
      <c r="AG311" s="156" t="inlineStr">
        <is>
          <t>Catálogo existente</t>
        </is>
      </c>
      <c r="AH3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1" s="156" t="inlineStr">
        <is>
          <t>No</t>
        </is>
      </c>
      <c r="AJ311" s="156" t="n"/>
      <c r="AK311" s="155" t="inlineStr">
        <is>
          <t>Criterios: I [Q]; G1522_Extraccion_Articulos_NetSuite_2026-09-30.xlsx: fila 58883 [R] | Shopify Stetson: producto 15054564131179 / variante 53350548046187</t>
        </is>
      </c>
      <c r="AL311" s="58" t="n">
        <v>3301.5</v>
      </c>
      <c r="AM311" s="58" t="n">
        <v>18965.51724</v>
      </c>
      <c r="AN311" s="155" t="inlineStr">
        <is>
          <t>Shopify Stetson México</t>
        </is>
      </c>
      <c r="AO311" s="59" t="n">
        <v>0</v>
      </c>
      <c r="AP311" s="59" t="n"/>
      <c r="AQ311" s="59" t="n"/>
      <c r="AR311" s="155" t="n"/>
    </row>
    <row r="312">
      <c r="A312" s="50" t="inlineStr">
        <is>
          <t>12020004101012031</t>
        </is>
      </c>
      <c r="B312" s="51" t="inlineStr">
        <is>
          <t>111209</t>
        </is>
      </c>
      <c r="C312" s="156" t="inlineStr">
        <is>
          <t>Multimarca</t>
        </is>
      </c>
      <c r="D312" s="156" t="inlineStr">
        <is>
          <t>12-020-BS004-10-1012</t>
        </is>
      </c>
      <c r="E312" s="156" t="inlineStr">
        <is>
          <t>12-020-BS004-10-1012-031</t>
        </is>
      </c>
      <c r="F312" s="156" t="inlineStr">
        <is>
          <t>31</t>
        </is>
      </c>
      <c r="G312" s="156" t="inlineStr">
        <is>
          <t>13</t>
        </is>
      </c>
      <c r="H312" s="156" t="inlineStr">
        <is>
          <t>Stetson</t>
        </is>
      </c>
      <c r="I312" s="156" t="inlineStr">
        <is>
          <t>Bota Cocodrilo Negro</t>
        </is>
      </c>
      <c r="J312" s="156" t="inlineStr">
        <is>
          <t>Calzado</t>
        </is>
      </c>
      <c r="K312" s="156" t="inlineStr">
        <is>
          <t>Botas</t>
        </is>
      </c>
      <c r="L312" s="156" t="inlineStr">
        <is>
          <t>Hombre</t>
        </is>
      </c>
      <c r="M312" s="156" t="inlineStr">
        <is>
          <t>Stetson</t>
        </is>
      </c>
      <c r="N312" s="156" t="inlineStr">
        <is>
          <t>SS26</t>
        </is>
      </c>
      <c r="O312" s="156" t="inlineStr">
        <is>
          <t>Seasonal</t>
        </is>
      </c>
      <c r="P312" s="156" t="inlineStr">
        <is>
          <t>Negro</t>
        </is>
      </c>
      <c r="Q312" s="156" t="n"/>
      <c r="R312" s="156" t="inlineStr">
        <is>
          <t>Punta Redonda Ancha</t>
        </is>
      </c>
      <c r="S312" s="156" t="inlineStr">
        <is>
          <t>Piel de cocodrilo</t>
        </is>
      </c>
      <c r="T312" s="156" t="inlineStr">
        <is>
          <t>Bota Caballero Piel de cocodrilo Negro Punta Redonda Ancha</t>
        </is>
      </c>
      <c r="U312" s="156" t="inlineStr">
        <is>
          <t>México</t>
        </is>
      </c>
      <c r="V312" s="156" t="inlineStr">
        <is>
          <t>PRS</t>
        </is>
      </c>
      <c r="W312" s="51" t="inlineStr">
        <is>
          <t>53111501</t>
        </is>
      </c>
      <c r="X312" s="156" t="n"/>
      <c r="Y312" s="54" t="n">
        <v>3301.5</v>
      </c>
      <c r="Z312" s="54" t="n">
        <v>18965.51724</v>
      </c>
      <c r="AA312" s="55">
        <f>IF(AND(A312="", B312="", E312=""), "", IF(AB312="", "Válido", IF((LEN(AB312)-LEN(SUBSTITUTE(AB312,"; ","")))/2+1&gt;(LEN(AB312)-LEN(SUBSTITUTE(AB312,"[Aviso]","")))/7, "Con Incidencias", "Válido")))</f>
        <v/>
      </c>
      <c r="AB312" s="56">
        <f>IF(AND(A312="", B312="", E312=""), "", TEXTJOIN("; ", TRUE, IF(OR(TRIM(A312&amp;"")="", ISNUMBER(SEARCH("FALTA", A312))), "UPC faltante/inválido", ""), IF(AND(A312&lt;&gt;"", IFERROR(_xlfn.XMATCH(A312,$A$2:$A$2509,0,1)&lt;&gt;_xlfn.XMATCH(A312,$A$2:$A$2509,0,-1),FALSE)), "Código de barras duplicado", ""), IF(AND(E312&lt;&gt;"", COUNTIF($E$2:$E$2509, E312)&gt;1), "SKU duplicado", ""), IF(OR(J312="", J312=""), "[Aviso] División no capturada ()", IF(ISNA(MATCH(J312, Criterios!$A$123:$A$126, 0)), "División no válida", "")), IF(OR(K312="", K312=""), "[Aviso] Categoría no capturada ()", IF(ISNA(MATCH(K312, Criterios!$A$81:$A$120, 0)), "Categoría no válida", IF(AND(J312&lt;&gt;"", J312&lt;&gt;"", J312&lt;&gt;VLOOKUP(K312, Criterios!$A$81:$B$120, 2, FALSE)), "División no coincide con Categoría", ""))), IF(OR(L312="", L312=""), "[Aviso] Género no capturado ()", IF(ISNA(MATCH(L312, Criterios!$B$123:$B$127, 0)), "Género no válido", "")), IF(OR(N312="", N312=""), "[Aviso] Temporada no capturada ()", IF(ISNA(MATCH(N312, Criterios!$C$123:$C$128, 0)), "Temporada no válida", "")), IF(OR(O312="", O312=""), "[Aviso] Ciclo de vida no capturado ()", IF(ISNA(MATCH(O312, Criterios!$D$123:$D$124, 0)), "Ciclo de vida no válido", ""))))</f>
        <v/>
      </c>
      <c r="AC312" s="56" t="n"/>
      <c r="AD312" s="51" t="n">
        <v>0</v>
      </c>
      <c r="AE312" s="156" t="n"/>
      <c r="AF312" s="51" t="n">
        <v>0</v>
      </c>
      <c r="AG312" s="156" t="inlineStr">
        <is>
          <t>Catálogo existente</t>
        </is>
      </c>
      <c r="AH3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2" s="156" t="inlineStr">
        <is>
          <t>No</t>
        </is>
      </c>
      <c r="AJ312" s="156" t="n"/>
      <c r="AK312" s="155" t="inlineStr">
        <is>
          <t>Criterios: I [Q]; G1522_Extraccion_Articulos_NetSuite_2026-09-30.xlsx: fila 58884 [R] | Shopify Stetson: producto 15054564131179 / variante 53350548111723</t>
        </is>
      </c>
      <c r="AL312" s="58" t="n">
        <v>3301.5</v>
      </c>
      <c r="AM312" s="58" t="n">
        <v>18965.51724</v>
      </c>
      <c r="AN312" s="155" t="inlineStr">
        <is>
          <t>Shopify Stetson México</t>
        </is>
      </c>
      <c r="AO312" s="59" t="n">
        <v>0</v>
      </c>
      <c r="AP312" s="59" t="n"/>
      <c r="AQ312" s="59" t="n"/>
      <c r="AR312" s="155" t="n"/>
    </row>
    <row r="313">
      <c r="A313" s="50" t="inlineStr">
        <is>
          <t>12020004101012032</t>
        </is>
      </c>
      <c r="B313" s="51" t="inlineStr">
        <is>
          <t>111210</t>
        </is>
      </c>
      <c r="C313" s="156" t="inlineStr">
        <is>
          <t>Multimarca</t>
        </is>
      </c>
      <c r="D313" s="156" t="inlineStr">
        <is>
          <t>12-020-BS004-10-1012</t>
        </is>
      </c>
      <c r="E313" s="156" t="inlineStr">
        <is>
          <t>12-020-BS004-10-1012-032</t>
        </is>
      </c>
      <c r="F313" s="156" t="inlineStr">
        <is>
          <t>32</t>
        </is>
      </c>
      <c r="G313" s="156" t="inlineStr">
        <is>
          <t>14</t>
        </is>
      </c>
      <c r="H313" s="156" t="inlineStr">
        <is>
          <t>Stetson</t>
        </is>
      </c>
      <c r="I313" s="156" t="inlineStr">
        <is>
          <t>Bota Cocodrilo Negro</t>
        </is>
      </c>
      <c r="J313" s="156" t="inlineStr">
        <is>
          <t>Calzado</t>
        </is>
      </c>
      <c r="K313" s="156" t="inlineStr">
        <is>
          <t>Botas</t>
        </is>
      </c>
      <c r="L313" s="156" t="inlineStr">
        <is>
          <t>Hombre</t>
        </is>
      </c>
      <c r="M313" s="156" t="inlineStr">
        <is>
          <t>Stetson</t>
        </is>
      </c>
      <c r="N313" s="156" t="inlineStr">
        <is>
          <t>SS26</t>
        </is>
      </c>
      <c r="O313" s="156" t="inlineStr">
        <is>
          <t>Seasonal</t>
        </is>
      </c>
      <c r="P313" s="156" t="inlineStr">
        <is>
          <t>Negro</t>
        </is>
      </c>
      <c r="Q313" s="156" t="n"/>
      <c r="R313" s="156" t="inlineStr">
        <is>
          <t>Punta Redonda Ancha</t>
        </is>
      </c>
      <c r="S313" s="156" t="inlineStr">
        <is>
          <t>Piel de cocodrilo</t>
        </is>
      </c>
      <c r="T313" s="156" t="inlineStr">
        <is>
          <t>Bota Caballero Piel de cocodrilo Negro Punta Redonda Ancha</t>
        </is>
      </c>
      <c r="U313" s="156" t="inlineStr">
        <is>
          <t>México</t>
        </is>
      </c>
      <c r="V313" s="156" t="inlineStr">
        <is>
          <t>PRS</t>
        </is>
      </c>
      <c r="W313" s="51" t="inlineStr">
        <is>
          <t>53111501</t>
        </is>
      </c>
      <c r="X313" s="156" t="n"/>
      <c r="Y313" s="54" t="n">
        <v>3301.5</v>
      </c>
      <c r="Z313" s="54" t="n">
        <v>18965.51724</v>
      </c>
      <c r="AA313" s="55">
        <f>IF(AND(A313="", B313="", E313=""), "", IF(AB313="", "Válido", IF((LEN(AB313)-LEN(SUBSTITUTE(AB313,"; ","")))/2+1&gt;(LEN(AB313)-LEN(SUBSTITUTE(AB313,"[Aviso]","")))/7, "Con Incidencias", "Válido")))</f>
        <v/>
      </c>
      <c r="AB313" s="56">
        <f>IF(AND(A313="", B313="", E313=""), "", TEXTJOIN("; ", TRUE, IF(OR(TRIM(A313&amp;"")="", ISNUMBER(SEARCH("FALTA", A313))), "UPC faltante/inválido", ""), IF(AND(A313&lt;&gt;"", IFERROR(_xlfn.XMATCH(A313,$A$2:$A$2509,0,1)&lt;&gt;_xlfn.XMATCH(A313,$A$2:$A$2509,0,-1),FALSE)), "Código de barras duplicado", ""), IF(AND(E313&lt;&gt;"", COUNTIF($E$2:$E$2509, E313)&gt;1), "SKU duplicado", ""), IF(OR(J313="", J313=""), "[Aviso] División no capturada ()", IF(ISNA(MATCH(J313, Criterios!$A$123:$A$126, 0)), "División no válida", "")), IF(OR(K313="", K313=""), "[Aviso] Categoría no capturada ()", IF(ISNA(MATCH(K313, Criterios!$A$81:$A$120, 0)), "Categoría no válida", IF(AND(J313&lt;&gt;"", J313&lt;&gt;"", J313&lt;&gt;VLOOKUP(K313, Criterios!$A$81:$B$120, 2, FALSE)), "División no coincide con Categoría", ""))), IF(OR(L313="", L313=""), "[Aviso] Género no capturado ()", IF(ISNA(MATCH(L313, Criterios!$B$123:$B$127, 0)), "Género no válido", "")), IF(OR(N313="", N313=""), "[Aviso] Temporada no capturada ()", IF(ISNA(MATCH(N313, Criterios!$C$123:$C$128, 0)), "Temporada no válida", "")), IF(OR(O313="", O313=""), "[Aviso] Ciclo de vida no capturado ()", IF(ISNA(MATCH(O313, Criterios!$D$123:$D$124, 0)), "Ciclo de vida no válido", ""))))</f>
        <v/>
      </c>
      <c r="AC313" s="56" t="n"/>
      <c r="AD313" s="51" t="n">
        <v>0</v>
      </c>
      <c r="AE313" s="156" t="n"/>
      <c r="AF313" s="51" t="n">
        <v>0</v>
      </c>
      <c r="AG313" s="156" t="inlineStr">
        <is>
          <t>Catálogo existente</t>
        </is>
      </c>
      <c r="AH3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3" s="156" t="inlineStr">
        <is>
          <t>No</t>
        </is>
      </c>
      <c r="AJ313" s="156" t="n"/>
      <c r="AK313" s="155" t="inlineStr">
        <is>
          <t>Criterios: I [Q]; G1522_Extraccion_Articulos_NetSuite_2026-09-30.xlsx: fila 58885 [R] | Shopify Stetson: producto 15054564131179 / variante 53350548177259</t>
        </is>
      </c>
      <c r="AL313" s="58" t="n">
        <v>3301.5</v>
      </c>
      <c r="AM313" s="58" t="n">
        <v>18965.51724</v>
      </c>
      <c r="AN313" s="155" t="inlineStr">
        <is>
          <t>Shopify Stetson México</t>
        </is>
      </c>
      <c r="AO313" s="59" t="n">
        <v>0</v>
      </c>
      <c r="AP313" s="59" t="n"/>
      <c r="AQ313" s="59" t="n"/>
      <c r="AR313" s="155" t="n"/>
    </row>
    <row r="314">
      <c r="A314" s="50" t="inlineStr">
        <is>
          <t>12020004101012255</t>
        </is>
      </c>
      <c r="B314" s="51" t="inlineStr">
        <is>
          <t>111211</t>
        </is>
      </c>
      <c r="C314" s="156" t="inlineStr">
        <is>
          <t>Multimarca</t>
        </is>
      </c>
      <c r="D314" s="156" t="inlineStr">
        <is>
          <t>12-020-BS004-10-1012</t>
        </is>
      </c>
      <c r="E314" s="156" t="inlineStr">
        <is>
          <t>12-020-BS004-10-1012-255</t>
        </is>
      </c>
      <c r="F314" s="156" t="inlineStr">
        <is>
          <t>25.5</t>
        </is>
      </c>
      <c r="G314" s="156" t="inlineStr">
        <is>
          <t>7.5</t>
        </is>
      </c>
      <c r="H314" s="156" t="inlineStr">
        <is>
          <t>Stetson</t>
        </is>
      </c>
      <c r="I314" s="156" t="inlineStr">
        <is>
          <t>Bota Cocodrilo Negro</t>
        </is>
      </c>
      <c r="J314" s="156" t="inlineStr">
        <is>
          <t>Calzado</t>
        </is>
      </c>
      <c r="K314" s="156" t="inlineStr">
        <is>
          <t>Botas</t>
        </is>
      </c>
      <c r="L314" s="156" t="inlineStr">
        <is>
          <t>Hombre</t>
        </is>
      </c>
      <c r="M314" s="156" t="inlineStr">
        <is>
          <t>Stetson</t>
        </is>
      </c>
      <c r="N314" s="156" t="inlineStr">
        <is>
          <t>SS26</t>
        </is>
      </c>
      <c r="O314" s="156" t="inlineStr">
        <is>
          <t>Seasonal</t>
        </is>
      </c>
      <c r="P314" s="156" t="inlineStr">
        <is>
          <t>Negro</t>
        </is>
      </c>
      <c r="Q314" s="156" t="n"/>
      <c r="R314" s="156" t="inlineStr">
        <is>
          <t>Punta Redonda Ancha</t>
        </is>
      </c>
      <c r="S314" s="156" t="inlineStr">
        <is>
          <t>Piel de cocodrilo</t>
        </is>
      </c>
      <c r="T314" s="156" t="inlineStr">
        <is>
          <t>Bota Caballero Piel de cocodrilo Negro Punta Redonda Ancha</t>
        </is>
      </c>
      <c r="U314" s="156" t="inlineStr">
        <is>
          <t>México</t>
        </is>
      </c>
      <c r="V314" s="156" t="inlineStr">
        <is>
          <t>PRS</t>
        </is>
      </c>
      <c r="W314" s="51" t="inlineStr">
        <is>
          <t>53111501</t>
        </is>
      </c>
      <c r="X314" s="156" t="n"/>
      <c r="Y314" s="54" t="n">
        <v>3301.5</v>
      </c>
      <c r="Z314" s="54" t="n">
        <v>18965.51724</v>
      </c>
      <c r="AA314" s="55">
        <f>IF(AND(A314="", B314="", E314=""), "", IF(AB314="", "Válido", IF((LEN(AB314)-LEN(SUBSTITUTE(AB314,"; ","")))/2+1&gt;(LEN(AB314)-LEN(SUBSTITUTE(AB314,"[Aviso]","")))/7, "Con Incidencias", "Válido")))</f>
        <v/>
      </c>
      <c r="AB314" s="56">
        <f>IF(AND(A314="", B314="", E314=""), "", TEXTJOIN("; ", TRUE, IF(OR(TRIM(A314&amp;"")="", ISNUMBER(SEARCH("FALTA", A314))), "UPC faltante/inválido", ""), IF(AND(A314&lt;&gt;"", IFERROR(_xlfn.XMATCH(A314,$A$2:$A$2509,0,1)&lt;&gt;_xlfn.XMATCH(A314,$A$2:$A$2509,0,-1),FALSE)), "Código de barras duplicado", ""), IF(AND(E314&lt;&gt;"", COUNTIF($E$2:$E$2509, E314)&gt;1), "SKU duplicado", ""), IF(OR(J314="", J314=""), "[Aviso] División no capturada ()", IF(ISNA(MATCH(J314, Criterios!$A$123:$A$126, 0)), "División no válida", "")), IF(OR(K314="", K314=""), "[Aviso] Categoría no capturada ()", IF(ISNA(MATCH(K314, Criterios!$A$81:$A$120, 0)), "Categoría no válida", IF(AND(J314&lt;&gt;"", J314&lt;&gt;"", J314&lt;&gt;VLOOKUP(K314, Criterios!$A$81:$B$120, 2, FALSE)), "División no coincide con Categoría", ""))), IF(OR(L314="", L314=""), "[Aviso] Género no capturado ()", IF(ISNA(MATCH(L314, Criterios!$B$123:$B$127, 0)), "Género no válido", "")), IF(OR(N314="", N314=""), "[Aviso] Temporada no capturada ()", IF(ISNA(MATCH(N314, Criterios!$C$123:$C$128, 0)), "Temporada no válida", "")), IF(OR(O314="", O314=""), "[Aviso] Ciclo de vida no capturado ()", IF(ISNA(MATCH(O314, Criterios!$D$123:$D$124, 0)), "Ciclo de vida no válido", ""))))</f>
        <v/>
      </c>
      <c r="AC314" s="56" t="n"/>
      <c r="AD314" s="51" t="n">
        <v>0</v>
      </c>
      <c r="AE314" s="156" t="n"/>
      <c r="AF314" s="51" t="n">
        <v>0</v>
      </c>
      <c r="AG314" s="156" t="inlineStr">
        <is>
          <t>Catálogo existente</t>
        </is>
      </c>
      <c r="AH3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4" s="156" t="inlineStr">
        <is>
          <t>No</t>
        </is>
      </c>
      <c r="AJ314" s="156" t="n"/>
      <c r="AK314" s="155" t="inlineStr">
        <is>
          <t>Criterios: I [Q]; G1522_Extraccion_Articulos_NetSuite_2026-09-30.xlsx: fila 58886 [R] | Shopify Stetson: producto 15054564131179 / variante 53350547751275</t>
        </is>
      </c>
      <c r="AL314" s="58" t="n">
        <v>3301.5</v>
      </c>
      <c r="AM314" s="58" t="n">
        <v>18965.51724</v>
      </c>
      <c r="AN314" s="155" t="inlineStr">
        <is>
          <t>Shopify Stetson México</t>
        </is>
      </c>
      <c r="AO314" s="59" t="n">
        <v>0</v>
      </c>
      <c r="AP314" s="59" t="n"/>
      <c r="AQ314" s="59" t="n"/>
      <c r="AR314" s="155" t="n"/>
    </row>
    <row r="315">
      <c r="A315" s="50" t="inlineStr">
        <is>
          <t>12020004101012265</t>
        </is>
      </c>
      <c r="B315" s="51" t="inlineStr">
        <is>
          <t>111212</t>
        </is>
      </c>
      <c r="C315" s="156" t="inlineStr">
        <is>
          <t>Multimarca</t>
        </is>
      </c>
      <c r="D315" s="156" t="inlineStr">
        <is>
          <t>12-020-BS004-10-1012</t>
        </is>
      </c>
      <c r="E315" s="156" t="inlineStr">
        <is>
          <t>12-020-BS004-10-1012-265</t>
        </is>
      </c>
      <c r="F315" s="156" t="inlineStr">
        <is>
          <t>26.5</t>
        </is>
      </c>
      <c r="G315" s="156" t="inlineStr">
        <is>
          <t>8.5</t>
        </is>
      </c>
      <c r="H315" s="156" t="inlineStr">
        <is>
          <t>Stetson</t>
        </is>
      </c>
      <c r="I315" s="156" t="inlineStr">
        <is>
          <t>Bota Cocodrilo Negro</t>
        </is>
      </c>
      <c r="J315" s="156" t="inlineStr">
        <is>
          <t>Calzado</t>
        </is>
      </c>
      <c r="K315" s="156" t="inlineStr">
        <is>
          <t>Botas</t>
        </is>
      </c>
      <c r="L315" s="156" t="inlineStr">
        <is>
          <t>Hombre</t>
        </is>
      </c>
      <c r="M315" s="156" t="inlineStr">
        <is>
          <t>Stetson</t>
        </is>
      </c>
      <c r="N315" s="156" t="inlineStr">
        <is>
          <t>SS26</t>
        </is>
      </c>
      <c r="O315" s="156" t="inlineStr">
        <is>
          <t>Seasonal</t>
        </is>
      </c>
      <c r="P315" s="156" t="inlineStr">
        <is>
          <t>Negro</t>
        </is>
      </c>
      <c r="Q315" s="156" t="n"/>
      <c r="R315" s="156" t="inlineStr">
        <is>
          <t>Punta Redonda Ancha</t>
        </is>
      </c>
      <c r="S315" s="156" t="inlineStr">
        <is>
          <t>Piel de cocodrilo</t>
        </is>
      </c>
      <c r="T315" s="156" t="inlineStr">
        <is>
          <t>Bota Caballero Piel de cocodrilo Negro Punta Redonda Ancha</t>
        </is>
      </c>
      <c r="U315" s="156" t="inlineStr">
        <is>
          <t>México</t>
        </is>
      </c>
      <c r="V315" s="156" t="inlineStr">
        <is>
          <t>PRS</t>
        </is>
      </c>
      <c r="W315" s="51" t="inlineStr">
        <is>
          <t>53111501</t>
        </is>
      </c>
      <c r="X315" s="156" t="n"/>
      <c r="Y315" s="54" t="n">
        <v>3301.5</v>
      </c>
      <c r="Z315" s="54" t="n">
        <v>18965.51724</v>
      </c>
      <c r="AA315" s="55">
        <f>IF(AND(A315="", B315="", E315=""), "", IF(AB315="", "Válido", IF((LEN(AB315)-LEN(SUBSTITUTE(AB315,"; ","")))/2+1&gt;(LEN(AB315)-LEN(SUBSTITUTE(AB315,"[Aviso]","")))/7, "Con Incidencias", "Válido")))</f>
        <v/>
      </c>
      <c r="AB315" s="56">
        <f>IF(AND(A315="", B315="", E315=""), "", TEXTJOIN("; ", TRUE, IF(OR(TRIM(A315&amp;"")="", ISNUMBER(SEARCH("FALTA", A315))), "UPC faltante/inválido", ""), IF(AND(A315&lt;&gt;"", IFERROR(_xlfn.XMATCH(A315,$A$2:$A$2509,0,1)&lt;&gt;_xlfn.XMATCH(A315,$A$2:$A$2509,0,-1),FALSE)), "Código de barras duplicado", ""), IF(AND(E315&lt;&gt;"", COUNTIF($E$2:$E$2509, E315)&gt;1), "SKU duplicado", ""), IF(OR(J315="", J315=""), "[Aviso] División no capturada ()", IF(ISNA(MATCH(J315, Criterios!$A$123:$A$126, 0)), "División no válida", "")), IF(OR(K315="", K315=""), "[Aviso] Categoría no capturada ()", IF(ISNA(MATCH(K315, Criterios!$A$81:$A$120, 0)), "Categoría no válida", IF(AND(J315&lt;&gt;"", J315&lt;&gt;"", J315&lt;&gt;VLOOKUP(K315, Criterios!$A$81:$B$120, 2, FALSE)), "División no coincide con Categoría", ""))), IF(OR(L315="", L315=""), "[Aviso] Género no capturado ()", IF(ISNA(MATCH(L315, Criterios!$B$123:$B$127, 0)), "Género no válido", "")), IF(OR(N315="", N315=""), "[Aviso] Temporada no capturada ()", IF(ISNA(MATCH(N315, Criterios!$C$123:$C$128, 0)), "Temporada no válida", "")), IF(OR(O315="", O315=""), "[Aviso] Ciclo de vida no capturado ()", IF(ISNA(MATCH(O315, Criterios!$D$123:$D$124, 0)), "Ciclo de vida no válido", ""))))</f>
        <v/>
      </c>
      <c r="AC315" s="56" t="n"/>
      <c r="AD315" s="51" t="n">
        <v>1</v>
      </c>
      <c r="AE315" s="156" t="inlineStr">
        <is>
          <t>STETSON AMERICAS (1)</t>
        </is>
      </c>
      <c r="AF315" s="51" t="n">
        <v>1</v>
      </c>
      <c r="AG315" s="156" t="inlineStr">
        <is>
          <t>Catálogo existente</t>
        </is>
      </c>
      <c r="AH3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5" s="156" t="inlineStr">
        <is>
          <t>No</t>
        </is>
      </c>
      <c r="AJ315" s="156" t="n"/>
      <c r="AK315" s="155" t="inlineStr">
        <is>
          <t>Criterios: I [Q]; G1522_Extraccion_Articulos_NetSuite_2026-09-30.xlsx: fila 58887 [R] | Shopify Stetson: producto 15054564131179 / variante 53350547816811</t>
        </is>
      </c>
      <c r="AL315" s="58" t="n">
        <v>3301.5</v>
      </c>
      <c r="AM315" s="58" t="n">
        <v>18965.51724</v>
      </c>
      <c r="AN315" s="155" t="inlineStr">
        <is>
          <t>Shopify Stetson México</t>
        </is>
      </c>
      <c r="AO315" s="59" t="n">
        <v>1</v>
      </c>
      <c r="AP315" s="59" t="n"/>
      <c r="AQ315" s="59" t="n"/>
      <c r="AR315" s="155" t="inlineStr">
        <is>
          <t>Shopify Stetson México › Stetson Americas: 1</t>
        </is>
      </c>
    </row>
    <row r="316">
      <c r="A316" s="50" t="inlineStr">
        <is>
          <t>12020004101012275</t>
        </is>
      </c>
      <c r="B316" s="51" t="inlineStr">
        <is>
          <t>111213</t>
        </is>
      </c>
      <c r="C316" s="156" t="inlineStr">
        <is>
          <t>Multimarca</t>
        </is>
      </c>
      <c r="D316" s="156" t="inlineStr">
        <is>
          <t>12-020-BS004-10-1012</t>
        </is>
      </c>
      <c r="E316" s="156" t="inlineStr">
        <is>
          <t>12-020-BS004-10-1012-275</t>
        </is>
      </c>
      <c r="F316" s="156" t="inlineStr">
        <is>
          <t>27.5</t>
        </is>
      </c>
      <c r="G316" s="156" t="inlineStr">
        <is>
          <t>9.5</t>
        </is>
      </c>
      <c r="H316" s="156" t="inlineStr">
        <is>
          <t>Stetson</t>
        </is>
      </c>
      <c r="I316" s="156" t="inlineStr">
        <is>
          <t>Bota Cocodrilo Negro</t>
        </is>
      </c>
      <c r="J316" s="156" t="inlineStr">
        <is>
          <t>Calzado</t>
        </is>
      </c>
      <c r="K316" s="156" t="inlineStr">
        <is>
          <t>Botas</t>
        </is>
      </c>
      <c r="L316" s="156" t="inlineStr">
        <is>
          <t>Hombre</t>
        </is>
      </c>
      <c r="M316" s="156" t="inlineStr">
        <is>
          <t>Stetson</t>
        </is>
      </c>
      <c r="N316" s="156" t="inlineStr">
        <is>
          <t>SS26</t>
        </is>
      </c>
      <c r="O316" s="156" t="inlineStr">
        <is>
          <t>Seasonal</t>
        </is>
      </c>
      <c r="P316" s="156" t="inlineStr">
        <is>
          <t>Negro</t>
        </is>
      </c>
      <c r="Q316" s="156" t="n"/>
      <c r="R316" s="156" t="inlineStr">
        <is>
          <t>Punta Redonda Ancha</t>
        </is>
      </c>
      <c r="S316" s="156" t="inlineStr">
        <is>
          <t>Piel de cocodrilo</t>
        </is>
      </c>
      <c r="T316" s="156" t="inlineStr">
        <is>
          <t>Bota Caballero Piel de cocodrilo Negro Punta Redonda Ancha</t>
        </is>
      </c>
      <c r="U316" s="156" t="inlineStr">
        <is>
          <t>México</t>
        </is>
      </c>
      <c r="V316" s="156" t="inlineStr">
        <is>
          <t>PRS</t>
        </is>
      </c>
      <c r="W316" s="51" t="inlineStr">
        <is>
          <t>53111501</t>
        </is>
      </c>
      <c r="X316" s="156" t="n"/>
      <c r="Y316" s="54" t="n">
        <v>3301.5</v>
      </c>
      <c r="Z316" s="54" t="n">
        <v>18965.51724</v>
      </c>
      <c r="AA316" s="55">
        <f>IF(AND(A316="", B316="", E316=""), "", IF(AB316="", "Válido", IF((LEN(AB316)-LEN(SUBSTITUTE(AB316,"; ","")))/2+1&gt;(LEN(AB316)-LEN(SUBSTITUTE(AB316,"[Aviso]","")))/7, "Con Incidencias", "Válido")))</f>
        <v/>
      </c>
      <c r="AB316" s="56">
        <f>IF(AND(A316="", B316="", E316=""), "", TEXTJOIN("; ", TRUE, IF(OR(TRIM(A316&amp;"")="", ISNUMBER(SEARCH("FALTA", A316))), "UPC faltante/inválido", ""), IF(AND(A316&lt;&gt;"", IFERROR(_xlfn.XMATCH(A316,$A$2:$A$2509,0,1)&lt;&gt;_xlfn.XMATCH(A316,$A$2:$A$2509,0,-1),FALSE)), "Código de barras duplicado", ""), IF(AND(E316&lt;&gt;"", COUNTIF($E$2:$E$2509, E316)&gt;1), "SKU duplicado", ""), IF(OR(J316="", J316=""), "[Aviso] División no capturada ()", IF(ISNA(MATCH(J316, Criterios!$A$123:$A$126, 0)), "División no válida", "")), IF(OR(K316="", K316=""), "[Aviso] Categoría no capturada ()", IF(ISNA(MATCH(K316, Criterios!$A$81:$A$120, 0)), "Categoría no válida", IF(AND(J316&lt;&gt;"", J316&lt;&gt;"", J316&lt;&gt;VLOOKUP(K316, Criterios!$A$81:$B$120, 2, FALSE)), "División no coincide con Categoría", ""))), IF(OR(L316="", L316=""), "[Aviso] Género no capturado ()", IF(ISNA(MATCH(L316, Criterios!$B$123:$B$127, 0)), "Género no válido", "")), IF(OR(N316="", N316=""), "[Aviso] Temporada no capturada ()", IF(ISNA(MATCH(N316, Criterios!$C$123:$C$128, 0)), "Temporada no válida", "")), IF(OR(O316="", O316=""), "[Aviso] Ciclo de vida no capturado ()", IF(ISNA(MATCH(O316, Criterios!$D$123:$D$124, 0)), "Ciclo de vida no válido", ""))))</f>
        <v/>
      </c>
      <c r="AC316" s="56" t="n"/>
      <c r="AD316" s="51" t="n">
        <v>1</v>
      </c>
      <c r="AE316" s="156" t="inlineStr">
        <is>
          <t>STETSON AMERICAS (1)</t>
        </is>
      </c>
      <c r="AF316" s="51" t="n">
        <v>1</v>
      </c>
      <c r="AG316" s="156" t="inlineStr">
        <is>
          <t>Catálogo existente</t>
        </is>
      </c>
      <c r="AH3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6" s="156" t="inlineStr">
        <is>
          <t>No</t>
        </is>
      </c>
      <c r="AJ316" s="156" t="n"/>
      <c r="AK316" s="155" t="inlineStr">
        <is>
          <t>Criterios: I [Q]; G1522_Extraccion_Articulos_NetSuite_2026-09-30.xlsx: fila 58888 [R] | Shopify Stetson: producto 15054564131179 / variante 53350547882347</t>
        </is>
      </c>
      <c r="AL316" s="58" t="n">
        <v>3301.5</v>
      </c>
      <c r="AM316" s="58" t="n">
        <v>18965.51724</v>
      </c>
      <c r="AN316" s="155" t="inlineStr">
        <is>
          <t>Shopify Stetson México</t>
        </is>
      </c>
      <c r="AO316" s="59" t="n">
        <v>1</v>
      </c>
      <c r="AP316" s="59" t="n"/>
      <c r="AQ316" s="59" t="n"/>
      <c r="AR316" s="155" t="inlineStr">
        <is>
          <t>Shopify Stetson México › Stetson Americas: 1</t>
        </is>
      </c>
    </row>
    <row r="317">
      <c r="A317" s="50" t="inlineStr">
        <is>
          <t>12020004101012285</t>
        </is>
      </c>
      <c r="B317" s="51" t="inlineStr">
        <is>
          <t>111214</t>
        </is>
      </c>
      <c r="C317" s="156" t="inlineStr">
        <is>
          <t>Multimarca</t>
        </is>
      </c>
      <c r="D317" s="156" t="inlineStr">
        <is>
          <t>12-020-BS004-10-1012</t>
        </is>
      </c>
      <c r="E317" s="156" t="inlineStr">
        <is>
          <t>12-020-BS004-10-1012-285</t>
        </is>
      </c>
      <c r="F317" s="156" t="inlineStr">
        <is>
          <t>28.5</t>
        </is>
      </c>
      <c r="G317" s="156" t="inlineStr">
        <is>
          <t>10.5</t>
        </is>
      </c>
      <c r="H317" s="156" t="inlineStr">
        <is>
          <t>Stetson</t>
        </is>
      </c>
      <c r="I317" s="156" t="inlineStr">
        <is>
          <t>Bota Cocodrilo Negro</t>
        </is>
      </c>
      <c r="J317" s="156" t="inlineStr">
        <is>
          <t>Calzado</t>
        </is>
      </c>
      <c r="K317" s="156" t="inlineStr">
        <is>
          <t>Botas</t>
        </is>
      </c>
      <c r="L317" s="156" t="inlineStr">
        <is>
          <t>Hombre</t>
        </is>
      </c>
      <c r="M317" s="156" t="inlineStr">
        <is>
          <t>Stetson</t>
        </is>
      </c>
      <c r="N317" s="156" t="inlineStr">
        <is>
          <t>SS26</t>
        </is>
      </c>
      <c r="O317" s="156" t="inlineStr">
        <is>
          <t>Seasonal</t>
        </is>
      </c>
      <c r="P317" s="156" t="inlineStr">
        <is>
          <t>Negro</t>
        </is>
      </c>
      <c r="Q317" s="156" t="n"/>
      <c r="R317" s="156" t="inlineStr">
        <is>
          <t>Punta Redonda Ancha</t>
        </is>
      </c>
      <c r="S317" s="156" t="inlineStr">
        <is>
          <t>Piel de cocodrilo</t>
        </is>
      </c>
      <c r="T317" s="156" t="inlineStr">
        <is>
          <t>Bota Caballero Piel de cocodrilo Negro Punta Redonda Ancha</t>
        </is>
      </c>
      <c r="U317" s="156" t="inlineStr">
        <is>
          <t>México</t>
        </is>
      </c>
      <c r="V317" s="156" t="inlineStr">
        <is>
          <t>PRS</t>
        </is>
      </c>
      <c r="W317" s="51" t="inlineStr">
        <is>
          <t>53111501</t>
        </is>
      </c>
      <c r="X317" s="156" t="n"/>
      <c r="Y317" s="54" t="n">
        <v>3301.5</v>
      </c>
      <c r="Z317" s="54" t="n">
        <v>18965.51724</v>
      </c>
      <c r="AA317" s="55">
        <f>IF(AND(A317="", B317="", E317=""), "", IF(AB317="", "Válido", IF((LEN(AB317)-LEN(SUBSTITUTE(AB317,"; ","")))/2+1&gt;(LEN(AB317)-LEN(SUBSTITUTE(AB317,"[Aviso]","")))/7, "Con Incidencias", "Válido")))</f>
        <v/>
      </c>
      <c r="AB317" s="56">
        <f>IF(AND(A317="", B317="", E317=""), "", TEXTJOIN("; ", TRUE, IF(OR(TRIM(A317&amp;"")="", ISNUMBER(SEARCH("FALTA", A317))), "UPC faltante/inválido", ""), IF(AND(A317&lt;&gt;"", IFERROR(_xlfn.XMATCH(A317,$A$2:$A$2509,0,1)&lt;&gt;_xlfn.XMATCH(A317,$A$2:$A$2509,0,-1),FALSE)), "Código de barras duplicado", ""), IF(AND(E317&lt;&gt;"", COUNTIF($E$2:$E$2509, E317)&gt;1), "SKU duplicado", ""), IF(OR(J317="", J317=""), "[Aviso] División no capturada ()", IF(ISNA(MATCH(J317, Criterios!$A$123:$A$126, 0)), "División no válida", "")), IF(OR(K317="", K317=""), "[Aviso] Categoría no capturada ()", IF(ISNA(MATCH(K317, Criterios!$A$81:$A$120, 0)), "Categoría no válida", IF(AND(J317&lt;&gt;"", J317&lt;&gt;"", J317&lt;&gt;VLOOKUP(K317, Criterios!$A$81:$B$120, 2, FALSE)), "División no coincide con Categoría", ""))), IF(OR(L317="", L317=""), "[Aviso] Género no capturado ()", IF(ISNA(MATCH(L317, Criterios!$B$123:$B$127, 0)), "Género no válido", "")), IF(OR(N317="", N317=""), "[Aviso] Temporada no capturada ()", IF(ISNA(MATCH(N317, Criterios!$C$123:$C$128, 0)), "Temporada no válida", "")), IF(OR(O317="", O317=""), "[Aviso] Ciclo de vida no capturado ()", IF(ISNA(MATCH(O317, Criterios!$D$123:$D$124, 0)), "Ciclo de vida no válido", ""))))</f>
        <v/>
      </c>
      <c r="AC317" s="56" t="n"/>
      <c r="AD317" s="51" t="n">
        <v>0</v>
      </c>
      <c r="AE317" s="156" t="n"/>
      <c r="AF317" s="51" t="n">
        <v>0</v>
      </c>
      <c r="AG317" s="156" t="inlineStr">
        <is>
          <t>Catálogo existente</t>
        </is>
      </c>
      <c r="AH3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7" s="156" t="inlineStr">
        <is>
          <t>No</t>
        </is>
      </c>
      <c r="AJ317" s="156" t="n"/>
      <c r="AK317" s="155" t="inlineStr">
        <is>
          <t>Criterios: I [Q]; G1522_Extraccion_Articulos_NetSuite_2026-09-30.xlsx: fila 58889 [R] | Shopify Stetson: producto 15054564131179 / variante 53350547947883</t>
        </is>
      </c>
      <c r="AL317" s="58" t="n">
        <v>3301.5</v>
      </c>
      <c r="AM317" s="58" t="n">
        <v>18965.51724</v>
      </c>
      <c r="AN317" s="155" t="inlineStr">
        <is>
          <t>Shopify Stetson México</t>
        </is>
      </c>
      <c r="AO317" s="59" t="n">
        <v>0</v>
      </c>
      <c r="AP317" s="59" t="n"/>
      <c r="AQ317" s="59" t="n"/>
      <c r="AR317" s="155" t="n"/>
    </row>
    <row r="318">
      <c r="A318" s="50" t="inlineStr">
        <is>
          <t>12020004101012295</t>
        </is>
      </c>
      <c r="B318" s="51" t="inlineStr">
        <is>
          <t>111215</t>
        </is>
      </c>
      <c r="C318" s="156" t="inlineStr">
        <is>
          <t>Multimarca</t>
        </is>
      </c>
      <c r="D318" s="156" t="inlineStr">
        <is>
          <t>12-020-BS004-10-1012</t>
        </is>
      </c>
      <c r="E318" s="156" t="inlineStr">
        <is>
          <t>12-020-BS004-10-1012-295</t>
        </is>
      </c>
      <c r="F318" s="156" t="inlineStr">
        <is>
          <t>29.5</t>
        </is>
      </c>
      <c r="G318" s="156" t="inlineStr">
        <is>
          <t>11.5</t>
        </is>
      </c>
      <c r="H318" s="156" t="inlineStr">
        <is>
          <t>Stetson</t>
        </is>
      </c>
      <c r="I318" s="156" t="inlineStr">
        <is>
          <t>Bota Cocodrilo Negro</t>
        </is>
      </c>
      <c r="J318" s="156" t="inlineStr">
        <is>
          <t>Calzado</t>
        </is>
      </c>
      <c r="K318" s="156" t="inlineStr">
        <is>
          <t>Botas</t>
        </is>
      </c>
      <c r="L318" s="156" t="inlineStr">
        <is>
          <t>Hombre</t>
        </is>
      </c>
      <c r="M318" s="156" t="inlineStr">
        <is>
          <t>Stetson</t>
        </is>
      </c>
      <c r="N318" s="156" t="inlineStr">
        <is>
          <t>SS26</t>
        </is>
      </c>
      <c r="O318" s="156" t="inlineStr">
        <is>
          <t>Seasonal</t>
        </is>
      </c>
      <c r="P318" s="156" t="inlineStr">
        <is>
          <t>Negro</t>
        </is>
      </c>
      <c r="Q318" s="156" t="n"/>
      <c r="R318" s="156" t="inlineStr">
        <is>
          <t>Punta Redonda Ancha</t>
        </is>
      </c>
      <c r="S318" s="156" t="inlineStr">
        <is>
          <t>Piel de cocodrilo</t>
        </is>
      </c>
      <c r="T318" s="156" t="inlineStr">
        <is>
          <t>Bota Caballero Piel de cocodrilo Negro Punta Redonda Ancha</t>
        </is>
      </c>
      <c r="U318" s="156" t="inlineStr">
        <is>
          <t>México</t>
        </is>
      </c>
      <c r="V318" s="156" t="inlineStr">
        <is>
          <t>PRS</t>
        </is>
      </c>
      <c r="W318" s="51" t="inlineStr">
        <is>
          <t>53111501</t>
        </is>
      </c>
      <c r="X318" s="156" t="n"/>
      <c r="Y318" s="54" t="n">
        <v>3301.5</v>
      </c>
      <c r="Z318" s="54" t="n">
        <v>18965.51724</v>
      </c>
      <c r="AA318" s="55">
        <f>IF(AND(A318="", B318="", E318=""), "", IF(AB318="", "Válido", IF((LEN(AB318)-LEN(SUBSTITUTE(AB318,"; ","")))/2+1&gt;(LEN(AB318)-LEN(SUBSTITUTE(AB318,"[Aviso]","")))/7, "Con Incidencias", "Válido")))</f>
        <v/>
      </c>
      <c r="AB318" s="56">
        <f>IF(AND(A318="", B318="", E318=""), "", TEXTJOIN("; ", TRUE, IF(OR(TRIM(A318&amp;"")="", ISNUMBER(SEARCH("FALTA", A318))), "UPC faltante/inválido", ""), IF(AND(A318&lt;&gt;"", IFERROR(_xlfn.XMATCH(A318,$A$2:$A$2509,0,1)&lt;&gt;_xlfn.XMATCH(A318,$A$2:$A$2509,0,-1),FALSE)), "Código de barras duplicado", ""), IF(AND(E318&lt;&gt;"", COUNTIF($E$2:$E$2509, E318)&gt;1), "SKU duplicado", ""), IF(OR(J318="", J318=""), "[Aviso] División no capturada ()", IF(ISNA(MATCH(J318, Criterios!$A$123:$A$126, 0)), "División no válida", "")), IF(OR(K318="", K318=""), "[Aviso] Categoría no capturada ()", IF(ISNA(MATCH(K318, Criterios!$A$81:$A$120, 0)), "Categoría no válida", IF(AND(J318&lt;&gt;"", J318&lt;&gt;"", J318&lt;&gt;VLOOKUP(K318, Criterios!$A$81:$B$120, 2, FALSE)), "División no coincide con Categoría", ""))), IF(OR(L318="", L318=""), "[Aviso] Género no capturado ()", IF(ISNA(MATCH(L318, Criterios!$B$123:$B$127, 0)), "Género no válido", "")), IF(OR(N318="", N318=""), "[Aviso] Temporada no capturada ()", IF(ISNA(MATCH(N318, Criterios!$C$123:$C$128, 0)), "Temporada no válida", "")), IF(OR(O318="", O318=""), "[Aviso] Ciclo de vida no capturado ()", IF(ISNA(MATCH(O318, Criterios!$D$123:$D$124, 0)), "Ciclo de vida no válido", ""))))</f>
        <v/>
      </c>
      <c r="AC318" s="56" t="n"/>
      <c r="AD318" s="51" t="n">
        <v>0</v>
      </c>
      <c r="AE318" s="156" t="n"/>
      <c r="AF318" s="51" t="n">
        <v>0</v>
      </c>
      <c r="AG318" s="156" t="inlineStr">
        <is>
          <t>Catálogo existente</t>
        </is>
      </c>
      <c r="AH3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8" s="156" t="inlineStr">
        <is>
          <t>No</t>
        </is>
      </c>
      <c r="AJ318" s="156" t="n"/>
      <c r="AK318" s="155" t="inlineStr">
        <is>
          <t>Criterios: I [Q]; G1522_Extraccion_Articulos_NetSuite_2026-09-30.xlsx: fila 58890 [R] | Shopify Stetson: producto 15054564131179 / variante 53350548013419</t>
        </is>
      </c>
      <c r="AL318" s="58" t="n">
        <v>3301.5</v>
      </c>
      <c r="AM318" s="58" t="n">
        <v>18965.51724</v>
      </c>
      <c r="AN318" s="155" t="inlineStr">
        <is>
          <t>Shopify Stetson México</t>
        </is>
      </c>
      <c r="AO318" s="59" t="n">
        <v>0</v>
      </c>
      <c r="AP318" s="59" t="n"/>
      <c r="AQ318" s="59" t="n"/>
      <c r="AR318" s="155" t="n"/>
    </row>
    <row r="319">
      <c r="A319" s="50" t="inlineStr">
        <is>
          <t>12020004101012305</t>
        </is>
      </c>
      <c r="B319" s="51" t="inlineStr">
        <is>
          <t>111216</t>
        </is>
      </c>
      <c r="C319" s="156" t="inlineStr">
        <is>
          <t>Multimarca</t>
        </is>
      </c>
      <c r="D319" s="156" t="inlineStr">
        <is>
          <t>12-020-BS004-10-1012</t>
        </is>
      </c>
      <c r="E319" s="156" t="inlineStr">
        <is>
          <t>12-020-BS004-10-1012-305</t>
        </is>
      </c>
      <c r="F319" s="156" t="inlineStr">
        <is>
          <t>30.5</t>
        </is>
      </c>
      <c r="G319" s="156" t="inlineStr">
        <is>
          <t>12.5</t>
        </is>
      </c>
      <c r="H319" s="156" t="inlineStr">
        <is>
          <t>Stetson</t>
        </is>
      </c>
      <c r="I319" s="156" t="inlineStr">
        <is>
          <t>Bota Cocodrilo Negro</t>
        </is>
      </c>
      <c r="J319" s="156" t="inlineStr">
        <is>
          <t>Calzado</t>
        </is>
      </c>
      <c r="K319" s="156" t="inlineStr">
        <is>
          <t>Botas</t>
        </is>
      </c>
      <c r="L319" s="156" t="inlineStr">
        <is>
          <t>Hombre</t>
        </is>
      </c>
      <c r="M319" s="156" t="inlineStr">
        <is>
          <t>Stetson</t>
        </is>
      </c>
      <c r="N319" s="156" t="inlineStr">
        <is>
          <t>SS26</t>
        </is>
      </c>
      <c r="O319" s="156" t="inlineStr">
        <is>
          <t>Seasonal</t>
        </is>
      </c>
      <c r="P319" s="156" t="inlineStr">
        <is>
          <t>Negro</t>
        </is>
      </c>
      <c r="Q319" s="156" t="n"/>
      <c r="R319" s="156" t="inlineStr">
        <is>
          <t>Punta Redonda Ancha</t>
        </is>
      </c>
      <c r="S319" s="156" t="inlineStr">
        <is>
          <t>Piel de cocodrilo</t>
        </is>
      </c>
      <c r="T319" s="156" t="inlineStr">
        <is>
          <t>Bota Caballero Piel de cocodrilo Negro Punta Redonda Ancha</t>
        </is>
      </c>
      <c r="U319" s="156" t="inlineStr">
        <is>
          <t>México</t>
        </is>
      </c>
      <c r="V319" s="156" t="inlineStr">
        <is>
          <t>PRS</t>
        </is>
      </c>
      <c r="W319" s="51" t="inlineStr">
        <is>
          <t>53111501</t>
        </is>
      </c>
      <c r="X319" s="156" t="n"/>
      <c r="Y319" s="54" t="n">
        <v>3301.5</v>
      </c>
      <c r="Z319" s="54" t="n">
        <v>18965.51724</v>
      </c>
      <c r="AA319" s="55">
        <f>IF(AND(A319="", B319="", E319=""), "", IF(AB319="", "Válido", IF((LEN(AB319)-LEN(SUBSTITUTE(AB319,"; ","")))/2+1&gt;(LEN(AB319)-LEN(SUBSTITUTE(AB319,"[Aviso]","")))/7, "Con Incidencias", "Válido")))</f>
        <v/>
      </c>
      <c r="AB319" s="56">
        <f>IF(AND(A319="", B319="", E319=""), "", TEXTJOIN("; ", TRUE, IF(OR(TRIM(A319&amp;"")="", ISNUMBER(SEARCH("FALTA", A319))), "UPC faltante/inválido", ""), IF(AND(A319&lt;&gt;"", IFERROR(_xlfn.XMATCH(A319,$A$2:$A$2509,0,1)&lt;&gt;_xlfn.XMATCH(A319,$A$2:$A$2509,0,-1),FALSE)), "Código de barras duplicado", ""), IF(AND(E319&lt;&gt;"", COUNTIF($E$2:$E$2509, E319)&gt;1), "SKU duplicado", ""), IF(OR(J319="", J319=""), "[Aviso] División no capturada ()", IF(ISNA(MATCH(J319, Criterios!$A$123:$A$126, 0)), "División no válida", "")), IF(OR(K319="", K319=""), "[Aviso] Categoría no capturada ()", IF(ISNA(MATCH(K319, Criterios!$A$81:$A$120, 0)), "Categoría no válida", IF(AND(J319&lt;&gt;"", J319&lt;&gt;"", J319&lt;&gt;VLOOKUP(K319, Criterios!$A$81:$B$120, 2, FALSE)), "División no coincide con Categoría", ""))), IF(OR(L319="", L319=""), "[Aviso] Género no capturado ()", IF(ISNA(MATCH(L319, Criterios!$B$123:$B$127, 0)), "Género no válido", "")), IF(OR(N319="", N319=""), "[Aviso] Temporada no capturada ()", IF(ISNA(MATCH(N319, Criterios!$C$123:$C$128, 0)), "Temporada no válida", "")), IF(OR(O319="", O319=""), "[Aviso] Ciclo de vida no capturado ()", IF(ISNA(MATCH(O319, Criterios!$D$123:$D$124, 0)), "Ciclo de vida no válido", ""))))</f>
        <v/>
      </c>
      <c r="AC319" s="56" t="n"/>
      <c r="AD319" s="51" t="n">
        <v>0</v>
      </c>
      <c r="AE319" s="156" t="n"/>
      <c r="AF319" s="51" t="n">
        <v>0</v>
      </c>
      <c r="AG319" s="156" t="inlineStr">
        <is>
          <t>Catálogo existente</t>
        </is>
      </c>
      <c r="AH3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9" s="156" t="inlineStr">
        <is>
          <t>No</t>
        </is>
      </c>
      <c r="AJ319" s="156" t="n"/>
      <c r="AK319" s="155" t="inlineStr">
        <is>
          <t>Criterios: I [Q]; G1522_Extraccion_Articulos_NetSuite_2026-09-30.xlsx: fila 58891 [R] | Shopify Stetson: producto 15054564131179 / variante 53350548078955</t>
        </is>
      </c>
      <c r="AL319" s="58" t="n">
        <v>3301.5</v>
      </c>
      <c r="AM319" s="58" t="n">
        <v>18965.51724</v>
      </c>
      <c r="AN319" s="155" t="inlineStr">
        <is>
          <t>Shopify Stetson México</t>
        </is>
      </c>
      <c r="AO319" s="59" t="n">
        <v>0</v>
      </c>
      <c r="AP319" s="59" t="n"/>
      <c r="AQ319" s="59" t="n"/>
      <c r="AR319" s="155" t="n"/>
    </row>
    <row r="320">
      <c r="A320" s="50" t="inlineStr">
        <is>
          <t>12020004101012315</t>
        </is>
      </c>
      <c r="B320" s="51" t="inlineStr">
        <is>
          <t>111217</t>
        </is>
      </c>
      <c r="C320" s="156" t="inlineStr">
        <is>
          <t>Multimarca</t>
        </is>
      </c>
      <c r="D320" s="156" t="inlineStr">
        <is>
          <t>12-020-BS004-10-1012</t>
        </is>
      </c>
      <c r="E320" s="156" t="inlineStr">
        <is>
          <t>12-020-BS004-10-1012-315</t>
        </is>
      </c>
      <c r="F320" s="156" t="inlineStr">
        <is>
          <t>31.5</t>
        </is>
      </c>
      <c r="G320" s="156" t="inlineStr">
        <is>
          <t>13.5</t>
        </is>
      </c>
      <c r="H320" s="156" t="inlineStr">
        <is>
          <t>Stetson</t>
        </is>
      </c>
      <c r="I320" s="156" t="inlineStr">
        <is>
          <t>Bota Cocodrilo Negro</t>
        </is>
      </c>
      <c r="J320" s="156" t="inlineStr">
        <is>
          <t>Calzado</t>
        </is>
      </c>
      <c r="K320" s="156" t="inlineStr">
        <is>
          <t>Botas</t>
        </is>
      </c>
      <c r="L320" s="156" t="inlineStr">
        <is>
          <t>Hombre</t>
        </is>
      </c>
      <c r="M320" s="156" t="inlineStr">
        <is>
          <t>Stetson</t>
        </is>
      </c>
      <c r="N320" s="156" t="inlineStr">
        <is>
          <t>SS26</t>
        </is>
      </c>
      <c r="O320" s="156" t="inlineStr">
        <is>
          <t>Seasonal</t>
        </is>
      </c>
      <c r="P320" s="156" t="inlineStr">
        <is>
          <t>Negro</t>
        </is>
      </c>
      <c r="Q320" s="156" t="n"/>
      <c r="R320" s="156" t="inlineStr">
        <is>
          <t>Punta Redonda Ancha</t>
        </is>
      </c>
      <c r="S320" s="156" t="inlineStr">
        <is>
          <t>Piel de cocodrilo</t>
        </is>
      </c>
      <c r="T320" s="156" t="inlineStr">
        <is>
          <t>Bota Caballero Piel de cocodrilo Negro Punta Redonda Ancha</t>
        </is>
      </c>
      <c r="U320" s="156" t="inlineStr">
        <is>
          <t>México</t>
        </is>
      </c>
      <c r="V320" s="156" t="inlineStr">
        <is>
          <t>PRS</t>
        </is>
      </c>
      <c r="W320" s="51" t="inlineStr">
        <is>
          <t>53111501</t>
        </is>
      </c>
      <c r="X320" s="156" t="n"/>
      <c r="Y320" s="54" t="n">
        <v>3301.5</v>
      </c>
      <c r="Z320" s="54" t="n">
        <v>18965.51724</v>
      </c>
      <c r="AA320" s="55">
        <f>IF(AND(A320="", B320="", E320=""), "", IF(AB320="", "Válido", IF((LEN(AB320)-LEN(SUBSTITUTE(AB320,"; ","")))/2+1&gt;(LEN(AB320)-LEN(SUBSTITUTE(AB320,"[Aviso]","")))/7, "Con Incidencias", "Válido")))</f>
        <v/>
      </c>
      <c r="AB320" s="56">
        <f>IF(AND(A320="", B320="", E320=""), "", TEXTJOIN("; ", TRUE, IF(OR(TRIM(A320&amp;"")="", ISNUMBER(SEARCH("FALTA", A320))), "UPC faltante/inválido", ""), IF(AND(A320&lt;&gt;"", IFERROR(_xlfn.XMATCH(A320,$A$2:$A$2509,0,1)&lt;&gt;_xlfn.XMATCH(A320,$A$2:$A$2509,0,-1),FALSE)), "Código de barras duplicado", ""), IF(AND(E320&lt;&gt;"", COUNTIF($E$2:$E$2509, E320)&gt;1), "SKU duplicado", ""), IF(OR(J320="", J320=""), "[Aviso] División no capturada ()", IF(ISNA(MATCH(J320, Criterios!$A$123:$A$126, 0)), "División no válida", "")), IF(OR(K320="", K320=""), "[Aviso] Categoría no capturada ()", IF(ISNA(MATCH(K320, Criterios!$A$81:$A$120, 0)), "Categoría no válida", IF(AND(J320&lt;&gt;"", J320&lt;&gt;"", J320&lt;&gt;VLOOKUP(K320, Criterios!$A$81:$B$120, 2, FALSE)), "División no coincide con Categoría", ""))), IF(OR(L320="", L320=""), "[Aviso] Género no capturado ()", IF(ISNA(MATCH(L320, Criterios!$B$123:$B$127, 0)), "Género no válido", "")), IF(OR(N320="", N320=""), "[Aviso] Temporada no capturada ()", IF(ISNA(MATCH(N320, Criterios!$C$123:$C$128, 0)), "Temporada no válida", "")), IF(OR(O320="", O320=""), "[Aviso] Ciclo de vida no capturado ()", IF(ISNA(MATCH(O320, Criterios!$D$123:$D$124, 0)), "Ciclo de vida no válido", ""))))</f>
        <v/>
      </c>
      <c r="AC320" s="56" t="n"/>
      <c r="AD320" s="51" t="n">
        <v>0</v>
      </c>
      <c r="AE320" s="156" t="n"/>
      <c r="AF320" s="51" t="n">
        <v>0</v>
      </c>
      <c r="AG320" s="156" t="inlineStr">
        <is>
          <t>Catálogo existente</t>
        </is>
      </c>
      <c r="AH3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0" s="156" t="inlineStr">
        <is>
          <t>No</t>
        </is>
      </c>
      <c r="AJ320" s="156" t="n"/>
      <c r="AK320" s="155" t="inlineStr">
        <is>
          <t>Criterios: I [Q]; G1522_Extraccion_Articulos_NetSuite_2026-09-30.xlsx: fila 58892 [R] | Shopify Stetson: producto 15054564131179 / variante 53350548144491</t>
        </is>
      </c>
      <c r="AL320" s="58" t="n">
        <v>3301.5</v>
      </c>
      <c r="AM320" s="58" t="n">
        <v>18965.51724</v>
      </c>
      <c r="AN320" s="155" t="inlineStr">
        <is>
          <t>Shopify Stetson México</t>
        </is>
      </c>
      <c r="AO320" s="59" t="n">
        <v>0</v>
      </c>
      <c r="AP320" s="59" t="n"/>
      <c r="AQ320" s="59" t="n"/>
      <c r="AR320" s="155" t="n"/>
    </row>
    <row r="321">
      <c r="A321" s="50" t="inlineStr">
        <is>
          <t>12020004101012325</t>
        </is>
      </c>
      <c r="B321" s="51" t="inlineStr">
        <is>
          <t>111218</t>
        </is>
      </c>
      <c r="C321" s="156" t="inlineStr">
        <is>
          <t>Multimarca</t>
        </is>
      </c>
      <c r="D321" s="156" t="inlineStr">
        <is>
          <t>12-020-BS004-10-1012</t>
        </is>
      </c>
      <c r="E321" s="156" t="inlineStr">
        <is>
          <t>12-020-BS004-10-1012-325</t>
        </is>
      </c>
      <c r="F321" s="156" t="inlineStr">
        <is>
          <t>32.5</t>
        </is>
      </c>
      <c r="G321" s="156" t="inlineStr">
        <is>
          <t>14.5</t>
        </is>
      </c>
      <c r="H321" s="156" t="inlineStr">
        <is>
          <t>Stetson</t>
        </is>
      </c>
      <c r="I321" s="156" t="inlineStr">
        <is>
          <t>Bota Cocodrilo Negro</t>
        </is>
      </c>
      <c r="J321" s="156" t="inlineStr">
        <is>
          <t>Calzado</t>
        </is>
      </c>
      <c r="K321" s="156" t="inlineStr">
        <is>
          <t>Botas</t>
        </is>
      </c>
      <c r="L321" s="156" t="inlineStr">
        <is>
          <t>Hombre</t>
        </is>
      </c>
      <c r="M321" s="156" t="inlineStr">
        <is>
          <t>Stetson</t>
        </is>
      </c>
      <c r="N321" s="156" t="inlineStr">
        <is>
          <t>SS26</t>
        </is>
      </c>
      <c r="O321" s="156" t="inlineStr">
        <is>
          <t>Seasonal</t>
        </is>
      </c>
      <c r="P321" s="156" t="inlineStr">
        <is>
          <t>Negro</t>
        </is>
      </c>
      <c r="Q321" s="156" t="n"/>
      <c r="R321" s="156" t="inlineStr">
        <is>
          <t>Punta Redonda Ancha</t>
        </is>
      </c>
      <c r="S321" s="156" t="inlineStr">
        <is>
          <t>Piel de cocodrilo</t>
        </is>
      </c>
      <c r="T321" s="156" t="inlineStr">
        <is>
          <t>Bota Caballero Piel de cocodrilo Negro Punta Redonda Ancha</t>
        </is>
      </c>
      <c r="U321" s="156" t="inlineStr">
        <is>
          <t>México</t>
        </is>
      </c>
      <c r="V321" s="156" t="inlineStr">
        <is>
          <t>PRS</t>
        </is>
      </c>
      <c r="W321" s="51" t="inlineStr">
        <is>
          <t>53111501</t>
        </is>
      </c>
      <c r="X321" s="156" t="n"/>
      <c r="Y321" s="54" t="n">
        <v>3301.5</v>
      </c>
      <c r="Z321" s="54" t="n">
        <v>18965.51724</v>
      </c>
      <c r="AA321" s="55">
        <f>IF(AND(A321="", B321="", E321=""), "", IF(AB321="", "Válido", IF((LEN(AB321)-LEN(SUBSTITUTE(AB321,"; ","")))/2+1&gt;(LEN(AB321)-LEN(SUBSTITUTE(AB321,"[Aviso]","")))/7, "Con Incidencias", "Válido")))</f>
        <v/>
      </c>
      <c r="AB321" s="56">
        <f>IF(AND(A321="", B321="", E321=""), "", TEXTJOIN("; ", TRUE, IF(OR(TRIM(A321&amp;"")="", ISNUMBER(SEARCH("FALTA", A321))), "UPC faltante/inválido", ""), IF(AND(A321&lt;&gt;"", IFERROR(_xlfn.XMATCH(A321,$A$2:$A$2509,0,1)&lt;&gt;_xlfn.XMATCH(A321,$A$2:$A$2509,0,-1),FALSE)), "Código de barras duplicado", ""), IF(AND(E321&lt;&gt;"", COUNTIF($E$2:$E$2509, E321)&gt;1), "SKU duplicado", ""), IF(OR(J321="", J321=""), "[Aviso] División no capturada ()", IF(ISNA(MATCH(J321, Criterios!$A$123:$A$126, 0)), "División no válida", "")), IF(OR(K321="", K321=""), "[Aviso] Categoría no capturada ()", IF(ISNA(MATCH(K321, Criterios!$A$81:$A$120, 0)), "Categoría no válida", IF(AND(J321&lt;&gt;"", J321&lt;&gt;"", J321&lt;&gt;VLOOKUP(K321, Criterios!$A$81:$B$120, 2, FALSE)), "División no coincide con Categoría", ""))), IF(OR(L321="", L321=""), "[Aviso] Género no capturado ()", IF(ISNA(MATCH(L321, Criterios!$B$123:$B$127, 0)), "Género no válido", "")), IF(OR(N321="", N321=""), "[Aviso] Temporada no capturada ()", IF(ISNA(MATCH(N321, Criterios!$C$123:$C$128, 0)), "Temporada no válida", "")), IF(OR(O321="", O321=""), "[Aviso] Ciclo de vida no capturado ()", IF(ISNA(MATCH(O321, Criterios!$D$123:$D$124, 0)), "Ciclo de vida no válido", ""))))</f>
        <v/>
      </c>
      <c r="AC321" s="56" t="n"/>
      <c r="AD321" s="51" t="n">
        <v>0</v>
      </c>
      <c r="AE321" s="156" t="n"/>
      <c r="AF321" s="51" t="n">
        <v>0</v>
      </c>
      <c r="AG321" s="156" t="inlineStr">
        <is>
          <t>Catálogo existente</t>
        </is>
      </c>
      <c r="AH3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1" s="156" t="inlineStr">
        <is>
          <t>No</t>
        </is>
      </c>
      <c r="AJ321" s="156" t="n"/>
      <c r="AK321" s="155" t="inlineStr">
        <is>
          <t>Criterios: I [Q]; G1522_Extraccion_Articulos_NetSuite_2026-09-30.xlsx: fila 58893 [R] | Shopify Stetson: producto 15054564131179 / variante 53350548210027</t>
        </is>
      </c>
      <c r="AL321" s="58" t="n">
        <v>3301.5</v>
      </c>
      <c r="AM321" s="58" t="n">
        <v>18965.51724</v>
      </c>
      <c r="AN321" s="155" t="inlineStr">
        <is>
          <t>Shopify Stetson México</t>
        </is>
      </c>
      <c r="AO321" s="59" t="n">
        <v>0</v>
      </c>
      <c r="AP321" s="59" t="n"/>
      <c r="AQ321" s="59" t="n"/>
      <c r="AR321" s="155" t="n"/>
    </row>
    <row r="322">
      <c r="A322" s="50" t="inlineStr">
        <is>
          <t>12020004101013025</t>
        </is>
      </c>
      <c r="B322" s="51" t="inlineStr">
        <is>
          <t>111219</t>
        </is>
      </c>
      <c r="C322" s="156" t="inlineStr">
        <is>
          <t>Multimarca</t>
        </is>
      </c>
      <c r="D322" s="156" t="inlineStr">
        <is>
          <t>12-020-BS004-10-1013</t>
        </is>
      </c>
      <c r="E322" s="156" t="inlineStr">
        <is>
          <t>12-020-BS004-10-1013-025</t>
        </is>
      </c>
      <c r="F322" s="156" t="inlineStr">
        <is>
          <t>25</t>
        </is>
      </c>
      <c r="G322" s="156" t="inlineStr">
        <is>
          <t>7</t>
        </is>
      </c>
      <c r="H322" s="156" t="inlineStr">
        <is>
          <t>Stetson</t>
        </is>
      </c>
      <c r="I322" s="156" t="inlineStr">
        <is>
          <t>Bota Cocodrilo Chocolate</t>
        </is>
      </c>
      <c r="J322" s="156" t="inlineStr">
        <is>
          <t>Calzado</t>
        </is>
      </c>
      <c r="K322" s="156" t="inlineStr">
        <is>
          <t>Botas</t>
        </is>
      </c>
      <c r="L322" s="156" t="inlineStr">
        <is>
          <t>Hombre</t>
        </is>
      </c>
      <c r="M322" s="156" t="inlineStr">
        <is>
          <t>Stetson</t>
        </is>
      </c>
      <c r="N322" s="156" t="inlineStr">
        <is>
          <t>SS26</t>
        </is>
      </c>
      <c r="O322" s="156" t="inlineStr">
        <is>
          <t>Seasonal</t>
        </is>
      </c>
      <c r="P322" s="156" t="inlineStr">
        <is>
          <t>Cafe</t>
        </is>
      </c>
      <c r="Q322" s="156" t="n"/>
      <c r="R322" s="156" t="inlineStr">
        <is>
          <t>Punta Redonda Ancha</t>
        </is>
      </c>
      <c r="S322" s="156" t="inlineStr">
        <is>
          <t>Piel de cocodrilo</t>
        </is>
      </c>
      <c r="T322" s="156" t="inlineStr">
        <is>
          <t>Bota Caballero Piel de cocodrilo Chocolate Punta Redonda Ancha</t>
        </is>
      </c>
      <c r="U322" s="156" t="inlineStr">
        <is>
          <t>México</t>
        </is>
      </c>
      <c r="V322" s="156" t="inlineStr">
        <is>
          <t>PRS</t>
        </is>
      </c>
      <c r="W322" s="51" t="inlineStr">
        <is>
          <t>53111501</t>
        </is>
      </c>
      <c r="X322" s="156" t="n"/>
      <c r="Y322" s="54" t="n">
        <v>3301.5</v>
      </c>
      <c r="Z322" s="54" t="n">
        <v>18965.51724</v>
      </c>
      <c r="AA322" s="55">
        <f>IF(AND(A322="", B322="", E322=""), "", IF(AB322="", "Válido", IF((LEN(AB322)-LEN(SUBSTITUTE(AB322,"; ","")))/2+1&gt;(LEN(AB322)-LEN(SUBSTITUTE(AB322,"[Aviso]","")))/7, "Con Incidencias", "Válido")))</f>
        <v/>
      </c>
      <c r="AB322" s="56">
        <f>IF(AND(A322="", B322="", E322=""), "", TEXTJOIN("; ", TRUE, IF(OR(TRIM(A322&amp;"")="", ISNUMBER(SEARCH("FALTA", A322))), "UPC faltante/inválido", ""), IF(AND(A322&lt;&gt;"", IFERROR(_xlfn.XMATCH(A322,$A$2:$A$2509,0,1)&lt;&gt;_xlfn.XMATCH(A322,$A$2:$A$2509,0,-1),FALSE)), "Código de barras duplicado", ""), IF(AND(E322&lt;&gt;"", COUNTIF($E$2:$E$2509, E322)&gt;1), "SKU duplicado", ""), IF(OR(J322="", J322=""), "[Aviso] División no capturada ()", IF(ISNA(MATCH(J322, Criterios!$A$123:$A$126, 0)), "División no válida", "")), IF(OR(K322="", K322=""), "[Aviso] Categoría no capturada ()", IF(ISNA(MATCH(K322, Criterios!$A$81:$A$120, 0)), "Categoría no válida", IF(AND(J322&lt;&gt;"", J322&lt;&gt;"", J322&lt;&gt;VLOOKUP(K322, Criterios!$A$81:$B$120, 2, FALSE)), "División no coincide con Categoría", ""))), IF(OR(L322="", L322=""), "[Aviso] Género no capturado ()", IF(ISNA(MATCH(L322, Criterios!$B$123:$B$127, 0)), "Género no válido", "")), IF(OR(N322="", N322=""), "[Aviso] Temporada no capturada ()", IF(ISNA(MATCH(N322, Criterios!$C$123:$C$128, 0)), "Temporada no válida", "")), IF(OR(O322="", O322=""), "[Aviso] Ciclo de vida no capturado ()", IF(ISNA(MATCH(O322, Criterios!$D$123:$D$124, 0)), "Ciclo de vida no válido", ""))))</f>
        <v/>
      </c>
      <c r="AC322" s="56" t="n"/>
      <c r="AD322" s="51" t="n">
        <v>0</v>
      </c>
      <c r="AE322" s="156" t="n"/>
      <c r="AF322" s="51" t="n">
        <v>0</v>
      </c>
      <c r="AG322" s="156" t="inlineStr">
        <is>
          <t>Catálogo existente</t>
        </is>
      </c>
      <c r="AH3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2" s="156" t="inlineStr">
        <is>
          <t>No</t>
        </is>
      </c>
      <c r="AJ322" s="156" t="n"/>
      <c r="AK322" s="155" t="inlineStr">
        <is>
          <t>Criterios: I [Q]; G1522_Extraccion_Articulos_NetSuite_2026-09-30.xlsx: fila 58894 [R] | Shopify Stetson: producto 15054564163947 / variante 53350548242795</t>
        </is>
      </c>
      <c r="AL322" s="58" t="n">
        <v>3301.5</v>
      </c>
      <c r="AM322" s="58" t="n">
        <v>18965.51724</v>
      </c>
      <c r="AN322" s="155" t="inlineStr">
        <is>
          <t>Shopify Stetson México</t>
        </is>
      </c>
      <c r="AO322" s="59" t="n">
        <v>0</v>
      </c>
      <c r="AP322" s="59" t="n"/>
      <c r="AQ322" s="59" t="n"/>
      <c r="AR322" s="155" t="n"/>
    </row>
    <row r="323">
      <c r="A323" s="50" t="inlineStr">
        <is>
          <t>12020004101013026</t>
        </is>
      </c>
      <c r="B323" s="51" t="inlineStr">
        <is>
          <t>111220</t>
        </is>
      </c>
      <c r="C323" s="156" t="inlineStr">
        <is>
          <t>Multimarca</t>
        </is>
      </c>
      <c r="D323" s="156" t="inlineStr">
        <is>
          <t>12-020-BS004-10-1013</t>
        </is>
      </c>
      <c r="E323" s="156" t="inlineStr">
        <is>
          <t>12-020-BS004-10-1013-026</t>
        </is>
      </c>
      <c r="F323" s="156" t="inlineStr">
        <is>
          <t>26</t>
        </is>
      </c>
      <c r="G323" s="156" t="inlineStr">
        <is>
          <t>8</t>
        </is>
      </c>
      <c r="H323" s="156" t="inlineStr">
        <is>
          <t>Stetson</t>
        </is>
      </c>
      <c r="I323" s="156" t="inlineStr">
        <is>
          <t>Bota Cocodrilo Chocolate</t>
        </is>
      </c>
      <c r="J323" s="156" t="inlineStr">
        <is>
          <t>Calzado</t>
        </is>
      </c>
      <c r="K323" s="156" t="inlineStr">
        <is>
          <t>Botas</t>
        </is>
      </c>
      <c r="L323" s="156" t="inlineStr">
        <is>
          <t>Hombre</t>
        </is>
      </c>
      <c r="M323" s="156" t="inlineStr">
        <is>
          <t>Stetson</t>
        </is>
      </c>
      <c r="N323" s="156" t="inlineStr">
        <is>
          <t>SS26</t>
        </is>
      </c>
      <c r="O323" s="156" t="inlineStr">
        <is>
          <t>Seasonal</t>
        </is>
      </c>
      <c r="P323" s="156" t="inlineStr">
        <is>
          <t>Cafe</t>
        </is>
      </c>
      <c r="Q323" s="156" t="n"/>
      <c r="R323" s="156" t="inlineStr">
        <is>
          <t>Punta Redonda Ancha</t>
        </is>
      </c>
      <c r="S323" s="156" t="inlineStr">
        <is>
          <t>Piel de cocodrilo</t>
        </is>
      </c>
      <c r="T323" s="156" t="inlineStr">
        <is>
          <t>Bota Caballero Piel de cocodrilo Chocolate Punta Redonda Ancha</t>
        </is>
      </c>
      <c r="U323" s="156" t="inlineStr">
        <is>
          <t>México</t>
        </is>
      </c>
      <c r="V323" s="156" t="inlineStr">
        <is>
          <t>PRS</t>
        </is>
      </c>
      <c r="W323" s="51" t="inlineStr">
        <is>
          <t>53111501</t>
        </is>
      </c>
      <c r="X323" s="156" t="n"/>
      <c r="Y323" s="54" t="n">
        <v>3301.5</v>
      </c>
      <c r="Z323" s="54" t="n">
        <v>18965.51724</v>
      </c>
      <c r="AA323" s="55">
        <f>IF(AND(A323="", B323="", E323=""), "", IF(AB323="", "Válido", IF((LEN(AB323)-LEN(SUBSTITUTE(AB323,"; ","")))/2+1&gt;(LEN(AB323)-LEN(SUBSTITUTE(AB323,"[Aviso]","")))/7, "Con Incidencias", "Válido")))</f>
        <v/>
      </c>
      <c r="AB323" s="56">
        <f>IF(AND(A323="", B323="", E323=""), "", TEXTJOIN("; ", TRUE, IF(OR(TRIM(A323&amp;"")="", ISNUMBER(SEARCH("FALTA", A323))), "UPC faltante/inválido", ""), IF(AND(A323&lt;&gt;"", IFERROR(_xlfn.XMATCH(A323,$A$2:$A$2509,0,1)&lt;&gt;_xlfn.XMATCH(A323,$A$2:$A$2509,0,-1),FALSE)), "Código de barras duplicado", ""), IF(AND(E323&lt;&gt;"", COUNTIF($E$2:$E$2509, E323)&gt;1), "SKU duplicado", ""), IF(OR(J323="", J323=""), "[Aviso] División no capturada ()", IF(ISNA(MATCH(J323, Criterios!$A$123:$A$126, 0)), "División no válida", "")), IF(OR(K323="", K323=""), "[Aviso] Categoría no capturada ()", IF(ISNA(MATCH(K323, Criterios!$A$81:$A$120, 0)), "Categoría no válida", IF(AND(J323&lt;&gt;"", J323&lt;&gt;"", J323&lt;&gt;VLOOKUP(K323, Criterios!$A$81:$B$120, 2, FALSE)), "División no coincide con Categoría", ""))), IF(OR(L323="", L323=""), "[Aviso] Género no capturado ()", IF(ISNA(MATCH(L323, Criterios!$B$123:$B$127, 0)), "Género no válido", "")), IF(OR(N323="", N323=""), "[Aviso] Temporada no capturada ()", IF(ISNA(MATCH(N323, Criterios!$C$123:$C$128, 0)), "Temporada no válida", "")), IF(OR(O323="", O323=""), "[Aviso] Ciclo de vida no capturado ()", IF(ISNA(MATCH(O323, Criterios!$D$123:$D$124, 0)), "Ciclo de vida no válido", ""))))</f>
        <v/>
      </c>
      <c r="AC323" s="56" t="n"/>
      <c r="AD323" s="51" t="n">
        <v>0</v>
      </c>
      <c r="AE323" s="156" t="n"/>
      <c r="AF323" s="51" t="n">
        <v>0</v>
      </c>
      <c r="AG323" s="156" t="inlineStr">
        <is>
          <t>Catálogo existente</t>
        </is>
      </c>
      <c r="AH3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3" s="156" t="inlineStr">
        <is>
          <t>No</t>
        </is>
      </c>
      <c r="AJ323" s="156" t="n"/>
      <c r="AK323" s="155" t="inlineStr">
        <is>
          <t>Criterios: I [Q]; G1522_Extraccion_Articulos_NetSuite_2026-09-30.xlsx: fila 58895 [R] | Shopify Stetson: producto 15054564163947 / variante 53350548308331</t>
        </is>
      </c>
      <c r="AL323" s="58" t="n">
        <v>3301.5</v>
      </c>
      <c r="AM323" s="58" t="n">
        <v>18965.51724</v>
      </c>
      <c r="AN323" s="155" t="inlineStr">
        <is>
          <t>Shopify Stetson México</t>
        </is>
      </c>
      <c r="AO323" s="59" t="n">
        <v>0</v>
      </c>
      <c r="AP323" s="59" t="n"/>
      <c r="AQ323" s="59" t="n"/>
      <c r="AR323" s="155" t="n"/>
    </row>
    <row r="324">
      <c r="A324" s="50" t="inlineStr">
        <is>
          <t>12020004101013027</t>
        </is>
      </c>
      <c r="B324" s="51" t="inlineStr">
        <is>
          <t>111221</t>
        </is>
      </c>
      <c r="C324" s="156" t="inlineStr">
        <is>
          <t>Multimarca</t>
        </is>
      </c>
      <c r="D324" s="156" t="inlineStr">
        <is>
          <t>12-020-BS004-10-1013</t>
        </is>
      </c>
      <c r="E324" s="156" t="inlineStr">
        <is>
          <t>12-020-BS004-10-1013-027</t>
        </is>
      </c>
      <c r="F324" s="156" t="inlineStr">
        <is>
          <t>27</t>
        </is>
      </c>
      <c r="G324" s="156" t="inlineStr">
        <is>
          <t>9</t>
        </is>
      </c>
      <c r="H324" s="156" t="inlineStr">
        <is>
          <t>Stetson</t>
        </is>
      </c>
      <c r="I324" s="156" t="inlineStr">
        <is>
          <t>Bota Cocodrilo Chocolate</t>
        </is>
      </c>
      <c r="J324" s="156" t="inlineStr">
        <is>
          <t>Calzado</t>
        </is>
      </c>
      <c r="K324" s="156" t="inlineStr">
        <is>
          <t>Botas</t>
        </is>
      </c>
      <c r="L324" s="156" t="inlineStr">
        <is>
          <t>Hombre</t>
        </is>
      </c>
      <c r="M324" s="156" t="inlineStr">
        <is>
          <t>Stetson</t>
        </is>
      </c>
      <c r="N324" s="156" t="inlineStr">
        <is>
          <t>SS26</t>
        </is>
      </c>
      <c r="O324" s="156" t="inlineStr">
        <is>
          <t>Seasonal</t>
        </is>
      </c>
      <c r="P324" s="156" t="inlineStr">
        <is>
          <t>Cafe</t>
        </is>
      </c>
      <c r="Q324" s="156" t="n"/>
      <c r="R324" s="156" t="inlineStr">
        <is>
          <t>Punta Redonda Ancha</t>
        </is>
      </c>
      <c r="S324" s="156" t="inlineStr">
        <is>
          <t>Piel de cocodrilo</t>
        </is>
      </c>
      <c r="T324" s="156" t="inlineStr">
        <is>
          <t>Bota Caballero Piel de cocodrilo Chocolate Punta Redonda Ancha</t>
        </is>
      </c>
      <c r="U324" s="156" t="inlineStr">
        <is>
          <t>México</t>
        </is>
      </c>
      <c r="V324" s="156" t="inlineStr">
        <is>
          <t>PRS</t>
        </is>
      </c>
      <c r="W324" s="51" t="inlineStr">
        <is>
          <t>53111501</t>
        </is>
      </c>
      <c r="X324" s="156" t="n"/>
      <c r="Y324" s="54" t="n">
        <v>3301.5</v>
      </c>
      <c r="Z324" s="54" t="n">
        <v>18965.51724</v>
      </c>
      <c r="AA324" s="55">
        <f>IF(AND(A324="", B324="", E324=""), "", IF(AB324="", "Válido", IF((LEN(AB324)-LEN(SUBSTITUTE(AB324,"; ","")))/2+1&gt;(LEN(AB324)-LEN(SUBSTITUTE(AB324,"[Aviso]","")))/7, "Con Incidencias", "Válido")))</f>
        <v/>
      </c>
      <c r="AB324" s="56">
        <f>IF(AND(A324="", B324="", E324=""), "", TEXTJOIN("; ", TRUE, IF(OR(TRIM(A324&amp;"")="", ISNUMBER(SEARCH("FALTA", A324))), "UPC faltante/inválido", ""), IF(AND(A324&lt;&gt;"", IFERROR(_xlfn.XMATCH(A324,$A$2:$A$2509,0,1)&lt;&gt;_xlfn.XMATCH(A324,$A$2:$A$2509,0,-1),FALSE)), "Código de barras duplicado", ""), IF(AND(E324&lt;&gt;"", COUNTIF($E$2:$E$2509, E324)&gt;1), "SKU duplicado", ""), IF(OR(J324="", J324=""), "[Aviso] División no capturada ()", IF(ISNA(MATCH(J324, Criterios!$A$123:$A$126, 0)), "División no válida", "")), IF(OR(K324="", K324=""), "[Aviso] Categoría no capturada ()", IF(ISNA(MATCH(K324, Criterios!$A$81:$A$120, 0)), "Categoría no válida", IF(AND(J324&lt;&gt;"", J324&lt;&gt;"", J324&lt;&gt;VLOOKUP(K324, Criterios!$A$81:$B$120, 2, FALSE)), "División no coincide con Categoría", ""))), IF(OR(L324="", L324=""), "[Aviso] Género no capturado ()", IF(ISNA(MATCH(L324, Criterios!$B$123:$B$127, 0)), "Género no válido", "")), IF(OR(N324="", N324=""), "[Aviso] Temporada no capturada ()", IF(ISNA(MATCH(N324, Criterios!$C$123:$C$128, 0)), "Temporada no válida", "")), IF(OR(O324="", O324=""), "[Aviso] Ciclo de vida no capturado ()", IF(ISNA(MATCH(O324, Criterios!$D$123:$D$124, 0)), "Ciclo de vida no válido", ""))))</f>
        <v/>
      </c>
      <c r="AC324" s="56" t="n"/>
      <c r="AD324" s="51" t="n">
        <v>1</v>
      </c>
      <c r="AE324" s="156" t="inlineStr">
        <is>
          <t>STETSON AMERICAS (1)</t>
        </is>
      </c>
      <c r="AF324" s="51" t="n">
        <v>1</v>
      </c>
      <c r="AG324" s="156" t="inlineStr">
        <is>
          <t>Catálogo existente</t>
        </is>
      </c>
      <c r="AH3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4" s="156" t="inlineStr">
        <is>
          <t>No</t>
        </is>
      </c>
      <c r="AJ324" s="156" t="n"/>
      <c r="AK324" s="155" t="inlineStr">
        <is>
          <t>Criterios: I [Q]; G1522_Extraccion_Articulos_NetSuite_2026-09-30.xlsx: fila 58896 [R] | Shopify Stetson: producto 15054564163947 / variante 53350548373867</t>
        </is>
      </c>
      <c r="AL324" s="58" t="n">
        <v>3301.5</v>
      </c>
      <c r="AM324" s="58" t="n">
        <v>18965.51724</v>
      </c>
      <c r="AN324" s="155" t="inlineStr">
        <is>
          <t>Shopify Stetson México</t>
        </is>
      </c>
      <c r="AO324" s="59" t="n">
        <v>1</v>
      </c>
      <c r="AP324" s="59" t="n"/>
      <c r="AQ324" s="59" t="n"/>
      <c r="AR324" s="155" t="inlineStr">
        <is>
          <t>Shopify Stetson México › Stetson Americas: 1</t>
        </is>
      </c>
    </row>
    <row r="325">
      <c r="A325" s="50" t="inlineStr">
        <is>
          <t>12020004101013028</t>
        </is>
      </c>
      <c r="B325" s="51" t="inlineStr">
        <is>
          <t>111222</t>
        </is>
      </c>
      <c r="C325" s="156" t="inlineStr">
        <is>
          <t>Multimarca</t>
        </is>
      </c>
      <c r="D325" s="156" t="inlineStr">
        <is>
          <t>12-020-BS004-10-1013</t>
        </is>
      </c>
      <c r="E325" s="156" t="inlineStr">
        <is>
          <t>12-020-BS004-10-1013-028</t>
        </is>
      </c>
      <c r="F325" s="156" t="inlineStr">
        <is>
          <t>28</t>
        </is>
      </c>
      <c r="G325" s="156" t="inlineStr">
        <is>
          <t>10</t>
        </is>
      </c>
      <c r="H325" s="156" t="inlineStr">
        <is>
          <t>Stetson</t>
        </is>
      </c>
      <c r="I325" s="156" t="inlineStr">
        <is>
          <t>Bota Cocodrilo Chocolate</t>
        </is>
      </c>
      <c r="J325" s="156" t="inlineStr">
        <is>
          <t>Calzado</t>
        </is>
      </c>
      <c r="K325" s="156" t="inlineStr">
        <is>
          <t>Botas</t>
        </is>
      </c>
      <c r="L325" s="156" t="inlineStr">
        <is>
          <t>Hombre</t>
        </is>
      </c>
      <c r="M325" s="156" t="inlineStr">
        <is>
          <t>Stetson</t>
        </is>
      </c>
      <c r="N325" s="156" t="inlineStr">
        <is>
          <t>SS26</t>
        </is>
      </c>
      <c r="O325" s="156" t="inlineStr">
        <is>
          <t>Seasonal</t>
        </is>
      </c>
      <c r="P325" s="156" t="inlineStr">
        <is>
          <t>Cafe</t>
        </is>
      </c>
      <c r="Q325" s="156" t="n"/>
      <c r="R325" s="156" t="inlineStr">
        <is>
          <t>Punta Redonda Ancha</t>
        </is>
      </c>
      <c r="S325" s="156" t="inlineStr">
        <is>
          <t>Piel de cocodrilo</t>
        </is>
      </c>
      <c r="T325" s="156" t="inlineStr">
        <is>
          <t>Bota Caballero Piel de cocodrilo Chocolate Punta Redonda Ancha</t>
        </is>
      </c>
      <c r="U325" s="156" t="inlineStr">
        <is>
          <t>México</t>
        </is>
      </c>
      <c r="V325" s="156" t="inlineStr">
        <is>
          <t>PRS</t>
        </is>
      </c>
      <c r="W325" s="51" t="inlineStr">
        <is>
          <t>53111501</t>
        </is>
      </c>
      <c r="X325" s="156" t="n"/>
      <c r="Y325" s="54" t="n">
        <v>3301.5</v>
      </c>
      <c r="Z325" s="54" t="n">
        <v>18965.51724</v>
      </c>
      <c r="AA325" s="55">
        <f>IF(AND(A325="", B325="", E325=""), "", IF(AB325="", "Válido", IF((LEN(AB325)-LEN(SUBSTITUTE(AB325,"; ","")))/2+1&gt;(LEN(AB325)-LEN(SUBSTITUTE(AB325,"[Aviso]","")))/7, "Con Incidencias", "Válido")))</f>
        <v/>
      </c>
      <c r="AB325" s="56">
        <f>IF(AND(A325="", B325="", E325=""), "", TEXTJOIN("; ", TRUE, IF(OR(TRIM(A325&amp;"")="", ISNUMBER(SEARCH("FALTA", A325))), "UPC faltante/inválido", ""), IF(AND(A325&lt;&gt;"", IFERROR(_xlfn.XMATCH(A325,$A$2:$A$2509,0,1)&lt;&gt;_xlfn.XMATCH(A325,$A$2:$A$2509,0,-1),FALSE)), "Código de barras duplicado", ""), IF(AND(E325&lt;&gt;"", COUNTIF($E$2:$E$2509, E325)&gt;1), "SKU duplicado", ""), IF(OR(J325="", J325=""), "[Aviso] División no capturada ()", IF(ISNA(MATCH(J325, Criterios!$A$123:$A$126, 0)), "División no válida", "")), IF(OR(K325="", K325=""), "[Aviso] Categoría no capturada ()", IF(ISNA(MATCH(K325, Criterios!$A$81:$A$120, 0)), "Categoría no válida", IF(AND(J325&lt;&gt;"", J325&lt;&gt;"", J325&lt;&gt;VLOOKUP(K325, Criterios!$A$81:$B$120, 2, FALSE)), "División no coincide con Categoría", ""))), IF(OR(L325="", L325=""), "[Aviso] Género no capturado ()", IF(ISNA(MATCH(L325, Criterios!$B$123:$B$127, 0)), "Género no válido", "")), IF(OR(N325="", N325=""), "[Aviso] Temporada no capturada ()", IF(ISNA(MATCH(N325, Criterios!$C$123:$C$128, 0)), "Temporada no válida", "")), IF(OR(O325="", O325=""), "[Aviso] Ciclo de vida no capturado ()", IF(ISNA(MATCH(O325, Criterios!$D$123:$D$124, 0)), "Ciclo de vida no válido", ""))))</f>
        <v/>
      </c>
      <c r="AC325" s="56" t="n"/>
      <c r="AD325" s="51" t="n">
        <v>1</v>
      </c>
      <c r="AE325" s="156" t="inlineStr">
        <is>
          <t>STETSON AMERICAS (1)</t>
        </is>
      </c>
      <c r="AF325" s="51" t="n">
        <v>1</v>
      </c>
      <c r="AG325" s="156" t="inlineStr">
        <is>
          <t>Catálogo existente</t>
        </is>
      </c>
      <c r="AH3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5" s="156" t="inlineStr">
        <is>
          <t>No</t>
        </is>
      </c>
      <c r="AJ325" s="156" t="n"/>
      <c r="AK325" s="155" t="inlineStr">
        <is>
          <t>Criterios: I [Q]; G1522_Extraccion_Articulos_NetSuite_2026-09-30.xlsx: fila 58897 [R] | Shopify Stetson: producto 15054564163947 / variante 53350548439403</t>
        </is>
      </c>
      <c r="AL325" s="58" t="n">
        <v>3301.5</v>
      </c>
      <c r="AM325" s="58" t="n">
        <v>18965.51724</v>
      </c>
      <c r="AN325" s="155" t="inlineStr">
        <is>
          <t>Shopify Stetson México</t>
        </is>
      </c>
      <c r="AO325" s="59" t="n">
        <v>1</v>
      </c>
      <c r="AP325" s="59" t="n"/>
      <c r="AQ325" s="59" t="n"/>
      <c r="AR325" s="155" t="inlineStr">
        <is>
          <t>Shopify Stetson México › Stetson Americas: 1</t>
        </is>
      </c>
    </row>
    <row r="326">
      <c r="A326" s="50" t="inlineStr">
        <is>
          <t>12020004101013029</t>
        </is>
      </c>
      <c r="B326" s="51" t="inlineStr">
        <is>
          <t>111223</t>
        </is>
      </c>
      <c r="C326" s="156" t="inlineStr">
        <is>
          <t>Multimarca</t>
        </is>
      </c>
      <c r="D326" s="156" t="inlineStr">
        <is>
          <t>12-020-BS004-10-1013</t>
        </is>
      </c>
      <c r="E326" s="156" t="inlineStr">
        <is>
          <t>12-020-BS004-10-1013-029</t>
        </is>
      </c>
      <c r="F326" s="156" t="inlineStr">
        <is>
          <t>29</t>
        </is>
      </c>
      <c r="G326" s="156" t="inlineStr">
        <is>
          <t>11</t>
        </is>
      </c>
      <c r="H326" s="156" t="inlineStr">
        <is>
          <t>Stetson</t>
        </is>
      </c>
      <c r="I326" s="156" t="inlineStr">
        <is>
          <t>Bota Cocodrilo Chocolate</t>
        </is>
      </c>
      <c r="J326" s="156" t="inlineStr">
        <is>
          <t>Calzado</t>
        </is>
      </c>
      <c r="K326" s="156" t="inlineStr">
        <is>
          <t>Botas</t>
        </is>
      </c>
      <c r="L326" s="156" t="inlineStr">
        <is>
          <t>Hombre</t>
        </is>
      </c>
      <c r="M326" s="156" t="inlineStr">
        <is>
          <t>Stetson</t>
        </is>
      </c>
      <c r="N326" s="156" t="inlineStr">
        <is>
          <t>SS26</t>
        </is>
      </c>
      <c r="O326" s="156" t="inlineStr">
        <is>
          <t>Seasonal</t>
        </is>
      </c>
      <c r="P326" s="156" t="inlineStr">
        <is>
          <t>Cafe</t>
        </is>
      </c>
      <c r="Q326" s="156" t="n"/>
      <c r="R326" s="156" t="inlineStr">
        <is>
          <t>Punta Redonda Ancha</t>
        </is>
      </c>
      <c r="S326" s="156" t="inlineStr">
        <is>
          <t>Piel de cocodrilo</t>
        </is>
      </c>
      <c r="T326" s="156" t="inlineStr">
        <is>
          <t>Bota Caballero Piel de cocodrilo Chocolate Punta Redonda Ancha</t>
        </is>
      </c>
      <c r="U326" s="156" t="inlineStr">
        <is>
          <t>México</t>
        </is>
      </c>
      <c r="V326" s="156" t="inlineStr">
        <is>
          <t>PRS</t>
        </is>
      </c>
      <c r="W326" s="51" t="inlineStr">
        <is>
          <t>53111501</t>
        </is>
      </c>
      <c r="X326" s="156" t="n"/>
      <c r="Y326" s="54" t="n">
        <v>3301.5</v>
      </c>
      <c r="Z326" s="54" t="n">
        <v>18965.51724</v>
      </c>
      <c r="AA326" s="55">
        <f>IF(AND(A326="", B326="", E326=""), "", IF(AB326="", "Válido", IF((LEN(AB326)-LEN(SUBSTITUTE(AB326,"; ","")))/2+1&gt;(LEN(AB326)-LEN(SUBSTITUTE(AB326,"[Aviso]","")))/7, "Con Incidencias", "Válido")))</f>
        <v/>
      </c>
      <c r="AB326" s="56">
        <f>IF(AND(A326="", B326="", E326=""), "", TEXTJOIN("; ", TRUE, IF(OR(TRIM(A326&amp;"")="", ISNUMBER(SEARCH("FALTA", A326))), "UPC faltante/inválido", ""), IF(AND(A326&lt;&gt;"", IFERROR(_xlfn.XMATCH(A326,$A$2:$A$2509,0,1)&lt;&gt;_xlfn.XMATCH(A326,$A$2:$A$2509,0,-1),FALSE)), "Código de barras duplicado", ""), IF(AND(E326&lt;&gt;"", COUNTIF($E$2:$E$2509, E326)&gt;1), "SKU duplicado", ""), IF(OR(J326="", J326=""), "[Aviso] División no capturada ()", IF(ISNA(MATCH(J326, Criterios!$A$123:$A$126, 0)), "División no válida", "")), IF(OR(K326="", K326=""), "[Aviso] Categoría no capturada ()", IF(ISNA(MATCH(K326, Criterios!$A$81:$A$120, 0)), "Categoría no válida", IF(AND(J326&lt;&gt;"", J326&lt;&gt;"", J326&lt;&gt;VLOOKUP(K326, Criterios!$A$81:$B$120, 2, FALSE)), "División no coincide con Categoría", ""))), IF(OR(L326="", L326=""), "[Aviso] Género no capturado ()", IF(ISNA(MATCH(L326, Criterios!$B$123:$B$127, 0)), "Género no válido", "")), IF(OR(N326="", N326=""), "[Aviso] Temporada no capturada ()", IF(ISNA(MATCH(N326, Criterios!$C$123:$C$128, 0)), "Temporada no válida", "")), IF(OR(O326="", O326=""), "[Aviso] Ciclo de vida no capturado ()", IF(ISNA(MATCH(O326, Criterios!$D$123:$D$124, 0)), "Ciclo de vida no válido", ""))))</f>
        <v/>
      </c>
      <c r="AC326" s="56" t="n"/>
      <c r="AD326" s="51" t="n">
        <v>1</v>
      </c>
      <c r="AE326" s="156" t="inlineStr">
        <is>
          <t>STETSON AMERICAS (1)</t>
        </is>
      </c>
      <c r="AF326" s="51" t="n">
        <v>1</v>
      </c>
      <c r="AG326" s="156" t="inlineStr">
        <is>
          <t>Catálogo existente</t>
        </is>
      </c>
      <c r="AH32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6" s="156" t="inlineStr">
        <is>
          <t>No</t>
        </is>
      </c>
      <c r="AJ326" s="156" t="n"/>
      <c r="AK326" s="155" t="inlineStr">
        <is>
          <t>Criterios: I [Q]; G1522_Extraccion_Articulos_NetSuite_2026-09-30.xlsx: fila 58898 [R] | Shopify Stetson: producto 15054564163947 / variante 53350548504939</t>
        </is>
      </c>
      <c r="AL326" s="58" t="n">
        <v>3301.5</v>
      </c>
      <c r="AM326" s="58" t="n">
        <v>18965.51724</v>
      </c>
      <c r="AN326" s="155" t="inlineStr">
        <is>
          <t>Shopify Stetson México</t>
        </is>
      </c>
      <c r="AO326" s="59" t="n">
        <v>1</v>
      </c>
      <c r="AP326" s="59" t="n"/>
      <c r="AQ326" s="59" t="n"/>
      <c r="AR326" s="155" t="inlineStr">
        <is>
          <t>Shopify Stetson México › Stetson Americas: 1</t>
        </is>
      </c>
    </row>
    <row r="327">
      <c r="A327" s="50" t="inlineStr">
        <is>
          <t>12020004101013030</t>
        </is>
      </c>
      <c r="B327" s="51" t="inlineStr">
        <is>
          <t>111224</t>
        </is>
      </c>
      <c r="C327" s="156" t="inlineStr">
        <is>
          <t>Multimarca</t>
        </is>
      </c>
      <c r="D327" s="156" t="inlineStr">
        <is>
          <t>12-020-BS004-10-1013</t>
        </is>
      </c>
      <c r="E327" s="156" t="inlineStr">
        <is>
          <t>12-020-BS004-10-1013-030</t>
        </is>
      </c>
      <c r="F327" s="156" t="inlineStr">
        <is>
          <t>30</t>
        </is>
      </c>
      <c r="G327" s="156" t="inlineStr">
        <is>
          <t>12</t>
        </is>
      </c>
      <c r="H327" s="156" t="inlineStr">
        <is>
          <t>Stetson</t>
        </is>
      </c>
      <c r="I327" s="156" t="inlineStr">
        <is>
          <t>Bota Cocodrilo Chocolate</t>
        </is>
      </c>
      <c r="J327" s="156" t="inlineStr">
        <is>
          <t>Calzado</t>
        </is>
      </c>
      <c r="K327" s="156" t="inlineStr">
        <is>
          <t>Botas</t>
        </is>
      </c>
      <c r="L327" s="156" t="inlineStr">
        <is>
          <t>Hombre</t>
        </is>
      </c>
      <c r="M327" s="156" t="inlineStr">
        <is>
          <t>Stetson</t>
        </is>
      </c>
      <c r="N327" s="156" t="inlineStr">
        <is>
          <t>SS26</t>
        </is>
      </c>
      <c r="O327" s="156" t="inlineStr">
        <is>
          <t>Seasonal</t>
        </is>
      </c>
      <c r="P327" s="156" t="inlineStr">
        <is>
          <t>Cafe</t>
        </is>
      </c>
      <c r="Q327" s="156" t="n"/>
      <c r="R327" s="156" t="inlineStr">
        <is>
          <t>Punta Redonda Ancha</t>
        </is>
      </c>
      <c r="S327" s="156" t="inlineStr">
        <is>
          <t>Piel de cocodrilo</t>
        </is>
      </c>
      <c r="T327" s="156" t="inlineStr">
        <is>
          <t>Bota Caballero Piel de cocodrilo Chocolate Punta Redonda Ancha</t>
        </is>
      </c>
      <c r="U327" s="156" t="inlineStr">
        <is>
          <t>México</t>
        </is>
      </c>
      <c r="V327" s="156" t="inlineStr">
        <is>
          <t>PRS</t>
        </is>
      </c>
      <c r="W327" s="51" t="inlineStr">
        <is>
          <t>53111501</t>
        </is>
      </c>
      <c r="X327" s="156" t="n"/>
      <c r="Y327" s="54" t="n">
        <v>3301.5</v>
      </c>
      <c r="Z327" s="54" t="n">
        <v>18965.51724</v>
      </c>
      <c r="AA327" s="55">
        <f>IF(AND(A327="", B327="", E327=""), "", IF(AB327="", "Válido", IF((LEN(AB327)-LEN(SUBSTITUTE(AB327,"; ","")))/2+1&gt;(LEN(AB327)-LEN(SUBSTITUTE(AB327,"[Aviso]","")))/7, "Con Incidencias", "Válido")))</f>
        <v/>
      </c>
      <c r="AB327" s="56">
        <f>IF(AND(A327="", B327="", E327=""), "", TEXTJOIN("; ", TRUE, IF(OR(TRIM(A327&amp;"")="", ISNUMBER(SEARCH("FALTA", A327))), "UPC faltante/inválido", ""), IF(AND(A327&lt;&gt;"", IFERROR(_xlfn.XMATCH(A327,$A$2:$A$2509,0,1)&lt;&gt;_xlfn.XMATCH(A327,$A$2:$A$2509,0,-1),FALSE)), "Código de barras duplicado", ""), IF(AND(E327&lt;&gt;"", COUNTIF($E$2:$E$2509, E327)&gt;1), "SKU duplicado", ""), IF(OR(J327="", J327=""), "[Aviso] División no capturada ()", IF(ISNA(MATCH(J327, Criterios!$A$123:$A$126, 0)), "División no válida", "")), IF(OR(K327="", K327=""), "[Aviso] Categoría no capturada ()", IF(ISNA(MATCH(K327, Criterios!$A$81:$A$120, 0)), "Categoría no válida", IF(AND(J327&lt;&gt;"", J327&lt;&gt;"", J327&lt;&gt;VLOOKUP(K327, Criterios!$A$81:$B$120, 2, FALSE)), "División no coincide con Categoría", ""))), IF(OR(L327="", L327=""), "[Aviso] Género no capturado ()", IF(ISNA(MATCH(L327, Criterios!$B$123:$B$127, 0)), "Género no válido", "")), IF(OR(N327="", N327=""), "[Aviso] Temporada no capturada ()", IF(ISNA(MATCH(N327, Criterios!$C$123:$C$128, 0)), "Temporada no válida", "")), IF(OR(O327="", O327=""), "[Aviso] Ciclo de vida no capturado ()", IF(ISNA(MATCH(O327, Criterios!$D$123:$D$124, 0)), "Ciclo de vida no válido", ""))))</f>
        <v/>
      </c>
      <c r="AC327" s="56" t="n"/>
      <c r="AD327" s="51" t="n">
        <v>0</v>
      </c>
      <c r="AE327" s="156" t="n"/>
      <c r="AF327" s="51" t="n">
        <v>0</v>
      </c>
      <c r="AG327" s="156" t="inlineStr">
        <is>
          <t>Catálogo existente</t>
        </is>
      </c>
      <c r="AH3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7" s="156" t="inlineStr">
        <is>
          <t>No</t>
        </is>
      </c>
      <c r="AJ327" s="156" t="n"/>
      <c r="AK327" s="155" t="inlineStr">
        <is>
          <t>Criterios: I [Q]; G1522_Extraccion_Articulos_NetSuite_2026-09-30.xlsx: fila 58899 [R] | Shopify Stetson: producto 15054564163947 / variante 53350548570475</t>
        </is>
      </c>
      <c r="AL327" s="58" t="n">
        <v>3301.5</v>
      </c>
      <c r="AM327" s="58" t="n">
        <v>18965.51724</v>
      </c>
      <c r="AN327" s="155" t="inlineStr">
        <is>
          <t>Shopify Stetson México</t>
        </is>
      </c>
      <c r="AO327" s="59" t="n">
        <v>0</v>
      </c>
      <c r="AP327" s="59" t="n"/>
      <c r="AQ327" s="59" t="n"/>
      <c r="AR327" s="155" t="n"/>
    </row>
    <row r="328">
      <c r="A328" s="50" t="inlineStr">
        <is>
          <t>12020004101013031</t>
        </is>
      </c>
      <c r="B328" s="51" t="inlineStr">
        <is>
          <t>111225</t>
        </is>
      </c>
      <c r="C328" s="156" t="inlineStr">
        <is>
          <t>Multimarca</t>
        </is>
      </c>
      <c r="D328" s="156" t="inlineStr">
        <is>
          <t>12-020-BS004-10-1013</t>
        </is>
      </c>
      <c r="E328" s="156" t="inlineStr">
        <is>
          <t>12-020-BS004-10-1013-031</t>
        </is>
      </c>
      <c r="F328" s="156" t="inlineStr">
        <is>
          <t>31</t>
        </is>
      </c>
      <c r="G328" s="156" t="inlineStr">
        <is>
          <t>13</t>
        </is>
      </c>
      <c r="H328" s="156" t="inlineStr">
        <is>
          <t>Stetson</t>
        </is>
      </c>
      <c r="I328" s="156" t="inlineStr">
        <is>
          <t>Bota Cocodrilo Chocolate</t>
        </is>
      </c>
      <c r="J328" s="156" t="inlineStr">
        <is>
          <t>Calzado</t>
        </is>
      </c>
      <c r="K328" s="156" t="inlineStr">
        <is>
          <t>Botas</t>
        </is>
      </c>
      <c r="L328" s="156" t="inlineStr">
        <is>
          <t>Hombre</t>
        </is>
      </c>
      <c r="M328" s="156" t="inlineStr">
        <is>
          <t>Stetson</t>
        </is>
      </c>
      <c r="N328" s="156" t="inlineStr">
        <is>
          <t>SS26</t>
        </is>
      </c>
      <c r="O328" s="156" t="inlineStr">
        <is>
          <t>Seasonal</t>
        </is>
      </c>
      <c r="P328" s="156" t="inlineStr">
        <is>
          <t>Cafe</t>
        </is>
      </c>
      <c r="Q328" s="156" t="n"/>
      <c r="R328" s="156" t="inlineStr">
        <is>
          <t>Punta Redonda Ancha</t>
        </is>
      </c>
      <c r="S328" s="156" t="inlineStr">
        <is>
          <t>Piel de cocodrilo</t>
        </is>
      </c>
      <c r="T328" s="156" t="inlineStr">
        <is>
          <t>Bota Caballero Piel de cocodrilo Chocolate Punta Redonda Ancha</t>
        </is>
      </c>
      <c r="U328" s="156" t="inlineStr">
        <is>
          <t>México</t>
        </is>
      </c>
      <c r="V328" s="156" t="inlineStr">
        <is>
          <t>PRS</t>
        </is>
      </c>
      <c r="W328" s="51" t="inlineStr">
        <is>
          <t>53111501</t>
        </is>
      </c>
      <c r="X328" s="156" t="n"/>
      <c r="Y328" s="54" t="n">
        <v>3301.5</v>
      </c>
      <c r="Z328" s="54" t="n">
        <v>18965.51724</v>
      </c>
      <c r="AA328" s="55">
        <f>IF(AND(A328="", B328="", E328=""), "", IF(AB328="", "Válido", IF((LEN(AB328)-LEN(SUBSTITUTE(AB328,"; ","")))/2+1&gt;(LEN(AB328)-LEN(SUBSTITUTE(AB328,"[Aviso]","")))/7, "Con Incidencias", "Válido")))</f>
        <v/>
      </c>
      <c r="AB328" s="56">
        <f>IF(AND(A328="", B328="", E328=""), "", TEXTJOIN("; ", TRUE, IF(OR(TRIM(A328&amp;"")="", ISNUMBER(SEARCH("FALTA", A328))), "UPC faltante/inválido", ""), IF(AND(A328&lt;&gt;"", IFERROR(_xlfn.XMATCH(A328,$A$2:$A$2509,0,1)&lt;&gt;_xlfn.XMATCH(A328,$A$2:$A$2509,0,-1),FALSE)), "Código de barras duplicado", ""), IF(AND(E328&lt;&gt;"", COUNTIF($E$2:$E$2509, E328)&gt;1), "SKU duplicado", ""), IF(OR(J328="", J328=""), "[Aviso] División no capturada ()", IF(ISNA(MATCH(J328, Criterios!$A$123:$A$126, 0)), "División no válida", "")), IF(OR(K328="", K328=""), "[Aviso] Categoría no capturada ()", IF(ISNA(MATCH(K328, Criterios!$A$81:$A$120, 0)), "Categoría no válida", IF(AND(J328&lt;&gt;"", J328&lt;&gt;"", J328&lt;&gt;VLOOKUP(K328, Criterios!$A$81:$B$120, 2, FALSE)), "División no coincide con Categoría", ""))), IF(OR(L328="", L328=""), "[Aviso] Género no capturado ()", IF(ISNA(MATCH(L328, Criterios!$B$123:$B$127, 0)), "Género no válido", "")), IF(OR(N328="", N328=""), "[Aviso] Temporada no capturada ()", IF(ISNA(MATCH(N328, Criterios!$C$123:$C$128, 0)), "Temporada no válida", "")), IF(OR(O328="", O328=""), "[Aviso] Ciclo de vida no capturado ()", IF(ISNA(MATCH(O328, Criterios!$D$123:$D$124, 0)), "Ciclo de vida no válido", ""))))</f>
        <v/>
      </c>
      <c r="AC328" s="56" t="n"/>
      <c r="AD328" s="51" t="n">
        <v>0</v>
      </c>
      <c r="AE328" s="156" t="n"/>
      <c r="AF328" s="51" t="n">
        <v>0</v>
      </c>
      <c r="AG328" s="156" t="inlineStr">
        <is>
          <t>Catálogo existente</t>
        </is>
      </c>
      <c r="AH3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8" s="156" t="inlineStr">
        <is>
          <t>No</t>
        </is>
      </c>
      <c r="AJ328" s="156" t="n"/>
      <c r="AK328" s="155" t="inlineStr">
        <is>
          <t>Criterios: I [Q]; G1522_Extraccion_Articulos_NetSuite_2026-09-30.xlsx: fila 58900 [R] | Shopify Stetson: producto 15054564163947 / variante 53350548636011</t>
        </is>
      </c>
      <c r="AL328" s="58" t="n">
        <v>3301.5</v>
      </c>
      <c r="AM328" s="58" t="n">
        <v>18965.51724</v>
      </c>
      <c r="AN328" s="155" t="inlineStr">
        <is>
          <t>Shopify Stetson México</t>
        </is>
      </c>
      <c r="AO328" s="59" t="n">
        <v>0</v>
      </c>
      <c r="AP328" s="59" t="n"/>
      <c r="AQ328" s="59" t="n"/>
      <c r="AR328" s="155" t="n"/>
    </row>
    <row r="329">
      <c r="A329" s="50" t="inlineStr">
        <is>
          <t>12020004101013032</t>
        </is>
      </c>
      <c r="B329" s="51" t="inlineStr">
        <is>
          <t>111226</t>
        </is>
      </c>
      <c r="C329" s="156" t="inlineStr">
        <is>
          <t>Multimarca</t>
        </is>
      </c>
      <c r="D329" s="156" t="inlineStr">
        <is>
          <t>12-020-BS004-10-1013</t>
        </is>
      </c>
      <c r="E329" s="156" t="inlineStr">
        <is>
          <t>12-020-BS004-10-1013-032</t>
        </is>
      </c>
      <c r="F329" s="156" t="inlineStr">
        <is>
          <t>32</t>
        </is>
      </c>
      <c r="G329" s="156" t="inlineStr">
        <is>
          <t>14</t>
        </is>
      </c>
      <c r="H329" s="156" t="inlineStr">
        <is>
          <t>Stetson</t>
        </is>
      </c>
      <c r="I329" s="156" t="inlineStr">
        <is>
          <t>Bota Cocodrilo Chocolate</t>
        </is>
      </c>
      <c r="J329" s="156" t="inlineStr">
        <is>
          <t>Calzado</t>
        </is>
      </c>
      <c r="K329" s="156" t="inlineStr">
        <is>
          <t>Botas</t>
        </is>
      </c>
      <c r="L329" s="156" t="inlineStr">
        <is>
          <t>Hombre</t>
        </is>
      </c>
      <c r="M329" s="156" t="inlineStr">
        <is>
          <t>Stetson</t>
        </is>
      </c>
      <c r="N329" s="156" t="inlineStr">
        <is>
          <t>SS26</t>
        </is>
      </c>
      <c r="O329" s="156" t="inlineStr">
        <is>
          <t>Seasonal</t>
        </is>
      </c>
      <c r="P329" s="156" t="inlineStr">
        <is>
          <t>Cafe</t>
        </is>
      </c>
      <c r="Q329" s="156" t="n"/>
      <c r="R329" s="156" t="inlineStr">
        <is>
          <t>Punta Redonda Ancha</t>
        </is>
      </c>
      <c r="S329" s="156" t="inlineStr">
        <is>
          <t>Piel de cocodrilo</t>
        </is>
      </c>
      <c r="T329" s="156" t="inlineStr">
        <is>
          <t>Bota Caballero Piel de cocodrilo Chocolate Punta Redonda Ancha</t>
        </is>
      </c>
      <c r="U329" s="156" t="inlineStr">
        <is>
          <t>México</t>
        </is>
      </c>
      <c r="V329" s="156" t="inlineStr">
        <is>
          <t>PRS</t>
        </is>
      </c>
      <c r="W329" s="51" t="inlineStr">
        <is>
          <t>53111501</t>
        </is>
      </c>
      <c r="X329" s="156" t="n"/>
      <c r="Y329" s="54" t="n">
        <v>3301.5</v>
      </c>
      <c r="Z329" s="54" t="n">
        <v>18965.51724</v>
      </c>
      <c r="AA329" s="55">
        <f>IF(AND(A329="", B329="", E329=""), "", IF(AB329="", "Válido", IF((LEN(AB329)-LEN(SUBSTITUTE(AB329,"; ","")))/2+1&gt;(LEN(AB329)-LEN(SUBSTITUTE(AB329,"[Aviso]","")))/7, "Con Incidencias", "Válido")))</f>
        <v/>
      </c>
      <c r="AB329" s="56">
        <f>IF(AND(A329="", B329="", E329=""), "", TEXTJOIN("; ", TRUE, IF(OR(TRIM(A329&amp;"")="", ISNUMBER(SEARCH("FALTA", A329))), "UPC faltante/inválido", ""), IF(AND(A329&lt;&gt;"", IFERROR(_xlfn.XMATCH(A329,$A$2:$A$2509,0,1)&lt;&gt;_xlfn.XMATCH(A329,$A$2:$A$2509,0,-1),FALSE)), "Código de barras duplicado", ""), IF(AND(E329&lt;&gt;"", COUNTIF($E$2:$E$2509, E329)&gt;1), "SKU duplicado", ""), IF(OR(J329="", J329=""), "[Aviso] División no capturada ()", IF(ISNA(MATCH(J329, Criterios!$A$123:$A$126, 0)), "División no válida", "")), IF(OR(K329="", K329=""), "[Aviso] Categoría no capturada ()", IF(ISNA(MATCH(K329, Criterios!$A$81:$A$120, 0)), "Categoría no válida", IF(AND(J329&lt;&gt;"", J329&lt;&gt;"", J329&lt;&gt;VLOOKUP(K329, Criterios!$A$81:$B$120, 2, FALSE)), "División no coincide con Categoría", ""))), IF(OR(L329="", L329=""), "[Aviso] Género no capturado ()", IF(ISNA(MATCH(L329, Criterios!$B$123:$B$127, 0)), "Género no válido", "")), IF(OR(N329="", N329=""), "[Aviso] Temporada no capturada ()", IF(ISNA(MATCH(N329, Criterios!$C$123:$C$128, 0)), "Temporada no válida", "")), IF(OR(O329="", O329=""), "[Aviso] Ciclo de vida no capturado ()", IF(ISNA(MATCH(O329, Criterios!$D$123:$D$124, 0)), "Ciclo de vida no válido", ""))))</f>
        <v/>
      </c>
      <c r="AC329" s="56" t="n"/>
      <c r="AD329" s="51" t="n">
        <v>0</v>
      </c>
      <c r="AE329" s="156" t="n"/>
      <c r="AF329" s="51" t="n">
        <v>0</v>
      </c>
      <c r="AG329" s="156" t="inlineStr">
        <is>
          <t>Catálogo existente</t>
        </is>
      </c>
      <c r="AH3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9" s="156" t="inlineStr">
        <is>
          <t>No</t>
        </is>
      </c>
      <c r="AJ329" s="156" t="n"/>
      <c r="AK329" s="155" t="inlineStr">
        <is>
          <t>Criterios: I [Q]; G1522_Extraccion_Articulos_NetSuite_2026-09-30.xlsx: fila 58901 [R] | Shopify Stetson: producto 15054564163947 / variante 53350548701547</t>
        </is>
      </c>
      <c r="AL329" s="58" t="n">
        <v>3301.5</v>
      </c>
      <c r="AM329" s="58" t="n">
        <v>18965.51724</v>
      </c>
      <c r="AN329" s="155" t="inlineStr">
        <is>
          <t>Shopify Stetson México</t>
        </is>
      </c>
      <c r="AO329" s="59" t="n">
        <v>0</v>
      </c>
      <c r="AP329" s="59" t="n"/>
      <c r="AQ329" s="59" t="n"/>
      <c r="AR329" s="155" t="n"/>
    </row>
    <row r="330">
      <c r="A330" s="50" t="inlineStr">
        <is>
          <t>12020004101013255</t>
        </is>
      </c>
      <c r="B330" s="51" t="inlineStr">
        <is>
          <t>111227</t>
        </is>
      </c>
      <c r="C330" s="156" t="inlineStr">
        <is>
          <t>Multimarca</t>
        </is>
      </c>
      <c r="D330" s="156" t="inlineStr">
        <is>
          <t>12-020-BS004-10-1013</t>
        </is>
      </c>
      <c r="E330" s="156" t="inlineStr">
        <is>
          <t>12-020-BS004-10-1013-255</t>
        </is>
      </c>
      <c r="F330" s="156" t="inlineStr">
        <is>
          <t>25.5</t>
        </is>
      </c>
      <c r="G330" s="156" t="inlineStr">
        <is>
          <t>7.5</t>
        </is>
      </c>
      <c r="H330" s="156" t="inlineStr">
        <is>
          <t>Stetson</t>
        </is>
      </c>
      <c r="I330" s="156" t="inlineStr">
        <is>
          <t>Bota Cocodrilo Chocolate</t>
        </is>
      </c>
      <c r="J330" s="156" t="inlineStr">
        <is>
          <t>Calzado</t>
        </is>
      </c>
      <c r="K330" s="156" t="inlineStr">
        <is>
          <t>Botas</t>
        </is>
      </c>
      <c r="L330" s="156" t="inlineStr">
        <is>
          <t>Hombre</t>
        </is>
      </c>
      <c r="M330" s="156" t="inlineStr">
        <is>
          <t>Stetson</t>
        </is>
      </c>
      <c r="N330" s="156" t="inlineStr">
        <is>
          <t>SS26</t>
        </is>
      </c>
      <c r="O330" s="156" t="inlineStr">
        <is>
          <t>Seasonal</t>
        </is>
      </c>
      <c r="P330" s="156" t="inlineStr">
        <is>
          <t>Cafe</t>
        </is>
      </c>
      <c r="Q330" s="156" t="n"/>
      <c r="R330" s="156" t="inlineStr">
        <is>
          <t>Punta Redonda Ancha</t>
        </is>
      </c>
      <c r="S330" s="156" t="inlineStr">
        <is>
          <t>Piel de cocodrilo</t>
        </is>
      </c>
      <c r="T330" s="156" t="inlineStr">
        <is>
          <t>Bota Caballero Piel de cocodrilo Chocolate Punta Redonda Ancha</t>
        </is>
      </c>
      <c r="U330" s="156" t="inlineStr">
        <is>
          <t>México</t>
        </is>
      </c>
      <c r="V330" s="156" t="inlineStr">
        <is>
          <t>PRS</t>
        </is>
      </c>
      <c r="W330" s="51" t="inlineStr">
        <is>
          <t>53111501</t>
        </is>
      </c>
      <c r="X330" s="156" t="n"/>
      <c r="Y330" s="54" t="n">
        <v>3301.5</v>
      </c>
      <c r="Z330" s="54" t="n">
        <v>18965.51724</v>
      </c>
      <c r="AA330" s="55">
        <f>IF(AND(A330="", B330="", E330=""), "", IF(AB330="", "Válido", IF((LEN(AB330)-LEN(SUBSTITUTE(AB330,"; ","")))/2+1&gt;(LEN(AB330)-LEN(SUBSTITUTE(AB330,"[Aviso]","")))/7, "Con Incidencias", "Válido")))</f>
        <v/>
      </c>
      <c r="AB330" s="56">
        <f>IF(AND(A330="", B330="", E330=""), "", TEXTJOIN("; ", TRUE, IF(OR(TRIM(A330&amp;"")="", ISNUMBER(SEARCH("FALTA", A330))), "UPC faltante/inválido", ""), IF(AND(A330&lt;&gt;"", IFERROR(_xlfn.XMATCH(A330,$A$2:$A$2509,0,1)&lt;&gt;_xlfn.XMATCH(A330,$A$2:$A$2509,0,-1),FALSE)), "Código de barras duplicado", ""), IF(AND(E330&lt;&gt;"", COUNTIF($E$2:$E$2509, E330)&gt;1), "SKU duplicado", ""), IF(OR(J330="", J330=""), "[Aviso] División no capturada ()", IF(ISNA(MATCH(J330, Criterios!$A$123:$A$126, 0)), "División no válida", "")), IF(OR(K330="", K330=""), "[Aviso] Categoría no capturada ()", IF(ISNA(MATCH(K330, Criterios!$A$81:$A$120, 0)), "Categoría no válida", IF(AND(J330&lt;&gt;"", J330&lt;&gt;"", J330&lt;&gt;VLOOKUP(K330, Criterios!$A$81:$B$120, 2, FALSE)), "División no coincide con Categoría", ""))), IF(OR(L330="", L330=""), "[Aviso] Género no capturado ()", IF(ISNA(MATCH(L330, Criterios!$B$123:$B$127, 0)), "Género no válido", "")), IF(OR(N330="", N330=""), "[Aviso] Temporada no capturada ()", IF(ISNA(MATCH(N330, Criterios!$C$123:$C$128, 0)), "Temporada no válida", "")), IF(OR(O330="", O330=""), "[Aviso] Ciclo de vida no capturado ()", IF(ISNA(MATCH(O330, Criterios!$D$123:$D$124, 0)), "Ciclo de vida no válido", ""))))</f>
        <v/>
      </c>
      <c r="AC330" s="56" t="n"/>
      <c r="AD330" s="51" t="n">
        <v>0</v>
      </c>
      <c r="AE330" s="156" t="n"/>
      <c r="AF330" s="51" t="n">
        <v>0</v>
      </c>
      <c r="AG330" s="156" t="inlineStr">
        <is>
          <t>Catálogo existente</t>
        </is>
      </c>
      <c r="AH3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0" s="156" t="inlineStr">
        <is>
          <t>No</t>
        </is>
      </c>
      <c r="AJ330" s="156" t="n"/>
      <c r="AK330" s="155" t="inlineStr">
        <is>
          <t>Criterios: I [Q]; G1522_Extraccion_Articulos_NetSuite_2026-09-30.xlsx: fila 58902 [R] | Shopify Stetson: producto 15054564163947 / variante 53350548275563</t>
        </is>
      </c>
      <c r="AL330" s="58" t="n">
        <v>3301.5</v>
      </c>
      <c r="AM330" s="58" t="n">
        <v>18965.51724</v>
      </c>
      <c r="AN330" s="155" t="inlineStr">
        <is>
          <t>Shopify Stetson México</t>
        </is>
      </c>
      <c r="AO330" s="59" t="n">
        <v>0</v>
      </c>
      <c r="AP330" s="59" t="n"/>
      <c r="AQ330" s="59" t="n"/>
      <c r="AR330" s="155" t="n"/>
    </row>
    <row r="331">
      <c r="A331" s="50" t="inlineStr">
        <is>
          <t>12020004101013265</t>
        </is>
      </c>
      <c r="B331" s="51" t="inlineStr">
        <is>
          <t>111228</t>
        </is>
      </c>
      <c r="C331" s="156" t="inlineStr">
        <is>
          <t>Multimarca</t>
        </is>
      </c>
      <c r="D331" s="156" t="inlineStr">
        <is>
          <t>12-020-BS004-10-1013</t>
        </is>
      </c>
      <c r="E331" s="156" t="inlineStr">
        <is>
          <t>12-020-BS004-10-1013-265</t>
        </is>
      </c>
      <c r="F331" s="156" t="inlineStr">
        <is>
          <t>26.5</t>
        </is>
      </c>
      <c r="G331" s="156" t="inlineStr">
        <is>
          <t>8.5</t>
        </is>
      </c>
      <c r="H331" s="156" t="inlineStr">
        <is>
          <t>Stetson</t>
        </is>
      </c>
      <c r="I331" s="156" t="inlineStr">
        <is>
          <t>Bota Cocodrilo Chocolate</t>
        </is>
      </c>
      <c r="J331" s="156" t="inlineStr">
        <is>
          <t>Calzado</t>
        </is>
      </c>
      <c r="K331" s="156" t="inlineStr">
        <is>
          <t>Botas</t>
        </is>
      </c>
      <c r="L331" s="156" t="inlineStr">
        <is>
          <t>Hombre</t>
        </is>
      </c>
      <c r="M331" s="156" t="inlineStr">
        <is>
          <t>Stetson</t>
        </is>
      </c>
      <c r="N331" s="156" t="inlineStr">
        <is>
          <t>SS26</t>
        </is>
      </c>
      <c r="O331" s="156" t="inlineStr">
        <is>
          <t>Seasonal</t>
        </is>
      </c>
      <c r="P331" s="156" t="inlineStr">
        <is>
          <t>Cafe</t>
        </is>
      </c>
      <c r="Q331" s="156" t="n"/>
      <c r="R331" s="156" t="inlineStr">
        <is>
          <t>Punta Redonda Ancha</t>
        </is>
      </c>
      <c r="S331" s="156" t="inlineStr">
        <is>
          <t>Piel de cocodrilo</t>
        </is>
      </c>
      <c r="T331" s="156" t="inlineStr">
        <is>
          <t>Bota Caballero Piel de cocodrilo Chocolate Punta Redonda Ancha</t>
        </is>
      </c>
      <c r="U331" s="156" t="inlineStr">
        <is>
          <t>México</t>
        </is>
      </c>
      <c r="V331" s="156" t="inlineStr">
        <is>
          <t>PRS</t>
        </is>
      </c>
      <c r="W331" s="51" t="inlineStr">
        <is>
          <t>53111501</t>
        </is>
      </c>
      <c r="X331" s="156" t="n"/>
      <c r="Y331" s="54" t="n">
        <v>3301.5</v>
      </c>
      <c r="Z331" s="54" t="n">
        <v>18965.51724</v>
      </c>
      <c r="AA331" s="55">
        <f>IF(AND(A331="", B331="", E331=""), "", IF(AB331="", "Válido", IF((LEN(AB331)-LEN(SUBSTITUTE(AB331,"; ","")))/2+1&gt;(LEN(AB331)-LEN(SUBSTITUTE(AB331,"[Aviso]","")))/7, "Con Incidencias", "Válido")))</f>
        <v/>
      </c>
      <c r="AB331" s="56">
        <f>IF(AND(A331="", B331="", E331=""), "", TEXTJOIN("; ", TRUE, IF(OR(TRIM(A331&amp;"")="", ISNUMBER(SEARCH("FALTA", A331))), "UPC faltante/inválido", ""), IF(AND(A331&lt;&gt;"", IFERROR(_xlfn.XMATCH(A331,$A$2:$A$2509,0,1)&lt;&gt;_xlfn.XMATCH(A331,$A$2:$A$2509,0,-1),FALSE)), "Código de barras duplicado", ""), IF(AND(E331&lt;&gt;"", COUNTIF($E$2:$E$2509, E331)&gt;1), "SKU duplicado", ""), IF(OR(J331="", J331=""), "[Aviso] División no capturada ()", IF(ISNA(MATCH(J331, Criterios!$A$123:$A$126, 0)), "División no válida", "")), IF(OR(K331="", K331=""), "[Aviso] Categoría no capturada ()", IF(ISNA(MATCH(K331, Criterios!$A$81:$A$120, 0)), "Categoría no válida", IF(AND(J331&lt;&gt;"", J331&lt;&gt;"", J331&lt;&gt;VLOOKUP(K331, Criterios!$A$81:$B$120, 2, FALSE)), "División no coincide con Categoría", ""))), IF(OR(L331="", L331=""), "[Aviso] Género no capturado ()", IF(ISNA(MATCH(L331, Criterios!$B$123:$B$127, 0)), "Género no válido", "")), IF(OR(N331="", N331=""), "[Aviso] Temporada no capturada ()", IF(ISNA(MATCH(N331, Criterios!$C$123:$C$128, 0)), "Temporada no válida", "")), IF(OR(O331="", O331=""), "[Aviso] Ciclo de vida no capturado ()", IF(ISNA(MATCH(O331, Criterios!$D$123:$D$124, 0)), "Ciclo de vida no válido", ""))))</f>
        <v/>
      </c>
      <c r="AC331" s="56" t="n"/>
      <c r="AD331" s="51" t="n">
        <v>1</v>
      </c>
      <c r="AE331" s="156" t="inlineStr">
        <is>
          <t>STETSON AMERICAS (1)</t>
        </is>
      </c>
      <c r="AF331" s="51" t="n">
        <v>1</v>
      </c>
      <c r="AG331" s="156" t="inlineStr">
        <is>
          <t>Catálogo existente</t>
        </is>
      </c>
      <c r="AH3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1" s="156" t="inlineStr">
        <is>
          <t>No</t>
        </is>
      </c>
      <c r="AJ331" s="156" t="n"/>
      <c r="AK331" s="155" t="inlineStr">
        <is>
          <t>Criterios: I [Q]; G1522_Extraccion_Articulos_NetSuite_2026-09-30.xlsx: fila 58903 [R] | Shopify Stetson: producto 15054564163947 / variante 53350548341099</t>
        </is>
      </c>
      <c r="AL331" s="58" t="n">
        <v>3301.5</v>
      </c>
      <c r="AM331" s="58" t="n">
        <v>18965.51724</v>
      </c>
      <c r="AN331" s="155" t="inlineStr">
        <is>
          <t>Shopify Stetson México</t>
        </is>
      </c>
      <c r="AO331" s="59" t="n">
        <v>1</v>
      </c>
      <c r="AP331" s="59" t="n"/>
      <c r="AQ331" s="59" t="n"/>
      <c r="AR331" s="155" t="inlineStr">
        <is>
          <t>Shopify Stetson México › Stetson Americas: 1</t>
        </is>
      </c>
    </row>
    <row r="332">
      <c r="A332" s="50" t="inlineStr">
        <is>
          <t>12020004101013275</t>
        </is>
      </c>
      <c r="B332" s="51" t="inlineStr">
        <is>
          <t>111229</t>
        </is>
      </c>
      <c r="C332" s="156" t="inlineStr">
        <is>
          <t>Multimarca</t>
        </is>
      </c>
      <c r="D332" s="156" t="inlineStr">
        <is>
          <t>12-020-BS004-10-1013</t>
        </is>
      </c>
      <c r="E332" s="156" t="inlineStr">
        <is>
          <t>12-020-BS004-10-1013-275</t>
        </is>
      </c>
      <c r="F332" s="156" t="inlineStr">
        <is>
          <t>27.5</t>
        </is>
      </c>
      <c r="G332" s="156" t="inlineStr">
        <is>
          <t>9.5</t>
        </is>
      </c>
      <c r="H332" s="156" t="inlineStr">
        <is>
          <t>Stetson</t>
        </is>
      </c>
      <c r="I332" s="156" t="inlineStr">
        <is>
          <t>Bota Cocodrilo Chocolate</t>
        </is>
      </c>
      <c r="J332" s="156" t="inlineStr">
        <is>
          <t>Calzado</t>
        </is>
      </c>
      <c r="K332" s="156" t="inlineStr">
        <is>
          <t>Botas</t>
        </is>
      </c>
      <c r="L332" s="156" t="inlineStr">
        <is>
          <t>Hombre</t>
        </is>
      </c>
      <c r="M332" s="156" t="inlineStr">
        <is>
          <t>Stetson</t>
        </is>
      </c>
      <c r="N332" s="156" t="inlineStr">
        <is>
          <t>SS26</t>
        </is>
      </c>
      <c r="O332" s="156" t="inlineStr">
        <is>
          <t>Seasonal</t>
        </is>
      </c>
      <c r="P332" s="156" t="inlineStr">
        <is>
          <t>Cafe</t>
        </is>
      </c>
      <c r="Q332" s="156" t="n"/>
      <c r="R332" s="156" t="inlineStr">
        <is>
          <t>Punta Redonda Ancha</t>
        </is>
      </c>
      <c r="S332" s="156" t="inlineStr">
        <is>
          <t>Piel de cocodrilo</t>
        </is>
      </c>
      <c r="T332" s="156" t="inlineStr">
        <is>
          <t>Bota Caballero Piel de cocodrilo Chocolate Punta Redonda Ancha</t>
        </is>
      </c>
      <c r="U332" s="156" t="inlineStr">
        <is>
          <t>México</t>
        </is>
      </c>
      <c r="V332" s="156" t="inlineStr">
        <is>
          <t>PRS</t>
        </is>
      </c>
      <c r="W332" s="51" t="inlineStr">
        <is>
          <t>53111501</t>
        </is>
      </c>
      <c r="X332" s="156" t="n"/>
      <c r="Y332" s="54" t="n">
        <v>3301.5</v>
      </c>
      <c r="Z332" s="54" t="n">
        <v>18965.51724</v>
      </c>
      <c r="AA332" s="55">
        <f>IF(AND(A332="", B332="", E332=""), "", IF(AB332="", "Válido", IF((LEN(AB332)-LEN(SUBSTITUTE(AB332,"; ","")))/2+1&gt;(LEN(AB332)-LEN(SUBSTITUTE(AB332,"[Aviso]","")))/7, "Con Incidencias", "Válido")))</f>
        <v/>
      </c>
      <c r="AB332" s="56">
        <f>IF(AND(A332="", B332="", E332=""), "", TEXTJOIN("; ", TRUE, IF(OR(TRIM(A332&amp;"")="", ISNUMBER(SEARCH("FALTA", A332))), "UPC faltante/inválido", ""), IF(AND(A332&lt;&gt;"", IFERROR(_xlfn.XMATCH(A332,$A$2:$A$2509,0,1)&lt;&gt;_xlfn.XMATCH(A332,$A$2:$A$2509,0,-1),FALSE)), "Código de barras duplicado", ""), IF(AND(E332&lt;&gt;"", COUNTIF($E$2:$E$2509, E332)&gt;1), "SKU duplicado", ""), IF(OR(J332="", J332=""), "[Aviso] División no capturada ()", IF(ISNA(MATCH(J332, Criterios!$A$123:$A$126, 0)), "División no válida", "")), IF(OR(K332="", K332=""), "[Aviso] Categoría no capturada ()", IF(ISNA(MATCH(K332, Criterios!$A$81:$A$120, 0)), "Categoría no válida", IF(AND(J332&lt;&gt;"", J332&lt;&gt;"", J332&lt;&gt;VLOOKUP(K332, Criterios!$A$81:$B$120, 2, FALSE)), "División no coincide con Categoría", ""))), IF(OR(L332="", L332=""), "[Aviso] Género no capturado ()", IF(ISNA(MATCH(L332, Criterios!$B$123:$B$127, 0)), "Género no válido", "")), IF(OR(N332="", N332=""), "[Aviso] Temporada no capturada ()", IF(ISNA(MATCH(N332, Criterios!$C$123:$C$128, 0)), "Temporada no válida", "")), IF(OR(O332="", O332=""), "[Aviso] Ciclo de vida no capturado ()", IF(ISNA(MATCH(O332, Criterios!$D$123:$D$124, 0)), "Ciclo de vida no válido", ""))))</f>
        <v/>
      </c>
      <c r="AC332" s="56" t="n"/>
      <c r="AD332" s="51" t="n">
        <v>2</v>
      </c>
      <c r="AE332" s="156" t="inlineStr">
        <is>
          <t>STETSON AMERICAS (2)</t>
        </is>
      </c>
      <c r="AF332" s="51" t="n">
        <v>2</v>
      </c>
      <c r="AG332" s="156" t="inlineStr">
        <is>
          <t>Catálogo existente</t>
        </is>
      </c>
      <c r="AH3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2" s="156" t="inlineStr">
        <is>
          <t>No</t>
        </is>
      </c>
      <c r="AJ332" s="156" t="n"/>
      <c r="AK332" s="155" t="inlineStr">
        <is>
          <t>Criterios: I [Q]; G1522_Extraccion_Articulos_NetSuite_2026-09-30.xlsx: fila 58904 [R] | Shopify Stetson: producto 15054564163947 / variante 53350548406635</t>
        </is>
      </c>
      <c r="AL332" s="58" t="n">
        <v>3301.5</v>
      </c>
      <c r="AM332" s="58" t="n">
        <v>18965.51724</v>
      </c>
      <c r="AN332" s="155" t="inlineStr">
        <is>
          <t>Shopify Stetson México</t>
        </is>
      </c>
      <c r="AO332" s="59" t="n">
        <v>2</v>
      </c>
      <c r="AP332" s="59" t="n"/>
      <c r="AQ332" s="59" t="n"/>
      <c r="AR332" s="155" t="inlineStr">
        <is>
          <t>Shopify Stetson México › Stetson Americas: 2</t>
        </is>
      </c>
    </row>
    <row r="333">
      <c r="A333" s="50" t="inlineStr">
        <is>
          <t>12020004101013285</t>
        </is>
      </c>
      <c r="B333" s="51" t="inlineStr">
        <is>
          <t>111230</t>
        </is>
      </c>
      <c r="C333" s="156" t="inlineStr">
        <is>
          <t>Multimarca</t>
        </is>
      </c>
      <c r="D333" s="156" t="inlineStr">
        <is>
          <t>12-020-BS004-10-1013</t>
        </is>
      </c>
      <c r="E333" s="156" t="inlineStr">
        <is>
          <t>12-020-BS004-10-1013-285</t>
        </is>
      </c>
      <c r="F333" s="156" t="inlineStr">
        <is>
          <t>28.5</t>
        </is>
      </c>
      <c r="G333" s="156" t="inlineStr">
        <is>
          <t>10.5</t>
        </is>
      </c>
      <c r="H333" s="156" t="inlineStr">
        <is>
          <t>Stetson</t>
        </is>
      </c>
      <c r="I333" s="156" t="inlineStr">
        <is>
          <t>Bota Cocodrilo Chocolate</t>
        </is>
      </c>
      <c r="J333" s="156" t="inlineStr">
        <is>
          <t>Calzado</t>
        </is>
      </c>
      <c r="K333" s="156" t="inlineStr">
        <is>
          <t>Botas</t>
        </is>
      </c>
      <c r="L333" s="156" t="inlineStr">
        <is>
          <t>Hombre</t>
        </is>
      </c>
      <c r="M333" s="156" t="inlineStr">
        <is>
          <t>Stetson</t>
        </is>
      </c>
      <c r="N333" s="156" t="inlineStr">
        <is>
          <t>SS26</t>
        </is>
      </c>
      <c r="O333" s="156" t="inlineStr">
        <is>
          <t>Seasonal</t>
        </is>
      </c>
      <c r="P333" s="156" t="inlineStr">
        <is>
          <t>Cafe</t>
        </is>
      </c>
      <c r="Q333" s="156" t="n"/>
      <c r="R333" s="156" t="inlineStr">
        <is>
          <t>Punta Redonda Ancha</t>
        </is>
      </c>
      <c r="S333" s="156" t="inlineStr">
        <is>
          <t>Piel de cocodrilo</t>
        </is>
      </c>
      <c r="T333" s="156" t="inlineStr">
        <is>
          <t>Bota Caballero Piel de cocodrilo Chocolate Punta Redonda Ancha</t>
        </is>
      </c>
      <c r="U333" s="156" t="inlineStr">
        <is>
          <t>México</t>
        </is>
      </c>
      <c r="V333" s="156" t="inlineStr">
        <is>
          <t>PRS</t>
        </is>
      </c>
      <c r="W333" s="51" t="inlineStr">
        <is>
          <t>53111501</t>
        </is>
      </c>
      <c r="X333" s="156" t="n"/>
      <c r="Y333" s="54" t="n">
        <v>3301.5</v>
      </c>
      <c r="Z333" s="54" t="n">
        <v>18965.51724</v>
      </c>
      <c r="AA333" s="55">
        <f>IF(AND(A333="", B333="", E333=""), "", IF(AB333="", "Válido", IF((LEN(AB333)-LEN(SUBSTITUTE(AB333,"; ","")))/2+1&gt;(LEN(AB333)-LEN(SUBSTITUTE(AB333,"[Aviso]","")))/7, "Con Incidencias", "Válido")))</f>
        <v/>
      </c>
      <c r="AB333" s="56">
        <f>IF(AND(A333="", B333="", E333=""), "", TEXTJOIN("; ", TRUE, IF(OR(TRIM(A333&amp;"")="", ISNUMBER(SEARCH("FALTA", A333))), "UPC faltante/inválido", ""), IF(AND(A333&lt;&gt;"", IFERROR(_xlfn.XMATCH(A333,$A$2:$A$2509,0,1)&lt;&gt;_xlfn.XMATCH(A333,$A$2:$A$2509,0,-1),FALSE)), "Código de barras duplicado", ""), IF(AND(E333&lt;&gt;"", COUNTIF($E$2:$E$2509, E333)&gt;1), "SKU duplicado", ""), IF(OR(J333="", J333=""), "[Aviso] División no capturada ()", IF(ISNA(MATCH(J333, Criterios!$A$123:$A$126, 0)), "División no válida", "")), IF(OR(K333="", K333=""), "[Aviso] Categoría no capturada ()", IF(ISNA(MATCH(K333, Criterios!$A$81:$A$120, 0)), "Categoría no válida", IF(AND(J333&lt;&gt;"", J333&lt;&gt;"", J333&lt;&gt;VLOOKUP(K333, Criterios!$A$81:$B$120, 2, FALSE)), "División no coincide con Categoría", ""))), IF(OR(L333="", L333=""), "[Aviso] Género no capturado ()", IF(ISNA(MATCH(L333, Criterios!$B$123:$B$127, 0)), "Género no válido", "")), IF(OR(N333="", N333=""), "[Aviso] Temporada no capturada ()", IF(ISNA(MATCH(N333, Criterios!$C$123:$C$128, 0)), "Temporada no válida", "")), IF(OR(O333="", O333=""), "[Aviso] Ciclo de vida no capturado ()", IF(ISNA(MATCH(O333, Criterios!$D$123:$D$124, 0)), "Ciclo de vida no válido", ""))))</f>
        <v/>
      </c>
      <c r="AC333" s="56" t="n"/>
      <c r="AD333" s="51" t="n">
        <v>2</v>
      </c>
      <c r="AE333" s="156" t="inlineStr">
        <is>
          <t>STETSON AMERICAS (2)</t>
        </is>
      </c>
      <c r="AF333" s="51" t="n">
        <v>2</v>
      </c>
      <c r="AG333" s="156" t="inlineStr">
        <is>
          <t>Catálogo existente</t>
        </is>
      </c>
      <c r="AH33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3" s="156" t="inlineStr">
        <is>
          <t>No</t>
        </is>
      </c>
      <c r="AJ333" s="156" t="n"/>
      <c r="AK333" s="155" t="inlineStr">
        <is>
          <t>Criterios: I [Q]; G1522_Extraccion_Articulos_NetSuite_2026-09-30.xlsx: fila 58905 [R] | Shopify Stetson: producto 15054564163947 / variante 53350548472171</t>
        </is>
      </c>
      <c r="AL333" s="58" t="n">
        <v>3301.5</v>
      </c>
      <c r="AM333" s="58" t="n">
        <v>18965.51724</v>
      </c>
      <c r="AN333" s="155" t="inlineStr">
        <is>
          <t>Shopify Stetson México</t>
        </is>
      </c>
      <c r="AO333" s="59" t="n">
        <v>2</v>
      </c>
      <c r="AP333" s="59" t="n"/>
      <c r="AQ333" s="59" t="n"/>
      <c r="AR333" s="155" t="inlineStr">
        <is>
          <t>Shopify Stetson México › Stetson Americas: 2</t>
        </is>
      </c>
    </row>
    <row r="334">
      <c r="A334" s="50" t="inlineStr">
        <is>
          <t>12020004101013295</t>
        </is>
      </c>
      <c r="B334" s="51" t="inlineStr">
        <is>
          <t>111231</t>
        </is>
      </c>
      <c r="C334" s="156" t="inlineStr">
        <is>
          <t>Multimarca</t>
        </is>
      </c>
      <c r="D334" s="156" t="inlineStr">
        <is>
          <t>12-020-BS004-10-1013</t>
        </is>
      </c>
      <c r="E334" s="156" t="inlineStr">
        <is>
          <t>12-020-BS004-10-1013-295</t>
        </is>
      </c>
      <c r="F334" s="156" t="inlineStr">
        <is>
          <t>29.5</t>
        </is>
      </c>
      <c r="G334" s="156" t="inlineStr">
        <is>
          <t>11.5</t>
        </is>
      </c>
      <c r="H334" s="156" t="inlineStr">
        <is>
          <t>Stetson</t>
        </is>
      </c>
      <c r="I334" s="156" t="inlineStr">
        <is>
          <t>Bota Cocodrilo Chocolate</t>
        </is>
      </c>
      <c r="J334" s="156" t="inlineStr">
        <is>
          <t>Calzado</t>
        </is>
      </c>
      <c r="K334" s="156" t="inlineStr">
        <is>
          <t>Botas</t>
        </is>
      </c>
      <c r="L334" s="156" t="inlineStr">
        <is>
          <t>Hombre</t>
        </is>
      </c>
      <c r="M334" s="156" t="inlineStr">
        <is>
          <t>Stetson</t>
        </is>
      </c>
      <c r="N334" s="156" t="inlineStr">
        <is>
          <t>SS26</t>
        </is>
      </c>
      <c r="O334" s="156" t="inlineStr">
        <is>
          <t>Seasonal</t>
        </is>
      </c>
      <c r="P334" s="156" t="inlineStr">
        <is>
          <t>Cafe</t>
        </is>
      </c>
      <c r="Q334" s="156" t="n"/>
      <c r="R334" s="156" t="inlineStr">
        <is>
          <t>Punta Redonda Ancha</t>
        </is>
      </c>
      <c r="S334" s="156" t="inlineStr">
        <is>
          <t>Piel de cocodrilo</t>
        </is>
      </c>
      <c r="T334" s="156" t="inlineStr">
        <is>
          <t>Bota Caballero Piel de cocodrilo Chocolate Punta Redonda Ancha</t>
        </is>
      </c>
      <c r="U334" s="156" t="inlineStr">
        <is>
          <t>México</t>
        </is>
      </c>
      <c r="V334" s="156" t="inlineStr">
        <is>
          <t>PRS</t>
        </is>
      </c>
      <c r="W334" s="51" t="inlineStr">
        <is>
          <t>53111501</t>
        </is>
      </c>
      <c r="X334" s="156" t="n"/>
      <c r="Y334" s="54" t="n">
        <v>3301.5</v>
      </c>
      <c r="Z334" s="54" t="n">
        <v>18965.51724</v>
      </c>
      <c r="AA334" s="55">
        <f>IF(AND(A334="", B334="", E334=""), "", IF(AB334="", "Válido", IF((LEN(AB334)-LEN(SUBSTITUTE(AB334,"; ","")))/2+1&gt;(LEN(AB334)-LEN(SUBSTITUTE(AB334,"[Aviso]","")))/7, "Con Incidencias", "Válido")))</f>
        <v/>
      </c>
      <c r="AB334" s="56">
        <f>IF(AND(A334="", B334="", E334=""), "", TEXTJOIN("; ", TRUE, IF(OR(TRIM(A334&amp;"")="", ISNUMBER(SEARCH("FALTA", A334))), "UPC faltante/inválido", ""), IF(AND(A334&lt;&gt;"", IFERROR(_xlfn.XMATCH(A334,$A$2:$A$2509,0,1)&lt;&gt;_xlfn.XMATCH(A334,$A$2:$A$2509,0,-1),FALSE)), "Código de barras duplicado", ""), IF(AND(E334&lt;&gt;"", COUNTIF($E$2:$E$2509, E334)&gt;1), "SKU duplicado", ""), IF(OR(J334="", J334=""), "[Aviso] División no capturada ()", IF(ISNA(MATCH(J334, Criterios!$A$123:$A$126, 0)), "División no válida", "")), IF(OR(K334="", K334=""), "[Aviso] Categoría no capturada ()", IF(ISNA(MATCH(K334, Criterios!$A$81:$A$120, 0)), "Categoría no válida", IF(AND(J334&lt;&gt;"", J334&lt;&gt;"", J334&lt;&gt;VLOOKUP(K334, Criterios!$A$81:$B$120, 2, FALSE)), "División no coincide con Categoría", ""))), IF(OR(L334="", L334=""), "[Aviso] Género no capturado ()", IF(ISNA(MATCH(L334, Criterios!$B$123:$B$127, 0)), "Género no válido", "")), IF(OR(N334="", N334=""), "[Aviso] Temporada no capturada ()", IF(ISNA(MATCH(N334, Criterios!$C$123:$C$128, 0)), "Temporada no válida", "")), IF(OR(O334="", O334=""), "[Aviso] Ciclo de vida no capturado ()", IF(ISNA(MATCH(O334, Criterios!$D$123:$D$124, 0)), "Ciclo de vida no válido", ""))))</f>
        <v/>
      </c>
      <c r="AC334" s="56" t="n"/>
      <c r="AD334" s="51" t="n">
        <v>0</v>
      </c>
      <c r="AE334" s="156" t="n"/>
      <c r="AF334" s="51" t="n">
        <v>0</v>
      </c>
      <c r="AG334" s="156" t="inlineStr">
        <is>
          <t>Catálogo existente</t>
        </is>
      </c>
      <c r="AH3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4" s="156" t="inlineStr">
        <is>
          <t>No</t>
        </is>
      </c>
      <c r="AJ334" s="156" t="n"/>
      <c r="AK334" s="155" t="inlineStr">
        <is>
          <t>Criterios: I [Q]; G1522_Extraccion_Articulos_NetSuite_2026-09-30.xlsx: fila 58906 [R] | Shopify Stetson: producto 15054564163947 / variante 53350548537707</t>
        </is>
      </c>
      <c r="AL334" s="58" t="n">
        <v>3301.5</v>
      </c>
      <c r="AM334" s="58" t="n">
        <v>18965.51724</v>
      </c>
      <c r="AN334" s="155" t="inlineStr">
        <is>
          <t>Shopify Stetson México</t>
        </is>
      </c>
      <c r="AO334" s="59" t="n">
        <v>0</v>
      </c>
      <c r="AP334" s="59" t="n"/>
      <c r="AQ334" s="59" t="n"/>
      <c r="AR334" s="155" t="n"/>
    </row>
    <row r="335">
      <c r="A335" s="50" t="inlineStr">
        <is>
          <t>12020004101013305</t>
        </is>
      </c>
      <c r="B335" s="51" t="inlineStr">
        <is>
          <t>111232</t>
        </is>
      </c>
      <c r="C335" s="156" t="inlineStr">
        <is>
          <t>Multimarca</t>
        </is>
      </c>
      <c r="D335" s="156" t="inlineStr">
        <is>
          <t>12-020-BS004-10-1013</t>
        </is>
      </c>
      <c r="E335" s="156" t="inlineStr">
        <is>
          <t>12-020-BS004-10-1013-305</t>
        </is>
      </c>
      <c r="F335" s="156" t="inlineStr">
        <is>
          <t>30.5</t>
        </is>
      </c>
      <c r="G335" s="156" t="inlineStr">
        <is>
          <t>12.5</t>
        </is>
      </c>
      <c r="H335" s="156" t="inlineStr">
        <is>
          <t>Stetson</t>
        </is>
      </c>
      <c r="I335" s="156" t="inlineStr">
        <is>
          <t>Bota Cocodrilo Chocolate</t>
        </is>
      </c>
      <c r="J335" s="156" t="inlineStr">
        <is>
          <t>Calzado</t>
        </is>
      </c>
      <c r="K335" s="156" t="inlineStr">
        <is>
          <t>Botas</t>
        </is>
      </c>
      <c r="L335" s="156" t="inlineStr">
        <is>
          <t>Hombre</t>
        </is>
      </c>
      <c r="M335" s="156" t="inlineStr">
        <is>
          <t>Stetson</t>
        </is>
      </c>
      <c r="N335" s="156" t="inlineStr">
        <is>
          <t>SS26</t>
        </is>
      </c>
      <c r="O335" s="156" t="inlineStr">
        <is>
          <t>Seasonal</t>
        </is>
      </c>
      <c r="P335" s="156" t="inlineStr">
        <is>
          <t>Cafe</t>
        </is>
      </c>
      <c r="Q335" s="156" t="n"/>
      <c r="R335" s="156" t="inlineStr">
        <is>
          <t>Punta Redonda Ancha</t>
        </is>
      </c>
      <c r="S335" s="156" t="inlineStr">
        <is>
          <t>Piel de cocodrilo</t>
        </is>
      </c>
      <c r="T335" s="156" t="inlineStr">
        <is>
          <t>Bota Caballero Piel de cocodrilo Chocolate Punta Redonda Ancha</t>
        </is>
      </c>
      <c r="U335" s="156" t="inlineStr">
        <is>
          <t>México</t>
        </is>
      </c>
      <c r="V335" s="156" t="inlineStr">
        <is>
          <t>PRS</t>
        </is>
      </c>
      <c r="W335" s="51" t="inlineStr">
        <is>
          <t>53111501</t>
        </is>
      </c>
      <c r="X335" s="156" t="n"/>
      <c r="Y335" s="54" t="n">
        <v>3301.5</v>
      </c>
      <c r="Z335" s="54" t="n">
        <v>18965.51724</v>
      </c>
      <c r="AA335" s="55">
        <f>IF(AND(A335="", B335="", E335=""), "", IF(AB335="", "Válido", IF((LEN(AB335)-LEN(SUBSTITUTE(AB335,"; ","")))/2+1&gt;(LEN(AB335)-LEN(SUBSTITUTE(AB335,"[Aviso]","")))/7, "Con Incidencias", "Válido")))</f>
        <v/>
      </c>
      <c r="AB335" s="56">
        <f>IF(AND(A335="", B335="", E335=""), "", TEXTJOIN("; ", TRUE, IF(OR(TRIM(A335&amp;"")="", ISNUMBER(SEARCH("FALTA", A335))), "UPC faltante/inválido", ""), IF(AND(A335&lt;&gt;"", IFERROR(_xlfn.XMATCH(A335,$A$2:$A$2509,0,1)&lt;&gt;_xlfn.XMATCH(A335,$A$2:$A$2509,0,-1),FALSE)), "Código de barras duplicado", ""), IF(AND(E335&lt;&gt;"", COUNTIF($E$2:$E$2509, E335)&gt;1), "SKU duplicado", ""), IF(OR(J335="", J335=""), "[Aviso] División no capturada ()", IF(ISNA(MATCH(J335, Criterios!$A$123:$A$126, 0)), "División no válida", "")), IF(OR(K335="", K335=""), "[Aviso] Categoría no capturada ()", IF(ISNA(MATCH(K335, Criterios!$A$81:$A$120, 0)), "Categoría no válida", IF(AND(J335&lt;&gt;"", J335&lt;&gt;"", J335&lt;&gt;VLOOKUP(K335, Criterios!$A$81:$B$120, 2, FALSE)), "División no coincide con Categoría", ""))), IF(OR(L335="", L335=""), "[Aviso] Género no capturado ()", IF(ISNA(MATCH(L335, Criterios!$B$123:$B$127, 0)), "Género no válido", "")), IF(OR(N335="", N335=""), "[Aviso] Temporada no capturada ()", IF(ISNA(MATCH(N335, Criterios!$C$123:$C$128, 0)), "Temporada no válida", "")), IF(OR(O335="", O335=""), "[Aviso] Ciclo de vida no capturado ()", IF(ISNA(MATCH(O335, Criterios!$D$123:$D$124, 0)), "Ciclo de vida no válido", ""))))</f>
        <v/>
      </c>
      <c r="AC335" s="56" t="n"/>
      <c r="AD335" s="51" t="n">
        <v>0</v>
      </c>
      <c r="AE335" s="156" t="n"/>
      <c r="AF335" s="51" t="n">
        <v>0</v>
      </c>
      <c r="AG335" s="156" t="inlineStr">
        <is>
          <t>Catálogo existente</t>
        </is>
      </c>
      <c r="AH3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5" s="156" t="inlineStr">
        <is>
          <t>No</t>
        </is>
      </c>
      <c r="AJ335" s="156" t="n"/>
      <c r="AK335" s="155" t="inlineStr">
        <is>
          <t>Criterios: I [Q]; G1522_Extraccion_Articulos_NetSuite_2026-09-30.xlsx: fila 58907 [R] | Shopify Stetson: producto 15054564163947 / variante 53350548603243</t>
        </is>
      </c>
      <c r="AL335" s="58" t="n">
        <v>3301.5</v>
      </c>
      <c r="AM335" s="58" t="n">
        <v>18965.51724</v>
      </c>
      <c r="AN335" s="155" t="inlineStr">
        <is>
          <t>Shopify Stetson México</t>
        </is>
      </c>
      <c r="AO335" s="59" t="n">
        <v>0</v>
      </c>
      <c r="AP335" s="59" t="n"/>
      <c r="AQ335" s="59" t="n"/>
      <c r="AR335" s="155" t="n"/>
    </row>
    <row r="336">
      <c r="A336" s="50" t="inlineStr">
        <is>
          <t>12020004101013315</t>
        </is>
      </c>
      <c r="B336" s="51" t="inlineStr">
        <is>
          <t>111233</t>
        </is>
      </c>
      <c r="C336" s="156" t="inlineStr">
        <is>
          <t>Multimarca</t>
        </is>
      </c>
      <c r="D336" s="156" t="inlineStr">
        <is>
          <t>12-020-BS004-10-1013</t>
        </is>
      </c>
      <c r="E336" s="156" t="inlineStr">
        <is>
          <t>12-020-BS004-10-1013-315</t>
        </is>
      </c>
      <c r="F336" s="156" t="inlineStr">
        <is>
          <t>31.5</t>
        </is>
      </c>
      <c r="G336" s="156" t="inlineStr">
        <is>
          <t>13.5</t>
        </is>
      </c>
      <c r="H336" s="156" t="inlineStr">
        <is>
          <t>Stetson</t>
        </is>
      </c>
      <c r="I336" s="156" t="inlineStr">
        <is>
          <t>Bota Cocodrilo Chocolate</t>
        </is>
      </c>
      <c r="J336" s="156" t="inlineStr">
        <is>
          <t>Calzado</t>
        </is>
      </c>
      <c r="K336" s="156" t="inlineStr">
        <is>
          <t>Botas</t>
        </is>
      </c>
      <c r="L336" s="156" t="inlineStr">
        <is>
          <t>Hombre</t>
        </is>
      </c>
      <c r="M336" s="156" t="inlineStr">
        <is>
          <t>Stetson</t>
        </is>
      </c>
      <c r="N336" s="156" t="inlineStr">
        <is>
          <t>SS26</t>
        </is>
      </c>
      <c r="O336" s="156" t="inlineStr">
        <is>
          <t>Seasonal</t>
        </is>
      </c>
      <c r="P336" s="156" t="inlineStr">
        <is>
          <t>Cafe</t>
        </is>
      </c>
      <c r="Q336" s="156" t="n"/>
      <c r="R336" s="156" t="inlineStr">
        <is>
          <t>Punta Redonda Ancha</t>
        </is>
      </c>
      <c r="S336" s="156" t="inlineStr">
        <is>
          <t>Piel de cocodrilo</t>
        </is>
      </c>
      <c r="T336" s="156" t="inlineStr">
        <is>
          <t>Bota Caballero Piel de cocodrilo Chocolate Punta Redonda Ancha</t>
        </is>
      </c>
      <c r="U336" s="156" t="inlineStr">
        <is>
          <t>México</t>
        </is>
      </c>
      <c r="V336" s="156" t="inlineStr">
        <is>
          <t>PRS</t>
        </is>
      </c>
      <c r="W336" s="51" t="inlineStr">
        <is>
          <t>53111501</t>
        </is>
      </c>
      <c r="X336" s="156" t="n"/>
      <c r="Y336" s="54" t="n">
        <v>3301.5</v>
      </c>
      <c r="Z336" s="54" t="n">
        <v>18965.51724</v>
      </c>
      <c r="AA336" s="55">
        <f>IF(AND(A336="", B336="", E336=""), "", IF(AB336="", "Válido", IF((LEN(AB336)-LEN(SUBSTITUTE(AB336,"; ","")))/2+1&gt;(LEN(AB336)-LEN(SUBSTITUTE(AB336,"[Aviso]","")))/7, "Con Incidencias", "Válido")))</f>
        <v/>
      </c>
      <c r="AB336" s="56">
        <f>IF(AND(A336="", B336="", E336=""), "", TEXTJOIN("; ", TRUE, IF(OR(TRIM(A336&amp;"")="", ISNUMBER(SEARCH("FALTA", A336))), "UPC faltante/inválido", ""), IF(AND(A336&lt;&gt;"", IFERROR(_xlfn.XMATCH(A336,$A$2:$A$2509,0,1)&lt;&gt;_xlfn.XMATCH(A336,$A$2:$A$2509,0,-1),FALSE)), "Código de barras duplicado", ""), IF(AND(E336&lt;&gt;"", COUNTIF($E$2:$E$2509, E336)&gt;1), "SKU duplicado", ""), IF(OR(J336="", J336=""), "[Aviso] División no capturada ()", IF(ISNA(MATCH(J336, Criterios!$A$123:$A$126, 0)), "División no válida", "")), IF(OR(K336="", K336=""), "[Aviso] Categoría no capturada ()", IF(ISNA(MATCH(K336, Criterios!$A$81:$A$120, 0)), "Categoría no válida", IF(AND(J336&lt;&gt;"", J336&lt;&gt;"", J336&lt;&gt;VLOOKUP(K336, Criterios!$A$81:$B$120, 2, FALSE)), "División no coincide con Categoría", ""))), IF(OR(L336="", L336=""), "[Aviso] Género no capturado ()", IF(ISNA(MATCH(L336, Criterios!$B$123:$B$127, 0)), "Género no válido", "")), IF(OR(N336="", N336=""), "[Aviso] Temporada no capturada ()", IF(ISNA(MATCH(N336, Criterios!$C$123:$C$128, 0)), "Temporada no válida", "")), IF(OR(O336="", O336=""), "[Aviso] Ciclo de vida no capturado ()", IF(ISNA(MATCH(O336, Criterios!$D$123:$D$124, 0)), "Ciclo de vida no válido", ""))))</f>
        <v/>
      </c>
      <c r="AC336" s="56" t="n"/>
      <c r="AD336" s="51" t="n">
        <v>0</v>
      </c>
      <c r="AE336" s="156" t="n"/>
      <c r="AF336" s="51" t="n">
        <v>0</v>
      </c>
      <c r="AG336" s="156" t="inlineStr">
        <is>
          <t>Catálogo existente</t>
        </is>
      </c>
      <c r="AH3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6" s="156" t="inlineStr">
        <is>
          <t>No</t>
        </is>
      </c>
      <c r="AJ336" s="156" t="n"/>
      <c r="AK336" s="155" t="inlineStr">
        <is>
          <t>Criterios: I [Q]; G1522_Extraccion_Articulos_NetSuite_2026-09-30.xlsx: fila 58908 [R] | Shopify Stetson: producto 15054564163947 / variante 53350548668779</t>
        </is>
      </c>
      <c r="AL336" s="58" t="n">
        <v>3301.5</v>
      </c>
      <c r="AM336" s="58" t="n">
        <v>18965.51724</v>
      </c>
      <c r="AN336" s="155" t="inlineStr">
        <is>
          <t>Shopify Stetson México</t>
        </is>
      </c>
      <c r="AO336" s="59" t="n">
        <v>0</v>
      </c>
      <c r="AP336" s="59" t="n"/>
      <c r="AQ336" s="59" t="n"/>
      <c r="AR336" s="155" t="n"/>
    </row>
    <row r="337">
      <c r="A337" s="50" t="inlineStr">
        <is>
          <t>12020004101013325</t>
        </is>
      </c>
      <c r="B337" s="51" t="inlineStr">
        <is>
          <t>111234</t>
        </is>
      </c>
      <c r="C337" s="156" t="inlineStr">
        <is>
          <t>Multimarca</t>
        </is>
      </c>
      <c r="D337" s="156" t="inlineStr">
        <is>
          <t>12-020-BS004-10-1013</t>
        </is>
      </c>
      <c r="E337" s="156" t="inlineStr">
        <is>
          <t>12-020-BS004-10-1013-325</t>
        </is>
      </c>
      <c r="F337" s="156" t="inlineStr">
        <is>
          <t>32.5</t>
        </is>
      </c>
      <c r="G337" s="156" t="inlineStr">
        <is>
          <t>14.5</t>
        </is>
      </c>
      <c r="H337" s="156" t="inlineStr">
        <is>
          <t>Stetson</t>
        </is>
      </c>
      <c r="I337" s="156" t="inlineStr">
        <is>
          <t>Bota Cocodrilo Chocolate</t>
        </is>
      </c>
      <c r="J337" s="156" t="inlineStr">
        <is>
          <t>Calzado</t>
        </is>
      </c>
      <c r="K337" s="156" t="inlineStr">
        <is>
          <t>Botas</t>
        </is>
      </c>
      <c r="L337" s="156" t="inlineStr">
        <is>
          <t>Hombre</t>
        </is>
      </c>
      <c r="M337" s="156" t="inlineStr">
        <is>
          <t>Stetson</t>
        </is>
      </c>
      <c r="N337" s="156" t="inlineStr">
        <is>
          <t>SS26</t>
        </is>
      </c>
      <c r="O337" s="156" t="inlineStr">
        <is>
          <t>Seasonal</t>
        </is>
      </c>
      <c r="P337" s="156" t="inlineStr">
        <is>
          <t>Cafe</t>
        </is>
      </c>
      <c r="Q337" s="156" t="n"/>
      <c r="R337" s="156" t="inlineStr">
        <is>
          <t>Punta Redonda Ancha</t>
        </is>
      </c>
      <c r="S337" s="156" t="inlineStr">
        <is>
          <t>Piel de cocodrilo</t>
        </is>
      </c>
      <c r="T337" s="156" t="inlineStr">
        <is>
          <t>Bota Caballero Piel de cocodrilo Chocolate Punta Redonda Ancha</t>
        </is>
      </c>
      <c r="U337" s="156" t="inlineStr">
        <is>
          <t>México</t>
        </is>
      </c>
      <c r="V337" s="156" t="inlineStr">
        <is>
          <t>PRS</t>
        </is>
      </c>
      <c r="W337" s="51" t="inlineStr">
        <is>
          <t>53111501</t>
        </is>
      </c>
      <c r="X337" s="156" t="n"/>
      <c r="Y337" s="54" t="n">
        <v>3301.5</v>
      </c>
      <c r="Z337" s="54" t="n">
        <v>18965.51724</v>
      </c>
      <c r="AA337" s="55">
        <f>IF(AND(A337="", B337="", E337=""), "", IF(AB337="", "Válido", IF((LEN(AB337)-LEN(SUBSTITUTE(AB337,"; ","")))/2+1&gt;(LEN(AB337)-LEN(SUBSTITUTE(AB337,"[Aviso]","")))/7, "Con Incidencias", "Válido")))</f>
        <v/>
      </c>
      <c r="AB337" s="56">
        <f>IF(AND(A337="", B337="", E337=""), "", TEXTJOIN("; ", TRUE, IF(OR(TRIM(A337&amp;"")="", ISNUMBER(SEARCH("FALTA", A337))), "UPC faltante/inválido", ""), IF(AND(A337&lt;&gt;"", IFERROR(_xlfn.XMATCH(A337,$A$2:$A$2509,0,1)&lt;&gt;_xlfn.XMATCH(A337,$A$2:$A$2509,0,-1),FALSE)), "Código de barras duplicado", ""), IF(AND(E337&lt;&gt;"", COUNTIF($E$2:$E$2509, E337)&gt;1), "SKU duplicado", ""), IF(OR(J337="", J337=""), "[Aviso] División no capturada ()", IF(ISNA(MATCH(J337, Criterios!$A$123:$A$126, 0)), "División no válida", "")), IF(OR(K337="", K337=""), "[Aviso] Categoría no capturada ()", IF(ISNA(MATCH(K337, Criterios!$A$81:$A$120, 0)), "Categoría no válida", IF(AND(J337&lt;&gt;"", J337&lt;&gt;"", J337&lt;&gt;VLOOKUP(K337, Criterios!$A$81:$B$120, 2, FALSE)), "División no coincide con Categoría", ""))), IF(OR(L337="", L337=""), "[Aviso] Género no capturado ()", IF(ISNA(MATCH(L337, Criterios!$B$123:$B$127, 0)), "Género no válido", "")), IF(OR(N337="", N337=""), "[Aviso] Temporada no capturada ()", IF(ISNA(MATCH(N337, Criterios!$C$123:$C$128, 0)), "Temporada no válida", "")), IF(OR(O337="", O337=""), "[Aviso] Ciclo de vida no capturado ()", IF(ISNA(MATCH(O337, Criterios!$D$123:$D$124, 0)), "Ciclo de vida no válido", ""))))</f>
        <v/>
      </c>
      <c r="AC337" s="56" t="n"/>
      <c r="AD337" s="51" t="n">
        <v>0</v>
      </c>
      <c r="AE337" s="156" t="n"/>
      <c r="AF337" s="51" t="n">
        <v>0</v>
      </c>
      <c r="AG337" s="156" t="inlineStr">
        <is>
          <t>Catálogo existente</t>
        </is>
      </c>
      <c r="AH3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7" s="156" t="inlineStr">
        <is>
          <t>No</t>
        </is>
      </c>
      <c r="AJ337" s="156" t="n"/>
      <c r="AK337" s="155" t="inlineStr">
        <is>
          <t>Criterios: I [Q]; G1522_Extraccion_Articulos_NetSuite_2026-09-30.xlsx: fila 58909 [R] | Shopify Stetson: producto 15054564163947 / variante 53350548734315</t>
        </is>
      </c>
      <c r="AL337" s="58" t="n">
        <v>3301.5</v>
      </c>
      <c r="AM337" s="58" t="n">
        <v>18965.51724</v>
      </c>
      <c r="AN337" s="155" t="inlineStr">
        <is>
          <t>Shopify Stetson México</t>
        </is>
      </c>
      <c r="AO337" s="59" t="n">
        <v>0</v>
      </c>
      <c r="AP337" s="59" t="n"/>
      <c r="AQ337" s="59" t="n"/>
      <c r="AR337" s="155" t="n"/>
    </row>
    <row r="338">
      <c r="A338" s="50" t="inlineStr">
        <is>
          <t>12020004101014025</t>
        </is>
      </c>
      <c r="B338" s="51" t="inlineStr">
        <is>
          <t>111235</t>
        </is>
      </c>
      <c r="C338" s="156" t="inlineStr">
        <is>
          <t>Multimarca</t>
        </is>
      </c>
      <c r="D338" s="156" t="inlineStr">
        <is>
          <t>12-020-BS004-10-1014</t>
        </is>
      </c>
      <c r="E338" s="156" t="inlineStr">
        <is>
          <t>12-020-BS004-10-1014-025</t>
        </is>
      </c>
      <c r="F338" s="156" t="inlineStr">
        <is>
          <t>25</t>
        </is>
      </c>
      <c r="G338" s="156" t="inlineStr">
        <is>
          <t>7</t>
        </is>
      </c>
      <c r="H338" s="156" t="inlineStr">
        <is>
          <t>Stetson</t>
        </is>
      </c>
      <c r="I338" s="156" t="inlineStr">
        <is>
          <t>Bota Cocodrilo Agave</t>
        </is>
      </c>
      <c r="J338" s="156" t="inlineStr">
        <is>
          <t>Calzado</t>
        </is>
      </c>
      <c r="K338" s="156" t="inlineStr">
        <is>
          <t>Botas</t>
        </is>
      </c>
      <c r="L338" s="156" t="inlineStr">
        <is>
          <t>Hombre</t>
        </is>
      </c>
      <c r="M338" s="156" t="inlineStr">
        <is>
          <t>Stetson</t>
        </is>
      </c>
      <c r="N338" s="156" t="inlineStr">
        <is>
          <t>SS26</t>
        </is>
      </c>
      <c r="O338" s="156" t="inlineStr">
        <is>
          <t>Seasonal</t>
        </is>
      </c>
      <c r="P338" s="156" t="inlineStr">
        <is>
          <t>Verde</t>
        </is>
      </c>
      <c r="Q338" s="156" t="n"/>
      <c r="R338" s="156" t="inlineStr">
        <is>
          <t>Punta Redonda Ancha</t>
        </is>
      </c>
      <c r="S338" s="156" t="inlineStr">
        <is>
          <t>Piel de cocodrilo</t>
        </is>
      </c>
      <c r="T338" s="156" t="inlineStr">
        <is>
          <t>Bota Caballero Piel de cocodrilo Agave Punta Redonda Ancha</t>
        </is>
      </c>
      <c r="U338" s="156" t="inlineStr">
        <is>
          <t>México</t>
        </is>
      </c>
      <c r="V338" s="156" t="inlineStr">
        <is>
          <t>PRS</t>
        </is>
      </c>
      <c r="W338" s="51" t="inlineStr">
        <is>
          <t>53111501</t>
        </is>
      </c>
      <c r="X338" s="156" t="n"/>
      <c r="Y338" s="54" t="n">
        <v>2424</v>
      </c>
      <c r="Z338" s="54" t="n">
        <v>13793.10345</v>
      </c>
      <c r="AA338" s="55">
        <f>IF(AND(A338="", B338="", E338=""), "", IF(AB338="", "Válido", IF((LEN(AB338)-LEN(SUBSTITUTE(AB338,"; ","")))/2+1&gt;(LEN(AB338)-LEN(SUBSTITUTE(AB338,"[Aviso]","")))/7, "Con Incidencias", "Válido")))</f>
        <v/>
      </c>
      <c r="AB338" s="56">
        <f>IF(AND(A338="", B338="", E338=""), "", TEXTJOIN("; ", TRUE, IF(OR(TRIM(A338&amp;"")="", ISNUMBER(SEARCH("FALTA", A338))), "UPC faltante/inválido", ""), IF(AND(A338&lt;&gt;"", IFERROR(_xlfn.XMATCH(A338,$A$2:$A$2509,0,1)&lt;&gt;_xlfn.XMATCH(A338,$A$2:$A$2509,0,-1),FALSE)), "Código de barras duplicado", ""), IF(AND(E338&lt;&gt;"", COUNTIF($E$2:$E$2509, E338)&gt;1), "SKU duplicado", ""), IF(OR(J338="", J338=""), "[Aviso] División no capturada ()", IF(ISNA(MATCH(J338, Criterios!$A$123:$A$126, 0)), "División no válida", "")), IF(OR(K338="", K338=""), "[Aviso] Categoría no capturada ()", IF(ISNA(MATCH(K338, Criterios!$A$81:$A$120, 0)), "Categoría no válida", IF(AND(J338&lt;&gt;"", J338&lt;&gt;"", J338&lt;&gt;VLOOKUP(K338, Criterios!$A$81:$B$120, 2, FALSE)), "División no coincide con Categoría", ""))), IF(OR(L338="", L338=""), "[Aviso] Género no capturado ()", IF(ISNA(MATCH(L338, Criterios!$B$123:$B$127, 0)), "Género no válido", "")), IF(OR(N338="", N338=""), "[Aviso] Temporada no capturada ()", IF(ISNA(MATCH(N338, Criterios!$C$123:$C$128, 0)), "Temporada no válida", "")), IF(OR(O338="", O338=""), "[Aviso] Ciclo de vida no capturado ()", IF(ISNA(MATCH(O338, Criterios!$D$123:$D$124, 0)), "Ciclo de vida no válido", ""))))</f>
        <v/>
      </c>
      <c r="AC338" s="56" t="n"/>
      <c r="AD338" s="51" t="n">
        <v>0</v>
      </c>
      <c r="AE338" s="156" t="n"/>
      <c r="AF338" s="51" t="n">
        <v>0</v>
      </c>
      <c r="AG338" s="156" t="inlineStr">
        <is>
          <t>Catálogo existente</t>
        </is>
      </c>
      <c r="AH3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8" s="156" t="inlineStr">
        <is>
          <t>No</t>
        </is>
      </c>
      <c r="AJ338" s="156" t="n"/>
      <c r="AK338" s="155" t="inlineStr">
        <is>
          <t>Criterios: I [Q]; G1522_Extraccion_Articulos_NetSuite_2026-09-30.xlsx: fila 58910 [R] | Shopify Stetson: producto 15054564196715 / variante 53350548767083</t>
        </is>
      </c>
      <c r="AL338" s="58" t="n">
        <v>2424</v>
      </c>
      <c r="AM338" s="58" t="n">
        <v>13793.10345</v>
      </c>
      <c r="AN338" s="155" t="inlineStr">
        <is>
          <t>Shopify Stetson México</t>
        </is>
      </c>
      <c r="AO338" s="59" t="n">
        <v>0</v>
      </c>
      <c r="AP338" s="59" t="n"/>
      <c r="AQ338" s="59" t="n"/>
      <c r="AR338" s="155" t="n"/>
    </row>
    <row r="339">
      <c r="A339" s="50" t="inlineStr">
        <is>
          <t>12020004101014026</t>
        </is>
      </c>
      <c r="B339" s="51" t="inlineStr">
        <is>
          <t>111236</t>
        </is>
      </c>
      <c r="C339" s="156" t="inlineStr">
        <is>
          <t>Multimarca</t>
        </is>
      </c>
      <c r="D339" s="156" t="inlineStr">
        <is>
          <t>12-020-BS004-10-1014</t>
        </is>
      </c>
      <c r="E339" s="156" t="inlineStr">
        <is>
          <t>12-020-BS004-10-1014-026</t>
        </is>
      </c>
      <c r="F339" s="156" t="inlineStr">
        <is>
          <t>26</t>
        </is>
      </c>
      <c r="G339" s="156" t="inlineStr">
        <is>
          <t>8</t>
        </is>
      </c>
      <c r="H339" s="156" t="inlineStr">
        <is>
          <t>Stetson</t>
        </is>
      </c>
      <c r="I339" s="156" t="inlineStr">
        <is>
          <t>Bota Cocodrilo Agave</t>
        </is>
      </c>
      <c r="J339" s="156" t="inlineStr">
        <is>
          <t>Calzado</t>
        </is>
      </c>
      <c r="K339" s="156" t="inlineStr">
        <is>
          <t>Botas</t>
        </is>
      </c>
      <c r="L339" s="156" t="inlineStr">
        <is>
          <t>Hombre</t>
        </is>
      </c>
      <c r="M339" s="156" t="inlineStr">
        <is>
          <t>Stetson</t>
        </is>
      </c>
      <c r="N339" s="156" t="inlineStr">
        <is>
          <t>SS26</t>
        </is>
      </c>
      <c r="O339" s="156" t="inlineStr">
        <is>
          <t>Seasonal</t>
        </is>
      </c>
      <c r="P339" s="156" t="inlineStr">
        <is>
          <t>Verde</t>
        </is>
      </c>
      <c r="Q339" s="156" t="n"/>
      <c r="R339" s="156" t="inlineStr">
        <is>
          <t>Punta Redonda Ancha</t>
        </is>
      </c>
      <c r="S339" s="156" t="inlineStr">
        <is>
          <t>Piel de cocodrilo</t>
        </is>
      </c>
      <c r="T339" s="156" t="inlineStr">
        <is>
          <t>Bota Caballero Piel de cocodrilo Agave Punta Redonda Ancha</t>
        </is>
      </c>
      <c r="U339" s="156" t="inlineStr">
        <is>
          <t>México</t>
        </is>
      </c>
      <c r="V339" s="156" t="inlineStr">
        <is>
          <t>PRS</t>
        </is>
      </c>
      <c r="W339" s="51" t="inlineStr">
        <is>
          <t>53111501</t>
        </is>
      </c>
      <c r="X339" s="156" t="n"/>
      <c r="Y339" s="54" t="n">
        <v>2424</v>
      </c>
      <c r="Z339" s="54" t="n">
        <v>13793.10345</v>
      </c>
      <c r="AA339" s="55">
        <f>IF(AND(A339="", B339="", E339=""), "", IF(AB339="", "Válido", IF((LEN(AB339)-LEN(SUBSTITUTE(AB339,"; ","")))/2+1&gt;(LEN(AB339)-LEN(SUBSTITUTE(AB339,"[Aviso]","")))/7, "Con Incidencias", "Válido")))</f>
        <v/>
      </c>
      <c r="AB339" s="56">
        <f>IF(AND(A339="", B339="", E339=""), "", TEXTJOIN("; ", TRUE, IF(OR(TRIM(A339&amp;"")="", ISNUMBER(SEARCH("FALTA", A339))), "UPC faltante/inválido", ""), IF(AND(A339&lt;&gt;"", IFERROR(_xlfn.XMATCH(A339,$A$2:$A$2509,0,1)&lt;&gt;_xlfn.XMATCH(A339,$A$2:$A$2509,0,-1),FALSE)), "Código de barras duplicado", ""), IF(AND(E339&lt;&gt;"", COUNTIF($E$2:$E$2509, E339)&gt;1), "SKU duplicado", ""), IF(OR(J339="", J339=""), "[Aviso] División no capturada ()", IF(ISNA(MATCH(J339, Criterios!$A$123:$A$126, 0)), "División no válida", "")), IF(OR(K339="", K339=""), "[Aviso] Categoría no capturada ()", IF(ISNA(MATCH(K339, Criterios!$A$81:$A$120, 0)), "Categoría no válida", IF(AND(J339&lt;&gt;"", J339&lt;&gt;"", J339&lt;&gt;VLOOKUP(K339, Criterios!$A$81:$B$120, 2, FALSE)), "División no coincide con Categoría", ""))), IF(OR(L339="", L339=""), "[Aviso] Género no capturado ()", IF(ISNA(MATCH(L339, Criterios!$B$123:$B$127, 0)), "Género no válido", "")), IF(OR(N339="", N339=""), "[Aviso] Temporada no capturada ()", IF(ISNA(MATCH(N339, Criterios!$C$123:$C$128, 0)), "Temporada no válida", "")), IF(OR(O339="", O339=""), "[Aviso] Ciclo de vida no capturado ()", IF(ISNA(MATCH(O339, Criterios!$D$123:$D$124, 0)), "Ciclo de vida no válido", ""))))</f>
        <v/>
      </c>
      <c r="AC339" s="56" t="n"/>
      <c r="AD339" s="51" t="n">
        <v>0</v>
      </c>
      <c r="AE339" s="156" t="n"/>
      <c r="AF339" s="51" t="n">
        <v>0</v>
      </c>
      <c r="AG339" s="156" t="inlineStr">
        <is>
          <t>Catálogo existente</t>
        </is>
      </c>
      <c r="AH3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9" s="156" t="inlineStr">
        <is>
          <t>No</t>
        </is>
      </c>
      <c r="AJ339" s="156" t="n"/>
      <c r="AK339" s="155" t="inlineStr">
        <is>
          <t>Criterios: I [Q]; G1522_Extraccion_Articulos_NetSuite_2026-09-30.xlsx: fila 58911 [R] | Shopify Stetson: producto 15054564196715 / variante 53350548832619</t>
        </is>
      </c>
      <c r="AL339" s="58" t="n">
        <v>2424</v>
      </c>
      <c r="AM339" s="58" t="n">
        <v>13793.10345</v>
      </c>
      <c r="AN339" s="155" t="inlineStr">
        <is>
          <t>Shopify Stetson México</t>
        </is>
      </c>
      <c r="AO339" s="59" t="n">
        <v>0</v>
      </c>
      <c r="AP339" s="59" t="n"/>
      <c r="AQ339" s="59" t="n"/>
      <c r="AR339" s="155" t="n"/>
    </row>
    <row r="340">
      <c r="A340" s="50" t="inlineStr">
        <is>
          <t>12020004101014027</t>
        </is>
      </c>
      <c r="B340" s="51" t="inlineStr">
        <is>
          <t>111237</t>
        </is>
      </c>
      <c r="C340" s="156" t="inlineStr">
        <is>
          <t>Multimarca</t>
        </is>
      </c>
      <c r="D340" s="156" t="inlineStr">
        <is>
          <t>12-020-BS004-10-1014</t>
        </is>
      </c>
      <c r="E340" s="156" t="inlineStr">
        <is>
          <t>12-020-BS004-10-1014-027</t>
        </is>
      </c>
      <c r="F340" s="156" t="inlineStr">
        <is>
          <t>27</t>
        </is>
      </c>
      <c r="G340" s="156" t="inlineStr">
        <is>
          <t>9</t>
        </is>
      </c>
      <c r="H340" s="156" t="inlineStr">
        <is>
          <t>Stetson</t>
        </is>
      </c>
      <c r="I340" s="156" t="inlineStr">
        <is>
          <t>Bota Cocodrilo Agave</t>
        </is>
      </c>
      <c r="J340" s="156" t="inlineStr">
        <is>
          <t>Calzado</t>
        </is>
      </c>
      <c r="K340" s="156" t="inlineStr">
        <is>
          <t>Botas</t>
        </is>
      </c>
      <c r="L340" s="156" t="inlineStr">
        <is>
          <t>Hombre</t>
        </is>
      </c>
      <c r="M340" s="156" t="inlineStr">
        <is>
          <t>Stetson</t>
        </is>
      </c>
      <c r="N340" s="156" t="inlineStr">
        <is>
          <t>SS26</t>
        </is>
      </c>
      <c r="O340" s="156" t="inlineStr">
        <is>
          <t>Seasonal</t>
        </is>
      </c>
      <c r="P340" s="156" t="inlineStr">
        <is>
          <t>Verde</t>
        </is>
      </c>
      <c r="Q340" s="156" t="n"/>
      <c r="R340" s="156" t="inlineStr">
        <is>
          <t>Punta Redonda Ancha</t>
        </is>
      </c>
      <c r="S340" s="156" t="inlineStr">
        <is>
          <t>Piel de cocodrilo</t>
        </is>
      </c>
      <c r="T340" s="156" t="inlineStr">
        <is>
          <t>Bota Caballero Piel de cocodrilo Agave Punta Redonda Ancha</t>
        </is>
      </c>
      <c r="U340" s="156" t="inlineStr">
        <is>
          <t>México</t>
        </is>
      </c>
      <c r="V340" s="156" t="inlineStr">
        <is>
          <t>PRS</t>
        </is>
      </c>
      <c r="W340" s="51" t="inlineStr">
        <is>
          <t>53111501</t>
        </is>
      </c>
      <c r="X340" s="156" t="n"/>
      <c r="Y340" s="54" t="n">
        <v>2424</v>
      </c>
      <c r="Z340" s="54" t="n">
        <v>13793.10345</v>
      </c>
      <c r="AA340" s="55">
        <f>IF(AND(A340="", B340="", E340=""), "", IF(AB340="", "Válido", IF((LEN(AB340)-LEN(SUBSTITUTE(AB340,"; ","")))/2+1&gt;(LEN(AB340)-LEN(SUBSTITUTE(AB340,"[Aviso]","")))/7, "Con Incidencias", "Válido")))</f>
        <v/>
      </c>
      <c r="AB340" s="56">
        <f>IF(AND(A340="", B340="", E340=""), "", TEXTJOIN("; ", TRUE, IF(OR(TRIM(A340&amp;"")="", ISNUMBER(SEARCH("FALTA", A340))), "UPC faltante/inválido", ""), IF(AND(A340&lt;&gt;"", IFERROR(_xlfn.XMATCH(A340,$A$2:$A$2509,0,1)&lt;&gt;_xlfn.XMATCH(A340,$A$2:$A$2509,0,-1),FALSE)), "Código de barras duplicado", ""), IF(AND(E340&lt;&gt;"", COUNTIF($E$2:$E$2509, E340)&gt;1), "SKU duplicado", ""), IF(OR(J340="", J340=""), "[Aviso] División no capturada ()", IF(ISNA(MATCH(J340, Criterios!$A$123:$A$126, 0)), "División no válida", "")), IF(OR(K340="", K340=""), "[Aviso] Categoría no capturada ()", IF(ISNA(MATCH(K340, Criterios!$A$81:$A$120, 0)), "Categoría no válida", IF(AND(J340&lt;&gt;"", J340&lt;&gt;"", J340&lt;&gt;VLOOKUP(K340, Criterios!$A$81:$B$120, 2, FALSE)), "División no coincide con Categoría", ""))), IF(OR(L340="", L340=""), "[Aviso] Género no capturado ()", IF(ISNA(MATCH(L340, Criterios!$B$123:$B$127, 0)), "Género no válido", "")), IF(OR(N340="", N340=""), "[Aviso] Temporada no capturada ()", IF(ISNA(MATCH(N340, Criterios!$C$123:$C$128, 0)), "Temporada no válida", "")), IF(OR(O340="", O340=""), "[Aviso] Ciclo de vida no capturado ()", IF(ISNA(MATCH(O340, Criterios!$D$123:$D$124, 0)), "Ciclo de vida no válido", ""))))</f>
        <v/>
      </c>
      <c r="AC340" s="56" t="n"/>
      <c r="AD340" s="51" t="n">
        <v>1</v>
      </c>
      <c r="AE340" s="156" t="inlineStr">
        <is>
          <t>STETSON AMERICAS (1)</t>
        </is>
      </c>
      <c r="AF340" s="51" t="n">
        <v>1</v>
      </c>
      <c r="AG340" s="156" t="inlineStr">
        <is>
          <t>Catálogo existente</t>
        </is>
      </c>
      <c r="AH3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0" s="156" t="inlineStr">
        <is>
          <t>No</t>
        </is>
      </c>
      <c r="AJ340" s="156" t="n"/>
      <c r="AK340" s="155" t="inlineStr">
        <is>
          <t>Criterios: I [Q]; G1522_Extraccion_Articulos_NetSuite_2026-09-30.xlsx: fila 58912 [R] | Shopify Stetson: producto 15054564196715 / variante 53350548898155</t>
        </is>
      </c>
      <c r="AL340" s="58" t="n">
        <v>2424</v>
      </c>
      <c r="AM340" s="58" t="n">
        <v>13793.10345</v>
      </c>
      <c r="AN340" s="155" t="inlineStr">
        <is>
          <t>Shopify Stetson México</t>
        </is>
      </c>
      <c r="AO340" s="59" t="n">
        <v>1</v>
      </c>
      <c r="AP340" s="59" t="n"/>
      <c r="AQ340" s="59" t="n"/>
      <c r="AR340" s="155" t="inlineStr">
        <is>
          <t>Shopify Stetson México › Stetson Americas: 1</t>
        </is>
      </c>
    </row>
    <row r="341">
      <c r="A341" s="50" t="inlineStr">
        <is>
          <t>12020004101014028</t>
        </is>
      </c>
      <c r="B341" s="51" t="inlineStr">
        <is>
          <t>111238</t>
        </is>
      </c>
      <c r="C341" s="156" t="inlineStr">
        <is>
          <t>Multimarca</t>
        </is>
      </c>
      <c r="D341" s="156" t="inlineStr">
        <is>
          <t>12-020-BS004-10-1014</t>
        </is>
      </c>
      <c r="E341" s="156" t="inlineStr">
        <is>
          <t>12-020-BS004-10-1014-028</t>
        </is>
      </c>
      <c r="F341" s="156" t="inlineStr">
        <is>
          <t>28</t>
        </is>
      </c>
      <c r="G341" s="156" t="inlineStr">
        <is>
          <t>10</t>
        </is>
      </c>
      <c r="H341" s="156" t="inlineStr">
        <is>
          <t>Stetson</t>
        </is>
      </c>
      <c r="I341" s="156" t="inlineStr">
        <is>
          <t>Bota Cocodrilo Agave</t>
        </is>
      </c>
      <c r="J341" s="156" t="inlineStr">
        <is>
          <t>Calzado</t>
        </is>
      </c>
      <c r="K341" s="156" t="inlineStr">
        <is>
          <t>Botas</t>
        </is>
      </c>
      <c r="L341" s="156" t="inlineStr">
        <is>
          <t>Hombre</t>
        </is>
      </c>
      <c r="M341" s="156" t="inlineStr">
        <is>
          <t>Stetson</t>
        </is>
      </c>
      <c r="N341" s="156" t="inlineStr">
        <is>
          <t>SS26</t>
        </is>
      </c>
      <c r="O341" s="156" t="inlineStr">
        <is>
          <t>Seasonal</t>
        </is>
      </c>
      <c r="P341" s="156" t="inlineStr">
        <is>
          <t>Verde</t>
        </is>
      </c>
      <c r="Q341" s="156" t="n"/>
      <c r="R341" s="156" t="inlineStr">
        <is>
          <t>Punta Redonda Ancha</t>
        </is>
      </c>
      <c r="S341" s="156" t="inlineStr">
        <is>
          <t>Piel de cocodrilo</t>
        </is>
      </c>
      <c r="T341" s="156" t="inlineStr">
        <is>
          <t>Bota Caballero Piel de cocodrilo Agave Punta Redonda Ancha</t>
        </is>
      </c>
      <c r="U341" s="156" t="inlineStr">
        <is>
          <t>México</t>
        </is>
      </c>
      <c r="V341" s="156" t="inlineStr">
        <is>
          <t>PRS</t>
        </is>
      </c>
      <c r="W341" s="51" t="inlineStr">
        <is>
          <t>53111501</t>
        </is>
      </c>
      <c r="X341" s="156" t="n"/>
      <c r="Y341" s="54" t="n">
        <v>2424</v>
      </c>
      <c r="Z341" s="54" t="n">
        <v>13793.10345</v>
      </c>
      <c r="AA341" s="55">
        <f>IF(AND(A341="", B341="", E341=""), "", IF(AB341="", "Válido", IF((LEN(AB341)-LEN(SUBSTITUTE(AB341,"; ","")))/2+1&gt;(LEN(AB341)-LEN(SUBSTITUTE(AB341,"[Aviso]","")))/7, "Con Incidencias", "Válido")))</f>
        <v/>
      </c>
      <c r="AB341" s="56">
        <f>IF(AND(A341="", B341="", E341=""), "", TEXTJOIN("; ", TRUE, IF(OR(TRIM(A341&amp;"")="", ISNUMBER(SEARCH("FALTA", A341))), "UPC faltante/inválido", ""), IF(AND(A341&lt;&gt;"", IFERROR(_xlfn.XMATCH(A341,$A$2:$A$2509,0,1)&lt;&gt;_xlfn.XMATCH(A341,$A$2:$A$2509,0,-1),FALSE)), "Código de barras duplicado", ""), IF(AND(E341&lt;&gt;"", COUNTIF($E$2:$E$2509, E341)&gt;1), "SKU duplicado", ""), IF(OR(J341="", J341=""), "[Aviso] División no capturada ()", IF(ISNA(MATCH(J341, Criterios!$A$123:$A$126, 0)), "División no válida", "")), IF(OR(K341="", K341=""), "[Aviso] Categoría no capturada ()", IF(ISNA(MATCH(K341, Criterios!$A$81:$A$120, 0)), "Categoría no válida", IF(AND(J341&lt;&gt;"", J341&lt;&gt;"", J341&lt;&gt;VLOOKUP(K341, Criterios!$A$81:$B$120, 2, FALSE)), "División no coincide con Categoría", ""))), IF(OR(L341="", L341=""), "[Aviso] Género no capturado ()", IF(ISNA(MATCH(L341, Criterios!$B$123:$B$127, 0)), "Género no válido", "")), IF(OR(N341="", N341=""), "[Aviso] Temporada no capturada ()", IF(ISNA(MATCH(N341, Criterios!$C$123:$C$128, 0)), "Temporada no válida", "")), IF(OR(O341="", O341=""), "[Aviso] Ciclo de vida no capturado ()", IF(ISNA(MATCH(O341, Criterios!$D$123:$D$124, 0)), "Ciclo de vida no válido", ""))))</f>
        <v/>
      </c>
      <c r="AC341" s="56" t="n"/>
      <c r="AD341" s="51" t="n">
        <v>2</v>
      </c>
      <c r="AE341" s="156" t="inlineStr">
        <is>
          <t>PUNTO DE VENTA (1); STETSON AMERICAS (1)</t>
        </is>
      </c>
      <c r="AF341" s="51" t="n">
        <v>2</v>
      </c>
      <c r="AG341" s="156" t="inlineStr">
        <is>
          <t>Catálogo existente</t>
        </is>
      </c>
      <c r="AH3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1" s="156" t="inlineStr">
        <is>
          <t>No</t>
        </is>
      </c>
      <c r="AJ341" s="156" t="n"/>
      <c r="AK341" s="155" t="inlineStr">
        <is>
          <t>Criterios: I [Q]; G1522_Extraccion_Articulos_NetSuite_2026-09-30.xlsx: fila 58913 [R] | Shopify Stetson: producto 15054564196715 / variante 53350548963691</t>
        </is>
      </c>
      <c r="AL341" s="58" t="n">
        <v>2424</v>
      </c>
      <c r="AM341" s="58" t="n">
        <v>13793.10345</v>
      </c>
      <c r="AN341" s="155" t="inlineStr">
        <is>
          <t>Shopify Stetson México</t>
        </is>
      </c>
      <c r="AO341" s="59" t="n">
        <v>1</v>
      </c>
      <c r="AP341" s="59" t="n"/>
      <c r="AQ341" s="59" t="n"/>
      <c r="AR341" s="155" t="inlineStr">
        <is>
          <t>Shopify Stetson México › Stetson Americas: 1</t>
        </is>
      </c>
    </row>
    <row r="342">
      <c r="A342" s="50" t="inlineStr">
        <is>
          <t>12020004101014029</t>
        </is>
      </c>
      <c r="B342" s="51" t="inlineStr">
        <is>
          <t>111239</t>
        </is>
      </c>
      <c r="C342" s="156" t="inlineStr">
        <is>
          <t>Multimarca</t>
        </is>
      </c>
      <c r="D342" s="156" t="inlineStr">
        <is>
          <t>12-020-BS004-10-1014</t>
        </is>
      </c>
      <c r="E342" s="156" t="inlineStr">
        <is>
          <t>12-020-BS004-10-1014-029</t>
        </is>
      </c>
      <c r="F342" s="156" t="inlineStr">
        <is>
          <t>29</t>
        </is>
      </c>
      <c r="G342" s="156" t="inlineStr">
        <is>
          <t>11</t>
        </is>
      </c>
      <c r="H342" s="156" t="inlineStr">
        <is>
          <t>Stetson</t>
        </is>
      </c>
      <c r="I342" s="156" t="inlineStr">
        <is>
          <t>Bota Cocodrilo Agave</t>
        </is>
      </c>
      <c r="J342" s="156" t="inlineStr">
        <is>
          <t>Calzado</t>
        </is>
      </c>
      <c r="K342" s="156" t="inlineStr">
        <is>
          <t>Botas</t>
        </is>
      </c>
      <c r="L342" s="156" t="inlineStr">
        <is>
          <t>Hombre</t>
        </is>
      </c>
      <c r="M342" s="156" t="inlineStr">
        <is>
          <t>Stetson</t>
        </is>
      </c>
      <c r="N342" s="156" t="inlineStr">
        <is>
          <t>SS26</t>
        </is>
      </c>
      <c r="O342" s="156" t="inlineStr">
        <is>
          <t>Seasonal</t>
        </is>
      </c>
      <c r="P342" s="156" t="inlineStr">
        <is>
          <t>Verde</t>
        </is>
      </c>
      <c r="Q342" s="156" t="n"/>
      <c r="R342" s="156" t="inlineStr">
        <is>
          <t>Punta Redonda Ancha</t>
        </is>
      </c>
      <c r="S342" s="156" t="inlineStr">
        <is>
          <t>Piel de cocodrilo</t>
        </is>
      </c>
      <c r="T342" s="156" t="inlineStr">
        <is>
          <t>Bota Caballero Piel de cocodrilo Agave Punta Redonda Ancha</t>
        </is>
      </c>
      <c r="U342" s="156" t="inlineStr">
        <is>
          <t>México</t>
        </is>
      </c>
      <c r="V342" s="156" t="inlineStr">
        <is>
          <t>PRS</t>
        </is>
      </c>
      <c r="W342" s="51" t="inlineStr">
        <is>
          <t>53111501</t>
        </is>
      </c>
      <c r="X342" s="156" t="n"/>
      <c r="Y342" s="54" t="n">
        <v>2424</v>
      </c>
      <c r="Z342" s="54" t="n">
        <v>13793.10345</v>
      </c>
      <c r="AA342" s="55">
        <f>IF(AND(A342="", B342="", E342=""), "", IF(AB342="", "Válido", IF((LEN(AB342)-LEN(SUBSTITUTE(AB342,"; ","")))/2+1&gt;(LEN(AB342)-LEN(SUBSTITUTE(AB342,"[Aviso]","")))/7, "Con Incidencias", "Válido")))</f>
        <v/>
      </c>
      <c r="AB342" s="56">
        <f>IF(AND(A342="", B342="", E342=""), "", TEXTJOIN("; ", TRUE, IF(OR(TRIM(A342&amp;"")="", ISNUMBER(SEARCH("FALTA", A342))), "UPC faltante/inválido", ""), IF(AND(A342&lt;&gt;"", IFERROR(_xlfn.XMATCH(A342,$A$2:$A$2509,0,1)&lt;&gt;_xlfn.XMATCH(A342,$A$2:$A$2509,0,-1),FALSE)), "Código de barras duplicado", ""), IF(AND(E342&lt;&gt;"", COUNTIF($E$2:$E$2509, E342)&gt;1), "SKU duplicado", ""), IF(OR(J342="", J342=""), "[Aviso] División no capturada ()", IF(ISNA(MATCH(J342, Criterios!$A$123:$A$126, 0)), "División no válida", "")), IF(OR(K342="", K342=""), "[Aviso] Categoría no capturada ()", IF(ISNA(MATCH(K342, Criterios!$A$81:$A$120, 0)), "Categoría no válida", IF(AND(J342&lt;&gt;"", J342&lt;&gt;"", J342&lt;&gt;VLOOKUP(K342, Criterios!$A$81:$B$120, 2, FALSE)), "División no coincide con Categoría", ""))), IF(OR(L342="", L342=""), "[Aviso] Género no capturado ()", IF(ISNA(MATCH(L342, Criterios!$B$123:$B$127, 0)), "Género no válido", "")), IF(OR(N342="", N342=""), "[Aviso] Temporada no capturada ()", IF(ISNA(MATCH(N342, Criterios!$C$123:$C$128, 0)), "Temporada no válida", "")), IF(OR(O342="", O342=""), "[Aviso] Ciclo de vida no capturado ()", IF(ISNA(MATCH(O342, Criterios!$D$123:$D$124, 0)), "Ciclo de vida no válido", ""))))</f>
        <v/>
      </c>
      <c r="AC342" s="56" t="n"/>
      <c r="AD342" s="51" t="n">
        <v>1</v>
      </c>
      <c r="AE342" s="156" t="inlineStr">
        <is>
          <t>STETSON AMERICAS (1)</t>
        </is>
      </c>
      <c r="AF342" s="51" t="n">
        <v>1</v>
      </c>
      <c r="AG342" s="156" t="inlineStr">
        <is>
          <t>Catálogo existente</t>
        </is>
      </c>
      <c r="AH3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2" s="156" t="inlineStr">
        <is>
          <t>No</t>
        </is>
      </c>
      <c r="AJ342" s="156" t="n"/>
      <c r="AK342" s="155" t="inlineStr">
        <is>
          <t>Criterios: I [Q]; G1522_Extraccion_Articulos_NetSuite_2026-09-30.xlsx: fila 58914 [R] | Shopify Stetson: producto 15054564196715 / variante 53350549029227</t>
        </is>
      </c>
      <c r="AL342" s="58" t="n">
        <v>2424</v>
      </c>
      <c r="AM342" s="58" t="n">
        <v>13793.10345</v>
      </c>
      <c r="AN342" s="155" t="inlineStr">
        <is>
          <t>Shopify Stetson México</t>
        </is>
      </c>
      <c r="AO342" s="59" t="n">
        <v>1</v>
      </c>
      <c r="AP342" s="59" t="n"/>
      <c r="AQ342" s="59" t="n"/>
      <c r="AR342" s="155" t="inlineStr">
        <is>
          <t>Shopify Stetson México › Stetson Americas: 1</t>
        </is>
      </c>
    </row>
    <row r="343">
      <c r="A343" s="50" t="inlineStr">
        <is>
          <t>12020004101014030</t>
        </is>
      </c>
      <c r="B343" s="51" t="inlineStr">
        <is>
          <t>111240</t>
        </is>
      </c>
      <c r="C343" s="156" t="inlineStr">
        <is>
          <t>Multimarca</t>
        </is>
      </c>
      <c r="D343" s="156" t="inlineStr">
        <is>
          <t>12-020-BS004-10-1014</t>
        </is>
      </c>
      <c r="E343" s="156" t="inlineStr">
        <is>
          <t>12-020-BS004-10-1014-030</t>
        </is>
      </c>
      <c r="F343" s="156" t="inlineStr">
        <is>
          <t>30</t>
        </is>
      </c>
      <c r="G343" s="156" t="inlineStr">
        <is>
          <t>12</t>
        </is>
      </c>
      <c r="H343" s="156" t="inlineStr">
        <is>
          <t>Stetson</t>
        </is>
      </c>
      <c r="I343" s="156" t="inlineStr">
        <is>
          <t>Bota Cocodrilo Agave</t>
        </is>
      </c>
      <c r="J343" s="156" t="inlineStr">
        <is>
          <t>Calzado</t>
        </is>
      </c>
      <c r="K343" s="156" t="inlineStr">
        <is>
          <t>Botas</t>
        </is>
      </c>
      <c r="L343" s="156" t="inlineStr">
        <is>
          <t>Hombre</t>
        </is>
      </c>
      <c r="M343" s="156" t="inlineStr">
        <is>
          <t>Stetson</t>
        </is>
      </c>
      <c r="N343" s="156" t="inlineStr">
        <is>
          <t>SS26</t>
        </is>
      </c>
      <c r="O343" s="156" t="inlineStr">
        <is>
          <t>Seasonal</t>
        </is>
      </c>
      <c r="P343" s="156" t="inlineStr">
        <is>
          <t>Verde</t>
        </is>
      </c>
      <c r="Q343" s="156" t="n"/>
      <c r="R343" s="156" t="inlineStr">
        <is>
          <t>Punta Redonda Ancha</t>
        </is>
      </c>
      <c r="S343" s="156" t="inlineStr">
        <is>
          <t>Piel de cocodrilo</t>
        </is>
      </c>
      <c r="T343" s="156" t="inlineStr">
        <is>
          <t>Bota Caballero Piel de cocodrilo Agave Punta Redonda Ancha</t>
        </is>
      </c>
      <c r="U343" s="156" t="inlineStr">
        <is>
          <t>México</t>
        </is>
      </c>
      <c r="V343" s="156" t="inlineStr">
        <is>
          <t>PRS</t>
        </is>
      </c>
      <c r="W343" s="51" t="inlineStr">
        <is>
          <t>53111501</t>
        </is>
      </c>
      <c r="X343" s="156" t="n"/>
      <c r="Y343" s="54" t="n">
        <v>2424</v>
      </c>
      <c r="Z343" s="54" t="n">
        <v>13793.10345</v>
      </c>
      <c r="AA343" s="55">
        <f>IF(AND(A343="", B343="", E343=""), "", IF(AB343="", "Válido", IF((LEN(AB343)-LEN(SUBSTITUTE(AB343,"; ","")))/2+1&gt;(LEN(AB343)-LEN(SUBSTITUTE(AB343,"[Aviso]","")))/7, "Con Incidencias", "Válido")))</f>
        <v/>
      </c>
      <c r="AB343" s="56">
        <f>IF(AND(A343="", B343="", E343=""), "", TEXTJOIN("; ", TRUE, IF(OR(TRIM(A343&amp;"")="", ISNUMBER(SEARCH("FALTA", A343))), "UPC faltante/inválido", ""), IF(AND(A343&lt;&gt;"", IFERROR(_xlfn.XMATCH(A343,$A$2:$A$2509,0,1)&lt;&gt;_xlfn.XMATCH(A343,$A$2:$A$2509,0,-1),FALSE)), "Código de barras duplicado", ""), IF(AND(E343&lt;&gt;"", COUNTIF($E$2:$E$2509, E343)&gt;1), "SKU duplicado", ""), IF(OR(J343="", J343=""), "[Aviso] División no capturada ()", IF(ISNA(MATCH(J343, Criterios!$A$123:$A$126, 0)), "División no válida", "")), IF(OR(K343="", K343=""), "[Aviso] Categoría no capturada ()", IF(ISNA(MATCH(K343, Criterios!$A$81:$A$120, 0)), "Categoría no válida", IF(AND(J343&lt;&gt;"", J343&lt;&gt;"", J343&lt;&gt;VLOOKUP(K343, Criterios!$A$81:$B$120, 2, FALSE)), "División no coincide con Categoría", ""))), IF(OR(L343="", L343=""), "[Aviso] Género no capturado ()", IF(ISNA(MATCH(L343, Criterios!$B$123:$B$127, 0)), "Género no válido", "")), IF(OR(N343="", N343=""), "[Aviso] Temporada no capturada ()", IF(ISNA(MATCH(N343, Criterios!$C$123:$C$128, 0)), "Temporada no válida", "")), IF(OR(O343="", O343=""), "[Aviso] Ciclo de vida no capturado ()", IF(ISNA(MATCH(O343, Criterios!$D$123:$D$124, 0)), "Ciclo de vida no válido", ""))))</f>
        <v/>
      </c>
      <c r="AC343" s="56" t="n"/>
      <c r="AD343" s="51" t="n">
        <v>0</v>
      </c>
      <c r="AE343" s="156" t="n"/>
      <c r="AF343" s="51" t="n">
        <v>0</v>
      </c>
      <c r="AG343" s="156" t="inlineStr">
        <is>
          <t>Catálogo existente</t>
        </is>
      </c>
      <c r="AH3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3" s="156" t="inlineStr">
        <is>
          <t>No</t>
        </is>
      </c>
      <c r="AJ343" s="156" t="n"/>
      <c r="AK343" s="155" t="inlineStr">
        <is>
          <t>Criterios: I [Q]; G1522_Extraccion_Articulos_NetSuite_2026-09-30.xlsx: fila 58915 [R] | Shopify Stetson: producto 15054564196715 / variante 53350549094763</t>
        </is>
      </c>
      <c r="AL343" s="58" t="n">
        <v>2424</v>
      </c>
      <c r="AM343" s="58" t="n">
        <v>13793.10345</v>
      </c>
      <c r="AN343" s="155" t="inlineStr">
        <is>
          <t>Shopify Stetson México</t>
        </is>
      </c>
      <c r="AO343" s="59" t="n">
        <v>0</v>
      </c>
      <c r="AP343" s="59" t="n"/>
      <c r="AQ343" s="59" t="n"/>
      <c r="AR343" s="155" t="n"/>
    </row>
    <row r="344">
      <c r="A344" s="50" t="inlineStr">
        <is>
          <t>12020004101014031</t>
        </is>
      </c>
      <c r="B344" s="51" t="inlineStr">
        <is>
          <t>111241</t>
        </is>
      </c>
      <c r="C344" s="156" t="inlineStr">
        <is>
          <t>Multimarca</t>
        </is>
      </c>
      <c r="D344" s="156" t="inlineStr">
        <is>
          <t>12-020-BS004-10-1014</t>
        </is>
      </c>
      <c r="E344" s="156" t="inlineStr">
        <is>
          <t>12-020-BS004-10-1014-031</t>
        </is>
      </c>
      <c r="F344" s="156" t="inlineStr">
        <is>
          <t>31</t>
        </is>
      </c>
      <c r="G344" s="156" t="inlineStr">
        <is>
          <t>13</t>
        </is>
      </c>
      <c r="H344" s="156" t="inlineStr">
        <is>
          <t>Stetson</t>
        </is>
      </c>
      <c r="I344" s="156" t="inlineStr">
        <is>
          <t>Bota Cocodrilo Agave</t>
        </is>
      </c>
      <c r="J344" s="156" t="inlineStr">
        <is>
          <t>Calzado</t>
        </is>
      </c>
      <c r="K344" s="156" t="inlineStr">
        <is>
          <t>Botas</t>
        </is>
      </c>
      <c r="L344" s="156" t="inlineStr">
        <is>
          <t>Hombre</t>
        </is>
      </c>
      <c r="M344" s="156" t="inlineStr">
        <is>
          <t>Stetson</t>
        </is>
      </c>
      <c r="N344" s="156" t="inlineStr">
        <is>
          <t>SS26</t>
        </is>
      </c>
      <c r="O344" s="156" t="inlineStr">
        <is>
          <t>Seasonal</t>
        </is>
      </c>
      <c r="P344" s="156" t="inlineStr">
        <is>
          <t>Verde</t>
        </is>
      </c>
      <c r="Q344" s="156" t="n"/>
      <c r="R344" s="156" t="inlineStr">
        <is>
          <t>Punta Redonda Ancha</t>
        </is>
      </c>
      <c r="S344" s="156" t="inlineStr">
        <is>
          <t>Piel de cocodrilo</t>
        </is>
      </c>
      <c r="T344" s="156" t="inlineStr">
        <is>
          <t>Bota Caballero Piel de cocodrilo Agave Punta Redonda Ancha</t>
        </is>
      </c>
      <c r="U344" s="156" t="inlineStr">
        <is>
          <t>México</t>
        </is>
      </c>
      <c r="V344" s="156" t="inlineStr">
        <is>
          <t>PRS</t>
        </is>
      </c>
      <c r="W344" s="51" t="inlineStr">
        <is>
          <t>53111501</t>
        </is>
      </c>
      <c r="X344" s="156" t="n"/>
      <c r="Y344" s="54" t="n">
        <v>2424</v>
      </c>
      <c r="Z344" s="54" t="n">
        <v>13793.10345</v>
      </c>
      <c r="AA344" s="55">
        <f>IF(AND(A344="", B344="", E344=""), "", IF(AB344="", "Válido", IF((LEN(AB344)-LEN(SUBSTITUTE(AB344,"; ","")))/2+1&gt;(LEN(AB344)-LEN(SUBSTITUTE(AB344,"[Aviso]","")))/7, "Con Incidencias", "Válido")))</f>
        <v/>
      </c>
      <c r="AB344" s="56">
        <f>IF(AND(A344="", B344="", E344=""), "", TEXTJOIN("; ", TRUE, IF(OR(TRIM(A344&amp;"")="", ISNUMBER(SEARCH("FALTA", A344))), "UPC faltante/inválido", ""), IF(AND(A344&lt;&gt;"", IFERROR(_xlfn.XMATCH(A344,$A$2:$A$2509,0,1)&lt;&gt;_xlfn.XMATCH(A344,$A$2:$A$2509,0,-1),FALSE)), "Código de barras duplicado", ""), IF(AND(E344&lt;&gt;"", COUNTIF($E$2:$E$2509, E344)&gt;1), "SKU duplicado", ""), IF(OR(J344="", J344=""), "[Aviso] División no capturada ()", IF(ISNA(MATCH(J344, Criterios!$A$123:$A$126, 0)), "División no válida", "")), IF(OR(K344="", K344=""), "[Aviso] Categoría no capturada ()", IF(ISNA(MATCH(K344, Criterios!$A$81:$A$120, 0)), "Categoría no válida", IF(AND(J344&lt;&gt;"", J344&lt;&gt;"", J344&lt;&gt;VLOOKUP(K344, Criterios!$A$81:$B$120, 2, FALSE)), "División no coincide con Categoría", ""))), IF(OR(L344="", L344=""), "[Aviso] Género no capturado ()", IF(ISNA(MATCH(L344, Criterios!$B$123:$B$127, 0)), "Género no válido", "")), IF(OR(N344="", N344=""), "[Aviso] Temporada no capturada ()", IF(ISNA(MATCH(N344, Criterios!$C$123:$C$128, 0)), "Temporada no válida", "")), IF(OR(O344="", O344=""), "[Aviso] Ciclo de vida no capturado ()", IF(ISNA(MATCH(O344, Criterios!$D$123:$D$124, 0)), "Ciclo de vida no válido", ""))))</f>
        <v/>
      </c>
      <c r="AC344" s="56" t="n"/>
      <c r="AD344" s="51" t="n">
        <v>0</v>
      </c>
      <c r="AE344" s="156" t="n"/>
      <c r="AF344" s="51" t="n">
        <v>0</v>
      </c>
      <c r="AG344" s="156" t="inlineStr">
        <is>
          <t>Catálogo existente</t>
        </is>
      </c>
      <c r="AH3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4" s="156" t="inlineStr">
        <is>
          <t>No</t>
        </is>
      </c>
      <c r="AJ344" s="156" t="n"/>
      <c r="AK344" s="155" t="inlineStr">
        <is>
          <t>Criterios: I [Q]; G1522_Extraccion_Articulos_NetSuite_2026-09-30.xlsx: fila 58916 [R] | Shopify Stetson: producto 15054564196715 / variante 53350549160299</t>
        </is>
      </c>
      <c r="AL344" s="58" t="n">
        <v>2424</v>
      </c>
      <c r="AM344" s="58" t="n">
        <v>13793.10345</v>
      </c>
      <c r="AN344" s="155" t="inlineStr">
        <is>
          <t>Shopify Stetson México</t>
        </is>
      </c>
      <c r="AO344" s="59" t="n">
        <v>0</v>
      </c>
      <c r="AP344" s="59" t="n"/>
      <c r="AQ344" s="59" t="n"/>
      <c r="AR344" s="155" t="n"/>
    </row>
    <row r="345">
      <c r="A345" s="50" t="inlineStr">
        <is>
          <t>12020004101014032</t>
        </is>
      </c>
      <c r="B345" s="51" t="inlineStr">
        <is>
          <t>111242</t>
        </is>
      </c>
      <c r="C345" s="156" t="inlineStr">
        <is>
          <t>Multimarca</t>
        </is>
      </c>
      <c r="D345" s="156" t="inlineStr">
        <is>
          <t>12-020-BS004-10-1014</t>
        </is>
      </c>
      <c r="E345" s="156" t="inlineStr">
        <is>
          <t>12-020-BS004-10-1014-032</t>
        </is>
      </c>
      <c r="F345" s="156" t="inlineStr">
        <is>
          <t>32</t>
        </is>
      </c>
      <c r="G345" s="156" t="inlineStr">
        <is>
          <t>14</t>
        </is>
      </c>
      <c r="H345" s="156" t="inlineStr">
        <is>
          <t>Stetson</t>
        </is>
      </c>
      <c r="I345" s="156" t="inlineStr">
        <is>
          <t>Bota Cocodrilo Agave</t>
        </is>
      </c>
      <c r="J345" s="156" t="inlineStr">
        <is>
          <t>Calzado</t>
        </is>
      </c>
      <c r="K345" s="156" t="inlineStr">
        <is>
          <t>Botas</t>
        </is>
      </c>
      <c r="L345" s="156" t="inlineStr">
        <is>
          <t>Hombre</t>
        </is>
      </c>
      <c r="M345" s="156" t="inlineStr">
        <is>
          <t>Stetson</t>
        </is>
      </c>
      <c r="N345" s="156" t="inlineStr">
        <is>
          <t>SS26</t>
        </is>
      </c>
      <c r="O345" s="156" t="inlineStr">
        <is>
          <t>Seasonal</t>
        </is>
      </c>
      <c r="P345" s="156" t="inlineStr">
        <is>
          <t>Verde</t>
        </is>
      </c>
      <c r="Q345" s="156" t="n"/>
      <c r="R345" s="156" t="inlineStr">
        <is>
          <t>Punta Redonda Ancha</t>
        </is>
      </c>
      <c r="S345" s="156" t="inlineStr">
        <is>
          <t>Piel de cocodrilo</t>
        </is>
      </c>
      <c r="T345" s="156" t="inlineStr">
        <is>
          <t>Bota Caballero Piel de cocodrilo Agave Punta Redonda Ancha</t>
        </is>
      </c>
      <c r="U345" s="156" t="inlineStr">
        <is>
          <t>México</t>
        </is>
      </c>
      <c r="V345" s="156" t="inlineStr">
        <is>
          <t>PRS</t>
        </is>
      </c>
      <c r="W345" s="51" t="inlineStr">
        <is>
          <t>53111501</t>
        </is>
      </c>
      <c r="X345" s="156" t="n"/>
      <c r="Y345" s="54" t="n">
        <v>2424</v>
      </c>
      <c r="Z345" s="54" t="n">
        <v>13793.10345</v>
      </c>
      <c r="AA345" s="55">
        <f>IF(AND(A345="", B345="", E345=""), "", IF(AB345="", "Válido", IF((LEN(AB345)-LEN(SUBSTITUTE(AB345,"; ","")))/2+1&gt;(LEN(AB345)-LEN(SUBSTITUTE(AB345,"[Aviso]","")))/7, "Con Incidencias", "Válido")))</f>
        <v/>
      </c>
      <c r="AB345" s="56">
        <f>IF(AND(A345="", B345="", E345=""), "", TEXTJOIN("; ", TRUE, IF(OR(TRIM(A345&amp;"")="", ISNUMBER(SEARCH("FALTA", A345))), "UPC faltante/inválido", ""), IF(AND(A345&lt;&gt;"", IFERROR(_xlfn.XMATCH(A345,$A$2:$A$2509,0,1)&lt;&gt;_xlfn.XMATCH(A345,$A$2:$A$2509,0,-1),FALSE)), "Código de barras duplicado", ""), IF(AND(E345&lt;&gt;"", COUNTIF($E$2:$E$2509, E345)&gt;1), "SKU duplicado", ""), IF(OR(J345="", J345=""), "[Aviso] División no capturada ()", IF(ISNA(MATCH(J345, Criterios!$A$123:$A$126, 0)), "División no válida", "")), IF(OR(K345="", K345=""), "[Aviso] Categoría no capturada ()", IF(ISNA(MATCH(K345, Criterios!$A$81:$A$120, 0)), "Categoría no válida", IF(AND(J345&lt;&gt;"", J345&lt;&gt;"", J345&lt;&gt;VLOOKUP(K345, Criterios!$A$81:$B$120, 2, FALSE)), "División no coincide con Categoría", ""))), IF(OR(L345="", L345=""), "[Aviso] Género no capturado ()", IF(ISNA(MATCH(L345, Criterios!$B$123:$B$127, 0)), "Género no válido", "")), IF(OR(N345="", N345=""), "[Aviso] Temporada no capturada ()", IF(ISNA(MATCH(N345, Criterios!$C$123:$C$128, 0)), "Temporada no válida", "")), IF(OR(O345="", O345=""), "[Aviso] Ciclo de vida no capturado ()", IF(ISNA(MATCH(O345, Criterios!$D$123:$D$124, 0)), "Ciclo de vida no válido", ""))))</f>
        <v/>
      </c>
      <c r="AC345" s="56" t="n"/>
      <c r="AD345" s="51" t="n">
        <v>0</v>
      </c>
      <c r="AE345" s="156" t="n"/>
      <c r="AF345" s="51" t="n">
        <v>0</v>
      </c>
      <c r="AG345" s="156" t="inlineStr">
        <is>
          <t>Catálogo existente</t>
        </is>
      </c>
      <c r="AH34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5" s="156" t="inlineStr">
        <is>
          <t>No</t>
        </is>
      </c>
      <c r="AJ345" s="156" t="n"/>
      <c r="AK345" s="155" t="inlineStr">
        <is>
          <t>Criterios: I [Q]; G1522_Extraccion_Articulos_NetSuite_2026-09-30.xlsx: fila 58917 [R] | Shopify Stetson: producto 15054564196715 / variante 53350549225835</t>
        </is>
      </c>
      <c r="AL345" s="58" t="n">
        <v>2424</v>
      </c>
      <c r="AM345" s="58" t="n">
        <v>13793.10345</v>
      </c>
      <c r="AN345" s="155" t="inlineStr">
        <is>
          <t>Shopify Stetson México</t>
        </is>
      </c>
      <c r="AO345" s="59" t="n">
        <v>0</v>
      </c>
      <c r="AP345" s="59" t="n"/>
      <c r="AQ345" s="59" t="n"/>
      <c r="AR345" s="155" t="n"/>
    </row>
    <row r="346">
      <c r="A346" s="50" t="inlineStr">
        <is>
          <t>12020004101014255</t>
        </is>
      </c>
      <c r="B346" s="51" t="inlineStr">
        <is>
          <t>111243</t>
        </is>
      </c>
      <c r="C346" s="156" t="inlineStr">
        <is>
          <t>Multimarca</t>
        </is>
      </c>
      <c r="D346" s="156" t="inlineStr">
        <is>
          <t>12-020-BS004-10-1014</t>
        </is>
      </c>
      <c r="E346" s="156" t="inlineStr">
        <is>
          <t>12-020-BS004-10-1014-255</t>
        </is>
      </c>
      <c r="F346" s="156" t="inlineStr">
        <is>
          <t>25.5</t>
        </is>
      </c>
      <c r="G346" s="156" t="inlineStr">
        <is>
          <t>7.5</t>
        </is>
      </c>
      <c r="H346" s="156" t="inlineStr">
        <is>
          <t>Stetson</t>
        </is>
      </c>
      <c r="I346" s="156" t="inlineStr">
        <is>
          <t>Bota Cocodrilo Agave</t>
        </is>
      </c>
      <c r="J346" s="156" t="inlineStr">
        <is>
          <t>Calzado</t>
        </is>
      </c>
      <c r="K346" s="156" t="inlineStr">
        <is>
          <t>Botas</t>
        </is>
      </c>
      <c r="L346" s="156" t="inlineStr">
        <is>
          <t>Hombre</t>
        </is>
      </c>
      <c r="M346" s="156" t="inlineStr">
        <is>
          <t>Stetson</t>
        </is>
      </c>
      <c r="N346" s="156" t="inlineStr">
        <is>
          <t>SS26</t>
        </is>
      </c>
      <c r="O346" s="156" t="inlineStr">
        <is>
          <t>Seasonal</t>
        </is>
      </c>
      <c r="P346" s="156" t="inlineStr">
        <is>
          <t>Verde</t>
        </is>
      </c>
      <c r="Q346" s="156" t="n"/>
      <c r="R346" s="156" t="inlineStr">
        <is>
          <t>Punta Redonda Ancha</t>
        </is>
      </c>
      <c r="S346" s="156" t="inlineStr">
        <is>
          <t>Piel de cocodrilo</t>
        </is>
      </c>
      <c r="T346" s="156" t="inlineStr">
        <is>
          <t>Bota Caballero Piel de cocodrilo Agave Punta Redonda Ancha</t>
        </is>
      </c>
      <c r="U346" s="156" t="inlineStr">
        <is>
          <t>México</t>
        </is>
      </c>
      <c r="V346" s="156" t="inlineStr">
        <is>
          <t>PRS</t>
        </is>
      </c>
      <c r="W346" s="51" t="inlineStr">
        <is>
          <t>53111501</t>
        </is>
      </c>
      <c r="X346" s="156" t="n"/>
      <c r="Y346" s="54" t="n">
        <v>2424</v>
      </c>
      <c r="Z346" s="54" t="n">
        <v>13793.10345</v>
      </c>
      <c r="AA346" s="55">
        <f>IF(AND(A346="", B346="", E346=""), "", IF(AB346="", "Válido", IF((LEN(AB346)-LEN(SUBSTITUTE(AB346,"; ","")))/2+1&gt;(LEN(AB346)-LEN(SUBSTITUTE(AB346,"[Aviso]","")))/7, "Con Incidencias", "Válido")))</f>
        <v/>
      </c>
      <c r="AB346" s="56">
        <f>IF(AND(A346="", B346="", E346=""), "", TEXTJOIN("; ", TRUE, IF(OR(TRIM(A346&amp;"")="", ISNUMBER(SEARCH("FALTA", A346))), "UPC faltante/inválido", ""), IF(AND(A346&lt;&gt;"", IFERROR(_xlfn.XMATCH(A346,$A$2:$A$2509,0,1)&lt;&gt;_xlfn.XMATCH(A346,$A$2:$A$2509,0,-1),FALSE)), "Código de barras duplicado", ""), IF(AND(E346&lt;&gt;"", COUNTIF($E$2:$E$2509, E346)&gt;1), "SKU duplicado", ""), IF(OR(J346="", J346=""), "[Aviso] División no capturada ()", IF(ISNA(MATCH(J346, Criterios!$A$123:$A$126, 0)), "División no válida", "")), IF(OR(K346="", K346=""), "[Aviso] Categoría no capturada ()", IF(ISNA(MATCH(K346, Criterios!$A$81:$A$120, 0)), "Categoría no válida", IF(AND(J346&lt;&gt;"", J346&lt;&gt;"", J346&lt;&gt;VLOOKUP(K346, Criterios!$A$81:$B$120, 2, FALSE)), "División no coincide con Categoría", ""))), IF(OR(L346="", L346=""), "[Aviso] Género no capturado ()", IF(ISNA(MATCH(L346, Criterios!$B$123:$B$127, 0)), "Género no válido", "")), IF(OR(N346="", N346=""), "[Aviso] Temporada no capturada ()", IF(ISNA(MATCH(N346, Criterios!$C$123:$C$128, 0)), "Temporada no válida", "")), IF(OR(O346="", O346=""), "[Aviso] Ciclo de vida no capturado ()", IF(ISNA(MATCH(O346, Criterios!$D$123:$D$124, 0)), "Ciclo de vida no válido", ""))))</f>
        <v/>
      </c>
      <c r="AC346" s="56" t="n"/>
      <c r="AD346" s="51" t="n">
        <v>0</v>
      </c>
      <c r="AE346" s="156" t="n"/>
      <c r="AF346" s="51" t="n">
        <v>0</v>
      </c>
      <c r="AG346" s="156" t="inlineStr">
        <is>
          <t>Catálogo existente</t>
        </is>
      </c>
      <c r="AH3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6" s="156" t="inlineStr">
        <is>
          <t>No</t>
        </is>
      </c>
      <c r="AJ346" s="156" t="n"/>
      <c r="AK346" s="155" t="inlineStr">
        <is>
          <t>Criterios: I [Q]; G1522_Extraccion_Articulos_NetSuite_2026-09-30.xlsx: fila 58918 [R] | Shopify Stetson: producto 15054564196715 / variante 53350548799851</t>
        </is>
      </c>
      <c r="AL346" s="58" t="n">
        <v>2424</v>
      </c>
      <c r="AM346" s="58" t="n">
        <v>13793.10345</v>
      </c>
      <c r="AN346" s="155" t="inlineStr">
        <is>
          <t>Shopify Stetson México</t>
        </is>
      </c>
      <c r="AO346" s="59" t="n">
        <v>0</v>
      </c>
      <c r="AP346" s="59" t="n"/>
      <c r="AQ346" s="59" t="n"/>
      <c r="AR346" s="155" t="n"/>
    </row>
    <row r="347">
      <c r="A347" s="50" t="inlineStr">
        <is>
          <t>12020004101014265</t>
        </is>
      </c>
      <c r="B347" s="51" t="inlineStr">
        <is>
          <t>111244</t>
        </is>
      </c>
      <c r="C347" s="156" t="inlineStr">
        <is>
          <t>Multimarca</t>
        </is>
      </c>
      <c r="D347" s="156" t="inlineStr">
        <is>
          <t>12-020-BS004-10-1014</t>
        </is>
      </c>
      <c r="E347" s="156" t="inlineStr">
        <is>
          <t>12-020-BS004-10-1014-265</t>
        </is>
      </c>
      <c r="F347" s="156" t="inlineStr">
        <is>
          <t>26.5</t>
        </is>
      </c>
      <c r="G347" s="156" t="inlineStr">
        <is>
          <t>8.5</t>
        </is>
      </c>
      <c r="H347" s="156" t="inlineStr">
        <is>
          <t>Stetson</t>
        </is>
      </c>
      <c r="I347" s="156" t="inlineStr">
        <is>
          <t>Bota Cocodrilo Agave</t>
        </is>
      </c>
      <c r="J347" s="156" t="inlineStr">
        <is>
          <t>Calzado</t>
        </is>
      </c>
      <c r="K347" s="156" t="inlineStr">
        <is>
          <t>Botas</t>
        </is>
      </c>
      <c r="L347" s="156" t="inlineStr">
        <is>
          <t>Hombre</t>
        </is>
      </c>
      <c r="M347" s="156" t="inlineStr">
        <is>
          <t>Stetson</t>
        </is>
      </c>
      <c r="N347" s="156" t="inlineStr">
        <is>
          <t>SS26</t>
        </is>
      </c>
      <c r="O347" s="156" t="inlineStr">
        <is>
          <t>Seasonal</t>
        </is>
      </c>
      <c r="P347" s="156" t="inlineStr">
        <is>
          <t>Verde</t>
        </is>
      </c>
      <c r="Q347" s="156" t="n"/>
      <c r="R347" s="156" t="inlineStr">
        <is>
          <t>Punta Redonda Ancha</t>
        </is>
      </c>
      <c r="S347" s="156" t="inlineStr">
        <is>
          <t>Piel de cocodrilo</t>
        </is>
      </c>
      <c r="T347" s="156" t="inlineStr">
        <is>
          <t>Bota Caballero Piel de cocodrilo Agave Punta Redonda Ancha</t>
        </is>
      </c>
      <c r="U347" s="156" t="inlineStr">
        <is>
          <t>México</t>
        </is>
      </c>
      <c r="V347" s="156" t="inlineStr">
        <is>
          <t>PRS</t>
        </is>
      </c>
      <c r="W347" s="51" t="inlineStr">
        <is>
          <t>53111501</t>
        </is>
      </c>
      <c r="X347" s="156" t="n"/>
      <c r="Y347" s="54" t="n">
        <v>2424</v>
      </c>
      <c r="Z347" s="54" t="n">
        <v>13793.10345</v>
      </c>
      <c r="AA347" s="55">
        <f>IF(AND(A347="", B347="", E347=""), "", IF(AB347="", "Válido", IF((LEN(AB347)-LEN(SUBSTITUTE(AB347,"; ","")))/2+1&gt;(LEN(AB347)-LEN(SUBSTITUTE(AB347,"[Aviso]","")))/7, "Con Incidencias", "Válido")))</f>
        <v/>
      </c>
      <c r="AB347" s="56">
        <f>IF(AND(A347="", B347="", E347=""), "", TEXTJOIN("; ", TRUE, IF(OR(TRIM(A347&amp;"")="", ISNUMBER(SEARCH("FALTA", A347))), "UPC faltante/inválido", ""), IF(AND(A347&lt;&gt;"", IFERROR(_xlfn.XMATCH(A347,$A$2:$A$2509,0,1)&lt;&gt;_xlfn.XMATCH(A347,$A$2:$A$2509,0,-1),FALSE)), "Código de barras duplicado", ""), IF(AND(E347&lt;&gt;"", COUNTIF($E$2:$E$2509, E347)&gt;1), "SKU duplicado", ""), IF(OR(J347="", J347=""), "[Aviso] División no capturada ()", IF(ISNA(MATCH(J347, Criterios!$A$123:$A$126, 0)), "División no válida", "")), IF(OR(K347="", K347=""), "[Aviso] Categoría no capturada ()", IF(ISNA(MATCH(K347, Criterios!$A$81:$A$120, 0)), "Categoría no válida", IF(AND(J347&lt;&gt;"", J347&lt;&gt;"", J347&lt;&gt;VLOOKUP(K347, Criterios!$A$81:$B$120, 2, FALSE)), "División no coincide con Categoría", ""))), IF(OR(L347="", L347=""), "[Aviso] Género no capturado ()", IF(ISNA(MATCH(L347, Criterios!$B$123:$B$127, 0)), "Género no válido", "")), IF(OR(N347="", N347=""), "[Aviso] Temporada no capturada ()", IF(ISNA(MATCH(N347, Criterios!$C$123:$C$128, 0)), "Temporada no válida", "")), IF(OR(O347="", O347=""), "[Aviso] Ciclo de vida no capturado ()", IF(ISNA(MATCH(O347, Criterios!$D$123:$D$124, 0)), "Ciclo de vida no válido", ""))))</f>
        <v/>
      </c>
      <c r="AC347" s="56" t="n"/>
      <c r="AD347" s="51" t="n">
        <v>0</v>
      </c>
      <c r="AE347" s="156" t="n"/>
      <c r="AF347" s="51" t="n">
        <v>0</v>
      </c>
      <c r="AG347" s="156" t="inlineStr">
        <is>
          <t>Catálogo existente</t>
        </is>
      </c>
      <c r="AH3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7" s="156" t="inlineStr">
        <is>
          <t>No</t>
        </is>
      </c>
      <c r="AJ347" s="156" t="n"/>
      <c r="AK347" s="155" t="inlineStr">
        <is>
          <t>Criterios: I [Q]; G1522_Extraccion_Articulos_NetSuite_2026-09-30.xlsx: fila 58919 [R] | Shopify Stetson: producto 15054564196715 / variante 53350548865387</t>
        </is>
      </c>
      <c r="AL347" s="58" t="n">
        <v>2424</v>
      </c>
      <c r="AM347" s="58" t="n">
        <v>13793.10345</v>
      </c>
      <c r="AN347" s="155" t="inlineStr">
        <is>
          <t>Shopify Stetson México</t>
        </is>
      </c>
      <c r="AO347" s="59" t="n">
        <v>0</v>
      </c>
      <c r="AP347" s="59" t="n"/>
      <c r="AQ347" s="59" t="n"/>
      <c r="AR347" s="155" t="n"/>
    </row>
    <row r="348">
      <c r="A348" s="50" t="inlineStr">
        <is>
          <t>12020004101014275</t>
        </is>
      </c>
      <c r="B348" s="51" t="inlineStr">
        <is>
          <t>111245</t>
        </is>
      </c>
      <c r="C348" s="156" t="inlineStr">
        <is>
          <t>Multimarca</t>
        </is>
      </c>
      <c r="D348" s="156" t="inlineStr">
        <is>
          <t>12-020-BS004-10-1014</t>
        </is>
      </c>
      <c r="E348" s="156" t="inlineStr">
        <is>
          <t>12-020-BS004-10-1014-275</t>
        </is>
      </c>
      <c r="F348" s="156" t="inlineStr">
        <is>
          <t>27.5</t>
        </is>
      </c>
      <c r="G348" s="156" t="inlineStr">
        <is>
          <t>9.5</t>
        </is>
      </c>
      <c r="H348" s="156" t="inlineStr">
        <is>
          <t>Stetson</t>
        </is>
      </c>
      <c r="I348" s="156" t="inlineStr">
        <is>
          <t>Bota Cocodrilo Agave</t>
        </is>
      </c>
      <c r="J348" s="156" t="inlineStr">
        <is>
          <t>Calzado</t>
        </is>
      </c>
      <c r="K348" s="156" t="inlineStr">
        <is>
          <t>Botas</t>
        </is>
      </c>
      <c r="L348" s="156" t="inlineStr">
        <is>
          <t>Hombre</t>
        </is>
      </c>
      <c r="M348" s="156" t="inlineStr">
        <is>
          <t>Stetson</t>
        </is>
      </c>
      <c r="N348" s="156" t="inlineStr">
        <is>
          <t>SS26</t>
        </is>
      </c>
      <c r="O348" s="156" t="inlineStr">
        <is>
          <t>Seasonal</t>
        </is>
      </c>
      <c r="P348" s="156" t="inlineStr">
        <is>
          <t>Verde</t>
        </is>
      </c>
      <c r="Q348" s="156" t="n"/>
      <c r="R348" s="156" t="inlineStr">
        <is>
          <t>Punta Redonda Ancha</t>
        </is>
      </c>
      <c r="S348" s="156" t="inlineStr">
        <is>
          <t>Piel de cocodrilo</t>
        </is>
      </c>
      <c r="T348" s="156" t="inlineStr">
        <is>
          <t>Bota Caballero Piel de cocodrilo Agave Punta Redonda Ancha</t>
        </is>
      </c>
      <c r="U348" s="156" t="inlineStr">
        <is>
          <t>México</t>
        </is>
      </c>
      <c r="V348" s="156" t="inlineStr">
        <is>
          <t>PRS</t>
        </is>
      </c>
      <c r="W348" s="51" t="inlineStr">
        <is>
          <t>53111501</t>
        </is>
      </c>
      <c r="X348" s="156" t="n"/>
      <c r="Y348" s="54" t="n">
        <v>2424</v>
      </c>
      <c r="Z348" s="54" t="n">
        <v>13793.10345</v>
      </c>
      <c r="AA348" s="55">
        <f>IF(AND(A348="", B348="", E348=""), "", IF(AB348="", "Válido", IF((LEN(AB348)-LEN(SUBSTITUTE(AB348,"; ","")))/2+1&gt;(LEN(AB348)-LEN(SUBSTITUTE(AB348,"[Aviso]","")))/7, "Con Incidencias", "Válido")))</f>
        <v/>
      </c>
      <c r="AB348" s="56">
        <f>IF(AND(A348="", B348="", E348=""), "", TEXTJOIN("; ", TRUE, IF(OR(TRIM(A348&amp;"")="", ISNUMBER(SEARCH("FALTA", A348))), "UPC faltante/inválido", ""), IF(AND(A348&lt;&gt;"", IFERROR(_xlfn.XMATCH(A348,$A$2:$A$2509,0,1)&lt;&gt;_xlfn.XMATCH(A348,$A$2:$A$2509,0,-1),FALSE)), "Código de barras duplicado", ""), IF(AND(E348&lt;&gt;"", COUNTIF($E$2:$E$2509, E348)&gt;1), "SKU duplicado", ""), IF(OR(J348="", J348=""), "[Aviso] División no capturada ()", IF(ISNA(MATCH(J348, Criterios!$A$123:$A$126, 0)), "División no válida", "")), IF(OR(K348="", K348=""), "[Aviso] Categoría no capturada ()", IF(ISNA(MATCH(K348, Criterios!$A$81:$A$120, 0)), "Categoría no válida", IF(AND(J348&lt;&gt;"", J348&lt;&gt;"", J348&lt;&gt;VLOOKUP(K348, Criterios!$A$81:$B$120, 2, FALSE)), "División no coincide con Categoría", ""))), IF(OR(L348="", L348=""), "[Aviso] Género no capturado ()", IF(ISNA(MATCH(L348, Criterios!$B$123:$B$127, 0)), "Género no válido", "")), IF(OR(N348="", N348=""), "[Aviso] Temporada no capturada ()", IF(ISNA(MATCH(N348, Criterios!$C$123:$C$128, 0)), "Temporada no válida", "")), IF(OR(O348="", O348=""), "[Aviso] Ciclo de vida no capturado ()", IF(ISNA(MATCH(O348, Criterios!$D$123:$D$124, 0)), "Ciclo de vida no válido", ""))))</f>
        <v/>
      </c>
      <c r="AC348" s="56" t="n"/>
      <c r="AD348" s="51" t="n">
        <v>1</v>
      </c>
      <c r="AE348" s="156" t="inlineStr">
        <is>
          <t>STETSON AMERICAS (1)</t>
        </is>
      </c>
      <c r="AF348" s="51" t="n">
        <v>1</v>
      </c>
      <c r="AG348" s="156" t="inlineStr">
        <is>
          <t>Catálogo existente</t>
        </is>
      </c>
      <c r="AH3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8" s="156" t="inlineStr">
        <is>
          <t>No</t>
        </is>
      </c>
      <c r="AJ348" s="156" t="n"/>
      <c r="AK348" s="155" t="inlineStr">
        <is>
          <t>Criterios: I [Q]; G1522_Extraccion_Articulos_NetSuite_2026-09-30.xlsx: fila 58920 [R] | Shopify Stetson: producto 15054564196715 / variante 53350548930923</t>
        </is>
      </c>
      <c r="AL348" s="58" t="n">
        <v>2424</v>
      </c>
      <c r="AM348" s="58" t="n">
        <v>13793.10345</v>
      </c>
      <c r="AN348" s="155" t="inlineStr">
        <is>
          <t>Shopify Stetson México</t>
        </is>
      </c>
      <c r="AO348" s="59" t="n">
        <v>1</v>
      </c>
      <c r="AP348" s="59" t="n"/>
      <c r="AQ348" s="59" t="n"/>
      <c r="AR348" s="155" t="inlineStr">
        <is>
          <t>Shopify Stetson México › Stetson Americas: 1</t>
        </is>
      </c>
    </row>
    <row r="349">
      <c r="A349" s="50" t="inlineStr">
        <is>
          <t>12020004101014285</t>
        </is>
      </c>
      <c r="B349" s="51" t="inlineStr">
        <is>
          <t>111246</t>
        </is>
      </c>
      <c r="C349" s="156" t="inlineStr">
        <is>
          <t>Multimarca</t>
        </is>
      </c>
      <c r="D349" s="156" t="inlineStr">
        <is>
          <t>12-020-BS004-10-1014</t>
        </is>
      </c>
      <c r="E349" s="156" t="inlineStr">
        <is>
          <t>12-020-BS004-10-1014-285</t>
        </is>
      </c>
      <c r="F349" s="156" t="inlineStr">
        <is>
          <t>28.5</t>
        </is>
      </c>
      <c r="G349" s="156" t="inlineStr">
        <is>
          <t>10.5</t>
        </is>
      </c>
      <c r="H349" s="156" t="inlineStr">
        <is>
          <t>Stetson</t>
        </is>
      </c>
      <c r="I349" s="156" t="inlineStr">
        <is>
          <t>Bota Cocodrilo Agave</t>
        </is>
      </c>
      <c r="J349" s="156" t="inlineStr">
        <is>
          <t>Calzado</t>
        </is>
      </c>
      <c r="K349" s="156" t="inlineStr">
        <is>
          <t>Botas</t>
        </is>
      </c>
      <c r="L349" s="156" t="inlineStr">
        <is>
          <t>Hombre</t>
        </is>
      </c>
      <c r="M349" s="156" t="inlineStr">
        <is>
          <t>Stetson</t>
        </is>
      </c>
      <c r="N349" s="156" t="inlineStr">
        <is>
          <t>SS26</t>
        </is>
      </c>
      <c r="O349" s="156" t="inlineStr">
        <is>
          <t>Seasonal</t>
        </is>
      </c>
      <c r="P349" s="156" t="inlineStr">
        <is>
          <t>Verde</t>
        </is>
      </c>
      <c r="Q349" s="156" t="n"/>
      <c r="R349" s="156" t="inlineStr">
        <is>
          <t>Punta Redonda Ancha</t>
        </is>
      </c>
      <c r="S349" s="156" t="inlineStr">
        <is>
          <t>Piel de cocodrilo</t>
        </is>
      </c>
      <c r="T349" s="156" t="inlineStr">
        <is>
          <t>Bota Caballero Piel de cocodrilo Agave Punta Redonda Ancha</t>
        </is>
      </c>
      <c r="U349" s="156" t="inlineStr">
        <is>
          <t>México</t>
        </is>
      </c>
      <c r="V349" s="156" t="inlineStr">
        <is>
          <t>PRS</t>
        </is>
      </c>
      <c r="W349" s="51" t="inlineStr">
        <is>
          <t>53111501</t>
        </is>
      </c>
      <c r="X349" s="156" t="n"/>
      <c r="Y349" s="54" t="n">
        <v>2424</v>
      </c>
      <c r="Z349" s="54" t="n">
        <v>13793.10345</v>
      </c>
      <c r="AA349" s="55">
        <f>IF(AND(A349="", B349="", E349=""), "", IF(AB349="", "Válido", IF((LEN(AB349)-LEN(SUBSTITUTE(AB349,"; ","")))/2+1&gt;(LEN(AB349)-LEN(SUBSTITUTE(AB349,"[Aviso]","")))/7, "Con Incidencias", "Válido")))</f>
        <v/>
      </c>
      <c r="AB349" s="56">
        <f>IF(AND(A349="", B349="", E349=""), "", TEXTJOIN("; ", TRUE, IF(OR(TRIM(A349&amp;"")="", ISNUMBER(SEARCH("FALTA", A349))), "UPC faltante/inválido", ""), IF(AND(A349&lt;&gt;"", IFERROR(_xlfn.XMATCH(A349,$A$2:$A$2509,0,1)&lt;&gt;_xlfn.XMATCH(A349,$A$2:$A$2509,0,-1),FALSE)), "Código de barras duplicado", ""), IF(AND(E349&lt;&gt;"", COUNTIF($E$2:$E$2509, E349)&gt;1), "SKU duplicado", ""), IF(OR(J349="", J349=""), "[Aviso] División no capturada ()", IF(ISNA(MATCH(J349, Criterios!$A$123:$A$126, 0)), "División no válida", "")), IF(OR(K349="", K349=""), "[Aviso] Categoría no capturada ()", IF(ISNA(MATCH(K349, Criterios!$A$81:$A$120, 0)), "Categoría no válida", IF(AND(J349&lt;&gt;"", J349&lt;&gt;"", J349&lt;&gt;VLOOKUP(K349, Criterios!$A$81:$B$120, 2, FALSE)), "División no coincide con Categoría", ""))), IF(OR(L349="", L349=""), "[Aviso] Género no capturado ()", IF(ISNA(MATCH(L349, Criterios!$B$123:$B$127, 0)), "Género no válido", "")), IF(OR(N349="", N349=""), "[Aviso] Temporada no capturada ()", IF(ISNA(MATCH(N349, Criterios!$C$123:$C$128, 0)), "Temporada no válida", "")), IF(OR(O349="", O349=""), "[Aviso] Ciclo de vida no capturado ()", IF(ISNA(MATCH(O349, Criterios!$D$123:$D$124, 0)), "Ciclo de vida no válido", ""))))</f>
        <v/>
      </c>
      <c r="AC349" s="56" t="n"/>
      <c r="AD349" s="51" t="n">
        <v>1</v>
      </c>
      <c r="AE349" s="156" t="inlineStr">
        <is>
          <t>STETSON AMERICAS (1)</t>
        </is>
      </c>
      <c r="AF349" s="51" t="n">
        <v>1</v>
      </c>
      <c r="AG349" s="156" t="inlineStr">
        <is>
          <t>Catálogo existente</t>
        </is>
      </c>
      <c r="AH3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49" s="156" t="inlineStr">
        <is>
          <t>No</t>
        </is>
      </c>
      <c r="AJ349" s="156" t="n"/>
      <c r="AK349" s="155" t="inlineStr">
        <is>
          <t>Criterios: I [Q]; G1522_Extraccion_Articulos_NetSuite_2026-09-30.xlsx: fila 58921 [R] | Shopify Stetson: producto 15054564196715 / variante 53350548996459</t>
        </is>
      </c>
      <c r="AL349" s="58" t="n">
        <v>2424</v>
      </c>
      <c r="AM349" s="58" t="n">
        <v>13793.10345</v>
      </c>
      <c r="AN349" s="155" t="inlineStr">
        <is>
          <t>Shopify Stetson México</t>
        </is>
      </c>
      <c r="AO349" s="59" t="n">
        <v>1</v>
      </c>
      <c r="AP349" s="59" t="n"/>
      <c r="AQ349" s="59" t="n"/>
      <c r="AR349" s="155" t="inlineStr">
        <is>
          <t>Shopify Stetson México › Stetson Americas: 1</t>
        </is>
      </c>
    </row>
    <row r="350">
      <c r="A350" s="50" t="inlineStr">
        <is>
          <t>12020004101014295</t>
        </is>
      </c>
      <c r="B350" s="51" t="inlineStr">
        <is>
          <t>111247</t>
        </is>
      </c>
      <c r="C350" s="156" t="inlineStr">
        <is>
          <t>Multimarca</t>
        </is>
      </c>
      <c r="D350" s="156" t="inlineStr">
        <is>
          <t>12-020-BS004-10-1014</t>
        </is>
      </c>
      <c r="E350" s="156" t="inlineStr">
        <is>
          <t>12-020-BS004-10-1014-295</t>
        </is>
      </c>
      <c r="F350" s="156" t="inlineStr">
        <is>
          <t>29.5</t>
        </is>
      </c>
      <c r="G350" s="156" t="inlineStr">
        <is>
          <t>11.5</t>
        </is>
      </c>
      <c r="H350" s="156" t="inlineStr">
        <is>
          <t>Stetson</t>
        </is>
      </c>
      <c r="I350" s="156" t="inlineStr">
        <is>
          <t>Bota Cocodrilo Agave</t>
        </is>
      </c>
      <c r="J350" s="156" t="inlineStr">
        <is>
          <t>Calzado</t>
        </is>
      </c>
      <c r="K350" s="156" t="inlineStr">
        <is>
          <t>Botas</t>
        </is>
      </c>
      <c r="L350" s="156" t="inlineStr">
        <is>
          <t>Hombre</t>
        </is>
      </c>
      <c r="M350" s="156" t="inlineStr">
        <is>
          <t>Stetson</t>
        </is>
      </c>
      <c r="N350" s="156" t="inlineStr">
        <is>
          <t>SS26</t>
        </is>
      </c>
      <c r="O350" s="156" t="inlineStr">
        <is>
          <t>Seasonal</t>
        </is>
      </c>
      <c r="P350" s="156" t="inlineStr">
        <is>
          <t>Verde</t>
        </is>
      </c>
      <c r="Q350" s="156" t="n"/>
      <c r="R350" s="156" t="inlineStr">
        <is>
          <t>Punta Redonda Ancha</t>
        </is>
      </c>
      <c r="S350" s="156" t="inlineStr">
        <is>
          <t>Piel de cocodrilo</t>
        </is>
      </c>
      <c r="T350" s="156" t="inlineStr">
        <is>
          <t>Bota Caballero Piel de cocodrilo Agave Punta Redonda Ancha</t>
        </is>
      </c>
      <c r="U350" s="156" t="inlineStr">
        <is>
          <t>México</t>
        </is>
      </c>
      <c r="V350" s="156" t="inlineStr">
        <is>
          <t>PRS</t>
        </is>
      </c>
      <c r="W350" s="51" t="inlineStr">
        <is>
          <t>53111501</t>
        </is>
      </c>
      <c r="X350" s="156" t="n"/>
      <c r="Y350" s="54" t="n">
        <v>2424</v>
      </c>
      <c r="Z350" s="54" t="n">
        <v>13793.10345</v>
      </c>
      <c r="AA350" s="55">
        <f>IF(AND(A350="", B350="", E350=""), "", IF(AB350="", "Válido", IF((LEN(AB350)-LEN(SUBSTITUTE(AB350,"; ","")))/2+1&gt;(LEN(AB350)-LEN(SUBSTITUTE(AB350,"[Aviso]","")))/7, "Con Incidencias", "Válido")))</f>
        <v/>
      </c>
      <c r="AB350" s="56">
        <f>IF(AND(A350="", B350="", E350=""), "", TEXTJOIN("; ", TRUE, IF(OR(TRIM(A350&amp;"")="", ISNUMBER(SEARCH("FALTA", A350))), "UPC faltante/inválido", ""), IF(AND(A350&lt;&gt;"", IFERROR(_xlfn.XMATCH(A350,$A$2:$A$2509,0,1)&lt;&gt;_xlfn.XMATCH(A350,$A$2:$A$2509,0,-1),FALSE)), "Código de barras duplicado", ""), IF(AND(E350&lt;&gt;"", COUNTIF($E$2:$E$2509, E350)&gt;1), "SKU duplicado", ""), IF(OR(J350="", J350=""), "[Aviso] División no capturada ()", IF(ISNA(MATCH(J350, Criterios!$A$123:$A$126, 0)), "División no válida", "")), IF(OR(K350="", K350=""), "[Aviso] Categoría no capturada ()", IF(ISNA(MATCH(K350, Criterios!$A$81:$A$120, 0)), "Categoría no válida", IF(AND(J350&lt;&gt;"", J350&lt;&gt;"", J350&lt;&gt;VLOOKUP(K350, Criterios!$A$81:$B$120, 2, FALSE)), "División no coincide con Categoría", ""))), IF(OR(L350="", L350=""), "[Aviso] Género no capturado ()", IF(ISNA(MATCH(L350, Criterios!$B$123:$B$127, 0)), "Género no válido", "")), IF(OR(N350="", N350=""), "[Aviso] Temporada no capturada ()", IF(ISNA(MATCH(N350, Criterios!$C$123:$C$128, 0)), "Temporada no válida", "")), IF(OR(O350="", O350=""), "[Aviso] Ciclo de vida no capturado ()", IF(ISNA(MATCH(O350, Criterios!$D$123:$D$124, 0)), "Ciclo de vida no válido", ""))))</f>
        <v/>
      </c>
      <c r="AC350" s="56" t="n"/>
      <c r="AD350" s="51" t="n">
        <v>0</v>
      </c>
      <c r="AE350" s="156" t="n"/>
      <c r="AF350" s="51" t="n">
        <v>0</v>
      </c>
      <c r="AG350" s="156" t="inlineStr">
        <is>
          <t>Catálogo existente</t>
        </is>
      </c>
      <c r="AH3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0" s="156" t="inlineStr">
        <is>
          <t>No</t>
        </is>
      </c>
      <c r="AJ350" s="156" t="n"/>
      <c r="AK350" s="155" t="inlineStr">
        <is>
          <t>Criterios: I [Q]; G1522_Extraccion_Articulos_NetSuite_2026-09-30.xlsx: fila 58922 [R] | Shopify Stetson: producto 15054564196715 / variante 53350549061995</t>
        </is>
      </c>
      <c r="AL350" s="58" t="n">
        <v>2424</v>
      </c>
      <c r="AM350" s="58" t="n">
        <v>13793.10345</v>
      </c>
      <c r="AN350" s="155" t="inlineStr">
        <is>
          <t>Shopify Stetson México</t>
        </is>
      </c>
      <c r="AO350" s="59" t="n">
        <v>0</v>
      </c>
      <c r="AP350" s="59" t="n"/>
      <c r="AQ350" s="59" t="n"/>
      <c r="AR350" s="155" t="n"/>
    </row>
    <row r="351">
      <c r="A351" s="50" t="inlineStr">
        <is>
          <t>12020004101014305</t>
        </is>
      </c>
      <c r="B351" s="51" t="inlineStr">
        <is>
          <t>111248</t>
        </is>
      </c>
      <c r="C351" s="156" t="inlineStr">
        <is>
          <t>Multimarca</t>
        </is>
      </c>
      <c r="D351" s="156" t="inlineStr">
        <is>
          <t>12-020-BS004-10-1014</t>
        </is>
      </c>
      <c r="E351" s="156" t="inlineStr">
        <is>
          <t>12-020-BS004-10-1014-305</t>
        </is>
      </c>
      <c r="F351" s="156" t="inlineStr">
        <is>
          <t>30.5</t>
        </is>
      </c>
      <c r="G351" s="156" t="inlineStr">
        <is>
          <t>12.5</t>
        </is>
      </c>
      <c r="H351" s="156" t="inlineStr">
        <is>
          <t>Stetson</t>
        </is>
      </c>
      <c r="I351" s="156" t="inlineStr">
        <is>
          <t>Bota Cocodrilo Agave</t>
        </is>
      </c>
      <c r="J351" s="156" t="inlineStr">
        <is>
          <t>Calzado</t>
        </is>
      </c>
      <c r="K351" s="156" t="inlineStr">
        <is>
          <t>Botas</t>
        </is>
      </c>
      <c r="L351" s="156" t="inlineStr">
        <is>
          <t>Hombre</t>
        </is>
      </c>
      <c r="M351" s="156" t="inlineStr">
        <is>
          <t>Stetson</t>
        </is>
      </c>
      <c r="N351" s="156" t="inlineStr">
        <is>
          <t>SS26</t>
        </is>
      </c>
      <c r="O351" s="156" t="inlineStr">
        <is>
          <t>Seasonal</t>
        </is>
      </c>
      <c r="P351" s="156" t="inlineStr">
        <is>
          <t>Verde</t>
        </is>
      </c>
      <c r="Q351" s="156" t="n"/>
      <c r="R351" s="156" t="inlineStr">
        <is>
          <t>Punta Redonda Ancha</t>
        </is>
      </c>
      <c r="S351" s="156" t="inlineStr">
        <is>
          <t>Piel de cocodrilo</t>
        </is>
      </c>
      <c r="T351" s="156" t="inlineStr">
        <is>
          <t>Bota Caballero Piel de cocodrilo Agave Punta Redonda Ancha</t>
        </is>
      </c>
      <c r="U351" s="156" t="inlineStr">
        <is>
          <t>México</t>
        </is>
      </c>
      <c r="V351" s="156" t="inlineStr">
        <is>
          <t>PRS</t>
        </is>
      </c>
      <c r="W351" s="51" t="inlineStr">
        <is>
          <t>53111501</t>
        </is>
      </c>
      <c r="X351" s="156" t="n"/>
      <c r="Y351" s="54" t="n">
        <v>2424</v>
      </c>
      <c r="Z351" s="54" t="n">
        <v>13793.10345</v>
      </c>
      <c r="AA351" s="55">
        <f>IF(AND(A351="", B351="", E351=""), "", IF(AB351="", "Válido", IF((LEN(AB351)-LEN(SUBSTITUTE(AB351,"; ","")))/2+1&gt;(LEN(AB351)-LEN(SUBSTITUTE(AB351,"[Aviso]","")))/7, "Con Incidencias", "Válido")))</f>
        <v/>
      </c>
      <c r="AB351" s="56">
        <f>IF(AND(A351="", B351="", E351=""), "", TEXTJOIN("; ", TRUE, IF(OR(TRIM(A351&amp;"")="", ISNUMBER(SEARCH("FALTA", A351))), "UPC faltante/inválido", ""), IF(AND(A351&lt;&gt;"", IFERROR(_xlfn.XMATCH(A351,$A$2:$A$2509,0,1)&lt;&gt;_xlfn.XMATCH(A351,$A$2:$A$2509,0,-1),FALSE)), "Código de barras duplicado", ""), IF(AND(E351&lt;&gt;"", COUNTIF($E$2:$E$2509, E351)&gt;1), "SKU duplicado", ""), IF(OR(J351="", J351=""), "[Aviso] División no capturada ()", IF(ISNA(MATCH(J351, Criterios!$A$123:$A$126, 0)), "División no válida", "")), IF(OR(K351="", K351=""), "[Aviso] Categoría no capturada ()", IF(ISNA(MATCH(K351, Criterios!$A$81:$A$120, 0)), "Categoría no válida", IF(AND(J351&lt;&gt;"", J351&lt;&gt;"", J351&lt;&gt;VLOOKUP(K351, Criterios!$A$81:$B$120, 2, FALSE)), "División no coincide con Categoría", ""))), IF(OR(L351="", L351=""), "[Aviso] Género no capturado ()", IF(ISNA(MATCH(L351, Criterios!$B$123:$B$127, 0)), "Género no válido", "")), IF(OR(N351="", N351=""), "[Aviso] Temporada no capturada ()", IF(ISNA(MATCH(N351, Criterios!$C$123:$C$128, 0)), "Temporada no válida", "")), IF(OR(O351="", O351=""), "[Aviso] Ciclo de vida no capturado ()", IF(ISNA(MATCH(O351, Criterios!$D$123:$D$124, 0)), "Ciclo de vida no válido", ""))))</f>
        <v/>
      </c>
      <c r="AC351" s="56" t="n"/>
      <c r="AD351" s="51" t="n">
        <v>0</v>
      </c>
      <c r="AE351" s="156" t="n"/>
      <c r="AF351" s="51" t="n">
        <v>0</v>
      </c>
      <c r="AG351" s="156" t="inlineStr">
        <is>
          <t>Catálogo existente</t>
        </is>
      </c>
      <c r="AH35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1" s="156" t="inlineStr">
        <is>
          <t>No</t>
        </is>
      </c>
      <c r="AJ351" s="156" t="n"/>
      <c r="AK351" s="155" t="inlineStr">
        <is>
          <t>Criterios: I [Q]; G1522_Extraccion_Articulos_NetSuite_2026-09-30.xlsx: fila 58923 [R] | Shopify Stetson: producto 15054564196715 / variante 53350549127531</t>
        </is>
      </c>
      <c r="AL351" s="58" t="n">
        <v>2424</v>
      </c>
      <c r="AM351" s="58" t="n">
        <v>13793.10345</v>
      </c>
      <c r="AN351" s="155" t="inlineStr">
        <is>
          <t>Shopify Stetson México</t>
        </is>
      </c>
      <c r="AO351" s="59" t="n">
        <v>0</v>
      </c>
      <c r="AP351" s="59" t="n"/>
      <c r="AQ351" s="59" t="n"/>
      <c r="AR351" s="155" t="n"/>
    </row>
    <row r="352">
      <c r="A352" s="50" t="inlineStr">
        <is>
          <t>12020004101014315</t>
        </is>
      </c>
      <c r="B352" s="51" t="inlineStr">
        <is>
          <t>111249</t>
        </is>
      </c>
      <c r="C352" s="156" t="inlineStr">
        <is>
          <t>Multimarca</t>
        </is>
      </c>
      <c r="D352" s="156" t="inlineStr">
        <is>
          <t>12-020-BS004-10-1014</t>
        </is>
      </c>
      <c r="E352" s="156" t="inlineStr">
        <is>
          <t>12-020-BS004-10-1014-315</t>
        </is>
      </c>
      <c r="F352" s="156" t="inlineStr">
        <is>
          <t>31.5</t>
        </is>
      </c>
      <c r="G352" s="156" t="inlineStr">
        <is>
          <t>13.5</t>
        </is>
      </c>
      <c r="H352" s="156" t="inlineStr">
        <is>
          <t>Stetson</t>
        </is>
      </c>
      <c r="I352" s="156" t="inlineStr">
        <is>
          <t>Bota Cocodrilo Agave</t>
        </is>
      </c>
      <c r="J352" s="156" t="inlineStr">
        <is>
          <t>Calzado</t>
        </is>
      </c>
      <c r="K352" s="156" t="inlineStr">
        <is>
          <t>Botas</t>
        </is>
      </c>
      <c r="L352" s="156" t="inlineStr">
        <is>
          <t>Hombre</t>
        </is>
      </c>
      <c r="M352" s="156" t="inlineStr">
        <is>
          <t>Stetson</t>
        </is>
      </c>
      <c r="N352" s="156" t="inlineStr">
        <is>
          <t>SS26</t>
        </is>
      </c>
      <c r="O352" s="156" t="inlineStr">
        <is>
          <t>Seasonal</t>
        </is>
      </c>
      <c r="P352" s="156" t="inlineStr">
        <is>
          <t>Verde</t>
        </is>
      </c>
      <c r="Q352" s="156" t="n"/>
      <c r="R352" s="156" t="inlineStr">
        <is>
          <t>Punta Redonda Ancha</t>
        </is>
      </c>
      <c r="S352" s="156" t="inlineStr">
        <is>
          <t>Piel de cocodrilo</t>
        </is>
      </c>
      <c r="T352" s="156" t="inlineStr">
        <is>
          <t>Bota Caballero Piel de cocodrilo Agave Punta Redonda Ancha</t>
        </is>
      </c>
      <c r="U352" s="156" t="inlineStr">
        <is>
          <t>México</t>
        </is>
      </c>
      <c r="V352" s="156" t="inlineStr">
        <is>
          <t>PRS</t>
        </is>
      </c>
      <c r="W352" s="51" t="inlineStr">
        <is>
          <t>53111501</t>
        </is>
      </c>
      <c r="X352" s="156" t="n"/>
      <c r="Y352" s="54" t="n">
        <v>2424</v>
      </c>
      <c r="Z352" s="54" t="n">
        <v>13793.10345</v>
      </c>
      <c r="AA352" s="55">
        <f>IF(AND(A352="", B352="", E352=""), "", IF(AB352="", "Válido", IF((LEN(AB352)-LEN(SUBSTITUTE(AB352,"; ","")))/2+1&gt;(LEN(AB352)-LEN(SUBSTITUTE(AB352,"[Aviso]","")))/7, "Con Incidencias", "Válido")))</f>
        <v/>
      </c>
      <c r="AB352" s="56">
        <f>IF(AND(A352="", B352="", E352=""), "", TEXTJOIN("; ", TRUE, IF(OR(TRIM(A352&amp;"")="", ISNUMBER(SEARCH("FALTA", A352))), "UPC faltante/inválido", ""), IF(AND(A352&lt;&gt;"", IFERROR(_xlfn.XMATCH(A352,$A$2:$A$2509,0,1)&lt;&gt;_xlfn.XMATCH(A352,$A$2:$A$2509,0,-1),FALSE)), "Código de barras duplicado", ""), IF(AND(E352&lt;&gt;"", COUNTIF($E$2:$E$2509, E352)&gt;1), "SKU duplicado", ""), IF(OR(J352="", J352=""), "[Aviso] División no capturada ()", IF(ISNA(MATCH(J352, Criterios!$A$123:$A$126, 0)), "División no válida", "")), IF(OR(K352="", K352=""), "[Aviso] Categoría no capturada ()", IF(ISNA(MATCH(K352, Criterios!$A$81:$A$120, 0)), "Categoría no válida", IF(AND(J352&lt;&gt;"", J352&lt;&gt;"", J352&lt;&gt;VLOOKUP(K352, Criterios!$A$81:$B$120, 2, FALSE)), "División no coincide con Categoría", ""))), IF(OR(L352="", L352=""), "[Aviso] Género no capturado ()", IF(ISNA(MATCH(L352, Criterios!$B$123:$B$127, 0)), "Género no válido", "")), IF(OR(N352="", N352=""), "[Aviso] Temporada no capturada ()", IF(ISNA(MATCH(N352, Criterios!$C$123:$C$128, 0)), "Temporada no válida", "")), IF(OR(O352="", O352=""), "[Aviso] Ciclo de vida no capturado ()", IF(ISNA(MATCH(O352, Criterios!$D$123:$D$124, 0)), "Ciclo de vida no válido", ""))))</f>
        <v/>
      </c>
      <c r="AC352" s="56" t="n"/>
      <c r="AD352" s="51" t="n">
        <v>0</v>
      </c>
      <c r="AE352" s="156" t="n"/>
      <c r="AF352" s="51" t="n">
        <v>0</v>
      </c>
      <c r="AG352" s="156" t="inlineStr">
        <is>
          <t>Catálogo existente</t>
        </is>
      </c>
      <c r="AH3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2" s="156" t="inlineStr">
        <is>
          <t>No</t>
        </is>
      </c>
      <c r="AJ352" s="156" t="n"/>
      <c r="AK352" s="155" t="inlineStr">
        <is>
          <t>Criterios: I [Q]; G1522_Extraccion_Articulos_NetSuite_2026-09-30.xlsx: fila 58924 [R] | Shopify Stetson: producto 15054564196715 / variante 53350549193067</t>
        </is>
      </c>
      <c r="AL352" s="58" t="n">
        <v>2424</v>
      </c>
      <c r="AM352" s="58" t="n">
        <v>13793.10345</v>
      </c>
      <c r="AN352" s="155" t="inlineStr">
        <is>
          <t>Shopify Stetson México</t>
        </is>
      </c>
      <c r="AO352" s="59" t="n">
        <v>0</v>
      </c>
      <c r="AP352" s="59" t="n"/>
      <c r="AQ352" s="59" t="n"/>
      <c r="AR352" s="155" t="n"/>
    </row>
    <row r="353">
      <c r="A353" s="50" t="inlineStr">
        <is>
          <t>12020004101014325</t>
        </is>
      </c>
      <c r="B353" s="51" t="inlineStr">
        <is>
          <t>111250</t>
        </is>
      </c>
      <c r="C353" s="156" t="inlineStr">
        <is>
          <t>Multimarca</t>
        </is>
      </c>
      <c r="D353" s="156" t="inlineStr">
        <is>
          <t>12-020-BS004-10-1014</t>
        </is>
      </c>
      <c r="E353" s="156" t="inlineStr">
        <is>
          <t>12-020-BS004-10-1014-325</t>
        </is>
      </c>
      <c r="F353" s="156" t="inlineStr">
        <is>
          <t>32.5</t>
        </is>
      </c>
      <c r="G353" s="156" t="inlineStr">
        <is>
          <t>14.5</t>
        </is>
      </c>
      <c r="H353" s="156" t="inlineStr">
        <is>
          <t>Stetson</t>
        </is>
      </c>
      <c r="I353" s="156" t="inlineStr">
        <is>
          <t>Bota Cocodrilo Agave</t>
        </is>
      </c>
      <c r="J353" s="156" t="inlineStr">
        <is>
          <t>Calzado</t>
        </is>
      </c>
      <c r="K353" s="156" t="inlineStr">
        <is>
          <t>Botas</t>
        </is>
      </c>
      <c r="L353" s="156" t="inlineStr">
        <is>
          <t>Hombre</t>
        </is>
      </c>
      <c r="M353" s="156" t="inlineStr">
        <is>
          <t>Stetson</t>
        </is>
      </c>
      <c r="N353" s="156" t="inlineStr">
        <is>
          <t>SS26</t>
        </is>
      </c>
      <c r="O353" s="156" t="inlineStr">
        <is>
          <t>Seasonal</t>
        </is>
      </c>
      <c r="P353" s="156" t="inlineStr">
        <is>
          <t>Verde</t>
        </is>
      </c>
      <c r="Q353" s="156" t="n"/>
      <c r="R353" s="156" t="inlineStr">
        <is>
          <t>Punta Redonda Ancha</t>
        </is>
      </c>
      <c r="S353" s="156" t="inlineStr">
        <is>
          <t>Piel de cocodrilo</t>
        </is>
      </c>
      <c r="T353" s="156" t="inlineStr">
        <is>
          <t>Bota Caballero Piel de cocodrilo Agave Punta Redonda Ancha</t>
        </is>
      </c>
      <c r="U353" s="156" t="inlineStr">
        <is>
          <t>México</t>
        </is>
      </c>
      <c r="V353" s="156" t="inlineStr">
        <is>
          <t>PRS</t>
        </is>
      </c>
      <c r="W353" s="51" t="inlineStr">
        <is>
          <t>53111501</t>
        </is>
      </c>
      <c r="X353" s="156" t="n"/>
      <c r="Y353" s="54" t="n">
        <v>2424</v>
      </c>
      <c r="Z353" s="54" t="n">
        <v>13793.10345</v>
      </c>
      <c r="AA353" s="55">
        <f>IF(AND(A353="", B353="", E353=""), "", IF(AB353="", "Válido", IF((LEN(AB353)-LEN(SUBSTITUTE(AB353,"; ","")))/2+1&gt;(LEN(AB353)-LEN(SUBSTITUTE(AB353,"[Aviso]","")))/7, "Con Incidencias", "Válido")))</f>
        <v/>
      </c>
      <c r="AB353" s="56">
        <f>IF(AND(A353="", B353="", E353=""), "", TEXTJOIN("; ", TRUE, IF(OR(TRIM(A353&amp;"")="", ISNUMBER(SEARCH("FALTA", A353))), "UPC faltante/inválido", ""), IF(AND(A353&lt;&gt;"", IFERROR(_xlfn.XMATCH(A353,$A$2:$A$2509,0,1)&lt;&gt;_xlfn.XMATCH(A353,$A$2:$A$2509,0,-1),FALSE)), "Código de barras duplicado", ""), IF(AND(E353&lt;&gt;"", COUNTIF($E$2:$E$2509, E353)&gt;1), "SKU duplicado", ""), IF(OR(J353="", J353=""), "[Aviso] División no capturada ()", IF(ISNA(MATCH(J353, Criterios!$A$123:$A$126, 0)), "División no válida", "")), IF(OR(K353="", K353=""), "[Aviso] Categoría no capturada ()", IF(ISNA(MATCH(K353, Criterios!$A$81:$A$120, 0)), "Categoría no válida", IF(AND(J353&lt;&gt;"", J353&lt;&gt;"", J353&lt;&gt;VLOOKUP(K353, Criterios!$A$81:$B$120, 2, FALSE)), "División no coincide con Categoría", ""))), IF(OR(L353="", L353=""), "[Aviso] Género no capturado ()", IF(ISNA(MATCH(L353, Criterios!$B$123:$B$127, 0)), "Género no válido", "")), IF(OR(N353="", N353=""), "[Aviso] Temporada no capturada ()", IF(ISNA(MATCH(N353, Criterios!$C$123:$C$128, 0)), "Temporada no válida", "")), IF(OR(O353="", O353=""), "[Aviso] Ciclo de vida no capturado ()", IF(ISNA(MATCH(O353, Criterios!$D$123:$D$124, 0)), "Ciclo de vida no válido", ""))))</f>
        <v/>
      </c>
      <c r="AC353" s="56" t="n"/>
      <c r="AD353" s="51" t="n">
        <v>0</v>
      </c>
      <c r="AE353" s="156" t="n"/>
      <c r="AF353" s="51" t="n">
        <v>0</v>
      </c>
      <c r="AG353" s="156" t="inlineStr">
        <is>
          <t>Catálogo existente</t>
        </is>
      </c>
      <c r="AH3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3" s="156" t="inlineStr">
        <is>
          <t>No</t>
        </is>
      </c>
      <c r="AJ353" s="156" t="n"/>
      <c r="AK353" s="155" t="inlineStr">
        <is>
          <t>Criterios: I [Q]; G1522_Extraccion_Articulos_NetSuite_2026-09-30.xlsx: fila 58925 [R] | Shopify Stetson: producto 15054564196715 / variante 53350549258603</t>
        </is>
      </c>
      <c r="AL353" s="58" t="n">
        <v>2424</v>
      </c>
      <c r="AM353" s="58" t="n">
        <v>13793.10345</v>
      </c>
      <c r="AN353" s="155" t="inlineStr">
        <is>
          <t>Shopify Stetson México</t>
        </is>
      </c>
      <c r="AO353" s="59" t="n">
        <v>0</v>
      </c>
      <c r="AP353" s="59" t="n"/>
      <c r="AQ353" s="59" t="n"/>
      <c r="AR353" s="155" t="n"/>
    </row>
    <row r="354">
      <c r="A354" s="50" t="inlineStr">
        <is>
          <t>12020004101015025</t>
        </is>
      </c>
      <c r="B354" s="51" t="inlineStr">
        <is>
          <t>111251</t>
        </is>
      </c>
      <c r="C354" s="156" t="inlineStr">
        <is>
          <t>Multimarca</t>
        </is>
      </c>
      <c r="D354" s="156" t="inlineStr">
        <is>
          <t>12-020-BS004-10-1015</t>
        </is>
      </c>
      <c r="E354" s="156" t="inlineStr">
        <is>
          <t>12-020-BS004-10-1015-025</t>
        </is>
      </c>
      <c r="F354" s="156" t="inlineStr">
        <is>
          <t>25</t>
        </is>
      </c>
      <c r="G354" s="156" t="inlineStr">
        <is>
          <t>7</t>
        </is>
      </c>
      <c r="H354" s="156" t="inlineStr">
        <is>
          <t>Stetson</t>
        </is>
      </c>
      <c r="I354" s="156" t="inlineStr">
        <is>
          <t>Bota Cocodrilo Medianoche</t>
        </is>
      </c>
      <c r="J354" s="156" t="inlineStr">
        <is>
          <t>Calzado</t>
        </is>
      </c>
      <c r="K354" s="156" t="inlineStr">
        <is>
          <t>Botas</t>
        </is>
      </c>
      <c r="L354" s="156" t="inlineStr">
        <is>
          <t>Hombre</t>
        </is>
      </c>
      <c r="M354" s="156" t="inlineStr">
        <is>
          <t>Stetson</t>
        </is>
      </c>
      <c r="N354" s="156" t="inlineStr">
        <is>
          <t>SS26</t>
        </is>
      </c>
      <c r="O354" s="156" t="inlineStr">
        <is>
          <t>Seasonal</t>
        </is>
      </c>
      <c r="P354" s="156" t="inlineStr">
        <is>
          <t>Azul</t>
        </is>
      </c>
      <c r="Q354" s="156" t="n"/>
      <c r="R354" s="156" t="inlineStr">
        <is>
          <t>Punta Redonda Ancha</t>
        </is>
      </c>
      <c r="S354" s="156" t="inlineStr">
        <is>
          <t>Piel de cocodrilo</t>
        </is>
      </c>
      <c r="T354" s="156" t="inlineStr">
        <is>
          <t>Bota Caballero Piel de cocodrilo Medianoche Punta Redonda Ancha</t>
        </is>
      </c>
      <c r="U354" s="156" t="inlineStr">
        <is>
          <t>México</t>
        </is>
      </c>
      <c r="V354" s="156" t="inlineStr">
        <is>
          <t>PRS</t>
        </is>
      </c>
      <c r="W354" s="51" t="inlineStr">
        <is>
          <t>53111501</t>
        </is>
      </c>
      <c r="X354" s="156" t="n"/>
      <c r="Y354" s="54" t="n">
        <v>2424</v>
      </c>
      <c r="Z354" s="54" t="n">
        <v>13793.10345</v>
      </c>
      <c r="AA354" s="55">
        <f>IF(AND(A354="", B354="", E354=""), "", IF(AB354="", "Válido", IF((LEN(AB354)-LEN(SUBSTITUTE(AB354,"; ","")))/2+1&gt;(LEN(AB354)-LEN(SUBSTITUTE(AB354,"[Aviso]","")))/7, "Con Incidencias", "Válido")))</f>
        <v/>
      </c>
      <c r="AB354" s="56">
        <f>IF(AND(A354="", B354="", E354=""), "", TEXTJOIN("; ", TRUE, IF(OR(TRIM(A354&amp;"")="", ISNUMBER(SEARCH("FALTA", A354))), "UPC faltante/inválido", ""), IF(AND(A354&lt;&gt;"", IFERROR(_xlfn.XMATCH(A354,$A$2:$A$2509,0,1)&lt;&gt;_xlfn.XMATCH(A354,$A$2:$A$2509,0,-1),FALSE)), "Código de barras duplicado", ""), IF(AND(E354&lt;&gt;"", COUNTIF($E$2:$E$2509, E354)&gt;1), "SKU duplicado", ""), IF(OR(J354="", J354=""), "[Aviso] División no capturada ()", IF(ISNA(MATCH(J354, Criterios!$A$123:$A$126, 0)), "División no válida", "")), IF(OR(K354="", K354=""), "[Aviso] Categoría no capturada ()", IF(ISNA(MATCH(K354, Criterios!$A$81:$A$120, 0)), "Categoría no válida", IF(AND(J354&lt;&gt;"", J354&lt;&gt;"", J354&lt;&gt;VLOOKUP(K354, Criterios!$A$81:$B$120, 2, FALSE)), "División no coincide con Categoría", ""))), IF(OR(L354="", L354=""), "[Aviso] Género no capturado ()", IF(ISNA(MATCH(L354, Criterios!$B$123:$B$127, 0)), "Género no válido", "")), IF(OR(N354="", N354=""), "[Aviso] Temporada no capturada ()", IF(ISNA(MATCH(N354, Criterios!$C$123:$C$128, 0)), "Temporada no válida", "")), IF(OR(O354="", O354=""), "[Aviso] Ciclo de vida no capturado ()", IF(ISNA(MATCH(O354, Criterios!$D$123:$D$124, 0)), "Ciclo de vida no válido", ""))))</f>
        <v/>
      </c>
      <c r="AC354" s="56" t="n"/>
      <c r="AD354" s="51" t="n">
        <v>0</v>
      </c>
      <c r="AE354" s="156" t="n"/>
      <c r="AF354" s="51" t="n">
        <v>0</v>
      </c>
      <c r="AG354" s="156" t="inlineStr">
        <is>
          <t>Catálogo existente</t>
        </is>
      </c>
      <c r="AH3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4" s="156" t="inlineStr">
        <is>
          <t>No</t>
        </is>
      </c>
      <c r="AJ354" s="156" t="n"/>
      <c r="AK354" s="155" t="inlineStr">
        <is>
          <t>Criterios: I [Q]; G1522_Extraccion_Articulos_NetSuite_2026-09-30.xlsx: fila 58926 [R] | Shopify Stetson: producto 15054564229483 / variante 53350549291371</t>
        </is>
      </c>
      <c r="AL354" s="58" t="n">
        <v>2424</v>
      </c>
      <c r="AM354" s="58" t="n">
        <v>13793.10345</v>
      </c>
      <c r="AN354" s="155" t="inlineStr">
        <is>
          <t>Shopify Stetson México</t>
        </is>
      </c>
      <c r="AO354" s="59" t="n">
        <v>0</v>
      </c>
      <c r="AP354" s="59" t="n"/>
      <c r="AQ354" s="59" t="n"/>
      <c r="AR354" s="155" t="n"/>
    </row>
    <row r="355">
      <c r="A355" s="50" t="inlineStr">
        <is>
          <t>12020004101015026</t>
        </is>
      </c>
      <c r="B355" s="51" t="inlineStr">
        <is>
          <t>111252</t>
        </is>
      </c>
      <c r="C355" s="156" t="inlineStr">
        <is>
          <t>Multimarca</t>
        </is>
      </c>
      <c r="D355" s="156" t="inlineStr">
        <is>
          <t>12-020-BS004-10-1015</t>
        </is>
      </c>
      <c r="E355" s="156" t="inlineStr">
        <is>
          <t>12-020-BS004-10-1015-026</t>
        </is>
      </c>
      <c r="F355" s="156" t="inlineStr">
        <is>
          <t>26</t>
        </is>
      </c>
      <c r="G355" s="156" t="inlineStr">
        <is>
          <t>8</t>
        </is>
      </c>
      <c r="H355" s="156" t="inlineStr">
        <is>
          <t>Stetson</t>
        </is>
      </c>
      <c r="I355" s="156" t="inlineStr">
        <is>
          <t>Bota Cocodrilo Medianoche</t>
        </is>
      </c>
      <c r="J355" s="156" t="inlineStr">
        <is>
          <t>Calzado</t>
        </is>
      </c>
      <c r="K355" s="156" t="inlineStr">
        <is>
          <t>Botas</t>
        </is>
      </c>
      <c r="L355" s="156" t="inlineStr">
        <is>
          <t>Hombre</t>
        </is>
      </c>
      <c r="M355" s="156" t="inlineStr">
        <is>
          <t>Stetson</t>
        </is>
      </c>
      <c r="N355" s="156" t="inlineStr">
        <is>
          <t>SS26</t>
        </is>
      </c>
      <c r="O355" s="156" t="inlineStr">
        <is>
          <t>Seasonal</t>
        </is>
      </c>
      <c r="P355" s="156" t="inlineStr">
        <is>
          <t>Azul</t>
        </is>
      </c>
      <c r="Q355" s="156" t="n"/>
      <c r="R355" s="156" t="inlineStr">
        <is>
          <t>Punta Redonda Ancha</t>
        </is>
      </c>
      <c r="S355" s="156" t="inlineStr">
        <is>
          <t>Piel de cocodrilo</t>
        </is>
      </c>
      <c r="T355" s="156" t="inlineStr">
        <is>
          <t>Bota Caballero Piel de cocodrilo Medianoche Punta Redonda Ancha</t>
        </is>
      </c>
      <c r="U355" s="156" t="inlineStr">
        <is>
          <t>México</t>
        </is>
      </c>
      <c r="V355" s="156" t="inlineStr">
        <is>
          <t>PRS</t>
        </is>
      </c>
      <c r="W355" s="51" t="inlineStr">
        <is>
          <t>53111501</t>
        </is>
      </c>
      <c r="X355" s="156" t="n"/>
      <c r="Y355" s="54" t="n">
        <v>2424</v>
      </c>
      <c r="Z355" s="54" t="n">
        <v>13793.10345</v>
      </c>
      <c r="AA355" s="55">
        <f>IF(AND(A355="", B355="", E355=""), "", IF(AB355="", "Válido", IF((LEN(AB355)-LEN(SUBSTITUTE(AB355,"; ","")))/2+1&gt;(LEN(AB355)-LEN(SUBSTITUTE(AB355,"[Aviso]","")))/7, "Con Incidencias", "Válido")))</f>
        <v/>
      </c>
      <c r="AB355" s="56">
        <f>IF(AND(A355="", B355="", E355=""), "", TEXTJOIN("; ", TRUE, IF(OR(TRIM(A355&amp;"")="", ISNUMBER(SEARCH("FALTA", A355))), "UPC faltante/inválido", ""), IF(AND(A355&lt;&gt;"", IFERROR(_xlfn.XMATCH(A355,$A$2:$A$2509,0,1)&lt;&gt;_xlfn.XMATCH(A355,$A$2:$A$2509,0,-1),FALSE)), "Código de barras duplicado", ""), IF(AND(E355&lt;&gt;"", COUNTIF($E$2:$E$2509, E355)&gt;1), "SKU duplicado", ""), IF(OR(J355="", J355=""), "[Aviso] División no capturada ()", IF(ISNA(MATCH(J355, Criterios!$A$123:$A$126, 0)), "División no válida", "")), IF(OR(K355="", K355=""), "[Aviso] Categoría no capturada ()", IF(ISNA(MATCH(K355, Criterios!$A$81:$A$120, 0)), "Categoría no válida", IF(AND(J355&lt;&gt;"", J355&lt;&gt;"", J355&lt;&gt;VLOOKUP(K355, Criterios!$A$81:$B$120, 2, FALSE)), "División no coincide con Categoría", ""))), IF(OR(L355="", L355=""), "[Aviso] Género no capturado ()", IF(ISNA(MATCH(L355, Criterios!$B$123:$B$127, 0)), "Género no válido", "")), IF(OR(N355="", N355=""), "[Aviso] Temporada no capturada ()", IF(ISNA(MATCH(N355, Criterios!$C$123:$C$128, 0)), "Temporada no válida", "")), IF(OR(O355="", O355=""), "[Aviso] Ciclo de vida no capturado ()", IF(ISNA(MATCH(O355, Criterios!$D$123:$D$124, 0)), "Ciclo de vida no válido", ""))))</f>
        <v/>
      </c>
      <c r="AC355" s="56" t="n"/>
      <c r="AD355" s="51" t="n">
        <v>0</v>
      </c>
      <c r="AE355" s="156" t="n"/>
      <c r="AF355" s="51" t="n">
        <v>0</v>
      </c>
      <c r="AG355" s="156" t="inlineStr">
        <is>
          <t>Catálogo existente</t>
        </is>
      </c>
      <c r="AH3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5" s="156" t="inlineStr">
        <is>
          <t>No</t>
        </is>
      </c>
      <c r="AJ355" s="156" t="n"/>
      <c r="AK355" s="155" t="inlineStr">
        <is>
          <t>Criterios: I [Q]; G1522_Extraccion_Articulos_NetSuite_2026-09-30.xlsx: fila 58927 [R] | Shopify Stetson: producto 15054564229483 / variante 53350549356907</t>
        </is>
      </c>
      <c r="AL355" s="58" t="n">
        <v>2424</v>
      </c>
      <c r="AM355" s="58" t="n">
        <v>13793.10345</v>
      </c>
      <c r="AN355" s="155" t="inlineStr">
        <is>
          <t>Shopify Stetson México</t>
        </is>
      </c>
      <c r="AO355" s="59" t="n">
        <v>0</v>
      </c>
      <c r="AP355" s="59" t="n"/>
      <c r="AQ355" s="59" t="n"/>
      <c r="AR355" s="155" t="n"/>
    </row>
    <row r="356">
      <c r="A356" s="50" t="inlineStr">
        <is>
          <t>12020004101015027</t>
        </is>
      </c>
      <c r="B356" s="51" t="inlineStr">
        <is>
          <t>111253</t>
        </is>
      </c>
      <c r="C356" s="156" t="inlineStr">
        <is>
          <t>Multimarca</t>
        </is>
      </c>
      <c r="D356" s="156" t="inlineStr">
        <is>
          <t>12-020-BS004-10-1015</t>
        </is>
      </c>
      <c r="E356" s="156" t="inlineStr">
        <is>
          <t>12-020-BS004-10-1015-027</t>
        </is>
      </c>
      <c r="F356" s="156" t="inlineStr">
        <is>
          <t>27</t>
        </is>
      </c>
      <c r="G356" s="156" t="inlineStr">
        <is>
          <t>9</t>
        </is>
      </c>
      <c r="H356" s="156" t="inlineStr">
        <is>
          <t>Stetson</t>
        </is>
      </c>
      <c r="I356" s="156" t="inlineStr">
        <is>
          <t>Bota Cocodrilo Medianoche</t>
        </is>
      </c>
      <c r="J356" s="156" t="inlineStr">
        <is>
          <t>Calzado</t>
        </is>
      </c>
      <c r="K356" s="156" t="inlineStr">
        <is>
          <t>Botas</t>
        </is>
      </c>
      <c r="L356" s="156" t="inlineStr">
        <is>
          <t>Hombre</t>
        </is>
      </c>
      <c r="M356" s="156" t="inlineStr">
        <is>
          <t>Stetson</t>
        </is>
      </c>
      <c r="N356" s="156" t="inlineStr">
        <is>
          <t>SS26</t>
        </is>
      </c>
      <c r="O356" s="156" t="inlineStr">
        <is>
          <t>Seasonal</t>
        </is>
      </c>
      <c r="P356" s="156" t="inlineStr">
        <is>
          <t>Azul</t>
        </is>
      </c>
      <c r="Q356" s="156" t="n"/>
      <c r="R356" s="156" t="inlineStr">
        <is>
          <t>Punta Redonda Ancha</t>
        </is>
      </c>
      <c r="S356" s="156" t="inlineStr">
        <is>
          <t>Piel de cocodrilo</t>
        </is>
      </c>
      <c r="T356" s="156" t="inlineStr">
        <is>
          <t>Bota Caballero Piel de cocodrilo Medianoche Punta Redonda Ancha</t>
        </is>
      </c>
      <c r="U356" s="156" t="inlineStr">
        <is>
          <t>México</t>
        </is>
      </c>
      <c r="V356" s="156" t="inlineStr">
        <is>
          <t>PRS</t>
        </is>
      </c>
      <c r="W356" s="51" t="inlineStr">
        <is>
          <t>53111501</t>
        </is>
      </c>
      <c r="X356" s="156" t="n"/>
      <c r="Y356" s="54" t="n">
        <v>2424</v>
      </c>
      <c r="Z356" s="54" t="n">
        <v>13793.10345</v>
      </c>
      <c r="AA356" s="55">
        <f>IF(AND(A356="", B356="", E356=""), "", IF(AB356="", "Válido", IF((LEN(AB356)-LEN(SUBSTITUTE(AB356,"; ","")))/2+1&gt;(LEN(AB356)-LEN(SUBSTITUTE(AB356,"[Aviso]","")))/7, "Con Incidencias", "Válido")))</f>
        <v/>
      </c>
      <c r="AB356" s="56">
        <f>IF(AND(A356="", B356="", E356=""), "", TEXTJOIN("; ", TRUE, IF(OR(TRIM(A356&amp;"")="", ISNUMBER(SEARCH("FALTA", A356))), "UPC faltante/inválido", ""), IF(AND(A356&lt;&gt;"", IFERROR(_xlfn.XMATCH(A356,$A$2:$A$2509,0,1)&lt;&gt;_xlfn.XMATCH(A356,$A$2:$A$2509,0,-1),FALSE)), "Código de barras duplicado", ""), IF(AND(E356&lt;&gt;"", COUNTIF($E$2:$E$2509, E356)&gt;1), "SKU duplicado", ""), IF(OR(J356="", J356=""), "[Aviso] División no capturada ()", IF(ISNA(MATCH(J356, Criterios!$A$123:$A$126, 0)), "División no válida", "")), IF(OR(K356="", K356=""), "[Aviso] Categoría no capturada ()", IF(ISNA(MATCH(K356, Criterios!$A$81:$A$120, 0)), "Categoría no válida", IF(AND(J356&lt;&gt;"", J356&lt;&gt;"", J356&lt;&gt;VLOOKUP(K356, Criterios!$A$81:$B$120, 2, FALSE)), "División no coincide con Categoría", ""))), IF(OR(L356="", L356=""), "[Aviso] Género no capturado ()", IF(ISNA(MATCH(L356, Criterios!$B$123:$B$127, 0)), "Género no válido", "")), IF(OR(N356="", N356=""), "[Aviso] Temporada no capturada ()", IF(ISNA(MATCH(N356, Criterios!$C$123:$C$128, 0)), "Temporada no válida", "")), IF(OR(O356="", O356=""), "[Aviso] Ciclo de vida no capturado ()", IF(ISNA(MATCH(O356, Criterios!$D$123:$D$124, 0)), "Ciclo de vida no válido", ""))))</f>
        <v/>
      </c>
      <c r="AC356" s="56" t="n"/>
      <c r="AD356" s="51" t="n">
        <v>1</v>
      </c>
      <c r="AE356" s="156" t="inlineStr">
        <is>
          <t>STETSON AMERICAS (1)</t>
        </is>
      </c>
      <c r="AF356" s="51" t="n">
        <v>1</v>
      </c>
      <c r="AG356" s="156" t="inlineStr">
        <is>
          <t>Catálogo existente</t>
        </is>
      </c>
      <c r="AH35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6" s="156" t="inlineStr">
        <is>
          <t>No</t>
        </is>
      </c>
      <c r="AJ356" s="156" t="n"/>
      <c r="AK356" s="155" t="inlineStr">
        <is>
          <t>Criterios: I [Q]; G1522_Extraccion_Articulos_NetSuite_2026-09-30.xlsx: fila 58928 [R] | Shopify Stetson: producto 15054564229483 / variante 53350549422443</t>
        </is>
      </c>
      <c r="AL356" s="58" t="n">
        <v>2424</v>
      </c>
      <c r="AM356" s="58" t="n">
        <v>13793.10345</v>
      </c>
      <c r="AN356" s="155" t="inlineStr">
        <is>
          <t>Shopify Stetson México</t>
        </is>
      </c>
      <c r="AO356" s="59" t="n">
        <v>1</v>
      </c>
      <c r="AP356" s="59" t="n"/>
      <c r="AQ356" s="59" t="n"/>
      <c r="AR356" s="155" t="inlineStr">
        <is>
          <t>Shopify Stetson México › Stetson Americas: 1</t>
        </is>
      </c>
    </row>
    <row r="357">
      <c r="A357" s="50" t="inlineStr">
        <is>
          <t>12020004101015028</t>
        </is>
      </c>
      <c r="B357" s="51" t="inlineStr">
        <is>
          <t>111254</t>
        </is>
      </c>
      <c r="C357" s="156" t="inlineStr">
        <is>
          <t>Multimarca</t>
        </is>
      </c>
      <c r="D357" s="156" t="inlineStr">
        <is>
          <t>12-020-BS004-10-1015</t>
        </is>
      </c>
      <c r="E357" s="156" t="inlineStr">
        <is>
          <t>12-020-BS004-10-1015-028</t>
        </is>
      </c>
      <c r="F357" s="156" t="inlineStr">
        <is>
          <t>28</t>
        </is>
      </c>
      <c r="G357" s="156" t="inlineStr">
        <is>
          <t>10</t>
        </is>
      </c>
      <c r="H357" s="156" t="inlineStr">
        <is>
          <t>Stetson</t>
        </is>
      </c>
      <c r="I357" s="156" t="inlineStr">
        <is>
          <t>Bota Cocodrilo Medianoche</t>
        </is>
      </c>
      <c r="J357" s="156" t="inlineStr">
        <is>
          <t>Calzado</t>
        </is>
      </c>
      <c r="K357" s="156" t="inlineStr">
        <is>
          <t>Botas</t>
        </is>
      </c>
      <c r="L357" s="156" t="inlineStr">
        <is>
          <t>Hombre</t>
        </is>
      </c>
      <c r="M357" s="156" t="inlineStr">
        <is>
          <t>Stetson</t>
        </is>
      </c>
      <c r="N357" s="156" t="inlineStr">
        <is>
          <t>SS26</t>
        </is>
      </c>
      <c r="O357" s="156" t="inlineStr">
        <is>
          <t>Seasonal</t>
        </is>
      </c>
      <c r="P357" s="156" t="inlineStr">
        <is>
          <t>Azul</t>
        </is>
      </c>
      <c r="Q357" s="156" t="n"/>
      <c r="R357" s="156" t="inlineStr">
        <is>
          <t>Punta Redonda Ancha</t>
        </is>
      </c>
      <c r="S357" s="156" t="inlineStr">
        <is>
          <t>Piel de cocodrilo</t>
        </is>
      </c>
      <c r="T357" s="156" t="inlineStr">
        <is>
          <t>Bota Caballero Piel de cocodrilo Medianoche Punta Redonda Ancha</t>
        </is>
      </c>
      <c r="U357" s="156" t="inlineStr">
        <is>
          <t>México</t>
        </is>
      </c>
      <c r="V357" s="156" t="inlineStr">
        <is>
          <t>PRS</t>
        </is>
      </c>
      <c r="W357" s="51" t="inlineStr">
        <is>
          <t>53111501</t>
        </is>
      </c>
      <c r="X357" s="156" t="n"/>
      <c r="Y357" s="54" t="n">
        <v>2424</v>
      </c>
      <c r="Z357" s="54" t="n">
        <v>13793.10345</v>
      </c>
      <c r="AA357" s="55">
        <f>IF(AND(A357="", B357="", E357=""), "", IF(AB357="", "Válido", IF((LEN(AB357)-LEN(SUBSTITUTE(AB357,"; ","")))/2+1&gt;(LEN(AB357)-LEN(SUBSTITUTE(AB357,"[Aviso]","")))/7, "Con Incidencias", "Válido")))</f>
        <v/>
      </c>
      <c r="AB357" s="56">
        <f>IF(AND(A357="", B357="", E357=""), "", TEXTJOIN("; ", TRUE, IF(OR(TRIM(A357&amp;"")="", ISNUMBER(SEARCH("FALTA", A357))), "UPC faltante/inválido", ""), IF(AND(A357&lt;&gt;"", IFERROR(_xlfn.XMATCH(A357,$A$2:$A$2509,0,1)&lt;&gt;_xlfn.XMATCH(A357,$A$2:$A$2509,0,-1),FALSE)), "Código de barras duplicado", ""), IF(AND(E357&lt;&gt;"", COUNTIF($E$2:$E$2509, E357)&gt;1), "SKU duplicado", ""), IF(OR(J357="", J357=""), "[Aviso] División no capturada ()", IF(ISNA(MATCH(J357, Criterios!$A$123:$A$126, 0)), "División no válida", "")), IF(OR(K357="", K357=""), "[Aviso] Categoría no capturada ()", IF(ISNA(MATCH(K357, Criterios!$A$81:$A$120, 0)), "Categoría no válida", IF(AND(J357&lt;&gt;"", J357&lt;&gt;"", J357&lt;&gt;VLOOKUP(K357, Criterios!$A$81:$B$120, 2, FALSE)), "División no coincide con Categoría", ""))), IF(OR(L357="", L357=""), "[Aviso] Género no capturado ()", IF(ISNA(MATCH(L357, Criterios!$B$123:$B$127, 0)), "Género no válido", "")), IF(OR(N357="", N357=""), "[Aviso] Temporada no capturada ()", IF(ISNA(MATCH(N357, Criterios!$C$123:$C$128, 0)), "Temporada no válida", "")), IF(OR(O357="", O357=""), "[Aviso] Ciclo de vida no capturado ()", IF(ISNA(MATCH(O357, Criterios!$D$123:$D$124, 0)), "Ciclo de vida no válido", ""))))</f>
        <v/>
      </c>
      <c r="AC357" s="56" t="n"/>
      <c r="AD357" s="51" t="n">
        <v>1</v>
      </c>
      <c r="AE357" s="156" t="inlineStr">
        <is>
          <t>PUNTO DE VENTA (1)</t>
        </is>
      </c>
      <c r="AF357" s="51" t="n">
        <v>1</v>
      </c>
      <c r="AG357" s="156" t="inlineStr">
        <is>
          <t>Catálogo existente</t>
        </is>
      </c>
      <c r="AH3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7" s="156" t="inlineStr">
        <is>
          <t>No</t>
        </is>
      </c>
      <c r="AJ357" s="156" t="n"/>
      <c r="AK357" s="155" t="inlineStr">
        <is>
          <t>Criterios: I [Q]; G1522_Extraccion_Articulos_NetSuite_2026-09-30.xlsx: fila 58929 [R] | Shopify Stetson: producto 15054564229483 / variante 53350549487979</t>
        </is>
      </c>
      <c r="AL357" s="58" t="n">
        <v>2424</v>
      </c>
      <c r="AM357" s="58" t="n">
        <v>13793.10345</v>
      </c>
      <c r="AN357" s="155" t="inlineStr">
        <is>
          <t>Shopify Stetson México</t>
        </is>
      </c>
      <c r="AO357" s="59" t="n">
        <v>0</v>
      </c>
      <c r="AP357" s="59" t="n"/>
      <c r="AQ357" s="59" t="n"/>
      <c r="AR357" s="155" t="n"/>
    </row>
    <row r="358">
      <c r="A358" s="50" t="inlineStr">
        <is>
          <t>12020004101015029</t>
        </is>
      </c>
      <c r="B358" s="51" t="inlineStr">
        <is>
          <t>111255</t>
        </is>
      </c>
      <c r="C358" s="156" t="inlineStr">
        <is>
          <t>Multimarca</t>
        </is>
      </c>
      <c r="D358" s="156" t="inlineStr">
        <is>
          <t>12-020-BS004-10-1015</t>
        </is>
      </c>
      <c r="E358" s="156" t="inlineStr">
        <is>
          <t>12-020-BS004-10-1015-029</t>
        </is>
      </c>
      <c r="F358" s="156" t="inlineStr">
        <is>
          <t>29</t>
        </is>
      </c>
      <c r="G358" s="156" t="inlineStr">
        <is>
          <t>11</t>
        </is>
      </c>
      <c r="H358" s="156" t="inlineStr">
        <is>
          <t>Stetson</t>
        </is>
      </c>
      <c r="I358" s="156" t="inlineStr">
        <is>
          <t>Bota Cocodrilo Medianoche</t>
        </is>
      </c>
      <c r="J358" s="156" t="inlineStr">
        <is>
          <t>Calzado</t>
        </is>
      </c>
      <c r="K358" s="156" t="inlineStr">
        <is>
          <t>Botas</t>
        </is>
      </c>
      <c r="L358" s="156" t="inlineStr">
        <is>
          <t>Hombre</t>
        </is>
      </c>
      <c r="M358" s="156" t="inlineStr">
        <is>
          <t>Stetson</t>
        </is>
      </c>
      <c r="N358" s="156" t="inlineStr">
        <is>
          <t>SS26</t>
        </is>
      </c>
      <c r="O358" s="156" t="inlineStr">
        <is>
          <t>Seasonal</t>
        </is>
      </c>
      <c r="P358" s="156" t="inlineStr">
        <is>
          <t>Azul</t>
        </is>
      </c>
      <c r="Q358" s="156" t="n"/>
      <c r="R358" s="156" t="inlineStr">
        <is>
          <t>Punta Redonda Ancha</t>
        </is>
      </c>
      <c r="S358" s="156" t="inlineStr">
        <is>
          <t>Piel de cocodrilo</t>
        </is>
      </c>
      <c r="T358" s="156" t="inlineStr">
        <is>
          <t>Bota Caballero Piel de cocodrilo Medianoche Punta Redonda Ancha</t>
        </is>
      </c>
      <c r="U358" s="156" t="inlineStr">
        <is>
          <t>México</t>
        </is>
      </c>
      <c r="V358" s="156" t="inlineStr">
        <is>
          <t>PRS</t>
        </is>
      </c>
      <c r="W358" s="51" t="inlineStr">
        <is>
          <t>53111501</t>
        </is>
      </c>
      <c r="X358" s="156" t="n"/>
      <c r="Y358" s="54" t="n">
        <v>2424</v>
      </c>
      <c r="Z358" s="54" t="n">
        <v>13793.10345</v>
      </c>
      <c r="AA358" s="55">
        <f>IF(AND(A358="", B358="", E358=""), "", IF(AB358="", "Válido", IF((LEN(AB358)-LEN(SUBSTITUTE(AB358,"; ","")))/2+1&gt;(LEN(AB358)-LEN(SUBSTITUTE(AB358,"[Aviso]","")))/7, "Con Incidencias", "Válido")))</f>
        <v/>
      </c>
      <c r="AB358" s="56">
        <f>IF(AND(A358="", B358="", E358=""), "", TEXTJOIN("; ", TRUE, IF(OR(TRIM(A358&amp;"")="", ISNUMBER(SEARCH("FALTA", A358))), "UPC faltante/inválido", ""), IF(AND(A358&lt;&gt;"", IFERROR(_xlfn.XMATCH(A358,$A$2:$A$2509,0,1)&lt;&gt;_xlfn.XMATCH(A358,$A$2:$A$2509,0,-1),FALSE)), "Código de barras duplicado", ""), IF(AND(E358&lt;&gt;"", COUNTIF($E$2:$E$2509, E358)&gt;1), "SKU duplicado", ""), IF(OR(J358="", J358=""), "[Aviso] División no capturada ()", IF(ISNA(MATCH(J358, Criterios!$A$123:$A$126, 0)), "División no válida", "")), IF(OR(K358="", K358=""), "[Aviso] Categoría no capturada ()", IF(ISNA(MATCH(K358, Criterios!$A$81:$A$120, 0)), "Categoría no válida", IF(AND(J358&lt;&gt;"", J358&lt;&gt;"", J358&lt;&gt;VLOOKUP(K358, Criterios!$A$81:$B$120, 2, FALSE)), "División no coincide con Categoría", ""))), IF(OR(L358="", L358=""), "[Aviso] Género no capturado ()", IF(ISNA(MATCH(L358, Criterios!$B$123:$B$127, 0)), "Género no válido", "")), IF(OR(N358="", N358=""), "[Aviso] Temporada no capturada ()", IF(ISNA(MATCH(N358, Criterios!$C$123:$C$128, 0)), "Temporada no válida", "")), IF(OR(O358="", O358=""), "[Aviso] Ciclo de vida no capturado ()", IF(ISNA(MATCH(O358, Criterios!$D$123:$D$124, 0)), "Ciclo de vida no válido", ""))))</f>
        <v/>
      </c>
      <c r="AC358" s="56" t="n"/>
      <c r="AD358" s="51" t="n">
        <v>1</v>
      </c>
      <c r="AE358" s="156" t="inlineStr">
        <is>
          <t>STETSON AMERICAS (1)</t>
        </is>
      </c>
      <c r="AF358" s="51" t="n">
        <v>1</v>
      </c>
      <c r="AG358" s="156" t="inlineStr">
        <is>
          <t>Catálogo existente</t>
        </is>
      </c>
      <c r="AH3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8" s="156" t="inlineStr">
        <is>
          <t>No</t>
        </is>
      </c>
      <c r="AJ358" s="156" t="n"/>
      <c r="AK358" s="155" t="inlineStr">
        <is>
          <t>Criterios: I [Q]; G1522_Extraccion_Articulos_NetSuite_2026-09-30.xlsx: fila 58930 [R] | Shopify Stetson: producto 15054564229483 / variante 53350549553515</t>
        </is>
      </c>
      <c r="AL358" s="58" t="n">
        <v>2424</v>
      </c>
      <c r="AM358" s="58" t="n">
        <v>13793.10345</v>
      </c>
      <c r="AN358" s="155" t="inlineStr">
        <is>
          <t>Shopify Stetson México</t>
        </is>
      </c>
      <c r="AO358" s="59" t="n">
        <v>1</v>
      </c>
      <c r="AP358" s="59" t="n"/>
      <c r="AQ358" s="59" t="n"/>
      <c r="AR358" s="155" t="inlineStr">
        <is>
          <t>Shopify Stetson México › Stetson Americas: 1</t>
        </is>
      </c>
    </row>
    <row r="359">
      <c r="A359" s="50" t="inlineStr">
        <is>
          <t>12020004101015030</t>
        </is>
      </c>
      <c r="B359" s="51" t="inlineStr">
        <is>
          <t>111256</t>
        </is>
      </c>
      <c r="C359" s="156" t="inlineStr">
        <is>
          <t>Multimarca</t>
        </is>
      </c>
      <c r="D359" s="156" t="inlineStr">
        <is>
          <t>12-020-BS004-10-1015</t>
        </is>
      </c>
      <c r="E359" s="156" t="inlineStr">
        <is>
          <t>12-020-BS004-10-1015-030</t>
        </is>
      </c>
      <c r="F359" s="156" t="inlineStr">
        <is>
          <t>30</t>
        </is>
      </c>
      <c r="G359" s="156" t="inlineStr">
        <is>
          <t>12</t>
        </is>
      </c>
      <c r="H359" s="156" t="inlineStr">
        <is>
          <t>Stetson</t>
        </is>
      </c>
      <c r="I359" s="156" t="inlineStr">
        <is>
          <t>Bota Cocodrilo Medianoche</t>
        </is>
      </c>
      <c r="J359" s="156" t="inlineStr">
        <is>
          <t>Calzado</t>
        </is>
      </c>
      <c r="K359" s="156" t="inlineStr">
        <is>
          <t>Botas</t>
        </is>
      </c>
      <c r="L359" s="156" t="inlineStr">
        <is>
          <t>Hombre</t>
        </is>
      </c>
      <c r="M359" s="156" t="inlineStr">
        <is>
          <t>Stetson</t>
        </is>
      </c>
      <c r="N359" s="156" t="inlineStr">
        <is>
          <t>SS26</t>
        </is>
      </c>
      <c r="O359" s="156" t="inlineStr">
        <is>
          <t>Seasonal</t>
        </is>
      </c>
      <c r="P359" s="156" t="inlineStr">
        <is>
          <t>Azul</t>
        </is>
      </c>
      <c r="Q359" s="156" t="n"/>
      <c r="R359" s="156" t="inlineStr">
        <is>
          <t>Punta Redonda Ancha</t>
        </is>
      </c>
      <c r="S359" s="156" t="inlineStr">
        <is>
          <t>Piel de cocodrilo</t>
        </is>
      </c>
      <c r="T359" s="156" t="inlineStr">
        <is>
          <t>Bota Caballero Piel de cocodrilo Medianoche Punta Redonda Ancha</t>
        </is>
      </c>
      <c r="U359" s="156" t="inlineStr">
        <is>
          <t>México</t>
        </is>
      </c>
      <c r="V359" s="156" t="inlineStr">
        <is>
          <t>PRS</t>
        </is>
      </c>
      <c r="W359" s="51" t="inlineStr">
        <is>
          <t>53111501</t>
        </is>
      </c>
      <c r="X359" s="156" t="n"/>
      <c r="Y359" s="54" t="n">
        <v>2424</v>
      </c>
      <c r="Z359" s="54" t="n">
        <v>13793.10345</v>
      </c>
      <c r="AA359" s="55">
        <f>IF(AND(A359="", B359="", E359=""), "", IF(AB359="", "Válido", IF((LEN(AB359)-LEN(SUBSTITUTE(AB359,"; ","")))/2+1&gt;(LEN(AB359)-LEN(SUBSTITUTE(AB359,"[Aviso]","")))/7, "Con Incidencias", "Válido")))</f>
        <v/>
      </c>
      <c r="AB359" s="56">
        <f>IF(AND(A359="", B359="", E359=""), "", TEXTJOIN("; ", TRUE, IF(OR(TRIM(A359&amp;"")="", ISNUMBER(SEARCH("FALTA", A359))), "UPC faltante/inválido", ""), IF(AND(A359&lt;&gt;"", IFERROR(_xlfn.XMATCH(A359,$A$2:$A$2509,0,1)&lt;&gt;_xlfn.XMATCH(A359,$A$2:$A$2509,0,-1),FALSE)), "Código de barras duplicado", ""), IF(AND(E359&lt;&gt;"", COUNTIF($E$2:$E$2509, E359)&gt;1), "SKU duplicado", ""), IF(OR(J359="", J359=""), "[Aviso] División no capturada ()", IF(ISNA(MATCH(J359, Criterios!$A$123:$A$126, 0)), "División no válida", "")), IF(OR(K359="", K359=""), "[Aviso] Categoría no capturada ()", IF(ISNA(MATCH(K359, Criterios!$A$81:$A$120, 0)), "Categoría no válida", IF(AND(J359&lt;&gt;"", J359&lt;&gt;"", J359&lt;&gt;VLOOKUP(K359, Criterios!$A$81:$B$120, 2, FALSE)), "División no coincide con Categoría", ""))), IF(OR(L359="", L359=""), "[Aviso] Género no capturado ()", IF(ISNA(MATCH(L359, Criterios!$B$123:$B$127, 0)), "Género no válido", "")), IF(OR(N359="", N359=""), "[Aviso] Temporada no capturada ()", IF(ISNA(MATCH(N359, Criterios!$C$123:$C$128, 0)), "Temporada no válida", "")), IF(OR(O359="", O359=""), "[Aviso] Ciclo de vida no capturado ()", IF(ISNA(MATCH(O359, Criterios!$D$123:$D$124, 0)), "Ciclo de vida no válido", ""))))</f>
        <v/>
      </c>
      <c r="AC359" s="56" t="n"/>
      <c r="AD359" s="51" t="n">
        <v>0</v>
      </c>
      <c r="AE359" s="156" t="n"/>
      <c r="AF359" s="51" t="n">
        <v>0</v>
      </c>
      <c r="AG359" s="156" t="inlineStr">
        <is>
          <t>Catálogo existente</t>
        </is>
      </c>
      <c r="AH3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59" s="156" t="inlineStr">
        <is>
          <t>No</t>
        </is>
      </c>
      <c r="AJ359" s="156" t="n"/>
      <c r="AK359" s="155" t="inlineStr">
        <is>
          <t>Criterios: I [Q]; G1522_Extraccion_Articulos_NetSuite_2026-09-30.xlsx: fila 58931 [R] | Shopify Stetson: producto 15054564229483 / variante 53350549619051</t>
        </is>
      </c>
      <c r="AL359" s="58" t="n">
        <v>2424</v>
      </c>
      <c r="AM359" s="58" t="n">
        <v>13793.10345</v>
      </c>
      <c r="AN359" s="155" t="inlineStr">
        <is>
          <t>Shopify Stetson México</t>
        </is>
      </c>
      <c r="AO359" s="59" t="n">
        <v>0</v>
      </c>
      <c r="AP359" s="59" t="n"/>
      <c r="AQ359" s="59" t="n"/>
      <c r="AR359" s="155" t="n"/>
    </row>
    <row r="360">
      <c r="A360" s="50" t="inlineStr">
        <is>
          <t>12020004101015031</t>
        </is>
      </c>
      <c r="B360" s="51" t="inlineStr">
        <is>
          <t>111257</t>
        </is>
      </c>
      <c r="C360" s="156" t="inlineStr">
        <is>
          <t>Multimarca</t>
        </is>
      </c>
      <c r="D360" s="156" t="inlineStr">
        <is>
          <t>12-020-BS004-10-1015</t>
        </is>
      </c>
      <c r="E360" s="156" t="inlineStr">
        <is>
          <t>12-020-BS004-10-1015-031</t>
        </is>
      </c>
      <c r="F360" s="156" t="inlineStr">
        <is>
          <t>31</t>
        </is>
      </c>
      <c r="G360" s="156" t="inlineStr">
        <is>
          <t>13</t>
        </is>
      </c>
      <c r="H360" s="156" t="inlineStr">
        <is>
          <t>Stetson</t>
        </is>
      </c>
      <c r="I360" s="156" t="inlineStr">
        <is>
          <t>Bota Cocodrilo Medianoche</t>
        </is>
      </c>
      <c r="J360" s="156" t="inlineStr">
        <is>
          <t>Calzado</t>
        </is>
      </c>
      <c r="K360" s="156" t="inlineStr">
        <is>
          <t>Botas</t>
        </is>
      </c>
      <c r="L360" s="156" t="inlineStr">
        <is>
          <t>Hombre</t>
        </is>
      </c>
      <c r="M360" s="156" t="inlineStr">
        <is>
          <t>Stetson</t>
        </is>
      </c>
      <c r="N360" s="156" t="inlineStr">
        <is>
          <t>SS26</t>
        </is>
      </c>
      <c r="O360" s="156" t="inlineStr">
        <is>
          <t>Seasonal</t>
        </is>
      </c>
      <c r="P360" s="156" t="inlineStr">
        <is>
          <t>Azul</t>
        </is>
      </c>
      <c r="Q360" s="156" t="n"/>
      <c r="R360" s="156" t="inlineStr">
        <is>
          <t>Punta Redonda Ancha</t>
        </is>
      </c>
      <c r="S360" s="156" t="inlineStr">
        <is>
          <t>Piel de cocodrilo</t>
        </is>
      </c>
      <c r="T360" s="156" t="inlineStr">
        <is>
          <t>Bota Caballero Piel de cocodrilo Medianoche Punta Redonda Ancha</t>
        </is>
      </c>
      <c r="U360" s="156" t="inlineStr">
        <is>
          <t>México</t>
        </is>
      </c>
      <c r="V360" s="156" t="inlineStr">
        <is>
          <t>PRS</t>
        </is>
      </c>
      <c r="W360" s="51" t="inlineStr">
        <is>
          <t>53111501</t>
        </is>
      </c>
      <c r="X360" s="156" t="n"/>
      <c r="Y360" s="54" t="n">
        <v>2424</v>
      </c>
      <c r="Z360" s="54" t="n">
        <v>13793.10345</v>
      </c>
      <c r="AA360" s="55">
        <f>IF(AND(A360="", B360="", E360=""), "", IF(AB360="", "Válido", IF((LEN(AB360)-LEN(SUBSTITUTE(AB360,"; ","")))/2+1&gt;(LEN(AB360)-LEN(SUBSTITUTE(AB360,"[Aviso]","")))/7, "Con Incidencias", "Válido")))</f>
        <v/>
      </c>
      <c r="AB360" s="56">
        <f>IF(AND(A360="", B360="", E360=""), "", TEXTJOIN("; ", TRUE, IF(OR(TRIM(A360&amp;"")="", ISNUMBER(SEARCH("FALTA", A360))), "UPC faltante/inválido", ""), IF(AND(A360&lt;&gt;"", IFERROR(_xlfn.XMATCH(A360,$A$2:$A$2509,0,1)&lt;&gt;_xlfn.XMATCH(A360,$A$2:$A$2509,0,-1),FALSE)), "Código de barras duplicado", ""), IF(AND(E360&lt;&gt;"", COUNTIF($E$2:$E$2509, E360)&gt;1), "SKU duplicado", ""), IF(OR(J360="", J360=""), "[Aviso] División no capturada ()", IF(ISNA(MATCH(J360, Criterios!$A$123:$A$126, 0)), "División no válida", "")), IF(OR(K360="", K360=""), "[Aviso] Categoría no capturada ()", IF(ISNA(MATCH(K360, Criterios!$A$81:$A$120, 0)), "Categoría no válida", IF(AND(J360&lt;&gt;"", J360&lt;&gt;"", J360&lt;&gt;VLOOKUP(K360, Criterios!$A$81:$B$120, 2, FALSE)), "División no coincide con Categoría", ""))), IF(OR(L360="", L360=""), "[Aviso] Género no capturado ()", IF(ISNA(MATCH(L360, Criterios!$B$123:$B$127, 0)), "Género no válido", "")), IF(OR(N360="", N360=""), "[Aviso] Temporada no capturada ()", IF(ISNA(MATCH(N360, Criterios!$C$123:$C$128, 0)), "Temporada no válida", "")), IF(OR(O360="", O360=""), "[Aviso] Ciclo de vida no capturado ()", IF(ISNA(MATCH(O360, Criterios!$D$123:$D$124, 0)), "Ciclo de vida no válido", ""))))</f>
        <v/>
      </c>
      <c r="AC360" s="56" t="n"/>
      <c r="AD360" s="51" t="n">
        <v>0</v>
      </c>
      <c r="AE360" s="156" t="n"/>
      <c r="AF360" s="51" t="n">
        <v>0</v>
      </c>
      <c r="AG360" s="156" t="inlineStr">
        <is>
          <t>Catálogo existente</t>
        </is>
      </c>
      <c r="AH3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0" s="156" t="inlineStr">
        <is>
          <t>No</t>
        </is>
      </c>
      <c r="AJ360" s="156" t="n"/>
      <c r="AK360" s="155" t="inlineStr">
        <is>
          <t>Criterios: I [Q]; G1522_Extraccion_Articulos_NetSuite_2026-09-30.xlsx: fila 58932 [R] | Shopify Stetson: producto 15054564229483 / variante 53350549684587</t>
        </is>
      </c>
      <c r="AL360" s="58" t="n">
        <v>2424</v>
      </c>
      <c r="AM360" s="58" t="n">
        <v>13793.10345</v>
      </c>
      <c r="AN360" s="155" t="inlineStr">
        <is>
          <t>Shopify Stetson México</t>
        </is>
      </c>
      <c r="AO360" s="59" t="n">
        <v>0</v>
      </c>
      <c r="AP360" s="59" t="n"/>
      <c r="AQ360" s="59" t="n"/>
      <c r="AR360" s="155" t="n"/>
    </row>
    <row r="361">
      <c r="A361" s="50" t="inlineStr">
        <is>
          <t>12020004101015032</t>
        </is>
      </c>
      <c r="B361" s="51" t="inlineStr">
        <is>
          <t>111258</t>
        </is>
      </c>
      <c r="C361" s="156" t="inlineStr">
        <is>
          <t>Multimarca</t>
        </is>
      </c>
      <c r="D361" s="156" t="inlineStr">
        <is>
          <t>12-020-BS004-10-1015</t>
        </is>
      </c>
      <c r="E361" s="156" t="inlineStr">
        <is>
          <t>12-020-BS004-10-1015-032</t>
        </is>
      </c>
      <c r="F361" s="156" t="inlineStr">
        <is>
          <t>32</t>
        </is>
      </c>
      <c r="G361" s="156" t="inlineStr">
        <is>
          <t>14</t>
        </is>
      </c>
      <c r="H361" s="156" t="inlineStr">
        <is>
          <t>Stetson</t>
        </is>
      </c>
      <c r="I361" s="156" t="inlineStr">
        <is>
          <t>Bota Cocodrilo Medianoche</t>
        </is>
      </c>
      <c r="J361" s="156" t="inlineStr">
        <is>
          <t>Calzado</t>
        </is>
      </c>
      <c r="K361" s="156" t="inlineStr">
        <is>
          <t>Botas</t>
        </is>
      </c>
      <c r="L361" s="156" t="inlineStr">
        <is>
          <t>Hombre</t>
        </is>
      </c>
      <c r="M361" s="156" t="inlineStr">
        <is>
          <t>Stetson</t>
        </is>
      </c>
      <c r="N361" s="156" t="inlineStr">
        <is>
          <t>SS26</t>
        </is>
      </c>
      <c r="O361" s="156" t="inlineStr">
        <is>
          <t>Seasonal</t>
        </is>
      </c>
      <c r="P361" s="156" t="inlineStr">
        <is>
          <t>Azul</t>
        </is>
      </c>
      <c r="Q361" s="156" t="n"/>
      <c r="R361" s="156" t="inlineStr">
        <is>
          <t>Punta Redonda Ancha</t>
        </is>
      </c>
      <c r="S361" s="156" t="inlineStr">
        <is>
          <t>Piel de cocodrilo</t>
        </is>
      </c>
      <c r="T361" s="156" t="inlineStr">
        <is>
          <t>Bota Caballero Piel de cocodrilo Medianoche Punta Redonda Ancha</t>
        </is>
      </c>
      <c r="U361" s="156" t="inlineStr">
        <is>
          <t>México</t>
        </is>
      </c>
      <c r="V361" s="156" t="inlineStr">
        <is>
          <t>PRS</t>
        </is>
      </c>
      <c r="W361" s="51" t="inlineStr">
        <is>
          <t>53111501</t>
        </is>
      </c>
      <c r="X361" s="156" t="n"/>
      <c r="Y361" s="54" t="n">
        <v>2424</v>
      </c>
      <c r="Z361" s="54" t="n">
        <v>13793.10345</v>
      </c>
      <c r="AA361" s="55">
        <f>IF(AND(A361="", B361="", E361=""), "", IF(AB361="", "Válido", IF((LEN(AB361)-LEN(SUBSTITUTE(AB361,"; ","")))/2+1&gt;(LEN(AB361)-LEN(SUBSTITUTE(AB361,"[Aviso]","")))/7, "Con Incidencias", "Válido")))</f>
        <v/>
      </c>
      <c r="AB361" s="56">
        <f>IF(AND(A361="", B361="", E361=""), "", TEXTJOIN("; ", TRUE, IF(OR(TRIM(A361&amp;"")="", ISNUMBER(SEARCH("FALTA", A361))), "UPC faltante/inválido", ""), IF(AND(A361&lt;&gt;"", IFERROR(_xlfn.XMATCH(A361,$A$2:$A$2509,0,1)&lt;&gt;_xlfn.XMATCH(A361,$A$2:$A$2509,0,-1),FALSE)), "Código de barras duplicado", ""), IF(AND(E361&lt;&gt;"", COUNTIF($E$2:$E$2509, E361)&gt;1), "SKU duplicado", ""), IF(OR(J361="", J361=""), "[Aviso] División no capturada ()", IF(ISNA(MATCH(J361, Criterios!$A$123:$A$126, 0)), "División no válida", "")), IF(OR(K361="", K361=""), "[Aviso] Categoría no capturada ()", IF(ISNA(MATCH(K361, Criterios!$A$81:$A$120, 0)), "Categoría no válida", IF(AND(J361&lt;&gt;"", J361&lt;&gt;"", J361&lt;&gt;VLOOKUP(K361, Criterios!$A$81:$B$120, 2, FALSE)), "División no coincide con Categoría", ""))), IF(OR(L361="", L361=""), "[Aviso] Género no capturado ()", IF(ISNA(MATCH(L361, Criterios!$B$123:$B$127, 0)), "Género no válido", "")), IF(OR(N361="", N361=""), "[Aviso] Temporada no capturada ()", IF(ISNA(MATCH(N361, Criterios!$C$123:$C$128, 0)), "Temporada no válida", "")), IF(OR(O361="", O361=""), "[Aviso] Ciclo de vida no capturado ()", IF(ISNA(MATCH(O361, Criterios!$D$123:$D$124, 0)), "Ciclo de vida no válido", ""))))</f>
        <v/>
      </c>
      <c r="AC361" s="56" t="n"/>
      <c r="AD361" s="51" t="n">
        <v>0</v>
      </c>
      <c r="AE361" s="156" t="n"/>
      <c r="AF361" s="51" t="n">
        <v>0</v>
      </c>
      <c r="AG361" s="156" t="inlineStr">
        <is>
          <t>Catálogo existente</t>
        </is>
      </c>
      <c r="AH3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1" s="156" t="inlineStr">
        <is>
          <t>No</t>
        </is>
      </c>
      <c r="AJ361" s="156" t="n"/>
      <c r="AK361" s="155" t="inlineStr">
        <is>
          <t>Criterios: I [Q]; G1522_Extraccion_Articulos_NetSuite_2026-09-30.xlsx: fila 58933 [R] | Shopify Stetson: producto 15054564229483 / variante 53350549750123</t>
        </is>
      </c>
      <c r="AL361" s="58" t="n">
        <v>2424</v>
      </c>
      <c r="AM361" s="58" t="n">
        <v>13793.10345</v>
      </c>
      <c r="AN361" s="155" t="inlineStr">
        <is>
          <t>Shopify Stetson México</t>
        </is>
      </c>
      <c r="AO361" s="59" t="n">
        <v>0</v>
      </c>
      <c r="AP361" s="59" t="n"/>
      <c r="AQ361" s="59" t="n"/>
      <c r="AR361" s="155" t="n"/>
    </row>
    <row r="362">
      <c r="A362" s="50" t="inlineStr">
        <is>
          <t>12020004101015255</t>
        </is>
      </c>
      <c r="B362" s="51" t="inlineStr">
        <is>
          <t>111259</t>
        </is>
      </c>
      <c r="C362" s="156" t="inlineStr">
        <is>
          <t>Multimarca</t>
        </is>
      </c>
      <c r="D362" s="156" t="inlineStr">
        <is>
          <t>12-020-BS004-10-1015</t>
        </is>
      </c>
      <c r="E362" s="156" t="inlineStr">
        <is>
          <t>12-020-BS004-10-1015-255</t>
        </is>
      </c>
      <c r="F362" s="156" t="inlineStr">
        <is>
          <t>25.5</t>
        </is>
      </c>
      <c r="G362" s="156" t="inlineStr">
        <is>
          <t>7.5</t>
        </is>
      </c>
      <c r="H362" s="156" t="inlineStr">
        <is>
          <t>Stetson</t>
        </is>
      </c>
      <c r="I362" s="156" t="inlineStr">
        <is>
          <t>Bota Cocodrilo Medianoche</t>
        </is>
      </c>
      <c r="J362" s="156" t="inlineStr">
        <is>
          <t>Calzado</t>
        </is>
      </c>
      <c r="K362" s="156" t="inlineStr">
        <is>
          <t>Botas</t>
        </is>
      </c>
      <c r="L362" s="156" t="inlineStr">
        <is>
          <t>Hombre</t>
        </is>
      </c>
      <c r="M362" s="156" t="inlineStr">
        <is>
          <t>Stetson</t>
        </is>
      </c>
      <c r="N362" s="156" t="inlineStr">
        <is>
          <t>SS26</t>
        </is>
      </c>
      <c r="O362" s="156" t="inlineStr">
        <is>
          <t>Seasonal</t>
        </is>
      </c>
      <c r="P362" s="156" t="inlineStr">
        <is>
          <t>Azul</t>
        </is>
      </c>
      <c r="Q362" s="156" t="n"/>
      <c r="R362" s="156" t="inlineStr">
        <is>
          <t>Punta Redonda Ancha</t>
        </is>
      </c>
      <c r="S362" s="156" t="inlineStr">
        <is>
          <t>Piel de cocodrilo</t>
        </is>
      </c>
      <c r="T362" s="156" t="inlineStr">
        <is>
          <t>Bota Caballero Piel de cocodrilo Medianoche Punta Redonda Ancha</t>
        </is>
      </c>
      <c r="U362" s="156" t="inlineStr">
        <is>
          <t>México</t>
        </is>
      </c>
      <c r="V362" s="156" t="inlineStr">
        <is>
          <t>PRS</t>
        </is>
      </c>
      <c r="W362" s="51" t="inlineStr">
        <is>
          <t>53111501</t>
        </is>
      </c>
      <c r="X362" s="156" t="n"/>
      <c r="Y362" s="54" t="n">
        <v>2424</v>
      </c>
      <c r="Z362" s="54" t="n">
        <v>13793.10345</v>
      </c>
      <c r="AA362" s="55">
        <f>IF(AND(A362="", B362="", E362=""), "", IF(AB362="", "Válido", IF((LEN(AB362)-LEN(SUBSTITUTE(AB362,"; ","")))/2+1&gt;(LEN(AB362)-LEN(SUBSTITUTE(AB362,"[Aviso]","")))/7, "Con Incidencias", "Válido")))</f>
        <v/>
      </c>
      <c r="AB362" s="56">
        <f>IF(AND(A362="", B362="", E362=""), "", TEXTJOIN("; ", TRUE, IF(OR(TRIM(A362&amp;"")="", ISNUMBER(SEARCH("FALTA", A362))), "UPC faltante/inválido", ""), IF(AND(A362&lt;&gt;"", IFERROR(_xlfn.XMATCH(A362,$A$2:$A$2509,0,1)&lt;&gt;_xlfn.XMATCH(A362,$A$2:$A$2509,0,-1),FALSE)), "Código de barras duplicado", ""), IF(AND(E362&lt;&gt;"", COUNTIF($E$2:$E$2509, E362)&gt;1), "SKU duplicado", ""), IF(OR(J362="", J362=""), "[Aviso] División no capturada ()", IF(ISNA(MATCH(J362, Criterios!$A$123:$A$126, 0)), "División no válida", "")), IF(OR(K362="", K362=""), "[Aviso] Categoría no capturada ()", IF(ISNA(MATCH(K362, Criterios!$A$81:$A$120, 0)), "Categoría no válida", IF(AND(J362&lt;&gt;"", J362&lt;&gt;"", J362&lt;&gt;VLOOKUP(K362, Criterios!$A$81:$B$120, 2, FALSE)), "División no coincide con Categoría", ""))), IF(OR(L362="", L362=""), "[Aviso] Género no capturado ()", IF(ISNA(MATCH(L362, Criterios!$B$123:$B$127, 0)), "Género no válido", "")), IF(OR(N362="", N362=""), "[Aviso] Temporada no capturada ()", IF(ISNA(MATCH(N362, Criterios!$C$123:$C$128, 0)), "Temporada no válida", "")), IF(OR(O362="", O362=""), "[Aviso] Ciclo de vida no capturado ()", IF(ISNA(MATCH(O362, Criterios!$D$123:$D$124, 0)), "Ciclo de vida no válido", ""))))</f>
        <v/>
      </c>
      <c r="AC362" s="56" t="n"/>
      <c r="AD362" s="51" t="n">
        <v>0</v>
      </c>
      <c r="AE362" s="156" t="n"/>
      <c r="AF362" s="51" t="n">
        <v>0</v>
      </c>
      <c r="AG362" s="156" t="inlineStr">
        <is>
          <t>Catálogo existente</t>
        </is>
      </c>
      <c r="AH3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2" s="156" t="inlineStr">
        <is>
          <t>No</t>
        </is>
      </c>
      <c r="AJ362" s="156" t="n"/>
      <c r="AK362" s="155" t="inlineStr">
        <is>
          <t>Criterios: I [Q]; G1522_Extraccion_Articulos_NetSuite_2026-09-30.xlsx: fila 58934 [R] | Shopify Stetson: producto 15054564229483 / variante 53350549324139</t>
        </is>
      </c>
      <c r="AL362" s="58" t="n">
        <v>2424</v>
      </c>
      <c r="AM362" s="58" t="n">
        <v>13793.10345</v>
      </c>
      <c r="AN362" s="155" t="inlineStr">
        <is>
          <t>Shopify Stetson México</t>
        </is>
      </c>
      <c r="AO362" s="59" t="n">
        <v>0</v>
      </c>
      <c r="AP362" s="59" t="n"/>
      <c r="AQ362" s="59" t="n"/>
      <c r="AR362" s="155" t="n"/>
    </row>
    <row r="363">
      <c r="A363" s="50" t="inlineStr">
        <is>
          <t>12020004101015265</t>
        </is>
      </c>
      <c r="B363" s="51" t="inlineStr">
        <is>
          <t>111260</t>
        </is>
      </c>
      <c r="C363" s="156" t="inlineStr">
        <is>
          <t>Multimarca</t>
        </is>
      </c>
      <c r="D363" s="156" t="inlineStr">
        <is>
          <t>12-020-BS004-10-1015</t>
        </is>
      </c>
      <c r="E363" s="156" t="inlineStr">
        <is>
          <t>12-020-BS004-10-1015-265</t>
        </is>
      </c>
      <c r="F363" s="156" t="inlineStr">
        <is>
          <t>26.5</t>
        </is>
      </c>
      <c r="G363" s="156" t="inlineStr">
        <is>
          <t>8.5</t>
        </is>
      </c>
      <c r="H363" s="156" t="inlineStr">
        <is>
          <t>Stetson</t>
        </is>
      </c>
      <c r="I363" s="156" t="inlineStr">
        <is>
          <t>Bota Cocodrilo Medianoche</t>
        </is>
      </c>
      <c r="J363" s="156" t="inlineStr">
        <is>
          <t>Calzado</t>
        </is>
      </c>
      <c r="K363" s="156" t="inlineStr">
        <is>
          <t>Botas</t>
        </is>
      </c>
      <c r="L363" s="156" t="inlineStr">
        <is>
          <t>Hombre</t>
        </is>
      </c>
      <c r="M363" s="156" t="inlineStr">
        <is>
          <t>Stetson</t>
        </is>
      </c>
      <c r="N363" s="156" t="inlineStr">
        <is>
          <t>SS26</t>
        </is>
      </c>
      <c r="O363" s="156" t="inlineStr">
        <is>
          <t>Seasonal</t>
        </is>
      </c>
      <c r="P363" s="156" t="inlineStr">
        <is>
          <t>Azul</t>
        </is>
      </c>
      <c r="Q363" s="156" t="n"/>
      <c r="R363" s="156" t="inlineStr">
        <is>
          <t>Punta Redonda Ancha</t>
        </is>
      </c>
      <c r="S363" s="156" t="inlineStr">
        <is>
          <t>Piel de cocodrilo</t>
        </is>
      </c>
      <c r="T363" s="156" t="inlineStr">
        <is>
          <t>Bota Caballero Piel de cocodrilo Medianoche Punta Redonda Ancha</t>
        </is>
      </c>
      <c r="U363" s="156" t="inlineStr">
        <is>
          <t>México</t>
        </is>
      </c>
      <c r="V363" s="156" t="inlineStr">
        <is>
          <t>PRS</t>
        </is>
      </c>
      <c r="W363" s="51" t="inlineStr">
        <is>
          <t>53111501</t>
        </is>
      </c>
      <c r="X363" s="156" t="n"/>
      <c r="Y363" s="54" t="n">
        <v>2424</v>
      </c>
      <c r="Z363" s="54" t="n">
        <v>13793.10345</v>
      </c>
      <c r="AA363" s="55">
        <f>IF(AND(A363="", B363="", E363=""), "", IF(AB363="", "Válido", IF((LEN(AB363)-LEN(SUBSTITUTE(AB363,"; ","")))/2+1&gt;(LEN(AB363)-LEN(SUBSTITUTE(AB363,"[Aviso]","")))/7, "Con Incidencias", "Válido")))</f>
        <v/>
      </c>
      <c r="AB363" s="56">
        <f>IF(AND(A363="", B363="", E363=""), "", TEXTJOIN("; ", TRUE, IF(OR(TRIM(A363&amp;"")="", ISNUMBER(SEARCH("FALTA", A363))), "UPC faltante/inválido", ""), IF(AND(A363&lt;&gt;"", IFERROR(_xlfn.XMATCH(A363,$A$2:$A$2509,0,1)&lt;&gt;_xlfn.XMATCH(A363,$A$2:$A$2509,0,-1),FALSE)), "Código de barras duplicado", ""), IF(AND(E363&lt;&gt;"", COUNTIF($E$2:$E$2509, E363)&gt;1), "SKU duplicado", ""), IF(OR(J363="", J363=""), "[Aviso] División no capturada ()", IF(ISNA(MATCH(J363, Criterios!$A$123:$A$126, 0)), "División no válida", "")), IF(OR(K363="", K363=""), "[Aviso] Categoría no capturada ()", IF(ISNA(MATCH(K363, Criterios!$A$81:$A$120, 0)), "Categoría no válida", IF(AND(J363&lt;&gt;"", J363&lt;&gt;"", J363&lt;&gt;VLOOKUP(K363, Criterios!$A$81:$B$120, 2, FALSE)), "División no coincide con Categoría", ""))), IF(OR(L363="", L363=""), "[Aviso] Género no capturado ()", IF(ISNA(MATCH(L363, Criterios!$B$123:$B$127, 0)), "Género no válido", "")), IF(OR(N363="", N363=""), "[Aviso] Temporada no capturada ()", IF(ISNA(MATCH(N363, Criterios!$C$123:$C$128, 0)), "Temporada no válida", "")), IF(OR(O363="", O363=""), "[Aviso] Ciclo de vida no capturado ()", IF(ISNA(MATCH(O363, Criterios!$D$123:$D$124, 0)), "Ciclo de vida no válido", ""))))</f>
        <v/>
      </c>
      <c r="AC363" s="56" t="n"/>
      <c r="AD363" s="51" t="n">
        <v>0</v>
      </c>
      <c r="AE363" s="156" t="n"/>
      <c r="AF363" s="51" t="n">
        <v>0</v>
      </c>
      <c r="AG363" s="156" t="inlineStr">
        <is>
          <t>Catálogo existente</t>
        </is>
      </c>
      <c r="AH3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3" s="156" t="inlineStr">
        <is>
          <t>No</t>
        </is>
      </c>
      <c r="AJ363" s="156" t="n"/>
      <c r="AK363" s="155" t="inlineStr">
        <is>
          <t>Criterios: I [Q]; G1522_Extraccion_Articulos_NetSuite_2026-09-30.xlsx: fila 58935 [R] | Shopify Stetson: producto 15054564229483 / variante 53350549389675</t>
        </is>
      </c>
      <c r="AL363" s="58" t="n">
        <v>2424</v>
      </c>
      <c r="AM363" s="58" t="n">
        <v>13793.10345</v>
      </c>
      <c r="AN363" s="155" t="inlineStr">
        <is>
          <t>Shopify Stetson México</t>
        </is>
      </c>
      <c r="AO363" s="59" t="n">
        <v>0</v>
      </c>
      <c r="AP363" s="59" t="n"/>
      <c r="AQ363" s="59" t="n"/>
      <c r="AR363" s="155" t="n"/>
    </row>
    <row r="364">
      <c r="A364" s="50" t="inlineStr">
        <is>
          <t>12020004101015275</t>
        </is>
      </c>
      <c r="B364" s="51" t="inlineStr">
        <is>
          <t>111261</t>
        </is>
      </c>
      <c r="C364" s="156" t="inlineStr">
        <is>
          <t>Multimarca</t>
        </is>
      </c>
      <c r="D364" s="156" t="inlineStr">
        <is>
          <t>12-020-BS004-10-1015</t>
        </is>
      </c>
      <c r="E364" s="156" t="inlineStr">
        <is>
          <t>12-020-BS004-10-1015-275</t>
        </is>
      </c>
      <c r="F364" s="156" t="inlineStr">
        <is>
          <t>27.5</t>
        </is>
      </c>
      <c r="G364" s="156" t="inlineStr">
        <is>
          <t>9.5</t>
        </is>
      </c>
      <c r="H364" s="156" t="inlineStr">
        <is>
          <t>Stetson</t>
        </is>
      </c>
      <c r="I364" s="156" t="inlineStr">
        <is>
          <t>Bota Cocodrilo Medianoche</t>
        </is>
      </c>
      <c r="J364" s="156" t="inlineStr">
        <is>
          <t>Calzado</t>
        </is>
      </c>
      <c r="K364" s="156" t="inlineStr">
        <is>
          <t>Botas</t>
        </is>
      </c>
      <c r="L364" s="156" t="inlineStr">
        <is>
          <t>Hombre</t>
        </is>
      </c>
      <c r="M364" s="156" t="inlineStr">
        <is>
          <t>Stetson</t>
        </is>
      </c>
      <c r="N364" s="156" t="inlineStr">
        <is>
          <t>SS26</t>
        </is>
      </c>
      <c r="O364" s="156" t="inlineStr">
        <is>
          <t>Seasonal</t>
        </is>
      </c>
      <c r="P364" s="156" t="inlineStr">
        <is>
          <t>Azul</t>
        </is>
      </c>
      <c r="Q364" s="156" t="n"/>
      <c r="R364" s="156" t="inlineStr">
        <is>
          <t>Punta Redonda Ancha</t>
        </is>
      </c>
      <c r="S364" s="156" t="inlineStr">
        <is>
          <t>Piel de cocodrilo</t>
        </is>
      </c>
      <c r="T364" s="156" t="inlineStr">
        <is>
          <t>Bota Caballero Piel de cocodrilo Medianoche Punta Redonda Ancha</t>
        </is>
      </c>
      <c r="U364" s="156" t="inlineStr">
        <is>
          <t>México</t>
        </is>
      </c>
      <c r="V364" s="156" t="inlineStr">
        <is>
          <t>PRS</t>
        </is>
      </c>
      <c r="W364" s="51" t="inlineStr">
        <is>
          <t>53111501</t>
        </is>
      </c>
      <c r="X364" s="156" t="n"/>
      <c r="Y364" s="54" t="n">
        <v>2424</v>
      </c>
      <c r="Z364" s="54" t="n">
        <v>13793.10345</v>
      </c>
      <c r="AA364" s="55">
        <f>IF(AND(A364="", B364="", E364=""), "", IF(AB364="", "Válido", IF((LEN(AB364)-LEN(SUBSTITUTE(AB364,"; ","")))/2+1&gt;(LEN(AB364)-LEN(SUBSTITUTE(AB364,"[Aviso]","")))/7, "Con Incidencias", "Válido")))</f>
        <v/>
      </c>
      <c r="AB364" s="56">
        <f>IF(AND(A364="", B364="", E364=""), "", TEXTJOIN("; ", TRUE, IF(OR(TRIM(A364&amp;"")="", ISNUMBER(SEARCH("FALTA", A364))), "UPC faltante/inválido", ""), IF(AND(A364&lt;&gt;"", IFERROR(_xlfn.XMATCH(A364,$A$2:$A$2509,0,1)&lt;&gt;_xlfn.XMATCH(A364,$A$2:$A$2509,0,-1),FALSE)), "Código de barras duplicado", ""), IF(AND(E364&lt;&gt;"", COUNTIF($E$2:$E$2509, E364)&gt;1), "SKU duplicado", ""), IF(OR(J364="", J364=""), "[Aviso] División no capturada ()", IF(ISNA(MATCH(J364, Criterios!$A$123:$A$126, 0)), "División no válida", "")), IF(OR(K364="", K364=""), "[Aviso] Categoría no capturada ()", IF(ISNA(MATCH(K364, Criterios!$A$81:$A$120, 0)), "Categoría no válida", IF(AND(J364&lt;&gt;"", J364&lt;&gt;"", J364&lt;&gt;VLOOKUP(K364, Criterios!$A$81:$B$120, 2, FALSE)), "División no coincide con Categoría", ""))), IF(OR(L364="", L364=""), "[Aviso] Género no capturado ()", IF(ISNA(MATCH(L364, Criterios!$B$123:$B$127, 0)), "Género no válido", "")), IF(OR(N364="", N364=""), "[Aviso] Temporada no capturada ()", IF(ISNA(MATCH(N364, Criterios!$C$123:$C$128, 0)), "Temporada no válida", "")), IF(OR(O364="", O364=""), "[Aviso] Ciclo de vida no capturado ()", IF(ISNA(MATCH(O364, Criterios!$D$123:$D$124, 0)), "Ciclo de vida no válido", ""))))</f>
        <v/>
      </c>
      <c r="AC364" s="56" t="n"/>
      <c r="AD364" s="51" t="n">
        <v>1</v>
      </c>
      <c r="AE364" s="156" t="inlineStr">
        <is>
          <t>STETSON AMERICAS (1)</t>
        </is>
      </c>
      <c r="AF364" s="51" t="n">
        <v>1</v>
      </c>
      <c r="AG364" s="156" t="inlineStr">
        <is>
          <t>Catálogo existente</t>
        </is>
      </c>
      <c r="AH3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4" s="156" t="inlineStr">
        <is>
          <t>No</t>
        </is>
      </c>
      <c r="AJ364" s="156" t="n"/>
      <c r="AK364" s="155" t="inlineStr">
        <is>
          <t>Criterios: I [Q]; G1522_Extraccion_Articulos_NetSuite_2026-09-30.xlsx: fila 58936 [R] | Shopify Stetson: producto 15054564229483 / variante 53350549455211</t>
        </is>
      </c>
      <c r="AL364" s="58" t="n">
        <v>2424</v>
      </c>
      <c r="AM364" s="58" t="n">
        <v>13793.10345</v>
      </c>
      <c r="AN364" s="155" t="inlineStr">
        <is>
          <t>Shopify Stetson México</t>
        </is>
      </c>
      <c r="AO364" s="59" t="n">
        <v>1</v>
      </c>
      <c r="AP364" s="59" t="n"/>
      <c r="AQ364" s="59" t="n"/>
      <c r="AR364" s="155" t="inlineStr">
        <is>
          <t>Shopify Stetson México › Stetson Americas: 1</t>
        </is>
      </c>
    </row>
    <row r="365">
      <c r="A365" s="50" t="inlineStr">
        <is>
          <t>12020004101015285</t>
        </is>
      </c>
      <c r="B365" s="51" t="inlineStr">
        <is>
          <t>111262</t>
        </is>
      </c>
      <c r="C365" s="156" t="inlineStr">
        <is>
          <t>Multimarca</t>
        </is>
      </c>
      <c r="D365" s="156" t="inlineStr">
        <is>
          <t>12-020-BS004-10-1015</t>
        </is>
      </c>
      <c r="E365" s="156" t="inlineStr">
        <is>
          <t>12-020-BS004-10-1015-285</t>
        </is>
      </c>
      <c r="F365" s="156" t="inlineStr">
        <is>
          <t>28.5</t>
        </is>
      </c>
      <c r="G365" s="156" t="inlineStr">
        <is>
          <t>10.5</t>
        </is>
      </c>
      <c r="H365" s="156" t="inlineStr">
        <is>
          <t>Stetson</t>
        </is>
      </c>
      <c r="I365" s="156" t="inlineStr">
        <is>
          <t>Bota Cocodrilo Medianoche</t>
        </is>
      </c>
      <c r="J365" s="156" t="inlineStr">
        <is>
          <t>Calzado</t>
        </is>
      </c>
      <c r="K365" s="156" t="inlineStr">
        <is>
          <t>Botas</t>
        </is>
      </c>
      <c r="L365" s="156" t="inlineStr">
        <is>
          <t>Hombre</t>
        </is>
      </c>
      <c r="M365" s="156" t="inlineStr">
        <is>
          <t>Stetson</t>
        </is>
      </c>
      <c r="N365" s="156" t="inlineStr">
        <is>
          <t>SS26</t>
        </is>
      </c>
      <c r="O365" s="156" t="inlineStr">
        <is>
          <t>Seasonal</t>
        </is>
      </c>
      <c r="P365" s="156" t="inlineStr">
        <is>
          <t>Azul</t>
        </is>
      </c>
      <c r="Q365" s="156" t="n"/>
      <c r="R365" s="156" t="inlineStr">
        <is>
          <t>Punta Redonda Ancha</t>
        </is>
      </c>
      <c r="S365" s="156" t="inlineStr">
        <is>
          <t>Piel de cocodrilo</t>
        </is>
      </c>
      <c r="T365" s="156" t="inlineStr">
        <is>
          <t>Bota Caballero Piel de cocodrilo Medianoche Punta Redonda Ancha</t>
        </is>
      </c>
      <c r="U365" s="156" t="inlineStr">
        <is>
          <t>México</t>
        </is>
      </c>
      <c r="V365" s="156" t="inlineStr">
        <is>
          <t>PRS</t>
        </is>
      </c>
      <c r="W365" s="51" t="inlineStr">
        <is>
          <t>53111501</t>
        </is>
      </c>
      <c r="X365" s="156" t="n"/>
      <c r="Y365" s="54" t="n">
        <v>2424</v>
      </c>
      <c r="Z365" s="54" t="n">
        <v>13793.10345</v>
      </c>
      <c r="AA365" s="55">
        <f>IF(AND(A365="", B365="", E365=""), "", IF(AB365="", "Válido", IF((LEN(AB365)-LEN(SUBSTITUTE(AB365,"; ","")))/2+1&gt;(LEN(AB365)-LEN(SUBSTITUTE(AB365,"[Aviso]","")))/7, "Con Incidencias", "Válido")))</f>
        <v/>
      </c>
      <c r="AB365" s="56">
        <f>IF(AND(A365="", B365="", E365=""), "", TEXTJOIN("; ", TRUE, IF(OR(TRIM(A365&amp;"")="", ISNUMBER(SEARCH("FALTA", A365))), "UPC faltante/inválido", ""), IF(AND(A365&lt;&gt;"", IFERROR(_xlfn.XMATCH(A365,$A$2:$A$2509,0,1)&lt;&gt;_xlfn.XMATCH(A365,$A$2:$A$2509,0,-1),FALSE)), "Código de barras duplicado", ""), IF(AND(E365&lt;&gt;"", COUNTIF($E$2:$E$2509, E365)&gt;1), "SKU duplicado", ""), IF(OR(J365="", J365=""), "[Aviso] División no capturada ()", IF(ISNA(MATCH(J365, Criterios!$A$123:$A$126, 0)), "División no válida", "")), IF(OR(K365="", K365=""), "[Aviso] Categoría no capturada ()", IF(ISNA(MATCH(K365, Criterios!$A$81:$A$120, 0)), "Categoría no válida", IF(AND(J365&lt;&gt;"", J365&lt;&gt;"", J365&lt;&gt;VLOOKUP(K365, Criterios!$A$81:$B$120, 2, FALSE)), "División no coincide con Categoría", ""))), IF(OR(L365="", L365=""), "[Aviso] Género no capturado ()", IF(ISNA(MATCH(L365, Criterios!$B$123:$B$127, 0)), "Género no válido", "")), IF(OR(N365="", N365=""), "[Aviso] Temporada no capturada ()", IF(ISNA(MATCH(N365, Criterios!$C$123:$C$128, 0)), "Temporada no válida", "")), IF(OR(O365="", O365=""), "[Aviso] Ciclo de vida no capturado ()", IF(ISNA(MATCH(O365, Criterios!$D$123:$D$124, 0)), "Ciclo de vida no válido", ""))))</f>
        <v/>
      </c>
      <c r="AC365" s="56" t="n"/>
      <c r="AD365" s="51" t="n">
        <v>2</v>
      </c>
      <c r="AE365" s="156" t="inlineStr">
        <is>
          <t>STETSON AMERICAS (2)</t>
        </is>
      </c>
      <c r="AF365" s="51" t="n">
        <v>2</v>
      </c>
      <c r="AG365" s="156" t="inlineStr">
        <is>
          <t>Catálogo existente</t>
        </is>
      </c>
      <c r="AH3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5" s="156" t="inlineStr">
        <is>
          <t>No</t>
        </is>
      </c>
      <c r="AJ365" s="156" t="n"/>
      <c r="AK365" s="155" t="inlineStr">
        <is>
          <t>Criterios: I [Q]; G1522_Extraccion_Articulos_NetSuite_2026-09-30.xlsx: fila 58937 [R] | Shopify Stetson: producto 15054564229483 / variante 53350549520747</t>
        </is>
      </c>
      <c r="AL365" s="58" t="n">
        <v>2424</v>
      </c>
      <c r="AM365" s="58" t="n">
        <v>13793.10345</v>
      </c>
      <c r="AN365" s="155" t="inlineStr">
        <is>
          <t>Shopify Stetson México</t>
        </is>
      </c>
      <c r="AO365" s="59" t="n">
        <v>2</v>
      </c>
      <c r="AP365" s="59" t="n"/>
      <c r="AQ365" s="59" t="n"/>
      <c r="AR365" s="155" t="inlineStr">
        <is>
          <t>Shopify Stetson México › Stetson Americas: 2</t>
        </is>
      </c>
    </row>
    <row r="366">
      <c r="A366" s="50" t="inlineStr">
        <is>
          <t>12020004101015295</t>
        </is>
      </c>
      <c r="B366" s="51" t="inlineStr">
        <is>
          <t>111263</t>
        </is>
      </c>
      <c r="C366" s="156" t="inlineStr">
        <is>
          <t>Multimarca</t>
        </is>
      </c>
      <c r="D366" s="156" t="inlineStr">
        <is>
          <t>12-020-BS004-10-1015</t>
        </is>
      </c>
      <c r="E366" s="156" t="inlineStr">
        <is>
          <t>12-020-BS004-10-1015-295</t>
        </is>
      </c>
      <c r="F366" s="156" t="inlineStr">
        <is>
          <t>29.5</t>
        </is>
      </c>
      <c r="G366" s="156" t="inlineStr">
        <is>
          <t>11.5</t>
        </is>
      </c>
      <c r="H366" s="156" t="inlineStr">
        <is>
          <t>Stetson</t>
        </is>
      </c>
      <c r="I366" s="156" t="inlineStr">
        <is>
          <t>Bota Cocodrilo Medianoche</t>
        </is>
      </c>
      <c r="J366" s="156" t="inlineStr">
        <is>
          <t>Calzado</t>
        </is>
      </c>
      <c r="K366" s="156" t="inlineStr">
        <is>
          <t>Botas</t>
        </is>
      </c>
      <c r="L366" s="156" t="inlineStr">
        <is>
          <t>Hombre</t>
        </is>
      </c>
      <c r="M366" s="156" t="inlineStr">
        <is>
          <t>Stetson</t>
        </is>
      </c>
      <c r="N366" s="156" t="inlineStr">
        <is>
          <t>SS26</t>
        </is>
      </c>
      <c r="O366" s="156" t="inlineStr">
        <is>
          <t>Seasonal</t>
        </is>
      </c>
      <c r="P366" s="156" t="inlineStr">
        <is>
          <t>Azul</t>
        </is>
      </c>
      <c r="Q366" s="156" t="n"/>
      <c r="R366" s="156" t="inlineStr">
        <is>
          <t>Punta Redonda Ancha</t>
        </is>
      </c>
      <c r="S366" s="156" t="inlineStr">
        <is>
          <t>Piel de cocodrilo</t>
        </is>
      </c>
      <c r="T366" s="156" t="inlineStr">
        <is>
          <t>Bota Caballero Piel de cocodrilo Medianoche Punta Redonda Ancha</t>
        </is>
      </c>
      <c r="U366" s="156" t="inlineStr">
        <is>
          <t>México</t>
        </is>
      </c>
      <c r="V366" s="156" t="inlineStr">
        <is>
          <t>PRS</t>
        </is>
      </c>
      <c r="W366" s="51" t="inlineStr">
        <is>
          <t>53111501</t>
        </is>
      </c>
      <c r="X366" s="156" t="n"/>
      <c r="Y366" s="54" t="n">
        <v>2424</v>
      </c>
      <c r="Z366" s="54" t="n">
        <v>13793.10345</v>
      </c>
      <c r="AA366" s="55">
        <f>IF(AND(A366="", B366="", E366=""), "", IF(AB366="", "Válido", IF((LEN(AB366)-LEN(SUBSTITUTE(AB366,"; ","")))/2+1&gt;(LEN(AB366)-LEN(SUBSTITUTE(AB366,"[Aviso]","")))/7, "Con Incidencias", "Válido")))</f>
        <v/>
      </c>
      <c r="AB366" s="56">
        <f>IF(AND(A366="", B366="", E366=""), "", TEXTJOIN("; ", TRUE, IF(OR(TRIM(A366&amp;"")="", ISNUMBER(SEARCH("FALTA", A366))), "UPC faltante/inválido", ""), IF(AND(A366&lt;&gt;"", IFERROR(_xlfn.XMATCH(A366,$A$2:$A$2509,0,1)&lt;&gt;_xlfn.XMATCH(A366,$A$2:$A$2509,0,-1),FALSE)), "Código de barras duplicado", ""), IF(AND(E366&lt;&gt;"", COUNTIF($E$2:$E$2509, E366)&gt;1), "SKU duplicado", ""), IF(OR(J366="", J366=""), "[Aviso] División no capturada ()", IF(ISNA(MATCH(J366, Criterios!$A$123:$A$126, 0)), "División no válida", "")), IF(OR(K366="", K366=""), "[Aviso] Categoría no capturada ()", IF(ISNA(MATCH(K366, Criterios!$A$81:$A$120, 0)), "Categoría no válida", IF(AND(J366&lt;&gt;"", J366&lt;&gt;"", J366&lt;&gt;VLOOKUP(K366, Criterios!$A$81:$B$120, 2, FALSE)), "División no coincide con Categoría", ""))), IF(OR(L366="", L366=""), "[Aviso] Género no capturado ()", IF(ISNA(MATCH(L366, Criterios!$B$123:$B$127, 0)), "Género no válido", "")), IF(OR(N366="", N366=""), "[Aviso] Temporada no capturada ()", IF(ISNA(MATCH(N366, Criterios!$C$123:$C$128, 0)), "Temporada no válida", "")), IF(OR(O366="", O366=""), "[Aviso] Ciclo de vida no capturado ()", IF(ISNA(MATCH(O366, Criterios!$D$123:$D$124, 0)), "Ciclo de vida no válido", ""))))</f>
        <v/>
      </c>
      <c r="AC366" s="56" t="n"/>
      <c r="AD366" s="51" t="n">
        <v>0</v>
      </c>
      <c r="AE366" s="156" t="n"/>
      <c r="AF366" s="51" t="n">
        <v>0</v>
      </c>
      <c r="AG366" s="156" t="inlineStr">
        <is>
          <t>Catálogo existente</t>
        </is>
      </c>
      <c r="AH36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6" s="156" t="inlineStr">
        <is>
          <t>No</t>
        </is>
      </c>
      <c r="AJ366" s="156" t="n"/>
      <c r="AK366" s="155" t="inlineStr">
        <is>
          <t>Criterios: I [Q]; G1522_Extraccion_Articulos_NetSuite_2026-09-30.xlsx: fila 58938 [R] | Shopify Stetson: producto 15054564229483 / variante 53350549586283</t>
        </is>
      </c>
      <c r="AL366" s="58" t="n">
        <v>2424</v>
      </c>
      <c r="AM366" s="58" t="n">
        <v>13793.10345</v>
      </c>
      <c r="AN366" s="155" t="inlineStr">
        <is>
          <t>Shopify Stetson México</t>
        </is>
      </c>
      <c r="AO366" s="59" t="n">
        <v>0</v>
      </c>
      <c r="AP366" s="59" t="n"/>
      <c r="AQ366" s="59" t="n"/>
      <c r="AR366" s="155" t="n"/>
    </row>
    <row r="367">
      <c r="A367" s="50" t="inlineStr">
        <is>
          <t>12020004101015305</t>
        </is>
      </c>
      <c r="B367" s="51" t="inlineStr">
        <is>
          <t>111264</t>
        </is>
      </c>
      <c r="C367" s="156" t="inlineStr">
        <is>
          <t>Multimarca</t>
        </is>
      </c>
      <c r="D367" s="156" t="inlineStr">
        <is>
          <t>12-020-BS004-10-1015</t>
        </is>
      </c>
      <c r="E367" s="156" t="inlineStr">
        <is>
          <t>12-020-BS004-10-1015-305</t>
        </is>
      </c>
      <c r="F367" s="156" t="inlineStr">
        <is>
          <t>30.5</t>
        </is>
      </c>
      <c r="G367" s="156" t="inlineStr">
        <is>
          <t>12.5</t>
        </is>
      </c>
      <c r="H367" s="156" t="inlineStr">
        <is>
          <t>Stetson</t>
        </is>
      </c>
      <c r="I367" s="156" t="inlineStr">
        <is>
          <t>Bota Cocodrilo Medianoche</t>
        </is>
      </c>
      <c r="J367" s="156" t="inlineStr">
        <is>
          <t>Calzado</t>
        </is>
      </c>
      <c r="K367" s="156" t="inlineStr">
        <is>
          <t>Botas</t>
        </is>
      </c>
      <c r="L367" s="156" t="inlineStr">
        <is>
          <t>Hombre</t>
        </is>
      </c>
      <c r="M367" s="156" t="inlineStr">
        <is>
          <t>Stetson</t>
        </is>
      </c>
      <c r="N367" s="156" t="inlineStr">
        <is>
          <t>SS26</t>
        </is>
      </c>
      <c r="O367" s="156" t="inlineStr">
        <is>
          <t>Seasonal</t>
        </is>
      </c>
      <c r="P367" s="156" t="inlineStr">
        <is>
          <t>Azul</t>
        </is>
      </c>
      <c r="Q367" s="156" t="n"/>
      <c r="R367" s="156" t="inlineStr">
        <is>
          <t>Punta Redonda Ancha</t>
        </is>
      </c>
      <c r="S367" s="156" t="inlineStr">
        <is>
          <t>Piel de cocodrilo</t>
        </is>
      </c>
      <c r="T367" s="156" t="inlineStr">
        <is>
          <t>Bota Caballero Piel de cocodrilo Medianoche Punta Redonda Ancha</t>
        </is>
      </c>
      <c r="U367" s="156" t="inlineStr">
        <is>
          <t>México</t>
        </is>
      </c>
      <c r="V367" s="156" t="inlineStr">
        <is>
          <t>PRS</t>
        </is>
      </c>
      <c r="W367" s="51" t="inlineStr">
        <is>
          <t>53111501</t>
        </is>
      </c>
      <c r="X367" s="156" t="n"/>
      <c r="Y367" s="54" t="n">
        <v>2424</v>
      </c>
      <c r="Z367" s="54" t="n">
        <v>13793.10345</v>
      </c>
      <c r="AA367" s="55">
        <f>IF(AND(A367="", B367="", E367=""), "", IF(AB367="", "Válido", IF((LEN(AB367)-LEN(SUBSTITUTE(AB367,"; ","")))/2+1&gt;(LEN(AB367)-LEN(SUBSTITUTE(AB367,"[Aviso]","")))/7, "Con Incidencias", "Válido")))</f>
        <v/>
      </c>
      <c r="AB367" s="56">
        <f>IF(AND(A367="", B367="", E367=""), "", TEXTJOIN("; ", TRUE, IF(OR(TRIM(A367&amp;"")="", ISNUMBER(SEARCH("FALTA", A367))), "UPC faltante/inválido", ""), IF(AND(A367&lt;&gt;"", IFERROR(_xlfn.XMATCH(A367,$A$2:$A$2509,0,1)&lt;&gt;_xlfn.XMATCH(A367,$A$2:$A$2509,0,-1),FALSE)), "Código de barras duplicado", ""), IF(AND(E367&lt;&gt;"", COUNTIF($E$2:$E$2509, E367)&gt;1), "SKU duplicado", ""), IF(OR(J367="", J367=""), "[Aviso] División no capturada ()", IF(ISNA(MATCH(J367, Criterios!$A$123:$A$126, 0)), "División no válida", "")), IF(OR(K367="", K367=""), "[Aviso] Categoría no capturada ()", IF(ISNA(MATCH(K367, Criterios!$A$81:$A$120, 0)), "Categoría no válida", IF(AND(J367&lt;&gt;"", J367&lt;&gt;"", J367&lt;&gt;VLOOKUP(K367, Criterios!$A$81:$B$120, 2, FALSE)), "División no coincide con Categoría", ""))), IF(OR(L367="", L367=""), "[Aviso] Género no capturado ()", IF(ISNA(MATCH(L367, Criterios!$B$123:$B$127, 0)), "Género no válido", "")), IF(OR(N367="", N367=""), "[Aviso] Temporada no capturada ()", IF(ISNA(MATCH(N367, Criterios!$C$123:$C$128, 0)), "Temporada no válida", "")), IF(OR(O367="", O367=""), "[Aviso] Ciclo de vida no capturado ()", IF(ISNA(MATCH(O367, Criterios!$D$123:$D$124, 0)), "Ciclo de vida no válido", ""))))</f>
        <v/>
      </c>
      <c r="AC367" s="56" t="n"/>
      <c r="AD367" s="51" t="n">
        <v>0</v>
      </c>
      <c r="AE367" s="156" t="n"/>
      <c r="AF367" s="51" t="n">
        <v>0</v>
      </c>
      <c r="AG367" s="156" t="inlineStr">
        <is>
          <t>Catálogo existente</t>
        </is>
      </c>
      <c r="AH36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7" s="156" t="inlineStr">
        <is>
          <t>No</t>
        </is>
      </c>
      <c r="AJ367" s="156" t="n"/>
      <c r="AK367" s="155" t="inlineStr">
        <is>
          <t>Criterios: I [Q]; G1522_Extraccion_Articulos_NetSuite_2026-09-30.xlsx: fila 58939 [R] | Shopify Stetson: producto 15054564229483 / variante 53350549651819</t>
        </is>
      </c>
      <c r="AL367" s="58" t="n">
        <v>2424</v>
      </c>
      <c r="AM367" s="58" t="n">
        <v>13793.10345</v>
      </c>
      <c r="AN367" s="155" t="inlineStr">
        <is>
          <t>Shopify Stetson México</t>
        </is>
      </c>
      <c r="AO367" s="59" t="n">
        <v>0</v>
      </c>
      <c r="AP367" s="59" t="n"/>
      <c r="AQ367" s="59" t="n"/>
      <c r="AR367" s="155" t="n"/>
    </row>
    <row r="368">
      <c r="A368" s="50" t="inlineStr">
        <is>
          <t>12020004101015315</t>
        </is>
      </c>
      <c r="B368" s="51" t="inlineStr">
        <is>
          <t>111265</t>
        </is>
      </c>
      <c r="C368" s="156" t="inlineStr">
        <is>
          <t>Multimarca</t>
        </is>
      </c>
      <c r="D368" s="156" t="inlineStr">
        <is>
          <t>12-020-BS004-10-1015</t>
        </is>
      </c>
      <c r="E368" s="156" t="inlineStr">
        <is>
          <t>12-020-BS004-10-1015-315</t>
        </is>
      </c>
      <c r="F368" s="156" t="inlineStr">
        <is>
          <t>31.5</t>
        </is>
      </c>
      <c r="G368" s="156" t="inlineStr">
        <is>
          <t>13.5</t>
        </is>
      </c>
      <c r="H368" s="156" t="inlineStr">
        <is>
          <t>Stetson</t>
        </is>
      </c>
      <c r="I368" s="156" t="inlineStr">
        <is>
          <t>Bota Cocodrilo Medianoche</t>
        </is>
      </c>
      <c r="J368" s="156" t="inlineStr">
        <is>
          <t>Calzado</t>
        </is>
      </c>
      <c r="K368" s="156" t="inlineStr">
        <is>
          <t>Botas</t>
        </is>
      </c>
      <c r="L368" s="156" t="inlineStr">
        <is>
          <t>Hombre</t>
        </is>
      </c>
      <c r="M368" s="156" t="inlineStr">
        <is>
          <t>Stetson</t>
        </is>
      </c>
      <c r="N368" s="156" t="inlineStr">
        <is>
          <t>SS26</t>
        </is>
      </c>
      <c r="O368" s="156" t="inlineStr">
        <is>
          <t>Seasonal</t>
        </is>
      </c>
      <c r="P368" s="156" t="inlineStr">
        <is>
          <t>Azul</t>
        </is>
      </c>
      <c r="Q368" s="156" t="n"/>
      <c r="R368" s="156" t="inlineStr">
        <is>
          <t>Punta Redonda Ancha</t>
        </is>
      </c>
      <c r="S368" s="156" t="inlineStr">
        <is>
          <t>Piel de cocodrilo</t>
        </is>
      </c>
      <c r="T368" s="156" t="inlineStr">
        <is>
          <t>Bota Caballero Piel de cocodrilo Medianoche Punta Redonda Ancha</t>
        </is>
      </c>
      <c r="U368" s="156" t="inlineStr">
        <is>
          <t>México</t>
        </is>
      </c>
      <c r="V368" s="156" t="inlineStr">
        <is>
          <t>PRS</t>
        </is>
      </c>
      <c r="W368" s="51" t="inlineStr">
        <is>
          <t>53111501</t>
        </is>
      </c>
      <c r="X368" s="156" t="n"/>
      <c r="Y368" s="54" t="n">
        <v>2424</v>
      </c>
      <c r="Z368" s="54" t="n">
        <v>13793.10345</v>
      </c>
      <c r="AA368" s="55">
        <f>IF(AND(A368="", B368="", E368=""), "", IF(AB368="", "Válido", IF((LEN(AB368)-LEN(SUBSTITUTE(AB368,"; ","")))/2+1&gt;(LEN(AB368)-LEN(SUBSTITUTE(AB368,"[Aviso]","")))/7, "Con Incidencias", "Válido")))</f>
        <v/>
      </c>
      <c r="AB368" s="56">
        <f>IF(AND(A368="", B368="", E368=""), "", TEXTJOIN("; ", TRUE, IF(OR(TRIM(A368&amp;"")="", ISNUMBER(SEARCH("FALTA", A368))), "UPC faltante/inválido", ""), IF(AND(A368&lt;&gt;"", IFERROR(_xlfn.XMATCH(A368,$A$2:$A$2509,0,1)&lt;&gt;_xlfn.XMATCH(A368,$A$2:$A$2509,0,-1),FALSE)), "Código de barras duplicado", ""), IF(AND(E368&lt;&gt;"", COUNTIF($E$2:$E$2509, E368)&gt;1), "SKU duplicado", ""), IF(OR(J368="", J368=""), "[Aviso] División no capturada ()", IF(ISNA(MATCH(J368, Criterios!$A$123:$A$126, 0)), "División no válida", "")), IF(OR(K368="", K368=""), "[Aviso] Categoría no capturada ()", IF(ISNA(MATCH(K368, Criterios!$A$81:$A$120, 0)), "Categoría no válida", IF(AND(J368&lt;&gt;"", J368&lt;&gt;"", J368&lt;&gt;VLOOKUP(K368, Criterios!$A$81:$B$120, 2, FALSE)), "División no coincide con Categoría", ""))), IF(OR(L368="", L368=""), "[Aviso] Género no capturado ()", IF(ISNA(MATCH(L368, Criterios!$B$123:$B$127, 0)), "Género no válido", "")), IF(OR(N368="", N368=""), "[Aviso] Temporada no capturada ()", IF(ISNA(MATCH(N368, Criterios!$C$123:$C$128, 0)), "Temporada no válida", "")), IF(OR(O368="", O368=""), "[Aviso] Ciclo de vida no capturado ()", IF(ISNA(MATCH(O368, Criterios!$D$123:$D$124, 0)), "Ciclo de vida no válido", ""))))</f>
        <v/>
      </c>
      <c r="AC368" s="56" t="n"/>
      <c r="AD368" s="51" t="n">
        <v>0</v>
      </c>
      <c r="AE368" s="156" t="n"/>
      <c r="AF368" s="51" t="n">
        <v>0</v>
      </c>
      <c r="AG368" s="156" t="inlineStr">
        <is>
          <t>Catálogo existente</t>
        </is>
      </c>
      <c r="AH3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8" s="156" t="inlineStr">
        <is>
          <t>No</t>
        </is>
      </c>
      <c r="AJ368" s="156" t="n"/>
      <c r="AK368" s="155" t="inlineStr">
        <is>
          <t>Criterios: I [Q]; G1522_Extraccion_Articulos_NetSuite_2026-09-30.xlsx: fila 58940 [R] | Shopify Stetson: producto 15054564229483 / variante 53350549717355</t>
        </is>
      </c>
      <c r="AL368" s="58" t="n">
        <v>2424</v>
      </c>
      <c r="AM368" s="58" t="n">
        <v>13793.10345</v>
      </c>
      <c r="AN368" s="155" t="inlineStr">
        <is>
          <t>Shopify Stetson México</t>
        </is>
      </c>
      <c r="AO368" s="59" t="n">
        <v>0</v>
      </c>
      <c r="AP368" s="59" t="n"/>
      <c r="AQ368" s="59" t="n"/>
      <c r="AR368" s="155" t="n"/>
    </row>
    <row r="369">
      <c r="A369" s="50" t="inlineStr">
        <is>
          <t>12020004101015325</t>
        </is>
      </c>
      <c r="B369" s="51" t="inlineStr">
        <is>
          <t>111266</t>
        </is>
      </c>
      <c r="C369" s="156" t="inlineStr">
        <is>
          <t>Multimarca</t>
        </is>
      </c>
      <c r="D369" s="156" t="inlineStr">
        <is>
          <t>12-020-BS004-10-1015</t>
        </is>
      </c>
      <c r="E369" s="156" t="inlineStr">
        <is>
          <t>12-020-BS004-10-1015-325</t>
        </is>
      </c>
      <c r="F369" s="156" t="inlineStr">
        <is>
          <t>32.5</t>
        </is>
      </c>
      <c r="G369" s="156" t="inlineStr">
        <is>
          <t>14.5</t>
        </is>
      </c>
      <c r="H369" s="156" t="inlineStr">
        <is>
          <t>Stetson</t>
        </is>
      </c>
      <c r="I369" s="156" t="inlineStr">
        <is>
          <t>Bota Cocodrilo Medianoche</t>
        </is>
      </c>
      <c r="J369" s="156" t="inlineStr">
        <is>
          <t>Calzado</t>
        </is>
      </c>
      <c r="K369" s="156" t="inlineStr">
        <is>
          <t>Botas</t>
        </is>
      </c>
      <c r="L369" s="156" t="inlineStr">
        <is>
          <t>Hombre</t>
        </is>
      </c>
      <c r="M369" s="156" t="inlineStr">
        <is>
          <t>Stetson</t>
        </is>
      </c>
      <c r="N369" s="156" t="inlineStr">
        <is>
          <t>SS26</t>
        </is>
      </c>
      <c r="O369" s="156" t="inlineStr">
        <is>
          <t>Seasonal</t>
        </is>
      </c>
      <c r="P369" s="156" t="inlineStr">
        <is>
          <t>Azul</t>
        </is>
      </c>
      <c r="Q369" s="156" t="n"/>
      <c r="R369" s="156" t="inlineStr">
        <is>
          <t>Punta Redonda Ancha</t>
        </is>
      </c>
      <c r="S369" s="156" t="inlineStr">
        <is>
          <t>Piel de cocodrilo</t>
        </is>
      </c>
      <c r="T369" s="156" t="inlineStr">
        <is>
          <t>Bota Caballero Piel de cocodrilo Medianoche Punta Redonda Ancha</t>
        </is>
      </c>
      <c r="U369" s="156" t="inlineStr">
        <is>
          <t>México</t>
        </is>
      </c>
      <c r="V369" s="156" t="inlineStr">
        <is>
          <t>PRS</t>
        </is>
      </c>
      <c r="W369" s="51" t="inlineStr">
        <is>
          <t>53111501</t>
        </is>
      </c>
      <c r="X369" s="156" t="n"/>
      <c r="Y369" s="54" t="n">
        <v>2424</v>
      </c>
      <c r="Z369" s="54" t="n">
        <v>13793.10345</v>
      </c>
      <c r="AA369" s="55">
        <f>IF(AND(A369="", B369="", E369=""), "", IF(AB369="", "Válido", IF((LEN(AB369)-LEN(SUBSTITUTE(AB369,"; ","")))/2+1&gt;(LEN(AB369)-LEN(SUBSTITUTE(AB369,"[Aviso]","")))/7, "Con Incidencias", "Válido")))</f>
        <v/>
      </c>
      <c r="AB369" s="56">
        <f>IF(AND(A369="", B369="", E369=""), "", TEXTJOIN("; ", TRUE, IF(OR(TRIM(A369&amp;"")="", ISNUMBER(SEARCH("FALTA", A369))), "UPC faltante/inválido", ""), IF(AND(A369&lt;&gt;"", IFERROR(_xlfn.XMATCH(A369,$A$2:$A$2509,0,1)&lt;&gt;_xlfn.XMATCH(A369,$A$2:$A$2509,0,-1),FALSE)), "Código de barras duplicado", ""), IF(AND(E369&lt;&gt;"", COUNTIF($E$2:$E$2509, E369)&gt;1), "SKU duplicado", ""), IF(OR(J369="", J369=""), "[Aviso] División no capturada ()", IF(ISNA(MATCH(J369, Criterios!$A$123:$A$126, 0)), "División no válida", "")), IF(OR(K369="", K369=""), "[Aviso] Categoría no capturada ()", IF(ISNA(MATCH(K369, Criterios!$A$81:$A$120, 0)), "Categoría no válida", IF(AND(J369&lt;&gt;"", J369&lt;&gt;"", J369&lt;&gt;VLOOKUP(K369, Criterios!$A$81:$B$120, 2, FALSE)), "División no coincide con Categoría", ""))), IF(OR(L369="", L369=""), "[Aviso] Género no capturado ()", IF(ISNA(MATCH(L369, Criterios!$B$123:$B$127, 0)), "Género no válido", "")), IF(OR(N369="", N369=""), "[Aviso] Temporada no capturada ()", IF(ISNA(MATCH(N369, Criterios!$C$123:$C$128, 0)), "Temporada no válida", "")), IF(OR(O369="", O369=""), "[Aviso] Ciclo de vida no capturado ()", IF(ISNA(MATCH(O369, Criterios!$D$123:$D$124, 0)), "Ciclo de vida no válido", ""))))</f>
        <v/>
      </c>
      <c r="AC369" s="56" t="n"/>
      <c r="AD369" s="51" t="n">
        <v>0</v>
      </c>
      <c r="AE369" s="156" t="n"/>
      <c r="AF369" s="51" t="n">
        <v>0</v>
      </c>
      <c r="AG369" s="156" t="inlineStr">
        <is>
          <t>Catálogo existente</t>
        </is>
      </c>
      <c r="AH3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69" s="156" t="inlineStr">
        <is>
          <t>No</t>
        </is>
      </c>
      <c r="AJ369" s="156" t="n"/>
      <c r="AK369" s="155" t="inlineStr">
        <is>
          <t>Criterios: I [Q]; G1522_Extraccion_Articulos_NetSuite_2026-09-30.xlsx: fila 58941 [R] | Shopify Stetson: producto 15054564229483 / variante 53350549782891</t>
        </is>
      </c>
      <c r="AL369" s="58" t="n">
        <v>2424</v>
      </c>
      <c r="AM369" s="58" t="n">
        <v>13793.10345</v>
      </c>
      <c r="AN369" s="155" t="inlineStr">
        <is>
          <t>Shopify Stetson México</t>
        </is>
      </c>
      <c r="AO369" s="59" t="n">
        <v>0</v>
      </c>
      <c r="AP369" s="59" t="n"/>
      <c r="AQ369" s="59" t="n"/>
      <c r="AR369" s="155" t="n"/>
    </row>
    <row r="370">
      <c r="A370" s="50" t="inlineStr">
        <is>
          <t>12020004101016025</t>
        </is>
      </c>
      <c r="B370" s="51" t="inlineStr">
        <is>
          <t>111267</t>
        </is>
      </c>
      <c r="C370" s="156" t="inlineStr">
        <is>
          <t>Multimarca</t>
        </is>
      </c>
      <c r="D370" s="156" t="inlineStr">
        <is>
          <t>12-020-BS004-10-1016</t>
        </is>
      </c>
      <c r="E370" s="156" t="inlineStr">
        <is>
          <t>12-020-BS004-10-1016-025</t>
        </is>
      </c>
      <c r="F370" s="156" t="inlineStr">
        <is>
          <t>25</t>
        </is>
      </c>
      <c r="G370" s="156" t="inlineStr">
        <is>
          <t>7</t>
        </is>
      </c>
      <c r="H370" s="156" t="inlineStr">
        <is>
          <t>Stetson</t>
        </is>
      </c>
      <c r="I370" s="156" t="inlineStr">
        <is>
          <t>Bota Cocodrilo Cognac</t>
        </is>
      </c>
      <c r="J370" s="156" t="inlineStr">
        <is>
          <t>Calzado</t>
        </is>
      </c>
      <c r="K370" s="156" t="inlineStr">
        <is>
          <t>Botas</t>
        </is>
      </c>
      <c r="L370" s="156" t="inlineStr">
        <is>
          <t>Hombre</t>
        </is>
      </c>
      <c r="M370" s="156" t="inlineStr">
        <is>
          <t>Stetson</t>
        </is>
      </c>
      <c r="N370" s="156" t="inlineStr">
        <is>
          <t>SS26</t>
        </is>
      </c>
      <c r="O370" s="156" t="inlineStr">
        <is>
          <t>Seasonal</t>
        </is>
      </c>
      <c r="P370" s="156" t="inlineStr">
        <is>
          <t>Cafe</t>
        </is>
      </c>
      <c r="Q370" s="156" t="n"/>
      <c r="R370" s="156" t="inlineStr">
        <is>
          <t>Punta Redonda Ancha</t>
        </is>
      </c>
      <c r="S370" s="156" t="inlineStr">
        <is>
          <t>Piel de cocodrilo</t>
        </is>
      </c>
      <c r="T370" s="156" t="inlineStr">
        <is>
          <t>Bota Caballero Piel de cocodrilo Cognac Punta Redonda Ancha</t>
        </is>
      </c>
      <c r="U370" s="156" t="inlineStr">
        <is>
          <t>México</t>
        </is>
      </c>
      <c r="V370" s="156" t="inlineStr">
        <is>
          <t>PRS</t>
        </is>
      </c>
      <c r="W370" s="51" t="inlineStr">
        <is>
          <t>53111501</t>
        </is>
      </c>
      <c r="X370" s="156" t="n"/>
      <c r="Y370" s="54" t="n">
        <v>3301.5</v>
      </c>
      <c r="Z370" s="54" t="n">
        <v>18965.51724</v>
      </c>
      <c r="AA370" s="55">
        <f>IF(AND(A370="", B370="", E370=""), "", IF(AB370="", "Válido", IF((LEN(AB370)-LEN(SUBSTITUTE(AB370,"; ","")))/2+1&gt;(LEN(AB370)-LEN(SUBSTITUTE(AB370,"[Aviso]","")))/7, "Con Incidencias", "Válido")))</f>
        <v/>
      </c>
      <c r="AB370" s="56">
        <f>IF(AND(A370="", B370="", E370=""), "", TEXTJOIN("; ", TRUE, IF(OR(TRIM(A370&amp;"")="", ISNUMBER(SEARCH("FALTA", A370))), "UPC faltante/inválido", ""), IF(AND(A370&lt;&gt;"", IFERROR(_xlfn.XMATCH(A370,$A$2:$A$2509,0,1)&lt;&gt;_xlfn.XMATCH(A370,$A$2:$A$2509,0,-1),FALSE)), "Código de barras duplicado", ""), IF(AND(E370&lt;&gt;"", COUNTIF($E$2:$E$2509, E370)&gt;1), "SKU duplicado", ""), IF(OR(J370="", J370=""), "[Aviso] División no capturada ()", IF(ISNA(MATCH(J370, Criterios!$A$123:$A$126, 0)), "División no válida", "")), IF(OR(K370="", K370=""), "[Aviso] Categoría no capturada ()", IF(ISNA(MATCH(K370, Criterios!$A$81:$A$120, 0)), "Categoría no válida", IF(AND(J370&lt;&gt;"", J370&lt;&gt;"", J370&lt;&gt;VLOOKUP(K370, Criterios!$A$81:$B$120, 2, FALSE)), "División no coincide con Categoría", ""))), IF(OR(L370="", L370=""), "[Aviso] Género no capturado ()", IF(ISNA(MATCH(L370, Criterios!$B$123:$B$127, 0)), "Género no válido", "")), IF(OR(N370="", N370=""), "[Aviso] Temporada no capturada ()", IF(ISNA(MATCH(N370, Criterios!$C$123:$C$128, 0)), "Temporada no válida", "")), IF(OR(O370="", O370=""), "[Aviso] Ciclo de vida no capturado ()", IF(ISNA(MATCH(O370, Criterios!$D$123:$D$124, 0)), "Ciclo de vida no válido", ""))))</f>
        <v/>
      </c>
      <c r="AC370" s="56" t="n"/>
      <c r="AD370" s="51" t="n">
        <v>0</v>
      </c>
      <c r="AE370" s="156" t="n"/>
      <c r="AF370" s="51" t="n">
        <v>0</v>
      </c>
      <c r="AG370" s="156" t="inlineStr">
        <is>
          <t>Catálogo existente</t>
        </is>
      </c>
      <c r="AH3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0" s="156" t="inlineStr">
        <is>
          <t>No</t>
        </is>
      </c>
      <c r="AJ370" s="156" t="n"/>
      <c r="AK370" s="155" t="inlineStr">
        <is>
          <t>Criterios: I [Q]; G1522_Extraccion_Articulos_NetSuite_2026-09-30.xlsx: fila 58942 [R] | Shopify Stetson: producto 15054564262251 / variante 53350549815659</t>
        </is>
      </c>
      <c r="AL370" s="58" t="n">
        <v>3301.5</v>
      </c>
      <c r="AM370" s="58" t="n">
        <v>18965.51724</v>
      </c>
      <c r="AN370" s="155" t="inlineStr">
        <is>
          <t>Shopify Stetson México</t>
        </is>
      </c>
      <c r="AO370" s="59" t="n">
        <v>0</v>
      </c>
      <c r="AP370" s="59" t="n"/>
      <c r="AQ370" s="59" t="n"/>
      <c r="AR370" s="155" t="n"/>
    </row>
    <row r="371">
      <c r="A371" s="50" t="inlineStr">
        <is>
          <t>12020004101016026</t>
        </is>
      </c>
      <c r="B371" s="51" t="inlineStr">
        <is>
          <t>111268</t>
        </is>
      </c>
      <c r="C371" s="156" t="inlineStr">
        <is>
          <t>Multimarca</t>
        </is>
      </c>
      <c r="D371" s="156" t="inlineStr">
        <is>
          <t>12-020-BS004-10-1016</t>
        </is>
      </c>
      <c r="E371" s="156" t="inlineStr">
        <is>
          <t>12-020-BS004-10-1016-026</t>
        </is>
      </c>
      <c r="F371" s="156" t="inlineStr">
        <is>
          <t>26</t>
        </is>
      </c>
      <c r="G371" s="156" t="inlineStr">
        <is>
          <t>8</t>
        </is>
      </c>
      <c r="H371" s="156" t="inlineStr">
        <is>
          <t>Stetson</t>
        </is>
      </c>
      <c r="I371" s="156" t="inlineStr">
        <is>
          <t>Bota Cocodrilo Cognac</t>
        </is>
      </c>
      <c r="J371" s="156" t="inlineStr">
        <is>
          <t>Calzado</t>
        </is>
      </c>
      <c r="K371" s="156" t="inlineStr">
        <is>
          <t>Botas</t>
        </is>
      </c>
      <c r="L371" s="156" t="inlineStr">
        <is>
          <t>Hombre</t>
        </is>
      </c>
      <c r="M371" s="156" t="inlineStr">
        <is>
          <t>Stetson</t>
        </is>
      </c>
      <c r="N371" s="156" t="inlineStr">
        <is>
          <t>SS26</t>
        </is>
      </c>
      <c r="O371" s="156" t="inlineStr">
        <is>
          <t>Seasonal</t>
        </is>
      </c>
      <c r="P371" s="156" t="inlineStr">
        <is>
          <t>Cafe</t>
        </is>
      </c>
      <c r="Q371" s="156" t="n"/>
      <c r="R371" s="156" t="inlineStr">
        <is>
          <t>Punta Redonda Ancha</t>
        </is>
      </c>
      <c r="S371" s="156" t="inlineStr">
        <is>
          <t>Piel de cocodrilo</t>
        </is>
      </c>
      <c r="T371" s="156" t="inlineStr">
        <is>
          <t>Bota Caballero Piel de cocodrilo Cognac Punta Redonda Ancha</t>
        </is>
      </c>
      <c r="U371" s="156" t="inlineStr">
        <is>
          <t>México</t>
        </is>
      </c>
      <c r="V371" s="156" t="inlineStr">
        <is>
          <t>PRS</t>
        </is>
      </c>
      <c r="W371" s="51" t="inlineStr">
        <is>
          <t>53111501</t>
        </is>
      </c>
      <c r="X371" s="156" t="n"/>
      <c r="Y371" s="54" t="n">
        <v>3301.5</v>
      </c>
      <c r="Z371" s="54" t="n">
        <v>18965.51724</v>
      </c>
      <c r="AA371" s="55">
        <f>IF(AND(A371="", B371="", E371=""), "", IF(AB371="", "Válido", IF((LEN(AB371)-LEN(SUBSTITUTE(AB371,"; ","")))/2+1&gt;(LEN(AB371)-LEN(SUBSTITUTE(AB371,"[Aviso]","")))/7, "Con Incidencias", "Válido")))</f>
        <v/>
      </c>
      <c r="AB371" s="56">
        <f>IF(AND(A371="", B371="", E371=""), "", TEXTJOIN("; ", TRUE, IF(OR(TRIM(A371&amp;"")="", ISNUMBER(SEARCH("FALTA", A371))), "UPC faltante/inválido", ""), IF(AND(A371&lt;&gt;"", IFERROR(_xlfn.XMATCH(A371,$A$2:$A$2509,0,1)&lt;&gt;_xlfn.XMATCH(A371,$A$2:$A$2509,0,-1),FALSE)), "Código de barras duplicado", ""), IF(AND(E371&lt;&gt;"", COUNTIF($E$2:$E$2509, E371)&gt;1), "SKU duplicado", ""), IF(OR(J371="", J371=""), "[Aviso] División no capturada ()", IF(ISNA(MATCH(J371, Criterios!$A$123:$A$126, 0)), "División no válida", "")), IF(OR(K371="", K371=""), "[Aviso] Categoría no capturada ()", IF(ISNA(MATCH(K371, Criterios!$A$81:$A$120, 0)), "Categoría no válida", IF(AND(J371&lt;&gt;"", J371&lt;&gt;"", J371&lt;&gt;VLOOKUP(K371, Criterios!$A$81:$B$120, 2, FALSE)), "División no coincide con Categoría", ""))), IF(OR(L371="", L371=""), "[Aviso] Género no capturado ()", IF(ISNA(MATCH(L371, Criterios!$B$123:$B$127, 0)), "Género no válido", "")), IF(OR(N371="", N371=""), "[Aviso] Temporada no capturada ()", IF(ISNA(MATCH(N371, Criterios!$C$123:$C$128, 0)), "Temporada no válida", "")), IF(OR(O371="", O371=""), "[Aviso] Ciclo de vida no capturado ()", IF(ISNA(MATCH(O371, Criterios!$D$123:$D$124, 0)), "Ciclo de vida no válido", ""))))</f>
        <v/>
      </c>
      <c r="AC371" s="56" t="n"/>
      <c r="AD371" s="51" t="n">
        <v>0</v>
      </c>
      <c r="AE371" s="156" t="n"/>
      <c r="AF371" s="51" t="n">
        <v>0</v>
      </c>
      <c r="AG371" s="156" t="inlineStr">
        <is>
          <t>Catálogo existente</t>
        </is>
      </c>
      <c r="AH3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1" s="156" t="inlineStr">
        <is>
          <t>No</t>
        </is>
      </c>
      <c r="AJ371" s="156" t="n"/>
      <c r="AK371" s="155" t="inlineStr">
        <is>
          <t>Criterios: I [Q]; G1522_Extraccion_Articulos_NetSuite_2026-09-30.xlsx: fila 58943 [R] | Shopify Stetson: producto 15054564262251 / variante 53350549881195</t>
        </is>
      </c>
      <c r="AL371" s="58" t="n">
        <v>3301.5</v>
      </c>
      <c r="AM371" s="58" t="n">
        <v>18965.51724</v>
      </c>
      <c r="AN371" s="155" t="inlineStr">
        <is>
          <t>Shopify Stetson México</t>
        </is>
      </c>
      <c r="AO371" s="59" t="n">
        <v>0</v>
      </c>
      <c r="AP371" s="59" t="n"/>
      <c r="AQ371" s="59" t="n"/>
      <c r="AR371" s="155" t="n"/>
    </row>
    <row r="372">
      <c r="A372" s="50" t="inlineStr">
        <is>
          <t>12020004101016027</t>
        </is>
      </c>
      <c r="B372" s="51" t="inlineStr">
        <is>
          <t>111269</t>
        </is>
      </c>
      <c r="C372" s="156" t="inlineStr">
        <is>
          <t>Multimarca</t>
        </is>
      </c>
      <c r="D372" s="156" t="inlineStr">
        <is>
          <t>12-020-BS004-10-1016</t>
        </is>
      </c>
      <c r="E372" s="156" t="inlineStr">
        <is>
          <t>12-020-BS004-10-1016-027</t>
        </is>
      </c>
      <c r="F372" s="156" t="inlineStr">
        <is>
          <t>27</t>
        </is>
      </c>
      <c r="G372" s="156" t="inlineStr">
        <is>
          <t>9</t>
        </is>
      </c>
      <c r="H372" s="156" t="inlineStr">
        <is>
          <t>Stetson</t>
        </is>
      </c>
      <c r="I372" s="156" t="inlineStr">
        <is>
          <t>Bota Cocodrilo Cognac</t>
        </is>
      </c>
      <c r="J372" s="156" t="inlineStr">
        <is>
          <t>Calzado</t>
        </is>
      </c>
      <c r="K372" s="156" t="inlineStr">
        <is>
          <t>Botas</t>
        </is>
      </c>
      <c r="L372" s="156" t="inlineStr">
        <is>
          <t>Hombre</t>
        </is>
      </c>
      <c r="M372" s="156" t="inlineStr">
        <is>
          <t>Stetson</t>
        </is>
      </c>
      <c r="N372" s="156" t="inlineStr">
        <is>
          <t>SS26</t>
        </is>
      </c>
      <c r="O372" s="156" t="inlineStr">
        <is>
          <t>Seasonal</t>
        </is>
      </c>
      <c r="P372" s="156" t="inlineStr">
        <is>
          <t>Cafe</t>
        </is>
      </c>
      <c r="Q372" s="156" t="n"/>
      <c r="R372" s="156" t="inlineStr">
        <is>
          <t>Punta Redonda Ancha</t>
        </is>
      </c>
      <c r="S372" s="156" t="inlineStr">
        <is>
          <t>Piel de cocodrilo</t>
        </is>
      </c>
      <c r="T372" s="156" t="inlineStr">
        <is>
          <t>Bota Caballero Piel de cocodrilo Cognac Punta Redonda Ancha</t>
        </is>
      </c>
      <c r="U372" s="156" t="inlineStr">
        <is>
          <t>México</t>
        </is>
      </c>
      <c r="V372" s="156" t="inlineStr">
        <is>
          <t>PRS</t>
        </is>
      </c>
      <c r="W372" s="51" t="inlineStr">
        <is>
          <t>53111501</t>
        </is>
      </c>
      <c r="X372" s="156" t="n"/>
      <c r="Y372" s="54" t="n">
        <v>3301.5</v>
      </c>
      <c r="Z372" s="54" t="n">
        <v>18965.51724</v>
      </c>
      <c r="AA372" s="55">
        <f>IF(AND(A372="", B372="", E372=""), "", IF(AB372="", "Válido", IF((LEN(AB372)-LEN(SUBSTITUTE(AB372,"; ","")))/2+1&gt;(LEN(AB372)-LEN(SUBSTITUTE(AB372,"[Aviso]","")))/7, "Con Incidencias", "Válido")))</f>
        <v/>
      </c>
      <c r="AB372" s="56">
        <f>IF(AND(A372="", B372="", E372=""), "", TEXTJOIN("; ", TRUE, IF(OR(TRIM(A372&amp;"")="", ISNUMBER(SEARCH("FALTA", A372))), "UPC faltante/inválido", ""), IF(AND(A372&lt;&gt;"", IFERROR(_xlfn.XMATCH(A372,$A$2:$A$2509,0,1)&lt;&gt;_xlfn.XMATCH(A372,$A$2:$A$2509,0,-1),FALSE)), "Código de barras duplicado", ""), IF(AND(E372&lt;&gt;"", COUNTIF($E$2:$E$2509, E372)&gt;1), "SKU duplicado", ""), IF(OR(J372="", J372=""), "[Aviso] División no capturada ()", IF(ISNA(MATCH(J372, Criterios!$A$123:$A$126, 0)), "División no válida", "")), IF(OR(K372="", K372=""), "[Aviso] Categoría no capturada ()", IF(ISNA(MATCH(K372, Criterios!$A$81:$A$120, 0)), "Categoría no válida", IF(AND(J372&lt;&gt;"", J372&lt;&gt;"", J372&lt;&gt;VLOOKUP(K372, Criterios!$A$81:$B$120, 2, FALSE)), "División no coincide con Categoría", ""))), IF(OR(L372="", L372=""), "[Aviso] Género no capturado ()", IF(ISNA(MATCH(L372, Criterios!$B$123:$B$127, 0)), "Género no válido", "")), IF(OR(N372="", N372=""), "[Aviso] Temporada no capturada ()", IF(ISNA(MATCH(N372, Criterios!$C$123:$C$128, 0)), "Temporada no válida", "")), IF(OR(O372="", O372=""), "[Aviso] Ciclo de vida no capturado ()", IF(ISNA(MATCH(O372, Criterios!$D$123:$D$124, 0)), "Ciclo de vida no válido", ""))))</f>
        <v/>
      </c>
      <c r="AC372" s="56" t="n"/>
      <c r="AD372" s="51" t="n">
        <v>1</v>
      </c>
      <c r="AE372" s="156" t="inlineStr">
        <is>
          <t>STETSON AMERICAS (1)</t>
        </is>
      </c>
      <c r="AF372" s="51" t="n">
        <v>1</v>
      </c>
      <c r="AG372" s="156" t="inlineStr">
        <is>
          <t>Catálogo existente</t>
        </is>
      </c>
      <c r="AH3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2" s="156" t="inlineStr">
        <is>
          <t>No</t>
        </is>
      </c>
      <c r="AJ372" s="156" t="n"/>
      <c r="AK372" s="155" t="inlineStr">
        <is>
          <t>Criterios: I [Q]; G1522_Extraccion_Articulos_NetSuite_2026-09-30.xlsx: fila 58944 [R] | Shopify Stetson: producto 15054564262251 / variante 53350549946731</t>
        </is>
      </c>
      <c r="AL372" s="58" t="n">
        <v>3301.5</v>
      </c>
      <c r="AM372" s="58" t="n">
        <v>18965.51724</v>
      </c>
      <c r="AN372" s="155" t="inlineStr">
        <is>
          <t>Shopify Stetson México</t>
        </is>
      </c>
      <c r="AO372" s="59" t="n">
        <v>1</v>
      </c>
      <c r="AP372" s="59" t="n"/>
      <c r="AQ372" s="59" t="n"/>
      <c r="AR372" s="155" t="inlineStr">
        <is>
          <t>Shopify Stetson México › Stetson Americas: 1</t>
        </is>
      </c>
    </row>
    <row r="373">
      <c r="A373" s="50" t="inlineStr">
        <is>
          <t>12020004101016028</t>
        </is>
      </c>
      <c r="B373" s="51" t="inlineStr">
        <is>
          <t>111270</t>
        </is>
      </c>
      <c r="C373" s="156" t="inlineStr">
        <is>
          <t>Multimarca</t>
        </is>
      </c>
      <c r="D373" s="156" t="inlineStr">
        <is>
          <t>12-020-BS004-10-1016</t>
        </is>
      </c>
      <c r="E373" s="156" t="inlineStr">
        <is>
          <t>12-020-BS004-10-1016-028</t>
        </is>
      </c>
      <c r="F373" s="156" t="inlineStr">
        <is>
          <t>28</t>
        </is>
      </c>
      <c r="G373" s="156" t="inlineStr">
        <is>
          <t>10</t>
        </is>
      </c>
      <c r="H373" s="156" t="inlineStr">
        <is>
          <t>Stetson</t>
        </is>
      </c>
      <c r="I373" s="156" t="inlineStr">
        <is>
          <t>Bota Cocodrilo Cognac</t>
        </is>
      </c>
      <c r="J373" s="156" t="inlineStr">
        <is>
          <t>Calzado</t>
        </is>
      </c>
      <c r="K373" s="156" t="inlineStr">
        <is>
          <t>Botas</t>
        </is>
      </c>
      <c r="L373" s="156" t="inlineStr">
        <is>
          <t>Hombre</t>
        </is>
      </c>
      <c r="M373" s="156" t="inlineStr">
        <is>
          <t>Stetson</t>
        </is>
      </c>
      <c r="N373" s="156" t="inlineStr">
        <is>
          <t>SS26</t>
        </is>
      </c>
      <c r="O373" s="156" t="inlineStr">
        <is>
          <t>Seasonal</t>
        </is>
      </c>
      <c r="P373" s="156" t="inlineStr">
        <is>
          <t>Cafe</t>
        </is>
      </c>
      <c r="Q373" s="156" t="n"/>
      <c r="R373" s="156" t="inlineStr">
        <is>
          <t>Punta Redonda Ancha</t>
        </is>
      </c>
      <c r="S373" s="156" t="inlineStr">
        <is>
          <t>Piel de cocodrilo</t>
        </is>
      </c>
      <c r="T373" s="156" t="inlineStr">
        <is>
          <t>Bota Caballero Piel de cocodrilo Cognac Punta Redonda Ancha</t>
        </is>
      </c>
      <c r="U373" s="156" t="inlineStr">
        <is>
          <t>México</t>
        </is>
      </c>
      <c r="V373" s="156" t="inlineStr">
        <is>
          <t>PRS</t>
        </is>
      </c>
      <c r="W373" s="51" t="inlineStr">
        <is>
          <t>53111501</t>
        </is>
      </c>
      <c r="X373" s="156" t="n"/>
      <c r="Y373" s="54" t="n">
        <v>3301.5</v>
      </c>
      <c r="Z373" s="54" t="n">
        <v>18965.51724</v>
      </c>
      <c r="AA373" s="55">
        <f>IF(AND(A373="", B373="", E373=""), "", IF(AB373="", "Válido", IF((LEN(AB373)-LEN(SUBSTITUTE(AB373,"; ","")))/2+1&gt;(LEN(AB373)-LEN(SUBSTITUTE(AB373,"[Aviso]","")))/7, "Con Incidencias", "Válido")))</f>
        <v/>
      </c>
      <c r="AB373" s="56">
        <f>IF(AND(A373="", B373="", E373=""), "", TEXTJOIN("; ", TRUE, IF(OR(TRIM(A373&amp;"")="", ISNUMBER(SEARCH("FALTA", A373))), "UPC faltante/inválido", ""), IF(AND(A373&lt;&gt;"", IFERROR(_xlfn.XMATCH(A373,$A$2:$A$2509,0,1)&lt;&gt;_xlfn.XMATCH(A373,$A$2:$A$2509,0,-1),FALSE)), "Código de barras duplicado", ""), IF(AND(E373&lt;&gt;"", COUNTIF($E$2:$E$2509, E373)&gt;1), "SKU duplicado", ""), IF(OR(J373="", J373=""), "[Aviso] División no capturada ()", IF(ISNA(MATCH(J373, Criterios!$A$123:$A$126, 0)), "División no válida", "")), IF(OR(K373="", K373=""), "[Aviso] Categoría no capturada ()", IF(ISNA(MATCH(K373, Criterios!$A$81:$A$120, 0)), "Categoría no válida", IF(AND(J373&lt;&gt;"", J373&lt;&gt;"", J373&lt;&gt;VLOOKUP(K373, Criterios!$A$81:$B$120, 2, FALSE)), "División no coincide con Categoría", ""))), IF(OR(L373="", L373=""), "[Aviso] Género no capturado ()", IF(ISNA(MATCH(L373, Criterios!$B$123:$B$127, 0)), "Género no válido", "")), IF(OR(N373="", N373=""), "[Aviso] Temporada no capturada ()", IF(ISNA(MATCH(N373, Criterios!$C$123:$C$128, 0)), "Temporada no válida", "")), IF(OR(O373="", O373=""), "[Aviso] Ciclo de vida no capturado ()", IF(ISNA(MATCH(O373, Criterios!$D$123:$D$124, 0)), "Ciclo de vida no válido", ""))))</f>
        <v/>
      </c>
      <c r="AC373" s="56" t="n"/>
      <c r="AD373" s="51" t="n">
        <v>2</v>
      </c>
      <c r="AE373" s="156" t="inlineStr">
        <is>
          <t>STETSON AMERICAS (2)</t>
        </is>
      </c>
      <c r="AF373" s="51" t="n">
        <v>2</v>
      </c>
      <c r="AG373" s="156" t="inlineStr">
        <is>
          <t>Catálogo existente</t>
        </is>
      </c>
      <c r="AH3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3" s="156" t="inlineStr">
        <is>
          <t>No</t>
        </is>
      </c>
      <c r="AJ373" s="156" t="n"/>
      <c r="AK373" s="155" t="inlineStr">
        <is>
          <t>Criterios: I [Q]; G1522_Extraccion_Articulos_NetSuite_2026-09-30.xlsx: fila 58945 [R] | Shopify Stetson: producto 15054564262251 / variante 53350550012267</t>
        </is>
      </c>
      <c r="AL373" s="58" t="n">
        <v>3301.5</v>
      </c>
      <c r="AM373" s="58" t="n">
        <v>18965.51724</v>
      </c>
      <c r="AN373" s="155" t="inlineStr">
        <is>
          <t>Shopify Stetson México</t>
        </is>
      </c>
      <c r="AO373" s="59" t="n">
        <v>2</v>
      </c>
      <c r="AP373" s="59" t="n"/>
      <c r="AQ373" s="59" t="n"/>
      <c r="AR373" s="155" t="inlineStr">
        <is>
          <t>Shopify Stetson México › Stetson Americas: 2</t>
        </is>
      </c>
    </row>
    <row r="374">
      <c r="A374" s="50" t="inlineStr">
        <is>
          <t>12020004101016029</t>
        </is>
      </c>
      <c r="B374" s="51" t="inlineStr">
        <is>
          <t>111271</t>
        </is>
      </c>
      <c r="C374" s="156" t="inlineStr">
        <is>
          <t>Multimarca</t>
        </is>
      </c>
      <c r="D374" s="156" t="inlineStr">
        <is>
          <t>12-020-BS004-10-1016</t>
        </is>
      </c>
      <c r="E374" s="156" t="inlineStr">
        <is>
          <t>12-020-BS004-10-1016-029</t>
        </is>
      </c>
      <c r="F374" s="156" t="inlineStr">
        <is>
          <t>29</t>
        </is>
      </c>
      <c r="G374" s="156" t="inlineStr">
        <is>
          <t>11</t>
        </is>
      </c>
      <c r="H374" s="156" t="inlineStr">
        <is>
          <t>Stetson</t>
        </is>
      </c>
      <c r="I374" s="156" t="inlineStr">
        <is>
          <t>Bota Cocodrilo Cognac</t>
        </is>
      </c>
      <c r="J374" s="156" t="inlineStr">
        <is>
          <t>Calzado</t>
        </is>
      </c>
      <c r="K374" s="156" t="inlineStr">
        <is>
          <t>Botas</t>
        </is>
      </c>
      <c r="L374" s="156" t="inlineStr">
        <is>
          <t>Hombre</t>
        </is>
      </c>
      <c r="M374" s="156" t="inlineStr">
        <is>
          <t>Stetson</t>
        </is>
      </c>
      <c r="N374" s="156" t="inlineStr">
        <is>
          <t>SS26</t>
        </is>
      </c>
      <c r="O374" s="156" t="inlineStr">
        <is>
          <t>Seasonal</t>
        </is>
      </c>
      <c r="P374" s="156" t="inlineStr">
        <is>
          <t>Cafe</t>
        </is>
      </c>
      <c r="Q374" s="156" t="n"/>
      <c r="R374" s="156" t="inlineStr">
        <is>
          <t>Punta Redonda Ancha</t>
        </is>
      </c>
      <c r="S374" s="156" t="inlineStr">
        <is>
          <t>Piel de cocodrilo</t>
        </is>
      </c>
      <c r="T374" s="156" t="inlineStr">
        <is>
          <t>Bota Caballero Piel de cocodrilo Cognac Punta Redonda Ancha</t>
        </is>
      </c>
      <c r="U374" s="156" t="inlineStr">
        <is>
          <t>México</t>
        </is>
      </c>
      <c r="V374" s="156" t="inlineStr">
        <is>
          <t>PRS</t>
        </is>
      </c>
      <c r="W374" s="51" t="inlineStr">
        <is>
          <t>53111501</t>
        </is>
      </c>
      <c r="X374" s="156" t="n"/>
      <c r="Y374" s="54" t="n">
        <v>3301.5</v>
      </c>
      <c r="Z374" s="54" t="n">
        <v>18965.51724</v>
      </c>
      <c r="AA374" s="55">
        <f>IF(AND(A374="", B374="", E374=""), "", IF(AB374="", "Válido", IF((LEN(AB374)-LEN(SUBSTITUTE(AB374,"; ","")))/2+1&gt;(LEN(AB374)-LEN(SUBSTITUTE(AB374,"[Aviso]","")))/7, "Con Incidencias", "Válido")))</f>
        <v/>
      </c>
      <c r="AB374" s="56">
        <f>IF(AND(A374="", B374="", E374=""), "", TEXTJOIN("; ", TRUE, IF(OR(TRIM(A374&amp;"")="", ISNUMBER(SEARCH("FALTA", A374))), "UPC faltante/inválido", ""), IF(AND(A374&lt;&gt;"", IFERROR(_xlfn.XMATCH(A374,$A$2:$A$2509,0,1)&lt;&gt;_xlfn.XMATCH(A374,$A$2:$A$2509,0,-1),FALSE)), "Código de barras duplicado", ""), IF(AND(E374&lt;&gt;"", COUNTIF($E$2:$E$2509, E374)&gt;1), "SKU duplicado", ""), IF(OR(J374="", J374=""), "[Aviso] División no capturada ()", IF(ISNA(MATCH(J374, Criterios!$A$123:$A$126, 0)), "División no válida", "")), IF(OR(K374="", K374=""), "[Aviso] Categoría no capturada ()", IF(ISNA(MATCH(K374, Criterios!$A$81:$A$120, 0)), "Categoría no válida", IF(AND(J374&lt;&gt;"", J374&lt;&gt;"", J374&lt;&gt;VLOOKUP(K374, Criterios!$A$81:$B$120, 2, FALSE)), "División no coincide con Categoría", ""))), IF(OR(L374="", L374=""), "[Aviso] Género no capturado ()", IF(ISNA(MATCH(L374, Criterios!$B$123:$B$127, 0)), "Género no válido", "")), IF(OR(N374="", N374=""), "[Aviso] Temporada no capturada ()", IF(ISNA(MATCH(N374, Criterios!$C$123:$C$128, 0)), "Temporada no válida", "")), IF(OR(O374="", O374=""), "[Aviso] Ciclo de vida no capturado ()", IF(ISNA(MATCH(O374, Criterios!$D$123:$D$124, 0)), "Ciclo de vida no válido", ""))))</f>
        <v/>
      </c>
      <c r="AC374" s="56" t="n"/>
      <c r="AD374" s="51" t="n">
        <v>2</v>
      </c>
      <c r="AE374" s="156" t="inlineStr">
        <is>
          <t>STETSON AMERICAS (2)</t>
        </is>
      </c>
      <c r="AF374" s="51" t="n">
        <v>2</v>
      </c>
      <c r="AG374" s="156" t="inlineStr">
        <is>
          <t>Catálogo existente</t>
        </is>
      </c>
      <c r="AH3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4" s="156" t="inlineStr">
        <is>
          <t>No</t>
        </is>
      </c>
      <c r="AJ374" s="156" t="n"/>
      <c r="AK374" s="155" t="inlineStr">
        <is>
          <t>Criterios: I [Q]; G1522_Extraccion_Articulos_NetSuite_2026-09-30.xlsx: fila 58946 [R] | Shopify Stetson: producto 15054564262251 / variante 53350550077803</t>
        </is>
      </c>
      <c r="AL374" s="58" t="n">
        <v>3301.5</v>
      </c>
      <c r="AM374" s="58" t="n">
        <v>18965.51724</v>
      </c>
      <c r="AN374" s="155" t="inlineStr">
        <is>
          <t>Shopify Stetson México</t>
        </is>
      </c>
      <c r="AO374" s="59" t="n">
        <v>2</v>
      </c>
      <c r="AP374" s="59" t="n"/>
      <c r="AQ374" s="59" t="n"/>
      <c r="AR374" s="155" t="inlineStr">
        <is>
          <t>Shopify Stetson México › Stetson Americas: 2</t>
        </is>
      </c>
    </row>
    <row r="375">
      <c r="A375" s="50" t="inlineStr">
        <is>
          <t>12020004101016030</t>
        </is>
      </c>
      <c r="B375" s="51" t="inlineStr">
        <is>
          <t>111272</t>
        </is>
      </c>
      <c r="C375" s="156" t="inlineStr">
        <is>
          <t>Multimarca</t>
        </is>
      </c>
      <c r="D375" s="156" t="inlineStr">
        <is>
          <t>12-020-BS004-10-1016</t>
        </is>
      </c>
      <c r="E375" s="156" t="inlineStr">
        <is>
          <t>12-020-BS004-10-1016-030</t>
        </is>
      </c>
      <c r="F375" s="156" t="inlineStr">
        <is>
          <t>30</t>
        </is>
      </c>
      <c r="G375" s="156" t="inlineStr">
        <is>
          <t>12</t>
        </is>
      </c>
      <c r="H375" s="156" t="inlineStr">
        <is>
          <t>Stetson</t>
        </is>
      </c>
      <c r="I375" s="156" t="inlineStr">
        <is>
          <t>Bota Cocodrilo Cognac</t>
        </is>
      </c>
      <c r="J375" s="156" t="inlineStr">
        <is>
          <t>Calzado</t>
        </is>
      </c>
      <c r="K375" s="156" t="inlineStr">
        <is>
          <t>Botas</t>
        </is>
      </c>
      <c r="L375" s="156" t="inlineStr">
        <is>
          <t>Hombre</t>
        </is>
      </c>
      <c r="M375" s="156" t="inlineStr">
        <is>
          <t>Stetson</t>
        </is>
      </c>
      <c r="N375" s="156" t="inlineStr">
        <is>
          <t>SS26</t>
        </is>
      </c>
      <c r="O375" s="156" t="inlineStr">
        <is>
          <t>Seasonal</t>
        </is>
      </c>
      <c r="P375" s="156" t="inlineStr">
        <is>
          <t>Cafe</t>
        </is>
      </c>
      <c r="Q375" s="156" t="n"/>
      <c r="R375" s="156" t="inlineStr">
        <is>
          <t>Punta Redonda Ancha</t>
        </is>
      </c>
      <c r="S375" s="156" t="inlineStr">
        <is>
          <t>Piel de cocodrilo</t>
        </is>
      </c>
      <c r="T375" s="156" t="inlineStr">
        <is>
          <t>Bota Caballero Piel de cocodrilo Cognac Punta Redonda Ancha</t>
        </is>
      </c>
      <c r="U375" s="156" t="inlineStr">
        <is>
          <t>México</t>
        </is>
      </c>
      <c r="V375" s="156" t="inlineStr">
        <is>
          <t>PRS</t>
        </is>
      </c>
      <c r="W375" s="51" t="inlineStr">
        <is>
          <t>53111501</t>
        </is>
      </c>
      <c r="X375" s="156" t="n"/>
      <c r="Y375" s="54" t="n">
        <v>3301.5</v>
      </c>
      <c r="Z375" s="54" t="n">
        <v>18965.51724</v>
      </c>
      <c r="AA375" s="55">
        <f>IF(AND(A375="", B375="", E375=""), "", IF(AB375="", "Válido", IF((LEN(AB375)-LEN(SUBSTITUTE(AB375,"; ","")))/2+1&gt;(LEN(AB375)-LEN(SUBSTITUTE(AB375,"[Aviso]","")))/7, "Con Incidencias", "Válido")))</f>
        <v/>
      </c>
      <c r="AB375" s="56">
        <f>IF(AND(A375="", B375="", E375=""), "", TEXTJOIN("; ", TRUE, IF(OR(TRIM(A375&amp;"")="", ISNUMBER(SEARCH("FALTA", A375))), "UPC faltante/inválido", ""), IF(AND(A375&lt;&gt;"", IFERROR(_xlfn.XMATCH(A375,$A$2:$A$2509,0,1)&lt;&gt;_xlfn.XMATCH(A375,$A$2:$A$2509,0,-1),FALSE)), "Código de barras duplicado", ""), IF(AND(E375&lt;&gt;"", COUNTIF($E$2:$E$2509, E375)&gt;1), "SKU duplicado", ""), IF(OR(J375="", J375=""), "[Aviso] División no capturada ()", IF(ISNA(MATCH(J375, Criterios!$A$123:$A$126, 0)), "División no válida", "")), IF(OR(K375="", K375=""), "[Aviso] Categoría no capturada ()", IF(ISNA(MATCH(K375, Criterios!$A$81:$A$120, 0)), "Categoría no válida", IF(AND(J375&lt;&gt;"", J375&lt;&gt;"", J375&lt;&gt;VLOOKUP(K375, Criterios!$A$81:$B$120, 2, FALSE)), "División no coincide con Categoría", ""))), IF(OR(L375="", L375=""), "[Aviso] Género no capturado ()", IF(ISNA(MATCH(L375, Criterios!$B$123:$B$127, 0)), "Género no válido", "")), IF(OR(N375="", N375=""), "[Aviso] Temporada no capturada ()", IF(ISNA(MATCH(N375, Criterios!$C$123:$C$128, 0)), "Temporada no válida", "")), IF(OR(O375="", O375=""), "[Aviso] Ciclo de vida no capturado ()", IF(ISNA(MATCH(O375, Criterios!$D$123:$D$124, 0)), "Ciclo de vida no válido", ""))))</f>
        <v/>
      </c>
      <c r="AC375" s="56" t="n"/>
      <c r="AD375" s="51" t="n">
        <v>0</v>
      </c>
      <c r="AE375" s="156" t="n"/>
      <c r="AF375" s="51" t="n">
        <v>0</v>
      </c>
      <c r="AG375" s="156" t="inlineStr">
        <is>
          <t>Catálogo existente</t>
        </is>
      </c>
      <c r="AH3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5" s="156" t="inlineStr">
        <is>
          <t>No</t>
        </is>
      </c>
      <c r="AJ375" s="156" t="n"/>
      <c r="AK375" s="155" t="inlineStr">
        <is>
          <t>Criterios: I [Q]; G1522_Extraccion_Articulos_NetSuite_2026-09-30.xlsx: fila 58947 [R] | Shopify Stetson: producto 15054564262251 / variante 53350550143339</t>
        </is>
      </c>
      <c r="AL375" s="58" t="n">
        <v>3301.5</v>
      </c>
      <c r="AM375" s="58" t="n">
        <v>18965.51724</v>
      </c>
      <c r="AN375" s="155" t="inlineStr">
        <is>
          <t>Shopify Stetson México</t>
        </is>
      </c>
      <c r="AO375" s="59" t="n">
        <v>0</v>
      </c>
      <c r="AP375" s="59" t="n"/>
      <c r="AQ375" s="59" t="n"/>
      <c r="AR375" s="155" t="n"/>
    </row>
    <row r="376">
      <c r="A376" s="50" t="inlineStr">
        <is>
          <t>12020004101016031</t>
        </is>
      </c>
      <c r="B376" s="51" t="inlineStr">
        <is>
          <t>111273</t>
        </is>
      </c>
      <c r="C376" s="156" t="inlineStr">
        <is>
          <t>Multimarca</t>
        </is>
      </c>
      <c r="D376" s="156" t="inlineStr">
        <is>
          <t>12-020-BS004-10-1016</t>
        </is>
      </c>
      <c r="E376" s="156" t="inlineStr">
        <is>
          <t>12-020-BS004-10-1016-031</t>
        </is>
      </c>
      <c r="F376" s="156" t="inlineStr">
        <is>
          <t>31</t>
        </is>
      </c>
      <c r="G376" s="156" t="inlineStr">
        <is>
          <t>13</t>
        </is>
      </c>
      <c r="H376" s="156" t="inlineStr">
        <is>
          <t>Stetson</t>
        </is>
      </c>
      <c r="I376" s="156" t="inlineStr">
        <is>
          <t>Bota Cocodrilo Cognac</t>
        </is>
      </c>
      <c r="J376" s="156" t="inlineStr">
        <is>
          <t>Calzado</t>
        </is>
      </c>
      <c r="K376" s="156" t="inlineStr">
        <is>
          <t>Botas</t>
        </is>
      </c>
      <c r="L376" s="156" t="inlineStr">
        <is>
          <t>Hombre</t>
        </is>
      </c>
      <c r="M376" s="156" t="inlineStr">
        <is>
          <t>Stetson</t>
        </is>
      </c>
      <c r="N376" s="156" t="inlineStr">
        <is>
          <t>SS26</t>
        </is>
      </c>
      <c r="O376" s="156" t="inlineStr">
        <is>
          <t>Seasonal</t>
        </is>
      </c>
      <c r="P376" s="156" t="inlineStr">
        <is>
          <t>Cafe</t>
        </is>
      </c>
      <c r="Q376" s="156" t="n"/>
      <c r="R376" s="156" t="inlineStr">
        <is>
          <t>Punta Redonda Ancha</t>
        </is>
      </c>
      <c r="S376" s="156" t="inlineStr">
        <is>
          <t>Piel de cocodrilo</t>
        </is>
      </c>
      <c r="T376" s="156" t="inlineStr">
        <is>
          <t>Bota Caballero Piel de cocodrilo Cognac Punta Redonda Ancha</t>
        </is>
      </c>
      <c r="U376" s="156" t="inlineStr">
        <is>
          <t>México</t>
        </is>
      </c>
      <c r="V376" s="156" t="inlineStr">
        <is>
          <t>PRS</t>
        </is>
      </c>
      <c r="W376" s="51" t="inlineStr">
        <is>
          <t>53111501</t>
        </is>
      </c>
      <c r="X376" s="156" t="n"/>
      <c r="Y376" s="54" t="n">
        <v>3301.5</v>
      </c>
      <c r="Z376" s="54" t="n">
        <v>18965.51724</v>
      </c>
      <c r="AA376" s="55">
        <f>IF(AND(A376="", B376="", E376=""), "", IF(AB376="", "Válido", IF((LEN(AB376)-LEN(SUBSTITUTE(AB376,"; ","")))/2+1&gt;(LEN(AB376)-LEN(SUBSTITUTE(AB376,"[Aviso]","")))/7, "Con Incidencias", "Válido")))</f>
        <v/>
      </c>
      <c r="AB376" s="56">
        <f>IF(AND(A376="", B376="", E376=""), "", TEXTJOIN("; ", TRUE, IF(OR(TRIM(A376&amp;"")="", ISNUMBER(SEARCH("FALTA", A376))), "UPC faltante/inválido", ""), IF(AND(A376&lt;&gt;"", IFERROR(_xlfn.XMATCH(A376,$A$2:$A$2509,0,1)&lt;&gt;_xlfn.XMATCH(A376,$A$2:$A$2509,0,-1),FALSE)), "Código de barras duplicado", ""), IF(AND(E376&lt;&gt;"", COUNTIF($E$2:$E$2509, E376)&gt;1), "SKU duplicado", ""), IF(OR(J376="", J376=""), "[Aviso] División no capturada ()", IF(ISNA(MATCH(J376, Criterios!$A$123:$A$126, 0)), "División no válida", "")), IF(OR(K376="", K376=""), "[Aviso] Categoría no capturada ()", IF(ISNA(MATCH(K376, Criterios!$A$81:$A$120, 0)), "Categoría no válida", IF(AND(J376&lt;&gt;"", J376&lt;&gt;"", J376&lt;&gt;VLOOKUP(K376, Criterios!$A$81:$B$120, 2, FALSE)), "División no coincide con Categoría", ""))), IF(OR(L376="", L376=""), "[Aviso] Género no capturado ()", IF(ISNA(MATCH(L376, Criterios!$B$123:$B$127, 0)), "Género no válido", "")), IF(OR(N376="", N376=""), "[Aviso] Temporada no capturada ()", IF(ISNA(MATCH(N376, Criterios!$C$123:$C$128, 0)), "Temporada no válida", "")), IF(OR(O376="", O376=""), "[Aviso] Ciclo de vida no capturado ()", IF(ISNA(MATCH(O376, Criterios!$D$123:$D$124, 0)), "Ciclo de vida no válido", ""))))</f>
        <v/>
      </c>
      <c r="AC376" s="56" t="n"/>
      <c r="AD376" s="51" t="n">
        <v>0</v>
      </c>
      <c r="AE376" s="156" t="n"/>
      <c r="AF376" s="51" t="n">
        <v>0</v>
      </c>
      <c r="AG376" s="156" t="inlineStr">
        <is>
          <t>Catálogo existente</t>
        </is>
      </c>
      <c r="AH3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6" s="156" t="inlineStr">
        <is>
          <t>No</t>
        </is>
      </c>
      <c r="AJ376" s="156" t="n"/>
      <c r="AK376" s="155" t="inlineStr">
        <is>
          <t>Criterios: I [Q]; G1522_Extraccion_Articulos_NetSuite_2026-09-30.xlsx: fila 58948 [R] | Shopify Stetson: producto 15054564262251 / variante 53350550208875</t>
        </is>
      </c>
      <c r="AL376" s="58" t="n">
        <v>3301.5</v>
      </c>
      <c r="AM376" s="58" t="n">
        <v>18965.51724</v>
      </c>
      <c r="AN376" s="155" t="inlineStr">
        <is>
          <t>Shopify Stetson México</t>
        </is>
      </c>
      <c r="AO376" s="59" t="n">
        <v>0</v>
      </c>
      <c r="AP376" s="59" t="n"/>
      <c r="AQ376" s="59" t="n"/>
      <c r="AR376" s="155" t="n"/>
    </row>
    <row r="377">
      <c r="A377" s="50" t="inlineStr">
        <is>
          <t>12020004101016032</t>
        </is>
      </c>
      <c r="B377" s="51" t="inlineStr">
        <is>
          <t>111274</t>
        </is>
      </c>
      <c r="C377" s="156" t="inlineStr">
        <is>
          <t>Multimarca</t>
        </is>
      </c>
      <c r="D377" s="156" t="inlineStr">
        <is>
          <t>12-020-BS004-10-1016</t>
        </is>
      </c>
      <c r="E377" s="156" t="inlineStr">
        <is>
          <t>12-020-BS004-10-1016-032</t>
        </is>
      </c>
      <c r="F377" s="156" t="inlineStr">
        <is>
          <t>32</t>
        </is>
      </c>
      <c r="G377" s="156" t="inlineStr">
        <is>
          <t>14</t>
        </is>
      </c>
      <c r="H377" s="156" t="inlineStr">
        <is>
          <t>Stetson</t>
        </is>
      </c>
      <c r="I377" s="156" t="inlineStr">
        <is>
          <t>Bota Cocodrilo Cognac</t>
        </is>
      </c>
      <c r="J377" s="156" t="inlineStr">
        <is>
          <t>Calzado</t>
        </is>
      </c>
      <c r="K377" s="156" t="inlineStr">
        <is>
          <t>Botas</t>
        </is>
      </c>
      <c r="L377" s="156" t="inlineStr">
        <is>
          <t>Hombre</t>
        </is>
      </c>
      <c r="M377" s="156" t="inlineStr">
        <is>
          <t>Stetson</t>
        </is>
      </c>
      <c r="N377" s="156" t="inlineStr">
        <is>
          <t>SS26</t>
        </is>
      </c>
      <c r="O377" s="156" t="inlineStr">
        <is>
          <t>Seasonal</t>
        </is>
      </c>
      <c r="P377" s="156" t="inlineStr">
        <is>
          <t>Cafe</t>
        </is>
      </c>
      <c r="Q377" s="156" t="n"/>
      <c r="R377" s="156" t="inlineStr">
        <is>
          <t>Punta Redonda Ancha</t>
        </is>
      </c>
      <c r="S377" s="156" t="inlineStr">
        <is>
          <t>Piel de cocodrilo</t>
        </is>
      </c>
      <c r="T377" s="156" t="inlineStr">
        <is>
          <t>Bota Caballero Piel de cocodrilo Cognac Punta Redonda Ancha</t>
        </is>
      </c>
      <c r="U377" s="156" t="inlineStr">
        <is>
          <t>México</t>
        </is>
      </c>
      <c r="V377" s="156" t="inlineStr">
        <is>
          <t>PRS</t>
        </is>
      </c>
      <c r="W377" s="51" t="inlineStr">
        <is>
          <t>53111501</t>
        </is>
      </c>
      <c r="X377" s="156" t="n"/>
      <c r="Y377" s="54" t="n">
        <v>3301.5</v>
      </c>
      <c r="Z377" s="54" t="n">
        <v>18965.51724</v>
      </c>
      <c r="AA377" s="55">
        <f>IF(AND(A377="", B377="", E377=""), "", IF(AB377="", "Válido", IF((LEN(AB377)-LEN(SUBSTITUTE(AB377,"; ","")))/2+1&gt;(LEN(AB377)-LEN(SUBSTITUTE(AB377,"[Aviso]","")))/7, "Con Incidencias", "Válido")))</f>
        <v/>
      </c>
      <c r="AB377" s="56">
        <f>IF(AND(A377="", B377="", E377=""), "", TEXTJOIN("; ", TRUE, IF(OR(TRIM(A377&amp;"")="", ISNUMBER(SEARCH("FALTA", A377))), "UPC faltante/inválido", ""), IF(AND(A377&lt;&gt;"", IFERROR(_xlfn.XMATCH(A377,$A$2:$A$2509,0,1)&lt;&gt;_xlfn.XMATCH(A377,$A$2:$A$2509,0,-1),FALSE)), "Código de barras duplicado", ""), IF(AND(E377&lt;&gt;"", COUNTIF($E$2:$E$2509, E377)&gt;1), "SKU duplicado", ""), IF(OR(J377="", J377=""), "[Aviso] División no capturada ()", IF(ISNA(MATCH(J377, Criterios!$A$123:$A$126, 0)), "División no válida", "")), IF(OR(K377="", K377=""), "[Aviso] Categoría no capturada ()", IF(ISNA(MATCH(K377, Criterios!$A$81:$A$120, 0)), "Categoría no válida", IF(AND(J377&lt;&gt;"", J377&lt;&gt;"", J377&lt;&gt;VLOOKUP(K377, Criterios!$A$81:$B$120, 2, FALSE)), "División no coincide con Categoría", ""))), IF(OR(L377="", L377=""), "[Aviso] Género no capturado ()", IF(ISNA(MATCH(L377, Criterios!$B$123:$B$127, 0)), "Género no válido", "")), IF(OR(N377="", N377=""), "[Aviso] Temporada no capturada ()", IF(ISNA(MATCH(N377, Criterios!$C$123:$C$128, 0)), "Temporada no válida", "")), IF(OR(O377="", O377=""), "[Aviso] Ciclo de vida no capturado ()", IF(ISNA(MATCH(O377, Criterios!$D$123:$D$124, 0)), "Ciclo de vida no válido", ""))))</f>
        <v/>
      </c>
      <c r="AC377" s="56" t="n"/>
      <c r="AD377" s="51" t="n">
        <v>0</v>
      </c>
      <c r="AE377" s="156" t="n"/>
      <c r="AF377" s="51" t="n">
        <v>0</v>
      </c>
      <c r="AG377" s="156" t="inlineStr">
        <is>
          <t>Catálogo existente</t>
        </is>
      </c>
      <c r="AH3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7" s="156" t="inlineStr">
        <is>
          <t>No</t>
        </is>
      </c>
      <c r="AJ377" s="156" t="n"/>
      <c r="AK377" s="155" t="inlineStr">
        <is>
          <t>Criterios: I [Q]; G1522_Extraccion_Articulos_NetSuite_2026-09-30.xlsx: fila 58949 [R] | Shopify Stetson: producto 15054564262251 / variante 53350550274411</t>
        </is>
      </c>
      <c r="AL377" s="58" t="n">
        <v>3301.5</v>
      </c>
      <c r="AM377" s="58" t="n">
        <v>18965.51724</v>
      </c>
      <c r="AN377" s="155" t="inlineStr">
        <is>
          <t>Shopify Stetson México</t>
        </is>
      </c>
      <c r="AO377" s="59" t="n">
        <v>0</v>
      </c>
      <c r="AP377" s="59" t="n"/>
      <c r="AQ377" s="59" t="n"/>
      <c r="AR377" s="155" t="n"/>
    </row>
    <row r="378">
      <c r="A378" s="50" t="inlineStr">
        <is>
          <t>12020004101016255</t>
        </is>
      </c>
      <c r="B378" s="51" t="inlineStr">
        <is>
          <t>111275</t>
        </is>
      </c>
      <c r="C378" s="156" t="inlineStr">
        <is>
          <t>Multimarca</t>
        </is>
      </c>
      <c r="D378" s="156" t="inlineStr">
        <is>
          <t>12-020-BS004-10-1016</t>
        </is>
      </c>
      <c r="E378" s="156" t="inlineStr">
        <is>
          <t>12-020-BS004-10-1016-255</t>
        </is>
      </c>
      <c r="F378" s="156" t="inlineStr">
        <is>
          <t>25.5</t>
        </is>
      </c>
      <c r="G378" s="156" t="inlineStr">
        <is>
          <t>7.5</t>
        </is>
      </c>
      <c r="H378" s="156" t="inlineStr">
        <is>
          <t>Stetson</t>
        </is>
      </c>
      <c r="I378" s="156" t="inlineStr">
        <is>
          <t>Bota Cocodrilo Cognac</t>
        </is>
      </c>
      <c r="J378" s="156" t="inlineStr">
        <is>
          <t>Calzado</t>
        </is>
      </c>
      <c r="K378" s="156" t="inlineStr">
        <is>
          <t>Botas</t>
        </is>
      </c>
      <c r="L378" s="156" t="inlineStr">
        <is>
          <t>Hombre</t>
        </is>
      </c>
      <c r="M378" s="156" t="inlineStr">
        <is>
          <t>Stetson</t>
        </is>
      </c>
      <c r="N378" s="156" t="inlineStr">
        <is>
          <t>SS26</t>
        </is>
      </c>
      <c r="O378" s="156" t="inlineStr">
        <is>
          <t>Seasonal</t>
        </is>
      </c>
      <c r="P378" s="156" t="inlineStr">
        <is>
          <t>Cafe</t>
        </is>
      </c>
      <c r="Q378" s="156" t="n"/>
      <c r="R378" s="156" t="inlineStr">
        <is>
          <t>Punta Redonda Ancha</t>
        </is>
      </c>
      <c r="S378" s="156" t="inlineStr">
        <is>
          <t>Piel de cocodrilo</t>
        </is>
      </c>
      <c r="T378" s="156" t="inlineStr">
        <is>
          <t>Bota Caballero Piel de cocodrilo Cognac Punta Redonda Ancha</t>
        </is>
      </c>
      <c r="U378" s="156" t="inlineStr">
        <is>
          <t>México</t>
        </is>
      </c>
      <c r="V378" s="156" t="inlineStr">
        <is>
          <t>PRS</t>
        </is>
      </c>
      <c r="W378" s="51" t="inlineStr">
        <is>
          <t>53111501</t>
        </is>
      </c>
      <c r="X378" s="156" t="n"/>
      <c r="Y378" s="54" t="n">
        <v>3301.5</v>
      </c>
      <c r="Z378" s="54" t="n">
        <v>18965.51724</v>
      </c>
      <c r="AA378" s="55">
        <f>IF(AND(A378="", B378="", E378=""), "", IF(AB378="", "Válido", IF((LEN(AB378)-LEN(SUBSTITUTE(AB378,"; ","")))/2+1&gt;(LEN(AB378)-LEN(SUBSTITUTE(AB378,"[Aviso]","")))/7, "Con Incidencias", "Válido")))</f>
        <v/>
      </c>
      <c r="AB378" s="56">
        <f>IF(AND(A378="", B378="", E378=""), "", TEXTJOIN("; ", TRUE, IF(OR(TRIM(A378&amp;"")="", ISNUMBER(SEARCH("FALTA", A378))), "UPC faltante/inválido", ""), IF(AND(A378&lt;&gt;"", IFERROR(_xlfn.XMATCH(A378,$A$2:$A$2509,0,1)&lt;&gt;_xlfn.XMATCH(A378,$A$2:$A$2509,0,-1),FALSE)), "Código de barras duplicado", ""), IF(AND(E378&lt;&gt;"", COUNTIF($E$2:$E$2509, E378)&gt;1), "SKU duplicado", ""), IF(OR(J378="", J378=""), "[Aviso] División no capturada ()", IF(ISNA(MATCH(J378, Criterios!$A$123:$A$126, 0)), "División no válida", "")), IF(OR(K378="", K378=""), "[Aviso] Categoría no capturada ()", IF(ISNA(MATCH(K378, Criterios!$A$81:$A$120, 0)), "Categoría no válida", IF(AND(J378&lt;&gt;"", J378&lt;&gt;"", J378&lt;&gt;VLOOKUP(K378, Criterios!$A$81:$B$120, 2, FALSE)), "División no coincide con Categoría", ""))), IF(OR(L378="", L378=""), "[Aviso] Género no capturado ()", IF(ISNA(MATCH(L378, Criterios!$B$123:$B$127, 0)), "Género no válido", "")), IF(OR(N378="", N378=""), "[Aviso] Temporada no capturada ()", IF(ISNA(MATCH(N378, Criterios!$C$123:$C$128, 0)), "Temporada no válida", "")), IF(OR(O378="", O378=""), "[Aviso] Ciclo de vida no capturado ()", IF(ISNA(MATCH(O378, Criterios!$D$123:$D$124, 0)), "Ciclo de vida no válido", ""))))</f>
        <v/>
      </c>
      <c r="AC378" s="56" t="n"/>
      <c r="AD378" s="51" t="n">
        <v>0</v>
      </c>
      <c r="AE378" s="156" t="n"/>
      <c r="AF378" s="51" t="n">
        <v>0</v>
      </c>
      <c r="AG378" s="156" t="inlineStr">
        <is>
          <t>Catálogo existente</t>
        </is>
      </c>
      <c r="AH3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8" s="156" t="inlineStr">
        <is>
          <t>No</t>
        </is>
      </c>
      <c r="AJ378" s="156" t="n"/>
      <c r="AK378" s="155" t="inlineStr">
        <is>
          <t>Criterios: I [Q]; G1522_Extraccion_Articulos_NetSuite_2026-09-30.xlsx: fila 58950 [R] | Shopify Stetson: producto 15054564262251 / variante 53350549848427</t>
        </is>
      </c>
      <c r="AL378" s="58" t="n">
        <v>3301.5</v>
      </c>
      <c r="AM378" s="58" t="n">
        <v>18965.51724</v>
      </c>
      <c r="AN378" s="155" t="inlineStr">
        <is>
          <t>Shopify Stetson México</t>
        </is>
      </c>
      <c r="AO378" s="59" t="n">
        <v>0</v>
      </c>
      <c r="AP378" s="59" t="n"/>
      <c r="AQ378" s="59" t="n"/>
      <c r="AR378" s="155" t="n"/>
    </row>
    <row r="379">
      <c r="A379" s="50" t="inlineStr">
        <is>
          <t>12020004101016265</t>
        </is>
      </c>
      <c r="B379" s="51" t="inlineStr">
        <is>
          <t>111276</t>
        </is>
      </c>
      <c r="C379" s="156" t="inlineStr">
        <is>
          <t>Multimarca</t>
        </is>
      </c>
      <c r="D379" s="156" t="inlineStr">
        <is>
          <t>12-020-BS004-10-1016</t>
        </is>
      </c>
      <c r="E379" s="156" t="inlineStr">
        <is>
          <t>12-020-BS004-10-1016-265</t>
        </is>
      </c>
      <c r="F379" s="156" t="inlineStr">
        <is>
          <t>26.5</t>
        </is>
      </c>
      <c r="G379" s="156" t="inlineStr">
        <is>
          <t>8.5</t>
        </is>
      </c>
      <c r="H379" s="156" t="inlineStr">
        <is>
          <t>Stetson</t>
        </is>
      </c>
      <c r="I379" s="156" t="inlineStr">
        <is>
          <t>Bota Cocodrilo Cognac</t>
        </is>
      </c>
      <c r="J379" s="156" t="inlineStr">
        <is>
          <t>Calzado</t>
        </is>
      </c>
      <c r="K379" s="156" t="inlineStr">
        <is>
          <t>Botas</t>
        </is>
      </c>
      <c r="L379" s="156" t="inlineStr">
        <is>
          <t>Hombre</t>
        </is>
      </c>
      <c r="M379" s="156" t="inlineStr">
        <is>
          <t>Stetson</t>
        </is>
      </c>
      <c r="N379" s="156" t="inlineStr">
        <is>
          <t>SS26</t>
        </is>
      </c>
      <c r="O379" s="156" t="inlineStr">
        <is>
          <t>Seasonal</t>
        </is>
      </c>
      <c r="P379" s="156" t="inlineStr">
        <is>
          <t>Cafe</t>
        </is>
      </c>
      <c r="Q379" s="156" t="n"/>
      <c r="R379" s="156" t="inlineStr">
        <is>
          <t>Punta Redonda Ancha</t>
        </is>
      </c>
      <c r="S379" s="156" t="inlineStr">
        <is>
          <t>Piel de cocodrilo</t>
        </is>
      </c>
      <c r="T379" s="156" t="inlineStr">
        <is>
          <t>Bota Caballero Piel de cocodrilo Cognac Punta Redonda Ancha</t>
        </is>
      </c>
      <c r="U379" s="156" t="inlineStr">
        <is>
          <t>México</t>
        </is>
      </c>
      <c r="V379" s="156" t="inlineStr">
        <is>
          <t>PRS</t>
        </is>
      </c>
      <c r="W379" s="51" t="inlineStr">
        <is>
          <t>53111501</t>
        </is>
      </c>
      <c r="X379" s="156" t="n"/>
      <c r="Y379" s="54" t="n">
        <v>3301.5</v>
      </c>
      <c r="Z379" s="54" t="n">
        <v>18965.51724</v>
      </c>
      <c r="AA379" s="55">
        <f>IF(AND(A379="", B379="", E379=""), "", IF(AB379="", "Válido", IF((LEN(AB379)-LEN(SUBSTITUTE(AB379,"; ","")))/2+1&gt;(LEN(AB379)-LEN(SUBSTITUTE(AB379,"[Aviso]","")))/7, "Con Incidencias", "Válido")))</f>
        <v/>
      </c>
      <c r="AB379" s="56">
        <f>IF(AND(A379="", B379="", E379=""), "", TEXTJOIN("; ", TRUE, IF(OR(TRIM(A379&amp;"")="", ISNUMBER(SEARCH("FALTA", A379))), "UPC faltante/inválido", ""), IF(AND(A379&lt;&gt;"", IFERROR(_xlfn.XMATCH(A379,$A$2:$A$2509,0,1)&lt;&gt;_xlfn.XMATCH(A379,$A$2:$A$2509,0,-1),FALSE)), "Código de barras duplicado", ""), IF(AND(E379&lt;&gt;"", COUNTIF($E$2:$E$2509, E379)&gt;1), "SKU duplicado", ""), IF(OR(J379="", J379=""), "[Aviso] División no capturada ()", IF(ISNA(MATCH(J379, Criterios!$A$123:$A$126, 0)), "División no válida", "")), IF(OR(K379="", K379=""), "[Aviso] Categoría no capturada ()", IF(ISNA(MATCH(K379, Criterios!$A$81:$A$120, 0)), "Categoría no válida", IF(AND(J379&lt;&gt;"", J379&lt;&gt;"", J379&lt;&gt;VLOOKUP(K379, Criterios!$A$81:$B$120, 2, FALSE)), "División no coincide con Categoría", ""))), IF(OR(L379="", L379=""), "[Aviso] Género no capturado ()", IF(ISNA(MATCH(L379, Criterios!$B$123:$B$127, 0)), "Género no válido", "")), IF(OR(N379="", N379=""), "[Aviso] Temporada no capturada ()", IF(ISNA(MATCH(N379, Criterios!$C$123:$C$128, 0)), "Temporada no válida", "")), IF(OR(O379="", O379=""), "[Aviso] Ciclo de vida no capturado ()", IF(ISNA(MATCH(O379, Criterios!$D$123:$D$124, 0)), "Ciclo de vida no válido", ""))))</f>
        <v/>
      </c>
      <c r="AC379" s="56" t="n"/>
      <c r="AD379" s="51" t="n">
        <v>1</v>
      </c>
      <c r="AE379" s="156" t="inlineStr">
        <is>
          <t>STETSON AMERICAS (1)</t>
        </is>
      </c>
      <c r="AF379" s="51" t="n">
        <v>1</v>
      </c>
      <c r="AG379" s="156" t="inlineStr">
        <is>
          <t>Catálogo existente</t>
        </is>
      </c>
      <c r="AH3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9" s="156" t="inlineStr">
        <is>
          <t>No</t>
        </is>
      </c>
      <c r="AJ379" s="156" t="n"/>
      <c r="AK379" s="155" t="inlineStr">
        <is>
          <t>Criterios: I [Q]; G1522_Extraccion_Articulos_NetSuite_2026-09-30.xlsx: fila 58951 [R] | Shopify Stetson: producto 15054564262251 / variante 53350549913963</t>
        </is>
      </c>
      <c r="AL379" s="58" t="n">
        <v>3301.5</v>
      </c>
      <c r="AM379" s="58" t="n">
        <v>18965.51724</v>
      </c>
      <c r="AN379" s="155" t="inlineStr">
        <is>
          <t>Shopify Stetson México</t>
        </is>
      </c>
      <c r="AO379" s="59" t="n">
        <v>1</v>
      </c>
      <c r="AP379" s="59" t="n"/>
      <c r="AQ379" s="59" t="n"/>
      <c r="AR379" s="155" t="inlineStr">
        <is>
          <t>Shopify Stetson México › Stetson Americas: 1</t>
        </is>
      </c>
    </row>
    <row r="380">
      <c r="A380" s="50" t="inlineStr">
        <is>
          <t>12020004101016275</t>
        </is>
      </c>
      <c r="B380" s="51" t="inlineStr">
        <is>
          <t>111277</t>
        </is>
      </c>
      <c r="C380" s="156" t="inlineStr">
        <is>
          <t>Multimarca</t>
        </is>
      </c>
      <c r="D380" s="156" t="inlineStr">
        <is>
          <t>12-020-BS004-10-1016</t>
        </is>
      </c>
      <c r="E380" s="156" t="inlineStr">
        <is>
          <t>12-020-BS004-10-1016-275</t>
        </is>
      </c>
      <c r="F380" s="156" t="inlineStr">
        <is>
          <t>27.5</t>
        </is>
      </c>
      <c r="G380" s="156" t="inlineStr">
        <is>
          <t>9.5</t>
        </is>
      </c>
      <c r="H380" s="156" t="inlineStr">
        <is>
          <t>Stetson</t>
        </is>
      </c>
      <c r="I380" s="156" t="inlineStr">
        <is>
          <t>Bota Cocodrilo Cognac</t>
        </is>
      </c>
      <c r="J380" s="156" t="inlineStr">
        <is>
          <t>Calzado</t>
        </is>
      </c>
      <c r="K380" s="156" t="inlineStr">
        <is>
          <t>Botas</t>
        </is>
      </c>
      <c r="L380" s="156" t="inlineStr">
        <is>
          <t>Hombre</t>
        </is>
      </c>
      <c r="M380" s="156" t="inlineStr">
        <is>
          <t>Stetson</t>
        </is>
      </c>
      <c r="N380" s="156" t="inlineStr">
        <is>
          <t>SS26</t>
        </is>
      </c>
      <c r="O380" s="156" t="inlineStr">
        <is>
          <t>Seasonal</t>
        </is>
      </c>
      <c r="P380" s="156" t="inlineStr">
        <is>
          <t>Cafe</t>
        </is>
      </c>
      <c r="Q380" s="156" t="n"/>
      <c r="R380" s="156" t="inlineStr">
        <is>
          <t>Punta Redonda Ancha</t>
        </is>
      </c>
      <c r="S380" s="156" t="inlineStr">
        <is>
          <t>Piel de cocodrilo</t>
        </is>
      </c>
      <c r="T380" s="156" t="inlineStr">
        <is>
          <t>Bota Caballero Piel de cocodrilo Cognac Punta Redonda Ancha</t>
        </is>
      </c>
      <c r="U380" s="156" t="inlineStr">
        <is>
          <t>México</t>
        </is>
      </c>
      <c r="V380" s="156" t="inlineStr">
        <is>
          <t>PRS</t>
        </is>
      </c>
      <c r="W380" s="51" t="inlineStr">
        <is>
          <t>53111501</t>
        </is>
      </c>
      <c r="X380" s="156" t="n"/>
      <c r="Y380" s="54" t="n">
        <v>3301.5</v>
      </c>
      <c r="Z380" s="54" t="n">
        <v>18965.51724</v>
      </c>
      <c r="AA380" s="55">
        <f>IF(AND(A380="", B380="", E380=""), "", IF(AB380="", "Válido", IF((LEN(AB380)-LEN(SUBSTITUTE(AB380,"; ","")))/2+1&gt;(LEN(AB380)-LEN(SUBSTITUTE(AB380,"[Aviso]","")))/7, "Con Incidencias", "Válido")))</f>
        <v/>
      </c>
      <c r="AB380" s="56">
        <f>IF(AND(A380="", B380="", E380=""), "", TEXTJOIN("; ", TRUE, IF(OR(TRIM(A380&amp;"")="", ISNUMBER(SEARCH("FALTA", A380))), "UPC faltante/inválido", ""), IF(AND(A380&lt;&gt;"", IFERROR(_xlfn.XMATCH(A380,$A$2:$A$2509,0,1)&lt;&gt;_xlfn.XMATCH(A380,$A$2:$A$2509,0,-1),FALSE)), "Código de barras duplicado", ""), IF(AND(E380&lt;&gt;"", COUNTIF($E$2:$E$2509, E380)&gt;1), "SKU duplicado", ""), IF(OR(J380="", J380=""), "[Aviso] División no capturada ()", IF(ISNA(MATCH(J380, Criterios!$A$123:$A$126, 0)), "División no válida", "")), IF(OR(K380="", K380=""), "[Aviso] Categoría no capturada ()", IF(ISNA(MATCH(K380, Criterios!$A$81:$A$120, 0)), "Categoría no válida", IF(AND(J380&lt;&gt;"", J380&lt;&gt;"", J380&lt;&gt;VLOOKUP(K380, Criterios!$A$81:$B$120, 2, FALSE)), "División no coincide con Categoría", ""))), IF(OR(L380="", L380=""), "[Aviso] Género no capturado ()", IF(ISNA(MATCH(L380, Criterios!$B$123:$B$127, 0)), "Género no válido", "")), IF(OR(N380="", N380=""), "[Aviso] Temporada no capturada ()", IF(ISNA(MATCH(N380, Criterios!$C$123:$C$128, 0)), "Temporada no válida", "")), IF(OR(O380="", O380=""), "[Aviso] Ciclo de vida no capturado ()", IF(ISNA(MATCH(O380, Criterios!$D$123:$D$124, 0)), "Ciclo de vida no válido", ""))))</f>
        <v/>
      </c>
      <c r="AC380" s="56" t="n"/>
      <c r="AD380" s="51" t="n">
        <v>2</v>
      </c>
      <c r="AE380" s="156" t="inlineStr">
        <is>
          <t>STETSON AMERICAS (2)</t>
        </is>
      </c>
      <c r="AF380" s="51" t="n">
        <v>2</v>
      </c>
      <c r="AG380" s="156" t="inlineStr">
        <is>
          <t>Catálogo existente</t>
        </is>
      </c>
      <c r="AH3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0" s="156" t="inlineStr">
        <is>
          <t>No</t>
        </is>
      </c>
      <c r="AJ380" s="156" t="n"/>
      <c r="AK380" s="155" t="inlineStr">
        <is>
          <t>Criterios: I [Q]; G1522_Extraccion_Articulos_NetSuite_2026-09-30.xlsx: fila 58952 [R] | Shopify Stetson: producto 15054564262251 / variante 53350549979499</t>
        </is>
      </c>
      <c r="AL380" s="58" t="n">
        <v>3301.5</v>
      </c>
      <c r="AM380" s="58" t="n">
        <v>18965.51724</v>
      </c>
      <c r="AN380" s="155" t="inlineStr">
        <is>
          <t>Shopify Stetson México</t>
        </is>
      </c>
      <c r="AO380" s="59" t="n">
        <v>2</v>
      </c>
      <c r="AP380" s="59" t="n"/>
      <c r="AQ380" s="59" t="n"/>
      <c r="AR380" s="155" t="inlineStr">
        <is>
          <t>Shopify Stetson México › Stetson Americas: 2</t>
        </is>
      </c>
    </row>
    <row r="381">
      <c r="A381" s="50" t="inlineStr">
        <is>
          <t>12020004101016285</t>
        </is>
      </c>
      <c r="B381" s="51" t="inlineStr">
        <is>
          <t>111278</t>
        </is>
      </c>
      <c r="C381" s="156" t="inlineStr">
        <is>
          <t>Multimarca</t>
        </is>
      </c>
      <c r="D381" s="156" t="inlineStr">
        <is>
          <t>12-020-BS004-10-1016</t>
        </is>
      </c>
      <c r="E381" s="156" t="inlineStr">
        <is>
          <t>12-020-BS004-10-1016-285</t>
        </is>
      </c>
      <c r="F381" s="156" t="inlineStr">
        <is>
          <t>28.5</t>
        </is>
      </c>
      <c r="G381" s="156" t="inlineStr">
        <is>
          <t>10.5</t>
        </is>
      </c>
      <c r="H381" s="156" t="inlineStr">
        <is>
          <t>Stetson</t>
        </is>
      </c>
      <c r="I381" s="156" t="inlineStr">
        <is>
          <t>Bota Cocodrilo Cognac</t>
        </is>
      </c>
      <c r="J381" s="156" t="inlineStr">
        <is>
          <t>Calzado</t>
        </is>
      </c>
      <c r="K381" s="156" t="inlineStr">
        <is>
          <t>Botas</t>
        </is>
      </c>
      <c r="L381" s="156" t="inlineStr">
        <is>
          <t>Hombre</t>
        </is>
      </c>
      <c r="M381" s="156" t="inlineStr">
        <is>
          <t>Stetson</t>
        </is>
      </c>
      <c r="N381" s="156" t="inlineStr">
        <is>
          <t>SS26</t>
        </is>
      </c>
      <c r="O381" s="156" t="inlineStr">
        <is>
          <t>Seasonal</t>
        </is>
      </c>
      <c r="P381" s="156" t="inlineStr">
        <is>
          <t>Cafe</t>
        </is>
      </c>
      <c r="Q381" s="156" t="n"/>
      <c r="R381" s="156" t="inlineStr">
        <is>
          <t>Punta Redonda Ancha</t>
        </is>
      </c>
      <c r="S381" s="156" t="inlineStr">
        <is>
          <t>Piel de cocodrilo</t>
        </is>
      </c>
      <c r="T381" s="156" t="inlineStr">
        <is>
          <t>Bota Caballero Piel de cocodrilo Cognac Punta Redonda Ancha</t>
        </is>
      </c>
      <c r="U381" s="156" t="inlineStr">
        <is>
          <t>México</t>
        </is>
      </c>
      <c r="V381" s="156" t="inlineStr">
        <is>
          <t>PRS</t>
        </is>
      </c>
      <c r="W381" s="51" t="inlineStr">
        <is>
          <t>53111501</t>
        </is>
      </c>
      <c r="X381" s="156" t="n"/>
      <c r="Y381" s="54" t="n">
        <v>3301.5</v>
      </c>
      <c r="Z381" s="54" t="n">
        <v>18965.51724</v>
      </c>
      <c r="AA381" s="55">
        <f>IF(AND(A381="", B381="", E381=""), "", IF(AB381="", "Válido", IF((LEN(AB381)-LEN(SUBSTITUTE(AB381,"; ","")))/2+1&gt;(LEN(AB381)-LEN(SUBSTITUTE(AB381,"[Aviso]","")))/7, "Con Incidencias", "Válido")))</f>
        <v/>
      </c>
      <c r="AB381" s="56">
        <f>IF(AND(A381="", B381="", E381=""), "", TEXTJOIN("; ", TRUE, IF(OR(TRIM(A381&amp;"")="", ISNUMBER(SEARCH("FALTA", A381))), "UPC faltante/inválido", ""), IF(AND(A381&lt;&gt;"", IFERROR(_xlfn.XMATCH(A381,$A$2:$A$2509,0,1)&lt;&gt;_xlfn.XMATCH(A381,$A$2:$A$2509,0,-1),FALSE)), "Código de barras duplicado", ""), IF(AND(E381&lt;&gt;"", COUNTIF($E$2:$E$2509, E381)&gt;1), "SKU duplicado", ""), IF(OR(J381="", J381=""), "[Aviso] División no capturada ()", IF(ISNA(MATCH(J381, Criterios!$A$123:$A$126, 0)), "División no válida", "")), IF(OR(K381="", K381=""), "[Aviso] Categoría no capturada ()", IF(ISNA(MATCH(K381, Criterios!$A$81:$A$120, 0)), "Categoría no válida", IF(AND(J381&lt;&gt;"", J381&lt;&gt;"", J381&lt;&gt;VLOOKUP(K381, Criterios!$A$81:$B$120, 2, FALSE)), "División no coincide con Categoría", ""))), IF(OR(L381="", L381=""), "[Aviso] Género no capturado ()", IF(ISNA(MATCH(L381, Criterios!$B$123:$B$127, 0)), "Género no válido", "")), IF(OR(N381="", N381=""), "[Aviso] Temporada no capturada ()", IF(ISNA(MATCH(N381, Criterios!$C$123:$C$128, 0)), "Temporada no válida", "")), IF(OR(O381="", O381=""), "[Aviso] Ciclo de vida no capturado ()", IF(ISNA(MATCH(O381, Criterios!$D$123:$D$124, 0)), "Ciclo de vida no válido", ""))))</f>
        <v/>
      </c>
      <c r="AC381" s="56" t="n"/>
      <c r="AD381" s="51" t="n">
        <v>1</v>
      </c>
      <c r="AE381" s="156" t="inlineStr">
        <is>
          <t>STETSON AMERICAS (1)</t>
        </is>
      </c>
      <c r="AF381" s="51" t="n">
        <v>1</v>
      </c>
      <c r="AG381" s="156" t="inlineStr">
        <is>
          <t>Catálogo existente</t>
        </is>
      </c>
      <c r="AH3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1" s="156" t="inlineStr">
        <is>
          <t>No</t>
        </is>
      </c>
      <c r="AJ381" s="156" t="n"/>
      <c r="AK381" s="155" t="inlineStr">
        <is>
          <t>Criterios: I [Q]; G1522_Extraccion_Articulos_NetSuite_2026-09-30.xlsx: fila 58953 [R] | Shopify Stetson: producto 15054564262251 / variante 53350550045035</t>
        </is>
      </c>
      <c r="AL381" s="58" t="n">
        <v>3301.5</v>
      </c>
      <c r="AM381" s="58" t="n">
        <v>18965.51724</v>
      </c>
      <c r="AN381" s="155" t="inlineStr">
        <is>
          <t>Shopify Stetson México</t>
        </is>
      </c>
      <c r="AO381" s="59" t="n">
        <v>1</v>
      </c>
      <c r="AP381" s="59" t="n"/>
      <c r="AQ381" s="59" t="n"/>
      <c r="AR381" s="155" t="inlineStr">
        <is>
          <t>Shopify Stetson México › Stetson Americas: 1</t>
        </is>
      </c>
    </row>
    <row r="382">
      <c r="A382" s="50" t="inlineStr">
        <is>
          <t>12020004101016295</t>
        </is>
      </c>
      <c r="B382" s="51" t="inlineStr">
        <is>
          <t>111279</t>
        </is>
      </c>
      <c r="C382" s="156" t="inlineStr">
        <is>
          <t>Multimarca</t>
        </is>
      </c>
      <c r="D382" s="156" t="inlineStr">
        <is>
          <t>12-020-BS004-10-1016</t>
        </is>
      </c>
      <c r="E382" s="156" t="inlineStr">
        <is>
          <t>12-020-BS004-10-1016-295</t>
        </is>
      </c>
      <c r="F382" s="156" t="inlineStr">
        <is>
          <t>29.5</t>
        </is>
      </c>
      <c r="G382" s="156" t="inlineStr">
        <is>
          <t>11.5</t>
        </is>
      </c>
      <c r="H382" s="156" t="inlineStr">
        <is>
          <t>Stetson</t>
        </is>
      </c>
      <c r="I382" s="156" t="inlineStr">
        <is>
          <t>Bota Cocodrilo Cognac</t>
        </is>
      </c>
      <c r="J382" s="156" t="inlineStr">
        <is>
          <t>Calzado</t>
        </is>
      </c>
      <c r="K382" s="156" t="inlineStr">
        <is>
          <t>Botas</t>
        </is>
      </c>
      <c r="L382" s="156" t="inlineStr">
        <is>
          <t>Hombre</t>
        </is>
      </c>
      <c r="M382" s="156" t="inlineStr">
        <is>
          <t>Stetson</t>
        </is>
      </c>
      <c r="N382" s="156" t="inlineStr">
        <is>
          <t>SS26</t>
        </is>
      </c>
      <c r="O382" s="156" t="inlineStr">
        <is>
          <t>Seasonal</t>
        </is>
      </c>
      <c r="P382" s="156" t="inlineStr">
        <is>
          <t>Cafe</t>
        </is>
      </c>
      <c r="Q382" s="156" t="n"/>
      <c r="R382" s="156" t="inlineStr">
        <is>
          <t>Punta Redonda Ancha</t>
        </is>
      </c>
      <c r="S382" s="156" t="inlineStr">
        <is>
          <t>Piel de cocodrilo</t>
        </is>
      </c>
      <c r="T382" s="156" t="inlineStr">
        <is>
          <t>Bota Caballero Piel de cocodrilo Cognac Punta Redonda Ancha</t>
        </is>
      </c>
      <c r="U382" s="156" t="inlineStr">
        <is>
          <t>México</t>
        </is>
      </c>
      <c r="V382" s="156" t="inlineStr">
        <is>
          <t>PRS</t>
        </is>
      </c>
      <c r="W382" s="51" t="inlineStr">
        <is>
          <t>53111501</t>
        </is>
      </c>
      <c r="X382" s="156" t="n"/>
      <c r="Y382" s="54" t="n">
        <v>3301.5</v>
      </c>
      <c r="Z382" s="54" t="n">
        <v>18965.51724</v>
      </c>
      <c r="AA382" s="55">
        <f>IF(AND(A382="", B382="", E382=""), "", IF(AB382="", "Válido", IF((LEN(AB382)-LEN(SUBSTITUTE(AB382,"; ","")))/2+1&gt;(LEN(AB382)-LEN(SUBSTITUTE(AB382,"[Aviso]","")))/7, "Con Incidencias", "Válido")))</f>
        <v/>
      </c>
      <c r="AB382" s="56">
        <f>IF(AND(A382="", B382="", E382=""), "", TEXTJOIN("; ", TRUE, IF(OR(TRIM(A382&amp;"")="", ISNUMBER(SEARCH("FALTA", A382))), "UPC faltante/inválido", ""), IF(AND(A382&lt;&gt;"", IFERROR(_xlfn.XMATCH(A382,$A$2:$A$2509,0,1)&lt;&gt;_xlfn.XMATCH(A382,$A$2:$A$2509,0,-1),FALSE)), "Código de barras duplicado", ""), IF(AND(E382&lt;&gt;"", COUNTIF($E$2:$E$2509, E382)&gt;1), "SKU duplicado", ""), IF(OR(J382="", J382=""), "[Aviso] División no capturada ()", IF(ISNA(MATCH(J382, Criterios!$A$123:$A$126, 0)), "División no válida", "")), IF(OR(K382="", K382=""), "[Aviso] Categoría no capturada ()", IF(ISNA(MATCH(K382, Criterios!$A$81:$A$120, 0)), "Categoría no válida", IF(AND(J382&lt;&gt;"", J382&lt;&gt;"", J382&lt;&gt;VLOOKUP(K382, Criterios!$A$81:$B$120, 2, FALSE)), "División no coincide con Categoría", ""))), IF(OR(L382="", L382=""), "[Aviso] Género no capturado ()", IF(ISNA(MATCH(L382, Criterios!$B$123:$B$127, 0)), "Género no válido", "")), IF(OR(N382="", N382=""), "[Aviso] Temporada no capturada ()", IF(ISNA(MATCH(N382, Criterios!$C$123:$C$128, 0)), "Temporada no válida", "")), IF(OR(O382="", O382=""), "[Aviso] Ciclo de vida no capturado ()", IF(ISNA(MATCH(O382, Criterios!$D$123:$D$124, 0)), "Ciclo de vida no válido", ""))))</f>
        <v/>
      </c>
      <c r="AC382" s="56" t="n"/>
      <c r="AD382" s="51" t="n">
        <v>1</v>
      </c>
      <c r="AE382" s="156" t="inlineStr">
        <is>
          <t>STETSON AMERICAS (1)</t>
        </is>
      </c>
      <c r="AF382" s="51" t="n">
        <v>1</v>
      </c>
      <c r="AG382" s="156" t="inlineStr">
        <is>
          <t>Catálogo existente</t>
        </is>
      </c>
      <c r="AH3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2" s="156" t="inlineStr">
        <is>
          <t>No</t>
        </is>
      </c>
      <c r="AJ382" s="156" t="n"/>
      <c r="AK382" s="155" t="inlineStr">
        <is>
          <t>Criterios: I [Q]; G1522_Extraccion_Articulos_NetSuite_2026-09-30.xlsx: fila 58954 [R] | Shopify Stetson: producto 15054564262251 / variante 53350550110571</t>
        </is>
      </c>
      <c r="AL382" s="58" t="n">
        <v>3301.5</v>
      </c>
      <c r="AM382" s="58" t="n">
        <v>18965.51724</v>
      </c>
      <c r="AN382" s="155" t="inlineStr">
        <is>
          <t>Shopify Stetson México</t>
        </is>
      </c>
      <c r="AO382" s="59" t="n">
        <v>1</v>
      </c>
      <c r="AP382" s="59" t="n"/>
      <c r="AQ382" s="59" t="n"/>
      <c r="AR382" s="155" t="inlineStr">
        <is>
          <t>Shopify Stetson México › Stetson Americas: 1</t>
        </is>
      </c>
    </row>
    <row r="383">
      <c r="A383" s="50" t="inlineStr">
        <is>
          <t>12020004101016305</t>
        </is>
      </c>
      <c r="B383" s="51" t="inlineStr">
        <is>
          <t>111280</t>
        </is>
      </c>
      <c r="C383" s="156" t="inlineStr">
        <is>
          <t>Multimarca</t>
        </is>
      </c>
      <c r="D383" s="156" t="inlineStr">
        <is>
          <t>12-020-BS004-10-1016</t>
        </is>
      </c>
      <c r="E383" s="156" t="inlineStr">
        <is>
          <t>12-020-BS004-10-1016-305</t>
        </is>
      </c>
      <c r="F383" s="156" t="inlineStr">
        <is>
          <t>30.5</t>
        </is>
      </c>
      <c r="G383" s="156" t="inlineStr">
        <is>
          <t>12.5</t>
        </is>
      </c>
      <c r="H383" s="156" t="inlineStr">
        <is>
          <t>Stetson</t>
        </is>
      </c>
      <c r="I383" s="156" t="inlineStr">
        <is>
          <t>Bota Cocodrilo Cognac</t>
        </is>
      </c>
      <c r="J383" s="156" t="inlineStr">
        <is>
          <t>Calzado</t>
        </is>
      </c>
      <c r="K383" s="156" t="inlineStr">
        <is>
          <t>Botas</t>
        </is>
      </c>
      <c r="L383" s="156" t="inlineStr">
        <is>
          <t>Hombre</t>
        </is>
      </c>
      <c r="M383" s="156" t="inlineStr">
        <is>
          <t>Stetson</t>
        </is>
      </c>
      <c r="N383" s="156" t="inlineStr">
        <is>
          <t>SS26</t>
        </is>
      </c>
      <c r="O383" s="156" t="inlineStr">
        <is>
          <t>Seasonal</t>
        </is>
      </c>
      <c r="P383" s="156" t="inlineStr">
        <is>
          <t>Cafe</t>
        </is>
      </c>
      <c r="Q383" s="156" t="n"/>
      <c r="R383" s="156" t="inlineStr">
        <is>
          <t>Punta Redonda Ancha</t>
        </is>
      </c>
      <c r="S383" s="156" t="inlineStr">
        <is>
          <t>Piel de cocodrilo</t>
        </is>
      </c>
      <c r="T383" s="156" t="inlineStr">
        <is>
          <t>Bota Caballero Piel de cocodrilo Cognac Punta Redonda Ancha</t>
        </is>
      </c>
      <c r="U383" s="156" t="inlineStr">
        <is>
          <t>México</t>
        </is>
      </c>
      <c r="V383" s="156" t="inlineStr">
        <is>
          <t>PRS</t>
        </is>
      </c>
      <c r="W383" s="51" t="inlineStr">
        <is>
          <t>53111501</t>
        </is>
      </c>
      <c r="X383" s="156" t="n"/>
      <c r="Y383" s="54" t="n">
        <v>3301.5</v>
      </c>
      <c r="Z383" s="54" t="n">
        <v>18965.51724</v>
      </c>
      <c r="AA383" s="55">
        <f>IF(AND(A383="", B383="", E383=""), "", IF(AB383="", "Válido", IF((LEN(AB383)-LEN(SUBSTITUTE(AB383,"; ","")))/2+1&gt;(LEN(AB383)-LEN(SUBSTITUTE(AB383,"[Aviso]","")))/7, "Con Incidencias", "Válido")))</f>
        <v/>
      </c>
      <c r="AB383" s="56">
        <f>IF(AND(A383="", B383="", E383=""), "", TEXTJOIN("; ", TRUE, IF(OR(TRIM(A383&amp;"")="", ISNUMBER(SEARCH("FALTA", A383))), "UPC faltante/inválido", ""), IF(AND(A383&lt;&gt;"", IFERROR(_xlfn.XMATCH(A383,$A$2:$A$2509,0,1)&lt;&gt;_xlfn.XMATCH(A383,$A$2:$A$2509,0,-1),FALSE)), "Código de barras duplicado", ""), IF(AND(E383&lt;&gt;"", COUNTIF($E$2:$E$2509, E383)&gt;1), "SKU duplicado", ""), IF(OR(J383="", J383=""), "[Aviso] División no capturada ()", IF(ISNA(MATCH(J383, Criterios!$A$123:$A$126, 0)), "División no válida", "")), IF(OR(K383="", K383=""), "[Aviso] Categoría no capturada ()", IF(ISNA(MATCH(K383, Criterios!$A$81:$A$120, 0)), "Categoría no válida", IF(AND(J383&lt;&gt;"", J383&lt;&gt;"", J383&lt;&gt;VLOOKUP(K383, Criterios!$A$81:$B$120, 2, FALSE)), "División no coincide con Categoría", ""))), IF(OR(L383="", L383=""), "[Aviso] Género no capturado ()", IF(ISNA(MATCH(L383, Criterios!$B$123:$B$127, 0)), "Género no válido", "")), IF(OR(N383="", N383=""), "[Aviso] Temporada no capturada ()", IF(ISNA(MATCH(N383, Criterios!$C$123:$C$128, 0)), "Temporada no válida", "")), IF(OR(O383="", O383=""), "[Aviso] Ciclo de vida no capturado ()", IF(ISNA(MATCH(O383, Criterios!$D$123:$D$124, 0)), "Ciclo de vida no válido", ""))))</f>
        <v/>
      </c>
      <c r="AC383" s="56" t="n"/>
      <c r="AD383" s="51" t="n">
        <v>0</v>
      </c>
      <c r="AE383" s="156" t="n"/>
      <c r="AF383" s="51" t="n">
        <v>0</v>
      </c>
      <c r="AG383" s="156" t="inlineStr">
        <is>
          <t>Catálogo existente</t>
        </is>
      </c>
      <c r="AH3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3" s="156" t="inlineStr">
        <is>
          <t>No</t>
        </is>
      </c>
      <c r="AJ383" s="156" t="n"/>
      <c r="AK383" s="155" t="inlineStr">
        <is>
          <t>Criterios: I [Q]; G1522_Extraccion_Articulos_NetSuite_2026-09-30.xlsx: fila 58955 [R] | Shopify Stetson: producto 15054564262251 / variante 53350550176107</t>
        </is>
      </c>
      <c r="AL383" s="58" t="n">
        <v>3301.5</v>
      </c>
      <c r="AM383" s="58" t="n">
        <v>18965.51724</v>
      </c>
      <c r="AN383" s="155" t="inlineStr">
        <is>
          <t>Shopify Stetson México</t>
        </is>
      </c>
      <c r="AO383" s="59" t="n">
        <v>0</v>
      </c>
      <c r="AP383" s="59" t="n"/>
      <c r="AQ383" s="59" t="n"/>
      <c r="AR383" s="155" t="n"/>
    </row>
    <row r="384">
      <c r="A384" s="50" t="inlineStr">
        <is>
          <t>12020004101016315</t>
        </is>
      </c>
      <c r="B384" s="51" t="inlineStr">
        <is>
          <t>111281</t>
        </is>
      </c>
      <c r="C384" s="156" t="inlineStr">
        <is>
          <t>Multimarca</t>
        </is>
      </c>
      <c r="D384" s="156" t="inlineStr">
        <is>
          <t>12-020-BS004-10-1016</t>
        </is>
      </c>
      <c r="E384" s="156" t="inlineStr">
        <is>
          <t>12-020-BS004-10-1016-315</t>
        </is>
      </c>
      <c r="F384" s="156" t="inlineStr">
        <is>
          <t>31.5</t>
        </is>
      </c>
      <c r="G384" s="156" t="inlineStr">
        <is>
          <t>13.5</t>
        </is>
      </c>
      <c r="H384" s="156" t="inlineStr">
        <is>
          <t>Stetson</t>
        </is>
      </c>
      <c r="I384" s="156" t="inlineStr">
        <is>
          <t>Bota Cocodrilo Cognac</t>
        </is>
      </c>
      <c r="J384" s="156" t="inlineStr">
        <is>
          <t>Calzado</t>
        </is>
      </c>
      <c r="K384" s="156" t="inlineStr">
        <is>
          <t>Botas</t>
        </is>
      </c>
      <c r="L384" s="156" t="inlineStr">
        <is>
          <t>Hombre</t>
        </is>
      </c>
      <c r="M384" s="156" t="inlineStr">
        <is>
          <t>Stetson</t>
        </is>
      </c>
      <c r="N384" s="156" t="inlineStr">
        <is>
          <t>SS26</t>
        </is>
      </c>
      <c r="O384" s="156" t="inlineStr">
        <is>
          <t>Seasonal</t>
        </is>
      </c>
      <c r="P384" s="156" t="inlineStr">
        <is>
          <t>Cafe</t>
        </is>
      </c>
      <c r="Q384" s="156" t="n"/>
      <c r="R384" s="156" t="inlineStr">
        <is>
          <t>Punta Redonda Ancha</t>
        </is>
      </c>
      <c r="S384" s="156" t="inlineStr">
        <is>
          <t>Piel de cocodrilo</t>
        </is>
      </c>
      <c r="T384" s="156" t="inlineStr">
        <is>
          <t>Bota Caballero Piel de cocodrilo Cognac Punta Redonda Ancha</t>
        </is>
      </c>
      <c r="U384" s="156" t="inlineStr">
        <is>
          <t>México</t>
        </is>
      </c>
      <c r="V384" s="156" t="inlineStr">
        <is>
          <t>PRS</t>
        </is>
      </c>
      <c r="W384" s="51" t="inlineStr">
        <is>
          <t>53111501</t>
        </is>
      </c>
      <c r="X384" s="156" t="n"/>
      <c r="Y384" s="54" t="n">
        <v>3301.5</v>
      </c>
      <c r="Z384" s="54" t="n">
        <v>18965.51724</v>
      </c>
      <c r="AA384" s="55">
        <f>IF(AND(A384="", B384="", E384=""), "", IF(AB384="", "Válido", IF((LEN(AB384)-LEN(SUBSTITUTE(AB384,"; ","")))/2+1&gt;(LEN(AB384)-LEN(SUBSTITUTE(AB384,"[Aviso]","")))/7, "Con Incidencias", "Válido")))</f>
        <v/>
      </c>
      <c r="AB384" s="56">
        <f>IF(AND(A384="", B384="", E384=""), "", TEXTJOIN("; ", TRUE, IF(OR(TRIM(A384&amp;"")="", ISNUMBER(SEARCH("FALTA", A384))), "UPC faltante/inválido", ""), IF(AND(A384&lt;&gt;"", IFERROR(_xlfn.XMATCH(A384,$A$2:$A$2509,0,1)&lt;&gt;_xlfn.XMATCH(A384,$A$2:$A$2509,0,-1),FALSE)), "Código de barras duplicado", ""), IF(AND(E384&lt;&gt;"", COUNTIF($E$2:$E$2509, E384)&gt;1), "SKU duplicado", ""), IF(OR(J384="", J384=""), "[Aviso] División no capturada ()", IF(ISNA(MATCH(J384, Criterios!$A$123:$A$126, 0)), "División no válida", "")), IF(OR(K384="", K384=""), "[Aviso] Categoría no capturada ()", IF(ISNA(MATCH(K384, Criterios!$A$81:$A$120, 0)), "Categoría no válida", IF(AND(J384&lt;&gt;"", J384&lt;&gt;"", J384&lt;&gt;VLOOKUP(K384, Criterios!$A$81:$B$120, 2, FALSE)), "División no coincide con Categoría", ""))), IF(OR(L384="", L384=""), "[Aviso] Género no capturado ()", IF(ISNA(MATCH(L384, Criterios!$B$123:$B$127, 0)), "Género no válido", "")), IF(OR(N384="", N384=""), "[Aviso] Temporada no capturada ()", IF(ISNA(MATCH(N384, Criterios!$C$123:$C$128, 0)), "Temporada no válida", "")), IF(OR(O384="", O384=""), "[Aviso] Ciclo de vida no capturado ()", IF(ISNA(MATCH(O384, Criterios!$D$123:$D$124, 0)), "Ciclo de vida no válido", ""))))</f>
        <v/>
      </c>
      <c r="AC384" s="56" t="n"/>
      <c r="AD384" s="51" t="n">
        <v>0</v>
      </c>
      <c r="AE384" s="156" t="n"/>
      <c r="AF384" s="51" t="n">
        <v>0</v>
      </c>
      <c r="AG384" s="156" t="inlineStr">
        <is>
          <t>Catálogo existente</t>
        </is>
      </c>
      <c r="AH3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4" s="156" t="inlineStr">
        <is>
          <t>No</t>
        </is>
      </c>
      <c r="AJ384" s="156" t="n"/>
      <c r="AK384" s="155" t="inlineStr">
        <is>
          <t>Criterios: I [Q]; G1522_Extraccion_Articulos_NetSuite_2026-09-30.xlsx: fila 58956 [R] | Shopify Stetson: producto 15054564262251 / variante 53350550241643</t>
        </is>
      </c>
      <c r="AL384" s="58" t="n">
        <v>3301.5</v>
      </c>
      <c r="AM384" s="58" t="n">
        <v>18965.51724</v>
      </c>
      <c r="AN384" s="155" t="inlineStr">
        <is>
          <t>Shopify Stetson México</t>
        </is>
      </c>
      <c r="AO384" s="59" t="n">
        <v>0</v>
      </c>
      <c r="AP384" s="59" t="n"/>
      <c r="AQ384" s="59" t="n"/>
      <c r="AR384" s="155" t="n"/>
    </row>
    <row r="385">
      <c r="A385" s="50" t="inlineStr">
        <is>
          <t>12020004101016325</t>
        </is>
      </c>
      <c r="B385" s="51" t="inlineStr">
        <is>
          <t>111282</t>
        </is>
      </c>
      <c r="C385" s="156" t="inlineStr">
        <is>
          <t>Multimarca</t>
        </is>
      </c>
      <c r="D385" s="156" t="inlineStr">
        <is>
          <t>12-020-BS004-10-1016</t>
        </is>
      </c>
      <c r="E385" s="156" t="inlineStr">
        <is>
          <t>12-020-BS004-10-1016-325</t>
        </is>
      </c>
      <c r="F385" s="156" t="inlineStr">
        <is>
          <t>32.5</t>
        </is>
      </c>
      <c r="G385" s="156" t="inlineStr">
        <is>
          <t>14.5</t>
        </is>
      </c>
      <c r="H385" s="156" t="inlineStr">
        <is>
          <t>Stetson</t>
        </is>
      </c>
      <c r="I385" s="156" t="inlineStr">
        <is>
          <t>Bota Cocodrilo Cognac</t>
        </is>
      </c>
      <c r="J385" s="156" t="inlineStr">
        <is>
          <t>Calzado</t>
        </is>
      </c>
      <c r="K385" s="156" t="inlineStr">
        <is>
          <t>Botas</t>
        </is>
      </c>
      <c r="L385" s="156" t="inlineStr">
        <is>
          <t>Hombre</t>
        </is>
      </c>
      <c r="M385" s="156" t="inlineStr">
        <is>
          <t>Stetson</t>
        </is>
      </c>
      <c r="N385" s="156" t="inlineStr">
        <is>
          <t>SS26</t>
        </is>
      </c>
      <c r="O385" s="156" t="inlineStr">
        <is>
          <t>Seasonal</t>
        </is>
      </c>
      <c r="P385" s="156" t="inlineStr">
        <is>
          <t>Cafe</t>
        </is>
      </c>
      <c r="Q385" s="156" t="n"/>
      <c r="R385" s="156" t="inlineStr">
        <is>
          <t>Punta Redonda Ancha</t>
        </is>
      </c>
      <c r="S385" s="156" t="inlineStr">
        <is>
          <t>Piel de cocodrilo</t>
        </is>
      </c>
      <c r="T385" s="156" t="inlineStr">
        <is>
          <t>Bota Caballero Piel de cocodrilo Cognac Punta Redonda Ancha</t>
        </is>
      </c>
      <c r="U385" s="156" t="inlineStr">
        <is>
          <t>México</t>
        </is>
      </c>
      <c r="V385" s="156" t="inlineStr">
        <is>
          <t>PRS</t>
        </is>
      </c>
      <c r="W385" s="51" t="inlineStr">
        <is>
          <t>53111501</t>
        </is>
      </c>
      <c r="X385" s="156" t="n"/>
      <c r="Y385" s="54" t="n">
        <v>3301.5</v>
      </c>
      <c r="Z385" s="54" t="n">
        <v>18965.51724</v>
      </c>
      <c r="AA385" s="55">
        <f>IF(AND(A385="", B385="", E385=""), "", IF(AB385="", "Válido", IF((LEN(AB385)-LEN(SUBSTITUTE(AB385,"; ","")))/2+1&gt;(LEN(AB385)-LEN(SUBSTITUTE(AB385,"[Aviso]","")))/7, "Con Incidencias", "Válido")))</f>
        <v/>
      </c>
      <c r="AB385" s="56">
        <f>IF(AND(A385="", B385="", E385=""), "", TEXTJOIN("; ", TRUE, IF(OR(TRIM(A385&amp;"")="", ISNUMBER(SEARCH("FALTA", A385))), "UPC faltante/inválido", ""), IF(AND(A385&lt;&gt;"", IFERROR(_xlfn.XMATCH(A385,$A$2:$A$2509,0,1)&lt;&gt;_xlfn.XMATCH(A385,$A$2:$A$2509,0,-1),FALSE)), "Código de barras duplicado", ""), IF(AND(E385&lt;&gt;"", COUNTIF($E$2:$E$2509, E385)&gt;1), "SKU duplicado", ""), IF(OR(J385="", J385=""), "[Aviso] División no capturada ()", IF(ISNA(MATCH(J385, Criterios!$A$123:$A$126, 0)), "División no válida", "")), IF(OR(K385="", K385=""), "[Aviso] Categoría no capturada ()", IF(ISNA(MATCH(K385, Criterios!$A$81:$A$120, 0)), "Categoría no válida", IF(AND(J385&lt;&gt;"", J385&lt;&gt;"", J385&lt;&gt;VLOOKUP(K385, Criterios!$A$81:$B$120, 2, FALSE)), "División no coincide con Categoría", ""))), IF(OR(L385="", L385=""), "[Aviso] Género no capturado ()", IF(ISNA(MATCH(L385, Criterios!$B$123:$B$127, 0)), "Género no válido", "")), IF(OR(N385="", N385=""), "[Aviso] Temporada no capturada ()", IF(ISNA(MATCH(N385, Criterios!$C$123:$C$128, 0)), "Temporada no válida", "")), IF(OR(O385="", O385=""), "[Aviso] Ciclo de vida no capturado ()", IF(ISNA(MATCH(O385, Criterios!$D$123:$D$124, 0)), "Ciclo de vida no válido", ""))))</f>
        <v/>
      </c>
      <c r="AC385" s="56" t="n"/>
      <c r="AD385" s="51" t="n">
        <v>0</v>
      </c>
      <c r="AE385" s="156" t="n"/>
      <c r="AF385" s="51" t="n">
        <v>0</v>
      </c>
      <c r="AG385" s="156" t="inlineStr">
        <is>
          <t>Catálogo existente</t>
        </is>
      </c>
      <c r="AH3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5" s="156" t="inlineStr">
        <is>
          <t>No</t>
        </is>
      </c>
      <c r="AJ385" s="156" t="n"/>
      <c r="AK385" s="155" t="inlineStr">
        <is>
          <t>Criterios: I [Q]; G1522_Extraccion_Articulos_NetSuite_2026-09-30.xlsx: fila 58957 [R] | Shopify Stetson: producto 15054564262251 / variante 53350550307179</t>
        </is>
      </c>
      <c r="AL385" s="58" t="n">
        <v>3301.5</v>
      </c>
      <c r="AM385" s="58" t="n">
        <v>18965.51724</v>
      </c>
      <c r="AN385" s="155" t="inlineStr">
        <is>
          <t>Shopify Stetson México</t>
        </is>
      </c>
      <c r="AO385" s="59" t="n">
        <v>0</v>
      </c>
      <c r="AP385" s="59" t="n"/>
      <c r="AQ385" s="59" t="n"/>
      <c r="AR385" s="155" t="n"/>
    </row>
    <row r="386">
      <c r="A386" s="50" t="inlineStr">
        <is>
          <t>12020004101021025</t>
        </is>
      </c>
      <c r="B386" s="51" t="inlineStr">
        <is>
          <t>111283</t>
        </is>
      </c>
      <c r="C386" s="156" t="inlineStr">
        <is>
          <t>Multimarca</t>
        </is>
      </c>
      <c r="D386" s="156" t="inlineStr">
        <is>
          <t>12-020-BS004-10-1021</t>
        </is>
      </c>
      <c r="E386" s="156" t="inlineStr">
        <is>
          <t>12-020-BS004-10-1021-025</t>
        </is>
      </c>
      <c r="F386" s="156" t="inlineStr">
        <is>
          <t>25</t>
        </is>
      </c>
      <c r="G386" s="156" t="inlineStr">
        <is>
          <t>7</t>
        </is>
      </c>
      <c r="H386" s="156" t="inlineStr">
        <is>
          <t>Stetson</t>
        </is>
      </c>
      <c r="I386" s="156" t="inlineStr">
        <is>
          <t>Bota Avestruz Tabaco</t>
        </is>
      </c>
      <c r="J386" s="156" t="inlineStr">
        <is>
          <t>Calzado</t>
        </is>
      </c>
      <c r="K386" s="156" t="inlineStr">
        <is>
          <t>Botas</t>
        </is>
      </c>
      <c r="L386" s="156" t="inlineStr">
        <is>
          <t>Hombre</t>
        </is>
      </c>
      <c r="M386" s="156" t="inlineStr">
        <is>
          <t>Stetson</t>
        </is>
      </c>
      <c r="N386" s="156" t="inlineStr">
        <is>
          <t>SS26</t>
        </is>
      </c>
      <c r="O386" s="156" t="inlineStr">
        <is>
          <t>Seasonal</t>
        </is>
      </c>
      <c r="P386" s="156" t="inlineStr">
        <is>
          <t>Cafe</t>
        </is>
      </c>
      <c r="Q386" s="156" t="n"/>
      <c r="R386" s="156" t="inlineStr">
        <is>
          <t>Punta Redonda Ancha</t>
        </is>
      </c>
      <c r="S386" s="156" t="inlineStr">
        <is>
          <t>Piel de avestruz</t>
        </is>
      </c>
      <c r="T386" s="156" t="inlineStr">
        <is>
          <t>Bota Caballero Piel de avestruz Tabaco Punta Redonda Ancha</t>
        </is>
      </c>
      <c r="U386" s="156" t="inlineStr">
        <is>
          <t>México</t>
        </is>
      </c>
      <c r="V386" s="156" t="inlineStr">
        <is>
          <t>PRS</t>
        </is>
      </c>
      <c r="W386" s="51" t="inlineStr">
        <is>
          <t>53111501</t>
        </is>
      </c>
      <c r="X386" s="156" t="n"/>
      <c r="Y386" s="54" t="n">
        <v>1451.18</v>
      </c>
      <c r="Z386" s="54" t="n">
        <v>8362.068966000001</v>
      </c>
      <c r="AA386" s="55">
        <f>IF(AND(A386="", B386="", E386=""), "", IF(AB386="", "Válido", IF((LEN(AB386)-LEN(SUBSTITUTE(AB386,"; ","")))/2+1&gt;(LEN(AB386)-LEN(SUBSTITUTE(AB386,"[Aviso]","")))/7, "Con Incidencias", "Válido")))</f>
        <v/>
      </c>
      <c r="AB386" s="56">
        <f>IF(AND(A386="", B386="", E386=""), "", TEXTJOIN("; ", TRUE, IF(OR(TRIM(A386&amp;"")="", ISNUMBER(SEARCH("FALTA", A386))), "UPC faltante/inválido", ""), IF(AND(A386&lt;&gt;"", IFERROR(_xlfn.XMATCH(A386,$A$2:$A$2509,0,1)&lt;&gt;_xlfn.XMATCH(A386,$A$2:$A$2509,0,-1),FALSE)), "Código de barras duplicado", ""), IF(AND(E386&lt;&gt;"", COUNTIF($E$2:$E$2509, E386)&gt;1), "SKU duplicado", ""), IF(OR(J386="", J386=""), "[Aviso] División no capturada ()", IF(ISNA(MATCH(J386, Criterios!$A$123:$A$126, 0)), "División no válida", "")), IF(OR(K386="", K386=""), "[Aviso] Categoría no capturada ()", IF(ISNA(MATCH(K386, Criterios!$A$81:$A$120, 0)), "Categoría no válida", IF(AND(J386&lt;&gt;"", J386&lt;&gt;"", J386&lt;&gt;VLOOKUP(K386, Criterios!$A$81:$B$120, 2, FALSE)), "División no coincide con Categoría", ""))), IF(OR(L386="", L386=""), "[Aviso] Género no capturado ()", IF(ISNA(MATCH(L386, Criterios!$B$123:$B$127, 0)), "Género no válido", "")), IF(OR(N386="", N386=""), "[Aviso] Temporada no capturada ()", IF(ISNA(MATCH(N386, Criterios!$C$123:$C$128, 0)), "Temporada no válida", "")), IF(OR(O386="", O386=""), "[Aviso] Ciclo de vida no capturado ()", IF(ISNA(MATCH(O386, Criterios!$D$123:$D$124, 0)), "Ciclo de vida no válido", ""))))</f>
        <v/>
      </c>
      <c r="AC386" s="56" t="n"/>
      <c r="AD386" s="51" t="n">
        <v>0</v>
      </c>
      <c r="AE386" s="156" t="n"/>
      <c r="AF386" s="51" t="n">
        <v>0</v>
      </c>
      <c r="AG386" s="156" t="inlineStr">
        <is>
          <t>Catálogo existente</t>
        </is>
      </c>
      <c r="AH3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6" s="156" t="inlineStr">
        <is>
          <t>No</t>
        </is>
      </c>
      <c r="AJ386" s="156" t="n"/>
      <c r="AK386" s="155" t="inlineStr">
        <is>
          <t>Criterios: I [Q]; G1522_Extraccion_Articulos_NetSuite_2026-09-30.xlsx: fila 58958 [R] | Shopify Stetson: producto 15054564426091 / variante 53350552437099</t>
        </is>
      </c>
      <c r="AL386" s="58" t="n">
        <v>1451.18</v>
      </c>
      <c r="AM386" s="58" t="n">
        <v>8362.068966000001</v>
      </c>
      <c r="AN386" s="155" t="inlineStr">
        <is>
          <t>Shopify Stetson México</t>
        </is>
      </c>
      <c r="AO386" s="59" t="n">
        <v>0</v>
      </c>
      <c r="AP386" s="59" t="n"/>
      <c r="AQ386" s="59" t="n"/>
      <c r="AR386" s="155" t="n"/>
    </row>
    <row r="387">
      <c r="A387" s="50" t="inlineStr">
        <is>
          <t>12020004101021026</t>
        </is>
      </c>
      <c r="B387" s="51" t="inlineStr">
        <is>
          <t>111284</t>
        </is>
      </c>
      <c r="C387" s="156" t="inlineStr">
        <is>
          <t>Multimarca</t>
        </is>
      </c>
      <c r="D387" s="156" t="inlineStr">
        <is>
          <t>12-020-BS004-10-1021</t>
        </is>
      </c>
      <c r="E387" s="156" t="inlineStr">
        <is>
          <t>12-020-BS004-10-1021-026</t>
        </is>
      </c>
      <c r="F387" s="156" t="inlineStr">
        <is>
          <t>26</t>
        </is>
      </c>
      <c r="G387" s="156" t="inlineStr">
        <is>
          <t>8</t>
        </is>
      </c>
      <c r="H387" s="156" t="inlineStr">
        <is>
          <t>Stetson</t>
        </is>
      </c>
      <c r="I387" s="156" t="inlineStr">
        <is>
          <t>Bota Avestruz Tabaco</t>
        </is>
      </c>
      <c r="J387" s="156" t="inlineStr">
        <is>
          <t>Calzado</t>
        </is>
      </c>
      <c r="K387" s="156" t="inlineStr">
        <is>
          <t>Botas</t>
        </is>
      </c>
      <c r="L387" s="156" t="inlineStr">
        <is>
          <t>Hombre</t>
        </is>
      </c>
      <c r="M387" s="156" t="inlineStr">
        <is>
          <t>Stetson</t>
        </is>
      </c>
      <c r="N387" s="156" t="inlineStr">
        <is>
          <t>SS26</t>
        </is>
      </c>
      <c r="O387" s="156" t="inlineStr">
        <is>
          <t>Seasonal</t>
        </is>
      </c>
      <c r="P387" s="156" t="inlineStr">
        <is>
          <t>Cafe</t>
        </is>
      </c>
      <c r="Q387" s="156" t="n"/>
      <c r="R387" s="156" t="inlineStr">
        <is>
          <t>Punta Redonda Ancha</t>
        </is>
      </c>
      <c r="S387" s="156" t="inlineStr">
        <is>
          <t>Piel de avestruz</t>
        </is>
      </c>
      <c r="T387" s="156" t="inlineStr">
        <is>
          <t>Bota Caballero Piel de avestruz Tabaco Punta Redonda Ancha</t>
        </is>
      </c>
      <c r="U387" s="156" t="inlineStr">
        <is>
          <t>México</t>
        </is>
      </c>
      <c r="V387" s="156" t="inlineStr">
        <is>
          <t>PRS</t>
        </is>
      </c>
      <c r="W387" s="51" t="inlineStr">
        <is>
          <t>53111501</t>
        </is>
      </c>
      <c r="X387" s="156" t="n"/>
      <c r="Y387" s="54" t="n">
        <v>1451.18</v>
      </c>
      <c r="Z387" s="54" t="n">
        <v>8362.068966000001</v>
      </c>
      <c r="AA387" s="55">
        <f>IF(AND(A387="", B387="", E387=""), "", IF(AB387="", "Válido", IF((LEN(AB387)-LEN(SUBSTITUTE(AB387,"; ","")))/2+1&gt;(LEN(AB387)-LEN(SUBSTITUTE(AB387,"[Aviso]","")))/7, "Con Incidencias", "Válido")))</f>
        <v/>
      </c>
      <c r="AB387" s="56">
        <f>IF(AND(A387="", B387="", E387=""), "", TEXTJOIN("; ", TRUE, IF(OR(TRIM(A387&amp;"")="", ISNUMBER(SEARCH("FALTA", A387))), "UPC faltante/inválido", ""), IF(AND(A387&lt;&gt;"", IFERROR(_xlfn.XMATCH(A387,$A$2:$A$2509,0,1)&lt;&gt;_xlfn.XMATCH(A387,$A$2:$A$2509,0,-1),FALSE)), "Código de barras duplicado", ""), IF(AND(E387&lt;&gt;"", COUNTIF($E$2:$E$2509, E387)&gt;1), "SKU duplicado", ""), IF(OR(J387="", J387=""), "[Aviso] División no capturada ()", IF(ISNA(MATCH(J387, Criterios!$A$123:$A$126, 0)), "División no válida", "")), IF(OR(K387="", K387=""), "[Aviso] Categoría no capturada ()", IF(ISNA(MATCH(K387, Criterios!$A$81:$A$120, 0)), "Categoría no válida", IF(AND(J387&lt;&gt;"", J387&lt;&gt;"", J387&lt;&gt;VLOOKUP(K387, Criterios!$A$81:$B$120, 2, FALSE)), "División no coincide con Categoría", ""))), IF(OR(L387="", L387=""), "[Aviso] Género no capturado ()", IF(ISNA(MATCH(L387, Criterios!$B$123:$B$127, 0)), "Género no válido", "")), IF(OR(N387="", N387=""), "[Aviso] Temporada no capturada ()", IF(ISNA(MATCH(N387, Criterios!$C$123:$C$128, 0)), "Temporada no válida", "")), IF(OR(O387="", O387=""), "[Aviso] Ciclo de vida no capturado ()", IF(ISNA(MATCH(O387, Criterios!$D$123:$D$124, 0)), "Ciclo de vida no válido", ""))))</f>
        <v/>
      </c>
      <c r="AC387" s="56" t="n"/>
      <c r="AD387" s="51" t="n">
        <v>0</v>
      </c>
      <c r="AE387" s="156" t="n"/>
      <c r="AF387" s="51" t="n">
        <v>0</v>
      </c>
      <c r="AG387" s="156" t="inlineStr">
        <is>
          <t>Catálogo existente</t>
        </is>
      </c>
      <c r="AH3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7" s="156" t="inlineStr">
        <is>
          <t>No</t>
        </is>
      </c>
      <c r="AJ387" s="156" t="n"/>
      <c r="AK387" s="155" t="inlineStr">
        <is>
          <t>Criterios: I [Q]; G1522_Extraccion_Articulos_NetSuite_2026-09-30.xlsx: fila 58959 [R] | Shopify Stetson: producto 15054564426091 / variante 53350552502635</t>
        </is>
      </c>
      <c r="AL387" s="58" t="n">
        <v>1451.18</v>
      </c>
      <c r="AM387" s="58" t="n">
        <v>8362.068966000001</v>
      </c>
      <c r="AN387" s="155" t="inlineStr">
        <is>
          <t>Shopify Stetson México</t>
        </is>
      </c>
      <c r="AO387" s="59" t="n">
        <v>0</v>
      </c>
      <c r="AP387" s="59" t="n"/>
      <c r="AQ387" s="59" t="n"/>
      <c r="AR387" s="155" t="n"/>
    </row>
    <row r="388">
      <c r="A388" s="50" t="inlineStr">
        <is>
          <t>12020004101021027</t>
        </is>
      </c>
      <c r="B388" s="51" t="inlineStr">
        <is>
          <t>111285</t>
        </is>
      </c>
      <c r="C388" s="156" t="inlineStr">
        <is>
          <t>Multimarca</t>
        </is>
      </c>
      <c r="D388" s="156" t="inlineStr">
        <is>
          <t>12-020-BS004-10-1021</t>
        </is>
      </c>
      <c r="E388" s="156" t="inlineStr">
        <is>
          <t>12-020-BS004-10-1021-027</t>
        </is>
      </c>
      <c r="F388" s="156" t="inlineStr">
        <is>
          <t>27</t>
        </is>
      </c>
      <c r="G388" s="156" t="inlineStr">
        <is>
          <t>9</t>
        </is>
      </c>
      <c r="H388" s="156" t="inlineStr">
        <is>
          <t>Stetson</t>
        </is>
      </c>
      <c r="I388" s="156" t="inlineStr">
        <is>
          <t>Bota Avestruz Tabaco</t>
        </is>
      </c>
      <c r="J388" s="156" t="inlineStr">
        <is>
          <t>Calzado</t>
        </is>
      </c>
      <c r="K388" s="156" t="inlineStr">
        <is>
          <t>Botas</t>
        </is>
      </c>
      <c r="L388" s="156" t="inlineStr">
        <is>
          <t>Hombre</t>
        </is>
      </c>
      <c r="M388" s="156" t="inlineStr">
        <is>
          <t>Stetson</t>
        </is>
      </c>
      <c r="N388" s="156" t="inlineStr">
        <is>
          <t>SS26</t>
        </is>
      </c>
      <c r="O388" s="156" t="inlineStr">
        <is>
          <t>Seasonal</t>
        </is>
      </c>
      <c r="P388" s="156" t="inlineStr">
        <is>
          <t>Cafe</t>
        </is>
      </c>
      <c r="Q388" s="156" t="n"/>
      <c r="R388" s="156" t="inlineStr">
        <is>
          <t>Punta Redonda Ancha</t>
        </is>
      </c>
      <c r="S388" s="156" t="inlineStr">
        <is>
          <t>Piel de avestruz</t>
        </is>
      </c>
      <c r="T388" s="156" t="inlineStr">
        <is>
          <t>Bota Caballero Piel de avestruz Tabaco Punta Redonda Ancha</t>
        </is>
      </c>
      <c r="U388" s="156" t="inlineStr">
        <is>
          <t>México</t>
        </is>
      </c>
      <c r="V388" s="156" t="inlineStr">
        <is>
          <t>PRS</t>
        </is>
      </c>
      <c r="W388" s="51" t="inlineStr">
        <is>
          <t>53111501</t>
        </is>
      </c>
      <c r="X388" s="156" t="n"/>
      <c r="Y388" s="54" t="n">
        <v>1451.18</v>
      </c>
      <c r="Z388" s="54" t="n">
        <v>8362.068966000001</v>
      </c>
      <c r="AA388" s="55">
        <f>IF(AND(A388="", B388="", E388=""), "", IF(AB388="", "Válido", IF((LEN(AB388)-LEN(SUBSTITUTE(AB388,"; ","")))/2+1&gt;(LEN(AB388)-LEN(SUBSTITUTE(AB388,"[Aviso]","")))/7, "Con Incidencias", "Válido")))</f>
        <v/>
      </c>
      <c r="AB388" s="56">
        <f>IF(AND(A388="", B388="", E388=""), "", TEXTJOIN("; ", TRUE, IF(OR(TRIM(A388&amp;"")="", ISNUMBER(SEARCH("FALTA", A388))), "UPC faltante/inválido", ""), IF(AND(A388&lt;&gt;"", IFERROR(_xlfn.XMATCH(A388,$A$2:$A$2509,0,1)&lt;&gt;_xlfn.XMATCH(A388,$A$2:$A$2509,0,-1),FALSE)), "Código de barras duplicado", ""), IF(AND(E388&lt;&gt;"", COUNTIF($E$2:$E$2509, E388)&gt;1), "SKU duplicado", ""), IF(OR(J388="", J388=""), "[Aviso] División no capturada ()", IF(ISNA(MATCH(J388, Criterios!$A$123:$A$126, 0)), "División no válida", "")), IF(OR(K388="", K388=""), "[Aviso] Categoría no capturada ()", IF(ISNA(MATCH(K388, Criterios!$A$81:$A$120, 0)), "Categoría no válida", IF(AND(J388&lt;&gt;"", J388&lt;&gt;"", J388&lt;&gt;VLOOKUP(K388, Criterios!$A$81:$B$120, 2, FALSE)), "División no coincide con Categoría", ""))), IF(OR(L388="", L388=""), "[Aviso] Género no capturado ()", IF(ISNA(MATCH(L388, Criterios!$B$123:$B$127, 0)), "Género no válido", "")), IF(OR(N388="", N388=""), "[Aviso] Temporada no capturada ()", IF(ISNA(MATCH(N388, Criterios!$C$123:$C$128, 0)), "Temporada no válida", "")), IF(OR(O388="", O388=""), "[Aviso] Ciclo de vida no capturado ()", IF(ISNA(MATCH(O388, Criterios!$D$123:$D$124, 0)), "Ciclo de vida no válido", ""))))</f>
        <v/>
      </c>
      <c r="AC388" s="56" t="n"/>
      <c r="AD388" s="51" t="n">
        <v>1</v>
      </c>
      <c r="AE388" s="156" t="inlineStr">
        <is>
          <t>STETSON AMERICAS (1)</t>
        </is>
      </c>
      <c r="AF388" s="51" t="n">
        <v>1</v>
      </c>
      <c r="AG388" s="156" t="inlineStr">
        <is>
          <t>Catálogo existente</t>
        </is>
      </c>
      <c r="AH3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8" s="156" t="inlineStr">
        <is>
          <t>No</t>
        </is>
      </c>
      <c r="AJ388" s="156" t="n"/>
      <c r="AK388" s="155" t="inlineStr">
        <is>
          <t>Criterios: I [Q]; G1522_Extraccion_Articulos_NetSuite_2026-09-30.xlsx: fila 58960 [R] | Shopify Stetson: producto 15054564426091 / variante 53350552568171</t>
        </is>
      </c>
      <c r="AL388" s="58" t="n">
        <v>1451.18</v>
      </c>
      <c r="AM388" s="58" t="n">
        <v>8362.068966000001</v>
      </c>
      <c r="AN388" s="155" t="inlineStr">
        <is>
          <t>Shopify Stetson México</t>
        </is>
      </c>
      <c r="AO388" s="59" t="n">
        <v>1</v>
      </c>
      <c r="AP388" s="59" t="n"/>
      <c r="AQ388" s="59" t="n"/>
      <c r="AR388" s="155" t="inlineStr">
        <is>
          <t>Shopify Stetson México › Stetson Americas: 1</t>
        </is>
      </c>
    </row>
    <row r="389">
      <c r="A389" s="50" t="inlineStr">
        <is>
          <t>12020004101021028</t>
        </is>
      </c>
      <c r="B389" s="51" t="inlineStr">
        <is>
          <t>111286</t>
        </is>
      </c>
      <c r="C389" s="156" t="inlineStr">
        <is>
          <t>Multimarca</t>
        </is>
      </c>
      <c r="D389" s="156" t="inlineStr">
        <is>
          <t>12-020-BS004-10-1021</t>
        </is>
      </c>
      <c r="E389" s="156" t="inlineStr">
        <is>
          <t>12-020-BS004-10-1021-028</t>
        </is>
      </c>
      <c r="F389" s="156" t="inlineStr">
        <is>
          <t>28</t>
        </is>
      </c>
      <c r="G389" s="156" t="inlineStr">
        <is>
          <t>10</t>
        </is>
      </c>
      <c r="H389" s="156" t="inlineStr">
        <is>
          <t>Stetson</t>
        </is>
      </c>
      <c r="I389" s="156" t="inlineStr">
        <is>
          <t>Bota Avestruz Tabaco</t>
        </is>
      </c>
      <c r="J389" s="156" t="inlineStr">
        <is>
          <t>Calzado</t>
        </is>
      </c>
      <c r="K389" s="156" t="inlineStr">
        <is>
          <t>Botas</t>
        </is>
      </c>
      <c r="L389" s="156" t="inlineStr">
        <is>
          <t>Hombre</t>
        </is>
      </c>
      <c r="M389" s="156" t="inlineStr">
        <is>
          <t>Stetson</t>
        </is>
      </c>
      <c r="N389" s="156" t="inlineStr">
        <is>
          <t>SS26</t>
        </is>
      </c>
      <c r="O389" s="156" t="inlineStr">
        <is>
          <t>Seasonal</t>
        </is>
      </c>
      <c r="P389" s="156" t="inlineStr">
        <is>
          <t>Cafe</t>
        </is>
      </c>
      <c r="Q389" s="156" t="n"/>
      <c r="R389" s="156" t="inlineStr">
        <is>
          <t>Punta Redonda Ancha</t>
        </is>
      </c>
      <c r="S389" s="156" t="inlineStr">
        <is>
          <t>Piel de avestruz</t>
        </is>
      </c>
      <c r="T389" s="156" t="inlineStr">
        <is>
          <t>Bota Caballero Piel de avestruz Tabaco Punta Redonda Ancha</t>
        </is>
      </c>
      <c r="U389" s="156" t="inlineStr">
        <is>
          <t>México</t>
        </is>
      </c>
      <c r="V389" s="156" t="inlineStr">
        <is>
          <t>PRS</t>
        </is>
      </c>
      <c r="W389" s="51" t="inlineStr">
        <is>
          <t>53111501</t>
        </is>
      </c>
      <c r="X389" s="156" t="n"/>
      <c r="Y389" s="54" t="n">
        <v>1451.18</v>
      </c>
      <c r="Z389" s="54" t="n">
        <v>8362.068966000001</v>
      </c>
      <c r="AA389" s="55">
        <f>IF(AND(A389="", B389="", E389=""), "", IF(AB389="", "Válido", IF((LEN(AB389)-LEN(SUBSTITUTE(AB389,"; ","")))/2+1&gt;(LEN(AB389)-LEN(SUBSTITUTE(AB389,"[Aviso]","")))/7, "Con Incidencias", "Válido")))</f>
        <v/>
      </c>
      <c r="AB389" s="56">
        <f>IF(AND(A389="", B389="", E389=""), "", TEXTJOIN("; ", TRUE, IF(OR(TRIM(A389&amp;"")="", ISNUMBER(SEARCH("FALTA", A389))), "UPC faltante/inválido", ""), IF(AND(A389&lt;&gt;"", IFERROR(_xlfn.XMATCH(A389,$A$2:$A$2509,0,1)&lt;&gt;_xlfn.XMATCH(A389,$A$2:$A$2509,0,-1),FALSE)), "Código de barras duplicado", ""), IF(AND(E389&lt;&gt;"", COUNTIF($E$2:$E$2509, E389)&gt;1), "SKU duplicado", ""), IF(OR(J389="", J389=""), "[Aviso] División no capturada ()", IF(ISNA(MATCH(J389, Criterios!$A$123:$A$126, 0)), "División no válida", "")), IF(OR(K389="", K389=""), "[Aviso] Categoría no capturada ()", IF(ISNA(MATCH(K389, Criterios!$A$81:$A$120, 0)), "Categoría no válida", IF(AND(J389&lt;&gt;"", J389&lt;&gt;"", J389&lt;&gt;VLOOKUP(K389, Criterios!$A$81:$B$120, 2, FALSE)), "División no coincide con Categoría", ""))), IF(OR(L389="", L389=""), "[Aviso] Género no capturado ()", IF(ISNA(MATCH(L389, Criterios!$B$123:$B$127, 0)), "Género no válido", "")), IF(OR(N389="", N389=""), "[Aviso] Temporada no capturada ()", IF(ISNA(MATCH(N389, Criterios!$C$123:$C$128, 0)), "Temporada no válida", "")), IF(OR(O389="", O389=""), "[Aviso] Ciclo de vida no capturado ()", IF(ISNA(MATCH(O389, Criterios!$D$123:$D$124, 0)), "Ciclo de vida no válido", ""))))</f>
        <v/>
      </c>
      <c r="AC389" s="56" t="n"/>
      <c r="AD389" s="51" t="n">
        <v>0</v>
      </c>
      <c r="AE389" s="156" t="n"/>
      <c r="AF389" s="51" t="n">
        <v>0</v>
      </c>
      <c r="AG389" s="156" t="inlineStr">
        <is>
          <t>Catálogo existente</t>
        </is>
      </c>
      <c r="AH3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9" s="156" t="inlineStr">
        <is>
          <t>No</t>
        </is>
      </c>
      <c r="AJ389" s="156" t="n"/>
      <c r="AK389" s="155" t="inlineStr">
        <is>
          <t>Criterios: I [Q]; G1522_Extraccion_Articulos_NetSuite_2026-09-30.xlsx: fila 58961 [R] | Shopify Stetson: producto 15054564426091 / variante 53350552633707</t>
        </is>
      </c>
      <c r="AL389" s="58" t="n">
        <v>1451.18</v>
      </c>
      <c r="AM389" s="58" t="n">
        <v>8362.068966000001</v>
      </c>
      <c r="AN389" s="155" t="inlineStr">
        <is>
          <t>Shopify Stetson México</t>
        </is>
      </c>
      <c r="AO389" s="59" t="n">
        <v>0</v>
      </c>
      <c r="AP389" s="59" t="n"/>
      <c r="AQ389" s="59" t="n"/>
      <c r="AR389" s="155" t="n"/>
    </row>
    <row r="390">
      <c r="A390" s="50" t="inlineStr">
        <is>
          <t>12020004101021029</t>
        </is>
      </c>
      <c r="B390" s="51" t="inlineStr">
        <is>
          <t>111287</t>
        </is>
      </c>
      <c r="C390" s="156" t="inlineStr">
        <is>
          <t>Multimarca</t>
        </is>
      </c>
      <c r="D390" s="156" t="inlineStr">
        <is>
          <t>12-020-BS004-10-1021</t>
        </is>
      </c>
      <c r="E390" s="156" t="inlineStr">
        <is>
          <t>12-020-BS004-10-1021-029</t>
        </is>
      </c>
      <c r="F390" s="156" t="inlineStr">
        <is>
          <t>29</t>
        </is>
      </c>
      <c r="G390" s="156" t="inlineStr">
        <is>
          <t>11</t>
        </is>
      </c>
      <c r="H390" s="156" t="inlineStr">
        <is>
          <t>Stetson</t>
        </is>
      </c>
      <c r="I390" s="156" t="inlineStr">
        <is>
          <t>Bota Avestruz Tabaco</t>
        </is>
      </c>
      <c r="J390" s="156" t="inlineStr">
        <is>
          <t>Calzado</t>
        </is>
      </c>
      <c r="K390" s="156" t="inlineStr">
        <is>
          <t>Botas</t>
        </is>
      </c>
      <c r="L390" s="156" t="inlineStr">
        <is>
          <t>Hombre</t>
        </is>
      </c>
      <c r="M390" s="156" t="inlineStr">
        <is>
          <t>Stetson</t>
        </is>
      </c>
      <c r="N390" s="156" t="inlineStr">
        <is>
          <t>SS26</t>
        </is>
      </c>
      <c r="O390" s="156" t="inlineStr">
        <is>
          <t>Seasonal</t>
        </is>
      </c>
      <c r="P390" s="156" t="inlineStr">
        <is>
          <t>Cafe</t>
        </is>
      </c>
      <c r="Q390" s="156" t="n"/>
      <c r="R390" s="156" t="inlineStr">
        <is>
          <t>Punta Redonda Ancha</t>
        </is>
      </c>
      <c r="S390" s="156" t="inlineStr">
        <is>
          <t>Piel de avestruz</t>
        </is>
      </c>
      <c r="T390" s="156" t="inlineStr">
        <is>
          <t>Bota Caballero Piel de avestruz Tabaco Punta Redonda Ancha</t>
        </is>
      </c>
      <c r="U390" s="156" t="inlineStr">
        <is>
          <t>México</t>
        </is>
      </c>
      <c r="V390" s="156" t="inlineStr">
        <is>
          <t>PRS</t>
        </is>
      </c>
      <c r="W390" s="51" t="inlineStr">
        <is>
          <t>53111501</t>
        </is>
      </c>
      <c r="X390" s="156" t="n"/>
      <c r="Y390" s="54" t="n">
        <v>1451.18</v>
      </c>
      <c r="Z390" s="54" t="n">
        <v>8362.068966000001</v>
      </c>
      <c r="AA390" s="55">
        <f>IF(AND(A390="", B390="", E390=""), "", IF(AB390="", "Válido", IF((LEN(AB390)-LEN(SUBSTITUTE(AB390,"; ","")))/2+1&gt;(LEN(AB390)-LEN(SUBSTITUTE(AB390,"[Aviso]","")))/7, "Con Incidencias", "Válido")))</f>
        <v/>
      </c>
      <c r="AB390" s="56">
        <f>IF(AND(A390="", B390="", E390=""), "", TEXTJOIN("; ", TRUE, IF(OR(TRIM(A390&amp;"")="", ISNUMBER(SEARCH("FALTA", A390))), "UPC faltante/inválido", ""), IF(AND(A390&lt;&gt;"", IFERROR(_xlfn.XMATCH(A390,$A$2:$A$2509,0,1)&lt;&gt;_xlfn.XMATCH(A390,$A$2:$A$2509,0,-1),FALSE)), "Código de barras duplicado", ""), IF(AND(E390&lt;&gt;"", COUNTIF($E$2:$E$2509, E390)&gt;1), "SKU duplicado", ""), IF(OR(J390="", J390=""), "[Aviso] División no capturada ()", IF(ISNA(MATCH(J390, Criterios!$A$123:$A$126, 0)), "División no válida", "")), IF(OR(K390="", K390=""), "[Aviso] Categoría no capturada ()", IF(ISNA(MATCH(K390, Criterios!$A$81:$A$120, 0)), "Categoría no válida", IF(AND(J390&lt;&gt;"", J390&lt;&gt;"", J390&lt;&gt;VLOOKUP(K390, Criterios!$A$81:$B$120, 2, FALSE)), "División no coincide con Categoría", ""))), IF(OR(L390="", L390=""), "[Aviso] Género no capturado ()", IF(ISNA(MATCH(L390, Criterios!$B$123:$B$127, 0)), "Género no válido", "")), IF(OR(N390="", N390=""), "[Aviso] Temporada no capturada ()", IF(ISNA(MATCH(N390, Criterios!$C$123:$C$128, 0)), "Temporada no válida", "")), IF(OR(O390="", O390=""), "[Aviso] Ciclo de vida no capturado ()", IF(ISNA(MATCH(O390, Criterios!$D$123:$D$124, 0)), "Ciclo de vida no válido", ""))))</f>
        <v/>
      </c>
      <c r="AC390" s="56" t="n"/>
      <c r="AD390" s="51" t="n">
        <v>0</v>
      </c>
      <c r="AE390" s="156" t="n"/>
      <c r="AF390" s="51" t="n">
        <v>0</v>
      </c>
      <c r="AG390" s="156" t="inlineStr">
        <is>
          <t>Catálogo existente</t>
        </is>
      </c>
      <c r="AH3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0" s="156" t="inlineStr">
        <is>
          <t>No</t>
        </is>
      </c>
      <c r="AJ390" s="156" t="n"/>
      <c r="AK390" s="155" t="inlineStr">
        <is>
          <t>Criterios: I [Q]; G1522_Extraccion_Articulos_NetSuite_2026-09-30.xlsx: fila 58962 [R] | Shopify Stetson: producto 15054564426091 / variante 53350552699243</t>
        </is>
      </c>
      <c r="AL390" s="58" t="n">
        <v>1451.18</v>
      </c>
      <c r="AM390" s="58" t="n">
        <v>8362.068966000001</v>
      </c>
      <c r="AN390" s="155" t="inlineStr">
        <is>
          <t>Shopify Stetson México</t>
        </is>
      </c>
      <c r="AO390" s="59" t="n">
        <v>0</v>
      </c>
      <c r="AP390" s="59" t="n"/>
      <c r="AQ390" s="59" t="n"/>
      <c r="AR390" s="155" t="n"/>
    </row>
    <row r="391">
      <c r="A391" s="50" t="inlineStr">
        <is>
          <t>12020004101021030</t>
        </is>
      </c>
      <c r="B391" s="51" t="inlineStr">
        <is>
          <t>111288</t>
        </is>
      </c>
      <c r="C391" s="156" t="inlineStr">
        <is>
          <t>Multimarca</t>
        </is>
      </c>
      <c r="D391" s="156" t="inlineStr">
        <is>
          <t>12-020-BS004-10-1021</t>
        </is>
      </c>
      <c r="E391" s="156" t="inlineStr">
        <is>
          <t>12-020-BS004-10-1021-030</t>
        </is>
      </c>
      <c r="F391" s="156" t="inlineStr">
        <is>
          <t>30</t>
        </is>
      </c>
      <c r="G391" s="156" t="inlineStr">
        <is>
          <t>12</t>
        </is>
      </c>
      <c r="H391" s="156" t="inlineStr">
        <is>
          <t>Stetson</t>
        </is>
      </c>
      <c r="I391" s="156" t="inlineStr">
        <is>
          <t>Bota Avestruz Tabaco</t>
        </is>
      </c>
      <c r="J391" s="156" t="inlineStr">
        <is>
          <t>Calzado</t>
        </is>
      </c>
      <c r="K391" s="156" t="inlineStr">
        <is>
          <t>Botas</t>
        </is>
      </c>
      <c r="L391" s="156" t="inlineStr">
        <is>
          <t>Hombre</t>
        </is>
      </c>
      <c r="M391" s="156" t="inlineStr">
        <is>
          <t>Stetson</t>
        </is>
      </c>
      <c r="N391" s="156" t="inlineStr">
        <is>
          <t>SS26</t>
        </is>
      </c>
      <c r="O391" s="156" t="inlineStr">
        <is>
          <t>Seasonal</t>
        </is>
      </c>
      <c r="P391" s="156" t="inlineStr">
        <is>
          <t>Cafe</t>
        </is>
      </c>
      <c r="Q391" s="156" t="n"/>
      <c r="R391" s="156" t="inlineStr">
        <is>
          <t>Punta Redonda Ancha</t>
        </is>
      </c>
      <c r="S391" s="156" t="inlineStr">
        <is>
          <t>Piel de avestruz</t>
        </is>
      </c>
      <c r="T391" s="156" t="inlineStr">
        <is>
          <t>Bota Caballero Piel de avestruz Tabaco Punta Redonda Ancha</t>
        </is>
      </c>
      <c r="U391" s="156" t="inlineStr">
        <is>
          <t>México</t>
        </is>
      </c>
      <c r="V391" s="156" t="inlineStr">
        <is>
          <t>PRS</t>
        </is>
      </c>
      <c r="W391" s="51" t="inlineStr">
        <is>
          <t>53111501</t>
        </is>
      </c>
      <c r="X391" s="156" t="n"/>
      <c r="Y391" s="54" t="n">
        <v>1451.18</v>
      </c>
      <c r="Z391" s="54" t="n">
        <v>8362.068966000001</v>
      </c>
      <c r="AA391" s="55">
        <f>IF(AND(A391="", B391="", E391=""), "", IF(AB391="", "Válido", IF((LEN(AB391)-LEN(SUBSTITUTE(AB391,"; ","")))/2+1&gt;(LEN(AB391)-LEN(SUBSTITUTE(AB391,"[Aviso]","")))/7, "Con Incidencias", "Válido")))</f>
        <v/>
      </c>
      <c r="AB391" s="56">
        <f>IF(AND(A391="", B391="", E391=""), "", TEXTJOIN("; ", TRUE, IF(OR(TRIM(A391&amp;"")="", ISNUMBER(SEARCH("FALTA", A391))), "UPC faltante/inválido", ""), IF(AND(A391&lt;&gt;"", IFERROR(_xlfn.XMATCH(A391,$A$2:$A$2509,0,1)&lt;&gt;_xlfn.XMATCH(A391,$A$2:$A$2509,0,-1),FALSE)), "Código de barras duplicado", ""), IF(AND(E391&lt;&gt;"", COUNTIF($E$2:$E$2509, E391)&gt;1), "SKU duplicado", ""), IF(OR(J391="", J391=""), "[Aviso] División no capturada ()", IF(ISNA(MATCH(J391, Criterios!$A$123:$A$126, 0)), "División no válida", "")), IF(OR(K391="", K391=""), "[Aviso] Categoría no capturada ()", IF(ISNA(MATCH(K391, Criterios!$A$81:$A$120, 0)), "Categoría no válida", IF(AND(J391&lt;&gt;"", J391&lt;&gt;"", J391&lt;&gt;VLOOKUP(K391, Criterios!$A$81:$B$120, 2, FALSE)), "División no coincide con Categoría", ""))), IF(OR(L391="", L391=""), "[Aviso] Género no capturado ()", IF(ISNA(MATCH(L391, Criterios!$B$123:$B$127, 0)), "Género no válido", "")), IF(OR(N391="", N391=""), "[Aviso] Temporada no capturada ()", IF(ISNA(MATCH(N391, Criterios!$C$123:$C$128, 0)), "Temporada no válida", "")), IF(OR(O391="", O391=""), "[Aviso] Ciclo de vida no capturado ()", IF(ISNA(MATCH(O391, Criterios!$D$123:$D$124, 0)), "Ciclo de vida no válido", ""))))</f>
        <v/>
      </c>
      <c r="AC391" s="56" t="n"/>
      <c r="AD391" s="51" t="n">
        <v>0</v>
      </c>
      <c r="AE391" s="156" t="n"/>
      <c r="AF391" s="51" t="n">
        <v>0</v>
      </c>
      <c r="AG391" s="156" t="inlineStr">
        <is>
          <t>Catálogo existente</t>
        </is>
      </c>
      <c r="AH3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1" s="156" t="inlineStr">
        <is>
          <t>No</t>
        </is>
      </c>
      <c r="AJ391" s="156" t="n"/>
      <c r="AK391" s="155" t="inlineStr">
        <is>
          <t>Criterios: I [Q]; G1522_Extraccion_Articulos_NetSuite_2026-09-30.xlsx: fila 58963 [R] | Shopify Stetson: producto 15054564426091 / variante 53350552764779</t>
        </is>
      </c>
      <c r="AL391" s="58" t="n">
        <v>1451.18</v>
      </c>
      <c r="AM391" s="58" t="n">
        <v>8362.068966000001</v>
      </c>
      <c r="AN391" s="155" t="inlineStr">
        <is>
          <t>Shopify Stetson México</t>
        </is>
      </c>
      <c r="AO391" s="59" t="n">
        <v>0</v>
      </c>
      <c r="AP391" s="59" t="n"/>
      <c r="AQ391" s="59" t="n"/>
      <c r="AR391" s="155" t="n"/>
    </row>
    <row r="392">
      <c r="A392" s="50" t="inlineStr">
        <is>
          <t>12020004101021031</t>
        </is>
      </c>
      <c r="B392" s="51" t="inlineStr">
        <is>
          <t>111289</t>
        </is>
      </c>
      <c r="C392" s="156" t="inlineStr">
        <is>
          <t>Multimarca</t>
        </is>
      </c>
      <c r="D392" s="156" t="inlineStr">
        <is>
          <t>12-020-BS004-10-1021</t>
        </is>
      </c>
      <c r="E392" s="156" t="inlineStr">
        <is>
          <t>12-020-BS004-10-1021-031</t>
        </is>
      </c>
      <c r="F392" s="156" t="inlineStr">
        <is>
          <t>31</t>
        </is>
      </c>
      <c r="G392" s="156" t="inlineStr">
        <is>
          <t>13</t>
        </is>
      </c>
      <c r="H392" s="156" t="inlineStr">
        <is>
          <t>Stetson</t>
        </is>
      </c>
      <c r="I392" s="156" t="inlineStr">
        <is>
          <t>Bota Avestruz Tabaco</t>
        </is>
      </c>
      <c r="J392" s="156" t="inlineStr">
        <is>
          <t>Calzado</t>
        </is>
      </c>
      <c r="K392" s="156" t="inlineStr">
        <is>
          <t>Botas</t>
        </is>
      </c>
      <c r="L392" s="156" t="inlineStr">
        <is>
          <t>Hombre</t>
        </is>
      </c>
      <c r="M392" s="156" t="inlineStr">
        <is>
          <t>Stetson</t>
        </is>
      </c>
      <c r="N392" s="156" t="inlineStr">
        <is>
          <t>SS26</t>
        </is>
      </c>
      <c r="O392" s="156" t="inlineStr">
        <is>
          <t>Seasonal</t>
        </is>
      </c>
      <c r="P392" s="156" t="inlineStr">
        <is>
          <t>Cafe</t>
        </is>
      </c>
      <c r="Q392" s="156" t="n"/>
      <c r="R392" s="156" t="inlineStr">
        <is>
          <t>Punta Redonda Ancha</t>
        </is>
      </c>
      <c r="S392" s="156" t="inlineStr">
        <is>
          <t>Piel de avestruz</t>
        </is>
      </c>
      <c r="T392" s="156" t="inlineStr">
        <is>
          <t>Bota Caballero Piel de avestruz Tabaco Punta Redonda Ancha</t>
        </is>
      </c>
      <c r="U392" s="156" t="inlineStr">
        <is>
          <t>México</t>
        </is>
      </c>
      <c r="V392" s="156" t="inlineStr">
        <is>
          <t>PRS</t>
        </is>
      </c>
      <c r="W392" s="51" t="inlineStr">
        <is>
          <t>53111501</t>
        </is>
      </c>
      <c r="X392" s="156" t="n"/>
      <c r="Y392" s="54" t="n">
        <v>1451.18</v>
      </c>
      <c r="Z392" s="54" t="n">
        <v>8362.068966000001</v>
      </c>
      <c r="AA392" s="55">
        <f>IF(AND(A392="", B392="", E392=""), "", IF(AB392="", "Válido", IF((LEN(AB392)-LEN(SUBSTITUTE(AB392,"; ","")))/2+1&gt;(LEN(AB392)-LEN(SUBSTITUTE(AB392,"[Aviso]","")))/7, "Con Incidencias", "Válido")))</f>
        <v/>
      </c>
      <c r="AB392" s="56">
        <f>IF(AND(A392="", B392="", E392=""), "", TEXTJOIN("; ", TRUE, IF(OR(TRIM(A392&amp;"")="", ISNUMBER(SEARCH("FALTA", A392))), "UPC faltante/inválido", ""), IF(AND(A392&lt;&gt;"", IFERROR(_xlfn.XMATCH(A392,$A$2:$A$2509,0,1)&lt;&gt;_xlfn.XMATCH(A392,$A$2:$A$2509,0,-1),FALSE)), "Código de barras duplicado", ""), IF(AND(E392&lt;&gt;"", COUNTIF($E$2:$E$2509, E392)&gt;1), "SKU duplicado", ""), IF(OR(J392="", J392=""), "[Aviso] División no capturada ()", IF(ISNA(MATCH(J392, Criterios!$A$123:$A$126, 0)), "División no válida", "")), IF(OR(K392="", K392=""), "[Aviso] Categoría no capturada ()", IF(ISNA(MATCH(K392, Criterios!$A$81:$A$120, 0)), "Categoría no válida", IF(AND(J392&lt;&gt;"", J392&lt;&gt;"", J392&lt;&gt;VLOOKUP(K392, Criterios!$A$81:$B$120, 2, FALSE)), "División no coincide con Categoría", ""))), IF(OR(L392="", L392=""), "[Aviso] Género no capturado ()", IF(ISNA(MATCH(L392, Criterios!$B$123:$B$127, 0)), "Género no válido", "")), IF(OR(N392="", N392=""), "[Aviso] Temporada no capturada ()", IF(ISNA(MATCH(N392, Criterios!$C$123:$C$128, 0)), "Temporada no válida", "")), IF(OR(O392="", O392=""), "[Aviso] Ciclo de vida no capturado ()", IF(ISNA(MATCH(O392, Criterios!$D$123:$D$124, 0)), "Ciclo de vida no válido", ""))))</f>
        <v/>
      </c>
      <c r="AC392" s="56" t="n"/>
      <c r="AD392" s="51" t="n">
        <v>0</v>
      </c>
      <c r="AE392" s="156" t="n"/>
      <c r="AF392" s="51" t="n">
        <v>0</v>
      </c>
      <c r="AG392" s="156" t="inlineStr">
        <is>
          <t>Catálogo existente</t>
        </is>
      </c>
      <c r="AH3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2" s="156" t="inlineStr">
        <is>
          <t>No</t>
        </is>
      </c>
      <c r="AJ392" s="156" t="n"/>
      <c r="AK392" s="155" t="inlineStr">
        <is>
          <t>Criterios: I [Q]; G1522_Extraccion_Articulos_NetSuite_2026-09-30.xlsx: fila 58964 [R] | Shopify Stetson: producto 15054564426091 / variante 53350552830315</t>
        </is>
      </c>
      <c r="AL392" s="58" t="n">
        <v>1451.18</v>
      </c>
      <c r="AM392" s="58" t="n">
        <v>8362.068966000001</v>
      </c>
      <c r="AN392" s="155" t="inlineStr">
        <is>
          <t>Shopify Stetson México</t>
        </is>
      </c>
      <c r="AO392" s="59" t="n">
        <v>0</v>
      </c>
      <c r="AP392" s="59" t="n"/>
      <c r="AQ392" s="59" t="n"/>
      <c r="AR392" s="155" t="n"/>
    </row>
    <row r="393">
      <c r="A393" s="50" t="inlineStr">
        <is>
          <t>12020004101021032</t>
        </is>
      </c>
      <c r="B393" s="51" t="inlineStr">
        <is>
          <t>111290</t>
        </is>
      </c>
      <c r="C393" s="156" t="inlineStr">
        <is>
          <t>Multimarca</t>
        </is>
      </c>
      <c r="D393" s="156" t="inlineStr">
        <is>
          <t>12-020-BS004-10-1021</t>
        </is>
      </c>
      <c r="E393" s="156" t="inlineStr">
        <is>
          <t>12-020-BS004-10-1021-032</t>
        </is>
      </c>
      <c r="F393" s="156" t="inlineStr">
        <is>
          <t>32</t>
        </is>
      </c>
      <c r="G393" s="156" t="inlineStr">
        <is>
          <t>14</t>
        </is>
      </c>
      <c r="H393" s="156" t="inlineStr">
        <is>
          <t>Stetson</t>
        </is>
      </c>
      <c r="I393" s="156" t="inlineStr">
        <is>
          <t>Bota Avestruz Tabaco</t>
        </is>
      </c>
      <c r="J393" s="156" t="inlineStr">
        <is>
          <t>Calzado</t>
        </is>
      </c>
      <c r="K393" s="156" t="inlineStr">
        <is>
          <t>Botas</t>
        </is>
      </c>
      <c r="L393" s="156" t="inlineStr">
        <is>
          <t>Hombre</t>
        </is>
      </c>
      <c r="M393" s="156" t="inlineStr">
        <is>
          <t>Stetson</t>
        </is>
      </c>
      <c r="N393" s="156" t="inlineStr">
        <is>
          <t>SS26</t>
        </is>
      </c>
      <c r="O393" s="156" t="inlineStr">
        <is>
          <t>Seasonal</t>
        </is>
      </c>
      <c r="P393" s="156" t="inlineStr">
        <is>
          <t>Cafe</t>
        </is>
      </c>
      <c r="Q393" s="156" t="n"/>
      <c r="R393" s="156" t="inlineStr">
        <is>
          <t>Punta Redonda Ancha</t>
        </is>
      </c>
      <c r="S393" s="156" t="inlineStr">
        <is>
          <t>Piel de avestruz</t>
        </is>
      </c>
      <c r="T393" s="156" t="inlineStr">
        <is>
          <t>Bota Caballero Piel de avestruz Tabaco Punta Redonda Ancha</t>
        </is>
      </c>
      <c r="U393" s="156" t="inlineStr">
        <is>
          <t>México</t>
        </is>
      </c>
      <c r="V393" s="156" t="inlineStr">
        <is>
          <t>PRS</t>
        </is>
      </c>
      <c r="W393" s="51" t="inlineStr">
        <is>
          <t>53111501</t>
        </is>
      </c>
      <c r="X393" s="156" t="n"/>
      <c r="Y393" s="54" t="n">
        <v>1451.18</v>
      </c>
      <c r="Z393" s="54" t="n">
        <v>8362.068966000001</v>
      </c>
      <c r="AA393" s="55">
        <f>IF(AND(A393="", B393="", E393=""), "", IF(AB393="", "Válido", IF((LEN(AB393)-LEN(SUBSTITUTE(AB393,"; ","")))/2+1&gt;(LEN(AB393)-LEN(SUBSTITUTE(AB393,"[Aviso]","")))/7, "Con Incidencias", "Válido")))</f>
        <v/>
      </c>
      <c r="AB393" s="56">
        <f>IF(AND(A393="", B393="", E393=""), "", TEXTJOIN("; ", TRUE, IF(OR(TRIM(A393&amp;"")="", ISNUMBER(SEARCH("FALTA", A393))), "UPC faltante/inválido", ""), IF(AND(A393&lt;&gt;"", IFERROR(_xlfn.XMATCH(A393,$A$2:$A$2509,0,1)&lt;&gt;_xlfn.XMATCH(A393,$A$2:$A$2509,0,-1),FALSE)), "Código de barras duplicado", ""), IF(AND(E393&lt;&gt;"", COUNTIF($E$2:$E$2509, E393)&gt;1), "SKU duplicado", ""), IF(OR(J393="", J393=""), "[Aviso] División no capturada ()", IF(ISNA(MATCH(J393, Criterios!$A$123:$A$126, 0)), "División no válida", "")), IF(OR(K393="", K393=""), "[Aviso] Categoría no capturada ()", IF(ISNA(MATCH(K393, Criterios!$A$81:$A$120, 0)), "Categoría no válida", IF(AND(J393&lt;&gt;"", J393&lt;&gt;"", J393&lt;&gt;VLOOKUP(K393, Criterios!$A$81:$B$120, 2, FALSE)), "División no coincide con Categoría", ""))), IF(OR(L393="", L393=""), "[Aviso] Género no capturado ()", IF(ISNA(MATCH(L393, Criterios!$B$123:$B$127, 0)), "Género no válido", "")), IF(OR(N393="", N393=""), "[Aviso] Temporada no capturada ()", IF(ISNA(MATCH(N393, Criterios!$C$123:$C$128, 0)), "Temporada no válida", "")), IF(OR(O393="", O393=""), "[Aviso] Ciclo de vida no capturado ()", IF(ISNA(MATCH(O393, Criterios!$D$123:$D$124, 0)), "Ciclo de vida no válido", ""))))</f>
        <v/>
      </c>
      <c r="AC393" s="56" t="n"/>
      <c r="AD393" s="51" t="n">
        <v>0</v>
      </c>
      <c r="AE393" s="156" t="n"/>
      <c r="AF393" s="51" t="n">
        <v>0</v>
      </c>
      <c r="AG393" s="156" t="inlineStr">
        <is>
          <t>Catálogo existente</t>
        </is>
      </c>
      <c r="AH3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3" s="156" t="inlineStr">
        <is>
          <t>No</t>
        </is>
      </c>
      <c r="AJ393" s="156" t="n"/>
      <c r="AK393" s="155" t="inlineStr">
        <is>
          <t>Criterios: I [Q]; G1522_Extraccion_Articulos_NetSuite_2026-09-30.xlsx: fila 58965 [R] | Shopify Stetson: producto 15054564426091 / variante 53350552895851</t>
        </is>
      </c>
      <c r="AL393" s="58" t="n">
        <v>1451.18</v>
      </c>
      <c r="AM393" s="58" t="n">
        <v>8362.068966000001</v>
      </c>
      <c r="AN393" s="155" t="inlineStr">
        <is>
          <t>Shopify Stetson México</t>
        </is>
      </c>
      <c r="AO393" s="59" t="n">
        <v>0</v>
      </c>
      <c r="AP393" s="59" t="n"/>
      <c r="AQ393" s="59" t="n"/>
      <c r="AR393" s="155" t="n"/>
    </row>
    <row r="394">
      <c r="A394" s="50" t="inlineStr">
        <is>
          <t>12020004101021255</t>
        </is>
      </c>
      <c r="B394" s="51" t="inlineStr">
        <is>
          <t>111291</t>
        </is>
      </c>
      <c r="C394" s="156" t="inlineStr">
        <is>
          <t>Multimarca</t>
        </is>
      </c>
      <c r="D394" s="156" t="inlineStr">
        <is>
          <t>12-020-BS004-10-1021</t>
        </is>
      </c>
      <c r="E394" s="156" t="inlineStr">
        <is>
          <t>12-020-BS004-10-1021-255</t>
        </is>
      </c>
      <c r="F394" s="156" t="inlineStr">
        <is>
          <t>25.5</t>
        </is>
      </c>
      <c r="G394" s="156" t="inlineStr">
        <is>
          <t>7.5</t>
        </is>
      </c>
      <c r="H394" s="156" t="inlineStr">
        <is>
          <t>Stetson</t>
        </is>
      </c>
      <c r="I394" s="156" t="inlineStr">
        <is>
          <t>Bota Avestruz Tabaco</t>
        </is>
      </c>
      <c r="J394" s="156" t="inlineStr">
        <is>
          <t>Calzado</t>
        </is>
      </c>
      <c r="K394" s="156" t="inlineStr">
        <is>
          <t>Botas</t>
        </is>
      </c>
      <c r="L394" s="156" t="inlineStr">
        <is>
          <t>Hombre</t>
        </is>
      </c>
      <c r="M394" s="156" t="inlineStr">
        <is>
          <t>Stetson</t>
        </is>
      </c>
      <c r="N394" s="156" t="inlineStr">
        <is>
          <t>SS26</t>
        </is>
      </c>
      <c r="O394" s="156" t="inlineStr">
        <is>
          <t>Seasonal</t>
        </is>
      </c>
      <c r="P394" s="156" t="inlineStr">
        <is>
          <t>Cafe</t>
        </is>
      </c>
      <c r="Q394" s="156" t="n"/>
      <c r="R394" s="156" t="inlineStr">
        <is>
          <t>Punta Redonda Ancha</t>
        </is>
      </c>
      <c r="S394" s="156" t="inlineStr">
        <is>
          <t>Piel de avestruz</t>
        </is>
      </c>
      <c r="T394" s="156" t="inlineStr">
        <is>
          <t>Bota Caballero Piel de avestruz Tabaco Punta Redonda Ancha</t>
        </is>
      </c>
      <c r="U394" s="156" t="inlineStr">
        <is>
          <t>México</t>
        </is>
      </c>
      <c r="V394" s="156" t="inlineStr">
        <is>
          <t>PRS</t>
        </is>
      </c>
      <c r="W394" s="51" t="inlineStr">
        <is>
          <t>53111501</t>
        </is>
      </c>
      <c r="X394" s="156" t="n"/>
      <c r="Y394" s="54" t="n">
        <v>1451.18</v>
      </c>
      <c r="Z394" s="54" t="n">
        <v>8362.068966000001</v>
      </c>
      <c r="AA394" s="55">
        <f>IF(AND(A394="", B394="", E394=""), "", IF(AB394="", "Válido", IF((LEN(AB394)-LEN(SUBSTITUTE(AB394,"; ","")))/2+1&gt;(LEN(AB394)-LEN(SUBSTITUTE(AB394,"[Aviso]","")))/7, "Con Incidencias", "Válido")))</f>
        <v/>
      </c>
      <c r="AB394" s="56">
        <f>IF(AND(A394="", B394="", E394=""), "", TEXTJOIN("; ", TRUE, IF(OR(TRIM(A394&amp;"")="", ISNUMBER(SEARCH("FALTA", A394))), "UPC faltante/inválido", ""), IF(AND(A394&lt;&gt;"", IFERROR(_xlfn.XMATCH(A394,$A$2:$A$2509,0,1)&lt;&gt;_xlfn.XMATCH(A394,$A$2:$A$2509,0,-1),FALSE)), "Código de barras duplicado", ""), IF(AND(E394&lt;&gt;"", COUNTIF($E$2:$E$2509, E394)&gt;1), "SKU duplicado", ""), IF(OR(J394="", J394=""), "[Aviso] División no capturada ()", IF(ISNA(MATCH(J394, Criterios!$A$123:$A$126, 0)), "División no válida", "")), IF(OR(K394="", K394=""), "[Aviso] Categoría no capturada ()", IF(ISNA(MATCH(K394, Criterios!$A$81:$A$120, 0)), "Categoría no válida", IF(AND(J394&lt;&gt;"", J394&lt;&gt;"", J394&lt;&gt;VLOOKUP(K394, Criterios!$A$81:$B$120, 2, FALSE)), "División no coincide con Categoría", ""))), IF(OR(L394="", L394=""), "[Aviso] Género no capturado ()", IF(ISNA(MATCH(L394, Criterios!$B$123:$B$127, 0)), "Género no válido", "")), IF(OR(N394="", N394=""), "[Aviso] Temporada no capturada ()", IF(ISNA(MATCH(N394, Criterios!$C$123:$C$128, 0)), "Temporada no válida", "")), IF(OR(O394="", O394=""), "[Aviso] Ciclo de vida no capturado ()", IF(ISNA(MATCH(O394, Criterios!$D$123:$D$124, 0)), "Ciclo de vida no válido", ""))))</f>
        <v/>
      </c>
      <c r="AC394" s="56" t="n"/>
      <c r="AD394" s="51" t="n">
        <v>0</v>
      </c>
      <c r="AE394" s="156" t="n"/>
      <c r="AF394" s="51" t="n">
        <v>0</v>
      </c>
      <c r="AG394" s="156" t="inlineStr">
        <is>
          <t>Catálogo existente</t>
        </is>
      </c>
      <c r="AH3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4" s="156" t="inlineStr">
        <is>
          <t>No</t>
        </is>
      </c>
      <c r="AJ394" s="156" t="n"/>
      <c r="AK394" s="155" t="inlineStr">
        <is>
          <t>Criterios: I [Q]; G1522_Extraccion_Articulos_NetSuite_2026-09-30.xlsx: fila 58966 [R] | Shopify Stetson: producto 15054564426091 / variante 53350552469867</t>
        </is>
      </c>
      <c r="AL394" s="58" t="n">
        <v>1451.18</v>
      </c>
      <c r="AM394" s="58" t="n">
        <v>8362.068966000001</v>
      </c>
      <c r="AN394" s="155" t="inlineStr">
        <is>
          <t>Shopify Stetson México</t>
        </is>
      </c>
      <c r="AO394" s="59" t="n">
        <v>1</v>
      </c>
      <c r="AP394" s="59" t="n"/>
      <c r="AQ394" s="59" t="n"/>
      <c r="AR394" s="155" t="inlineStr">
        <is>
          <t>Shopify Stetson México › Stetson Americas: 1</t>
        </is>
      </c>
    </row>
    <row r="395">
      <c r="A395" s="50" t="inlineStr">
        <is>
          <t>12020004101021265</t>
        </is>
      </c>
      <c r="B395" s="51" t="inlineStr">
        <is>
          <t>111292</t>
        </is>
      </c>
      <c r="C395" s="156" t="inlineStr">
        <is>
          <t>Multimarca</t>
        </is>
      </c>
      <c r="D395" s="156" t="inlineStr">
        <is>
          <t>12-020-BS004-10-1021</t>
        </is>
      </c>
      <c r="E395" s="156" t="inlineStr">
        <is>
          <t>12-020-BS004-10-1021-265</t>
        </is>
      </c>
      <c r="F395" s="156" t="inlineStr">
        <is>
          <t>26.5</t>
        </is>
      </c>
      <c r="G395" s="156" t="inlineStr">
        <is>
          <t>8.5</t>
        </is>
      </c>
      <c r="H395" s="156" t="inlineStr">
        <is>
          <t>Stetson</t>
        </is>
      </c>
      <c r="I395" s="156" t="inlineStr">
        <is>
          <t>Bota Avestruz Tabaco</t>
        </is>
      </c>
      <c r="J395" s="156" t="inlineStr">
        <is>
          <t>Calzado</t>
        </is>
      </c>
      <c r="K395" s="156" t="inlineStr">
        <is>
          <t>Botas</t>
        </is>
      </c>
      <c r="L395" s="156" t="inlineStr">
        <is>
          <t>Hombre</t>
        </is>
      </c>
      <c r="M395" s="156" t="inlineStr">
        <is>
          <t>Stetson</t>
        </is>
      </c>
      <c r="N395" s="156" t="inlineStr">
        <is>
          <t>SS26</t>
        </is>
      </c>
      <c r="O395" s="156" t="inlineStr">
        <is>
          <t>Seasonal</t>
        </is>
      </c>
      <c r="P395" s="156" t="inlineStr">
        <is>
          <t>Cafe</t>
        </is>
      </c>
      <c r="Q395" s="156" t="n"/>
      <c r="R395" s="156" t="inlineStr">
        <is>
          <t>Punta Redonda Ancha</t>
        </is>
      </c>
      <c r="S395" s="156" t="inlineStr">
        <is>
          <t>Piel de avestruz</t>
        </is>
      </c>
      <c r="T395" s="156" t="inlineStr">
        <is>
          <t>Bota Caballero Piel de avestruz Tabaco Punta Redonda Ancha</t>
        </is>
      </c>
      <c r="U395" s="156" t="inlineStr">
        <is>
          <t>México</t>
        </is>
      </c>
      <c r="V395" s="156" t="inlineStr">
        <is>
          <t>PRS</t>
        </is>
      </c>
      <c r="W395" s="51" t="inlineStr">
        <is>
          <t>53111501</t>
        </is>
      </c>
      <c r="X395" s="156" t="n"/>
      <c r="Y395" s="54" t="n">
        <v>1451.18</v>
      </c>
      <c r="Z395" s="54" t="n">
        <v>8362.068966000001</v>
      </c>
      <c r="AA395" s="55">
        <f>IF(AND(A395="", B395="", E395=""), "", IF(AB395="", "Válido", IF((LEN(AB395)-LEN(SUBSTITUTE(AB395,"; ","")))/2+1&gt;(LEN(AB395)-LEN(SUBSTITUTE(AB395,"[Aviso]","")))/7, "Con Incidencias", "Válido")))</f>
        <v/>
      </c>
      <c r="AB395" s="56">
        <f>IF(AND(A395="", B395="", E395=""), "", TEXTJOIN("; ", TRUE, IF(OR(TRIM(A395&amp;"")="", ISNUMBER(SEARCH("FALTA", A395))), "UPC faltante/inválido", ""), IF(AND(A395&lt;&gt;"", IFERROR(_xlfn.XMATCH(A395,$A$2:$A$2509,0,1)&lt;&gt;_xlfn.XMATCH(A395,$A$2:$A$2509,0,-1),FALSE)), "Código de barras duplicado", ""), IF(AND(E395&lt;&gt;"", COUNTIF($E$2:$E$2509, E395)&gt;1), "SKU duplicado", ""), IF(OR(J395="", J395=""), "[Aviso] División no capturada ()", IF(ISNA(MATCH(J395, Criterios!$A$123:$A$126, 0)), "División no válida", "")), IF(OR(K395="", K395=""), "[Aviso] Categoría no capturada ()", IF(ISNA(MATCH(K395, Criterios!$A$81:$A$120, 0)), "Categoría no válida", IF(AND(J395&lt;&gt;"", J395&lt;&gt;"", J395&lt;&gt;VLOOKUP(K395, Criterios!$A$81:$B$120, 2, FALSE)), "División no coincide con Categoría", ""))), IF(OR(L395="", L395=""), "[Aviso] Género no capturado ()", IF(ISNA(MATCH(L395, Criterios!$B$123:$B$127, 0)), "Género no válido", "")), IF(OR(N395="", N395=""), "[Aviso] Temporada no capturada ()", IF(ISNA(MATCH(N395, Criterios!$C$123:$C$128, 0)), "Temporada no válida", "")), IF(OR(O395="", O395=""), "[Aviso] Ciclo de vida no capturado ()", IF(ISNA(MATCH(O395, Criterios!$D$123:$D$124, 0)), "Ciclo de vida no válido", ""))))</f>
        <v/>
      </c>
      <c r="AC395" s="56" t="n"/>
      <c r="AD395" s="51" t="n">
        <v>0</v>
      </c>
      <c r="AE395" s="156" t="n"/>
      <c r="AF395" s="51" t="n">
        <v>0</v>
      </c>
      <c r="AG395" s="156" t="inlineStr">
        <is>
          <t>Catálogo existente</t>
        </is>
      </c>
      <c r="AH3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5" s="156" t="inlineStr">
        <is>
          <t>No</t>
        </is>
      </c>
      <c r="AJ395" s="156" t="n"/>
      <c r="AK395" s="155" t="inlineStr">
        <is>
          <t>Criterios: I [Q]; G1522_Extraccion_Articulos_NetSuite_2026-09-30.xlsx: fila 58967 [R] | Shopify Stetson: producto 15054564426091 / variante 53350552535403</t>
        </is>
      </c>
      <c r="AL395" s="58" t="n">
        <v>1451.18</v>
      </c>
      <c r="AM395" s="58" t="n">
        <v>8362.068966000001</v>
      </c>
      <c r="AN395" s="155" t="inlineStr">
        <is>
          <t>Shopify Stetson México</t>
        </is>
      </c>
      <c r="AO395" s="59" t="n">
        <v>-1</v>
      </c>
      <c r="AP395" s="59" t="n"/>
      <c r="AQ395" s="59" t="n"/>
      <c r="AR395" s="155" t="n"/>
    </row>
    <row r="396">
      <c r="A396" s="50" t="inlineStr">
        <is>
          <t>12020004101021275</t>
        </is>
      </c>
      <c r="B396" s="51" t="inlineStr">
        <is>
          <t>111293</t>
        </is>
      </c>
      <c r="C396" s="156" t="inlineStr">
        <is>
          <t>Multimarca</t>
        </is>
      </c>
      <c r="D396" s="156" t="inlineStr">
        <is>
          <t>12-020-BS004-10-1021</t>
        </is>
      </c>
      <c r="E396" s="156" t="inlineStr">
        <is>
          <t>12-020-BS004-10-1021-275</t>
        </is>
      </c>
      <c r="F396" s="156" t="inlineStr">
        <is>
          <t>27.5</t>
        </is>
      </c>
      <c r="G396" s="156" t="inlineStr">
        <is>
          <t>9.5</t>
        </is>
      </c>
      <c r="H396" s="156" t="inlineStr">
        <is>
          <t>Stetson</t>
        </is>
      </c>
      <c r="I396" s="156" t="inlineStr">
        <is>
          <t>Bota Avestruz Tabaco</t>
        </is>
      </c>
      <c r="J396" s="156" t="inlineStr">
        <is>
          <t>Calzado</t>
        </is>
      </c>
      <c r="K396" s="156" t="inlineStr">
        <is>
          <t>Botas</t>
        </is>
      </c>
      <c r="L396" s="156" t="inlineStr">
        <is>
          <t>Hombre</t>
        </is>
      </c>
      <c r="M396" s="156" t="inlineStr">
        <is>
          <t>Stetson</t>
        </is>
      </c>
      <c r="N396" s="156" t="inlineStr">
        <is>
          <t>SS26</t>
        </is>
      </c>
      <c r="O396" s="156" t="inlineStr">
        <is>
          <t>Seasonal</t>
        </is>
      </c>
      <c r="P396" s="156" t="inlineStr">
        <is>
          <t>Cafe</t>
        </is>
      </c>
      <c r="Q396" s="156" t="n"/>
      <c r="R396" s="156" t="inlineStr">
        <is>
          <t>Punta Redonda Ancha</t>
        </is>
      </c>
      <c r="S396" s="156" t="inlineStr">
        <is>
          <t>Piel de avestruz</t>
        </is>
      </c>
      <c r="T396" s="156" t="inlineStr">
        <is>
          <t>Bota Caballero Piel de avestruz Tabaco Punta Redonda Ancha</t>
        </is>
      </c>
      <c r="U396" s="156" t="inlineStr">
        <is>
          <t>México</t>
        </is>
      </c>
      <c r="V396" s="156" t="inlineStr">
        <is>
          <t>PRS</t>
        </is>
      </c>
      <c r="W396" s="51" t="inlineStr">
        <is>
          <t>53111501</t>
        </is>
      </c>
      <c r="X396" s="156" t="n"/>
      <c r="Y396" s="54" t="n">
        <v>1451.18</v>
      </c>
      <c r="Z396" s="54" t="n">
        <v>8362.068966000001</v>
      </c>
      <c r="AA396" s="55">
        <f>IF(AND(A396="", B396="", E396=""), "", IF(AB396="", "Válido", IF((LEN(AB396)-LEN(SUBSTITUTE(AB396,"; ","")))/2+1&gt;(LEN(AB396)-LEN(SUBSTITUTE(AB396,"[Aviso]","")))/7, "Con Incidencias", "Válido")))</f>
        <v/>
      </c>
      <c r="AB396" s="56">
        <f>IF(AND(A396="", B396="", E396=""), "", TEXTJOIN("; ", TRUE, IF(OR(TRIM(A396&amp;"")="", ISNUMBER(SEARCH("FALTA", A396))), "UPC faltante/inválido", ""), IF(AND(A396&lt;&gt;"", IFERROR(_xlfn.XMATCH(A396,$A$2:$A$2509,0,1)&lt;&gt;_xlfn.XMATCH(A396,$A$2:$A$2509,0,-1),FALSE)), "Código de barras duplicado", ""), IF(AND(E396&lt;&gt;"", COUNTIF($E$2:$E$2509, E396)&gt;1), "SKU duplicado", ""), IF(OR(J396="", J396=""), "[Aviso] División no capturada ()", IF(ISNA(MATCH(J396, Criterios!$A$123:$A$126, 0)), "División no válida", "")), IF(OR(K396="", K396=""), "[Aviso] Categoría no capturada ()", IF(ISNA(MATCH(K396, Criterios!$A$81:$A$120, 0)), "Categoría no válida", IF(AND(J396&lt;&gt;"", J396&lt;&gt;"", J396&lt;&gt;VLOOKUP(K396, Criterios!$A$81:$B$120, 2, FALSE)), "División no coincide con Categoría", ""))), IF(OR(L396="", L396=""), "[Aviso] Género no capturado ()", IF(ISNA(MATCH(L396, Criterios!$B$123:$B$127, 0)), "Género no válido", "")), IF(OR(N396="", N396=""), "[Aviso] Temporada no capturada ()", IF(ISNA(MATCH(N396, Criterios!$C$123:$C$128, 0)), "Temporada no válida", "")), IF(OR(O396="", O396=""), "[Aviso] Ciclo de vida no capturado ()", IF(ISNA(MATCH(O396, Criterios!$D$123:$D$124, 0)), "Ciclo de vida no válido", ""))))</f>
        <v/>
      </c>
      <c r="AC396" s="56" t="n"/>
      <c r="AD396" s="51" t="n">
        <v>1</v>
      </c>
      <c r="AE396" s="156" t="inlineStr">
        <is>
          <t>STETSON AMERICAS (1)</t>
        </is>
      </c>
      <c r="AF396" s="51" t="n">
        <v>1</v>
      </c>
      <c r="AG396" s="156" t="inlineStr">
        <is>
          <t>Catálogo existente</t>
        </is>
      </c>
      <c r="AH3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6" s="156" t="inlineStr">
        <is>
          <t>No</t>
        </is>
      </c>
      <c r="AJ396" s="156" t="n"/>
      <c r="AK396" s="155" t="inlineStr">
        <is>
          <t>Criterios: I [Q]; G1522_Extraccion_Articulos_NetSuite_2026-09-30.xlsx: fila 58968 [R] | Shopify Stetson: producto 15054564426091 / variante 53350552600939</t>
        </is>
      </c>
      <c r="AL396" s="58" t="n">
        <v>1451.18</v>
      </c>
      <c r="AM396" s="58" t="n">
        <v>8362.068966000001</v>
      </c>
      <c r="AN396" s="155" t="inlineStr">
        <is>
          <t>Shopify Stetson México</t>
        </is>
      </c>
      <c r="AO396" s="59" t="n">
        <v>1</v>
      </c>
      <c r="AP396" s="59" t="n"/>
      <c r="AQ396" s="59" t="n"/>
      <c r="AR396" s="155" t="inlineStr">
        <is>
          <t>Shopify Stetson México › Stetson Americas: 1</t>
        </is>
      </c>
    </row>
    <row r="397">
      <c r="A397" s="50" t="inlineStr">
        <is>
          <t>12020004101021285</t>
        </is>
      </c>
      <c r="B397" s="51" t="inlineStr">
        <is>
          <t>111294</t>
        </is>
      </c>
      <c r="C397" s="156" t="inlineStr">
        <is>
          <t>Multimarca</t>
        </is>
      </c>
      <c r="D397" s="156" t="inlineStr">
        <is>
          <t>12-020-BS004-10-1021</t>
        </is>
      </c>
      <c r="E397" s="156" t="inlineStr">
        <is>
          <t>12-020-BS004-10-1021-285</t>
        </is>
      </c>
      <c r="F397" s="156" t="inlineStr">
        <is>
          <t>28.5</t>
        </is>
      </c>
      <c r="G397" s="156" t="inlineStr">
        <is>
          <t>10.5</t>
        </is>
      </c>
      <c r="H397" s="156" t="inlineStr">
        <is>
          <t>Stetson</t>
        </is>
      </c>
      <c r="I397" s="156" t="inlineStr">
        <is>
          <t>Bota Avestruz Tabaco</t>
        </is>
      </c>
      <c r="J397" s="156" t="inlineStr">
        <is>
          <t>Calzado</t>
        </is>
      </c>
      <c r="K397" s="156" t="inlineStr">
        <is>
          <t>Botas</t>
        </is>
      </c>
      <c r="L397" s="156" t="inlineStr">
        <is>
          <t>Hombre</t>
        </is>
      </c>
      <c r="M397" s="156" t="inlineStr">
        <is>
          <t>Stetson</t>
        </is>
      </c>
      <c r="N397" s="156" t="inlineStr">
        <is>
          <t>SS26</t>
        </is>
      </c>
      <c r="O397" s="156" t="inlineStr">
        <is>
          <t>Seasonal</t>
        </is>
      </c>
      <c r="P397" s="156" t="inlineStr">
        <is>
          <t>Cafe</t>
        </is>
      </c>
      <c r="Q397" s="156" t="n"/>
      <c r="R397" s="156" t="inlineStr">
        <is>
          <t>Punta Redonda Ancha</t>
        </is>
      </c>
      <c r="S397" s="156" t="inlineStr">
        <is>
          <t>Piel de avestruz</t>
        </is>
      </c>
      <c r="T397" s="156" t="inlineStr">
        <is>
          <t>Bota Caballero Piel de avestruz Tabaco Punta Redonda Ancha</t>
        </is>
      </c>
      <c r="U397" s="156" t="inlineStr">
        <is>
          <t>México</t>
        </is>
      </c>
      <c r="V397" s="156" t="inlineStr">
        <is>
          <t>PRS</t>
        </is>
      </c>
      <c r="W397" s="51" t="inlineStr">
        <is>
          <t>53111501</t>
        </is>
      </c>
      <c r="X397" s="156" t="n"/>
      <c r="Y397" s="54" t="n">
        <v>1451.18</v>
      </c>
      <c r="Z397" s="54" t="n">
        <v>8362.068966000001</v>
      </c>
      <c r="AA397" s="55">
        <f>IF(AND(A397="", B397="", E397=""), "", IF(AB397="", "Válido", IF((LEN(AB397)-LEN(SUBSTITUTE(AB397,"; ","")))/2+1&gt;(LEN(AB397)-LEN(SUBSTITUTE(AB397,"[Aviso]","")))/7, "Con Incidencias", "Válido")))</f>
        <v/>
      </c>
      <c r="AB397" s="56">
        <f>IF(AND(A397="", B397="", E397=""), "", TEXTJOIN("; ", TRUE, IF(OR(TRIM(A397&amp;"")="", ISNUMBER(SEARCH("FALTA", A397))), "UPC faltante/inválido", ""), IF(AND(A397&lt;&gt;"", IFERROR(_xlfn.XMATCH(A397,$A$2:$A$2509,0,1)&lt;&gt;_xlfn.XMATCH(A397,$A$2:$A$2509,0,-1),FALSE)), "Código de barras duplicado", ""), IF(AND(E397&lt;&gt;"", COUNTIF($E$2:$E$2509, E397)&gt;1), "SKU duplicado", ""), IF(OR(J397="", J397=""), "[Aviso] División no capturada ()", IF(ISNA(MATCH(J397, Criterios!$A$123:$A$126, 0)), "División no válida", "")), IF(OR(K397="", K397=""), "[Aviso] Categoría no capturada ()", IF(ISNA(MATCH(K397, Criterios!$A$81:$A$120, 0)), "Categoría no válida", IF(AND(J397&lt;&gt;"", J397&lt;&gt;"", J397&lt;&gt;VLOOKUP(K397, Criterios!$A$81:$B$120, 2, FALSE)), "División no coincide con Categoría", ""))), IF(OR(L397="", L397=""), "[Aviso] Género no capturado ()", IF(ISNA(MATCH(L397, Criterios!$B$123:$B$127, 0)), "Género no válido", "")), IF(OR(N397="", N397=""), "[Aviso] Temporada no capturada ()", IF(ISNA(MATCH(N397, Criterios!$C$123:$C$128, 0)), "Temporada no válida", "")), IF(OR(O397="", O397=""), "[Aviso] Ciclo de vida no capturado ()", IF(ISNA(MATCH(O397, Criterios!$D$123:$D$124, 0)), "Ciclo de vida no válido", ""))))</f>
        <v/>
      </c>
      <c r="AC397" s="56" t="n"/>
      <c r="AD397" s="51" t="n">
        <v>0</v>
      </c>
      <c r="AE397" s="156" t="n"/>
      <c r="AF397" s="51" t="n">
        <v>0</v>
      </c>
      <c r="AG397" s="156" t="inlineStr">
        <is>
          <t>Catálogo existente</t>
        </is>
      </c>
      <c r="AH3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7" s="156" t="inlineStr">
        <is>
          <t>No</t>
        </is>
      </c>
      <c r="AJ397" s="156" t="n"/>
      <c r="AK397" s="155" t="inlineStr">
        <is>
          <t>Criterios: I [Q]; G1522_Extraccion_Articulos_NetSuite_2026-09-30.xlsx: fila 58969 [R] | Shopify Stetson: producto 15054564426091 / variante 53350552666475</t>
        </is>
      </c>
      <c r="AL397" s="58" t="n">
        <v>1451.18</v>
      </c>
      <c r="AM397" s="58" t="n">
        <v>8362.068966000001</v>
      </c>
      <c r="AN397" s="155" t="inlineStr">
        <is>
          <t>Shopify Stetson México</t>
        </is>
      </c>
      <c r="AO397" s="59" t="n">
        <v>1</v>
      </c>
      <c r="AP397" s="59" t="n"/>
      <c r="AQ397" s="59" t="n"/>
      <c r="AR397" s="155" t="inlineStr">
        <is>
          <t>Shopify Stetson México › Stetson Americas: 1</t>
        </is>
      </c>
    </row>
    <row r="398">
      <c r="A398" s="50" t="inlineStr">
        <is>
          <t>12020004101021295</t>
        </is>
      </c>
      <c r="B398" s="51" t="inlineStr">
        <is>
          <t>111295</t>
        </is>
      </c>
      <c r="C398" s="156" t="inlineStr">
        <is>
          <t>Multimarca</t>
        </is>
      </c>
      <c r="D398" s="156" t="inlineStr">
        <is>
          <t>12-020-BS004-10-1021</t>
        </is>
      </c>
      <c r="E398" s="156" t="inlineStr">
        <is>
          <t>12-020-BS004-10-1021-295</t>
        </is>
      </c>
      <c r="F398" s="156" t="inlineStr">
        <is>
          <t>29.5</t>
        </is>
      </c>
      <c r="G398" s="156" t="inlineStr">
        <is>
          <t>11.5</t>
        </is>
      </c>
      <c r="H398" s="156" t="inlineStr">
        <is>
          <t>Stetson</t>
        </is>
      </c>
      <c r="I398" s="156" t="inlineStr">
        <is>
          <t>Bota Avestruz Tabaco</t>
        </is>
      </c>
      <c r="J398" s="156" t="inlineStr">
        <is>
          <t>Calzado</t>
        </is>
      </c>
      <c r="K398" s="156" t="inlineStr">
        <is>
          <t>Botas</t>
        </is>
      </c>
      <c r="L398" s="156" t="inlineStr">
        <is>
          <t>Hombre</t>
        </is>
      </c>
      <c r="M398" s="156" t="inlineStr">
        <is>
          <t>Stetson</t>
        </is>
      </c>
      <c r="N398" s="156" t="inlineStr">
        <is>
          <t>SS26</t>
        </is>
      </c>
      <c r="O398" s="156" t="inlineStr">
        <is>
          <t>Seasonal</t>
        </is>
      </c>
      <c r="P398" s="156" t="inlineStr">
        <is>
          <t>Cafe</t>
        </is>
      </c>
      <c r="Q398" s="156" t="n"/>
      <c r="R398" s="156" t="inlineStr">
        <is>
          <t>Punta Redonda Ancha</t>
        </is>
      </c>
      <c r="S398" s="156" t="inlineStr">
        <is>
          <t>Piel de avestruz</t>
        </is>
      </c>
      <c r="T398" s="156" t="inlineStr">
        <is>
          <t>Bota Caballero Piel de avestruz Tabaco Punta Redonda Ancha</t>
        </is>
      </c>
      <c r="U398" s="156" t="inlineStr">
        <is>
          <t>México</t>
        </is>
      </c>
      <c r="V398" s="156" t="inlineStr">
        <is>
          <t>PRS</t>
        </is>
      </c>
      <c r="W398" s="51" t="inlineStr">
        <is>
          <t>53111501</t>
        </is>
      </c>
      <c r="X398" s="156" t="n"/>
      <c r="Y398" s="54" t="n">
        <v>1451.18</v>
      </c>
      <c r="Z398" s="54" t="n">
        <v>8362.068966000001</v>
      </c>
      <c r="AA398" s="55">
        <f>IF(AND(A398="", B398="", E398=""), "", IF(AB398="", "Válido", IF((LEN(AB398)-LEN(SUBSTITUTE(AB398,"; ","")))/2+1&gt;(LEN(AB398)-LEN(SUBSTITUTE(AB398,"[Aviso]","")))/7, "Con Incidencias", "Válido")))</f>
        <v/>
      </c>
      <c r="AB398" s="56">
        <f>IF(AND(A398="", B398="", E398=""), "", TEXTJOIN("; ", TRUE, IF(OR(TRIM(A398&amp;"")="", ISNUMBER(SEARCH("FALTA", A398))), "UPC faltante/inválido", ""), IF(AND(A398&lt;&gt;"", IFERROR(_xlfn.XMATCH(A398,$A$2:$A$2509,0,1)&lt;&gt;_xlfn.XMATCH(A398,$A$2:$A$2509,0,-1),FALSE)), "Código de barras duplicado", ""), IF(AND(E398&lt;&gt;"", COUNTIF($E$2:$E$2509, E398)&gt;1), "SKU duplicado", ""), IF(OR(J398="", J398=""), "[Aviso] División no capturada ()", IF(ISNA(MATCH(J398, Criterios!$A$123:$A$126, 0)), "División no válida", "")), IF(OR(K398="", K398=""), "[Aviso] Categoría no capturada ()", IF(ISNA(MATCH(K398, Criterios!$A$81:$A$120, 0)), "Categoría no válida", IF(AND(J398&lt;&gt;"", J398&lt;&gt;"", J398&lt;&gt;VLOOKUP(K398, Criterios!$A$81:$B$120, 2, FALSE)), "División no coincide con Categoría", ""))), IF(OR(L398="", L398=""), "[Aviso] Género no capturado ()", IF(ISNA(MATCH(L398, Criterios!$B$123:$B$127, 0)), "Género no válido", "")), IF(OR(N398="", N398=""), "[Aviso] Temporada no capturada ()", IF(ISNA(MATCH(N398, Criterios!$C$123:$C$128, 0)), "Temporada no válida", "")), IF(OR(O398="", O398=""), "[Aviso] Ciclo de vida no capturado ()", IF(ISNA(MATCH(O398, Criterios!$D$123:$D$124, 0)), "Ciclo de vida no válido", ""))))</f>
        <v/>
      </c>
      <c r="AC398" s="56" t="n"/>
      <c r="AD398" s="51" t="n">
        <v>1</v>
      </c>
      <c r="AE398" s="156" t="inlineStr">
        <is>
          <t>STETSON AMERICAS (1)</t>
        </is>
      </c>
      <c r="AF398" s="51" t="n">
        <v>1</v>
      </c>
      <c r="AG398" s="156" t="inlineStr">
        <is>
          <t>Catálogo existente</t>
        </is>
      </c>
      <c r="AH3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8" s="156" t="inlineStr">
        <is>
          <t>No</t>
        </is>
      </c>
      <c r="AJ398" s="156" t="n"/>
      <c r="AK398" s="155" t="inlineStr">
        <is>
          <t>Criterios: I [Q]; G1522_Extraccion_Articulos_NetSuite_2026-09-30.xlsx: fila 58970 [R] | Shopify Stetson: producto 15054564426091 / variante 53350552732011</t>
        </is>
      </c>
      <c r="AL398" s="58" t="n">
        <v>1451.18</v>
      </c>
      <c r="AM398" s="58" t="n">
        <v>8362.068966000001</v>
      </c>
      <c r="AN398" s="155" t="inlineStr">
        <is>
          <t>Shopify Stetson México</t>
        </is>
      </c>
      <c r="AO398" s="59" t="n">
        <v>1</v>
      </c>
      <c r="AP398" s="59" t="n"/>
      <c r="AQ398" s="59" t="n"/>
      <c r="AR398" s="155" t="inlineStr">
        <is>
          <t>Shopify Stetson México › Stetson Americas: 1</t>
        </is>
      </c>
    </row>
    <row r="399">
      <c r="A399" s="50" t="inlineStr">
        <is>
          <t>12020004101021305</t>
        </is>
      </c>
      <c r="B399" s="51" t="inlineStr">
        <is>
          <t>111296</t>
        </is>
      </c>
      <c r="C399" s="156" t="inlineStr">
        <is>
          <t>Multimarca</t>
        </is>
      </c>
      <c r="D399" s="156" t="inlineStr">
        <is>
          <t>12-020-BS004-10-1021</t>
        </is>
      </c>
      <c r="E399" s="156" t="inlineStr">
        <is>
          <t>12-020-BS004-10-1021-305</t>
        </is>
      </c>
      <c r="F399" s="156" t="inlineStr">
        <is>
          <t>30.5</t>
        </is>
      </c>
      <c r="G399" s="156" t="inlineStr">
        <is>
          <t>12.5</t>
        </is>
      </c>
      <c r="H399" s="156" t="inlineStr">
        <is>
          <t>Stetson</t>
        </is>
      </c>
      <c r="I399" s="156" t="inlineStr">
        <is>
          <t>Bota Avestruz Tabaco</t>
        </is>
      </c>
      <c r="J399" s="156" t="inlineStr">
        <is>
          <t>Calzado</t>
        </is>
      </c>
      <c r="K399" s="156" t="inlineStr">
        <is>
          <t>Botas</t>
        </is>
      </c>
      <c r="L399" s="156" t="inlineStr">
        <is>
          <t>Hombre</t>
        </is>
      </c>
      <c r="M399" s="156" t="inlineStr">
        <is>
          <t>Stetson</t>
        </is>
      </c>
      <c r="N399" s="156" t="inlineStr">
        <is>
          <t>SS26</t>
        </is>
      </c>
      <c r="O399" s="156" t="inlineStr">
        <is>
          <t>Seasonal</t>
        </is>
      </c>
      <c r="P399" s="156" t="inlineStr">
        <is>
          <t>Cafe</t>
        </is>
      </c>
      <c r="Q399" s="156" t="n"/>
      <c r="R399" s="156" t="inlineStr">
        <is>
          <t>Punta Redonda Ancha</t>
        </is>
      </c>
      <c r="S399" s="156" t="inlineStr">
        <is>
          <t>Piel de avestruz</t>
        </is>
      </c>
      <c r="T399" s="156" t="inlineStr">
        <is>
          <t>Bota Caballero Piel de avestruz Tabaco Punta Redonda Ancha</t>
        </is>
      </c>
      <c r="U399" s="156" t="inlineStr">
        <is>
          <t>México</t>
        </is>
      </c>
      <c r="V399" s="156" t="inlineStr">
        <is>
          <t>PRS</t>
        </is>
      </c>
      <c r="W399" s="51" t="inlineStr">
        <is>
          <t>53111501</t>
        </is>
      </c>
      <c r="X399" s="156" t="n"/>
      <c r="Y399" s="54" t="n">
        <v>1451.18</v>
      </c>
      <c r="Z399" s="54" t="n">
        <v>8362.068966000001</v>
      </c>
      <c r="AA399" s="55">
        <f>IF(AND(A399="", B399="", E399=""), "", IF(AB399="", "Válido", IF((LEN(AB399)-LEN(SUBSTITUTE(AB399,"; ","")))/2+1&gt;(LEN(AB399)-LEN(SUBSTITUTE(AB399,"[Aviso]","")))/7, "Con Incidencias", "Válido")))</f>
        <v/>
      </c>
      <c r="AB399" s="56">
        <f>IF(AND(A399="", B399="", E399=""), "", TEXTJOIN("; ", TRUE, IF(OR(TRIM(A399&amp;"")="", ISNUMBER(SEARCH("FALTA", A399))), "UPC faltante/inválido", ""), IF(AND(A399&lt;&gt;"", IFERROR(_xlfn.XMATCH(A399,$A$2:$A$2509,0,1)&lt;&gt;_xlfn.XMATCH(A399,$A$2:$A$2509,0,-1),FALSE)), "Código de barras duplicado", ""), IF(AND(E399&lt;&gt;"", COUNTIF($E$2:$E$2509, E399)&gt;1), "SKU duplicado", ""), IF(OR(J399="", J399=""), "[Aviso] División no capturada ()", IF(ISNA(MATCH(J399, Criterios!$A$123:$A$126, 0)), "División no válida", "")), IF(OR(K399="", K399=""), "[Aviso] Categoría no capturada ()", IF(ISNA(MATCH(K399, Criterios!$A$81:$A$120, 0)), "Categoría no válida", IF(AND(J399&lt;&gt;"", J399&lt;&gt;"", J399&lt;&gt;VLOOKUP(K399, Criterios!$A$81:$B$120, 2, FALSE)), "División no coincide con Categoría", ""))), IF(OR(L399="", L399=""), "[Aviso] Género no capturado ()", IF(ISNA(MATCH(L399, Criterios!$B$123:$B$127, 0)), "Género no válido", "")), IF(OR(N399="", N399=""), "[Aviso] Temporada no capturada ()", IF(ISNA(MATCH(N399, Criterios!$C$123:$C$128, 0)), "Temporada no válida", "")), IF(OR(O399="", O399=""), "[Aviso] Ciclo de vida no capturado ()", IF(ISNA(MATCH(O399, Criterios!$D$123:$D$124, 0)), "Ciclo de vida no válido", ""))))</f>
        <v/>
      </c>
      <c r="AC399" s="56" t="n"/>
      <c r="AD399" s="51" t="n">
        <v>0</v>
      </c>
      <c r="AE399" s="156" t="n"/>
      <c r="AF399" s="51" t="n">
        <v>0</v>
      </c>
      <c r="AG399" s="156" t="inlineStr">
        <is>
          <t>Catálogo existente</t>
        </is>
      </c>
      <c r="AH3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9" s="156" t="inlineStr">
        <is>
          <t>No</t>
        </is>
      </c>
      <c r="AJ399" s="156" t="n"/>
      <c r="AK399" s="155" t="inlineStr">
        <is>
          <t>Criterios: I [Q]; G1522_Extraccion_Articulos_NetSuite_2026-09-30.xlsx: fila 58971 [R] | Shopify Stetson: producto 15054564426091 / variante 53350552797547</t>
        </is>
      </c>
      <c r="AL399" s="58" t="n">
        <v>1451.18</v>
      </c>
      <c r="AM399" s="58" t="n">
        <v>8362.068966000001</v>
      </c>
      <c r="AN399" s="155" t="inlineStr">
        <is>
          <t>Shopify Stetson México</t>
        </is>
      </c>
      <c r="AO399" s="59" t="n">
        <v>0</v>
      </c>
      <c r="AP399" s="59" t="n"/>
      <c r="AQ399" s="59" t="n"/>
      <c r="AR399" s="155" t="n"/>
    </row>
    <row r="400">
      <c r="A400" s="50" t="inlineStr">
        <is>
          <t>12020004101021315</t>
        </is>
      </c>
      <c r="B400" s="51" t="inlineStr">
        <is>
          <t>111297</t>
        </is>
      </c>
      <c r="C400" s="156" t="inlineStr">
        <is>
          <t>Multimarca</t>
        </is>
      </c>
      <c r="D400" s="156" t="inlineStr">
        <is>
          <t>12-020-BS004-10-1021</t>
        </is>
      </c>
      <c r="E400" s="156" t="inlineStr">
        <is>
          <t>12-020-BS004-10-1021-315</t>
        </is>
      </c>
      <c r="F400" s="156" t="inlineStr">
        <is>
          <t>31.5</t>
        </is>
      </c>
      <c r="G400" s="156" t="inlineStr">
        <is>
          <t>13.5</t>
        </is>
      </c>
      <c r="H400" s="156" t="inlineStr">
        <is>
          <t>Stetson</t>
        </is>
      </c>
      <c r="I400" s="156" t="inlineStr">
        <is>
          <t>Bota Avestruz Tabaco</t>
        </is>
      </c>
      <c r="J400" s="156" t="inlineStr">
        <is>
          <t>Calzado</t>
        </is>
      </c>
      <c r="K400" s="156" t="inlineStr">
        <is>
          <t>Botas</t>
        </is>
      </c>
      <c r="L400" s="156" t="inlineStr">
        <is>
          <t>Hombre</t>
        </is>
      </c>
      <c r="M400" s="156" t="inlineStr">
        <is>
          <t>Stetson</t>
        </is>
      </c>
      <c r="N400" s="156" t="inlineStr">
        <is>
          <t>SS26</t>
        </is>
      </c>
      <c r="O400" s="156" t="inlineStr">
        <is>
          <t>Seasonal</t>
        </is>
      </c>
      <c r="P400" s="156" t="inlineStr">
        <is>
          <t>Cafe</t>
        </is>
      </c>
      <c r="Q400" s="156" t="n"/>
      <c r="R400" s="156" t="inlineStr">
        <is>
          <t>Punta Redonda Ancha</t>
        </is>
      </c>
      <c r="S400" s="156" t="inlineStr">
        <is>
          <t>Piel de avestruz</t>
        </is>
      </c>
      <c r="T400" s="156" t="inlineStr">
        <is>
          <t>Bota Caballero Piel de avestruz Tabaco Punta Redonda Ancha</t>
        </is>
      </c>
      <c r="U400" s="156" t="inlineStr">
        <is>
          <t>México</t>
        </is>
      </c>
      <c r="V400" s="156" t="inlineStr">
        <is>
          <t>PRS</t>
        </is>
      </c>
      <c r="W400" s="51" t="inlineStr">
        <is>
          <t>53111501</t>
        </is>
      </c>
      <c r="X400" s="156" t="n"/>
      <c r="Y400" s="54" t="n">
        <v>1451.18</v>
      </c>
      <c r="Z400" s="54" t="n">
        <v>8362.068966000001</v>
      </c>
      <c r="AA400" s="55">
        <f>IF(AND(A400="", B400="", E400=""), "", IF(AB400="", "Válido", IF((LEN(AB400)-LEN(SUBSTITUTE(AB400,"; ","")))/2+1&gt;(LEN(AB400)-LEN(SUBSTITUTE(AB400,"[Aviso]","")))/7, "Con Incidencias", "Válido")))</f>
        <v/>
      </c>
      <c r="AB400" s="56">
        <f>IF(AND(A400="", B400="", E400=""), "", TEXTJOIN("; ", TRUE, IF(OR(TRIM(A400&amp;"")="", ISNUMBER(SEARCH("FALTA", A400))), "UPC faltante/inválido", ""), IF(AND(A400&lt;&gt;"", IFERROR(_xlfn.XMATCH(A400,$A$2:$A$2509,0,1)&lt;&gt;_xlfn.XMATCH(A400,$A$2:$A$2509,0,-1),FALSE)), "Código de barras duplicado", ""), IF(AND(E400&lt;&gt;"", COUNTIF($E$2:$E$2509, E400)&gt;1), "SKU duplicado", ""), IF(OR(J400="", J400=""), "[Aviso] División no capturada ()", IF(ISNA(MATCH(J400, Criterios!$A$123:$A$126, 0)), "División no válida", "")), IF(OR(K400="", K400=""), "[Aviso] Categoría no capturada ()", IF(ISNA(MATCH(K400, Criterios!$A$81:$A$120, 0)), "Categoría no válida", IF(AND(J400&lt;&gt;"", J400&lt;&gt;"", J400&lt;&gt;VLOOKUP(K400, Criterios!$A$81:$B$120, 2, FALSE)), "División no coincide con Categoría", ""))), IF(OR(L400="", L400=""), "[Aviso] Género no capturado ()", IF(ISNA(MATCH(L400, Criterios!$B$123:$B$127, 0)), "Género no válido", "")), IF(OR(N400="", N400=""), "[Aviso] Temporada no capturada ()", IF(ISNA(MATCH(N400, Criterios!$C$123:$C$128, 0)), "Temporada no válida", "")), IF(OR(O400="", O400=""), "[Aviso] Ciclo de vida no capturado ()", IF(ISNA(MATCH(O400, Criterios!$D$123:$D$124, 0)), "Ciclo de vida no válido", ""))))</f>
        <v/>
      </c>
      <c r="AC400" s="56" t="n"/>
      <c r="AD400" s="51" t="n">
        <v>0</v>
      </c>
      <c r="AE400" s="156" t="n"/>
      <c r="AF400" s="51" t="n">
        <v>0</v>
      </c>
      <c r="AG400" s="156" t="inlineStr">
        <is>
          <t>Catálogo existente</t>
        </is>
      </c>
      <c r="AH4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0" s="156" t="inlineStr">
        <is>
          <t>No</t>
        </is>
      </c>
      <c r="AJ400" s="156" t="n"/>
      <c r="AK400" s="155" t="inlineStr">
        <is>
          <t>Criterios: I [Q]; G1522_Extraccion_Articulos_NetSuite_2026-09-30.xlsx: fila 58972 [R] | Shopify Stetson: producto 15054564426091 / variante 53350552863083</t>
        </is>
      </c>
      <c r="AL400" s="58" t="n">
        <v>1451.18</v>
      </c>
      <c r="AM400" s="58" t="n">
        <v>8362.068966000001</v>
      </c>
      <c r="AN400" s="155" t="inlineStr">
        <is>
          <t>Shopify Stetson México</t>
        </is>
      </c>
      <c r="AO400" s="59" t="n">
        <v>0</v>
      </c>
      <c r="AP400" s="59" t="n"/>
      <c r="AQ400" s="59" t="n"/>
      <c r="AR400" s="155" t="n"/>
    </row>
    <row r="401">
      <c r="A401" s="50" t="inlineStr">
        <is>
          <t>12020004101021325</t>
        </is>
      </c>
      <c r="B401" s="51" t="inlineStr">
        <is>
          <t>111298</t>
        </is>
      </c>
      <c r="C401" s="156" t="inlineStr">
        <is>
          <t>Multimarca</t>
        </is>
      </c>
      <c r="D401" s="156" t="inlineStr">
        <is>
          <t>12-020-BS004-10-1021</t>
        </is>
      </c>
      <c r="E401" s="156" t="inlineStr">
        <is>
          <t>12-020-BS004-10-1021-325</t>
        </is>
      </c>
      <c r="F401" s="156" t="inlineStr">
        <is>
          <t>32.5</t>
        </is>
      </c>
      <c r="G401" s="156" t="inlineStr">
        <is>
          <t>14.5</t>
        </is>
      </c>
      <c r="H401" s="156" t="inlineStr">
        <is>
          <t>Stetson</t>
        </is>
      </c>
      <c r="I401" s="156" t="inlineStr">
        <is>
          <t>Bota Avestruz Tabaco</t>
        </is>
      </c>
      <c r="J401" s="156" t="inlineStr">
        <is>
          <t>Calzado</t>
        </is>
      </c>
      <c r="K401" s="156" t="inlineStr">
        <is>
          <t>Botas</t>
        </is>
      </c>
      <c r="L401" s="156" t="inlineStr">
        <is>
          <t>Hombre</t>
        </is>
      </c>
      <c r="M401" s="156" t="inlineStr">
        <is>
          <t>Stetson</t>
        </is>
      </c>
      <c r="N401" s="156" t="inlineStr">
        <is>
          <t>SS26</t>
        </is>
      </c>
      <c r="O401" s="156" t="inlineStr">
        <is>
          <t>Seasonal</t>
        </is>
      </c>
      <c r="P401" s="156" t="inlineStr">
        <is>
          <t>Cafe</t>
        </is>
      </c>
      <c r="Q401" s="156" t="n"/>
      <c r="R401" s="156" t="inlineStr">
        <is>
          <t>Punta Redonda Ancha</t>
        </is>
      </c>
      <c r="S401" s="156" t="inlineStr">
        <is>
          <t>Piel de avestruz</t>
        </is>
      </c>
      <c r="T401" s="156" t="inlineStr">
        <is>
          <t>Bota Caballero Piel de avestruz Tabaco Punta Redonda Ancha</t>
        </is>
      </c>
      <c r="U401" s="156" t="inlineStr">
        <is>
          <t>México</t>
        </is>
      </c>
      <c r="V401" s="156" t="inlineStr">
        <is>
          <t>PRS</t>
        </is>
      </c>
      <c r="W401" s="51" t="inlineStr">
        <is>
          <t>53111501</t>
        </is>
      </c>
      <c r="X401" s="156" t="n"/>
      <c r="Y401" s="54" t="n">
        <v>1451.18</v>
      </c>
      <c r="Z401" s="54" t="n">
        <v>8362.068966000001</v>
      </c>
      <c r="AA401" s="55">
        <f>IF(AND(A401="", B401="", E401=""), "", IF(AB401="", "Válido", IF((LEN(AB401)-LEN(SUBSTITUTE(AB401,"; ","")))/2+1&gt;(LEN(AB401)-LEN(SUBSTITUTE(AB401,"[Aviso]","")))/7, "Con Incidencias", "Válido")))</f>
        <v/>
      </c>
      <c r="AB401" s="56">
        <f>IF(AND(A401="", B401="", E401=""), "", TEXTJOIN("; ", TRUE, IF(OR(TRIM(A401&amp;"")="", ISNUMBER(SEARCH("FALTA", A401))), "UPC faltante/inválido", ""), IF(AND(A401&lt;&gt;"", IFERROR(_xlfn.XMATCH(A401,$A$2:$A$2509,0,1)&lt;&gt;_xlfn.XMATCH(A401,$A$2:$A$2509,0,-1),FALSE)), "Código de barras duplicado", ""), IF(AND(E401&lt;&gt;"", COUNTIF($E$2:$E$2509, E401)&gt;1), "SKU duplicado", ""), IF(OR(J401="", J401=""), "[Aviso] División no capturada ()", IF(ISNA(MATCH(J401, Criterios!$A$123:$A$126, 0)), "División no válida", "")), IF(OR(K401="", K401=""), "[Aviso] Categoría no capturada ()", IF(ISNA(MATCH(K401, Criterios!$A$81:$A$120, 0)), "Categoría no válida", IF(AND(J401&lt;&gt;"", J401&lt;&gt;"", J401&lt;&gt;VLOOKUP(K401, Criterios!$A$81:$B$120, 2, FALSE)), "División no coincide con Categoría", ""))), IF(OR(L401="", L401=""), "[Aviso] Género no capturado ()", IF(ISNA(MATCH(L401, Criterios!$B$123:$B$127, 0)), "Género no válido", "")), IF(OR(N401="", N401=""), "[Aviso] Temporada no capturada ()", IF(ISNA(MATCH(N401, Criterios!$C$123:$C$128, 0)), "Temporada no válida", "")), IF(OR(O401="", O401=""), "[Aviso] Ciclo de vida no capturado ()", IF(ISNA(MATCH(O401, Criterios!$D$123:$D$124, 0)), "Ciclo de vida no válido", ""))))</f>
        <v/>
      </c>
      <c r="AC401" s="56" t="n"/>
      <c r="AD401" s="51" t="n">
        <v>0</v>
      </c>
      <c r="AE401" s="156" t="n"/>
      <c r="AF401" s="51" t="n">
        <v>0</v>
      </c>
      <c r="AG401" s="156" t="inlineStr">
        <is>
          <t>Catálogo existente</t>
        </is>
      </c>
      <c r="AH4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1" s="156" t="inlineStr">
        <is>
          <t>No</t>
        </is>
      </c>
      <c r="AJ401" s="156" t="n"/>
      <c r="AK401" s="155" t="inlineStr">
        <is>
          <t>Criterios: I [Q]; G1522_Extraccion_Articulos_NetSuite_2026-09-30.xlsx: fila 58973 [R] | Shopify Stetson: producto 15054564426091 / variante 53350552928619</t>
        </is>
      </c>
      <c r="AL401" s="58" t="n">
        <v>1451.18</v>
      </c>
      <c r="AM401" s="58" t="n">
        <v>8362.068966000001</v>
      </c>
      <c r="AN401" s="155" t="inlineStr">
        <is>
          <t>Shopify Stetson México</t>
        </is>
      </c>
      <c r="AO401" s="59" t="n">
        <v>0</v>
      </c>
      <c r="AP401" s="59" t="n"/>
      <c r="AQ401" s="59" t="n"/>
      <c r="AR401" s="155" t="n"/>
    </row>
    <row r="402">
      <c r="A402" s="50" t="inlineStr">
        <is>
          <t>12020004101022025</t>
        </is>
      </c>
      <c r="B402" s="51" t="inlineStr">
        <is>
          <t>111299</t>
        </is>
      </c>
      <c r="C402" s="156" t="inlineStr">
        <is>
          <t>Multimarca</t>
        </is>
      </c>
      <c r="D402" s="156" t="inlineStr">
        <is>
          <t>12-020-BS004-10-1022</t>
        </is>
      </c>
      <c r="E402" s="156" t="inlineStr">
        <is>
          <t>12-020-BS004-10-1022-025</t>
        </is>
      </c>
      <c r="F402" s="156" t="inlineStr">
        <is>
          <t>25</t>
        </is>
      </c>
      <c r="G402" s="156" t="inlineStr">
        <is>
          <t>7</t>
        </is>
      </c>
      <c r="H402" s="156" t="inlineStr">
        <is>
          <t>Stetson</t>
        </is>
      </c>
      <c r="I402" s="156" t="inlineStr">
        <is>
          <t>Bota Avestruz Vintage</t>
        </is>
      </c>
      <c r="J402" s="156" t="inlineStr">
        <is>
          <t>Calzado</t>
        </is>
      </c>
      <c r="K402" s="156" t="inlineStr">
        <is>
          <t>Botas</t>
        </is>
      </c>
      <c r="L402" s="156" t="inlineStr">
        <is>
          <t>Hombre</t>
        </is>
      </c>
      <c r="M402" s="156" t="inlineStr">
        <is>
          <t>Stetson</t>
        </is>
      </c>
      <c r="N402" s="156" t="inlineStr">
        <is>
          <t>SS26</t>
        </is>
      </c>
      <c r="O402" s="156" t="inlineStr">
        <is>
          <t>Seasonal</t>
        </is>
      </c>
      <c r="P402" s="156" t="inlineStr">
        <is>
          <t>Cafe</t>
        </is>
      </c>
      <c r="Q402" s="156" t="n"/>
      <c r="R402" s="156" t="inlineStr">
        <is>
          <t>Punta Redonda Ancha</t>
        </is>
      </c>
      <c r="S402" s="156" t="inlineStr">
        <is>
          <t>Piel de avestruz</t>
        </is>
      </c>
      <c r="T402" s="156" t="inlineStr">
        <is>
          <t>Bota Caballero Piel de avestruz Vintage Punta Redonda Ancha</t>
        </is>
      </c>
      <c r="U402" s="156" t="inlineStr">
        <is>
          <t>México</t>
        </is>
      </c>
      <c r="V402" s="156" t="inlineStr">
        <is>
          <t>PRS</t>
        </is>
      </c>
      <c r="W402" s="51" t="inlineStr">
        <is>
          <t>53111501</t>
        </is>
      </c>
      <c r="X402" s="156" t="n"/>
      <c r="Y402" s="54" t="n">
        <v>1451.18</v>
      </c>
      <c r="Z402" s="54" t="n">
        <v>8362.068966000001</v>
      </c>
      <c r="AA402" s="55">
        <f>IF(AND(A402="", B402="", E402=""), "", IF(AB402="", "Válido", IF((LEN(AB402)-LEN(SUBSTITUTE(AB402,"; ","")))/2+1&gt;(LEN(AB402)-LEN(SUBSTITUTE(AB402,"[Aviso]","")))/7, "Con Incidencias", "Válido")))</f>
        <v/>
      </c>
      <c r="AB402" s="56">
        <f>IF(AND(A402="", B402="", E402=""), "", TEXTJOIN("; ", TRUE, IF(OR(TRIM(A402&amp;"")="", ISNUMBER(SEARCH("FALTA", A402))), "UPC faltante/inválido", ""), IF(AND(A402&lt;&gt;"", IFERROR(_xlfn.XMATCH(A402,$A$2:$A$2509,0,1)&lt;&gt;_xlfn.XMATCH(A402,$A$2:$A$2509,0,-1),FALSE)), "Código de barras duplicado", ""), IF(AND(E402&lt;&gt;"", COUNTIF($E$2:$E$2509, E402)&gt;1), "SKU duplicado", ""), IF(OR(J402="", J402=""), "[Aviso] División no capturada ()", IF(ISNA(MATCH(J402, Criterios!$A$123:$A$126, 0)), "División no válida", "")), IF(OR(K402="", K402=""), "[Aviso] Categoría no capturada ()", IF(ISNA(MATCH(K402, Criterios!$A$81:$A$120, 0)), "Categoría no válida", IF(AND(J402&lt;&gt;"", J402&lt;&gt;"", J402&lt;&gt;VLOOKUP(K402, Criterios!$A$81:$B$120, 2, FALSE)), "División no coincide con Categoría", ""))), IF(OR(L402="", L402=""), "[Aviso] Género no capturado ()", IF(ISNA(MATCH(L402, Criterios!$B$123:$B$127, 0)), "Género no válido", "")), IF(OR(N402="", N402=""), "[Aviso] Temporada no capturada ()", IF(ISNA(MATCH(N402, Criterios!$C$123:$C$128, 0)), "Temporada no válida", "")), IF(OR(O402="", O402=""), "[Aviso] Ciclo de vida no capturado ()", IF(ISNA(MATCH(O402, Criterios!$D$123:$D$124, 0)), "Ciclo de vida no válido", ""))))</f>
        <v/>
      </c>
      <c r="AC402" s="56" t="n"/>
      <c r="AD402" s="51" t="n">
        <v>0</v>
      </c>
      <c r="AE402" s="156" t="n"/>
      <c r="AF402" s="51" t="n">
        <v>0</v>
      </c>
      <c r="AG402" s="156" t="inlineStr">
        <is>
          <t>Catálogo existente</t>
        </is>
      </c>
      <c r="AH4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2" s="156" t="inlineStr">
        <is>
          <t>No</t>
        </is>
      </c>
      <c r="AJ402" s="156" t="n"/>
      <c r="AK402" s="155" t="inlineStr">
        <is>
          <t>Criterios: I [Q]; G1522_Extraccion_Articulos_NetSuite_2026-09-30.xlsx: fila 58974 [R] | Shopify Stetson: producto 15054564458859 / variante 53350552961387</t>
        </is>
      </c>
      <c r="AL402" s="58" t="n">
        <v>1451.18</v>
      </c>
      <c r="AM402" s="58" t="n">
        <v>8362.068966000001</v>
      </c>
      <c r="AN402" s="155" t="inlineStr">
        <is>
          <t>Shopify Stetson México</t>
        </is>
      </c>
      <c r="AO402" s="59" t="n">
        <v>0</v>
      </c>
      <c r="AP402" s="59" t="n"/>
      <c r="AQ402" s="59" t="n"/>
      <c r="AR402" s="155" t="n"/>
    </row>
    <row r="403">
      <c r="A403" s="50" t="inlineStr">
        <is>
          <t>12020004101022026</t>
        </is>
      </c>
      <c r="B403" s="51" t="inlineStr">
        <is>
          <t>111300</t>
        </is>
      </c>
      <c r="C403" s="156" t="inlineStr">
        <is>
          <t>Multimarca</t>
        </is>
      </c>
      <c r="D403" s="156" t="inlineStr">
        <is>
          <t>12-020-BS004-10-1022</t>
        </is>
      </c>
      <c r="E403" s="156" t="inlineStr">
        <is>
          <t>12-020-BS004-10-1022-026</t>
        </is>
      </c>
      <c r="F403" s="156" t="inlineStr">
        <is>
          <t>26</t>
        </is>
      </c>
      <c r="G403" s="156" t="inlineStr">
        <is>
          <t>8</t>
        </is>
      </c>
      <c r="H403" s="156" t="inlineStr">
        <is>
          <t>Stetson</t>
        </is>
      </c>
      <c r="I403" s="156" t="inlineStr">
        <is>
          <t>Bota Avestruz Vintage</t>
        </is>
      </c>
      <c r="J403" s="156" t="inlineStr">
        <is>
          <t>Calzado</t>
        </is>
      </c>
      <c r="K403" s="156" t="inlineStr">
        <is>
          <t>Botas</t>
        </is>
      </c>
      <c r="L403" s="156" t="inlineStr">
        <is>
          <t>Hombre</t>
        </is>
      </c>
      <c r="M403" s="156" t="inlineStr">
        <is>
          <t>Stetson</t>
        </is>
      </c>
      <c r="N403" s="156" t="inlineStr">
        <is>
          <t>SS26</t>
        </is>
      </c>
      <c r="O403" s="156" t="inlineStr">
        <is>
          <t>Seasonal</t>
        </is>
      </c>
      <c r="P403" s="156" t="inlineStr">
        <is>
          <t>Cafe</t>
        </is>
      </c>
      <c r="Q403" s="156" t="n"/>
      <c r="R403" s="156" t="inlineStr">
        <is>
          <t>Punta Redonda Ancha</t>
        </is>
      </c>
      <c r="S403" s="156" t="inlineStr">
        <is>
          <t>Piel de avestruz</t>
        </is>
      </c>
      <c r="T403" s="156" t="inlineStr">
        <is>
          <t>Bota Caballero Piel de avestruz Vintage Punta Redonda Ancha</t>
        </is>
      </c>
      <c r="U403" s="156" t="inlineStr">
        <is>
          <t>México</t>
        </is>
      </c>
      <c r="V403" s="156" t="inlineStr">
        <is>
          <t>PRS</t>
        </is>
      </c>
      <c r="W403" s="51" t="inlineStr">
        <is>
          <t>53111501</t>
        </is>
      </c>
      <c r="X403" s="156" t="n"/>
      <c r="Y403" s="54" t="n">
        <v>1451.18</v>
      </c>
      <c r="Z403" s="54" t="n">
        <v>8362.068966000001</v>
      </c>
      <c r="AA403" s="55">
        <f>IF(AND(A403="", B403="", E403=""), "", IF(AB403="", "Válido", IF((LEN(AB403)-LEN(SUBSTITUTE(AB403,"; ","")))/2+1&gt;(LEN(AB403)-LEN(SUBSTITUTE(AB403,"[Aviso]","")))/7, "Con Incidencias", "Válido")))</f>
        <v/>
      </c>
      <c r="AB403" s="56">
        <f>IF(AND(A403="", B403="", E403=""), "", TEXTJOIN("; ", TRUE, IF(OR(TRIM(A403&amp;"")="", ISNUMBER(SEARCH("FALTA", A403))), "UPC faltante/inválido", ""), IF(AND(A403&lt;&gt;"", IFERROR(_xlfn.XMATCH(A403,$A$2:$A$2509,0,1)&lt;&gt;_xlfn.XMATCH(A403,$A$2:$A$2509,0,-1),FALSE)), "Código de barras duplicado", ""), IF(AND(E403&lt;&gt;"", COUNTIF($E$2:$E$2509, E403)&gt;1), "SKU duplicado", ""), IF(OR(J403="", J403=""), "[Aviso] División no capturada ()", IF(ISNA(MATCH(J403, Criterios!$A$123:$A$126, 0)), "División no válida", "")), IF(OR(K403="", K403=""), "[Aviso] Categoría no capturada ()", IF(ISNA(MATCH(K403, Criterios!$A$81:$A$120, 0)), "Categoría no válida", IF(AND(J403&lt;&gt;"", J403&lt;&gt;"", J403&lt;&gt;VLOOKUP(K403, Criterios!$A$81:$B$120, 2, FALSE)), "División no coincide con Categoría", ""))), IF(OR(L403="", L403=""), "[Aviso] Género no capturado ()", IF(ISNA(MATCH(L403, Criterios!$B$123:$B$127, 0)), "Género no válido", "")), IF(OR(N403="", N403=""), "[Aviso] Temporada no capturada ()", IF(ISNA(MATCH(N403, Criterios!$C$123:$C$128, 0)), "Temporada no válida", "")), IF(OR(O403="", O403=""), "[Aviso] Ciclo de vida no capturado ()", IF(ISNA(MATCH(O403, Criterios!$D$123:$D$124, 0)), "Ciclo de vida no válido", ""))))</f>
        <v/>
      </c>
      <c r="AC403" s="56" t="n"/>
      <c r="AD403" s="51" t="n">
        <v>0</v>
      </c>
      <c r="AE403" s="156" t="n"/>
      <c r="AF403" s="51" t="n">
        <v>0</v>
      </c>
      <c r="AG403" s="156" t="inlineStr">
        <is>
          <t>Catálogo existente</t>
        </is>
      </c>
      <c r="AH4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3" s="156" t="inlineStr">
        <is>
          <t>No</t>
        </is>
      </c>
      <c r="AJ403" s="156" t="n"/>
      <c r="AK403" s="155" t="inlineStr">
        <is>
          <t>Criterios: I [Q]; G1522_Extraccion_Articulos_NetSuite_2026-09-30.xlsx: fila 58975 [R] | Shopify Stetson: producto 15054564458859 / variante 53350553026923</t>
        </is>
      </c>
      <c r="AL403" s="58" t="n">
        <v>1451.18</v>
      </c>
      <c r="AM403" s="58" t="n">
        <v>8362.068966000001</v>
      </c>
      <c r="AN403" s="155" t="inlineStr">
        <is>
          <t>Shopify Stetson México</t>
        </is>
      </c>
      <c r="AO403" s="59" t="n">
        <v>0</v>
      </c>
      <c r="AP403" s="59" t="n"/>
      <c r="AQ403" s="59" t="n"/>
      <c r="AR403" s="155" t="n"/>
    </row>
    <row r="404">
      <c r="A404" s="50" t="inlineStr">
        <is>
          <t>12020004101022027</t>
        </is>
      </c>
      <c r="B404" s="51" t="inlineStr">
        <is>
          <t>111301</t>
        </is>
      </c>
      <c r="C404" s="156" t="inlineStr">
        <is>
          <t>Multimarca</t>
        </is>
      </c>
      <c r="D404" s="156" t="inlineStr">
        <is>
          <t>12-020-BS004-10-1022</t>
        </is>
      </c>
      <c r="E404" s="156" t="inlineStr">
        <is>
          <t>12-020-BS004-10-1022-027</t>
        </is>
      </c>
      <c r="F404" s="156" t="inlineStr">
        <is>
          <t>27</t>
        </is>
      </c>
      <c r="G404" s="156" t="inlineStr">
        <is>
          <t>9</t>
        </is>
      </c>
      <c r="H404" s="156" t="inlineStr">
        <is>
          <t>Stetson</t>
        </is>
      </c>
      <c r="I404" s="156" t="inlineStr">
        <is>
          <t>Bota Avestruz Vintage</t>
        </is>
      </c>
      <c r="J404" s="156" t="inlineStr">
        <is>
          <t>Calzado</t>
        </is>
      </c>
      <c r="K404" s="156" t="inlineStr">
        <is>
          <t>Botas</t>
        </is>
      </c>
      <c r="L404" s="156" t="inlineStr">
        <is>
          <t>Hombre</t>
        </is>
      </c>
      <c r="M404" s="156" t="inlineStr">
        <is>
          <t>Stetson</t>
        </is>
      </c>
      <c r="N404" s="156" t="inlineStr">
        <is>
          <t>SS26</t>
        </is>
      </c>
      <c r="O404" s="156" t="inlineStr">
        <is>
          <t>Seasonal</t>
        </is>
      </c>
      <c r="P404" s="156" t="inlineStr">
        <is>
          <t>Cafe</t>
        </is>
      </c>
      <c r="Q404" s="156" t="n"/>
      <c r="R404" s="156" t="inlineStr">
        <is>
          <t>Punta Redonda Ancha</t>
        </is>
      </c>
      <c r="S404" s="156" t="inlineStr">
        <is>
          <t>Piel de avestruz</t>
        </is>
      </c>
      <c r="T404" s="156" t="inlineStr">
        <is>
          <t>Bota Caballero Piel de avestruz Vintage Punta Redonda Ancha</t>
        </is>
      </c>
      <c r="U404" s="156" t="inlineStr">
        <is>
          <t>México</t>
        </is>
      </c>
      <c r="V404" s="156" t="inlineStr">
        <is>
          <t>PRS</t>
        </is>
      </c>
      <c r="W404" s="51" t="inlineStr">
        <is>
          <t>53111501</t>
        </is>
      </c>
      <c r="X404" s="156" t="n"/>
      <c r="Y404" s="54" t="n">
        <v>1451.18</v>
      </c>
      <c r="Z404" s="54" t="n">
        <v>8362.068966000001</v>
      </c>
      <c r="AA404" s="55">
        <f>IF(AND(A404="", B404="", E404=""), "", IF(AB404="", "Válido", IF((LEN(AB404)-LEN(SUBSTITUTE(AB404,"; ","")))/2+1&gt;(LEN(AB404)-LEN(SUBSTITUTE(AB404,"[Aviso]","")))/7, "Con Incidencias", "Válido")))</f>
        <v/>
      </c>
      <c r="AB404" s="56">
        <f>IF(AND(A404="", B404="", E404=""), "", TEXTJOIN("; ", TRUE, IF(OR(TRIM(A404&amp;"")="", ISNUMBER(SEARCH("FALTA", A404))), "UPC faltante/inválido", ""), IF(AND(A404&lt;&gt;"", IFERROR(_xlfn.XMATCH(A404,$A$2:$A$2509,0,1)&lt;&gt;_xlfn.XMATCH(A404,$A$2:$A$2509,0,-1),FALSE)), "Código de barras duplicado", ""), IF(AND(E404&lt;&gt;"", COUNTIF($E$2:$E$2509, E404)&gt;1), "SKU duplicado", ""), IF(OR(J404="", J404=""), "[Aviso] División no capturada ()", IF(ISNA(MATCH(J404, Criterios!$A$123:$A$126, 0)), "División no válida", "")), IF(OR(K404="", K404=""), "[Aviso] Categoría no capturada ()", IF(ISNA(MATCH(K404, Criterios!$A$81:$A$120, 0)), "Categoría no válida", IF(AND(J404&lt;&gt;"", J404&lt;&gt;"", J404&lt;&gt;VLOOKUP(K404, Criterios!$A$81:$B$120, 2, FALSE)), "División no coincide con Categoría", ""))), IF(OR(L404="", L404=""), "[Aviso] Género no capturado ()", IF(ISNA(MATCH(L404, Criterios!$B$123:$B$127, 0)), "Género no válido", "")), IF(OR(N404="", N404=""), "[Aviso] Temporada no capturada ()", IF(ISNA(MATCH(N404, Criterios!$C$123:$C$128, 0)), "Temporada no válida", "")), IF(OR(O404="", O404=""), "[Aviso] Ciclo de vida no capturado ()", IF(ISNA(MATCH(O404, Criterios!$D$123:$D$124, 0)), "Ciclo de vida no válido", ""))))</f>
        <v/>
      </c>
      <c r="AC404" s="56" t="n"/>
      <c r="AD404" s="51" t="n">
        <v>-1</v>
      </c>
      <c r="AE404" s="156" t="n"/>
      <c r="AF404" s="51" t="n">
        <v>0</v>
      </c>
      <c r="AG404" s="156" t="inlineStr">
        <is>
          <t>Catálogo existente</t>
        </is>
      </c>
      <c r="AH40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4" s="156" t="inlineStr">
        <is>
          <t>Sí</t>
        </is>
      </c>
      <c r="AJ404" s="156" t="inlineStr">
        <is>
          <t>STETSON AMERICAS (-1)</t>
        </is>
      </c>
      <c r="AK404" s="155" t="inlineStr">
        <is>
          <t>Criterios: I [Q]; G1522_Extraccion_Articulos_NetSuite_2026-09-30.xlsx: fila 58976 [R] | Shopify Stetson: producto 15054564458859 / variante 53350553092459</t>
        </is>
      </c>
      <c r="AL404" s="58" t="n">
        <v>1451.18</v>
      </c>
      <c r="AM404" s="58" t="n">
        <v>8362.068966000001</v>
      </c>
      <c r="AN404" s="155" t="inlineStr">
        <is>
          <t>Shopify Stetson México</t>
        </is>
      </c>
      <c r="AO404" s="59" t="n">
        <v>1</v>
      </c>
      <c r="AP404" s="59" t="n"/>
      <c r="AQ404" s="59" t="n"/>
      <c r="AR404" s="155" t="inlineStr">
        <is>
          <t>Shopify Stetson México › Stetson Americas: 1</t>
        </is>
      </c>
    </row>
    <row r="405">
      <c r="A405" s="50" t="inlineStr">
        <is>
          <t>12020004101022028</t>
        </is>
      </c>
      <c r="B405" s="51" t="inlineStr">
        <is>
          <t>111302</t>
        </is>
      </c>
      <c r="C405" s="156" t="inlineStr">
        <is>
          <t>Multimarca</t>
        </is>
      </c>
      <c r="D405" s="156" t="inlineStr">
        <is>
          <t>12-020-BS004-10-1022</t>
        </is>
      </c>
      <c r="E405" s="156" t="inlineStr">
        <is>
          <t>12-020-BS004-10-1022-028</t>
        </is>
      </c>
      <c r="F405" s="156" t="inlineStr">
        <is>
          <t>28</t>
        </is>
      </c>
      <c r="G405" s="156" t="inlineStr">
        <is>
          <t>10</t>
        </is>
      </c>
      <c r="H405" s="156" t="inlineStr">
        <is>
          <t>Stetson</t>
        </is>
      </c>
      <c r="I405" s="156" t="inlineStr">
        <is>
          <t>Bota Avestruz Vintage</t>
        </is>
      </c>
      <c r="J405" s="156" t="inlineStr">
        <is>
          <t>Calzado</t>
        </is>
      </c>
      <c r="K405" s="156" t="inlineStr">
        <is>
          <t>Botas</t>
        </is>
      </c>
      <c r="L405" s="156" t="inlineStr">
        <is>
          <t>Hombre</t>
        </is>
      </c>
      <c r="M405" s="156" t="inlineStr">
        <is>
          <t>Stetson</t>
        </is>
      </c>
      <c r="N405" s="156" t="inlineStr">
        <is>
          <t>SS26</t>
        </is>
      </c>
      <c r="O405" s="156" t="inlineStr">
        <is>
          <t>Seasonal</t>
        </is>
      </c>
      <c r="P405" s="156" t="inlineStr">
        <is>
          <t>Cafe</t>
        </is>
      </c>
      <c r="Q405" s="156" t="n"/>
      <c r="R405" s="156" t="inlineStr">
        <is>
          <t>Punta Redonda Ancha</t>
        </is>
      </c>
      <c r="S405" s="156" t="inlineStr">
        <is>
          <t>Piel de avestruz</t>
        </is>
      </c>
      <c r="T405" s="156" t="inlineStr">
        <is>
          <t>Bota Caballero Piel de avestruz Vintage Punta Redonda Ancha</t>
        </is>
      </c>
      <c r="U405" s="156" t="inlineStr">
        <is>
          <t>México</t>
        </is>
      </c>
      <c r="V405" s="156" t="inlineStr">
        <is>
          <t>PRS</t>
        </is>
      </c>
      <c r="W405" s="51" t="inlineStr">
        <is>
          <t>53111501</t>
        </is>
      </c>
      <c r="X405" s="156" t="n"/>
      <c r="Y405" s="54" t="n">
        <v>1451.18</v>
      </c>
      <c r="Z405" s="54" t="n">
        <v>8362.068966000001</v>
      </c>
      <c r="AA405" s="55">
        <f>IF(AND(A405="", B405="", E405=""), "", IF(AB405="", "Válido", IF((LEN(AB405)-LEN(SUBSTITUTE(AB405,"; ","")))/2+1&gt;(LEN(AB405)-LEN(SUBSTITUTE(AB405,"[Aviso]","")))/7, "Con Incidencias", "Válido")))</f>
        <v/>
      </c>
      <c r="AB405" s="56">
        <f>IF(AND(A405="", B405="", E405=""), "", TEXTJOIN("; ", TRUE, IF(OR(TRIM(A405&amp;"")="", ISNUMBER(SEARCH("FALTA", A405))), "UPC faltante/inválido", ""), IF(AND(A405&lt;&gt;"", IFERROR(_xlfn.XMATCH(A405,$A$2:$A$2509,0,1)&lt;&gt;_xlfn.XMATCH(A405,$A$2:$A$2509,0,-1),FALSE)), "Código de barras duplicado", ""), IF(AND(E405&lt;&gt;"", COUNTIF($E$2:$E$2509, E405)&gt;1), "SKU duplicado", ""), IF(OR(J405="", J405=""), "[Aviso] División no capturada ()", IF(ISNA(MATCH(J405, Criterios!$A$123:$A$126, 0)), "División no válida", "")), IF(OR(K405="", K405=""), "[Aviso] Categoría no capturada ()", IF(ISNA(MATCH(K405, Criterios!$A$81:$A$120, 0)), "Categoría no válida", IF(AND(J405&lt;&gt;"", J405&lt;&gt;"", J405&lt;&gt;VLOOKUP(K405, Criterios!$A$81:$B$120, 2, FALSE)), "División no coincide con Categoría", ""))), IF(OR(L405="", L405=""), "[Aviso] Género no capturado ()", IF(ISNA(MATCH(L405, Criterios!$B$123:$B$127, 0)), "Género no válido", "")), IF(OR(N405="", N405=""), "[Aviso] Temporada no capturada ()", IF(ISNA(MATCH(N405, Criterios!$C$123:$C$128, 0)), "Temporada no válida", "")), IF(OR(O405="", O405=""), "[Aviso] Ciclo de vida no capturado ()", IF(ISNA(MATCH(O405, Criterios!$D$123:$D$124, 0)), "Ciclo de vida no válido", ""))))</f>
        <v/>
      </c>
      <c r="AC405" s="56" t="n"/>
      <c r="AD405" s="51" t="n">
        <v>-1</v>
      </c>
      <c r="AE405" s="156" t="n"/>
      <c r="AF405" s="51" t="n">
        <v>0</v>
      </c>
      <c r="AG405" s="156" t="inlineStr">
        <is>
          <t>Catálogo existente</t>
        </is>
      </c>
      <c r="AH40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5" s="156" t="inlineStr">
        <is>
          <t>Sí</t>
        </is>
      </c>
      <c r="AJ405" s="156" t="inlineStr">
        <is>
          <t>STETSON AMERICAS (-1)</t>
        </is>
      </c>
      <c r="AK405" s="155" t="inlineStr">
        <is>
          <t>Criterios: I [Q]; G1522_Extraccion_Articulos_NetSuite_2026-09-30.xlsx: fila 58977 [R] | Shopify Stetson: producto 15054564458859 / variante 53350553157995</t>
        </is>
      </c>
      <c r="AL405" s="58" t="n">
        <v>1451.18</v>
      </c>
      <c r="AM405" s="58" t="n">
        <v>8362.068966000001</v>
      </c>
      <c r="AN405" s="155" t="inlineStr">
        <is>
          <t>Shopify Stetson México</t>
        </is>
      </c>
      <c r="AO405" s="59" t="n">
        <v>1</v>
      </c>
      <c r="AP405" s="59" t="n"/>
      <c r="AQ405" s="59" t="n"/>
      <c r="AR405" s="155" t="inlineStr">
        <is>
          <t>Shopify Stetson México › Stetson Americas: 1</t>
        </is>
      </c>
    </row>
    <row r="406">
      <c r="A406" s="50" t="inlineStr">
        <is>
          <t>12020004101022029</t>
        </is>
      </c>
      <c r="B406" s="51" t="inlineStr">
        <is>
          <t>111303</t>
        </is>
      </c>
      <c r="C406" s="156" t="inlineStr">
        <is>
          <t>Multimarca</t>
        </is>
      </c>
      <c r="D406" s="156" t="inlineStr">
        <is>
          <t>12-020-BS004-10-1022</t>
        </is>
      </c>
      <c r="E406" s="156" t="inlineStr">
        <is>
          <t>12-020-BS004-10-1022-029</t>
        </is>
      </c>
      <c r="F406" s="156" t="inlineStr">
        <is>
          <t>29</t>
        </is>
      </c>
      <c r="G406" s="156" t="inlineStr">
        <is>
          <t>11</t>
        </is>
      </c>
      <c r="H406" s="156" t="inlineStr">
        <is>
          <t>Stetson</t>
        </is>
      </c>
      <c r="I406" s="156" t="inlineStr">
        <is>
          <t>Bota Avestruz Vintage</t>
        </is>
      </c>
      <c r="J406" s="156" t="inlineStr">
        <is>
          <t>Calzado</t>
        </is>
      </c>
      <c r="K406" s="156" t="inlineStr">
        <is>
          <t>Botas</t>
        </is>
      </c>
      <c r="L406" s="156" t="inlineStr">
        <is>
          <t>Hombre</t>
        </is>
      </c>
      <c r="M406" s="156" t="inlineStr">
        <is>
          <t>Stetson</t>
        </is>
      </c>
      <c r="N406" s="156" t="inlineStr">
        <is>
          <t>SS26</t>
        </is>
      </c>
      <c r="O406" s="156" t="inlineStr">
        <is>
          <t>Seasonal</t>
        </is>
      </c>
      <c r="P406" s="156" t="inlineStr">
        <is>
          <t>Cafe</t>
        </is>
      </c>
      <c r="Q406" s="156" t="n"/>
      <c r="R406" s="156" t="inlineStr">
        <is>
          <t>Punta Redonda Ancha</t>
        </is>
      </c>
      <c r="S406" s="156" t="inlineStr">
        <is>
          <t>Piel de avestruz</t>
        </is>
      </c>
      <c r="T406" s="156" t="inlineStr">
        <is>
          <t>Bota Caballero Piel de avestruz Vintage Punta Redonda Ancha</t>
        </is>
      </c>
      <c r="U406" s="156" t="inlineStr">
        <is>
          <t>México</t>
        </is>
      </c>
      <c r="V406" s="156" t="inlineStr">
        <is>
          <t>PRS</t>
        </is>
      </c>
      <c r="W406" s="51" t="inlineStr">
        <is>
          <t>53111501</t>
        </is>
      </c>
      <c r="X406" s="156" t="n"/>
      <c r="Y406" s="54" t="n">
        <v>1451.18</v>
      </c>
      <c r="Z406" s="54" t="n">
        <v>8362.068966000001</v>
      </c>
      <c r="AA406" s="55">
        <f>IF(AND(A406="", B406="", E406=""), "", IF(AB406="", "Válido", IF((LEN(AB406)-LEN(SUBSTITUTE(AB406,"; ","")))/2+1&gt;(LEN(AB406)-LEN(SUBSTITUTE(AB406,"[Aviso]","")))/7, "Con Incidencias", "Válido")))</f>
        <v/>
      </c>
      <c r="AB406" s="56">
        <f>IF(AND(A406="", B406="", E406=""), "", TEXTJOIN("; ", TRUE, IF(OR(TRIM(A406&amp;"")="", ISNUMBER(SEARCH("FALTA", A406))), "UPC faltante/inválido", ""), IF(AND(A406&lt;&gt;"", IFERROR(_xlfn.XMATCH(A406,$A$2:$A$2509,0,1)&lt;&gt;_xlfn.XMATCH(A406,$A$2:$A$2509,0,-1),FALSE)), "Código de barras duplicado", ""), IF(AND(E406&lt;&gt;"", COUNTIF($E$2:$E$2509, E406)&gt;1), "SKU duplicado", ""), IF(OR(J406="", J406=""), "[Aviso] División no capturada ()", IF(ISNA(MATCH(J406, Criterios!$A$123:$A$126, 0)), "División no válida", "")), IF(OR(K406="", K406=""), "[Aviso] Categoría no capturada ()", IF(ISNA(MATCH(K406, Criterios!$A$81:$A$120, 0)), "Categoría no válida", IF(AND(J406&lt;&gt;"", J406&lt;&gt;"", J406&lt;&gt;VLOOKUP(K406, Criterios!$A$81:$B$120, 2, FALSE)), "División no coincide con Categoría", ""))), IF(OR(L406="", L406=""), "[Aviso] Género no capturado ()", IF(ISNA(MATCH(L406, Criterios!$B$123:$B$127, 0)), "Género no válido", "")), IF(OR(N406="", N406=""), "[Aviso] Temporada no capturada ()", IF(ISNA(MATCH(N406, Criterios!$C$123:$C$128, 0)), "Temporada no válida", "")), IF(OR(O406="", O406=""), "[Aviso] Ciclo de vida no capturado ()", IF(ISNA(MATCH(O406, Criterios!$D$123:$D$124, 0)), "Ciclo de vida no válido", ""))))</f>
        <v/>
      </c>
      <c r="AC406" s="56" t="n"/>
      <c r="AD406" s="51" t="n">
        <v>-1</v>
      </c>
      <c r="AE406" s="156" t="n"/>
      <c r="AF406" s="51" t="n">
        <v>0</v>
      </c>
      <c r="AG406" s="156" t="inlineStr">
        <is>
          <t>Catálogo existente</t>
        </is>
      </c>
      <c r="AH40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6" s="156" t="inlineStr">
        <is>
          <t>Sí</t>
        </is>
      </c>
      <c r="AJ406" s="156" t="inlineStr">
        <is>
          <t>STETSON AMERICAS (-1)</t>
        </is>
      </c>
      <c r="AK406" s="155" t="inlineStr">
        <is>
          <t>Criterios: I [Q]; G1522_Extraccion_Articulos_NetSuite_2026-09-30.xlsx: fila 58978 [R] | Shopify Stetson: producto 15054564458859 / variante 53350553223531</t>
        </is>
      </c>
      <c r="AL406" s="58" t="n">
        <v>1451.18</v>
      </c>
      <c r="AM406" s="58" t="n">
        <v>8362.068966000001</v>
      </c>
      <c r="AN406" s="155" t="inlineStr">
        <is>
          <t>Shopify Stetson México</t>
        </is>
      </c>
      <c r="AO406" s="59" t="n">
        <v>0</v>
      </c>
      <c r="AP406" s="59" t="n"/>
      <c r="AQ406" s="59" t="n"/>
      <c r="AR406" s="155" t="n"/>
    </row>
    <row r="407">
      <c r="A407" s="50" t="inlineStr">
        <is>
          <t>12020004101022030</t>
        </is>
      </c>
      <c r="B407" s="51" t="inlineStr">
        <is>
          <t>111304</t>
        </is>
      </c>
      <c r="C407" s="156" t="inlineStr">
        <is>
          <t>Multimarca</t>
        </is>
      </c>
      <c r="D407" s="156" t="inlineStr">
        <is>
          <t>12-020-BS004-10-1022</t>
        </is>
      </c>
      <c r="E407" s="156" t="inlineStr">
        <is>
          <t>12-020-BS004-10-1022-030</t>
        </is>
      </c>
      <c r="F407" s="156" t="inlineStr">
        <is>
          <t>30</t>
        </is>
      </c>
      <c r="G407" s="156" t="inlineStr">
        <is>
          <t>12</t>
        </is>
      </c>
      <c r="H407" s="156" t="inlineStr">
        <is>
          <t>Stetson</t>
        </is>
      </c>
      <c r="I407" s="156" t="inlineStr">
        <is>
          <t>Bota Avestruz Vintage</t>
        </is>
      </c>
      <c r="J407" s="156" t="inlineStr">
        <is>
          <t>Calzado</t>
        </is>
      </c>
      <c r="K407" s="156" t="inlineStr">
        <is>
          <t>Botas</t>
        </is>
      </c>
      <c r="L407" s="156" t="inlineStr">
        <is>
          <t>Hombre</t>
        </is>
      </c>
      <c r="M407" s="156" t="inlineStr">
        <is>
          <t>Stetson</t>
        </is>
      </c>
      <c r="N407" s="156" t="inlineStr">
        <is>
          <t>SS26</t>
        </is>
      </c>
      <c r="O407" s="156" t="inlineStr">
        <is>
          <t>Seasonal</t>
        </is>
      </c>
      <c r="P407" s="156" t="inlineStr">
        <is>
          <t>Cafe</t>
        </is>
      </c>
      <c r="Q407" s="156" t="n"/>
      <c r="R407" s="156" t="inlineStr">
        <is>
          <t>Punta Redonda Ancha</t>
        </is>
      </c>
      <c r="S407" s="156" t="inlineStr">
        <is>
          <t>Piel de avestruz</t>
        </is>
      </c>
      <c r="T407" s="156" t="inlineStr">
        <is>
          <t>Bota Caballero Piel de avestruz Vintage Punta Redonda Ancha</t>
        </is>
      </c>
      <c r="U407" s="156" t="inlineStr">
        <is>
          <t>México</t>
        </is>
      </c>
      <c r="V407" s="156" t="inlineStr">
        <is>
          <t>PRS</t>
        </is>
      </c>
      <c r="W407" s="51" t="inlineStr">
        <is>
          <t>53111501</t>
        </is>
      </c>
      <c r="X407" s="156" t="n"/>
      <c r="Y407" s="54" t="n">
        <v>1451.18</v>
      </c>
      <c r="Z407" s="54" t="n">
        <v>8362.068966000001</v>
      </c>
      <c r="AA407" s="55">
        <f>IF(AND(A407="", B407="", E407=""), "", IF(AB407="", "Válido", IF((LEN(AB407)-LEN(SUBSTITUTE(AB407,"; ","")))/2+1&gt;(LEN(AB407)-LEN(SUBSTITUTE(AB407,"[Aviso]","")))/7, "Con Incidencias", "Válido")))</f>
        <v/>
      </c>
      <c r="AB407" s="56">
        <f>IF(AND(A407="", B407="", E407=""), "", TEXTJOIN("; ", TRUE, IF(OR(TRIM(A407&amp;"")="", ISNUMBER(SEARCH("FALTA", A407))), "UPC faltante/inválido", ""), IF(AND(A407&lt;&gt;"", IFERROR(_xlfn.XMATCH(A407,$A$2:$A$2509,0,1)&lt;&gt;_xlfn.XMATCH(A407,$A$2:$A$2509,0,-1),FALSE)), "Código de barras duplicado", ""), IF(AND(E407&lt;&gt;"", COUNTIF($E$2:$E$2509, E407)&gt;1), "SKU duplicado", ""), IF(OR(J407="", J407=""), "[Aviso] División no capturada ()", IF(ISNA(MATCH(J407, Criterios!$A$123:$A$126, 0)), "División no válida", "")), IF(OR(K407="", K407=""), "[Aviso] Categoría no capturada ()", IF(ISNA(MATCH(K407, Criterios!$A$81:$A$120, 0)), "Categoría no válida", IF(AND(J407&lt;&gt;"", J407&lt;&gt;"", J407&lt;&gt;VLOOKUP(K407, Criterios!$A$81:$B$120, 2, FALSE)), "División no coincide con Categoría", ""))), IF(OR(L407="", L407=""), "[Aviso] Género no capturado ()", IF(ISNA(MATCH(L407, Criterios!$B$123:$B$127, 0)), "Género no válido", "")), IF(OR(N407="", N407=""), "[Aviso] Temporada no capturada ()", IF(ISNA(MATCH(N407, Criterios!$C$123:$C$128, 0)), "Temporada no válida", "")), IF(OR(O407="", O407=""), "[Aviso] Ciclo de vida no capturado ()", IF(ISNA(MATCH(O407, Criterios!$D$123:$D$124, 0)), "Ciclo de vida no válido", ""))))</f>
        <v/>
      </c>
      <c r="AC407" s="56" t="n"/>
      <c r="AD407" s="51" t="n">
        <v>0</v>
      </c>
      <c r="AE407" s="156" t="n"/>
      <c r="AF407" s="51" t="n">
        <v>0</v>
      </c>
      <c r="AG407" s="156" t="inlineStr">
        <is>
          <t>Catálogo existente</t>
        </is>
      </c>
      <c r="AH4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7" s="156" t="inlineStr">
        <is>
          <t>No</t>
        </is>
      </c>
      <c r="AJ407" s="156" t="n"/>
      <c r="AK407" s="155" t="inlineStr">
        <is>
          <t>Criterios: I [Q]; G1522_Extraccion_Articulos_NetSuite_2026-09-30.xlsx: fila 58979 [R] | Shopify Stetson: producto 15054564458859 / variante 53350553289067</t>
        </is>
      </c>
      <c r="AL407" s="58" t="n">
        <v>1451.18</v>
      </c>
      <c r="AM407" s="58" t="n">
        <v>8362.068966000001</v>
      </c>
      <c r="AN407" s="155" t="inlineStr">
        <is>
          <t>Shopify Stetson México</t>
        </is>
      </c>
      <c r="AO407" s="59" t="n">
        <v>0</v>
      </c>
      <c r="AP407" s="59" t="n"/>
      <c r="AQ407" s="59" t="n"/>
      <c r="AR407" s="155" t="n"/>
    </row>
    <row r="408">
      <c r="A408" s="50" t="inlineStr">
        <is>
          <t>12020004101022031</t>
        </is>
      </c>
      <c r="B408" s="51" t="inlineStr">
        <is>
          <t>111305</t>
        </is>
      </c>
      <c r="C408" s="156" t="inlineStr">
        <is>
          <t>Multimarca</t>
        </is>
      </c>
      <c r="D408" s="156" t="inlineStr">
        <is>
          <t>12-020-BS004-10-1022</t>
        </is>
      </c>
      <c r="E408" s="156" t="inlineStr">
        <is>
          <t>12-020-BS004-10-1022-031</t>
        </is>
      </c>
      <c r="F408" s="156" t="inlineStr">
        <is>
          <t>31</t>
        </is>
      </c>
      <c r="G408" s="156" t="inlineStr">
        <is>
          <t>13</t>
        </is>
      </c>
      <c r="H408" s="156" t="inlineStr">
        <is>
          <t>Stetson</t>
        </is>
      </c>
      <c r="I408" s="156" t="inlineStr">
        <is>
          <t>Bota Avestruz Vintage</t>
        </is>
      </c>
      <c r="J408" s="156" t="inlineStr">
        <is>
          <t>Calzado</t>
        </is>
      </c>
      <c r="K408" s="156" t="inlineStr">
        <is>
          <t>Botas</t>
        </is>
      </c>
      <c r="L408" s="156" t="inlineStr">
        <is>
          <t>Hombre</t>
        </is>
      </c>
      <c r="M408" s="156" t="inlineStr">
        <is>
          <t>Stetson</t>
        </is>
      </c>
      <c r="N408" s="156" t="inlineStr">
        <is>
          <t>SS26</t>
        </is>
      </c>
      <c r="O408" s="156" t="inlineStr">
        <is>
          <t>Seasonal</t>
        </is>
      </c>
      <c r="P408" s="156" t="inlineStr">
        <is>
          <t>Cafe</t>
        </is>
      </c>
      <c r="Q408" s="156" t="n"/>
      <c r="R408" s="156" t="inlineStr">
        <is>
          <t>Punta Redonda Ancha</t>
        </is>
      </c>
      <c r="S408" s="156" t="inlineStr">
        <is>
          <t>Piel de avestruz</t>
        </is>
      </c>
      <c r="T408" s="156" t="inlineStr">
        <is>
          <t>Bota Caballero Piel de avestruz Vintage Punta Redonda Ancha</t>
        </is>
      </c>
      <c r="U408" s="156" t="inlineStr">
        <is>
          <t>México</t>
        </is>
      </c>
      <c r="V408" s="156" t="inlineStr">
        <is>
          <t>PRS</t>
        </is>
      </c>
      <c r="W408" s="51" t="inlineStr">
        <is>
          <t>53111501</t>
        </is>
      </c>
      <c r="X408" s="156" t="n"/>
      <c r="Y408" s="54" t="n">
        <v>1451.18</v>
      </c>
      <c r="Z408" s="54" t="n">
        <v>8362.068966000001</v>
      </c>
      <c r="AA408" s="55">
        <f>IF(AND(A408="", B408="", E408=""), "", IF(AB408="", "Válido", IF((LEN(AB408)-LEN(SUBSTITUTE(AB408,"; ","")))/2+1&gt;(LEN(AB408)-LEN(SUBSTITUTE(AB408,"[Aviso]","")))/7, "Con Incidencias", "Válido")))</f>
        <v/>
      </c>
      <c r="AB408" s="56">
        <f>IF(AND(A408="", B408="", E408=""), "", TEXTJOIN("; ", TRUE, IF(OR(TRIM(A408&amp;"")="", ISNUMBER(SEARCH("FALTA", A408))), "UPC faltante/inválido", ""), IF(AND(A408&lt;&gt;"", IFERROR(_xlfn.XMATCH(A408,$A$2:$A$2509,0,1)&lt;&gt;_xlfn.XMATCH(A408,$A$2:$A$2509,0,-1),FALSE)), "Código de barras duplicado", ""), IF(AND(E408&lt;&gt;"", COUNTIF($E$2:$E$2509, E408)&gt;1), "SKU duplicado", ""), IF(OR(J408="", J408=""), "[Aviso] División no capturada ()", IF(ISNA(MATCH(J408, Criterios!$A$123:$A$126, 0)), "División no válida", "")), IF(OR(K408="", K408=""), "[Aviso] Categoría no capturada ()", IF(ISNA(MATCH(K408, Criterios!$A$81:$A$120, 0)), "Categoría no válida", IF(AND(J408&lt;&gt;"", J408&lt;&gt;"", J408&lt;&gt;VLOOKUP(K408, Criterios!$A$81:$B$120, 2, FALSE)), "División no coincide con Categoría", ""))), IF(OR(L408="", L408=""), "[Aviso] Género no capturado ()", IF(ISNA(MATCH(L408, Criterios!$B$123:$B$127, 0)), "Género no válido", "")), IF(OR(N408="", N408=""), "[Aviso] Temporada no capturada ()", IF(ISNA(MATCH(N408, Criterios!$C$123:$C$128, 0)), "Temporada no válida", "")), IF(OR(O408="", O408=""), "[Aviso] Ciclo de vida no capturado ()", IF(ISNA(MATCH(O408, Criterios!$D$123:$D$124, 0)), "Ciclo de vida no válido", ""))))</f>
        <v/>
      </c>
      <c r="AC408" s="56" t="n"/>
      <c r="AD408" s="51" t="n">
        <v>0</v>
      </c>
      <c r="AE408" s="156" t="n"/>
      <c r="AF408" s="51" t="n">
        <v>0</v>
      </c>
      <c r="AG408" s="156" t="inlineStr">
        <is>
          <t>Catálogo existente</t>
        </is>
      </c>
      <c r="AH4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8" s="156" t="inlineStr">
        <is>
          <t>No</t>
        </is>
      </c>
      <c r="AJ408" s="156" t="n"/>
      <c r="AK408" s="155" t="inlineStr">
        <is>
          <t>Criterios: I [Q]; G1522_Extraccion_Articulos_NetSuite_2026-09-30.xlsx: fila 58980 [R] | Shopify Stetson: producto 15054564458859 / variante 53350553354603</t>
        </is>
      </c>
      <c r="AL408" s="58" t="n">
        <v>1451.18</v>
      </c>
      <c r="AM408" s="58" t="n">
        <v>8362.068966000001</v>
      </c>
      <c r="AN408" s="155" t="inlineStr">
        <is>
          <t>Shopify Stetson México</t>
        </is>
      </c>
      <c r="AO408" s="59" t="n">
        <v>0</v>
      </c>
      <c r="AP408" s="59" t="n"/>
      <c r="AQ408" s="59" t="n"/>
      <c r="AR408" s="155" t="n"/>
    </row>
    <row r="409">
      <c r="A409" s="50" t="inlineStr">
        <is>
          <t>12020004101022032</t>
        </is>
      </c>
      <c r="B409" s="51" t="inlineStr">
        <is>
          <t>111306</t>
        </is>
      </c>
      <c r="C409" s="156" t="inlineStr">
        <is>
          <t>Multimarca</t>
        </is>
      </c>
      <c r="D409" s="156" t="inlineStr">
        <is>
          <t>12-020-BS004-10-1022</t>
        </is>
      </c>
      <c r="E409" s="156" t="inlineStr">
        <is>
          <t>12-020-BS004-10-1022-032</t>
        </is>
      </c>
      <c r="F409" s="156" t="inlineStr">
        <is>
          <t>32</t>
        </is>
      </c>
      <c r="G409" s="156" t="inlineStr">
        <is>
          <t>14</t>
        </is>
      </c>
      <c r="H409" s="156" t="inlineStr">
        <is>
          <t>Stetson</t>
        </is>
      </c>
      <c r="I409" s="156" t="inlineStr">
        <is>
          <t>Bota Avestruz Vintage</t>
        </is>
      </c>
      <c r="J409" s="156" t="inlineStr">
        <is>
          <t>Calzado</t>
        </is>
      </c>
      <c r="K409" s="156" t="inlineStr">
        <is>
          <t>Botas</t>
        </is>
      </c>
      <c r="L409" s="156" t="inlineStr">
        <is>
          <t>Hombre</t>
        </is>
      </c>
      <c r="M409" s="156" t="inlineStr">
        <is>
          <t>Stetson</t>
        </is>
      </c>
      <c r="N409" s="156" t="inlineStr">
        <is>
          <t>SS26</t>
        </is>
      </c>
      <c r="O409" s="156" t="inlineStr">
        <is>
          <t>Seasonal</t>
        </is>
      </c>
      <c r="P409" s="156" t="inlineStr">
        <is>
          <t>Cafe</t>
        </is>
      </c>
      <c r="Q409" s="156" t="n"/>
      <c r="R409" s="156" t="inlineStr">
        <is>
          <t>Punta Redonda Ancha</t>
        </is>
      </c>
      <c r="S409" s="156" t="inlineStr">
        <is>
          <t>Piel de avestruz</t>
        </is>
      </c>
      <c r="T409" s="156" t="inlineStr">
        <is>
          <t>Bota Caballero Piel de avestruz Vintage Punta Redonda Ancha</t>
        </is>
      </c>
      <c r="U409" s="156" t="inlineStr">
        <is>
          <t>México</t>
        </is>
      </c>
      <c r="V409" s="156" t="inlineStr">
        <is>
          <t>PRS</t>
        </is>
      </c>
      <c r="W409" s="51" t="inlineStr">
        <is>
          <t>53111501</t>
        </is>
      </c>
      <c r="X409" s="156" t="n"/>
      <c r="Y409" s="54" t="n">
        <v>1451.18</v>
      </c>
      <c r="Z409" s="54" t="n">
        <v>8362.068966000001</v>
      </c>
      <c r="AA409" s="55">
        <f>IF(AND(A409="", B409="", E409=""), "", IF(AB409="", "Válido", IF((LEN(AB409)-LEN(SUBSTITUTE(AB409,"; ","")))/2+1&gt;(LEN(AB409)-LEN(SUBSTITUTE(AB409,"[Aviso]","")))/7, "Con Incidencias", "Válido")))</f>
        <v/>
      </c>
      <c r="AB409" s="56">
        <f>IF(AND(A409="", B409="", E409=""), "", TEXTJOIN("; ", TRUE, IF(OR(TRIM(A409&amp;"")="", ISNUMBER(SEARCH("FALTA", A409))), "UPC faltante/inválido", ""), IF(AND(A409&lt;&gt;"", IFERROR(_xlfn.XMATCH(A409,$A$2:$A$2509,0,1)&lt;&gt;_xlfn.XMATCH(A409,$A$2:$A$2509,0,-1),FALSE)), "Código de barras duplicado", ""), IF(AND(E409&lt;&gt;"", COUNTIF($E$2:$E$2509, E409)&gt;1), "SKU duplicado", ""), IF(OR(J409="", J409=""), "[Aviso] División no capturada ()", IF(ISNA(MATCH(J409, Criterios!$A$123:$A$126, 0)), "División no válida", "")), IF(OR(K409="", K409=""), "[Aviso] Categoría no capturada ()", IF(ISNA(MATCH(K409, Criterios!$A$81:$A$120, 0)), "Categoría no válida", IF(AND(J409&lt;&gt;"", J409&lt;&gt;"", J409&lt;&gt;VLOOKUP(K409, Criterios!$A$81:$B$120, 2, FALSE)), "División no coincide con Categoría", ""))), IF(OR(L409="", L409=""), "[Aviso] Género no capturado ()", IF(ISNA(MATCH(L409, Criterios!$B$123:$B$127, 0)), "Género no válido", "")), IF(OR(N409="", N409=""), "[Aviso] Temporada no capturada ()", IF(ISNA(MATCH(N409, Criterios!$C$123:$C$128, 0)), "Temporada no válida", "")), IF(OR(O409="", O409=""), "[Aviso] Ciclo de vida no capturado ()", IF(ISNA(MATCH(O409, Criterios!$D$123:$D$124, 0)), "Ciclo de vida no válido", ""))))</f>
        <v/>
      </c>
      <c r="AC409" s="56" t="n"/>
      <c r="AD409" s="51" t="n">
        <v>0</v>
      </c>
      <c r="AE409" s="156" t="n"/>
      <c r="AF409" s="51" t="n">
        <v>0</v>
      </c>
      <c r="AG409" s="156" t="inlineStr">
        <is>
          <t>Catálogo existente</t>
        </is>
      </c>
      <c r="AH4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9" s="156" t="inlineStr">
        <is>
          <t>No</t>
        </is>
      </c>
      <c r="AJ409" s="156" t="n"/>
      <c r="AK409" s="155" t="inlineStr">
        <is>
          <t>Criterios: I [Q]; G1522_Extraccion_Articulos_NetSuite_2026-09-30.xlsx: fila 58981 [R] | Shopify Stetson: producto 15054564458859 / variante 53350553420139</t>
        </is>
      </c>
      <c r="AL409" s="58" t="n">
        <v>1451.18</v>
      </c>
      <c r="AM409" s="58" t="n">
        <v>8362.068966000001</v>
      </c>
      <c r="AN409" s="155" t="inlineStr">
        <is>
          <t>Shopify Stetson México</t>
        </is>
      </c>
      <c r="AO409" s="59" t="n">
        <v>0</v>
      </c>
      <c r="AP409" s="59" t="n"/>
      <c r="AQ409" s="59" t="n"/>
      <c r="AR409" s="155" t="n"/>
    </row>
    <row r="410">
      <c r="A410" s="50" t="inlineStr">
        <is>
          <t>12020004101022255</t>
        </is>
      </c>
      <c r="B410" s="51" t="inlineStr">
        <is>
          <t>111307</t>
        </is>
      </c>
      <c r="C410" s="156" t="inlineStr">
        <is>
          <t>Multimarca</t>
        </is>
      </c>
      <c r="D410" s="156" t="inlineStr">
        <is>
          <t>12-020-BS004-10-1022</t>
        </is>
      </c>
      <c r="E410" s="156" t="inlineStr">
        <is>
          <t>12-020-BS004-10-1022-255</t>
        </is>
      </c>
      <c r="F410" s="156" t="inlineStr">
        <is>
          <t>25.5</t>
        </is>
      </c>
      <c r="G410" s="156" t="inlineStr">
        <is>
          <t>7.5</t>
        </is>
      </c>
      <c r="H410" s="156" t="inlineStr">
        <is>
          <t>Stetson</t>
        </is>
      </c>
      <c r="I410" s="156" t="inlineStr">
        <is>
          <t>Bota Avestruz Vintage</t>
        </is>
      </c>
      <c r="J410" s="156" t="inlineStr">
        <is>
          <t>Calzado</t>
        </is>
      </c>
      <c r="K410" s="156" t="inlineStr">
        <is>
          <t>Botas</t>
        </is>
      </c>
      <c r="L410" s="156" t="inlineStr">
        <is>
          <t>Hombre</t>
        </is>
      </c>
      <c r="M410" s="156" t="inlineStr">
        <is>
          <t>Stetson</t>
        </is>
      </c>
      <c r="N410" s="156" t="inlineStr">
        <is>
          <t>SS26</t>
        </is>
      </c>
      <c r="O410" s="156" t="inlineStr">
        <is>
          <t>Seasonal</t>
        </is>
      </c>
      <c r="P410" s="156" t="inlineStr">
        <is>
          <t>Cafe</t>
        </is>
      </c>
      <c r="Q410" s="156" t="n"/>
      <c r="R410" s="156" t="inlineStr">
        <is>
          <t>Punta Redonda Ancha</t>
        </is>
      </c>
      <c r="S410" s="156" t="inlineStr">
        <is>
          <t>Piel de avestruz</t>
        </is>
      </c>
      <c r="T410" s="156" t="inlineStr">
        <is>
          <t>Bota Caballero Piel de avestruz Vintage Punta Redonda Ancha</t>
        </is>
      </c>
      <c r="U410" s="156" t="inlineStr">
        <is>
          <t>México</t>
        </is>
      </c>
      <c r="V410" s="156" t="inlineStr">
        <is>
          <t>PRS</t>
        </is>
      </c>
      <c r="W410" s="51" t="inlineStr">
        <is>
          <t>53111501</t>
        </is>
      </c>
      <c r="X410" s="156" t="n"/>
      <c r="Y410" s="54" t="n">
        <v>1451.18</v>
      </c>
      <c r="Z410" s="54" t="n">
        <v>8362.068966000001</v>
      </c>
      <c r="AA410" s="55">
        <f>IF(AND(A410="", B410="", E410=""), "", IF(AB410="", "Válido", IF((LEN(AB410)-LEN(SUBSTITUTE(AB410,"; ","")))/2+1&gt;(LEN(AB410)-LEN(SUBSTITUTE(AB410,"[Aviso]","")))/7, "Con Incidencias", "Válido")))</f>
        <v/>
      </c>
      <c r="AB410" s="56">
        <f>IF(AND(A410="", B410="", E410=""), "", TEXTJOIN("; ", TRUE, IF(OR(TRIM(A410&amp;"")="", ISNUMBER(SEARCH("FALTA", A410))), "UPC faltante/inválido", ""), IF(AND(A410&lt;&gt;"", IFERROR(_xlfn.XMATCH(A410,$A$2:$A$2509,0,1)&lt;&gt;_xlfn.XMATCH(A410,$A$2:$A$2509,0,-1),FALSE)), "Código de barras duplicado", ""), IF(AND(E410&lt;&gt;"", COUNTIF($E$2:$E$2509, E410)&gt;1), "SKU duplicado", ""), IF(OR(J410="", J410=""), "[Aviso] División no capturada ()", IF(ISNA(MATCH(J410, Criterios!$A$123:$A$126, 0)), "División no válida", "")), IF(OR(K410="", K410=""), "[Aviso] Categoría no capturada ()", IF(ISNA(MATCH(K410, Criterios!$A$81:$A$120, 0)), "Categoría no válida", IF(AND(J410&lt;&gt;"", J410&lt;&gt;"", J410&lt;&gt;VLOOKUP(K410, Criterios!$A$81:$B$120, 2, FALSE)), "División no coincide con Categoría", ""))), IF(OR(L410="", L410=""), "[Aviso] Género no capturado ()", IF(ISNA(MATCH(L410, Criterios!$B$123:$B$127, 0)), "Género no válido", "")), IF(OR(N410="", N410=""), "[Aviso] Temporada no capturada ()", IF(ISNA(MATCH(N410, Criterios!$C$123:$C$128, 0)), "Temporada no válida", "")), IF(OR(O410="", O410=""), "[Aviso] Ciclo de vida no capturado ()", IF(ISNA(MATCH(O410, Criterios!$D$123:$D$124, 0)), "Ciclo de vida no válido", ""))))</f>
        <v/>
      </c>
      <c r="AC410" s="56" t="n"/>
      <c r="AD410" s="51" t="n">
        <v>0</v>
      </c>
      <c r="AE410" s="156" t="n"/>
      <c r="AF410" s="51" t="n">
        <v>0</v>
      </c>
      <c r="AG410" s="156" t="inlineStr">
        <is>
          <t>Catálogo existente</t>
        </is>
      </c>
      <c r="AH4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0" s="156" t="inlineStr">
        <is>
          <t>No</t>
        </is>
      </c>
      <c r="AJ410" s="156" t="n"/>
      <c r="AK410" s="155" t="inlineStr">
        <is>
          <t>Criterios: I [Q]; G1522_Extraccion_Articulos_NetSuite_2026-09-30.xlsx: fila 58982 [R] | Shopify Stetson: producto 15054564458859 / variante 53350552994155</t>
        </is>
      </c>
      <c r="AL410" s="58" t="n">
        <v>1451.18</v>
      </c>
      <c r="AM410" s="58" t="n">
        <v>8362.068966000001</v>
      </c>
      <c r="AN410" s="155" t="inlineStr">
        <is>
          <t>Shopify Stetson México</t>
        </is>
      </c>
      <c r="AO410" s="59" t="n">
        <v>0</v>
      </c>
      <c r="AP410" s="59" t="n"/>
      <c r="AQ410" s="59" t="n"/>
      <c r="AR410" s="155" t="n"/>
    </row>
    <row r="411">
      <c r="A411" s="50" t="inlineStr">
        <is>
          <t>12020004101022265</t>
        </is>
      </c>
      <c r="B411" s="51" t="inlineStr">
        <is>
          <t>111308</t>
        </is>
      </c>
      <c r="C411" s="156" t="inlineStr">
        <is>
          <t>Multimarca</t>
        </is>
      </c>
      <c r="D411" s="156" t="inlineStr">
        <is>
          <t>12-020-BS004-10-1022</t>
        </is>
      </c>
      <c r="E411" s="156" t="inlineStr">
        <is>
          <t>12-020-BS004-10-1022-265</t>
        </is>
      </c>
      <c r="F411" s="156" t="inlineStr">
        <is>
          <t>26.5</t>
        </is>
      </c>
      <c r="G411" s="156" t="inlineStr">
        <is>
          <t>8.5</t>
        </is>
      </c>
      <c r="H411" s="156" t="inlineStr">
        <is>
          <t>Stetson</t>
        </is>
      </c>
      <c r="I411" s="156" t="inlineStr">
        <is>
          <t>Bota Avestruz Vintage</t>
        </is>
      </c>
      <c r="J411" s="156" t="inlineStr">
        <is>
          <t>Calzado</t>
        </is>
      </c>
      <c r="K411" s="156" t="inlineStr">
        <is>
          <t>Botas</t>
        </is>
      </c>
      <c r="L411" s="156" t="inlineStr">
        <is>
          <t>Hombre</t>
        </is>
      </c>
      <c r="M411" s="156" t="inlineStr">
        <is>
          <t>Stetson</t>
        </is>
      </c>
      <c r="N411" s="156" t="inlineStr">
        <is>
          <t>SS26</t>
        </is>
      </c>
      <c r="O411" s="156" t="inlineStr">
        <is>
          <t>Seasonal</t>
        </is>
      </c>
      <c r="P411" s="156" t="inlineStr">
        <is>
          <t>Cafe</t>
        </is>
      </c>
      <c r="Q411" s="156" t="n"/>
      <c r="R411" s="156" t="inlineStr">
        <is>
          <t>Punta Redonda Ancha</t>
        </is>
      </c>
      <c r="S411" s="156" t="inlineStr">
        <is>
          <t>Piel de avestruz</t>
        </is>
      </c>
      <c r="T411" s="156" t="inlineStr">
        <is>
          <t>Bota Caballero Piel de avestruz Vintage Punta Redonda Ancha</t>
        </is>
      </c>
      <c r="U411" s="156" t="inlineStr">
        <is>
          <t>México</t>
        </is>
      </c>
      <c r="V411" s="156" t="inlineStr">
        <is>
          <t>PRS</t>
        </is>
      </c>
      <c r="W411" s="51" t="inlineStr">
        <is>
          <t>53111501</t>
        </is>
      </c>
      <c r="X411" s="156" t="n"/>
      <c r="Y411" s="54" t="n">
        <v>1451.18</v>
      </c>
      <c r="Z411" s="54" t="n">
        <v>8362.068966000001</v>
      </c>
      <c r="AA411" s="55">
        <f>IF(AND(A411="", B411="", E411=""), "", IF(AB411="", "Válido", IF((LEN(AB411)-LEN(SUBSTITUTE(AB411,"; ","")))/2+1&gt;(LEN(AB411)-LEN(SUBSTITUTE(AB411,"[Aviso]","")))/7, "Con Incidencias", "Válido")))</f>
        <v/>
      </c>
      <c r="AB411" s="56">
        <f>IF(AND(A411="", B411="", E411=""), "", TEXTJOIN("; ", TRUE, IF(OR(TRIM(A411&amp;"")="", ISNUMBER(SEARCH("FALTA", A411))), "UPC faltante/inválido", ""), IF(AND(A411&lt;&gt;"", IFERROR(_xlfn.XMATCH(A411,$A$2:$A$2509,0,1)&lt;&gt;_xlfn.XMATCH(A411,$A$2:$A$2509,0,-1),FALSE)), "Código de barras duplicado", ""), IF(AND(E411&lt;&gt;"", COUNTIF($E$2:$E$2509, E411)&gt;1), "SKU duplicado", ""), IF(OR(J411="", J411=""), "[Aviso] División no capturada ()", IF(ISNA(MATCH(J411, Criterios!$A$123:$A$126, 0)), "División no válida", "")), IF(OR(K411="", K411=""), "[Aviso] Categoría no capturada ()", IF(ISNA(MATCH(K411, Criterios!$A$81:$A$120, 0)), "Categoría no válida", IF(AND(J411&lt;&gt;"", J411&lt;&gt;"", J411&lt;&gt;VLOOKUP(K411, Criterios!$A$81:$B$120, 2, FALSE)), "División no coincide con Categoría", ""))), IF(OR(L411="", L411=""), "[Aviso] Género no capturado ()", IF(ISNA(MATCH(L411, Criterios!$B$123:$B$127, 0)), "Género no válido", "")), IF(OR(N411="", N411=""), "[Aviso] Temporada no capturada ()", IF(ISNA(MATCH(N411, Criterios!$C$123:$C$128, 0)), "Temporada no válida", "")), IF(OR(O411="", O411=""), "[Aviso] Ciclo de vida no capturado ()", IF(ISNA(MATCH(O411, Criterios!$D$123:$D$124, 0)), "Ciclo de vida no válido", ""))))</f>
        <v/>
      </c>
      <c r="AC411" s="56" t="n"/>
      <c r="AD411" s="51" t="n">
        <v>0</v>
      </c>
      <c r="AE411" s="156" t="n"/>
      <c r="AF411" s="51" t="n">
        <v>0</v>
      </c>
      <c r="AG411" s="156" t="inlineStr">
        <is>
          <t>Catálogo existente</t>
        </is>
      </c>
      <c r="AH4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1" s="156" t="inlineStr">
        <is>
          <t>No</t>
        </is>
      </c>
      <c r="AJ411" s="156" t="n"/>
      <c r="AK411" s="155" t="inlineStr">
        <is>
          <t>Criterios: I [Q]; G1522_Extraccion_Articulos_NetSuite_2026-09-30.xlsx: fila 58983 [R] | Shopify Stetson: producto 15054564458859 / variante 53350553059691</t>
        </is>
      </c>
      <c r="AL411" s="58" t="n">
        <v>1451.18</v>
      </c>
      <c r="AM411" s="58" t="n">
        <v>8362.068966000001</v>
      </c>
      <c r="AN411" s="155" t="inlineStr">
        <is>
          <t>Shopify Stetson México</t>
        </is>
      </c>
      <c r="AO411" s="59" t="n">
        <v>1</v>
      </c>
      <c r="AP411" s="59" t="n"/>
      <c r="AQ411" s="59" t="n"/>
      <c r="AR411" s="155" t="inlineStr">
        <is>
          <t>Shopify Stetson México › Stetson Americas: 1</t>
        </is>
      </c>
    </row>
    <row r="412">
      <c r="A412" s="50" t="inlineStr">
        <is>
          <t>12020004101022275</t>
        </is>
      </c>
      <c r="B412" s="51" t="inlineStr">
        <is>
          <t>111309</t>
        </is>
      </c>
      <c r="C412" s="156" t="inlineStr">
        <is>
          <t>Multimarca</t>
        </is>
      </c>
      <c r="D412" s="156" t="inlineStr">
        <is>
          <t>12-020-BS004-10-1022</t>
        </is>
      </c>
      <c r="E412" s="156" t="inlineStr">
        <is>
          <t>12-020-BS004-10-1022-275</t>
        </is>
      </c>
      <c r="F412" s="156" t="inlineStr">
        <is>
          <t>27.5</t>
        </is>
      </c>
      <c r="G412" s="156" t="inlineStr">
        <is>
          <t>9.5</t>
        </is>
      </c>
      <c r="H412" s="156" t="inlineStr">
        <is>
          <t>Stetson</t>
        </is>
      </c>
      <c r="I412" s="156" t="inlineStr">
        <is>
          <t>Bota Avestruz Vintage</t>
        </is>
      </c>
      <c r="J412" s="156" t="inlineStr">
        <is>
          <t>Calzado</t>
        </is>
      </c>
      <c r="K412" s="156" t="inlineStr">
        <is>
          <t>Botas</t>
        </is>
      </c>
      <c r="L412" s="156" t="inlineStr">
        <is>
          <t>Hombre</t>
        </is>
      </c>
      <c r="M412" s="156" t="inlineStr">
        <is>
          <t>Stetson</t>
        </is>
      </c>
      <c r="N412" s="156" t="inlineStr">
        <is>
          <t>SS26</t>
        </is>
      </c>
      <c r="O412" s="156" t="inlineStr">
        <is>
          <t>Seasonal</t>
        </is>
      </c>
      <c r="P412" s="156" t="inlineStr">
        <is>
          <t>Cafe</t>
        </is>
      </c>
      <c r="Q412" s="156" t="n"/>
      <c r="R412" s="156" t="inlineStr">
        <is>
          <t>Punta Redonda Ancha</t>
        </is>
      </c>
      <c r="S412" s="156" t="inlineStr">
        <is>
          <t>Piel de avestruz</t>
        </is>
      </c>
      <c r="T412" s="156" t="inlineStr">
        <is>
          <t>Bota Caballero Piel de avestruz Vintage Punta Redonda Ancha</t>
        </is>
      </c>
      <c r="U412" s="156" t="inlineStr">
        <is>
          <t>México</t>
        </is>
      </c>
      <c r="V412" s="156" t="inlineStr">
        <is>
          <t>PRS</t>
        </is>
      </c>
      <c r="W412" s="51" t="inlineStr">
        <is>
          <t>53111501</t>
        </is>
      </c>
      <c r="X412" s="156" t="n"/>
      <c r="Y412" s="54" t="n">
        <v>1451.18</v>
      </c>
      <c r="Z412" s="54" t="n">
        <v>8362.068966000001</v>
      </c>
      <c r="AA412" s="55">
        <f>IF(AND(A412="", B412="", E412=""), "", IF(AB412="", "Válido", IF((LEN(AB412)-LEN(SUBSTITUTE(AB412,"; ","")))/2+1&gt;(LEN(AB412)-LEN(SUBSTITUTE(AB412,"[Aviso]","")))/7, "Con Incidencias", "Válido")))</f>
        <v/>
      </c>
      <c r="AB412" s="56">
        <f>IF(AND(A412="", B412="", E412=""), "", TEXTJOIN("; ", TRUE, IF(OR(TRIM(A412&amp;"")="", ISNUMBER(SEARCH("FALTA", A412))), "UPC faltante/inválido", ""), IF(AND(A412&lt;&gt;"", IFERROR(_xlfn.XMATCH(A412,$A$2:$A$2509,0,1)&lt;&gt;_xlfn.XMATCH(A412,$A$2:$A$2509,0,-1),FALSE)), "Código de barras duplicado", ""), IF(AND(E412&lt;&gt;"", COUNTIF($E$2:$E$2509, E412)&gt;1), "SKU duplicado", ""), IF(OR(J412="", J412=""), "[Aviso] División no capturada ()", IF(ISNA(MATCH(J412, Criterios!$A$123:$A$126, 0)), "División no válida", "")), IF(OR(K412="", K412=""), "[Aviso] Categoría no capturada ()", IF(ISNA(MATCH(K412, Criterios!$A$81:$A$120, 0)), "Categoría no válida", IF(AND(J412&lt;&gt;"", J412&lt;&gt;"", J412&lt;&gt;VLOOKUP(K412, Criterios!$A$81:$B$120, 2, FALSE)), "División no coincide con Categoría", ""))), IF(OR(L412="", L412=""), "[Aviso] Género no capturado ()", IF(ISNA(MATCH(L412, Criterios!$B$123:$B$127, 0)), "Género no válido", "")), IF(OR(N412="", N412=""), "[Aviso] Temporada no capturada ()", IF(ISNA(MATCH(N412, Criterios!$C$123:$C$128, 0)), "Temporada no válida", "")), IF(OR(O412="", O412=""), "[Aviso] Ciclo de vida no capturado ()", IF(ISNA(MATCH(O412, Criterios!$D$123:$D$124, 0)), "Ciclo de vida no válido", ""))))</f>
        <v/>
      </c>
      <c r="AC412" s="56" t="n"/>
      <c r="AD412" s="51" t="n">
        <v>-1</v>
      </c>
      <c r="AE412" s="156" t="n"/>
      <c r="AF412" s="51" t="n">
        <v>0</v>
      </c>
      <c r="AG412" s="156" t="inlineStr">
        <is>
          <t>Catálogo existente</t>
        </is>
      </c>
      <c r="AH41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2" s="156" t="inlineStr">
        <is>
          <t>Sí</t>
        </is>
      </c>
      <c r="AJ412" s="156" t="inlineStr">
        <is>
          <t>STETSON AMERICAS (-1)</t>
        </is>
      </c>
      <c r="AK412" s="155" t="inlineStr">
        <is>
          <t>Criterios: I [Q]; G1522_Extraccion_Articulos_NetSuite_2026-09-30.xlsx: fila 58984 [R] | Shopify Stetson: producto 15054564458859 / variante 53350553125227</t>
        </is>
      </c>
      <c r="AL412" s="58" t="n">
        <v>1451.18</v>
      </c>
      <c r="AM412" s="58" t="n">
        <v>8362.068966000001</v>
      </c>
      <c r="AN412" s="155" t="inlineStr">
        <is>
          <t>Shopify Stetson México</t>
        </is>
      </c>
      <c r="AO412" s="59" t="n">
        <v>0</v>
      </c>
      <c r="AP412" s="59" t="n"/>
      <c r="AQ412" s="59" t="n"/>
      <c r="AR412" s="155" t="n"/>
    </row>
    <row r="413">
      <c r="A413" s="50" t="inlineStr">
        <is>
          <t>12020004101022285</t>
        </is>
      </c>
      <c r="B413" s="51" t="inlineStr">
        <is>
          <t>111310</t>
        </is>
      </c>
      <c r="C413" s="156" t="inlineStr">
        <is>
          <t>Multimarca</t>
        </is>
      </c>
      <c r="D413" s="156" t="inlineStr">
        <is>
          <t>12-020-BS004-10-1022</t>
        </is>
      </c>
      <c r="E413" s="156" t="inlineStr">
        <is>
          <t>12-020-BS004-10-1022-285</t>
        </is>
      </c>
      <c r="F413" s="156" t="inlineStr">
        <is>
          <t>28.5</t>
        </is>
      </c>
      <c r="G413" s="156" t="inlineStr">
        <is>
          <t>10.5</t>
        </is>
      </c>
      <c r="H413" s="156" t="inlineStr">
        <is>
          <t>Stetson</t>
        </is>
      </c>
      <c r="I413" s="156" t="inlineStr">
        <is>
          <t>Bota Avestruz Vintage</t>
        </is>
      </c>
      <c r="J413" s="156" t="inlineStr">
        <is>
          <t>Calzado</t>
        </is>
      </c>
      <c r="K413" s="156" t="inlineStr">
        <is>
          <t>Botas</t>
        </is>
      </c>
      <c r="L413" s="156" t="inlineStr">
        <is>
          <t>Hombre</t>
        </is>
      </c>
      <c r="M413" s="156" t="inlineStr">
        <is>
          <t>Stetson</t>
        </is>
      </c>
      <c r="N413" s="156" t="inlineStr">
        <is>
          <t>SS26</t>
        </is>
      </c>
      <c r="O413" s="156" t="inlineStr">
        <is>
          <t>Seasonal</t>
        </is>
      </c>
      <c r="P413" s="156" t="inlineStr">
        <is>
          <t>Cafe</t>
        </is>
      </c>
      <c r="Q413" s="156" t="n"/>
      <c r="R413" s="156" t="inlineStr">
        <is>
          <t>Punta Redonda Ancha</t>
        </is>
      </c>
      <c r="S413" s="156" t="inlineStr">
        <is>
          <t>Piel de avestruz</t>
        </is>
      </c>
      <c r="T413" s="156" t="inlineStr">
        <is>
          <t>Bota Caballero Piel de avestruz Vintage Punta Redonda Ancha</t>
        </is>
      </c>
      <c r="U413" s="156" t="inlineStr">
        <is>
          <t>México</t>
        </is>
      </c>
      <c r="V413" s="156" t="inlineStr">
        <is>
          <t>PRS</t>
        </is>
      </c>
      <c r="W413" s="51" t="inlineStr">
        <is>
          <t>53111501</t>
        </is>
      </c>
      <c r="X413" s="156" t="n"/>
      <c r="Y413" s="54" t="n">
        <v>1451.18</v>
      </c>
      <c r="Z413" s="54" t="n">
        <v>8362.068966000001</v>
      </c>
      <c r="AA413" s="55">
        <f>IF(AND(A413="", B413="", E413=""), "", IF(AB413="", "Válido", IF((LEN(AB413)-LEN(SUBSTITUTE(AB413,"; ","")))/2+1&gt;(LEN(AB413)-LEN(SUBSTITUTE(AB413,"[Aviso]","")))/7, "Con Incidencias", "Válido")))</f>
        <v/>
      </c>
      <c r="AB413" s="56">
        <f>IF(AND(A413="", B413="", E413=""), "", TEXTJOIN("; ", TRUE, IF(OR(TRIM(A413&amp;"")="", ISNUMBER(SEARCH("FALTA", A413))), "UPC faltante/inválido", ""), IF(AND(A413&lt;&gt;"", IFERROR(_xlfn.XMATCH(A413,$A$2:$A$2509,0,1)&lt;&gt;_xlfn.XMATCH(A413,$A$2:$A$2509,0,-1),FALSE)), "Código de barras duplicado", ""), IF(AND(E413&lt;&gt;"", COUNTIF($E$2:$E$2509, E413)&gt;1), "SKU duplicado", ""), IF(OR(J413="", J413=""), "[Aviso] División no capturada ()", IF(ISNA(MATCH(J413, Criterios!$A$123:$A$126, 0)), "División no válida", "")), IF(OR(K413="", K413=""), "[Aviso] Categoría no capturada ()", IF(ISNA(MATCH(K413, Criterios!$A$81:$A$120, 0)), "Categoría no válida", IF(AND(J413&lt;&gt;"", J413&lt;&gt;"", J413&lt;&gt;VLOOKUP(K413, Criterios!$A$81:$B$120, 2, FALSE)), "División no coincide con Categoría", ""))), IF(OR(L413="", L413=""), "[Aviso] Género no capturado ()", IF(ISNA(MATCH(L413, Criterios!$B$123:$B$127, 0)), "Género no válido", "")), IF(OR(N413="", N413=""), "[Aviso] Temporada no capturada ()", IF(ISNA(MATCH(N413, Criterios!$C$123:$C$128, 0)), "Temporada no válida", "")), IF(OR(O413="", O413=""), "[Aviso] Ciclo de vida no capturado ()", IF(ISNA(MATCH(O413, Criterios!$D$123:$D$124, 0)), "Ciclo de vida no válido", ""))))</f>
        <v/>
      </c>
      <c r="AC413" s="56" t="n"/>
      <c r="AD413" s="51" t="n">
        <v>-1</v>
      </c>
      <c r="AE413" s="156" t="n"/>
      <c r="AF413" s="51" t="n">
        <v>0</v>
      </c>
      <c r="AG413" s="156" t="inlineStr">
        <is>
          <t>Catálogo existente</t>
        </is>
      </c>
      <c r="AH41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3" s="156" t="inlineStr">
        <is>
          <t>Sí</t>
        </is>
      </c>
      <c r="AJ413" s="156" t="inlineStr">
        <is>
          <t>STETSON AMERICAS (-1)</t>
        </is>
      </c>
      <c r="AK413" s="155" t="inlineStr">
        <is>
          <t>Criterios: I [Q]; G1522_Extraccion_Articulos_NetSuite_2026-09-30.xlsx: fila 58985 [R] | Shopify Stetson: producto 15054564458859 / variante 53350553190763</t>
        </is>
      </c>
      <c r="AL413" s="58" t="n">
        <v>1451.18</v>
      </c>
      <c r="AM413" s="58" t="n">
        <v>8362.068966000001</v>
      </c>
      <c r="AN413" s="155" t="inlineStr">
        <is>
          <t>Shopify Stetson México</t>
        </is>
      </c>
      <c r="AO413" s="59" t="n">
        <v>0</v>
      </c>
      <c r="AP413" s="59" t="n"/>
      <c r="AQ413" s="59" t="n"/>
      <c r="AR413" s="155" t="n"/>
    </row>
    <row r="414">
      <c r="A414" s="50" t="inlineStr">
        <is>
          <t>12020004101022295</t>
        </is>
      </c>
      <c r="B414" s="51" t="inlineStr">
        <is>
          <t>111311</t>
        </is>
      </c>
      <c r="C414" s="156" t="inlineStr">
        <is>
          <t>Multimarca</t>
        </is>
      </c>
      <c r="D414" s="156" t="inlineStr">
        <is>
          <t>12-020-BS004-10-1022</t>
        </is>
      </c>
      <c r="E414" s="156" t="inlineStr">
        <is>
          <t>12-020-BS004-10-1022-295</t>
        </is>
      </c>
      <c r="F414" s="156" t="inlineStr">
        <is>
          <t>29.5</t>
        </is>
      </c>
      <c r="G414" s="156" t="inlineStr">
        <is>
          <t>11.5</t>
        </is>
      </c>
      <c r="H414" s="156" t="inlineStr">
        <is>
          <t>Stetson</t>
        </is>
      </c>
      <c r="I414" s="156" t="inlineStr">
        <is>
          <t>Bota Avestruz Vintage</t>
        </is>
      </c>
      <c r="J414" s="156" t="inlineStr">
        <is>
          <t>Calzado</t>
        </is>
      </c>
      <c r="K414" s="156" t="inlineStr">
        <is>
          <t>Botas</t>
        </is>
      </c>
      <c r="L414" s="156" t="inlineStr">
        <is>
          <t>Hombre</t>
        </is>
      </c>
      <c r="M414" s="156" t="inlineStr">
        <is>
          <t>Stetson</t>
        </is>
      </c>
      <c r="N414" s="156" t="inlineStr">
        <is>
          <t>SS26</t>
        </is>
      </c>
      <c r="O414" s="156" t="inlineStr">
        <is>
          <t>Seasonal</t>
        </is>
      </c>
      <c r="P414" s="156" t="inlineStr">
        <is>
          <t>Cafe</t>
        </is>
      </c>
      <c r="Q414" s="156" t="n"/>
      <c r="R414" s="156" t="inlineStr">
        <is>
          <t>Punta Redonda Ancha</t>
        </is>
      </c>
      <c r="S414" s="156" t="inlineStr">
        <is>
          <t>Piel de avestruz</t>
        </is>
      </c>
      <c r="T414" s="156" t="inlineStr">
        <is>
          <t>Bota Caballero Piel de avestruz Vintage Punta Redonda Ancha</t>
        </is>
      </c>
      <c r="U414" s="156" t="inlineStr">
        <is>
          <t>México</t>
        </is>
      </c>
      <c r="V414" s="156" t="inlineStr">
        <is>
          <t>PRS</t>
        </is>
      </c>
      <c r="W414" s="51" t="inlineStr">
        <is>
          <t>53111501</t>
        </is>
      </c>
      <c r="X414" s="156" t="n"/>
      <c r="Y414" s="54" t="n">
        <v>1451.18</v>
      </c>
      <c r="Z414" s="54" t="n">
        <v>8362.068966000001</v>
      </c>
      <c r="AA414" s="55">
        <f>IF(AND(A414="", B414="", E414=""), "", IF(AB414="", "Válido", IF((LEN(AB414)-LEN(SUBSTITUTE(AB414,"; ","")))/2+1&gt;(LEN(AB414)-LEN(SUBSTITUTE(AB414,"[Aviso]","")))/7, "Con Incidencias", "Válido")))</f>
        <v/>
      </c>
      <c r="AB414" s="56">
        <f>IF(AND(A414="", B414="", E414=""), "", TEXTJOIN("; ", TRUE, IF(OR(TRIM(A414&amp;"")="", ISNUMBER(SEARCH("FALTA", A414))), "UPC faltante/inválido", ""), IF(AND(A414&lt;&gt;"", IFERROR(_xlfn.XMATCH(A414,$A$2:$A$2509,0,1)&lt;&gt;_xlfn.XMATCH(A414,$A$2:$A$2509,0,-1),FALSE)), "Código de barras duplicado", ""), IF(AND(E414&lt;&gt;"", COUNTIF($E$2:$E$2509, E414)&gt;1), "SKU duplicado", ""), IF(OR(J414="", J414=""), "[Aviso] División no capturada ()", IF(ISNA(MATCH(J414, Criterios!$A$123:$A$126, 0)), "División no válida", "")), IF(OR(K414="", K414=""), "[Aviso] Categoría no capturada ()", IF(ISNA(MATCH(K414, Criterios!$A$81:$A$120, 0)), "Categoría no válida", IF(AND(J414&lt;&gt;"", J414&lt;&gt;"", J414&lt;&gt;VLOOKUP(K414, Criterios!$A$81:$B$120, 2, FALSE)), "División no coincide con Categoría", ""))), IF(OR(L414="", L414=""), "[Aviso] Género no capturado ()", IF(ISNA(MATCH(L414, Criterios!$B$123:$B$127, 0)), "Género no válido", "")), IF(OR(N414="", N414=""), "[Aviso] Temporada no capturada ()", IF(ISNA(MATCH(N414, Criterios!$C$123:$C$128, 0)), "Temporada no válida", "")), IF(OR(O414="", O414=""), "[Aviso] Ciclo de vida no capturado ()", IF(ISNA(MATCH(O414, Criterios!$D$123:$D$124, 0)), "Ciclo de vida no válido", ""))))</f>
        <v/>
      </c>
      <c r="AC414" s="56" t="n"/>
      <c r="AD414" s="51" t="n">
        <v>0</v>
      </c>
      <c r="AE414" s="156" t="n"/>
      <c r="AF414" s="51" t="n">
        <v>0</v>
      </c>
      <c r="AG414" s="156" t="inlineStr">
        <is>
          <t>Catálogo existente</t>
        </is>
      </c>
      <c r="AH4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4" s="156" t="inlineStr">
        <is>
          <t>No</t>
        </is>
      </c>
      <c r="AJ414" s="156" t="n"/>
      <c r="AK414" s="155" t="inlineStr">
        <is>
          <t>Criterios: I [Q]; G1522_Extraccion_Articulos_NetSuite_2026-09-30.xlsx: fila 58986 [R] | Shopify Stetson: producto 15054564458859 / variante 53350553256299</t>
        </is>
      </c>
      <c r="AL414" s="58" t="n">
        <v>1451.18</v>
      </c>
      <c r="AM414" s="58" t="n">
        <v>8362.068966000001</v>
      </c>
      <c r="AN414" s="155" t="inlineStr">
        <is>
          <t>Shopify Stetson México</t>
        </is>
      </c>
      <c r="AO414" s="59" t="n">
        <v>1</v>
      </c>
      <c r="AP414" s="59" t="n"/>
      <c r="AQ414" s="59" t="n"/>
      <c r="AR414" s="155" t="inlineStr">
        <is>
          <t>Shopify Stetson México › Stetson Americas: 1</t>
        </is>
      </c>
    </row>
    <row r="415">
      <c r="A415" s="50" t="inlineStr">
        <is>
          <t>12020004101022305</t>
        </is>
      </c>
      <c r="B415" s="51" t="inlineStr">
        <is>
          <t>111312</t>
        </is>
      </c>
      <c r="C415" s="156" t="inlineStr">
        <is>
          <t>Multimarca</t>
        </is>
      </c>
      <c r="D415" s="156" t="inlineStr">
        <is>
          <t>12-020-BS004-10-1022</t>
        </is>
      </c>
      <c r="E415" s="156" t="inlineStr">
        <is>
          <t>12-020-BS004-10-1022-305</t>
        </is>
      </c>
      <c r="F415" s="156" t="inlineStr">
        <is>
          <t>30.5</t>
        </is>
      </c>
      <c r="G415" s="156" t="inlineStr">
        <is>
          <t>12.5</t>
        </is>
      </c>
      <c r="H415" s="156" t="inlineStr">
        <is>
          <t>Stetson</t>
        </is>
      </c>
      <c r="I415" s="156" t="inlineStr">
        <is>
          <t>Bota Avestruz Vintage</t>
        </is>
      </c>
      <c r="J415" s="156" t="inlineStr">
        <is>
          <t>Calzado</t>
        </is>
      </c>
      <c r="K415" s="156" t="inlineStr">
        <is>
          <t>Botas</t>
        </is>
      </c>
      <c r="L415" s="156" t="inlineStr">
        <is>
          <t>Hombre</t>
        </is>
      </c>
      <c r="M415" s="156" t="inlineStr">
        <is>
          <t>Stetson</t>
        </is>
      </c>
      <c r="N415" s="156" t="inlineStr">
        <is>
          <t>SS26</t>
        </is>
      </c>
      <c r="O415" s="156" t="inlineStr">
        <is>
          <t>Seasonal</t>
        </is>
      </c>
      <c r="P415" s="156" t="inlineStr">
        <is>
          <t>Cafe</t>
        </is>
      </c>
      <c r="Q415" s="156" t="n"/>
      <c r="R415" s="156" t="inlineStr">
        <is>
          <t>Punta Redonda Ancha</t>
        </is>
      </c>
      <c r="S415" s="156" t="inlineStr">
        <is>
          <t>Piel de avestruz</t>
        </is>
      </c>
      <c r="T415" s="156" t="inlineStr">
        <is>
          <t>Bota Caballero Piel de avestruz Vintage Punta Redonda Ancha</t>
        </is>
      </c>
      <c r="U415" s="156" t="inlineStr">
        <is>
          <t>México</t>
        </is>
      </c>
      <c r="V415" s="156" t="inlineStr">
        <is>
          <t>PRS</t>
        </is>
      </c>
      <c r="W415" s="51" t="inlineStr">
        <is>
          <t>53111501</t>
        </is>
      </c>
      <c r="X415" s="156" t="n"/>
      <c r="Y415" s="54" t="n">
        <v>1451.18</v>
      </c>
      <c r="Z415" s="54" t="n">
        <v>8362.068966000001</v>
      </c>
      <c r="AA415" s="55">
        <f>IF(AND(A415="", B415="", E415=""), "", IF(AB415="", "Válido", IF((LEN(AB415)-LEN(SUBSTITUTE(AB415,"; ","")))/2+1&gt;(LEN(AB415)-LEN(SUBSTITUTE(AB415,"[Aviso]","")))/7, "Con Incidencias", "Válido")))</f>
        <v/>
      </c>
      <c r="AB415" s="56">
        <f>IF(AND(A415="", B415="", E415=""), "", TEXTJOIN("; ", TRUE, IF(OR(TRIM(A415&amp;"")="", ISNUMBER(SEARCH("FALTA", A415))), "UPC faltante/inválido", ""), IF(AND(A415&lt;&gt;"", IFERROR(_xlfn.XMATCH(A415,$A$2:$A$2509,0,1)&lt;&gt;_xlfn.XMATCH(A415,$A$2:$A$2509,0,-1),FALSE)), "Código de barras duplicado", ""), IF(AND(E415&lt;&gt;"", COUNTIF($E$2:$E$2509, E415)&gt;1), "SKU duplicado", ""), IF(OR(J415="", J415=""), "[Aviso] División no capturada ()", IF(ISNA(MATCH(J415, Criterios!$A$123:$A$126, 0)), "División no válida", "")), IF(OR(K415="", K415=""), "[Aviso] Categoría no capturada ()", IF(ISNA(MATCH(K415, Criterios!$A$81:$A$120, 0)), "Categoría no válida", IF(AND(J415&lt;&gt;"", J415&lt;&gt;"", J415&lt;&gt;VLOOKUP(K415, Criterios!$A$81:$B$120, 2, FALSE)), "División no coincide con Categoría", ""))), IF(OR(L415="", L415=""), "[Aviso] Género no capturado ()", IF(ISNA(MATCH(L415, Criterios!$B$123:$B$127, 0)), "Género no válido", "")), IF(OR(N415="", N415=""), "[Aviso] Temporada no capturada ()", IF(ISNA(MATCH(N415, Criterios!$C$123:$C$128, 0)), "Temporada no válida", "")), IF(OR(O415="", O415=""), "[Aviso] Ciclo de vida no capturado ()", IF(ISNA(MATCH(O415, Criterios!$D$123:$D$124, 0)), "Ciclo de vida no válido", ""))))</f>
        <v/>
      </c>
      <c r="AC415" s="56" t="n"/>
      <c r="AD415" s="51" t="n">
        <v>0</v>
      </c>
      <c r="AE415" s="156" t="n"/>
      <c r="AF415" s="51" t="n">
        <v>0</v>
      </c>
      <c r="AG415" s="156" t="inlineStr">
        <is>
          <t>Catálogo existente</t>
        </is>
      </c>
      <c r="AH4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5" s="156" t="inlineStr">
        <is>
          <t>No</t>
        </is>
      </c>
      <c r="AJ415" s="156" t="n"/>
      <c r="AK415" s="155" t="inlineStr">
        <is>
          <t>Criterios: I [Q]; G1522_Extraccion_Articulos_NetSuite_2026-09-30.xlsx: fila 58987 [R] | Shopify Stetson: producto 15054564458859 / variante 53350553321835</t>
        </is>
      </c>
      <c r="AL415" s="58" t="n">
        <v>1451.18</v>
      </c>
      <c r="AM415" s="58" t="n">
        <v>8362.068966000001</v>
      </c>
      <c r="AN415" s="155" t="inlineStr">
        <is>
          <t>Shopify Stetson México</t>
        </is>
      </c>
      <c r="AO415" s="59" t="n">
        <v>0</v>
      </c>
      <c r="AP415" s="59" t="n"/>
      <c r="AQ415" s="59" t="n"/>
      <c r="AR415" s="155" t="n"/>
    </row>
    <row r="416">
      <c r="A416" s="50" t="inlineStr">
        <is>
          <t>12020004101022315</t>
        </is>
      </c>
      <c r="B416" s="51" t="inlineStr">
        <is>
          <t>111313</t>
        </is>
      </c>
      <c r="C416" s="156" t="inlineStr">
        <is>
          <t>Multimarca</t>
        </is>
      </c>
      <c r="D416" s="156" t="inlineStr">
        <is>
          <t>12-020-BS004-10-1022</t>
        </is>
      </c>
      <c r="E416" s="156" t="inlineStr">
        <is>
          <t>12-020-BS004-10-1022-315</t>
        </is>
      </c>
      <c r="F416" s="156" t="inlineStr">
        <is>
          <t>31.5</t>
        </is>
      </c>
      <c r="G416" s="156" t="inlineStr">
        <is>
          <t>13.5</t>
        </is>
      </c>
      <c r="H416" s="156" t="inlineStr">
        <is>
          <t>Stetson</t>
        </is>
      </c>
      <c r="I416" s="156" t="inlineStr">
        <is>
          <t>Bota Avestruz Vintage</t>
        </is>
      </c>
      <c r="J416" s="156" t="inlineStr">
        <is>
          <t>Calzado</t>
        </is>
      </c>
      <c r="K416" s="156" t="inlineStr">
        <is>
          <t>Botas</t>
        </is>
      </c>
      <c r="L416" s="156" t="inlineStr">
        <is>
          <t>Hombre</t>
        </is>
      </c>
      <c r="M416" s="156" t="inlineStr">
        <is>
          <t>Stetson</t>
        </is>
      </c>
      <c r="N416" s="156" t="inlineStr">
        <is>
          <t>SS26</t>
        </is>
      </c>
      <c r="O416" s="156" t="inlineStr">
        <is>
          <t>Seasonal</t>
        </is>
      </c>
      <c r="P416" s="156" t="inlineStr">
        <is>
          <t>Cafe</t>
        </is>
      </c>
      <c r="Q416" s="156" t="n"/>
      <c r="R416" s="156" t="inlineStr">
        <is>
          <t>Punta Redonda Ancha</t>
        </is>
      </c>
      <c r="S416" s="156" t="inlineStr">
        <is>
          <t>Piel de avestruz</t>
        </is>
      </c>
      <c r="T416" s="156" t="inlineStr">
        <is>
          <t>Bota Caballero Piel de avestruz Vintage Punta Redonda Ancha</t>
        </is>
      </c>
      <c r="U416" s="156" t="inlineStr">
        <is>
          <t>México</t>
        </is>
      </c>
      <c r="V416" s="156" t="inlineStr">
        <is>
          <t>PRS</t>
        </is>
      </c>
      <c r="W416" s="51" t="inlineStr">
        <is>
          <t>53111501</t>
        </is>
      </c>
      <c r="X416" s="156" t="n"/>
      <c r="Y416" s="54" t="n">
        <v>1451.18</v>
      </c>
      <c r="Z416" s="54" t="n">
        <v>8362.068966000001</v>
      </c>
      <c r="AA416" s="55">
        <f>IF(AND(A416="", B416="", E416=""), "", IF(AB416="", "Válido", IF((LEN(AB416)-LEN(SUBSTITUTE(AB416,"; ","")))/2+1&gt;(LEN(AB416)-LEN(SUBSTITUTE(AB416,"[Aviso]","")))/7, "Con Incidencias", "Válido")))</f>
        <v/>
      </c>
      <c r="AB416" s="56">
        <f>IF(AND(A416="", B416="", E416=""), "", TEXTJOIN("; ", TRUE, IF(OR(TRIM(A416&amp;"")="", ISNUMBER(SEARCH("FALTA", A416))), "UPC faltante/inválido", ""), IF(AND(A416&lt;&gt;"", IFERROR(_xlfn.XMATCH(A416,$A$2:$A$2509,0,1)&lt;&gt;_xlfn.XMATCH(A416,$A$2:$A$2509,0,-1),FALSE)), "Código de barras duplicado", ""), IF(AND(E416&lt;&gt;"", COUNTIF($E$2:$E$2509, E416)&gt;1), "SKU duplicado", ""), IF(OR(J416="", J416=""), "[Aviso] División no capturada ()", IF(ISNA(MATCH(J416, Criterios!$A$123:$A$126, 0)), "División no válida", "")), IF(OR(K416="", K416=""), "[Aviso] Categoría no capturada ()", IF(ISNA(MATCH(K416, Criterios!$A$81:$A$120, 0)), "Categoría no válida", IF(AND(J416&lt;&gt;"", J416&lt;&gt;"", J416&lt;&gt;VLOOKUP(K416, Criterios!$A$81:$B$120, 2, FALSE)), "División no coincide con Categoría", ""))), IF(OR(L416="", L416=""), "[Aviso] Género no capturado ()", IF(ISNA(MATCH(L416, Criterios!$B$123:$B$127, 0)), "Género no válido", "")), IF(OR(N416="", N416=""), "[Aviso] Temporada no capturada ()", IF(ISNA(MATCH(N416, Criterios!$C$123:$C$128, 0)), "Temporada no válida", "")), IF(OR(O416="", O416=""), "[Aviso] Ciclo de vida no capturado ()", IF(ISNA(MATCH(O416, Criterios!$D$123:$D$124, 0)), "Ciclo de vida no válido", ""))))</f>
        <v/>
      </c>
      <c r="AC416" s="56" t="n"/>
      <c r="AD416" s="51" t="n">
        <v>0</v>
      </c>
      <c r="AE416" s="156" t="n"/>
      <c r="AF416" s="51" t="n">
        <v>0</v>
      </c>
      <c r="AG416" s="156" t="inlineStr">
        <is>
          <t>Catálogo existente</t>
        </is>
      </c>
      <c r="AH4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6" s="156" t="inlineStr">
        <is>
          <t>No</t>
        </is>
      </c>
      <c r="AJ416" s="156" t="n"/>
      <c r="AK416" s="155" t="inlineStr">
        <is>
          <t>Criterios: I [Q]; G1522_Extraccion_Articulos_NetSuite_2026-09-30.xlsx: fila 58988 [R] | Shopify Stetson: producto 15054564458859 / variante 53350553387371</t>
        </is>
      </c>
      <c r="AL416" s="58" t="n">
        <v>1451.18</v>
      </c>
      <c r="AM416" s="58" t="n">
        <v>8362.068966000001</v>
      </c>
      <c r="AN416" s="155" t="inlineStr">
        <is>
          <t>Shopify Stetson México</t>
        </is>
      </c>
      <c r="AO416" s="59" t="n">
        <v>0</v>
      </c>
      <c r="AP416" s="59" t="n"/>
      <c r="AQ416" s="59" t="n"/>
      <c r="AR416" s="155" t="n"/>
    </row>
    <row r="417">
      <c r="A417" s="50" t="inlineStr">
        <is>
          <t>12020004101022325</t>
        </is>
      </c>
      <c r="B417" s="51" t="inlineStr">
        <is>
          <t>111314</t>
        </is>
      </c>
      <c r="C417" s="156" t="inlineStr">
        <is>
          <t>Multimarca</t>
        </is>
      </c>
      <c r="D417" s="156" t="inlineStr">
        <is>
          <t>12-020-BS004-10-1022</t>
        </is>
      </c>
      <c r="E417" s="156" t="inlineStr">
        <is>
          <t>12-020-BS004-10-1022-325</t>
        </is>
      </c>
      <c r="F417" s="156" t="inlineStr">
        <is>
          <t>32.5</t>
        </is>
      </c>
      <c r="G417" s="156" t="inlineStr">
        <is>
          <t>14.5</t>
        </is>
      </c>
      <c r="H417" s="156" t="inlineStr">
        <is>
          <t>Stetson</t>
        </is>
      </c>
      <c r="I417" s="156" t="inlineStr">
        <is>
          <t>Bota Avestruz Vintage</t>
        </is>
      </c>
      <c r="J417" s="156" t="inlineStr">
        <is>
          <t>Calzado</t>
        </is>
      </c>
      <c r="K417" s="156" t="inlineStr">
        <is>
          <t>Botas</t>
        </is>
      </c>
      <c r="L417" s="156" t="inlineStr">
        <is>
          <t>Hombre</t>
        </is>
      </c>
      <c r="M417" s="156" t="inlineStr">
        <is>
          <t>Stetson</t>
        </is>
      </c>
      <c r="N417" s="156" t="inlineStr">
        <is>
          <t>SS26</t>
        </is>
      </c>
      <c r="O417" s="156" t="inlineStr">
        <is>
          <t>Seasonal</t>
        </is>
      </c>
      <c r="P417" s="156" t="inlineStr">
        <is>
          <t>Cafe</t>
        </is>
      </c>
      <c r="Q417" s="156" t="n"/>
      <c r="R417" s="156" t="inlineStr">
        <is>
          <t>Punta Redonda Ancha</t>
        </is>
      </c>
      <c r="S417" s="156" t="inlineStr">
        <is>
          <t>Piel de avestruz</t>
        </is>
      </c>
      <c r="T417" s="156" t="inlineStr">
        <is>
          <t>Bota Caballero Piel de avestruz Vintage Punta Redonda Ancha</t>
        </is>
      </c>
      <c r="U417" s="156" t="inlineStr">
        <is>
          <t>México</t>
        </is>
      </c>
      <c r="V417" s="156" t="inlineStr">
        <is>
          <t>PRS</t>
        </is>
      </c>
      <c r="W417" s="51" t="inlineStr">
        <is>
          <t>53111501</t>
        </is>
      </c>
      <c r="X417" s="156" t="n"/>
      <c r="Y417" s="54" t="n">
        <v>1451.18</v>
      </c>
      <c r="Z417" s="54" t="n">
        <v>8362.068966000001</v>
      </c>
      <c r="AA417" s="55">
        <f>IF(AND(A417="", B417="", E417=""), "", IF(AB417="", "Válido", IF((LEN(AB417)-LEN(SUBSTITUTE(AB417,"; ","")))/2+1&gt;(LEN(AB417)-LEN(SUBSTITUTE(AB417,"[Aviso]","")))/7, "Con Incidencias", "Válido")))</f>
        <v/>
      </c>
      <c r="AB417" s="56">
        <f>IF(AND(A417="", B417="", E417=""), "", TEXTJOIN("; ", TRUE, IF(OR(TRIM(A417&amp;"")="", ISNUMBER(SEARCH("FALTA", A417))), "UPC faltante/inválido", ""), IF(AND(A417&lt;&gt;"", IFERROR(_xlfn.XMATCH(A417,$A$2:$A$2509,0,1)&lt;&gt;_xlfn.XMATCH(A417,$A$2:$A$2509,0,-1),FALSE)), "Código de barras duplicado", ""), IF(AND(E417&lt;&gt;"", COUNTIF($E$2:$E$2509, E417)&gt;1), "SKU duplicado", ""), IF(OR(J417="", J417=""), "[Aviso] División no capturada ()", IF(ISNA(MATCH(J417, Criterios!$A$123:$A$126, 0)), "División no válida", "")), IF(OR(K417="", K417=""), "[Aviso] Categoría no capturada ()", IF(ISNA(MATCH(K417, Criterios!$A$81:$A$120, 0)), "Categoría no válida", IF(AND(J417&lt;&gt;"", J417&lt;&gt;"", J417&lt;&gt;VLOOKUP(K417, Criterios!$A$81:$B$120, 2, FALSE)), "División no coincide con Categoría", ""))), IF(OR(L417="", L417=""), "[Aviso] Género no capturado ()", IF(ISNA(MATCH(L417, Criterios!$B$123:$B$127, 0)), "Género no válido", "")), IF(OR(N417="", N417=""), "[Aviso] Temporada no capturada ()", IF(ISNA(MATCH(N417, Criterios!$C$123:$C$128, 0)), "Temporada no válida", "")), IF(OR(O417="", O417=""), "[Aviso] Ciclo de vida no capturado ()", IF(ISNA(MATCH(O417, Criterios!$D$123:$D$124, 0)), "Ciclo de vida no válido", ""))))</f>
        <v/>
      </c>
      <c r="AC417" s="56" t="n"/>
      <c r="AD417" s="51" t="n">
        <v>0</v>
      </c>
      <c r="AE417" s="156" t="n"/>
      <c r="AF417" s="51" t="n">
        <v>0</v>
      </c>
      <c r="AG417" s="156" t="inlineStr">
        <is>
          <t>Catálogo existente</t>
        </is>
      </c>
      <c r="AH4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7" s="156" t="inlineStr">
        <is>
          <t>No</t>
        </is>
      </c>
      <c r="AJ417" s="156" t="n"/>
      <c r="AK417" s="155" t="inlineStr">
        <is>
          <t>Criterios: I [Q]; G1522_Extraccion_Articulos_NetSuite_2026-09-30.xlsx: fila 58989 [R] | Shopify Stetson: producto 15054564458859 / variante 53350553452907</t>
        </is>
      </c>
      <c r="AL417" s="58" t="n">
        <v>1451.18</v>
      </c>
      <c r="AM417" s="58" t="n">
        <v>8362.068966000001</v>
      </c>
      <c r="AN417" s="155" t="inlineStr">
        <is>
          <t>Shopify Stetson México</t>
        </is>
      </c>
      <c r="AO417" s="59" t="n">
        <v>0</v>
      </c>
      <c r="AP417" s="59" t="n"/>
      <c r="AQ417" s="59" t="n"/>
      <c r="AR417" s="155" t="n"/>
    </row>
    <row r="418">
      <c r="A418" s="50" t="inlineStr">
        <is>
          <t>12020004101025025</t>
        </is>
      </c>
      <c r="B418" s="51" t="inlineStr">
        <is>
          <t>111315</t>
        </is>
      </c>
      <c r="C418" s="156" t="inlineStr">
        <is>
          <t>Multimarca</t>
        </is>
      </c>
      <c r="D418" s="156" t="inlineStr">
        <is>
          <t>12-020-BS004-10-1025</t>
        </is>
      </c>
      <c r="E418" s="156" t="inlineStr">
        <is>
          <t>12-020-BS004-10-1025-025</t>
        </is>
      </c>
      <c r="F418" s="156" t="inlineStr">
        <is>
          <t>25</t>
        </is>
      </c>
      <c r="G418" s="156" t="inlineStr">
        <is>
          <t>7</t>
        </is>
      </c>
      <c r="H418" s="156" t="inlineStr">
        <is>
          <t>Stetson</t>
        </is>
      </c>
      <c r="I418" s="156" t="inlineStr">
        <is>
          <t>Bota Pitón Crema</t>
        </is>
      </c>
      <c r="J418" s="156" t="inlineStr">
        <is>
          <t>Calzado</t>
        </is>
      </c>
      <c r="K418" s="156" t="inlineStr">
        <is>
          <t>Botas</t>
        </is>
      </c>
      <c r="L418" s="156" t="inlineStr">
        <is>
          <t>Hombre</t>
        </is>
      </c>
      <c r="M418" s="156" t="inlineStr">
        <is>
          <t>Stetson</t>
        </is>
      </c>
      <c r="N418" s="156" t="inlineStr">
        <is>
          <t>SS26</t>
        </is>
      </c>
      <c r="O418" s="156" t="inlineStr">
        <is>
          <t>Seasonal</t>
        </is>
      </c>
      <c r="P418" s="156" t="inlineStr">
        <is>
          <t>Beige</t>
        </is>
      </c>
      <c r="Q418" s="156" t="n"/>
      <c r="R418" s="156" t="inlineStr">
        <is>
          <t>Punta Redonda Ancha</t>
        </is>
      </c>
      <c r="S418" s="156" t="inlineStr">
        <is>
          <t>Piel de pitón</t>
        </is>
      </c>
      <c r="T418" s="156" t="inlineStr">
        <is>
          <t>Bota Caballero Piel de pitón Crema Punta Redonda Ancha</t>
        </is>
      </c>
      <c r="U418" s="156" t="inlineStr">
        <is>
          <t>México</t>
        </is>
      </c>
      <c r="V418" s="156" t="inlineStr">
        <is>
          <t>PRS</t>
        </is>
      </c>
      <c r="W418" s="51" t="inlineStr">
        <is>
          <t>53111501</t>
        </is>
      </c>
      <c r="X418" s="156" t="n"/>
      <c r="Y418" s="54" t="n">
        <v>1271.18</v>
      </c>
      <c r="Z418" s="54" t="n">
        <v>7327.586207</v>
      </c>
      <c r="AA418" s="55">
        <f>IF(AND(A418="", B418="", E418=""), "", IF(AB418="", "Válido", IF((LEN(AB418)-LEN(SUBSTITUTE(AB418,"; ","")))/2+1&gt;(LEN(AB418)-LEN(SUBSTITUTE(AB418,"[Aviso]","")))/7, "Con Incidencias", "Válido")))</f>
        <v/>
      </c>
      <c r="AB418" s="56">
        <f>IF(AND(A418="", B418="", E418=""), "", TEXTJOIN("; ", TRUE, IF(OR(TRIM(A418&amp;"")="", ISNUMBER(SEARCH("FALTA", A418))), "UPC faltante/inválido", ""), IF(AND(A418&lt;&gt;"", IFERROR(_xlfn.XMATCH(A418,$A$2:$A$2509,0,1)&lt;&gt;_xlfn.XMATCH(A418,$A$2:$A$2509,0,-1),FALSE)), "Código de barras duplicado", ""), IF(AND(E418&lt;&gt;"", COUNTIF($E$2:$E$2509, E418)&gt;1), "SKU duplicado", ""), IF(OR(J418="", J418=""), "[Aviso] División no capturada ()", IF(ISNA(MATCH(J418, Criterios!$A$123:$A$126, 0)), "División no válida", "")), IF(OR(K418="", K418=""), "[Aviso] Categoría no capturada ()", IF(ISNA(MATCH(K418, Criterios!$A$81:$A$120, 0)), "Categoría no válida", IF(AND(J418&lt;&gt;"", J418&lt;&gt;"", J418&lt;&gt;VLOOKUP(K418, Criterios!$A$81:$B$120, 2, FALSE)), "División no coincide con Categoría", ""))), IF(OR(L418="", L418=""), "[Aviso] Género no capturado ()", IF(ISNA(MATCH(L418, Criterios!$B$123:$B$127, 0)), "Género no válido", "")), IF(OR(N418="", N418=""), "[Aviso] Temporada no capturada ()", IF(ISNA(MATCH(N418, Criterios!$C$123:$C$128, 0)), "Temporada no válida", "")), IF(OR(O418="", O418=""), "[Aviso] Ciclo de vida no capturado ()", IF(ISNA(MATCH(O418, Criterios!$D$123:$D$124, 0)), "Ciclo de vida no válido", ""))))</f>
        <v/>
      </c>
      <c r="AC418" s="56" t="n"/>
      <c r="AD418" s="51" t="n">
        <v>0</v>
      </c>
      <c r="AE418" s="156" t="n"/>
      <c r="AF418" s="51" t="n">
        <v>0</v>
      </c>
      <c r="AG418" s="156" t="inlineStr">
        <is>
          <t>Catálogo existente</t>
        </is>
      </c>
      <c r="AH4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8" s="156" t="inlineStr">
        <is>
          <t>No</t>
        </is>
      </c>
      <c r="AJ418" s="156" t="n"/>
      <c r="AK418" s="155" t="inlineStr">
        <is>
          <t>Criterios: I [Q]; G1522_Extraccion_Articulos_NetSuite_2026-09-30.xlsx: fila 58990 [R] | Shopify Stetson: producto 15054564557163 / variante 53350554534251</t>
        </is>
      </c>
      <c r="AL418" s="58" t="n">
        <v>1271.18</v>
      </c>
      <c r="AM418" s="58" t="n">
        <v>7327.586207</v>
      </c>
      <c r="AN418" s="155" t="inlineStr">
        <is>
          <t>Shopify Stetson México</t>
        </is>
      </c>
      <c r="AO418" s="59" t="n">
        <v>0</v>
      </c>
      <c r="AP418" s="59" t="n"/>
      <c r="AQ418" s="59" t="n"/>
      <c r="AR418" s="155" t="n"/>
    </row>
    <row r="419">
      <c r="A419" s="50" t="inlineStr">
        <is>
          <t>12020004101025026</t>
        </is>
      </c>
      <c r="B419" s="51" t="inlineStr">
        <is>
          <t>111316</t>
        </is>
      </c>
      <c r="C419" s="156" t="inlineStr">
        <is>
          <t>Multimarca</t>
        </is>
      </c>
      <c r="D419" s="156" t="inlineStr">
        <is>
          <t>12-020-BS004-10-1025</t>
        </is>
      </c>
      <c r="E419" s="156" t="inlineStr">
        <is>
          <t>12-020-BS004-10-1025-026</t>
        </is>
      </c>
      <c r="F419" s="156" t="inlineStr">
        <is>
          <t>26</t>
        </is>
      </c>
      <c r="G419" s="156" t="inlineStr">
        <is>
          <t>8</t>
        </is>
      </c>
      <c r="H419" s="156" t="inlineStr">
        <is>
          <t>Stetson</t>
        </is>
      </c>
      <c r="I419" s="156" t="inlineStr">
        <is>
          <t>Bota Pitón Crema</t>
        </is>
      </c>
      <c r="J419" s="156" t="inlineStr">
        <is>
          <t>Calzado</t>
        </is>
      </c>
      <c r="K419" s="156" t="inlineStr">
        <is>
          <t>Botas</t>
        </is>
      </c>
      <c r="L419" s="156" t="inlineStr">
        <is>
          <t>Hombre</t>
        </is>
      </c>
      <c r="M419" s="156" t="inlineStr">
        <is>
          <t>Stetson</t>
        </is>
      </c>
      <c r="N419" s="156" t="inlineStr">
        <is>
          <t>SS26</t>
        </is>
      </c>
      <c r="O419" s="156" t="inlineStr">
        <is>
          <t>Seasonal</t>
        </is>
      </c>
      <c r="P419" s="156" t="inlineStr">
        <is>
          <t>Beige</t>
        </is>
      </c>
      <c r="Q419" s="156" t="n"/>
      <c r="R419" s="156" t="inlineStr">
        <is>
          <t>Punta Redonda Ancha</t>
        </is>
      </c>
      <c r="S419" s="156" t="inlineStr">
        <is>
          <t>Piel de pitón</t>
        </is>
      </c>
      <c r="T419" s="156" t="inlineStr">
        <is>
          <t>Bota Caballero Piel de pitón Crema Punta Redonda Ancha</t>
        </is>
      </c>
      <c r="U419" s="156" t="inlineStr">
        <is>
          <t>México</t>
        </is>
      </c>
      <c r="V419" s="156" t="inlineStr">
        <is>
          <t>PRS</t>
        </is>
      </c>
      <c r="W419" s="51" t="inlineStr">
        <is>
          <t>53111501</t>
        </is>
      </c>
      <c r="X419" s="156" t="n"/>
      <c r="Y419" s="54" t="n">
        <v>1271.18</v>
      </c>
      <c r="Z419" s="54" t="n">
        <v>7327.586207</v>
      </c>
      <c r="AA419" s="55">
        <f>IF(AND(A419="", B419="", E419=""), "", IF(AB419="", "Válido", IF((LEN(AB419)-LEN(SUBSTITUTE(AB419,"; ","")))/2+1&gt;(LEN(AB419)-LEN(SUBSTITUTE(AB419,"[Aviso]","")))/7, "Con Incidencias", "Válido")))</f>
        <v/>
      </c>
      <c r="AB419" s="56">
        <f>IF(AND(A419="", B419="", E419=""), "", TEXTJOIN("; ", TRUE, IF(OR(TRIM(A419&amp;"")="", ISNUMBER(SEARCH("FALTA", A419))), "UPC faltante/inválido", ""), IF(AND(A419&lt;&gt;"", IFERROR(_xlfn.XMATCH(A419,$A$2:$A$2509,0,1)&lt;&gt;_xlfn.XMATCH(A419,$A$2:$A$2509,0,-1),FALSE)), "Código de barras duplicado", ""), IF(AND(E419&lt;&gt;"", COUNTIF($E$2:$E$2509, E419)&gt;1), "SKU duplicado", ""), IF(OR(J419="", J419=""), "[Aviso] División no capturada ()", IF(ISNA(MATCH(J419, Criterios!$A$123:$A$126, 0)), "División no válida", "")), IF(OR(K419="", K419=""), "[Aviso] Categoría no capturada ()", IF(ISNA(MATCH(K419, Criterios!$A$81:$A$120, 0)), "Categoría no válida", IF(AND(J419&lt;&gt;"", J419&lt;&gt;"", J419&lt;&gt;VLOOKUP(K419, Criterios!$A$81:$B$120, 2, FALSE)), "División no coincide con Categoría", ""))), IF(OR(L419="", L419=""), "[Aviso] Género no capturado ()", IF(ISNA(MATCH(L419, Criterios!$B$123:$B$127, 0)), "Género no válido", "")), IF(OR(N419="", N419=""), "[Aviso] Temporada no capturada ()", IF(ISNA(MATCH(N419, Criterios!$C$123:$C$128, 0)), "Temporada no válida", "")), IF(OR(O419="", O419=""), "[Aviso] Ciclo de vida no capturado ()", IF(ISNA(MATCH(O419, Criterios!$D$123:$D$124, 0)), "Ciclo de vida no válido", ""))))</f>
        <v/>
      </c>
      <c r="AC419" s="56" t="n"/>
      <c r="AD419" s="51" t="n">
        <v>0</v>
      </c>
      <c r="AE419" s="156" t="n"/>
      <c r="AF419" s="51" t="n">
        <v>0</v>
      </c>
      <c r="AG419" s="156" t="inlineStr">
        <is>
          <t>Catálogo existente</t>
        </is>
      </c>
      <c r="AH4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9" s="156" t="inlineStr">
        <is>
          <t>No</t>
        </is>
      </c>
      <c r="AJ419" s="156" t="n"/>
      <c r="AK419" s="155" t="inlineStr">
        <is>
          <t>Criterios: I [Q]; G1522_Extraccion_Articulos_NetSuite_2026-09-30.xlsx: fila 58991 [R] | Shopify Stetson: producto 15054564557163 / variante 53350554599787</t>
        </is>
      </c>
      <c r="AL419" s="58" t="n">
        <v>1271.18</v>
      </c>
      <c r="AM419" s="58" t="n">
        <v>7327.586207</v>
      </c>
      <c r="AN419" s="155" t="inlineStr">
        <is>
          <t>Shopify Stetson México</t>
        </is>
      </c>
      <c r="AO419" s="59" t="n">
        <v>0</v>
      </c>
      <c r="AP419" s="59" t="n"/>
      <c r="AQ419" s="59" t="n"/>
      <c r="AR419" s="155" t="n"/>
    </row>
    <row r="420">
      <c r="A420" s="50" t="inlineStr">
        <is>
          <t>12020004101025027</t>
        </is>
      </c>
      <c r="B420" s="51" t="inlineStr">
        <is>
          <t>111317</t>
        </is>
      </c>
      <c r="C420" s="156" t="inlineStr">
        <is>
          <t>Multimarca</t>
        </is>
      </c>
      <c r="D420" s="156" t="inlineStr">
        <is>
          <t>12-020-BS004-10-1025</t>
        </is>
      </c>
      <c r="E420" s="156" t="inlineStr">
        <is>
          <t>12-020-BS004-10-1025-027</t>
        </is>
      </c>
      <c r="F420" s="156" t="inlineStr">
        <is>
          <t>27</t>
        </is>
      </c>
      <c r="G420" s="156" t="inlineStr">
        <is>
          <t>9</t>
        </is>
      </c>
      <c r="H420" s="156" t="inlineStr">
        <is>
          <t>Stetson</t>
        </is>
      </c>
      <c r="I420" s="156" t="inlineStr">
        <is>
          <t>Bota Pitón Crema</t>
        </is>
      </c>
      <c r="J420" s="156" t="inlineStr">
        <is>
          <t>Calzado</t>
        </is>
      </c>
      <c r="K420" s="156" t="inlineStr">
        <is>
          <t>Botas</t>
        </is>
      </c>
      <c r="L420" s="156" t="inlineStr">
        <is>
          <t>Hombre</t>
        </is>
      </c>
      <c r="M420" s="156" t="inlineStr">
        <is>
          <t>Stetson</t>
        </is>
      </c>
      <c r="N420" s="156" t="inlineStr">
        <is>
          <t>SS26</t>
        </is>
      </c>
      <c r="O420" s="156" t="inlineStr">
        <is>
          <t>Seasonal</t>
        </is>
      </c>
      <c r="P420" s="156" t="inlineStr">
        <is>
          <t>Beige</t>
        </is>
      </c>
      <c r="Q420" s="156" t="n"/>
      <c r="R420" s="156" t="inlineStr">
        <is>
          <t>Punta Redonda Ancha</t>
        </is>
      </c>
      <c r="S420" s="156" t="inlineStr">
        <is>
          <t>Piel de pitón</t>
        </is>
      </c>
      <c r="T420" s="156" t="inlineStr">
        <is>
          <t>Bota Caballero Piel de pitón Crema Punta Redonda Ancha</t>
        </is>
      </c>
      <c r="U420" s="156" t="inlineStr">
        <is>
          <t>México</t>
        </is>
      </c>
      <c r="V420" s="156" t="inlineStr">
        <is>
          <t>PRS</t>
        </is>
      </c>
      <c r="W420" s="51" t="inlineStr">
        <is>
          <t>53111501</t>
        </is>
      </c>
      <c r="X420" s="156" t="n"/>
      <c r="Y420" s="54" t="n">
        <v>1271.18</v>
      </c>
      <c r="Z420" s="54" t="n">
        <v>7327.586207</v>
      </c>
      <c r="AA420" s="55">
        <f>IF(AND(A420="", B420="", E420=""), "", IF(AB420="", "Válido", IF((LEN(AB420)-LEN(SUBSTITUTE(AB420,"; ","")))/2+1&gt;(LEN(AB420)-LEN(SUBSTITUTE(AB420,"[Aviso]","")))/7, "Con Incidencias", "Válido")))</f>
        <v/>
      </c>
      <c r="AB420" s="56">
        <f>IF(AND(A420="", B420="", E420=""), "", TEXTJOIN("; ", TRUE, IF(OR(TRIM(A420&amp;"")="", ISNUMBER(SEARCH("FALTA", A420))), "UPC faltante/inválido", ""), IF(AND(A420&lt;&gt;"", IFERROR(_xlfn.XMATCH(A420,$A$2:$A$2509,0,1)&lt;&gt;_xlfn.XMATCH(A420,$A$2:$A$2509,0,-1),FALSE)), "Código de barras duplicado", ""), IF(AND(E420&lt;&gt;"", COUNTIF($E$2:$E$2509, E420)&gt;1), "SKU duplicado", ""), IF(OR(J420="", J420=""), "[Aviso] División no capturada ()", IF(ISNA(MATCH(J420, Criterios!$A$123:$A$126, 0)), "División no válida", "")), IF(OR(K420="", K420=""), "[Aviso] Categoría no capturada ()", IF(ISNA(MATCH(K420, Criterios!$A$81:$A$120, 0)), "Categoría no válida", IF(AND(J420&lt;&gt;"", J420&lt;&gt;"", J420&lt;&gt;VLOOKUP(K420, Criterios!$A$81:$B$120, 2, FALSE)), "División no coincide con Categoría", ""))), IF(OR(L420="", L420=""), "[Aviso] Género no capturado ()", IF(ISNA(MATCH(L420, Criterios!$B$123:$B$127, 0)), "Género no válido", "")), IF(OR(N420="", N420=""), "[Aviso] Temporada no capturada ()", IF(ISNA(MATCH(N420, Criterios!$C$123:$C$128, 0)), "Temporada no válida", "")), IF(OR(O420="", O420=""), "[Aviso] Ciclo de vida no capturado ()", IF(ISNA(MATCH(O420, Criterios!$D$123:$D$124, 0)), "Ciclo de vida no válido", ""))))</f>
        <v/>
      </c>
      <c r="AC420" s="56" t="n"/>
      <c r="AD420" s="51" t="n">
        <v>0</v>
      </c>
      <c r="AE420" s="156" t="n"/>
      <c r="AF420" s="51" t="n">
        <v>0</v>
      </c>
      <c r="AG420" s="156" t="inlineStr">
        <is>
          <t>Catálogo existente</t>
        </is>
      </c>
      <c r="AH4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0" s="156" t="inlineStr">
        <is>
          <t>No</t>
        </is>
      </c>
      <c r="AJ420" s="156" t="n"/>
      <c r="AK420" s="155" t="inlineStr">
        <is>
          <t>Criterios: I [Q]; G1522_Extraccion_Articulos_NetSuite_2026-09-30.xlsx: fila 58992 [R] | Shopify Stetson: producto 15054564557163 / variante 53350554665323</t>
        </is>
      </c>
      <c r="AL420" s="58" t="n">
        <v>1271.18</v>
      </c>
      <c r="AM420" s="58" t="n">
        <v>7327.586207</v>
      </c>
      <c r="AN420" s="155" t="inlineStr">
        <is>
          <t>Shopify Stetson México</t>
        </is>
      </c>
      <c r="AO420" s="59" t="n">
        <v>2</v>
      </c>
      <c r="AP420" s="59" t="n"/>
      <c r="AQ420" s="59" t="n"/>
      <c r="AR420" s="155" t="inlineStr">
        <is>
          <t>Shopify Stetson México › Stetson Americas: 2</t>
        </is>
      </c>
    </row>
    <row r="421">
      <c r="A421" s="50" t="inlineStr">
        <is>
          <t>12020004101025028</t>
        </is>
      </c>
      <c r="B421" s="51" t="inlineStr">
        <is>
          <t>111318</t>
        </is>
      </c>
      <c r="C421" s="156" t="inlineStr">
        <is>
          <t>Multimarca</t>
        </is>
      </c>
      <c r="D421" s="156" t="inlineStr">
        <is>
          <t>12-020-BS004-10-1025</t>
        </is>
      </c>
      <c r="E421" s="156" t="inlineStr">
        <is>
          <t>12-020-BS004-10-1025-028</t>
        </is>
      </c>
      <c r="F421" s="156" t="inlineStr">
        <is>
          <t>28</t>
        </is>
      </c>
      <c r="G421" s="156" t="inlineStr">
        <is>
          <t>10</t>
        </is>
      </c>
      <c r="H421" s="156" t="inlineStr">
        <is>
          <t>Stetson</t>
        </is>
      </c>
      <c r="I421" s="156" t="inlineStr">
        <is>
          <t>Bota Pitón Crema</t>
        </is>
      </c>
      <c r="J421" s="156" t="inlineStr">
        <is>
          <t>Calzado</t>
        </is>
      </c>
      <c r="K421" s="156" t="inlineStr">
        <is>
          <t>Botas</t>
        </is>
      </c>
      <c r="L421" s="156" t="inlineStr">
        <is>
          <t>Hombre</t>
        </is>
      </c>
      <c r="M421" s="156" t="inlineStr">
        <is>
          <t>Stetson</t>
        </is>
      </c>
      <c r="N421" s="156" t="inlineStr">
        <is>
          <t>SS26</t>
        </is>
      </c>
      <c r="O421" s="156" t="inlineStr">
        <is>
          <t>Seasonal</t>
        </is>
      </c>
      <c r="P421" s="156" t="inlineStr">
        <is>
          <t>Beige</t>
        </is>
      </c>
      <c r="Q421" s="156" t="n"/>
      <c r="R421" s="156" t="inlineStr">
        <is>
          <t>Punta Redonda Ancha</t>
        </is>
      </c>
      <c r="S421" s="156" t="inlineStr">
        <is>
          <t>Piel de pitón</t>
        </is>
      </c>
      <c r="T421" s="156" t="inlineStr">
        <is>
          <t>Bota Caballero Piel de pitón Crema Punta Redonda Ancha</t>
        </is>
      </c>
      <c r="U421" s="156" t="inlineStr">
        <is>
          <t>México</t>
        </is>
      </c>
      <c r="V421" s="156" t="inlineStr">
        <is>
          <t>PRS</t>
        </is>
      </c>
      <c r="W421" s="51" t="inlineStr">
        <is>
          <t>53111501</t>
        </is>
      </c>
      <c r="X421" s="156" t="n"/>
      <c r="Y421" s="54" t="n">
        <v>1271.18</v>
      </c>
      <c r="Z421" s="54" t="n">
        <v>7327.586207</v>
      </c>
      <c r="AA421" s="55">
        <f>IF(AND(A421="", B421="", E421=""), "", IF(AB421="", "Válido", IF((LEN(AB421)-LEN(SUBSTITUTE(AB421,"; ","")))/2+1&gt;(LEN(AB421)-LEN(SUBSTITUTE(AB421,"[Aviso]","")))/7, "Con Incidencias", "Válido")))</f>
        <v/>
      </c>
      <c r="AB421" s="56">
        <f>IF(AND(A421="", B421="", E421=""), "", TEXTJOIN("; ", TRUE, IF(OR(TRIM(A421&amp;"")="", ISNUMBER(SEARCH("FALTA", A421))), "UPC faltante/inválido", ""), IF(AND(A421&lt;&gt;"", IFERROR(_xlfn.XMATCH(A421,$A$2:$A$2509,0,1)&lt;&gt;_xlfn.XMATCH(A421,$A$2:$A$2509,0,-1),FALSE)), "Código de barras duplicado", ""), IF(AND(E421&lt;&gt;"", COUNTIF($E$2:$E$2509, E421)&gt;1), "SKU duplicado", ""), IF(OR(J421="", J421=""), "[Aviso] División no capturada ()", IF(ISNA(MATCH(J421, Criterios!$A$123:$A$126, 0)), "División no válida", "")), IF(OR(K421="", K421=""), "[Aviso] Categoría no capturada ()", IF(ISNA(MATCH(K421, Criterios!$A$81:$A$120, 0)), "Categoría no válida", IF(AND(J421&lt;&gt;"", J421&lt;&gt;"", J421&lt;&gt;VLOOKUP(K421, Criterios!$A$81:$B$120, 2, FALSE)), "División no coincide con Categoría", ""))), IF(OR(L421="", L421=""), "[Aviso] Género no capturado ()", IF(ISNA(MATCH(L421, Criterios!$B$123:$B$127, 0)), "Género no válido", "")), IF(OR(N421="", N421=""), "[Aviso] Temporada no capturada ()", IF(ISNA(MATCH(N421, Criterios!$C$123:$C$128, 0)), "Temporada no válida", "")), IF(OR(O421="", O421=""), "[Aviso] Ciclo de vida no capturado ()", IF(ISNA(MATCH(O421, Criterios!$D$123:$D$124, 0)), "Ciclo de vida no válido", ""))))</f>
        <v/>
      </c>
      <c r="AC421" s="56" t="n"/>
      <c r="AD421" s="51" t="n">
        <v>-1</v>
      </c>
      <c r="AE421" s="156" t="n"/>
      <c r="AF421" s="51" t="n">
        <v>0</v>
      </c>
      <c r="AG421" s="156" t="inlineStr">
        <is>
          <t>Catálogo existente</t>
        </is>
      </c>
      <c r="AH42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1" s="156" t="inlineStr">
        <is>
          <t>Sí</t>
        </is>
      </c>
      <c r="AJ421" s="156" t="inlineStr">
        <is>
          <t>STETSON AMERICAS (-1)</t>
        </is>
      </c>
      <c r="AK421" s="155" t="inlineStr">
        <is>
          <t>Criterios: I [Q]; G1522_Extraccion_Articulos_NetSuite_2026-09-30.xlsx: fila 58993 [R] | Shopify Stetson: producto 15054564557163 / variante 53350554730859</t>
        </is>
      </c>
      <c r="AL421" s="58" t="n">
        <v>1271.18</v>
      </c>
      <c r="AM421" s="58" t="n">
        <v>7327.586207</v>
      </c>
      <c r="AN421" s="155" t="inlineStr">
        <is>
          <t>Shopify Stetson México</t>
        </is>
      </c>
      <c r="AO421" s="59" t="n">
        <v>1</v>
      </c>
      <c r="AP421" s="59" t="n"/>
      <c r="AQ421" s="59" t="n"/>
      <c r="AR421" s="155" t="inlineStr">
        <is>
          <t>Shopify Stetson México › Stetson Americas: 1</t>
        </is>
      </c>
    </row>
    <row r="422">
      <c r="A422" s="50" t="inlineStr">
        <is>
          <t>12020004101025029</t>
        </is>
      </c>
      <c r="B422" s="51" t="inlineStr">
        <is>
          <t>111319</t>
        </is>
      </c>
      <c r="C422" s="156" t="inlineStr">
        <is>
          <t>Multimarca</t>
        </is>
      </c>
      <c r="D422" s="156" t="inlineStr">
        <is>
          <t>12-020-BS004-10-1025</t>
        </is>
      </c>
      <c r="E422" s="156" t="inlineStr">
        <is>
          <t>12-020-BS004-10-1025-029</t>
        </is>
      </c>
      <c r="F422" s="156" t="inlineStr">
        <is>
          <t>29</t>
        </is>
      </c>
      <c r="G422" s="156" t="inlineStr">
        <is>
          <t>11</t>
        </is>
      </c>
      <c r="H422" s="156" t="inlineStr">
        <is>
          <t>Stetson</t>
        </is>
      </c>
      <c r="I422" s="156" t="inlineStr">
        <is>
          <t>Bota Pitón Crema</t>
        </is>
      </c>
      <c r="J422" s="156" t="inlineStr">
        <is>
          <t>Calzado</t>
        </is>
      </c>
      <c r="K422" s="156" t="inlineStr">
        <is>
          <t>Botas</t>
        </is>
      </c>
      <c r="L422" s="156" t="inlineStr">
        <is>
          <t>Hombre</t>
        </is>
      </c>
      <c r="M422" s="156" t="inlineStr">
        <is>
          <t>Stetson</t>
        </is>
      </c>
      <c r="N422" s="156" t="inlineStr">
        <is>
          <t>SS26</t>
        </is>
      </c>
      <c r="O422" s="156" t="inlineStr">
        <is>
          <t>Seasonal</t>
        </is>
      </c>
      <c r="P422" s="156" t="inlineStr">
        <is>
          <t>Beige</t>
        </is>
      </c>
      <c r="Q422" s="156" t="n"/>
      <c r="R422" s="156" t="inlineStr">
        <is>
          <t>Punta Redonda Ancha</t>
        </is>
      </c>
      <c r="S422" s="156" t="inlineStr">
        <is>
          <t>Piel de pitón</t>
        </is>
      </c>
      <c r="T422" s="156" t="inlineStr">
        <is>
          <t>Bota Caballero Piel de pitón Crema Punta Redonda Ancha</t>
        </is>
      </c>
      <c r="U422" s="156" t="inlineStr">
        <is>
          <t>México</t>
        </is>
      </c>
      <c r="V422" s="156" t="inlineStr">
        <is>
          <t>PRS</t>
        </is>
      </c>
      <c r="W422" s="51" t="inlineStr">
        <is>
          <t>53111501</t>
        </is>
      </c>
      <c r="X422" s="156" t="n"/>
      <c r="Y422" s="54" t="n">
        <v>1271.18</v>
      </c>
      <c r="Z422" s="54" t="n">
        <v>7327.586207</v>
      </c>
      <c r="AA422" s="55">
        <f>IF(AND(A422="", B422="", E422=""), "", IF(AB422="", "Válido", IF((LEN(AB422)-LEN(SUBSTITUTE(AB422,"; ","")))/2+1&gt;(LEN(AB422)-LEN(SUBSTITUTE(AB422,"[Aviso]","")))/7, "Con Incidencias", "Válido")))</f>
        <v/>
      </c>
      <c r="AB422" s="56">
        <f>IF(AND(A422="", B422="", E422=""), "", TEXTJOIN("; ", TRUE, IF(OR(TRIM(A422&amp;"")="", ISNUMBER(SEARCH("FALTA", A422))), "UPC faltante/inválido", ""), IF(AND(A422&lt;&gt;"", IFERROR(_xlfn.XMATCH(A422,$A$2:$A$2509,0,1)&lt;&gt;_xlfn.XMATCH(A422,$A$2:$A$2509,0,-1),FALSE)), "Código de barras duplicado", ""), IF(AND(E422&lt;&gt;"", COUNTIF($E$2:$E$2509, E422)&gt;1), "SKU duplicado", ""), IF(OR(J422="", J422=""), "[Aviso] División no capturada ()", IF(ISNA(MATCH(J422, Criterios!$A$123:$A$126, 0)), "División no válida", "")), IF(OR(K422="", K422=""), "[Aviso] Categoría no capturada ()", IF(ISNA(MATCH(K422, Criterios!$A$81:$A$120, 0)), "Categoría no válida", IF(AND(J422&lt;&gt;"", J422&lt;&gt;"", J422&lt;&gt;VLOOKUP(K422, Criterios!$A$81:$B$120, 2, FALSE)), "División no coincide con Categoría", ""))), IF(OR(L422="", L422=""), "[Aviso] Género no capturado ()", IF(ISNA(MATCH(L422, Criterios!$B$123:$B$127, 0)), "Género no válido", "")), IF(OR(N422="", N422=""), "[Aviso] Temporada no capturada ()", IF(ISNA(MATCH(N422, Criterios!$C$123:$C$128, 0)), "Temporada no válida", "")), IF(OR(O422="", O422=""), "[Aviso] Ciclo de vida no capturado ()", IF(ISNA(MATCH(O422, Criterios!$D$123:$D$124, 0)), "Ciclo de vida no válido", ""))))</f>
        <v/>
      </c>
      <c r="AC422" s="56" t="n"/>
      <c r="AD422" s="51" t="n">
        <v>0</v>
      </c>
      <c r="AE422" s="156" t="n"/>
      <c r="AF422" s="51" t="n">
        <v>0</v>
      </c>
      <c r="AG422" s="156" t="inlineStr">
        <is>
          <t>Catálogo existente</t>
        </is>
      </c>
      <c r="AH4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2" s="156" t="inlineStr">
        <is>
          <t>No</t>
        </is>
      </c>
      <c r="AJ422" s="156" t="n"/>
      <c r="AK422" s="155" t="inlineStr">
        <is>
          <t>Criterios: I [Q]; G1522_Extraccion_Articulos_NetSuite_2026-09-30.xlsx: fila 58994 [R] | Shopify Stetson: producto 15054564557163 / variante 53350554796395</t>
        </is>
      </c>
      <c r="AL422" s="58" t="n">
        <v>1271.18</v>
      </c>
      <c r="AM422" s="58" t="n">
        <v>7327.586207</v>
      </c>
      <c r="AN422" s="155" t="inlineStr">
        <is>
          <t>Shopify Stetson México</t>
        </is>
      </c>
      <c r="AO422" s="59" t="n">
        <v>1</v>
      </c>
      <c r="AP422" s="59" t="n"/>
      <c r="AQ422" s="59" t="n"/>
      <c r="AR422" s="155" t="inlineStr">
        <is>
          <t>Shopify Stetson México › Stetson Americas: 1</t>
        </is>
      </c>
    </row>
    <row r="423">
      <c r="A423" s="50" t="inlineStr">
        <is>
          <t>12020004101025030</t>
        </is>
      </c>
      <c r="B423" s="51" t="inlineStr">
        <is>
          <t>111320</t>
        </is>
      </c>
      <c r="C423" s="156" t="inlineStr">
        <is>
          <t>Multimarca</t>
        </is>
      </c>
      <c r="D423" s="156" t="inlineStr">
        <is>
          <t>12-020-BS004-10-1025</t>
        </is>
      </c>
      <c r="E423" s="156" t="inlineStr">
        <is>
          <t>12-020-BS004-10-1025-030</t>
        </is>
      </c>
      <c r="F423" s="156" t="inlineStr">
        <is>
          <t>30</t>
        </is>
      </c>
      <c r="G423" s="156" t="inlineStr">
        <is>
          <t>12</t>
        </is>
      </c>
      <c r="H423" s="156" t="inlineStr">
        <is>
          <t>Stetson</t>
        </is>
      </c>
      <c r="I423" s="156" t="inlineStr">
        <is>
          <t>Bota Pitón Crema</t>
        </is>
      </c>
      <c r="J423" s="156" t="inlineStr">
        <is>
          <t>Calzado</t>
        </is>
      </c>
      <c r="K423" s="156" t="inlineStr">
        <is>
          <t>Botas</t>
        </is>
      </c>
      <c r="L423" s="156" t="inlineStr">
        <is>
          <t>Hombre</t>
        </is>
      </c>
      <c r="M423" s="156" t="inlineStr">
        <is>
          <t>Stetson</t>
        </is>
      </c>
      <c r="N423" s="156" t="inlineStr">
        <is>
          <t>SS26</t>
        </is>
      </c>
      <c r="O423" s="156" t="inlineStr">
        <is>
          <t>Seasonal</t>
        </is>
      </c>
      <c r="P423" s="156" t="inlineStr">
        <is>
          <t>Beige</t>
        </is>
      </c>
      <c r="Q423" s="156" t="n"/>
      <c r="R423" s="156" t="inlineStr">
        <is>
          <t>Punta Redonda Ancha</t>
        </is>
      </c>
      <c r="S423" s="156" t="inlineStr">
        <is>
          <t>Piel de pitón</t>
        </is>
      </c>
      <c r="T423" s="156" t="inlineStr">
        <is>
          <t>Bota Caballero Piel de pitón Crema Punta Redonda Ancha</t>
        </is>
      </c>
      <c r="U423" s="156" t="inlineStr">
        <is>
          <t>México</t>
        </is>
      </c>
      <c r="V423" s="156" t="inlineStr">
        <is>
          <t>PRS</t>
        </is>
      </c>
      <c r="W423" s="51" t="inlineStr">
        <is>
          <t>53111501</t>
        </is>
      </c>
      <c r="X423" s="156" t="n"/>
      <c r="Y423" s="54" t="n">
        <v>1271.18</v>
      </c>
      <c r="Z423" s="54" t="n">
        <v>7327.586207</v>
      </c>
      <c r="AA423" s="55">
        <f>IF(AND(A423="", B423="", E423=""), "", IF(AB423="", "Válido", IF((LEN(AB423)-LEN(SUBSTITUTE(AB423,"; ","")))/2+1&gt;(LEN(AB423)-LEN(SUBSTITUTE(AB423,"[Aviso]","")))/7, "Con Incidencias", "Válido")))</f>
        <v/>
      </c>
      <c r="AB423" s="56">
        <f>IF(AND(A423="", B423="", E423=""), "", TEXTJOIN("; ", TRUE, IF(OR(TRIM(A423&amp;"")="", ISNUMBER(SEARCH("FALTA", A423))), "UPC faltante/inválido", ""), IF(AND(A423&lt;&gt;"", IFERROR(_xlfn.XMATCH(A423,$A$2:$A$2509,0,1)&lt;&gt;_xlfn.XMATCH(A423,$A$2:$A$2509,0,-1),FALSE)), "Código de barras duplicado", ""), IF(AND(E423&lt;&gt;"", COUNTIF($E$2:$E$2509, E423)&gt;1), "SKU duplicado", ""), IF(OR(J423="", J423=""), "[Aviso] División no capturada ()", IF(ISNA(MATCH(J423, Criterios!$A$123:$A$126, 0)), "División no válida", "")), IF(OR(K423="", K423=""), "[Aviso] Categoría no capturada ()", IF(ISNA(MATCH(K423, Criterios!$A$81:$A$120, 0)), "Categoría no válida", IF(AND(J423&lt;&gt;"", J423&lt;&gt;"", J423&lt;&gt;VLOOKUP(K423, Criterios!$A$81:$B$120, 2, FALSE)), "División no coincide con Categoría", ""))), IF(OR(L423="", L423=""), "[Aviso] Género no capturado ()", IF(ISNA(MATCH(L423, Criterios!$B$123:$B$127, 0)), "Género no válido", "")), IF(OR(N423="", N423=""), "[Aviso] Temporada no capturada ()", IF(ISNA(MATCH(N423, Criterios!$C$123:$C$128, 0)), "Temporada no válida", "")), IF(OR(O423="", O423=""), "[Aviso] Ciclo de vida no capturado ()", IF(ISNA(MATCH(O423, Criterios!$D$123:$D$124, 0)), "Ciclo de vida no válido", ""))))</f>
        <v/>
      </c>
      <c r="AC423" s="56" t="n"/>
      <c r="AD423" s="51" t="n">
        <v>0</v>
      </c>
      <c r="AE423" s="156" t="n"/>
      <c r="AF423" s="51" t="n">
        <v>0</v>
      </c>
      <c r="AG423" s="156" t="inlineStr">
        <is>
          <t>Catálogo existente</t>
        </is>
      </c>
      <c r="AH4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3" s="156" t="inlineStr">
        <is>
          <t>No</t>
        </is>
      </c>
      <c r="AJ423" s="156" t="n"/>
      <c r="AK423" s="155" t="inlineStr">
        <is>
          <t>Criterios: I [Q]; G1522_Extraccion_Articulos_NetSuite_2026-09-30.xlsx: fila 58995 [R] | Shopify Stetson: producto 15054564557163 / variante 53350554861931</t>
        </is>
      </c>
      <c r="AL423" s="58" t="n">
        <v>1271.18</v>
      </c>
      <c r="AM423" s="58" t="n">
        <v>7327.586207</v>
      </c>
      <c r="AN423" s="155" t="inlineStr">
        <is>
          <t>Shopify Stetson México</t>
        </is>
      </c>
      <c r="AO423" s="59" t="n">
        <v>0</v>
      </c>
      <c r="AP423" s="59" t="n"/>
      <c r="AQ423" s="59" t="n"/>
      <c r="AR423" s="155" t="n"/>
    </row>
    <row r="424">
      <c r="A424" s="50" t="inlineStr">
        <is>
          <t>12020004101025031</t>
        </is>
      </c>
      <c r="B424" s="51" t="inlineStr">
        <is>
          <t>111321</t>
        </is>
      </c>
      <c r="C424" s="156" t="inlineStr">
        <is>
          <t>Multimarca</t>
        </is>
      </c>
      <c r="D424" s="156" t="inlineStr">
        <is>
          <t>12-020-BS004-10-1025</t>
        </is>
      </c>
      <c r="E424" s="156" t="inlineStr">
        <is>
          <t>12-020-BS004-10-1025-031</t>
        </is>
      </c>
      <c r="F424" s="156" t="inlineStr">
        <is>
          <t>31</t>
        </is>
      </c>
      <c r="G424" s="156" t="inlineStr">
        <is>
          <t>13</t>
        </is>
      </c>
      <c r="H424" s="156" t="inlineStr">
        <is>
          <t>Stetson</t>
        </is>
      </c>
      <c r="I424" s="156" t="inlineStr">
        <is>
          <t>Bota Pitón Crema</t>
        </is>
      </c>
      <c r="J424" s="156" t="inlineStr">
        <is>
          <t>Calzado</t>
        </is>
      </c>
      <c r="K424" s="156" t="inlineStr">
        <is>
          <t>Botas</t>
        </is>
      </c>
      <c r="L424" s="156" t="inlineStr">
        <is>
          <t>Hombre</t>
        </is>
      </c>
      <c r="M424" s="156" t="inlineStr">
        <is>
          <t>Stetson</t>
        </is>
      </c>
      <c r="N424" s="156" t="inlineStr">
        <is>
          <t>SS26</t>
        </is>
      </c>
      <c r="O424" s="156" t="inlineStr">
        <is>
          <t>Seasonal</t>
        </is>
      </c>
      <c r="P424" s="156" t="inlineStr">
        <is>
          <t>Beige</t>
        </is>
      </c>
      <c r="Q424" s="156" t="n"/>
      <c r="R424" s="156" t="inlineStr">
        <is>
          <t>Punta Redonda Ancha</t>
        </is>
      </c>
      <c r="S424" s="156" t="inlineStr">
        <is>
          <t>Piel de pitón</t>
        </is>
      </c>
      <c r="T424" s="156" t="inlineStr">
        <is>
          <t>Bota Caballero Piel de pitón Crema Punta Redonda Ancha</t>
        </is>
      </c>
      <c r="U424" s="156" t="inlineStr">
        <is>
          <t>México</t>
        </is>
      </c>
      <c r="V424" s="156" t="inlineStr">
        <is>
          <t>PRS</t>
        </is>
      </c>
      <c r="W424" s="51" t="inlineStr">
        <is>
          <t>53111501</t>
        </is>
      </c>
      <c r="X424" s="156" t="n"/>
      <c r="Y424" s="54" t="n">
        <v>1271.18</v>
      </c>
      <c r="Z424" s="54" t="n">
        <v>7327.586207</v>
      </c>
      <c r="AA424" s="55">
        <f>IF(AND(A424="", B424="", E424=""), "", IF(AB424="", "Válido", IF((LEN(AB424)-LEN(SUBSTITUTE(AB424,"; ","")))/2+1&gt;(LEN(AB424)-LEN(SUBSTITUTE(AB424,"[Aviso]","")))/7, "Con Incidencias", "Válido")))</f>
        <v/>
      </c>
      <c r="AB424" s="56">
        <f>IF(AND(A424="", B424="", E424=""), "", TEXTJOIN("; ", TRUE, IF(OR(TRIM(A424&amp;"")="", ISNUMBER(SEARCH("FALTA", A424))), "UPC faltante/inválido", ""), IF(AND(A424&lt;&gt;"", IFERROR(_xlfn.XMATCH(A424,$A$2:$A$2509,0,1)&lt;&gt;_xlfn.XMATCH(A424,$A$2:$A$2509,0,-1),FALSE)), "Código de barras duplicado", ""), IF(AND(E424&lt;&gt;"", COUNTIF($E$2:$E$2509, E424)&gt;1), "SKU duplicado", ""), IF(OR(J424="", J424=""), "[Aviso] División no capturada ()", IF(ISNA(MATCH(J424, Criterios!$A$123:$A$126, 0)), "División no válida", "")), IF(OR(K424="", K424=""), "[Aviso] Categoría no capturada ()", IF(ISNA(MATCH(K424, Criterios!$A$81:$A$120, 0)), "Categoría no válida", IF(AND(J424&lt;&gt;"", J424&lt;&gt;"", J424&lt;&gt;VLOOKUP(K424, Criterios!$A$81:$B$120, 2, FALSE)), "División no coincide con Categoría", ""))), IF(OR(L424="", L424=""), "[Aviso] Género no capturado ()", IF(ISNA(MATCH(L424, Criterios!$B$123:$B$127, 0)), "Género no válido", "")), IF(OR(N424="", N424=""), "[Aviso] Temporada no capturada ()", IF(ISNA(MATCH(N424, Criterios!$C$123:$C$128, 0)), "Temporada no válida", "")), IF(OR(O424="", O424=""), "[Aviso] Ciclo de vida no capturado ()", IF(ISNA(MATCH(O424, Criterios!$D$123:$D$124, 0)), "Ciclo de vida no válido", ""))))</f>
        <v/>
      </c>
      <c r="AC424" s="56" t="n"/>
      <c r="AD424" s="51" t="n">
        <v>0</v>
      </c>
      <c r="AE424" s="156" t="n"/>
      <c r="AF424" s="51" t="n">
        <v>0</v>
      </c>
      <c r="AG424" s="156" t="inlineStr">
        <is>
          <t>Catálogo existente</t>
        </is>
      </c>
      <c r="AH4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4" s="156" t="inlineStr">
        <is>
          <t>No</t>
        </is>
      </c>
      <c r="AJ424" s="156" t="n"/>
      <c r="AK424" s="155" t="inlineStr">
        <is>
          <t>Criterios: I [Q]; G1522_Extraccion_Articulos_NetSuite_2026-09-30.xlsx: fila 58996 [R] | Shopify Stetson: producto 15054564557163 / variante 53350554927467</t>
        </is>
      </c>
      <c r="AL424" s="58" t="n">
        <v>1271.18</v>
      </c>
      <c r="AM424" s="58" t="n">
        <v>7327.586207</v>
      </c>
      <c r="AN424" s="155" t="inlineStr">
        <is>
          <t>Shopify Stetson México</t>
        </is>
      </c>
      <c r="AO424" s="59" t="n">
        <v>0</v>
      </c>
      <c r="AP424" s="59" t="n"/>
      <c r="AQ424" s="59" t="n"/>
      <c r="AR424" s="155" t="n"/>
    </row>
    <row r="425">
      <c r="A425" s="50" t="inlineStr">
        <is>
          <t>12020004101025032</t>
        </is>
      </c>
      <c r="B425" s="51" t="inlineStr">
        <is>
          <t>111322</t>
        </is>
      </c>
      <c r="C425" s="156" t="inlineStr">
        <is>
          <t>Multimarca</t>
        </is>
      </c>
      <c r="D425" s="156" t="inlineStr">
        <is>
          <t>12-020-BS004-10-1025</t>
        </is>
      </c>
      <c r="E425" s="156" t="inlineStr">
        <is>
          <t>12-020-BS004-10-1025-032</t>
        </is>
      </c>
      <c r="F425" s="156" t="inlineStr">
        <is>
          <t>32</t>
        </is>
      </c>
      <c r="G425" s="156" t="inlineStr">
        <is>
          <t>14</t>
        </is>
      </c>
      <c r="H425" s="156" t="inlineStr">
        <is>
          <t>Stetson</t>
        </is>
      </c>
      <c r="I425" s="156" t="inlineStr">
        <is>
          <t>Bota Pitón Crema</t>
        </is>
      </c>
      <c r="J425" s="156" t="inlineStr">
        <is>
          <t>Calzado</t>
        </is>
      </c>
      <c r="K425" s="156" t="inlineStr">
        <is>
          <t>Botas</t>
        </is>
      </c>
      <c r="L425" s="156" t="inlineStr">
        <is>
          <t>Hombre</t>
        </is>
      </c>
      <c r="M425" s="156" t="inlineStr">
        <is>
          <t>Stetson</t>
        </is>
      </c>
      <c r="N425" s="156" t="inlineStr">
        <is>
          <t>SS26</t>
        </is>
      </c>
      <c r="O425" s="156" t="inlineStr">
        <is>
          <t>Seasonal</t>
        </is>
      </c>
      <c r="P425" s="156" t="inlineStr">
        <is>
          <t>Beige</t>
        </is>
      </c>
      <c r="Q425" s="156" t="n"/>
      <c r="R425" s="156" t="inlineStr">
        <is>
          <t>Punta Redonda Ancha</t>
        </is>
      </c>
      <c r="S425" s="156" t="inlineStr">
        <is>
          <t>Piel de pitón</t>
        </is>
      </c>
      <c r="T425" s="156" t="inlineStr">
        <is>
          <t>Bota Caballero Piel de pitón Crema Punta Redonda Ancha</t>
        </is>
      </c>
      <c r="U425" s="156" t="inlineStr">
        <is>
          <t>México</t>
        </is>
      </c>
      <c r="V425" s="156" t="inlineStr">
        <is>
          <t>PRS</t>
        </is>
      </c>
      <c r="W425" s="51" t="inlineStr">
        <is>
          <t>53111501</t>
        </is>
      </c>
      <c r="X425" s="156" t="n"/>
      <c r="Y425" s="54" t="n">
        <v>1271.18</v>
      </c>
      <c r="Z425" s="54" t="n">
        <v>7327.586207</v>
      </c>
      <c r="AA425" s="55">
        <f>IF(AND(A425="", B425="", E425=""), "", IF(AB425="", "Válido", IF((LEN(AB425)-LEN(SUBSTITUTE(AB425,"; ","")))/2+1&gt;(LEN(AB425)-LEN(SUBSTITUTE(AB425,"[Aviso]","")))/7, "Con Incidencias", "Válido")))</f>
        <v/>
      </c>
      <c r="AB425" s="56">
        <f>IF(AND(A425="", B425="", E425=""), "", TEXTJOIN("; ", TRUE, IF(OR(TRIM(A425&amp;"")="", ISNUMBER(SEARCH("FALTA", A425))), "UPC faltante/inválido", ""), IF(AND(A425&lt;&gt;"", IFERROR(_xlfn.XMATCH(A425,$A$2:$A$2509,0,1)&lt;&gt;_xlfn.XMATCH(A425,$A$2:$A$2509,0,-1),FALSE)), "Código de barras duplicado", ""), IF(AND(E425&lt;&gt;"", COUNTIF($E$2:$E$2509, E425)&gt;1), "SKU duplicado", ""), IF(OR(J425="", J425=""), "[Aviso] División no capturada ()", IF(ISNA(MATCH(J425, Criterios!$A$123:$A$126, 0)), "División no válida", "")), IF(OR(K425="", K425=""), "[Aviso] Categoría no capturada ()", IF(ISNA(MATCH(K425, Criterios!$A$81:$A$120, 0)), "Categoría no válida", IF(AND(J425&lt;&gt;"", J425&lt;&gt;"", J425&lt;&gt;VLOOKUP(K425, Criterios!$A$81:$B$120, 2, FALSE)), "División no coincide con Categoría", ""))), IF(OR(L425="", L425=""), "[Aviso] Género no capturado ()", IF(ISNA(MATCH(L425, Criterios!$B$123:$B$127, 0)), "Género no válido", "")), IF(OR(N425="", N425=""), "[Aviso] Temporada no capturada ()", IF(ISNA(MATCH(N425, Criterios!$C$123:$C$128, 0)), "Temporada no válida", "")), IF(OR(O425="", O425=""), "[Aviso] Ciclo de vida no capturado ()", IF(ISNA(MATCH(O425, Criterios!$D$123:$D$124, 0)), "Ciclo de vida no válido", ""))))</f>
        <v/>
      </c>
      <c r="AC425" s="56" t="n"/>
      <c r="AD425" s="51" t="n">
        <v>0</v>
      </c>
      <c r="AE425" s="156" t="n"/>
      <c r="AF425" s="51" t="n">
        <v>0</v>
      </c>
      <c r="AG425" s="156" t="inlineStr">
        <is>
          <t>Catálogo existente</t>
        </is>
      </c>
      <c r="AH4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5" s="156" t="inlineStr">
        <is>
          <t>No</t>
        </is>
      </c>
      <c r="AJ425" s="156" t="n"/>
      <c r="AK425" s="155" t="inlineStr">
        <is>
          <t>Criterios: I [Q]; G1522_Extraccion_Articulos_NetSuite_2026-09-30.xlsx: fila 58997 [R] | Shopify Stetson: producto 15054564557163 / variante 53350554993003</t>
        </is>
      </c>
      <c r="AL425" s="58" t="n">
        <v>1271.18</v>
      </c>
      <c r="AM425" s="58" t="n">
        <v>7327.586207</v>
      </c>
      <c r="AN425" s="155" t="inlineStr">
        <is>
          <t>Shopify Stetson México</t>
        </is>
      </c>
      <c r="AO425" s="59" t="n">
        <v>0</v>
      </c>
      <c r="AP425" s="59" t="n"/>
      <c r="AQ425" s="59" t="n"/>
      <c r="AR425" s="155" t="n"/>
    </row>
    <row r="426">
      <c r="A426" s="50" t="inlineStr">
        <is>
          <t>12020004101025255</t>
        </is>
      </c>
      <c r="B426" s="51" t="inlineStr">
        <is>
          <t>111323</t>
        </is>
      </c>
      <c r="C426" s="156" t="inlineStr">
        <is>
          <t>Multimarca</t>
        </is>
      </c>
      <c r="D426" s="156" t="inlineStr">
        <is>
          <t>12-020-BS004-10-1025</t>
        </is>
      </c>
      <c r="E426" s="156" t="inlineStr">
        <is>
          <t>12-020-BS004-10-1025-255</t>
        </is>
      </c>
      <c r="F426" s="156" t="inlineStr">
        <is>
          <t>25.5</t>
        </is>
      </c>
      <c r="G426" s="156" t="inlineStr">
        <is>
          <t>7.5</t>
        </is>
      </c>
      <c r="H426" s="156" t="inlineStr">
        <is>
          <t>Stetson</t>
        </is>
      </c>
      <c r="I426" s="156" t="inlineStr">
        <is>
          <t>Bota Pitón Crema</t>
        </is>
      </c>
      <c r="J426" s="156" t="inlineStr">
        <is>
          <t>Calzado</t>
        </is>
      </c>
      <c r="K426" s="156" t="inlineStr">
        <is>
          <t>Botas</t>
        </is>
      </c>
      <c r="L426" s="156" t="inlineStr">
        <is>
          <t>Hombre</t>
        </is>
      </c>
      <c r="M426" s="156" t="inlineStr">
        <is>
          <t>Stetson</t>
        </is>
      </c>
      <c r="N426" s="156" t="inlineStr">
        <is>
          <t>SS26</t>
        </is>
      </c>
      <c r="O426" s="156" t="inlineStr">
        <is>
          <t>Seasonal</t>
        </is>
      </c>
      <c r="P426" s="156" t="inlineStr">
        <is>
          <t>Beige</t>
        </is>
      </c>
      <c r="Q426" s="156" t="n"/>
      <c r="R426" s="156" t="inlineStr">
        <is>
          <t>Punta Redonda Ancha</t>
        </is>
      </c>
      <c r="S426" s="156" t="inlineStr">
        <is>
          <t>Piel de pitón</t>
        </is>
      </c>
      <c r="T426" s="156" t="inlineStr">
        <is>
          <t>Bota Caballero Piel de pitón Crema Punta Redonda Ancha</t>
        </is>
      </c>
      <c r="U426" s="156" t="inlineStr">
        <is>
          <t>México</t>
        </is>
      </c>
      <c r="V426" s="156" t="inlineStr">
        <is>
          <t>PRS</t>
        </is>
      </c>
      <c r="W426" s="51" t="inlineStr">
        <is>
          <t>53111501</t>
        </is>
      </c>
      <c r="X426" s="156" t="n"/>
      <c r="Y426" s="54" t="n">
        <v>1271.18</v>
      </c>
      <c r="Z426" s="54" t="n">
        <v>7327.586207</v>
      </c>
      <c r="AA426" s="55">
        <f>IF(AND(A426="", B426="", E426=""), "", IF(AB426="", "Válido", IF((LEN(AB426)-LEN(SUBSTITUTE(AB426,"; ","")))/2+1&gt;(LEN(AB426)-LEN(SUBSTITUTE(AB426,"[Aviso]","")))/7, "Con Incidencias", "Válido")))</f>
        <v/>
      </c>
      <c r="AB426" s="56">
        <f>IF(AND(A426="", B426="", E426=""), "", TEXTJOIN("; ", TRUE, IF(OR(TRIM(A426&amp;"")="", ISNUMBER(SEARCH("FALTA", A426))), "UPC faltante/inválido", ""), IF(AND(A426&lt;&gt;"", IFERROR(_xlfn.XMATCH(A426,$A$2:$A$2509,0,1)&lt;&gt;_xlfn.XMATCH(A426,$A$2:$A$2509,0,-1),FALSE)), "Código de barras duplicado", ""), IF(AND(E426&lt;&gt;"", COUNTIF($E$2:$E$2509, E426)&gt;1), "SKU duplicado", ""), IF(OR(J426="", J426=""), "[Aviso] División no capturada ()", IF(ISNA(MATCH(J426, Criterios!$A$123:$A$126, 0)), "División no válida", "")), IF(OR(K426="", K426=""), "[Aviso] Categoría no capturada ()", IF(ISNA(MATCH(K426, Criterios!$A$81:$A$120, 0)), "Categoría no válida", IF(AND(J426&lt;&gt;"", J426&lt;&gt;"", J426&lt;&gt;VLOOKUP(K426, Criterios!$A$81:$B$120, 2, FALSE)), "División no coincide con Categoría", ""))), IF(OR(L426="", L426=""), "[Aviso] Género no capturado ()", IF(ISNA(MATCH(L426, Criterios!$B$123:$B$127, 0)), "Género no válido", "")), IF(OR(N426="", N426=""), "[Aviso] Temporada no capturada ()", IF(ISNA(MATCH(N426, Criterios!$C$123:$C$128, 0)), "Temporada no válida", "")), IF(OR(O426="", O426=""), "[Aviso] Ciclo de vida no capturado ()", IF(ISNA(MATCH(O426, Criterios!$D$123:$D$124, 0)), "Ciclo de vida no válido", ""))))</f>
        <v/>
      </c>
      <c r="AC426" s="56" t="n"/>
      <c r="AD426" s="51" t="n">
        <v>0</v>
      </c>
      <c r="AE426" s="156" t="n"/>
      <c r="AF426" s="51" t="n">
        <v>0</v>
      </c>
      <c r="AG426" s="156" t="inlineStr">
        <is>
          <t>Catálogo existente</t>
        </is>
      </c>
      <c r="AH42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6" s="156" t="inlineStr">
        <is>
          <t>No</t>
        </is>
      </c>
      <c r="AJ426" s="156" t="n"/>
      <c r="AK426" s="155" t="inlineStr">
        <is>
          <t>Criterios: I [Q]; G1522_Extraccion_Articulos_NetSuite_2026-09-30.xlsx: fila 58998 [R] | Shopify Stetson: producto 15054564557163 / variante 53350554567019</t>
        </is>
      </c>
      <c r="AL426" s="58" t="n">
        <v>1271.18</v>
      </c>
      <c r="AM426" s="58" t="n">
        <v>7327.586207</v>
      </c>
      <c r="AN426" s="155" t="inlineStr">
        <is>
          <t>Shopify Stetson México</t>
        </is>
      </c>
      <c r="AO426" s="59" t="n">
        <v>0</v>
      </c>
      <c r="AP426" s="59" t="n"/>
      <c r="AQ426" s="59" t="n"/>
      <c r="AR426" s="155" t="n"/>
    </row>
    <row r="427">
      <c r="A427" s="50" t="inlineStr">
        <is>
          <t>12020004101025265</t>
        </is>
      </c>
      <c r="B427" s="51" t="inlineStr">
        <is>
          <t>111324</t>
        </is>
      </c>
      <c r="C427" s="156" t="inlineStr">
        <is>
          <t>Multimarca</t>
        </is>
      </c>
      <c r="D427" s="156" t="inlineStr">
        <is>
          <t>12-020-BS004-10-1025</t>
        </is>
      </c>
      <c r="E427" s="156" t="inlineStr">
        <is>
          <t>12-020-BS004-10-1025-265</t>
        </is>
      </c>
      <c r="F427" s="156" t="inlineStr">
        <is>
          <t>26.5</t>
        </is>
      </c>
      <c r="G427" s="156" t="inlineStr">
        <is>
          <t>8.5</t>
        </is>
      </c>
      <c r="H427" s="156" t="inlineStr">
        <is>
          <t>Stetson</t>
        </is>
      </c>
      <c r="I427" s="156" t="inlineStr">
        <is>
          <t>Bota Pitón Crema</t>
        </is>
      </c>
      <c r="J427" s="156" t="inlineStr">
        <is>
          <t>Calzado</t>
        </is>
      </c>
      <c r="K427" s="156" t="inlineStr">
        <is>
          <t>Botas</t>
        </is>
      </c>
      <c r="L427" s="156" t="inlineStr">
        <is>
          <t>Hombre</t>
        </is>
      </c>
      <c r="M427" s="156" t="inlineStr">
        <is>
          <t>Stetson</t>
        </is>
      </c>
      <c r="N427" s="156" t="inlineStr">
        <is>
          <t>SS26</t>
        </is>
      </c>
      <c r="O427" s="156" t="inlineStr">
        <is>
          <t>Seasonal</t>
        </is>
      </c>
      <c r="P427" s="156" t="inlineStr">
        <is>
          <t>Beige</t>
        </is>
      </c>
      <c r="Q427" s="156" t="n"/>
      <c r="R427" s="156" t="inlineStr">
        <is>
          <t>Punta Redonda Ancha</t>
        </is>
      </c>
      <c r="S427" s="156" t="inlineStr">
        <is>
          <t>Piel de pitón</t>
        </is>
      </c>
      <c r="T427" s="156" t="inlineStr">
        <is>
          <t>Bota Caballero Piel de pitón Crema Punta Redonda Ancha</t>
        </is>
      </c>
      <c r="U427" s="156" t="inlineStr">
        <is>
          <t>México</t>
        </is>
      </c>
      <c r="V427" s="156" t="inlineStr">
        <is>
          <t>PRS</t>
        </is>
      </c>
      <c r="W427" s="51" t="inlineStr">
        <is>
          <t>53111501</t>
        </is>
      </c>
      <c r="X427" s="156" t="n"/>
      <c r="Y427" s="54" t="n">
        <v>1271.18</v>
      </c>
      <c r="Z427" s="54" t="n">
        <v>7327.586207</v>
      </c>
      <c r="AA427" s="55">
        <f>IF(AND(A427="", B427="", E427=""), "", IF(AB427="", "Válido", IF((LEN(AB427)-LEN(SUBSTITUTE(AB427,"; ","")))/2+1&gt;(LEN(AB427)-LEN(SUBSTITUTE(AB427,"[Aviso]","")))/7, "Con Incidencias", "Válido")))</f>
        <v/>
      </c>
      <c r="AB427" s="56">
        <f>IF(AND(A427="", B427="", E427=""), "", TEXTJOIN("; ", TRUE, IF(OR(TRIM(A427&amp;"")="", ISNUMBER(SEARCH("FALTA", A427))), "UPC faltante/inválido", ""), IF(AND(A427&lt;&gt;"", IFERROR(_xlfn.XMATCH(A427,$A$2:$A$2509,0,1)&lt;&gt;_xlfn.XMATCH(A427,$A$2:$A$2509,0,-1),FALSE)), "Código de barras duplicado", ""), IF(AND(E427&lt;&gt;"", COUNTIF($E$2:$E$2509, E427)&gt;1), "SKU duplicado", ""), IF(OR(J427="", J427=""), "[Aviso] División no capturada ()", IF(ISNA(MATCH(J427, Criterios!$A$123:$A$126, 0)), "División no válida", "")), IF(OR(K427="", K427=""), "[Aviso] Categoría no capturada ()", IF(ISNA(MATCH(K427, Criterios!$A$81:$A$120, 0)), "Categoría no válida", IF(AND(J427&lt;&gt;"", J427&lt;&gt;"", J427&lt;&gt;VLOOKUP(K427, Criterios!$A$81:$B$120, 2, FALSE)), "División no coincide con Categoría", ""))), IF(OR(L427="", L427=""), "[Aviso] Género no capturado ()", IF(ISNA(MATCH(L427, Criterios!$B$123:$B$127, 0)), "Género no válido", "")), IF(OR(N427="", N427=""), "[Aviso] Temporada no capturada ()", IF(ISNA(MATCH(N427, Criterios!$C$123:$C$128, 0)), "Temporada no válida", "")), IF(OR(O427="", O427=""), "[Aviso] Ciclo de vida no capturado ()", IF(ISNA(MATCH(O427, Criterios!$D$123:$D$124, 0)), "Ciclo de vida no válido", ""))))</f>
        <v/>
      </c>
      <c r="AC427" s="56" t="n"/>
      <c r="AD427" s="51" t="n">
        <v>0</v>
      </c>
      <c r="AE427" s="156" t="n"/>
      <c r="AF427" s="51" t="n">
        <v>0</v>
      </c>
      <c r="AG427" s="156" t="inlineStr">
        <is>
          <t>Catálogo existente</t>
        </is>
      </c>
      <c r="AH4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7" s="156" t="inlineStr">
        <is>
          <t>No</t>
        </is>
      </c>
      <c r="AJ427" s="156" t="n"/>
      <c r="AK427" s="155" t="inlineStr">
        <is>
          <t>Criterios: I [Q]; G1522_Extraccion_Articulos_NetSuite_2026-09-30.xlsx: fila 58999 [R] | Shopify Stetson: producto 15054564557163 / variante 53350554632555</t>
        </is>
      </c>
      <c r="AL427" s="58" t="n">
        <v>1271.18</v>
      </c>
      <c r="AM427" s="58" t="n">
        <v>7327.586207</v>
      </c>
      <c r="AN427" s="155" t="inlineStr">
        <is>
          <t>Shopify Stetson México</t>
        </is>
      </c>
      <c r="AO427" s="59" t="n">
        <v>1</v>
      </c>
      <c r="AP427" s="59" t="n"/>
      <c r="AQ427" s="59" t="n"/>
      <c r="AR427" s="155" t="inlineStr">
        <is>
          <t>Shopify Stetson México › Stetson Americas: 1</t>
        </is>
      </c>
    </row>
    <row r="428">
      <c r="A428" s="50" t="inlineStr">
        <is>
          <t>12020004101025275</t>
        </is>
      </c>
      <c r="B428" s="51" t="inlineStr">
        <is>
          <t>111325</t>
        </is>
      </c>
      <c r="C428" s="156" t="inlineStr">
        <is>
          <t>Multimarca</t>
        </is>
      </c>
      <c r="D428" s="156" t="inlineStr">
        <is>
          <t>12-020-BS004-10-1025</t>
        </is>
      </c>
      <c r="E428" s="156" t="inlineStr">
        <is>
          <t>12-020-BS004-10-1025-275</t>
        </is>
      </c>
      <c r="F428" s="156" t="inlineStr">
        <is>
          <t>27.5</t>
        </is>
      </c>
      <c r="G428" s="156" t="inlineStr">
        <is>
          <t>9.5</t>
        </is>
      </c>
      <c r="H428" s="156" t="inlineStr">
        <is>
          <t>Stetson</t>
        </is>
      </c>
      <c r="I428" s="156" t="inlineStr">
        <is>
          <t>Bota Pitón Crema</t>
        </is>
      </c>
      <c r="J428" s="156" t="inlineStr">
        <is>
          <t>Calzado</t>
        </is>
      </c>
      <c r="K428" s="156" t="inlineStr">
        <is>
          <t>Botas</t>
        </is>
      </c>
      <c r="L428" s="156" t="inlineStr">
        <is>
          <t>Hombre</t>
        </is>
      </c>
      <c r="M428" s="156" t="inlineStr">
        <is>
          <t>Stetson</t>
        </is>
      </c>
      <c r="N428" s="156" t="inlineStr">
        <is>
          <t>SS26</t>
        </is>
      </c>
      <c r="O428" s="156" t="inlineStr">
        <is>
          <t>Seasonal</t>
        </is>
      </c>
      <c r="P428" s="156" t="inlineStr">
        <is>
          <t>Beige</t>
        </is>
      </c>
      <c r="Q428" s="156" t="n"/>
      <c r="R428" s="156" t="inlineStr">
        <is>
          <t>Punta Redonda Ancha</t>
        </is>
      </c>
      <c r="S428" s="156" t="inlineStr">
        <is>
          <t>Piel de pitón</t>
        </is>
      </c>
      <c r="T428" s="156" t="inlineStr">
        <is>
          <t>Bota Caballero Piel de pitón Crema Punta Redonda Ancha</t>
        </is>
      </c>
      <c r="U428" s="156" t="inlineStr">
        <is>
          <t>México</t>
        </is>
      </c>
      <c r="V428" s="156" t="inlineStr">
        <is>
          <t>PRS</t>
        </is>
      </c>
      <c r="W428" s="51" t="inlineStr">
        <is>
          <t>53111501</t>
        </is>
      </c>
      <c r="X428" s="156" t="n"/>
      <c r="Y428" s="54" t="n">
        <v>1271.18</v>
      </c>
      <c r="Z428" s="54" t="n">
        <v>7327.586207</v>
      </c>
      <c r="AA428" s="55">
        <f>IF(AND(A428="", B428="", E428=""), "", IF(AB428="", "Válido", IF((LEN(AB428)-LEN(SUBSTITUTE(AB428,"; ","")))/2+1&gt;(LEN(AB428)-LEN(SUBSTITUTE(AB428,"[Aviso]","")))/7, "Con Incidencias", "Válido")))</f>
        <v/>
      </c>
      <c r="AB428" s="56">
        <f>IF(AND(A428="", B428="", E428=""), "", TEXTJOIN("; ", TRUE, IF(OR(TRIM(A428&amp;"")="", ISNUMBER(SEARCH("FALTA", A428))), "UPC faltante/inválido", ""), IF(AND(A428&lt;&gt;"", IFERROR(_xlfn.XMATCH(A428,$A$2:$A$2509,0,1)&lt;&gt;_xlfn.XMATCH(A428,$A$2:$A$2509,0,-1),FALSE)), "Código de barras duplicado", ""), IF(AND(E428&lt;&gt;"", COUNTIF($E$2:$E$2509, E428)&gt;1), "SKU duplicado", ""), IF(OR(J428="", J428=""), "[Aviso] División no capturada ()", IF(ISNA(MATCH(J428, Criterios!$A$123:$A$126, 0)), "División no válida", "")), IF(OR(K428="", K428=""), "[Aviso] Categoría no capturada ()", IF(ISNA(MATCH(K428, Criterios!$A$81:$A$120, 0)), "Categoría no válida", IF(AND(J428&lt;&gt;"", J428&lt;&gt;"", J428&lt;&gt;VLOOKUP(K428, Criterios!$A$81:$B$120, 2, FALSE)), "División no coincide con Categoría", ""))), IF(OR(L428="", L428=""), "[Aviso] Género no capturado ()", IF(ISNA(MATCH(L428, Criterios!$B$123:$B$127, 0)), "Género no válido", "")), IF(OR(N428="", N428=""), "[Aviso] Temporada no capturada ()", IF(ISNA(MATCH(N428, Criterios!$C$123:$C$128, 0)), "Temporada no válida", "")), IF(OR(O428="", O428=""), "[Aviso] Ciclo de vida no capturado ()", IF(ISNA(MATCH(O428, Criterios!$D$123:$D$124, 0)), "Ciclo de vida no válido", ""))))</f>
        <v/>
      </c>
      <c r="AC428" s="56" t="n"/>
      <c r="AD428" s="51" t="n">
        <v>0</v>
      </c>
      <c r="AE428" s="156" t="n"/>
      <c r="AF428" s="51" t="n">
        <v>0</v>
      </c>
      <c r="AG428" s="156" t="inlineStr">
        <is>
          <t>Catálogo existente</t>
        </is>
      </c>
      <c r="AH4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8" s="156" t="inlineStr">
        <is>
          <t>No</t>
        </is>
      </c>
      <c r="AJ428" s="156" t="n"/>
      <c r="AK428" s="155" t="inlineStr">
        <is>
          <t>Criterios: I [Q]; G1522_Extraccion_Articulos_NetSuite_2026-09-30.xlsx: fila 59000 [R] | Shopify Stetson: producto 15054564557163 / variante 53350554698091</t>
        </is>
      </c>
      <c r="AL428" s="58" t="n">
        <v>1271.18</v>
      </c>
      <c r="AM428" s="58" t="n">
        <v>7327.586207</v>
      </c>
      <c r="AN428" s="155" t="inlineStr">
        <is>
          <t>Shopify Stetson México</t>
        </is>
      </c>
      <c r="AO428" s="59" t="n">
        <v>1</v>
      </c>
      <c r="AP428" s="59" t="n"/>
      <c r="AQ428" s="59" t="n"/>
      <c r="AR428" s="155" t="inlineStr">
        <is>
          <t>Shopify Stetson México › Stetson Americas: 1</t>
        </is>
      </c>
    </row>
    <row r="429">
      <c r="A429" s="50" t="inlineStr">
        <is>
          <t>12020004101025285</t>
        </is>
      </c>
      <c r="B429" s="51" t="inlineStr">
        <is>
          <t>111326</t>
        </is>
      </c>
      <c r="C429" s="156" t="inlineStr">
        <is>
          <t>Multimarca</t>
        </is>
      </c>
      <c r="D429" s="156" t="inlineStr">
        <is>
          <t>12-020-BS004-10-1025</t>
        </is>
      </c>
      <c r="E429" s="156" t="inlineStr">
        <is>
          <t>12-020-BS004-10-1025-285</t>
        </is>
      </c>
      <c r="F429" s="156" t="inlineStr">
        <is>
          <t>28.5</t>
        </is>
      </c>
      <c r="G429" s="156" t="inlineStr">
        <is>
          <t>10.5</t>
        </is>
      </c>
      <c r="H429" s="156" t="inlineStr">
        <is>
          <t>Stetson</t>
        </is>
      </c>
      <c r="I429" s="156" t="inlineStr">
        <is>
          <t>Bota Pitón Crema</t>
        </is>
      </c>
      <c r="J429" s="156" t="inlineStr">
        <is>
          <t>Calzado</t>
        </is>
      </c>
      <c r="K429" s="156" t="inlineStr">
        <is>
          <t>Botas</t>
        </is>
      </c>
      <c r="L429" s="156" t="inlineStr">
        <is>
          <t>Hombre</t>
        </is>
      </c>
      <c r="M429" s="156" t="inlineStr">
        <is>
          <t>Stetson</t>
        </is>
      </c>
      <c r="N429" s="156" t="inlineStr">
        <is>
          <t>SS26</t>
        </is>
      </c>
      <c r="O429" s="156" t="inlineStr">
        <is>
          <t>Seasonal</t>
        </is>
      </c>
      <c r="P429" s="156" t="inlineStr">
        <is>
          <t>Beige</t>
        </is>
      </c>
      <c r="Q429" s="156" t="n"/>
      <c r="R429" s="156" t="inlineStr">
        <is>
          <t>Punta Redonda Ancha</t>
        </is>
      </c>
      <c r="S429" s="156" t="inlineStr">
        <is>
          <t>Piel de pitón</t>
        </is>
      </c>
      <c r="T429" s="156" t="inlineStr">
        <is>
          <t>Bota Caballero Piel de pitón Crema Punta Redonda Ancha</t>
        </is>
      </c>
      <c r="U429" s="156" t="inlineStr">
        <is>
          <t>México</t>
        </is>
      </c>
      <c r="V429" s="156" t="inlineStr">
        <is>
          <t>PRS</t>
        </is>
      </c>
      <c r="W429" s="51" t="inlineStr">
        <is>
          <t>53111501</t>
        </is>
      </c>
      <c r="X429" s="156" t="n"/>
      <c r="Y429" s="54" t="n">
        <v>1271.18</v>
      </c>
      <c r="Z429" s="54" t="n">
        <v>7327.586207</v>
      </c>
      <c r="AA429" s="55">
        <f>IF(AND(A429="", B429="", E429=""), "", IF(AB429="", "Válido", IF((LEN(AB429)-LEN(SUBSTITUTE(AB429,"; ","")))/2+1&gt;(LEN(AB429)-LEN(SUBSTITUTE(AB429,"[Aviso]","")))/7, "Con Incidencias", "Válido")))</f>
        <v/>
      </c>
      <c r="AB429" s="56">
        <f>IF(AND(A429="", B429="", E429=""), "", TEXTJOIN("; ", TRUE, IF(OR(TRIM(A429&amp;"")="", ISNUMBER(SEARCH("FALTA", A429))), "UPC faltante/inválido", ""), IF(AND(A429&lt;&gt;"", IFERROR(_xlfn.XMATCH(A429,$A$2:$A$2509,0,1)&lt;&gt;_xlfn.XMATCH(A429,$A$2:$A$2509,0,-1),FALSE)), "Código de barras duplicado", ""), IF(AND(E429&lt;&gt;"", COUNTIF($E$2:$E$2509, E429)&gt;1), "SKU duplicado", ""), IF(OR(J429="", J429=""), "[Aviso] División no capturada ()", IF(ISNA(MATCH(J429, Criterios!$A$123:$A$126, 0)), "División no válida", "")), IF(OR(K429="", K429=""), "[Aviso] Categoría no capturada ()", IF(ISNA(MATCH(K429, Criterios!$A$81:$A$120, 0)), "Categoría no válida", IF(AND(J429&lt;&gt;"", J429&lt;&gt;"", J429&lt;&gt;VLOOKUP(K429, Criterios!$A$81:$B$120, 2, FALSE)), "División no coincide con Categoría", ""))), IF(OR(L429="", L429=""), "[Aviso] Género no capturado ()", IF(ISNA(MATCH(L429, Criterios!$B$123:$B$127, 0)), "Género no válido", "")), IF(OR(N429="", N429=""), "[Aviso] Temporada no capturada ()", IF(ISNA(MATCH(N429, Criterios!$C$123:$C$128, 0)), "Temporada no válida", "")), IF(OR(O429="", O429=""), "[Aviso] Ciclo de vida no capturado ()", IF(ISNA(MATCH(O429, Criterios!$D$123:$D$124, 0)), "Ciclo de vida no válido", ""))))</f>
        <v/>
      </c>
      <c r="AC429" s="56" t="n"/>
      <c r="AD429" s="51" t="n">
        <v>0</v>
      </c>
      <c r="AE429" s="156" t="n"/>
      <c r="AF429" s="51" t="n">
        <v>0</v>
      </c>
      <c r="AG429" s="156" t="inlineStr">
        <is>
          <t>Catálogo existente</t>
        </is>
      </c>
      <c r="AH4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9" s="156" t="inlineStr">
        <is>
          <t>No</t>
        </is>
      </c>
      <c r="AJ429" s="156" t="n"/>
      <c r="AK429" s="155" t="inlineStr">
        <is>
          <t>Criterios: I [Q]; G1522_Extraccion_Articulos_NetSuite_2026-09-30.xlsx: fila 59001 [R] | Shopify Stetson: producto 15054564557163 / variante 53350554763627</t>
        </is>
      </c>
      <c r="AL429" s="58" t="n">
        <v>1271.18</v>
      </c>
      <c r="AM429" s="58" t="n">
        <v>7327.586207</v>
      </c>
      <c r="AN429" s="155" t="inlineStr">
        <is>
          <t>Shopify Stetson México</t>
        </is>
      </c>
      <c r="AO429" s="59" t="n">
        <v>1</v>
      </c>
      <c r="AP429" s="59" t="n"/>
      <c r="AQ429" s="59" t="n"/>
      <c r="AR429" s="155" t="inlineStr">
        <is>
          <t>Shopify Stetson México › Stetson Americas: 1</t>
        </is>
      </c>
    </row>
    <row r="430">
      <c r="A430" s="50" t="inlineStr">
        <is>
          <t>12020004101025295</t>
        </is>
      </c>
      <c r="B430" s="51" t="inlineStr">
        <is>
          <t>111327</t>
        </is>
      </c>
      <c r="C430" s="156" t="inlineStr">
        <is>
          <t>Multimarca</t>
        </is>
      </c>
      <c r="D430" s="156" t="inlineStr">
        <is>
          <t>12-020-BS004-10-1025</t>
        </is>
      </c>
      <c r="E430" s="156" t="inlineStr">
        <is>
          <t>12-020-BS004-10-1025-295</t>
        </is>
      </c>
      <c r="F430" s="156" t="inlineStr">
        <is>
          <t>29.5</t>
        </is>
      </c>
      <c r="G430" s="156" t="inlineStr">
        <is>
          <t>11.5</t>
        </is>
      </c>
      <c r="H430" s="156" t="inlineStr">
        <is>
          <t>Stetson</t>
        </is>
      </c>
      <c r="I430" s="156" t="inlineStr">
        <is>
          <t>Bota Pitón Crema</t>
        </is>
      </c>
      <c r="J430" s="156" t="inlineStr">
        <is>
          <t>Calzado</t>
        </is>
      </c>
      <c r="K430" s="156" t="inlineStr">
        <is>
          <t>Botas</t>
        </is>
      </c>
      <c r="L430" s="156" t="inlineStr">
        <is>
          <t>Hombre</t>
        </is>
      </c>
      <c r="M430" s="156" t="inlineStr">
        <is>
          <t>Stetson</t>
        </is>
      </c>
      <c r="N430" s="156" t="inlineStr">
        <is>
          <t>SS26</t>
        </is>
      </c>
      <c r="O430" s="156" t="inlineStr">
        <is>
          <t>Seasonal</t>
        </is>
      </c>
      <c r="P430" s="156" t="inlineStr">
        <is>
          <t>Beige</t>
        </is>
      </c>
      <c r="Q430" s="156" t="n"/>
      <c r="R430" s="156" t="inlineStr">
        <is>
          <t>Punta Redonda Ancha</t>
        </is>
      </c>
      <c r="S430" s="156" t="inlineStr">
        <is>
          <t>Piel de pitón</t>
        </is>
      </c>
      <c r="T430" s="156" t="inlineStr">
        <is>
          <t>Bota Caballero Piel de pitón Crema Punta Redonda Ancha</t>
        </is>
      </c>
      <c r="U430" s="156" t="inlineStr">
        <is>
          <t>México</t>
        </is>
      </c>
      <c r="V430" s="156" t="inlineStr">
        <is>
          <t>PRS</t>
        </is>
      </c>
      <c r="W430" s="51" t="inlineStr">
        <is>
          <t>53111501</t>
        </is>
      </c>
      <c r="X430" s="156" t="n"/>
      <c r="Y430" s="54" t="n">
        <v>1271.18</v>
      </c>
      <c r="Z430" s="54" t="n">
        <v>7327.586207</v>
      </c>
      <c r="AA430" s="55">
        <f>IF(AND(A430="", B430="", E430=""), "", IF(AB430="", "Válido", IF((LEN(AB430)-LEN(SUBSTITUTE(AB430,"; ","")))/2+1&gt;(LEN(AB430)-LEN(SUBSTITUTE(AB430,"[Aviso]","")))/7, "Con Incidencias", "Válido")))</f>
        <v/>
      </c>
      <c r="AB430" s="56">
        <f>IF(AND(A430="", B430="", E430=""), "", TEXTJOIN("; ", TRUE, IF(OR(TRIM(A430&amp;"")="", ISNUMBER(SEARCH("FALTA", A430))), "UPC faltante/inválido", ""), IF(AND(A430&lt;&gt;"", IFERROR(_xlfn.XMATCH(A430,$A$2:$A$2509,0,1)&lt;&gt;_xlfn.XMATCH(A430,$A$2:$A$2509,0,-1),FALSE)), "Código de barras duplicado", ""), IF(AND(E430&lt;&gt;"", COUNTIF($E$2:$E$2509, E430)&gt;1), "SKU duplicado", ""), IF(OR(J430="", J430=""), "[Aviso] División no capturada ()", IF(ISNA(MATCH(J430, Criterios!$A$123:$A$126, 0)), "División no válida", "")), IF(OR(K430="", K430=""), "[Aviso] Categoría no capturada ()", IF(ISNA(MATCH(K430, Criterios!$A$81:$A$120, 0)), "Categoría no válida", IF(AND(J430&lt;&gt;"", J430&lt;&gt;"", J430&lt;&gt;VLOOKUP(K430, Criterios!$A$81:$B$120, 2, FALSE)), "División no coincide con Categoría", ""))), IF(OR(L430="", L430=""), "[Aviso] Género no capturado ()", IF(ISNA(MATCH(L430, Criterios!$B$123:$B$127, 0)), "Género no válido", "")), IF(OR(N430="", N430=""), "[Aviso] Temporada no capturada ()", IF(ISNA(MATCH(N430, Criterios!$C$123:$C$128, 0)), "Temporada no válida", "")), IF(OR(O430="", O430=""), "[Aviso] Ciclo de vida no capturado ()", IF(ISNA(MATCH(O430, Criterios!$D$123:$D$124, 0)), "Ciclo de vida no válido", ""))))</f>
        <v/>
      </c>
      <c r="AC430" s="56" t="n"/>
      <c r="AD430" s="51" t="n">
        <v>0</v>
      </c>
      <c r="AE430" s="156" t="n"/>
      <c r="AF430" s="51" t="n">
        <v>0</v>
      </c>
      <c r="AG430" s="156" t="inlineStr">
        <is>
          <t>Catálogo existente</t>
        </is>
      </c>
      <c r="AH4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0" s="156" t="inlineStr">
        <is>
          <t>No</t>
        </is>
      </c>
      <c r="AJ430" s="156" t="n"/>
      <c r="AK430" s="155" t="inlineStr">
        <is>
          <t>Criterios: I [Q]; G1522_Extraccion_Articulos_NetSuite_2026-09-30.xlsx: fila 59002 [R] | Shopify Stetson: producto 15054564557163 / variante 53350554829163</t>
        </is>
      </c>
      <c r="AL430" s="58" t="n">
        <v>1271.18</v>
      </c>
      <c r="AM430" s="58" t="n">
        <v>7327.586207</v>
      </c>
      <c r="AN430" s="155" t="inlineStr">
        <is>
          <t>Shopify Stetson México</t>
        </is>
      </c>
      <c r="AO430" s="59" t="n">
        <v>1</v>
      </c>
      <c r="AP430" s="59" t="n"/>
      <c r="AQ430" s="59" t="n"/>
      <c r="AR430" s="155" t="inlineStr">
        <is>
          <t>Shopify Stetson México › Stetson Americas: 1</t>
        </is>
      </c>
    </row>
    <row r="431">
      <c r="A431" s="50" t="inlineStr">
        <is>
          <t>12020004101025305</t>
        </is>
      </c>
      <c r="B431" s="51" t="inlineStr">
        <is>
          <t>111328</t>
        </is>
      </c>
      <c r="C431" s="156" t="inlineStr">
        <is>
          <t>Multimarca</t>
        </is>
      </c>
      <c r="D431" s="156" t="inlineStr">
        <is>
          <t>12-020-BS004-10-1025</t>
        </is>
      </c>
      <c r="E431" s="156" t="inlineStr">
        <is>
          <t>12-020-BS004-10-1025-305</t>
        </is>
      </c>
      <c r="F431" s="156" t="inlineStr">
        <is>
          <t>30.5</t>
        </is>
      </c>
      <c r="G431" s="156" t="inlineStr">
        <is>
          <t>12.5</t>
        </is>
      </c>
      <c r="H431" s="156" t="inlineStr">
        <is>
          <t>Stetson</t>
        </is>
      </c>
      <c r="I431" s="156" t="inlineStr">
        <is>
          <t>Bota Pitón Crema</t>
        </is>
      </c>
      <c r="J431" s="156" t="inlineStr">
        <is>
          <t>Calzado</t>
        </is>
      </c>
      <c r="K431" s="156" t="inlineStr">
        <is>
          <t>Botas</t>
        </is>
      </c>
      <c r="L431" s="156" t="inlineStr">
        <is>
          <t>Hombre</t>
        </is>
      </c>
      <c r="M431" s="156" t="inlineStr">
        <is>
          <t>Stetson</t>
        </is>
      </c>
      <c r="N431" s="156" t="inlineStr">
        <is>
          <t>SS26</t>
        </is>
      </c>
      <c r="O431" s="156" t="inlineStr">
        <is>
          <t>Seasonal</t>
        </is>
      </c>
      <c r="P431" s="156" t="inlineStr">
        <is>
          <t>Beige</t>
        </is>
      </c>
      <c r="Q431" s="156" t="n"/>
      <c r="R431" s="156" t="inlineStr">
        <is>
          <t>Punta Redonda Ancha</t>
        </is>
      </c>
      <c r="S431" s="156" t="inlineStr">
        <is>
          <t>Piel de pitón</t>
        </is>
      </c>
      <c r="T431" s="156" t="inlineStr">
        <is>
          <t>Bota Caballero Piel de pitón Crema Punta Redonda Ancha</t>
        </is>
      </c>
      <c r="U431" s="156" t="inlineStr">
        <is>
          <t>México</t>
        </is>
      </c>
      <c r="V431" s="156" t="inlineStr">
        <is>
          <t>PRS</t>
        </is>
      </c>
      <c r="W431" s="51" t="inlineStr">
        <is>
          <t>53111501</t>
        </is>
      </c>
      <c r="X431" s="156" t="n"/>
      <c r="Y431" s="54" t="n">
        <v>1271.18</v>
      </c>
      <c r="Z431" s="54" t="n">
        <v>7327.586207</v>
      </c>
      <c r="AA431" s="55">
        <f>IF(AND(A431="", B431="", E431=""), "", IF(AB431="", "Válido", IF((LEN(AB431)-LEN(SUBSTITUTE(AB431,"; ","")))/2+1&gt;(LEN(AB431)-LEN(SUBSTITUTE(AB431,"[Aviso]","")))/7, "Con Incidencias", "Válido")))</f>
        <v/>
      </c>
      <c r="AB431" s="56">
        <f>IF(AND(A431="", B431="", E431=""), "", TEXTJOIN("; ", TRUE, IF(OR(TRIM(A431&amp;"")="", ISNUMBER(SEARCH("FALTA", A431))), "UPC faltante/inválido", ""), IF(AND(A431&lt;&gt;"", IFERROR(_xlfn.XMATCH(A431,$A$2:$A$2509,0,1)&lt;&gt;_xlfn.XMATCH(A431,$A$2:$A$2509,0,-1),FALSE)), "Código de barras duplicado", ""), IF(AND(E431&lt;&gt;"", COUNTIF($E$2:$E$2509, E431)&gt;1), "SKU duplicado", ""), IF(OR(J431="", J431=""), "[Aviso] División no capturada ()", IF(ISNA(MATCH(J431, Criterios!$A$123:$A$126, 0)), "División no válida", "")), IF(OR(K431="", K431=""), "[Aviso] Categoría no capturada ()", IF(ISNA(MATCH(K431, Criterios!$A$81:$A$120, 0)), "Categoría no válida", IF(AND(J431&lt;&gt;"", J431&lt;&gt;"", J431&lt;&gt;VLOOKUP(K431, Criterios!$A$81:$B$120, 2, FALSE)), "División no coincide con Categoría", ""))), IF(OR(L431="", L431=""), "[Aviso] Género no capturado ()", IF(ISNA(MATCH(L431, Criterios!$B$123:$B$127, 0)), "Género no válido", "")), IF(OR(N431="", N431=""), "[Aviso] Temporada no capturada ()", IF(ISNA(MATCH(N431, Criterios!$C$123:$C$128, 0)), "Temporada no válida", "")), IF(OR(O431="", O431=""), "[Aviso] Ciclo de vida no capturado ()", IF(ISNA(MATCH(O431, Criterios!$D$123:$D$124, 0)), "Ciclo de vida no válido", ""))))</f>
        <v/>
      </c>
      <c r="AC431" s="56" t="n"/>
      <c r="AD431" s="51" t="n">
        <v>0</v>
      </c>
      <c r="AE431" s="156" t="n"/>
      <c r="AF431" s="51" t="n">
        <v>0</v>
      </c>
      <c r="AG431" s="156" t="inlineStr">
        <is>
          <t>Catálogo existente</t>
        </is>
      </c>
      <c r="AH4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1" s="156" t="inlineStr">
        <is>
          <t>No</t>
        </is>
      </c>
      <c r="AJ431" s="156" t="n"/>
      <c r="AK431" s="155" t="inlineStr">
        <is>
          <t>Criterios: I [Q]; G1522_Extraccion_Articulos_NetSuite_2026-09-30.xlsx: fila 59003 [R] | Shopify Stetson: producto 15054564557163 / variante 53350554894699</t>
        </is>
      </c>
      <c r="AL431" s="58" t="n">
        <v>1271.18</v>
      </c>
      <c r="AM431" s="58" t="n">
        <v>7327.586207</v>
      </c>
      <c r="AN431" s="155" t="inlineStr">
        <is>
          <t>Shopify Stetson México</t>
        </is>
      </c>
      <c r="AO431" s="59" t="n">
        <v>0</v>
      </c>
      <c r="AP431" s="59" t="n"/>
      <c r="AQ431" s="59" t="n"/>
      <c r="AR431" s="155" t="n"/>
    </row>
    <row r="432">
      <c r="A432" s="50" t="inlineStr">
        <is>
          <t>12020004101025315</t>
        </is>
      </c>
      <c r="B432" s="51" t="inlineStr">
        <is>
          <t>111329</t>
        </is>
      </c>
      <c r="C432" s="156" t="inlineStr">
        <is>
          <t>Multimarca</t>
        </is>
      </c>
      <c r="D432" s="156" t="inlineStr">
        <is>
          <t>12-020-BS004-10-1025</t>
        </is>
      </c>
      <c r="E432" s="156" t="inlineStr">
        <is>
          <t>12-020-BS004-10-1025-315</t>
        </is>
      </c>
      <c r="F432" s="156" t="inlineStr">
        <is>
          <t>31.5</t>
        </is>
      </c>
      <c r="G432" s="156" t="inlineStr">
        <is>
          <t>13.5</t>
        </is>
      </c>
      <c r="H432" s="156" t="inlineStr">
        <is>
          <t>Stetson</t>
        </is>
      </c>
      <c r="I432" s="156" t="inlineStr">
        <is>
          <t>Bota Pitón Crema</t>
        </is>
      </c>
      <c r="J432" s="156" t="inlineStr">
        <is>
          <t>Calzado</t>
        </is>
      </c>
      <c r="K432" s="156" t="inlineStr">
        <is>
          <t>Botas</t>
        </is>
      </c>
      <c r="L432" s="156" t="inlineStr">
        <is>
          <t>Hombre</t>
        </is>
      </c>
      <c r="M432" s="156" t="inlineStr">
        <is>
          <t>Stetson</t>
        </is>
      </c>
      <c r="N432" s="156" t="inlineStr">
        <is>
          <t>SS26</t>
        </is>
      </c>
      <c r="O432" s="156" t="inlineStr">
        <is>
          <t>Seasonal</t>
        </is>
      </c>
      <c r="P432" s="156" t="inlineStr">
        <is>
          <t>Beige</t>
        </is>
      </c>
      <c r="Q432" s="156" t="n"/>
      <c r="R432" s="156" t="inlineStr">
        <is>
          <t>Punta Redonda Ancha</t>
        </is>
      </c>
      <c r="S432" s="156" t="inlineStr">
        <is>
          <t>Piel de pitón</t>
        </is>
      </c>
      <c r="T432" s="156" t="inlineStr">
        <is>
          <t>Bota Caballero Piel de pitón Crema Punta Redonda Ancha</t>
        </is>
      </c>
      <c r="U432" s="156" t="inlineStr">
        <is>
          <t>México</t>
        </is>
      </c>
      <c r="V432" s="156" t="inlineStr">
        <is>
          <t>PRS</t>
        </is>
      </c>
      <c r="W432" s="51" t="inlineStr">
        <is>
          <t>53111501</t>
        </is>
      </c>
      <c r="X432" s="156" t="n"/>
      <c r="Y432" s="54" t="n">
        <v>1271.18</v>
      </c>
      <c r="Z432" s="54" t="n">
        <v>7327.586207</v>
      </c>
      <c r="AA432" s="55">
        <f>IF(AND(A432="", B432="", E432=""), "", IF(AB432="", "Válido", IF((LEN(AB432)-LEN(SUBSTITUTE(AB432,"; ","")))/2+1&gt;(LEN(AB432)-LEN(SUBSTITUTE(AB432,"[Aviso]","")))/7, "Con Incidencias", "Válido")))</f>
        <v/>
      </c>
      <c r="AB432" s="56">
        <f>IF(AND(A432="", B432="", E432=""), "", TEXTJOIN("; ", TRUE, IF(OR(TRIM(A432&amp;"")="", ISNUMBER(SEARCH("FALTA", A432))), "UPC faltante/inválido", ""), IF(AND(A432&lt;&gt;"", IFERROR(_xlfn.XMATCH(A432,$A$2:$A$2509,0,1)&lt;&gt;_xlfn.XMATCH(A432,$A$2:$A$2509,0,-1),FALSE)), "Código de barras duplicado", ""), IF(AND(E432&lt;&gt;"", COUNTIF($E$2:$E$2509, E432)&gt;1), "SKU duplicado", ""), IF(OR(J432="", J432=""), "[Aviso] División no capturada ()", IF(ISNA(MATCH(J432, Criterios!$A$123:$A$126, 0)), "División no válida", "")), IF(OR(K432="", K432=""), "[Aviso] Categoría no capturada ()", IF(ISNA(MATCH(K432, Criterios!$A$81:$A$120, 0)), "Categoría no válida", IF(AND(J432&lt;&gt;"", J432&lt;&gt;"", J432&lt;&gt;VLOOKUP(K432, Criterios!$A$81:$B$120, 2, FALSE)), "División no coincide con Categoría", ""))), IF(OR(L432="", L432=""), "[Aviso] Género no capturado ()", IF(ISNA(MATCH(L432, Criterios!$B$123:$B$127, 0)), "Género no válido", "")), IF(OR(N432="", N432=""), "[Aviso] Temporada no capturada ()", IF(ISNA(MATCH(N432, Criterios!$C$123:$C$128, 0)), "Temporada no válida", "")), IF(OR(O432="", O432=""), "[Aviso] Ciclo de vida no capturado ()", IF(ISNA(MATCH(O432, Criterios!$D$123:$D$124, 0)), "Ciclo de vida no válido", ""))))</f>
        <v/>
      </c>
      <c r="AC432" s="56" t="n"/>
      <c r="AD432" s="51" t="n">
        <v>0</v>
      </c>
      <c r="AE432" s="156" t="n"/>
      <c r="AF432" s="51" t="n">
        <v>0</v>
      </c>
      <c r="AG432" s="156" t="inlineStr">
        <is>
          <t>Catálogo existente</t>
        </is>
      </c>
      <c r="AH4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2" s="156" t="inlineStr">
        <is>
          <t>No</t>
        </is>
      </c>
      <c r="AJ432" s="156" t="n"/>
      <c r="AK432" s="155" t="inlineStr">
        <is>
          <t>Criterios: I [Q]; G1522_Extraccion_Articulos_NetSuite_2026-09-30.xlsx: fila 59004 [R] | Shopify Stetson: producto 15054564557163 / variante 53350554960235</t>
        </is>
      </c>
      <c r="AL432" s="58" t="n">
        <v>1271.18</v>
      </c>
      <c r="AM432" s="58" t="n">
        <v>7327.586207</v>
      </c>
      <c r="AN432" s="155" t="inlineStr">
        <is>
          <t>Shopify Stetson México</t>
        </is>
      </c>
      <c r="AO432" s="59" t="n">
        <v>0</v>
      </c>
      <c r="AP432" s="59" t="n"/>
      <c r="AQ432" s="59" t="n"/>
      <c r="AR432" s="155" t="n"/>
    </row>
    <row r="433">
      <c r="A433" s="50" t="inlineStr">
        <is>
          <t>12020004101025325</t>
        </is>
      </c>
      <c r="B433" s="51" t="inlineStr">
        <is>
          <t>111330</t>
        </is>
      </c>
      <c r="C433" s="156" t="inlineStr">
        <is>
          <t>Multimarca</t>
        </is>
      </c>
      <c r="D433" s="156" t="inlineStr">
        <is>
          <t>12-020-BS004-10-1025</t>
        </is>
      </c>
      <c r="E433" s="156" t="inlineStr">
        <is>
          <t>12-020-BS004-10-1025-325</t>
        </is>
      </c>
      <c r="F433" s="156" t="inlineStr">
        <is>
          <t>32.5</t>
        </is>
      </c>
      <c r="G433" s="156" t="inlineStr">
        <is>
          <t>14.5</t>
        </is>
      </c>
      <c r="H433" s="156" t="inlineStr">
        <is>
          <t>Stetson</t>
        </is>
      </c>
      <c r="I433" s="156" t="inlineStr">
        <is>
          <t>Bota Pitón Crema</t>
        </is>
      </c>
      <c r="J433" s="156" t="inlineStr">
        <is>
          <t>Calzado</t>
        </is>
      </c>
      <c r="K433" s="156" t="inlineStr">
        <is>
          <t>Botas</t>
        </is>
      </c>
      <c r="L433" s="156" t="inlineStr">
        <is>
          <t>Hombre</t>
        </is>
      </c>
      <c r="M433" s="156" t="inlineStr">
        <is>
          <t>Stetson</t>
        </is>
      </c>
      <c r="N433" s="156" t="inlineStr">
        <is>
          <t>SS26</t>
        </is>
      </c>
      <c r="O433" s="156" t="inlineStr">
        <is>
          <t>Seasonal</t>
        </is>
      </c>
      <c r="P433" s="156" t="inlineStr">
        <is>
          <t>Beige</t>
        </is>
      </c>
      <c r="Q433" s="156" t="n"/>
      <c r="R433" s="156" t="inlineStr">
        <is>
          <t>Punta Redonda Ancha</t>
        </is>
      </c>
      <c r="S433" s="156" t="inlineStr">
        <is>
          <t>Piel de pitón</t>
        </is>
      </c>
      <c r="T433" s="156" t="inlineStr">
        <is>
          <t>Bota Caballero Piel de pitón Crema Punta Redonda Ancha</t>
        </is>
      </c>
      <c r="U433" s="156" t="inlineStr">
        <is>
          <t>México</t>
        </is>
      </c>
      <c r="V433" s="156" t="inlineStr">
        <is>
          <t>PRS</t>
        </is>
      </c>
      <c r="W433" s="51" t="inlineStr">
        <is>
          <t>53111501</t>
        </is>
      </c>
      <c r="X433" s="156" t="n"/>
      <c r="Y433" s="54" t="n">
        <v>1271.18</v>
      </c>
      <c r="Z433" s="54" t="n">
        <v>7327.586207</v>
      </c>
      <c r="AA433" s="55">
        <f>IF(AND(A433="", B433="", E433=""), "", IF(AB433="", "Válido", IF((LEN(AB433)-LEN(SUBSTITUTE(AB433,"; ","")))/2+1&gt;(LEN(AB433)-LEN(SUBSTITUTE(AB433,"[Aviso]","")))/7, "Con Incidencias", "Válido")))</f>
        <v/>
      </c>
      <c r="AB433" s="56">
        <f>IF(AND(A433="", B433="", E433=""), "", TEXTJOIN("; ", TRUE, IF(OR(TRIM(A433&amp;"")="", ISNUMBER(SEARCH("FALTA", A433))), "UPC faltante/inválido", ""), IF(AND(A433&lt;&gt;"", IFERROR(_xlfn.XMATCH(A433,$A$2:$A$2509,0,1)&lt;&gt;_xlfn.XMATCH(A433,$A$2:$A$2509,0,-1),FALSE)), "Código de barras duplicado", ""), IF(AND(E433&lt;&gt;"", COUNTIF($E$2:$E$2509, E433)&gt;1), "SKU duplicado", ""), IF(OR(J433="", J433=""), "[Aviso] División no capturada ()", IF(ISNA(MATCH(J433, Criterios!$A$123:$A$126, 0)), "División no válida", "")), IF(OR(K433="", K433=""), "[Aviso] Categoría no capturada ()", IF(ISNA(MATCH(K433, Criterios!$A$81:$A$120, 0)), "Categoría no válida", IF(AND(J433&lt;&gt;"", J433&lt;&gt;"", J433&lt;&gt;VLOOKUP(K433, Criterios!$A$81:$B$120, 2, FALSE)), "División no coincide con Categoría", ""))), IF(OR(L433="", L433=""), "[Aviso] Género no capturado ()", IF(ISNA(MATCH(L433, Criterios!$B$123:$B$127, 0)), "Género no válido", "")), IF(OR(N433="", N433=""), "[Aviso] Temporada no capturada ()", IF(ISNA(MATCH(N433, Criterios!$C$123:$C$128, 0)), "Temporada no válida", "")), IF(OR(O433="", O433=""), "[Aviso] Ciclo de vida no capturado ()", IF(ISNA(MATCH(O433, Criterios!$D$123:$D$124, 0)), "Ciclo de vida no válido", ""))))</f>
        <v/>
      </c>
      <c r="AC433" s="56" t="n"/>
      <c r="AD433" s="51" t="n">
        <v>0</v>
      </c>
      <c r="AE433" s="156" t="n"/>
      <c r="AF433" s="51" t="n">
        <v>0</v>
      </c>
      <c r="AG433" s="156" t="inlineStr">
        <is>
          <t>Catálogo existente</t>
        </is>
      </c>
      <c r="AH43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3" s="156" t="inlineStr">
        <is>
          <t>No</t>
        </is>
      </c>
      <c r="AJ433" s="156" t="n"/>
      <c r="AK433" s="155" t="inlineStr">
        <is>
          <t>Criterios: I [Q]; G1522_Extraccion_Articulos_NetSuite_2026-09-30.xlsx: fila 59005 [R] | Shopify Stetson: producto 15054564557163 / variante 53350555025771</t>
        </is>
      </c>
      <c r="AL433" s="58" t="n">
        <v>1271.18</v>
      </c>
      <c r="AM433" s="58" t="n">
        <v>7327.586207</v>
      </c>
      <c r="AN433" s="155" t="inlineStr">
        <is>
          <t>Shopify Stetson México</t>
        </is>
      </c>
      <c r="AO433" s="59" t="n">
        <v>0</v>
      </c>
      <c r="AP433" s="59" t="n"/>
      <c r="AQ433" s="59" t="n"/>
      <c r="AR433" s="155" t="n"/>
    </row>
    <row r="434">
      <c r="A434" s="50" t="inlineStr">
        <is>
          <t>12020004101026025</t>
        </is>
      </c>
      <c r="B434" s="51" t="inlineStr">
        <is>
          <t>111331</t>
        </is>
      </c>
      <c r="C434" s="156" t="inlineStr">
        <is>
          <t>Multimarca</t>
        </is>
      </c>
      <c r="D434" s="156" t="inlineStr">
        <is>
          <t>12-020-BS004-10-1026</t>
        </is>
      </c>
      <c r="E434" s="156" t="inlineStr">
        <is>
          <t>12-020-BS004-10-1026-025</t>
        </is>
      </c>
      <c r="F434" s="156" t="inlineStr">
        <is>
          <t>25</t>
        </is>
      </c>
      <c r="G434" s="156" t="inlineStr">
        <is>
          <t>7</t>
        </is>
      </c>
      <c r="H434" s="156" t="inlineStr">
        <is>
          <t>Stetson</t>
        </is>
      </c>
      <c r="I434" s="156" t="inlineStr">
        <is>
          <t>Bota Lagarto Chocolate</t>
        </is>
      </c>
      <c r="J434" s="156" t="inlineStr">
        <is>
          <t>Calzado</t>
        </is>
      </c>
      <c r="K434" s="156" t="inlineStr">
        <is>
          <t>Botas</t>
        </is>
      </c>
      <c r="L434" s="156" t="inlineStr">
        <is>
          <t>Hombre</t>
        </is>
      </c>
      <c r="M434" s="156" t="inlineStr">
        <is>
          <t>Stetson</t>
        </is>
      </c>
      <c r="N434" s="156" t="inlineStr">
        <is>
          <t>SS26</t>
        </is>
      </c>
      <c r="O434" s="156" t="inlineStr">
        <is>
          <t>Seasonal</t>
        </is>
      </c>
      <c r="P434" s="156" t="inlineStr">
        <is>
          <t>Cafe</t>
        </is>
      </c>
      <c r="Q434" s="156" t="n"/>
      <c r="R434" s="156" t="inlineStr">
        <is>
          <t>Punta Redonda Ancha</t>
        </is>
      </c>
      <c r="S434" s="156" t="inlineStr">
        <is>
          <t>Piel de lagarto</t>
        </is>
      </c>
      <c r="T434" s="156" t="inlineStr">
        <is>
          <t>Bota Caballero Piel de lagarto Chocolate Punta Redonda Ancha</t>
        </is>
      </c>
      <c r="U434" s="156" t="inlineStr">
        <is>
          <t>México</t>
        </is>
      </c>
      <c r="V434" s="156" t="inlineStr">
        <is>
          <t>PRS</t>
        </is>
      </c>
      <c r="W434" s="51" t="inlineStr">
        <is>
          <t>53111501</t>
        </is>
      </c>
      <c r="X434" s="156" t="n"/>
      <c r="Y434" s="54" t="n">
        <v>1442.18</v>
      </c>
      <c r="Z434" s="54" t="n">
        <v>8275.862069000001</v>
      </c>
      <c r="AA434" s="55">
        <f>IF(AND(A434="", B434="", E434=""), "", IF(AB434="", "Válido", IF((LEN(AB434)-LEN(SUBSTITUTE(AB434,"; ","")))/2+1&gt;(LEN(AB434)-LEN(SUBSTITUTE(AB434,"[Aviso]","")))/7, "Con Incidencias", "Válido")))</f>
        <v/>
      </c>
      <c r="AB434" s="56">
        <f>IF(AND(A434="", B434="", E434=""), "", TEXTJOIN("; ", TRUE, IF(OR(TRIM(A434&amp;"")="", ISNUMBER(SEARCH("FALTA", A434))), "UPC faltante/inválido", ""), IF(AND(A434&lt;&gt;"", IFERROR(_xlfn.XMATCH(A434,$A$2:$A$2509,0,1)&lt;&gt;_xlfn.XMATCH(A434,$A$2:$A$2509,0,-1),FALSE)), "Código de barras duplicado", ""), IF(AND(E434&lt;&gt;"", COUNTIF($E$2:$E$2509, E434)&gt;1), "SKU duplicado", ""), IF(OR(J434="", J434=""), "[Aviso] División no capturada ()", IF(ISNA(MATCH(J434, Criterios!$A$123:$A$126, 0)), "División no válida", "")), IF(OR(K434="", K434=""), "[Aviso] Categoría no capturada ()", IF(ISNA(MATCH(K434, Criterios!$A$81:$A$120, 0)), "Categoría no válida", IF(AND(J434&lt;&gt;"", J434&lt;&gt;"", J434&lt;&gt;VLOOKUP(K434, Criterios!$A$81:$B$120, 2, FALSE)), "División no coincide con Categoría", ""))), IF(OR(L434="", L434=""), "[Aviso] Género no capturado ()", IF(ISNA(MATCH(L434, Criterios!$B$123:$B$127, 0)), "Género no válido", "")), IF(OR(N434="", N434=""), "[Aviso] Temporada no capturada ()", IF(ISNA(MATCH(N434, Criterios!$C$123:$C$128, 0)), "Temporada no válida", "")), IF(OR(O434="", O434=""), "[Aviso] Ciclo de vida no capturado ()", IF(ISNA(MATCH(O434, Criterios!$D$123:$D$124, 0)), "Ciclo de vida no válido", ""))))</f>
        <v/>
      </c>
      <c r="AC434" s="56" t="n"/>
      <c r="AD434" s="51" t="n">
        <v>0</v>
      </c>
      <c r="AE434" s="156" t="n"/>
      <c r="AF434" s="51" t="n">
        <v>0</v>
      </c>
      <c r="AG434" s="156" t="inlineStr">
        <is>
          <t>Catálogo existente</t>
        </is>
      </c>
      <c r="AH4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4" s="156" t="inlineStr">
        <is>
          <t>No</t>
        </is>
      </c>
      <c r="AJ434" s="156" t="n"/>
      <c r="AK434" s="155" t="inlineStr">
        <is>
          <t>Criterios: I [Q]; G1522_Extraccion_Articulos_NetSuite_2026-09-30.xlsx: fila 59006 [R] | Shopify Stetson: producto 15054564589931 / variante 53350555058539</t>
        </is>
      </c>
      <c r="AL434" s="58" t="n">
        <v>1442.18</v>
      </c>
      <c r="AM434" s="58" t="n">
        <v>8275.862069000001</v>
      </c>
      <c r="AN434" s="155" t="inlineStr">
        <is>
          <t>Shopify Stetson México</t>
        </is>
      </c>
      <c r="AO434" s="59" t="n">
        <v>0</v>
      </c>
      <c r="AP434" s="59" t="n"/>
      <c r="AQ434" s="59" t="n"/>
      <c r="AR434" s="155" t="n"/>
    </row>
    <row r="435">
      <c r="A435" s="50" t="inlineStr">
        <is>
          <t>12020004101026026</t>
        </is>
      </c>
      <c r="B435" s="51" t="inlineStr">
        <is>
          <t>111332</t>
        </is>
      </c>
      <c r="C435" s="156" t="inlineStr">
        <is>
          <t>Multimarca</t>
        </is>
      </c>
      <c r="D435" s="156" t="inlineStr">
        <is>
          <t>12-020-BS004-10-1026</t>
        </is>
      </c>
      <c r="E435" s="156" t="inlineStr">
        <is>
          <t>12-020-BS004-10-1026-026</t>
        </is>
      </c>
      <c r="F435" s="156" t="inlineStr">
        <is>
          <t>26</t>
        </is>
      </c>
      <c r="G435" s="156" t="inlineStr">
        <is>
          <t>8</t>
        </is>
      </c>
      <c r="H435" s="156" t="inlineStr">
        <is>
          <t>Stetson</t>
        </is>
      </c>
      <c r="I435" s="156" t="inlineStr">
        <is>
          <t>Bota Lagarto Chocolate</t>
        </is>
      </c>
      <c r="J435" s="156" t="inlineStr">
        <is>
          <t>Calzado</t>
        </is>
      </c>
      <c r="K435" s="156" t="inlineStr">
        <is>
          <t>Botas</t>
        </is>
      </c>
      <c r="L435" s="156" t="inlineStr">
        <is>
          <t>Hombre</t>
        </is>
      </c>
      <c r="M435" s="156" t="inlineStr">
        <is>
          <t>Stetson</t>
        </is>
      </c>
      <c r="N435" s="156" t="inlineStr">
        <is>
          <t>SS26</t>
        </is>
      </c>
      <c r="O435" s="156" t="inlineStr">
        <is>
          <t>Seasonal</t>
        </is>
      </c>
      <c r="P435" s="156" t="inlineStr">
        <is>
          <t>Cafe</t>
        </is>
      </c>
      <c r="Q435" s="156" t="n"/>
      <c r="R435" s="156" t="inlineStr">
        <is>
          <t>Punta Redonda Ancha</t>
        </is>
      </c>
      <c r="S435" s="156" t="inlineStr">
        <is>
          <t>Piel de lagarto</t>
        </is>
      </c>
      <c r="T435" s="156" t="inlineStr">
        <is>
          <t>Bota Caballero Piel de lagarto Chocolate Punta Redonda Ancha</t>
        </is>
      </c>
      <c r="U435" s="156" t="inlineStr">
        <is>
          <t>México</t>
        </is>
      </c>
      <c r="V435" s="156" t="inlineStr">
        <is>
          <t>PRS</t>
        </is>
      </c>
      <c r="W435" s="51" t="inlineStr">
        <is>
          <t>53111501</t>
        </is>
      </c>
      <c r="X435" s="156" t="n"/>
      <c r="Y435" s="54" t="n">
        <v>1442.18</v>
      </c>
      <c r="Z435" s="54" t="n">
        <v>8275.862069000001</v>
      </c>
      <c r="AA435" s="55">
        <f>IF(AND(A435="", B435="", E435=""), "", IF(AB435="", "Válido", IF((LEN(AB435)-LEN(SUBSTITUTE(AB435,"; ","")))/2+1&gt;(LEN(AB435)-LEN(SUBSTITUTE(AB435,"[Aviso]","")))/7, "Con Incidencias", "Válido")))</f>
        <v/>
      </c>
      <c r="AB435" s="56">
        <f>IF(AND(A435="", B435="", E435=""), "", TEXTJOIN("; ", TRUE, IF(OR(TRIM(A435&amp;"")="", ISNUMBER(SEARCH("FALTA", A435))), "UPC faltante/inválido", ""), IF(AND(A435&lt;&gt;"", IFERROR(_xlfn.XMATCH(A435,$A$2:$A$2509,0,1)&lt;&gt;_xlfn.XMATCH(A435,$A$2:$A$2509,0,-1),FALSE)), "Código de barras duplicado", ""), IF(AND(E435&lt;&gt;"", COUNTIF($E$2:$E$2509, E435)&gt;1), "SKU duplicado", ""), IF(OR(J435="", J435=""), "[Aviso] División no capturada ()", IF(ISNA(MATCH(J435, Criterios!$A$123:$A$126, 0)), "División no válida", "")), IF(OR(K435="", K435=""), "[Aviso] Categoría no capturada ()", IF(ISNA(MATCH(K435, Criterios!$A$81:$A$120, 0)), "Categoría no válida", IF(AND(J435&lt;&gt;"", J435&lt;&gt;"", J435&lt;&gt;VLOOKUP(K435, Criterios!$A$81:$B$120, 2, FALSE)), "División no coincide con Categoría", ""))), IF(OR(L435="", L435=""), "[Aviso] Género no capturado ()", IF(ISNA(MATCH(L435, Criterios!$B$123:$B$127, 0)), "Género no válido", "")), IF(OR(N435="", N435=""), "[Aviso] Temporada no capturada ()", IF(ISNA(MATCH(N435, Criterios!$C$123:$C$128, 0)), "Temporada no válida", "")), IF(OR(O435="", O435=""), "[Aviso] Ciclo de vida no capturado ()", IF(ISNA(MATCH(O435, Criterios!$D$123:$D$124, 0)), "Ciclo de vida no válido", ""))))</f>
        <v/>
      </c>
      <c r="AC435" s="56" t="n"/>
      <c r="AD435" s="51" t="n">
        <v>0</v>
      </c>
      <c r="AE435" s="156" t="n"/>
      <c r="AF435" s="51" t="n">
        <v>0</v>
      </c>
      <c r="AG435" s="156" t="inlineStr">
        <is>
          <t>Catálogo existente</t>
        </is>
      </c>
      <c r="AH4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5" s="156" t="inlineStr">
        <is>
          <t>No</t>
        </is>
      </c>
      <c r="AJ435" s="156" t="n"/>
      <c r="AK435" s="155" t="inlineStr">
        <is>
          <t>Criterios: I [Q]; G1522_Extraccion_Articulos_NetSuite_2026-09-30.xlsx: fila 59007 [R] | Shopify Stetson: producto 15054564589931 / variante 53350555124075</t>
        </is>
      </c>
      <c r="AL435" s="58" t="n">
        <v>1442.18</v>
      </c>
      <c r="AM435" s="58" t="n">
        <v>8275.862069000001</v>
      </c>
      <c r="AN435" s="155" t="inlineStr">
        <is>
          <t>Shopify Stetson México</t>
        </is>
      </c>
      <c r="AO435" s="59" t="n">
        <v>0</v>
      </c>
      <c r="AP435" s="59" t="n"/>
      <c r="AQ435" s="59" t="n"/>
      <c r="AR435" s="155" t="n"/>
    </row>
    <row r="436">
      <c r="A436" s="50" t="inlineStr">
        <is>
          <t>12020004101026027</t>
        </is>
      </c>
      <c r="B436" s="51" t="inlineStr">
        <is>
          <t>111333</t>
        </is>
      </c>
      <c r="C436" s="156" t="inlineStr">
        <is>
          <t>Multimarca</t>
        </is>
      </c>
      <c r="D436" s="156" t="inlineStr">
        <is>
          <t>12-020-BS004-10-1026</t>
        </is>
      </c>
      <c r="E436" s="156" t="inlineStr">
        <is>
          <t>12-020-BS004-10-1026-027</t>
        </is>
      </c>
      <c r="F436" s="156" t="inlineStr">
        <is>
          <t>27</t>
        </is>
      </c>
      <c r="G436" s="156" t="inlineStr">
        <is>
          <t>9</t>
        </is>
      </c>
      <c r="H436" s="156" t="inlineStr">
        <is>
          <t>Stetson</t>
        </is>
      </c>
      <c r="I436" s="156" t="inlineStr">
        <is>
          <t>Bota Lagarto Chocolate</t>
        </is>
      </c>
      <c r="J436" s="156" t="inlineStr">
        <is>
          <t>Calzado</t>
        </is>
      </c>
      <c r="K436" s="156" t="inlineStr">
        <is>
          <t>Botas</t>
        </is>
      </c>
      <c r="L436" s="156" t="inlineStr">
        <is>
          <t>Hombre</t>
        </is>
      </c>
      <c r="M436" s="156" t="inlineStr">
        <is>
          <t>Stetson</t>
        </is>
      </c>
      <c r="N436" s="156" t="inlineStr">
        <is>
          <t>SS26</t>
        </is>
      </c>
      <c r="O436" s="156" t="inlineStr">
        <is>
          <t>Seasonal</t>
        </is>
      </c>
      <c r="P436" s="156" t="inlineStr">
        <is>
          <t>Cafe</t>
        </is>
      </c>
      <c r="Q436" s="156" t="n"/>
      <c r="R436" s="156" t="inlineStr">
        <is>
          <t>Punta Redonda Ancha</t>
        </is>
      </c>
      <c r="S436" s="156" t="inlineStr">
        <is>
          <t>Piel de lagarto</t>
        </is>
      </c>
      <c r="T436" s="156" t="inlineStr">
        <is>
          <t>Bota Caballero Piel de lagarto Chocolate Punta Redonda Ancha</t>
        </is>
      </c>
      <c r="U436" s="156" t="inlineStr">
        <is>
          <t>México</t>
        </is>
      </c>
      <c r="V436" s="156" t="inlineStr">
        <is>
          <t>PRS</t>
        </is>
      </c>
      <c r="W436" s="51" t="inlineStr">
        <is>
          <t>53111501</t>
        </is>
      </c>
      <c r="X436" s="156" t="n"/>
      <c r="Y436" s="54" t="n">
        <v>1442.18</v>
      </c>
      <c r="Z436" s="54" t="n">
        <v>8275.862069000001</v>
      </c>
      <c r="AA436" s="55">
        <f>IF(AND(A436="", B436="", E436=""), "", IF(AB436="", "Válido", IF((LEN(AB436)-LEN(SUBSTITUTE(AB436,"; ","")))/2+1&gt;(LEN(AB436)-LEN(SUBSTITUTE(AB436,"[Aviso]","")))/7, "Con Incidencias", "Válido")))</f>
        <v/>
      </c>
      <c r="AB436" s="56">
        <f>IF(AND(A436="", B436="", E436=""), "", TEXTJOIN("; ", TRUE, IF(OR(TRIM(A436&amp;"")="", ISNUMBER(SEARCH("FALTA", A436))), "UPC faltante/inválido", ""), IF(AND(A436&lt;&gt;"", IFERROR(_xlfn.XMATCH(A436,$A$2:$A$2509,0,1)&lt;&gt;_xlfn.XMATCH(A436,$A$2:$A$2509,0,-1),FALSE)), "Código de barras duplicado", ""), IF(AND(E436&lt;&gt;"", COUNTIF($E$2:$E$2509, E436)&gt;1), "SKU duplicado", ""), IF(OR(J436="", J436=""), "[Aviso] División no capturada ()", IF(ISNA(MATCH(J436, Criterios!$A$123:$A$126, 0)), "División no válida", "")), IF(OR(K436="", K436=""), "[Aviso] Categoría no capturada ()", IF(ISNA(MATCH(K436, Criterios!$A$81:$A$120, 0)), "Categoría no válida", IF(AND(J436&lt;&gt;"", J436&lt;&gt;"", J436&lt;&gt;VLOOKUP(K436, Criterios!$A$81:$B$120, 2, FALSE)), "División no coincide con Categoría", ""))), IF(OR(L436="", L436=""), "[Aviso] Género no capturado ()", IF(ISNA(MATCH(L436, Criterios!$B$123:$B$127, 0)), "Género no válido", "")), IF(OR(N436="", N436=""), "[Aviso] Temporada no capturada ()", IF(ISNA(MATCH(N436, Criterios!$C$123:$C$128, 0)), "Temporada no válida", "")), IF(OR(O436="", O436=""), "[Aviso] Ciclo de vida no capturado ()", IF(ISNA(MATCH(O436, Criterios!$D$123:$D$124, 0)), "Ciclo de vida no válido", ""))))</f>
        <v/>
      </c>
      <c r="AC436" s="56" t="n"/>
      <c r="AD436" s="51" t="n">
        <v>0</v>
      </c>
      <c r="AE436" s="156" t="n"/>
      <c r="AF436" s="51" t="n">
        <v>0</v>
      </c>
      <c r="AG436" s="156" t="inlineStr">
        <is>
          <t>Catálogo existente</t>
        </is>
      </c>
      <c r="AH4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6" s="156" t="inlineStr">
        <is>
          <t>No</t>
        </is>
      </c>
      <c r="AJ436" s="156" t="n"/>
      <c r="AK436" s="155" t="inlineStr">
        <is>
          <t>Criterios: I [Q]; G1522_Extraccion_Articulos_NetSuite_2026-09-30.xlsx: fila 59008 [R] | Shopify Stetson: producto 15054564589931 / variante 53350555189611</t>
        </is>
      </c>
      <c r="AL436" s="58" t="n">
        <v>1442.18</v>
      </c>
      <c r="AM436" s="58" t="n">
        <v>8275.862069000001</v>
      </c>
      <c r="AN436" s="155" t="inlineStr">
        <is>
          <t>Shopify Stetson México</t>
        </is>
      </c>
      <c r="AO436" s="59" t="n">
        <v>0</v>
      </c>
      <c r="AP436" s="59" t="n"/>
      <c r="AQ436" s="59" t="n"/>
      <c r="AR436" s="155" t="n"/>
    </row>
    <row r="437">
      <c r="A437" s="50" t="inlineStr">
        <is>
          <t>12020004101026028</t>
        </is>
      </c>
      <c r="B437" s="51" t="inlineStr">
        <is>
          <t>111334</t>
        </is>
      </c>
      <c r="C437" s="156" t="inlineStr">
        <is>
          <t>Multimarca</t>
        </is>
      </c>
      <c r="D437" s="156" t="inlineStr">
        <is>
          <t>12-020-BS004-10-1026</t>
        </is>
      </c>
      <c r="E437" s="156" t="inlineStr">
        <is>
          <t>12-020-BS004-10-1026-028</t>
        </is>
      </c>
      <c r="F437" s="156" t="inlineStr">
        <is>
          <t>28</t>
        </is>
      </c>
      <c r="G437" s="156" t="inlineStr">
        <is>
          <t>10</t>
        </is>
      </c>
      <c r="H437" s="156" t="inlineStr">
        <is>
          <t>Stetson</t>
        </is>
      </c>
      <c r="I437" s="156" t="inlineStr">
        <is>
          <t>Bota Lagarto Chocolate</t>
        </is>
      </c>
      <c r="J437" s="156" t="inlineStr">
        <is>
          <t>Calzado</t>
        </is>
      </c>
      <c r="K437" s="156" t="inlineStr">
        <is>
          <t>Botas</t>
        </is>
      </c>
      <c r="L437" s="156" t="inlineStr">
        <is>
          <t>Hombre</t>
        </is>
      </c>
      <c r="M437" s="156" t="inlineStr">
        <is>
          <t>Stetson</t>
        </is>
      </c>
      <c r="N437" s="156" t="inlineStr">
        <is>
          <t>SS26</t>
        </is>
      </c>
      <c r="O437" s="156" t="inlineStr">
        <is>
          <t>Seasonal</t>
        </is>
      </c>
      <c r="P437" s="156" t="inlineStr">
        <is>
          <t>Cafe</t>
        </is>
      </c>
      <c r="Q437" s="156" t="n"/>
      <c r="R437" s="156" t="inlineStr">
        <is>
          <t>Punta Redonda Ancha</t>
        </is>
      </c>
      <c r="S437" s="156" t="inlineStr">
        <is>
          <t>Piel de lagarto</t>
        </is>
      </c>
      <c r="T437" s="156" t="inlineStr">
        <is>
          <t>Bota Caballero Piel de lagarto Chocolate Punta Redonda Ancha</t>
        </is>
      </c>
      <c r="U437" s="156" t="inlineStr">
        <is>
          <t>México</t>
        </is>
      </c>
      <c r="V437" s="156" t="inlineStr">
        <is>
          <t>PRS</t>
        </is>
      </c>
      <c r="W437" s="51" t="inlineStr">
        <is>
          <t>53111501</t>
        </is>
      </c>
      <c r="X437" s="156" t="n"/>
      <c r="Y437" s="54" t="n">
        <v>1442.18</v>
      </c>
      <c r="Z437" s="54" t="n">
        <v>8275.862069000001</v>
      </c>
      <c r="AA437" s="55">
        <f>IF(AND(A437="", B437="", E437=""), "", IF(AB437="", "Válido", IF((LEN(AB437)-LEN(SUBSTITUTE(AB437,"; ","")))/2+1&gt;(LEN(AB437)-LEN(SUBSTITUTE(AB437,"[Aviso]","")))/7, "Con Incidencias", "Válido")))</f>
        <v/>
      </c>
      <c r="AB437" s="56">
        <f>IF(AND(A437="", B437="", E437=""), "", TEXTJOIN("; ", TRUE, IF(OR(TRIM(A437&amp;"")="", ISNUMBER(SEARCH("FALTA", A437))), "UPC faltante/inválido", ""), IF(AND(A437&lt;&gt;"", IFERROR(_xlfn.XMATCH(A437,$A$2:$A$2509,0,1)&lt;&gt;_xlfn.XMATCH(A437,$A$2:$A$2509,0,-1),FALSE)), "Código de barras duplicado", ""), IF(AND(E437&lt;&gt;"", COUNTIF($E$2:$E$2509, E437)&gt;1), "SKU duplicado", ""), IF(OR(J437="", J437=""), "[Aviso] División no capturada ()", IF(ISNA(MATCH(J437, Criterios!$A$123:$A$126, 0)), "División no válida", "")), IF(OR(K437="", K437=""), "[Aviso] Categoría no capturada ()", IF(ISNA(MATCH(K437, Criterios!$A$81:$A$120, 0)), "Categoría no válida", IF(AND(J437&lt;&gt;"", J437&lt;&gt;"", J437&lt;&gt;VLOOKUP(K437, Criterios!$A$81:$B$120, 2, FALSE)), "División no coincide con Categoría", ""))), IF(OR(L437="", L437=""), "[Aviso] Género no capturado ()", IF(ISNA(MATCH(L437, Criterios!$B$123:$B$127, 0)), "Género no válido", "")), IF(OR(N437="", N437=""), "[Aviso] Temporada no capturada ()", IF(ISNA(MATCH(N437, Criterios!$C$123:$C$128, 0)), "Temporada no válida", "")), IF(OR(O437="", O437=""), "[Aviso] Ciclo de vida no capturado ()", IF(ISNA(MATCH(O437, Criterios!$D$123:$D$124, 0)), "Ciclo de vida no válido", ""))))</f>
        <v/>
      </c>
      <c r="AC437" s="56" t="n"/>
      <c r="AD437" s="51" t="n">
        <v>0</v>
      </c>
      <c r="AE437" s="156" t="n"/>
      <c r="AF437" s="51" t="n">
        <v>0</v>
      </c>
      <c r="AG437" s="156" t="inlineStr">
        <is>
          <t>Catálogo existente</t>
        </is>
      </c>
      <c r="AH4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7" s="156" t="inlineStr">
        <is>
          <t>No</t>
        </is>
      </c>
      <c r="AJ437" s="156" t="n"/>
      <c r="AK437" s="155" t="inlineStr">
        <is>
          <t>Criterios: I [Q]; G1522_Extraccion_Articulos_NetSuite_2026-09-30.xlsx: fila 59009 [R] | Shopify Stetson: producto 15054564589931 / variante 53350555255147</t>
        </is>
      </c>
      <c r="AL437" s="58" t="n">
        <v>1442.18</v>
      </c>
      <c r="AM437" s="58" t="n">
        <v>8275.862069000001</v>
      </c>
      <c r="AN437" s="155" t="inlineStr">
        <is>
          <t>Shopify Stetson México</t>
        </is>
      </c>
      <c r="AO437" s="59" t="n">
        <v>0</v>
      </c>
      <c r="AP437" s="59" t="n"/>
      <c r="AQ437" s="59" t="n"/>
      <c r="AR437" s="155" t="n"/>
    </row>
    <row r="438">
      <c r="A438" s="50" t="inlineStr">
        <is>
          <t>12020004101026029</t>
        </is>
      </c>
      <c r="B438" s="51" t="inlineStr">
        <is>
          <t>111335</t>
        </is>
      </c>
      <c r="C438" s="156" t="inlineStr">
        <is>
          <t>Multimarca</t>
        </is>
      </c>
      <c r="D438" s="156" t="inlineStr">
        <is>
          <t>12-020-BS004-10-1026</t>
        </is>
      </c>
      <c r="E438" s="156" t="inlineStr">
        <is>
          <t>12-020-BS004-10-1026-029</t>
        </is>
      </c>
      <c r="F438" s="156" t="inlineStr">
        <is>
          <t>29</t>
        </is>
      </c>
      <c r="G438" s="156" t="inlineStr">
        <is>
          <t>11</t>
        </is>
      </c>
      <c r="H438" s="156" t="inlineStr">
        <is>
          <t>Stetson</t>
        </is>
      </c>
      <c r="I438" s="156" t="inlineStr">
        <is>
          <t>Bota Lagarto Chocolate</t>
        </is>
      </c>
      <c r="J438" s="156" t="inlineStr">
        <is>
          <t>Calzado</t>
        </is>
      </c>
      <c r="K438" s="156" t="inlineStr">
        <is>
          <t>Botas</t>
        </is>
      </c>
      <c r="L438" s="156" t="inlineStr">
        <is>
          <t>Hombre</t>
        </is>
      </c>
      <c r="M438" s="156" t="inlineStr">
        <is>
          <t>Stetson</t>
        </is>
      </c>
      <c r="N438" s="156" t="inlineStr">
        <is>
          <t>SS26</t>
        </is>
      </c>
      <c r="O438" s="156" t="inlineStr">
        <is>
          <t>Seasonal</t>
        </is>
      </c>
      <c r="P438" s="156" t="inlineStr">
        <is>
          <t>Cafe</t>
        </is>
      </c>
      <c r="Q438" s="156" t="n"/>
      <c r="R438" s="156" t="inlineStr">
        <is>
          <t>Punta Redonda Ancha</t>
        </is>
      </c>
      <c r="S438" s="156" t="inlineStr">
        <is>
          <t>Piel de lagarto</t>
        </is>
      </c>
      <c r="T438" s="156" t="inlineStr">
        <is>
          <t>Bota Caballero Piel de lagarto Chocolate Punta Redonda Ancha</t>
        </is>
      </c>
      <c r="U438" s="156" t="inlineStr">
        <is>
          <t>México</t>
        </is>
      </c>
      <c r="V438" s="156" t="inlineStr">
        <is>
          <t>PRS</t>
        </is>
      </c>
      <c r="W438" s="51" t="inlineStr">
        <is>
          <t>53111501</t>
        </is>
      </c>
      <c r="X438" s="156" t="n"/>
      <c r="Y438" s="54" t="n">
        <v>1442.18</v>
      </c>
      <c r="Z438" s="54" t="n">
        <v>8275.862069000001</v>
      </c>
      <c r="AA438" s="55">
        <f>IF(AND(A438="", B438="", E438=""), "", IF(AB438="", "Válido", IF((LEN(AB438)-LEN(SUBSTITUTE(AB438,"; ","")))/2+1&gt;(LEN(AB438)-LEN(SUBSTITUTE(AB438,"[Aviso]","")))/7, "Con Incidencias", "Válido")))</f>
        <v/>
      </c>
      <c r="AB438" s="56">
        <f>IF(AND(A438="", B438="", E438=""), "", TEXTJOIN("; ", TRUE, IF(OR(TRIM(A438&amp;"")="", ISNUMBER(SEARCH("FALTA", A438))), "UPC faltante/inválido", ""), IF(AND(A438&lt;&gt;"", IFERROR(_xlfn.XMATCH(A438,$A$2:$A$2509,0,1)&lt;&gt;_xlfn.XMATCH(A438,$A$2:$A$2509,0,-1),FALSE)), "Código de barras duplicado", ""), IF(AND(E438&lt;&gt;"", COUNTIF($E$2:$E$2509, E438)&gt;1), "SKU duplicado", ""), IF(OR(J438="", J438=""), "[Aviso] División no capturada ()", IF(ISNA(MATCH(J438, Criterios!$A$123:$A$126, 0)), "División no válida", "")), IF(OR(K438="", K438=""), "[Aviso] Categoría no capturada ()", IF(ISNA(MATCH(K438, Criterios!$A$81:$A$120, 0)), "Categoría no válida", IF(AND(J438&lt;&gt;"", J438&lt;&gt;"", J438&lt;&gt;VLOOKUP(K438, Criterios!$A$81:$B$120, 2, FALSE)), "División no coincide con Categoría", ""))), IF(OR(L438="", L438=""), "[Aviso] Género no capturado ()", IF(ISNA(MATCH(L438, Criterios!$B$123:$B$127, 0)), "Género no válido", "")), IF(OR(N438="", N438=""), "[Aviso] Temporada no capturada ()", IF(ISNA(MATCH(N438, Criterios!$C$123:$C$128, 0)), "Temporada no válida", "")), IF(OR(O438="", O438=""), "[Aviso] Ciclo de vida no capturado ()", IF(ISNA(MATCH(O438, Criterios!$D$123:$D$124, 0)), "Ciclo de vida no válido", ""))))</f>
        <v/>
      </c>
      <c r="AC438" s="56" t="n"/>
      <c r="AD438" s="51" t="n">
        <v>0</v>
      </c>
      <c r="AE438" s="156" t="n"/>
      <c r="AF438" s="51" t="n">
        <v>0</v>
      </c>
      <c r="AG438" s="156" t="inlineStr">
        <is>
          <t>Catálogo existente</t>
        </is>
      </c>
      <c r="AH4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8" s="156" t="inlineStr">
        <is>
          <t>No</t>
        </is>
      </c>
      <c r="AJ438" s="156" t="n"/>
      <c r="AK438" s="155" t="inlineStr">
        <is>
          <t>Criterios: I [Q]; G1522_Extraccion_Articulos_NetSuite_2026-09-30.xlsx: fila 59010 [R] | Shopify Stetson: producto 15054564589931 / variante 53350555320683</t>
        </is>
      </c>
      <c r="AL438" s="58" t="n">
        <v>1442.18</v>
      </c>
      <c r="AM438" s="58" t="n">
        <v>8275.862069000001</v>
      </c>
      <c r="AN438" s="155" t="inlineStr">
        <is>
          <t>Shopify Stetson México</t>
        </is>
      </c>
      <c r="AO438" s="59" t="n">
        <v>0</v>
      </c>
      <c r="AP438" s="59" t="n"/>
      <c r="AQ438" s="59" t="n"/>
      <c r="AR438" s="155" t="n"/>
    </row>
    <row r="439">
      <c r="A439" s="50" t="inlineStr">
        <is>
          <t>12020004101026030</t>
        </is>
      </c>
      <c r="B439" s="51" t="inlineStr">
        <is>
          <t>111336</t>
        </is>
      </c>
      <c r="C439" s="156" t="inlineStr">
        <is>
          <t>Multimarca</t>
        </is>
      </c>
      <c r="D439" s="156" t="inlineStr">
        <is>
          <t>12-020-BS004-10-1026</t>
        </is>
      </c>
      <c r="E439" s="156" t="inlineStr">
        <is>
          <t>12-020-BS004-10-1026-030</t>
        </is>
      </c>
      <c r="F439" s="156" t="inlineStr">
        <is>
          <t>30</t>
        </is>
      </c>
      <c r="G439" s="156" t="inlineStr">
        <is>
          <t>12</t>
        </is>
      </c>
      <c r="H439" s="156" t="inlineStr">
        <is>
          <t>Stetson</t>
        </is>
      </c>
      <c r="I439" s="156" t="inlineStr">
        <is>
          <t>Bota Lagarto Chocolate</t>
        </is>
      </c>
      <c r="J439" s="156" t="inlineStr">
        <is>
          <t>Calzado</t>
        </is>
      </c>
      <c r="K439" s="156" t="inlineStr">
        <is>
          <t>Botas</t>
        </is>
      </c>
      <c r="L439" s="156" t="inlineStr">
        <is>
          <t>Hombre</t>
        </is>
      </c>
      <c r="M439" s="156" t="inlineStr">
        <is>
          <t>Stetson</t>
        </is>
      </c>
      <c r="N439" s="156" t="inlineStr">
        <is>
          <t>SS26</t>
        </is>
      </c>
      <c r="O439" s="156" t="inlineStr">
        <is>
          <t>Seasonal</t>
        </is>
      </c>
      <c r="P439" s="156" t="inlineStr">
        <is>
          <t>Cafe</t>
        </is>
      </c>
      <c r="Q439" s="156" t="n"/>
      <c r="R439" s="156" t="inlineStr">
        <is>
          <t>Punta Redonda Ancha</t>
        </is>
      </c>
      <c r="S439" s="156" t="inlineStr">
        <is>
          <t>Piel de lagarto</t>
        </is>
      </c>
      <c r="T439" s="156" t="inlineStr">
        <is>
          <t>Bota Caballero Piel de lagarto Chocolate Punta Redonda Ancha</t>
        </is>
      </c>
      <c r="U439" s="156" t="inlineStr">
        <is>
          <t>México</t>
        </is>
      </c>
      <c r="V439" s="156" t="inlineStr">
        <is>
          <t>PRS</t>
        </is>
      </c>
      <c r="W439" s="51" t="inlineStr">
        <is>
          <t>53111501</t>
        </is>
      </c>
      <c r="X439" s="156" t="n"/>
      <c r="Y439" s="54" t="n">
        <v>1442.18</v>
      </c>
      <c r="Z439" s="54" t="n">
        <v>8275.862069000001</v>
      </c>
      <c r="AA439" s="55">
        <f>IF(AND(A439="", B439="", E439=""), "", IF(AB439="", "Válido", IF((LEN(AB439)-LEN(SUBSTITUTE(AB439,"; ","")))/2+1&gt;(LEN(AB439)-LEN(SUBSTITUTE(AB439,"[Aviso]","")))/7, "Con Incidencias", "Válido")))</f>
        <v/>
      </c>
      <c r="AB439" s="56">
        <f>IF(AND(A439="", B439="", E439=""), "", TEXTJOIN("; ", TRUE, IF(OR(TRIM(A439&amp;"")="", ISNUMBER(SEARCH("FALTA", A439))), "UPC faltante/inválido", ""), IF(AND(A439&lt;&gt;"", IFERROR(_xlfn.XMATCH(A439,$A$2:$A$2509,0,1)&lt;&gt;_xlfn.XMATCH(A439,$A$2:$A$2509,0,-1),FALSE)), "Código de barras duplicado", ""), IF(AND(E439&lt;&gt;"", COUNTIF($E$2:$E$2509, E439)&gt;1), "SKU duplicado", ""), IF(OR(J439="", J439=""), "[Aviso] División no capturada ()", IF(ISNA(MATCH(J439, Criterios!$A$123:$A$126, 0)), "División no válida", "")), IF(OR(K439="", K439=""), "[Aviso] Categoría no capturada ()", IF(ISNA(MATCH(K439, Criterios!$A$81:$A$120, 0)), "Categoría no válida", IF(AND(J439&lt;&gt;"", J439&lt;&gt;"", J439&lt;&gt;VLOOKUP(K439, Criterios!$A$81:$B$120, 2, FALSE)), "División no coincide con Categoría", ""))), IF(OR(L439="", L439=""), "[Aviso] Género no capturado ()", IF(ISNA(MATCH(L439, Criterios!$B$123:$B$127, 0)), "Género no válido", "")), IF(OR(N439="", N439=""), "[Aviso] Temporada no capturada ()", IF(ISNA(MATCH(N439, Criterios!$C$123:$C$128, 0)), "Temporada no válida", "")), IF(OR(O439="", O439=""), "[Aviso] Ciclo de vida no capturado ()", IF(ISNA(MATCH(O439, Criterios!$D$123:$D$124, 0)), "Ciclo de vida no válido", ""))))</f>
        <v/>
      </c>
      <c r="AC439" s="56" t="n"/>
      <c r="AD439" s="51" t="n">
        <v>0</v>
      </c>
      <c r="AE439" s="156" t="n"/>
      <c r="AF439" s="51" t="n">
        <v>0</v>
      </c>
      <c r="AG439" s="156" t="inlineStr">
        <is>
          <t>Catálogo existente</t>
        </is>
      </c>
      <c r="AH4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9" s="156" t="inlineStr">
        <is>
          <t>No</t>
        </is>
      </c>
      <c r="AJ439" s="156" t="n"/>
      <c r="AK439" s="155" t="inlineStr">
        <is>
          <t>Criterios: I [Q]; G1522_Extraccion_Articulos_NetSuite_2026-09-30.xlsx: fila 59011 [R] | Shopify Stetson: producto 15054564589931 / variante 53350555386219</t>
        </is>
      </c>
      <c r="AL439" s="58" t="n">
        <v>1442.18</v>
      </c>
      <c r="AM439" s="58" t="n">
        <v>8275.862069000001</v>
      </c>
      <c r="AN439" s="155" t="inlineStr">
        <is>
          <t>Shopify Stetson México</t>
        </is>
      </c>
      <c r="AO439" s="59" t="n">
        <v>0</v>
      </c>
      <c r="AP439" s="59" t="n"/>
      <c r="AQ439" s="59" t="n"/>
      <c r="AR439" s="155" t="n"/>
    </row>
    <row r="440">
      <c r="A440" s="50" t="inlineStr">
        <is>
          <t>12020004101026031</t>
        </is>
      </c>
      <c r="B440" s="51" t="inlineStr">
        <is>
          <t>111337</t>
        </is>
      </c>
      <c r="C440" s="156" t="inlineStr">
        <is>
          <t>Multimarca</t>
        </is>
      </c>
      <c r="D440" s="156" t="inlineStr">
        <is>
          <t>12-020-BS004-10-1026</t>
        </is>
      </c>
      <c r="E440" s="156" t="inlineStr">
        <is>
          <t>12-020-BS004-10-1026-031</t>
        </is>
      </c>
      <c r="F440" s="156" t="inlineStr">
        <is>
          <t>31</t>
        </is>
      </c>
      <c r="G440" s="156" t="inlineStr">
        <is>
          <t>13</t>
        </is>
      </c>
      <c r="H440" s="156" t="inlineStr">
        <is>
          <t>Stetson</t>
        </is>
      </c>
      <c r="I440" s="156" t="inlineStr">
        <is>
          <t>Bota Lagarto Chocolate</t>
        </is>
      </c>
      <c r="J440" s="156" t="inlineStr">
        <is>
          <t>Calzado</t>
        </is>
      </c>
      <c r="K440" s="156" t="inlineStr">
        <is>
          <t>Botas</t>
        </is>
      </c>
      <c r="L440" s="156" t="inlineStr">
        <is>
          <t>Hombre</t>
        </is>
      </c>
      <c r="M440" s="156" t="inlineStr">
        <is>
          <t>Stetson</t>
        </is>
      </c>
      <c r="N440" s="156" t="inlineStr">
        <is>
          <t>SS26</t>
        </is>
      </c>
      <c r="O440" s="156" t="inlineStr">
        <is>
          <t>Seasonal</t>
        </is>
      </c>
      <c r="P440" s="156" t="inlineStr">
        <is>
          <t>Cafe</t>
        </is>
      </c>
      <c r="Q440" s="156" t="n"/>
      <c r="R440" s="156" t="inlineStr">
        <is>
          <t>Punta Redonda Ancha</t>
        </is>
      </c>
      <c r="S440" s="156" t="inlineStr">
        <is>
          <t>Piel de lagarto</t>
        </is>
      </c>
      <c r="T440" s="156" t="inlineStr">
        <is>
          <t>Bota Caballero Piel de lagarto Chocolate Punta Redonda Ancha</t>
        </is>
      </c>
      <c r="U440" s="156" t="inlineStr">
        <is>
          <t>México</t>
        </is>
      </c>
      <c r="V440" s="156" t="inlineStr">
        <is>
          <t>PRS</t>
        </is>
      </c>
      <c r="W440" s="51" t="inlineStr">
        <is>
          <t>53111501</t>
        </is>
      </c>
      <c r="X440" s="156" t="n"/>
      <c r="Y440" s="54" t="n">
        <v>1442.18</v>
      </c>
      <c r="Z440" s="54" t="n">
        <v>8275.862069000001</v>
      </c>
      <c r="AA440" s="55">
        <f>IF(AND(A440="", B440="", E440=""), "", IF(AB440="", "Válido", IF((LEN(AB440)-LEN(SUBSTITUTE(AB440,"; ","")))/2+1&gt;(LEN(AB440)-LEN(SUBSTITUTE(AB440,"[Aviso]","")))/7, "Con Incidencias", "Válido")))</f>
        <v/>
      </c>
      <c r="AB440" s="56">
        <f>IF(AND(A440="", B440="", E440=""), "", TEXTJOIN("; ", TRUE, IF(OR(TRIM(A440&amp;"")="", ISNUMBER(SEARCH("FALTA", A440))), "UPC faltante/inválido", ""), IF(AND(A440&lt;&gt;"", IFERROR(_xlfn.XMATCH(A440,$A$2:$A$2509,0,1)&lt;&gt;_xlfn.XMATCH(A440,$A$2:$A$2509,0,-1),FALSE)), "Código de barras duplicado", ""), IF(AND(E440&lt;&gt;"", COUNTIF($E$2:$E$2509, E440)&gt;1), "SKU duplicado", ""), IF(OR(J440="", J440=""), "[Aviso] División no capturada ()", IF(ISNA(MATCH(J440, Criterios!$A$123:$A$126, 0)), "División no válida", "")), IF(OR(K440="", K440=""), "[Aviso] Categoría no capturada ()", IF(ISNA(MATCH(K440, Criterios!$A$81:$A$120, 0)), "Categoría no válida", IF(AND(J440&lt;&gt;"", J440&lt;&gt;"", J440&lt;&gt;VLOOKUP(K440, Criterios!$A$81:$B$120, 2, FALSE)), "División no coincide con Categoría", ""))), IF(OR(L440="", L440=""), "[Aviso] Género no capturado ()", IF(ISNA(MATCH(L440, Criterios!$B$123:$B$127, 0)), "Género no válido", "")), IF(OR(N440="", N440=""), "[Aviso] Temporada no capturada ()", IF(ISNA(MATCH(N440, Criterios!$C$123:$C$128, 0)), "Temporada no válida", "")), IF(OR(O440="", O440=""), "[Aviso] Ciclo de vida no capturado ()", IF(ISNA(MATCH(O440, Criterios!$D$123:$D$124, 0)), "Ciclo de vida no válido", ""))))</f>
        <v/>
      </c>
      <c r="AC440" s="56" t="n"/>
      <c r="AD440" s="51" t="n">
        <v>0</v>
      </c>
      <c r="AE440" s="156" t="n"/>
      <c r="AF440" s="51" t="n">
        <v>0</v>
      </c>
      <c r="AG440" s="156" t="inlineStr">
        <is>
          <t>Catálogo existente</t>
        </is>
      </c>
      <c r="AH4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0" s="156" t="inlineStr">
        <is>
          <t>No</t>
        </is>
      </c>
      <c r="AJ440" s="156" t="n"/>
      <c r="AK440" s="155" t="inlineStr">
        <is>
          <t>Criterios: I [Q]; G1522_Extraccion_Articulos_NetSuite_2026-09-30.xlsx: fila 59012 [R] | Shopify Stetson: producto 15054564589931 / variante 53350555451755</t>
        </is>
      </c>
      <c r="AL440" s="58" t="n">
        <v>1442.18</v>
      </c>
      <c r="AM440" s="58" t="n">
        <v>8275.862069000001</v>
      </c>
      <c r="AN440" s="155" t="inlineStr">
        <is>
          <t>Shopify Stetson México</t>
        </is>
      </c>
      <c r="AO440" s="59" t="n">
        <v>0</v>
      </c>
      <c r="AP440" s="59" t="n"/>
      <c r="AQ440" s="59" t="n"/>
      <c r="AR440" s="155" t="n"/>
    </row>
    <row r="441">
      <c r="A441" s="50" t="inlineStr">
        <is>
          <t>12020004101026032</t>
        </is>
      </c>
      <c r="B441" s="51" t="inlineStr">
        <is>
          <t>111338</t>
        </is>
      </c>
      <c r="C441" s="156" t="inlineStr">
        <is>
          <t>Multimarca</t>
        </is>
      </c>
      <c r="D441" s="156" t="inlineStr">
        <is>
          <t>12-020-BS004-10-1026</t>
        </is>
      </c>
      <c r="E441" s="156" t="inlineStr">
        <is>
          <t>12-020-BS004-10-1026-032</t>
        </is>
      </c>
      <c r="F441" s="156" t="inlineStr">
        <is>
          <t>32</t>
        </is>
      </c>
      <c r="G441" s="156" t="inlineStr">
        <is>
          <t>14</t>
        </is>
      </c>
      <c r="H441" s="156" t="inlineStr">
        <is>
          <t>Stetson</t>
        </is>
      </c>
      <c r="I441" s="156" t="inlineStr">
        <is>
          <t>Bota Lagarto Chocolate</t>
        </is>
      </c>
      <c r="J441" s="156" t="inlineStr">
        <is>
          <t>Calzado</t>
        </is>
      </c>
      <c r="K441" s="156" t="inlineStr">
        <is>
          <t>Botas</t>
        </is>
      </c>
      <c r="L441" s="156" t="inlineStr">
        <is>
          <t>Hombre</t>
        </is>
      </c>
      <c r="M441" s="156" t="inlineStr">
        <is>
          <t>Stetson</t>
        </is>
      </c>
      <c r="N441" s="156" t="inlineStr">
        <is>
          <t>SS26</t>
        </is>
      </c>
      <c r="O441" s="156" t="inlineStr">
        <is>
          <t>Seasonal</t>
        </is>
      </c>
      <c r="P441" s="156" t="inlineStr">
        <is>
          <t>Cafe</t>
        </is>
      </c>
      <c r="Q441" s="156" t="n"/>
      <c r="R441" s="156" t="inlineStr">
        <is>
          <t>Punta Redonda Ancha</t>
        </is>
      </c>
      <c r="S441" s="156" t="inlineStr">
        <is>
          <t>Piel de lagarto</t>
        </is>
      </c>
      <c r="T441" s="156" t="inlineStr">
        <is>
          <t>Bota Caballero Piel de lagarto Chocolate Punta Redonda Ancha</t>
        </is>
      </c>
      <c r="U441" s="156" t="inlineStr">
        <is>
          <t>México</t>
        </is>
      </c>
      <c r="V441" s="156" t="inlineStr">
        <is>
          <t>PRS</t>
        </is>
      </c>
      <c r="W441" s="51" t="inlineStr">
        <is>
          <t>53111501</t>
        </is>
      </c>
      <c r="X441" s="156" t="n"/>
      <c r="Y441" s="54" t="n">
        <v>1442.18</v>
      </c>
      <c r="Z441" s="54" t="n">
        <v>8275.862069000001</v>
      </c>
      <c r="AA441" s="55">
        <f>IF(AND(A441="", B441="", E441=""), "", IF(AB441="", "Válido", IF((LEN(AB441)-LEN(SUBSTITUTE(AB441,"; ","")))/2+1&gt;(LEN(AB441)-LEN(SUBSTITUTE(AB441,"[Aviso]","")))/7, "Con Incidencias", "Válido")))</f>
        <v/>
      </c>
      <c r="AB441" s="56">
        <f>IF(AND(A441="", B441="", E441=""), "", TEXTJOIN("; ", TRUE, IF(OR(TRIM(A441&amp;"")="", ISNUMBER(SEARCH("FALTA", A441))), "UPC faltante/inválido", ""), IF(AND(A441&lt;&gt;"", IFERROR(_xlfn.XMATCH(A441,$A$2:$A$2509,0,1)&lt;&gt;_xlfn.XMATCH(A441,$A$2:$A$2509,0,-1),FALSE)), "Código de barras duplicado", ""), IF(AND(E441&lt;&gt;"", COUNTIF($E$2:$E$2509, E441)&gt;1), "SKU duplicado", ""), IF(OR(J441="", J441=""), "[Aviso] División no capturada ()", IF(ISNA(MATCH(J441, Criterios!$A$123:$A$126, 0)), "División no válida", "")), IF(OR(K441="", K441=""), "[Aviso] Categoría no capturada ()", IF(ISNA(MATCH(K441, Criterios!$A$81:$A$120, 0)), "Categoría no válida", IF(AND(J441&lt;&gt;"", J441&lt;&gt;"", J441&lt;&gt;VLOOKUP(K441, Criterios!$A$81:$B$120, 2, FALSE)), "División no coincide con Categoría", ""))), IF(OR(L441="", L441=""), "[Aviso] Género no capturado ()", IF(ISNA(MATCH(L441, Criterios!$B$123:$B$127, 0)), "Género no válido", "")), IF(OR(N441="", N441=""), "[Aviso] Temporada no capturada ()", IF(ISNA(MATCH(N441, Criterios!$C$123:$C$128, 0)), "Temporada no válida", "")), IF(OR(O441="", O441=""), "[Aviso] Ciclo de vida no capturado ()", IF(ISNA(MATCH(O441, Criterios!$D$123:$D$124, 0)), "Ciclo de vida no válido", ""))))</f>
        <v/>
      </c>
      <c r="AC441" s="56" t="n"/>
      <c r="AD441" s="51" t="n">
        <v>0</v>
      </c>
      <c r="AE441" s="156" t="n"/>
      <c r="AF441" s="51" t="n">
        <v>0</v>
      </c>
      <c r="AG441" s="156" t="inlineStr">
        <is>
          <t>Catálogo existente</t>
        </is>
      </c>
      <c r="AH4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1" s="156" t="inlineStr">
        <is>
          <t>No</t>
        </is>
      </c>
      <c r="AJ441" s="156" t="n"/>
      <c r="AK441" s="155" t="inlineStr">
        <is>
          <t>Criterios: I [Q]; G1522_Extraccion_Articulos_NetSuite_2026-09-30.xlsx: fila 59013 [R] | Shopify Stetson: producto 15054564589931 / variante 53350555517291</t>
        </is>
      </c>
      <c r="AL441" s="58" t="n">
        <v>1442.18</v>
      </c>
      <c r="AM441" s="58" t="n">
        <v>8275.862069000001</v>
      </c>
      <c r="AN441" s="155" t="inlineStr">
        <is>
          <t>Shopify Stetson México</t>
        </is>
      </c>
      <c r="AO441" s="59" t="n">
        <v>0</v>
      </c>
      <c r="AP441" s="59" t="n"/>
      <c r="AQ441" s="59" t="n"/>
      <c r="AR441" s="155" t="n"/>
    </row>
    <row r="442">
      <c r="A442" s="50" t="inlineStr">
        <is>
          <t>12020004101026255</t>
        </is>
      </c>
      <c r="B442" s="51" t="inlineStr">
        <is>
          <t>111339</t>
        </is>
      </c>
      <c r="C442" s="156" t="inlineStr">
        <is>
          <t>Multimarca</t>
        </is>
      </c>
      <c r="D442" s="156" t="inlineStr">
        <is>
          <t>12-020-BS004-10-1026</t>
        </is>
      </c>
      <c r="E442" s="156" t="inlineStr">
        <is>
          <t>12-020-BS004-10-1026-255</t>
        </is>
      </c>
      <c r="F442" s="156" t="inlineStr">
        <is>
          <t>25.5</t>
        </is>
      </c>
      <c r="G442" s="156" t="inlineStr">
        <is>
          <t>7.5</t>
        </is>
      </c>
      <c r="H442" s="156" t="inlineStr">
        <is>
          <t>Stetson</t>
        </is>
      </c>
      <c r="I442" s="156" t="inlineStr">
        <is>
          <t>Bota Lagarto Chocolate</t>
        </is>
      </c>
      <c r="J442" s="156" t="inlineStr">
        <is>
          <t>Calzado</t>
        </is>
      </c>
      <c r="K442" s="156" t="inlineStr">
        <is>
          <t>Botas</t>
        </is>
      </c>
      <c r="L442" s="156" t="inlineStr">
        <is>
          <t>Hombre</t>
        </is>
      </c>
      <c r="M442" s="156" t="inlineStr">
        <is>
          <t>Stetson</t>
        </is>
      </c>
      <c r="N442" s="156" t="inlineStr">
        <is>
          <t>SS26</t>
        </is>
      </c>
      <c r="O442" s="156" t="inlineStr">
        <is>
          <t>Seasonal</t>
        </is>
      </c>
      <c r="P442" s="156" t="inlineStr">
        <is>
          <t>Cafe</t>
        </is>
      </c>
      <c r="Q442" s="156" t="n"/>
      <c r="R442" s="156" t="inlineStr">
        <is>
          <t>Punta Redonda Ancha</t>
        </is>
      </c>
      <c r="S442" s="156" t="inlineStr">
        <is>
          <t>Piel de lagarto</t>
        </is>
      </c>
      <c r="T442" s="156" t="inlineStr">
        <is>
          <t>Bota Caballero Piel de lagarto Chocolate Punta Redonda Ancha</t>
        </is>
      </c>
      <c r="U442" s="156" t="inlineStr">
        <is>
          <t>México</t>
        </is>
      </c>
      <c r="V442" s="156" t="inlineStr">
        <is>
          <t>PRS</t>
        </is>
      </c>
      <c r="W442" s="51" t="inlineStr">
        <is>
          <t>53111501</t>
        </is>
      </c>
      <c r="X442" s="156" t="n"/>
      <c r="Y442" s="54" t="n">
        <v>1442.18</v>
      </c>
      <c r="Z442" s="54" t="n">
        <v>8275.862069000001</v>
      </c>
      <c r="AA442" s="55">
        <f>IF(AND(A442="", B442="", E442=""), "", IF(AB442="", "Válido", IF((LEN(AB442)-LEN(SUBSTITUTE(AB442,"; ","")))/2+1&gt;(LEN(AB442)-LEN(SUBSTITUTE(AB442,"[Aviso]","")))/7, "Con Incidencias", "Válido")))</f>
        <v/>
      </c>
      <c r="AB442" s="56">
        <f>IF(AND(A442="", B442="", E442=""), "", TEXTJOIN("; ", TRUE, IF(OR(TRIM(A442&amp;"")="", ISNUMBER(SEARCH("FALTA", A442))), "UPC faltante/inválido", ""), IF(AND(A442&lt;&gt;"", IFERROR(_xlfn.XMATCH(A442,$A$2:$A$2509,0,1)&lt;&gt;_xlfn.XMATCH(A442,$A$2:$A$2509,0,-1),FALSE)), "Código de barras duplicado", ""), IF(AND(E442&lt;&gt;"", COUNTIF($E$2:$E$2509, E442)&gt;1), "SKU duplicado", ""), IF(OR(J442="", J442=""), "[Aviso] División no capturada ()", IF(ISNA(MATCH(J442, Criterios!$A$123:$A$126, 0)), "División no válida", "")), IF(OR(K442="", K442=""), "[Aviso] Categoría no capturada ()", IF(ISNA(MATCH(K442, Criterios!$A$81:$A$120, 0)), "Categoría no válida", IF(AND(J442&lt;&gt;"", J442&lt;&gt;"", J442&lt;&gt;VLOOKUP(K442, Criterios!$A$81:$B$120, 2, FALSE)), "División no coincide con Categoría", ""))), IF(OR(L442="", L442=""), "[Aviso] Género no capturado ()", IF(ISNA(MATCH(L442, Criterios!$B$123:$B$127, 0)), "Género no válido", "")), IF(OR(N442="", N442=""), "[Aviso] Temporada no capturada ()", IF(ISNA(MATCH(N442, Criterios!$C$123:$C$128, 0)), "Temporada no válida", "")), IF(OR(O442="", O442=""), "[Aviso] Ciclo de vida no capturado ()", IF(ISNA(MATCH(O442, Criterios!$D$123:$D$124, 0)), "Ciclo de vida no válido", ""))))</f>
        <v/>
      </c>
      <c r="AC442" s="56" t="n"/>
      <c r="AD442" s="51" t="n">
        <v>0</v>
      </c>
      <c r="AE442" s="156" t="n"/>
      <c r="AF442" s="51" t="n">
        <v>0</v>
      </c>
      <c r="AG442" s="156" t="inlineStr">
        <is>
          <t>Catálogo existente</t>
        </is>
      </c>
      <c r="AH4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2" s="156" t="inlineStr">
        <is>
          <t>No</t>
        </is>
      </c>
      <c r="AJ442" s="156" t="n"/>
      <c r="AK442" s="155" t="inlineStr">
        <is>
          <t>Criterios: I [Q]; G1522_Extraccion_Articulos_NetSuite_2026-09-30.xlsx: fila 59014 [R] | Shopify Stetson: producto 15054564589931 / variante 53350555091307</t>
        </is>
      </c>
      <c r="AL442" s="58" t="n">
        <v>1442.18</v>
      </c>
      <c r="AM442" s="58" t="n">
        <v>8275.862069000001</v>
      </c>
      <c r="AN442" s="155" t="inlineStr">
        <is>
          <t>Shopify Stetson México</t>
        </is>
      </c>
      <c r="AO442" s="59" t="n">
        <v>0</v>
      </c>
      <c r="AP442" s="59" t="n"/>
      <c r="AQ442" s="59" t="n"/>
      <c r="AR442" s="155" t="n"/>
    </row>
    <row r="443">
      <c r="A443" s="50" t="inlineStr">
        <is>
          <t>12020004101026265</t>
        </is>
      </c>
      <c r="B443" s="51" t="inlineStr">
        <is>
          <t>111340</t>
        </is>
      </c>
      <c r="C443" s="156" t="inlineStr">
        <is>
          <t>Multimarca</t>
        </is>
      </c>
      <c r="D443" s="156" t="inlineStr">
        <is>
          <t>12-020-BS004-10-1026</t>
        </is>
      </c>
      <c r="E443" s="156" t="inlineStr">
        <is>
          <t>12-020-BS004-10-1026-265</t>
        </is>
      </c>
      <c r="F443" s="156" t="inlineStr">
        <is>
          <t>26.5</t>
        </is>
      </c>
      <c r="G443" s="156" t="inlineStr">
        <is>
          <t>8.5</t>
        </is>
      </c>
      <c r="H443" s="156" t="inlineStr">
        <is>
          <t>Stetson</t>
        </is>
      </c>
      <c r="I443" s="156" t="inlineStr">
        <is>
          <t>Bota Lagarto Chocolate</t>
        </is>
      </c>
      <c r="J443" s="156" t="inlineStr">
        <is>
          <t>Calzado</t>
        </is>
      </c>
      <c r="K443" s="156" t="inlineStr">
        <is>
          <t>Botas</t>
        </is>
      </c>
      <c r="L443" s="156" t="inlineStr">
        <is>
          <t>Hombre</t>
        </is>
      </c>
      <c r="M443" s="156" t="inlineStr">
        <is>
          <t>Stetson</t>
        </is>
      </c>
      <c r="N443" s="156" t="inlineStr">
        <is>
          <t>SS26</t>
        </is>
      </c>
      <c r="O443" s="156" t="inlineStr">
        <is>
          <t>Seasonal</t>
        </is>
      </c>
      <c r="P443" s="156" t="inlineStr">
        <is>
          <t>Cafe</t>
        </is>
      </c>
      <c r="Q443" s="156" t="n"/>
      <c r="R443" s="156" t="inlineStr">
        <is>
          <t>Punta Redonda Ancha</t>
        </is>
      </c>
      <c r="S443" s="156" t="inlineStr">
        <is>
          <t>Piel de lagarto</t>
        </is>
      </c>
      <c r="T443" s="156" t="inlineStr">
        <is>
          <t>Bota Caballero Piel de lagarto Chocolate Punta Redonda Ancha</t>
        </is>
      </c>
      <c r="U443" s="156" t="inlineStr">
        <is>
          <t>México</t>
        </is>
      </c>
      <c r="V443" s="156" t="inlineStr">
        <is>
          <t>PRS</t>
        </is>
      </c>
      <c r="W443" s="51" t="inlineStr">
        <is>
          <t>53111501</t>
        </is>
      </c>
      <c r="X443" s="156" t="n"/>
      <c r="Y443" s="54" t="n">
        <v>1442.18</v>
      </c>
      <c r="Z443" s="54" t="n">
        <v>8275.862069000001</v>
      </c>
      <c r="AA443" s="55">
        <f>IF(AND(A443="", B443="", E443=""), "", IF(AB443="", "Válido", IF((LEN(AB443)-LEN(SUBSTITUTE(AB443,"; ","")))/2+1&gt;(LEN(AB443)-LEN(SUBSTITUTE(AB443,"[Aviso]","")))/7, "Con Incidencias", "Válido")))</f>
        <v/>
      </c>
      <c r="AB443" s="56">
        <f>IF(AND(A443="", B443="", E443=""), "", TEXTJOIN("; ", TRUE, IF(OR(TRIM(A443&amp;"")="", ISNUMBER(SEARCH("FALTA", A443))), "UPC faltante/inválido", ""), IF(AND(A443&lt;&gt;"", IFERROR(_xlfn.XMATCH(A443,$A$2:$A$2509,0,1)&lt;&gt;_xlfn.XMATCH(A443,$A$2:$A$2509,0,-1),FALSE)), "Código de barras duplicado", ""), IF(AND(E443&lt;&gt;"", COUNTIF($E$2:$E$2509, E443)&gt;1), "SKU duplicado", ""), IF(OR(J443="", J443=""), "[Aviso] División no capturada ()", IF(ISNA(MATCH(J443, Criterios!$A$123:$A$126, 0)), "División no válida", "")), IF(OR(K443="", K443=""), "[Aviso] Categoría no capturada ()", IF(ISNA(MATCH(K443, Criterios!$A$81:$A$120, 0)), "Categoría no válida", IF(AND(J443&lt;&gt;"", J443&lt;&gt;"", J443&lt;&gt;VLOOKUP(K443, Criterios!$A$81:$B$120, 2, FALSE)), "División no coincide con Categoría", ""))), IF(OR(L443="", L443=""), "[Aviso] Género no capturado ()", IF(ISNA(MATCH(L443, Criterios!$B$123:$B$127, 0)), "Género no válido", "")), IF(OR(N443="", N443=""), "[Aviso] Temporada no capturada ()", IF(ISNA(MATCH(N443, Criterios!$C$123:$C$128, 0)), "Temporada no válida", "")), IF(OR(O443="", O443=""), "[Aviso] Ciclo de vida no capturado ()", IF(ISNA(MATCH(O443, Criterios!$D$123:$D$124, 0)), "Ciclo de vida no válido", ""))))</f>
        <v/>
      </c>
      <c r="AC443" s="56" t="n"/>
      <c r="AD443" s="51" t="n">
        <v>0</v>
      </c>
      <c r="AE443" s="156" t="n"/>
      <c r="AF443" s="51" t="n">
        <v>0</v>
      </c>
      <c r="AG443" s="156" t="inlineStr">
        <is>
          <t>Catálogo existente</t>
        </is>
      </c>
      <c r="AH4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3" s="156" t="inlineStr">
        <is>
          <t>No</t>
        </is>
      </c>
      <c r="AJ443" s="156" t="n"/>
      <c r="AK443" s="155" t="inlineStr">
        <is>
          <t>Criterios: I [Q]; G1522_Extraccion_Articulos_NetSuite_2026-09-30.xlsx: fila 59015 [R] | Shopify Stetson: producto 15054564589931 / variante 53350555156843</t>
        </is>
      </c>
      <c r="AL443" s="58" t="n">
        <v>1442.18</v>
      </c>
      <c r="AM443" s="58" t="n">
        <v>8275.862069000001</v>
      </c>
      <c r="AN443" s="155" t="inlineStr">
        <is>
          <t>Shopify Stetson México</t>
        </is>
      </c>
      <c r="AO443" s="59" t="n">
        <v>0</v>
      </c>
      <c r="AP443" s="59" t="n"/>
      <c r="AQ443" s="59" t="n"/>
      <c r="AR443" s="155" t="n"/>
    </row>
    <row r="444">
      <c r="A444" s="50" t="inlineStr">
        <is>
          <t>12020004101026275</t>
        </is>
      </c>
      <c r="B444" s="51" t="inlineStr">
        <is>
          <t>111341</t>
        </is>
      </c>
      <c r="C444" s="156" t="inlineStr">
        <is>
          <t>Multimarca</t>
        </is>
      </c>
      <c r="D444" s="156" t="inlineStr">
        <is>
          <t>12-020-BS004-10-1026</t>
        </is>
      </c>
      <c r="E444" s="156" t="inlineStr">
        <is>
          <t>12-020-BS004-10-1026-275</t>
        </is>
      </c>
      <c r="F444" s="156" t="inlineStr">
        <is>
          <t>27.5</t>
        </is>
      </c>
      <c r="G444" s="156" t="inlineStr">
        <is>
          <t>9.5</t>
        </is>
      </c>
      <c r="H444" s="156" t="inlineStr">
        <is>
          <t>Stetson</t>
        </is>
      </c>
      <c r="I444" s="156" t="inlineStr">
        <is>
          <t>Bota Lagarto Chocolate</t>
        </is>
      </c>
      <c r="J444" s="156" t="inlineStr">
        <is>
          <t>Calzado</t>
        </is>
      </c>
      <c r="K444" s="156" t="inlineStr">
        <is>
          <t>Botas</t>
        </is>
      </c>
      <c r="L444" s="156" t="inlineStr">
        <is>
          <t>Hombre</t>
        </is>
      </c>
      <c r="M444" s="156" t="inlineStr">
        <is>
          <t>Stetson</t>
        </is>
      </c>
      <c r="N444" s="156" t="inlineStr">
        <is>
          <t>SS26</t>
        </is>
      </c>
      <c r="O444" s="156" t="inlineStr">
        <is>
          <t>Seasonal</t>
        </is>
      </c>
      <c r="P444" s="156" t="inlineStr">
        <is>
          <t>Cafe</t>
        </is>
      </c>
      <c r="Q444" s="156" t="n"/>
      <c r="R444" s="156" t="inlineStr">
        <is>
          <t>Punta Redonda Ancha</t>
        </is>
      </c>
      <c r="S444" s="156" t="inlineStr">
        <is>
          <t>Piel de lagarto</t>
        </is>
      </c>
      <c r="T444" s="156" t="inlineStr">
        <is>
          <t>Bota Caballero Piel de lagarto Chocolate Punta Redonda Ancha</t>
        </is>
      </c>
      <c r="U444" s="156" t="inlineStr">
        <is>
          <t>México</t>
        </is>
      </c>
      <c r="V444" s="156" t="inlineStr">
        <is>
          <t>PRS</t>
        </is>
      </c>
      <c r="W444" s="51" t="inlineStr">
        <is>
          <t>53111501</t>
        </is>
      </c>
      <c r="X444" s="156" t="n"/>
      <c r="Y444" s="54" t="n">
        <v>1442.18</v>
      </c>
      <c r="Z444" s="54" t="n">
        <v>8275.862069000001</v>
      </c>
      <c r="AA444" s="55">
        <f>IF(AND(A444="", B444="", E444=""), "", IF(AB444="", "Válido", IF((LEN(AB444)-LEN(SUBSTITUTE(AB444,"; ","")))/2+1&gt;(LEN(AB444)-LEN(SUBSTITUTE(AB444,"[Aviso]","")))/7, "Con Incidencias", "Válido")))</f>
        <v/>
      </c>
      <c r="AB444" s="56">
        <f>IF(AND(A444="", B444="", E444=""), "", TEXTJOIN("; ", TRUE, IF(OR(TRIM(A444&amp;"")="", ISNUMBER(SEARCH("FALTA", A444))), "UPC faltante/inválido", ""), IF(AND(A444&lt;&gt;"", IFERROR(_xlfn.XMATCH(A444,$A$2:$A$2509,0,1)&lt;&gt;_xlfn.XMATCH(A444,$A$2:$A$2509,0,-1),FALSE)), "Código de barras duplicado", ""), IF(AND(E444&lt;&gt;"", COUNTIF($E$2:$E$2509, E444)&gt;1), "SKU duplicado", ""), IF(OR(J444="", J444=""), "[Aviso] División no capturada ()", IF(ISNA(MATCH(J444, Criterios!$A$123:$A$126, 0)), "División no válida", "")), IF(OR(K444="", K444=""), "[Aviso] Categoría no capturada ()", IF(ISNA(MATCH(K444, Criterios!$A$81:$A$120, 0)), "Categoría no válida", IF(AND(J444&lt;&gt;"", J444&lt;&gt;"", J444&lt;&gt;VLOOKUP(K444, Criterios!$A$81:$B$120, 2, FALSE)), "División no coincide con Categoría", ""))), IF(OR(L444="", L444=""), "[Aviso] Género no capturado ()", IF(ISNA(MATCH(L444, Criterios!$B$123:$B$127, 0)), "Género no válido", "")), IF(OR(N444="", N444=""), "[Aviso] Temporada no capturada ()", IF(ISNA(MATCH(N444, Criterios!$C$123:$C$128, 0)), "Temporada no válida", "")), IF(OR(O444="", O444=""), "[Aviso] Ciclo de vida no capturado ()", IF(ISNA(MATCH(O444, Criterios!$D$123:$D$124, 0)), "Ciclo de vida no válido", ""))))</f>
        <v/>
      </c>
      <c r="AC444" s="56" t="n"/>
      <c r="AD444" s="51" t="n">
        <v>1</v>
      </c>
      <c r="AE444" s="156" t="inlineStr">
        <is>
          <t>STETSON AMERICAS (1)</t>
        </is>
      </c>
      <c r="AF444" s="51" t="n">
        <v>1</v>
      </c>
      <c r="AG444" s="156" t="inlineStr">
        <is>
          <t>Catálogo existente</t>
        </is>
      </c>
      <c r="AH4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4" s="156" t="inlineStr">
        <is>
          <t>No</t>
        </is>
      </c>
      <c r="AJ444" s="156" t="n"/>
      <c r="AK444" s="155" t="inlineStr">
        <is>
          <t>Criterios: I [Q]; G1522_Extraccion_Articulos_NetSuite_2026-09-30.xlsx: fila 59016 [R] | Shopify Stetson: producto 15054564589931 / variante 53350555222379</t>
        </is>
      </c>
      <c r="AL444" s="58" t="n">
        <v>1442.18</v>
      </c>
      <c r="AM444" s="58" t="n">
        <v>8275.862069000001</v>
      </c>
      <c r="AN444" s="155" t="inlineStr">
        <is>
          <t>Shopify Stetson México</t>
        </is>
      </c>
      <c r="AO444" s="59" t="n">
        <v>1</v>
      </c>
      <c r="AP444" s="59" t="n"/>
      <c r="AQ444" s="59" t="n"/>
      <c r="AR444" s="155" t="inlineStr">
        <is>
          <t>Shopify Stetson México › Stetson Americas: 1</t>
        </is>
      </c>
    </row>
    <row r="445">
      <c r="A445" s="50" t="inlineStr">
        <is>
          <t>12020004101026285</t>
        </is>
      </c>
      <c r="B445" s="51" t="inlineStr">
        <is>
          <t>111342</t>
        </is>
      </c>
      <c r="C445" s="156" t="inlineStr">
        <is>
          <t>Multimarca</t>
        </is>
      </c>
      <c r="D445" s="156" t="inlineStr">
        <is>
          <t>12-020-BS004-10-1026</t>
        </is>
      </c>
      <c r="E445" s="156" t="inlineStr">
        <is>
          <t>12-020-BS004-10-1026-285</t>
        </is>
      </c>
      <c r="F445" s="156" t="inlineStr">
        <is>
          <t>28.5</t>
        </is>
      </c>
      <c r="G445" s="156" t="inlineStr">
        <is>
          <t>10.5</t>
        </is>
      </c>
      <c r="H445" s="156" t="inlineStr">
        <is>
          <t>Stetson</t>
        </is>
      </c>
      <c r="I445" s="156" t="inlineStr">
        <is>
          <t>Bota Lagarto Chocolate</t>
        </is>
      </c>
      <c r="J445" s="156" t="inlineStr">
        <is>
          <t>Calzado</t>
        </is>
      </c>
      <c r="K445" s="156" t="inlineStr">
        <is>
          <t>Botas</t>
        </is>
      </c>
      <c r="L445" s="156" t="inlineStr">
        <is>
          <t>Hombre</t>
        </is>
      </c>
      <c r="M445" s="156" t="inlineStr">
        <is>
          <t>Stetson</t>
        </is>
      </c>
      <c r="N445" s="156" t="inlineStr">
        <is>
          <t>SS26</t>
        </is>
      </c>
      <c r="O445" s="156" t="inlineStr">
        <is>
          <t>Seasonal</t>
        </is>
      </c>
      <c r="P445" s="156" t="inlineStr">
        <is>
          <t>Cafe</t>
        </is>
      </c>
      <c r="Q445" s="156" t="n"/>
      <c r="R445" s="156" t="inlineStr">
        <is>
          <t>Punta Redonda Ancha</t>
        </is>
      </c>
      <c r="S445" s="156" t="inlineStr">
        <is>
          <t>Piel de lagarto</t>
        </is>
      </c>
      <c r="T445" s="156" t="inlineStr">
        <is>
          <t>Bota Caballero Piel de lagarto Chocolate Punta Redonda Ancha</t>
        </is>
      </c>
      <c r="U445" s="156" t="inlineStr">
        <is>
          <t>México</t>
        </is>
      </c>
      <c r="V445" s="156" t="inlineStr">
        <is>
          <t>PRS</t>
        </is>
      </c>
      <c r="W445" s="51" t="inlineStr">
        <is>
          <t>53111501</t>
        </is>
      </c>
      <c r="X445" s="156" t="n"/>
      <c r="Y445" s="54" t="n">
        <v>1442.18</v>
      </c>
      <c r="Z445" s="54" t="n">
        <v>8275.862069000001</v>
      </c>
      <c r="AA445" s="55">
        <f>IF(AND(A445="", B445="", E445=""), "", IF(AB445="", "Válido", IF((LEN(AB445)-LEN(SUBSTITUTE(AB445,"; ","")))/2+1&gt;(LEN(AB445)-LEN(SUBSTITUTE(AB445,"[Aviso]","")))/7, "Con Incidencias", "Válido")))</f>
        <v/>
      </c>
      <c r="AB445" s="56">
        <f>IF(AND(A445="", B445="", E445=""), "", TEXTJOIN("; ", TRUE, IF(OR(TRIM(A445&amp;"")="", ISNUMBER(SEARCH("FALTA", A445))), "UPC faltante/inválido", ""), IF(AND(A445&lt;&gt;"", IFERROR(_xlfn.XMATCH(A445,$A$2:$A$2509,0,1)&lt;&gt;_xlfn.XMATCH(A445,$A$2:$A$2509,0,-1),FALSE)), "Código de barras duplicado", ""), IF(AND(E445&lt;&gt;"", COUNTIF($E$2:$E$2509, E445)&gt;1), "SKU duplicado", ""), IF(OR(J445="", J445=""), "[Aviso] División no capturada ()", IF(ISNA(MATCH(J445, Criterios!$A$123:$A$126, 0)), "División no válida", "")), IF(OR(K445="", K445=""), "[Aviso] Categoría no capturada ()", IF(ISNA(MATCH(K445, Criterios!$A$81:$A$120, 0)), "Categoría no válida", IF(AND(J445&lt;&gt;"", J445&lt;&gt;"", J445&lt;&gt;VLOOKUP(K445, Criterios!$A$81:$B$120, 2, FALSE)), "División no coincide con Categoría", ""))), IF(OR(L445="", L445=""), "[Aviso] Género no capturado ()", IF(ISNA(MATCH(L445, Criterios!$B$123:$B$127, 0)), "Género no válido", "")), IF(OR(N445="", N445=""), "[Aviso] Temporada no capturada ()", IF(ISNA(MATCH(N445, Criterios!$C$123:$C$128, 0)), "Temporada no válida", "")), IF(OR(O445="", O445=""), "[Aviso] Ciclo de vida no capturado ()", IF(ISNA(MATCH(O445, Criterios!$D$123:$D$124, 0)), "Ciclo de vida no válido", ""))))</f>
        <v/>
      </c>
      <c r="AC445" s="56" t="n"/>
      <c r="AD445" s="51" t="n">
        <v>0</v>
      </c>
      <c r="AE445" s="156" t="n"/>
      <c r="AF445" s="51" t="n">
        <v>0</v>
      </c>
      <c r="AG445" s="156" t="inlineStr">
        <is>
          <t>Catálogo existente</t>
        </is>
      </c>
      <c r="AH44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5" s="156" t="inlineStr">
        <is>
          <t>No</t>
        </is>
      </c>
      <c r="AJ445" s="156" t="n"/>
      <c r="AK445" s="155" t="inlineStr">
        <is>
          <t>Criterios: I [Q]; G1522_Extraccion_Articulos_NetSuite_2026-09-30.xlsx: fila 59017 [R] | Shopify Stetson: producto 15054564589931 / variante 53350555287915</t>
        </is>
      </c>
      <c r="AL445" s="58" t="n">
        <v>1442.18</v>
      </c>
      <c r="AM445" s="58" t="n">
        <v>8275.862069000001</v>
      </c>
      <c r="AN445" s="155" t="inlineStr">
        <is>
          <t>Shopify Stetson México</t>
        </is>
      </c>
      <c r="AO445" s="59" t="n">
        <v>0</v>
      </c>
      <c r="AP445" s="59" t="n"/>
      <c r="AQ445" s="59" t="n"/>
      <c r="AR445" s="155" t="n"/>
    </row>
    <row r="446">
      <c r="A446" s="50" t="inlineStr">
        <is>
          <t>12020004101026295</t>
        </is>
      </c>
      <c r="B446" s="51" t="inlineStr">
        <is>
          <t>111343</t>
        </is>
      </c>
      <c r="C446" s="156" t="inlineStr">
        <is>
          <t>Multimarca</t>
        </is>
      </c>
      <c r="D446" s="156" t="inlineStr">
        <is>
          <t>12-020-BS004-10-1026</t>
        </is>
      </c>
      <c r="E446" s="156" t="inlineStr">
        <is>
          <t>12-020-BS004-10-1026-295</t>
        </is>
      </c>
      <c r="F446" s="156" t="inlineStr">
        <is>
          <t>29.5</t>
        </is>
      </c>
      <c r="G446" s="156" t="inlineStr">
        <is>
          <t>11.5</t>
        </is>
      </c>
      <c r="H446" s="156" t="inlineStr">
        <is>
          <t>Stetson</t>
        </is>
      </c>
      <c r="I446" s="156" t="inlineStr">
        <is>
          <t>Bota Lagarto Chocolate</t>
        </is>
      </c>
      <c r="J446" s="156" t="inlineStr">
        <is>
          <t>Calzado</t>
        </is>
      </c>
      <c r="K446" s="156" t="inlineStr">
        <is>
          <t>Botas</t>
        </is>
      </c>
      <c r="L446" s="156" t="inlineStr">
        <is>
          <t>Hombre</t>
        </is>
      </c>
      <c r="M446" s="156" t="inlineStr">
        <is>
          <t>Stetson</t>
        </is>
      </c>
      <c r="N446" s="156" t="inlineStr">
        <is>
          <t>SS26</t>
        </is>
      </c>
      <c r="O446" s="156" t="inlineStr">
        <is>
          <t>Seasonal</t>
        </is>
      </c>
      <c r="P446" s="156" t="inlineStr">
        <is>
          <t>Cafe</t>
        </is>
      </c>
      <c r="Q446" s="156" t="n"/>
      <c r="R446" s="156" t="inlineStr">
        <is>
          <t>Punta Redonda Ancha</t>
        </is>
      </c>
      <c r="S446" s="156" t="inlineStr">
        <is>
          <t>Piel de lagarto</t>
        </is>
      </c>
      <c r="T446" s="156" t="inlineStr">
        <is>
          <t>Bota Caballero Piel de lagarto Chocolate Punta Redonda Ancha</t>
        </is>
      </c>
      <c r="U446" s="156" t="inlineStr">
        <is>
          <t>México</t>
        </is>
      </c>
      <c r="V446" s="156" t="inlineStr">
        <is>
          <t>PRS</t>
        </is>
      </c>
      <c r="W446" s="51" t="inlineStr">
        <is>
          <t>53111501</t>
        </is>
      </c>
      <c r="X446" s="156" t="n"/>
      <c r="Y446" s="54" t="n">
        <v>1442.18</v>
      </c>
      <c r="Z446" s="54" t="n">
        <v>8275.862069000001</v>
      </c>
      <c r="AA446" s="55">
        <f>IF(AND(A446="", B446="", E446=""), "", IF(AB446="", "Válido", IF((LEN(AB446)-LEN(SUBSTITUTE(AB446,"; ","")))/2+1&gt;(LEN(AB446)-LEN(SUBSTITUTE(AB446,"[Aviso]","")))/7, "Con Incidencias", "Válido")))</f>
        <v/>
      </c>
      <c r="AB446" s="56">
        <f>IF(AND(A446="", B446="", E446=""), "", TEXTJOIN("; ", TRUE, IF(OR(TRIM(A446&amp;"")="", ISNUMBER(SEARCH("FALTA", A446))), "UPC faltante/inválido", ""), IF(AND(A446&lt;&gt;"", IFERROR(_xlfn.XMATCH(A446,$A$2:$A$2509,0,1)&lt;&gt;_xlfn.XMATCH(A446,$A$2:$A$2509,0,-1),FALSE)), "Código de barras duplicado", ""), IF(AND(E446&lt;&gt;"", COUNTIF($E$2:$E$2509, E446)&gt;1), "SKU duplicado", ""), IF(OR(J446="", J446=""), "[Aviso] División no capturada ()", IF(ISNA(MATCH(J446, Criterios!$A$123:$A$126, 0)), "División no válida", "")), IF(OR(K446="", K446=""), "[Aviso] Categoría no capturada ()", IF(ISNA(MATCH(K446, Criterios!$A$81:$A$120, 0)), "Categoría no válida", IF(AND(J446&lt;&gt;"", J446&lt;&gt;"", J446&lt;&gt;VLOOKUP(K446, Criterios!$A$81:$B$120, 2, FALSE)), "División no coincide con Categoría", ""))), IF(OR(L446="", L446=""), "[Aviso] Género no capturado ()", IF(ISNA(MATCH(L446, Criterios!$B$123:$B$127, 0)), "Género no válido", "")), IF(OR(N446="", N446=""), "[Aviso] Temporada no capturada ()", IF(ISNA(MATCH(N446, Criterios!$C$123:$C$128, 0)), "Temporada no válida", "")), IF(OR(O446="", O446=""), "[Aviso] Ciclo de vida no capturado ()", IF(ISNA(MATCH(O446, Criterios!$D$123:$D$124, 0)), "Ciclo de vida no válido", ""))))</f>
        <v/>
      </c>
      <c r="AC446" s="56" t="n"/>
      <c r="AD446" s="51" t="n">
        <v>0</v>
      </c>
      <c r="AE446" s="156" t="n"/>
      <c r="AF446" s="51" t="n">
        <v>0</v>
      </c>
      <c r="AG446" s="156" t="inlineStr">
        <is>
          <t>Catálogo existente</t>
        </is>
      </c>
      <c r="AH4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6" s="156" t="inlineStr">
        <is>
          <t>No</t>
        </is>
      </c>
      <c r="AJ446" s="156" t="n"/>
      <c r="AK446" s="155" t="inlineStr">
        <is>
          <t>Criterios: I [Q]; G1522_Extraccion_Articulos_NetSuite_2026-09-30.xlsx: fila 59018 [R] | Shopify Stetson: producto 15054564589931 / variante 53350555353451</t>
        </is>
      </c>
      <c r="AL446" s="58" t="n">
        <v>1442.18</v>
      </c>
      <c r="AM446" s="58" t="n">
        <v>8275.862069000001</v>
      </c>
      <c r="AN446" s="155" t="inlineStr">
        <is>
          <t>Shopify Stetson México</t>
        </is>
      </c>
      <c r="AO446" s="59" t="n">
        <v>0</v>
      </c>
      <c r="AP446" s="59" t="n"/>
      <c r="AQ446" s="59" t="n"/>
      <c r="AR446" s="155" t="n"/>
    </row>
    <row r="447">
      <c r="A447" s="50" t="inlineStr">
        <is>
          <t>12020004101026305</t>
        </is>
      </c>
      <c r="B447" s="51" t="inlineStr">
        <is>
          <t>111344</t>
        </is>
      </c>
      <c r="C447" s="156" t="inlineStr">
        <is>
          <t>Multimarca</t>
        </is>
      </c>
      <c r="D447" s="156" t="inlineStr">
        <is>
          <t>12-020-BS004-10-1026</t>
        </is>
      </c>
      <c r="E447" s="156" t="inlineStr">
        <is>
          <t>12-020-BS004-10-1026-305</t>
        </is>
      </c>
      <c r="F447" s="156" t="inlineStr">
        <is>
          <t>30.5</t>
        </is>
      </c>
      <c r="G447" s="156" t="inlineStr">
        <is>
          <t>12.5</t>
        </is>
      </c>
      <c r="H447" s="156" t="inlineStr">
        <is>
          <t>Stetson</t>
        </is>
      </c>
      <c r="I447" s="156" t="inlineStr">
        <is>
          <t>Bota Lagarto Chocolate</t>
        </is>
      </c>
      <c r="J447" s="156" t="inlineStr">
        <is>
          <t>Calzado</t>
        </is>
      </c>
      <c r="K447" s="156" t="inlineStr">
        <is>
          <t>Botas</t>
        </is>
      </c>
      <c r="L447" s="156" t="inlineStr">
        <is>
          <t>Hombre</t>
        </is>
      </c>
      <c r="M447" s="156" t="inlineStr">
        <is>
          <t>Stetson</t>
        </is>
      </c>
      <c r="N447" s="156" t="inlineStr">
        <is>
          <t>SS26</t>
        </is>
      </c>
      <c r="O447" s="156" t="inlineStr">
        <is>
          <t>Seasonal</t>
        </is>
      </c>
      <c r="P447" s="156" t="inlineStr">
        <is>
          <t>Cafe</t>
        </is>
      </c>
      <c r="Q447" s="156" t="n"/>
      <c r="R447" s="156" t="inlineStr">
        <is>
          <t>Punta Redonda Ancha</t>
        </is>
      </c>
      <c r="S447" s="156" t="inlineStr">
        <is>
          <t>Piel de lagarto</t>
        </is>
      </c>
      <c r="T447" s="156" t="inlineStr">
        <is>
          <t>Bota Caballero Piel de lagarto Chocolate Punta Redonda Ancha</t>
        </is>
      </c>
      <c r="U447" s="156" t="inlineStr">
        <is>
          <t>México</t>
        </is>
      </c>
      <c r="V447" s="156" t="inlineStr">
        <is>
          <t>PRS</t>
        </is>
      </c>
      <c r="W447" s="51" t="inlineStr">
        <is>
          <t>53111501</t>
        </is>
      </c>
      <c r="X447" s="156" t="n"/>
      <c r="Y447" s="54" t="n">
        <v>1442.18</v>
      </c>
      <c r="Z447" s="54" t="n">
        <v>8275.862069000001</v>
      </c>
      <c r="AA447" s="55">
        <f>IF(AND(A447="", B447="", E447=""), "", IF(AB447="", "Válido", IF((LEN(AB447)-LEN(SUBSTITUTE(AB447,"; ","")))/2+1&gt;(LEN(AB447)-LEN(SUBSTITUTE(AB447,"[Aviso]","")))/7, "Con Incidencias", "Válido")))</f>
        <v/>
      </c>
      <c r="AB447" s="56">
        <f>IF(AND(A447="", B447="", E447=""), "", TEXTJOIN("; ", TRUE, IF(OR(TRIM(A447&amp;"")="", ISNUMBER(SEARCH("FALTA", A447))), "UPC faltante/inválido", ""), IF(AND(A447&lt;&gt;"", IFERROR(_xlfn.XMATCH(A447,$A$2:$A$2509,0,1)&lt;&gt;_xlfn.XMATCH(A447,$A$2:$A$2509,0,-1),FALSE)), "Código de barras duplicado", ""), IF(AND(E447&lt;&gt;"", COUNTIF($E$2:$E$2509, E447)&gt;1), "SKU duplicado", ""), IF(OR(J447="", J447=""), "[Aviso] División no capturada ()", IF(ISNA(MATCH(J447, Criterios!$A$123:$A$126, 0)), "División no válida", "")), IF(OR(K447="", K447=""), "[Aviso] Categoría no capturada ()", IF(ISNA(MATCH(K447, Criterios!$A$81:$A$120, 0)), "Categoría no válida", IF(AND(J447&lt;&gt;"", J447&lt;&gt;"", J447&lt;&gt;VLOOKUP(K447, Criterios!$A$81:$B$120, 2, FALSE)), "División no coincide con Categoría", ""))), IF(OR(L447="", L447=""), "[Aviso] Género no capturado ()", IF(ISNA(MATCH(L447, Criterios!$B$123:$B$127, 0)), "Género no válido", "")), IF(OR(N447="", N447=""), "[Aviso] Temporada no capturada ()", IF(ISNA(MATCH(N447, Criterios!$C$123:$C$128, 0)), "Temporada no válida", "")), IF(OR(O447="", O447=""), "[Aviso] Ciclo de vida no capturado ()", IF(ISNA(MATCH(O447, Criterios!$D$123:$D$124, 0)), "Ciclo de vida no válido", ""))))</f>
        <v/>
      </c>
      <c r="AC447" s="56" t="n"/>
      <c r="AD447" s="51" t="n">
        <v>0</v>
      </c>
      <c r="AE447" s="156" t="n"/>
      <c r="AF447" s="51" t="n">
        <v>0</v>
      </c>
      <c r="AG447" s="156" t="inlineStr">
        <is>
          <t>Catálogo existente</t>
        </is>
      </c>
      <c r="AH4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7" s="156" t="inlineStr">
        <is>
          <t>No</t>
        </is>
      </c>
      <c r="AJ447" s="156" t="n"/>
      <c r="AK447" s="155" t="inlineStr">
        <is>
          <t>Criterios: I [Q]; G1522_Extraccion_Articulos_NetSuite_2026-09-30.xlsx: fila 59019 [R] | Shopify Stetson: producto 15054564589931 / variante 53350555418987</t>
        </is>
      </c>
      <c r="AL447" s="58" t="n">
        <v>1442.18</v>
      </c>
      <c r="AM447" s="58" t="n">
        <v>8275.862069000001</v>
      </c>
      <c r="AN447" s="155" t="inlineStr">
        <is>
          <t>Shopify Stetson México</t>
        </is>
      </c>
      <c r="AO447" s="59" t="n">
        <v>0</v>
      </c>
      <c r="AP447" s="59" t="n"/>
      <c r="AQ447" s="59" t="n"/>
      <c r="AR447" s="155" t="n"/>
    </row>
    <row r="448">
      <c r="A448" s="50" t="inlineStr">
        <is>
          <t>12020004101026315</t>
        </is>
      </c>
      <c r="B448" s="51" t="inlineStr">
        <is>
          <t>111345</t>
        </is>
      </c>
      <c r="C448" s="156" t="inlineStr">
        <is>
          <t>Multimarca</t>
        </is>
      </c>
      <c r="D448" s="156" t="inlineStr">
        <is>
          <t>12-020-BS004-10-1026</t>
        </is>
      </c>
      <c r="E448" s="156" t="inlineStr">
        <is>
          <t>12-020-BS004-10-1026-315</t>
        </is>
      </c>
      <c r="F448" s="156" t="inlineStr">
        <is>
          <t>31.5</t>
        </is>
      </c>
      <c r="G448" s="156" t="inlineStr">
        <is>
          <t>13.5</t>
        </is>
      </c>
      <c r="H448" s="156" t="inlineStr">
        <is>
          <t>Stetson</t>
        </is>
      </c>
      <c r="I448" s="156" t="inlineStr">
        <is>
          <t>Bota Lagarto Chocolate</t>
        </is>
      </c>
      <c r="J448" s="156" t="inlineStr">
        <is>
          <t>Calzado</t>
        </is>
      </c>
      <c r="K448" s="156" t="inlineStr">
        <is>
          <t>Botas</t>
        </is>
      </c>
      <c r="L448" s="156" t="inlineStr">
        <is>
          <t>Hombre</t>
        </is>
      </c>
      <c r="M448" s="156" t="inlineStr">
        <is>
          <t>Stetson</t>
        </is>
      </c>
      <c r="N448" s="156" t="inlineStr">
        <is>
          <t>SS26</t>
        </is>
      </c>
      <c r="O448" s="156" t="inlineStr">
        <is>
          <t>Seasonal</t>
        </is>
      </c>
      <c r="P448" s="156" t="inlineStr">
        <is>
          <t>Cafe</t>
        </is>
      </c>
      <c r="Q448" s="156" t="n"/>
      <c r="R448" s="156" t="inlineStr">
        <is>
          <t>Punta Redonda Ancha</t>
        </is>
      </c>
      <c r="S448" s="156" t="inlineStr">
        <is>
          <t>Piel de lagarto</t>
        </is>
      </c>
      <c r="T448" s="156" t="inlineStr">
        <is>
          <t>Bota Caballero Piel de lagarto Chocolate Punta Redonda Ancha</t>
        </is>
      </c>
      <c r="U448" s="156" t="inlineStr">
        <is>
          <t>México</t>
        </is>
      </c>
      <c r="V448" s="156" t="inlineStr">
        <is>
          <t>PRS</t>
        </is>
      </c>
      <c r="W448" s="51" t="inlineStr">
        <is>
          <t>53111501</t>
        </is>
      </c>
      <c r="X448" s="156" t="n"/>
      <c r="Y448" s="54" t="n">
        <v>1442.18</v>
      </c>
      <c r="Z448" s="54" t="n">
        <v>8275.862069000001</v>
      </c>
      <c r="AA448" s="55">
        <f>IF(AND(A448="", B448="", E448=""), "", IF(AB448="", "Válido", IF((LEN(AB448)-LEN(SUBSTITUTE(AB448,"; ","")))/2+1&gt;(LEN(AB448)-LEN(SUBSTITUTE(AB448,"[Aviso]","")))/7, "Con Incidencias", "Válido")))</f>
        <v/>
      </c>
      <c r="AB448" s="56">
        <f>IF(AND(A448="", B448="", E448=""), "", TEXTJOIN("; ", TRUE, IF(OR(TRIM(A448&amp;"")="", ISNUMBER(SEARCH("FALTA", A448))), "UPC faltante/inválido", ""), IF(AND(A448&lt;&gt;"", IFERROR(_xlfn.XMATCH(A448,$A$2:$A$2509,0,1)&lt;&gt;_xlfn.XMATCH(A448,$A$2:$A$2509,0,-1),FALSE)), "Código de barras duplicado", ""), IF(AND(E448&lt;&gt;"", COUNTIF($E$2:$E$2509, E448)&gt;1), "SKU duplicado", ""), IF(OR(J448="", J448=""), "[Aviso] División no capturada ()", IF(ISNA(MATCH(J448, Criterios!$A$123:$A$126, 0)), "División no válida", "")), IF(OR(K448="", K448=""), "[Aviso] Categoría no capturada ()", IF(ISNA(MATCH(K448, Criterios!$A$81:$A$120, 0)), "Categoría no válida", IF(AND(J448&lt;&gt;"", J448&lt;&gt;"", J448&lt;&gt;VLOOKUP(K448, Criterios!$A$81:$B$120, 2, FALSE)), "División no coincide con Categoría", ""))), IF(OR(L448="", L448=""), "[Aviso] Género no capturado ()", IF(ISNA(MATCH(L448, Criterios!$B$123:$B$127, 0)), "Género no válido", "")), IF(OR(N448="", N448=""), "[Aviso] Temporada no capturada ()", IF(ISNA(MATCH(N448, Criterios!$C$123:$C$128, 0)), "Temporada no válida", "")), IF(OR(O448="", O448=""), "[Aviso] Ciclo de vida no capturado ()", IF(ISNA(MATCH(O448, Criterios!$D$123:$D$124, 0)), "Ciclo de vida no válido", ""))))</f>
        <v/>
      </c>
      <c r="AC448" s="56" t="n"/>
      <c r="AD448" s="51" t="n">
        <v>0</v>
      </c>
      <c r="AE448" s="156" t="n"/>
      <c r="AF448" s="51" t="n">
        <v>0</v>
      </c>
      <c r="AG448" s="156" t="inlineStr">
        <is>
          <t>Catálogo existente</t>
        </is>
      </c>
      <c r="AH4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8" s="156" t="inlineStr">
        <is>
          <t>No</t>
        </is>
      </c>
      <c r="AJ448" s="156" t="n"/>
      <c r="AK448" s="155" t="inlineStr">
        <is>
          <t>Criterios: I [Q]; G1522_Extraccion_Articulos_NetSuite_2026-09-30.xlsx: fila 59020 [R] | Shopify Stetson: producto 15054564589931 / variante 53350555484523</t>
        </is>
      </c>
      <c r="AL448" s="58" t="n">
        <v>1442.18</v>
      </c>
      <c r="AM448" s="58" t="n">
        <v>8275.862069000001</v>
      </c>
      <c r="AN448" s="155" t="inlineStr">
        <is>
          <t>Shopify Stetson México</t>
        </is>
      </c>
      <c r="AO448" s="59" t="n">
        <v>0</v>
      </c>
      <c r="AP448" s="59" t="n"/>
      <c r="AQ448" s="59" t="n"/>
      <c r="AR448" s="155" t="n"/>
    </row>
    <row r="449">
      <c r="A449" s="50" t="inlineStr">
        <is>
          <t>12020004101026325</t>
        </is>
      </c>
      <c r="B449" s="51" t="inlineStr">
        <is>
          <t>111346</t>
        </is>
      </c>
      <c r="C449" s="156" t="inlineStr">
        <is>
          <t>Multimarca</t>
        </is>
      </c>
      <c r="D449" s="156" t="inlineStr">
        <is>
          <t>12-020-BS004-10-1026</t>
        </is>
      </c>
      <c r="E449" s="156" t="inlineStr">
        <is>
          <t>12-020-BS004-10-1026-325</t>
        </is>
      </c>
      <c r="F449" s="156" t="inlineStr">
        <is>
          <t>32.5</t>
        </is>
      </c>
      <c r="G449" s="156" t="inlineStr">
        <is>
          <t>14.5</t>
        </is>
      </c>
      <c r="H449" s="156" t="inlineStr">
        <is>
          <t>Stetson</t>
        </is>
      </c>
      <c r="I449" s="156" t="inlineStr">
        <is>
          <t>Bota Lagarto Chocolate</t>
        </is>
      </c>
      <c r="J449" s="156" t="inlineStr">
        <is>
          <t>Calzado</t>
        </is>
      </c>
      <c r="K449" s="156" t="inlineStr">
        <is>
          <t>Botas</t>
        </is>
      </c>
      <c r="L449" s="156" t="inlineStr">
        <is>
          <t>Hombre</t>
        </is>
      </c>
      <c r="M449" s="156" t="inlineStr">
        <is>
          <t>Stetson</t>
        </is>
      </c>
      <c r="N449" s="156" t="inlineStr">
        <is>
          <t>SS26</t>
        </is>
      </c>
      <c r="O449" s="156" t="inlineStr">
        <is>
          <t>Seasonal</t>
        </is>
      </c>
      <c r="P449" s="156" t="inlineStr">
        <is>
          <t>Cafe</t>
        </is>
      </c>
      <c r="Q449" s="156" t="n"/>
      <c r="R449" s="156" t="inlineStr">
        <is>
          <t>Punta Redonda Ancha</t>
        </is>
      </c>
      <c r="S449" s="156" t="inlineStr">
        <is>
          <t>Piel de lagarto</t>
        </is>
      </c>
      <c r="T449" s="156" t="inlineStr">
        <is>
          <t>Bota Caballero Piel de lagarto Chocolate Punta Redonda Ancha</t>
        </is>
      </c>
      <c r="U449" s="156" t="inlineStr">
        <is>
          <t>México</t>
        </is>
      </c>
      <c r="V449" s="156" t="inlineStr">
        <is>
          <t>PRS</t>
        </is>
      </c>
      <c r="W449" s="51" t="inlineStr">
        <is>
          <t>53111501</t>
        </is>
      </c>
      <c r="X449" s="156" t="n"/>
      <c r="Y449" s="54" t="n">
        <v>1442.18</v>
      </c>
      <c r="Z449" s="54" t="n">
        <v>8275.862069000001</v>
      </c>
      <c r="AA449" s="55">
        <f>IF(AND(A449="", B449="", E449=""), "", IF(AB449="", "Válido", IF((LEN(AB449)-LEN(SUBSTITUTE(AB449,"; ","")))/2+1&gt;(LEN(AB449)-LEN(SUBSTITUTE(AB449,"[Aviso]","")))/7, "Con Incidencias", "Válido")))</f>
        <v/>
      </c>
      <c r="AB449" s="56">
        <f>IF(AND(A449="", B449="", E449=""), "", TEXTJOIN("; ", TRUE, IF(OR(TRIM(A449&amp;"")="", ISNUMBER(SEARCH("FALTA", A449))), "UPC faltante/inválido", ""), IF(AND(A449&lt;&gt;"", IFERROR(_xlfn.XMATCH(A449,$A$2:$A$2509,0,1)&lt;&gt;_xlfn.XMATCH(A449,$A$2:$A$2509,0,-1),FALSE)), "Código de barras duplicado", ""), IF(AND(E449&lt;&gt;"", COUNTIF($E$2:$E$2509, E449)&gt;1), "SKU duplicado", ""), IF(OR(J449="", J449=""), "[Aviso] División no capturada ()", IF(ISNA(MATCH(J449, Criterios!$A$123:$A$126, 0)), "División no válida", "")), IF(OR(K449="", K449=""), "[Aviso] Categoría no capturada ()", IF(ISNA(MATCH(K449, Criterios!$A$81:$A$120, 0)), "Categoría no válida", IF(AND(J449&lt;&gt;"", J449&lt;&gt;"", J449&lt;&gt;VLOOKUP(K449, Criterios!$A$81:$B$120, 2, FALSE)), "División no coincide con Categoría", ""))), IF(OR(L449="", L449=""), "[Aviso] Género no capturado ()", IF(ISNA(MATCH(L449, Criterios!$B$123:$B$127, 0)), "Género no válido", "")), IF(OR(N449="", N449=""), "[Aviso] Temporada no capturada ()", IF(ISNA(MATCH(N449, Criterios!$C$123:$C$128, 0)), "Temporada no válida", "")), IF(OR(O449="", O449=""), "[Aviso] Ciclo de vida no capturado ()", IF(ISNA(MATCH(O449, Criterios!$D$123:$D$124, 0)), "Ciclo de vida no válido", ""))))</f>
        <v/>
      </c>
      <c r="AC449" s="56" t="n"/>
      <c r="AD449" s="51" t="n">
        <v>0</v>
      </c>
      <c r="AE449" s="156" t="n"/>
      <c r="AF449" s="51" t="n">
        <v>0</v>
      </c>
      <c r="AG449" s="156" t="inlineStr">
        <is>
          <t>Catálogo existente</t>
        </is>
      </c>
      <c r="AH4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9" s="156" t="inlineStr">
        <is>
          <t>No</t>
        </is>
      </c>
      <c r="AJ449" s="156" t="n"/>
      <c r="AK449" s="155" t="inlineStr">
        <is>
          <t>Criterios: I [Q]; G1522_Extraccion_Articulos_NetSuite_2026-09-30.xlsx: fila 59021 [R] | Shopify Stetson: producto 15054564589931 / variante 53350555550059</t>
        </is>
      </c>
      <c r="AL449" s="58" t="n">
        <v>1442.18</v>
      </c>
      <c r="AM449" s="58" t="n">
        <v>8275.862069000001</v>
      </c>
      <c r="AN449" s="155" t="inlineStr">
        <is>
          <t>Shopify Stetson México</t>
        </is>
      </c>
      <c r="AO449" s="59" t="n">
        <v>0</v>
      </c>
      <c r="AP449" s="59" t="n"/>
      <c r="AQ449" s="59" t="n"/>
      <c r="AR449" s="155" t="n"/>
    </row>
    <row r="450">
      <c r="A450" s="50" t="inlineStr">
        <is>
          <t>12020004101027025</t>
        </is>
      </c>
      <c r="B450" s="51" t="inlineStr">
        <is>
          <t>111347</t>
        </is>
      </c>
      <c r="C450" s="156" t="inlineStr">
        <is>
          <t>Multimarca</t>
        </is>
      </c>
      <c r="D450" s="156" t="inlineStr">
        <is>
          <t>12-020-BS004-10-1027</t>
        </is>
      </c>
      <c r="E450" s="156" t="inlineStr">
        <is>
          <t>12-020-BS004-10-1027-025</t>
        </is>
      </c>
      <c r="F450" s="156" t="inlineStr">
        <is>
          <t>25</t>
        </is>
      </c>
      <c r="G450" s="156" t="inlineStr">
        <is>
          <t>7</t>
        </is>
      </c>
      <c r="H450" s="156" t="inlineStr">
        <is>
          <t>Stetson</t>
        </is>
      </c>
      <c r="I450" s="156" t="inlineStr">
        <is>
          <t>Bota Lagarto Negro</t>
        </is>
      </c>
      <c r="J450" s="156" t="inlineStr">
        <is>
          <t>Calzado</t>
        </is>
      </c>
      <c r="K450" s="156" t="inlineStr">
        <is>
          <t>Botas</t>
        </is>
      </c>
      <c r="L450" s="156" t="inlineStr">
        <is>
          <t>Hombre</t>
        </is>
      </c>
      <c r="M450" s="156" t="inlineStr">
        <is>
          <t>Stetson</t>
        </is>
      </c>
      <c r="N450" s="156" t="inlineStr">
        <is>
          <t>SS26</t>
        </is>
      </c>
      <c r="O450" s="156" t="inlineStr">
        <is>
          <t>Seasonal</t>
        </is>
      </c>
      <c r="P450" s="156" t="inlineStr">
        <is>
          <t>Negro</t>
        </is>
      </c>
      <c r="Q450" s="156" t="n"/>
      <c r="R450" s="156" t="inlineStr">
        <is>
          <t>Punta Redonda Ancha</t>
        </is>
      </c>
      <c r="S450" s="156" t="inlineStr">
        <is>
          <t>Piel de lagarto</t>
        </is>
      </c>
      <c r="T450" s="156" t="inlineStr">
        <is>
          <t>Bota Caballero Piel de lagarto Negro Punta Redonda Ancha</t>
        </is>
      </c>
      <c r="U450" s="156" t="inlineStr">
        <is>
          <t>México</t>
        </is>
      </c>
      <c r="V450" s="156" t="inlineStr">
        <is>
          <t>PRS</t>
        </is>
      </c>
      <c r="W450" s="51" t="inlineStr">
        <is>
          <t>53111501</t>
        </is>
      </c>
      <c r="X450" s="156" t="n"/>
      <c r="Y450" s="54" t="n">
        <v>1442.18</v>
      </c>
      <c r="Z450" s="54" t="n">
        <v>8275.862069000001</v>
      </c>
      <c r="AA450" s="55">
        <f>IF(AND(A450="", B450="", E450=""), "", IF(AB450="", "Válido", IF((LEN(AB450)-LEN(SUBSTITUTE(AB450,"; ","")))/2+1&gt;(LEN(AB450)-LEN(SUBSTITUTE(AB450,"[Aviso]","")))/7, "Con Incidencias", "Válido")))</f>
        <v/>
      </c>
      <c r="AB450" s="56">
        <f>IF(AND(A450="", B450="", E450=""), "", TEXTJOIN("; ", TRUE, IF(OR(TRIM(A450&amp;"")="", ISNUMBER(SEARCH("FALTA", A450))), "UPC faltante/inválido", ""), IF(AND(A450&lt;&gt;"", IFERROR(_xlfn.XMATCH(A450,$A$2:$A$2509,0,1)&lt;&gt;_xlfn.XMATCH(A450,$A$2:$A$2509,0,-1),FALSE)), "Código de barras duplicado", ""), IF(AND(E450&lt;&gt;"", COUNTIF($E$2:$E$2509, E450)&gt;1), "SKU duplicado", ""), IF(OR(J450="", J450=""), "[Aviso] División no capturada ()", IF(ISNA(MATCH(J450, Criterios!$A$123:$A$126, 0)), "División no válida", "")), IF(OR(K450="", K450=""), "[Aviso] Categoría no capturada ()", IF(ISNA(MATCH(K450, Criterios!$A$81:$A$120, 0)), "Categoría no válida", IF(AND(J450&lt;&gt;"", J450&lt;&gt;"", J450&lt;&gt;VLOOKUP(K450, Criterios!$A$81:$B$120, 2, FALSE)), "División no coincide con Categoría", ""))), IF(OR(L450="", L450=""), "[Aviso] Género no capturado ()", IF(ISNA(MATCH(L450, Criterios!$B$123:$B$127, 0)), "Género no válido", "")), IF(OR(N450="", N450=""), "[Aviso] Temporada no capturada ()", IF(ISNA(MATCH(N450, Criterios!$C$123:$C$128, 0)), "Temporada no válida", "")), IF(OR(O450="", O450=""), "[Aviso] Ciclo de vida no capturado ()", IF(ISNA(MATCH(O450, Criterios!$D$123:$D$124, 0)), "Ciclo de vida no válido", ""))))</f>
        <v/>
      </c>
      <c r="AC450" s="56" t="n"/>
      <c r="AD450" s="51" t="n">
        <v>0</v>
      </c>
      <c r="AE450" s="156" t="n"/>
      <c r="AF450" s="51" t="n">
        <v>0</v>
      </c>
      <c r="AG450" s="156" t="inlineStr">
        <is>
          <t>Catálogo existente</t>
        </is>
      </c>
      <c r="AH4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0" s="156" t="inlineStr">
        <is>
          <t>No</t>
        </is>
      </c>
      <c r="AJ450" s="156" t="n"/>
      <c r="AK450" s="155" t="inlineStr">
        <is>
          <t>Criterios: I [Q]; G1522_Extraccion_Articulos_NetSuite_2026-09-30.xlsx: fila 59022 [R] | Shopify Stetson: producto 15054564655467 / variante 53350555615595</t>
        </is>
      </c>
      <c r="AL450" s="58" t="n">
        <v>1442.18</v>
      </c>
      <c r="AM450" s="58" t="n">
        <v>8275.862069000001</v>
      </c>
      <c r="AN450" s="155" t="inlineStr">
        <is>
          <t>Shopify Stetson México</t>
        </is>
      </c>
      <c r="AO450" s="59" t="n">
        <v>0</v>
      </c>
      <c r="AP450" s="59" t="n"/>
      <c r="AQ450" s="59" t="n"/>
      <c r="AR450" s="155" t="n"/>
    </row>
    <row r="451">
      <c r="A451" s="50" t="inlineStr">
        <is>
          <t>12020004101027026</t>
        </is>
      </c>
      <c r="B451" s="51" t="inlineStr">
        <is>
          <t>111348</t>
        </is>
      </c>
      <c r="C451" s="156" t="inlineStr">
        <is>
          <t>Multimarca</t>
        </is>
      </c>
      <c r="D451" s="156" t="inlineStr">
        <is>
          <t>12-020-BS004-10-1027</t>
        </is>
      </c>
      <c r="E451" s="156" t="inlineStr">
        <is>
          <t>12-020-BS004-10-1027-026</t>
        </is>
      </c>
      <c r="F451" s="156" t="inlineStr">
        <is>
          <t>26</t>
        </is>
      </c>
      <c r="G451" s="156" t="inlineStr">
        <is>
          <t>8</t>
        </is>
      </c>
      <c r="H451" s="156" t="inlineStr">
        <is>
          <t>Stetson</t>
        </is>
      </c>
      <c r="I451" s="156" t="inlineStr">
        <is>
          <t>Bota Lagarto Negro</t>
        </is>
      </c>
      <c r="J451" s="156" t="inlineStr">
        <is>
          <t>Calzado</t>
        </is>
      </c>
      <c r="K451" s="156" t="inlineStr">
        <is>
          <t>Botas</t>
        </is>
      </c>
      <c r="L451" s="156" t="inlineStr">
        <is>
          <t>Hombre</t>
        </is>
      </c>
      <c r="M451" s="156" t="inlineStr">
        <is>
          <t>Stetson</t>
        </is>
      </c>
      <c r="N451" s="156" t="inlineStr">
        <is>
          <t>SS26</t>
        </is>
      </c>
      <c r="O451" s="156" t="inlineStr">
        <is>
          <t>Seasonal</t>
        </is>
      </c>
      <c r="P451" s="156" t="inlineStr">
        <is>
          <t>Negro</t>
        </is>
      </c>
      <c r="Q451" s="156" t="n"/>
      <c r="R451" s="156" t="inlineStr">
        <is>
          <t>Punta Redonda Ancha</t>
        </is>
      </c>
      <c r="S451" s="156" t="inlineStr">
        <is>
          <t>Piel de lagarto</t>
        </is>
      </c>
      <c r="T451" s="156" t="inlineStr">
        <is>
          <t>Bota Caballero Piel de lagarto Negro Punta Redonda Ancha</t>
        </is>
      </c>
      <c r="U451" s="156" t="inlineStr">
        <is>
          <t>México</t>
        </is>
      </c>
      <c r="V451" s="156" t="inlineStr">
        <is>
          <t>PRS</t>
        </is>
      </c>
      <c r="W451" s="51" t="inlineStr">
        <is>
          <t>53111501</t>
        </is>
      </c>
      <c r="X451" s="156" t="n"/>
      <c r="Y451" s="54" t="n">
        <v>1442.18</v>
      </c>
      <c r="Z451" s="54" t="n">
        <v>8275.862069000001</v>
      </c>
      <c r="AA451" s="55">
        <f>IF(AND(A451="", B451="", E451=""), "", IF(AB451="", "Válido", IF((LEN(AB451)-LEN(SUBSTITUTE(AB451,"; ","")))/2+1&gt;(LEN(AB451)-LEN(SUBSTITUTE(AB451,"[Aviso]","")))/7, "Con Incidencias", "Válido")))</f>
        <v/>
      </c>
      <c r="AB451" s="56">
        <f>IF(AND(A451="", B451="", E451=""), "", TEXTJOIN("; ", TRUE, IF(OR(TRIM(A451&amp;"")="", ISNUMBER(SEARCH("FALTA", A451))), "UPC faltante/inválido", ""), IF(AND(A451&lt;&gt;"", IFERROR(_xlfn.XMATCH(A451,$A$2:$A$2509,0,1)&lt;&gt;_xlfn.XMATCH(A451,$A$2:$A$2509,0,-1),FALSE)), "Código de barras duplicado", ""), IF(AND(E451&lt;&gt;"", COUNTIF($E$2:$E$2509, E451)&gt;1), "SKU duplicado", ""), IF(OR(J451="", J451=""), "[Aviso] División no capturada ()", IF(ISNA(MATCH(J451, Criterios!$A$123:$A$126, 0)), "División no válida", "")), IF(OR(K451="", K451=""), "[Aviso] Categoría no capturada ()", IF(ISNA(MATCH(K451, Criterios!$A$81:$A$120, 0)), "Categoría no válida", IF(AND(J451&lt;&gt;"", J451&lt;&gt;"", J451&lt;&gt;VLOOKUP(K451, Criterios!$A$81:$B$120, 2, FALSE)), "División no coincide con Categoría", ""))), IF(OR(L451="", L451=""), "[Aviso] Género no capturado ()", IF(ISNA(MATCH(L451, Criterios!$B$123:$B$127, 0)), "Género no válido", "")), IF(OR(N451="", N451=""), "[Aviso] Temporada no capturada ()", IF(ISNA(MATCH(N451, Criterios!$C$123:$C$128, 0)), "Temporada no válida", "")), IF(OR(O451="", O451=""), "[Aviso] Ciclo de vida no capturado ()", IF(ISNA(MATCH(O451, Criterios!$D$123:$D$124, 0)), "Ciclo de vida no válido", ""))))</f>
        <v/>
      </c>
      <c r="AC451" s="56" t="n"/>
      <c r="AD451" s="51" t="n">
        <v>0</v>
      </c>
      <c r="AE451" s="156" t="n"/>
      <c r="AF451" s="51" t="n">
        <v>0</v>
      </c>
      <c r="AG451" s="156" t="inlineStr">
        <is>
          <t>Catálogo existente</t>
        </is>
      </c>
      <c r="AH45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1" s="156" t="inlineStr">
        <is>
          <t>No</t>
        </is>
      </c>
      <c r="AJ451" s="156" t="n"/>
      <c r="AK451" s="155" t="inlineStr">
        <is>
          <t>Criterios: I [Q]; G1522_Extraccion_Articulos_NetSuite_2026-09-30.xlsx: fila 59023 [R] | Shopify Stetson: producto 15054564655467 / variante 53350555681131</t>
        </is>
      </c>
      <c r="AL451" s="58" t="n">
        <v>1442.18</v>
      </c>
      <c r="AM451" s="58" t="n">
        <v>8275.862069000001</v>
      </c>
      <c r="AN451" s="155" t="inlineStr">
        <is>
          <t>Shopify Stetson México</t>
        </is>
      </c>
      <c r="AO451" s="59" t="n">
        <v>0</v>
      </c>
      <c r="AP451" s="59" t="n"/>
      <c r="AQ451" s="59" t="n"/>
      <c r="AR451" s="155" t="n"/>
    </row>
    <row r="452">
      <c r="A452" s="50" t="inlineStr">
        <is>
          <t>12020004101027027</t>
        </is>
      </c>
      <c r="B452" s="51" t="inlineStr">
        <is>
          <t>111349</t>
        </is>
      </c>
      <c r="C452" s="156" t="inlineStr">
        <is>
          <t>Multimarca</t>
        </is>
      </c>
      <c r="D452" s="156" t="inlineStr">
        <is>
          <t>12-020-BS004-10-1027</t>
        </is>
      </c>
      <c r="E452" s="156" t="inlineStr">
        <is>
          <t>12-020-BS004-10-1027-027</t>
        </is>
      </c>
      <c r="F452" s="156" t="inlineStr">
        <is>
          <t>27</t>
        </is>
      </c>
      <c r="G452" s="156" t="inlineStr">
        <is>
          <t>9</t>
        </is>
      </c>
      <c r="H452" s="156" t="inlineStr">
        <is>
          <t>Stetson</t>
        </is>
      </c>
      <c r="I452" s="156" t="inlineStr">
        <is>
          <t>Bota Lagarto Negro</t>
        </is>
      </c>
      <c r="J452" s="156" t="inlineStr">
        <is>
          <t>Calzado</t>
        </is>
      </c>
      <c r="K452" s="156" t="inlineStr">
        <is>
          <t>Botas</t>
        </is>
      </c>
      <c r="L452" s="156" t="inlineStr">
        <is>
          <t>Hombre</t>
        </is>
      </c>
      <c r="M452" s="156" t="inlineStr">
        <is>
          <t>Stetson</t>
        </is>
      </c>
      <c r="N452" s="156" t="inlineStr">
        <is>
          <t>SS26</t>
        </is>
      </c>
      <c r="O452" s="156" t="inlineStr">
        <is>
          <t>Seasonal</t>
        </is>
      </c>
      <c r="P452" s="156" t="inlineStr">
        <is>
          <t>Negro</t>
        </is>
      </c>
      <c r="Q452" s="156" t="n"/>
      <c r="R452" s="156" t="inlineStr">
        <is>
          <t>Punta Redonda Ancha</t>
        </is>
      </c>
      <c r="S452" s="156" t="inlineStr">
        <is>
          <t>Piel de lagarto</t>
        </is>
      </c>
      <c r="T452" s="156" t="inlineStr">
        <is>
          <t>Bota Caballero Piel de lagarto Negro Punta Redonda Ancha</t>
        </is>
      </c>
      <c r="U452" s="156" t="inlineStr">
        <is>
          <t>México</t>
        </is>
      </c>
      <c r="V452" s="156" t="inlineStr">
        <is>
          <t>PRS</t>
        </is>
      </c>
      <c r="W452" s="51" t="inlineStr">
        <is>
          <t>53111501</t>
        </is>
      </c>
      <c r="X452" s="156" t="n"/>
      <c r="Y452" s="54" t="n">
        <v>1442.18</v>
      </c>
      <c r="Z452" s="54" t="n">
        <v>8275.862069000001</v>
      </c>
      <c r="AA452" s="55">
        <f>IF(AND(A452="", B452="", E452=""), "", IF(AB452="", "Válido", IF((LEN(AB452)-LEN(SUBSTITUTE(AB452,"; ","")))/2+1&gt;(LEN(AB452)-LEN(SUBSTITUTE(AB452,"[Aviso]","")))/7, "Con Incidencias", "Válido")))</f>
        <v/>
      </c>
      <c r="AB452" s="56">
        <f>IF(AND(A452="", B452="", E452=""), "", TEXTJOIN("; ", TRUE, IF(OR(TRIM(A452&amp;"")="", ISNUMBER(SEARCH("FALTA", A452))), "UPC faltante/inválido", ""), IF(AND(A452&lt;&gt;"", IFERROR(_xlfn.XMATCH(A452,$A$2:$A$2509,0,1)&lt;&gt;_xlfn.XMATCH(A452,$A$2:$A$2509,0,-1),FALSE)), "Código de barras duplicado", ""), IF(AND(E452&lt;&gt;"", COUNTIF($E$2:$E$2509, E452)&gt;1), "SKU duplicado", ""), IF(OR(J452="", J452=""), "[Aviso] División no capturada ()", IF(ISNA(MATCH(J452, Criterios!$A$123:$A$126, 0)), "División no válida", "")), IF(OR(K452="", K452=""), "[Aviso] Categoría no capturada ()", IF(ISNA(MATCH(K452, Criterios!$A$81:$A$120, 0)), "Categoría no válida", IF(AND(J452&lt;&gt;"", J452&lt;&gt;"", J452&lt;&gt;VLOOKUP(K452, Criterios!$A$81:$B$120, 2, FALSE)), "División no coincide con Categoría", ""))), IF(OR(L452="", L452=""), "[Aviso] Género no capturado ()", IF(ISNA(MATCH(L452, Criterios!$B$123:$B$127, 0)), "Género no válido", "")), IF(OR(N452="", N452=""), "[Aviso] Temporada no capturada ()", IF(ISNA(MATCH(N452, Criterios!$C$123:$C$128, 0)), "Temporada no válida", "")), IF(OR(O452="", O452=""), "[Aviso] Ciclo de vida no capturado ()", IF(ISNA(MATCH(O452, Criterios!$D$123:$D$124, 0)), "Ciclo de vida no válido", ""))))</f>
        <v/>
      </c>
      <c r="AC452" s="56" t="n"/>
      <c r="AD452" s="51" t="n">
        <v>1</v>
      </c>
      <c r="AE452" s="156" t="inlineStr">
        <is>
          <t>STETSON AMERICAS (1)</t>
        </is>
      </c>
      <c r="AF452" s="51" t="n">
        <v>1</v>
      </c>
      <c r="AG452" s="156" t="inlineStr">
        <is>
          <t>Catálogo existente</t>
        </is>
      </c>
      <c r="AH4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2" s="156" t="inlineStr">
        <is>
          <t>No</t>
        </is>
      </c>
      <c r="AJ452" s="156" t="n"/>
      <c r="AK452" s="155" t="inlineStr">
        <is>
          <t>Criterios: I [Q]; G1522_Extraccion_Articulos_NetSuite_2026-09-30.xlsx: fila 59024 [R] | Shopify Stetson: producto 15054564655467 / variante 53350555746667</t>
        </is>
      </c>
      <c r="AL452" s="58" t="n">
        <v>1442.18</v>
      </c>
      <c r="AM452" s="58" t="n">
        <v>8275.862069000001</v>
      </c>
      <c r="AN452" s="155" t="inlineStr">
        <is>
          <t>Shopify Stetson México</t>
        </is>
      </c>
      <c r="AO452" s="59" t="n">
        <v>1</v>
      </c>
      <c r="AP452" s="59" t="n"/>
      <c r="AQ452" s="59" t="n"/>
      <c r="AR452" s="155" t="inlineStr">
        <is>
          <t>Shopify Stetson México › Stetson Americas: 1</t>
        </is>
      </c>
    </row>
    <row r="453">
      <c r="A453" s="50" t="inlineStr">
        <is>
          <t>12020004101027028</t>
        </is>
      </c>
      <c r="B453" s="51" t="inlineStr">
        <is>
          <t>111350</t>
        </is>
      </c>
      <c r="C453" s="156" t="inlineStr">
        <is>
          <t>Multimarca</t>
        </is>
      </c>
      <c r="D453" s="156" t="inlineStr">
        <is>
          <t>12-020-BS004-10-1027</t>
        </is>
      </c>
      <c r="E453" s="156" t="inlineStr">
        <is>
          <t>12-020-BS004-10-1027-028</t>
        </is>
      </c>
      <c r="F453" s="156" t="inlineStr">
        <is>
          <t>28</t>
        </is>
      </c>
      <c r="G453" s="156" t="inlineStr">
        <is>
          <t>10</t>
        </is>
      </c>
      <c r="H453" s="156" t="inlineStr">
        <is>
          <t>Stetson</t>
        </is>
      </c>
      <c r="I453" s="156" t="inlineStr">
        <is>
          <t>Bota Lagarto Negro</t>
        </is>
      </c>
      <c r="J453" s="156" t="inlineStr">
        <is>
          <t>Calzado</t>
        </is>
      </c>
      <c r="K453" s="156" t="inlineStr">
        <is>
          <t>Botas</t>
        </is>
      </c>
      <c r="L453" s="156" t="inlineStr">
        <is>
          <t>Hombre</t>
        </is>
      </c>
      <c r="M453" s="156" t="inlineStr">
        <is>
          <t>Stetson</t>
        </is>
      </c>
      <c r="N453" s="156" t="inlineStr">
        <is>
          <t>SS26</t>
        </is>
      </c>
      <c r="O453" s="156" t="inlineStr">
        <is>
          <t>Seasonal</t>
        </is>
      </c>
      <c r="P453" s="156" t="inlineStr">
        <is>
          <t>Negro</t>
        </is>
      </c>
      <c r="Q453" s="156" t="n"/>
      <c r="R453" s="156" t="inlineStr">
        <is>
          <t>Punta Redonda Ancha</t>
        </is>
      </c>
      <c r="S453" s="156" t="inlineStr">
        <is>
          <t>Piel de lagarto</t>
        </is>
      </c>
      <c r="T453" s="156" t="inlineStr">
        <is>
          <t>Bota Caballero Piel de lagarto Negro Punta Redonda Ancha</t>
        </is>
      </c>
      <c r="U453" s="156" t="inlineStr">
        <is>
          <t>México</t>
        </is>
      </c>
      <c r="V453" s="156" t="inlineStr">
        <is>
          <t>PRS</t>
        </is>
      </c>
      <c r="W453" s="51" t="inlineStr">
        <is>
          <t>53111501</t>
        </is>
      </c>
      <c r="X453" s="156" t="n"/>
      <c r="Y453" s="54" t="n">
        <v>1442.18</v>
      </c>
      <c r="Z453" s="54" t="n">
        <v>8275.862069000001</v>
      </c>
      <c r="AA453" s="55">
        <f>IF(AND(A453="", B453="", E453=""), "", IF(AB453="", "Válido", IF((LEN(AB453)-LEN(SUBSTITUTE(AB453,"; ","")))/2+1&gt;(LEN(AB453)-LEN(SUBSTITUTE(AB453,"[Aviso]","")))/7, "Con Incidencias", "Válido")))</f>
        <v/>
      </c>
      <c r="AB453" s="56">
        <f>IF(AND(A453="", B453="", E453=""), "", TEXTJOIN("; ", TRUE, IF(OR(TRIM(A453&amp;"")="", ISNUMBER(SEARCH("FALTA", A453))), "UPC faltante/inválido", ""), IF(AND(A453&lt;&gt;"", IFERROR(_xlfn.XMATCH(A453,$A$2:$A$2509,0,1)&lt;&gt;_xlfn.XMATCH(A453,$A$2:$A$2509,0,-1),FALSE)), "Código de barras duplicado", ""), IF(AND(E453&lt;&gt;"", COUNTIF($E$2:$E$2509, E453)&gt;1), "SKU duplicado", ""), IF(OR(J453="", J453=""), "[Aviso] División no capturada ()", IF(ISNA(MATCH(J453, Criterios!$A$123:$A$126, 0)), "División no válida", "")), IF(OR(K453="", K453=""), "[Aviso] Categoría no capturada ()", IF(ISNA(MATCH(K453, Criterios!$A$81:$A$120, 0)), "Categoría no válida", IF(AND(J453&lt;&gt;"", J453&lt;&gt;"", J453&lt;&gt;VLOOKUP(K453, Criterios!$A$81:$B$120, 2, FALSE)), "División no coincide con Categoría", ""))), IF(OR(L453="", L453=""), "[Aviso] Género no capturado ()", IF(ISNA(MATCH(L453, Criterios!$B$123:$B$127, 0)), "Género no válido", "")), IF(OR(N453="", N453=""), "[Aviso] Temporada no capturada ()", IF(ISNA(MATCH(N453, Criterios!$C$123:$C$128, 0)), "Temporada no válida", "")), IF(OR(O453="", O453=""), "[Aviso] Ciclo de vida no capturado ()", IF(ISNA(MATCH(O453, Criterios!$D$123:$D$124, 0)), "Ciclo de vida no válido", ""))))</f>
        <v/>
      </c>
      <c r="AC453" s="56" t="n"/>
      <c r="AD453" s="51" t="n">
        <v>0</v>
      </c>
      <c r="AE453" s="156" t="n"/>
      <c r="AF453" s="51" t="n">
        <v>0</v>
      </c>
      <c r="AG453" s="156" t="inlineStr">
        <is>
          <t>Catálogo existente</t>
        </is>
      </c>
      <c r="AH4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3" s="156" t="inlineStr">
        <is>
          <t>No</t>
        </is>
      </c>
      <c r="AJ453" s="156" t="n"/>
      <c r="AK453" s="155" t="inlineStr">
        <is>
          <t>Criterios: I [Q]; G1522_Extraccion_Articulos_NetSuite_2026-09-30.xlsx: fila 59025 [R] | Shopify Stetson: producto 15054564655467 / variante 53350555812203</t>
        </is>
      </c>
      <c r="AL453" s="58" t="n">
        <v>1442.18</v>
      </c>
      <c r="AM453" s="58" t="n">
        <v>8275.862069000001</v>
      </c>
      <c r="AN453" s="155" t="inlineStr">
        <is>
          <t>Shopify Stetson México</t>
        </is>
      </c>
      <c r="AO453" s="59" t="n">
        <v>0</v>
      </c>
      <c r="AP453" s="59" t="n"/>
      <c r="AQ453" s="59" t="n"/>
      <c r="AR453" s="155" t="n"/>
    </row>
    <row r="454">
      <c r="A454" s="50" t="inlineStr">
        <is>
          <t>12020004101027029</t>
        </is>
      </c>
      <c r="B454" s="51" t="inlineStr">
        <is>
          <t>111351</t>
        </is>
      </c>
      <c r="C454" s="156" t="inlineStr">
        <is>
          <t>Multimarca</t>
        </is>
      </c>
      <c r="D454" s="156" t="inlineStr">
        <is>
          <t>12-020-BS004-10-1027</t>
        </is>
      </c>
      <c r="E454" s="156" t="inlineStr">
        <is>
          <t>12-020-BS004-10-1027-029</t>
        </is>
      </c>
      <c r="F454" s="156" t="inlineStr">
        <is>
          <t>29</t>
        </is>
      </c>
      <c r="G454" s="156" t="inlineStr">
        <is>
          <t>11</t>
        </is>
      </c>
      <c r="H454" s="156" t="inlineStr">
        <is>
          <t>Stetson</t>
        </is>
      </c>
      <c r="I454" s="156" t="inlineStr">
        <is>
          <t>Bota Lagarto Negro</t>
        </is>
      </c>
      <c r="J454" s="156" t="inlineStr">
        <is>
          <t>Calzado</t>
        </is>
      </c>
      <c r="K454" s="156" t="inlineStr">
        <is>
          <t>Botas</t>
        </is>
      </c>
      <c r="L454" s="156" t="inlineStr">
        <is>
          <t>Hombre</t>
        </is>
      </c>
      <c r="M454" s="156" t="inlineStr">
        <is>
          <t>Stetson</t>
        </is>
      </c>
      <c r="N454" s="156" t="inlineStr">
        <is>
          <t>SS26</t>
        </is>
      </c>
      <c r="O454" s="156" t="inlineStr">
        <is>
          <t>Seasonal</t>
        </is>
      </c>
      <c r="P454" s="156" t="inlineStr">
        <is>
          <t>Negro</t>
        </is>
      </c>
      <c r="Q454" s="156" t="n"/>
      <c r="R454" s="156" t="inlineStr">
        <is>
          <t>Punta Redonda Ancha</t>
        </is>
      </c>
      <c r="S454" s="156" t="inlineStr">
        <is>
          <t>Piel de lagarto</t>
        </is>
      </c>
      <c r="T454" s="156" t="inlineStr">
        <is>
          <t>Bota Caballero Piel de lagarto Negro Punta Redonda Ancha</t>
        </is>
      </c>
      <c r="U454" s="156" t="inlineStr">
        <is>
          <t>México</t>
        </is>
      </c>
      <c r="V454" s="156" t="inlineStr">
        <is>
          <t>PRS</t>
        </is>
      </c>
      <c r="W454" s="51" t="inlineStr">
        <is>
          <t>53111501</t>
        </is>
      </c>
      <c r="X454" s="156" t="n"/>
      <c r="Y454" s="54" t="n">
        <v>1442.18</v>
      </c>
      <c r="Z454" s="54" t="n">
        <v>8275.862069000001</v>
      </c>
      <c r="AA454" s="55">
        <f>IF(AND(A454="", B454="", E454=""), "", IF(AB454="", "Válido", IF((LEN(AB454)-LEN(SUBSTITUTE(AB454,"; ","")))/2+1&gt;(LEN(AB454)-LEN(SUBSTITUTE(AB454,"[Aviso]","")))/7, "Con Incidencias", "Válido")))</f>
        <v/>
      </c>
      <c r="AB454" s="56">
        <f>IF(AND(A454="", B454="", E454=""), "", TEXTJOIN("; ", TRUE, IF(OR(TRIM(A454&amp;"")="", ISNUMBER(SEARCH("FALTA", A454))), "UPC faltante/inválido", ""), IF(AND(A454&lt;&gt;"", IFERROR(_xlfn.XMATCH(A454,$A$2:$A$2509,0,1)&lt;&gt;_xlfn.XMATCH(A454,$A$2:$A$2509,0,-1),FALSE)), "Código de barras duplicado", ""), IF(AND(E454&lt;&gt;"", COUNTIF($E$2:$E$2509, E454)&gt;1), "SKU duplicado", ""), IF(OR(J454="", J454=""), "[Aviso] División no capturada ()", IF(ISNA(MATCH(J454, Criterios!$A$123:$A$126, 0)), "División no válida", "")), IF(OR(K454="", K454=""), "[Aviso] Categoría no capturada ()", IF(ISNA(MATCH(K454, Criterios!$A$81:$A$120, 0)), "Categoría no válida", IF(AND(J454&lt;&gt;"", J454&lt;&gt;"", J454&lt;&gt;VLOOKUP(K454, Criterios!$A$81:$B$120, 2, FALSE)), "División no coincide con Categoría", ""))), IF(OR(L454="", L454=""), "[Aviso] Género no capturado ()", IF(ISNA(MATCH(L454, Criterios!$B$123:$B$127, 0)), "Género no válido", "")), IF(OR(N454="", N454=""), "[Aviso] Temporada no capturada ()", IF(ISNA(MATCH(N454, Criterios!$C$123:$C$128, 0)), "Temporada no válida", "")), IF(OR(O454="", O454=""), "[Aviso] Ciclo de vida no capturado ()", IF(ISNA(MATCH(O454, Criterios!$D$123:$D$124, 0)), "Ciclo de vida no válido", ""))))</f>
        <v/>
      </c>
      <c r="AC454" s="56" t="n"/>
      <c r="AD454" s="51" t="n">
        <v>1</v>
      </c>
      <c r="AE454" s="156" t="inlineStr">
        <is>
          <t>STETSON AMERICAS (1)</t>
        </is>
      </c>
      <c r="AF454" s="51" t="n">
        <v>1</v>
      </c>
      <c r="AG454" s="156" t="inlineStr">
        <is>
          <t>Catálogo existente</t>
        </is>
      </c>
      <c r="AH4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4" s="156" t="inlineStr">
        <is>
          <t>No</t>
        </is>
      </c>
      <c r="AJ454" s="156" t="n"/>
      <c r="AK454" s="155" t="inlineStr">
        <is>
          <t>Criterios: I [Q]; G1522_Extraccion_Articulos_NetSuite_2026-09-30.xlsx: fila 59026 [R] | Shopify Stetson: producto 15054564655467 / variante 53350555877739</t>
        </is>
      </c>
      <c r="AL454" s="58" t="n">
        <v>1442.18</v>
      </c>
      <c r="AM454" s="58" t="n">
        <v>8275.862069000001</v>
      </c>
      <c r="AN454" s="155" t="inlineStr">
        <is>
          <t>Shopify Stetson México</t>
        </is>
      </c>
      <c r="AO454" s="59" t="n">
        <v>1</v>
      </c>
      <c r="AP454" s="59" t="n"/>
      <c r="AQ454" s="59" t="n"/>
      <c r="AR454" s="155" t="inlineStr">
        <is>
          <t>Shopify Stetson México › Stetson Americas: 1</t>
        </is>
      </c>
    </row>
    <row r="455">
      <c r="A455" s="50" t="inlineStr">
        <is>
          <t>12020004101027030</t>
        </is>
      </c>
      <c r="B455" s="51" t="inlineStr">
        <is>
          <t>111352</t>
        </is>
      </c>
      <c r="C455" s="156" t="inlineStr">
        <is>
          <t>Multimarca</t>
        </is>
      </c>
      <c r="D455" s="156" t="inlineStr">
        <is>
          <t>12-020-BS004-10-1027</t>
        </is>
      </c>
      <c r="E455" s="156" t="inlineStr">
        <is>
          <t>12-020-BS004-10-1027-030</t>
        </is>
      </c>
      <c r="F455" s="156" t="inlineStr">
        <is>
          <t>30</t>
        </is>
      </c>
      <c r="G455" s="156" t="inlineStr">
        <is>
          <t>12</t>
        </is>
      </c>
      <c r="H455" s="156" t="inlineStr">
        <is>
          <t>Stetson</t>
        </is>
      </c>
      <c r="I455" s="156" t="inlineStr">
        <is>
          <t>Bota Lagarto Negro</t>
        </is>
      </c>
      <c r="J455" s="156" t="inlineStr">
        <is>
          <t>Calzado</t>
        </is>
      </c>
      <c r="K455" s="156" t="inlineStr">
        <is>
          <t>Botas</t>
        </is>
      </c>
      <c r="L455" s="156" t="inlineStr">
        <is>
          <t>Hombre</t>
        </is>
      </c>
      <c r="M455" s="156" t="inlineStr">
        <is>
          <t>Stetson</t>
        </is>
      </c>
      <c r="N455" s="156" t="inlineStr">
        <is>
          <t>SS26</t>
        </is>
      </c>
      <c r="O455" s="156" t="inlineStr">
        <is>
          <t>Seasonal</t>
        </is>
      </c>
      <c r="P455" s="156" t="inlineStr">
        <is>
          <t>Negro</t>
        </is>
      </c>
      <c r="Q455" s="156" t="n"/>
      <c r="R455" s="156" t="inlineStr">
        <is>
          <t>Punta Redonda Ancha</t>
        </is>
      </c>
      <c r="S455" s="156" t="inlineStr">
        <is>
          <t>Piel de lagarto</t>
        </is>
      </c>
      <c r="T455" s="156" t="inlineStr">
        <is>
          <t>Bota Caballero Piel de lagarto Negro Punta Redonda Ancha</t>
        </is>
      </c>
      <c r="U455" s="156" t="inlineStr">
        <is>
          <t>México</t>
        </is>
      </c>
      <c r="V455" s="156" t="inlineStr">
        <is>
          <t>PRS</t>
        </is>
      </c>
      <c r="W455" s="51" t="inlineStr">
        <is>
          <t>53111501</t>
        </is>
      </c>
      <c r="X455" s="156" t="n"/>
      <c r="Y455" s="54" t="n">
        <v>1442.18</v>
      </c>
      <c r="Z455" s="54" t="n">
        <v>8275.862069000001</v>
      </c>
      <c r="AA455" s="55">
        <f>IF(AND(A455="", B455="", E455=""), "", IF(AB455="", "Válido", IF((LEN(AB455)-LEN(SUBSTITUTE(AB455,"; ","")))/2+1&gt;(LEN(AB455)-LEN(SUBSTITUTE(AB455,"[Aviso]","")))/7, "Con Incidencias", "Válido")))</f>
        <v/>
      </c>
      <c r="AB455" s="56">
        <f>IF(AND(A455="", B455="", E455=""), "", TEXTJOIN("; ", TRUE, IF(OR(TRIM(A455&amp;"")="", ISNUMBER(SEARCH("FALTA", A455))), "UPC faltante/inválido", ""), IF(AND(A455&lt;&gt;"", IFERROR(_xlfn.XMATCH(A455,$A$2:$A$2509,0,1)&lt;&gt;_xlfn.XMATCH(A455,$A$2:$A$2509,0,-1),FALSE)), "Código de barras duplicado", ""), IF(AND(E455&lt;&gt;"", COUNTIF($E$2:$E$2509, E455)&gt;1), "SKU duplicado", ""), IF(OR(J455="", J455=""), "[Aviso] División no capturada ()", IF(ISNA(MATCH(J455, Criterios!$A$123:$A$126, 0)), "División no válida", "")), IF(OR(K455="", K455=""), "[Aviso] Categoría no capturada ()", IF(ISNA(MATCH(K455, Criterios!$A$81:$A$120, 0)), "Categoría no válida", IF(AND(J455&lt;&gt;"", J455&lt;&gt;"", J455&lt;&gt;VLOOKUP(K455, Criterios!$A$81:$B$120, 2, FALSE)), "División no coincide con Categoría", ""))), IF(OR(L455="", L455=""), "[Aviso] Género no capturado ()", IF(ISNA(MATCH(L455, Criterios!$B$123:$B$127, 0)), "Género no válido", "")), IF(OR(N455="", N455=""), "[Aviso] Temporada no capturada ()", IF(ISNA(MATCH(N455, Criterios!$C$123:$C$128, 0)), "Temporada no válida", "")), IF(OR(O455="", O455=""), "[Aviso] Ciclo de vida no capturado ()", IF(ISNA(MATCH(O455, Criterios!$D$123:$D$124, 0)), "Ciclo de vida no válido", ""))))</f>
        <v/>
      </c>
      <c r="AC455" s="56" t="n"/>
      <c r="AD455" s="51" t="n">
        <v>0</v>
      </c>
      <c r="AE455" s="156" t="n"/>
      <c r="AF455" s="51" t="n">
        <v>0</v>
      </c>
      <c r="AG455" s="156" t="inlineStr">
        <is>
          <t>Catálogo existente</t>
        </is>
      </c>
      <c r="AH4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5" s="156" t="inlineStr">
        <is>
          <t>No</t>
        </is>
      </c>
      <c r="AJ455" s="156" t="n"/>
      <c r="AK455" s="155" t="inlineStr">
        <is>
          <t>Criterios: I [Q]; G1522_Extraccion_Articulos_NetSuite_2026-09-30.xlsx: fila 59027 [R] | Shopify Stetson: producto 15054564655467 / variante 53350555943275</t>
        </is>
      </c>
      <c r="AL455" s="58" t="n">
        <v>1442.18</v>
      </c>
      <c r="AM455" s="58" t="n">
        <v>8275.862069000001</v>
      </c>
      <c r="AN455" s="155" t="inlineStr">
        <is>
          <t>Shopify Stetson México</t>
        </is>
      </c>
      <c r="AO455" s="59" t="n">
        <v>0</v>
      </c>
      <c r="AP455" s="59" t="n"/>
      <c r="AQ455" s="59" t="n"/>
      <c r="AR455" s="155" t="n"/>
    </row>
    <row r="456">
      <c r="A456" s="50" t="inlineStr">
        <is>
          <t>12020004101027031</t>
        </is>
      </c>
      <c r="B456" s="51" t="inlineStr">
        <is>
          <t>111353</t>
        </is>
      </c>
      <c r="C456" s="156" t="inlineStr">
        <is>
          <t>Multimarca</t>
        </is>
      </c>
      <c r="D456" s="156" t="inlineStr">
        <is>
          <t>12-020-BS004-10-1027</t>
        </is>
      </c>
      <c r="E456" s="156" t="inlineStr">
        <is>
          <t>12-020-BS004-10-1027-031</t>
        </is>
      </c>
      <c r="F456" s="156" t="inlineStr">
        <is>
          <t>31</t>
        </is>
      </c>
      <c r="G456" s="156" t="inlineStr">
        <is>
          <t>13</t>
        </is>
      </c>
      <c r="H456" s="156" t="inlineStr">
        <is>
          <t>Stetson</t>
        </is>
      </c>
      <c r="I456" s="156" t="inlineStr">
        <is>
          <t>Bota Lagarto Negro</t>
        </is>
      </c>
      <c r="J456" s="156" t="inlineStr">
        <is>
          <t>Calzado</t>
        </is>
      </c>
      <c r="K456" s="156" t="inlineStr">
        <is>
          <t>Botas</t>
        </is>
      </c>
      <c r="L456" s="156" t="inlineStr">
        <is>
          <t>Hombre</t>
        </is>
      </c>
      <c r="M456" s="156" t="inlineStr">
        <is>
          <t>Stetson</t>
        </is>
      </c>
      <c r="N456" s="156" t="inlineStr">
        <is>
          <t>SS26</t>
        </is>
      </c>
      <c r="O456" s="156" t="inlineStr">
        <is>
          <t>Seasonal</t>
        </is>
      </c>
      <c r="P456" s="156" t="inlineStr">
        <is>
          <t>Negro</t>
        </is>
      </c>
      <c r="Q456" s="156" t="n"/>
      <c r="R456" s="156" t="inlineStr">
        <is>
          <t>Punta Redonda Ancha</t>
        </is>
      </c>
      <c r="S456" s="156" t="inlineStr">
        <is>
          <t>Piel de lagarto</t>
        </is>
      </c>
      <c r="T456" s="156" t="inlineStr">
        <is>
          <t>Bota Caballero Piel de lagarto Negro Punta Redonda Ancha</t>
        </is>
      </c>
      <c r="U456" s="156" t="inlineStr">
        <is>
          <t>México</t>
        </is>
      </c>
      <c r="V456" s="156" t="inlineStr">
        <is>
          <t>PRS</t>
        </is>
      </c>
      <c r="W456" s="51" t="inlineStr">
        <is>
          <t>53111501</t>
        </is>
      </c>
      <c r="X456" s="156" t="n"/>
      <c r="Y456" s="54" t="n">
        <v>1442.18</v>
      </c>
      <c r="Z456" s="54" t="n">
        <v>8275.862069000001</v>
      </c>
      <c r="AA456" s="55">
        <f>IF(AND(A456="", B456="", E456=""), "", IF(AB456="", "Válido", IF((LEN(AB456)-LEN(SUBSTITUTE(AB456,"; ","")))/2+1&gt;(LEN(AB456)-LEN(SUBSTITUTE(AB456,"[Aviso]","")))/7, "Con Incidencias", "Válido")))</f>
        <v/>
      </c>
      <c r="AB456" s="56">
        <f>IF(AND(A456="", B456="", E456=""), "", TEXTJOIN("; ", TRUE, IF(OR(TRIM(A456&amp;"")="", ISNUMBER(SEARCH("FALTA", A456))), "UPC faltante/inválido", ""), IF(AND(A456&lt;&gt;"", IFERROR(_xlfn.XMATCH(A456,$A$2:$A$2509,0,1)&lt;&gt;_xlfn.XMATCH(A456,$A$2:$A$2509,0,-1),FALSE)), "Código de barras duplicado", ""), IF(AND(E456&lt;&gt;"", COUNTIF($E$2:$E$2509, E456)&gt;1), "SKU duplicado", ""), IF(OR(J456="", J456=""), "[Aviso] División no capturada ()", IF(ISNA(MATCH(J456, Criterios!$A$123:$A$126, 0)), "División no válida", "")), IF(OR(K456="", K456=""), "[Aviso] Categoría no capturada ()", IF(ISNA(MATCH(K456, Criterios!$A$81:$A$120, 0)), "Categoría no válida", IF(AND(J456&lt;&gt;"", J456&lt;&gt;"", J456&lt;&gt;VLOOKUP(K456, Criterios!$A$81:$B$120, 2, FALSE)), "División no coincide con Categoría", ""))), IF(OR(L456="", L456=""), "[Aviso] Género no capturado ()", IF(ISNA(MATCH(L456, Criterios!$B$123:$B$127, 0)), "Género no válido", "")), IF(OR(N456="", N456=""), "[Aviso] Temporada no capturada ()", IF(ISNA(MATCH(N456, Criterios!$C$123:$C$128, 0)), "Temporada no válida", "")), IF(OR(O456="", O456=""), "[Aviso] Ciclo de vida no capturado ()", IF(ISNA(MATCH(O456, Criterios!$D$123:$D$124, 0)), "Ciclo de vida no válido", ""))))</f>
        <v/>
      </c>
      <c r="AC456" s="56" t="n"/>
      <c r="AD456" s="51" t="n">
        <v>0</v>
      </c>
      <c r="AE456" s="156" t="n"/>
      <c r="AF456" s="51" t="n">
        <v>0</v>
      </c>
      <c r="AG456" s="156" t="inlineStr">
        <is>
          <t>Catálogo existente</t>
        </is>
      </c>
      <c r="AH45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6" s="156" t="inlineStr">
        <is>
          <t>No</t>
        </is>
      </c>
      <c r="AJ456" s="156" t="n"/>
      <c r="AK456" s="155" t="inlineStr">
        <is>
          <t>Criterios: I [Q]; G1522_Extraccion_Articulos_NetSuite_2026-09-30.xlsx: fila 59028 [R] | Shopify Stetson: producto 15054564655467 / variante 53350556008811</t>
        </is>
      </c>
      <c r="AL456" s="58" t="n">
        <v>1442.18</v>
      </c>
      <c r="AM456" s="58" t="n">
        <v>8275.862069000001</v>
      </c>
      <c r="AN456" s="155" t="inlineStr">
        <is>
          <t>Shopify Stetson México</t>
        </is>
      </c>
      <c r="AO456" s="59" t="n">
        <v>0</v>
      </c>
      <c r="AP456" s="59" t="n"/>
      <c r="AQ456" s="59" t="n"/>
      <c r="AR456" s="155" t="n"/>
    </row>
    <row r="457">
      <c r="A457" s="50" t="inlineStr">
        <is>
          <t>12020004101027032</t>
        </is>
      </c>
      <c r="B457" s="51" t="inlineStr">
        <is>
          <t>111354</t>
        </is>
      </c>
      <c r="C457" s="156" t="inlineStr">
        <is>
          <t>Multimarca</t>
        </is>
      </c>
      <c r="D457" s="156" t="inlineStr">
        <is>
          <t>12-020-BS004-10-1027</t>
        </is>
      </c>
      <c r="E457" s="156" t="inlineStr">
        <is>
          <t>12-020-BS004-10-1027-032</t>
        </is>
      </c>
      <c r="F457" s="156" t="inlineStr">
        <is>
          <t>32</t>
        </is>
      </c>
      <c r="G457" s="156" t="inlineStr">
        <is>
          <t>14</t>
        </is>
      </c>
      <c r="H457" s="156" t="inlineStr">
        <is>
          <t>Stetson</t>
        </is>
      </c>
      <c r="I457" s="156" t="inlineStr">
        <is>
          <t>Bota Lagarto Negro</t>
        </is>
      </c>
      <c r="J457" s="156" t="inlineStr">
        <is>
          <t>Calzado</t>
        </is>
      </c>
      <c r="K457" s="156" t="inlineStr">
        <is>
          <t>Botas</t>
        </is>
      </c>
      <c r="L457" s="156" t="inlineStr">
        <is>
          <t>Hombre</t>
        </is>
      </c>
      <c r="M457" s="156" t="inlineStr">
        <is>
          <t>Stetson</t>
        </is>
      </c>
      <c r="N457" s="156" t="inlineStr">
        <is>
          <t>SS26</t>
        </is>
      </c>
      <c r="O457" s="156" t="inlineStr">
        <is>
          <t>Seasonal</t>
        </is>
      </c>
      <c r="P457" s="156" t="inlineStr">
        <is>
          <t>Negro</t>
        </is>
      </c>
      <c r="Q457" s="156" t="n"/>
      <c r="R457" s="156" t="inlineStr">
        <is>
          <t>Punta Redonda Ancha</t>
        </is>
      </c>
      <c r="S457" s="156" t="inlineStr">
        <is>
          <t>Piel de lagarto</t>
        </is>
      </c>
      <c r="T457" s="156" t="inlineStr">
        <is>
          <t>Bota Caballero Piel de lagarto Negro Punta Redonda Ancha</t>
        </is>
      </c>
      <c r="U457" s="156" t="inlineStr">
        <is>
          <t>México</t>
        </is>
      </c>
      <c r="V457" s="156" t="inlineStr">
        <is>
          <t>PRS</t>
        </is>
      </c>
      <c r="W457" s="51" t="inlineStr">
        <is>
          <t>53111501</t>
        </is>
      </c>
      <c r="X457" s="156" t="n"/>
      <c r="Y457" s="54" t="n">
        <v>1442.18</v>
      </c>
      <c r="Z457" s="54" t="n">
        <v>8275.862069000001</v>
      </c>
      <c r="AA457" s="55">
        <f>IF(AND(A457="", B457="", E457=""), "", IF(AB457="", "Válido", IF((LEN(AB457)-LEN(SUBSTITUTE(AB457,"; ","")))/2+1&gt;(LEN(AB457)-LEN(SUBSTITUTE(AB457,"[Aviso]","")))/7, "Con Incidencias", "Válido")))</f>
        <v/>
      </c>
      <c r="AB457" s="56">
        <f>IF(AND(A457="", B457="", E457=""), "", TEXTJOIN("; ", TRUE, IF(OR(TRIM(A457&amp;"")="", ISNUMBER(SEARCH("FALTA", A457))), "UPC faltante/inválido", ""), IF(AND(A457&lt;&gt;"", IFERROR(_xlfn.XMATCH(A457,$A$2:$A$2509,0,1)&lt;&gt;_xlfn.XMATCH(A457,$A$2:$A$2509,0,-1),FALSE)), "Código de barras duplicado", ""), IF(AND(E457&lt;&gt;"", COUNTIF($E$2:$E$2509, E457)&gt;1), "SKU duplicado", ""), IF(OR(J457="", J457=""), "[Aviso] División no capturada ()", IF(ISNA(MATCH(J457, Criterios!$A$123:$A$126, 0)), "División no válida", "")), IF(OR(K457="", K457=""), "[Aviso] Categoría no capturada ()", IF(ISNA(MATCH(K457, Criterios!$A$81:$A$120, 0)), "Categoría no válida", IF(AND(J457&lt;&gt;"", J457&lt;&gt;"", J457&lt;&gt;VLOOKUP(K457, Criterios!$A$81:$B$120, 2, FALSE)), "División no coincide con Categoría", ""))), IF(OR(L457="", L457=""), "[Aviso] Género no capturado ()", IF(ISNA(MATCH(L457, Criterios!$B$123:$B$127, 0)), "Género no válido", "")), IF(OR(N457="", N457=""), "[Aviso] Temporada no capturada ()", IF(ISNA(MATCH(N457, Criterios!$C$123:$C$128, 0)), "Temporada no válida", "")), IF(OR(O457="", O457=""), "[Aviso] Ciclo de vida no capturado ()", IF(ISNA(MATCH(O457, Criterios!$D$123:$D$124, 0)), "Ciclo de vida no válido", ""))))</f>
        <v/>
      </c>
      <c r="AC457" s="56" t="n"/>
      <c r="AD457" s="51" t="n">
        <v>0</v>
      </c>
      <c r="AE457" s="156" t="n"/>
      <c r="AF457" s="51" t="n">
        <v>0</v>
      </c>
      <c r="AG457" s="156" t="inlineStr">
        <is>
          <t>Catálogo existente</t>
        </is>
      </c>
      <c r="AH4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7" s="156" t="inlineStr">
        <is>
          <t>No</t>
        </is>
      </c>
      <c r="AJ457" s="156" t="n"/>
      <c r="AK457" s="155" t="inlineStr">
        <is>
          <t>Criterios: I [Q]; G1522_Extraccion_Articulos_NetSuite_2026-09-30.xlsx: fila 59029 [R] | Shopify Stetson: producto 15054564655467 / variante 53350556074347</t>
        </is>
      </c>
      <c r="AL457" s="58" t="n">
        <v>1442.18</v>
      </c>
      <c r="AM457" s="58" t="n">
        <v>8275.862069000001</v>
      </c>
      <c r="AN457" s="155" t="inlineStr">
        <is>
          <t>Shopify Stetson México</t>
        </is>
      </c>
      <c r="AO457" s="59" t="n">
        <v>0</v>
      </c>
      <c r="AP457" s="59" t="n"/>
      <c r="AQ457" s="59" t="n"/>
      <c r="AR457" s="155" t="n"/>
    </row>
    <row r="458">
      <c r="A458" s="50" t="inlineStr">
        <is>
          <t>12020004101027255</t>
        </is>
      </c>
      <c r="B458" s="51" t="inlineStr">
        <is>
          <t>111355</t>
        </is>
      </c>
      <c r="C458" s="156" t="inlineStr">
        <is>
          <t>Multimarca</t>
        </is>
      </c>
      <c r="D458" s="156" t="inlineStr">
        <is>
          <t>12-020-BS004-10-1027</t>
        </is>
      </c>
      <c r="E458" s="156" t="inlineStr">
        <is>
          <t>12-020-BS004-10-1027-255</t>
        </is>
      </c>
      <c r="F458" s="156" t="inlineStr">
        <is>
          <t>25.5</t>
        </is>
      </c>
      <c r="G458" s="156" t="inlineStr">
        <is>
          <t>7.5</t>
        </is>
      </c>
      <c r="H458" s="156" t="inlineStr">
        <is>
          <t>Stetson</t>
        </is>
      </c>
      <c r="I458" s="156" t="inlineStr">
        <is>
          <t>Bota Lagarto Negro</t>
        </is>
      </c>
      <c r="J458" s="156" t="inlineStr">
        <is>
          <t>Calzado</t>
        </is>
      </c>
      <c r="K458" s="156" t="inlineStr">
        <is>
          <t>Botas</t>
        </is>
      </c>
      <c r="L458" s="156" t="inlineStr">
        <is>
          <t>Hombre</t>
        </is>
      </c>
      <c r="M458" s="156" t="inlineStr">
        <is>
          <t>Stetson</t>
        </is>
      </c>
      <c r="N458" s="156" t="inlineStr">
        <is>
          <t>SS26</t>
        </is>
      </c>
      <c r="O458" s="156" t="inlineStr">
        <is>
          <t>Seasonal</t>
        </is>
      </c>
      <c r="P458" s="156" t="inlineStr">
        <is>
          <t>Negro</t>
        </is>
      </c>
      <c r="Q458" s="156" t="n"/>
      <c r="R458" s="156" t="inlineStr">
        <is>
          <t>Punta Redonda Ancha</t>
        </is>
      </c>
      <c r="S458" s="156" t="inlineStr">
        <is>
          <t>Piel de lagarto</t>
        </is>
      </c>
      <c r="T458" s="156" t="inlineStr">
        <is>
          <t>Bota Caballero Piel de lagarto Negro Punta Redonda Ancha</t>
        </is>
      </c>
      <c r="U458" s="156" t="inlineStr">
        <is>
          <t>México</t>
        </is>
      </c>
      <c r="V458" s="156" t="inlineStr">
        <is>
          <t>PRS</t>
        </is>
      </c>
      <c r="W458" s="51" t="inlineStr">
        <is>
          <t>53111501</t>
        </is>
      </c>
      <c r="X458" s="156" t="n"/>
      <c r="Y458" s="54" t="n">
        <v>1442.18</v>
      </c>
      <c r="Z458" s="54" t="n">
        <v>8275.862069000001</v>
      </c>
      <c r="AA458" s="55">
        <f>IF(AND(A458="", B458="", E458=""), "", IF(AB458="", "Válido", IF((LEN(AB458)-LEN(SUBSTITUTE(AB458,"; ","")))/2+1&gt;(LEN(AB458)-LEN(SUBSTITUTE(AB458,"[Aviso]","")))/7, "Con Incidencias", "Válido")))</f>
        <v/>
      </c>
      <c r="AB458" s="56">
        <f>IF(AND(A458="", B458="", E458=""), "", TEXTJOIN("; ", TRUE, IF(OR(TRIM(A458&amp;"")="", ISNUMBER(SEARCH("FALTA", A458))), "UPC faltante/inválido", ""), IF(AND(A458&lt;&gt;"", IFERROR(_xlfn.XMATCH(A458,$A$2:$A$2509,0,1)&lt;&gt;_xlfn.XMATCH(A458,$A$2:$A$2509,0,-1),FALSE)), "Código de barras duplicado", ""), IF(AND(E458&lt;&gt;"", COUNTIF($E$2:$E$2509, E458)&gt;1), "SKU duplicado", ""), IF(OR(J458="", J458=""), "[Aviso] División no capturada ()", IF(ISNA(MATCH(J458, Criterios!$A$123:$A$126, 0)), "División no válida", "")), IF(OR(K458="", K458=""), "[Aviso] Categoría no capturada ()", IF(ISNA(MATCH(K458, Criterios!$A$81:$A$120, 0)), "Categoría no válida", IF(AND(J458&lt;&gt;"", J458&lt;&gt;"", J458&lt;&gt;VLOOKUP(K458, Criterios!$A$81:$B$120, 2, FALSE)), "División no coincide con Categoría", ""))), IF(OR(L458="", L458=""), "[Aviso] Género no capturado ()", IF(ISNA(MATCH(L458, Criterios!$B$123:$B$127, 0)), "Género no válido", "")), IF(OR(N458="", N458=""), "[Aviso] Temporada no capturada ()", IF(ISNA(MATCH(N458, Criterios!$C$123:$C$128, 0)), "Temporada no válida", "")), IF(OR(O458="", O458=""), "[Aviso] Ciclo de vida no capturado ()", IF(ISNA(MATCH(O458, Criterios!$D$123:$D$124, 0)), "Ciclo de vida no válido", ""))))</f>
        <v/>
      </c>
      <c r="AC458" s="56" t="n"/>
      <c r="AD458" s="51" t="n">
        <v>0</v>
      </c>
      <c r="AE458" s="156" t="n"/>
      <c r="AF458" s="51" t="n">
        <v>0</v>
      </c>
      <c r="AG458" s="156" t="inlineStr">
        <is>
          <t>Catálogo existente</t>
        </is>
      </c>
      <c r="AH4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8" s="156" t="inlineStr">
        <is>
          <t>No</t>
        </is>
      </c>
      <c r="AJ458" s="156" t="n"/>
      <c r="AK458" s="155" t="inlineStr">
        <is>
          <t>Criterios: I [Q]; G1522_Extraccion_Articulos_NetSuite_2026-09-30.xlsx: fila 59030 [R] | Shopify Stetson: producto 15054564655467 / variante 53350555648363</t>
        </is>
      </c>
      <c r="AL458" s="58" t="n">
        <v>1442.18</v>
      </c>
      <c r="AM458" s="58" t="n">
        <v>8275.862069000001</v>
      </c>
      <c r="AN458" s="155" t="inlineStr">
        <is>
          <t>Shopify Stetson México</t>
        </is>
      </c>
      <c r="AO458" s="59" t="n">
        <v>0</v>
      </c>
      <c r="AP458" s="59" t="n"/>
      <c r="AQ458" s="59" t="n"/>
      <c r="AR458" s="155" t="n"/>
    </row>
    <row r="459">
      <c r="A459" s="50" t="inlineStr">
        <is>
          <t>12020004101027265</t>
        </is>
      </c>
      <c r="B459" s="51" t="inlineStr">
        <is>
          <t>111356</t>
        </is>
      </c>
      <c r="C459" s="156" t="inlineStr">
        <is>
          <t>Multimarca</t>
        </is>
      </c>
      <c r="D459" s="156" t="inlineStr">
        <is>
          <t>12-020-BS004-10-1027</t>
        </is>
      </c>
      <c r="E459" s="156" t="inlineStr">
        <is>
          <t>12-020-BS004-10-1027-265</t>
        </is>
      </c>
      <c r="F459" s="156" t="inlineStr">
        <is>
          <t>26.5</t>
        </is>
      </c>
      <c r="G459" s="156" t="inlineStr">
        <is>
          <t>8.5</t>
        </is>
      </c>
      <c r="H459" s="156" t="inlineStr">
        <is>
          <t>Stetson</t>
        </is>
      </c>
      <c r="I459" s="156" t="inlineStr">
        <is>
          <t>Bota Lagarto Negro</t>
        </is>
      </c>
      <c r="J459" s="156" t="inlineStr">
        <is>
          <t>Calzado</t>
        </is>
      </c>
      <c r="K459" s="156" t="inlineStr">
        <is>
          <t>Botas</t>
        </is>
      </c>
      <c r="L459" s="156" t="inlineStr">
        <is>
          <t>Hombre</t>
        </is>
      </c>
      <c r="M459" s="156" t="inlineStr">
        <is>
          <t>Stetson</t>
        </is>
      </c>
      <c r="N459" s="156" t="inlineStr">
        <is>
          <t>SS26</t>
        </is>
      </c>
      <c r="O459" s="156" t="inlineStr">
        <is>
          <t>Seasonal</t>
        </is>
      </c>
      <c r="P459" s="156" t="inlineStr">
        <is>
          <t>Negro</t>
        </is>
      </c>
      <c r="Q459" s="156" t="n"/>
      <c r="R459" s="156" t="inlineStr">
        <is>
          <t>Punta Redonda Ancha</t>
        </is>
      </c>
      <c r="S459" s="156" t="inlineStr">
        <is>
          <t>Piel de lagarto</t>
        </is>
      </c>
      <c r="T459" s="156" t="inlineStr">
        <is>
          <t>Bota Caballero Piel de lagarto Negro Punta Redonda Ancha</t>
        </is>
      </c>
      <c r="U459" s="156" t="inlineStr">
        <is>
          <t>México</t>
        </is>
      </c>
      <c r="V459" s="156" t="inlineStr">
        <is>
          <t>PRS</t>
        </is>
      </c>
      <c r="W459" s="51" t="inlineStr">
        <is>
          <t>53111501</t>
        </is>
      </c>
      <c r="X459" s="156" t="n"/>
      <c r="Y459" s="54" t="n">
        <v>1442.18</v>
      </c>
      <c r="Z459" s="54" t="n">
        <v>8275.862069000001</v>
      </c>
      <c r="AA459" s="55">
        <f>IF(AND(A459="", B459="", E459=""), "", IF(AB459="", "Válido", IF((LEN(AB459)-LEN(SUBSTITUTE(AB459,"; ","")))/2+1&gt;(LEN(AB459)-LEN(SUBSTITUTE(AB459,"[Aviso]","")))/7, "Con Incidencias", "Válido")))</f>
        <v/>
      </c>
      <c r="AB459" s="56">
        <f>IF(AND(A459="", B459="", E459=""), "", TEXTJOIN("; ", TRUE, IF(OR(TRIM(A459&amp;"")="", ISNUMBER(SEARCH("FALTA", A459))), "UPC faltante/inválido", ""), IF(AND(A459&lt;&gt;"", IFERROR(_xlfn.XMATCH(A459,$A$2:$A$2509,0,1)&lt;&gt;_xlfn.XMATCH(A459,$A$2:$A$2509,0,-1),FALSE)), "Código de barras duplicado", ""), IF(AND(E459&lt;&gt;"", COUNTIF($E$2:$E$2509, E459)&gt;1), "SKU duplicado", ""), IF(OR(J459="", J459=""), "[Aviso] División no capturada ()", IF(ISNA(MATCH(J459, Criterios!$A$123:$A$126, 0)), "División no válida", "")), IF(OR(K459="", K459=""), "[Aviso] Categoría no capturada ()", IF(ISNA(MATCH(K459, Criterios!$A$81:$A$120, 0)), "Categoría no válida", IF(AND(J459&lt;&gt;"", J459&lt;&gt;"", J459&lt;&gt;VLOOKUP(K459, Criterios!$A$81:$B$120, 2, FALSE)), "División no coincide con Categoría", ""))), IF(OR(L459="", L459=""), "[Aviso] Género no capturado ()", IF(ISNA(MATCH(L459, Criterios!$B$123:$B$127, 0)), "Género no válido", "")), IF(OR(N459="", N459=""), "[Aviso] Temporada no capturada ()", IF(ISNA(MATCH(N459, Criterios!$C$123:$C$128, 0)), "Temporada no válida", "")), IF(OR(O459="", O459=""), "[Aviso] Ciclo de vida no capturado ()", IF(ISNA(MATCH(O459, Criterios!$D$123:$D$124, 0)), "Ciclo de vida no válido", ""))))</f>
        <v/>
      </c>
      <c r="AC459" s="56" t="n"/>
      <c r="AD459" s="51" t="n">
        <v>0</v>
      </c>
      <c r="AE459" s="156" t="n"/>
      <c r="AF459" s="51" t="n">
        <v>0</v>
      </c>
      <c r="AG459" s="156" t="inlineStr">
        <is>
          <t>Catálogo existente</t>
        </is>
      </c>
      <c r="AH4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9" s="156" t="inlineStr">
        <is>
          <t>No</t>
        </is>
      </c>
      <c r="AJ459" s="156" t="n"/>
      <c r="AK459" s="155" t="inlineStr">
        <is>
          <t>Criterios: I [Q]; G1522_Extraccion_Articulos_NetSuite_2026-09-30.xlsx: fila 59031 [R] | Shopify Stetson: producto 15054564655467 / variante 53350555713899</t>
        </is>
      </c>
      <c r="AL459" s="58" t="n">
        <v>1442.18</v>
      </c>
      <c r="AM459" s="58" t="n">
        <v>8275.862069000001</v>
      </c>
      <c r="AN459" s="155" t="inlineStr">
        <is>
          <t>Shopify Stetson México</t>
        </is>
      </c>
      <c r="AO459" s="59" t="n">
        <v>0</v>
      </c>
      <c r="AP459" s="59" t="n"/>
      <c r="AQ459" s="59" t="n"/>
      <c r="AR459" s="155" t="n"/>
    </row>
    <row r="460">
      <c r="A460" s="50" t="inlineStr">
        <is>
          <t>12020004101027275</t>
        </is>
      </c>
      <c r="B460" s="51" t="inlineStr">
        <is>
          <t>111357</t>
        </is>
      </c>
      <c r="C460" s="156" t="inlineStr">
        <is>
          <t>Multimarca</t>
        </is>
      </c>
      <c r="D460" s="156" t="inlineStr">
        <is>
          <t>12-020-BS004-10-1027</t>
        </is>
      </c>
      <c r="E460" s="156" t="inlineStr">
        <is>
          <t>12-020-BS004-10-1027-275</t>
        </is>
      </c>
      <c r="F460" s="156" t="inlineStr">
        <is>
          <t>27.5</t>
        </is>
      </c>
      <c r="G460" s="156" t="inlineStr">
        <is>
          <t>9.5</t>
        </is>
      </c>
      <c r="H460" s="156" t="inlineStr">
        <is>
          <t>Stetson</t>
        </is>
      </c>
      <c r="I460" s="156" t="inlineStr">
        <is>
          <t>Bota Lagarto Negro</t>
        </is>
      </c>
      <c r="J460" s="156" t="inlineStr">
        <is>
          <t>Calzado</t>
        </is>
      </c>
      <c r="K460" s="156" t="inlineStr">
        <is>
          <t>Botas</t>
        </is>
      </c>
      <c r="L460" s="156" t="inlineStr">
        <is>
          <t>Hombre</t>
        </is>
      </c>
      <c r="M460" s="156" t="inlineStr">
        <is>
          <t>Stetson</t>
        </is>
      </c>
      <c r="N460" s="156" t="inlineStr">
        <is>
          <t>SS26</t>
        </is>
      </c>
      <c r="O460" s="156" t="inlineStr">
        <is>
          <t>Seasonal</t>
        </is>
      </c>
      <c r="P460" s="156" t="inlineStr">
        <is>
          <t>Negro</t>
        </is>
      </c>
      <c r="Q460" s="156" t="n"/>
      <c r="R460" s="156" t="inlineStr">
        <is>
          <t>Punta Redonda Ancha</t>
        </is>
      </c>
      <c r="S460" s="156" t="inlineStr">
        <is>
          <t>Piel de lagarto</t>
        </is>
      </c>
      <c r="T460" s="156" t="inlineStr">
        <is>
          <t>Bota Caballero Piel de lagarto Negro Punta Redonda Ancha</t>
        </is>
      </c>
      <c r="U460" s="156" t="inlineStr">
        <is>
          <t>México</t>
        </is>
      </c>
      <c r="V460" s="156" t="inlineStr">
        <is>
          <t>PRS</t>
        </is>
      </c>
      <c r="W460" s="51" t="inlineStr">
        <is>
          <t>53111501</t>
        </is>
      </c>
      <c r="X460" s="156" t="n"/>
      <c r="Y460" s="54" t="n">
        <v>1442.18</v>
      </c>
      <c r="Z460" s="54" t="n">
        <v>8275.862069000001</v>
      </c>
      <c r="AA460" s="55">
        <f>IF(AND(A460="", B460="", E460=""), "", IF(AB460="", "Válido", IF((LEN(AB460)-LEN(SUBSTITUTE(AB460,"; ","")))/2+1&gt;(LEN(AB460)-LEN(SUBSTITUTE(AB460,"[Aviso]","")))/7, "Con Incidencias", "Válido")))</f>
        <v/>
      </c>
      <c r="AB460" s="56">
        <f>IF(AND(A460="", B460="", E460=""), "", TEXTJOIN("; ", TRUE, IF(OR(TRIM(A460&amp;"")="", ISNUMBER(SEARCH("FALTA", A460))), "UPC faltante/inválido", ""), IF(AND(A460&lt;&gt;"", IFERROR(_xlfn.XMATCH(A460,$A$2:$A$2509,0,1)&lt;&gt;_xlfn.XMATCH(A460,$A$2:$A$2509,0,-1),FALSE)), "Código de barras duplicado", ""), IF(AND(E460&lt;&gt;"", COUNTIF($E$2:$E$2509, E460)&gt;1), "SKU duplicado", ""), IF(OR(J460="", J460=""), "[Aviso] División no capturada ()", IF(ISNA(MATCH(J460, Criterios!$A$123:$A$126, 0)), "División no válida", "")), IF(OR(K460="", K460=""), "[Aviso] Categoría no capturada ()", IF(ISNA(MATCH(K460, Criterios!$A$81:$A$120, 0)), "Categoría no válida", IF(AND(J460&lt;&gt;"", J460&lt;&gt;"", J460&lt;&gt;VLOOKUP(K460, Criterios!$A$81:$B$120, 2, FALSE)), "División no coincide con Categoría", ""))), IF(OR(L460="", L460=""), "[Aviso] Género no capturado ()", IF(ISNA(MATCH(L460, Criterios!$B$123:$B$127, 0)), "Género no válido", "")), IF(OR(N460="", N460=""), "[Aviso] Temporada no capturada ()", IF(ISNA(MATCH(N460, Criterios!$C$123:$C$128, 0)), "Temporada no válida", "")), IF(OR(O460="", O460=""), "[Aviso] Ciclo de vida no capturado ()", IF(ISNA(MATCH(O460, Criterios!$D$123:$D$124, 0)), "Ciclo de vida no válido", ""))))</f>
        <v/>
      </c>
      <c r="AC460" s="56" t="n"/>
      <c r="AD460" s="51" t="n">
        <v>1</v>
      </c>
      <c r="AE460" s="156" t="inlineStr">
        <is>
          <t>STETSON AMERICAS (1)</t>
        </is>
      </c>
      <c r="AF460" s="51" t="n">
        <v>1</v>
      </c>
      <c r="AG460" s="156" t="inlineStr">
        <is>
          <t>Catálogo existente</t>
        </is>
      </c>
      <c r="AH4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0" s="156" t="inlineStr">
        <is>
          <t>No</t>
        </is>
      </c>
      <c r="AJ460" s="156" t="n"/>
      <c r="AK460" s="155" t="inlineStr">
        <is>
          <t>Criterios: I [Q]; G1522_Extraccion_Articulos_NetSuite_2026-09-30.xlsx: fila 59032 [R] | Shopify Stetson: producto 15054564655467 / variante 53350555779435</t>
        </is>
      </c>
      <c r="AL460" s="58" t="n">
        <v>1442.18</v>
      </c>
      <c r="AM460" s="58" t="n">
        <v>8275.862069000001</v>
      </c>
      <c r="AN460" s="155" t="inlineStr">
        <is>
          <t>Shopify Stetson México</t>
        </is>
      </c>
      <c r="AO460" s="59" t="n">
        <v>1</v>
      </c>
      <c r="AP460" s="59" t="n"/>
      <c r="AQ460" s="59" t="n"/>
      <c r="AR460" s="155" t="inlineStr">
        <is>
          <t>Shopify Stetson México › Stetson Americas: 1</t>
        </is>
      </c>
    </row>
    <row r="461">
      <c r="A461" s="50" t="inlineStr">
        <is>
          <t>12020004101027285</t>
        </is>
      </c>
      <c r="B461" s="51" t="inlineStr">
        <is>
          <t>111358</t>
        </is>
      </c>
      <c r="C461" s="156" t="inlineStr">
        <is>
          <t>Multimarca</t>
        </is>
      </c>
      <c r="D461" s="156" t="inlineStr">
        <is>
          <t>12-020-BS004-10-1027</t>
        </is>
      </c>
      <c r="E461" s="156" t="inlineStr">
        <is>
          <t>12-020-BS004-10-1027-285</t>
        </is>
      </c>
      <c r="F461" s="156" t="inlineStr">
        <is>
          <t>28.5</t>
        </is>
      </c>
      <c r="G461" s="156" t="inlineStr">
        <is>
          <t>10.5</t>
        </is>
      </c>
      <c r="H461" s="156" t="inlineStr">
        <is>
          <t>Stetson</t>
        </is>
      </c>
      <c r="I461" s="156" t="inlineStr">
        <is>
          <t>Bota Lagarto Negro</t>
        </is>
      </c>
      <c r="J461" s="156" t="inlineStr">
        <is>
          <t>Calzado</t>
        </is>
      </c>
      <c r="K461" s="156" t="inlineStr">
        <is>
          <t>Botas</t>
        </is>
      </c>
      <c r="L461" s="156" t="inlineStr">
        <is>
          <t>Hombre</t>
        </is>
      </c>
      <c r="M461" s="156" t="inlineStr">
        <is>
          <t>Stetson</t>
        </is>
      </c>
      <c r="N461" s="156" t="inlineStr">
        <is>
          <t>SS26</t>
        </is>
      </c>
      <c r="O461" s="156" t="inlineStr">
        <is>
          <t>Seasonal</t>
        </is>
      </c>
      <c r="P461" s="156" t="inlineStr">
        <is>
          <t>Negro</t>
        </is>
      </c>
      <c r="Q461" s="156" t="n"/>
      <c r="R461" s="156" t="inlineStr">
        <is>
          <t>Punta Redonda Ancha</t>
        </is>
      </c>
      <c r="S461" s="156" t="inlineStr">
        <is>
          <t>Piel de lagarto</t>
        </is>
      </c>
      <c r="T461" s="156" t="inlineStr">
        <is>
          <t>Bota Caballero Piel de lagarto Negro Punta Redonda Ancha</t>
        </is>
      </c>
      <c r="U461" s="156" t="inlineStr">
        <is>
          <t>México</t>
        </is>
      </c>
      <c r="V461" s="156" t="inlineStr">
        <is>
          <t>PRS</t>
        </is>
      </c>
      <c r="W461" s="51" t="inlineStr">
        <is>
          <t>53111501</t>
        </is>
      </c>
      <c r="X461" s="156" t="n"/>
      <c r="Y461" s="54" t="n">
        <v>1442.18</v>
      </c>
      <c r="Z461" s="54" t="n">
        <v>8275.862069000001</v>
      </c>
      <c r="AA461" s="55">
        <f>IF(AND(A461="", B461="", E461=""), "", IF(AB461="", "Válido", IF((LEN(AB461)-LEN(SUBSTITUTE(AB461,"; ","")))/2+1&gt;(LEN(AB461)-LEN(SUBSTITUTE(AB461,"[Aviso]","")))/7, "Con Incidencias", "Válido")))</f>
        <v/>
      </c>
      <c r="AB461" s="56">
        <f>IF(AND(A461="", B461="", E461=""), "", TEXTJOIN("; ", TRUE, IF(OR(TRIM(A461&amp;"")="", ISNUMBER(SEARCH("FALTA", A461))), "UPC faltante/inválido", ""), IF(AND(A461&lt;&gt;"", IFERROR(_xlfn.XMATCH(A461,$A$2:$A$2509,0,1)&lt;&gt;_xlfn.XMATCH(A461,$A$2:$A$2509,0,-1),FALSE)), "Código de barras duplicado", ""), IF(AND(E461&lt;&gt;"", COUNTIF($E$2:$E$2509, E461)&gt;1), "SKU duplicado", ""), IF(OR(J461="", J461=""), "[Aviso] División no capturada ()", IF(ISNA(MATCH(J461, Criterios!$A$123:$A$126, 0)), "División no válida", "")), IF(OR(K461="", K461=""), "[Aviso] Categoría no capturada ()", IF(ISNA(MATCH(K461, Criterios!$A$81:$A$120, 0)), "Categoría no válida", IF(AND(J461&lt;&gt;"", J461&lt;&gt;"", J461&lt;&gt;VLOOKUP(K461, Criterios!$A$81:$B$120, 2, FALSE)), "División no coincide con Categoría", ""))), IF(OR(L461="", L461=""), "[Aviso] Género no capturado ()", IF(ISNA(MATCH(L461, Criterios!$B$123:$B$127, 0)), "Género no válido", "")), IF(OR(N461="", N461=""), "[Aviso] Temporada no capturada ()", IF(ISNA(MATCH(N461, Criterios!$C$123:$C$128, 0)), "Temporada no válida", "")), IF(OR(O461="", O461=""), "[Aviso] Ciclo de vida no capturado ()", IF(ISNA(MATCH(O461, Criterios!$D$123:$D$124, 0)), "Ciclo de vida no válido", ""))))</f>
        <v/>
      </c>
      <c r="AC461" s="56" t="n"/>
      <c r="AD461" s="51" t="n">
        <v>0</v>
      </c>
      <c r="AE461" s="156" t="n"/>
      <c r="AF461" s="51" t="n">
        <v>0</v>
      </c>
      <c r="AG461" s="156" t="inlineStr">
        <is>
          <t>Catálogo existente</t>
        </is>
      </c>
      <c r="AH4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1" s="156" t="inlineStr">
        <is>
          <t>No</t>
        </is>
      </c>
      <c r="AJ461" s="156" t="n"/>
      <c r="AK461" s="155" t="inlineStr">
        <is>
          <t>Criterios: I [Q]; G1522_Extraccion_Articulos_NetSuite_2026-09-30.xlsx: fila 59033 [R] | Shopify Stetson: producto 15054564655467 / variante 53350555844971</t>
        </is>
      </c>
      <c r="AL461" s="58" t="n">
        <v>1442.18</v>
      </c>
      <c r="AM461" s="58" t="n">
        <v>8275.862069000001</v>
      </c>
      <c r="AN461" s="155" t="inlineStr">
        <is>
          <t>Shopify Stetson México</t>
        </is>
      </c>
      <c r="AO461" s="59" t="n">
        <v>0</v>
      </c>
      <c r="AP461" s="59" t="n"/>
      <c r="AQ461" s="59" t="n"/>
      <c r="AR461" s="155" t="n"/>
    </row>
    <row r="462">
      <c r="A462" s="50" t="inlineStr">
        <is>
          <t>12020004101027295</t>
        </is>
      </c>
      <c r="B462" s="51" t="inlineStr">
        <is>
          <t>111359</t>
        </is>
      </c>
      <c r="C462" s="156" t="inlineStr">
        <is>
          <t>Multimarca</t>
        </is>
      </c>
      <c r="D462" s="156" t="inlineStr">
        <is>
          <t>12-020-BS004-10-1027</t>
        </is>
      </c>
      <c r="E462" s="156" t="inlineStr">
        <is>
          <t>12-020-BS004-10-1027-295</t>
        </is>
      </c>
      <c r="F462" s="156" t="inlineStr">
        <is>
          <t>29.5</t>
        </is>
      </c>
      <c r="G462" s="156" t="inlineStr">
        <is>
          <t>11.5</t>
        </is>
      </c>
      <c r="H462" s="156" t="inlineStr">
        <is>
          <t>Stetson</t>
        </is>
      </c>
      <c r="I462" s="156" t="inlineStr">
        <is>
          <t>Bota Lagarto Negro</t>
        </is>
      </c>
      <c r="J462" s="156" t="inlineStr">
        <is>
          <t>Calzado</t>
        </is>
      </c>
      <c r="K462" s="156" t="inlineStr">
        <is>
          <t>Botas</t>
        </is>
      </c>
      <c r="L462" s="156" t="inlineStr">
        <is>
          <t>Hombre</t>
        </is>
      </c>
      <c r="M462" s="156" t="inlineStr">
        <is>
          <t>Stetson</t>
        </is>
      </c>
      <c r="N462" s="156" t="inlineStr">
        <is>
          <t>SS26</t>
        </is>
      </c>
      <c r="O462" s="156" t="inlineStr">
        <is>
          <t>Seasonal</t>
        </is>
      </c>
      <c r="P462" s="156" t="inlineStr">
        <is>
          <t>Negro</t>
        </is>
      </c>
      <c r="Q462" s="156" t="n"/>
      <c r="R462" s="156" t="inlineStr">
        <is>
          <t>Punta Redonda Ancha</t>
        </is>
      </c>
      <c r="S462" s="156" t="inlineStr">
        <is>
          <t>Piel de lagarto</t>
        </is>
      </c>
      <c r="T462" s="156" t="inlineStr">
        <is>
          <t>Bota Caballero Piel de lagarto Negro Punta Redonda Ancha</t>
        </is>
      </c>
      <c r="U462" s="156" t="inlineStr">
        <is>
          <t>México</t>
        </is>
      </c>
      <c r="V462" s="156" t="inlineStr">
        <is>
          <t>PRS</t>
        </is>
      </c>
      <c r="W462" s="51" t="inlineStr">
        <is>
          <t>53111501</t>
        </is>
      </c>
      <c r="X462" s="156" t="n"/>
      <c r="Y462" s="54" t="n">
        <v>1442.18</v>
      </c>
      <c r="Z462" s="54" t="n">
        <v>8275.862069000001</v>
      </c>
      <c r="AA462" s="55">
        <f>IF(AND(A462="", B462="", E462=""), "", IF(AB462="", "Válido", IF((LEN(AB462)-LEN(SUBSTITUTE(AB462,"; ","")))/2+1&gt;(LEN(AB462)-LEN(SUBSTITUTE(AB462,"[Aviso]","")))/7, "Con Incidencias", "Válido")))</f>
        <v/>
      </c>
      <c r="AB462" s="56">
        <f>IF(AND(A462="", B462="", E462=""), "", TEXTJOIN("; ", TRUE, IF(OR(TRIM(A462&amp;"")="", ISNUMBER(SEARCH("FALTA", A462))), "UPC faltante/inválido", ""), IF(AND(A462&lt;&gt;"", IFERROR(_xlfn.XMATCH(A462,$A$2:$A$2509,0,1)&lt;&gt;_xlfn.XMATCH(A462,$A$2:$A$2509,0,-1),FALSE)), "Código de barras duplicado", ""), IF(AND(E462&lt;&gt;"", COUNTIF($E$2:$E$2509, E462)&gt;1), "SKU duplicado", ""), IF(OR(J462="", J462=""), "[Aviso] División no capturada ()", IF(ISNA(MATCH(J462, Criterios!$A$123:$A$126, 0)), "División no válida", "")), IF(OR(K462="", K462=""), "[Aviso] Categoría no capturada ()", IF(ISNA(MATCH(K462, Criterios!$A$81:$A$120, 0)), "Categoría no válida", IF(AND(J462&lt;&gt;"", J462&lt;&gt;"", J462&lt;&gt;VLOOKUP(K462, Criterios!$A$81:$B$120, 2, FALSE)), "División no coincide con Categoría", ""))), IF(OR(L462="", L462=""), "[Aviso] Género no capturado ()", IF(ISNA(MATCH(L462, Criterios!$B$123:$B$127, 0)), "Género no válido", "")), IF(OR(N462="", N462=""), "[Aviso] Temporada no capturada ()", IF(ISNA(MATCH(N462, Criterios!$C$123:$C$128, 0)), "Temporada no válida", "")), IF(OR(O462="", O462=""), "[Aviso] Ciclo de vida no capturado ()", IF(ISNA(MATCH(O462, Criterios!$D$123:$D$124, 0)), "Ciclo de vida no válido", ""))))</f>
        <v/>
      </c>
      <c r="AC462" s="56" t="n"/>
      <c r="AD462" s="51" t="n">
        <v>0</v>
      </c>
      <c r="AE462" s="156" t="n"/>
      <c r="AF462" s="51" t="n">
        <v>0</v>
      </c>
      <c r="AG462" s="156" t="inlineStr">
        <is>
          <t>Catálogo existente</t>
        </is>
      </c>
      <c r="AH4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2" s="156" t="inlineStr">
        <is>
          <t>No</t>
        </is>
      </c>
      <c r="AJ462" s="156" t="n"/>
      <c r="AK462" s="155" t="inlineStr">
        <is>
          <t>Criterios: I [Q]; G1522_Extraccion_Articulos_NetSuite_2026-09-30.xlsx: fila 59034 [R] | Shopify Stetson: producto 15054564655467 / variante 53350555910507</t>
        </is>
      </c>
      <c r="AL462" s="58" t="n">
        <v>1442.18</v>
      </c>
      <c r="AM462" s="58" t="n">
        <v>8275.862069000001</v>
      </c>
      <c r="AN462" s="155" t="inlineStr">
        <is>
          <t>Shopify Stetson México</t>
        </is>
      </c>
      <c r="AO462" s="59" t="n">
        <v>0</v>
      </c>
      <c r="AP462" s="59" t="n"/>
      <c r="AQ462" s="59" t="n"/>
      <c r="AR462" s="155" t="n"/>
    </row>
    <row r="463">
      <c r="A463" s="50" t="inlineStr">
        <is>
          <t>12020004101027305</t>
        </is>
      </c>
      <c r="B463" s="51" t="inlineStr">
        <is>
          <t>111360</t>
        </is>
      </c>
      <c r="C463" s="156" t="inlineStr">
        <is>
          <t>Multimarca</t>
        </is>
      </c>
      <c r="D463" s="156" t="inlineStr">
        <is>
          <t>12-020-BS004-10-1027</t>
        </is>
      </c>
      <c r="E463" s="156" t="inlineStr">
        <is>
          <t>12-020-BS004-10-1027-305</t>
        </is>
      </c>
      <c r="F463" s="156" t="inlineStr">
        <is>
          <t>30.5</t>
        </is>
      </c>
      <c r="G463" s="156" t="inlineStr">
        <is>
          <t>12.5</t>
        </is>
      </c>
      <c r="H463" s="156" t="inlineStr">
        <is>
          <t>Stetson</t>
        </is>
      </c>
      <c r="I463" s="156" t="inlineStr">
        <is>
          <t>Bota Lagarto Negro</t>
        </is>
      </c>
      <c r="J463" s="156" t="inlineStr">
        <is>
          <t>Calzado</t>
        </is>
      </c>
      <c r="K463" s="156" t="inlineStr">
        <is>
          <t>Botas</t>
        </is>
      </c>
      <c r="L463" s="156" t="inlineStr">
        <is>
          <t>Hombre</t>
        </is>
      </c>
      <c r="M463" s="156" t="inlineStr">
        <is>
          <t>Stetson</t>
        </is>
      </c>
      <c r="N463" s="156" t="inlineStr">
        <is>
          <t>SS26</t>
        </is>
      </c>
      <c r="O463" s="156" t="inlineStr">
        <is>
          <t>Seasonal</t>
        </is>
      </c>
      <c r="P463" s="156" t="inlineStr">
        <is>
          <t>Negro</t>
        </is>
      </c>
      <c r="Q463" s="156" t="n"/>
      <c r="R463" s="156" t="inlineStr">
        <is>
          <t>Punta Redonda Ancha</t>
        </is>
      </c>
      <c r="S463" s="156" t="inlineStr">
        <is>
          <t>Piel de lagarto</t>
        </is>
      </c>
      <c r="T463" s="156" t="inlineStr">
        <is>
          <t>Bota Caballero Piel de lagarto Negro Punta Redonda Ancha</t>
        </is>
      </c>
      <c r="U463" s="156" t="inlineStr">
        <is>
          <t>México</t>
        </is>
      </c>
      <c r="V463" s="156" t="inlineStr">
        <is>
          <t>PRS</t>
        </is>
      </c>
      <c r="W463" s="51" t="inlineStr">
        <is>
          <t>53111501</t>
        </is>
      </c>
      <c r="X463" s="156" t="n"/>
      <c r="Y463" s="54" t="n">
        <v>1442.18</v>
      </c>
      <c r="Z463" s="54" t="n">
        <v>8275.862069000001</v>
      </c>
      <c r="AA463" s="55">
        <f>IF(AND(A463="", B463="", E463=""), "", IF(AB463="", "Válido", IF((LEN(AB463)-LEN(SUBSTITUTE(AB463,"; ","")))/2+1&gt;(LEN(AB463)-LEN(SUBSTITUTE(AB463,"[Aviso]","")))/7, "Con Incidencias", "Válido")))</f>
        <v/>
      </c>
      <c r="AB463" s="56">
        <f>IF(AND(A463="", B463="", E463=""), "", TEXTJOIN("; ", TRUE, IF(OR(TRIM(A463&amp;"")="", ISNUMBER(SEARCH("FALTA", A463))), "UPC faltante/inválido", ""), IF(AND(A463&lt;&gt;"", IFERROR(_xlfn.XMATCH(A463,$A$2:$A$2509,0,1)&lt;&gt;_xlfn.XMATCH(A463,$A$2:$A$2509,0,-1),FALSE)), "Código de barras duplicado", ""), IF(AND(E463&lt;&gt;"", COUNTIF($E$2:$E$2509, E463)&gt;1), "SKU duplicado", ""), IF(OR(J463="", J463=""), "[Aviso] División no capturada ()", IF(ISNA(MATCH(J463, Criterios!$A$123:$A$126, 0)), "División no válida", "")), IF(OR(K463="", K463=""), "[Aviso] Categoría no capturada ()", IF(ISNA(MATCH(K463, Criterios!$A$81:$A$120, 0)), "Categoría no válida", IF(AND(J463&lt;&gt;"", J463&lt;&gt;"", J463&lt;&gt;VLOOKUP(K463, Criterios!$A$81:$B$120, 2, FALSE)), "División no coincide con Categoría", ""))), IF(OR(L463="", L463=""), "[Aviso] Género no capturado ()", IF(ISNA(MATCH(L463, Criterios!$B$123:$B$127, 0)), "Género no válido", "")), IF(OR(N463="", N463=""), "[Aviso] Temporada no capturada ()", IF(ISNA(MATCH(N463, Criterios!$C$123:$C$128, 0)), "Temporada no válida", "")), IF(OR(O463="", O463=""), "[Aviso] Ciclo de vida no capturado ()", IF(ISNA(MATCH(O463, Criterios!$D$123:$D$124, 0)), "Ciclo de vida no válido", ""))))</f>
        <v/>
      </c>
      <c r="AC463" s="56" t="n"/>
      <c r="AD463" s="51" t="n">
        <v>0</v>
      </c>
      <c r="AE463" s="156" t="n"/>
      <c r="AF463" s="51" t="n">
        <v>0</v>
      </c>
      <c r="AG463" s="156" t="inlineStr">
        <is>
          <t>Catálogo existente</t>
        </is>
      </c>
      <c r="AH4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3" s="156" t="inlineStr">
        <is>
          <t>No</t>
        </is>
      </c>
      <c r="AJ463" s="156" t="n"/>
      <c r="AK463" s="155" t="inlineStr">
        <is>
          <t>Criterios: I [Q]; G1522_Extraccion_Articulos_NetSuite_2026-09-30.xlsx: fila 59035 [R] | Shopify Stetson: producto 15054564655467 / variante 53350555976043</t>
        </is>
      </c>
      <c r="AL463" s="58" t="n">
        <v>1442.18</v>
      </c>
      <c r="AM463" s="58" t="n">
        <v>8275.862069000001</v>
      </c>
      <c r="AN463" s="155" t="inlineStr">
        <is>
          <t>Shopify Stetson México</t>
        </is>
      </c>
      <c r="AO463" s="59" t="n">
        <v>0</v>
      </c>
      <c r="AP463" s="59" t="n"/>
      <c r="AQ463" s="59" t="n"/>
      <c r="AR463" s="155" t="n"/>
    </row>
    <row r="464">
      <c r="A464" s="50" t="inlineStr">
        <is>
          <t>12020004101027315</t>
        </is>
      </c>
      <c r="B464" s="51" t="inlineStr">
        <is>
          <t>111361</t>
        </is>
      </c>
      <c r="C464" s="156" t="inlineStr">
        <is>
          <t>Multimarca</t>
        </is>
      </c>
      <c r="D464" s="156" t="inlineStr">
        <is>
          <t>12-020-BS004-10-1027</t>
        </is>
      </c>
      <c r="E464" s="156" t="inlineStr">
        <is>
          <t>12-020-BS004-10-1027-315</t>
        </is>
      </c>
      <c r="F464" s="156" t="inlineStr">
        <is>
          <t>31.5</t>
        </is>
      </c>
      <c r="G464" s="156" t="inlineStr">
        <is>
          <t>13.5</t>
        </is>
      </c>
      <c r="H464" s="156" t="inlineStr">
        <is>
          <t>Stetson</t>
        </is>
      </c>
      <c r="I464" s="156" t="inlineStr">
        <is>
          <t>Bota Lagarto Negro</t>
        </is>
      </c>
      <c r="J464" s="156" t="inlineStr">
        <is>
          <t>Calzado</t>
        </is>
      </c>
      <c r="K464" s="156" t="inlineStr">
        <is>
          <t>Botas</t>
        </is>
      </c>
      <c r="L464" s="156" t="inlineStr">
        <is>
          <t>Hombre</t>
        </is>
      </c>
      <c r="M464" s="156" t="inlineStr">
        <is>
          <t>Stetson</t>
        </is>
      </c>
      <c r="N464" s="156" t="inlineStr">
        <is>
          <t>SS26</t>
        </is>
      </c>
      <c r="O464" s="156" t="inlineStr">
        <is>
          <t>Seasonal</t>
        </is>
      </c>
      <c r="P464" s="156" t="inlineStr">
        <is>
          <t>Negro</t>
        </is>
      </c>
      <c r="Q464" s="156" t="n"/>
      <c r="R464" s="156" t="inlineStr">
        <is>
          <t>Punta Redonda Ancha</t>
        </is>
      </c>
      <c r="S464" s="156" t="inlineStr">
        <is>
          <t>Piel de lagarto</t>
        </is>
      </c>
      <c r="T464" s="156" t="inlineStr">
        <is>
          <t>Bota Caballero Piel de lagarto Negro Punta Redonda Ancha</t>
        </is>
      </c>
      <c r="U464" s="156" t="inlineStr">
        <is>
          <t>México</t>
        </is>
      </c>
      <c r="V464" s="156" t="inlineStr">
        <is>
          <t>PRS</t>
        </is>
      </c>
      <c r="W464" s="51" t="inlineStr">
        <is>
          <t>53111501</t>
        </is>
      </c>
      <c r="X464" s="156" t="n"/>
      <c r="Y464" s="54" t="n">
        <v>1442.18</v>
      </c>
      <c r="Z464" s="54" t="n">
        <v>8275.862069000001</v>
      </c>
      <c r="AA464" s="55">
        <f>IF(AND(A464="", B464="", E464=""), "", IF(AB464="", "Válido", IF((LEN(AB464)-LEN(SUBSTITUTE(AB464,"; ","")))/2+1&gt;(LEN(AB464)-LEN(SUBSTITUTE(AB464,"[Aviso]","")))/7, "Con Incidencias", "Válido")))</f>
        <v/>
      </c>
      <c r="AB464" s="56">
        <f>IF(AND(A464="", B464="", E464=""), "", TEXTJOIN("; ", TRUE, IF(OR(TRIM(A464&amp;"")="", ISNUMBER(SEARCH("FALTA", A464))), "UPC faltante/inválido", ""), IF(AND(A464&lt;&gt;"", IFERROR(_xlfn.XMATCH(A464,$A$2:$A$2509,0,1)&lt;&gt;_xlfn.XMATCH(A464,$A$2:$A$2509,0,-1),FALSE)), "Código de barras duplicado", ""), IF(AND(E464&lt;&gt;"", COUNTIF($E$2:$E$2509, E464)&gt;1), "SKU duplicado", ""), IF(OR(J464="", J464=""), "[Aviso] División no capturada ()", IF(ISNA(MATCH(J464, Criterios!$A$123:$A$126, 0)), "División no válida", "")), IF(OR(K464="", K464=""), "[Aviso] Categoría no capturada ()", IF(ISNA(MATCH(K464, Criterios!$A$81:$A$120, 0)), "Categoría no válida", IF(AND(J464&lt;&gt;"", J464&lt;&gt;"", J464&lt;&gt;VLOOKUP(K464, Criterios!$A$81:$B$120, 2, FALSE)), "División no coincide con Categoría", ""))), IF(OR(L464="", L464=""), "[Aviso] Género no capturado ()", IF(ISNA(MATCH(L464, Criterios!$B$123:$B$127, 0)), "Género no válido", "")), IF(OR(N464="", N464=""), "[Aviso] Temporada no capturada ()", IF(ISNA(MATCH(N464, Criterios!$C$123:$C$128, 0)), "Temporada no válida", "")), IF(OR(O464="", O464=""), "[Aviso] Ciclo de vida no capturado ()", IF(ISNA(MATCH(O464, Criterios!$D$123:$D$124, 0)), "Ciclo de vida no válido", ""))))</f>
        <v/>
      </c>
      <c r="AC464" s="56" t="n"/>
      <c r="AD464" s="51" t="n">
        <v>0</v>
      </c>
      <c r="AE464" s="156" t="n"/>
      <c r="AF464" s="51" t="n">
        <v>0</v>
      </c>
      <c r="AG464" s="156" t="inlineStr">
        <is>
          <t>Catálogo existente</t>
        </is>
      </c>
      <c r="AH4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4" s="156" t="inlineStr">
        <is>
          <t>No</t>
        </is>
      </c>
      <c r="AJ464" s="156" t="n"/>
      <c r="AK464" s="155" t="inlineStr">
        <is>
          <t>Criterios: I [Q]; G1522_Extraccion_Articulos_NetSuite_2026-09-30.xlsx: fila 59036 [R] | Shopify Stetson: producto 15054564655467 / variante 53350556041579</t>
        </is>
      </c>
      <c r="AL464" s="58" t="n">
        <v>1442.18</v>
      </c>
      <c r="AM464" s="58" t="n">
        <v>8275.862069000001</v>
      </c>
      <c r="AN464" s="155" t="inlineStr">
        <is>
          <t>Shopify Stetson México</t>
        </is>
      </c>
      <c r="AO464" s="59" t="n">
        <v>0</v>
      </c>
      <c r="AP464" s="59" t="n"/>
      <c r="AQ464" s="59" t="n"/>
      <c r="AR464" s="155" t="n"/>
    </row>
    <row r="465">
      <c r="A465" s="50" t="inlineStr">
        <is>
          <t>12020004101027325</t>
        </is>
      </c>
      <c r="B465" s="51" t="inlineStr">
        <is>
          <t>111362</t>
        </is>
      </c>
      <c r="C465" s="156" t="inlineStr">
        <is>
          <t>Multimarca</t>
        </is>
      </c>
      <c r="D465" s="156" t="inlineStr">
        <is>
          <t>12-020-BS004-10-1027</t>
        </is>
      </c>
      <c r="E465" s="156" t="inlineStr">
        <is>
          <t>12-020-BS004-10-1027-325</t>
        </is>
      </c>
      <c r="F465" s="156" t="inlineStr">
        <is>
          <t>32.5</t>
        </is>
      </c>
      <c r="G465" s="156" t="inlineStr">
        <is>
          <t>14.5</t>
        </is>
      </c>
      <c r="H465" s="156" t="inlineStr">
        <is>
          <t>Stetson</t>
        </is>
      </c>
      <c r="I465" s="156" t="inlineStr">
        <is>
          <t>Bota Lagarto Negro</t>
        </is>
      </c>
      <c r="J465" s="156" t="inlineStr">
        <is>
          <t>Calzado</t>
        </is>
      </c>
      <c r="K465" s="156" t="inlineStr">
        <is>
          <t>Botas</t>
        </is>
      </c>
      <c r="L465" s="156" t="inlineStr">
        <is>
          <t>Hombre</t>
        </is>
      </c>
      <c r="M465" s="156" t="inlineStr">
        <is>
          <t>Stetson</t>
        </is>
      </c>
      <c r="N465" s="156" t="inlineStr">
        <is>
          <t>SS26</t>
        </is>
      </c>
      <c r="O465" s="156" t="inlineStr">
        <is>
          <t>Seasonal</t>
        </is>
      </c>
      <c r="P465" s="156" t="inlineStr">
        <is>
          <t>Negro</t>
        </is>
      </c>
      <c r="Q465" s="156" t="n"/>
      <c r="R465" s="156" t="inlineStr">
        <is>
          <t>Punta Redonda Ancha</t>
        </is>
      </c>
      <c r="S465" s="156" t="inlineStr">
        <is>
          <t>Piel de lagarto</t>
        </is>
      </c>
      <c r="T465" s="156" t="inlineStr">
        <is>
          <t>Bota Caballero Piel de lagarto Negro Punta Redonda Ancha</t>
        </is>
      </c>
      <c r="U465" s="156" t="inlineStr">
        <is>
          <t>México</t>
        </is>
      </c>
      <c r="V465" s="156" t="inlineStr">
        <is>
          <t>PRS</t>
        </is>
      </c>
      <c r="W465" s="51" t="inlineStr">
        <is>
          <t>53111501</t>
        </is>
      </c>
      <c r="X465" s="156" t="n"/>
      <c r="Y465" s="54" t="n">
        <v>1442.18</v>
      </c>
      <c r="Z465" s="54" t="n">
        <v>8275.862069000001</v>
      </c>
      <c r="AA465" s="55">
        <f>IF(AND(A465="", B465="", E465=""), "", IF(AB465="", "Válido", IF((LEN(AB465)-LEN(SUBSTITUTE(AB465,"; ","")))/2+1&gt;(LEN(AB465)-LEN(SUBSTITUTE(AB465,"[Aviso]","")))/7, "Con Incidencias", "Válido")))</f>
        <v/>
      </c>
      <c r="AB465" s="56">
        <f>IF(AND(A465="", B465="", E465=""), "", TEXTJOIN("; ", TRUE, IF(OR(TRIM(A465&amp;"")="", ISNUMBER(SEARCH("FALTA", A465))), "UPC faltante/inválido", ""), IF(AND(A465&lt;&gt;"", IFERROR(_xlfn.XMATCH(A465,$A$2:$A$2509,0,1)&lt;&gt;_xlfn.XMATCH(A465,$A$2:$A$2509,0,-1),FALSE)), "Código de barras duplicado", ""), IF(AND(E465&lt;&gt;"", COUNTIF($E$2:$E$2509, E465)&gt;1), "SKU duplicado", ""), IF(OR(J465="", J465=""), "[Aviso] División no capturada ()", IF(ISNA(MATCH(J465, Criterios!$A$123:$A$126, 0)), "División no válida", "")), IF(OR(K465="", K465=""), "[Aviso] Categoría no capturada ()", IF(ISNA(MATCH(K465, Criterios!$A$81:$A$120, 0)), "Categoría no válida", IF(AND(J465&lt;&gt;"", J465&lt;&gt;"", J465&lt;&gt;VLOOKUP(K465, Criterios!$A$81:$B$120, 2, FALSE)), "División no coincide con Categoría", ""))), IF(OR(L465="", L465=""), "[Aviso] Género no capturado ()", IF(ISNA(MATCH(L465, Criterios!$B$123:$B$127, 0)), "Género no válido", "")), IF(OR(N465="", N465=""), "[Aviso] Temporada no capturada ()", IF(ISNA(MATCH(N465, Criterios!$C$123:$C$128, 0)), "Temporada no válida", "")), IF(OR(O465="", O465=""), "[Aviso] Ciclo de vida no capturado ()", IF(ISNA(MATCH(O465, Criterios!$D$123:$D$124, 0)), "Ciclo de vida no válido", ""))))</f>
        <v/>
      </c>
      <c r="AC465" s="56" t="n"/>
      <c r="AD465" s="51" t="n">
        <v>0</v>
      </c>
      <c r="AE465" s="156" t="n"/>
      <c r="AF465" s="51" t="n">
        <v>0</v>
      </c>
      <c r="AG465" s="156" t="inlineStr">
        <is>
          <t>Catálogo existente</t>
        </is>
      </c>
      <c r="AH4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5" s="156" t="inlineStr">
        <is>
          <t>No</t>
        </is>
      </c>
      <c r="AJ465" s="156" t="n"/>
      <c r="AK465" s="155" t="inlineStr">
        <is>
          <t>Criterios: I [Q]; G1522_Extraccion_Articulos_NetSuite_2026-09-30.xlsx: fila 59037 [R] | Shopify Stetson: producto 15054564655467 / variante 53350556107115</t>
        </is>
      </c>
      <c r="AL465" s="58" t="n">
        <v>1442.18</v>
      </c>
      <c r="AM465" s="58" t="n">
        <v>8275.862069000001</v>
      </c>
      <c r="AN465" s="155" t="inlineStr">
        <is>
          <t>Shopify Stetson México</t>
        </is>
      </c>
      <c r="AO465" s="59" t="n">
        <v>0</v>
      </c>
      <c r="AP465" s="59" t="n"/>
      <c r="AQ465" s="59" t="n"/>
      <c r="AR465" s="155" t="n"/>
    </row>
    <row r="466">
      <c r="A466" s="50" t="inlineStr">
        <is>
          <t>12020005111019025</t>
        </is>
      </c>
      <c r="B466" s="51" t="inlineStr">
        <is>
          <t>111363</t>
        </is>
      </c>
      <c r="C466" s="156" t="inlineStr">
        <is>
          <t>Multimarca</t>
        </is>
      </c>
      <c r="D466" s="156" t="inlineStr">
        <is>
          <t>12-020-BS005-11-1019</t>
        </is>
      </c>
      <c r="E466" s="156" t="inlineStr">
        <is>
          <t>12-020-BS005-11-1019-025</t>
        </is>
      </c>
      <c r="F466" s="156" t="inlineStr">
        <is>
          <t>25</t>
        </is>
      </c>
      <c r="G466" s="156" t="inlineStr">
        <is>
          <t>7</t>
        </is>
      </c>
      <c r="H466" s="156" t="inlineStr">
        <is>
          <t>Stetson</t>
        </is>
      </c>
      <c r="I466" s="156" t="inlineStr">
        <is>
          <t>Bota Caimán Cognac</t>
        </is>
      </c>
      <c r="J466" s="156" t="inlineStr">
        <is>
          <t>Calzado</t>
        </is>
      </c>
      <c r="K466" s="156" t="inlineStr">
        <is>
          <t>Botas</t>
        </is>
      </c>
      <c r="L466" s="156" t="inlineStr">
        <is>
          <t>Hombre</t>
        </is>
      </c>
      <c r="M466" s="156" t="inlineStr">
        <is>
          <t>Stetson</t>
        </is>
      </c>
      <c r="N466" s="156" t="inlineStr">
        <is>
          <t>SS26</t>
        </is>
      </c>
      <c r="O466" s="156" t="inlineStr">
        <is>
          <t>Seasonal</t>
        </is>
      </c>
      <c r="P466" s="156" t="inlineStr">
        <is>
          <t>Cafe</t>
        </is>
      </c>
      <c r="Q466" s="156" t="n"/>
      <c r="R466" s="156" t="inlineStr">
        <is>
          <t>Punta Cuadrada Ancha</t>
        </is>
      </c>
      <c r="S466" s="156" t="inlineStr">
        <is>
          <t>Piel de caimán</t>
        </is>
      </c>
      <c r="T466" s="156" t="inlineStr">
        <is>
          <t>Bota Caballero Piel de caimán Cognac Punta Cuadrada Ancha</t>
        </is>
      </c>
      <c r="U466" s="156" t="inlineStr">
        <is>
          <t>México</t>
        </is>
      </c>
      <c r="V466" s="156" t="inlineStr">
        <is>
          <t>PRS</t>
        </is>
      </c>
      <c r="W466" s="51" t="inlineStr">
        <is>
          <t>53111501</t>
        </is>
      </c>
      <c r="X466" s="156" t="n"/>
      <c r="Y466" s="54" t="n">
        <v>1982.1</v>
      </c>
      <c r="Z466" s="54" t="n">
        <v>11206.89655</v>
      </c>
      <c r="AA466" s="55">
        <f>IF(AND(A466="", B466="", E466=""), "", IF(AB466="", "Válido", IF((LEN(AB466)-LEN(SUBSTITUTE(AB466,"; ","")))/2+1&gt;(LEN(AB466)-LEN(SUBSTITUTE(AB466,"[Aviso]","")))/7, "Con Incidencias", "Válido")))</f>
        <v/>
      </c>
      <c r="AB466" s="56">
        <f>IF(AND(A466="", B466="", E466=""), "", TEXTJOIN("; ", TRUE, IF(OR(TRIM(A466&amp;"")="", ISNUMBER(SEARCH("FALTA", A466))), "UPC faltante/inválido", ""), IF(AND(A466&lt;&gt;"", IFERROR(_xlfn.XMATCH(A466,$A$2:$A$2509,0,1)&lt;&gt;_xlfn.XMATCH(A466,$A$2:$A$2509,0,-1),FALSE)), "Código de barras duplicado", ""), IF(AND(E466&lt;&gt;"", COUNTIF($E$2:$E$2509, E466)&gt;1), "SKU duplicado", ""), IF(OR(J466="", J466=""), "[Aviso] División no capturada ()", IF(ISNA(MATCH(J466, Criterios!$A$123:$A$126, 0)), "División no válida", "")), IF(OR(K466="", K466=""), "[Aviso] Categoría no capturada ()", IF(ISNA(MATCH(K466, Criterios!$A$81:$A$120, 0)), "Categoría no válida", IF(AND(J466&lt;&gt;"", J466&lt;&gt;"", J466&lt;&gt;VLOOKUP(K466, Criterios!$A$81:$B$120, 2, FALSE)), "División no coincide con Categoría", ""))), IF(OR(L466="", L466=""), "[Aviso] Género no capturado ()", IF(ISNA(MATCH(L466, Criterios!$B$123:$B$127, 0)), "Género no válido", "")), IF(OR(N466="", N466=""), "[Aviso] Temporada no capturada ()", IF(ISNA(MATCH(N466, Criterios!$C$123:$C$128, 0)), "Temporada no válida", "")), IF(OR(O466="", O466=""), "[Aviso] Ciclo de vida no capturado ()", IF(ISNA(MATCH(O466, Criterios!$D$123:$D$124, 0)), "Ciclo de vida no válido", ""))))</f>
        <v/>
      </c>
      <c r="AC466" s="56" t="n"/>
      <c r="AD466" s="51" t="n">
        <v>0</v>
      </c>
      <c r="AE466" s="156" t="n"/>
      <c r="AF466" s="51" t="n">
        <v>0</v>
      </c>
      <c r="AG466" s="156" t="inlineStr">
        <is>
          <t>Catálogo existente</t>
        </is>
      </c>
      <c r="AH46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6" s="156" t="inlineStr">
        <is>
          <t>No</t>
        </is>
      </c>
      <c r="AJ466" s="156" t="n"/>
      <c r="AK466" s="155" t="inlineStr">
        <is>
          <t>Criterios: I [Q]; G1522_Extraccion_Articulos_NetSuite_2026-09-30.xlsx: fila 59038 [R] | Shopify Stetson: producto 15054564360555 / variante 53350551388523</t>
        </is>
      </c>
      <c r="AL466" s="58" t="n">
        <v>1982.1</v>
      </c>
      <c r="AM466" s="58" t="n">
        <v>11206.89655</v>
      </c>
      <c r="AN466" s="155" t="inlineStr">
        <is>
          <t>Shopify Stetson México</t>
        </is>
      </c>
      <c r="AO466" s="59" t="n">
        <v>0</v>
      </c>
      <c r="AP466" s="59" t="n"/>
      <c r="AQ466" s="59" t="n"/>
      <c r="AR466" s="155" t="n"/>
    </row>
    <row r="467">
      <c r="A467" s="50" t="inlineStr">
        <is>
          <t>12020005111019026</t>
        </is>
      </c>
      <c r="B467" s="51" t="inlineStr">
        <is>
          <t>111364</t>
        </is>
      </c>
      <c r="C467" s="156" t="inlineStr">
        <is>
          <t>Multimarca</t>
        </is>
      </c>
      <c r="D467" s="156" t="inlineStr">
        <is>
          <t>12-020-BS005-11-1019</t>
        </is>
      </c>
      <c r="E467" s="156" t="inlineStr">
        <is>
          <t>12-020-BS005-11-1019-026</t>
        </is>
      </c>
      <c r="F467" s="156" t="inlineStr">
        <is>
          <t>26</t>
        </is>
      </c>
      <c r="G467" s="156" t="inlineStr">
        <is>
          <t>8</t>
        </is>
      </c>
      <c r="H467" s="156" t="inlineStr">
        <is>
          <t>Stetson</t>
        </is>
      </c>
      <c r="I467" s="156" t="inlineStr">
        <is>
          <t>Bota Caimán Cognac</t>
        </is>
      </c>
      <c r="J467" s="156" t="inlineStr">
        <is>
          <t>Calzado</t>
        </is>
      </c>
      <c r="K467" s="156" t="inlineStr">
        <is>
          <t>Botas</t>
        </is>
      </c>
      <c r="L467" s="156" t="inlineStr">
        <is>
          <t>Hombre</t>
        </is>
      </c>
      <c r="M467" s="156" t="inlineStr">
        <is>
          <t>Stetson</t>
        </is>
      </c>
      <c r="N467" s="156" t="inlineStr">
        <is>
          <t>SS26</t>
        </is>
      </c>
      <c r="O467" s="156" t="inlineStr">
        <is>
          <t>Seasonal</t>
        </is>
      </c>
      <c r="P467" s="156" t="inlineStr">
        <is>
          <t>Cafe</t>
        </is>
      </c>
      <c r="Q467" s="156" t="n"/>
      <c r="R467" s="156" t="inlineStr">
        <is>
          <t>Punta Cuadrada Ancha</t>
        </is>
      </c>
      <c r="S467" s="156" t="inlineStr">
        <is>
          <t>Piel de caimán</t>
        </is>
      </c>
      <c r="T467" s="156" t="inlineStr">
        <is>
          <t>Bota Caballero Piel de caimán Cognac Punta Cuadrada Ancha</t>
        </is>
      </c>
      <c r="U467" s="156" t="inlineStr">
        <is>
          <t>México</t>
        </is>
      </c>
      <c r="V467" s="156" t="inlineStr">
        <is>
          <t>PRS</t>
        </is>
      </c>
      <c r="W467" s="51" t="inlineStr">
        <is>
          <t>53111501</t>
        </is>
      </c>
      <c r="X467" s="156" t="n"/>
      <c r="Y467" s="54" t="n">
        <v>1982.1</v>
      </c>
      <c r="Z467" s="54" t="n">
        <v>11206.89655</v>
      </c>
      <c r="AA467" s="55">
        <f>IF(AND(A467="", B467="", E467=""), "", IF(AB467="", "Válido", IF((LEN(AB467)-LEN(SUBSTITUTE(AB467,"; ","")))/2+1&gt;(LEN(AB467)-LEN(SUBSTITUTE(AB467,"[Aviso]","")))/7, "Con Incidencias", "Válido")))</f>
        <v/>
      </c>
      <c r="AB467" s="56">
        <f>IF(AND(A467="", B467="", E467=""), "", TEXTJOIN("; ", TRUE, IF(OR(TRIM(A467&amp;"")="", ISNUMBER(SEARCH("FALTA", A467))), "UPC faltante/inválido", ""), IF(AND(A467&lt;&gt;"", IFERROR(_xlfn.XMATCH(A467,$A$2:$A$2509,0,1)&lt;&gt;_xlfn.XMATCH(A467,$A$2:$A$2509,0,-1),FALSE)), "Código de barras duplicado", ""), IF(AND(E467&lt;&gt;"", COUNTIF($E$2:$E$2509, E467)&gt;1), "SKU duplicado", ""), IF(OR(J467="", J467=""), "[Aviso] División no capturada ()", IF(ISNA(MATCH(J467, Criterios!$A$123:$A$126, 0)), "División no válida", "")), IF(OR(K467="", K467=""), "[Aviso] Categoría no capturada ()", IF(ISNA(MATCH(K467, Criterios!$A$81:$A$120, 0)), "Categoría no válida", IF(AND(J467&lt;&gt;"", J467&lt;&gt;"", J467&lt;&gt;VLOOKUP(K467, Criterios!$A$81:$B$120, 2, FALSE)), "División no coincide con Categoría", ""))), IF(OR(L467="", L467=""), "[Aviso] Género no capturado ()", IF(ISNA(MATCH(L467, Criterios!$B$123:$B$127, 0)), "Género no válido", "")), IF(OR(N467="", N467=""), "[Aviso] Temporada no capturada ()", IF(ISNA(MATCH(N467, Criterios!$C$123:$C$128, 0)), "Temporada no válida", "")), IF(OR(O467="", O467=""), "[Aviso] Ciclo de vida no capturado ()", IF(ISNA(MATCH(O467, Criterios!$D$123:$D$124, 0)), "Ciclo de vida no válido", ""))))</f>
        <v/>
      </c>
      <c r="AC467" s="56" t="n"/>
      <c r="AD467" s="51" t="n">
        <v>0</v>
      </c>
      <c r="AE467" s="156" t="n"/>
      <c r="AF467" s="51" t="n">
        <v>0</v>
      </c>
      <c r="AG467" s="156" t="inlineStr">
        <is>
          <t>Catálogo existente</t>
        </is>
      </c>
      <c r="AH46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7" s="156" t="inlineStr">
        <is>
          <t>No</t>
        </is>
      </c>
      <c r="AJ467" s="156" t="n"/>
      <c r="AK467" s="155" t="inlineStr">
        <is>
          <t>Criterios: I [Q]; G1522_Extraccion_Articulos_NetSuite_2026-09-30.xlsx: fila 59039 [R] | Shopify Stetson: producto 15054564360555 / variante 53350551454059</t>
        </is>
      </c>
      <c r="AL467" s="58" t="n">
        <v>1982.1</v>
      </c>
      <c r="AM467" s="58" t="n">
        <v>11206.89655</v>
      </c>
      <c r="AN467" s="155" t="inlineStr">
        <is>
          <t>Shopify Stetson México</t>
        </is>
      </c>
      <c r="AO467" s="59" t="n">
        <v>0</v>
      </c>
      <c r="AP467" s="59" t="n"/>
      <c r="AQ467" s="59" t="n"/>
      <c r="AR467" s="155" t="n"/>
    </row>
    <row r="468">
      <c r="A468" s="50" t="inlineStr">
        <is>
          <t>12020005111019027</t>
        </is>
      </c>
      <c r="B468" s="51" t="inlineStr">
        <is>
          <t>111365</t>
        </is>
      </c>
      <c r="C468" s="156" t="inlineStr">
        <is>
          <t>Multimarca</t>
        </is>
      </c>
      <c r="D468" s="156" t="inlineStr">
        <is>
          <t>12-020-BS005-11-1019</t>
        </is>
      </c>
      <c r="E468" s="156" t="inlineStr">
        <is>
          <t>12-020-BS005-11-1019-027</t>
        </is>
      </c>
      <c r="F468" s="156" t="inlineStr">
        <is>
          <t>27</t>
        </is>
      </c>
      <c r="G468" s="156" t="inlineStr">
        <is>
          <t>9</t>
        </is>
      </c>
      <c r="H468" s="156" t="inlineStr">
        <is>
          <t>Stetson</t>
        </is>
      </c>
      <c r="I468" s="156" t="inlineStr">
        <is>
          <t>Bota Caimán Cognac</t>
        </is>
      </c>
      <c r="J468" s="156" t="inlineStr">
        <is>
          <t>Calzado</t>
        </is>
      </c>
      <c r="K468" s="156" t="inlineStr">
        <is>
          <t>Botas</t>
        </is>
      </c>
      <c r="L468" s="156" t="inlineStr">
        <is>
          <t>Hombre</t>
        </is>
      </c>
      <c r="M468" s="156" t="inlineStr">
        <is>
          <t>Stetson</t>
        </is>
      </c>
      <c r="N468" s="156" t="inlineStr">
        <is>
          <t>SS26</t>
        </is>
      </c>
      <c r="O468" s="156" t="inlineStr">
        <is>
          <t>Seasonal</t>
        </is>
      </c>
      <c r="P468" s="156" t="inlineStr">
        <is>
          <t>Cafe</t>
        </is>
      </c>
      <c r="Q468" s="156" t="n"/>
      <c r="R468" s="156" t="inlineStr">
        <is>
          <t>Punta Cuadrada Ancha</t>
        </is>
      </c>
      <c r="S468" s="156" t="inlineStr">
        <is>
          <t>Piel de caimán</t>
        </is>
      </c>
      <c r="T468" s="156" t="inlineStr">
        <is>
          <t>Bota Caballero Piel de caimán Cognac Punta Cuadrada Ancha</t>
        </is>
      </c>
      <c r="U468" s="156" t="inlineStr">
        <is>
          <t>México</t>
        </is>
      </c>
      <c r="V468" s="156" t="inlineStr">
        <is>
          <t>PRS</t>
        </is>
      </c>
      <c r="W468" s="51" t="inlineStr">
        <is>
          <t>53111501</t>
        </is>
      </c>
      <c r="X468" s="156" t="n"/>
      <c r="Y468" s="54" t="n">
        <v>1982.1</v>
      </c>
      <c r="Z468" s="54" t="n">
        <v>11206.89655</v>
      </c>
      <c r="AA468" s="55">
        <f>IF(AND(A468="", B468="", E468=""), "", IF(AB468="", "Válido", IF((LEN(AB468)-LEN(SUBSTITUTE(AB468,"; ","")))/2+1&gt;(LEN(AB468)-LEN(SUBSTITUTE(AB468,"[Aviso]","")))/7, "Con Incidencias", "Válido")))</f>
        <v/>
      </c>
      <c r="AB468" s="56">
        <f>IF(AND(A468="", B468="", E468=""), "", TEXTJOIN("; ", TRUE, IF(OR(TRIM(A468&amp;"")="", ISNUMBER(SEARCH("FALTA", A468))), "UPC faltante/inválido", ""), IF(AND(A468&lt;&gt;"", IFERROR(_xlfn.XMATCH(A468,$A$2:$A$2509,0,1)&lt;&gt;_xlfn.XMATCH(A468,$A$2:$A$2509,0,-1),FALSE)), "Código de barras duplicado", ""), IF(AND(E468&lt;&gt;"", COUNTIF($E$2:$E$2509, E468)&gt;1), "SKU duplicado", ""), IF(OR(J468="", J468=""), "[Aviso] División no capturada ()", IF(ISNA(MATCH(J468, Criterios!$A$123:$A$126, 0)), "División no válida", "")), IF(OR(K468="", K468=""), "[Aviso] Categoría no capturada ()", IF(ISNA(MATCH(K468, Criterios!$A$81:$A$120, 0)), "Categoría no válida", IF(AND(J468&lt;&gt;"", J468&lt;&gt;"", J468&lt;&gt;VLOOKUP(K468, Criterios!$A$81:$B$120, 2, FALSE)), "División no coincide con Categoría", ""))), IF(OR(L468="", L468=""), "[Aviso] Género no capturado ()", IF(ISNA(MATCH(L468, Criterios!$B$123:$B$127, 0)), "Género no válido", "")), IF(OR(N468="", N468=""), "[Aviso] Temporada no capturada ()", IF(ISNA(MATCH(N468, Criterios!$C$123:$C$128, 0)), "Temporada no válida", "")), IF(OR(O468="", O468=""), "[Aviso] Ciclo de vida no capturado ()", IF(ISNA(MATCH(O468, Criterios!$D$123:$D$124, 0)), "Ciclo de vida no válido", ""))))</f>
        <v/>
      </c>
      <c r="AC468" s="56" t="n"/>
      <c r="AD468" s="51" t="n">
        <v>1</v>
      </c>
      <c r="AE468" s="156" t="inlineStr">
        <is>
          <t>STETSON AMERICAS (1)</t>
        </is>
      </c>
      <c r="AF468" s="51" t="n">
        <v>1</v>
      </c>
      <c r="AG468" s="156" t="inlineStr">
        <is>
          <t>Catálogo existente</t>
        </is>
      </c>
      <c r="AH4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8" s="156" t="inlineStr">
        <is>
          <t>No</t>
        </is>
      </c>
      <c r="AJ468" s="156" t="n"/>
      <c r="AK468" s="155" t="inlineStr">
        <is>
          <t>Criterios: I [Q]; G1522_Extraccion_Articulos_NetSuite_2026-09-30.xlsx: fila 59040 [R] | Shopify Stetson: producto 15054564360555 / variante 53350551519595</t>
        </is>
      </c>
      <c r="AL468" s="58" t="n">
        <v>1982.1</v>
      </c>
      <c r="AM468" s="58" t="n">
        <v>11206.89655</v>
      </c>
      <c r="AN468" s="155" t="inlineStr">
        <is>
          <t>Shopify Stetson México</t>
        </is>
      </c>
      <c r="AO468" s="59" t="n">
        <v>1</v>
      </c>
      <c r="AP468" s="59" t="n"/>
      <c r="AQ468" s="59" t="n"/>
      <c r="AR468" s="155" t="inlineStr">
        <is>
          <t>Shopify Stetson México › Stetson Americas: 1</t>
        </is>
      </c>
    </row>
    <row r="469">
      <c r="A469" s="50" t="inlineStr">
        <is>
          <t>12020005111019028</t>
        </is>
      </c>
      <c r="B469" s="51" t="inlineStr">
        <is>
          <t>111366</t>
        </is>
      </c>
      <c r="C469" s="156" t="inlineStr">
        <is>
          <t>Multimarca</t>
        </is>
      </c>
      <c r="D469" s="156" t="inlineStr">
        <is>
          <t>12-020-BS005-11-1019</t>
        </is>
      </c>
      <c r="E469" s="156" t="inlineStr">
        <is>
          <t>12-020-BS005-11-1019-028</t>
        </is>
      </c>
      <c r="F469" s="156" t="inlineStr">
        <is>
          <t>28</t>
        </is>
      </c>
      <c r="G469" s="156" t="inlineStr">
        <is>
          <t>10</t>
        </is>
      </c>
      <c r="H469" s="156" t="inlineStr">
        <is>
          <t>Stetson</t>
        </is>
      </c>
      <c r="I469" s="156" t="inlineStr">
        <is>
          <t>Bota Caimán Cognac</t>
        </is>
      </c>
      <c r="J469" s="156" t="inlineStr">
        <is>
          <t>Calzado</t>
        </is>
      </c>
      <c r="K469" s="156" t="inlineStr">
        <is>
          <t>Botas</t>
        </is>
      </c>
      <c r="L469" s="156" t="inlineStr">
        <is>
          <t>Hombre</t>
        </is>
      </c>
      <c r="M469" s="156" t="inlineStr">
        <is>
          <t>Stetson</t>
        </is>
      </c>
      <c r="N469" s="156" t="inlineStr">
        <is>
          <t>SS26</t>
        </is>
      </c>
      <c r="O469" s="156" t="inlineStr">
        <is>
          <t>Seasonal</t>
        </is>
      </c>
      <c r="P469" s="156" t="inlineStr">
        <is>
          <t>Cafe</t>
        </is>
      </c>
      <c r="Q469" s="156" t="n"/>
      <c r="R469" s="156" t="inlineStr">
        <is>
          <t>Punta Cuadrada Ancha</t>
        </is>
      </c>
      <c r="S469" s="156" t="inlineStr">
        <is>
          <t>Piel de caimán</t>
        </is>
      </c>
      <c r="T469" s="156" t="inlineStr">
        <is>
          <t>Bota Caballero Piel de caimán Cognac Punta Cuadrada Ancha</t>
        </is>
      </c>
      <c r="U469" s="156" t="inlineStr">
        <is>
          <t>México</t>
        </is>
      </c>
      <c r="V469" s="156" t="inlineStr">
        <is>
          <t>PRS</t>
        </is>
      </c>
      <c r="W469" s="51" t="inlineStr">
        <is>
          <t>53111501</t>
        </is>
      </c>
      <c r="X469" s="156" t="n"/>
      <c r="Y469" s="54" t="n">
        <v>1982.1</v>
      </c>
      <c r="Z469" s="54" t="n">
        <v>11206.89655</v>
      </c>
      <c r="AA469" s="55">
        <f>IF(AND(A469="", B469="", E469=""), "", IF(AB469="", "Válido", IF((LEN(AB469)-LEN(SUBSTITUTE(AB469,"; ","")))/2+1&gt;(LEN(AB469)-LEN(SUBSTITUTE(AB469,"[Aviso]","")))/7, "Con Incidencias", "Válido")))</f>
        <v/>
      </c>
      <c r="AB469" s="56">
        <f>IF(AND(A469="", B469="", E469=""), "", TEXTJOIN("; ", TRUE, IF(OR(TRIM(A469&amp;"")="", ISNUMBER(SEARCH("FALTA", A469))), "UPC faltante/inválido", ""), IF(AND(A469&lt;&gt;"", IFERROR(_xlfn.XMATCH(A469,$A$2:$A$2509,0,1)&lt;&gt;_xlfn.XMATCH(A469,$A$2:$A$2509,0,-1),FALSE)), "Código de barras duplicado", ""), IF(AND(E469&lt;&gt;"", COUNTIF($E$2:$E$2509, E469)&gt;1), "SKU duplicado", ""), IF(OR(J469="", J469=""), "[Aviso] División no capturada ()", IF(ISNA(MATCH(J469, Criterios!$A$123:$A$126, 0)), "División no válida", "")), IF(OR(K469="", K469=""), "[Aviso] Categoría no capturada ()", IF(ISNA(MATCH(K469, Criterios!$A$81:$A$120, 0)), "Categoría no válida", IF(AND(J469&lt;&gt;"", J469&lt;&gt;"", J469&lt;&gt;VLOOKUP(K469, Criterios!$A$81:$B$120, 2, FALSE)), "División no coincide con Categoría", ""))), IF(OR(L469="", L469=""), "[Aviso] Género no capturado ()", IF(ISNA(MATCH(L469, Criterios!$B$123:$B$127, 0)), "Género no válido", "")), IF(OR(N469="", N469=""), "[Aviso] Temporada no capturada ()", IF(ISNA(MATCH(N469, Criterios!$C$123:$C$128, 0)), "Temporada no válida", "")), IF(OR(O469="", O469=""), "[Aviso] Ciclo de vida no capturado ()", IF(ISNA(MATCH(O469, Criterios!$D$123:$D$124, 0)), "Ciclo de vida no válido", ""))))</f>
        <v/>
      </c>
      <c r="AC469" s="56" t="n"/>
      <c r="AD469" s="51" t="n">
        <v>1</v>
      </c>
      <c r="AE469" s="156" t="inlineStr">
        <is>
          <t>PUNTO DE VENTA (1)</t>
        </is>
      </c>
      <c r="AF469" s="51" t="n">
        <v>1</v>
      </c>
      <c r="AG469" s="156" t="inlineStr">
        <is>
          <t>Catálogo existente</t>
        </is>
      </c>
      <c r="AH4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9" s="156" t="inlineStr">
        <is>
          <t>No</t>
        </is>
      </c>
      <c r="AJ469" s="156" t="n"/>
      <c r="AK469" s="155" t="inlineStr">
        <is>
          <t>Criterios: I [Q]; G1522_Extraccion_Articulos_NetSuite_2026-09-30.xlsx: fila 59041 [R] | Shopify Stetson: producto 15054564360555 / variante 53350551585131</t>
        </is>
      </c>
      <c r="AL469" s="58" t="n">
        <v>1982.1</v>
      </c>
      <c r="AM469" s="58" t="n">
        <v>11206.89655</v>
      </c>
      <c r="AN469" s="155" t="inlineStr">
        <is>
          <t>Shopify Stetson México</t>
        </is>
      </c>
      <c r="AO469" s="59" t="n">
        <v>0</v>
      </c>
      <c r="AP469" s="59" t="n"/>
      <c r="AQ469" s="59" t="n"/>
      <c r="AR469" s="155" t="n"/>
    </row>
    <row r="470">
      <c r="A470" s="50" t="inlineStr">
        <is>
          <t>12020005111019029</t>
        </is>
      </c>
      <c r="B470" s="51" t="inlineStr">
        <is>
          <t>111367</t>
        </is>
      </c>
      <c r="C470" s="156" t="inlineStr">
        <is>
          <t>Multimarca</t>
        </is>
      </c>
      <c r="D470" s="156" t="inlineStr">
        <is>
          <t>12-020-BS005-11-1019</t>
        </is>
      </c>
      <c r="E470" s="156" t="inlineStr">
        <is>
          <t>12-020-BS005-11-1019-029</t>
        </is>
      </c>
      <c r="F470" s="156" t="inlineStr">
        <is>
          <t>29</t>
        </is>
      </c>
      <c r="G470" s="156" t="inlineStr">
        <is>
          <t>11</t>
        </is>
      </c>
      <c r="H470" s="156" t="inlineStr">
        <is>
          <t>Stetson</t>
        </is>
      </c>
      <c r="I470" s="156" t="inlineStr">
        <is>
          <t>Bota Caimán Cognac</t>
        </is>
      </c>
      <c r="J470" s="156" t="inlineStr">
        <is>
          <t>Calzado</t>
        </is>
      </c>
      <c r="K470" s="156" t="inlineStr">
        <is>
          <t>Botas</t>
        </is>
      </c>
      <c r="L470" s="156" t="inlineStr">
        <is>
          <t>Hombre</t>
        </is>
      </c>
      <c r="M470" s="156" t="inlineStr">
        <is>
          <t>Stetson</t>
        </is>
      </c>
      <c r="N470" s="156" t="inlineStr">
        <is>
          <t>SS26</t>
        </is>
      </c>
      <c r="O470" s="156" t="inlineStr">
        <is>
          <t>Seasonal</t>
        </is>
      </c>
      <c r="P470" s="156" t="inlineStr">
        <is>
          <t>Cafe</t>
        </is>
      </c>
      <c r="Q470" s="156" t="n"/>
      <c r="R470" s="156" t="inlineStr">
        <is>
          <t>Punta Cuadrada Ancha</t>
        </is>
      </c>
      <c r="S470" s="156" t="inlineStr">
        <is>
          <t>Piel de caimán</t>
        </is>
      </c>
      <c r="T470" s="156" t="inlineStr">
        <is>
          <t>Bota Caballero Piel de caimán Cognac Punta Cuadrada Ancha</t>
        </is>
      </c>
      <c r="U470" s="156" t="inlineStr">
        <is>
          <t>México</t>
        </is>
      </c>
      <c r="V470" s="156" t="inlineStr">
        <is>
          <t>PRS</t>
        </is>
      </c>
      <c r="W470" s="51" t="inlineStr">
        <is>
          <t>53111501</t>
        </is>
      </c>
      <c r="X470" s="156" t="n"/>
      <c r="Y470" s="54" t="n">
        <v>1982.1</v>
      </c>
      <c r="Z470" s="54" t="n">
        <v>11206.89655</v>
      </c>
      <c r="AA470" s="55">
        <f>IF(AND(A470="", B470="", E470=""), "", IF(AB470="", "Válido", IF((LEN(AB470)-LEN(SUBSTITUTE(AB470,"; ","")))/2+1&gt;(LEN(AB470)-LEN(SUBSTITUTE(AB470,"[Aviso]","")))/7, "Con Incidencias", "Válido")))</f>
        <v/>
      </c>
      <c r="AB470" s="56">
        <f>IF(AND(A470="", B470="", E470=""), "", TEXTJOIN("; ", TRUE, IF(OR(TRIM(A470&amp;"")="", ISNUMBER(SEARCH("FALTA", A470))), "UPC faltante/inválido", ""), IF(AND(A470&lt;&gt;"", IFERROR(_xlfn.XMATCH(A470,$A$2:$A$2509,0,1)&lt;&gt;_xlfn.XMATCH(A470,$A$2:$A$2509,0,-1),FALSE)), "Código de barras duplicado", ""), IF(AND(E470&lt;&gt;"", COUNTIF($E$2:$E$2509, E470)&gt;1), "SKU duplicado", ""), IF(OR(J470="", J470=""), "[Aviso] División no capturada ()", IF(ISNA(MATCH(J470, Criterios!$A$123:$A$126, 0)), "División no válida", "")), IF(OR(K470="", K470=""), "[Aviso] Categoría no capturada ()", IF(ISNA(MATCH(K470, Criterios!$A$81:$A$120, 0)), "Categoría no válida", IF(AND(J470&lt;&gt;"", J470&lt;&gt;"", J470&lt;&gt;VLOOKUP(K470, Criterios!$A$81:$B$120, 2, FALSE)), "División no coincide con Categoría", ""))), IF(OR(L470="", L470=""), "[Aviso] Género no capturado ()", IF(ISNA(MATCH(L470, Criterios!$B$123:$B$127, 0)), "Género no válido", "")), IF(OR(N470="", N470=""), "[Aviso] Temporada no capturada ()", IF(ISNA(MATCH(N470, Criterios!$C$123:$C$128, 0)), "Temporada no válida", "")), IF(OR(O470="", O470=""), "[Aviso] Ciclo de vida no capturado ()", IF(ISNA(MATCH(O470, Criterios!$D$123:$D$124, 0)), "Ciclo de vida no válido", ""))))</f>
        <v/>
      </c>
      <c r="AC470" s="56" t="n"/>
      <c r="AD470" s="51" t="n">
        <v>1</v>
      </c>
      <c r="AE470" s="156" t="inlineStr">
        <is>
          <t>STETSON AMERICAS (1)</t>
        </is>
      </c>
      <c r="AF470" s="51" t="n">
        <v>1</v>
      </c>
      <c r="AG470" s="156" t="inlineStr">
        <is>
          <t>Catálogo existente</t>
        </is>
      </c>
      <c r="AH4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0" s="156" t="inlineStr">
        <is>
          <t>No</t>
        </is>
      </c>
      <c r="AJ470" s="156" t="n"/>
      <c r="AK470" s="155" t="inlineStr">
        <is>
          <t>Criterios: I [Q]; G1522_Extraccion_Articulos_NetSuite_2026-09-30.xlsx: fila 59042 [R] | Shopify Stetson: producto 15054564360555 / variante 53350551650667</t>
        </is>
      </c>
      <c r="AL470" s="58" t="n">
        <v>1982.1</v>
      </c>
      <c r="AM470" s="58" t="n">
        <v>11206.89655</v>
      </c>
      <c r="AN470" s="155" t="inlineStr">
        <is>
          <t>Shopify Stetson México</t>
        </is>
      </c>
      <c r="AO470" s="59" t="n">
        <v>1</v>
      </c>
      <c r="AP470" s="59" t="n"/>
      <c r="AQ470" s="59" t="n"/>
      <c r="AR470" s="155" t="inlineStr">
        <is>
          <t>Shopify Stetson México › Stetson Americas: 1</t>
        </is>
      </c>
    </row>
    <row r="471">
      <c r="A471" s="50" t="inlineStr">
        <is>
          <t>12020005111019030</t>
        </is>
      </c>
      <c r="B471" s="51" t="inlineStr">
        <is>
          <t>111368</t>
        </is>
      </c>
      <c r="C471" s="156" t="inlineStr">
        <is>
          <t>Multimarca</t>
        </is>
      </c>
      <c r="D471" s="156" t="inlineStr">
        <is>
          <t>12-020-BS005-11-1019</t>
        </is>
      </c>
      <c r="E471" s="156" t="inlineStr">
        <is>
          <t>12-020-BS005-11-1019-030</t>
        </is>
      </c>
      <c r="F471" s="156" t="inlineStr">
        <is>
          <t>30</t>
        </is>
      </c>
      <c r="G471" s="156" t="inlineStr">
        <is>
          <t>12</t>
        </is>
      </c>
      <c r="H471" s="156" t="inlineStr">
        <is>
          <t>Stetson</t>
        </is>
      </c>
      <c r="I471" s="156" t="inlineStr">
        <is>
          <t>Bota Caimán Cognac</t>
        </is>
      </c>
      <c r="J471" s="156" t="inlineStr">
        <is>
          <t>Calzado</t>
        </is>
      </c>
      <c r="K471" s="156" t="inlineStr">
        <is>
          <t>Botas</t>
        </is>
      </c>
      <c r="L471" s="156" t="inlineStr">
        <is>
          <t>Hombre</t>
        </is>
      </c>
      <c r="M471" s="156" t="inlineStr">
        <is>
          <t>Stetson</t>
        </is>
      </c>
      <c r="N471" s="156" t="inlineStr">
        <is>
          <t>SS26</t>
        </is>
      </c>
      <c r="O471" s="156" t="inlineStr">
        <is>
          <t>Seasonal</t>
        </is>
      </c>
      <c r="P471" s="156" t="inlineStr">
        <is>
          <t>Cafe</t>
        </is>
      </c>
      <c r="Q471" s="156" t="n"/>
      <c r="R471" s="156" t="inlineStr">
        <is>
          <t>Punta Cuadrada Ancha</t>
        </is>
      </c>
      <c r="S471" s="156" t="inlineStr">
        <is>
          <t>Piel de caimán</t>
        </is>
      </c>
      <c r="T471" s="156" t="inlineStr">
        <is>
          <t>Bota Caballero Piel de caimán Cognac Punta Cuadrada Ancha</t>
        </is>
      </c>
      <c r="U471" s="156" t="inlineStr">
        <is>
          <t>México</t>
        </is>
      </c>
      <c r="V471" s="156" t="inlineStr">
        <is>
          <t>PRS</t>
        </is>
      </c>
      <c r="W471" s="51" t="inlineStr">
        <is>
          <t>53111501</t>
        </is>
      </c>
      <c r="X471" s="156" t="n"/>
      <c r="Y471" s="54" t="n">
        <v>1982.1</v>
      </c>
      <c r="Z471" s="54" t="n">
        <v>11206.89655</v>
      </c>
      <c r="AA471" s="55">
        <f>IF(AND(A471="", B471="", E471=""), "", IF(AB471="", "Válido", IF((LEN(AB471)-LEN(SUBSTITUTE(AB471,"; ","")))/2+1&gt;(LEN(AB471)-LEN(SUBSTITUTE(AB471,"[Aviso]","")))/7, "Con Incidencias", "Válido")))</f>
        <v/>
      </c>
      <c r="AB471" s="56">
        <f>IF(AND(A471="", B471="", E471=""), "", TEXTJOIN("; ", TRUE, IF(OR(TRIM(A471&amp;"")="", ISNUMBER(SEARCH("FALTA", A471))), "UPC faltante/inválido", ""), IF(AND(A471&lt;&gt;"", IFERROR(_xlfn.XMATCH(A471,$A$2:$A$2509,0,1)&lt;&gt;_xlfn.XMATCH(A471,$A$2:$A$2509,0,-1),FALSE)), "Código de barras duplicado", ""), IF(AND(E471&lt;&gt;"", COUNTIF($E$2:$E$2509, E471)&gt;1), "SKU duplicado", ""), IF(OR(J471="", J471=""), "[Aviso] División no capturada ()", IF(ISNA(MATCH(J471, Criterios!$A$123:$A$126, 0)), "División no válida", "")), IF(OR(K471="", K471=""), "[Aviso] Categoría no capturada ()", IF(ISNA(MATCH(K471, Criterios!$A$81:$A$120, 0)), "Categoría no válida", IF(AND(J471&lt;&gt;"", J471&lt;&gt;"", J471&lt;&gt;VLOOKUP(K471, Criterios!$A$81:$B$120, 2, FALSE)), "División no coincide con Categoría", ""))), IF(OR(L471="", L471=""), "[Aviso] Género no capturado ()", IF(ISNA(MATCH(L471, Criterios!$B$123:$B$127, 0)), "Género no válido", "")), IF(OR(N471="", N471=""), "[Aviso] Temporada no capturada ()", IF(ISNA(MATCH(N471, Criterios!$C$123:$C$128, 0)), "Temporada no válida", "")), IF(OR(O471="", O471=""), "[Aviso] Ciclo de vida no capturado ()", IF(ISNA(MATCH(O471, Criterios!$D$123:$D$124, 0)), "Ciclo de vida no válido", ""))))</f>
        <v/>
      </c>
      <c r="AC471" s="56" t="n"/>
      <c r="AD471" s="51" t="n">
        <v>0</v>
      </c>
      <c r="AE471" s="156" t="n"/>
      <c r="AF471" s="51" t="n">
        <v>0</v>
      </c>
      <c r="AG471" s="156" t="inlineStr">
        <is>
          <t>Catálogo existente</t>
        </is>
      </c>
      <c r="AH4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1" s="156" t="inlineStr">
        <is>
          <t>No</t>
        </is>
      </c>
      <c r="AJ471" s="156" t="n"/>
      <c r="AK471" s="155" t="inlineStr">
        <is>
          <t>Criterios: I [Q]; G1522_Extraccion_Articulos_NetSuite_2026-09-30.xlsx: fila 59043 [R] | Shopify Stetson: producto 15054564360555 / variante 53350551716203</t>
        </is>
      </c>
      <c r="AL471" s="58" t="n">
        <v>1982.1</v>
      </c>
      <c r="AM471" s="58" t="n">
        <v>11206.89655</v>
      </c>
      <c r="AN471" s="155" t="inlineStr">
        <is>
          <t>Shopify Stetson México</t>
        </is>
      </c>
      <c r="AO471" s="59" t="n">
        <v>0</v>
      </c>
      <c r="AP471" s="59" t="n"/>
      <c r="AQ471" s="59" t="n"/>
      <c r="AR471" s="155" t="n"/>
    </row>
    <row r="472">
      <c r="A472" s="50" t="inlineStr">
        <is>
          <t>12020005111019031</t>
        </is>
      </c>
      <c r="B472" s="51" t="inlineStr">
        <is>
          <t>111369</t>
        </is>
      </c>
      <c r="C472" s="156" t="inlineStr">
        <is>
          <t>Multimarca</t>
        </is>
      </c>
      <c r="D472" s="156" t="inlineStr">
        <is>
          <t>12-020-BS005-11-1019</t>
        </is>
      </c>
      <c r="E472" s="156" t="inlineStr">
        <is>
          <t>12-020-BS005-11-1019-031</t>
        </is>
      </c>
      <c r="F472" s="156" t="inlineStr">
        <is>
          <t>31</t>
        </is>
      </c>
      <c r="G472" s="156" t="inlineStr">
        <is>
          <t>13</t>
        </is>
      </c>
      <c r="H472" s="156" t="inlineStr">
        <is>
          <t>Stetson</t>
        </is>
      </c>
      <c r="I472" s="156" t="inlineStr">
        <is>
          <t>Bota Caimán Cognac</t>
        </is>
      </c>
      <c r="J472" s="156" t="inlineStr">
        <is>
          <t>Calzado</t>
        </is>
      </c>
      <c r="K472" s="156" t="inlineStr">
        <is>
          <t>Botas</t>
        </is>
      </c>
      <c r="L472" s="156" t="inlineStr">
        <is>
          <t>Hombre</t>
        </is>
      </c>
      <c r="M472" s="156" t="inlineStr">
        <is>
          <t>Stetson</t>
        </is>
      </c>
      <c r="N472" s="156" t="inlineStr">
        <is>
          <t>SS26</t>
        </is>
      </c>
      <c r="O472" s="156" t="inlineStr">
        <is>
          <t>Seasonal</t>
        </is>
      </c>
      <c r="P472" s="156" t="inlineStr">
        <is>
          <t>Cafe</t>
        </is>
      </c>
      <c r="Q472" s="156" t="n"/>
      <c r="R472" s="156" t="inlineStr">
        <is>
          <t>Punta Cuadrada Ancha</t>
        </is>
      </c>
      <c r="S472" s="156" t="inlineStr">
        <is>
          <t>Piel de caimán</t>
        </is>
      </c>
      <c r="T472" s="156" t="inlineStr">
        <is>
          <t>Bota Caballero Piel de caimán Cognac Punta Cuadrada Ancha</t>
        </is>
      </c>
      <c r="U472" s="156" t="inlineStr">
        <is>
          <t>México</t>
        </is>
      </c>
      <c r="V472" s="156" t="inlineStr">
        <is>
          <t>PRS</t>
        </is>
      </c>
      <c r="W472" s="51" t="inlineStr">
        <is>
          <t>53111501</t>
        </is>
      </c>
      <c r="X472" s="156" t="n"/>
      <c r="Y472" s="54" t="n">
        <v>1982.1</v>
      </c>
      <c r="Z472" s="54" t="n">
        <v>11206.89655</v>
      </c>
      <c r="AA472" s="55">
        <f>IF(AND(A472="", B472="", E472=""), "", IF(AB472="", "Válido", IF((LEN(AB472)-LEN(SUBSTITUTE(AB472,"; ","")))/2+1&gt;(LEN(AB472)-LEN(SUBSTITUTE(AB472,"[Aviso]","")))/7, "Con Incidencias", "Válido")))</f>
        <v/>
      </c>
      <c r="AB472" s="56">
        <f>IF(AND(A472="", B472="", E472=""), "", TEXTJOIN("; ", TRUE, IF(OR(TRIM(A472&amp;"")="", ISNUMBER(SEARCH("FALTA", A472))), "UPC faltante/inválido", ""), IF(AND(A472&lt;&gt;"", IFERROR(_xlfn.XMATCH(A472,$A$2:$A$2509,0,1)&lt;&gt;_xlfn.XMATCH(A472,$A$2:$A$2509,0,-1),FALSE)), "Código de barras duplicado", ""), IF(AND(E472&lt;&gt;"", COUNTIF($E$2:$E$2509, E472)&gt;1), "SKU duplicado", ""), IF(OR(J472="", J472=""), "[Aviso] División no capturada ()", IF(ISNA(MATCH(J472, Criterios!$A$123:$A$126, 0)), "División no válida", "")), IF(OR(K472="", K472=""), "[Aviso] Categoría no capturada ()", IF(ISNA(MATCH(K472, Criterios!$A$81:$A$120, 0)), "Categoría no válida", IF(AND(J472&lt;&gt;"", J472&lt;&gt;"", J472&lt;&gt;VLOOKUP(K472, Criterios!$A$81:$B$120, 2, FALSE)), "División no coincide con Categoría", ""))), IF(OR(L472="", L472=""), "[Aviso] Género no capturado ()", IF(ISNA(MATCH(L472, Criterios!$B$123:$B$127, 0)), "Género no válido", "")), IF(OR(N472="", N472=""), "[Aviso] Temporada no capturada ()", IF(ISNA(MATCH(N472, Criterios!$C$123:$C$128, 0)), "Temporada no válida", "")), IF(OR(O472="", O472=""), "[Aviso] Ciclo de vida no capturado ()", IF(ISNA(MATCH(O472, Criterios!$D$123:$D$124, 0)), "Ciclo de vida no válido", ""))))</f>
        <v/>
      </c>
      <c r="AC472" s="56" t="n"/>
      <c r="AD472" s="51" t="n">
        <v>0</v>
      </c>
      <c r="AE472" s="156" t="n"/>
      <c r="AF472" s="51" t="n">
        <v>0</v>
      </c>
      <c r="AG472" s="156" t="inlineStr">
        <is>
          <t>Catálogo existente</t>
        </is>
      </c>
      <c r="AH4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2" s="156" t="inlineStr">
        <is>
          <t>No</t>
        </is>
      </c>
      <c r="AJ472" s="156" t="n"/>
      <c r="AK472" s="155" t="inlineStr">
        <is>
          <t>Criterios: I [Q]; G1522_Extraccion_Articulos_NetSuite_2026-09-30.xlsx: fila 59044 [R] | Shopify Stetson: producto 15054564360555 / variante 53350551781739</t>
        </is>
      </c>
      <c r="AL472" s="58" t="n">
        <v>1982.1</v>
      </c>
      <c r="AM472" s="58" t="n">
        <v>11206.89655</v>
      </c>
      <c r="AN472" s="155" t="inlineStr">
        <is>
          <t>Shopify Stetson México</t>
        </is>
      </c>
      <c r="AO472" s="59" t="n">
        <v>0</v>
      </c>
      <c r="AP472" s="59" t="n"/>
      <c r="AQ472" s="59" t="n"/>
      <c r="AR472" s="155" t="n"/>
    </row>
    <row r="473">
      <c r="A473" s="50" t="inlineStr">
        <is>
          <t>12020005111019032</t>
        </is>
      </c>
      <c r="B473" s="51" t="inlineStr">
        <is>
          <t>111370</t>
        </is>
      </c>
      <c r="C473" s="156" t="inlineStr">
        <is>
          <t>Multimarca</t>
        </is>
      </c>
      <c r="D473" s="156" t="inlineStr">
        <is>
          <t>12-020-BS005-11-1019</t>
        </is>
      </c>
      <c r="E473" s="156" t="inlineStr">
        <is>
          <t>12-020-BS005-11-1019-032</t>
        </is>
      </c>
      <c r="F473" s="156" t="inlineStr">
        <is>
          <t>32</t>
        </is>
      </c>
      <c r="G473" s="156" t="inlineStr">
        <is>
          <t>14</t>
        </is>
      </c>
      <c r="H473" s="156" t="inlineStr">
        <is>
          <t>Stetson</t>
        </is>
      </c>
      <c r="I473" s="156" t="inlineStr">
        <is>
          <t>Bota Caimán Cognac</t>
        </is>
      </c>
      <c r="J473" s="156" t="inlineStr">
        <is>
          <t>Calzado</t>
        </is>
      </c>
      <c r="K473" s="156" t="inlineStr">
        <is>
          <t>Botas</t>
        </is>
      </c>
      <c r="L473" s="156" t="inlineStr">
        <is>
          <t>Hombre</t>
        </is>
      </c>
      <c r="M473" s="156" t="inlineStr">
        <is>
          <t>Stetson</t>
        </is>
      </c>
      <c r="N473" s="156" t="inlineStr">
        <is>
          <t>SS26</t>
        </is>
      </c>
      <c r="O473" s="156" t="inlineStr">
        <is>
          <t>Seasonal</t>
        </is>
      </c>
      <c r="P473" s="156" t="inlineStr">
        <is>
          <t>Cafe</t>
        </is>
      </c>
      <c r="Q473" s="156" t="n"/>
      <c r="R473" s="156" t="inlineStr">
        <is>
          <t>Punta Cuadrada Ancha</t>
        </is>
      </c>
      <c r="S473" s="156" t="inlineStr">
        <is>
          <t>Piel de caimán</t>
        </is>
      </c>
      <c r="T473" s="156" t="inlineStr">
        <is>
          <t>Bota Caballero Piel de caimán Cognac Punta Cuadrada Ancha</t>
        </is>
      </c>
      <c r="U473" s="156" t="inlineStr">
        <is>
          <t>México</t>
        </is>
      </c>
      <c r="V473" s="156" t="inlineStr">
        <is>
          <t>PRS</t>
        </is>
      </c>
      <c r="W473" s="51" t="inlineStr">
        <is>
          <t>53111501</t>
        </is>
      </c>
      <c r="X473" s="156" t="n"/>
      <c r="Y473" s="54" t="n">
        <v>1982.1</v>
      </c>
      <c r="Z473" s="54" t="n">
        <v>11206.89655</v>
      </c>
      <c r="AA473" s="55">
        <f>IF(AND(A473="", B473="", E473=""), "", IF(AB473="", "Válido", IF((LEN(AB473)-LEN(SUBSTITUTE(AB473,"; ","")))/2+1&gt;(LEN(AB473)-LEN(SUBSTITUTE(AB473,"[Aviso]","")))/7, "Con Incidencias", "Válido")))</f>
        <v/>
      </c>
      <c r="AB473" s="56">
        <f>IF(AND(A473="", B473="", E473=""), "", TEXTJOIN("; ", TRUE, IF(OR(TRIM(A473&amp;"")="", ISNUMBER(SEARCH("FALTA", A473))), "UPC faltante/inválido", ""), IF(AND(A473&lt;&gt;"", IFERROR(_xlfn.XMATCH(A473,$A$2:$A$2509,0,1)&lt;&gt;_xlfn.XMATCH(A473,$A$2:$A$2509,0,-1),FALSE)), "Código de barras duplicado", ""), IF(AND(E473&lt;&gt;"", COUNTIF($E$2:$E$2509, E473)&gt;1), "SKU duplicado", ""), IF(OR(J473="", J473=""), "[Aviso] División no capturada ()", IF(ISNA(MATCH(J473, Criterios!$A$123:$A$126, 0)), "División no válida", "")), IF(OR(K473="", K473=""), "[Aviso] Categoría no capturada ()", IF(ISNA(MATCH(K473, Criterios!$A$81:$A$120, 0)), "Categoría no válida", IF(AND(J473&lt;&gt;"", J473&lt;&gt;"", J473&lt;&gt;VLOOKUP(K473, Criterios!$A$81:$B$120, 2, FALSE)), "División no coincide con Categoría", ""))), IF(OR(L473="", L473=""), "[Aviso] Género no capturado ()", IF(ISNA(MATCH(L473, Criterios!$B$123:$B$127, 0)), "Género no válido", "")), IF(OR(N473="", N473=""), "[Aviso] Temporada no capturada ()", IF(ISNA(MATCH(N473, Criterios!$C$123:$C$128, 0)), "Temporada no válida", "")), IF(OR(O473="", O473=""), "[Aviso] Ciclo de vida no capturado ()", IF(ISNA(MATCH(O473, Criterios!$D$123:$D$124, 0)), "Ciclo de vida no válido", ""))))</f>
        <v/>
      </c>
      <c r="AC473" s="56" t="n"/>
      <c r="AD473" s="51" t="n">
        <v>0</v>
      </c>
      <c r="AE473" s="156" t="n"/>
      <c r="AF473" s="51" t="n">
        <v>0</v>
      </c>
      <c r="AG473" s="156" t="inlineStr">
        <is>
          <t>Catálogo existente</t>
        </is>
      </c>
      <c r="AH4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3" s="156" t="inlineStr">
        <is>
          <t>No</t>
        </is>
      </c>
      <c r="AJ473" s="156" t="n"/>
      <c r="AK473" s="155" t="inlineStr">
        <is>
          <t>Criterios: I [Q]; G1522_Extraccion_Articulos_NetSuite_2026-09-30.xlsx: fila 59045 [R] | Shopify Stetson: producto 15054564360555 / variante 53350551847275</t>
        </is>
      </c>
      <c r="AL473" s="58" t="n">
        <v>1982.1</v>
      </c>
      <c r="AM473" s="58" t="n">
        <v>11206.89655</v>
      </c>
      <c r="AN473" s="155" t="inlineStr">
        <is>
          <t>Shopify Stetson México</t>
        </is>
      </c>
      <c r="AO473" s="59" t="n">
        <v>0</v>
      </c>
      <c r="AP473" s="59" t="n"/>
      <c r="AQ473" s="59" t="n"/>
      <c r="AR473" s="155" t="n"/>
    </row>
    <row r="474">
      <c r="A474" s="50" t="inlineStr">
        <is>
          <t>12020005111019255</t>
        </is>
      </c>
      <c r="B474" s="51" t="inlineStr">
        <is>
          <t>111371</t>
        </is>
      </c>
      <c r="C474" s="156" t="inlineStr">
        <is>
          <t>Multimarca</t>
        </is>
      </c>
      <c r="D474" s="156" t="inlineStr">
        <is>
          <t>12-020-BS005-11-1019</t>
        </is>
      </c>
      <c r="E474" s="156" t="inlineStr">
        <is>
          <t>12-020-BS005-11-1019-255</t>
        </is>
      </c>
      <c r="F474" s="156" t="inlineStr">
        <is>
          <t>25.5</t>
        </is>
      </c>
      <c r="G474" s="156" t="inlineStr">
        <is>
          <t>7.5</t>
        </is>
      </c>
      <c r="H474" s="156" t="inlineStr">
        <is>
          <t>Stetson</t>
        </is>
      </c>
      <c r="I474" s="156" t="inlineStr">
        <is>
          <t>Bota Caimán Cognac</t>
        </is>
      </c>
      <c r="J474" s="156" t="inlineStr">
        <is>
          <t>Calzado</t>
        </is>
      </c>
      <c r="K474" s="156" t="inlineStr">
        <is>
          <t>Botas</t>
        </is>
      </c>
      <c r="L474" s="156" t="inlineStr">
        <is>
          <t>Hombre</t>
        </is>
      </c>
      <c r="M474" s="156" t="inlineStr">
        <is>
          <t>Stetson</t>
        </is>
      </c>
      <c r="N474" s="156" t="inlineStr">
        <is>
          <t>SS26</t>
        </is>
      </c>
      <c r="O474" s="156" t="inlineStr">
        <is>
          <t>Seasonal</t>
        </is>
      </c>
      <c r="P474" s="156" t="inlineStr">
        <is>
          <t>Cafe</t>
        </is>
      </c>
      <c r="Q474" s="156" t="n"/>
      <c r="R474" s="156" t="inlineStr">
        <is>
          <t>Punta Cuadrada Ancha</t>
        </is>
      </c>
      <c r="S474" s="156" t="inlineStr">
        <is>
          <t>Piel de caimán</t>
        </is>
      </c>
      <c r="T474" s="156" t="inlineStr">
        <is>
          <t>Bota Caballero Piel de caimán Cognac Punta Cuadrada Ancha</t>
        </is>
      </c>
      <c r="U474" s="156" t="inlineStr">
        <is>
          <t>México</t>
        </is>
      </c>
      <c r="V474" s="156" t="inlineStr">
        <is>
          <t>PRS</t>
        </is>
      </c>
      <c r="W474" s="51" t="inlineStr">
        <is>
          <t>53111501</t>
        </is>
      </c>
      <c r="X474" s="156" t="n"/>
      <c r="Y474" s="54" t="n">
        <v>1982.1</v>
      </c>
      <c r="Z474" s="54" t="n">
        <v>11206.89655</v>
      </c>
      <c r="AA474" s="55">
        <f>IF(AND(A474="", B474="", E474=""), "", IF(AB474="", "Válido", IF((LEN(AB474)-LEN(SUBSTITUTE(AB474,"; ","")))/2+1&gt;(LEN(AB474)-LEN(SUBSTITUTE(AB474,"[Aviso]","")))/7, "Con Incidencias", "Válido")))</f>
        <v/>
      </c>
      <c r="AB474" s="56">
        <f>IF(AND(A474="", B474="", E474=""), "", TEXTJOIN("; ", TRUE, IF(OR(TRIM(A474&amp;"")="", ISNUMBER(SEARCH("FALTA", A474))), "UPC faltante/inválido", ""), IF(AND(A474&lt;&gt;"", IFERROR(_xlfn.XMATCH(A474,$A$2:$A$2509,0,1)&lt;&gt;_xlfn.XMATCH(A474,$A$2:$A$2509,0,-1),FALSE)), "Código de barras duplicado", ""), IF(AND(E474&lt;&gt;"", COUNTIF($E$2:$E$2509, E474)&gt;1), "SKU duplicado", ""), IF(OR(J474="", J474=""), "[Aviso] División no capturada ()", IF(ISNA(MATCH(J474, Criterios!$A$123:$A$126, 0)), "División no válida", "")), IF(OR(K474="", K474=""), "[Aviso] Categoría no capturada ()", IF(ISNA(MATCH(K474, Criterios!$A$81:$A$120, 0)), "Categoría no válida", IF(AND(J474&lt;&gt;"", J474&lt;&gt;"", J474&lt;&gt;VLOOKUP(K474, Criterios!$A$81:$B$120, 2, FALSE)), "División no coincide con Categoría", ""))), IF(OR(L474="", L474=""), "[Aviso] Género no capturado ()", IF(ISNA(MATCH(L474, Criterios!$B$123:$B$127, 0)), "Género no válido", "")), IF(OR(N474="", N474=""), "[Aviso] Temporada no capturada ()", IF(ISNA(MATCH(N474, Criterios!$C$123:$C$128, 0)), "Temporada no válida", "")), IF(OR(O474="", O474=""), "[Aviso] Ciclo de vida no capturado ()", IF(ISNA(MATCH(O474, Criterios!$D$123:$D$124, 0)), "Ciclo de vida no válido", ""))))</f>
        <v/>
      </c>
      <c r="AC474" s="56" t="n"/>
      <c r="AD474" s="51" t="n">
        <v>0</v>
      </c>
      <c r="AE474" s="156" t="n"/>
      <c r="AF474" s="51" t="n">
        <v>0</v>
      </c>
      <c r="AG474" s="156" t="inlineStr">
        <is>
          <t>Catálogo existente</t>
        </is>
      </c>
      <c r="AH4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4" s="156" t="inlineStr">
        <is>
          <t>No</t>
        </is>
      </c>
      <c r="AJ474" s="156" t="n"/>
      <c r="AK474" s="155" t="inlineStr">
        <is>
          <t>Criterios: I [Q]; G1522_Extraccion_Articulos_NetSuite_2026-09-30.xlsx: fila 59046 [R] | Shopify Stetson: producto 15054564360555 / variante 53350551421291</t>
        </is>
      </c>
      <c r="AL474" s="58" t="n">
        <v>1982.1</v>
      </c>
      <c r="AM474" s="58" t="n">
        <v>11206.89655</v>
      </c>
      <c r="AN474" s="155" t="inlineStr">
        <is>
          <t>Shopify Stetson México</t>
        </is>
      </c>
      <c r="AO474" s="59" t="n">
        <v>0</v>
      </c>
      <c r="AP474" s="59" t="n"/>
      <c r="AQ474" s="59" t="n"/>
      <c r="AR474" s="155" t="n"/>
    </row>
    <row r="475">
      <c r="A475" s="50" t="inlineStr">
        <is>
          <t>12020005111019265</t>
        </is>
      </c>
      <c r="B475" s="51" t="inlineStr">
        <is>
          <t>111372</t>
        </is>
      </c>
      <c r="C475" s="156" t="inlineStr">
        <is>
          <t>Multimarca</t>
        </is>
      </c>
      <c r="D475" s="156" t="inlineStr">
        <is>
          <t>12-020-BS005-11-1019</t>
        </is>
      </c>
      <c r="E475" s="156" t="inlineStr">
        <is>
          <t>12-020-BS005-11-1019-265</t>
        </is>
      </c>
      <c r="F475" s="156" t="inlineStr">
        <is>
          <t>26.5</t>
        </is>
      </c>
      <c r="G475" s="156" t="inlineStr">
        <is>
          <t>8.5</t>
        </is>
      </c>
      <c r="H475" s="156" t="inlineStr">
        <is>
          <t>Stetson</t>
        </is>
      </c>
      <c r="I475" s="156" t="inlineStr">
        <is>
          <t>Bota Caimán Cognac</t>
        </is>
      </c>
      <c r="J475" s="156" t="inlineStr">
        <is>
          <t>Calzado</t>
        </is>
      </c>
      <c r="K475" s="156" t="inlineStr">
        <is>
          <t>Botas</t>
        </is>
      </c>
      <c r="L475" s="156" t="inlineStr">
        <is>
          <t>Hombre</t>
        </is>
      </c>
      <c r="M475" s="156" t="inlineStr">
        <is>
          <t>Stetson</t>
        </is>
      </c>
      <c r="N475" s="156" t="inlineStr">
        <is>
          <t>SS26</t>
        </is>
      </c>
      <c r="O475" s="156" t="inlineStr">
        <is>
          <t>Seasonal</t>
        </is>
      </c>
      <c r="P475" s="156" t="inlineStr">
        <is>
          <t>Cafe</t>
        </is>
      </c>
      <c r="Q475" s="156" t="n"/>
      <c r="R475" s="156" t="inlineStr">
        <is>
          <t>Punta Cuadrada Ancha</t>
        </is>
      </c>
      <c r="S475" s="156" t="inlineStr">
        <is>
          <t>Piel de caimán</t>
        </is>
      </c>
      <c r="T475" s="156" t="inlineStr">
        <is>
          <t>Bota Caballero Piel de caimán Cognac Punta Cuadrada Ancha</t>
        </is>
      </c>
      <c r="U475" s="156" t="inlineStr">
        <is>
          <t>México</t>
        </is>
      </c>
      <c r="V475" s="156" t="inlineStr">
        <is>
          <t>PRS</t>
        </is>
      </c>
      <c r="W475" s="51" t="inlineStr">
        <is>
          <t>53111501</t>
        </is>
      </c>
      <c r="X475" s="156" t="n"/>
      <c r="Y475" s="54" t="n">
        <v>1982.1</v>
      </c>
      <c r="Z475" s="54" t="n">
        <v>11206.89655</v>
      </c>
      <c r="AA475" s="55">
        <f>IF(AND(A475="", B475="", E475=""), "", IF(AB475="", "Válido", IF((LEN(AB475)-LEN(SUBSTITUTE(AB475,"; ","")))/2+1&gt;(LEN(AB475)-LEN(SUBSTITUTE(AB475,"[Aviso]","")))/7, "Con Incidencias", "Válido")))</f>
        <v/>
      </c>
      <c r="AB475" s="56">
        <f>IF(AND(A475="", B475="", E475=""), "", TEXTJOIN("; ", TRUE, IF(OR(TRIM(A475&amp;"")="", ISNUMBER(SEARCH("FALTA", A475))), "UPC faltante/inválido", ""), IF(AND(A475&lt;&gt;"", IFERROR(_xlfn.XMATCH(A475,$A$2:$A$2509,0,1)&lt;&gt;_xlfn.XMATCH(A475,$A$2:$A$2509,0,-1),FALSE)), "Código de barras duplicado", ""), IF(AND(E475&lt;&gt;"", COUNTIF($E$2:$E$2509, E475)&gt;1), "SKU duplicado", ""), IF(OR(J475="", J475=""), "[Aviso] División no capturada ()", IF(ISNA(MATCH(J475, Criterios!$A$123:$A$126, 0)), "División no válida", "")), IF(OR(K475="", K475=""), "[Aviso] Categoría no capturada ()", IF(ISNA(MATCH(K475, Criterios!$A$81:$A$120, 0)), "Categoría no válida", IF(AND(J475&lt;&gt;"", J475&lt;&gt;"", J475&lt;&gt;VLOOKUP(K475, Criterios!$A$81:$B$120, 2, FALSE)), "División no coincide con Categoría", ""))), IF(OR(L475="", L475=""), "[Aviso] Género no capturado ()", IF(ISNA(MATCH(L475, Criterios!$B$123:$B$127, 0)), "Género no válido", "")), IF(OR(N475="", N475=""), "[Aviso] Temporada no capturada ()", IF(ISNA(MATCH(N475, Criterios!$C$123:$C$128, 0)), "Temporada no válida", "")), IF(OR(O475="", O475=""), "[Aviso] Ciclo de vida no capturado ()", IF(ISNA(MATCH(O475, Criterios!$D$123:$D$124, 0)), "Ciclo de vida no válido", ""))))</f>
        <v/>
      </c>
      <c r="AC475" s="56" t="n"/>
      <c r="AD475" s="51" t="n">
        <v>1</v>
      </c>
      <c r="AE475" s="156" t="inlineStr">
        <is>
          <t>STETSON AMERICAS (1)</t>
        </is>
      </c>
      <c r="AF475" s="51" t="n">
        <v>1</v>
      </c>
      <c r="AG475" s="156" t="inlineStr">
        <is>
          <t>Catálogo existente</t>
        </is>
      </c>
      <c r="AH4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5" s="156" t="inlineStr">
        <is>
          <t>No</t>
        </is>
      </c>
      <c r="AJ475" s="156" t="n"/>
      <c r="AK475" s="155" t="inlineStr">
        <is>
          <t>Criterios: I [Q]; G1522_Extraccion_Articulos_NetSuite_2026-09-30.xlsx: fila 59047 [R] | Shopify Stetson: producto 15054564360555 / variante 53350551486827</t>
        </is>
      </c>
      <c r="AL475" s="58" t="n">
        <v>1982.1</v>
      </c>
      <c r="AM475" s="58" t="n">
        <v>11206.89655</v>
      </c>
      <c r="AN475" s="155" t="inlineStr">
        <is>
          <t>Shopify Stetson México</t>
        </is>
      </c>
      <c r="AO475" s="59" t="n">
        <v>1</v>
      </c>
      <c r="AP475" s="59" t="n"/>
      <c r="AQ475" s="59" t="n"/>
      <c r="AR475" s="155" t="inlineStr">
        <is>
          <t>Shopify Stetson México › Stetson Americas: 1</t>
        </is>
      </c>
    </row>
    <row r="476">
      <c r="A476" s="50" t="inlineStr">
        <is>
          <t>12020005111019275</t>
        </is>
      </c>
      <c r="B476" s="51" t="inlineStr">
        <is>
          <t>111373</t>
        </is>
      </c>
      <c r="C476" s="156" t="inlineStr">
        <is>
          <t>Multimarca</t>
        </is>
      </c>
      <c r="D476" s="156" t="inlineStr">
        <is>
          <t>12-020-BS005-11-1019</t>
        </is>
      </c>
      <c r="E476" s="156" t="inlineStr">
        <is>
          <t>12-020-BS005-11-1019-275</t>
        </is>
      </c>
      <c r="F476" s="156" t="inlineStr">
        <is>
          <t>27.5</t>
        </is>
      </c>
      <c r="G476" s="156" t="inlineStr">
        <is>
          <t>9.5</t>
        </is>
      </c>
      <c r="H476" s="156" t="inlineStr">
        <is>
          <t>Stetson</t>
        </is>
      </c>
      <c r="I476" s="156" t="inlineStr">
        <is>
          <t>Bota Caimán Cognac</t>
        </is>
      </c>
      <c r="J476" s="156" t="inlineStr">
        <is>
          <t>Calzado</t>
        </is>
      </c>
      <c r="K476" s="156" t="inlineStr">
        <is>
          <t>Botas</t>
        </is>
      </c>
      <c r="L476" s="156" t="inlineStr">
        <is>
          <t>Hombre</t>
        </is>
      </c>
      <c r="M476" s="156" t="inlineStr">
        <is>
          <t>Stetson</t>
        </is>
      </c>
      <c r="N476" s="156" t="inlineStr">
        <is>
          <t>SS26</t>
        </is>
      </c>
      <c r="O476" s="156" t="inlineStr">
        <is>
          <t>Seasonal</t>
        </is>
      </c>
      <c r="P476" s="156" t="inlineStr">
        <is>
          <t>Cafe</t>
        </is>
      </c>
      <c r="Q476" s="156" t="n"/>
      <c r="R476" s="156" t="inlineStr">
        <is>
          <t>Punta Cuadrada Ancha</t>
        </is>
      </c>
      <c r="S476" s="156" t="inlineStr">
        <is>
          <t>Piel de caimán</t>
        </is>
      </c>
      <c r="T476" s="156" t="inlineStr">
        <is>
          <t>Bota Caballero Piel de caimán Cognac Punta Cuadrada Ancha</t>
        </is>
      </c>
      <c r="U476" s="156" t="inlineStr">
        <is>
          <t>México</t>
        </is>
      </c>
      <c r="V476" s="156" t="inlineStr">
        <is>
          <t>PRS</t>
        </is>
      </c>
      <c r="W476" s="51" t="inlineStr">
        <is>
          <t>53111501</t>
        </is>
      </c>
      <c r="X476" s="156" t="n"/>
      <c r="Y476" s="54" t="n">
        <v>1982.1</v>
      </c>
      <c r="Z476" s="54" t="n">
        <v>11206.89655</v>
      </c>
      <c r="AA476" s="55">
        <f>IF(AND(A476="", B476="", E476=""), "", IF(AB476="", "Válido", IF((LEN(AB476)-LEN(SUBSTITUTE(AB476,"; ","")))/2+1&gt;(LEN(AB476)-LEN(SUBSTITUTE(AB476,"[Aviso]","")))/7, "Con Incidencias", "Válido")))</f>
        <v/>
      </c>
      <c r="AB476" s="56">
        <f>IF(AND(A476="", B476="", E476=""), "", TEXTJOIN("; ", TRUE, IF(OR(TRIM(A476&amp;"")="", ISNUMBER(SEARCH("FALTA", A476))), "UPC faltante/inválido", ""), IF(AND(A476&lt;&gt;"", IFERROR(_xlfn.XMATCH(A476,$A$2:$A$2509,0,1)&lt;&gt;_xlfn.XMATCH(A476,$A$2:$A$2509,0,-1),FALSE)), "Código de barras duplicado", ""), IF(AND(E476&lt;&gt;"", COUNTIF($E$2:$E$2509, E476)&gt;1), "SKU duplicado", ""), IF(OR(J476="", J476=""), "[Aviso] División no capturada ()", IF(ISNA(MATCH(J476, Criterios!$A$123:$A$126, 0)), "División no válida", "")), IF(OR(K476="", K476=""), "[Aviso] Categoría no capturada ()", IF(ISNA(MATCH(K476, Criterios!$A$81:$A$120, 0)), "Categoría no válida", IF(AND(J476&lt;&gt;"", J476&lt;&gt;"", J476&lt;&gt;VLOOKUP(K476, Criterios!$A$81:$B$120, 2, FALSE)), "División no coincide con Categoría", ""))), IF(OR(L476="", L476=""), "[Aviso] Género no capturado ()", IF(ISNA(MATCH(L476, Criterios!$B$123:$B$127, 0)), "Género no válido", "")), IF(OR(N476="", N476=""), "[Aviso] Temporada no capturada ()", IF(ISNA(MATCH(N476, Criterios!$C$123:$C$128, 0)), "Temporada no válida", "")), IF(OR(O476="", O476=""), "[Aviso] Ciclo de vida no capturado ()", IF(ISNA(MATCH(O476, Criterios!$D$123:$D$124, 0)), "Ciclo de vida no válido", ""))))</f>
        <v/>
      </c>
      <c r="AC476" s="56" t="n"/>
      <c r="AD476" s="51" t="n">
        <v>2</v>
      </c>
      <c r="AE476" s="156" t="inlineStr">
        <is>
          <t>STETSON AMERICAS (2)</t>
        </is>
      </c>
      <c r="AF476" s="51" t="n">
        <v>2</v>
      </c>
      <c r="AG476" s="156" t="inlineStr">
        <is>
          <t>Catálogo existente</t>
        </is>
      </c>
      <c r="AH4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6" s="156" t="inlineStr">
        <is>
          <t>No</t>
        </is>
      </c>
      <c r="AJ476" s="156" t="n"/>
      <c r="AK476" s="155" t="inlineStr">
        <is>
          <t>Criterios: I [Q]; G1522_Extraccion_Articulos_NetSuite_2026-09-30.xlsx: fila 59048 [R] | Shopify Stetson: producto 15054564360555 / variante 53350551552363</t>
        </is>
      </c>
      <c r="AL476" s="58" t="n">
        <v>1982.1</v>
      </c>
      <c r="AM476" s="58" t="n">
        <v>11206.89655</v>
      </c>
      <c r="AN476" s="155" t="inlineStr">
        <is>
          <t>Shopify Stetson México</t>
        </is>
      </c>
      <c r="AO476" s="59" t="n">
        <v>2</v>
      </c>
      <c r="AP476" s="59" t="n"/>
      <c r="AQ476" s="59" t="n"/>
      <c r="AR476" s="155" t="inlineStr">
        <is>
          <t>Shopify Stetson México › Stetson Americas: 2</t>
        </is>
      </c>
    </row>
    <row r="477">
      <c r="A477" s="50" t="inlineStr">
        <is>
          <t>12020005111019285</t>
        </is>
      </c>
      <c r="B477" s="51" t="inlineStr">
        <is>
          <t>111374</t>
        </is>
      </c>
      <c r="C477" s="156" t="inlineStr">
        <is>
          <t>Multimarca</t>
        </is>
      </c>
      <c r="D477" s="156" t="inlineStr">
        <is>
          <t>12-020-BS005-11-1019</t>
        </is>
      </c>
      <c r="E477" s="156" t="inlineStr">
        <is>
          <t>12-020-BS005-11-1019-285</t>
        </is>
      </c>
      <c r="F477" s="156" t="inlineStr">
        <is>
          <t>28.5</t>
        </is>
      </c>
      <c r="G477" s="156" t="inlineStr">
        <is>
          <t>10.5</t>
        </is>
      </c>
      <c r="H477" s="156" t="inlineStr">
        <is>
          <t>Stetson</t>
        </is>
      </c>
      <c r="I477" s="156" t="inlineStr">
        <is>
          <t>Bota Caimán Cognac</t>
        </is>
      </c>
      <c r="J477" s="156" t="inlineStr">
        <is>
          <t>Calzado</t>
        </is>
      </c>
      <c r="K477" s="156" t="inlineStr">
        <is>
          <t>Botas</t>
        </is>
      </c>
      <c r="L477" s="156" t="inlineStr">
        <is>
          <t>Hombre</t>
        </is>
      </c>
      <c r="M477" s="156" t="inlineStr">
        <is>
          <t>Stetson</t>
        </is>
      </c>
      <c r="N477" s="156" t="inlineStr">
        <is>
          <t>SS26</t>
        </is>
      </c>
      <c r="O477" s="156" t="inlineStr">
        <is>
          <t>Seasonal</t>
        </is>
      </c>
      <c r="P477" s="156" t="inlineStr">
        <is>
          <t>Cafe</t>
        </is>
      </c>
      <c r="Q477" s="156" t="n"/>
      <c r="R477" s="156" t="inlineStr">
        <is>
          <t>Punta Cuadrada Ancha</t>
        </is>
      </c>
      <c r="S477" s="156" t="inlineStr">
        <is>
          <t>Piel de caimán</t>
        </is>
      </c>
      <c r="T477" s="156" t="inlineStr">
        <is>
          <t>Bota Caballero Piel de caimán Cognac Punta Cuadrada Ancha</t>
        </is>
      </c>
      <c r="U477" s="156" t="inlineStr">
        <is>
          <t>México</t>
        </is>
      </c>
      <c r="V477" s="156" t="inlineStr">
        <is>
          <t>PRS</t>
        </is>
      </c>
      <c r="W477" s="51" t="inlineStr">
        <is>
          <t>53111501</t>
        </is>
      </c>
      <c r="X477" s="156" t="n"/>
      <c r="Y477" s="54" t="n">
        <v>1982.1</v>
      </c>
      <c r="Z477" s="54" t="n">
        <v>11206.89655</v>
      </c>
      <c r="AA477" s="55">
        <f>IF(AND(A477="", B477="", E477=""), "", IF(AB477="", "Válido", IF((LEN(AB477)-LEN(SUBSTITUTE(AB477,"; ","")))/2+1&gt;(LEN(AB477)-LEN(SUBSTITUTE(AB477,"[Aviso]","")))/7, "Con Incidencias", "Válido")))</f>
        <v/>
      </c>
      <c r="AB477" s="56">
        <f>IF(AND(A477="", B477="", E477=""), "", TEXTJOIN("; ", TRUE, IF(OR(TRIM(A477&amp;"")="", ISNUMBER(SEARCH("FALTA", A477))), "UPC faltante/inválido", ""), IF(AND(A477&lt;&gt;"", IFERROR(_xlfn.XMATCH(A477,$A$2:$A$2509,0,1)&lt;&gt;_xlfn.XMATCH(A477,$A$2:$A$2509,0,-1),FALSE)), "Código de barras duplicado", ""), IF(AND(E477&lt;&gt;"", COUNTIF($E$2:$E$2509, E477)&gt;1), "SKU duplicado", ""), IF(OR(J477="", J477=""), "[Aviso] División no capturada ()", IF(ISNA(MATCH(J477, Criterios!$A$123:$A$126, 0)), "División no válida", "")), IF(OR(K477="", K477=""), "[Aviso] Categoría no capturada ()", IF(ISNA(MATCH(K477, Criterios!$A$81:$A$120, 0)), "Categoría no válida", IF(AND(J477&lt;&gt;"", J477&lt;&gt;"", J477&lt;&gt;VLOOKUP(K477, Criterios!$A$81:$B$120, 2, FALSE)), "División no coincide con Categoría", ""))), IF(OR(L477="", L477=""), "[Aviso] Género no capturado ()", IF(ISNA(MATCH(L477, Criterios!$B$123:$B$127, 0)), "Género no válido", "")), IF(OR(N477="", N477=""), "[Aviso] Temporada no capturada ()", IF(ISNA(MATCH(N477, Criterios!$C$123:$C$128, 0)), "Temporada no válida", "")), IF(OR(O477="", O477=""), "[Aviso] Ciclo de vida no capturado ()", IF(ISNA(MATCH(O477, Criterios!$D$123:$D$124, 0)), "Ciclo de vida no válido", ""))))</f>
        <v/>
      </c>
      <c r="AC477" s="56" t="n"/>
      <c r="AD477" s="51" t="n">
        <v>2</v>
      </c>
      <c r="AE477" s="156" t="inlineStr">
        <is>
          <t>STETSON AMERICAS (2)</t>
        </is>
      </c>
      <c r="AF477" s="51" t="n">
        <v>2</v>
      </c>
      <c r="AG477" s="156" t="inlineStr">
        <is>
          <t>Catálogo existente</t>
        </is>
      </c>
      <c r="AH4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7" s="156" t="inlineStr">
        <is>
          <t>No</t>
        </is>
      </c>
      <c r="AJ477" s="156" t="n"/>
      <c r="AK477" s="155" t="inlineStr">
        <is>
          <t>Criterios: I [Q]; G1522_Extraccion_Articulos_NetSuite_2026-09-30.xlsx: fila 59049 [R] | Shopify Stetson: producto 15054564360555 / variante 53350551617899</t>
        </is>
      </c>
      <c r="AL477" s="58" t="n">
        <v>1982.1</v>
      </c>
      <c r="AM477" s="58" t="n">
        <v>11206.89655</v>
      </c>
      <c r="AN477" s="155" t="inlineStr">
        <is>
          <t>Shopify Stetson México</t>
        </is>
      </c>
      <c r="AO477" s="59" t="n">
        <v>2</v>
      </c>
      <c r="AP477" s="59" t="n"/>
      <c r="AQ477" s="59" t="n"/>
      <c r="AR477" s="155" t="inlineStr">
        <is>
          <t>Shopify Stetson México › Stetson Americas: 2</t>
        </is>
      </c>
    </row>
    <row r="478">
      <c r="A478" s="50" t="inlineStr">
        <is>
          <t>12020005111019295</t>
        </is>
      </c>
      <c r="B478" s="51" t="inlineStr">
        <is>
          <t>111375</t>
        </is>
      </c>
      <c r="C478" s="156" t="inlineStr">
        <is>
          <t>Multimarca</t>
        </is>
      </c>
      <c r="D478" s="156" t="inlineStr">
        <is>
          <t>12-020-BS005-11-1019</t>
        </is>
      </c>
      <c r="E478" s="156" t="inlineStr">
        <is>
          <t>12-020-BS005-11-1019-295</t>
        </is>
      </c>
      <c r="F478" s="156" t="inlineStr">
        <is>
          <t>29.5</t>
        </is>
      </c>
      <c r="G478" s="156" t="inlineStr">
        <is>
          <t>11.5</t>
        </is>
      </c>
      <c r="H478" s="156" t="inlineStr">
        <is>
          <t>Stetson</t>
        </is>
      </c>
      <c r="I478" s="156" t="inlineStr">
        <is>
          <t>Bota Caimán Cognac</t>
        </is>
      </c>
      <c r="J478" s="156" t="inlineStr">
        <is>
          <t>Calzado</t>
        </is>
      </c>
      <c r="K478" s="156" t="inlineStr">
        <is>
          <t>Botas</t>
        </is>
      </c>
      <c r="L478" s="156" t="inlineStr">
        <is>
          <t>Hombre</t>
        </is>
      </c>
      <c r="M478" s="156" t="inlineStr">
        <is>
          <t>Stetson</t>
        </is>
      </c>
      <c r="N478" s="156" t="inlineStr">
        <is>
          <t>SS26</t>
        </is>
      </c>
      <c r="O478" s="156" t="inlineStr">
        <is>
          <t>Seasonal</t>
        </is>
      </c>
      <c r="P478" s="156" t="inlineStr">
        <is>
          <t>Cafe</t>
        </is>
      </c>
      <c r="Q478" s="156" t="n"/>
      <c r="R478" s="156" t="inlineStr">
        <is>
          <t>Punta Cuadrada Ancha</t>
        </is>
      </c>
      <c r="S478" s="156" t="inlineStr">
        <is>
          <t>Piel de caimán</t>
        </is>
      </c>
      <c r="T478" s="156" t="inlineStr">
        <is>
          <t>Bota Caballero Piel de caimán Cognac Punta Cuadrada Ancha</t>
        </is>
      </c>
      <c r="U478" s="156" t="inlineStr">
        <is>
          <t>México</t>
        </is>
      </c>
      <c r="V478" s="156" t="inlineStr">
        <is>
          <t>PRS</t>
        </is>
      </c>
      <c r="W478" s="51" t="inlineStr">
        <is>
          <t>53111501</t>
        </is>
      </c>
      <c r="X478" s="156" t="n"/>
      <c r="Y478" s="54" t="n">
        <v>1982.1</v>
      </c>
      <c r="Z478" s="54" t="n">
        <v>11206.89655</v>
      </c>
      <c r="AA478" s="55">
        <f>IF(AND(A478="", B478="", E478=""), "", IF(AB478="", "Válido", IF((LEN(AB478)-LEN(SUBSTITUTE(AB478,"; ","")))/2+1&gt;(LEN(AB478)-LEN(SUBSTITUTE(AB478,"[Aviso]","")))/7, "Con Incidencias", "Válido")))</f>
        <v/>
      </c>
      <c r="AB478" s="56">
        <f>IF(AND(A478="", B478="", E478=""), "", TEXTJOIN("; ", TRUE, IF(OR(TRIM(A478&amp;"")="", ISNUMBER(SEARCH("FALTA", A478))), "UPC faltante/inválido", ""), IF(AND(A478&lt;&gt;"", IFERROR(_xlfn.XMATCH(A478,$A$2:$A$2509,0,1)&lt;&gt;_xlfn.XMATCH(A478,$A$2:$A$2509,0,-1),FALSE)), "Código de barras duplicado", ""), IF(AND(E478&lt;&gt;"", COUNTIF($E$2:$E$2509, E478)&gt;1), "SKU duplicado", ""), IF(OR(J478="", J478=""), "[Aviso] División no capturada ()", IF(ISNA(MATCH(J478, Criterios!$A$123:$A$126, 0)), "División no válida", "")), IF(OR(K478="", K478=""), "[Aviso] Categoría no capturada ()", IF(ISNA(MATCH(K478, Criterios!$A$81:$A$120, 0)), "Categoría no válida", IF(AND(J478&lt;&gt;"", J478&lt;&gt;"", J478&lt;&gt;VLOOKUP(K478, Criterios!$A$81:$B$120, 2, FALSE)), "División no coincide con Categoría", ""))), IF(OR(L478="", L478=""), "[Aviso] Género no capturado ()", IF(ISNA(MATCH(L478, Criterios!$B$123:$B$127, 0)), "Género no válido", "")), IF(OR(N478="", N478=""), "[Aviso] Temporada no capturada ()", IF(ISNA(MATCH(N478, Criterios!$C$123:$C$128, 0)), "Temporada no válida", "")), IF(OR(O478="", O478=""), "[Aviso] Ciclo de vida no capturado ()", IF(ISNA(MATCH(O478, Criterios!$D$123:$D$124, 0)), "Ciclo de vida no válido", ""))))</f>
        <v/>
      </c>
      <c r="AC478" s="56" t="n"/>
      <c r="AD478" s="51" t="n">
        <v>1</v>
      </c>
      <c r="AE478" s="156" t="inlineStr">
        <is>
          <t>STETSON AMERICAS (1)</t>
        </is>
      </c>
      <c r="AF478" s="51" t="n">
        <v>1</v>
      </c>
      <c r="AG478" s="156" t="inlineStr">
        <is>
          <t>Catálogo existente</t>
        </is>
      </c>
      <c r="AH4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8" s="156" t="inlineStr">
        <is>
          <t>No</t>
        </is>
      </c>
      <c r="AJ478" s="156" t="n"/>
      <c r="AK478" s="155" t="inlineStr">
        <is>
          <t>Criterios: I [Q]; G1522_Extraccion_Articulos_NetSuite_2026-09-30.xlsx: fila 59050 [R] | Shopify Stetson: producto 15054564360555 / variante 53350551683435</t>
        </is>
      </c>
      <c r="AL478" s="58" t="n">
        <v>1982.1</v>
      </c>
      <c r="AM478" s="58" t="n">
        <v>11206.89655</v>
      </c>
      <c r="AN478" s="155" t="inlineStr">
        <is>
          <t>Shopify Stetson México</t>
        </is>
      </c>
      <c r="AO478" s="59" t="n">
        <v>1</v>
      </c>
      <c r="AP478" s="59" t="n"/>
      <c r="AQ478" s="59" t="n"/>
      <c r="AR478" s="155" t="inlineStr">
        <is>
          <t>Shopify Stetson México › Stetson Americas: 1</t>
        </is>
      </c>
    </row>
    <row r="479">
      <c r="A479" s="50" t="inlineStr">
        <is>
          <t>12020005111019305</t>
        </is>
      </c>
      <c r="B479" s="51" t="inlineStr">
        <is>
          <t>111376</t>
        </is>
      </c>
      <c r="C479" s="156" t="inlineStr">
        <is>
          <t>Multimarca</t>
        </is>
      </c>
      <c r="D479" s="156" t="inlineStr">
        <is>
          <t>12-020-BS005-11-1019</t>
        </is>
      </c>
      <c r="E479" s="156" t="inlineStr">
        <is>
          <t>12-020-BS005-11-1019-305</t>
        </is>
      </c>
      <c r="F479" s="156" t="inlineStr">
        <is>
          <t>30.5</t>
        </is>
      </c>
      <c r="G479" s="156" t="inlineStr">
        <is>
          <t>12.5</t>
        </is>
      </c>
      <c r="H479" s="156" t="inlineStr">
        <is>
          <t>Stetson</t>
        </is>
      </c>
      <c r="I479" s="156" t="inlineStr">
        <is>
          <t>Bota Caimán Cognac</t>
        </is>
      </c>
      <c r="J479" s="156" t="inlineStr">
        <is>
          <t>Calzado</t>
        </is>
      </c>
      <c r="K479" s="156" t="inlineStr">
        <is>
          <t>Botas</t>
        </is>
      </c>
      <c r="L479" s="156" t="inlineStr">
        <is>
          <t>Hombre</t>
        </is>
      </c>
      <c r="M479" s="156" t="inlineStr">
        <is>
          <t>Stetson</t>
        </is>
      </c>
      <c r="N479" s="156" t="inlineStr">
        <is>
          <t>SS26</t>
        </is>
      </c>
      <c r="O479" s="156" t="inlineStr">
        <is>
          <t>Seasonal</t>
        </is>
      </c>
      <c r="P479" s="156" t="inlineStr">
        <is>
          <t>Cafe</t>
        </is>
      </c>
      <c r="Q479" s="156" t="n"/>
      <c r="R479" s="156" t="inlineStr">
        <is>
          <t>Punta Cuadrada Ancha</t>
        </is>
      </c>
      <c r="S479" s="156" t="inlineStr">
        <is>
          <t>Piel de caimán</t>
        </is>
      </c>
      <c r="T479" s="156" t="inlineStr">
        <is>
          <t>Bota Caballero Piel de caimán Cognac Punta Cuadrada Ancha</t>
        </is>
      </c>
      <c r="U479" s="156" t="inlineStr">
        <is>
          <t>México</t>
        </is>
      </c>
      <c r="V479" s="156" t="inlineStr">
        <is>
          <t>PRS</t>
        </is>
      </c>
      <c r="W479" s="51" t="inlineStr">
        <is>
          <t>53111501</t>
        </is>
      </c>
      <c r="X479" s="156" t="n"/>
      <c r="Y479" s="54" t="n">
        <v>1982.1</v>
      </c>
      <c r="Z479" s="54" t="n">
        <v>11206.89655</v>
      </c>
      <c r="AA479" s="55">
        <f>IF(AND(A479="", B479="", E479=""), "", IF(AB479="", "Válido", IF((LEN(AB479)-LEN(SUBSTITUTE(AB479,"; ","")))/2+1&gt;(LEN(AB479)-LEN(SUBSTITUTE(AB479,"[Aviso]","")))/7, "Con Incidencias", "Válido")))</f>
        <v/>
      </c>
      <c r="AB479" s="56">
        <f>IF(AND(A479="", B479="", E479=""), "", TEXTJOIN("; ", TRUE, IF(OR(TRIM(A479&amp;"")="", ISNUMBER(SEARCH("FALTA", A479))), "UPC faltante/inválido", ""), IF(AND(A479&lt;&gt;"", IFERROR(_xlfn.XMATCH(A479,$A$2:$A$2509,0,1)&lt;&gt;_xlfn.XMATCH(A479,$A$2:$A$2509,0,-1),FALSE)), "Código de barras duplicado", ""), IF(AND(E479&lt;&gt;"", COUNTIF($E$2:$E$2509, E479)&gt;1), "SKU duplicado", ""), IF(OR(J479="", J479=""), "[Aviso] División no capturada ()", IF(ISNA(MATCH(J479, Criterios!$A$123:$A$126, 0)), "División no válida", "")), IF(OR(K479="", K479=""), "[Aviso] Categoría no capturada ()", IF(ISNA(MATCH(K479, Criterios!$A$81:$A$120, 0)), "Categoría no válida", IF(AND(J479&lt;&gt;"", J479&lt;&gt;"", J479&lt;&gt;VLOOKUP(K479, Criterios!$A$81:$B$120, 2, FALSE)), "División no coincide con Categoría", ""))), IF(OR(L479="", L479=""), "[Aviso] Género no capturado ()", IF(ISNA(MATCH(L479, Criterios!$B$123:$B$127, 0)), "Género no válido", "")), IF(OR(N479="", N479=""), "[Aviso] Temporada no capturada ()", IF(ISNA(MATCH(N479, Criterios!$C$123:$C$128, 0)), "Temporada no válida", "")), IF(OR(O479="", O479=""), "[Aviso] Ciclo de vida no capturado ()", IF(ISNA(MATCH(O479, Criterios!$D$123:$D$124, 0)), "Ciclo de vida no válido", ""))))</f>
        <v/>
      </c>
      <c r="AC479" s="56" t="n"/>
      <c r="AD479" s="51" t="n">
        <v>0</v>
      </c>
      <c r="AE479" s="156" t="n"/>
      <c r="AF479" s="51" t="n">
        <v>0</v>
      </c>
      <c r="AG479" s="156" t="inlineStr">
        <is>
          <t>Catálogo existente</t>
        </is>
      </c>
      <c r="AH4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79" s="156" t="inlineStr">
        <is>
          <t>No</t>
        </is>
      </c>
      <c r="AJ479" s="156" t="n"/>
      <c r="AK479" s="155" t="inlineStr">
        <is>
          <t>Criterios: I [Q]; G1522_Extraccion_Articulos_NetSuite_2026-09-30.xlsx: fila 59051 [R] | Shopify Stetson: producto 15054564360555 / variante 53350551748971</t>
        </is>
      </c>
      <c r="AL479" s="58" t="n">
        <v>1982.1</v>
      </c>
      <c r="AM479" s="58" t="n">
        <v>11206.89655</v>
      </c>
      <c r="AN479" s="155" t="inlineStr">
        <is>
          <t>Shopify Stetson México</t>
        </is>
      </c>
      <c r="AO479" s="59" t="n">
        <v>0</v>
      </c>
      <c r="AP479" s="59" t="n"/>
      <c r="AQ479" s="59" t="n"/>
      <c r="AR479" s="155" t="n"/>
    </row>
    <row r="480">
      <c r="A480" s="50" t="inlineStr">
        <is>
          <t>12020005111019315</t>
        </is>
      </c>
      <c r="B480" s="51" t="inlineStr">
        <is>
          <t>111377</t>
        </is>
      </c>
      <c r="C480" s="156" t="inlineStr">
        <is>
          <t>Multimarca</t>
        </is>
      </c>
      <c r="D480" s="156" t="inlineStr">
        <is>
          <t>12-020-BS005-11-1019</t>
        </is>
      </c>
      <c r="E480" s="156" t="inlineStr">
        <is>
          <t>12-020-BS005-11-1019-315</t>
        </is>
      </c>
      <c r="F480" s="156" t="inlineStr">
        <is>
          <t>31.5</t>
        </is>
      </c>
      <c r="G480" s="156" t="inlineStr">
        <is>
          <t>13.5</t>
        </is>
      </c>
      <c r="H480" s="156" t="inlineStr">
        <is>
          <t>Stetson</t>
        </is>
      </c>
      <c r="I480" s="156" t="inlineStr">
        <is>
          <t>Bota Caimán Cognac</t>
        </is>
      </c>
      <c r="J480" s="156" t="inlineStr">
        <is>
          <t>Calzado</t>
        </is>
      </c>
      <c r="K480" s="156" t="inlineStr">
        <is>
          <t>Botas</t>
        </is>
      </c>
      <c r="L480" s="156" t="inlineStr">
        <is>
          <t>Hombre</t>
        </is>
      </c>
      <c r="M480" s="156" t="inlineStr">
        <is>
          <t>Stetson</t>
        </is>
      </c>
      <c r="N480" s="156" t="inlineStr">
        <is>
          <t>SS26</t>
        </is>
      </c>
      <c r="O480" s="156" t="inlineStr">
        <is>
          <t>Seasonal</t>
        </is>
      </c>
      <c r="P480" s="156" t="inlineStr">
        <is>
          <t>Cafe</t>
        </is>
      </c>
      <c r="Q480" s="156" t="n"/>
      <c r="R480" s="156" t="inlineStr">
        <is>
          <t>Punta Cuadrada Ancha</t>
        </is>
      </c>
      <c r="S480" s="156" t="inlineStr">
        <is>
          <t>Piel de caimán</t>
        </is>
      </c>
      <c r="T480" s="156" t="inlineStr">
        <is>
          <t>Bota Caballero Piel de caimán Cognac Punta Cuadrada Ancha</t>
        </is>
      </c>
      <c r="U480" s="156" t="inlineStr">
        <is>
          <t>México</t>
        </is>
      </c>
      <c r="V480" s="156" t="inlineStr">
        <is>
          <t>PRS</t>
        </is>
      </c>
      <c r="W480" s="51" t="inlineStr">
        <is>
          <t>53111501</t>
        </is>
      </c>
      <c r="X480" s="156" t="n"/>
      <c r="Y480" s="54" t="n">
        <v>1982.1</v>
      </c>
      <c r="Z480" s="54" t="n">
        <v>11206.89655</v>
      </c>
      <c r="AA480" s="55">
        <f>IF(AND(A480="", B480="", E480=""), "", IF(AB480="", "Válido", IF((LEN(AB480)-LEN(SUBSTITUTE(AB480,"; ","")))/2+1&gt;(LEN(AB480)-LEN(SUBSTITUTE(AB480,"[Aviso]","")))/7, "Con Incidencias", "Válido")))</f>
        <v/>
      </c>
      <c r="AB480" s="56">
        <f>IF(AND(A480="", B480="", E480=""), "", TEXTJOIN("; ", TRUE, IF(OR(TRIM(A480&amp;"")="", ISNUMBER(SEARCH("FALTA", A480))), "UPC faltante/inválido", ""), IF(AND(A480&lt;&gt;"", IFERROR(_xlfn.XMATCH(A480,$A$2:$A$2509,0,1)&lt;&gt;_xlfn.XMATCH(A480,$A$2:$A$2509,0,-1),FALSE)), "Código de barras duplicado", ""), IF(AND(E480&lt;&gt;"", COUNTIF($E$2:$E$2509, E480)&gt;1), "SKU duplicado", ""), IF(OR(J480="", J480=""), "[Aviso] División no capturada ()", IF(ISNA(MATCH(J480, Criterios!$A$123:$A$126, 0)), "División no válida", "")), IF(OR(K480="", K480=""), "[Aviso] Categoría no capturada ()", IF(ISNA(MATCH(K480, Criterios!$A$81:$A$120, 0)), "Categoría no válida", IF(AND(J480&lt;&gt;"", J480&lt;&gt;"", J480&lt;&gt;VLOOKUP(K480, Criterios!$A$81:$B$120, 2, FALSE)), "División no coincide con Categoría", ""))), IF(OR(L480="", L480=""), "[Aviso] Género no capturado ()", IF(ISNA(MATCH(L480, Criterios!$B$123:$B$127, 0)), "Género no válido", "")), IF(OR(N480="", N480=""), "[Aviso] Temporada no capturada ()", IF(ISNA(MATCH(N480, Criterios!$C$123:$C$128, 0)), "Temporada no válida", "")), IF(OR(O480="", O480=""), "[Aviso] Ciclo de vida no capturado ()", IF(ISNA(MATCH(O480, Criterios!$D$123:$D$124, 0)), "Ciclo de vida no válido", ""))))</f>
        <v/>
      </c>
      <c r="AC480" s="56" t="n"/>
      <c r="AD480" s="51" t="n">
        <v>0</v>
      </c>
      <c r="AE480" s="156" t="n"/>
      <c r="AF480" s="51" t="n">
        <v>0</v>
      </c>
      <c r="AG480" s="156" t="inlineStr">
        <is>
          <t>Catálogo existente</t>
        </is>
      </c>
      <c r="AH4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0" s="156" t="inlineStr">
        <is>
          <t>No</t>
        </is>
      </c>
      <c r="AJ480" s="156" t="n"/>
      <c r="AK480" s="155" t="inlineStr">
        <is>
          <t>Criterios: I [Q]; G1522_Extraccion_Articulos_NetSuite_2026-09-30.xlsx: fila 59052 [R] | Shopify Stetson: producto 15054564360555 / variante 53350551814507</t>
        </is>
      </c>
      <c r="AL480" s="58" t="n">
        <v>1982.1</v>
      </c>
      <c r="AM480" s="58" t="n">
        <v>11206.89655</v>
      </c>
      <c r="AN480" s="155" t="inlineStr">
        <is>
          <t>Shopify Stetson México</t>
        </is>
      </c>
      <c r="AO480" s="59" t="n">
        <v>0</v>
      </c>
      <c r="AP480" s="59" t="n"/>
      <c r="AQ480" s="59" t="n"/>
      <c r="AR480" s="155" t="n"/>
    </row>
    <row r="481">
      <c r="A481" s="50" t="inlineStr">
        <is>
          <t>12020005111019325</t>
        </is>
      </c>
      <c r="B481" s="51" t="inlineStr">
        <is>
          <t>111378</t>
        </is>
      </c>
      <c r="C481" s="156" t="inlineStr">
        <is>
          <t>Multimarca</t>
        </is>
      </c>
      <c r="D481" s="156" t="inlineStr">
        <is>
          <t>12-020-BS005-11-1019</t>
        </is>
      </c>
      <c r="E481" s="156" t="inlineStr">
        <is>
          <t>12-020-BS005-11-1019-325</t>
        </is>
      </c>
      <c r="F481" s="156" t="inlineStr">
        <is>
          <t>32.5</t>
        </is>
      </c>
      <c r="G481" s="156" t="inlineStr">
        <is>
          <t>14.5</t>
        </is>
      </c>
      <c r="H481" s="156" t="inlineStr">
        <is>
          <t>Stetson</t>
        </is>
      </c>
      <c r="I481" s="156" t="inlineStr">
        <is>
          <t>Bota Caimán Cognac</t>
        </is>
      </c>
      <c r="J481" s="156" t="inlineStr">
        <is>
          <t>Calzado</t>
        </is>
      </c>
      <c r="K481" s="156" t="inlineStr">
        <is>
          <t>Botas</t>
        </is>
      </c>
      <c r="L481" s="156" t="inlineStr">
        <is>
          <t>Hombre</t>
        </is>
      </c>
      <c r="M481" s="156" t="inlineStr">
        <is>
          <t>Stetson</t>
        </is>
      </c>
      <c r="N481" s="156" t="inlineStr">
        <is>
          <t>SS26</t>
        </is>
      </c>
      <c r="O481" s="156" t="inlineStr">
        <is>
          <t>Seasonal</t>
        </is>
      </c>
      <c r="P481" s="156" t="inlineStr">
        <is>
          <t>Cafe</t>
        </is>
      </c>
      <c r="Q481" s="156" t="n"/>
      <c r="R481" s="156" t="inlineStr">
        <is>
          <t>Punta Cuadrada Ancha</t>
        </is>
      </c>
      <c r="S481" s="156" t="inlineStr">
        <is>
          <t>Piel de caimán</t>
        </is>
      </c>
      <c r="T481" s="156" t="inlineStr">
        <is>
          <t>Bota Caballero Piel de caimán Cognac Punta Cuadrada Ancha</t>
        </is>
      </c>
      <c r="U481" s="156" t="inlineStr">
        <is>
          <t>México</t>
        </is>
      </c>
      <c r="V481" s="156" t="inlineStr">
        <is>
          <t>PRS</t>
        </is>
      </c>
      <c r="W481" s="51" t="inlineStr">
        <is>
          <t>53111501</t>
        </is>
      </c>
      <c r="X481" s="156" t="n"/>
      <c r="Y481" s="54" t="n">
        <v>1982.1</v>
      </c>
      <c r="Z481" s="54" t="n">
        <v>11206.89655</v>
      </c>
      <c r="AA481" s="55">
        <f>IF(AND(A481="", B481="", E481=""), "", IF(AB481="", "Válido", IF((LEN(AB481)-LEN(SUBSTITUTE(AB481,"; ","")))/2+1&gt;(LEN(AB481)-LEN(SUBSTITUTE(AB481,"[Aviso]","")))/7, "Con Incidencias", "Válido")))</f>
        <v/>
      </c>
      <c r="AB481" s="56">
        <f>IF(AND(A481="", B481="", E481=""), "", TEXTJOIN("; ", TRUE, IF(OR(TRIM(A481&amp;"")="", ISNUMBER(SEARCH("FALTA", A481))), "UPC faltante/inválido", ""), IF(AND(A481&lt;&gt;"", IFERROR(_xlfn.XMATCH(A481,$A$2:$A$2509,0,1)&lt;&gt;_xlfn.XMATCH(A481,$A$2:$A$2509,0,-1),FALSE)), "Código de barras duplicado", ""), IF(AND(E481&lt;&gt;"", COUNTIF($E$2:$E$2509, E481)&gt;1), "SKU duplicado", ""), IF(OR(J481="", J481=""), "[Aviso] División no capturada ()", IF(ISNA(MATCH(J481, Criterios!$A$123:$A$126, 0)), "División no válida", "")), IF(OR(K481="", K481=""), "[Aviso] Categoría no capturada ()", IF(ISNA(MATCH(K481, Criterios!$A$81:$A$120, 0)), "Categoría no válida", IF(AND(J481&lt;&gt;"", J481&lt;&gt;"", J481&lt;&gt;VLOOKUP(K481, Criterios!$A$81:$B$120, 2, FALSE)), "División no coincide con Categoría", ""))), IF(OR(L481="", L481=""), "[Aviso] Género no capturado ()", IF(ISNA(MATCH(L481, Criterios!$B$123:$B$127, 0)), "Género no válido", "")), IF(OR(N481="", N481=""), "[Aviso] Temporada no capturada ()", IF(ISNA(MATCH(N481, Criterios!$C$123:$C$128, 0)), "Temporada no válida", "")), IF(OR(O481="", O481=""), "[Aviso] Ciclo de vida no capturado ()", IF(ISNA(MATCH(O481, Criterios!$D$123:$D$124, 0)), "Ciclo de vida no válido", ""))))</f>
        <v/>
      </c>
      <c r="AC481" s="56" t="n"/>
      <c r="AD481" s="51" t="n">
        <v>0</v>
      </c>
      <c r="AE481" s="156" t="n"/>
      <c r="AF481" s="51" t="n">
        <v>0</v>
      </c>
      <c r="AG481" s="156" t="inlineStr">
        <is>
          <t>Catálogo existente</t>
        </is>
      </c>
      <c r="AH4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1" s="156" t="inlineStr">
        <is>
          <t>No</t>
        </is>
      </c>
      <c r="AJ481" s="156" t="n"/>
      <c r="AK481" s="155" t="inlineStr">
        <is>
          <t>Criterios: I [Q]; G1522_Extraccion_Articulos_NetSuite_2026-09-30.xlsx: fila 59053 [R] | Shopify Stetson: producto 15054564360555 / variante 53350551880043</t>
        </is>
      </c>
      <c r="AL481" s="58" t="n">
        <v>1982.1</v>
      </c>
      <c r="AM481" s="58" t="n">
        <v>11206.89655</v>
      </c>
      <c r="AN481" s="155" t="inlineStr">
        <is>
          <t>Shopify Stetson México</t>
        </is>
      </c>
      <c r="AO481" s="59" t="n">
        <v>0</v>
      </c>
      <c r="AP481" s="59" t="n"/>
      <c r="AQ481" s="59" t="n"/>
      <c r="AR481" s="155" t="n"/>
    </row>
    <row r="482">
      <c r="A482" s="50" t="inlineStr">
        <is>
          <t>12020005111020025</t>
        </is>
      </c>
      <c r="B482" s="51" t="inlineStr">
        <is>
          <t>111379</t>
        </is>
      </c>
      <c r="C482" s="156" t="inlineStr">
        <is>
          <t>Multimarca</t>
        </is>
      </c>
      <c r="D482" s="156" t="inlineStr">
        <is>
          <t>12-020-BS005-11-1020</t>
        </is>
      </c>
      <c r="E482" s="156" t="inlineStr">
        <is>
          <t>12-020-BS005-11-1020-025</t>
        </is>
      </c>
      <c r="F482" s="156" t="inlineStr">
        <is>
          <t>25</t>
        </is>
      </c>
      <c r="G482" s="156" t="inlineStr">
        <is>
          <t>7</t>
        </is>
      </c>
      <c r="H482" s="156" t="inlineStr">
        <is>
          <t>Stetson</t>
        </is>
      </c>
      <c r="I482" s="156" t="inlineStr">
        <is>
          <t>Bota Caimán Negro</t>
        </is>
      </c>
      <c r="J482" s="156" t="inlineStr">
        <is>
          <t>Calzado</t>
        </is>
      </c>
      <c r="K482" s="156" t="inlineStr">
        <is>
          <t>Botas</t>
        </is>
      </c>
      <c r="L482" s="156" t="inlineStr">
        <is>
          <t>Hombre</t>
        </is>
      </c>
      <c r="M482" s="156" t="inlineStr">
        <is>
          <t>Stetson</t>
        </is>
      </c>
      <c r="N482" s="156" t="inlineStr">
        <is>
          <t>SS26</t>
        </is>
      </c>
      <c r="O482" s="156" t="inlineStr">
        <is>
          <t>Seasonal</t>
        </is>
      </c>
      <c r="P482" s="156" t="inlineStr">
        <is>
          <t>Negro</t>
        </is>
      </c>
      <c r="Q482" s="156" t="n"/>
      <c r="R482" s="156" t="inlineStr">
        <is>
          <t>Punta Cuadrada Ancha</t>
        </is>
      </c>
      <c r="S482" s="156" t="inlineStr">
        <is>
          <t>Piel de caimán</t>
        </is>
      </c>
      <c r="T482" s="156" t="inlineStr">
        <is>
          <t>Bota Caballero Piel de caimán Negro Punta Cuadrada Ancha</t>
        </is>
      </c>
      <c r="U482" s="156" t="inlineStr">
        <is>
          <t>México</t>
        </is>
      </c>
      <c r="V482" s="156" t="inlineStr">
        <is>
          <t>PRS</t>
        </is>
      </c>
      <c r="W482" s="51" t="inlineStr">
        <is>
          <t>53111501</t>
        </is>
      </c>
      <c r="X482" s="156" t="n"/>
      <c r="Y482" s="54" t="n">
        <v>1982.1</v>
      </c>
      <c r="Z482" s="54" t="n">
        <v>11206.89655</v>
      </c>
      <c r="AA482" s="55">
        <f>IF(AND(A482="", B482="", E482=""), "", IF(AB482="", "Válido", IF((LEN(AB482)-LEN(SUBSTITUTE(AB482,"; ","")))/2+1&gt;(LEN(AB482)-LEN(SUBSTITUTE(AB482,"[Aviso]","")))/7, "Con Incidencias", "Válido")))</f>
        <v/>
      </c>
      <c r="AB482" s="56">
        <f>IF(AND(A482="", B482="", E482=""), "", TEXTJOIN("; ", TRUE, IF(OR(TRIM(A482&amp;"")="", ISNUMBER(SEARCH("FALTA", A482))), "UPC faltante/inválido", ""), IF(AND(A482&lt;&gt;"", IFERROR(_xlfn.XMATCH(A482,$A$2:$A$2509,0,1)&lt;&gt;_xlfn.XMATCH(A482,$A$2:$A$2509,0,-1),FALSE)), "Código de barras duplicado", ""), IF(AND(E482&lt;&gt;"", COUNTIF($E$2:$E$2509, E482)&gt;1), "SKU duplicado", ""), IF(OR(J482="", J482=""), "[Aviso] División no capturada ()", IF(ISNA(MATCH(J482, Criterios!$A$123:$A$126, 0)), "División no válida", "")), IF(OR(K482="", K482=""), "[Aviso] Categoría no capturada ()", IF(ISNA(MATCH(K482, Criterios!$A$81:$A$120, 0)), "Categoría no válida", IF(AND(J482&lt;&gt;"", J482&lt;&gt;"", J482&lt;&gt;VLOOKUP(K482, Criterios!$A$81:$B$120, 2, FALSE)), "División no coincide con Categoría", ""))), IF(OR(L482="", L482=""), "[Aviso] Género no capturado ()", IF(ISNA(MATCH(L482, Criterios!$B$123:$B$127, 0)), "Género no válido", "")), IF(OR(N482="", N482=""), "[Aviso] Temporada no capturada ()", IF(ISNA(MATCH(N482, Criterios!$C$123:$C$128, 0)), "Temporada no válida", "")), IF(OR(O482="", O482=""), "[Aviso] Ciclo de vida no capturado ()", IF(ISNA(MATCH(O482, Criterios!$D$123:$D$124, 0)), "Ciclo de vida no válido", ""))))</f>
        <v/>
      </c>
      <c r="AC482" s="56" t="n"/>
      <c r="AD482" s="51" t="n">
        <v>0</v>
      </c>
      <c r="AE482" s="156" t="n"/>
      <c r="AF482" s="51" t="n">
        <v>0</v>
      </c>
      <c r="AG482" s="156" t="inlineStr">
        <is>
          <t>Catálogo existente</t>
        </is>
      </c>
      <c r="AH4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2" s="156" t="inlineStr">
        <is>
          <t>No</t>
        </is>
      </c>
      <c r="AJ482" s="156" t="n"/>
      <c r="AK482" s="155" t="inlineStr">
        <is>
          <t>Criterios: I [Q]; G1522_Extraccion_Articulos_NetSuite_2026-09-30.xlsx: fila 59054 [R] | Shopify Stetson: producto 15054564393323 / variante 53350551912811</t>
        </is>
      </c>
      <c r="AL482" s="58" t="n">
        <v>1982.1</v>
      </c>
      <c r="AM482" s="58" t="n">
        <v>11206.89655</v>
      </c>
      <c r="AN482" s="155" t="inlineStr">
        <is>
          <t>Shopify Stetson México</t>
        </is>
      </c>
      <c r="AO482" s="59" t="n">
        <v>0</v>
      </c>
      <c r="AP482" s="59" t="n"/>
      <c r="AQ482" s="59" t="n"/>
      <c r="AR482" s="155" t="n"/>
    </row>
    <row r="483">
      <c r="A483" s="50" t="inlineStr">
        <is>
          <t>12020005111020026</t>
        </is>
      </c>
      <c r="B483" s="51" t="inlineStr">
        <is>
          <t>111380</t>
        </is>
      </c>
      <c r="C483" s="156" t="inlineStr">
        <is>
          <t>Multimarca</t>
        </is>
      </c>
      <c r="D483" s="156" t="inlineStr">
        <is>
          <t>12-020-BS005-11-1020</t>
        </is>
      </c>
      <c r="E483" s="156" t="inlineStr">
        <is>
          <t>12-020-BS005-11-1020-026</t>
        </is>
      </c>
      <c r="F483" s="156" t="inlineStr">
        <is>
          <t>26</t>
        </is>
      </c>
      <c r="G483" s="156" t="inlineStr">
        <is>
          <t>8</t>
        </is>
      </c>
      <c r="H483" s="156" t="inlineStr">
        <is>
          <t>Stetson</t>
        </is>
      </c>
      <c r="I483" s="156" t="inlineStr">
        <is>
          <t>Bota Caimán Negro</t>
        </is>
      </c>
      <c r="J483" s="156" t="inlineStr">
        <is>
          <t>Calzado</t>
        </is>
      </c>
      <c r="K483" s="156" t="inlineStr">
        <is>
          <t>Botas</t>
        </is>
      </c>
      <c r="L483" s="156" t="inlineStr">
        <is>
          <t>Hombre</t>
        </is>
      </c>
      <c r="M483" s="156" t="inlineStr">
        <is>
          <t>Stetson</t>
        </is>
      </c>
      <c r="N483" s="156" t="inlineStr">
        <is>
          <t>SS26</t>
        </is>
      </c>
      <c r="O483" s="156" t="inlineStr">
        <is>
          <t>Seasonal</t>
        </is>
      </c>
      <c r="P483" s="156" t="inlineStr">
        <is>
          <t>Negro</t>
        </is>
      </c>
      <c r="Q483" s="156" t="n"/>
      <c r="R483" s="156" t="inlineStr">
        <is>
          <t>Punta Cuadrada Ancha</t>
        </is>
      </c>
      <c r="S483" s="156" t="inlineStr">
        <is>
          <t>Piel de caimán</t>
        </is>
      </c>
      <c r="T483" s="156" t="inlineStr">
        <is>
          <t>Bota Caballero Piel de caimán Negro Punta Cuadrada Ancha</t>
        </is>
      </c>
      <c r="U483" s="156" t="inlineStr">
        <is>
          <t>México</t>
        </is>
      </c>
      <c r="V483" s="156" t="inlineStr">
        <is>
          <t>PRS</t>
        </is>
      </c>
      <c r="W483" s="51" t="inlineStr">
        <is>
          <t>53111501</t>
        </is>
      </c>
      <c r="X483" s="156" t="n"/>
      <c r="Y483" s="54" t="n">
        <v>1982.1</v>
      </c>
      <c r="Z483" s="54" t="n">
        <v>11206.89655</v>
      </c>
      <c r="AA483" s="55">
        <f>IF(AND(A483="", B483="", E483=""), "", IF(AB483="", "Válido", IF((LEN(AB483)-LEN(SUBSTITUTE(AB483,"; ","")))/2+1&gt;(LEN(AB483)-LEN(SUBSTITUTE(AB483,"[Aviso]","")))/7, "Con Incidencias", "Válido")))</f>
        <v/>
      </c>
      <c r="AB483" s="56">
        <f>IF(AND(A483="", B483="", E483=""), "", TEXTJOIN("; ", TRUE, IF(OR(TRIM(A483&amp;"")="", ISNUMBER(SEARCH("FALTA", A483))), "UPC faltante/inválido", ""), IF(AND(A483&lt;&gt;"", IFERROR(_xlfn.XMATCH(A483,$A$2:$A$2509,0,1)&lt;&gt;_xlfn.XMATCH(A483,$A$2:$A$2509,0,-1),FALSE)), "Código de barras duplicado", ""), IF(AND(E483&lt;&gt;"", COUNTIF($E$2:$E$2509, E483)&gt;1), "SKU duplicado", ""), IF(OR(J483="", J483=""), "[Aviso] División no capturada ()", IF(ISNA(MATCH(J483, Criterios!$A$123:$A$126, 0)), "División no válida", "")), IF(OR(K483="", K483=""), "[Aviso] Categoría no capturada ()", IF(ISNA(MATCH(K483, Criterios!$A$81:$A$120, 0)), "Categoría no válida", IF(AND(J483&lt;&gt;"", J483&lt;&gt;"", J483&lt;&gt;VLOOKUP(K483, Criterios!$A$81:$B$120, 2, FALSE)), "División no coincide con Categoría", ""))), IF(OR(L483="", L483=""), "[Aviso] Género no capturado ()", IF(ISNA(MATCH(L483, Criterios!$B$123:$B$127, 0)), "Género no válido", "")), IF(OR(N483="", N483=""), "[Aviso] Temporada no capturada ()", IF(ISNA(MATCH(N483, Criterios!$C$123:$C$128, 0)), "Temporada no válida", "")), IF(OR(O483="", O483=""), "[Aviso] Ciclo de vida no capturado ()", IF(ISNA(MATCH(O483, Criterios!$D$123:$D$124, 0)), "Ciclo de vida no válido", ""))))</f>
        <v/>
      </c>
      <c r="AC483" s="56" t="n"/>
      <c r="AD483" s="51" t="n">
        <v>0</v>
      </c>
      <c r="AE483" s="156" t="n"/>
      <c r="AF483" s="51" t="n">
        <v>0</v>
      </c>
      <c r="AG483" s="156" t="inlineStr">
        <is>
          <t>Catálogo existente</t>
        </is>
      </c>
      <c r="AH4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3" s="156" t="inlineStr">
        <is>
          <t>No</t>
        </is>
      </c>
      <c r="AJ483" s="156" t="n"/>
      <c r="AK483" s="155" t="inlineStr">
        <is>
          <t>Criterios: I [Q]; G1522_Extraccion_Articulos_NetSuite_2026-09-30.xlsx: fila 59055 [R] | Shopify Stetson: producto 15054564393323 / variante 53350551978347</t>
        </is>
      </c>
      <c r="AL483" s="58" t="n">
        <v>1982.1</v>
      </c>
      <c r="AM483" s="58" t="n">
        <v>11206.89655</v>
      </c>
      <c r="AN483" s="155" t="inlineStr">
        <is>
          <t>Shopify Stetson México</t>
        </is>
      </c>
      <c r="AO483" s="59" t="n">
        <v>0</v>
      </c>
      <c r="AP483" s="59" t="n"/>
      <c r="AQ483" s="59" t="n"/>
      <c r="AR483" s="155" t="n"/>
    </row>
    <row r="484">
      <c r="A484" s="50" t="inlineStr">
        <is>
          <t>12020005111020027</t>
        </is>
      </c>
      <c r="B484" s="51" t="inlineStr">
        <is>
          <t>111381</t>
        </is>
      </c>
      <c r="C484" s="156" t="inlineStr">
        <is>
          <t>Multimarca</t>
        </is>
      </c>
      <c r="D484" s="156" t="inlineStr">
        <is>
          <t>12-020-BS005-11-1020</t>
        </is>
      </c>
      <c r="E484" s="156" t="inlineStr">
        <is>
          <t>12-020-BS005-11-1020-027</t>
        </is>
      </c>
      <c r="F484" s="156" t="inlineStr">
        <is>
          <t>27</t>
        </is>
      </c>
      <c r="G484" s="156" t="inlineStr">
        <is>
          <t>9</t>
        </is>
      </c>
      <c r="H484" s="156" t="inlineStr">
        <is>
          <t>Stetson</t>
        </is>
      </c>
      <c r="I484" s="156" t="inlineStr">
        <is>
          <t>Bota Caimán Negro</t>
        </is>
      </c>
      <c r="J484" s="156" t="inlineStr">
        <is>
          <t>Calzado</t>
        </is>
      </c>
      <c r="K484" s="156" t="inlineStr">
        <is>
          <t>Botas</t>
        </is>
      </c>
      <c r="L484" s="156" t="inlineStr">
        <is>
          <t>Hombre</t>
        </is>
      </c>
      <c r="M484" s="156" t="inlineStr">
        <is>
          <t>Stetson</t>
        </is>
      </c>
      <c r="N484" s="156" t="inlineStr">
        <is>
          <t>SS26</t>
        </is>
      </c>
      <c r="O484" s="156" t="inlineStr">
        <is>
          <t>Seasonal</t>
        </is>
      </c>
      <c r="P484" s="156" t="inlineStr">
        <is>
          <t>Negro</t>
        </is>
      </c>
      <c r="Q484" s="156" t="n"/>
      <c r="R484" s="156" t="inlineStr">
        <is>
          <t>Punta Cuadrada Ancha</t>
        </is>
      </c>
      <c r="S484" s="156" t="inlineStr">
        <is>
          <t>Piel de caimán</t>
        </is>
      </c>
      <c r="T484" s="156" t="inlineStr">
        <is>
          <t>Bota Caballero Piel de caimán Negro Punta Cuadrada Ancha</t>
        </is>
      </c>
      <c r="U484" s="156" t="inlineStr">
        <is>
          <t>México</t>
        </is>
      </c>
      <c r="V484" s="156" t="inlineStr">
        <is>
          <t>PRS</t>
        </is>
      </c>
      <c r="W484" s="51" t="inlineStr">
        <is>
          <t>53111501</t>
        </is>
      </c>
      <c r="X484" s="156" t="n"/>
      <c r="Y484" s="54" t="n">
        <v>1982.1</v>
      </c>
      <c r="Z484" s="54" t="n">
        <v>11206.89655</v>
      </c>
      <c r="AA484" s="55">
        <f>IF(AND(A484="", B484="", E484=""), "", IF(AB484="", "Válido", IF((LEN(AB484)-LEN(SUBSTITUTE(AB484,"; ","")))/2+1&gt;(LEN(AB484)-LEN(SUBSTITUTE(AB484,"[Aviso]","")))/7, "Con Incidencias", "Válido")))</f>
        <v/>
      </c>
      <c r="AB484" s="56">
        <f>IF(AND(A484="", B484="", E484=""), "", TEXTJOIN("; ", TRUE, IF(OR(TRIM(A484&amp;"")="", ISNUMBER(SEARCH("FALTA", A484))), "UPC faltante/inválido", ""), IF(AND(A484&lt;&gt;"", IFERROR(_xlfn.XMATCH(A484,$A$2:$A$2509,0,1)&lt;&gt;_xlfn.XMATCH(A484,$A$2:$A$2509,0,-1),FALSE)), "Código de barras duplicado", ""), IF(AND(E484&lt;&gt;"", COUNTIF($E$2:$E$2509, E484)&gt;1), "SKU duplicado", ""), IF(OR(J484="", J484=""), "[Aviso] División no capturada ()", IF(ISNA(MATCH(J484, Criterios!$A$123:$A$126, 0)), "División no válida", "")), IF(OR(K484="", K484=""), "[Aviso] Categoría no capturada ()", IF(ISNA(MATCH(K484, Criterios!$A$81:$A$120, 0)), "Categoría no válida", IF(AND(J484&lt;&gt;"", J484&lt;&gt;"", J484&lt;&gt;VLOOKUP(K484, Criterios!$A$81:$B$120, 2, FALSE)), "División no coincide con Categoría", ""))), IF(OR(L484="", L484=""), "[Aviso] Género no capturado ()", IF(ISNA(MATCH(L484, Criterios!$B$123:$B$127, 0)), "Género no válido", "")), IF(OR(N484="", N484=""), "[Aviso] Temporada no capturada ()", IF(ISNA(MATCH(N484, Criterios!$C$123:$C$128, 0)), "Temporada no válida", "")), IF(OR(O484="", O484=""), "[Aviso] Ciclo de vida no capturado ()", IF(ISNA(MATCH(O484, Criterios!$D$123:$D$124, 0)), "Ciclo de vida no válido", ""))))</f>
        <v/>
      </c>
      <c r="AC484" s="56" t="n"/>
      <c r="AD484" s="51" t="n">
        <v>0</v>
      </c>
      <c r="AE484" s="156" t="n"/>
      <c r="AF484" s="51" t="n">
        <v>0</v>
      </c>
      <c r="AG484" s="156" t="inlineStr">
        <is>
          <t>Catálogo existente</t>
        </is>
      </c>
      <c r="AH4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4" s="156" t="inlineStr">
        <is>
          <t>No</t>
        </is>
      </c>
      <c r="AJ484" s="156" t="n"/>
      <c r="AK484" s="155" t="inlineStr">
        <is>
          <t>Criterios: I [Q]; G1522_Extraccion_Articulos_NetSuite_2026-09-30.xlsx: fila 59056 [R] | Shopify Stetson: producto 15054564393323 / variante 53350552043883</t>
        </is>
      </c>
      <c r="AL484" s="58" t="n">
        <v>1982.1</v>
      </c>
      <c r="AM484" s="58" t="n">
        <v>11206.89655</v>
      </c>
      <c r="AN484" s="155" t="inlineStr">
        <is>
          <t>Shopify Stetson México</t>
        </is>
      </c>
      <c r="AO484" s="59" t="n">
        <v>0</v>
      </c>
      <c r="AP484" s="59" t="n"/>
      <c r="AQ484" s="59" t="n"/>
      <c r="AR484" s="155" t="n"/>
    </row>
    <row r="485">
      <c r="A485" s="50" t="inlineStr">
        <is>
          <t>12020005111020028</t>
        </is>
      </c>
      <c r="B485" s="51" t="inlineStr">
        <is>
          <t>111382</t>
        </is>
      </c>
      <c r="C485" s="156" t="inlineStr">
        <is>
          <t>Multimarca</t>
        </is>
      </c>
      <c r="D485" s="156" t="inlineStr">
        <is>
          <t>12-020-BS005-11-1020</t>
        </is>
      </c>
      <c r="E485" s="156" t="inlineStr">
        <is>
          <t>12-020-BS005-11-1020-028</t>
        </is>
      </c>
      <c r="F485" s="156" t="inlineStr">
        <is>
          <t>28</t>
        </is>
      </c>
      <c r="G485" s="156" t="inlineStr">
        <is>
          <t>10</t>
        </is>
      </c>
      <c r="H485" s="156" t="inlineStr">
        <is>
          <t>Stetson</t>
        </is>
      </c>
      <c r="I485" s="156" t="inlineStr">
        <is>
          <t>Bota Caimán Negro</t>
        </is>
      </c>
      <c r="J485" s="156" t="inlineStr">
        <is>
          <t>Calzado</t>
        </is>
      </c>
      <c r="K485" s="156" t="inlineStr">
        <is>
          <t>Botas</t>
        </is>
      </c>
      <c r="L485" s="156" t="inlineStr">
        <is>
          <t>Hombre</t>
        </is>
      </c>
      <c r="M485" s="156" t="inlineStr">
        <is>
          <t>Stetson</t>
        </is>
      </c>
      <c r="N485" s="156" t="inlineStr">
        <is>
          <t>SS26</t>
        </is>
      </c>
      <c r="O485" s="156" t="inlineStr">
        <is>
          <t>Seasonal</t>
        </is>
      </c>
      <c r="P485" s="156" t="inlineStr">
        <is>
          <t>Negro</t>
        </is>
      </c>
      <c r="Q485" s="156" t="n"/>
      <c r="R485" s="156" t="inlineStr">
        <is>
          <t>Punta Cuadrada Ancha</t>
        </is>
      </c>
      <c r="S485" s="156" t="inlineStr">
        <is>
          <t>Piel de caimán</t>
        </is>
      </c>
      <c r="T485" s="156" t="inlineStr">
        <is>
          <t>Bota Caballero Piel de caimán Negro Punta Cuadrada Ancha</t>
        </is>
      </c>
      <c r="U485" s="156" t="inlineStr">
        <is>
          <t>México</t>
        </is>
      </c>
      <c r="V485" s="156" t="inlineStr">
        <is>
          <t>PRS</t>
        </is>
      </c>
      <c r="W485" s="51" t="inlineStr">
        <is>
          <t>53111501</t>
        </is>
      </c>
      <c r="X485" s="156" t="n"/>
      <c r="Y485" s="54" t="n">
        <v>1982.1</v>
      </c>
      <c r="Z485" s="54" t="n">
        <v>11206.89655</v>
      </c>
      <c r="AA485" s="55">
        <f>IF(AND(A485="", B485="", E485=""), "", IF(AB485="", "Válido", IF((LEN(AB485)-LEN(SUBSTITUTE(AB485,"; ","")))/2+1&gt;(LEN(AB485)-LEN(SUBSTITUTE(AB485,"[Aviso]","")))/7, "Con Incidencias", "Válido")))</f>
        <v/>
      </c>
      <c r="AB485" s="56">
        <f>IF(AND(A485="", B485="", E485=""), "", TEXTJOIN("; ", TRUE, IF(OR(TRIM(A485&amp;"")="", ISNUMBER(SEARCH("FALTA", A485))), "UPC faltante/inválido", ""), IF(AND(A485&lt;&gt;"", IFERROR(_xlfn.XMATCH(A485,$A$2:$A$2509,0,1)&lt;&gt;_xlfn.XMATCH(A485,$A$2:$A$2509,0,-1),FALSE)), "Código de barras duplicado", ""), IF(AND(E485&lt;&gt;"", COUNTIF($E$2:$E$2509, E485)&gt;1), "SKU duplicado", ""), IF(OR(J485="", J485=""), "[Aviso] División no capturada ()", IF(ISNA(MATCH(J485, Criterios!$A$123:$A$126, 0)), "División no válida", "")), IF(OR(K485="", K485=""), "[Aviso] Categoría no capturada ()", IF(ISNA(MATCH(K485, Criterios!$A$81:$A$120, 0)), "Categoría no válida", IF(AND(J485&lt;&gt;"", J485&lt;&gt;"", J485&lt;&gt;VLOOKUP(K485, Criterios!$A$81:$B$120, 2, FALSE)), "División no coincide con Categoría", ""))), IF(OR(L485="", L485=""), "[Aviso] Género no capturado ()", IF(ISNA(MATCH(L485, Criterios!$B$123:$B$127, 0)), "Género no válido", "")), IF(OR(N485="", N485=""), "[Aviso] Temporada no capturada ()", IF(ISNA(MATCH(N485, Criterios!$C$123:$C$128, 0)), "Temporada no válida", "")), IF(OR(O485="", O485=""), "[Aviso] Ciclo de vida no capturado ()", IF(ISNA(MATCH(O485, Criterios!$D$123:$D$124, 0)), "Ciclo de vida no válido", ""))))</f>
        <v/>
      </c>
      <c r="AC485" s="56" t="n"/>
      <c r="AD485" s="51" t="n">
        <v>2</v>
      </c>
      <c r="AE485" s="156" t="inlineStr">
        <is>
          <t>STETSON AMERICAS (2)</t>
        </is>
      </c>
      <c r="AF485" s="51" t="n">
        <v>2</v>
      </c>
      <c r="AG485" s="156" t="inlineStr">
        <is>
          <t>Catálogo existente</t>
        </is>
      </c>
      <c r="AH4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5" s="156" t="inlineStr">
        <is>
          <t>No</t>
        </is>
      </c>
      <c r="AJ485" s="156" t="n"/>
      <c r="AK485" s="155" t="inlineStr">
        <is>
          <t>Criterios: I [Q]; G1522_Extraccion_Articulos_NetSuite_2026-09-30.xlsx: fila 59057 [R] | Shopify Stetson: producto 15054564393323 / variante 53350552109419</t>
        </is>
      </c>
      <c r="AL485" s="58" t="n">
        <v>1982.1</v>
      </c>
      <c r="AM485" s="58" t="n">
        <v>11206.89655</v>
      </c>
      <c r="AN485" s="155" t="inlineStr">
        <is>
          <t>Shopify Stetson México</t>
        </is>
      </c>
      <c r="AO485" s="59" t="n">
        <v>2</v>
      </c>
      <c r="AP485" s="59" t="n"/>
      <c r="AQ485" s="59" t="n"/>
      <c r="AR485" s="155" t="inlineStr">
        <is>
          <t>Shopify Stetson México › Stetson Americas: 2</t>
        </is>
      </c>
    </row>
    <row r="486">
      <c r="A486" s="50" t="inlineStr">
        <is>
          <t>12020005111020029</t>
        </is>
      </c>
      <c r="B486" s="51" t="inlineStr">
        <is>
          <t>111383</t>
        </is>
      </c>
      <c r="C486" s="156" t="inlineStr">
        <is>
          <t>Multimarca</t>
        </is>
      </c>
      <c r="D486" s="156" t="inlineStr">
        <is>
          <t>12-020-BS005-11-1020</t>
        </is>
      </c>
      <c r="E486" s="156" t="inlineStr">
        <is>
          <t>12-020-BS005-11-1020-029</t>
        </is>
      </c>
      <c r="F486" s="156" t="inlineStr">
        <is>
          <t>29</t>
        </is>
      </c>
      <c r="G486" s="156" t="inlineStr">
        <is>
          <t>11</t>
        </is>
      </c>
      <c r="H486" s="156" t="inlineStr">
        <is>
          <t>Stetson</t>
        </is>
      </c>
      <c r="I486" s="156" t="inlineStr">
        <is>
          <t>Bota Caimán Negro</t>
        </is>
      </c>
      <c r="J486" s="156" t="inlineStr">
        <is>
          <t>Calzado</t>
        </is>
      </c>
      <c r="K486" s="156" t="inlineStr">
        <is>
          <t>Botas</t>
        </is>
      </c>
      <c r="L486" s="156" t="inlineStr">
        <is>
          <t>Hombre</t>
        </is>
      </c>
      <c r="M486" s="156" t="inlineStr">
        <is>
          <t>Stetson</t>
        </is>
      </c>
      <c r="N486" s="156" t="inlineStr">
        <is>
          <t>SS26</t>
        </is>
      </c>
      <c r="O486" s="156" t="inlineStr">
        <is>
          <t>Seasonal</t>
        </is>
      </c>
      <c r="P486" s="156" t="inlineStr">
        <is>
          <t>Negro</t>
        </is>
      </c>
      <c r="Q486" s="156" t="n"/>
      <c r="R486" s="156" t="inlineStr">
        <is>
          <t>Punta Cuadrada Ancha</t>
        </is>
      </c>
      <c r="S486" s="156" t="inlineStr">
        <is>
          <t>Piel de caimán</t>
        </is>
      </c>
      <c r="T486" s="156" t="inlineStr">
        <is>
          <t>Bota Caballero Piel de caimán Negro Punta Cuadrada Ancha</t>
        </is>
      </c>
      <c r="U486" s="156" t="inlineStr">
        <is>
          <t>México</t>
        </is>
      </c>
      <c r="V486" s="156" t="inlineStr">
        <is>
          <t>PRS</t>
        </is>
      </c>
      <c r="W486" s="51" t="inlineStr">
        <is>
          <t>53111501</t>
        </is>
      </c>
      <c r="X486" s="156" t="n"/>
      <c r="Y486" s="54" t="n">
        <v>1982.1</v>
      </c>
      <c r="Z486" s="54" t="n">
        <v>11206.89655</v>
      </c>
      <c r="AA486" s="55">
        <f>IF(AND(A486="", B486="", E486=""), "", IF(AB486="", "Válido", IF((LEN(AB486)-LEN(SUBSTITUTE(AB486,"; ","")))/2+1&gt;(LEN(AB486)-LEN(SUBSTITUTE(AB486,"[Aviso]","")))/7, "Con Incidencias", "Válido")))</f>
        <v/>
      </c>
      <c r="AB486" s="56">
        <f>IF(AND(A486="", B486="", E486=""), "", TEXTJOIN("; ", TRUE, IF(OR(TRIM(A486&amp;"")="", ISNUMBER(SEARCH("FALTA", A486))), "UPC faltante/inválido", ""), IF(AND(A486&lt;&gt;"", IFERROR(_xlfn.XMATCH(A486,$A$2:$A$2509,0,1)&lt;&gt;_xlfn.XMATCH(A486,$A$2:$A$2509,0,-1),FALSE)), "Código de barras duplicado", ""), IF(AND(E486&lt;&gt;"", COUNTIF($E$2:$E$2509, E486)&gt;1), "SKU duplicado", ""), IF(OR(J486="", J486=""), "[Aviso] División no capturada ()", IF(ISNA(MATCH(J486, Criterios!$A$123:$A$126, 0)), "División no válida", "")), IF(OR(K486="", K486=""), "[Aviso] Categoría no capturada ()", IF(ISNA(MATCH(K486, Criterios!$A$81:$A$120, 0)), "Categoría no válida", IF(AND(J486&lt;&gt;"", J486&lt;&gt;"", J486&lt;&gt;VLOOKUP(K486, Criterios!$A$81:$B$120, 2, FALSE)), "División no coincide con Categoría", ""))), IF(OR(L486="", L486=""), "[Aviso] Género no capturado ()", IF(ISNA(MATCH(L486, Criterios!$B$123:$B$127, 0)), "Género no válido", "")), IF(OR(N486="", N486=""), "[Aviso] Temporada no capturada ()", IF(ISNA(MATCH(N486, Criterios!$C$123:$C$128, 0)), "Temporada no válida", "")), IF(OR(O486="", O486=""), "[Aviso] Ciclo de vida no capturado ()", IF(ISNA(MATCH(O486, Criterios!$D$123:$D$124, 0)), "Ciclo de vida no válido", ""))))</f>
        <v/>
      </c>
      <c r="AC486" s="56" t="n"/>
      <c r="AD486" s="51" t="n">
        <v>1</v>
      </c>
      <c r="AE486" s="156" t="inlineStr">
        <is>
          <t>STETSON AMERICAS (1)</t>
        </is>
      </c>
      <c r="AF486" s="51" t="n">
        <v>1</v>
      </c>
      <c r="AG486" s="156" t="inlineStr">
        <is>
          <t>Catálogo existente</t>
        </is>
      </c>
      <c r="AH4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6" s="156" t="inlineStr">
        <is>
          <t>No</t>
        </is>
      </c>
      <c r="AJ486" s="156" t="n"/>
      <c r="AK486" s="155" t="inlineStr">
        <is>
          <t>Criterios: I [Q]; G1522_Extraccion_Articulos_NetSuite_2026-09-30.xlsx: fila 59058 [R] | Shopify Stetson: producto 15054564393323 / variante 53350552174955</t>
        </is>
      </c>
      <c r="AL486" s="58" t="n">
        <v>1982.1</v>
      </c>
      <c r="AM486" s="58" t="n">
        <v>11206.89655</v>
      </c>
      <c r="AN486" s="155" t="inlineStr">
        <is>
          <t>Shopify Stetson México</t>
        </is>
      </c>
      <c r="AO486" s="59" t="n">
        <v>1</v>
      </c>
      <c r="AP486" s="59" t="n"/>
      <c r="AQ486" s="59" t="n"/>
      <c r="AR486" s="155" t="inlineStr">
        <is>
          <t>Shopify Stetson México › Stetson Americas: 1</t>
        </is>
      </c>
    </row>
    <row r="487">
      <c r="A487" s="50" t="inlineStr">
        <is>
          <t>12020005111020030</t>
        </is>
      </c>
      <c r="B487" s="51" t="inlineStr">
        <is>
          <t>111384</t>
        </is>
      </c>
      <c r="C487" s="156" t="inlineStr">
        <is>
          <t>Multimarca</t>
        </is>
      </c>
      <c r="D487" s="156" t="inlineStr">
        <is>
          <t>12-020-BS005-11-1020</t>
        </is>
      </c>
      <c r="E487" s="156" t="inlineStr">
        <is>
          <t>12-020-BS005-11-1020-030</t>
        </is>
      </c>
      <c r="F487" s="156" t="inlineStr">
        <is>
          <t>30</t>
        </is>
      </c>
      <c r="G487" s="156" t="inlineStr">
        <is>
          <t>12</t>
        </is>
      </c>
      <c r="H487" s="156" t="inlineStr">
        <is>
          <t>Stetson</t>
        </is>
      </c>
      <c r="I487" s="156" t="inlineStr">
        <is>
          <t>Bota Caimán Negro</t>
        </is>
      </c>
      <c r="J487" s="156" t="inlineStr">
        <is>
          <t>Calzado</t>
        </is>
      </c>
      <c r="K487" s="156" t="inlineStr">
        <is>
          <t>Botas</t>
        </is>
      </c>
      <c r="L487" s="156" t="inlineStr">
        <is>
          <t>Hombre</t>
        </is>
      </c>
      <c r="M487" s="156" t="inlineStr">
        <is>
          <t>Stetson</t>
        </is>
      </c>
      <c r="N487" s="156" t="inlineStr">
        <is>
          <t>SS26</t>
        </is>
      </c>
      <c r="O487" s="156" t="inlineStr">
        <is>
          <t>Seasonal</t>
        </is>
      </c>
      <c r="P487" s="156" t="inlineStr">
        <is>
          <t>Negro</t>
        </is>
      </c>
      <c r="Q487" s="156" t="n"/>
      <c r="R487" s="156" t="inlineStr">
        <is>
          <t>Punta Cuadrada Ancha</t>
        </is>
      </c>
      <c r="S487" s="156" t="inlineStr">
        <is>
          <t>Piel de caimán</t>
        </is>
      </c>
      <c r="T487" s="156" t="inlineStr">
        <is>
          <t>Bota Caballero Piel de caimán Negro Punta Cuadrada Ancha</t>
        </is>
      </c>
      <c r="U487" s="156" t="inlineStr">
        <is>
          <t>México</t>
        </is>
      </c>
      <c r="V487" s="156" t="inlineStr">
        <is>
          <t>PRS</t>
        </is>
      </c>
      <c r="W487" s="51" t="inlineStr">
        <is>
          <t>53111501</t>
        </is>
      </c>
      <c r="X487" s="156" t="n"/>
      <c r="Y487" s="54" t="n">
        <v>1982.1</v>
      </c>
      <c r="Z487" s="54" t="n">
        <v>11206.89655</v>
      </c>
      <c r="AA487" s="55">
        <f>IF(AND(A487="", B487="", E487=""), "", IF(AB487="", "Válido", IF((LEN(AB487)-LEN(SUBSTITUTE(AB487,"; ","")))/2+1&gt;(LEN(AB487)-LEN(SUBSTITUTE(AB487,"[Aviso]","")))/7, "Con Incidencias", "Válido")))</f>
        <v/>
      </c>
      <c r="AB487" s="56">
        <f>IF(AND(A487="", B487="", E487=""), "", TEXTJOIN("; ", TRUE, IF(OR(TRIM(A487&amp;"")="", ISNUMBER(SEARCH("FALTA", A487))), "UPC faltante/inválido", ""), IF(AND(A487&lt;&gt;"", IFERROR(_xlfn.XMATCH(A487,$A$2:$A$2509,0,1)&lt;&gt;_xlfn.XMATCH(A487,$A$2:$A$2509,0,-1),FALSE)), "Código de barras duplicado", ""), IF(AND(E487&lt;&gt;"", COUNTIF($E$2:$E$2509, E487)&gt;1), "SKU duplicado", ""), IF(OR(J487="", J487=""), "[Aviso] División no capturada ()", IF(ISNA(MATCH(J487, Criterios!$A$123:$A$126, 0)), "División no válida", "")), IF(OR(K487="", K487=""), "[Aviso] Categoría no capturada ()", IF(ISNA(MATCH(K487, Criterios!$A$81:$A$120, 0)), "Categoría no válida", IF(AND(J487&lt;&gt;"", J487&lt;&gt;"", J487&lt;&gt;VLOOKUP(K487, Criterios!$A$81:$B$120, 2, FALSE)), "División no coincide con Categoría", ""))), IF(OR(L487="", L487=""), "[Aviso] Género no capturado ()", IF(ISNA(MATCH(L487, Criterios!$B$123:$B$127, 0)), "Género no válido", "")), IF(OR(N487="", N487=""), "[Aviso] Temporada no capturada ()", IF(ISNA(MATCH(N487, Criterios!$C$123:$C$128, 0)), "Temporada no válida", "")), IF(OR(O487="", O487=""), "[Aviso] Ciclo de vida no capturado ()", IF(ISNA(MATCH(O487, Criterios!$D$123:$D$124, 0)), "Ciclo de vida no válido", ""))))</f>
        <v/>
      </c>
      <c r="AC487" s="56" t="n"/>
      <c r="AD487" s="51" t="n">
        <v>0</v>
      </c>
      <c r="AE487" s="156" t="n"/>
      <c r="AF487" s="51" t="n">
        <v>0</v>
      </c>
      <c r="AG487" s="156" t="inlineStr">
        <is>
          <t>Catálogo existente</t>
        </is>
      </c>
      <c r="AH4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7" s="156" t="inlineStr">
        <is>
          <t>No</t>
        </is>
      </c>
      <c r="AJ487" s="156" t="n"/>
      <c r="AK487" s="155" t="inlineStr">
        <is>
          <t>Criterios: I [Q]; G1522_Extraccion_Articulos_NetSuite_2026-09-30.xlsx: fila 59059 [R] | Shopify Stetson: producto 15054564393323 / variante 53350552240491</t>
        </is>
      </c>
      <c r="AL487" s="58" t="n">
        <v>1982.1</v>
      </c>
      <c r="AM487" s="58" t="n">
        <v>11206.89655</v>
      </c>
      <c r="AN487" s="155" t="inlineStr">
        <is>
          <t>Shopify Stetson México</t>
        </is>
      </c>
      <c r="AO487" s="59" t="n">
        <v>0</v>
      </c>
      <c r="AP487" s="59" t="n"/>
      <c r="AQ487" s="59" t="n"/>
      <c r="AR487" s="155" t="n"/>
    </row>
    <row r="488">
      <c r="A488" s="50" t="inlineStr">
        <is>
          <t>12020005111020031</t>
        </is>
      </c>
      <c r="B488" s="51" t="inlineStr">
        <is>
          <t>111385</t>
        </is>
      </c>
      <c r="C488" s="156" t="inlineStr">
        <is>
          <t>Multimarca</t>
        </is>
      </c>
      <c r="D488" s="156" t="inlineStr">
        <is>
          <t>12-020-BS005-11-1020</t>
        </is>
      </c>
      <c r="E488" s="156" t="inlineStr">
        <is>
          <t>12-020-BS005-11-1020-031</t>
        </is>
      </c>
      <c r="F488" s="156" t="inlineStr">
        <is>
          <t>31</t>
        </is>
      </c>
      <c r="G488" s="156" t="inlineStr">
        <is>
          <t>13</t>
        </is>
      </c>
      <c r="H488" s="156" t="inlineStr">
        <is>
          <t>Stetson</t>
        </is>
      </c>
      <c r="I488" s="156" t="inlineStr">
        <is>
          <t>Bota Caimán Negro</t>
        </is>
      </c>
      <c r="J488" s="156" t="inlineStr">
        <is>
          <t>Calzado</t>
        </is>
      </c>
      <c r="K488" s="156" t="inlineStr">
        <is>
          <t>Botas</t>
        </is>
      </c>
      <c r="L488" s="156" t="inlineStr">
        <is>
          <t>Hombre</t>
        </is>
      </c>
      <c r="M488" s="156" t="inlineStr">
        <is>
          <t>Stetson</t>
        </is>
      </c>
      <c r="N488" s="156" t="inlineStr">
        <is>
          <t>SS26</t>
        </is>
      </c>
      <c r="O488" s="156" t="inlineStr">
        <is>
          <t>Seasonal</t>
        </is>
      </c>
      <c r="P488" s="156" t="inlineStr">
        <is>
          <t>Negro</t>
        </is>
      </c>
      <c r="Q488" s="156" t="n"/>
      <c r="R488" s="156" t="inlineStr">
        <is>
          <t>Punta Cuadrada Ancha</t>
        </is>
      </c>
      <c r="S488" s="156" t="inlineStr">
        <is>
          <t>Piel de caimán</t>
        </is>
      </c>
      <c r="T488" s="156" t="inlineStr">
        <is>
          <t>Bota Caballero Piel de caimán Negro Punta Cuadrada Ancha</t>
        </is>
      </c>
      <c r="U488" s="156" t="inlineStr">
        <is>
          <t>México</t>
        </is>
      </c>
      <c r="V488" s="156" t="inlineStr">
        <is>
          <t>PRS</t>
        </is>
      </c>
      <c r="W488" s="51" t="inlineStr">
        <is>
          <t>53111501</t>
        </is>
      </c>
      <c r="X488" s="156" t="n"/>
      <c r="Y488" s="54" t="n">
        <v>1982.1</v>
      </c>
      <c r="Z488" s="54" t="n">
        <v>11206.89655</v>
      </c>
      <c r="AA488" s="55">
        <f>IF(AND(A488="", B488="", E488=""), "", IF(AB488="", "Válido", IF((LEN(AB488)-LEN(SUBSTITUTE(AB488,"; ","")))/2+1&gt;(LEN(AB488)-LEN(SUBSTITUTE(AB488,"[Aviso]","")))/7, "Con Incidencias", "Válido")))</f>
        <v/>
      </c>
      <c r="AB488" s="56">
        <f>IF(AND(A488="", B488="", E488=""), "", TEXTJOIN("; ", TRUE, IF(OR(TRIM(A488&amp;"")="", ISNUMBER(SEARCH("FALTA", A488))), "UPC faltante/inválido", ""), IF(AND(A488&lt;&gt;"", IFERROR(_xlfn.XMATCH(A488,$A$2:$A$2509,0,1)&lt;&gt;_xlfn.XMATCH(A488,$A$2:$A$2509,0,-1),FALSE)), "Código de barras duplicado", ""), IF(AND(E488&lt;&gt;"", COUNTIF($E$2:$E$2509, E488)&gt;1), "SKU duplicado", ""), IF(OR(J488="", J488=""), "[Aviso] División no capturada ()", IF(ISNA(MATCH(J488, Criterios!$A$123:$A$126, 0)), "División no válida", "")), IF(OR(K488="", K488=""), "[Aviso] Categoría no capturada ()", IF(ISNA(MATCH(K488, Criterios!$A$81:$A$120, 0)), "Categoría no válida", IF(AND(J488&lt;&gt;"", J488&lt;&gt;"", J488&lt;&gt;VLOOKUP(K488, Criterios!$A$81:$B$120, 2, FALSE)), "División no coincide con Categoría", ""))), IF(OR(L488="", L488=""), "[Aviso] Género no capturado ()", IF(ISNA(MATCH(L488, Criterios!$B$123:$B$127, 0)), "Género no válido", "")), IF(OR(N488="", N488=""), "[Aviso] Temporada no capturada ()", IF(ISNA(MATCH(N488, Criterios!$C$123:$C$128, 0)), "Temporada no válida", "")), IF(OR(O488="", O488=""), "[Aviso] Ciclo de vida no capturado ()", IF(ISNA(MATCH(O488, Criterios!$D$123:$D$124, 0)), "Ciclo de vida no válido", ""))))</f>
        <v/>
      </c>
      <c r="AC488" s="56" t="n"/>
      <c r="AD488" s="51" t="n">
        <v>0</v>
      </c>
      <c r="AE488" s="156" t="n"/>
      <c r="AF488" s="51" t="n">
        <v>0</v>
      </c>
      <c r="AG488" s="156" t="inlineStr">
        <is>
          <t>Catálogo existente</t>
        </is>
      </c>
      <c r="AH4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8" s="156" t="inlineStr">
        <is>
          <t>No</t>
        </is>
      </c>
      <c r="AJ488" s="156" t="n"/>
      <c r="AK488" s="155" t="inlineStr">
        <is>
          <t>Criterios: I [Q]; G1522_Extraccion_Articulos_NetSuite_2026-09-30.xlsx: fila 59060 [R] | Shopify Stetson: producto 15054564393323 / variante 53350552306027</t>
        </is>
      </c>
      <c r="AL488" s="58" t="n">
        <v>1982.1</v>
      </c>
      <c r="AM488" s="58" t="n">
        <v>11206.89655</v>
      </c>
      <c r="AN488" s="155" t="inlineStr">
        <is>
          <t>Shopify Stetson México</t>
        </is>
      </c>
      <c r="AO488" s="59" t="n">
        <v>0</v>
      </c>
      <c r="AP488" s="59" t="n"/>
      <c r="AQ488" s="59" t="n"/>
      <c r="AR488" s="155" t="n"/>
    </row>
    <row r="489">
      <c r="A489" s="50" t="inlineStr">
        <is>
          <t>12020005111020032</t>
        </is>
      </c>
      <c r="B489" s="51" t="inlineStr">
        <is>
          <t>111386</t>
        </is>
      </c>
      <c r="C489" s="156" t="inlineStr">
        <is>
          <t>Multimarca</t>
        </is>
      </c>
      <c r="D489" s="156" t="inlineStr">
        <is>
          <t>12-020-BS005-11-1020</t>
        </is>
      </c>
      <c r="E489" s="156" t="inlineStr">
        <is>
          <t>12-020-BS005-11-1020-032</t>
        </is>
      </c>
      <c r="F489" s="156" t="inlineStr">
        <is>
          <t>32</t>
        </is>
      </c>
      <c r="G489" s="156" t="inlineStr">
        <is>
          <t>14</t>
        </is>
      </c>
      <c r="H489" s="156" t="inlineStr">
        <is>
          <t>Stetson</t>
        </is>
      </c>
      <c r="I489" s="156" t="inlineStr">
        <is>
          <t>Bota Caimán Negro</t>
        </is>
      </c>
      <c r="J489" s="156" t="inlineStr">
        <is>
          <t>Calzado</t>
        </is>
      </c>
      <c r="K489" s="156" t="inlineStr">
        <is>
          <t>Botas</t>
        </is>
      </c>
      <c r="L489" s="156" t="inlineStr">
        <is>
          <t>Hombre</t>
        </is>
      </c>
      <c r="M489" s="156" t="inlineStr">
        <is>
          <t>Stetson</t>
        </is>
      </c>
      <c r="N489" s="156" t="inlineStr">
        <is>
          <t>SS26</t>
        </is>
      </c>
      <c r="O489" s="156" t="inlineStr">
        <is>
          <t>Seasonal</t>
        </is>
      </c>
      <c r="P489" s="156" t="inlineStr">
        <is>
          <t>Negro</t>
        </is>
      </c>
      <c r="Q489" s="156" t="n"/>
      <c r="R489" s="156" t="inlineStr">
        <is>
          <t>Punta Cuadrada Ancha</t>
        </is>
      </c>
      <c r="S489" s="156" t="inlineStr">
        <is>
          <t>Piel de caimán</t>
        </is>
      </c>
      <c r="T489" s="156" t="inlineStr">
        <is>
          <t>Bota Caballero Piel de caimán Negro Punta Cuadrada Ancha</t>
        </is>
      </c>
      <c r="U489" s="156" t="inlineStr">
        <is>
          <t>México</t>
        </is>
      </c>
      <c r="V489" s="156" t="inlineStr">
        <is>
          <t>PRS</t>
        </is>
      </c>
      <c r="W489" s="51" t="inlineStr">
        <is>
          <t>53111501</t>
        </is>
      </c>
      <c r="X489" s="156" t="n"/>
      <c r="Y489" s="54" t="n">
        <v>1982.1</v>
      </c>
      <c r="Z489" s="54" t="n">
        <v>11206.89655</v>
      </c>
      <c r="AA489" s="55">
        <f>IF(AND(A489="", B489="", E489=""), "", IF(AB489="", "Válido", IF((LEN(AB489)-LEN(SUBSTITUTE(AB489,"; ","")))/2+1&gt;(LEN(AB489)-LEN(SUBSTITUTE(AB489,"[Aviso]","")))/7, "Con Incidencias", "Válido")))</f>
        <v/>
      </c>
      <c r="AB489" s="56">
        <f>IF(AND(A489="", B489="", E489=""), "", TEXTJOIN("; ", TRUE, IF(OR(TRIM(A489&amp;"")="", ISNUMBER(SEARCH("FALTA", A489))), "UPC faltante/inválido", ""), IF(AND(A489&lt;&gt;"", IFERROR(_xlfn.XMATCH(A489,$A$2:$A$2509,0,1)&lt;&gt;_xlfn.XMATCH(A489,$A$2:$A$2509,0,-1),FALSE)), "Código de barras duplicado", ""), IF(AND(E489&lt;&gt;"", COUNTIF($E$2:$E$2509, E489)&gt;1), "SKU duplicado", ""), IF(OR(J489="", J489=""), "[Aviso] División no capturada ()", IF(ISNA(MATCH(J489, Criterios!$A$123:$A$126, 0)), "División no válida", "")), IF(OR(K489="", K489=""), "[Aviso] Categoría no capturada ()", IF(ISNA(MATCH(K489, Criterios!$A$81:$A$120, 0)), "Categoría no válida", IF(AND(J489&lt;&gt;"", J489&lt;&gt;"", J489&lt;&gt;VLOOKUP(K489, Criterios!$A$81:$B$120, 2, FALSE)), "División no coincide con Categoría", ""))), IF(OR(L489="", L489=""), "[Aviso] Género no capturado ()", IF(ISNA(MATCH(L489, Criterios!$B$123:$B$127, 0)), "Género no válido", "")), IF(OR(N489="", N489=""), "[Aviso] Temporada no capturada ()", IF(ISNA(MATCH(N489, Criterios!$C$123:$C$128, 0)), "Temporada no válida", "")), IF(OR(O489="", O489=""), "[Aviso] Ciclo de vida no capturado ()", IF(ISNA(MATCH(O489, Criterios!$D$123:$D$124, 0)), "Ciclo de vida no válido", ""))))</f>
        <v/>
      </c>
      <c r="AC489" s="56" t="n"/>
      <c r="AD489" s="51" t="n">
        <v>0</v>
      </c>
      <c r="AE489" s="156" t="n"/>
      <c r="AF489" s="51" t="n">
        <v>0</v>
      </c>
      <c r="AG489" s="156" t="inlineStr">
        <is>
          <t>Catálogo existente</t>
        </is>
      </c>
      <c r="AH4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9" s="156" t="inlineStr">
        <is>
          <t>No</t>
        </is>
      </c>
      <c r="AJ489" s="156" t="n"/>
      <c r="AK489" s="155" t="inlineStr">
        <is>
          <t>Criterios: I [Q]; G1522_Extraccion_Articulos_NetSuite_2026-09-30.xlsx: fila 59061 [R] | Shopify Stetson: producto 15054564393323 / variante 53350552371563</t>
        </is>
      </c>
      <c r="AL489" s="58" t="n">
        <v>1982.1</v>
      </c>
      <c r="AM489" s="58" t="n">
        <v>11206.89655</v>
      </c>
      <c r="AN489" s="155" t="inlineStr">
        <is>
          <t>Shopify Stetson México</t>
        </is>
      </c>
      <c r="AO489" s="59" t="n">
        <v>0</v>
      </c>
      <c r="AP489" s="59" t="n"/>
      <c r="AQ489" s="59" t="n"/>
      <c r="AR489" s="155" t="n"/>
    </row>
    <row r="490">
      <c r="A490" s="50" t="inlineStr">
        <is>
          <t>12020005111020255</t>
        </is>
      </c>
      <c r="B490" s="51" t="inlineStr">
        <is>
          <t>111387</t>
        </is>
      </c>
      <c r="C490" s="156" t="inlineStr">
        <is>
          <t>Multimarca</t>
        </is>
      </c>
      <c r="D490" s="156" t="inlineStr">
        <is>
          <t>12-020-BS005-11-1020</t>
        </is>
      </c>
      <c r="E490" s="156" t="inlineStr">
        <is>
          <t>12-020-BS005-11-1020-255</t>
        </is>
      </c>
      <c r="F490" s="156" t="inlineStr">
        <is>
          <t>25.5</t>
        </is>
      </c>
      <c r="G490" s="156" t="inlineStr">
        <is>
          <t>7.5</t>
        </is>
      </c>
      <c r="H490" s="156" t="inlineStr">
        <is>
          <t>Stetson</t>
        </is>
      </c>
      <c r="I490" s="156" t="inlineStr">
        <is>
          <t>Bota Caimán Negro</t>
        </is>
      </c>
      <c r="J490" s="156" t="inlineStr">
        <is>
          <t>Calzado</t>
        </is>
      </c>
      <c r="K490" s="156" t="inlineStr">
        <is>
          <t>Botas</t>
        </is>
      </c>
      <c r="L490" s="156" t="inlineStr">
        <is>
          <t>Hombre</t>
        </is>
      </c>
      <c r="M490" s="156" t="inlineStr">
        <is>
          <t>Stetson</t>
        </is>
      </c>
      <c r="N490" s="156" t="inlineStr">
        <is>
          <t>SS26</t>
        </is>
      </c>
      <c r="O490" s="156" t="inlineStr">
        <is>
          <t>Seasonal</t>
        </is>
      </c>
      <c r="P490" s="156" t="inlineStr">
        <is>
          <t>Negro</t>
        </is>
      </c>
      <c r="Q490" s="156" t="n"/>
      <c r="R490" s="156" t="inlineStr">
        <is>
          <t>Punta Cuadrada Ancha</t>
        </is>
      </c>
      <c r="S490" s="156" t="inlineStr">
        <is>
          <t>Piel de caimán</t>
        </is>
      </c>
      <c r="T490" s="156" t="inlineStr">
        <is>
          <t>Bota Caballero Piel de caimán Negro Punta Cuadrada Ancha</t>
        </is>
      </c>
      <c r="U490" s="156" t="inlineStr">
        <is>
          <t>México</t>
        </is>
      </c>
      <c r="V490" s="156" t="inlineStr">
        <is>
          <t>PRS</t>
        </is>
      </c>
      <c r="W490" s="51" t="inlineStr">
        <is>
          <t>53111501</t>
        </is>
      </c>
      <c r="X490" s="156" t="n"/>
      <c r="Y490" s="54" t="n">
        <v>1982.1</v>
      </c>
      <c r="Z490" s="54" t="n">
        <v>11206.89655</v>
      </c>
      <c r="AA490" s="55">
        <f>IF(AND(A490="", B490="", E490=""), "", IF(AB490="", "Válido", IF((LEN(AB490)-LEN(SUBSTITUTE(AB490,"; ","")))/2+1&gt;(LEN(AB490)-LEN(SUBSTITUTE(AB490,"[Aviso]","")))/7, "Con Incidencias", "Válido")))</f>
        <v/>
      </c>
      <c r="AB490" s="56">
        <f>IF(AND(A490="", B490="", E490=""), "", TEXTJOIN("; ", TRUE, IF(OR(TRIM(A490&amp;"")="", ISNUMBER(SEARCH("FALTA", A490))), "UPC faltante/inválido", ""), IF(AND(A490&lt;&gt;"", IFERROR(_xlfn.XMATCH(A490,$A$2:$A$2509,0,1)&lt;&gt;_xlfn.XMATCH(A490,$A$2:$A$2509,0,-1),FALSE)), "Código de barras duplicado", ""), IF(AND(E490&lt;&gt;"", COUNTIF($E$2:$E$2509, E490)&gt;1), "SKU duplicado", ""), IF(OR(J490="", J490=""), "[Aviso] División no capturada ()", IF(ISNA(MATCH(J490, Criterios!$A$123:$A$126, 0)), "División no válida", "")), IF(OR(K490="", K490=""), "[Aviso] Categoría no capturada ()", IF(ISNA(MATCH(K490, Criterios!$A$81:$A$120, 0)), "Categoría no válida", IF(AND(J490&lt;&gt;"", J490&lt;&gt;"", J490&lt;&gt;VLOOKUP(K490, Criterios!$A$81:$B$120, 2, FALSE)), "División no coincide con Categoría", ""))), IF(OR(L490="", L490=""), "[Aviso] Género no capturado ()", IF(ISNA(MATCH(L490, Criterios!$B$123:$B$127, 0)), "Género no válido", "")), IF(OR(N490="", N490=""), "[Aviso] Temporada no capturada ()", IF(ISNA(MATCH(N490, Criterios!$C$123:$C$128, 0)), "Temporada no válida", "")), IF(OR(O490="", O490=""), "[Aviso] Ciclo de vida no capturado ()", IF(ISNA(MATCH(O490, Criterios!$D$123:$D$124, 0)), "Ciclo de vida no válido", ""))))</f>
        <v/>
      </c>
      <c r="AC490" s="56" t="n"/>
      <c r="AD490" s="51" t="n">
        <v>0</v>
      </c>
      <c r="AE490" s="156" t="n"/>
      <c r="AF490" s="51" t="n">
        <v>0</v>
      </c>
      <c r="AG490" s="156" t="inlineStr">
        <is>
          <t>Catálogo existente</t>
        </is>
      </c>
      <c r="AH4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0" s="156" t="inlineStr">
        <is>
          <t>No</t>
        </is>
      </c>
      <c r="AJ490" s="156" t="n"/>
      <c r="AK490" s="155" t="inlineStr">
        <is>
          <t>Criterios: I [Q]; G1522_Extraccion_Articulos_NetSuite_2026-09-30.xlsx: fila 59062 [R] | Shopify Stetson: producto 15054564393323 / variante 53350551945579</t>
        </is>
      </c>
      <c r="AL490" s="58" t="n">
        <v>1982.1</v>
      </c>
      <c r="AM490" s="58" t="n">
        <v>11206.89655</v>
      </c>
      <c r="AN490" s="155" t="inlineStr">
        <is>
          <t>Shopify Stetson México</t>
        </is>
      </c>
      <c r="AO490" s="59" t="n">
        <v>0</v>
      </c>
      <c r="AP490" s="59" t="n"/>
      <c r="AQ490" s="59" t="n"/>
      <c r="AR490" s="155" t="n"/>
    </row>
    <row r="491">
      <c r="A491" s="50" t="inlineStr">
        <is>
          <t>12020005111020265</t>
        </is>
      </c>
      <c r="B491" s="51" t="inlineStr">
        <is>
          <t>111388</t>
        </is>
      </c>
      <c r="C491" s="156" t="inlineStr">
        <is>
          <t>Multimarca</t>
        </is>
      </c>
      <c r="D491" s="156" t="inlineStr">
        <is>
          <t>12-020-BS005-11-1020</t>
        </is>
      </c>
      <c r="E491" s="156" t="inlineStr">
        <is>
          <t>12-020-BS005-11-1020-265</t>
        </is>
      </c>
      <c r="F491" s="156" t="inlineStr">
        <is>
          <t>26.5</t>
        </is>
      </c>
      <c r="G491" s="156" t="inlineStr">
        <is>
          <t>8.5</t>
        </is>
      </c>
      <c r="H491" s="156" t="inlineStr">
        <is>
          <t>Stetson</t>
        </is>
      </c>
      <c r="I491" s="156" t="inlineStr">
        <is>
          <t>Bota Caimán Negro</t>
        </is>
      </c>
      <c r="J491" s="156" t="inlineStr">
        <is>
          <t>Calzado</t>
        </is>
      </c>
      <c r="K491" s="156" t="inlineStr">
        <is>
          <t>Botas</t>
        </is>
      </c>
      <c r="L491" s="156" t="inlineStr">
        <is>
          <t>Hombre</t>
        </is>
      </c>
      <c r="M491" s="156" t="inlineStr">
        <is>
          <t>Stetson</t>
        </is>
      </c>
      <c r="N491" s="156" t="inlineStr">
        <is>
          <t>SS26</t>
        </is>
      </c>
      <c r="O491" s="156" t="inlineStr">
        <is>
          <t>Seasonal</t>
        </is>
      </c>
      <c r="P491" s="156" t="inlineStr">
        <is>
          <t>Negro</t>
        </is>
      </c>
      <c r="Q491" s="156" t="n"/>
      <c r="R491" s="156" t="inlineStr">
        <is>
          <t>Punta Cuadrada Ancha</t>
        </is>
      </c>
      <c r="S491" s="156" t="inlineStr">
        <is>
          <t>Piel de caimán</t>
        </is>
      </c>
      <c r="T491" s="156" t="inlineStr">
        <is>
          <t>Bota Caballero Piel de caimán Negro Punta Cuadrada Ancha</t>
        </is>
      </c>
      <c r="U491" s="156" t="inlineStr">
        <is>
          <t>México</t>
        </is>
      </c>
      <c r="V491" s="156" t="inlineStr">
        <is>
          <t>PRS</t>
        </is>
      </c>
      <c r="W491" s="51" t="inlineStr">
        <is>
          <t>53111501</t>
        </is>
      </c>
      <c r="X491" s="156" t="n"/>
      <c r="Y491" s="54" t="n">
        <v>1982.1</v>
      </c>
      <c r="Z491" s="54" t="n">
        <v>11206.89655</v>
      </c>
      <c r="AA491" s="55">
        <f>IF(AND(A491="", B491="", E491=""), "", IF(AB491="", "Válido", IF((LEN(AB491)-LEN(SUBSTITUTE(AB491,"; ","")))/2+1&gt;(LEN(AB491)-LEN(SUBSTITUTE(AB491,"[Aviso]","")))/7, "Con Incidencias", "Válido")))</f>
        <v/>
      </c>
      <c r="AB491" s="56">
        <f>IF(AND(A491="", B491="", E491=""), "", TEXTJOIN("; ", TRUE, IF(OR(TRIM(A491&amp;"")="", ISNUMBER(SEARCH("FALTA", A491))), "UPC faltante/inválido", ""), IF(AND(A491&lt;&gt;"", IFERROR(_xlfn.XMATCH(A491,$A$2:$A$2509,0,1)&lt;&gt;_xlfn.XMATCH(A491,$A$2:$A$2509,0,-1),FALSE)), "Código de barras duplicado", ""), IF(AND(E491&lt;&gt;"", COUNTIF($E$2:$E$2509, E491)&gt;1), "SKU duplicado", ""), IF(OR(J491="", J491=""), "[Aviso] División no capturada ()", IF(ISNA(MATCH(J491, Criterios!$A$123:$A$126, 0)), "División no válida", "")), IF(OR(K491="", K491=""), "[Aviso] Categoría no capturada ()", IF(ISNA(MATCH(K491, Criterios!$A$81:$A$120, 0)), "Categoría no válida", IF(AND(J491&lt;&gt;"", J491&lt;&gt;"", J491&lt;&gt;VLOOKUP(K491, Criterios!$A$81:$B$120, 2, FALSE)), "División no coincide con Categoría", ""))), IF(OR(L491="", L491=""), "[Aviso] Género no capturado ()", IF(ISNA(MATCH(L491, Criterios!$B$123:$B$127, 0)), "Género no válido", "")), IF(OR(N491="", N491=""), "[Aviso] Temporada no capturada ()", IF(ISNA(MATCH(N491, Criterios!$C$123:$C$128, 0)), "Temporada no válida", "")), IF(OR(O491="", O491=""), "[Aviso] Ciclo de vida no capturado ()", IF(ISNA(MATCH(O491, Criterios!$D$123:$D$124, 0)), "Ciclo de vida no válido", ""))))</f>
        <v/>
      </c>
      <c r="AC491" s="56" t="n"/>
      <c r="AD491" s="51" t="n">
        <v>1</v>
      </c>
      <c r="AE491" s="156" t="inlineStr">
        <is>
          <t>STETSON AMERICAS (1)</t>
        </is>
      </c>
      <c r="AF491" s="51" t="n">
        <v>1</v>
      </c>
      <c r="AG491" s="156" t="inlineStr">
        <is>
          <t>Catálogo existente</t>
        </is>
      </c>
      <c r="AH4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1" s="156" t="inlineStr">
        <is>
          <t>No</t>
        </is>
      </c>
      <c r="AJ491" s="156" t="n"/>
      <c r="AK491" s="155" t="inlineStr">
        <is>
          <t>Criterios: I [Q]; G1522_Extraccion_Articulos_NetSuite_2026-09-30.xlsx: fila 59063 [R] | Shopify Stetson: producto 15054564393323 / variante 53350552011115</t>
        </is>
      </c>
      <c r="AL491" s="58" t="n">
        <v>1982.1</v>
      </c>
      <c r="AM491" s="58" t="n">
        <v>11206.89655</v>
      </c>
      <c r="AN491" s="155" t="inlineStr">
        <is>
          <t>Shopify Stetson México</t>
        </is>
      </c>
      <c r="AO491" s="59" t="n">
        <v>1</v>
      </c>
      <c r="AP491" s="59" t="n"/>
      <c r="AQ491" s="59" t="n"/>
      <c r="AR491" s="155" t="inlineStr">
        <is>
          <t>Shopify Stetson México › Stetson Americas: 1</t>
        </is>
      </c>
    </row>
    <row r="492">
      <c r="A492" s="50" t="inlineStr">
        <is>
          <t>12020005111020275</t>
        </is>
      </c>
      <c r="B492" s="51" t="inlineStr">
        <is>
          <t>111389</t>
        </is>
      </c>
      <c r="C492" s="156" t="inlineStr">
        <is>
          <t>Multimarca</t>
        </is>
      </c>
      <c r="D492" s="156" t="inlineStr">
        <is>
          <t>12-020-BS005-11-1020</t>
        </is>
      </c>
      <c r="E492" s="156" t="inlineStr">
        <is>
          <t>12-020-BS005-11-1020-275</t>
        </is>
      </c>
      <c r="F492" s="156" t="inlineStr">
        <is>
          <t>27.5</t>
        </is>
      </c>
      <c r="G492" s="156" t="inlineStr">
        <is>
          <t>9.5</t>
        </is>
      </c>
      <c r="H492" s="156" t="inlineStr">
        <is>
          <t>Stetson</t>
        </is>
      </c>
      <c r="I492" s="156" t="inlineStr">
        <is>
          <t>Bota Caimán Negro</t>
        </is>
      </c>
      <c r="J492" s="156" t="inlineStr">
        <is>
          <t>Calzado</t>
        </is>
      </c>
      <c r="K492" s="156" t="inlineStr">
        <is>
          <t>Botas</t>
        </is>
      </c>
      <c r="L492" s="156" t="inlineStr">
        <is>
          <t>Hombre</t>
        </is>
      </c>
      <c r="M492" s="156" t="inlineStr">
        <is>
          <t>Stetson</t>
        </is>
      </c>
      <c r="N492" s="156" t="inlineStr">
        <is>
          <t>SS26</t>
        </is>
      </c>
      <c r="O492" s="156" t="inlineStr">
        <is>
          <t>Seasonal</t>
        </is>
      </c>
      <c r="P492" s="156" t="inlineStr">
        <is>
          <t>Negro</t>
        </is>
      </c>
      <c r="Q492" s="156" t="n"/>
      <c r="R492" s="156" t="inlineStr">
        <is>
          <t>Punta Cuadrada Ancha</t>
        </is>
      </c>
      <c r="S492" s="156" t="inlineStr">
        <is>
          <t>Piel de caimán</t>
        </is>
      </c>
      <c r="T492" s="156" t="inlineStr">
        <is>
          <t>Bota Caballero Piel de caimán Negro Punta Cuadrada Ancha</t>
        </is>
      </c>
      <c r="U492" s="156" t="inlineStr">
        <is>
          <t>México</t>
        </is>
      </c>
      <c r="V492" s="156" t="inlineStr">
        <is>
          <t>PRS</t>
        </is>
      </c>
      <c r="W492" s="51" t="inlineStr">
        <is>
          <t>53111501</t>
        </is>
      </c>
      <c r="X492" s="156" t="n"/>
      <c r="Y492" s="54" t="n">
        <v>1982.1</v>
      </c>
      <c r="Z492" s="54" t="n">
        <v>11206.89655</v>
      </c>
      <c r="AA492" s="55">
        <f>IF(AND(A492="", B492="", E492=""), "", IF(AB492="", "Válido", IF((LEN(AB492)-LEN(SUBSTITUTE(AB492,"; ","")))/2+1&gt;(LEN(AB492)-LEN(SUBSTITUTE(AB492,"[Aviso]","")))/7, "Con Incidencias", "Válido")))</f>
        <v/>
      </c>
      <c r="AB492" s="56">
        <f>IF(AND(A492="", B492="", E492=""), "", TEXTJOIN("; ", TRUE, IF(OR(TRIM(A492&amp;"")="", ISNUMBER(SEARCH("FALTA", A492))), "UPC faltante/inválido", ""), IF(AND(A492&lt;&gt;"", IFERROR(_xlfn.XMATCH(A492,$A$2:$A$2509,0,1)&lt;&gt;_xlfn.XMATCH(A492,$A$2:$A$2509,0,-1),FALSE)), "Código de barras duplicado", ""), IF(AND(E492&lt;&gt;"", COUNTIF($E$2:$E$2509, E492)&gt;1), "SKU duplicado", ""), IF(OR(J492="", J492=""), "[Aviso] División no capturada ()", IF(ISNA(MATCH(J492, Criterios!$A$123:$A$126, 0)), "División no válida", "")), IF(OR(K492="", K492=""), "[Aviso] Categoría no capturada ()", IF(ISNA(MATCH(K492, Criterios!$A$81:$A$120, 0)), "Categoría no válida", IF(AND(J492&lt;&gt;"", J492&lt;&gt;"", J492&lt;&gt;VLOOKUP(K492, Criterios!$A$81:$B$120, 2, FALSE)), "División no coincide con Categoría", ""))), IF(OR(L492="", L492=""), "[Aviso] Género no capturado ()", IF(ISNA(MATCH(L492, Criterios!$B$123:$B$127, 0)), "Género no válido", "")), IF(OR(N492="", N492=""), "[Aviso] Temporada no capturada ()", IF(ISNA(MATCH(N492, Criterios!$C$123:$C$128, 0)), "Temporada no válida", "")), IF(OR(O492="", O492=""), "[Aviso] Ciclo de vida no capturado ()", IF(ISNA(MATCH(O492, Criterios!$D$123:$D$124, 0)), "Ciclo de vida no válido", ""))))</f>
        <v/>
      </c>
      <c r="AC492" s="56" t="n"/>
      <c r="AD492" s="51" t="n">
        <v>1</v>
      </c>
      <c r="AE492" s="156" t="inlineStr">
        <is>
          <t>STETSON AMERICAS (1)</t>
        </is>
      </c>
      <c r="AF492" s="51" t="n">
        <v>1</v>
      </c>
      <c r="AG492" s="156" t="inlineStr">
        <is>
          <t>Catálogo existente</t>
        </is>
      </c>
      <c r="AH4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2" s="156" t="inlineStr">
        <is>
          <t>No</t>
        </is>
      </c>
      <c r="AJ492" s="156" t="n"/>
      <c r="AK492" s="155" t="inlineStr">
        <is>
          <t>Criterios: I [Q]; G1522_Extraccion_Articulos_NetSuite_2026-09-30.xlsx: fila 59064 [R] | Shopify Stetson: producto 15054564393323 / variante 53350552076651</t>
        </is>
      </c>
      <c r="AL492" s="58" t="n">
        <v>1982.1</v>
      </c>
      <c r="AM492" s="58" t="n">
        <v>11206.89655</v>
      </c>
      <c r="AN492" s="155" t="inlineStr">
        <is>
          <t>Shopify Stetson México</t>
        </is>
      </c>
      <c r="AO492" s="59" t="n">
        <v>1</v>
      </c>
      <c r="AP492" s="59" t="n"/>
      <c r="AQ492" s="59" t="n"/>
      <c r="AR492" s="155" t="inlineStr">
        <is>
          <t>Shopify Stetson México › Stetson Americas: 1</t>
        </is>
      </c>
    </row>
    <row r="493">
      <c r="A493" s="50" t="inlineStr">
        <is>
          <t>12020005111020285</t>
        </is>
      </c>
      <c r="B493" s="51" t="inlineStr">
        <is>
          <t>111390</t>
        </is>
      </c>
      <c r="C493" s="156" t="inlineStr">
        <is>
          <t>Multimarca</t>
        </is>
      </c>
      <c r="D493" s="156" t="inlineStr">
        <is>
          <t>12-020-BS005-11-1020</t>
        </is>
      </c>
      <c r="E493" s="156" t="inlineStr">
        <is>
          <t>12-020-BS005-11-1020-285</t>
        </is>
      </c>
      <c r="F493" s="156" t="inlineStr">
        <is>
          <t>28.5</t>
        </is>
      </c>
      <c r="G493" s="156" t="inlineStr">
        <is>
          <t>10.5</t>
        </is>
      </c>
      <c r="H493" s="156" t="inlineStr">
        <is>
          <t>Stetson</t>
        </is>
      </c>
      <c r="I493" s="156" t="inlineStr">
        <is>
          <t>Bota Caimán Negro</t>
        </is>
      </c>
      <c r="J493" s="156" t="inlineStr">
        <is>
          <t>Calzado</t>
        </is>
      </c>
      <c r="K493" s="156" t="inlineStr">
        <is>
          <t>Botas</t>
        </is>
      </c>
      <c r="L493" s="156" t="inlineStr">
        <is>
          <t>Hombre</t>
        </is>
      </c>
      <c r="M493" s="156" t="inlineStr">
        <is>
          <t>Stetson</t>
        </is>
      </c>
      <c r="N493" s="156" t="inlineStr">
        <is>
          <t>SS26</t>
        </is>
      </c>
      <c r="O493" s="156" t="inlineStr">
        <is>
          <t>Seasonal</t>
        </is>
      </c>
      <c r="P493" s="156" t="inlineStr">
        <is>
          <t>Negro</t>
        </is>
      </c>
      <c r="Q493" s="156" t="n"/>
      <c r="R493" s="156" t="inlineStr">
        <is>
          <t>Punta Cuadrada Ancha</t>
        </is>
      </c>
      <c r="S493" s="156" t="inlineStr">
        <is>
          <t>Piel de caimán</t>
        </is>
      </c>
      <c r="T493" s="156" t="inlineStr">
        <is>
          <t>Bota Caballero Piel de caimán Negro Punta Cuadrada Ancha</t>
        </is>
      </c>
      <c r="U493" s="156" t="inlineStr">
        <is>
          <t>México</t>
        </is>
      </c>
      <c r="V493" s="156" t="inlineStr">
        <is>
          <t>PRS</t>
        </is>
      </c>
      <c r="W493" s="51" t="inlineStr">
        <is>
          <t>53111501</t>
        </is>
      </c>
      <c r="X493" s="156" t="n"/>
      <c r="Y493" s="54" t="n">
        <v>1982.1</v>
      </c>
      <c r="Z493" s="54" t="n">
        <v>11206.89655</v>
      </c>
      <c r="AA493" s="55">
        <f>IF(AND(A493="", B493="", E493=""), "", IF(AB493="", "Válido", IF((LEN(AB493)-LEN(SUBSTITUTE(AB493,"; ","")))/2+1&gt;(LEN(AB493)-LEN(SUBSTITUTE(AB493,"[Aviso]","")))/7, "Con Incidencias", "Válido")))</f>
        <v/>
      </c>
      <c r="AB493" s="56">
        <f>IF(AND(A493="", B493="", E493=""), "", TEXTJOIN("; ", TRUE, IF(OR(TRIM(A493&amp;"")="", ISNUMBER(SEARCH("FALTA", A493))), "UPC faltante/inválido", ""), IF(AND(A493&lt;&gt;"", IFERROR(_xlfn.XMATCH(A493,$A$2:$A$2509,0,1)&lt;&gt;_xlfn.XMATCH(A493,$A$2:$A$2509,0,-1),FALSE)), "Código de barras duplicado", ""), IF(AND(E493&lt;&gt;"", COUNTIF($E$2:$E$2509, E493)&gt;1), "SKU duplicado", ""), IF(OR(J493="", J493=""), "[Aviso] División no capturada ()", IF(ISNA(MATCH(J493, Criterios!$A$123:$A$126, 0)), "División no válida", "")), IF(OR(K493="", K493=""), "[Aviso] Categoría no capturada ()", IF(ISNA(MATCH(K493, Criterios!$A$81:$A$120, 0)), "Categoría no válida", IF(AND(J493&lt;&gt;"", J493&lt;&gt;"", J493&lt;&gt;VLOOKUP(K493, Criterios!$A$81:$B$120, 2, FALSE)), "División no coincide con Categoría", ""))), IF(OR(L493="", L493=""), "[Aviso] Género no capturado ()", IF(ISNA(MATCH(L493, Criterios!$B$123:$B$127, 0)), "Género no válido", "")), IF(OR(N493="", N493=""), "[Aviso] Temporada no capturada ()", IF(ISNA(MATCH(N493, Criterios!$C$123:$C$128, 0)), "Temporada no válida", "")), IF(OR(O493="", O493=""), "[Aviso] Ciclo de vida no capturado ()", IF(ISNA(MATCH(O493, Criterios!$D$123:$D$124, 0)), "Ciclo de vida no válido", ""))))</f>
        <v/>
      </c>
      <c r="AC493" s="56" t="n"/>
      <c r="AD493" s="51" t="n">
        <v>1</v>
      </c>
      <c r="AE493" s="156" t="inlineStr">
        <is>
          <t>STETSON AMERICAS (1)</t>
        </is>
      </c>
      <c r="AF493" s="51" t="n">
        <v>1</v>
      </c>
      <c r="AG493" s="156" t="inlineStr">
        <is>
          <t>Catálogo existente</t>
        </is>
      </c>
      <c r="AH4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3" s="156" t="inlineStr">
        <is>
          <t>No</t>
        </is>
      </c>
      <c r="AJ493" s="156" t="n"/>
      <c r="AK493" s="155" t="inlineStr">
        <is>
          <t>Criterios: I [Q]; G1522_Extraccion_Articulos_NetSuite_2026-09-30.xlsx: fila 59065 [R] | Shopify Stetson: producto 15054564393323 / variante 53350552142187</t>
        </is>
      </c>
      <c r="AL493" s="58" t="n">
        <v>1982.1</v>
      </c>
      <c r="AM493" s="58" t="n">
        <v>11206.89655</v>
      </c>
      <c r="AN493" s="155" t="inlineStr">
        <is>
          <t>Shopify Stetson México</t>
        </is>
      </c>
      <c r="AO493" s="59" t="n">
        <v>1</v>
      </c>
      <c r="AP493" s="59" t="n"/>
      <c r="AQ493" s="59" t="n"/>
      <c r="AR493" s="155" t="inlineStr">
        <is>
          <t>Shopify Stetson México › Stetson Americas: 1</t>
        </is>
      </c>
    </row>
    <row r="494">
      <c r="A494" s="50" t="inlineStr">
        <is>
          <t>12020005111020295</t>
        </is>
      </c>
      <c r="B494" s="51" t="inlineStr">
        <is>
          <t>111391</t>
        </is>
      </c>
      <c r="C494" s="156" t="inlineStr">
        <is>
          <t>Multimarca</t>
        </is>
      </c>
      <c r="D494" s="156" t="inlineStr">
        <is>
          <t>12-020-BS005-11-1020</t>
        </is>
      </c>
      <c r="E494" s="156" t="inlineStr">
        <is>
          <t>12-020-BS005-11-1020-295</t>
        </is>
      </c>
      <c r="F494" s="156" t="inlineStr">
        <is>
          <t>29.5</t>
        </is>
      </c>
      <c r="G494" s="156" t="inlineStr">
        <is>
          <t>11.5</t>
        </is>
      </c>
      <c r="H494" s="156" t="inlineStr">
        <is>
          <t>Stetson</t>
        </is>
      </c>
      <c r="I494" s="156" t="inlineStr">
        <is>
          <t>Bota Caimán Negro</t>
        </is>
      </c>
      <c r="J494" s="156" t="inlineStr">
        <is>
          <t>Calzado</t>
        </is>
      </c>
      <c r="K494" s="156" t="inlineStr">
        <is>
          <t>Botas</t>
        </is>
      </c>
      <c r="L494" s="156" t="inlineStr">
        <is>
          <t>Hombre</t>
        </is>
      </c>
      <c r="M494" s="156" t="inlineStr">
        <is>
          <t>Stetson</t>
        </is>
      </c>
      <c r="N494" s="156" t="inlineStr">
        <is>
          <t>SS26</t>
        </is>
      </c>
      <c r="O494" s="156" t="inlineStr">
        <is>
          <t>Seasonal</t>
        </is>
      </c>
      <c r="P494" s="156" t="inlineStr">
        <is>
          <t>Negro</t>
        </is>
      </c>
      <c r="Q494" s="156" t="n"/>
      <c r="R494" s="156" t="inlineStr">
        <is>
          <t>Punta Cuadrada Ancha</t>
        </is>
      </c>
      <c r="S494" s="156" t="inlineStr">
        <is>
          <t>Piel de caimán</t>
        </is>
      </c>
      <c r="T494" s="156" t="inlineStr">
        <is>
          <t>Bota Caballero Piel de caimán Negro Punta Cuadrada Ancha</t>
        </is>
      </c>
      <c r="U494" s="156" t="inlineStr">
        <is>
          <t>México</t>
        </is>
      </c>
      <c r="V494" s="156" t="inlineStr">
        <is>
          <t>PRS</t>
        </is>
      </c>
      <c r="W494" s="51" t="inlineStr">
        <is>
          <t>53111501</t>
        </is>
      </c>
      <c r="X494" s="156" t="n"/>
      <c r="Y494" s="54" t="n">
        <v>1982.1</v>
      </c>
      <c r="Z494" s="54" t="n">
        <v>11206.89655</v>
      </c>
      <c r="AA494" s="55">
        <f>IF(AND(A494="", B494="", E494=""), "", IF(AB494="", "Válido", IF((LEN(AB494)-LEN(SUBSTITUTE(AB494,"; ","")))/2+1&gt;(LEN(AB494)-LEN(SUBSTITUTE(AB494,"[Aviso]","")))/7, "Con Incidencias", "Válido")))</f>
        <v/>
      </c>
      <c r="AB494" s="56">
        <f>IF(AND(A494="", B494="", E494=""), "", TEXTJOIN("; ", TRUE, IF(OR(TRIM(A494&amp;"")="", ISNUMBER(SEARCH("FALTA", A494))), "UPC faltante/inválido", ""), IF(AND(A494&lt;&gt;"", IFERROR(_xlfn.XMATCH(A494,$A$2:$A$2509,0,1)&lt;&gt;_xlfn.XMATCH(A494,$A$2:$A$2509,0,-1),FALSE)), "Código de barras duplicado", ""), IF(AND(E494&lt;&gt;"", COUNTIF($E$2:$E$2509, E494)&gt;1), "SKU duplicado", ""), IF(OR(J494="", J494=""), "[Aviso] División no capturada ()", IF(ISNA(MATCH(J494, Criterios!$A$123:$A$126, 0)), "División no válida", "")), IF(OR(K494="", K494=""), "[Aviso] Categoría no capturada ()", IF(ISNA(MATCH(K494, Criterios!$A$81:$A$120, 0)), "Categoría no válida", IF(AND(J494&lt;&gt;"", J494&lt;&gt;"", J494&lt;&gt;VLOOKUP(K494, Criterios!$A$81:$B$120, 2, FALSE)), "División no coincide con Categoría", ""))), IF(OR(L494="", L494=""), "[Aviso] Género no capturado ()", IF(ISNA(MATCH(L494, Criterios!$B$123:$B$127, 0)), "Género no válido", "")), IF(OR(N494="", N494=""), "[Aviso] Temporada no capturada ()", IF(ISNA(MATCH(N494, Criterios!$C$123:$C$128, 0)), "Temporada no válida", "")), IF(OR(O494="", O494=""), "[Aviso] Ciclo de vida no capturado ()", IF(ISNA(MATCH(O494, Criterios!$D$123:$D$124, 0)), "Ciclo de vida no válido", ""))))</f>
        <v/>
      </c>
      <c r="AC494" s="56" t="n"/>
      <c r="AD494" s="51" t="n">
        <v>1</v>
      </c>
      <c r="AE494" s="156" t="inlineStr">
        <is>
          <t>STETSON AMERICAS (1)</t>
        </is>
      </c>
      <c r="AF494" s="51" t="n">
        <v>1</v>
      </c>
      <c r="AG494" s="156" t="inlineStr">
        <is>
          <t>Catálogo existente</t>
        </is>
      </c>
      <c r="AH4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4" s="156" t="inlineStr">
        <is>
          <t>No</t>
        </is>
      </c>
      <c r="AJ494" s="156" t="n"/>
      <c r="AK494" s="155" t="inlineStr">
        <is>
          <t>Criterios: I [Q]; G1522_Extraccion_Articulos_NetSuite_2026-09-30.xlsx: fila 59066 [R] | Shopify Stetson: producto 15054564393323 / variante 53350552207723</t>
        </is>
      </c>
      <c r="AL494" s="58" t="n">
        <v>1982.1</v>
      </c>
      <c r="AM494" s="58" t="n">
        <v>11206.89655</v>
      </c>
      <c r="AN494" s="155" t="inlineStr">
        <is>
          <t>Shopify Stetson México</t>
        </is>
      </c>
      <c r="AO494" s="59" t="n">
        <v>1</v>
      </c>
      <c r="AP494" s="59" t="n"/>
      <c r="AQ494" s="59" t="n"/>
      <c r="AR494" s="155" t="inlineStr">
        <is>
          <t>Shopify Stetson México › Stetson Americas: 1</t>
        </is>
      </c>
    </row>
    <row r="495">
      <c r="A495" s="50" t="inlineStr">
        <is>
          <t>12020005111020305</t>
        </is>
      </c>
      <c r="B495" s="51" t="inlineStr">
        <is>
          <t>111392</t>
        </is>
      </c>
      <c r="C495" s="156" t="inlineStr">
        <is>
          <t>Multimarca</t>
        </is>
      </c>
      <c r="D495" s="156" t="inlineStr">
        <is>
          <t>12-020-BS005-11-1020</t>
        </is>
      </c>
      <c r="E495" s="156" t="inlineStr">
        <is>
          <t>12-020-BS005-11-1020-305</t>
        </is>
      </c>
      <c r="F495" s="156" t="inlineStr">
        <is>
          <t>30.5</t>
        </is>
      </c>
      <c r="G495" s="156" t="inlineStr">
        <is>
          <t>12.5</t>
        </is>
      </c>
      <c r="H495" s="156" t="inlineStr">
        <is>
          <t>Stetson</t>
        </is>
      </c>
      <c r="I495" s="156" t="inlineStr">
        <is>
          <t>Bota Caimán Negro</t>
        </is>
      </c>
      <c r="J495" s="156" t="inlineStr">
        <is>
          <t>Calzado</t>
        </is>
      </c>
      <c r="K495" s="156" t="inlineStr">
        <is>
          <t>Botas</t>
        </is>
      </c>
      <c r="L495" s="156" t="inlineStr">
        <is>
          <t>Hombre</t>
        </is>
      </c>
      <c r="M495" s="156" t="inlineStr">
        <is>
          <t>Stetson</t>
        </is>
      </c>
      <c r="N495" s="156" t="inlineStr">
        <is>
          <t>SS26</t>
        </is>
      </c>
      <c r="O495" s="156" t="inlineStr">
        <is>
          <t>Seasonal</t>
        </is>
      </c>
      <c r="P495" s="156" t="inlineStr">
        <is>
          <t>Negro</t>
        </is>
      </c>
      <c r="Q495" s="156" t="n"/>
      <c r="R495" s="156" t="inlineStr">
        <is>
          <t>Punta Cuadrada Ancha</t>
        </is>
      </c>
      <c r="S495" s="156" t="inlineStr">
        <is>
          <t>Piel de caimán</t>
        </is>
      </c>
      <c r="T495" s="156" t="inlineStr">
        <is>
          <t>Bota Caballero Piel de caimán Negro Punta Cuadrada Ancha</t>
        </is>
      </c>
      <c r="U495" s="156" t="inlineStr">
        <is>
          <t>México</t>
        </is>
      </c>
      <c r="V495" s="156" t="inlineStr">
        <is>
          <t>PRS</t>
        </is>
      </c>
      <c r="W495" s="51" t="inlineStr">
        <is>
          <t>53111501</t>
        </is>
      </c>
      <c r="X495" s="156" t="n"/>
      <c r="Y495" s="54" t="n">
        <v>1982.1</v>
      </c>
      <c r="Z495" s="54" t="n">
        <v>11206.89655</v>
      </c>
      <c r="AA495" s="55">
        <f>IF(AND(A495="", B495="", E495=""), "", IF(AB495="", "Válido", IF((LEN(AB495)-LEN(SUBSTITUTE(AB495,"; ","")))/2+1&gt;(LEN(AB495)-LEN(SUBSTITUTE(AB495,"[Aviso]","")))/7, "Con Incidencias", "Válido")))</f>
        <v/>
      </c>
      <c r="AB495" s="56">
        <f>IF(AND(A495="", B495="", E495=""), "", TEXTJOIN("; ", TRUE, IF(OR(TRIM(A495&amp;"")="", ISNUMBER(SEARCH("FALTA", A495))), "UPC faltante/inválido", ""), IF(AND(A495&lt;&gt;"", IFERROR(_xlfn.XMATCH(A495,$A$2:$A$2509,0,1)&lt;&gt;_xlfn.XMATCH(A495,$A$2:$A$2509,0,-1),FALSE)), "Código de barras duplicado", ""), IF(AND(E495&lt;&gt;"", COUNTIF($E$2:$E$2509, E495)&gt;1), "SKU duplicado", ""), IF(OR(J495="", J495=""), "[Aviso] División no capturada ()", IF(ISNA(MATCH(J495, Criterios!$A$123:$A$126, 0)), "División no válida", "")), IF(OR(K495="", K495=""), "[Aviso] Categoría no capturada ()", IF(ISNA(MATCH(K495, Criterios!$A$81:$A$120, 0)), "Categoría no válida", IF(AND(J495&lt;&gt;"", J495&lt;&gt;"", J495&lt;&gt;VLOOKUP(K495, Criterios!$A$81:$B$120, 2, FALSE)), "División no coincide con Categoría", ""))), IF(OR(L495="", L495=""), "[Aviso] Género no capturado ()", IF(ISNA(MATCH(L495, Criterios!$B$123:$B$127, 0)), "Género no válido", "")), IF(OR(N495="", N495=""), "[Aviso] Temporada no capturada ()", IF(ISNA(MATCH(N495, Criterios!$C$123:$C$128, 0)), "Temporada no válida", "")), IF(OR(O495="", O495=""), "[Aviso] Ciclo de vida no capturado ()", IF(ISNA(MATCH(O495, Criterios!$D$123:$D$124, 0)), "Ciclo de vida no válido", ""))))</f>
        <v/>
      </c>
      <c r="AC495" s="56" t="n"/>
      <c r="AD495" s="51" t="n">
        <v>0</v>
      </c>
      <c r="AE495" s="156" t="n"/>
      <c r="AF495" s="51" t="n">
        <v>0</v>
      </c>
      <c r="AG495" s="156" t="inlineStr">
        <is>
          <t>Catálogo existente</t>
        </is>
      </c>
      <c r="AH4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5" s="156" t="inlineStr">
        <is>
          <t>No</t>
        </is>
      </c>
      <c r="AJ495" s="156" t="n"/>
      <c r="AK495" s="155" t="inlineStr">
        <is>
          <t>Criterios: I [Q]; G1522_Extraccion_Articulos_NetSuite_2026-09-30.xlsx: fila 59067 [R] | Shopify Stetson: producto 15054564393323 / variante 53350552273259</t>
        </is>
      </c>
      <c r="AL495" s="58" t="n">
        <v>1982.1</v>
      </c>
      <c r="AM495" s="58" t="n">
        <v>11206.89655</v>
      </c>
      <c r="AN495" s="155" t="inlineStr">
        <is>
          <t>Shopify Stetson México</t>
        </is>
      </c>
      <c r="AO495" s="59" t="n">
        <v>0</v>
      </c>
      <c r="AP495" s="59" t="n"/>
      <c r="AQ495" s="59" t="n"/>
      <c r="AR495" s="155" t="n"/>
    </row>
    <row r="496">
      <c r="A496" s="50" t="inlineStr">
        <is>
          <t>12020005111020315</t>
        </is>
      </c>
      <c r="B496" s="51" t="inlineStr">
        <is>
          <t>111393</t>
        </is>
      </c>
      <c r="C496" s="156" t="inlineStr">
        <is>
          <t>Multimarca</t>
        </is>
      </c>
      <c r="D496" s="156" t="inlineStr">
        <is>
          <t>12-020-BS005-11-1020</t>
        </is>
      </c>
      <c r="E496" s="156" t="inlineStr">
        <is>
          <t>12-020-BS005-11-1020-315</t>
        </is>
      </c>
      <c r="F496" s="156" t="inlineStr">
        <is>
          <t>31.5</t>
        </is>
      </c>
      <c r="G496" s="156" t="inlineStr">
        <is>
          <t>13.5</t>
        </is>
      </c>
      <c r="H496" s="156" t="inlineStr">
        <is>
          <t>Stetson</t>
        </is>
      </c>
      <c r="I496" s="156" t="inlineStr">
        <is>
          <t>Bota Caimán Negro</t>
        </is>
      </c>
      <c r="J496" s="156" t="inlineStr">
        <is>
          <t>Calzado</t>
        </is>
      </c>
      <c r="K496" s="156" t="inlineStr">
        <is>
          <t>Botas</t>
        </is>
      </c>
      <c r="L496" s="156" t="inlineStr">
        <is>
          <t>Hombre</t>
        </is>
      </c>
      <c r="M496" s="156" t="inlineStr">
        <is>
          <t>Stetson</t>
        </is>
      </c>
      <c r="N496" s="156" t="inlineStr">
        <is>
          <t>SS26</t>
        </is>
      </c>
      <c r="O496" s="156" t="inlineStr">
        <is>
          <t>Seasonal</t>
        </is>
      </c>
      <c r="P496" s="156" t="inlineStr">
        <is>
          <t>Negro</t>
        </is>
      </c>
      <c r="Q496" s="156" t="n"/>
      <c r="R496" s="156" t="inlineStr">
        <is>
          <t>Punta Cuadrada Ancha</t>
        </is>
      </c>
      <c r="S496" s="156" t="inlineStr">
        <is>
          <t>Piel de caimán</t>
        </is>
      </c>
      <c r="T496" s="156" t="inlineStr">
        <is>
          <t>Bota Caballero Piel de caimán Negro Punta Cuadrada Ancha</t>
        </is>
      </c>
      <c r="U496" s="156" t="inlineStr">
        <is>
          <t>México</t>
        </is>
      </c>
      <c r="V496" s="156" t="inlineStr">
        <is>
          <t>PRS</t>
        </is>
      </c>
      <c r="W496" s="51" t="inlineStr">
        <is>
          <t>53111501</t>
        </is>
      </c>
      <c r="X496" s="156" t="n"/>
      <c r="Y496" s="54" t="n">
        <v>1982.1</v>
      </c>
      <c r="Z496" s="54" t="n">
        <v>11206.89655</v>
      </c>
      <c r="AA496" s="55">
        <f>IF(AND(A496="", B496="", E496=""), "", IF(AB496="", "Válido", IF((LEN(AB496)-LEN(SUBSTITUTE(AB496,"; ","")))/2+1&gt;(LEN(AB496)-LEN(SUBSTITUTE(AB496,"[Aviso]","")))/7, "Con Incidencias", "Válido")))</f>
        <v/>
      </c>
      <c r="AB496" s="56">
        <f>IF(AND(A496="", B496="", E496=""), "", TEXTJOIN("; ", TRUE, IF(OR(TRIM(A496&amp;"")="", ISNUMBER(SEARCH("FALTA", A496))), "UPC faltante/inválido", ""), IF(AND(A496&lt;&gt;"", IFERROR(_xlfn.XMATCH(A496,$A$2:$A$2509,0,1)&lt;&gt;_xlfn.XMATCH(A496,$A$2:$A$2509,0,-1),FALSE)), "Código de barras duplicado", ""), IF(AND(E496&lt;&gt;"", COUNTIF($E$2:$E$2509, E496)&gt;1), "SKU duplicado", ""), IF(OR(J496="", J496=""), "[Aviso] División no capturada ()", IF(ISNA(MATCH(J496, Criterios!$A$123:$A$126, 0)), "División no válida", "")), IF(OR(K496="", K496=""), "[Aviso] Categoría no capturada ()", IF(ISNA(MATCH(K496, Criterios!$A$81:$A$120, 0)), "Categoría no válida", IF(AND(J496&lt;&gt;"", J496&lt;&gt;"", J496&lt;&gt;VLOOKUP(K496, Criterios!$A$81:$B$120, 2, FALSE)), "División no coincide con Categoría", ""))), IF(OR(L496="", L496=""), "[Aviso] Género no capturado ()", IF(ISNA(MATCH(L496, Criterios!$B$123:$B$127, 0)), "Género no válido", "")), IF(OR(N496="", N496=""), "[Aviso] Temporada no capturada ()", IF(ISNA(MATCH(N496, Criterios!$C$123:$C$128, 0)), "Temporada no válida", "")), IF(OR(O496="", O496=""), "[Aviso] Ciclo de vida no capturado ()", IF(ISNA(MATCH(O496, Criterios!$D$123:$D$124, 0)), "Ciclo de vida no válido", ""))))</f>
        <v/>
      </c>
      <c r="AC496" s="56" t="n"/>
      <c r="AD496" s="51" t="n">
        <v>0</v>
      </c>
      <c r="AE496" s="156" t="n"/>
      <c r="AF496" s="51" t="n">
        <v>0</v>
      </c>
      <c r="AG496" s="156" t="inlineStr">
        <is>
          <t>Catálogo existente</t>
        </is>
      </c>
      <c r="AH4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6" s="156" t="inlineStr">
        <is>
          <t>No</t>
        </is>
      </c>
      <c r="AJ496" s="156" t="n"/>
      <c r="AK496" s="155" t="inlineStr">
        <is>
          <t>Criterios: I [Q]; G1522_Extraccion_Articulos_NetSuite_2026-09-30.xlsx: fila 59068 [R] | Shopify Stetson: producto 15054564393323 / variante 53350552338795</t>
        </is>
      </c>
      <c r="AL496" s="58" t="n">
        <v>1982.1</v>
      </c>
      <c r="AM496" s="58" t="n">
        <v>11206.89655</v>
      </c>
      <c r="AN496" s="155" t="inlineStr">
        <is>
          <t>Shopify Stetson México</t>
        </is>
      </c>
      <c r="AO496" s="59" t="n">
        <v>0</v>
      </c>
      <c r="AP496" s="59" t="n"/>
      <c r="AQ496" s="59" t="n"/>
      <c r="AR496" s="155" t="n"/>
    </row>
    <row r="497">
      <c r="A497" s="50" t="inlineStr">
        <is>
          <t>12020005111020325</t>
        </is>
      </c>
      <c r="B497" s="51" t="inlineStr">
        <is>
          <t>111394</t>
        </is>
      </c>
      <c r="C497" s="156" t="inlineStr">
        <is>
          <t>Multimarca</t>
        </is>
      </c>
      <c r="D497" s="156" t="inlineStr">
        <is>
          <t>12-020-BS005-11-1020</t>
        </is>
      </c>
      <c r="E497" s="156" t="inlineStr">
        <is>
          <t>12-020-BS005-11-1020-325</t>
        </is>
      </c>
      <c r="F497" s="156" t="inlineStr">
        <is>
          <t>32.5</t>
        </is>
      </c>
      <c r="G497" s="156" t="inlineStr">
        <is>
          <t>14.5</t>
        </is>
      </c>
      <c r="H497" s="156" t="inlineStr">
        <is>
          <t>Stetson</t>
        </is>
      </c>
      <c r="I497" s="156" t="inlineStr">
        <is>
          <t>Bota Caimán Negro</t>
        </is>
      </c>
      <c r="J497" s="156" t="inlineStr">
        <is>
          <t>Calzado</t>
        </is>
      </c>
      <c r="K497" s="156" t="inlineStr">
        <is>
          <t>Botas</t>
        </is>
      </c>
      <c r="L497" s="156" t="inlineStr">
        <is>
          <t>Hombre</t>
        </is>
      </c>
      <c r="M497" s="156" t="inlineStr">
        <is>
          <t>Stetson</t>
        </is>
      </c>
      <c r="N497" s="156" t="inlineStr">
        <is>
          <t>SS26</t>
        </is>
      </c>
      <c r="O497" s="156" t="inlineStr">
        <is>
          <t>Seasonal</t>
        </is>
      </c>
      <c r="P497" s="156" t="inlineStr">
        <is>
          <t>Negro</t>
        </is>
      </c>
      <c r="Q497" s="156" t="n"/>
      <c r="R497" s="156" t="inlineStr">
        <is>
          <t>Punta Cuadrada Ancha</t>
        </is>
      </c>
      <c r="S497" s="156" t="inlineStr">
        <is>
          <t>Piel de caimán</t>
        </is>
      </c>
      <c r="T497" s="156" t="inlineStr">
        <is>
          <t>Bota Caballero Piel de caimán Negro Punta Cuadrada Ancha</t>
        </is>
      </c>
      <c r="U497" s="156" t="inlineStr">
        <is>
          <t>México</t>
        </is>
      </c>
      <c r="V497" s="156" t="inlineStr">
        <is>
          <t>PRS</t>
        </is>
      </c>
      <c r="W497" s="51" t="inlineStr">
        <is>
          <t>53111501</t>
        </is>
      </c>
      <c r="X497" s="156" t="n"/>
      <c r="Y497" s="54" t="n">
        <v>1982.1</v>
      </c>
      <c r="Z497" s="54" t="n">
        <v>11206.89655</v>
      </c>
      <c r="AA497" s="55">
        <f>IF(AND(A497="", B497="", E497=""), "", IF(AB497="", "Válido", IF((LEN(AB497)-LEN(SUBSTITUTE(AB497,"; ","")))/2+1&gt;(LEN(AB497)-LEN(SUBSTITUTE(AB497,"[Aviso]","")))/7, "Con Incidencias", "Válido")))</f>
        <v/>
      </c>
      <c r="AB497" s="56">
        <f>IF(AND(A497="", B497="", E497=""), "", TEXTJOIN("; ", TRUE, IF(OR(TRIM(A497&amp;"")="", ISNUMBER(SEARCH("FALTA", A497))), "UPC faltante/inválido", ""), IF(AND(A497&lt;&gt;"", IFERROR(_xlfn.XMATCH(A497,$A$2:$A$2509,0,1)&lt;&gt;_xlfn.XMATCH(A497,$A$2:$A$2509,0,-1),FALSE)), "Código de barras duplicado", ""), IF(AND(E497&lt;&gt;"", COUNTIF($E$2:$E$2509, E497)&gt;1), "SKU duplicado", ""), IF(OR(J497="", J497=""), "[Aviso] División no capturada ()", IF(ISNA(MATCH(J497, Criterios!$A$123:$A$126, 0)), "División no válida", "")), IF(OR(K497="", K497=""), "[Aviso] Categoría no capturada ()", IF(ISNA(MATCH(K497, Criterios!$A$81:$A$120, 0)), "Categoría no válida", IF(AND(J497&lt;&gt;"", J497&lt;&gt;"", J497&lt;&gt;VLOOKUP(K497, Criterios!$A$81:$B$120, 2, FALSE)), "División no coincide con Categoría", ""))), IF(OR(L497="", L497=""), "[Aviso] Género no capturado ()", IF(ISNA(MATCH(L497, Criterios!$B$123:$B$127, 0)), "Género no válido", "")), IF(OR(N497="", N497=""), "[Aviso] Temporada no capturada ()", IF(ISNA(MATCH(N497, Criterios!$C$123:$C$128, 0)), "Temporada no válida", "")), IF(OR(O497="", O497=""), "[Aviso] Ciclo de vida no capturado ()", IF(ISNA(MATCH(O497, Criterios!$D$123:$D$124, 0)), "Ciclo de vida no válido", ""))))</f>
        <v/>
      </c>
      <c r="AC497" s="56" t="n"/>
      <c r="AD497" s="51" t="n">
        <v>0</v>
      </c>
      <c r="AE497" s="156" t="n"/>
      <c r="AF497" s="51" t="n">
        <v>0</v>
      </c>
      <c r="AG497" s="156" t="inlineStr">
        <is>
          <t>Catálogo existente</t>
        </is>
      </c>
      <c r="AH4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7" s="156" t="inlineStr">
        <is>
          <t>No</t>
        </is>
      </c>
      <c r="AJ497" s="156" t="n"/>
      <c r="AK497" s="155" t="inlineStr">
        <is>
          <t>Criterios: I [Q]; G1522_Extraccion_Articulos_NetSuite_2026-09-30.xlsx: fila 59069 [R] | Shopify Stetson: producto 15054564393323 / variante 53350552404331</t>
        </is>
      </c>
      <c r="AL497" s="58" t="n">
        <v>1982.1</v>
      </c>
      <c r="AM497" s="58" t="n">
        <v>11206.89655</v>
      </c>
      <c r="AN497" s="155" t="inlineStr">
        <is>
          <t>Shopify Stetson México</t>
        </is>
      </c>
      <c r="AO497" s="59" t="n">
        <v>0</v>
      </c>
      <c r="AP497" s="59" t="n"/>
      <c r="AQ497" s="59" t="n"/>
      <c r="AR497" s="155" t="n"/>
    </row>
    <row r="498">
      <c r="A498" s="50" t="inlineStr">
        <is>
          <t>12020005111023025</t>
        </is>
      </c>
      <c r="B498" s="51" t="inlineStr">
        <is>
          <t>111395</t>
        </is>
      </c>
      <c r="C498" s="156" t="inlineStr">
        <is>
          <t>Multimarca</t>
        </is>
      </c>
      <c r="D498" s="156" t="inlineStr">
        <is>
          <t>12-020-BS005-11-1023</t>
        </is>
      </c>
      <c r="E498" s="156" t="inlineStr">
        <is>
          <t>12-020-BS005-11-1023-025</t>
        </is>
      </c>
      <c r="F498" s="156" t="inlineStr">
        <is>
          <t>25</t>
        </is>
      </c>
      <c r="G498" s="156" t="inlineStr">
        <is>
          <t>7</t>
        </is>
      </c>
      <c r="H498" s="156" t="inlineStr">
        <is>
          <t>Stetson</t>
        </is>
      </c>
      <c r="I498" s="156" t="inlineStr">
        <is>
          <t>Bota Pitón Negro</t>
        </is>
      </c>
      <c r="J498" s="156" t="inlineStr">
        <is>
          <t>Calzado</t>
        </is>
      </c>
      <c r="K498" s="156" t="inlineStr">
        <is>
          <t>Botas</t>
        </is>
      </c>
      <c r="L498" s="156" t="inlineStr">
        <is>
          <t>Hombre</t>
        </is>
      </c>
      <c r="M498" s="156" t="inlineStr">
        <is>
          <t>Stetson</t>
        </is>
      </c>
      <c r="N498" s="156" t="inlineStr">
        <is>
          <t>SS26</t>
        </is>
      </c>
      <c r="O498" s="156" t="inlineStr">
        <is>
          <t>Seasonal</t>
        </is>
      </c>
      <c r="P498" s="156" t="inlineStr">
        <is>
          <t>Negro</t>
        </is>
      </c>
      <c r="Q498" s="156" t="n"/>
      <c r="R498" s="156" t="inlineStr">
        <is>
          <t>Punta Cuadrada Ancha</t>
        </is>
      </c>
      <c r="S498" s="156" t="inlineStr">
        <is>
          <t>Piel de pitón</t>
        </is>
      </c>
      <c r="T498" s="156" t="inlineStr">
        <is>
          <t>Bota Caballero Piel de pitón Negro Punta Cuadrada Ancha</t>
        </is>
      </c>
      <c r="U498" s="156" t="inlineStr">
        <is>
          <t>México</t>
        </is>
      </c>
      <c r="V498" s="156" t="inlineStr">
        <is>
          <t>PRS</t>
        </is>
      </c>
      <c r="W498" s="51" t="inlineStr">
        <is>
          <t>53111501</t>
        </is>
      </c>
      <c r="X498" s="156" t="n"/>
      <c r="Y498" s="54" t="n">
        <v>1230.915</v>
      </c>
      <c r="Z498" s="54" t="n">
        <v>7068.965517</v>
      </c>
      <c r="AA498" s="55">
        <f>IF(AND(A498="", B498="", E498=""), "", IF(AB498="", "Válido", IF((LEN(AB498)-LEN(SUBSTITUTE(AB498,"; ","")))/2+1&gt;(LEN(AB498)-LEN(SUBSTITUTE(AB498,"[Aviso]","")))/7, "Con Incidencias", "Válido")))</f>
        <v/>
      </c>
      <c r="AB498" s="56">
        <f>IF(AND(A498="", B498="", E498=""), "", TEXTJOIN("; ", TRUE, IF(OR(TRIM(A498&amp;"")="", ISNUMBER(SEARCH("FALTA", A498))), "UPC faltante/inválido", ""), IF(AND(A498&lt;&gt;"", IFERROR(_xlfn.XMATCH(A498,$A$2:$A$2509,0,1)&lt;&gt;_xlfn.XMATCH(A498,$A$2:$A$2509,0,-1),FALSE)), "Código de barras duplicado", ""), IF(AND(E498&lt;&gt;"", COUNTIF($E$2:$E$2509, E498)&gt;1), "SKU duplicado", ""), IF(OR(J498="", J498=""), "[Aviso] División no capturada ()", IF(ISNA(MATCH(J498, Criterios!$A$123:$A$126, 0)), "División no válida", "")), IF(OR(K498="", K498=""), "[Aviso] Categoría no capturada ()", IF(ISNA(MATCH(K498, Criterios!$A$81:$A$120, 0)), "Categoría no válida", IF(AND(J498&lt;&gt;"", J498&lt;&gt;"", J498&lt;&gt;VLOOKUP(K498, Criterios!$A$81:$B$120, 2, FALSE)), "División no coincide con Categoría", ""))), IF(OR(L498="", L498=""), "[Aviso] Género no capturado ()", IF(ISNA(MATCH(L498, Criterios!$B$123:$B$127, 0)), "Género no válido", "")), IF(OR(N498="", N498=""), "[Aviso] Temporada no capturada ()", IF(ISNA(MATCH(N498, Criterios!$C$123:$C$128, 0)), "Temporada no válida", "")), IF(OR(O498="", O498=""), "[Aviso] Ciclo de vida no capturado ()", IF(ISNA(MATCH(O498, Criterios!$D$123:$D$124, 0)), "Ciclo de vida no válido", ""))))</f>
        <v/>
      </c>
      <c r="AC498" s="56" t="n"/>
      <c r="AD498" s="51" t="n">
        <v>0</v>
      </c>
      <c r="AE498" s="156" t="n"/>
      <c r="AF498" s="51" t="n">
        <v>0</v>
      </c>
      <c r="AG498" s="156" t="inlineStr">
        <is>
          <t>Catálogo existente</t>
        </is>
      </c>
      <c r="AH4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8" s="156" t="inlineStr">
        <is>
          <t>No</t>
        </is>
      </c>
      <c r="AJ498" s="156" t="n"/>
      <c r="AK498" s="155" t="inlineStr">
        <is>
          <t>Criterios: I [Q]; G1522_Extraccion_Articulos_NetSuite_2026-09-30.xlsx: fila 59070 [R] | Shopify Stetson: producto 15054564491627 / variante 53350553485675</t>
        </is>
      </c>
      <c r="AL498" s="58" t="n">
        <v>1230.915</v>
      </c>
      <c r="AM498" s="58" t="n">
        <v>7068.965517</v>
      </c>
      <c r="AN498" s="155" t="inlineStr">
        <is>
          <t>Shopify Stetson México</t>
        </is>
      </c>
      <c r="AO498" s="59" t="n">
        <v>0</v>
      </c>
      <c r="AP498" s="59" t="n"/>
      <c r="AQ498" s="59" t="n"/>
      <c r="AR498" s="155" t="n"/>
    </row>
    <row r="499">
      <c r="A499" s="50" t="inlineStr">
        <is>
          <t>12020005111023026</t>
        </is>
      </c>
      <c r="B499" s="51" t="inlineStr">
        <is>
          <t>111396</t>
        </is>
      </c>
      <c r="C499" s="156" t="inlineStr">
        <is>
          <t>Multimarca</t>
        </is>
      </c>
      <c r="D499" s="156" t="inlineStr">
        <is>
          <t>12-020-BS005-11-1023</t>
        </is>
      </c>
      <c r="E499" s="156" t="inlineStr">
        <is>
          <t>12-020-BS005-11-1023-026</t>
        </is>
      </c>
      <c r="F499" s="156" t="inlineStr">
        <is>
          <t>26</t>
        </is>
      </c>
      <c r="G499" s="156" t="inlineStr">
        <is>
          <t>8</t>
        </is>
      </c>
      <c r="H499" s="156" t="inlineStr">
        <is>
          <t>Stetson</t>
        </is>
      </c>
      <c r="I499" s="156" t="inlineStr">
        <is>
          <t>Bota Pitón Negro</t>
        </is>
      </c>
      <c r="J499" s="156" t="inlineStr">
        <is>
          <t>Calzado</t>
        </is>
      </c>
      <c r="K499" s="156" t="inlineStr">
        <is>
          <t>Botas</t>
        </is>
      </c>
      <c r="L499" s="156" t="inlineStr">
        <is>
          <t>Hombre</t>
        </is>
      </c>
      <c r="M499" s="156" t="inlineStr">
        <is>
          <t>Stetson</t>
        </is>
      </c>
      <c r="N499" s="156" t="inlineStr">
        <is>
          <t>SS26</t>
        </is>
      </c>
      <c r="O499" s="156" t="inlineStr">
        <is>
          <t>Seasonal</t>
        </is>
      </c>
      <c r="P499" s="156" t="inlineStr">
        <is>
          <t>Negro</t>
        </is>
      </c>
      <c r="Q499" s="156" t="n"/>
      <c r="R499" s="156" t="inlineStr">
        <is>
          <t>Punta Cuadrada Ancha</t>
        </is>
      </c>
      <c r="S499" s="156" t="inlineStr">
        <is>
          <t>Piel de pitón</t>
        </is>
      </c>
      <c r="T499" s="156" t="inlineStr">
        <is>
          <t>Bota Caballero Piel de pitón Negro Punta Cuadrada Ancha</t>
        </is>
      </c>
      <c r="U499" s="156" t="inlineStr">
        <is>
          <t>México</t>
        </is>
      </c>
      <c r="V499" s="156" t="inlineStr">
        <is>
          <t>PRS</t>
        </is>
      </c>
      <c r="W499" s="51" t="inlineStr">
        <is>
          <t>53111501</t>
        </is>
      </c>
      <c r="X499" s="156" t="n"/>
      <c r="Y499" s="54" t="n">
        <v>1230.915</v>
      </c>
      <c r="Z499" s="54" t="n">
        <v>7068.965517</v>
      </c>
      <c r="AA499" s="55">
        <f>IF(AND(A499="", B499="", E499=""), "", IF(AB499="", "Válido", IF((LEN(AB499)-LEN(SUBSTITUTE(AB499,"; ","")))/2+1&gt;(LEN(AB499)-LEN(SUBSTITUTE(AB499,"[Aviso]","")))/7, "Con Incidencias", "Válido")))</f>
        <v/>
      </c>
      <c r="AB499" s="56">
        <f>IF(AND(A499="", B499="", E499=""), "", TEXTJOIN("; ", TRUE, IF(OR(TRIM(A499&amp;"")="", ISNUMBER(SEARCH("FALTA", A499))), "UPC faltante/inválido", ""), IF(AND(A499&lt;&gt;"", IFERROR(_xlfn.XMATCH(A499,$A$2:$A$2509,0,1)&lt;&gt;_xlfn.XMATCH(A499,$A$2:$A$2509,0,-1),FALSE)), "Código de barras duplicado", ""), IF(AND(E499&lt;&gt;"", COUNTIF($E$2:$E$2509, E499)&gt;1), "SKU duplicado", ""), IF(OR(J499="", J499=""), "[Aviso] División no capturada ()", IF(ISNA(MATCH(J499, Criterios!$A$123:$A$126, 0)), "División no válida", "")), IF(OR(K499="", K499=""), "[Aviso] Categoría no capturada ()", IF(ISNA(MATCH(K499, Criterios!$A$81:$A$120, 0)), "Categoría no válida", IF(AND(J499&lt;&gt;"", J499&lt;&gt;"", J499&lt;&gt;VLOOKUP(K499, Criterios!$A$81:$B$120, 2, FALSE)), "División no coincide con Categoría", ""))), IF(OR(L499="", L499=""), "[Aviso] Género no capturado ()", IF(ISNA(MATCH(L499, Criterios!$B$123:$B$127, 0)), "Género no válido", "")), IF(OR(N499="", N499=""), "[Aviso] Temporada no capturada ()", IF(ISNA(MATCH(N499, Criterios!$C$123:$C$128, 0)), "Temporada no válida", "")), IF(OR(O499="", O499=""), "[Aviso] Ciclo de vida no capturado ()", IF(ISNA(MATCH(O499, Criterios!$D$123:$D$124, 0)), "Ciclo de vida no válido", ""))))</f>
        <v/>
      </c>
      <c r="AC499" s="56" t="n"/>
      <c r="AD499" s="51" t="n">
        <v>0</v>
      </c>
      <c r="AE499" s="156" t="n"/>
      <c r="AF499" s="51" t="n">
        <v>0</v>
      </c>
      <c r="AG499" s="156" t="inlineStr">
        <is>
          <t>Catálogo existente</t>
        </is>
      </c>
      <c r="AH4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9" s="156" t="inlineStr">
        <is>
          <t>No</t>
        </is>
      </c>
      <c r="AJ499" s="156" t="n"/>
      <c r="AK499" s="155" t="inlineStr">
        <is>
          <t>Criterios: I [Q]; G1522_Extraccion_Articulos_NetSuite_2026-09-30.xlsx: fila 59071 [R] | Shopify Stetson: producto 15054564491627 / variante 53350553551211</t>
        </is>
      </c>
      <c r="AL499" s="58" t="n">
        <v>1230.915</v>
      </c>
      <c r="AM499" s="58" t="n">
        <v>7068.965517</v>
      </c>
      <c r="AN499" s="155" t="inlineStr">
        <is>
          <t>Shopify Stetson México</t>
        </is>
      </c>
      <c r="AO499" s="59" t="n">
        <v>0</v>
      </c>
      <c r="AP499" s="59" t="n"/>
      <c r="AQ499" s="59" t="n"/>
      <c r="AR499" s="155" t="n"/>
    </row>
    <row r="500">
      <c r="A500" s="50" t="inlineStr">
        <is>
          <t>12020005111023027</t>
        </is>
      </c>
      <c r="B500" s="51" t="inlineStr">
        <is>
          <t>111397</t>
        </is>
      </c>
      <c r="C500" s="156" t="inlineStr">
        <is>
          <t>Multimarca</t>
        </is>
      </c>
      <c r="D500" s="156" t="inlineStr">
        <is>
          <t>12-020-BS005-11-1023</t>
        </is>
      </c>
      <c r="E500" s="156" t="inlineStr">
        <is>
          <t>12-020-BS005-11-1023-027</t>
        </is>
      </c>
      <c r="F500" s="156" t="inlineStr">
        <is>
          <t>27</t>
        </is>
      </c>
      <c r="G500" s="156" t="inlineStr">
        <is>
          <t>9</t>
        </is>
      </c>
      <c r="H500" s="156" t="inlineStr">
        <is>
          <t>Stetson</t>
        </is>
      </c>
      <c r="I500" s="156" t="inlineStr">
        <is>
          <t>Bota Pitón Negro</t>
        </is>
      </c>
      <c r="J500" s="156" t="inlineStr">
        <is>
          <t>Calzado</t>
        </is>
      </c>
      <c r="K500" s="156" t="inlineStr">
        <is>
          <t>Botas</t>
        </is>
      </c>
      <c r="L500" s="156" t="inlineStr">
        <is>
          <t>Hombre</t>
        </is>
      </c>
      <c r="M500" s="156" t="inlineStr">
        <is>
          <t>Stetson</t>
        </is>
      </c>
      <c r="N500" s="156" t="inlineStr">
        <is>
          <t>SS26</t>
        </is>
      </c>
      <c r="O500" s="156" t="inlineStr">
        <is>
          <t>Seasonal</t>
        </is>
      </c>
      <c r="P500" s="156" t="inlineStr">
        <is>
          <t>Negro</t>
        </is>
      </c>
      <c r="Q500" s="156" t="n"/>
      <c r="R500" s="156" t="inlineStr">
        <is>
          <t>Punta Cuadrada Ancha</t>
        </is>
      </c>
      <c r="S500" s="156" t="inlineStr">
        <is>
          <t>Piel de pitón</t>
        </is>
      </c>
      <c r="T500" s="156" t="inlineStr">
        <is>
          <t>Bota Caballero Piel de pitón Negro Punta Cuadrada Ancha</t>
        </is>
      </c>
      <c r="U500" s="156" t="inlineStr">
        <is>
          <t>México</t>
        </is>
      </c>
      <c r="V500" s="156" t="inlineStr">
        <is>
          <t>PRS</t>
        </is>
      </c>
      <c r="W500" s="51" t="inlineStr">
        <is>
          <t>53111501</t>
        </is>
      </c>
      <c r="X500" s="156" t="n"/>
      <c r="Y500" s="54" t="n">
        <v>1230.915</v>
      </c>
      <c r="Z500" s="54" t="n">
        <v>7068.965517</v>
      </c>
      <c r="AA500" s="55">
        <f>IF(AND(A500="", B500="", E500=""), "", IF(AB500="", "Válido", IF((LEN(AB500)-LEN(SUBSTITUTE(AB500,"; ","")))/2+1&gt;(LEN(AB500)-LEN(SUBSTITUTE(AB500,"[Aviso]","")))/7, "Con Incidencias", "Válido")))</f>
        <v/>
      </c>
      <c r="AB500" s="56">
        <f>IF(AND(A500="", B500="", E500=""), "", TEXTJOIN("; ", TRUE, IF(OR(TRIM(A500&amp;"")="", ISNUMBER(SEARCH("FALTA", A500))), "UPC faltante/inválido", ""), IF(AND(A500&lt;&gt;"", IFERROR(_xlfn.XMATCH(A500,$A$2:$A$2509,0,1)&lt;&gt;_xlfn.XMATCH(A500,$A$2:$A$2509,0,-1),FALSE)), "Código de barras duplicado", ""), IF(AND(E500&lt;&gt;"", COUNTIF($E$2:$E$2509, E500)&gt;1), "SKU duplicado", ""), IF(OR(J500="", J500=""), "[Aviso] División no capturada ()", IF(ISNA(MATCH(J500, Criterios!$A$123:$A$126, 0)), "División no válida", "")), IF(OR(K500="", K500=""), "[Aviso] Categoría no capturada ()", IF(ISNA(MATCH(K500, Criterios!$A$81:$A$120, 0)), "Categoría no válida", IF(AND(J500&lt;&gt;"", J500&lt;&gt;"", J500&lt;&gt;VLOOKUP(K500, Criterios!$A$81:$B$120, 2, FALSE)), "División no coincide con Categoría", ""))), IF(OR(L500="", L500=""), "[Aviso] Género no capturado ()", IF(ISNA(MATCH(L500, Criterios!$B$123:$B$127, 0)), "Género no válido", "")), IF(OR(N500="", N500=""), "[Aviso] Temporada no capturada ()", IF(ISNA(MATCH(N500, Criterios!$C$123:$C$128, 0)), "Temporada no válida", "")), IF(OR(O500="", O500=""), "[Aviso] Ciclo de vida no capturado ()", IF(ISNA(MATCH(O500, Criterios!$D$123:$D$124, 0)), "Ciclo de vida no válido", ""))))</f>
        <v/>
      </c>
      <c r="AC500" s="56" t="n"/>
      <c r="AD500" s="51" t="n">
        <v>-1</v>
      </c>
      <c r="AE500" s="156" t="n"/>
      <c r="AF500" s="51" t="n">
        <v>0</v>
      </c>
      <c r="AG500" s="156" t="inlineStr">
        <is>
          <t>Catálogo existente</t>
        </is>
      </c>
      <c r="AH5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0" s="156" t="inlineStr">
        <is>
          <t>Sí</t>
        </is>
      </c>
      <c r="AJ500" s="156" t="inlineStr">
        <is>
          <t>STETSON AMERICAS (-1)</t>
        </is>
      </c>
      <c r="AK500" s="155" t="inlineStr">
        <is>
          <t>Criterios: I [Q]; G1522_Extraccion_Articulos_NetSuite_2026-09-30.xlsx: fila 59072 [R] | Shopify Stetson: producto 15054564491627 / variante 53350553616747</t>
        </is>
      </c>
      <c r="AL500" s="58" t="n">
        <v>1230.915</v>
      </c>
      <c r="AM500" s="58" t="n">
        <v>7068.965517</v>
      </c>
      <c r="AN500" s="155" t="inlineStr">
        <is>
          <t>Shopify Stetson México</t>
        </is>
      </c>
      <c r="AO500" s="59" t="n">
        <v>0</v>
      </c>
      <c r="AP500" s="59" t="n"/>
      <c r="AQ500" s="59" t="n"/>
      <c r="AR500" s="155" t="n"/>
    </row>
    <row r="501">
      <c r="A501" s="50" t="inlineStr">
        <is>
          <t>12020005111023028</t>
        </is>
      </c>
      <c r="B501" s="51" t="inlineStr">
        <is>
          <t>111398</t>
        </is>
      </c>
      <c r="C501" s="156" t="inlineStr">
        <is>
          <t>Multimarca</t>
        </is>
      </c>
      <c r="D501" s="156" t="inlineStr">
        <is>
          <t>12-020-BS005-11-1023</t>
        </is>
      </c>
      <c r="E501" s="156" t="inlineStr">
        <is>
          <t>12-020-BS005-11-1023-028</t>
        </is>
      </c>
      <c r="F501" s="156" t="inlineStr">
        <is>
          <t>28</t>
        </is>
      </c>
      <c r="G501" s="156" t="inlineStr">
        <is>
          <t>10</t>
        </is>
      </c>
      <c r="H501" s="156" t="inlineStr">
        <is>
          <t>Stetson</t>
        </is>
      </c>
      <c r="I501" s="156" t="inlineStr">
        <is>
          <t>Bota Pitón Negro</t>
        </is>
      </c>
      <c r="J501" s="156" t="inlineStr">
        <is>
          <t>Calzado</t>
        </is>
      </c>
      <c r="K501" s="156" t="inlineStr">
        <is>
          <t>Botas</t>
        </is>
      </c>
      <c r="L501" s="156" t="inlineStr">
        <is>
          <t>Hombre</t>
        </is>
      </c>
      <c r="M501" s="156" t="inlineStr">
        <is>
          <t>Stetson</t>
        </is>
      </c>
      <c r="N501" s="156" t="inlineStr">
        <is>
          <t>SS26</t>
        </is>
      </c>
      <c r="O501" s="156" t="inlineStr">
        <is>
          <t>Seasonal</t>
        </is>
      </c>
      <c r="P501" s="156" t="inlineStr">
        <is>
          <t>Negro</t>
        </is>
      </c>
      <c r="Q501" s="156" t="n"/>
      <c r="R501" s="156" t="inlineStr">
        <is>
          <t>Punta Cuadrada Ancha</t>
        </is>
      </c>
      <c r="S501" s="156" t="inlineStr">
        <is>
          <t>Piel de pitón</t>
        </is>
      </c>
      <c r="T501" s="156" t="inlineStr">
        <is>
          <t>Bota Caballero Piel de pitón Negro Punta Cuadrada Ancha</t>
        </is>
      </c>
      <c r="U501" s="156" t="inlineStr">
        <is>
          <t>México</t>
        </is>
      </c>
      <c r="V501" s="156" t="inlineStr">
        <is>
          <t>PRS</t>
        </is>
      </c>
      <c r="W501" s="51" t="inlineStr">
        <is>
          <t>53111501</t>
        </is>
      </c>
      <c r="X501" s="156" t="n"/>
      <c r="Y501" s="54" t="n">
        <v>1230.915</v>
      </c>
      <c r="Z501" s="54" t="n">
        <v>7068.965517</v>
      </c>
      <c r="AA501" s="55">
        <f>IF(AND(A501="", B501="", E501=""), "", IF(AB501="", "Válido", IF((LEN(AB501)-LEN(SUBSTITUTE(AB501,"; ","")))/2+1&gt;(LEN(AB501)-LEN(SUBSTITUTE(AB501,"[Aviso]","")))/7, "Con Incidencias", "Válido")))</f>
        <v/>
      </c>
      <c r="AB501" s="56">
        <f>IF(AND(A501="", B501="", E501=""), "", TEXTJOIN("; ", TRUE, IF(OR(TRIM(A501&amp;"")="", ISNUMBER(SEARCH("FALTA", A501))), "UPC faltante/inválido", ""), IF(AND(A501&lt;&gt;"", IFERROR(_xlfn.XMATCH(A501,$A$2:$A$2509,0,1)&lt;&gt;_xlfn.XMATCH(A501,$A$2:$A$2509,0,-1),FALSE)), "Código de barras duplicado", ""), IF(AND(E501&lt;&gt;"", COUNTIF($E$2:$E$2509, E501)&gt;1), "SKU duplicado", ""), IF(OR(J501="", J501=""), "[Aviso] División no capturada ()", IF(ISNA(MATCH(J501, Criterios!$A$123:$A$126, 0)), "División no válida", "")), IF(OR(K501="", K501=""), "[Aviso] Categoría no capturada ()", IF(ISNA(MATCH(K501, Criterios!$A$81:$A$120, 0)), "Categoría no válida", IF(AND(J501&lt;&gt;"", J501&lt;&gt;"", J501&lt;&gt;VLOOKUP(K501, Criterios!$A$81:$B$120, 2, FALSE)), "División no coincide con Categoría", ""))), IF(OR(L501="", L501=""), "[Aviso] Género no capturado ()", IF(ISNA(MATCH(L501, Criterios!$B$123:$B$127, 0)), "Género no válido", "")), IF(OR(N501="", N501=""), "[Aviso] Temporada no capturada ()", IF(ISNA(MATCH(N501, Criterios!$C$123:$C$128, 0)), "Temporada no válida", "")), IF(OR(O501="", O501=""), "[Aviso] Ciclo de vida no capturado ()", IF(ISNA(MATCH(O501, Criterios!$D$123:$D$124, 0)), "Ciclo de vida no válido", ""))))</f>
        <v/>
      </c>
      <c r="AC501" s="56" t="n"/>
      <c r="AD501" s="51" t="n">
        <v>-1</v>
      </c>
      <c r="AE501" s="156" t="n"/>
      <c r="AF501" s="51" t="n">
        <v>0</v>
      </c>
      <c r="AG501" s="156" t="inlineStr">
        <is>
          <t>Catálogo existente</t>
        </is>
      </c>
      <c r="AH5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1" s="156" t="inlineStr">
        <is>
          <t>Sí</t>
        </is>
      </c>
      <c r="AJ501" s="156" t="inlineStr">
        <is>
          <t>STETSON AMERICAS (-1)</t>
        </is>
      </c>
      <c r="AK501" s="155" t="inlineStr">
        <is>
          <t>Criterios: I [Q]; G1522_Extraccion_Articulos_NetSuite_2026-09-30.xlsx: fila 59073 [R] | Shopify Stetson: producto 15054564491627 / variante 53350553682283</t>
        </is>
      </c>
      <c r="AL501" s="58" t="n">
        <v>1230.915</v>
      </c>
      <c r="AM501" s="58" t="n">
        <v>7068.965517</v>
      </c>
      <c r="AN501" s="155" t="inlineStr">
        <is>
          <t>Shopify Stetson México</t>
        </is>
      </c>
      <c r="AO501" s="59" t="n">
        <v>0</v>
      </c>
      <c r="AP501" s="59" t="n"/>
      <c r="AQ501" s="59" t="n"/>
      <c r="AR501" s="155" t="n"/>
    </row>
    <row r="502">
      <c r="A502" s="50" t="inlineStr">
        <is>
          <t>12020005111023029</t>
        </is>
      </c>
      <c r="B502" s="51" t="inlineStr">
        <is>
          <t>111399</t>
        </is>
      </c>
      <c r="C502" s="156" t="inlineStr">
        <is>
          <t>Multimarca</t>
        </is>
      </c>
      <c r="D502" s="156" t="inlineStr">
        <is>
          <t>12-020-BS005-11-1023</t>
        </is>
      </c>
      <c r="E502" s="156" t="inlineStr">
        <is>
          <t>12-020-BS005-11-1023-029</t>
        </is>
      </c>
      <c r="F502" s="156" t="inlineStr">
        <is>
          <t>29</t>
        </is>
      </c>
      <c r="G502" s="156" t="inlineStr">
        <is>
          <t>11</t>
        </is>
      </c>
      <c r="H502" s="156" t="inlineStr">
        <is>
          <t>Stetson</t>
        </is>
      </c>
      <c r="I502" s="156" t="inlineStr">
        <is>
          <t>Bota Pitón Negro</t>
        </is>
      </c>
      <c r="J502" s="156" t="inlineStr">
        <is>
          <t>Calzado</t>
        </is>
      </c>
      <c r="K502" s="156" t="inlineStr">
        <is>
          <t>Botas</t>
        </is>
      </c>
      <c r="L502" s="156" t="inlineStr">
        <is>
          <t>Hombre</t>
        </is>
      </c>
      <c r="M502" s="156" t="inlineStr">
        <is>
          <t>Stetson</t>
        </is>
      </c>
      <c r="N502" s="156" t="inlineStr">
        <is>
          <t>SS26</t>
        </is>
      </c>
      <c r="O502" s="156" t="inlineStr">
        <is>
          <t>Seasonal</t>
        </is>
      </c>
      <c r="P502" s="156" t="inlineStr">
        <is>
          <t>Negro</t>
        </is>
      </c>
      <c r="Q502" s="156" t="n"/>
      <c r="R502" s="156" t="inlineStr">
        <is>
          <t>Punta Cuadrada Ancha</t>
        </is>
      </c>
      <c r="S502" s="156" t="inlineStr">
        <is>
          <t>Piel de pitón</t>
        </is>
      </c>
      <c r="T502" s="156" t="inlineStr">
        <is>
          <t>Bota Caballero Piel de pitón Negro Punta Cuadrada Ancha</t>
        </is>
      </c>
      <c r="U502" s="156" t="inlineStr">
        <is>
          <t>México</t>
        </is>
      </c>
      <c r="V502" s="156" t="inlineStr">
        <is>
          <t>PRS</t>
        </is>
      </c>
      <c r="W502" s="51" t="inlineStr">
        <is>
          <t>53111501</t>
        </is>
      </c>
      <c r="X502" s="156" t="n"/>
      <c r="Y502" s="54" t="n">
        <v>1230.915</v>
      </c>
      <c r="Z502" s="54" t="n">
        <v>7068.965517</v>
      </c>
      <c r="AA502" s="55">
        <f>IF(AND(A502="", B502="", E502=""), "", IF(AB502="", "Válido", IF((LEN(AB502)-LEN(SUBSTITUTE(AB502,"; ","")))/2+1&gt;(LEN(AB502)-LEN(SUBSTITUTE(AB502,"[Aviso]","")))/7, "Con Incidencias", "Válido")))</f>
        <v/>
      </c>
      <c r="AB502" s="56">
        <f>IF(AND(A502="", B502="", E502=""), "", TEXTJOIN("; ", TRUE, IF(OR(TRIM(A502&amp;"")="", ISNUMBER(SEARCH("FALTA", A502))), "UPC faltante/inválido", ""), IF(AND(A502&lt;&gt;"", IFERROR(_xlfn.XMATCH(A502,$A$2:$A$2509,0,1)&lt;&gt;_xlfn.XMATCH(A502,$A$2:$A$2509,0,-1),FALSE)), "Código de barras duplicado", ""), IF(AND(E502&lt;&gt;"", COUNTIF($E$2:$E$2509, E502)&gt;1), "SKU duplicado", ""), IF(OR(J502="", J502=""), "[Aviso] División no capturada ()", IF(ISNA(MATCH(J502, Criterios!$A$123:$A$126, 0)), "División no válida", "")), IF(OR(K502="", K502=""), "[Aviso] Categoría no capturada ()", IF(ISNA(MATCH(K502, Criterios!$A$81:$A$120, 0)), "Categoría no válida", IF(AND(J502&lt;&gt;"", J502&lt;&gt;"", J502&lt;&gt;VLOOKUP(K502, Criterios!$A$81:$B$120, 2, FALSE)), "División no coincide con Categoría", ""))), IF(OR(L502="", L502=""), "[Aviso] Género no capturado ()", IF(ISNA(MATCH(L502, Criterios!$B$123:$B$127, 0)), "Género no válido", "")), IF(OR(N502="", N502=""), "[Aviso] Temporada no capturada ()", IF(ISNA(MATCH(N502, Criterios!$C$123:$C$128, 0)), "Temporada no válida", "")), IF(OR(O502="", O502=""), "[Aviso] Ciclo de vida no capturado ()", IF(ISNA(MATCH(O502, Criterios!$D$123:$D$124, 0)), "Ciclo de vida no válido", ""))))</f>
        <v/>
      </c>
      <c r="AC502" s="56" t="n"/>
      <c r="AD502" s="51" t="n">
        <v>0</v>
      </c>
      <c r="AE502" s="156" t="n"/>
      <c r="AF502" s="51" t="n">
        <v>0</v>
      </c>
      <c r="AG502" s="156" t="inlineStr">
        <is>
          <t>Catálogo existente</t>
        </is>
      </c>
      <c r="AH5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2" s="156" t="inlineStr">
        <is>
          <t>No</t>
        </is>
      </c>
      <c r="AJ502" s="156" t="n"/>
      <c r="AK502" s="155" t="inlineStr">
        <is>
          <t>Criterios: I [Q]; G1522_Extraccion_Articulos_NetSuite_2026-09-30.xlsx: fila 59074 [R] | Shopify Stetson: producto 15054564491627 / variante 53350553747819</t>
        </is>
      </c>
      <c r="AL502" s="58" t="n">
        <v>1230.915</v>
      </c>
      <c r="AM502" s="58" t="n">
        <v>7068.965517</v>
      </c>
      <c r="AN502" s="155" t="inlineStr">
        <is>
          <t>Shopify Stetson México</t>
        </is>
      </c>
      <c r="AO502" s="59" t="n">
        <v>1</v>
      </c>
      <c r="AP502" s="59" t="n"/>
      <c r="AQ502" s="59" t="n"/>
      <c r="AR502" s="155" t="inlineStr">
        <is>
          <t>Shopify Stetson México › Stetson Americas: 1</t>
        </is>
      </c>
    </row>
    <row r="503">
      <c r="A503" s="50" t="inlineStr">
        <is>
          <t>12020005111023030</t>
        </is>
      </c>
      <c r="B503" s="51" t="inlineStr">
        <is>
          <t>111400</t>
        </is>
      </c>
      <c r="C503" s="156" t="inlineStr">
        <is>
          <t>Multimarca</t>
        </is>
      </c>
      <c r="D503" s="156" t="inlineStr">
        <is>
          <t>12-020-BS005-11-1023</t>
        </is>
      </c>
      <c r="E503" s="156" t="inlineStr">
        <is>
          <t>12-020-BS005-11-1023-030</t>
        </is>
      </c>
      <c r="F503" s="156" t="inlineStr">
        <is>
          <t>30</t>
        </is>
      </c>
      <c r="G503" s="156" t="inlineStr">
        <is>
          <t>12</t>
        </is>
      </c>
      <c r="H503" s="156" t="inlineStr">
        <is>
          <t>Stetson</t>
        </is>
      </c>
      <c r="I503" s="156" t="inlineStr">
        <is>
          <t>Bota Pitón Negro</t>
        </is>
      </c>
      <c r="J503" s="156" t="inlineStr">
        <is>
          <t>Calzado</t>
        </is>
      </c>
      <c r="K503" s="156" t="inlineStr">
        <is>
          <t>Botas</t>
        </is>
      </c>
      <c r="L503" s="156" t="inlineStr">
        <is>
          <t>Hombre</t>
        </is>
      </c>
      <c r="M503" s="156" t="inlineStr">
        <is>
          <t>Stetson</t>
        </is>
      </c>
      <c r="N503" s="156" t="inlineStr">
        <is>
          <t>SS26</t>
        </is>
      </c>
      <c r="O503" s="156" t="inlineStr">
        <is>
          <t>Seasonal</t>
        </is>
      </c>
      <c r="P503" s="156" t="inlineStr">
        <is>
          <t>Negro</t>
        </is>
      </c>
      <c r="Q503" s="156" t="n"/>
      <c r="R503" s="156" t="inlineStr">
        <is>
          <t>Punta Cuadrada Ancha</t>
        </is>
      </c>
      <c r="S503" s="156" t="inlineStr">
        <is>
          <t>Piel de pitón</t>
        </is>
      </c>
      <c r="T503" s="156" t="inlineStr">
        <is>
          <t>Bota Caballero Piel de pitón Negro Punta Cuadrada Ancha</t>
        </is>
      </c>
      <c r="U503" s="156" t="inlineStr">
        <is>
          <t>México</t>
        </is>
      </c>
      <c r="V503" s="156" t="inlineStr">
        <is>
          <t>PRS</t>
        </is>
      </c>
      <c r="W503" s="51" t="inlineStr">
        <is>
          <t>53111501</t>
        </is>
      </c>
      <c r="X503" s="156" t="n"/>
      <c r="Y503" s="54" t="n">
        <v>1230.915</v>
      </c>
      <c r="Z503" s="54" t="n">
        <v>7068.965517</v>
      </c>
      <c r="AA503" s="55">
        <f>IF(AND(A503="", B503="", E503=""), "", IF(AB503="", "Válido", IF((LEN(AB503)-LEN(SUBSTITUTE(AB503,"; ","")))/2+1&gt;(LEN(AB503)-LEN(SUBSTITUTE(AB503,"[Aviso]","")))/7, "Con Incidencias", "Válido")))</f>
        <v/>
      </c>
      <c r="AB503" s="56">
        <f>IF(AND(A503="", B503="", E503=""), "", TEXTJOIN("; ", TRUE, IF(OR(TRIM(A503&amp;"")="", ISNUMBER(SEARCH("FALTA", A503))), "UPC faltante/inválido", ""), IF(AND(A503&lt;&gt;"", IFERROR(_xlfn.XMATCH(A503,$A$2:$A$2509,0,1)&lt;&gt;_xlfn.XMATCH(A503,$A$2:$A$2509,0,-1),FALSE)), "Código de barras duplicado", ""), IF(AND(E503&lt;&gt;"", COUNTIF($E$2:$E$2509, E503)&gt;1), "SKU duplicado", ""), IF(OR(J503="", J503=""), "[Aviso] División no capturada ()", IF(ISNA(MATCH(J503, Criterios!$A$123:$A$126, 0)), "División no válida", "")), IF(OR(K503="", K503=""), "[Aviso] Categoría no capturada ()", IF(ISNA(MATCH(K503, Criterios!$A$81:$A$120, 0)), "Categoría no válida", IF(AND(J503&lt;&gt;"", J503&lt;&gt;"", J503&lt;&gt;VLOOKUP(K503, Criterios!$A$81:$B$120, 2, FALSE)), "División no coincide con Categoría", ""))), IF(OR(L503="", L503=""), "[Aviso] Género no capturado ()", IF(ISNA(MATCH(L503, Criterios!$B$123:$B$127, 0)), "Género no válido", "")), IF(OR(N503="", N503=""), "[Aviso] Temporada no capturada ()", IF(ISNA(MATCH(N503, Criterios!$C$123:$C$128, 0)), "Temporada no válida", "")), IF(OR(O503="", O503=""), "[Aviso] Ciclo de vida no capturado ()", IF(ISNA(MATCH(O503, Criterios!$D$123:$D$124, 0)), "Ciclo de vida no válido", ""))))</f>
        <v/>
      </c>
      <c r="AC503" s="56" t="n"/>
      <c r="AD503" s="51" t="n">
        <v>0</v>
      </c>
      <c r="AE503" s="156" t="n"/>
      <c r="AF503" s="51" t="n">
        <v>0</v>
      </c>
      <c r="AG503" s="156" t="inlineStr">
        <is>
          <t>Catálogo existente</t>
        </is>
      </c>
      <c r="AH5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3" s="156" t="inlineStr">
        <is>
          <t>No</t>
        </is>
      </c>
      <c r="AJ503" s="156" t="n"/>
      <c r="AK503" s="155" t="inlineStr">
        <is>
          <t>Criterios: I [Q]; G1522_Extraccion_Articulos_NetSuite_2026-09-30.xlsx: fila 59075 [R] | Shopify Stetson: producto 15054564491627 / variante 53350553813355</t>
        </is>
      </c>
      <c r="AL503" s="58" t="n">
        <v>1230.915</v>
      </c>
      <c r="AM503" s="58" t="n">
        <v>7068.965517</v>
      </c>
      <c r="AN503" s="155" t="inlineStr">
        <is>
          <t>Shopify Stetson México</t>
        </is>
      </c>
      <c r="AO503" s="59" t="n">
        <v>0</v>
      </c>
      <c r="AP503" s="59" t="n"/>
      <c r="AQ503" s="59" t="n"/>
      <c r="AR503" s="155" t="n"/>
    </row>
    <row r="504">
      <c r="A504" s="50" t="inlineStr">
        <is>
          <t>12020005111023031</t>
        </is>
      </c>
      <c r="B504" s="51" t="inlineStr">
        <is>
          <t>111401</t>
        </is>
      </c>
      <c r="C504" s="156" t="inlineStr">
        <is>
          <t>Multimarca</t>
        </is>
      </c>
      <c r="D504" s="156" t="inlineStr">
        <is>
          <t>12-020-BS005-11-1023</t>
        </is>
      </c>
      <c r="E504" s="156" t="inlineStr">
        <is>
          <t>12-020-BS005-11-1023-031</t>
        </is>
      </c>
      <c r="F504" s="156" t="inlineStr">
        <is>
          <t>31</t>
        </is>
      </c>
      <c r="G504" s="156" t="inlineStr">
        <is>
          <t>13</t>
        </is>
      </c>
      <c r="H504" s="156" t="inlineStr">
        <is>
          <t>Stetson</t>
        </is>
      </c>
      <c r="I504" s="156" t="inlineStr">
        <is>
          <t>Bota Pitón Negro</t>
        </is>
      </c>
      <c r="J504" s="156" t="inlineStr">
        <is>
          <t>Calzado</t>
        </is>
      </c>
      <c r="K504" s="156" t="inlineStr">
        <is>
          <t>Botas</t>
        </is>
      </c>
      <c r="L504" s="156" t="inlineStr">
        <is>
          <t>Hombre</t>
        </is>
      </c>
      <c r="M504" s="156" t="inlineStr">
        <is>
          <t>Stetson</t>
        </is>
      </c>
      <c r="N504" s="156" t="inlineStr">
        <is>
          <t>SS26</t>
        </is>
      </c>
      <c r="O504" s="156" t="inlineStr">
        <is>
          <t>Seasonal</t>
        </is>
      </c>
      <c r="P504" s="156" t="inlineStr">
        <is>
          <t>Negro</t>
        </is>
      </c>
      <c r="Q504" s="156" t="n"/>
      <c r="R504" s="156" t="inlineStr">
        <is>
          <t>Punta Cuadrada Ancha</t>
        </is>
      </c>
      <c r="S504" s="156" t="inlineStr">
        <is>
          <t>Piel de pitón</t>
        </is>
      </c>
      <c r="T504" s="156" t="inlineStr">
        <is>
          <t>Bota Caballero Piel de pitón Negro Punta Cuadrada Ancha</t>
        </is>
      </c>
      <c r="U504" s="156" t="inlineStr">
        <is>
          <t>México</t>
        </is>
      </c>
      <c r="V504" s="156" t="inlineStr">
        <is>
          <t>PRS</t>
        </is>
      </c>
      <c r="W504" s="51" t="inlineStr">
        <is>
          <t>53111501</t>
        </is>
      </c>
      <c r="X504" s="156" t="n"/>
      <c r="Y504" s="54" t="n">
        <v>1230.915</v>
      </c>
      <c r="Z504" s="54" t="n">
        <v>7068.965517</v>
      </c>
      <c r="AA504" s="55">
        <f>IF(AND(A504="", B504="", E504=""), "", IF(AB504="", "Válido", IF((LEN(AB504)-LEN(SUBSTITUTE(AB504,"; ","")))/2+1&gt;(LEN(AB504)-LEN(SUBSTITUTE(AB504,"[Aviso]","")))/7, "Con Incidencias", "Válido")))</f>
        <v/>
      </c>
      <c r="AB504" s="56">
        <f>IF(AND(A504="", B504="", E504=""), "", TEXTJOIN("; ", TRUE, IF(OR(TRIM(A504&amp;"")="", ISNUMBER(SEARCH("FALTA", A504))), "UPC faltante/inválido", ""), IF(AND(A504&lt;&gt;"", IFERROR(_xlfn.XMATCH(A504,$A$2:$A$2509,0,1)&lt;&gt;_xlfn.XMATCH(A504,$A$2:$A$2509,0,-1),FALSE)), "Código de barras duplicado", ""), IF(AND(E504&lt;&gt;"", COUNTIF($E$2:$E$2509, E504)&gt;1), "SKU duplicado", ""), IF(OR(J504="", J504=""), "[Aviso] División no capturada ()", IF(ISNA(MATCH(J504, Criterios!$A$123:$A$126, 0)), "División no válida", "")), IF(OR(K504="", K504=""), "[Aviso] Categoría no capturada ()", IF(ISNA(MATCH(K504, Criterios!$A$81:$A$120, 0)), "Categoría no válida", IF(AND(J504&lt;&gt;"", J504&lt;&gt;"", J504&lt;&gt;VLOOKUP(K504, Criterios!$A$81:$B$120, 2, FALSE)), "División no coincide con Categoría", ""))), IF(OR(L504="", L504=""), "[Aviso] Género no capturado ()", IF(ISNA(MATCH(L504, Criterios!$B$123:$B$127, 0)), "Género no válido", "")), IF(OR(N504="", N504=""), "[Aviso] Temporada no capturada ()", IF(ISNA(MATCH(N504, Criterios!$C$123:$C$128, 0)), "Temporada no válida", "")), IF(OR(O504="", O504=""), "[Aviso] Ciclo de vida no capturado ()", IF(ISNA(MATCH(O504, Criterios!$D$123:$D$124, 0)), "Ciclo de vida no válido", ""))))</f>
        <v/>
      </c>
      <c r="AC504" s="56" t="n"/>
      <c r="AD504" s="51" t="n">
        <v>0</v>
      </c>
      <c r="AE504" s="156" t="n"/>
      <c r="AF504" s="51" t="n">
        <v>0</v>
      </c>
      <c r="AG504" s="156" t="inlineStr">
        <is>
          <t>Catálogo existente</t>
        </is>
      </c>
      <c r="AH5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4" s="156" t="inlineStr">
        <is>
          <t>No</t>
        </is>
      </c>
      <c r="AJ504" s="156" t="n"/>
      <c r="AK504" s="155" t="inlineStr">
        <is>
          <t>Criterios: I [Q]; G1522_Extraccion_Articulos_NetSuite_2026-09-30.xlsx: fila 59076 [R] | Shopify Stetson: producto 15054564491627 / variante 53350553878891</t>
        </is>
      </c>
      <c r="AL504" s="58" t="n">
        <v>1230.915</v>
      </c>
      <c r="AM504" s="58" t="n">
        <v>7068.965517</v>
      </c>
      <c r="AN504" s="155" t="inlineStr">
        <is>
          <t>Shopify Stetson México</t>
        </is>
      </c>
      <c r="AO504" s="59" t="n">
        <v>0</v>
      </c>
      <c r="AP504" s="59" t="n"/>
      <c r="AQ504" s="59" t="n"/>
      <c r="AR504" s="155" t="n"/>
    </row>
    <row r="505">
      <c r="A505" s="50" t="inlineStr">
        <is>
          <t>12020005111023032</t>
        </is>
      </c>
      <c r="B505" s="51" t="inlineStr">
        <is>
          <t>111402</t>
        </is>
      </c>
      <c r="C505" s="156" t="inlineStr">
        <is>
          <t>Multimarca</t>
        </is>
      </c>
      <c r="D505" s="156" t="inlineStr">
        <is>
          <t>12-020-BS005-11-1023</t>
        </is>
      </c>
      <c r="E505" s="156" t="inlineStr">
        <is>
          <t>12-020-BS005-11-1023-032</t>
        </is>
      </c>
      <c r="F505" s="156" t="inlineStr">
        <is>
          <t>32</t>
        </is>
      </c>
      <c r="G505" s="156" t="inlineStr">
        <is>
          <t>14</t>
        </is>
      </c>
      <c r="H505" s="156" t="inlineStr">
        <is>
          <t>Stetson</t>
        </is>
      </c>
      <c r="I505" s="156" t="inlineStr">
        <is>
          <t>Bota Pitón Negro</t>
        </is>
      </c>
      <c r="J505" s="156" t="inlineStr">
        <is>
          <t>Calzado</t>
        </is>
      </c>
      <c r="K505" s="156" t="inlineStr">
        <is>
          <t>Botas</t>
        </is>
      </c>
      <c r="L505" s="156" t="inlineStr">
        <is>
          <t>Hombre</t>
        </is>
      </c>
      <c r="M505" s="156" t="inlineStr">
        <is>
          <t>Stetson</t>
        </is>
      </c>
      <c r="N505" s="156" t="inlineStr">
        <is>
          <t>SS26</t>
        </is>
      </c>
      <c r="O505" s="156" t="inlineStr">
        <is>
          <t>Seasonal</t>
        </is>
      </c>
      <c r="P505" s="156" t="inlineStr">
        <is>
          <t>Negro</t>
        </is>
      </c>
      <c r="Q505" s="156" t="n"/>
      <c r="R505" s="156" t="inlineStr">
        <is>
          <t>Punta Cuadrada Ancha</t>
        </is>
      </c>
      <c r="S505" s="156" t="inlineStr">
        <is>
          <t>Piel de pitón</t>
        </is>
      </c>
      <c r="T505" s="156" t="inlineStr">
        <is>
          <t>Bota Caballero Piel de pitón Negro Punta Cuadrada Ancha</t>
        </is>
      </c>
      <c r="U505" s="156" t="inlineStr">
        <is>
          <t>México</t>
        </is>
      </c>
      <c r="V505" s="156" t="inlineStr">
        <is>
          <t>PRS</t>
        </is>
      </c>
      <c r="W505" s="51" t="inlineStr">
        <is>
          <t>53111501</t>
        </is>
      </c>
      <c r="X505" s="156" t="n"/>
      <c r="Y505" s="54" t="n">
        <v>1230.915</v>
      </c>
      <c r="Z505" s="54" t="n">
        <v>7068.965517</v>
      </c>
      <c r="AA505" s="55">
        <f>IF(AND(A505="", B505="", E505=""), "", IF(AB505="", "Válido", IF((LEN(AB505)-LEN(SUBSTITUTE(AB505,"; ","")))/2+1&gt;(LEN(AB505)-LEN(SUBSTITUTE(AB505,"[Aviso]","")))/7, "Con Incidencias", "Válido")))</f>
        <v/>
      </c>
      <c r="AB505" s="56">
        <f>IF(AND(A505="", B505="", E505=""), "", TEXTJOIN("; ", TRUE, IF(OR(TRIM(A505&amp;"")="", ISNUMBER(SEARCH("FALTA", A505))), "UPC faltante/inválido", ""), IF(AND(A505&lt;&gt;"", IFERROR(_xlfn.XMATCH(A505,$A$2:$A$2509,0,1)&lt;&gt;_xlfn.XMATCH(A505,$A$2:$A$2509,0,-1),FALSE)), "Código de barras duplicado", ""), IF(AND(E505&lt;&gt;"", COUNTIF($E$2:$E$2509, E505)&gt;1), "SKU duplicado", ""), IF(OR(J505="", J505=""), "[Aviso] División no capturada ()", IF(ISNA(MATCH(J505, Criterios!$A$123:$A$126, 0)), "División no válida", "")), IF(OR(K505="", K505=""), "[Aviso] Categoría no capturada ()", IF(ISNA(MATCH(K505, Criterios!$A$81:$A$120, 0)), "Categoría no válida", IF(AND(J505&lt;&gt;"", J505&lt;&gt;"", J505&lt;&gt;VLOOKUP(K505, Criterios!$A$81:$B$120, 2, FALSE)), "División no coincide con Categoría", ""))), IF(OR(L505="", L505=""), "[Aviso] Género no capturado ()", IF(ISNA(MATCH(L505, Criterios!$B$123:$B$127, 0)), "Género no válido", "")), IF(OR(N505="", N505=""), "[Aviso] Temporada no capturada ()", IF(ISNA(MATCH(N505, Criterios!$C$123:$C$128, 0)), "Temporada no válida", "")), IF(OR(O505="", O505=""), "[Aviso] Ciclo de vida no capturado ()", IF(ISNA(MATCH(O505, Criterios!$D$123:$D$124, 0)), "Ciclo de vida no válido", ""))))</f>
        <v/>
      </c>
      <c r="AC505" s="56" t="n"/>
      <c r="AD505" s="51" t="n">
        <v>0</v>
      </c>
      <c r="AE505" s="156" t="n"/>
      <c r="AF505" s="51" t="n">
        <v>0</v>
      </c>
      <c r="AG505" s="156" t="inlineStr">
        <is>
          <t>Catálogo existente</t>
        </is>
      </c>
      <c r="AH5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5" s="156" t="inlineStr">
        <is>
          <t>No</t>
        </is>
      </c>
      <c r="AJ505" s="156" t="n"/>
      <c r="AK505" s="155" t="inlineStr">
        <is>
          <t>Criterios: I [Q]; G1522_Extraccion_Articulos_NetSuite_2026-09-30.xlsx: fila 59077 [R] | Shopify Stetson: producto 15054564491627 / variante 53350553944427</t>
        </is>
      </c>
      <c r="AL505" s="58" t="n">
        <v>1230.915</v>
      </c>
      <c r="AM505" s="58" t="n">
        <v>7068.965517</v>
      </c>
      <c r="AN505" s="155" t="inlineStr">
        <is>
          <t>Shopify Stetson México</t>
        </is>
      </c>
      <c r="AO505" s="59" t="n">
        <v>0</v>
      </c>
      <c r="AP505" s="59" t="n"/>
      <c r="AQ505" s="59" t="n"/>
      <c r="AR505" s="155" t="n"/>
    </row>
    <row r="506">
      <c r="A506" s="50" t="inlineStr">
        <is>
          <t>12020005111023255</t>
        </is>
      </c>
      <c r="B506" s="51" t="inlineStr">
        <is>
          <t>111403</t>
        </is>
      </c>
      <c r="C506" s="156" t="inlineStr">
        <is>
          <t>Multimarca</t>
        </is>
      </c>
      <c r="D506" s="156" t="inlineStr">
        <is>
          <t>12-020-BS005-11-1023</t>
        </is>
      </c>
      <c r="E506" s="156" t="inlineStr">
        <is>
          <t>12-020-BS005-11-1023-255</t>
        </is>
      </c>
      <c r="F506" s="156" t="inlineStr">
        <is>
          <t>25.5</t>
        </is>
      </c>
      <c r="G506" s="156" t="inlineStr">
        <is>
          <t>7.5</t>
        </is>
      </c>
      <c r="H506" s="156" t="inlineStr">
        <is>
          <t>Stetson</t>
        </is>
      </c>
      <c r="I506" s="156" t="inlineStr">
        <is>
          <t>Bota Pitón Negro</t>
        </is>
      </c>
      <c r="J506" s="156" t="inlineStr">
        <is>
          <t>Calzado</t>
        </is>
      </c>
      <c r="K506" s="156" t="inlineStr">
        <is>
          <t>Botas</t>
        </is>
      </c>
      <c r="L506" s="156" t="inlineStr">
        <is>
          <t>Hombre</t>
        </is>
      </c>
      <c r="M506" s="156" t="inlineStr">
        <is>
          <t>Stetson</t>
        </is>
      </c>
      <c r="N506" s="156" t="inlineStr">
        <is>
          <t>SS26</t>
        </is>
      </c>
      <c r="O506" s="156" t="inlineStr">
        <is>
          <t>Seasonal</t>
        </is>
      </c>
      <c r="P506" s="156" t="inlineStr">
        <is>
          <t>Negro</t>
        </is>
      </c>
      <c r="Q506" s="156" t="n"/>
      <c r="R506" s="156" t="inlineStr">
        <is>
          <t>Punta Cuadrada Ancha</t>
        </is>
      </c>
      <c r="S506" s="156" t="inlineStr">
        <is>
          <t>Piel de pitón</t>
        </is>
      </c>
      <c r="T506" s="156" t="inlineStr">
        <is>
          <t>Bota Caballero Piel de pitón Negro Punta Cuadrada Ancha</t>
        </is>
      </c>
      <c r="U506" s="156" t="inlineStr">
        <is>
          <t>México</t>
        </is>
      </c>
      <c r="V506" s="156" t="inlineStr">
        <is>
          <t>PRS</t>
        </is>
      </c>
      <c r="W506" s="51" t="inlineStr">
        <is>
          <t>53111501</t>
        </is>
      </c>
      <c r="X506" s="156" t="n"/>
      <c r="Y506" s="54" t="n">
        <v>1230.915</v>
      </c>
      <c r="Z506" s="54" t="n">
        <v>7068.965517</v>
      </c>
      <c r="AA506" s="55">
        <f>IF(AND(A506="", B506="", E506=""), "", IF(AB506="", "Válido", IF((LEN(AB506)-LEN(SUBSTITUTE(AB506,"; ","")))/2+1&gt;(LEN(AB506)-LEN(SUBSTITUTE(AB506,"[Aviso]","")))/7, "Con Incidencias", "Válido")))</f>
        <v/>
      </c>
      <c r="AB506" s="56">
        <f>IF(AND(A506="", B506="", E506=""), "", TEXTJOIN("; ", TRUE, IF(OR(TRIM(A506&amp;"")="", ISNUMBER(SEARCH("FALTA", A506))), "UPC faltante/inválido", ""), IF(AND(A506&lt;&gt;"", IFERROR(_xlfn.XMATCH(A506,$A$2:$A$2509,0,1)&lt;&gt;_xlfn.XMATCH(A506,$A$2:$A$2509,0,-1),FALSE)), "Código de barras duplicado", ""), IF(AND(E506&lt;&gt;"", COUNTIF($E$2:$E$2509, E506)&gt;1), "SKU duplicado", ""), IF(OR(J506="", J506=""), "[Aviso] División no capturada ()", IF(ISNA(MATCH(J506, Criterios!$A$123:$A$126, 0)), "División no válida", "")), IF(OR(K506="", K506=""), "[Aviso] Categoría no capturada ()", IF(ISNA(MATCH(K506, Criterios!$A$81:$A$120, 0)), "Categoría no válida", IF(AND(J506&lt;&gt;"", J506&lt;&gt;"", J506&lt;&gt;VLOOKUP(K506, Criterios!$A$81:$B$120, 2, FALSE)), "División no coincide con Categoría", ""))), IF(OR(L506="", L506=""), "[Aviso] Género no capturado ()", IF(ISNA(MATCH(L506, Criterios!$B$123:$B$127, 0)), "Género no válido", "")), IF(OR(N506="", N506=""), "[Aviso] Temporada no capturada ()", IF(ISNA(MATCH(N506, Criterios!$C$123:$C$128, 0)), "Temporada no válida", "")), IF(OR(O506="", O506=""), "[Aviso] Ciclo de vida no capturado ()", IF(ISNA(MATCH(O506, Criterios!$D$123:$D$124, 0)), "Ciclo de vida no válido", ""))))</f>
        <v/>
      </c>
      <c r="AC506" s="56" t="n"/>
      <c r="AD506" s="51" t="n">
        <v>0</v>
      </c>
      <c r="AE506" s="156" t="n"/>
      <c r="AF506" s="51" t="n">
        <v>0</v>
      </c>
      <c r="AG506" s="156" t="inlineStr">
        <is>
          <t>Catálogo existente</t>
        </is>
      </c>
      <c r="AH5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6" s="156" t="inlineStr">
        <is>
          <t>No</t>
        </is>
      </c>
      <c r="AJ506" s="156" t="n"/>
      <c r="AK506" s="155" t="inlineStr">
        <is>
          <t>Criterios: I [Q]; G1522_Extraccion_Articulos_NetSuite_2026-09-30.xlsx: fila 59078 [R] | Shopify Stetson: producto 15054564491627 / variante 53350553518443</t>
        </is>
      </c>
      <c r="AL506" s="58" t="n">
        <v>1230.915</v>
      </c>
      <c r="AM506" s="58" t="n">
        <v>7068.965517</v>
      </c>
      <c r="AN506" s="155" t="inlineStr">
        <is>
          <t>Shopify Stetson México</t>
        </is>
      </c>
      <c r="AO506" s="59" t="n">
        <v>0</v>
      </c>
      <c r="AP506" s="59" t="n"/>
      <c r="AQ506" s="59" t="n"/>
      <c r="AR506" s="155" t="n"/>
    </row>
    <row r="507">
      <c r="A507" s="50" t="inlineStr">
        <is>
          <t>12020005111023265</t>
        </is>
      </c>
      <c r="B507" s="51" t="inlineStr">
        <is>
          <t>111404</t>
        </is>
      </c>
      <c r="C507" s="156" t="inlineStr">
        <is>
          <t>Multimarca</t>
        </is>
      </c>
      <c r="D507" s="156" t="inlineStr">
        <is>
          <t>12-020-BS005-11-1023</t>
        </is>
      </c>
      <c r="E507" s="156" t="inlineStr">
        <is>
          <t>12-020-BS005-11-1023-265</t>
        </is>
      </c>
      <c r="F507" s="156" t="inlineStr">
        <is>
          <t>26.5</t>
        </is>
      </c>
      <c r="G507" s="156" t="inlineStr">
        <is>
          <t>8.5</t>
        </is>
      </c>
      <c r="H507" s="156" t="inlineStr">
        <is>
          <t>Stetson</t>
        </is>
      </c>
      <c r="I507" s="156" t="inlineStr">
        <is>
          <t>Bota Pitón Negro</t>
        </is>
      </c>
      <c r="J507" s="156" t="inlineStr">
        <is>
          <t>Calzado</t>
        </is>
      </c>
      <c r="K507" s="156" t="inlineStr">
        <is>
          <t>Botas</t>
        </is>
      </c>
      <c r="L507" s="156" t="inlineStr">
        <is>
          <t>Hombre</t>
        </is>
      </c>
      <c r="M507" s="156" t="inlineStr">
        <is>
          <t>Stetson</t>
        </is>
      </c>
      <c r="N507" s="156" t="inlineStr">
        <is>
          <t>SS26</t>
        </is>
      </c>
      <c r="O507" s="156" t="inlineStr">
        <is>
          <t>Seasonal</t>
        </is>
      </c>
      <c r="P507" s="156" t="inlineStr">
        <is>
          <t>Negro</t>
        </is>
      </c>
      <c r="Q507" s="156" t="n"/>
      <c r="R507" s="156" t="inlineStr">
        <is>
          <t>Punta Cuadrada Ancha</t>
        </is>
      </c>
      <c r="S507" s="156" t="inlineStr">
        <is>
          <t>Piel de pitón</t>
        </is>
      </c>
      <c r="T507" s="156" t="inlineStr">
        <is>
          <t>Bota Caballero Piel de pitón Negro Punta Cuadrada Ancha</t>
        </is>
      </c>
      <c r="U507" s="156" t="inlineStr">
        <is>
          <t>México</t>
        </is>
      </c>
      <c r="V507" s="156" t="inlineStr">
        <is>
          <t>PRS</t>
        </is>
      </c>
      <c r="W507" s="51" t="inlineStr">
        <is>
          <t>53111501</t>
        </is>
      </c>
      <c r="X507" s="156" t="n"/>
      <c r="Y507" s="54" t="n">
        <v>1230.915</v>
      </c>
      <c r="Z507" s="54" t="n">
        <v>7068.965517</v>
      </c>
      <c r="AA507" s="55">
        <f>IF(AND(A507="", B507="", E507=""), "", IF(AB507="", "Válido", IF((LEN(AB507)-LEN(SUBSTITUTE(AB507,"; ","")))/2+1&gt;(LEN(AB507)-LEN(SUBSTITUTE(AB507,"[Aviso]","")))/7, "Con Incidencias", "Válido")))</f>
        <v/>
      </c>
      <c r="AB507" s="56">
        <f>IF(AND(A507="", B507="", E507=""), "", TEXTJOIN("; ", TRUE, IF(OR(TRIM(A507&amp;"")="", ISNUMBER(SEARCH("FALTA", A507))), "UPC faltante/inválido", ""), IF(AND(A507&lt;&gt;"", IFERROR(_xlfn.XMATCH(A507,$A$2:$A$2509,0,1)&lt;&gt;_xlfn.XMATCH(A507,$A$2:$A$2509,0,-1),FALSE)), "Código de barras duplicado", ""), IF(AND(E507&lt;&gt;"", COUNTIF($E$2:$E$2509, E507)&gt;1), "SKU duplicado", ""), IF(OR(J507="", J507=""), "[Aviso] División no capturada ()", IF(ISNA(MATCH(J507, Criterios!$A$123:$A$126, 0)), "División no válida", "")), IF(OR(K507="", K507=""), "[Aviso] Categoría no capturada ()", IF(ISNA(MATCH(K507, Criterios!$A$81:$A$120, 0)), "Categoría no válida", IF(AND(J507&lt;&gt;"", J507&lt;&gt;"", J507&lt;&gt;VLOOKUP(K507, Criterios!$A$81:$B$120, 2, FALSE)), "División no coincide con Categoría", ""))), IF(OR(L507="", L507=""), "[Aviso] Género no capturado ()", IF(ISNA(MATCH(L507, Criterios!$B$123:$B$127, 0)), "Género no válido", "")), IF(OR(N507="", N507=""), "[Aviso] Temporada no capturada ()", IF(ISNA(MATCH(N507, Criterios!$C$123:$C$128, 0)), "Temporada no válida", "")), IF(OR(O507="", O507=""), "[Aviso] Ciclo de vida no capturado ()", IF(ISNA(MATCH(O507, Criterios!$D$123:$D$124, 0)), "Ciclo de vida no válido", ""))))</f>
        <v/>
      </c>
      <c r="AC507" s="56" t="n"/>
      <c r="AD507" s="51" t="n">
        <v>-1</v>
      </c>
      <c r="AE507" s="156" t="n"/>
      <c r="AF507" s="51" t="n">
        <v>0</v>
      </c>
      <c r="AG507" s="156" t="inlineStr">
        <is>
          <t>Catálogo existente</t>
        </is>
      </c>
      <c r="AH50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7" s="156" t="inlineStr">
        <is>
          <t>Sí</t>
        </is>
      </c>
      <c r="AJ507" s="156" t="inlineStr">
        <is>
          <t>STETSON AMERICAS (-1)</t>
        </is>
      </c>
      <c r="AK507" s="155" t="inlineStr">
        <is>
          <t>Criterios: I [Q]; G1522_Extraccion_Articulos_NetSuite_2026-09-30.xlsx: fila 59079 [R] | Shopify Stetson: producto 15054564491627 / variante 53350553583979</t>
        </is>
      </c>
      <c r="AL507" s="58" t="n">
        <v>1230.915</v>
      </c>
      <c r="AM507" s="58" t="n">
        <v>7068.965517</v>
      </c>
      <c r="AN507" s="155" t="inlineStr">
        <is>
          <t>Shopify Stetson México</t>
        </is>
      </c>
      <c r="AO507" s="59" t="n">
        <v>0</v>
      </c>
      <c r="AP507" s="59" t="n"/>
      <c r="AQ507" s="59" t="n"/>
      <c r="AR507" s="155" t="n"/>
    </row>
    <row r="508">
      <c r="A508" s="50" t="inlineStr">
        <is>
          <t>12020005111023275</t>
        </is>
      </c>
      <c r="B508" s="51" t="inlineStr">
        <is>
          <t>111405</t>
        </is>
      </c>
      <c r="C508" s="156" t="inlineStr">
        <is>
          <t>Multimarca</t>
        </is>
      </c>
      <c r="D508" s="156" t="inlineStr">
        <is>
          <t>12-020-BS005-11-1023</t>
        </is>
      </c>
      <c r="E508" s="156" t="inlineStr">
        <is>
          <t>12-020-BS005-11-1023-275</t>
        </is>
      </c>
      <c r="F508" s="156" t="inlineStr">
        <is>
          <t>27.5</t>
        </is>
      </c>
      <c r="G508" s="156" t="inlineStr">
        <is>
          <t>9.5</t>
        </is>
      </c>
      <c r="H508" s="156" t="inlineStr">
        <is>
          <t>Stetson</t>
        </is>
      </c>
      <c r="I508" s="156" t="inlineStr">
        <is>
          <t>Bota Pitón Negro</t>
        </is>
      </c>
      <c r="J508" s="156" t="inlineStr">
        <is>
          <t>Calzado</t>
        </is>
      </c>
      <c r="K508" s="156" t="inlineStr">
        <is>
          <t>Botas</t>
        </is>
      </c>
      <c r="L508" s="156" t="inlineStr">
        <is>
          <t>Hombre</t>
        </is>
      </c>
      <c r="M508" s="156" t="inlineStr">
        <is>
          <t>Stetson</t>
        </is>
      </c>
      <c r="N508" s="156" t="inlineStr">
        <is>
          <t>SS26</t>
        </is>
      </c>
      <c r="O508" s="156" t="inlineStr">
        <is>
          <t>Seasonal</t>
        </is>
      </c>
      <c r="P508" s="156" t="inlineStr">
        <is>
          <t>Negro</t>
        </is>
      </c>
      <c r="Q508" s="156" t="n"/>
      <c r="R508" s="156" t="inlineStr">
        <is>
          <t>Punta Cuadrada Ancha</t>
        </is>
      </c>
      <c r="S508" s="156" t="inlineStr">
        <is>
          <t>Piel de pitón</t>
        </is>
      </c>
      <c r="T508" s="156" t="inlineStr">
        <is>
          <t>Bota Caballero Piel de pitón Negro Punta Cuadrada Ancha</t>
        </is>
      </c>
      <c r="U508" s="156" t="inlineStr">
        <is>
          <t>México</t>
        </is>
      </c>
      <c r="V508" s="156" t="inlineStr">
        <is>
          <t>PRS</t>
        </is>
      </c>
      <c r="W508" s="51" t="inlineStr">
        <is>
          <t>53111501</t>
        </is>
      </c>
      <c r="X508" s="156" t="n"/>
      <c r="Y508" s="54" t="n">
        <v>1230.915</v>
      </c>
      <c r="Z508" s="54" t="n">
        <v>7068.965517</v>
      </c>
      <c r="AA508" s="55">
        <f>IF(AND(A508="", B508="", E508=""), "", IF(AB508="", "Válido", IF((LEN(AB508)-LEN(SUBSTITUTE(AB508,"; ","")))/2+1&gt;(LEN(AB508)-LEN(SUBSTITUTE(AB508,"[Aviso]","")))/7, "Con Incidencias", "Válido")))</f>
        <v/>
      </c>
      <c r="AB508" s="56">
        <f>IF(AND(A508="", B508="", E508=""), "", TEXTJOIN("; ", TRUE, IF(OR(TRIM(A508&amp;"")="", ISNUMBER(SEARCH("FALTA", A508))), "UPC faltante/inválido", ""), IF(AND(A508&lt;&gt;"", IFERROR(_xlfn.XMATCH(A508,$A$2:$A$2509,0,1)&lt;&gt;_xlfn.XMATCH(A508,$A$2:$A$2509,0,-1),FALSE)), "Código de barras duplicado", ""), IF(AND(E508&lt;&gt;"", COUNTIF($E$2:$E$2509, E508)&gt;1), "SKU duplicado", ""), IF(OR(J508="", J508=""), "[Aviso] División no capturada ()", IF(ISNA(MATCH(J508, Criterios!$A$123:$A$126, 0)), "División no válida", "")), IF(OR(K508="", K508=""), "[Aviso] Categoría no capturada ()", IF(ISNA(MATCH(K508, Criterios!$A$81:$A$120, 0)), "Categoría no válida", IF(AND(J508&lt;&gt;"", J508&lt;&gt;"", J508&lt;&gt;VLOOKUP(K508, Criterios!$A$81:$B$120, 2, FALSE)), "División no coincide con Categoría", ""))), IF(OR(L508="", L508=""), "[Aviso] Género no capturado ()", IF(ISNA(MATCH(L508, Criterios!$B$123:$B$127, 0)), "Género no válido", "")), IF(OR(N508="", N508=""), "[Aviso] Temporada no capturada ()", IF(ISNA(MATCH(N508, Criterios!$C$123:$C$128, 0)), "Temporada no válida", "")), IF(OR(O508="", O508=""), "[Aviso] Ciclo de vida no capturado ()", IF(ISNA(MATCH(O508, Criterios!$D$123:$D$124, 0)), "Ciclo de vida no válido", ""))))</f>
        <v/>
      </c>
      <c r="AC508" s="56" t="n"/>
      <c r="AD508" s="51" t="n">
        <v>0</v>
      </c>
      <c r="AE508" s="156" t="n"/>
      <c r="AF508" s="51" t="n">
        <v>0</v>
      </c>
      <c r="AG508" s="156" t="inlineStr">
        <is>
          <t>Catálogo existente</t>
        </is>
      </c>
      <c r="AH5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8" s="156" t="inlineStr">
        <is>
          <t>No</t>
        </is>
      </c>
      <c r="AJ508" s="156" t="n"/>
      <c r="AK508" s="155" t="inlineStr">
        <is>
          <t>Criterios: I [Q]; G1522_Extraccion_Articulos_NetSuite_2026-09-30.xlsx: fila 59080 [R] | Shopify Stetson: producto 15054564491627 / variante 53350553649515</t>
        </is>
      </c>
      <c r="AL508" s="58" t="n">
        <v>1230.915</v>
      </c>
      <c r="AM508" s="58" t="n">
        <v>7068.965517</v>
      </c>
      <c r="AN508" s="155" t="inlineStr">
        <is>
          <t>Shopify Stetson México</t>
        </is>
      </c>
      <c r="AO508" s="59" t="n">
        <v>2</v>
      </c>
      <c r="AP508" s="59" t="n"/>
      <c r="AQ508" s="59" t="n"/>
      <c r="AR508" s="155" t="inlineStr">
        <is>
          <t>Shopify Stetson México › Stetson Americas: 2</t>
        </is>
      </c>
    </row>
    <row r="509">
      <c r="A509" s="50" t="inlineStr">
        <is>
          <t>12020005111023285</t>
        </is>
      </c>
      <c r="B509" s="51" t="inlineStr">
        <is>
          <t>111406</t>
        </is>
      </c>
      <c r="C509" s="156" t="inlineStr">
        <is>
          <t>Multimarca</t>
        </is>
      </c>
      <c r="D509" s="156" t="inlineStr">
        <is>
          <t>12-020-BS005-11-1023</t>
        </is>
      </c>
      <c r="E509" s="156" t="inlineStr">
        <is>
          <t>12-020-BS005-11-1023-285</t>
        </is>
      </c>
      <c r="F509" s="156" t="inlineStr">
        <is>
          <t>28.5</t>
        </is>
      </c>
      <c r="G509" s="156" t="inlineStr">
        <is>
          <t>10.5</t>
        </is>
      </c>
      <c r="H509" s="156" t="inlineStr">
        <is>
          <t>Stetson</t>
        </is>
      </c>
      <c r="I509" s="156" t="inlineStr">
        <is>
          <t>Bota Pitón Negro</t>
        </is>
      </c>
      <c r="J509" s="156" t="inlineStr">
        <is>
          <t>Calzado</t>
        </is>
      </c>
      <c r="K509" s="156" t="inlineStr">
        <is>
          <t>Botas</t>
        </is>
      </c>
      <c r="L509" s="156" t="inlineStr">
        <is>
          <t>Hombre</t>
        </is>
      </c>
      <c r="M509" s="156" t="inlineStr">
        <is>
          <t>Stetson</t>
        </is>
      </c>
      <c r="N509" s="156" t="inlineStr">
        <is>
          <t>SS26</t>
        </is>
      </c>
      <c r="O509" s="156" t="inlineStr">
        <is>
          <t>Seasonal</t>
        </is>
      </c>
      <c r="P509" s="156" t="inlineStr">
        <is>
          <t>Negro</t>
        </is>
      </c>
      <c r="Q509" s="156" t="n"/>
      <c r="R509" s="156" t="inlineStr">
        <is>
          <t>Punta Cuadrada Ancha</t>
        </is>
      </c>
      <c r="S509" s="156" t="inlineStr">
        <is>
          <t>Piel de pitón</t>
        </is>
      </c>
      <c r="T509" s="156" t="inlineStr">
        <is>
          <t>Bota Caballero Piel de pitón Negro Punta Cuadrada Ancha</t>
        </is>
      </c>
      <c r="U509" s="156" t="inlineStr">
        <is>
          <t>México</t>
        </is>
      </c>
      <c r="V509" s="156" t="inlineStr">
        <is>
          <t>PRS</t>
        </is>
      </c>
      <c r="W509" s="51" t="inlineStr">
        <is>
          <t>53111501</t>
        </is>
      </c>
      <c r="X509" s="156" t="n"/>
      <c r="Y509" s="54" t="n">
        <v>1230.915</v>
      </c>
      <c r="Z509" s="54" t="n">
        <v>7068.965517</v>
      </c>
      <c r="AA509" s="55">
        <f>IF(AND(A509="", B509="", E509=""), "", IF(AB509="", "Válido", IF((LEN(AB509)-LEN(SUBSTITUTE(AB509,"; ","")))/2+1&gt;(LEN(AB509)-LEN(SUBSTITUTE(AB509,"[Aviso]","")))/7, "Con Incidencias", "Válido")))</f>
        <v/>
      </c>
      <c r="AB509" s="56">
        <f>IF(AND(A509="", B509="", E509=""), "", TEXTJOIN("; ", TRUE, IF(OR(TRIM(A509&amp;"")="", ISNUMBER(SEARCH("FALTA", A509))), "UPC faltante/inválido", ""), IF(AND(A509&lt;&gt;"", IFERROR(_xlfn.XMATCH(A509,$A$2:$A$2509,0,1)&lt;&gt;_xlfn.XMATCH(A509,$A$2:$A$2509,0,-1),FALSE)), "Código de barras duplicado", ""), IF(AND(E509&lt;&gt;"", COUNTIF($E$2:$E$2509, E509)&gt;1), "SKU duplicado", ""), IF(OR(J509="", J509=""), "[Aviso] División no capturada ()", IF(ISNA(MATCH(J509, Criterios!$A$123:$A$126, 0)), "División no válida", "")), IF(OR(K509="", K509=""), "[Aviso] Categoría no capturada ()", IF(ISNA(MATCH(K509, Criterios!$A$81:$A$120, 0)), "Categoría no válida", IF(AND(J509&lt;&gt;"", J509&lt;&gt;"", J509&lt;&gt;VLOOKUP(K509, Criterios!$A$81:$B$120, 2, FALSE)), "División no coincide con Categoría", ""))), IF(OR(L509="", L509=""), "[Aviso] Género no capturado ()", IF(ISNA(MATCH(L509, Criterios!$B$123:$B$127, 0)), "Género no válido", "")), IF(OR(N509="", N509=""), "[Aviso] Temporada no capturada ()", IF(ISNA(MATCH(N509, Criterios!$C$123:$C$128, 0)), "Temporada no válida", "")), IF(OR(O509="", O509=""), "[Aviso] Ciclo de vida no capturado ()", IF(ISNA(MATCH(O509, Criterios!$D$123:$D$124, 0)), "Ciclo de vida no válido", ""))))</f>
        <v/>
      </c>
      <c r="AC509" s="56" t="n"/>
      <c r="AD509" s="51" t="n">
        <v>-2</v>
      </c>
      <c r="AE509" s="156" t="n"/>
      <c r="AF509" s="51" t="n">
        <v>0</v>
      </c>
      <c r="AG509" s="156" t="inlineStr">
        <is>
          <t>Catálogo existente</t>
        </is>
      </c>
      <c r="AH50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9" s="156" t="inlineStr">
        <is>
          <t>Sí</t>
        </is>
      </c>
      <c r="AJ509" s="156" t="inlineStr">
        <is>
          <t>STETSON AMERICAS (-2)</t>
        </is>
      </c>
      <c r="AK509" s="155" t="inlineStr">
        <is>
          <t>Criterios: I [Q]; G1522_Extraccion_Articulos_NetSuite_2026-09-30.xlsx: fila 59081 [R] | Shopify Stetson: producto 15054564491627 / variante 53350553715051</t>
        </is>
      </c>
      <c r="AL509" s="58" t="n">
        <v>1230.915</v>
      </c>
      <c r="AM509" s="58" t="n">
        <v>7068.965517</v>
      </c>
      <c r="AN509" s="155" t="inlineStr">
        <is>
          <t>Shopify Stetson México</t>
        </is>
      </c>
      <c r="AO509" s="59" t="n">
        <v>0</v>
      </c>
      <c r="AP509" s="59" t="n"/>
      <c r="AQ509" s="59" t="n"/>
      <c r="AR509" s="155" t="n"/>
    </row>
    <row r="510">
      <c r="A510" s="50" t="inlineStr">
        <is>
          <t>12020005111023295</t>
        </is>
      </c>
      <c r="B510" s="51" t="inlineStr">
        <is>
          <t>111407</t>
        </is>
      </c>
      <c r="C510" s="156" t="inlineStr">
        <is>
          <t>Multimarca</t>
        </is>
      </c>
      <c r="D510" s="156" t="inlineStr">
        <is>
          <t>12-020-BS005-11-1023</t>
        </is>
      </c>
      <c r="E510" s="156" t="inlineStr">
        <is>
          <t>12-020-BS005-11-1023-295</t>
        </is>
      </c>
      <c r="F510" s="156" t="inlineStr">
        <is>
          <t>29.5</t>
        </is>
      </c>
      <c r="G510" s="156" t="inlineStr">
        <is>
          <t>11.5</t>
        </is>
      </c>
      <c r="H510" s="156" t="inlineStr">
        <is>
          <t>Stetson</t>
        </is>
      </c>
      <c r="I510" s="156" t="inlineStr">
        <is>
          <t>Bota Pitón Negro</t>
        </is>
      </c>
      <c r="J510" s="156" t="inlineStr">
        <is>
          <t>Calzado</t>
        </is>
      </c>
      <c r="K510" s="156" t="inlineStr">
        <is>
          <t>Botas</t>
        </is>
      </c>
      <c r="L510" s="156" t="inlineStr">
        <is>
          <t>Hombre</t>
        </is>
      </c>
      <c r="M510" s="156" t="inlineStr">
        <is>
          <t>Stetson</t>
        </is>
      </c>
      <c r="N510" s="156" t="inlineStr">
        <is>
          <t>SS26</t>
        </is>
      </c>
      <c r="O510" s="156" t="inlineStr">
        <is>
          <t>Seasonal</t>
        </is>
      </c>
      <c r="P510" s="156" t="inlineStr">
        <is>
          <t>Negro</t>
        </is>
      </c>
      <c r="Q510" s="156" t="n"/>
      <c r="R510" s="156" t="inlineStr">
        <is>
          <t>Punta Cuadrada Ancha</t>
        </is>
      </c>
      <c r="S510" s="156" t="inlineStr">
        <is>
          <t>Piel de pitón</t>
        </is>
      </c>
      <c r="T510" s="156" t="inlineStr">
        <is>
          <t>Bota Caballero Piel de pitón Negro Punta Cuadrada Ancha</t>
        </is>
      </c>
      <c r="U510" s="156" t="inlineStr">
        <is>
          <t>México</t>
        </is>
      </c>
      <c r="V510" s="156" t="inlineStr">
        <is>
          <t>PRS</t>
        </is>
      </c>
      <c r="W510" s="51" t="inlineStr">
        <is>
          <t>53111501</t>
        </is>
      </c>
      <c r="X510" s="156" t="n"/>
      <c r="Y510" s="54" t="n">
        <v>1230.915</v>
      </c>
      <c r="Z510" s="54" t="n">
        <v>7068.965517</v>
      </c>
      <c r="AA510" s="55">
        <f>IF(AND(A510="", B510="", E510=""), "", IF(AB510="", "Válido", IF((LEN(AB510)-LEN(SUBSTITUTE(AB510,"; ","")))/2+1&gt;(LEN(AB510)-LEN(SUBSTITUTE(AB510,"[Aviso]","")))/7, "Con Incidencias", "Válido")))</f>
        <v/>
      </c>
      <c r="AB510" s="56">
        <f>IF(AND(A510="", B510="", E510=""), "", TEXTJOIN("; ", TRUE, IF(OR(TRIM(A510&amp;"")="", ISNUMBER(SEARCH("FALTA", A510))), "UPC faltante/inválido", ""), IF(AND(A510&lt;&gt;"", IFERROR(_xlfn.XMATCH(A510,$A$2:$A$2509,0,1)&lt;&gt;_xlfn.XMATCH(A510,$A$2:$A$2509,0,-1),FALSE)), "Código de barras duplicado", ""), IF(AND(E510&lt;&gt;"", COUNTIF($E$2:$E$2509, E510)&gt;1), "SKU duplicado", ""), IF(OR(J510="", J510=""), "[Aviso] División no capturada ()", IF(ISNA(MATCH(J510, Criterios!$A$123:$A$126, 0)), "División no válida", "")), IF(OR(K510="", K510=""), "[Aviso] Categoría no capturada ()", IF(ISNA(MATCH(K510, Criterios!$A$81:$A$120, 0)), "Categoría no válida", IF(AND(J510&lt;&gt;"", J510&lt;&gt;"", J510&lt;&gt;VLOOKUP(K510, Criterios!$A$81:$B$120, 2, FALSE)), "División no coincide con Categoría", ""))), IF(OR(L510="", L510=""), "[Aviso] Género no capturado ()", IF(ISNA(MATCH(L510, Criterios!$B$123:$B$127, 0)), "Género no válido", "")), IF(OR(N510="", N510=""), "[Aviso] Temporada no capturada ()", IF(ISNA(MATCH(N510, Criterios!$C$123:$C$128, 0)), "Temporada no válida", "")), IF(OR(O510="", O510=""), "[Aviso] Ciclo de vida no capturado ()", IF(ISNA(MATCH(O510, Criterios!$D$123:$D$124, 0)), "Ciclo de vida no válido", ""))))</f>
        <v/>
      </c>
      <c r="AC510" s="56" t="n"/>
      <c r="AD510" s="51" t="n">
        <v>0</v>
      </c>
      <c r="AE510" s="156" t="n"/>
      <c r="AF510" s="51" t="n">
        <v>0</v>
      </c>
      <c r="AG510" s="156" t="inlineStr">
        <is>
          <t>Catálogo existente</t>
        </is>
      </c>
      <c r="AH5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0" s="156" t="inlineStr">
        <is>
          <t>No</t>
        </is>
      </c>
      <c r="AJ510" s="156" t="n"/>
      <c r="AK510" s="155" t="inlineStr">
        <is>
          <t>Criterios: I [Q]; G1522_Extraccion_Articulos_NetSuite_2026-09-30.xlsx: fila 59082 [R] | Shopify Stetson: producto 15054564491627 / variante 53350553780587</t>
        </is>
      </c>
      <c r="AL510" s="58" t="n">
        <v>1230.915</v>
      </c>
      <c r="AM510" s="58" t="n">
        <v>7068.965517</v>
      </c>
      <c r="AN510" s="155" t="inlineStr">
        <is>
          <t>Shopify Stetson México</t>
        </is>
      </c>
      <c r="AO510" s="59" t="n">
        <v>1</v>
      </c>
      <c r="AP510" s="59" t="n"/>
      <c r="AQ510" s="59" t="n"/>
      <c r="AR510" s="155" t="inlineStr">
        <is>
          <t>Shopify Stetson México › Stetson Americas: 1</t>
        </is>
      </c>
    </row>
    <row r="511">
      <c r="A511" s="50" t="inlineStr">
        <is>
          <t>12020005111023305</t>
        </is>
      </c>
      <c r="B511" s="51" t="inlineStr">
        <is>
          <t>111408</t>
        </is>
      </c>
      <c r="C511" s="156" t="inlineStr">
        <is>
          <t>Multimarca</t>
        </is>
      </c>
      <c r="D511" s="156" t="inlineStr">
        <is>
          <t>12-020-BS005-11-1023</t>
        </is>
      </c>
      <c r="E511" s="156" t="inlineStr">
        <is>
          <t>12-020-BS005-11-1023-305</t>
        </is>
      </c>
      <c r="F511" s="156" t="inlineStr">
        <is>
          <t>30.5</t>
        </is>
      </c>
      <c r="G511" s="156" t="inlineStr">
        <is>
          <t>12.5</t>
        </is>
      </c>
      <c r="H511" s="156" t="inlineStr">
        <is>
          <t>Stetson</t>
        </is>
      </c>
      <c r="I511" s="156" t="inlineStr">
        <is>
          <t>Bota Pitón Negro</t>
        </is>
      </c>
      <c r="J511" s="156" t="inlineStr">
        <is>
          <t>Calzado</t>
        </is>
      </c>
      <c r="K511" s="156" t="inlineStr">
        <is>
          <t>Botas</t>
        </is>
      </c>
      <c r="L511" s="156" t="inlineStr">
        <is>
          <t>Hombre</t>
        </is>
      </c>
      <c r="M511" s="156" t="inlineStr">
        <is>
          <t>Stetson</t>
        </is>
      </c>
      <c r="N511" s="156" t="inlineStr">
        <is>
          <t>SS26</t>
        </is>
      </c>
      <c r="O511" s="156" t="inlineStr">
        <is>
          <t>Seasonal</t>
        </is>
      </c>
      <c r="P511" s="156" t="inlineStr">
        <is>
          <t>Negro</t>
        </is>
      </c>
      <c r="Q511" s="156" t="n"/>
      <c r="R511" s="156" t="inlineStr">
        <is>
          <t>Punta Cuadrada Ancha</t>
        </is>
      </c>
      <c r="S511" s="156" t="inlineStr">
        <is>
          <t>Piel de pitón</t>
        </is>
      </c>
      <c r="T511" s="156" t="inlineStr">
        <is>
          <t>Bota Caballero Piel de pitón Negro Punta Cuadrada Ancha</t>
        </is>
      </c>
      <c r="U511" s="156" t="inlineStr">
        <is>
          <t>México</t>
        </is>
      </c>
      <c r="V511" s="156" t="inlineStr">
        <is>
          <t>PRS</t>
        </is>
      </c>
      <c r="W511" s="51" t="inlineStr">
        <is>
          <t>53111501</t>
        </is>
      </c>
      <c r="X511" s="156" t="n"/>
      <c r="Y511" s="54" t="n">
        <v>1230.915</v>
      </c>
      <c r="Z511" s="54" t="n">
        <v>7068.965517</v>
      </c>
      <c r="AA511" s="55">
        <f>IF(AND(A511="", B511="", E511=""), "", IF(AB511="", "Válido", IF((LEN(AB511)-LEN(SUBSTITUTE(AB511,"; ","")))/2+1&gt;(LEN(AB511)-LEN(SUBSTITUTE(AB511,"[Aviso]","")))/7, "Con Incidencias", "Válido")))</f>
        <v/>
      </c>
      <c r="AB511" s="56">
        <f>IF(AND(A511="", B511="", E511=""), "", TEXTJOIN("; ", TRUE, IF(OR(TRIM(A511&amp;"")="", ISNUMBER(SEARCH("FALTA", A511))), "UPC faltante/inválido", ""), IF(AND(A511&lt;&gt;"", IFERROR(_xlfn.XMATCH(A511,$A$2:$A$2509,0,1)&lt;&gt;_xlfn.XMATCH(A511,$A$2:$A$2509,0,-1),FALSE)), "Código de barras duplicado", ""), IF(AND(E511&lt;&gt;"", COUNTIF($E$2:$E$2509, E511)&gt;1), "SKU duplicado", ""), IF(OR(J511="", J511=""), "[Aviso] División no capturada ()", IF(ISNA(MATCH(J511, Criterios!$A$123:$A$126, 0)), "División no válida", "")), IF(OR(K511="", K511=""), "[Aviso] Categoría no capturada ()", IF(ISNA(MATCH(K511, Criterios!$A$81:$A$120, 0)), "Categoría no válida", IF(AND(J511&lt;&gt;"", J511&lt;&gt;"", J511&lt;&gt;VLOOKUP(K511, Criterios!$A$81:$B$120, 2, FALSE)), "División no coincide con Categoría", ""))), IF(OR(L511="", L511=""), "[Aviso] Género no capturado ()", IF(ISNA(MATCH(L511, Criterios!$B$123:$B$127, 0)), "Género no válido", "")), IF(OR(N511="", N511=""), "[Aviso] Temporada no capturada ()", IF(ISNA(MATCH(N511, Criterios!$C$123:$C$128, 0)), "Temporada no válida", "")), IF(OR(O511="", O511=""), "[Aviso] Ciclo de vida no capturado ()", IF(ISNA(MATCH(O511, Criterios!$D$123:$D$124, 0)), "Ciclo de vida no válido", ""))))</f>
        <v/>
      </c>
      <c r="AC511" s="56" t="n"/>
      <c r="AD511" s="51" t="n">
        <v>0</v>
      </c>
      <c r="AE511" s="156" t="n"/>
      <c r="AF511" s="51" t="n">
        <v>0</v>
      </c>
      <c r="AG511" s="156" t="inlineStr">
        <is>
          <t>Catálogo existente</t>
        </is>
      </c>
      <c r="AH5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1" s="156" t="inlineStr">
        <is>
          <t>No</t>
        </is>
      </c>
      <c r="AJ511" s="156" t="n"/>
      <c r="AK511" s="155" t="inlineStr">
        <is>
          <t>Criterios: I [Q]; G1522_Extraccion_Articulos_NetSuite_2026-09-30.xlsx: fila 59083 [R] | Shopify Stetson: producto 15054564491627 / variante 53350553846123</t>
        </is>
      </c>
      <c r="AL511" s="58" t="n">
        <v>1230.915</v>
      </c>
      <c r="AM511" s="58" t="n">
        <v>7068.965517</v>
      </c>
      <c r="AN511" s="155" t="inlineStr">
        <is>
          <t>Shopify Stetson México</t>
        </is>
      </c>
      <c r="AO511" s="59" t="n">
        <v>0</v>
      </c>
      <c r="AP511" s="59" t="n"/>
      <c r="AQ511" s="59" t="n"/>
      <c r="AR511" s="155" t="n"/>
    </row>
    <row r="512">
      <c r="A512" s="50" t="inlineStr">
        <is>
          <t>12020005111023315</t>
        </is>
      </c>
      <c r="B512" s="51" t="inlineStr">
        <is>
          <t>111409</t>
        </is>
      </c>
      <c r="C512" s="156" t="inlineStr">
        <is>
          <t>Multimarca</t>
        </is>
      </c>
      <c r="D512" s="156" t="inlineStr">
        <is>
          <t>12-020-BS005-11-1023</t>
        </is>
      </c>
      <c r="E512" s="156" t="inlineStr">
        <is>
          <t>12-020-BS005-11-1023-315</t>
        </is>
      </c>
      <c r="F512" s="156" t="inlineStr">
        <is>
          <t>31.5</t>
        </is>
      </c>
      <c r="G512" s="156" t="inlineStr">
        <is>
          <t>13.5</t>
        </is>
      </c>
      <c r="H512" s="156" t="inlineStr">
        <is>
          <t>Stetson</t>
        </is>
      </c>
      <c r="I512" s="156" t="inlineStr">
        <is>
          <t>Bota Pitón Negro</t>
        </is>
      </c>
      <c r="J512" s="156" t="inlineStr">
        <is>
          <t>Calzado</t>
        </is>
      </c>
      <c r="K512" s="156" t="inlineStr">
        <is>
          <t>Botas</t>
        </is>
      </c>
      <c r="L512" s="156" t="inlineStr">
        <is>
          <t>Hombre</t>
        </is>
      </c>
      <c r="M512" s="156" t="inlineStr">
        <is>
          <t>Stetson</t>
        </is>
      </c>
      <c r="N512" s="156" t="inlineStr">
        <is>
          <t>SS26</t>
        </is>
      </c>
      <c r="O512" s="156" t="inlineStr">
        <is>
          <t>Seasonal</t>
        </is>
      </c>
      <c r="P512" s="156" t="inlineStr">
        <is>
          <t>Negro</t>
        </is>
      </c>
      <c r="Q512" s="156" t="n"/>
      <c r="R512" s="156" t="inlineStr">
        <is>
          <t>Punta Cuadrada Ancha</t>
        </is>
      </c>
      <c r="S512" s="156" t="inlineStr">
        <is>
          <t>Piel de pitón</t>
        </is>
      </c>
      <c r="T512" s="156" t="inlineStr">
        <is>
          <t>Bota Caballero Piel de pitón Negro Punta Cuadrada Ancha</t>
        </is>
      </c>
      <c r="U512" s="156" t="inlineStr">
        <is>
          <t>México</t>
        </is>
      </c>
      <c r="V512" s="156" t="inlineStr">
        <is>
          <t>PRS</t>
        </is>
      </c>
      <c r="W512" s="51" t="inlineStr">
        <is>
          <t>53111501</t>
        </is>
      </c>
      <c r="X512" s="156" t="n"/>
      <c r="Y512" s="54" t="n">
        <v>1230.915</v>
      </c>
      <c r="Z512" s="54" t="n">
        <v>7068.965517</v>
      </c>
      <c r="AA512" s="55">
        <f>IF(AND(A512="", B512="", E512=""), "", IF(AB512="", "Válido", IF((LEN(AB512)-LEN(SUBSTITUTE(AB512,"; ","")))/2+1&gt;(LEN(AB512)-LEN(SUBSTITUTE(AB512,"[Aviso]","")))/7, "Con Incidencias", "Válido")))</f>
        <v/>
      </c>
      <c r="AB512" s="56">
        <f>IF(AND(A512="", B512="", E512=""), "", TEXTJOIN("; ", TRUE, IF(OR(TRIM(A512&amp;"")="", ISNUMBER(SEARCH("FALTA", A512))), "UPC faltante/inválido", ""), IF(AND(A512&lt;&gt;"", IFERROR(_xlfn.XMATCH(A512,$A$2:$A$2509,0,1)&lt;&gt;_xlfn.XMATCH(A512,$A$2:$A$2509,0,-1),FALSE)), "Código de barras duplicado", ""), IF(AND(E512&lt;&gt;"", COUNTIF($E$2:$E$2509, E512)&gt;1), "SKU duplicado", ""), IF(OR(J512="", J512=""), "[Aviso] División no capturada ()", IF(ISNA(MATCH(J512, Criterios!$A$123:$A$126, 0)), "División no válida", "")), IF(OR(K512="", K512=""), "[Aviso] Categoría no capturada ()", IF(ISNA(MATCH(K512, Criterios!$A$81:$A$120, 0)), "Categoría no válida", IF(AND(J512&lt;&gt;"", J512&lt;&gt;"", J512&lt;&gt;VLOOKUP(K512, Criterios!$A$81:$B$120, 2, FALSE)), "División no coincide con Categoría", ""))), IF(OR(L512="", L512=""), "[Aviso] Género no capturado ()", IF(ISNA(MATCH(L512, Criterios!$B$123:$B$127, 0)), "Género no válido", "")), IF(OR(N512="", N512=""), "[Aviso] Temporada no capturada ()", IF(ISNA(MATCH(N512, Criterios!$C$123:$C$128, 0)), "Temporada no válida", "")), IF(OR(O512="", O512=""), "[Aviso] Ciclo de vida no capturado ()", IF(ISNA(MATCH(O512, Criterios!$D$123:$D$124, 0)), "Ciclo de vida no válido", ""))))</f>
        <v/>
      </c>
      <c r="AC512" s="56" t="n"/>
      <c r="AD512" s="51" t="n">
        <v>0</v>
      </c>
      <c r="AE512" s="156" t="n"/>
      <c r="AF512" s="51" t="n">
        <v>0</v>
      </c>
      <c r="AG512" s="156" t="inlineStr">
        <is>
          <t>Catálogo existente</t>
        </is>
      </c>
      <c r="AH5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2" s="156" t="inlineStr">
        <is>
          <t>No</t>
        </is>
      </c>
      <c r="AJ512" s="156" t="n"/>
      <c r="AK512" s="155" t="inlineStr">
        <is>
          <t>Criterios: I [Q]; G1522_Extraccion_Articulos_NetSuite_2026-09-30.xlsx: fila 59084 [R] | Shopify Stetson: producto 15054564491627 / variante 53350553911659</t>
        </is>
      </c>
      <c r="AL512" s="58" t="n">
        <v>1230.915</v>
      </c>
      <c r="AM512" s="58" t="n">
        <v>7068.965517</v>
      </c>
      <c r="AN512" s="155" t="inlineStr">
        <is>
          <t>Shopify Stetson México</t>
        </is>
      </c>
      <c r="AO512" s="59" t="n">
        <v>0</v>
      </c>
      <c r="AP512" s="59" t="n"/>
      <c r="AQ512" s="59" t="n"/>
      <c r="AR512" s="155" t="n"/>
    </row>
    <row r="513">
      <c r="A513" s="50" t="inlineStr">
        <is>
          <t>12020005111023325</t>
        </is>
      </c>
      <c r="B513" s="51" t="inlineStr">
        <is>
          <t>111410</t>
        </is>
      </c>
      <c r="C513" s="156" t="inlineStr">
        <is>
          <t>Multimarca</t>
        </is>
      </c>
      <c r="D513" s="156" t="inlineStr">
        <is>
          <t>12-020-BS005-11-1023</t>
        </is>
      </c>
      <c r="E513" s="156" t="inlineStr">
        <is>
          <t>12-020-BS005-11-1023-325</t>
        </is>
      </c>
      <c r="F513" s="156" t="inlineStr">
        <is>
          <t>32.5</t>
        </is>
      </c>
      <c r="G513" s="156" t="inlineStr">
        <is>
          <t>14.5</t>
        </is>
      </c>
      <c r="H513" s="156" t="inlineStr">
        <is>
          <t>Stetson</t>
        </is>
      </c>
      <c r="I513" s="156" t="inlineStr">
        <is>
          <t>Bota Pitón Negro</t>
        </is>
      </c>
      <c r="J513" s="156" t="inlineStr">
        <is>
          <t>Calzado</t>
        </is>
      </c>
      <c r="K513" s="156" t="inlineStr">
        <is>
          <t>Botas</t>
        </is>
      </c>
      <c r="L513" s="156" t="inlineStr">
        <is>
          <t>Hombre</t>
        </is>
      </c>
      <c r="M513" s="156" t="inlineStr">
        <is>
          <t>Stetson</t>
        </is>
      </c>
      <c r="N513" s="156" t="inlineStr">
        <is>
          <t>SS26</t>
        </is>
      </c>
      <c r="O513" s="156" t="inlineStr">
        <is>
          <t>Seasonal</t>
        </is>
      </c>
      <c r="P513" s="156" t="inlineStr">
        <is>
          <t>Negro</t>
        </is>
      </c>
      <c r="Q513" s="156" t="n"/>
      <c r="R513" s="156" t="inlineStr">
        <is>
          <t>Punta Cuadrada Ancha</t>
        </is>
      </c>
      <c r="S513" s="156" t="inlineStr">
        <is>
          <t>Piel de pitón</t>
        </is>
      </c>
      <c r="T513" s="156" t="inlineStr">
        <is>
          <t>Bota Caballero Piel de pitón Negro Punta Cuadrada Ancha</t>
        </is>
      </c>
      <c r="U513" s="156" t="inlineStr">
        <is>
          <t>México</t>
        </is>
      </c>
      <c r="V513" s="156" t="inlineStr">
        <is>
          <t>PRS</t>
        </is>
      </c>
      <c r="W513" s="51" t="inlineStr">
        <is>
          <t>53111501</t>
        </is>
      </c>
      <c r="X513" s="156" t="n"/>
      <c r="Y513" s="54" t="n">
        <v>1230.915</v>
      </c>
      <c r="Z513" s="54" t="n">
        <v>7068.965517</v>
      </c>
      <c r="AA513" s="55">
        <f>IF(AND(A513="", B513="", E513=""), "", IF(AB513="", "Válido", IF((LEN(AB513)-LEN(SUBSTITUTE(AB513,"; ","")))/2+1&gt;(LEN(AB513)-LEN(SUBSTITUTE(AB513,"[Aviso]","")))/7, "Con Incidencias", "Válido")))</f>
        <v/>
      </c>
      <c r="AB513" s="56">
        <f>IF(AND(A513="", B513="", E513=""), "", TEXTJOIN("; ", TRUE, IF(OR(TRIM(A513&amp;"")="", ISNUMBER(SEARCH("FALTA", A513))), "UPC faltante/inválido", ""), IF(AND(A513&lt;&gt;"", IFERROR(_xlfn.XMATCH(A513,$A$2:$A$2509,0,1)&lt;&gt;_xlfn.XMATCH(A513,$A$2:$A$2509,0,-1),FALSE)), "Código de barras duplicado", ""), IF(AND(E513&lt;&gt;"", COUNTIF($E$2:$E$2509, E513)&gt;1), "SKU duplicado", ""), IF(OR(J513="", J513=""), "[Aviso] División no capturada ()", IF(ISNA(MATCH(J513, Criterios!$A$123:$A$126, 0)), "División no válida", "")), IF(OR(K513="", K513=""), "[Aviso] Categoría no capturada ()", IF(ISNA(MATCH(K513, Criterios!$A$81:$A$120, 0)), "Categoría no válida", IF(AND(J513&lt;&gt;"", J513&lt;&gt;"", J513&lt;&gt;VLOOKUP(K513, Criterios!$A$81:$B$120, 2, FALSE)), "División no coincide con Categoría", ""))), IF(OR(L513="", L513=""), "[Aviso] Género no capturado ()", IF(ISNA(MATCH(L513, Criterios!$B$123:$B$127, 0)), "Género no válido", "")), IF(OR(N513="", N513=""), "[Aviso] Temporada no capturada ()", IF(ISNA(MATCH(N513, Criterios!$C$123:$C$128, 0)), "Temporada no válida", "")), IF(OR(O513="", O513=""), "[Aviso] Ciclo de vida no capturado ()", IF(ISNA(MATCH(O513, Criterios!$D$123:$D$124, 0)), "Ciclo de vida no válido", ""))))</f>
        <v/>
      </c>
      <c r="AC513" s="56" t="n"/>
      <c r="AD513" s="51" t="n">
        <v>0</v>
      </c>
      <c r="AE513" s="156" t="n"/>
      <c r="AF513" s="51" t="n">
        <v>0</v>
      </c>
      <c r="AG513" s="156" t="inlineStr">
        <is>
          <t>Catálogo existente</t>
        </is>
      </c>
      <c r="AH5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3" s="156" t="inlineStr">
        <is>
          <t>No</t>
        </is>
      </c>
      <c r="AJ513" s="156" t="n"/>
      <c r="AK513" s="155" t="inlineStr">
        <is>
          <t>Criterios: I [Q]; G1522_Extraccion_Articulos_NetSuite_2026-09-30.xlsx: fila 59085 [R] | Shopify Stetson: producto 15054564491627 / variante 53350553977195</t>
        </is>
      </c>
      <c r="AL513" s="58" t="n">
        <v>1230.915</v>
      </c>
      <c r="AM513" s="58" t="n">
        <v>7068.965517</v>
      </c>
      <c r="AN513" s="155" t="inlineStr">
        <is>
          <t>Shopify Stetson México</t>
        </is>
      </c>
      <c r="AO513" s="59" t="n">
        <v>0</v>
      </c>
      <c r="AP513" s="59" t="n"/>
      <c r="AQ513" s="59" t="n"/>
      <c r="AR513" s="155" t="n"/>
    </row>
    <row r="514">
      <c r="A514" s="50" t="inlineStr">
        <is>
          <t>12020005111024025</t>
        </is>
      </c>
      <c r="B514" s="51" t="inlineStr">
        <is>
          <t>111411</t>
        </is>
      </c>
      <c r="C514" s="156" t="inlineStr">
        <is>
          <t>Multimarca</t>
        </is>
      </c>
      <c r="D514" s="156" t="inlineStr">
        <is>
          <t>12-020-BS005-11-1024</t>
        </is>
      </c>
      <c r="E514" s="156" t="inlineStr">
        <is>
          <t>12-020-BS005-11-1024-025</t>
        </is>
      </c>
      <c r="F514" s="156" t="inlineStr">
        <is>
          <t>25</t>
        </is>
      </c>
      <c r="G514" s="156" t="inlineStr">
        <is>
          <t>7</t>
        </is>
      </c>
      <c r="H514" s="156" t="inlineStr">
        <is>
          <t>Stetson</t>
        </is>
      </c>
      <c r="I514" s="156" t="inlineStr">
        <is>
          <t>Bota Pitón Chocolate</t>
        </is>
      </c>
      <c r="J514" s="156" t="inlineStr">
        <is>
          <t>Calzado</t>
        </is>
      </c>
      <c r="K514" s="156" t="inlineStr">
        <is>
          <t>Botas</t>
        </is>
      </c>
      <c r="L514" s="156" t="inlineStr">
        <is>
          <t>Hombre</t>
        </is>
      </c>
      <c r="M514" s="156" t="inlineStr">
        <is>
          <t>Stetson</t>
        </is>
      </c>
      <c r="N514" s="156" t="inlineStr">
        <is>
          <t>SS26</t>
        </is>
      </c>
      <c r="O514" s="156" t="inlineStr">
        <is>
          <t>Seasonal</t>
        </is>
      </c>
      <c r="P514" s="156" t="inlineStr">
        <is>
          <t>Cafe</t>
        </is>
      </c>
      <c r="Q514" s="156" t="n"/>
      <c r="R514" s="156" t="inlineStr">
        <is>
          <t>Punta Cuadrada Ancha</t>
        </is>
      </c>
      <c r="S514" s="156" t="inlineStr">
        <is>
          <t>Piel de pitón</t>
        </is>
      </c>
      <c r="T514" s="156" t="inlineStr">
        <is>
          <t>Bota Caballero Piel de pitón Chocolate Punta Cuadrada Ancha</t>
        </is>
      </c>
      <c r="U514" s="156" t="inlineStr">
        <is>
          <t>México</t>
        </is>
      </c>
      <c r="V514" s="156" t="inlineStr">
        <is>
          <t>PRS</t>
        </is>
      </c>
      <c r="W514" s="51" t="inlineStr">
        <is>
          <t>53111501</t>
        </is>
      </c>
      <c r="X514" s="156" t="n"/>
      <c r="Y514" s="54" t="n">
        <v>1230.915</v>
      </c>
      <c r="Z514" s="54" t="n">
        <v>7068.965517</v>
      </c>
      <c r="AA514" s="55">
        <f>IF(AND(A514="", B514="", E514=""), "", IF(AB514="", "Válido", IF((LEN(AB514)-LEN(SUBSTITUTE(AB514,"; ","")))/2+1&gt;(LEN(AB514)-LEN(SUBSTITUTE(AB514,"[Aviso]","")))/7, "Con Incidencias", "Válido")))</f>
        <v/>
      </c>
      <c r="AB514" s="56">
        <f>IF(AND(A514="", B514="", E514=""), "", TEXTJOIN("; ", TRUE, IF(OR(TRIM(A514&amp;"")="", ISNUMBER(SEARCH("FALTA", A514))), "UPC faltante/inválido", ""), IF(AND(A514&lt;&gt;"", IFERROR(_xlfn.XMATCH(A514,$A$2:$A$2509,0,1)&lt;&gt;_xlfn.XMATCH(A514,$A$2:$A$2509,0,-1),FALSE)), "Código de barras duplicado", ""), IF(AND(E514&lt;&gt;"", COUNTIF($E$2:$E$2509, E514)&gt;1), "SKU duplicado", ""), IF(OR(J514="", J514=""), "[Aviso] División no capturada ()", IF(ISNA(MATCH(J514, Criterios!$A$123:$A$126, 0)), "División no válida", "")), IF(OR(K514="", K514=""), "[Aviso] Categoría no capturada ()", IF(ISNA(MATCH(K514, Criterios!$A$81:$A$120, 0)), "Categoría no válida", IF(AND(J514&lt;&gt;"", J514&lt;&gt;"", J514&lt;&gt;VLOOKUP(K514, Criterios!$A$81:$B$120, 2, FALSE)), "División no coincide con Categoría", ""))), IF(OR(L514="", L514=""), "[Aviso] Género no capturado ()", IF(ISNA(MATCH(L514, Criterios!$B$123:$B$127, 0)), "Género no válido", "")), IF(OR(N514="", N514=""), "[Aviso] Temporada no capturada ()", IF(ISNA(MATCH(N514, Criterios!$C$123:$C$128, 0)), "Temporada no válida", "")), IF(OR(O514="", O514=""), "[Aviso] Ciclo de vida no capturado ()", IF(ISNA(MATCH(O514, Criterios!$D$123:$D$124, 0)), "Ciclo de vida no válido", ""))))</f>
        <v/>
      </c>
      <c r="AC514" s="56" t="n"/>
      <c r="AD514" s="51" t="n">
        <v>0</v>
      </c>
      <c r="AE514" s="156" t="n"/>
      <c r="AF514" s="51" t="n">
        <v>0</v>
      </c>
      <c r="AG514" s="156" t="inlineStr">
        <is>
          <t>Catálogo existente</t>
        </is>
      </c>
      <c r="AH5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4" s="156" t="inlineStr">
        <is>
          <t>No</t>
        </is>
      </c>
      <c r="AJ514" s="156" t="n"/>
      <c r="AK514" s="155" t="inlineStr">
        <is>
          <t>Criterios: I [Q]; G1522_Extraccion_Articulos_NetSuite_2026-09-30.xlsx: fila 59086 [R] | Shopify Stetson: producto 15054564524395 / variante 53350554009963</t>
        </is>
      </c>
      <c r="AL514" s="58" t="n">
        <v>1230.915</v>
      </c>
      <c r="AM514" s="58" t="n">
        <v>7068.965517</v>
      </c>
      <c r="AN514" s="155" t="inlineStr">
        <is>
          <t>Shopify Stetson México</t>
        </is>
      </c>
      <c r="AO514" s="59" t="n">
        <v>0</v>
      </c>
      <c r="AP514" s="59" t="n"/>
      <c r="AQ514" s="59" t="n"/>
      <c r="AR514" s="155" t="n"/>
    </row>
    <row r="515">
      <c r="A515" s="50" t="inlineStr">
        <is>
          <t>12020005111024026</t>
        </is>
      </c>
      <c r="B515" s="51" t="inlineStr">
        <is>
          <t>111412</t>
        </is>
      </c>
      <c r="C515" s="156" t="inlineStr">
        <is>
          <t>Multimarca</t>
        </is>
      </c>
      <c r="D515" s="156" t="inlineStr">
        <is>
          <t>12-020-BS005-11-1024</t>
        </is>
      </c>
      <c r="E515" s="156" t="inlineStr">
        <is>
          <t>12-020-BS005-11-1024-026</t>
        </is>
      </c>
      <c r="F515" s="156" t="inlineStr">
        <is>
          <t>26</t>
        </is>
      </c>
      <c r="G515" s="156" t="inlineStr">
        <is>
          <t>8</t>
        </is>
      </c>
      <c r="H515" s="156" t="inlineStr">
        <is>
          <t>Stetson</t>
        </is>
      </c>
      <c r="I515" s="156" t="inlineStr">
        <is>
          <t>Bota Pitón Chocolate</t>
        </is>
      </c>
      <c r="J515" s="156" t="inlineStr">
        <is>
          <t>Calzado</t>
        </is>
      </c>
      <c r="K515" s="156" t="inlineStr">
        <is>
          <t>Botas</t>
        </is>
      </c>
      <c r="L515" s="156" t="inlineStr">
        <is>
          <t>Hombre</t>
        </is>
      </c>
      <c r="M515" s="156" t="inlineStr">
        <is>
          <t>Stetson</t>
        </is>
      </c>
      <c r="N515" s="156" t="inlineStr">
        <is>
          <t>SS26</t>
        </is>
      </c>
      <c r="O515" s="156" t="inlineStr">
        <is>
          <t>Seasonal</t>
        </is>
      </c>
      <c r="P515" s="156" t="inlineStr">
        <is>
          <t>Cafe</t>
        </is>
      </c>
      <c r="Q515" s="156" t="n"/>
      <c r="R515" s="156" t="inlineStr">
        <is>
          <t>Punta Cuadrada Ancha</t>
        </is>
      </c>
      <c r="S515" s="156" t="inlineStr">
        <is>
          <t>Piel de pitón</t>
        </is>
      </c>
      <c r="T515" s="156" t="inlineStr">
        <is>
          <t>Bota Caballero Piel de pitón Chocolate Punta Cuadrada Ancha</t>
        </is>
      </c>
      <c r="U515" s="156" t="inlineStr">
        <is>
          <t>México</t>
        </is>
      </c>
      <c r="V515" s="156" t="inlineStr">
        <is>
          <t>PRS</t>
        </is>
      </c>
      <c r="W515" s="51" t="inlineStr">
        <is>
          <t>53111501</t>
        </is>
      </c>
      <c r="X515" s="156" t="n"/>
      <c r="Y515" s="54" t="n">
        <v>1230.915</v>
      </c>
      <c r="Z515" s="54" t="n">
        <v>7068.965517</v>
      </c>
      <c r="AA515" s="55">
        <f>IF(AND(A515="", B515="", E515=""), "", IF(AB515="", "Válido", IF((LEN(AB515)-LEN(SUBSTITUTE(AB515,"; ","")))/2+1&gt;(LEN(AB515)-LEN(SUBSTITUTE(AB515,"[Aviso]","")))/7, "Con Incidencias", "Válido")))</f>
        <v/>
      </c>
      <c r="AB515" s="56">
        <f>IF(AND(A515="", B515="", E515=""), "", TEXTJOIN("; ", TRUE, IF(OR(TRIM(A515&amp;"")="", ISNUMBER(SEARCH("FALTA", A515))), "UPC faltante/inválido", ""), IF(AND(A515&lt;&gt;"", IFERROR(_xlfn.XMATCH(A515,$A$2:$A$2509,0,1)&lt;&gt;_xlfn.XMATCH(A515,$A$2:$A$2509,0,-1),FALSE)), "Código de barras duplicado", ""), IF(AND(E515&lt;&gt;"", COUNTIF($E$2:$E$2509, E515)&gt;1), "SKU duplicado", ""), IF(OR(J515="", J515=""), "[Aviso] División no capturada ()", IF(ISNA(MATCH(J515, Criterios!$A$123:$A$126, 0)), "División no válida", "")), IF(OR(K515="", K515=""), "[Aviso] Categoría no capturada ()", IF(ISNA(MATCH(K515, Criterios!$A$81:$A$120, 0)), "Categoría no válida", IF(AND(J515&lt;&gt;"", J515&lt;&gt;"", J515&lt;&gt;VLOOKUP(K515, Criterios!$A$81:$B$120, 2, FALSE)), "División no coincide con Categoría", ""))), IF(OR(L515="", L515=""), "[Aviso] Género no capturado ()", IF(ISNA(MATCH(L515, Criterios!$B$123:$B$127, 0)), "Género no válido", "")), IF(OR(N515="", N515=""), "[Aviso] Temporada no capturada ()", IF(ISNA(MATCH(N515, Criterios!$C$123:$C$128, 0)), "Temporada no válida", "")), IF(OR(O515="", O515=""), "[Aviso] Ciclo de vida no capturado ()", IF(ISNA(MATCH(O515, Criterios!$D$123:$D$124, 0)), "Ciclo de vida no válido", ""))))</f>
        <v/>
      </c>
      <c r="AC515" s="56" t="n"/>
      <c r="AD515" s="51" t="n">
        <v>0</v>
      </c>
      <c r="AE515" s="156" t="n"/>
      <c r="AF515" s="51" t="n">
        <v>0</v>
      </c>
      <c r="AG515" s="156" t="inlineStr">
        <is>
          <t>Catálogo existente</t>
        </is>
      </c>
      <c r="AH5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5" s="156" t="inlineStr">
        <is>
          <t>No</t>
        </is>
      </c>
      <c r="AJ515" s="156" t="n"/>
      <c r="AK515" s="155" t="inlineStr">
        <is>
          <t>Criterios: I [Q]; G1522_Extraccion_Articulos_NetSuite_2026-09-30.xlsx: fila 59087 [R] | Shopify Stetson: producto 15054564524395 / variante 53350554075499</t>
        </is>
      </c>
      <c r="AL515" s="58" t="n">
        <v>1230.915</v>
      </c>
      <c r="AM515" s="58" t="n">
        <v>7068.965517</v>
      </c>
      <c r="AN515" s="155" t="inlineStr">
        <is>
          <t>Shopify Stetson México</t>
        </is>
      </c>
      <c r="AO515" s="59" t="n">
        <v>0</v>
      </c>
      <c r="AP515" s="59" t="n"/>
      <c r="AQ515" s="59" t="n"/>
      <c r="AR515" s="155" t="n"/>
    </row>
    <row r="516">
      <c r="A516" s="50" t="inlineStr">
        <is>
          <t>12020005111024027</t>
        </is>
      </c>
      <c r="B516" s="51" t="inlineStr">
        <is>
          <t>111413</t>
        </is>
      </c>
      <c r="C516" s="156" t="inlineStr">
        <is>
          <t>Multimarca</t>
        </is>
      </c>
      <c r="D516" s="156" t="inlineStr">
        <is>
          <t>12-020-BS005-11-1024</t>
        </is>
      </c>
      <c r="E516" s="156" t="inlineStr">
        <is>
          <t>12-020-BS005-11-1024-027</t>
        </is>
      </c>
      <c r="F516" s="156" t="inlineStr">
        <is>
          <t>27</t>
        </is>
      </c>
      <c r="G516" s="156" t="inlineStr">
        <is>
          <t>9</t>
        </is>
      </c>
      <c r="H516" s="156" t="inlineStr">
        <is>
          <t>Stetson</t>
        </is>
      </c>
      <c r="I516" s="156" t="inlineStr">
        <is>
          <t>Bota Pitón Chocolate</t>
        </is>
      </c>
      <c r="J516" s="156" t="inlineStr">
        <is>
          <t>Calzado</t>
        </is>
      </c>
      <c r="K516" s="156" t="inlineStr">
        <is>
          <t>Botas</t>
        </is>
      </c>
      <c r="L516" s="156" t="inlineStr">
        <is>
          <t>Hombre</t>
        </is>
      </c>
      <c r="M516" s="156" t="inlineStr">
        <is>
          <t>Stetson</t>
        </is>
      </c>
      <c r="N516" s="156" t="inlineStr">
        <is>
          <t>SS26</t>
        </is>
      </c>
      <c r="O516" s="156" t="inlineStr">
        <is>
          <t>Seasonal</t>
        </is>
      </c>
      <c r="P516" s="156" t="inlineStr">
        <is>
          <t>Cafe</t>
        </is>
      </c>
      <c r="Q516" s="156" t="n"/>
      <c r="R516" s="156" t="inlineStr">
        <is>
          <t>Punta Cuadrada Ancha</t>
        </is>
      </c>
      <c r="S516" s="156" t="inlineStr">
        <is>
          <t>Piel de pitón</t>
        </is>
      </c>
      <c r="T516" s="156" t="inlineStr">
        <is>
          <t>Bota Caballero Piel de pitón Chocolate Punta Cuadrada Ancha</t>
        </is>
      </c>
      <c r="U516" s="156" t="inlineStr">
        <is>
          <t>México</t>
        </is>
      </c>
      <c r="V516" s="156" t="inlineStr">
        <is>
          <t>PRS</t>
        </is>
      </c>
      <c r="W516" s="51" t="inlineStr">
        <is>
          <t>53111501</t>
        </is>
      </c>
      <c r="X516" s="156" t="n"/>
      <c r="Y516" s="54" t="n">
        <v>1230.915</v>
      </c>
      <c r="Z516" s="54" t="n">
        <v>7068.965517</v>
      </c>
      <c r="AA516" s="55">
        <f>IF(AND(A516="", B516="", E516=""), "", IF(AB516="", "Válido", IF((LEN(AB516)-LEN(SUBSTITUTE(AB516,"; ","")))/2+1&gt;(LEN(AB516)-LEN(SUBSTITUTE(AB516,"[Aviso]","")))/7, "Con Incidencias", "Válido")))</f>
        <v/>
      </c>
      <c r="AB516" s="56">
        <f>IF(AND(A516="", B516="", E516=""), "", TEXTJOIN("; ", TRUE, IF(OR(TRIM(A516&amp;"")="", ISNUMBER(SEARCH("FALTA", A516))), "UPC faltante/inválido", ""), IF(AND(A516&lt;&gt;"", IFERROR(_xlfn.XMATCH(A516,$A$2:$A$2509,0,1)&lt;&gt;_xlfn.XMATCH(A516,$A$2:$A$2509,0,-1),FALSE)), "Código de barras duplicado", ""), IF(AND(E516&lt;&gt;"", COUNTIF($E$2:$E$2509, E516)&gt;1), "SKU duplicado", ""), IF(OR(J516="", J516=""), "[Aviso] División no capturada ()", IF(ISNA(MATCH(J516, Criterios!$A$123:$A$126, 0)), "División no válida", "")), IF(OR(K516="", K516=""), "[Aviso] Categoría no capturada ()", IF(ISNA(MATCH(K516, Criterios!$A$81:$A$120, 0)), "Categoría no válida", IF(AND(J516&lt;&gt;"", J516&lt;&gt;"", J516&lt;&gt;VLOOKUP(K516, Criterios!$A$81:$B$120, 2, FALSE)), "División no coincide con Categoría", ""))), IF(OR(L516="", L516=""), "[Aviso] Género no capturado ()", IF(ISNA(MATCH(L516, Criterios!$B$123:$B$127, 0)), "Género no válido", "")), IF(OR(N516="", N516=""), "[Aviso] Temporada no capturada ()", IF(ISNA(MATCH(N516, Criterios!$C$123:$C$128, 0)), "Temporada no válida", "")), IF(OR(O516="", O516=""), "[Aviso] Ciclo de vida no capturado ()", IF(ISNA(MATCH(O516, Criterios!$D$123:$D$124, 0)), "Ciclo de vida no válido", ""))))</f>
        <v/>
      </c>
      <c r="AC516" s="56" t="n"/>
      <c r="AD516" s="51" t="n">
        <v>0</v>
      </c>
      <c r="AE516" s="156" t="n"/>
      <c r="AF516" s="51" t="n">
        <v>0</v>
      </c>
      <c r="AG516" s="156" t="inlineStr">
        <is>
          <t>Catálogo existente</t>
        </is>
      </c>
      <c r="AH5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6" s="156" t="inlineStr">
        <is>
          <t>No</t>
        </is>
      </c>
      <c r="AJ516" s="156" t="n"/>
      <c r="AK516" s="155" t="inlineStr">
        <is>
          <t>Criterios: I [Q]; G1522_Extraccion_Articulos_NetSuite_2026-09-30.xlsx: fila 59088 [R] | Shopify Stetson: producto 15054564524395 / variante 53350554141035</t>
        </is>
      </c>
      <c r="AL516" s="58" t="n">
        <v>1230.915</v>
      </c>
      <c r="AM516" s="58" t="n">
        <v>7068.965517</v>
      </c>
      <c r="AN516" s="155" t="inlineStr">
        <is>
          <t>Shopify Stetson México</t>
        </is>
      </c>
      <c r="AO516" s="59" t="n">
        <v>2</v>
      </c>
      <c r="AP516" s="59" t="n"/>
      <c r="AQ516" s="59" t="n"/>
      <c r="AR516" s="155" t="inlineStr">
        <is>
          <t>Shopify Stetson México › Stetson Americas: 2</t>
        </is>
      </c>
    </row>
    <row r="517">
      <c r="A517" s="50" t="inlineStr">
        <is>
          <t>12020005111024028</t>
        </is>
      </c>
      <c r="B517" s="51" t="inlineStr">
        <is>
          <t>111414</t>
        </is>
      </c>
      <c r="C517" s="156" t="inlineStr">
        <is>
          <t>Multimarca</t>
        </is>
      </c>
      <c r="D517" s="156" t="inlineStr">
        <is>
          <t>12-020-BS005-11-1024</t>
        </is>
      </c>
      <c r="E517" s="156" t="inlineStr">
        <is>
          <t>12-020-BS005-11-1024-028</t>
        </is>
      </c>
      <c r="F517" s="156" t="inlineStr">
        <is>
          <t>28</t>
        </is>
      </c>
      <c r="G517" s="156" t="inlineStr">
        <is>
          <t>10</t>
        </is>
      </c>
      <c r="H517" s="156" t="inlineStr">
        <is>
          <t>Stetson</t>
        </is>
      </c>
      <c r="I517" s="156" t="inlineStr">
        <is>
          <t>Bota Pitón Chocolate</t>
        </is>
      </c>
      <c r="J517" s="156" t="inlineStr">
        <is>
          <t>Calzado</t>
        </is>
      </c>
      <c r="K517" s="156" t="inlineStr">
        <is>
          <t>Botas</t>
        </is>
      </c>
      <c r="L517" s="156" t="inlineStr">
        <is>
          <t>Hombre</t>
        </is>
      </c>
      <c r="M517" s="156" t="inlineStr">
        <is>
          <t>Stetson</t>
        </is>
      </c>
      <c r="N517" s="156" t="inlineStr">
        <is>
          <t>SS26</t>
        </is>
      </c>
      <c r="O517" s="156" t="inlineStr">
        <is>
          <t>Seasonal</t>
        </is>
      </c>
      <c r="P517" s="156" t="inlineStr">
        <is>
          <t>Cafe</t>
        </is>
      </c>
      <c r="Q517" s="156" t="n"/>
      <c r="R517" s="156" t="inlineStr">
        <is>
          <t>Punta Cuadrada Ancha</t>
        </is>
      </c>
      <c r="S517" s="156" t="inlineStr">
        <is>
          <t>Piel de pitón</t>
        </is>
      </c>
      <c r="T517" s="156" t="inlineStr">
        <is>
          <t>Bota Caballero Piel de pitón Chocolate Punta Cuadrada Ancha</t>
        </is>
      </c>
      <c r="U517" s="156" t="inlineStr">
        <is>
          <t>México</t>
        </is>
      </c>
      <c r="V517" s="156" t="inlineStr">
        <is>
          <t>PRS</t>
        </is>
      </c>
      <c r="W517" s="51" t="inlineStr">
        <is>
          <t>53111501</t>
        </is>
      </c>
      <c r="X517" s="156" t="n"/>
      <c r="Y517" s="54" t="n">
        <v>1230.915</v>
      </c>
      <c r="Z517" s="54" t="n">
        <v>7068.965517</v>
      </c>
      <c r="AA517" s="55">
        <f>IF(AND(A517="", B517="", E517=""), "", IF(AB517="", "Válido", IF((LEN(AB517)-LEN(SUBSTITUTE(AB517,"; ","")))/2+1&gt;(LEN(AB517)-LEN(SUBSTITUTE(AB517,"[Aviso]","")))/7, "Con Incidencias", "Válido")))</f>
        <v/>
      </c>
      <c r="AB517" s="56">
        <f>IF(AND(A517="", B517="", E517=""), "", TEXTJOIN("; ", TRUE, IF(OR(TRIM(A517&amp;"")="", ISNUMBER(SEARCH("FALTA", A517))), "UPC faltante/inválido", ""), IF(AND(A517&lt;&gt;"", IFERROR(_xlfn.XMATCH(A517,$A$2:$A$2509,0,1)&lt;&gt;_xlfn.XMATCH(A517,$A$2:$A$2509,0,-1),FALSE)), "Código de barras duplicado", ""), IF(AND(E517&lt;&gt;"", COUNTIF($E$2:$E$2509, E517)&gt;1), "SKU duplicado", ""), IF(OR(J517="", J517=""), "[Aviso] División no capturada ()", IF(ISNA(MATCH(J517, Criterios!$A$123:$A$126, 0)), "División no válida", "")), IF(OR(K517="", K517=""), "[Aviso] Categoría no capturada ()", IF(ISNA(MATCH(K517, Criterios!$A$81:$A$120, 0)), "Categoría no válida", IF(AND(J517&lt;&gt;"", J517&lt;&gt;"", J517&lt;&gt;VLOOKUP(K517, Criterios!$A$81:$B$120, 2, FALSE)), "División no coincide con Categoría", ""))), IF(OR(L517="", L517=""), "[Aviso] Género no capturado ()", IF(ISNA(MATCH(L517, Criterios!$B$123:$B$127, 0)), "Género no válido", "")), IF(OR(N517="", N517=""), "[Aviso] Temporada no capturada ()", IF(ISNA(MATCH(N517, Criterios!$C$123:$C$128, 0)), "Temporada no válida", "")), IF(OR(O517="", O517=""), "[Aviso] Ciclo de vida no capturado ()", IF(ISNA(MATCH(O517, Criterios!$D$123:$D$124, 0)), "Ciclo de vida no válido", ""))))</f>
        <v/>
      </c>
      <c r="AC517" s="56" t="n"/>
      <c r="AD517" s="51" t="n">
        <v>0</v>
      </c>
      <c r="AE517" s="156" t="n"/>
      <c r="AF517" s="51" t="n">
        <v>0</v>
      </c>
      <c r="AG517" s="156" t="inlineStr">
        <is>
          <t>Catálogo existente</t>
        </is>
      </c>
      <c r="AH5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7" s="156" t="inlineStr">
        <is>
          <t>No</t>
        </is>
      </c>
      <c r="AJ517" s="156" t="n"/>
      <c r="AK517" s="155" t="inlineStr">
        <is>
          <t>Criterios: I [Q]; G1522_Extraccion_Articulos_NetSuite_2026-09-30.xlsx: fila 59089 [R] | Shopify Stetson: producto 15054564524395 / variante 53350554206571</t>
        </is>
      </c>
      <c r="AL517" s="58" t="n">
        <v>1230.915</v>
      </c>
      <c r="AM517" s="58" t="n">
        <v>7068.965517</v>
      </c>
      <c r="AN517" s="155" t="inlineStr">
        <is>
          <t>Shopify Stetson México</t>
        </is>
      </c>
      <c r="AO517" s="59" t="n">
        <v>2</v>
      </c>
      <c r="AP517" s="59" t="n"/>
      <c r="AQ517" s="59" t="n"/>
      <c r="AR517" s="155" t="inlineStr">
        <is>
          <t>Shopify Stetson México › Stetson Americas: 2</t>
        </is>
      </c>
    </row>
    <row r="518">
      <c r="A518" s="50" t="inlineStr">
        <is>
          <t>12020005111024029</t>
        </is>
      </c>
      <c r="B518" s="51" t="inlineStr">
        <is>
          <t>111415</t>
        </is>
      </c>
      <c r="C518" s="156" t="inlineStr">
        <is>
          <t>Multimarca</t>
        </is>
      </c>
      <c r="D518" s="156" t="inlineStr">
        <is>
          <t>12-020-BS005-11-1024</t>
        </is>
      </c>
      <c r="E518" s="156" t="inlineStr">
        <is>
          <t>12-020-BS005-11-1024-029</t>
        </is>
      </c>
      <c r="F518" s="156" t="inlineStr">
        <is>
          <t>29</t>
        </is>
      </c>
      <c r="G518" s="156" t="inlineStr">
        <is>
          <t>11</t>
        </is>
      </c>
      <c r="H518" s="156" t="inlineStr">
        <is>
          <t>Stetson</t>
        </is>
      </c>
      <c r="I518" s="156" t="inlineStr">
        <is>
          <t>Bota Pitón Chocolate</t>
        </is>
      </c>
      <c r="J518" s="156" t="inlineStr">
        <is>
          <t>Calzado</t>
        </is>
      </c>
      <c r="K518" s="156" t="inlineStr">
        <is>
          <t>Botas</t>
        </is>
      </c>
      <c r="L518" s="156" t="inlineStr">
        <is>
          <t>Hombre</t>
        </is>
      </c>
      <c r="M518" s="156" t="inlineStr">
        <is>
          <t>Stetson</t>
        </is>
      </c>
      <c r="N518" s="156" t="inlineStr">
        <is>
          <t>SS26</t>
        </is>
      </c>
      <c r="O518" s="156" t="inlineStr">
        <is>
          <t>Seasonal</t>
        </is>
      </c>
      <c r="P518" s="156" t="inlineStr">
        <is>
          <t>Cafe</t>
        </is>
      </c>
      <c r="Q518" s="156" t="n"/>
      <c r="R518" s="156" t="inlineStr">
        <is>
          <t>Punta Cuadrada Ancha</t>
        </is>
      </c>
      <c r="S518" s="156" t="inlineStr">
        <is>
          <t>Piel de pitón</t>
        </is>
      </c>
      <c r="T518" s="156" t="inlineStr">
        <is>
          <t>Bota Caballero Piel de pitón Chocolate Punta Cuadrada Ancha</t>
        </is>
      </c>
      <c r="U518" s="156" t="inlineStr">
        <is>
          <t>México</t>
        </is>
      </c>
      <c r="V518" s="156" t="inlineStr">
        <is>
          <t>PRS</t>
        </is>
      </c>
      <c r="W518" s="51" t="inlineStr">
        <is>
          <t>53111501</t>
        </is>
      </c>
      <c r="X518" s="156" t="n"/>
      <c r="Y518" s="54" t="n">
        <v>1230.915</v>
      </c>
      <c r="Z518" s="54" t="n">
        <v>7068.965517</v>
      </c>
      <c r="AA518" s="55">
        <f>IF(AND(A518="", B518="", E518=""), "", IF(AB518="", "Válido", IF((LEN(AB518)-LEN(SUBSTITUTE(AB518,"; ","")))/2+1&gt;(LEN(AB518)-LEN(SUBSTITUTE(AB518,"[Aviso]","")))/7, "Con Incidencias", "Válido")))</f>
        <v/>
      </c>
      <c r="AB518" s="56">
        <f>IF(AND(A518="", B518="", E518=""), "", TEXTJOIN("; ", TRUE, IF(OR(TRIM(A518&amp;"")="", ISNUMBER(SEARCH("FALTA", A518))), "UPC faltante/inválido", ""), IF(AND(A518&lt;&gt;"", IFERROR(_xlfn.XMATCH(A518,$A$2:$A$2509,0,1)&lt;&gt;_xlfn.XMATCH(A518,$A$2:$A$2509,0,-1),FALSE)), "Código de barras duplicado", ""), IF(AND(E518&lt;&gt;"", COUNTIF($E$2:$E$2509, E518)&gt;1), "SKU duplicado", ""), IF(OR(J518="", J518=""), "[Aviso] División no capturada ()", IF(ISNA(MATCH(J518, Criterios!$A$123:$A$126, 0)), "División no válida", "")), IF(OR(K518="", K518=""), "[Aviso] Categoría no capturada ()", IF(ISNA(MATCH(K518, Criterios!$A$81:$A$120, 0)), "Categoría no válida", IF(AND(J518&lt;&gt;"", J518&lt;&gt;"", J518&lt;&gt;VLOOKUP(K518, Criterios!$A$81:$B$120, 2, FALSE)), "División no coincide con Categoría", ""))), IF(OR(L518="", L518=""), "[Aviso] Género no capturado ()", IF(ISNA(MATCH(L518, Criterios!$B$123:$B$127, 0)), "Género no válido", "")), IF(OR(N518="", N518=""), "[Aviso] Temporada no capturada ()", IF(ISNA(MATCH(N518, Criterios!$C$123:$C$128, 0)), "Temporada no válida", "")), IF(OR(O518="", O518=""), "[Aviso] Ciclo de vida no capturado ()", IF(ISNA(MATCH(O518, Criterios!$D$123:$D$124, 0)), "Ciclo de vida no válido", ""))))</f>
        <v/>
      </c>
      <c r="AC518" s="56" t="n"/>
      <c r="AD518" s="51" t="n">
        <v>-1</v>
      </c>
      <c r="AE518" s="156" t="n"/>
      <c r="AF518" s="51" t="n">
        <v>0</v>
      </c>
      <c r="AG518" s="156" t="inlineStr">
        <is>
          <t>Catálogo existente</t>
        </is>
      </c>
      <c r="AH51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8" s="156" t="inlineStr">
        <is>
          <t>Sí</t>
        </is>
      </c>
      <c r="AJ518" s="156" t="inlineStr">
        <is>
          <t>STETSON AMERICAS (-1)</t>
        </is>
      </c>
      <c r="AK518" s="155" t="inlineStr">
        <is>
          <t>Criterios: I [Q]; G1522_Extraccion_Articulos_NetSuite_2026-09-30.xlsx: fila 59090 [R] | Shopify Stetson: producto 15054564524395 / variante 53350554272107</t>
        </is>
      </c>
      <c r="AL518" s="58" t="n">
        <v>1230.915</v>
      </c>
      <c r="AM518" s="58" t="n">
        <v>7068.965517</v>
      </c>
      <c r="AN518" s="155" t="inlineStr">
        <is>
          <t>Shopify Stetson México</t>
        </is>
      </c>
      <c r="AO518" s="59" t="n">
        <v>0</v>
      </c>
      <c r="AP518" s="59" t="n"/>
      <c r="AQ518" s="59" t="n"/>
      <c r="AR518" s="155" t="n"/>
    </row>
    <row r="519">
      <c r="A519" s="50" t="inlineStr">
        <is>
          <t>12020005111024030</t>
        </is>
      </c>
      <c r="B519" s="51" t="inlineStr">
        <is>
          <t>111416</t>
        </is>
      </c>
      <c r="C519" s="156" t="inlineStr">
        <is>
          <t>Multimarca</t>
        </is>
      </c>
      <c r="D519" s="156" t="inlineStr">
        <is>
          <t>12-020-BS005-11-1024</t>
        </is>
      </c>
      <c r="E519" s="156" t="inlineStr">
        <is>
          <t>12-020-BS005-11-1024-030</t>
        </is>
      </c>
      <c r="F519" s="156" t="inlineStr">
        <is>
          <t>30</t>
        </is>
      </c>
      <c r="G519" s="156" t="inlineStr">
        <is>
          <t>12</t>
        </is>
      </c>
      <c r="H519" s="156" t="inlineStr">
        <is>
          <t>Stetson</t>
        </is>
      </c>
      <c r="I519" s="156" t="inlineStr">
        <is>
          <t>Bota Pitón Chocolate</t>
        </is>
      </c>
      <c r="J519" s="156" t="inlineStr">
        <is>
          <t>Calzado</t>
        </is>
      </c>
      <c r="K519" s="156" t="inlineStr">
        <is>
          <t>Botas</t>
        </is>
      </c>
      <c r="L519" s="156" t="inlineStr">
        <is>
          <t>Hombre</t>
        </is>
      </c>
      <c r="M519" s="156" t="inlineStr">
        <is>
          <t>Stetson</t>
        </is>
      </c>
      <c r="N519" s="156" t="inlineStr">
        <is>
          <t>SS26</t>
        </is>
      </c>
      <c r="O519" s="156" t="inlineStr">
        <is>
          <t>Seasonal</t>
        </is>
      </c>
      <c r="P519" s="156" t="inlineStr">
        <is>
          <t>Cafe</t>
        </is>
      </c>
      <c r="Q519" s="156" t="n"/>
      <c r="R519" s="156" t="inlineStr">
        <is>
          <t>Punta Cuadrada Ancha</t>
        </is>
      </c>
      <c r="S519" s="156" t="inlineStr">
        <is>
          <t>Piel de pitón</t>
        </is>
      </c>
      <c r="T519" s="156" t="inlineStr">
        <is>
          <t>Bota Caballero Piel de pitón Chocolate Punta Cuadrada Ancha</t>
        </is>
      </c>
      <c r="U519" s="156" t="inlineStr">
        <is>
          <t>México</t>
        </is>
      </c>
      <c r="V519" s="156" t="inlineStr">
        <is>
          <t>PRS</t>
        </is>
      </c>
      <c r="W519" s="51" t="inlineStr">
        <is>
          <t>53111501</t>
        </is>
      </c>
      <c r="X519" s="156" t="n"/>
      <c r="Y519" s="54" t="n">
        <v>1230.915</v>
      </c>
      <c r="Z519" s="54" t="n">
        <v>7068.965517</v>
      </c>
      <c r="AA519" s="55">
        <f>IF(AND(A519="", B519="", E519=""), "", IF(AB519="", "Válido", IF((LEN(AB519)-LEN(SUBSTITUTE(AB519,"; ","")))/2+1&gt;(LEN(AB519)-LEN(SUBSTITUTE(AB519,"[Aviso]","")))/7, "Con Incidencias", "Válido")))</f>
        <v/>
      </c>
      <c r="AB519" s="56">
        <f>IF(AND(A519="", B519="", E519=""), "", TEXTJOIN("; ", TRUE, IF(OR(TRIM(A519&amp;"")="", ISNUMBER(SEARCH("FALTA", A519))), "UPC faltante/inválido", ""), IF(AND(A519&lt;&gt;"", IFERROR(_xlfn.XMATCH(A519,$A$2:$A$2509,0,1)&lt;&gt;_xlfn.XMATCH(A519,$A$2:$A$2509,0,-1),FALSE)), "Código de barras duplicado", ""), IF(AND(E519&lt;&gt;"", COUNTIF($E$2:$E$2509, E519)&gt;1), "SKU duplicado", ""), IF(OR(J519="", J519=""), "[Aviso] División no capturada ()", IF(ISNA(MATCH(J519, Criterios!$A$123:$A$126, 0)), "División no válida", "")), IF(OR(K519="", K519=""), "[Aviso] Categoría no capturada ()", IF(ISNA(MATCH(K519, Criterios!$A$81:$A$120, 0)), "Categoría no válida", IF(AND(J519&lt;&gt;"", J519&lt;&gt;"", J519&lt;&gt;VLOOKUP(K519, Criterios!$A$81:$B$120, 2, FALSE)), "División no coincide con Categoría", ""))), IF(OR(L519="", L519=""), "[Aviso] Género no capturado ()", IF(ISNA(MATCH(L519, Criterios!$B$123:$B$127, 0)), "Género no válido", "")), IF(OR(N519="", N519=""), "[Aviso] Temporada no capturada ()", IF(ISNA(MATCH(N519, Criterios!$C$123:$C$128, 0)), "Temporada no válida", "")), IF(OR(O519="", O519=""), "[Aviso] Ciclo de vida no capturado ()", IF(ISNA(MATCH(O519, Criterios!$D$123:$D$124, 0)), "Ciclo de vida no válido", ""))))</f>
        <v/>
      </c>
      <c r="AC519" s="56" t="n"/>
      <c r="AD519" s="51" t="n">
        <v>0</v>
      </c>
      <c r="AE519" s="156" t="n"/>
      <c r="AF519" s="51" t="n">
        <v>0</v>
      </c>
      <c r="AG519" s="156" t="inlineStr">
        <is>
          <t>Catálogo existente</t>
        </is>
      </c>
      <c r="AH5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9" s="156" t="inlineStr">
        <is>
          <t>No</t>
        </is>
      </c>
      <c r="AJ519" s="156" t="n"/>
      <c r="AK519" s="155" t="inlineStr">
        <is>
          <t>Criterios: I [Q]; G1522_Extraccion_Articulos_NetSuite_2026-09-30.xlsx: fila 59091 [R] | Shopify Stetson: producto 15054564524395 / variante 53350554337643</t>
        </is>
      </c>
      <c r="AL519" s="58" t="n">
        <v>1230.915</v>
      </c>
      <c r="AM519" s="58" t="n">
        <v>7068.965517</v>
      </c>
      <c r="AN519" s="155" t="inlineStr">
        <is>
          <t>Shopify Stetson México</t>
        </is>
      </c>
      <c r="AO519" s="59" t="n">
        <v>0</v>
      </c>
      <c r="AP519" s="59" t="n"/>
      <c r="AQ519" s="59" t="n"/>
      <c r="AR519" s="155" t="n"/>
    </row>
    <row r="520">
      <c r="A520" s="50" t="inlineStr">
        <is>
          <t>12020005111024031</t>
        </is>
      </c>
      <c r="B520" s="51" t="inlineStr">
        <is>
          <t>111417</t>
        </is>
      </c>
      <c r="C520" s="156" t="inlineStr">
        <is>
          <t>Multimarca</t>
        </is>
      </c>
      <c r="D520" s="156" t="inlineStr">
        <is>
          <t>12-020-BS005-11-1024</t>
        </is>
      </c>
      <c r="E520" s="156" t="inlineStr">
        <is>
          <t>12-020-BS005-11-1024-031</t>
        </is>
      </c>
      <c r="F520" s="156" t="inlineStr">
        <is>
          <t>31</t>
        </is>
      </c>
      <c r="G520" s="156" t="inlineStr">
        <is>
          <t>13</t>
        </is>
      </c>
      <c r="H520" s="156" t="inlineStr">
        <is>
          <t>Stetson</t>
        </is>
      </c>
      <c r="I520" s="156" t="inlineStr">
        <is>
          <t>Bota Pitón Chocolate</t>
        </is>
      </c>
      <c r="J520" s="156" t="inlineStr">
        <is>
          <t>Calzado</t>
        </is>
      </c>
      <c r="K520" s="156" t="inlineStr">
        <is>
          <t>Botas</t>
        </is>
      </c>
      <c r="L520" s="156" t="inlineStr">
        <is>
          <t>Hombre</t>
        </is>
      </c>
      <c r="M520" s="156" t="inlineStr">
        <is>
          <t>Stetson</t>
        </is>
      </c>
      <c r="N520" s="156" t="inlineStr">
        <is>
          <t>SS26</t>
        </is>
      </c>
      <c r="O520" s="156" t="inlineStr">
        <is>
          <t>Seasonal</t>
        </is>
      </c>
      <c r="P520" s="156" t="inlineStr">
        <is>
          <t>Cafe</t>
        </is>
      </c>
      <c r="Q520" s="156" t="n"/>
      <c r="R520" s="156" t="inlineStr">
        <is>
          <t>Punta Cuadrada Ancha</t>
        </is>
      </c>
      <c r="S520" s="156" t="inlineStr">
        <is>
          <t>Piel de pitón</t>
        </is>
      </c>
      <c r="T520" s="156" t="inlineStr">
        <is>
          <t>Bota Caballero Piel de pitón Chocolate Punta Cuadrada Ancha</t>
        </is>
      </c>
      <c r="U520" s="156" t="inlineStr">
        <is>
          <t>México</t>
        </is>
      </c>
      <c r="V520" s="156" t="inlineStr">
        <is>
          <t>PRS</t>
        </is>
      </c>
      <c r="W520" s="51" t="inlineStr">
        <is>
          <t>53111501</t>
        </is>
      </c>
      <c r="X520" s="156" t="n"/>
      <c r="Y520" s="54" t="n">
        <v>1230.915</v>
      </c>
      <c r="Z520" s="54" t="n">
        <v>7068.965517</v>
      </c>
      <c r="AA520" s="55">
        <f>IF(AND(A520="", B520="", E520=""), "", IF(AB520="", "Válido", IF((LEN(AB520)-LEN(SUBSTITUTE(AB520,"; ","")))/2+1&gt;(LEN(AB520)-LEN(SUBSTITUTE(AB520,"[Aviso]","")))/7, "Con Incidencias", "Válido")))</f>
        <v/>
      </c>
      <c r="AB520" s="56">
        <f>IF(AND(A520="", B520="", E520=""), "", TEXTJOIN("; ", TRUE, IF(OR(TRIM(A520&amp;"")="", ISNUMBER(SEARCH("FALTA", A520))), "UPC faltante/inválido", ""), IF(AND(A520&lt;&gt;"", IFERROR(_xlfn.XMATCH(A520,$A$2:$A$2509,0,1)&lt;&gt;_xlfn.XMATCH(A520,$A$2:$A$2509,0,-1),FALSE)), "Código de barras duplicado", ""), IF(AND(E520&lt;&gt;"", COUNTIF($E$2:$E$2509, E520)&gt;1), "SKU duplicado", ""), IF(OR(J520="", J520=""), "[Aviso] División no capturada ()", IF(ISNA(MATCH(J520, Criterios!$A$123:$A$126, 0)), "División no válida", "")), IF(OR(K520="", K520=""), "[Aviso] Categoría no capturada ()", IF(ISNA(MATCH(K520, Criterios!$A$81:$A$120, 0)), "Categoría no válida", IF(AND(J520&lt;&gt;"", J520&lt;&gt;"", J520&lt;&gt;VLOOKUP(K520, Criterios!$A$81:$B$120, 2, FALSE)), "División no coincide con Categoría", ""))), IF(OR(L520="", L520=""), "[Aviso] Género no capturado ()", IF(ISNA(MATCH(L520, Criterios!$B$123:$B$127, 0)), "Género no válido", "")), IF(OR(N520="", N520=""), "[Aviso] Temporada no capturada ()", IF(ISNA(MATCH(N520, Criterios!$C$123:$C$128, 0)), "Temporada no válida", "")), IF(OR(O520="", O520=""), "[Aviso] Ciclo de vida no capturado ()", IF(ISNA(MATCH(O520, Criterios!$D$123:$D$124, 0)), "Ciclo de vida no válido", ""))))</f>
        <v/>
      </c>
      <c r="AC520" s="56" t="n"/>
      <c r="AD520" s="51" t="n">
        <v>0</v>
      </c>
      <c r="AE520" s="156" t="n"/>
      <c r="AF520" s="51" t="n">
        <v>0</v>
      </c>
      <c r="AG520" s="156" t="inlineStr">
        <is>
          <t>Catálogo existente</t>
        </is>
      </c>
      <c r="AH5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0" s="156" t="inlineStr">
        <is>
          <t>No</t>
        </is>
      </c>
      <c r="AJ520" s="156" t="n"/>
      <c r="AK520" s="155" t="inlineStr">
        <is>
          <t>Criterios: I [Q]; G1522_Extraccion_Articulos_NetSuite_2026-09-30.xlsx: fila 59092 [R] | Shopify Stetson: producto 15054564524395 / variante 53350554403179</t>
        </is>
      </c>
      <c r="AL520" s="58" t="n">
        <v>1230.915</v>
      </c>
      <c r="AM520" s="58" t="n">
        <v>7068.965517</v>
      </c>
      <c r="AN520" s="155" t="inlineStr">
        <is>
          <t>Shopify Stetson México</t>
        </is>
      </c>
      <c r="AO520" s="59" t="n">
        <v>0</v>
      </c>
      <c r="AP520" s="59" t="n"/>
      <c r="AQ520" s="59" t="n"/>
      <c r="AR520" s="155" t="n"/>
    </row>
    <row r="521">
      <c r="A521" s="50" t="inlineStr">
        <is>
          <t>12020005111024032</t>
        </is>
      </c>
      <c r="B521" s="51" t="inlineStr">
        <is>
          <t>111418</t>
        </is>
      </c>
      <c r="C521" s="156" t="inlineStr">
        <is>
          <t>Multimarca</t>
        </is>
      </c>
      <c r="D521" s="156" t="inlineStr">
        <is>
          <t>12-020-BS005-11-1024</t>
        </is>
      </c>
      <c r="E521" s="156" t="inlineStr">
        <is>
          <t>12-020-BS005-11-1024-032</t>
        </is>
      </c>
      <c r="F521" s="156" t="inlineStr">
        <is>
          <t>32</t>
        </is>
      </c>
      <c r="G521" s="156" t="inlineStr">
        <is>
          <t>14</t>
        </is>
      </c>
      <c r="H521" s="156" t="inlineStr">
        <is>
          <t>Stetson</t>
        </is>
      </c>
      <c r="I521" s="156" t="inlineStr">
        <is>
          <t>Bota Pitón Chocolate</t>
        </is>
      </c>
      <c r="J521" s="156" t="inlineStr">
        <is>
          <t>Calzado</t>
        </is>
      </c>
      <c r="K521" s="156" t="inlineStr">
        <is>
          <t>Botas</t>
        </is>
      </c>
      <c r="L521" s="156" t="inlineStr">
        <is>
          <t>Hombre</t>
        </is>
      </c>
      <c r="M521" s="156" t="inlineStr">
        <is>
          <t>Stetson</t>
        </is>
      </c>
      <c r="N521" s="156" t="inlineStr">
        <is>
          <t>SS26</t>
        </is>
      </c>
      <c r="O521" s="156" t="inlineStr">
        <is>
          <t>Seasonal</t>
        </is>
      </c>
      <c r="P521" s="156" t="inlineStr">
        <is>
          <t>Cafe</t>
        </is>
      </c>
      <c r="Q521" s="156" t="n"/>
      <c r="R521" s="156" t="inlineStr">
        <is>
          <t>Punta Cuadrada Ancha</t>
        </is>
      </c>
      <c r="S521" s="156" t="inlineStr">
        <is>
          <t>Piel de pitón</t>
        </is>
      </c>
      <c r="T521" s="156" t="inlineStr">
        <is>
          <t>Bota Caballero Piel de pitón Chocolate Punta Cuadrada Ancha</t>
        </is>
      </c>
      <c r="U521" s="156" t="inlineStr">
        <is>
          <t>México</t>
        </is>
      </c>
      <c r="V521" s="156" t="inlineStr">
        <is>
          <t>PRS</t>
        </is>
      </c>
      <c r="W521" s="51" t="inlineStr">
        <is>
          <t>53111501</t>
        </is>
      </c>
      <c r="X521" s="156" t="n"/>
      <c r="Y521" s="54" t="n">
        <v>1230.915</v>
      </c>
      <c r="Z521" s="54" t="n">
        <v>7068.965517</v>
      </c>
      <c r="AA521" s="55">
        <f>IF(AND(A521="", B521="", E521=""), "", IF(AB521="", "Válido", IF((LEN(AB521)-LEN(SUBSTITUTE(AB521,"; ","")))/2+1&gt;(LEN(AB521)-LEN(SUBSTITUTE(AB521,"[Aviso]","")))/7, "Con Incidencias", "Válido")))</f>
        <v/>
      </c>
      <c r="AB521" s="56">
        <f>IF(AND(A521="", B521="", E521=""), "", TEXTJOIN("; ", TRUE, IF(OR(TRIM(A521&amp;"")="", ISNUMBER(SEARCH("FALTA", A521))), "UPC faltante/inválido", ""), IF(AND(A521&lt;&gt;"", IFERROR(_xlfn.XMATCH(A521,$A$2:$A$2509,0,1)&lt;&gt;_xlfn.XMATCH(A521,$A$2:$A$2509,0,-1),FALSE)), "Código de barras duplicado", ""), IF(AND(E521&lt;&gt;"", COUNTIF($E$2:$E$2509, E521)&gt;1), "SKU duplicado", ""), IF(OR(J521="", J521=""), "[Aviso] División no capturada ()", IF(ISNA(MATCH(J521, Criterios!$A$123:$A$126, 0)), "División no válida", "")), IF(OR(K521="", K521=""), "[Aviso] Categoría no capturada ()", IF(ISNA(MATCH(K521, Criterios!$A$81:$A$120, 0)), "Categoría no válida", IF(AND(J521&lt;&gt;"", J521&lt;&gt;"", J521&lt;&gt;VLOOKUP(K521, Criterios!$A$81:$B$120, 2, FALSE)), "División no coincide con Categoría", ""))), IF(OR(L521="", L521=""), "[Aviso] Género no capturado ()", IF(ISNA(MATCH(L521, Criterios!$B$123:$B$127, 0)), "Género no válido", "")), IF(OR(N521="", N521=""), "[Aviso] Temporada no capturada ()", IF(ISNA(MATCH(N521, Criterios!$C$123:$C$128, 0)), "Temporada no válida", "")), IF(OR(O521="", O521=""), "[Aviso] Ciclo de vida no capturado ()", IF(ISNA(MATCH(O521, Criterios!$D$123:$D$124, 0)), "Ciclo de vida no válido", ""))))</f>
        <v/>
      </c>
      <c r="AC521" s="56" t="n"/>
      <c r="AD521" s="51" t="n">
        <v>0</v>
      </c>
      <c r="AE521" s="156" t="n"/>
      <c r="AF521" s="51" t="n">
        <v>0</v>
      </c>
      <c r="AG521" s="156" t="inlineStr">
        <is>
          <t>Catálogo existente</t>
        </is>
      </c>
      <c r="AH5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1" s="156" t="inlineStr">
        <is>
          <t>No</t>
        </is>
      </c>
      <c r="AJ521" s="156" t="n"/>
      <c r="AK521" s="155" t="inlineStr">
        <is>
          <t>Criterios: I [Q]; G1522_Extraccion_Articulos_NetSuite_2026-09-30.xlsx: fila 59093 [R] | Shopify Stetson: producto 15054564524395 / variante 53350554468715</t>
        </is>
      </c>
      <c r="AL521" s="58" t="n">
        <v>1230.915</v>
      </c>
      <c r="AM521" s="58" t="n">
        <v>7068.965517</v>
      </c>
      <c r="AN521" s="155" t="inlineStr">
        <is>
          <t>Shopify Stetson México</t>
        </is>
      </c>
      <c r="AO521" s="59" t="n">
        <v>0</v>
      </c>
      <c r="AP521" s="59" t="n"/>
      <c r="AQ521" s="59" t="n"/>
      <c r="AR521" s="155" t="n"/>
    </row>
    <row r="522">
      <c r="A522" s="50" t="inlineStr">
        <is>
          <t>12020005111024255</t>
        </is>
      </c>
      <c r="B522" s="51" t="inlineStr">
        <is>
          <t>111419</t>
        </is>
      </c>
      <c r="C522" s="156" t="inlineStr">
        <is>
          <t>Multimarca</t>
        </is>
      </c>
      <c r="D522" s="156" t="inlineStr">
        <is>
          <t>12-020-BS005-11-1024</t>
        </is>
      </c>
      <c r="E522" s="156" t="inlineStr">
        <is>
          <t>12-020-BS005-11-1024-255</t>
        </is>
      </c>
      <c r="F522" s="156" t="inlineStr">
        <is>
          <t>25.5</t>
        </is>
      </c>
      <c r="G522" s="156" t="inlineStr">
        <is>
          <t>7.5</t>
        </is>
      </c>
      <c r="H522" s="156" t="inlineStr">
        <is>
          <t>Stetson</t>
        </is>
      </c>
      <c r="I522" s="156" t="inlineStr">
        <is>
          <t>Bota Pitón Chocolate</t>
        </is>
      </c>
      <c r="J522" s="156" t="inlineStr">
        <is>
          <t>Calzado</t>
        </is>
      </c>
      <c r="K522" s="156" t="inlineStr">
        <is>
          <t>Botas</t>
        </is>
      </c>
      <c r="L522" s="156" t="inlineStr">
        <is>
          <t>Hombre</t>
        </is>
      </c>
      <c r="M522" s="156" t="inlineStr">
        <is>
          <t>Stetson</t>
        </is>
      </c>
      <c r="N522" s="156" t="inlineStr">
        <is>
          <t>SS26</t>
        </is>
      </c>
      <c r="O522" s="156" t="inlineStr">
        <is>
          <t>Seasonal</t>
        </is>
      </c>
      <c r="P522" s="156" t="inlineStr">
        <is>
          <t>Cafe</t>
        </is>
      </c>
      <c r="Q522" s="156" t="n"/>
      <c r="R522" s="156" t="inlineStr">
        <is>
          <t>Punta Cuadrada Ancha</t>
        </is>
      </c>
      <c r="S522" s="156" t="inlineStr">
        <is>
          <t>Piel de pitón</t>
        </is>
      </c>
      <c r="T522" s="156" t="inlineStr">
        <is>
          <t>Bota Caballero Piel de pitón Chocolate Punta Cuadrada Ancha</t>
        </is>
      </c>
      <c r="U522" s="156" t="inlineStr">
        <is>
          <t>México</t>
        </is>
      </c>
      <c r="V522" s="156" t="inlineStr">
        <is>
          <t>PRS</t>
        </is>
      </c>
      <c r="W522" s="51" t="inlineStr">
        <is>
          <t>53111501</t>
        </is>
      </c>
      <c r="X522" s="156" t="n"/>
      <c r="Y522" s="54" t="n">
        <v>1230.915</v>
      </c>
      <c r="Z522" s="54" t="n">
        <v>7068.965517</v>
      </c>
      <c r="AA522" s="55">
        <f>IF(AND(A522="", B522="", E522=""), "", IF(AB522="", "Válido", IF((LEN(AB522)-LEN(SUBSTITUTE(AB522,"; ","")))/2+1&gt;(LEN(AB522)-LEN(SUBSTITUTE(AB522,"[Aviso]","")))/7, "Con Incidencias", "Válido")))</f>
        <v/>
      </c>
      <c r="AB522" s="56">
        <f>IF(AND(A522="", B522="", E522=""), "", TEXTJOIN("; ", TRUE, IF(OR(TRIM(A522&amp;"")="", ISNUMBER(SEARCH("FALTA", A522))), "UPC faltante/inválido", ""), IF(AND(A522&lt;&gt;"", IFERROR(_xlfn.XMATCH(A522,$A$2:$A$2509,0,1)&lt;&gt;_xlfn.XMATCH(A522,$A$2:$A$2509,0,-1),FALSE)), "Código de barras duplicado", ""), IF(AND(E522&lt;&gt;"", COUNTIF($E$2:$E$2509, E522)&gt;1), "SKU duplicado", ""), IF(OR(J522="", J522=""), "[Aviso] División no capturada ()", IF(ISNA(MATCH(J522, Criterios!$A$123:$A$126, 0)), "División no válida", "")), IF(OR(K522="", K522=""), "[Aviso] Categoría no capturada ()", IF(ISNA(MATCH(K522, Criterios!$A$81:$A$120, 0)), "Categoría no válida", IF(AND(J522&lt;&gt;"", J522&lt;&gt;"", J522&lt;&gt;VLOOKUP(K522, Criterios!$A$81:$B$120, 2, FALSE)), "División no coincide con Categoría", ""))), IF(OR(L522="", L522=""), "[Aviso] Género no capturado ()", IF(ISNA(MATCH(L522, Criterios!$B$123:$B$127, 0)), "Género no válido", "")), IF(OR(N522="", N522=""), "[Aviso] Temporada no capturada ()", IF(ISNA(MATCH(N522, Criterios!$C$123:$C$128, 0)), "Temporada no válida", "")), IF(OR(O522="", O522=""), "[Aviso] Ciclo de vida no capturado ()", IF(ISNA(MATCH(O522, Criterios!$D$123:$D$124, 0)), "Ciclo de vida no válido", ""))))</f>
        <v/>
      </c>
      <c r="AC522" s="56" t="n"/>
      <c r="AD522" s="51" t="n">
        <v>0</v>
      </c>
      <c r="AE522" s="156" t="n"/>
      <c r="AF522" s="51" t="n">
        <v>0</v>
      </c>
      <c r="AG522" s="156" t="inlineStr">
        <is>
          <t>Catálogo existente</t>
        </is>
      </c>
      <c r="AH5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2" s="156" t="inlineStr">
        <is>
          <t>No</t>
        </is>
      </c>
      <c r="AJ522" s="156" t="n"/>
      <c r="AK522" s="155" t="inlineStr">
        <is>
          <t>Criterios: I [Q]; G1522_Extraccion_Articulos_NetSuite_2026-09-30.xlsx: fila 59094 [R] | Shopify Stetson: producto 15054564524395 / variante 53350554042731</t>
        </is>
      </c>
      <c r="AL522" s="58" t="n">
        <v>1230.915</v>
      </c>
      <c r="AM522" s="58" t="n">
        <v>7068.965517</v>
      </c>
      <c r="AN522" s="155" t="inlineStr">
        <is>
          <t>Shopify Stetson México</t>
        </is>
      </c>
      <c r="AO522" s="59" t="n">
        <v>0</v>
      </c>
      <c r="AP522" s="59" t="n"/>
      <c r="AQ522" s="59" t="n"/>
      <c r="AR522" s="155" t="n"/>
    </row>
    <row r="523">
      <c r="A523" s="50" t="inlineStr">
        <is>
          <t>12020005111024265</t>
        </is>
      </c>
      <c r="B523" s="51" t="inlineStr">
        <is>
          <t>111420</t>
        </is>
      </c>
      <c r="C523" s="156" t="inlineStr">
        <is>
          <t>Multimarca</t>
        </is>
      </c>
      <c r="D523" s="156" t="inlineStr">
        <is>
          <t>12-020-BS005-11-1024</t>
        </is>
      </c>
      <c r="E523" s="156" t="inlineStr">
        <is>
          <t>12-020-BS005-11-1024-265</t>
        </is>
      </c>
      <c r="F523" s="156" t="inlineStr">
        <is>
          <t>26.5</t>
        </is>
      </c>
      <c r="G523" s="156" t="inlineStr">
        <is>
          <t>8.5</t>
        </is>
      </c>
      <c r="H523" s="156" t="inlineStr">
        <is>
          <t>Stetson</t>
        </is>
      </c>
      <c r="I523" s="156" t="inlineStr">
        <is>
          <t>Bota Pitón Chocolate</t>
        </is>
      </c>
      <c r="J523" s="156" t="inlineStr">
        <is>
          <t>Calzado</t>
        </is>
      </c>
      <c r="K523" s="156" t="inlineStr">
        <is>
          <t>Botas</t>
        </is>
      </c>
      <c r="L523" s="156" t="inlineStr">
        <is>
          <t>Hombre</t>
        </is>
      </c>
      <c r="M523" s="156" t="inlineStr">
        <is>
          <t>Stetson</t>
        </is>
      </c>
      <c r="N523" s="156" t="inlineStr">
        <is>
          <t>SS26</t>
        </is>
      </c>
      <c r="O523" s="156" t="inlineStr">
        <is>
          <t>Seasonal</t>
        </is>
      </c>
      <c r="P523" s="156" t="inlineStr">
        <is>
          <t>Cafe</t>
        </is>
      </c>
      <c r="Q523" s="156" t="n"/>
      <c r="R523" s="156" t="inlineStr">
        <is>
          <t>Punta Cuadrada Ancha</t>
        </is>
      </c>
      <c r="S523" s="156" t="inlineStr">
        <is>
          <t>Piel de pitón</t>
        </is>
      </c>
      <c r="T523" s="156" t="inlineStr">
        <is>
          <t>Bota Caballero Piel de pitón Chocolate Punta Cuadrada Ancha</t>
        </is>
      </c>
      <c r="U523" s="156" t="inlineStr">
        <is>
          <t>México</t>
        </is>
      </c>
      <c r="V523" s="156" t="inlineStr">
        <is>
          <t>PRS</t>
        </is>
      </c>
      <c r="W523" s="51" t="inlineStr">
        <is>
          <t>53111501</t>
        </is>
      </c>
      <c r="X523" s="156" t="n"/>
      <c r="Y523" s="54" t="n">
        <v>1230.915</v>
      </c>
      <c r="Z523" s="54" t="n">
        <v>7068.965517</v>
      </c>
      <c r="AA523" s="55">
        <f>IF(AND(A523="", B523="", E523=""), "", IF(AB523="", "Válido", IF((LEN(AB523)-LEN(SUBSTITUTE(AB523,"; ","")))/2+1&gt;(LEN(AB523)-LEN(SUBSTITUTE(AB523,"[Aviso]","")))/7, "Con Incidencias", "Válido")))</f>
        <v/>
      </c>
      <c r="AB523" s="56">
        <f>IF(AND(A523="", B523="", E523=""), "", TEXTJOIN("; ", TRUE, IF(OR(TRIM(A523&amp;"")="", ISNUMBER(SEARCH("FALTA", A523))), "UPC faltante/inválido", ""), IF(AND(A523&lt;&gt;"", IFERROR(_xlfn.XMATCH(A523,$A$2:$A$2509,0,1)&lt;&gt;_xlfn.XMATCH(A523,$A$2:$A$2509,0,-1),FALSE)), "Código de barras duplicado", ""), IF(AND(E523&lt;&gt;"", COUNTIF($E$2:$E$2509, E523)&gt;1), "SKU duplicado", ""), IF(OR(J523="", J523=""), "[Aviso] División no capturada ()", IF(ISNA(MATCH(J523, Criterios!$A$123:$A$126, 0)), "División no válida", "")), IF(OR(K523="", K523=""), "[Aviso] Categoría no capturada ()", IF(ISNA(MATCH(K523, Criterios!$A$81:$A$120, 0)), "Categoría no válida", IF(AND(J523&lt;&gt;"", J523&lt;&gt;"", J523&lt;&gt;VLOOKUP(K523, Criterios!$A$81:$B$120, 2, FALSE)), "División no coincide con Categoría", ""))), IF(OR(L523="", L523=""), "[Aviso] Género no capturado ()", IF(ISNA(MATCH(L523, Criterios!$B$123:$B$127, 0)), "Género no válido", "")), IF(OR(N523="", N523=""), "[Aviso] Temporada no capturada ()", IF(ISNA(MATCH(N523, Criterios!$C$123:$C$128, 0)), "Temporada no válida", "")), IF(OR(O523="", O523=""), "[Aviso] Ciclo de vida no capturado ()", IF(ISNA(MATCH(O523, Criterios!$D$123:$D$124, 0)), "Ciclo de vida no válido", ""))))</f>
        <v/>
      </c>
      <c r="AC523" s="56" t="n"/>
      <c r="AD523" s="51" t="n">
        <v>0</v>
      </c>
      <c r="AE523" s="156" t="n"/>
      <c r="AF523" s="51" t="n">
        <v>0</v>
      </c>
      <c r="AG523" s="156" t="inlineStr">
        <is>
          <t>Catálogo existente</t>
        </is>
      </c>
      <c r="AH5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3" s="156" t="inlineStr">
        <is>
          <t>No</t>
        </is>
      </c>
      <c r="AJ523" s="156" t="n"/>
      <c r="AK523" s="155" t="inlineStr">
        <is>
          <t>Criterios: I [Q]; G1522_Extraccion_Articulos_NetSuite_2026-09-30.xlsx: fila 59095 [R] | Shopify Stetson: producto 15054564524395 / variante 53350554108267</t>
        </is>
      </c>
      <c r="AL523" s="58" t="n">
        <v>1230.915</v>
      </c>
      <c r="AM523" s="58" t="n">
        <v>7068.965517</v>
      </c>
      <c r="AN523" s="155" t="inlineStr">
        <is>
          <t>Shopify Stetson México</t>
        </is>
      </c>
      <c r="AO523" s="59" t="n">
        <v>1</v>
      </c>
      <c r="AP523" s="59" t="n"/>
      <c r="AQ523" s="59" t="n"/>
      <c r="AR523" s="155" t="inlineStr">
        <is>
          <t>Shopify Stetson México › Stetson Americas: 1</t>
        </is>
      </c>
    </row>
    <row r="524">
      <c r="A524" s="50" t="inlineStr">
        <is>
          <t>12020005111024275</t>
        </is>
      </c>
      <c r="B524" s="51" t="inlineStr">
        <is>
          <t>111421</t>
        </is>
      </c>
      <c r="C524" s="156" t="inlineStr">
        <is>
          <t>Multimarca</t>
        </is>
      </c>
      <c r="D524" s="156" t="inlineStr">
        <is>
          <t>12-020-BS005-11-1024</t>
        </is>
      </c>
      <c r="E524" s="156" t="inlineStr">
        <is>
          <t>12-020-BS005-11-1024-275</t>
        </is>
      </c>
      <c r="F524" s="156" t="inlineStr">
        <is>
          <t>27.5</t>
        </is>
      </c>
      <c r="G524" s="156" t="inlineStr">
        <is>
          <t>9.5</t>
        </is>
      </c>
      <c r="H524" s="156" t="inlineStr">
        <is>
          <t>Stetson</t>
        </is>
      </c>
      <c r="I524" s="156" t="inlineStr">
        <is>
          <t>Bota Pitón Chocolate</t>
        </is>
      </c>
      <c r="J524" s="156" t="inlineStr">
        <is>
          <t>Calzado</t>
        </is>
      </c>
      <c r="K524" s="156" t="inlineStr">
        <is>
          <t>Botas</t>
        </is>
      </c>
      <c r="L524" s="156" t="inlineStr">
        <is>
          <t>Hombre</t>
        </is>
      </c>
      <c r="M524" s="156" t="inlineStr">
        <is>
          <t>Stetson</t>
        </is>
      </c>
      <c r="N524" s="156" t="inlineStr">
        <is>
          <t>SS26</t>
        </is>
      </c>
      <c r="O524" s="156" t="inlineStr">
        <is>
          <t>Seasonal</t>
        </is>
      </c>
      <c r="P524" s="156" t="inlineStr">
        <is>
          <t>Cafe</t>
        </is>
      </c>
      <c r="Q524" s="156" t="n"/>
      <c r="R524" s="156" t="inlineStr">
        <is>
          <t>Punta Cuadrada Ancha</t>
        </is>
      </c>
      <c r="S524" s="156" t="inlineStr">
        <is>
          <t>Piel de pitón</t>
        </is>
      </c>
      <c r="T524" s="156" t="inlineStr">
        <is>
          <t>Bota Caballero Piel de pitón Chocolate Punta Cuadrada Ancha</t>
        </is>
      </c>
      <c r="U524" s="156" t="inlineStr">
        <is>
          <t>México</t>
        </is>
      </c>
      <c r="V524" s="156" t="inlineStr">
        <is>
          <t>PRS</t>
        </is>
      </c>
      <c r="W524" s="51" t="inlineStr">
        <is>
          <t>53111501</t>
        </is>
      </c>
      <c r="X524" s="156" t="n"/>
      <c r="Y524" s="54" t="n">
        <v>1230.915</v>
      </c>
      <c r="Z524" s="54" t="n">
        <v>7068.965517</v>
      </c>
      <c r="AA524" s="55">
        <f>IF(AND(A524="", B524="", E524=""), "", IF(AB524="", "Válido", IF((LEN(AB524)-LEN(SUBSTITUTE(AB524,"; ","")))/2+1&gt;(LEN(AB524)-LEN(SUBSTITUTE(AB524,"[Aviso]","")))/7, "Con Incidencias", "Válido")))</f>
        <v/>
      </c>
      <c r="AB524" s="56">
        <f>IF(AND(A524="", B524="", E524=""), "", TEXTJOIN("; ", TRUE, IF(OR(TRIM(A524&amp;"")="", ISNUMBER(SEARCH("FALTA", A524))), "UPC faltante/inválido", ""), IF(AND(A524&lt;&gt;"", IFERROR(_xlfn.XMATCH(A524,$A$2:$A$2509,0,1)&lt;&gt;_xlfn.XMATCH(A524,$A$2:$A$2509,0,-1),FALSE)), "Código de barras duplicado", ""), IF(AND(E524&lt;&gt;"", COUNTIF($E$2:$E$2509, E524)&gt;1), "SKU duplicado", ""), IF(OR(J524="", J524=""), "[Aviso] División no capturada ()", IF(ISNA(MATCH(J524, Criterios!$A$123:$A$126, 0)), "División no válida", "")), IF(OR(K524="", K524=""), "[Aviso] Categoría no capturada ()", IF(ISNA(MATCH(K524, Criterios!$A$81:$A$120, 0)), "Categoría no válida", IF(AND(J524&lt;&gt;"", J524&lt;&gt;"", J524&lt;&gt;VLOOKUP(K524, Criterios!$A$81:$B$120, 2, FALSE)), "División no coincide con Categoría", ""))), IF(OR(L524="", L524=""), "[Aviso] Género no capturado ()", IF(ISNA(MATCH(L524, Criterios!$B$123:$B$127, 0)), "Género no válido", "")), IF(OR(N524="", N524=""), "[Aviso] Temporada no capturada ()", IF(ISNA(MATCH(N524, Criterios!$C$123:$C$128, 0)), "Temporada no válida", "")), IF(OR(O524="", O524=""), "[Aviso] Ciclo de vida no capturado ()", IF(ISNA(MATCH(O524, Criterios!$D$123:$D$124, 0)), "Ciclo de vida no válido", ""))))</f>
        <v/>
      </c>
      <c r="AC524" s="56" t="n"/>
      <c r="AD524" s="51" t="n">
        <v>0</v>
      </c>
      <c r="AE524" s="156" t="n"/>
      <c r="AF524" s="51" t="n">
        <v>0</v>
      </c>
      <c r="AG524" s="156" t="inlineStr">
        <is>
          <t>Catálogo existente</t>
        </is>
      </c>
      <c r="AH5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4" s="156" t="inlineStr">
        <is>
          <t>No</t>
        </is>
      </c>
      <c r="AJ524" s="156" t="n"/>
      <c r="AK524" s="155" t="inlineStr">
        <is>
          <t>Criterios: I [Q]; G1522_Extraccion_Articulos_NetSuite_2026-09-30.xlsx: fila 59096 [R] | Shopify Stetson: producto 15054564524395 / variante 53350554173803</t>
        </is>
      </c>
      <c r="AL524" s="58" t="n">
        <v>1230.915</v>
      </c>
      <c r="AM524" s="58" t="n">
        <v>7068.965517</v>
      </c>
      <c r="AN524" s="155" t="inlineStr">
        <is>
          <t>Shopify Stetson México</t>
        </is>
      </c>
      <c r="AO524" s="59" t="n">
        <v>1</v>
      </c>
      <c r="AP524" s="59" t="n"/>
      <c r="AQ524" s="59" t="n"/>
      <c r="AR524" s="155" t="inlineStr">
        <is>
          <t>Shopify Stetson México › Stetson Americas: 1</t>
        </is>
      </c>
    </row>
    <row r="525">
      <c r="A525" s="50" t="inlineStr">
        <is>
          <t>12020005111024285</t>
        </is>
      </c>
      <c r="B525" s="51" t="inlineStr">
        <is>
          <t>111422</t>
        </is>
      </c>
      <c r="C525" s="156" t="inlineStr">
        <is>
          <t>Multimarca</t>
        </is>
      </c>
      <c r="D525" s="156" t="inlineStr">
        <is>
          <t>12-020-BS005-11-1024</t>
        </is>
      </c>
      <c r="E525" s="156" t="inlineStr">
        <is>
          <t>12-020-BS005-11-1024-285</t>
        </is>
      </c>
      <c r="F525" s="156" t="inlineStr">
        <is>
          <t>28.5</t>
        </is>
      </c>
      <c r="G525" s="156" t="inlineStr">
        <is>
          <t>10.5</t>
        </is>
      </c>
      <c r="H525" s="156" t="inlineStr">
        <is>
          <t>Stetson</t>
        </is>
      </c>
      <c r="I525" s="156" t="inlineStr">
        <is>
          <t>Bota Pitón Chocolate</t>
        </is>
      </c>
      <c r="J525" s="156" t="inlineStr">
        <is>
          <t>Calzado</t>
        </is>
      </c>
      <c r="K525" s="156" t="inlineStr">
        <is>
          <t>Botas</t>
        </is>
      </c>
      <c r="L525" s="156" t="inlineStr">
        <is>
          <t>Hombre</t>
        </is>
      </c>
      <c r="M525" s="156" t="inlineStr">
        <is>
          <t>Stetson</t>
        </is>
      </c>
      <c r="N525" s="156" t="inlineStr">
        <is>
          <t>SS26</t>
        </is>
      </c>
      <c r="O525" s="156" t="inlineStr">
        <is>
          <t>Seasonal</t>
        </is>
      </c>
      <c r="P525" s="156" t="inlineStr">
        <is>
          <t>Cafe</t>
        </is>
      </c>
      <c r="Q525" s="156" t="n"/>
      <c r="R525" s="156" t="inlineStr">
        <is>
          <t>Punta Cuadrada Ancha</t>
        </is>
      </c>
      <c r="S525" s="156" t="inlineStr">
        <is>
          <t>Piel de pitón</t>
        </is>
      </c>
      <c r="T525" s="156" t="inlineStr">
        <is>
          <t>Bota Caballero Piel de pitón Chocolate Punta Cuadrada Ancha</t>
        </is>
      </c>
      <c r="U525" s="156" t="inlineStr">
        <is>
          <t>México</t>
        </is>
      </c>
      <c r="V525" s="156" t="inlineStr">
        <is>
          <t>PRS</t>
        </is>
      </c>
      <c r="W525" s="51" t="inlineStr">
        <is>
          <t>53111501</t>
        </is>
      </c>
      <c r="X525" s="156" t="n"/>
      <c r="Y525" s="54" t="n">
        <v>1230.915</v>
      </c>
      <c r="Z525" s="54" t="n">
        <v>7068.965517</v>
      </c>
      <c r="AA525" s="55">
        <f>IF(AND(A525="", B525="", E525=""), "", IF(AB525="", "Válido", IF((LEN(AB525)-LEN(SUBSTITUTE(AB525,"; ","")))/2+1&gt;(LEN(AB525)-LEN(SUBSTITUTE(AB525,"[Aviso]","")))/7, "Con Incidencias", "Válido")))</f>
        <v/>
      </c>
      <c r="AB525" s="56">
        <f>IF(AND(A525="", B525="", E525=""), "", TEXTJOIN("; ", TRUE, IF(OR(TRIM(A525&amp;"")="", ISNUMBER(SEARCH("FALTA", A525))), "UPC faltante/inválido", ""), IF(AND(A525&lt;&gt;"", IFERROR(_xlfn.XMATCH(A525,$A$2:$A$2509,0,1)&lt;&gt;_xlfn.XMATCH(A525,$A$2:$A$2509,0,-1),FALSE)), "Código de barras duplicado", ""), IF(AND(E525&lt;&gt;"", COUNTIF($E$2:$E$2509, E525)&gt;1), "SKU duplicado", ""), IF(OR(J525="", J525=""), "[Aviso] División no capturada ()", IF(ISNA(MATCH(J525, Criterios!$A$123:$A$126, 0)), "División no válida", "")), IF(OR(K525="", K525=""), "[Aviso] Categoría no capturada ()", IF(ISNA(MATCH(K525, Criterios!$A$81:$A$120, 0)), "Categoría no válida", IF(AND(J525&lt;&gt;"", J525&lt;&gt;"", J525&lt;&gt;VLOOKUP(K525, Criterios!$A$81:$B$120, 2, FALSE)), "División no coincide con Categoría", ""))), IF(OR(L525="", L525=""), "[Aviso] Género no capturado ()", IF(ISNA(MATCH(L525, Criterios!$B$123:$B$127, 0)), "Género no válido", "")), IF(OR(N525="", N525=""), "[Aviso] Temporada no capturada ()", IF(ISNA(MATCH(N525, Criterios!$C$123:$C$128, 0)), "Temporada no válida", "")), IF(OR(O525="", O525=""), "[Aviso] Ciclo de vida no capturado ()", IF(ISNA(MATCH(O525, Criterios!$D$123:$D$124, 0)), "Ciclo de vida no válido", ""))))</f>
        <v/>
      </c>
      <c r="AC525" s="56" t="n"/>
      <c r="AD525" s="51" t="n">
        <v>-1</v>
      </c>
      <c r="AE525" s="156" t="n"/>
      <c r="AF525" s="51" t="n">
        <v>0</v>
      </c>
      <c r="AG525" s="156" t="inlineStr">
        <is>
          <t>Catálogo existente</t>
        </is>
      </c>
      <c r="AH5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5" s="156" t="inlineStr">
        <is>
          <t>Sí</t>
        </is>
      </c>
      <c r="AJ525" s="156" t="inlineStr">
        <is>
          <t>STETSON AMERICAS (-1)</t>
        </is>
      </c>
      <c r="AK525" s="155" t="inlineStr">
        <is>
          <t>Criterios: I [Q]; G1522_Extraccion_Articulos_NetSuite_2026-09-30.xlsx: fila 59097 [R] | Shopify Stetson: producto 15054564524395 / variante 53350554239339</t>
        </is>
      </c>
      <c r="AL525" s="58" t="n">
        <v>1230.915</v>
      </c>
      <c r="AM525" s="58" t="n">
        <v>7068.965517</v>
      </c>
      <c r="AN525" s="155" t="inlineStr">
        <is>
          <t>Shopify Stetson México</t>
        </is>
      </c>
      <c r="AO525" s="59" t="n">
        <v>0</v>
      </c>
      <c r="AP525" s="59" t="n"/>
      <c r="AQ525" s="59" t="n"/>
      <c r="AR525" s="155" t="n"/>
    </row>
    <row r="526">
      <c r="A526" s="50" t="inlineStr">
        <is>
          <t>12020005111024295</t>
        </is>
      </c>
      <c r="B526" s="51" t="inlineStr">
        <is>
          <t>111423</t>
        </is>
      </c>
      <c r="C526" s="156" t="inlineStr">
        <is>
          <t>Multimarca</t>
        </is>
      </c>
      <c r="D526" s="156" t="inlineStr">
        <is>
          <t>12-020-BS005-11-1024</t>
        </is>
      </c>
      <c r="E526" s="156" t="inlineStr">
        <is>
          <t>12-020-BS005-11-1024-295</t>
        </is>
      </c>
      <c r="F526" s="156" t="inlineStr">
        <is>
          <t>29.5</t>
        </is>
      </c>
      <c r="G526" s="156" t="inlineStr">
        <is>
          <t>11.5</t>
        </is>
      </c>
      <c r="H526" s="156" t="inlineStr">
        <is>
          <t>Stetson</t>
        </is>
      </c>
      <c r="I526" s="156" t="inlineStr">
        <is>
          <t>Bota Pitón Chocolate</t>
        </is>
      </c>
      <c r="J526" s="156" t="inlineStr">
        <is>
          <t>Calzado</t>
        </is>
      </c>
      <c r="K526" s="156" t="inlineStr">
        <is>
          <t>Botas</t>
        </is>
      </c>
      <c r="L526" s="156" t="inlineStr">
        <is>
          <t>Hombre</t>
        </is>
      </c>
      <c r="M526" s="156" t="inlineStr">
        <is>
          <t>Stetson</t>
        </is>
      </c>
      <c r="N526" s="156" t="inlineStr">
        <is>
          <t>SS26</t>
        </is>
      </c>
      <c r="O526" s="156" t="inlineStr">
        <is>
          <t>Seasonal</t>
        </is>
      </c>
      <c r="P526" s="156" t="inlineStr">
        <is>
          <t>Cafe</t>
        </is>
      </c>
      <c r="Q526" s="156" t="n"/>
      <c r="R526" s="156" t="inlineStr">
        <is>
          <t>Punta Cuadrada Ancha</t>
        </is>
      </c>
      <c r="S526" s="156" t="inlineStr">
        <is>
          <t>Piel de pitón</t>
        </is>
      </c>
      <c r="T526" s="156" t="inlineStr">
        <is>
          <t>Bota Caballero Piel de pitón Chocolate Punta Cuadrada Ancha</t>
        </is>
      </c>
      <c r="U526" s="156" t="inlineStr">
        <is>
          <t>México</t>
        </is>
      </c>
      <c r="V526" s="156" t="inlineStr">
        <is>
          <t>PRS</t>
        </is>
      </c>
      <c r="W526" s="51" t="inlineStr">
        <is>
          <t>53111501</t>
        </is>
      </c>
      <c r="X526" s="156" t="n"/>
      <c r="Y526" s="54" t="n">
        <v>1230.915</v>
      </c>
      <c r="Z526" s="54" t="n">
        <v>7068.965517</v>
      </c>
      <c r="AA526" s="55">
        <f>IF(AND(A526="", B526="", E526=""), "", IF(AB526="", "Válido", IF((LEN(AB526)-LEN(SUBSTITUTE(AB526,"; ","")))/2+1&gt;(LEN(AB526)-LEN(SUBSTITUTE(AB526,"[Aviso]","")))/7, "Con Incidencias", "Válido")))</f>
        <v/>
      </c>
      <c r="AB526" s="56">
        <f>IF(AND(A526="", B526="", E526=""), "", TEXTJOIN("; ", TRUE, IF(OR(TRIM(A526&amp;"")="", ISNUMBER(SEARCH("FALTA", A526))), "UPC faltante/inválido", ""), IF(AND(A526&lt;&gt;"", IFERROR(_xlfn.XMATCH(A526,$A$2:$A$2509,0,1)&lt;&gt;_xlfn.XMATCH(A526,$A$2:$A$2509,0,-1),FALSE)), "Código de barras duplicado", ""), IF(AND(E526&lt;&gt;"", COUNTIF($E$2:$E$2509, E526)&gt;1), "SKU duplicado", ""), IF(OR(J526="", J526=""), "[Aviso] División no capturada ()", IF(ISNA(MATCH(J526, Criterios!$A$123:$A$126, 0)), "División no válida", "")), IF(OR(K526="", K526=""), "[Aviso] Categoría no capturada ()", IF(ISNA(MATCH(K526, Criterios!$A$81:$A$120, 0)), "Categoría no válida", IF(AND(J526&lt;&gt;"", J526&lt;&gt;"", J526&lt;&gt;VLOOKUP(K526, Criterios!$A$81:$B$120, 2, FALSE)), "División no coincide con Categoría", ""))), IF(OR(L526="", L526=""), "[Aviso] Género no capturado ()", IF(ISNA(MATCH(L526, Criterios!$B$123:$B$127, 0)), "Género no válido", "")), IF(OR(N526="", N526=""), "[Aviso] Temporada no capturada ()", IF(ISNA(MATCH(N526, Criterios!$C$123:$C$128, 0)), "Temporada no válida", "")), IF(OR(O526="", O526=""), "[Aviso] Ciclo de vida no capturado ()", IF(ISNA(MATCH(O526, Criterios!$D$123:$D$124, 0)), "Ciclo de vida no válido", ""))))</f>
        <v/>
      </c>
      <c r="AC526" s="56" t="n"/>
      <c r="AD526" s="51" t="n">
        <v>-1</v>
      </c>
      <c r="AE526" s="156" t="n"/>
      <c r="AF526" s="51" t="n">
        <v>0</v>
      </c>
      <c r="AG526" s="156" t="inlineStr">
        <is>
          <t>Catálogo existente</t>
        </is>
      </c>
      <c r="AH5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6" s="156" t="inlineStr">
        <is>
          <t>Sí</t>
        </is>
      </c>
      <c r="AJ526" s="156" t="inlineStr">
        <is>
          <t>STETSON AMERICAS (-1)</t>
        </is>
      </c>
      <c r="AK526" s="155" t="inlineStr">
        <is>
          <t>Criterios: I [Q]; G1522_Extraccion_Articulos_NetSuite_2026-09-30.xlsx: fila 59098 [R] | Shopify Stetson: producto 15054564524395 / variante 53350554304875</t>
        </is>
      </c>
      <c r="AL526" s="58" t="n">
        <v>1230.915</v>
      </c>
      <c r="AM526" s="58" t="n">
        <v>7068.965517</v>
      </c>
      <c r="AN526" s="155" t="inlineStr">
        <is>
          <t>Shopify Stetson México</t>
        </is>
      </c>
      <c r="AO526" s="59" t="n">
        <v>0</v>
      </c>
      <c r="AP526" s="59" t="n"/>
      <c r="AQ526" s="59" t="n"/>
      <c r="AR526" s="155" t="n"/>
    </row>
    <row r="527">
      <c r="A527" s="50" t="inlineStr">
        <is>
          <t>12020005111024305</t>
        </is>
      </c>
      <c r="B527" s="51" t="inlineStr">
        <is>
          <t>111424</t>
        </is>
      </c>
      <c r="C527" s="156" t="inlineStr">
        <is>
          <t>Multimarca</t>
        </is>
      </c>
      <c r="D527" s="156" t="inlineStr">
        <is>
          <t>12-020-BS005-11-1024</t>
        </is>
      </c>
      <c r="E527" s="156" t="inlineStr">
        <is>
          <t>12-020-BS005-11-1024-305</t>
        </is>
      </c>
      <c r="F527" s="156" t="inlineStr">
        <is>
          <t>30.5</t>
        </is>
      </c>
      <c r="G527" s="156" t="inlineStr">
        <is>
          <t>12.5</t>
        </is>
      </c>
      <c r="H527" s="156" t="inlineStr">
        <is>
          <t>Stetson</t>
        </is>
      </c>
      <c r="I527" s="156" t="inlineStr">
        <is>
          <t>Bota Pitón Chocolate</t>
        </is>
      </c>
      <c r="J527" s="156" t="inlineStr">
        <is>
          <t>Calzado</t>
        </is>
      </c>
      <c r="K527" s="156" t="inlineStr">
        <is>
          <t>Botas</t>
        </is>
      </c>
      <c r="L527" s="156" t="inlineStr">
        <is>
          <t>Hombre</t>
        </is>
      </c>
      <c r="M527" s="156" t="inlineStr">
        <is>
          <t>Stetson</t>
        </is>
      </c>
      <c r="N527" s="156" t="inlineStr">
        <is>
          <t>SS26</t>
        </is>
      </c>
      <c r="O527" s="156" t="inlineStr">
        <is>
          <t>Seasonal</t>
        </is>
      </c>
      <c r="P527" s="156" t="inlineStr">
        <is>
          <t>Cafe</t>
        </is>
      </c>
      <c r="Q527" s="156" t="n"/>
      <c r="R527" s="156" t="inlineStr">
        <is>
          <t>Punta Cuadrada Ancha</t>
        </is>
      </c>
      <c r="S527" s="156" t="inlineStr">
        <is>
          <t>Piel de pitón</t>
        </is>
      </c>
      <c r="T527" s="156" t="inlineStr">
        <is>
          <t>Bota Caballero Piel de pitón Chocolate Punta Cuadrada Ancha</t>
        </is>
      </c>
      <c r="U527" s="156" t="inlineStr">
        <is>
          <t>México</t>
        </is>
      </c>
      <c r="V527" s="156" t="inlineStr">
        <is>
          <t>PRS</t>
        </is>
      </c>
      <c r="W527" s="51" t="inlineStr">
        <is>
          <t>53111501</t>
        </is>
      </c>
      <c r="X527" s="156" t="n"/>
      <c r="Y527" s="54" t="n">
        <v>1230.915</v>
      </c>
      <c r="Z527" s="54" t="n">
        <v>7068.965517</v>
      </c>
      <c r="AA527" s="55">
        <f>IF(AND(A527="", B527="", E527=""), "", IF(AB527="", "Válido", IF((LEN(AB527)-LEN(SUBSTITUTE(AB527,"; ","")))/2+1&gt;(LEN(AB527)-LEN(SUBSTITUTE(AB527,"[Aviso]","")))/7, "Con Incidencias", "Válido")))</f>
        <v/>
      </c>
      <c r="AB527" s="56">
        <f>IF(AND(A527="", B527="", E527=""), "", TEXTJOIN("; ", TRUE, IF(OR(TRIM(A527&amp;"")="", ISNUMBER(SEARCH("FALTA", A527))), "UPC faltante/inválido", ""), IF(AND(A527&lt;&gt;"", IFERROR(_xlfn.XMATCH(A527,$A$2:$A$2509,0,1)&lt;&gt;_xlfn.XMATCH(A527,$A$2:$A$2509,0,-1),FALSE)), "Código de barras duplicado", ""), IF(AND(E527&lt;&gt;"", COUNTIF($E$2:$E$2509, E527)&gt;1), "SKU duplicado", ""), IF(OR(J527="", J527=""), "[Aviso] División no capturada ()", IF(ISNA(MATCH(J527, Criterios!$A$123:$A$126, 0)), "División no válida", "")), IF(OR(K527="", K527=""), "[Aviso] Categoría no capturada ()", IF(ISNA(MATCH(K527, Criterios!$A$81:$A$120, 0)), "Categoría no válida", IF(AND(J527&lt;&gt;"", J527&lt;&gt;"", J527&lt;&gt;VLOOKUP(K527, Criterios!$A$81:$B$120, 2, FALSE)), "División no coincide con Categoría", ""))), IF(OR(L527="", L527=""), "[Aviso] Género no capturado ()", IF(ISNA(MATCH(L527, Criterios!$B$123:$B$127, 0)), "Género no válido", "")), IF(OR(N527="", N527=""), "[Aviso] Temporada no capturada ()", IF(ISNA(MATCH(N527, Criterios!$C$123:$C$128, 0)), "Temporada no válida", "")), IF(OR(O527="", O527=""), "[Aviso] Ciclo de vida no capturado ()", IF(ISNA(MATCH(O527, Criterios!$D$123:$D$124, 0)), "Ciclo de vida no válido", ""))))</f>
        <v/>
      </c>
      <c r="AC527" s="56" t="n"/>
      <c r="AD527" s="51" t="n">
        <v>0</v>
      </c>
      <c r="AE527" s="156" t="n"/>
      <c r="AF527" s="51" t="n">
        <v>0</v>
      </c>
      <c r="AG527" s="156" t="inlineStr">
        <is>
          <t>Catálogo existente</t>
        </is>
      </c>
      <c r="AH5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7" s="156" t="inlineStr">
        <is>
          <t>No</t>
        </is>
      </c>
      <c r="AJ527" s="156" t="n"/>
      <c r="AK527" s="155" t="inlineStr">
        <is>
          <t>Criterios: I [Q]; G1522_Extraccion_Articulos_NetSuite_2026-09-30.xlsx: fila 59099 [R] | Shopify Stetson: producto 15054564524395 / variante 53350554370411</t>
        </is>
      </c>
      <c r="AL527" s="58" t="n">
        <v>1230.915</v>
      </c>
      <c r="AM527" s="58" t="n">
        <v>7068.965517</v>
      </c>
      <c r="AN527" s="155" t="inlineStr">
        <is>
          <t>Shopify Stetson México</t>
        </is>
      </c>
      <c r="AO527" s="59" t="n">
        <v>0</v>
      </c>
      <c r="AP527" s="59" t="n"/>
      <c r="AQ527" s="59" t="n"/>
      <c r="AR527" s="155" t="n"/>
    </row>
    <row r="528">
      <c r="A528" s="50" t="inlineStr">
        <is>
          <t>12020005111024315</t>
        </is>
      </c>
      <c r="B528" s="51" t="inlineStr">
        <is>
          <t>111425</t>
        </is>
      </c>
      <c r="C528" s="156" t="inlineStr">
        <is>
          <t>Multimarca</t>
        </is>
      </c>
      <c r="D528" s="156" t="inlineStr">
        <is>
          <t>12-020-BS005-11-1024</t>
        </is>
      </c>
      <c r="E528" s="156" t="inlineStr">
        <is>
          <t>12-020-BS005-11-1024-315</t>
        </is>
      </c>
      <c r="F528" s="156" t="inlineStr">
        <is>
          <t>31.5</t>
        </is>
      </c>
      <c r="G528" s="156" t="inlineStr">
        <is>
          <t>13.5</t>
        </is>
      </c>
      <c r="H528" s="156" t="inlineStr">
        <is>
          <t>Stetson</t>
        </is>
      </c>
      <c r="I528" s="156" t="inlineStr">
        <is>
          <t>Bota Pitón Chocolate</t>
        </is>
      </c>
      <c r="J528" s="156" t="inlineStr">
        <is>
          <t>Calzado</t>
        </is>
      </c>
      <c r="K528" s="156" t="inlineStr">
        <is>
          <t>Botas</t>
        </is>
      </c>
      <c r="L528" s="156" t="inlineStr">
        <is>
          <t>Hombre</t>
        </is>
      </c>
      <c r="M528" s="156" t="inlineStr">
        <is>
          <t>Stetson</t>
        </is>
      </c>
      <c r="N528" s="156" t="inlineStr">
        <is>
          <t>SS26</t>
        </is>
      </c>
      <c r="O528" s="156" t="inlineStr">
        <is>
          <t>Seasonal</t>
        </is>
      </c>
      <c r="P528" s="156" t="inlineStr">
        <is>
          <t>Cafe</t>
        </is>
      </c>
      <c r="Q528" s="156" t="n"/>
      <c r="R528" s="156" t="inlineStr">
        <is>
          <t>Punta Cuadrada Ancha</t>
        </is>
      </c>
      <c r="S528" s="156" t="inlineStr">
        <is>
          <t>Piel de pitón</t>
        </is>
      </c>
      <c r="T528" s="156" t="inlineStr">
        <is>
          <t>Bota Caballero Piel de pitón Chocolate Punta Cuadrada Ancha</t>
        </is>
      </c>
      <c r="U528" s="156" t="inlineStr">
        <is>
          <t>México</t>
        </is>
      </c>
      <c r="V528" s="156" t="inlineStr">
        <is>
          <t>PRS</t>
        </is>
      </c>
      <c r="W528" s="51" t="inlineStr">
        <is>
          <t>53111501</t>
        </is>
      </c>
      <c r="X528" s="156" t="n"/>
      <c r="Y528" s="54" t="n">
        <v>1230.915</v>
      </c>
      <c r="Z528" s="54" t="n">
        <v>7068.965517</v>
      </c>
      <c r="AA528" s="55">
        <f>IF(AND(A528="", B528="", E528=""), "", IF(AB528="", "Válido", IF((LEN(AB528)-LEN(SUBSTITUTE(AB528,"; ","")))/2+1&gt;(LEN(AB528)-LEN(SUBSTITUTE(AB528,"[Aviso]","")))/7, "Con Incidencias", "Válido")))</f>
        <v/>
      </c>
      <c r="AB528" s="56">
        <f>IF(AND(A528="", B528="", E528=""), "", TEXTJOIN("; ", TRUE, IF(OR(TRIM(A528&amp;"")="", ISNUMBER(SEARCH("FALTA", A528))), "UPC faltante/inválido", ""), IF(AND(A528&lt;&gt;"", IFERROR(_xlfn.XMATCH(A528,$A$2:$A$2509,0,1)&lt;&gt;_xlfn.XMATCH(A528,$A$2:$A$2509,0,-1),FALSE)), "Código de barras duplicado", ""), IF(AND(E528&lt;&gt;"", COUNTIF($E$2:$E$2509, E528)&gt;1), "SKU duplicado", ""), IF(OR(J528="", J528=""), "[Aviso] División no capturada ()", IF(ISNA(MATCH(J528, Criterios!$A$123:$A$126, 0)), "División no válida", "")), IF(OR(K528="", K528=""), "[Aviso] Categoría no capturada ()", IF(ISNA(MATCH(K528, Criterios!$A$81:$A$120, 0)), "Categoría no válida", IF(AND(J528&lt;&gt;"", J528&lt;&gt;"", J528&lt;&gt;VLOOKUP(K528, Criterios!$A$81:$B$120, 2, FALSE)), "División no coincide con Categoría", ""))), IF(OR(L528="", L528=""), "[Aviso] Género no capturado ()", IF(ISNA(MATCH(L528, Criterios!$B$123:$B$127, 0)), "Género no válido", "")), IF(OR(N528="", N528=""), "[Aviso] Temporada no capturada ()", IF(ISNA(MATCH(N528, Criterios!$C$123:$C$128, 0)), "Temporada no válida", "")), IF(OR(O528="", O528=""), "[Aviso] Ciclo de vida no capturado ()", IF(ISNA(MATCH(O528, Criterios!$D$123:$D$124, 0)), "Ciclo de vida no válido", ""))))</f>
        <v/>
      </c>
      <c r="AC528" s="56" t="n"/>
      <c r="AD528" s="51" t="n">
        <v>0</v>
      </c>
      <c r="AE528" s="156" t="n"/>
      <c r="AF528" s="51" t="n">
        <v>0</v>
      </c>
      <c r="AG528" s="156" t="inlineStr">
        <is>
          <t>Catálogo existente</t>
        </is>
      </c>
      <c r="AH5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8" s="156" t="inlineStr">
        <is>
          <t>No</t>
        </is>
      </c>
      <c r="AJ528" s="156" t="n"/>
      <c r="AK528" s="155" t="inlineStr">
        <is>
          <t>Criterios: I [Q]; G1522_Extraccion_Articulos_NetSuite_2026-09-30.xlsx: fila 59100 [R] | Shopify Stetson: producto 15054564524395 / variante 53350554435947</t>
        </is>
      </c>
      <c r="AL528" s="58" t="n">
        <v>1230.915</v>
      </c>
      <c r="AM528" s="58" t="n">
        <v>7068.965517</v>
      </c>
      <c r="AN528" s="155" t="inlineStr">
        <is>
          <t>Shopify Stetson México</t>
        </is>
      </c>
      <c r="AO528" s="59" t="n">
        <v>0</v>
      </c>
      <c r="AP528" s="59" t="n"/>
      <c r="AQ528" s="59" t="n"/>
      <c r="AR528" s="155" t="n"/>
    </row>
    <row r="529">
      <c r="A529" s="50" t="inlineStr">
        <is>
          <t>12020005111024325</t>
        </is>
      </c>
      <c r="B529" s="51" t="inlineStr">
        <is>
          <t>111426</t>
        </is>
      </c>
      <c r="C529" s="156" t="inlineStr">
        <is>
          <t>Multimarca</t>
        </is>
      </c>
      <c r="D529" s="156" t="inlineStr">
        <is>
          <t>12-020-BS005-11-1024</t>
        </is>
      </c>
      <c r="E529" s="156" t="inlineStr">
        <is>
          <t>12-020-BS005-11-1024-325</t>
        </is>
      </c>
      <c r="F529" s="156" t="inlineStr">
        <is>
          <t>32.5</t>
        </is>
      </c>
      <c r="G529" s="156" t="inlineStr">
        <is>
          <t>14.5</t>
        </is>
      </c>
      <c r="H529" s="156" t="inlineStr">
        <is>
          <t>Stetson</t>
        </is>
      </c>
      <c r="I529" s="156" t="inlineStr">
        <is>
          <t>Bota Pitón Chocolate</t>
        </is>
      </c>
      <c r="J529" s="156" t="inlineStr">
        <is>
          <t>Calzado</t>
        </is>
      </c>
      <c r="K529" s="156" t="inlineStr">
        <is>
          <t>Botas</t>
        </is>
      </c>
      <c r="L529" s="156" t="inlineStr">
        <is>
          <t>Hombre</t>
        </is>
      </c>
      <c r="M529" s="156" t="inlineStr">
        <is>
          <t>Stetson</t>
        </is>
      </c>
      <c r="N529" s="156" t="inlineStr">
        <is>
          <t>SS26</t>
        </is>
      </c>
      <c r="O529" s="156" t="inlineStr">
        <is>
          <t>Seasonal</t>
        </is>
      </c>
      <c r="P529" s="156" t="inlineStr">
        <is>
          <t>Cafe</t>
        </is>
      </c>
      <c r="Q529" s="156" t="n"/>
      <c r="R529" s="156" t="inlineStr">
        <is>
          <t>Punta Cuadrada Ancha</t>
        </is>
      </c>
      <c r="S529" s="156" t="inlineStr">
        <is>
          <t>Piel de pitón</t>
        </is>
      </c>
      <c r="T529" s="156" t="inlineStr">
        <is>
          <t>Bota Caballero Piel de pitón Chocolate Punta Cuadrada Ancha</t>
        </is>
      </c>
      <c r="U529" s="156" t="inlineStr">
        <is>
          <t>México</t>
        </is>
      </c>
      <c r="V529" s="156" t="inlineStr">
        <is>
          <t>PRS</t>
        </is>
      </c>
      <c r="W529" s="51" t="inlineStr">
        <is>
          <t>53111501</t>
        </is>
      </c>
      <c r="X529" s="156" t="n"/>
      <c r="Y529" s="54" t="n">
        <v>1230.915</v>
      </c>
      <c r="Z529" s="54" t="n">
        <v>7068.965517</v>
      </c>
      <c r="AA529" s="55">
        <f>IF(AND(A529="", B529="", E529=""), "", IF(AB529="", "Válido", IF((LEN(AB529)-LEN(SUBSTITUTE(AB529,"; ","")))/2+1&gt;(LEN(AB529)-LEN(SUBSTITUTE(AB529,"[Aviso]","")))/7, "Con Incidencias", "Válido")))</f>
        <v/>
      </c>
      <c r="AB529" s="56">
        <f>IF(AND(A529="", B529="", E529=""), "", TEXTJOIN("; ", TRUE, IF(OR(TRIM(A529&amp;"")="", ISNUMBER(SEARCH("FALTA", A529))), "UPC faltante/inválido", ""), IF(AND(A529&lt;&gt;"", IFERROR(_xlfn.XMATCH(A529,$A$2:$A$2509,0,1)&lt;&gt;_xlfn.XMATCH(A529,$A$2:$A$2509,0,-1),FALSE)), "Código de barras duplicado", ""), IF(AND(E529&lt;&gt;"", COUNTIF($E$2:$E$2509, E529)&gt;1), "SKU duplicado", ""), IF(OR(J529="", J529=""), "[Aviso] División no capturada ()", IF(ISNA(MATCH(J529, Criterios!$A$123:$A$126, 0)), "División no válida", "")), IF(OR(K529="", K529=""), "[Aviso] Categoría no capturada ()", IF(ISNA(MATCH(K529, Criterios!$A$81:$A$120, 0)), "Categoría no válida", IF(AND(J529&lt;&gt;"", J529&lt;&gt;"", J529&lt;&gt;VLOOKUP(K529, Criterios!$A$81:$B$120, 2, FALSE)), "División no coincide con Categoría", ""))), IF(OR(L529="", L529=""), "[Aviso] Género no capturado ()", IF(ISNA(MATCH(L529, Criterios!$B$123:$B$127, 0)), "Género no válido", "")), IF(OR(N529="", N529=""), "[Aviso] Temporada no capturada ()", IF(ISNA(MATCH(N529, Criterios!$C$123:$C$128, 0)), "Temporada no válida", "")), IF(OR(O529="", O529=""), "[Aviso] Ciclo de vida no capturado ()", IF(ISNA(MATCH(O529, Criterios!$D$123:$D$124, 0)), "Ciclo de vida no válido", ""))))</f>
        <v/>
      </c>
      <c r="AC529" s="56" t="n"/>
      <c r="AD529" s="51" t="n">
        <v>0</v>
      </c>
      <c r="AE529" s="156" t="n"/>
      <c r="AF529" s="51" t="n">
        <v>0</v>
      </c>
      <c r="AG529" s="156" t="inlineStr">
        <is>
          <t>Catálogo existente</t>
        </is>
      </c>
      <c r="AH5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9" s="156" t="inlineStr">
        <is>
          <t>No</t>
        </is>
      </c>
      <c r="AJ529" s="156" t="n"/>
      <c r="AK529" s="155" t="inlineStr">
        <is>
          <t>Criterios: I [Q]; G1522_Extraccion_Articulos_NetSuite_2026-09-30.xlsx: fila 59101 [R] | Shopify Stetson: producto 15054564524395 / variante 53350554501483</t>
        </is>
      </c>
      <c r="AL529" s="58" t="n">
        <v>1230.915</v>
      </c>
      <c r="AM529" s="58" t="n">
        <v>7068.965517</v>
      </c>
      <c r="AN529" s="155" t="inlineStr">
        <is>
          <t>Shopify Stetson México</t>
        </is>
      </c>
      <c r="AO529" s="59" t="n">
        <v>0</v>
      </c>
      <c r="AP529" s="59" t="n"/>
      <c r="AQ529" s="59" t="n"/>
      <c r="AR529" s="155" t="n"/>
    </row>
    <row r="530">
      <c r="A530" s="50" t="inlineStr">
        <is>
          <t>12020006111028025</t>
        </is>
      </c>
      <c r="B530" s="51" t="inlineStr">
        <is>
          <t>111427</t>
        </is>
      </c>
      <c r="C530" s="156" t="inlineStr">
        <is>
          <t>Multimarca</t>
        </is>
      </c>
      <c r="D530" s="156" t="inlineStr">
        <is>
          <t>12-020-BS006-11-1028</t>
        </is>
      </c>
      <c r="E530" s="156" t="inlineStr">
        <is>
          <t>12-020-BS006-11-1028-025</t>
        </is>
      </c>
      <c r="F530" s="156" t="inlineStr">
        <is>
          <t>25</t>
        </is>
      </c>
      <c r="G530" s="156" t="inlineStr">
        <is>
          <t>7</t>
        </is>
      </c>
      <c r="H530" s="156" t="inlineStr">
        <is>
          <t>Stetson</t>
        </is>
      </c>
      <c r="I530" s="156" t="inlineStr">
        <is>
          <t>Bota Piel Cognac</t>
        </is>
      </c>
      <c r="J530" s="156" t="inlineStr">
        <is>
          <t>Calzado</t>
        </is>
      </c>
      <c r="K530" s="156" t="inlineStr">
        <is>
          <t>Botas</t>
        </is>
      </c>
      <c r="L530" s="156" t="inlineStr">
        <is>
          <t>Hombre</t>
        </is>
      </c>
      <c r="M530" s="156" t="inlineStr">
        <is>
          <t>Stetson</t>
        </is>
      </c>
      <c r="N530" s="156" t="inlineStr">
        <is>
          <t>SS26</t>
        </is>
      </c>
      <c r="O530" s="156" t="inlineStr">
        <is>
          <t>Seasonal</t>
        </is>
      </c>
      <c r="P530" s="156" t="inlineStr">
        <is>
          <t>Cafe</t>
        </is>
      </c>
      <c r="Q530" s="156" t="n"/>
      <c r="R530" s="156" t="inlineStr">
        <is>
          <t>Punta Cuadrada Ancha</t>
        </is>
      </c>
      <c r="S530" s="156" t="inlineStr">
        <is>
          <t>Piel bovina</t>
        </is>
      </c>
      <c r="T530" s="156" t="inlineStr">
        <is>
          <t>Bota Caballero Piel bovina Lady Hawk Cognac Punta Cuadrada Ancha</t>
        </is>
      </c>
      <c r="U530" s="156" t="inlineStr">
        <is>
          <t>México</t>
        </is>
      </c>
      <c r="V530" s="156" t="inlineStr">
        <is>
          <t>PRS</t>
        </is>
      </c>
      <c r="W530" s="51" t="inlineStr">
        <is>
          <t>53111501</t>
        </is>
      </c>
      <c r="X530" s="156" t="n"/>
      <c r="Y530" s="54" t="n">
        <v>769.11</v>
      </c>
      <c r="Z530" s="54" t="n">
        <v>4396.551724</v>
      </c>
      <c r="AA530" s="55">
        <f>IF(AND(A530="", B530="", E530=""), "", IF(AB530="", "Válido", IF((LEN(AB530)-LEN(SUBSTITUTE(AB530,"; ","")))/2+1&gt;(LEN(AB530)-LEN(SUBSTITUTE(AB530,"[Aviso]","")))/7, "Con Incidencias", "Válido")))</f>
        <v/>
      </c>
      <c r="AB530" s="56">
        <f>IF(AND(A530="", B530="", E530=""), "", TEXTJOIN("; ", TRUE, IF(OR(TRIM(A530&amp;"")="", ISNUMBER(SEARCH("FALTA", A530))), "UPC faltante/inválido", ""), IF(AND(A530&lt;&gt;"", IFERROR(_xlfn.XMATCH(A530,$A$2:$A$2509,0,1)&lt;&gt;_xlfn.XMATCH(A530,$A$2:$A$2509,0,-1),FALSE)), "Código de barras duplicado", ""), IF(AND(E530&lt;&gt;"", COUNTIF($E$2:$E$2509, E530)&gt;1), "SKU duplicado", ""), IF(OR(J530="", J530=""), "[Aviso] División no capturada ()", IF(ISNA(MATCH(J530, Criterios!$A$123:$A$126, 0)), "División no válida", "")), IF(OR(K530="", K530=""), "[Aviso] Categoría no capturada ()", IF(ISNA(MATCH(K530, Criterios!$A$81:$A$120, 0)), "Categoría no válida", IF(AND(J530&lt;&gt;"", J530&lt;&gt;"", J530&lt;&gt;VLOOKUP(K530, Criterios!$A$81:$B$120, 2, FALSE)), "División no coincide con Categoría", ""))), IF(OR(L530="", L530=""), "[Aviso] Género no capturado ()", IF(ISNA(MATCH(L530, Criterios!$B$123:$B$127, 0)), "Género no válido", "")), IF(OR(N530="", N530=""), "[Aviso] Temporada no capturada ()", IF(ISNA(MATCH(N530, Criterios!$C$123:$C$128, 0)), "Temporada no válida", "")), IF(OR(O530="", O530=""), "[Aviso] Ciclo de vida no capturado ()", IF(ISNA(MATCH(O530, Criterios!$D$123:$D$124, 0)), "Ciclo de vida no válido", ""))))</f>
        <v/>
      </c>
      <c r="AC530" s="56" t="n"/>
      <c r="AD530" s="51" t="n">
        <v>0</v>
      </c>
      <c r="AE530" s="156" t="n"/>
      <c r="AF530" s="51" t="n">
        <v>0</v>
      </c>
      <c r="AG530" s="156" t="inlineStr">
        <is>
          <t>Catálogo existente</t>
        </is>
      </c>
      <c r="AH530"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0" s="156" t="inlineStr">
        <is>
          <t>No</t>
        </is>
      </c>
      <c r="AJ530" s="156" t="n"/>
      <c r="AK530" s="155" t="inlineStr">
        <is>
          <t>Criterios: I [Q]; G1522_Extraccion_Articulos_NetSuite_2026-09-30.xlsx: fila 59102 [R] | Shopify Stetson: producto 15054564688235 / variante 53350556139883</t>
        </is>
      </c>
      <c r="AL530" s="58" t="n">
        <v>769.11</v>
      </c>
      <c r="AM530" s="58" t="n">
        <v>4396.551724</v>
      </c>
      <c r="AN530" s="155" t="inlineStr">
        <is>
          <t>Shopify Stetson México</t>
        </is>
      </c>
      <c r="AO530" s="59" t="n">
        <v>0</v>
      </c>
      <c r="AP530" s="59" t="n"/>
      <c r="AQ530" s="59" t="n"/>
      <c r="AR530" s="155" t="n"/>
    </row>
    <row r="531">
      <c r="A531" s="50" t="inlineStr">
        <is>
          <t>12020006111028026</t>
        </is>
      </c>
      <c r="B531" s="51" t="inlineStr">
        <is>
          <t>111428</t>
        </is>
      </c>
      <c r="C531" s="156" t="inlineStr">
        <is>
          <t>Multimarca</t>
        </is>
      </c>
      <c r="D531" s="156" t="inlineStr">
        <is>
          <t>12-020-BS006-11-1028</t>
        </is>
      </c>
      <c r="E531" s="156" t="inlineStr">
        <is>
          <t>12-020-BS006-11-1028-026</t>
        </is>
      </c>
      <c r="F531" s="156" t="inlineStr">
        <is>
          <t>26</t>
        </is>
      </c>
      <c r="G531" s="156" t="inlineStr">
        <is>
          <t>8</t>
        </is>
      </c>
      <c r="H531" s="156" t="inlineStr">
        <is>
          <t>Stetson</t>
        </is>
      </c>
      <c r="I531" s="156" t="inlineStr">
        <is>
          <t>Bota Piel Cognac</t>
        </is>
      </c>
      <c r="J531" s="156" t="inlineStr">
        <is>
          <t>Calzado</t>
        </is>
      </c>
      <c r="K531" s="156" t="inlineStr">
        <is>
          <t>Botas</t>
        </is>
      </c>
      <c r="L531" s="156" t="inlineStr">
        <is>
          <t>Hombre</t>
        </is>
      </c>
      <c r="M531" s="156" t="inlineStr">
        <is>
          <t>Stetson</t>
        </is>
      </c>
      <c r="N531" s="156" t="inlineStr">
        <is>
          <t>SS26</t>
        </is>
      </c>
      <c r="O531" s="156" t="inlineStr">
        <is>
          <t>Seasonal</t>
        </is>
      </c>
      <c r="P531" s="156" t="inlineStr">
        <is>
          <t>Cafe</t>
        </is>
      </c>
      <c r="Q531" s="156" t="n"/>
      <c r="R531" s="156" t="inlineStr">
        <is>
          <t>Punta Cuadrada Ancha</t>
        </is>
      </c>
      <c r="S531" s="156" t="inlineStr">
        <is>
          <t>Piel bovina</t>
        </is>
      </c>
      <c r="T531" s="156" t="inlineStr">
        <is>
          <t>Bota Caballero Piel bovina Lady Hawk Cognac Punta Cuadrada Ancha</t>
        </is>
      </c>
      <c r="U531" s="156" t="inlineStr">
        <is>
          <t>México</t>
        </is>
      </c>
      <c r="V531" s="156" t="inlineStr">
        <is>
          <t>PRS</t>
        </is>
      </c>
      <c r="W531" s="51" t="inlineStr">
        <is>
          <t>53111501</t>
        </is>
      </c>
      <c r="X531" s="156" t="n"/>
      <c r="Y531" s="54" t="n">
        <v>769.11</v>
      </c>
      <c r="Z531" s="54" t="n">
        <v>4396.551724</v>
      </c>
      <c r="AA531" s="55">
        <f>IF(AND(A531="", B531="", E531=""), "", IF(AB531="", "Válido", IF((LEN(AB531)-LEN(SUBSTITUTE(AB531,"; ","")))/2+1&gt;(LEN(AB531)-LEN(SUBSTITUTE(AB531,"[Aviso]","")))/7, "Con Incidencias", "Válido")))</f>
        <v/>
      </c>
      <c r="AB531" s="56">
        <f>IF(AND(A531="", B531="", E531=""), "", TEXTJOIN("; ", TRUE, IF(OR(TRIM(A531&amp;"")="", ISNUMBER(SEARCH("FALTA", A531))), "UPC faltante/inválido", ""), IF(AND(A531&lt;&gt;"", IFERROR(_xlfn.XMATCH(A531,$A$2:$A$2509,0,1)&lt;&gt;_xlfn.XMATCH(A531,$A$2:$A$2509,0,-1),FALSE)), "Código de barras duplicado", ""), IF(AND(E531&lt;&gt;"", COUNTIF($E$2:$E$2509, E531)&gt;1), "SKU duplicado", ""), IF(OR(J531="", J531=""), "[Aviso] División no capturada ()", IF(ISNA(MATCH(J531, Criterios!$A$123:$A$126, 0)), "División no válida", "")), IF(OR(K531="", K531=""), "[Aviso] Categoría no capturada ()", IF(ISNA(MATCH(K531, Criterios!$A$81:$A$120, 0)), "Categoría no válida", IF(AND(J531&lt;&gt;"", J531&lt;&gt;"", J531&lt;&gt;VLOOKUP(K531, Criterios!$A$81:$B$120, 2, FALSE)), "División no coincide con Categoría", ""))), IF(OR(L531="", L531=""), "[Aviso] Género no capturado ()", IF(ISNA(MATCH(L531, Criterios!$B$123:$B$127, 0)), "Género no válido", "")), IF(OR(N531="", N531=""), "[Aviso] Temporada no capturada ()", IF(ISNA(MATCH(N531, Criterios!$C$123:$C$128, 0)), "Temporada no válida", "")), IF(OR(O531="", O531=""), "[Aviso] Ciclo de vida no capturado ()", IF(ISNA(MATCH(O531, Criterios!$D$123:$D$124, 0)), "Ciclo de vida no válido", ""))))</f>
        <v/>
      </c>
      <c r="AC531" s="56" t="n"/>
      <c r="AD531" s="51" t="n">
        <v>0</v>
      </c>
      <c r="AE531" s="156" t="n"/>
      <c r="AF531" s="51" t="n">
        <v>0</v>
      </c>
      <c r="AG531" s="156" t="inlineStr">
        <is>
          <t>Catálogo existente</t>
        </is>
      </c>
      <c r="AH531"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1" s="156" t="inlineStr">
        <is>
          <t>No</t>
        </is>
      </c>
      <c r="AJ531" s="156" t="n"/>
      <c r="AK531" s="155" t="inlineStr">
        <is>
          <t>Criterios: I [Q]; G1522_Extraccion_Articulos_NetSuite_2026-09-30.xlsx: fila 59103 [R] | Shopify Stetson: producto 15054564688235 / variante 53350556205419</t>
        </is>
      </c>
      <c r="AL531" s="58" t="n">
        <v>769.11</v>
      </c>
      <c r="AM531" s="58" t="n">
        <v>4396.551724</v>
      </c>
      <c r="AN531" s="155" t="inlineStr">
        <is>
          <t>Shopify Stetson México</t>
        </is>
      </c>
      <c r="AO531" s="59" t="n">
        <v>0</v>
      </c>
      <c r="AP531" s="59" t="n"/>
      <c r="AQ531" s="59" t="n"/>
      <c r="AR531" s="155" t="n"/>
    </row>
    <row r="532">
      <c r="A532" s="50" t="inlineStr">
        <is>
          <t>12020006111028027</t>
        </is>
      </c>
      <c r="B532" s="51" t="inlineStr">
        <is>
          <t>111429</t>
        </is>
      </c>
      <c r="C532" s="156" t="inlineStr">
        <is>
          <t>Multimarca</t>
        </is>
      </c>
      <c r="D532" s="156" t="inlineStr">
        <is>
          <t>12-020-BS006-11-1028</t>
        </is>
      </c>
      <c r="E532" s="156" t="inlineStr">
        <is>
          <t>12-020-BS006-11-1028-027</t>
        </is>
      </c>
      <c r="F532" s="156" t="inlineStr">
        <is>
          <t>27</t>
        </is>
      </c>
      <c r="G532" s="156" t="inlineStr">
        <is>
          <t>9</t>
        </is>
      </c>
      <c r="H532" s="156" t="inlineStr">
        <is>
          <t>Stetson</t>
        </is>
      </c>
      <c r="I532" s="156" t="inlineStr">
        <is>
          <t>Bota Piel Cognac</t>
        </is>
      </c>
      <c r="J532" s="156" t="inlineStr">
        <is>
          <t>Calzado</t>
        </is>
      </c>
      <c r="K532" s="156" t="inlineStr">
        <is>
          <t>Botas</t>
        </is>
      </c>
      <c r="L532" s="156" t="inlineStr">
        <is>
          <t>Hombre</t>
        </is>
      </c>
      <c r="M532" s="156" t="inlineStr">
        <is>
          <t>Stetson</t>
        </is>
      </c>
      <c r="N532" s="156" t="inlineStr">
        <is>
          <t>SS26</t>
        </is>
      </c>
      <c r="O532" s="156" t="inlineStr">
        <is>
          <t>Seasonal</t>
        </is>
      </c>
      <c r="P532" s="156" t="inlineStr">
        <is>
          <t>Cafe</t>
        </is>
      </c>
      <c r="Q532" s="156" t="n"/>
      <c r="R532" s="156" t="inlineStr">
        <is>
          <t>Punta Cuadrada Ancha</t>
        </is>
      </c>
      <c r="S532" s="156" t="inlineStr">
        <is>
          <t>Piel bovina</t>
        </is>
      </c>
      <c r="T532" s="156" t="inlineStr">
        <is>
          <t>Bota Caballero Piel bovina Lady Hawk Cognac Punta Cuadrada Ancha</t>
        </is>
      </c>
      <c r="U532" s="156" t="inlineStr">
        <is>
          <t>México</t>
        </is>
      </c>
      <c r="V532" s="156" t="inlineStr">
        <is>
          <t>PRS</t>
        </is>
      </c>
      <c r="W532" s="51" t="inlineStr">
        <is>
          <t>53111501</t>
        </is>
      </c>
      <c r="X532" s="156" t="n"/>
      <c r="Y532" s="54" t="n">
        <v>769.11</v>
      </c>
      <c r="Z532" s="54" t="n">
        <v>4396.551724</v>
      </c>
      <c r="AA532" s="55">
        <f>IF(AND(A532="", B532="", E532=""), "", IF(AB532="", "Válido", IF((LEN(AB532)-LEN(SUBSTITUTE(AB532,"; ","")))/2+1&gt;(LEN(AB532)-LEN(SUBSTITUTE(AB532,"[Aviso]","")))/7, "Con Incidencias", "Válido")))</f>
        <v/>
      </c>
      <c r="AB532" s="56">
        <f>IF(AND(A532="", B532="", E532=""), "", TEXTJOIN("; ", TRUE, IF(OR(TRIM(A532&amp;"")="", ISNUMBER(SEARCH("FALTA", A532))), "UPC faltante/inválido", ""), IF(AND(A532&lt;&gt;"", IFERROR(_xlfn.XMATCH(A532,$A$2:$A$2509,0,1)&lt;&gt;_xlfn.XMATCH(A532,$A$2:$A$2509,0,-1),FALSE)), "Código de barras duplicado", ""), IF(AND(E532&lt;&gt;"", COUNTIF($E$2:$E$2509, E532)&gt;1), "SKU duplicado", ""), IF(OR(J532="", J532=""), "[Aviso] División no capturada ()", IF(ISNA(MATCH(J532, Criterios!$A$123:$A$126, 0)), "División no válida", "")), IF(OR(K532="", K532=""), "[Aviso] Categoría no capturada ()", IF(ISNA(MATCH(K532, Criterios!$A$81:$A$120, 0)), "Categoría no válida", IF(AND(J532&lt;&gt;"", J532&lt;&gt;"", J532&lt;&gt;VLOOKUP(K532, Criterios!$A$81:$B$120, 2, FALSE)), "División no coincide con Categoría", ""))), IF(OR(L532="", L532=""), "[Aviso] Género no capturado ()", IF(ISNA(MATCH(L532, Criterios!$B$123:$B$127, 0)), "Género no válido", "")), IF(OR(N532="", N532=""), "[Aviso] Temporada no capturada ()", IF(ISNA(MATCH(N532, Criterios!$C$123:$C$128, 0)), "Temporada no válida", "")), IF(OR(O532="", O532=""), "[Aviso] Ciclo de vida no capturado ()", IF(ISNA(MATCH(O532, Criterios!$D$123:$D$124, 0)), "Ciclo de vida no válido", ""))))</f>
        <v/>
      </c>
      <c r="AC532" s="56" t="n"/>
      <c r="AD532" s="51" t="n">
        <v>-1</v>
      </c>
      <c r="AE532" s="156" t="n"/>
      <c r="AF532" s="51" t="n">
        <v>0</v>
      </c>
      <c r="AG532" s="156" t="inlineStr">
        <is>
          <t>Catálogo existente</t>
        </is>
      </c>
      <c r="AH532"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2" s="156" t="inlineStr">
        <is>
          <t>Sí</t>
        </is>
      </c>
      <c r="AJ532" s="156" t="inlineStr">
        <is>
          <t>STETSON AMERICAS (-1)</t>
        </is>
      </c>
      <c r="AK532" s="155" t="inlineStr">
        <is>
          <t>Criterios: I [Q]; G1522_Extraccion_Articulos_NetSuite_2026-09-30.xlsx: fila 59104 [R] | Shopify Stetson: producto 15054564688235 / variante 53350556270955</t>
        </is>
      </c>
      <c r="AL532" s="58" t="n">
        <v>769.11</v>
      </c>
      <c r="AM532" s="58" t="n">
        <v>4396.551724</v>
      </c>
      <c r="AN532" s="155" t="inlineStr">
        <is>
          <t>Shopify Stetson México</t>
        </is>
      </c>
      <c r="AO532" s="59" t="n">
        <v>1</v>
      </c>
      <c r="AP532" s="59" t="n"/>
      <c r="AQ532" s="59" t="n"/>
      <c r="AR532" s="155" t="inlineStr">
        <is>
          <t>Shopify Stetson México › Stetson Americas: 1</t>
        </is>
      </c>
    </row>
    <row r="533">
      <c r="A533" s="50" t="inlineStr">
        <is>
          <t>12020006111028028</t>
        </is>
      </c>
      <c r="B533" s="51" t="inlineStr">
        <is>
          <t>111430</t>
        </is>
      </c>
      <c r="C533" s="156" t="inlineStr">
        <is>
          <t>Multimarca</t>
        </is>
      </c>
      <c r="D533" s="156" t="inlineStr">
        <is>
          <t>12-020-BS006-11-1028</t>
        </is>
      </c>
      <c r="E533" s="156" t="inlineStr">
        <is>
          <t>12-020-BS006-11-1028-028</t>
        </is>
      </c>
      <c r="F533" s="156" t="inlineStr">
        <is>
          <t>28</t>
        </is>
      </c>
      <c r="G533" s="156" t="inlineStr">
        <is>
          <t>10</t>
        </is>
      </c>
      <c r="H533" s="156" t="inlineStr">
        <is>
          <t>Stetson</t>
        </is>
      </c>
      <c r="I533" s="156" t="inlineStr">
        <is>
          <t>Bota Piel Cognac</t>
        </is>
      </c>
      <c r="J533" s="156" t="inlineStr">
        <is>
          <t>Calzado</t>
        </is>
      </c>
      <c r="K533" s="156" t="inlineStr">
        <is>
          <t>Botas</t>
        </is>
      </c>
      <c r="L533" s="156" t="inlineStr">
        <is>
          <t>Hombre</t>
        </is>
      </c>
      <c r="M533" s="156" t="inlineStr">
        <is>
          <t>Stetson</t>
        </is>
      </c>
      <c r="N533" s="156" t="inlineStr">
        <is>
          <t>SS26</t>
        </is>
      </c>
      <c r="O533" s="156" t="inlineStr">
        <is>
          <t>Seasonal</t>
        </is>
      </c>
      <c r="P533" s="156" t="inlineStr">
        <is>
          <t>Cafe</t>
        </is>
      </c>
      <c r="Q533" s="156" t="n"/>
      <c r="R533" s="156" t="inlineStr">
        <is>
          <t>Punta Cuadrada Ancha</t>
        </is>
      </c>
      <c r="S533" s="156" t="inlineStr">
        <is>
          <t>Piel bovina</t>
        </is>
      </c>
      <c r="T533" s="156" t="inlineStr">
        <is>
          <t>Bota Caballero Piel bovina Lady Hawk Cognac Punta Cuadrada Ancha</t>
        </is>
      </c>
      <c r="U533" s="156" t="inlineStr">
        <is>
          <t>México</t>
        </is>
      </c>
      <c r="V533" s="156" t="inlineStr">
        <is>
          <t>PRS</t>
        </is>
      </c>
      <c r="W533" s="51" t="inlineStr">
        <is>
          <t>53111501</t>
        </is>
      </c>
      <c r="X533" s="156" t="n"/>
      <c r="Y533" s="54" t="n">
        <v>769.11</v>
      </c>
      <c r="Z533" s="54" t="n">
        <v>4396.551724</v>
      </c>
      <c r="AA533" s="55">
        <f>IF(AND(A533="", B533="", E533=""), "", IF(AB533="", "Válido", IF((LEN(AB533)-LEN(SUBSTITUTE(AB533,"; ","")))/2+1&gt;(LEN(AB533)-LEN(SUBSTITUTE(AB533,"[Aviso]","")))/7, "Con Incidencias", "Válido")))</f>
        <v/>
      </c>
      <c r="AB533" s="56">
        <f>IF(AND(A533="", B533="", E533=""), "", TEXTJOIN("; ", TRUE, IF(OR(TRIM(A533&amp;"")="", ISNUMBER(SEARCH("FALTA", A533))), "UPC faltante/inválido", ""), IF(AND(A533&lt;&gt;"", IFERROR(_xlfn.XMATCH(A533,$A$2:$A$2509,0,1)&lt;&gt;_xlfn.XMATCH(A533,$A$2:$A$2509,0,-1),FALSE)), "Código de barras duplicado", ""), IF(AND(E533&lt;&gt;"", COUNTIF($E$2:$E$2509, E533)&gt;1), "SKU duplicado", ""), IF(OR(J533="", J533=""), "[Aviso] División no capturada ()", IF(ISNA(MATCH(J533, Criterios!$A$123:$A$126, 0)), "División no válida", "")), IF(OR(K533="", K533=""), "[Aviso] Categoría no capturada ()", IF(ISNA(MATCH(K533, Criterios!$A$81:$A$120, 0)), "Categoría no válida", IF(AND(J533&lt;&gt;"", J533&lt;&gt;"", J533&lt;&gt;VLOOKUP(K533, Criterios!$A$81:$B$120, 2, FALSE)), "División no coincide con Categoría", ""))), IF(OR(L533="", L533=""), "[Aviso] Género no capturado ()", IF(ISNA(MATCH(L533, Criterios!$B$123:$B$127, 0)), "Género no válido", "")), IF(OR(N533="", N533=""), "[Aviso] Temporada no capturada ()", IF(ISNA(MATCH(N533, Criterios!$C$123:$C$128, 0)), "Temporada no válida", "")), IF(OR(O533="", O533=""), "[Aviso] Ciclo de vida no capturado ()", IF(ISNA(MATCH(O533, Criterios!$D$123:$D$124, 0)), "Ciclo de vida no válido", ""))))</f>
        <v/>
      </c>
      <c r="AC533" s="56" t="n"/>
      <c r="AD533" s="51" t="n">
        <v>0</v>
      </c>
      <c r="AE533" s="156" t="n"/>
      <c r="AF533" s="51" t="n">
        <v>0</v>
      </c>
      <c r="AG533" s="156" t="inlineStr">
        <is>
          <t>Catálogo existente</t>
        </is>
      </c>
      <c r="AH533"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3" s="156" t="inlineStr">
        <is>
          <t>No</t>
        </is>
      </c>
      <c r="AJ533" s="156" t="n"/>
      <c r="AK533" s="155" t="inlineStr">
        <is>
          <t>Criterios: I [Q]; G1522_Extraccion_Articulos_NetSuite_2026-09-30.xlsx: fila 59105 [R] | Shopify Stetson: producto 15054564688235 / variante 53350556336491</t>
        </is>
      </c>
      <c r="AL533" s="58" t="n">
        <v>769.11</v>
      </c>
      <c r="AM533" s="58" t="n">
        <v>4396.551724</v>
      </c>
      <c r="AN533" s="155" t="inlineStr">
        <is>
          <t>Shopify Stetson México</t>
        </is>
      </c>
      <c r="AO533" s="59" t="n">
        <v>2</v>
      </c>
      <c r="AP533" s="59" t="n"/>
      <c r="AQ533" s="59" t="n"/>
      <c r="AR533" s="155" t="inlineStr">
        <is>
          <t>Shopify Stetson México › Stetson Americas: 2</t>
        </is>
      </c>
    </row>
    <row r="534">
      <c r="A534" s="50" t="inlineStr">
        <is>
          <t>12020006111028029</t>
        </is>
      </c>
      <c r="B534" s="51" t="inlineStr">
        <is>
          <t>111431</t>
        </is>
      </c>
      <c r="C534" s="156" t="inlineStr">
        <is>
          <t>Multimarca</t>
        </is>
      </c>
      <c r="D534" s="156" t="inlineStr">
        <is>
          <t>12-020-BS006-11-1028</t>
        </is>
      </c>
      <c r="E534" s="156" t="inlineStr">
        <is>
          <t>12-020-BS006-11-1028-029</t>
        </is>
      </c>
      <c r="F534" s="156" t="inlineStr">
        <is>
          <t>29</t>
        </is>
      </c>
      <c r="G534" s="156" t="inlineStr">
        <is>
          <t>11</t>
        </is>
      </c>
      <c r="H534" s="156" t="inlineStr">
        <is>
          <t>Stetson</t>
        </is>
      </c>
      <c r="I534" s="156" t="inlineStr">
        <is>
          <t>Bota Piel Cognac</t>
        </is>
      </c>
      <c r="J534" s="156" t="inlineStr">
        <is>
          <t>Calzado</t>
        </is>
      </c>
      <c r="K534" s="156" t="inlineStr">
        <is>
          <t>Botas</t>
        </is>
      </c>
      <c r="L534" s="156" t="inlineStr">
        <is>
          <t>Hombre</t>
        </is>
      </c>
      <c r="M534" s="156" t="inlineStr">
        <is>
          <t>Stetson</t>
        </is>
      </c>
      <c r="N534" s="156" t="inlineStr">
        <is>
          <t>SS26</t>
        </is>
      </c>
      <c r="O534" s="156" t="inlineStr">
        <is>
          <t>Seasonal</t>
        </is>
      </c>
      <c r="P534" s="156" t="inlineStr">
        <is>
          <t>Cafe</t>
        </is>
      </c>
      <c r="Q534" s="156" t="n"/>
      <c r="R534" s="156" t="inlineStr">
        <is>
          <t>Punta Cuadrada Ancha</t>
        </is>
      </c>
      <c r="S534" s="156" t="inlineStr">
        <is>
          <t>Piel bovina</t>
        </is>
      </c>
      <c r="T534" s="156" t="inlineStr">
        <is>
          <t>Bota Caballero Piel bovina Lady Hawk Cognac Punta Cuadrada Ancha</t>
        </is>
      </c>
      <c r="U534" s="156" t="inlineStr">
        <is>
          <t>México</t>
        </is>
      </c>
      <c r="V534" s="156" t="inlineStr">
        <is>
          <t>PRS</t>
        </is>
      </c>
      <c r="W534" s="51" t="inlineStr">
        <is>
          <t>53111501</t>
        </is>
      </c>
      <c r="X534" s="156" t="n"/>
      <c r="Y534" s="54" t="n">
        <v>769.11</v>
      </c>
      <c r="Z534" s="54" t="n">
        <v>4396.551724</v>
      </c>
      <c r="AA534" s="55">
        <f>IF(AND(A534="", B534="", E534=""), "", IF(AB534="", "Válido", IF((LEN(AB534)-LEN(SUBSTITUTE(AB534,"; ","")))/2+1&gt;(LEN(AB534)-LEN(SUBSTITUTE(AB534,"[Aviso]","")))/7, "Con Incidencias", "Válido")))</f>
        <v/>
      </c>
      <c r="AB534" s="56">
        <f>IF(AND(A534="", B534="", E534=""), "", TEXTJOIN("; ", TRUE, IF(OR(TRIM(A534&amp;"")="", ISNUMBER(SEARCH("FALTA", A534))), "UPC faltante/inválido", ""), IF(AND(A534&lt;&gt;"", IFERROR(_xlfn.XMATCH(A534,$A$2:$A$2509,0,1)&lt;&gt;_xlfn.XMATCH(A534,$A$2:$A$2509,0,-1),FALSE)), "Código de barras duplicado", ""), IF(AND(E534&lt;&gt;"", COUNTIF($E$2:$E$2509, E534)&gt;1), "SKU duplicado", ""), IF(OR(J534="", J534=""), "[Aviso] División no capturada ()", IF(ISNA(MATCH(J534, Criterios!$A$123:$A$126, 0)), "División no válida", "")), IF(OR(K534="", K534=""), "[Aviso] Categoría no capturada ()", IF(ISNA(MATCH(K534, Criterios!$A$81:$A$120, 0)), "Categoría no válida", IF(AND(J534&lt;&gt;"", J534&lt;&gt;"", J534&lt;&gt;VLOOKUP(K534, Criterios!$A$81:$B$120, 2, FALSE)), "División no coincide con Categoría", ""))), IF(OR(L534="", L534=""), "[Aviso] Género no capturado ()", IF(ISNA(MATCH(L534, Criterios!$B$123:$B$127, 0)), "Género no válido", "")), IF(OR(N534="", N534=""), "[Aviso] Temporada no capturada ()", IF(ISNA(MATCH(N534, Criterios!$C$123:$C$128, 0)), "Temporada no válida", "")), IF(OR(O534="", O534=""), "[Aviso] Ciclo de vida no capturado ()", IF(ISNA(MATCH(O534, Criterios!$D$123:$D$124, 0)), "Ciclo de vida no válido", ""))))</f>
        <v/>
      </c>
      <c r="AC534" s="56" t="n"/>
      <c r="AD534" s="51" t="n">
        <v>-1</v>
      </c>
      <c r="AE534" s="156" t="n"/>
      <c r="AF534" s="51" t="n">
        <v>0</v>
      </c>
      <c r="AG534" s="156" t="inlineStr">
        <is>
          <t>Catálogo existente</t>
        </is>
      </c>
      <c r="AH534"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4" s="156" t="inlineStr">
        <is>
          <t>Sí</t>
        </is>
      </c>
      <c r="AJ534" s="156" t="inlineStr">
        <is>
          <t>STETSON AMERICAS (-1)</t>
        </is>
      </c>
      <c r="AK534" s="155" t="inlineStr">
        <is>
          <t>Criterios: I [Q]; G1522_Extraccion_Articulos_NetSuite_2026-09-30.xlsx: fila 59106 [R] | Shopify Stetson: producto 15054564688235 / variante 53350556402027</t>
        </is>
      </c>
      <c r="AL534" s="58" t="n">
        <v>769.11</v>
      </c>
      <c r="AM534" s="58" t="n">
        <v>4396.551724</v>
      </c>
      <c r="AN534" s="155" t="inlineStr">
        <is>
          <t>Shopify Stetson México</t>
        </is>
      </c>
      <c r="AO534" s="59" t="n">
        <v>0</v>
      </c>
      <c r="AP534" s="59" t="n"/>
      <c r="AQ534" s="59" t="n"/>
      <c r="AR534" s="155" t="n"/>
    </row>
    <row r="535">
      <c r="A535" s="50" t="inlineStr">
        <is>
          <t>12020006111028030</t>
        </is>
      </c>
      <c r="B535" s="51" t="inlineStr">
        <is>
          <t>111432</t>
        </is>
      </c>
      <c r="C535" s="156" t="inlineStr">
        <is>
          <t>Multimarca</t>
        </is>
      </c>
      <c r="D535" s="156" t="inlineStr">
        <is>
          <t>12-020-BS006-11-1028</t>
        </is>
      </c>
      <c r="E535" s="156" t="inlineStr">
        <is>
          <t>12-020-BS006-11-1028-030</t>
        </is>
      </c>
      <c r="F535" s="156" t="inlineStr">
        <is>
          <t>30</t>
        </is>
      </c>
      <c r="G535" s="156" t="inlineStr">
        <is>
          <t>12</t>
        </is>
      </c>
      <c r="H535" s="156" t="inlineStr">
        <is>
          <t>Stetson</t>
        </is>
      </c>
      <c r="I535" s="156" t="inlineStr">
        <is>
          <t>Bota Piel Cognac</t>
        </is>
      </c>
      <c r="J535" s="156" t="inlineStr">
        <is>
          <t>Calzado</t>
        </is>
      </c>
      <c r="K535" s="156" t="inlineStr">
        <is>
          <t>Botas</t>
        </is>
      </c>
      <c r="L535" s="156" t="inlineStr">
        <is>
          <t>Hombre</t>
        </is>
      </c>
      <c r="M535" s="156" t="inlineStr">
        <is>
          <t>Stetson</t>
        </is>
      </c>
      <c r="N535" s="156" t="inlineStr">
        <is>
          <t>SS26</t>
        </is>
      </c>
      <c r="O535" s="156" t="inlineStr">
        <is>
          <t>Seasonal</t>
        </is>
      </c>
      <c r="P535" s="156" t="inlineStr">
        <is>
          <t>Cafe</t>
        </is>
      </c>
      <c r="Q535" s="156" t="n"/>
      <c r="R535" s="156" t="inlineStr">
        <is>
          <t>Punta Cuadrada Ancha</t>
        </is>
      </c>
      <c r="S535" s="156" t="inlineStr">
        <is>
          <t>Piel bovina</t>
        </is>
      </c>
      <c r="T535" s="156" t="inlineStr">
        <is>
          <t>Bota Caballero Piel bovina Lady Hawk Cognac Punta Cuadrada Ancha</t>
        </is>
      </c>
      <c r="U535" s="156" t="inlineStr">
        <is>
          <t>México</t>
        </is>
      </c>
      <c r="V535" s="156" t="inlineStr">
        <is>
          <t>PRS</t>
        </is>
      </c>
      <c r="W535" s="51" t="inlineStr">
        <is>
          <t>53111501</t>
        </is>
      </c>
      <c r="X535" s="156" t="n"/>
      <c r="Y535" s="54" t="n">
        <v>769.11</v>
      </c>
      <c r="Z535" s="54" t="n">
        <v>4396.551724</v>
      </c>
      <c r="AA535" s="55">
        <f>IF(AND(A535="", B535="", E535=""), "", IF(AB535="", "Válido", IF((LEN(AB535)-LEN(SUBSTITUTE(AB535,"; ","")))/2+1&gt;(LEN(AB535)-LEN(SUBSTITUTE(AB535,"[Aviso]","")))/7, "Con Incidencias", "Válido")))</f>
        <v/>
      </c>
      <c r="AB535" s="56">
        <f>IF(AND(A535="", B535="", E535=""), "", TEXTJOIN("; ", TRUE, IF(OR(TRIM(A535&amp;"")="", ISNUMBER(SEARCH("FALTA", A535))), "UPC faltante/inválido", ""), IF(AND(A535&lt;&gt;"", IFERROR(_xlfn.XMATCH(A535,$A$2:$A$2509,0,1)&lt;&gt;_xlfn.XMATCH(A535,$A$2:$A$2509,0,-1),FALSE)), "Código de barras duplicado", ""), IF(AND(E535&lt;&gt;"", COUNTIF($E$2:$E$2509, E535)&gt;1), "SKU duplicado", ""), IF(OR(J535="", J535=""), "[Aviso] División no capturada ()", IF(ISNA(MATCH(J535, Criterios!$A$123:$A$126, 0)), "División no válida", "")), IF(OR(K535="", K535=""), "[Aviso] Categoría no capturada ()", IF(ISNA(MATCH(K535, Criterios!$A$81:$A$120, 0)), "Categoría no válida", IF(AND(J535&lt;&gt;"", J535&lt;&gt;"", J535&lt;&gt;VLOOKUP(K535, Criterios!$A$81:$B$120, 2, FALSE)), "División no coincide con Categoría", ""))), IF(OR(L535="", L535=""), "[Aviso] Género no capturado ()", IF(ISNA(MATCH(L535, Criterios!$B$123:$B$127, 0)), "Género no válido", "")), IF(OR(N535="", N535=""), "[Aviso] Temporada no capturada ()", IF(ISNA(MATCH(N535, Criterios!$C$123:$C$128, 0)), "Temporada no válida", "")), IF(OR(O535="", O535=""), "[Aviso] Ciclo de vida no capturado ()", IF(ISNA(MATCH(O535, Criterios!$D$123:$D$124, 0)), "Ciclo de vida no válido", ""))))</f>
        <v/>
      </c>
      <c r="AC535" s="56" t="n"/>
      <c r="AD535" s="51" t="n">
        <v>0</v>
      </c>
      <c r="AE535" s="156" t="n"/>
      <c r="AF535" s="51" t="n">
        <v>0</v>
      </c>
      <c r="AG535" s="156" t="inlineStr">
        <is>
          <t>Catálogo existente</t>
        </is>
      </c>
      <c r="AH535"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5" s="156" t="inlineStr">
        <is>
          <t>No</t>
        </is>
      </c>
      <c r="AJ535" s="156" t="n"/>
      <c r="AK535" s="155" t="inlineStr">
        <is>
          <t>Criterios: I [Q]; G1522_Extraccion_Articulos_NetSuite_2026-09-30.xlsx: fila 59107 [R] | Shopify Stetson: producto 15054564688235 / variante 53350556467563</t>
        </is>
      </c>
      <c r="AL535" s="58" t="n">
        <v>769.11</v>
      </c>
      <c r="AM535" s="58" t="n">
        <v>4396.551724</v>
      </c>
      <c r="AN535" s="155" t="inlineStr">
        <is>
          <t>Shopify Stetson México</t>
        </is>
      </c>
      <c r="AO535" s="59" t="n">
        <v>0</v>
      </c>
      <c r="AP535" s="59" t="n"/>
      <c r="AQ535" s="59" t="n"/>
      <c r="AR535" s="155" t="n"/>
    </row>
    <row r="536">
      <c r="A536" s="50" t="inlineStr">
        <is>
          <t>12020006111028031</t>
        </is>
      </c>
      <c r="B536" s="51" t="inlineStr">
        <is>
          <t>111433</t>
        </is>
      </c>
      <c r="C536" s="156" t="inlineStr">
        <is>
          <t>Multimarca</t>
        </is>
      </c>
      <c r="D536" s="156" t="inlineStr">
        <is>
          <t>12-020-BS006-11-1028</t>
        </is>
      </c>
      <c r="E536" s="156" t="inlineStr">
        <is>
          <t>12-020-BS006-11-1028-031</t>
        </is>
      </c>
      <c r="F536" s="156" t="inlineStr">
        <is>
          <t>31</t>
        </is>
      </c>
      <c r="G536" s="156" t="inlineStr">
        <is>
          <t>13</t>
        </is>
      </c>
      <c r="H536" s="156" t="inlineStr">
        <is>
          <t>Stetson</t>
        </is>
      </c>
      <c r="I536" s="156" t="inlineStr">
        <is>
          <t>Bota Piel Cognac</t>
        </is>
      </c>
      <c r="J536" s="156" t="inlineStr">
        <is>
          <t>Calzado</t>
        </is>
      </c>
      <c r="K536" s="156" t="inlineStr">
        <is>
          <t>Botas</t>
        </is>
      </c>
      <c r="L536" s="156" t="inlineStr">
        <is>
          <t>Hombre</t>
        </is>
      </c>
      <c r="M536" s="156" t="inlineStr">
        <is>
          <t>Stetson</t>
        </is>
      </c>
      <c r="N536" s="156" t="inlineStr">
        <is>
          <t>SS26</t>
        </is>
      </c>
      <c r="O536" s="156" t="inlineStr">
        <is>
          <t>Seasonal</t>
        </is>
      </c>
      <c r="P536" s="156" t="inlineStr">
        <is>
          <t>Cafe</t>
        </is>
      </c>
      <c r="Q536" s="156" t="n"/>
      <c r="R536" s="156" t="inlineStr">
        <is>
          <t>Punta Cuadrada Ancha</t>
        </is>
      </c>
      <c r="S536" s="156" t="inlineStr">
        <is>
          <t>Piel bovina</t>
        </is>
      </c>
      <c r="T536" s="156" t="inlineStr">
        <is>
          <t>Bota Caballero Piel bovina Lady Hawk Cognac Punta Cuadrada Ancha</t>
        </is>
      </c>
      <c r="U536" s="156" t="inlineStr">
        <is>
          <t>México</t>
        </is>
      </c>
      <c r="V536" s="156" t="inlineStr">
        <is>
          <t>PRS</t>
        </is>
      </c>
      <c r="W536" s="51" t="inlineStr">
        <is>
          <t>53111501</t>
        </is>
      </c>
      <c r="X536" s="156" t="n"/>
      <c r="Y536" s="54" t="n">
        <v>769.11</v>
      </c>
      <c r="Z536" s="54" t="n">
        <v>4396.551724</v>
      </c>
      <c r="AA536" s="55">
        <f>IF(AND(A536="", B536="", E536=""), "", IF(AB536="", "Válido", IF((LEN(AB536)-LEN(SUBSTITUTE(AB536,"; ","")))/2+1&gt;(LEN(AB536)-LEN(SUBSTITUTE(AB536,"[Aviso]","")))/7, "Con Incidencias", "Válido")))</f>
        <v/>
      </c>
      <c r="AB536" s="56">
        <f>IF(AND(A536="", B536="", E536=""), "", TEXTJOIN("; ", TRUE, IF(OR(TRIM(A536&amp;"")="", ISNUMBER(SEARCH("FALTA", A536))), "UPC faltante/inválido", ""), IF(AND(A536&lt;&gt;"", IFERROR(_xlfn.XMATCH(A536,$A$2:$A$2509,0,1)&lt;&gt;_xlfn.XMATCH(A536,$A$2:$A$2509,0,-1),FALSE)), "Código de barras duplicado", ""), IF(AND(E536&lt;&gt;"", COUNTIF($E$2:$E$2509, E536)&gt;1), "SKU duplicado", ""), IF(OR(J536="", J536=""), "[Aviso] División no capturada ()", IF(ISNA(MATCH(J536, Criterios!$A$123:$A$126, 0)), "División no válida", "")), IF(OR(K536="", K536=""), "[Aviso] Categoría no capturada ()", IF(ISNA(MATCH(K536, Criterios!$A$81:$A$120, 0)), "Categoría no válida", IF(AND(J536&lt;&gt;"", J536&lt;&gt;"", J536&lt;&gt;VLOOKUP(K536, Criterios!$A$81:$B$120, 2, FALSE)), "División no coincide con Categoría", ""))), IF(OR(L536="", L536=""), "[Aviso] Género no capturado ()", IF(ISNA(MATCH(L536, Criterios!$B$123:$B$127, 0)), "Género no válido", "")), IF(OR(N536="", N536=""), "[Aviso] Temporada no capturada ()", IF(ISNA(MATCH(N536, Criterios!$C$123:$C$128, 0)), "Temporada no válida", "")), IF(OR(O536="", O536=""), "[Aviso] Ciclo de vida no capturado ()", IF(ISNA(MATCH(O536, Criterios!$D$123:$D$124, 0)), "Ciclo de vida no válido", ""))))</f>
        <v/>
      </c>
      <c r="AC536" s="56" t="n"/>
      <c r="AD536" s="51" t="n">
        <v>0</v>
      </c>
      <c r="AE536" s="156" t="n"/>
      <c r="AF536" s="51" t="n">
        <v>0</v>
      </c>
      <c r="AG536" s="156" t="inlineStr">
        <is>
          <t>Catálogo existente</t>
        </is>
      </c>
      <c r="AH536"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6" s="156" t="inlineStr">
        <is>
          <t>No</t>
        </is>
      </c>
      <c r="AJ536" s="156" t="n"/>
      <c r="AK536" s="155" t="inlineStr">
        <is>
          <t>Criterios: I [Q]; G1522_Extraccion_Articulos_NetSuite_2026-09-30.xlsx: fila 59108 [R] | Shopify Stetson: producto 15054564688235 / variante 53350556533099</t>
        </is>
      </c>
      <c r="AL536" s="58" t="n">
        <v>769.11</v>
      </c>
      <c r="AM536" s="58" t="n">
        <v>4396.551724</v>
      </c>
      <c r="AN536" s="155" t="inlineStr">
        <is>
          <t>Shopify Stetson México</t>
        </is>
      </c>
      <c r="AO536" s="59" t="n">
        <v>0</v>
      </c>
      <c r="AP536" s="59" t="n"/>
      <c r="AQ536" s="59" t="n"/>
      <c r="AR536" s="155" t="n"/>
    </row>
    <row r="537">
      <c r="A537" s="50" t="inlineStr">
        <is>
          <t>12020006111028032</t>
        </is>
      </c>
      <c r="B537" s="51" t="inlineStr">
        <is>
          <t>111434</t>
        </is>
      </c>
      <c r="C537" s="156" t="inlineStr">
        <is>
          <t>Multimarca</t>
        </is>
      </c>
      <c r="D537" s="156" t="inlineStr">
        <is>
          <t>12-020-BS006-11-1028</t>
        </is>
      </c>
      <c r="E537" s="156" t="inlineStr">
        <is>
          <t>12-020-BS006-11-1028-032</t>
        </is>
      </c>
      <c r="F537" s="156" t="inlineStr">
        <is>
          <t>32</t>
        </is>
      </c>
      <c r="G537" s="156" t="inlineStr">
        <is>
          <t>14</t>
        </is>
      </c>
      <c r="H537" s="156" t="inlineStr">
        <is>
          <t>Stetson</t>
        </is>
      </c>
      <c r="I537" s="156" t="inlineStr">
        <is>
          <t>Bota Piel Cognac</t>
        </is>
      </c>
      <c r="J537" s="156" t="inlineStr">
        <is>
          <t>Calzado</t>
        </is>
      </c>
      <c r="K537" s="156" t="inlineStr">
        <is>
          <t>Botas</t>
        </is>
      </c>
      <c r="L537" s="156" t="inlineStr">
        <is>
          <t>Hombre</t>
        </is>
      </c>
      <c r="M537" s="156" t="inlineStr">
        <is>
          <t>Stetson</t>
        </is>
      </c>
      <c r="N537" s="156" t="inlineStr">
        <is>
          <t>SS26</t>
        </is>
      </c>
      <c r="O537" s="156" t="inlineStr">
        <is>
          <t>Seasonal</t>
        </is>
      </c>
      <c r="P537" s="156" t="inlineStr">
        <is>
          <t>Cafe</t>
        </is>
      </c>
      <c r="Q537" s="156" t="n"/>
      <c r="R537" s="156" t="inlineStr">
        <is>
          <t>Punta Cuadrada Ancha</t>
        </is>
      </c>
      <c r="S537" s="156" t="inlineStr">
        <is>
          <t>Piel bovina</t>
        </is>
      </c>
      <c r="T537" s="156" t="inlineStr">
        <is>
          <t>Bota Caballero Piel bovina Lady Hawk Cognac Punta Cuadrada Ancha</t>
        </is>
      </c>
      <c r="U537" s="156" t="inlineStr">
        <is>
          <t>México</t>
        </is>
      </c>
      <c r="V537" s="156" t="inlineStr">
        <is>
          <t>PRS</t>
        </is>
      </c>
      <c r="W537" s="51" t="inlineStr">
        <is>
          <t>53111501</t>
        </is>
      </c>
      <c r="X537" s="156" t="n"/>
      <c r="Y537" s="54" t="n">
        <v>769.11</v>
      </c>
      <c r="Z537" s="54" t="n">
        <v>4396.551724</v>
      </c>
      <c r="AA537" s="55">
        <f>IF(AND(A537="", B537="", E537=""), "", IF(AB537="", "Válido", IF((LEN(AB537)-LEN(SUBSTITUTE(AB537,"; ","")))/2+1&gt;(LEN(AB537)-LEN(SUBSTITUTE(AB537,"[Aviso]","")))/7, "Con Incidencias", "Válido")))</f>
        <v/>
      </c>
      <c r="AB537" s="56">
        <f>IF(AND(A537="", B537="", E537=""), "", TEXTJOIN("; ", TRUE, IF(OR(TRIM(A537&amp;"")="", ISNUMBER(SEARCH("FALTA", A537))), "UPC faltante/inválido", ""), IF(AND(A537&lt;&gt;"", IFERROR(_xlfn.XMATCH(A537,$A$2:$A$2509,0,1)&lt;&gt;_xlfn.XMATCH(A537,$A$2:$A$2509,0,-1),FALSE)), "Código de barras duplicado", ""), IF(AND(E537&lt;&gt;"", COUNTIF($E$2:$E$2509, E537)&gt;1), "SKU duplicado", ""), IF(OR(J537="", J537=""), "[Aviso] División no capturada ()", IF(ISNA(MATCH(J537, Criterios!$A$123:$A$126, 0)), "División no válida", "")), IF(OR(K537="", K537=""), "[Aviso] Categoría no capturada ()", IF(ISNA(MATCH(K537, Criterios!$A$81:$A$120, 0)), "Categoría no válida", IF(AND(J537&lt;&gt;"", J537&lt;&gt;"", J537&lt;&gt;VLOOKUP(K537, Criterios!$A$81:$B$120, 2, FALSE)), "División no coincide con Categoría", ""))), IF(OR(L537="", L537=""), "[Aviso] Género no capturado ()", IF(ISNA(MATCH(L537, Criterios!$B$123:$B$127, 0)), "Género no válido", "")), IF(OR(N537="", N537=""), "[Aviso] Temporada no capturada ()", IF(ISNA(MATCH(N537, Criterios!$C$123:$C$128, 0)), "Temporada no válida", "")), IF(OR(O537="", O537=""), "[Aviso] Ciclo de vida no capturado ()", IF(ISNA(MATCH(O537, Criterios!$D$123:$D$124, 0)), "Ciclo de vida no válido", ""))))</f>
        <v/>
      </c>
      <c r="AC537" s="56" t="n"/>
      <c r="AD537" s="51" t="n">
        <v>0</v>
      </c>
      <c r="AE537" s="156" t="n"/>
      <c r="AF537" s="51" t="n">
        <v>0</v>
      </c>
      <c r="AG537" s="156" t="inlineStr">
        <is>
          <t>Catálogo existente</t>
        </is>
      </c>
      <c r="AH537"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7" s="156" t="inlineStr">
        <is>
          <t>No</t>
        </is>
      </c>
      <c r="AJ537" s="156" t="n"/>
      <c r="AK537" s="155" t="inlineStr">
        <is>
          <t>Criterios: I [Q]; G1522_Extraccion_Articulos_NetSuite_2026-09-30.xlsx: fila 59109 [R] | Shopify Stetson: producto 15054564688235 / variante 53350556598635</t>
        </is>
      </c>
      <c r="AL537" s="58" t="n">
        <v>769.11</v>
      </c>
      <c r="AM537" s="58" t="n">
        <v>4396.551724</v>
      </c>
      <c r="AN537" s="155" t="inlineStr">
        <is>
          <t>Shopify Stetson México</t>
        </is>
      </c>
      <c r="AO537" s="59" t="n">
        <v>0</v>
      </c>
      <c r="AP537" s="59" t="n"/>
      <c r="AQ537" s="59" t="n"/>
      <c r="AR537" s="155" t="n"/>
    </row>
    <row r="538">
      <c r="A538" s="50" t="inlineStr">
        <is>
          <t>12020006111028255</t>
        </is>
      </c>
      <c r="B538" s="51" t="inlineStr">
        <is>
          <t>111435</t>
        </is>
      </c>
      <c r="C538" s="156" t="inlineStr">
        <is>
          <t>Multimarca</t>
        </is>
      </c>
      <c r="D538" s="156" t="inlineStr">
        <is>
          <t>12-020-BS006-11-1028</t>
        </is>
      </c>
      <c r="E538" s="156" t="inlineStr">
        <is>
          <t>12-020-BS006-11-1028-255</t>
        </is>
      </c>
      <c r="F538" s="156" t="inlineStr">
        <is>
          <t>25.5</t>
        </is>
      </c>
      <c r="G538" s="156" t="inlineStr">
        <is>
          <t>7.5</t>
        </is>
      </c>
      <c r="H538" s="156" t="inlineStr">
        <is>
          <t>Stetson</t>
        </is>
      </c>
      <c r="I538" s="156" t="inlineStr">
        <is>
          <t>Bota Piel Cognac</t>
        </is>
      </c>
      <c r="J538" s="156" t="inlineStr">
        <is>
          <t>Calzado</t>
        </is>
      </c>
      <c r="K538" s="156" t="inlineStr">
        <is>
          <t>Botas</t>
        </is>
      </c>
      <c r="L538" s="156" t="inlineStr">
        <is>
          <t>Hombre</t>
        </is>
      </c>
      <c r="M538" s="156" t="inlineStr">
        <is>
          <t>Stetson</t>
        </is>
      </c>
      <c r="N538" s="156" t="inlineStr">
        <is>
          <t>SS26</t>
        </is>
      </c>
      <c r="O538" s="156" t="inlineStr">
        <is>
          <t>Seasonal</t>
        </is>
      </c>
      <c r="P538" s="156" t="inlineStr">
        <is>
          <t>Cafe</t>
        </is>
      </c>
      <c r="Q538" s="156" t="n"/>
      <c r="R538" s="156" t="inlineStr">
        <is>
          <t>Punta Cuadrada Ancha</t>
        </is>
      </c>
      <c r="S538" s="156" t="inlineStr">
        <is>
          <t>Piel bovina</t>
        </is>
      </c>
      <c r="T538" s="156" t="inlineStr">
        <is>
          <t>Bota Caballero Piel bovina Lady Hawk Cognac Punta Cuadrada Ancha</t>
        </is>
      </c>
      <c r="U538" s="156" t="inlineStr">
        <is>
          <t>México</t>
        </is>
      </c>
      <c r="V538" s="156" t="inlineStr">
        <is>
          <t>PRS</t>
        </is>
      </c>
      <c r="W538" s="51" t="inlineStr">
        <is>
          <t>53111501</t>
        </is>
      </c>
      <c r="X538" s="156" t="n"/>
      <c r="Y538" s="54" t="n">
        <v>769.11</v>
      </c>
      <c r="Z538" s="54" t="n">
        <v>4396.551724</v>
      </c>
      <c r="AA538" s="55">
        <f>IF(AND(A538="", B538="", E538=""), "", IF(AB538="", "Válido", IF((LEN(AB538)-LEN(SUBSTITUTE(AB538,"; ","")))/2+1&gt;(LEN(AB538)-LEN(SUBSTITUTE(AB538,"[Aviso]","")))/7, "Con Incidencias", "Válido")))</f>
        <v/>
      </c>
      <c r="AB538" s="56">
        <f>IF(AND(A538="", B538="", E538=""), "", TEXTJOIN("; ", TRUE, IF(OR(TRIM(A538&amp;"")="", ISNUMBER(SEARCH("FALTA", A538))), "UPC faltante/inválido", ""), IF(AND(A538&lt;&gt;"", IFERROR(_xlfn.XMATCH(A538,$A$2:$A$2509,0,1)&lt;&gt;_xlfn.XMATCH(A538,$A$2:$A$2509,0,-1),FALSE)), "Código de barras duplicado", ""), IF(AND(E538&lt;&gt;"", COUNTIF($E$2:$E$2509, E538)&gt;1), "SKU duplicado", ""), IF(OR(J538="", J538=""), "[Aviso] División no capturada ()", IF(ISNA(MATCH(J538, Criterios!$A$123:$A$126, 0)), "División no válida", "")), IF(OR(K538="", K538=""), "[Aviso] Categoría no capturada ()", IF(ISNA(MATCH(K538, Criterios!$A$81:$A$120, 0)), "Categoría no válida", IF(AND(J538&lt;&gt;"", J538&lt;&gt;"", J538&lt;&gt;VLOOKUP(K538, Criterios!$A$81:$B$120, 2, FALSE)), "División no coincide con Categoría", ""))), IF(OR(L538="", L538=""), "[Aviso] Género no capturado ()", IF(ISNA(MATCH(L538, Criterios!$B$123:$B$127, 0)), "Género no válido", "")), IF(OR(N538="", N538=""), "[Aviso] Temporada no capturada ()", IF(ISNA(MATCH(N538, Criterios!$C$123:$C$128, 0)), "Temporada no válida", "")), IF(OR(O538="", O538=""), "[Aviso] Ciclo de vida no capturado ()", IF(ISNA(MATCH(O538, Criterios!$D$123:$D$124, 0)), "Ciclo de vida no válido", ""))))</f>
        <v/>
      </c>
      <c r="AC538" s="56" t="n"/>
      <c r="AD538" s="51" t="n">
        <v>0</v>
      </c>
      <c r="AE538" s="156" t="n"/>
      <c r="AF538" s="51" t="n">
        <v>0</v>
      </c>
      <c r="AG538" s="156" t="inlineStr">
        <is>
          <t>Catálogo existente</t>
        </is>
      </c>
      <c r="AH538"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8" s="156" t="inlineStr">
        <is>
          <t>No</t>
        </is>
      </c>
      <c r="AJ538" s="156" t="n"/>
      <c r="AK538" s="155" t="inlineStr">
        <is>
          <t>Criterios: I [Q]; G1522_Extraccion_Articulos_NetSuite_2026-09-30.xlsx: fila 59110 [R] | Shopify Stetson: producto 15054564688235 / variante 53350556172651</t>
        </is>
      </c>
      <c r="AL538" s="58" t="n">
        <v>769.11</v>
      </c>
      <c r="AM538" s="58" t="n">
        <v>4396.551724</v>
      </c>
      <c r="AN538" s="155" t="inlineStr">
        <is>
          <t>Shopify Stetson México</t>
        </is>
      </c>
      <c r="AO538" s="59" t="n">
        <v>0</v>
      </c>
      <c r="AP538" s="59" t="n"/>
      <c r="AQ538" s="59" t="n"/>
      <c r="AR538" s="155" t="n"/>
    </row>
    <row r="539">
      <c r="A539" s="50" t="inlineStr">
        <is>
          <t>12020006111028265</t>
        </is>
      </c>
      <c r="B539" s="51" t="inlineStr">
        <is>
          <t>111436</t>
        </is>
      </c>
      <c r="C539" s="156" t="inlineStr">
        <is>
          <t>Multimarca</t>
        </is>
      </c>
      <c r="D539" s="156" t="inlineStr">
        <is>
          <t>12-020-BS006-11-1028</t>
        </is>
      </c>
      <c r="E539" s="156" t="inlineStr">
        <is>
          <t>12-020-BS006-11-1028-265</t>
        </is>
      </c>
      <c r="F539" s="156" t="inlineStr">
        <is>
          <t>26.5</t>
        </is>
      </c>
      <c r="G539" s="156" t="inlineStr">
        <is>
          <t>8.5</t>
        </is>
      </c>
      <c r="H539" s="156" t="inlineStr">
        <is>
          <t>Stetson</t>
        </is>
      </c>
      <c r="I539" s="156" t="inlineStr">
        <is>
          <t>Bota Piel Cognac</t>
        </is>
      </c>
      <c r="J539" s="156" t="inlineStr">
        <is>
          <t>Calzado</t>
        </is>
      </c>
      <c r="K539" s="156" t="inlineStr">
        <is>
          <t>Botas</t>
        </is>
      </c>
      <c r="L539" s="156" t="inlineStr">
        <is>
          <t>Hombre</t>
        </is>
      </c>
      <c r="M539" s="156" t="inlineStr">
        <is>
          <t>Stetson</t>
        </is>
      </c>
      <c r="N539" s="156" t="inlineStr">
        <is>
          <t>SS26</t>
        </is>
      </c>
      <c r="O539" s="156" t="inlineStr">
        <is>
          <t>Seasonal</t>
        </is>
      </c>
      <c r="P539" s="156" t="inlineStr">
        <is>
          <t>Cafe</t>
        </is>
      </c>
      <c r="Q539" s="156" t="n"/>
      <c r="R539" s="156" t="inlineStr">
        <is>
          <t>Punta Cuadrada Ancha</t>
        </is>
      </c>
      <c r="S539" s="156" t="inlineStr">
        <is>
          <t>Piel bovina</t>
        </is>
      </c>
      <c r="T539" s="156" t="inlineStr">
        <is>
          <t>Bota Caballero Piel bovina Lady Hawk Cognac Punta Cuadrada Ancha</t>
        </is>
      </c>
      <c r="U539" s="156" t="inlineStr">
        <is>
          <t>México</t>
        </is>
      </c>
      <c r="V539" s="156" t="inlineStr">
        <is>
          <t>PRS</t>
        </is>
      </c>
      <c r="W539" s="51" t="inlineStr">
        <is>
          <t>53111501</t>
        </is>
      </c>
      <c r="X539" s="156" t="n"/>
      <c r="Y539" s="54" t="n">
        <v>769.11</v>
      </c>
      <c r="Z539" s="54" t="n">
        <v>4396.551724</v>
      </c>
      <c r="AA539" s="55">
        <f>IF(AND(A539="", B539="", E539=""), "", IF(AB539="", "Válido", IF((LEN(AB539)-LEN(SUBSTITUTE(AB539,"; ","")))/2+1&gt;(LEN(AB539)-LEN(SUBSTITUTE(AB539,"[Aviso]","")))/7, "Con Incidencias", "Válido")))</f>
        <v/>
      </c>
      <c r="AB539" s="56">
        <f>IF(AND(A539="", B539="", E539=""), "", TEXTJOIN("; ", TRUE, IF(OR(TRIM(A539&amp;"")="", ISNUMBER(SEARCH("FALTA", A539))), "UPC faltante/inválido", ""), IF(AND(A539&lt;&gt;"", IFERROR(_xlfn.XMATCH(A539,$A$2:$A$2509,0,1)&lt;&gt;_xlfn.XMATCH(A539,$A$2:$A$2509,0,-1),FALSE)), "Código de barras duplicado", ""), IF(AND(E539&lt;&gt;"", COUNTIF($E$2:$E$2509, E539)&gt;1), "SKU duplicado", ""), IF(OR(J539="", J539=""), "[Aviso] División no capturada ()", IF(ISNA(MATCH(J539, Criterios!$A$123:$A$126, 0)), "División no válida", "")), IF(OR(K539="", K539=""), "[Aviso] Categoría no capturada ()", IF(ISNA(MATCH(K539, Criterios!$A$81:$A$120, 0)), "Categoría no válida", IF(AND(J539&lt;&gt;"", J539&lt;&gt;"", J539&lt;&gt;VLOOKUP(K539, Criterios!$A$81:$B$120, 2, FALSE)), "División no coincide con Categoría", ""))), IF(OR(L539="", L539=""), "[Aviso] Género no capturado ()", IF(ISNA(MATCH(L539, Criterios!$B$123:$B$127, 0)), "Género no válido", "")), IF(OR(N539="", N539=""), "[Aviso] Temporada no capturada ()", IF(ISNA(MATCH(N539, Criterios!$C$123:$C$128, 0)), "Temporada no válida", "")), IF(OR(O539="", O539=""), "[Aviso] Ciclo de vida no capturado ()", IF(ISNA(MATCH(O539, Criterios!$D$123:$D$124, 0)), "Ciclo de vida no válido", ""))))</f>
        <v/>
      </c>
      <c r="AC539" s="56" t="n"/>
      <c r="AD539" s="51" t="n">
        <v>-1</v>
      </c>
      <c r="AE539" s="156" t="n"/>
      <c r="AF539" s="51" t="n">
        <v>0</v>
      </c>
      <c r="AG539" s="156" t="inlineStr">
        <is>
          <t>Catálogo existente</t>
        </is>
      </c>
      <c r="AH539"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9" s="156" t="inlineStr">
        <is>
          <t>Sí</t>
        </is>
      </c>
      <c r="AJ539" s="156" t="inlineStr">
        <is>
          <t>STETSON AMERICAS (-1)</t>
        </is>
      </c>
      <c r="AK539" s="155" t="inlineStr">
        <is>
          <t>Criterios: I [Q]; G1522_Extraccion_Articulos_NetSuite_2026-09-30.xlsx: fila 59111 [R] | Shopify Stetson: producto 15054564688235 / variante 53350556238187</t>
        </is>
      </c>
      <c r="AL539" s="58" t="n">
        <v>769.11</v>
      </c>
      <c r="AM539" s="58" t="n">
        <v>4396.551724</v>
      </c>
      <c r="AN539" s="155" t="inlineStr">
        <is>
          <t>Shopify Stetson México</t>
        </is>
      </c>
      <c r="AO539" s="59" t="n">
        <v>0</v>
      </c>
      <c r="AP539" s="59" t="n"/>
      <c r="AQ539" s="59" t="n"/>
      <c r="AR539" s="155" t="n"/>
    </row>
    <row r="540">
      <c r="A540" s="50" t="inlineStr">
        <is>
          <t>12020006111028275</t>
        </is>
      </c>
      <c r="B540" s="51" t="inlineStr">
        <is>
          <t>111437</t>
        </is>
      </c>
      <c r="C540" s="156" t="inlineStr">
        <is>
          <t>Multimarca</t>
        </is>
      </c>
      <c r="D540" s="156" t="inlineStr">
        <is>
          <t>12-020-BS006-11-1028</t>
        </is>
      </c>
      <c r="E540" s="156" t="inlineStr">
        <is>
          <t>12-020-BS006-11-1028-275</t>
        </is>
      </c>
      <c r="F540" s="156" t="inlineStr">
        <is>
          <t>27.5</t>
        </is>
      </c>
      <c r="G540" s="156" t="inlineStr">
        <is>
          <t>9.5</t>
        </is>
      </c>
      <c r="H540" s="156" t="inlineStr">
        <is>
          <t>Stetson</t>
        </is>
      </c>
      <c r="I540" s="156" t="inlineStr">
        <is>
          <t>Bota Piel Cognac</t>
        </is>
      </c>
      <c r="J540" s="156" t="inlineStr">
        <is>
          <t>Calzado</t>
        </is>
      </c>
      <c r="K540" s="156" t="inlineStr">
        <is>
          <t>Botas</t>
        </is>
      </c>
      <c r="L540" s="156" t="inlineStr">
        <is>
          <t>Hombre</t>
        </is>
      </c>
      <c r="M540" s="156" t="inlineStr">
        <is>
          <t>Stetson</t>
        </is>
      </c>
      <c r="N540" s="156" t="inlineStr">
        <is>
          <t>SS26</t>
        </is>
      </c>
      <c r="O540" s="156" t="inlineStr">
        <is>
          <t>Seasonal</t>
        </is>
      </c>
      <c r="P540" s="156" t="inlineStr">
        <is>
          <t>Cafe</t>
        </is>
      </c>
      <c r="Q540" s="156" t="n"/>
      <c r="R540" s="156" t="inlineStr">
        <is>
          <t>Punta Cuadrada Ancha</t>
        </is>
      </c>
      <c r="S540" s="156" t="inlineStr">
        <is>
          <t>Piel bovina</t>
        </is>
      </c>
      <c r="T540" s="156" t="inlineStr">
        <is>
          <t>Bota Caballero Piel bovina Lady Hawk Cognac Punta Cuadrada Ancha</t>
        </is>
      </c>
      <c r="U540" s="156" t="inlineStr">
        <is>
          <t>México</t>
        </is>
      </c>
      <c r="V540" s="156" t="inlineStr">
        <is>
          <t>PRS</t>
        </is>
      </c>
      <c r="W540" s="51" t="inlineStr">
        <is>
          <t>53111501</t>
        </is>
      </c>
      <c r="X540" s="156" t="n"/>
      <c r="Y540" s="54" t="n">
        <v>769.11</v>
      </c>
      <c r="Z540" s="54" t="n">
        <v>4396.551724</v>
      </c>
      <c r="AA540" s="55">
        <f>IF(AND(A540="", B540="", E540=""), "", IF(AB540="", "Válido", IF((LEN(AB540)-LEN(SUBSTITUTE(AB540,"; ","")))/2+1&gt;(LEN(AB540)-LEN(SUBSTITUTE(AB540,"[Aviso]","")))/7, "Con Incidencias", "Válido")))</f>
        <v/>
      </c>
      <c r="AB540" s="56">
        <f>IF(AND(A540="", B540="", E540=""), "", TEXTJOIN("; ", TRUE, IF(OR(TRIM(A540&amp;"")="", ISNUMBER(SEARCH("FALTA", A540))), "UPC faltante/inválido", ""), IF(AND(A540&lt;&gt;"", IFERROR(_xlfn.XMATCH(A540,$A$2:$A$2509,0,1)&lt;&gt;_xlfn.XMATCH(A540,$A$2:$A$2509,0,-1),FALSE)), "Código de barras duplicado", ""), IF(AND(E540&lt;&gt;"", COUNTIF($E$2:$E$2509, E540)&gt;1), "SKU duplicado", ""), IF(OR(J540="", J540=""), "[Aviso] División no capturada ()", IF(ISNA(MATCH(J540, Criterios!$A$123:$A$126, 0)), "División no válida", "")), IF(OR(K540="", K540=""), "[Aviso] Categoría no capturada ()", IF(ISNA(MATCH(K540, Criterios!$A$81:$A$120, 0)), "Categoría no válida", IF(AND(J540&lt;&gt;"", J540&lt;&gt;"", J540&lt;&gt;VLOOKUP(K540, Criterios!$A$81:$B$120, 2, FALSE)), "División no coincide con Categoría", ""))), IF(OR(L540="", L540=""), "[Aviso] Género no capturado ()", IF(ISNA(MATCH(L540, Criterios!$B$123:$B$127, 0)), "Género no válido", "")), IF(OR(N540="", N540=""), "[Aviso] Temporada no capturada ()", IF(ISNA(MATCH(N540, Criterios!$C$123:$C$128, 0)), "Temporada no válida", "")), IF(OR(O540="", O540=""), "[Aviso] Ciclo de vida no capturado ()", IF(ISNA(MATCH(O540, Criterios!$D$123:$D$124, 0)), "Ciclo de vida no válido", ""))))</f>
        <v/>
      </c>
      <c r="AC540" s="56" t="n"/>
      <c r="AD540" s="51" t="n">
        <v>-1</v>
      </c>
      <c r="AE540" s="156" t="n"/>
      <c r="AF540" s="51" t="n">
        <v>0</v>
      </c>
      <c r="AG540" s="156" t="inlineStr">
        <is>
          <t>Catálogo existente</t>
        </is>
      </c>
      <c r="AH540"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0" s="156" t="inlineStr">
        <is>
          <t>Sí</t>
        </is>
      </c>
      <c r="AJ540" s="156" t="inlineStr">
        <is>
          <t>STETSON AMERICAS (-1)</t>
        </is>
      </c>
      <c r="AK540" s="155" t="inlineStr">
        <is>
          <t>Criterios: I [Q]; G1522_Extraccion_Articulos_NetSuite_2026-09-30.xlsx: fila 59112 [R] | Shopify Stetson: producto 15054564688235 / variante 53350556303723</t>
        </is>
      </c>
      <c r="AL540" s="58" t="n">
        <v>769.11</v>
      </c>
      <c r="AM540" s="58" t="n">
        <v>4396.551724</v>
      </c>
      <c r="AN540" s="155" t="inlineStr">
        <is>
          <t>Shopify Stetson México</t>
        </is>
      </c>
      <c r="AO540" s="59" t="n">
        <v>0</v>
      </c>
      <c r="AP540" s="59" t="n"/>
      <c r="AQ540" s="59" t="n"/>
      <c r="AR540" s="155" t="n"/>
    </row>
    <row r="541">
      <c r="A541" s="50" t="inlineStr">
        <is>
          <t>12020006111028285</t>
        </is>
      </c>
      <c r="B541" s="51" t="inlineStr">
        <is>
          <t>111438</t>
        </is>
      </c>
      <c r="C541" s="156" t="inlineStr">
        <is>
          <t>Multimarca</t>
        </is>
      </c>
      <c r="D541" s="156" t="inlineStr">
        <is>
          <t>12-020-BS006-11-1028</t>
        </is>
      </c>
      <c r="E541" s="156" t="inlineStr">
        <is>
          <t>12-020-BS006-11-1028-285</t>
        </is>
      </c>
      <c r="F541" s="156" t="inlineStr">
        <is>
          <t>28.5</t>
        </is>
      </c>
      <c r="G541" s="156" t="inlineStr">
        <is>
          <t>10.5</t>
        </is>
      </c>
      <c r="H541" s="156" t="inlineStr">
        <is>
          <t>Stetson</t>
        </is>
      </c>
      <c r="I541" s="156" t="inlineStr">
        <is>
          <t>Bota Piel Cognac</t>
        </is>
      </c>
      <c r="J541" s="156" t="inlineStr">
        <is>
          <t>Calzado</t>
        </is>
      </c>
      <c r="K541" s="156" t="inlineStr">
        <is>
          <t>Botas</t>
        </is>
      </c>
      <c r="L541" s="156" t="inlineStr">
        <is>
          <t>Hombre</t>
        </is>
      </c>
      <c r="M541" s="156" t="inlineStr">
        <is>
          <t>Stetson</t>
        </is>
      </c>
      <c r="N541" s="156" t="inlineStr">
        <is>
          <t>SS26</t>
        </is>
      </c>
      <c r="O541" s="156" t="inlineStr">
        <is>
          <t>Seasonal</t>
        </is>
      </c>
      <c r="P541" s="156" t="inlineStr">
        <is>
          <t>Cafe</t>
        </is>
      </c>
      <c r="Q541" s="156" t="n"/>
      <c r="R541" s="156" t="inlineStr">
        <is>
          <t>Punta Cuadrada Ancha</t>
        </is>
      </c>
      <c r="S541" s="156" t="inlineStr">
        <is>
          <t>Piel bovina</t>
        </is>
      </c>
      <c r="T541" s="156" t="inlineStr">
        <is>
          <t>Bota Caballero Piel bovina Lady Hawk Cognac Punta Cuadrada Ancha</t>
        </is>
      </c>
      <c r="U541" s="156" t="inlineStr">
        <is>
          <t>México</t>
        </is>
      </c>
      <c r="V541" s="156" t="inlineStr">
        <is>
          <t>PRS</t>
        </is>
      </c>
      <c r="W541" s="51" t="inlineStr">
        <is>
          <t>53111501</t>
        </is>
      </c>
      <c r="X541" s="156" t="n"/>
      <c r="Y541" s="54" t="n">
        <v>769.11</v>
      </c>
      <c r="Z541" s="54" t="n">
        <v>4396.551724</v>
      </c>
      <c r="AA541" s="55">
        <f>IF(AND(A541="", B541="", E541=""), "", IF(AB541="", "Válido", IF((LEN(AB541)-LEN(SUBSTITUTE(AB541,"; ","")))/2+1&gt;(LEN(AB541)-LEN(SUBSTITUTE(AB541,"[Aviso]","")))/7, "Con Incidencias", "Válido")))</f>
        <v/>
      </c>
      <c r="AB541" s="56">
        <f>IF(AND(A541="", B541="", E541=""), "", TEXTJOIN("; ", TRUE, IF(OR(TRIM(A541&amp;"")="", ISNUMBER(SEARCH("FALTA", A541))), "UPC faltante/inválido", ""), IF(AND(A541&lt;&gt;"", IFERROR(_xlfn.XMATCH(A541,$A$2:$A$2509,0,1)&lt;&gt;_xlfn.XMATCH(A541,$A$2:$A$2509,0,-1),FALSE)), "Código de barras duplicado", ""), IF(AND(E541&lt;&gt;"", COUNTIF($E$2:$E$2509, E541)&gt;1), "SKU duplicado", ""), IF(OR(J541="", J541=""), "[Aviso] División no capturada ()", IF(ISNA(MATCH(J541, Criterios!$A$123:$A$126, 0)), "División no válida", "")), IF(OR(K541="", K541=""), "[Aviso] Categoría no capturada ()", IF(ISNA(MATCH(K541, Criterios!$A$81:$A$120, 0)), "Categoría no válida", IF(AND(J541&lt;&gt;"", J541&lt;&gt;"", J541&lt;&gt;VLOOKUP(K541, Criterios!$A$81:$B$120, 2, FALSE)), "División no coincide con Categoría", ""))), IF(OR(L541="", L541=""), "[Aviso] Género no capturado ()", IF(ISNA(MATCH(L541, Criterios!$B$123:$B$127, 0)), "Género no válido", "")), IF(OR(N541="", N541=""), "[Aviso] Temporada no capturada ()", IF(ISNA(MATCH(N541, Criterios!$C$123:$C$128, 0)), "Temporada no válida", "")), IF(OR(O541="", O541=""), "[Aviso] Ciclo de vida no capturado ()", IF(ISNA(MATCH(O541, Criterios!$D$123:$D$124, 0)), "Ciclo de vida no válido", ""))))</f>
        <v/>
      </c>
      <c r="AC541" s="56" t="n"/>
      <c r="AD541" s="51" t="n">
        <v>0</v>
      </c>
      <c r="AE541" s="156" t="n"/>
      <c r="AF541" s="51" t="n">
        <v>0</v>
      </c>
      <c r="AG541" s="156" t="inlineStr">
        <is>
          <t>Catálogo existente</t>
        </is>
      </c>
      <c r="AH541"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1" s="156" t="inlineStr">
        <is>
          <t>No</t>
        </is>
      </c>
      <c r="AJ541" s="156" t="n"/>
      <c r="AK541" s="155" t="inlineStr">
        <is>
          <t>Criterios: I [Q]; G1522_Extraccion_Articulos_NetSuite_2026-09-30.xlsx: fila 59113 [R] | Shopify Stetson: producto 15054564688235 / variante 53350556369259</t>
        </is>
      </c>
      <c r="AL541" s="58" t="n">
        <v>769.11</v>
      </c>
      <c r="AM541" s="58" t="n">
        <v>4396.551724</v>
      </c>
      <c r="AN541" s="155" t="inlineStr">
        <is>
          <t>Shopify Stetson México</t>
        </is>
      </c>
      <c r="AO541" s="59" t="n">
        <v>1</v>
      </c>
      <c r="AP541" s="59" t="n"/>
      <c r="AQ541" s="59" t="n"/>
      <c r="AR541" s="155" t="inlineStr">
        <is>
          <t>Shopify Stetson México › Stetson Americas: 1</t>
        </is>
      </c>
    </row>
    <row r="542">
      <c r="A542" s="50" t="inlineStr">
        <is>
          <t>12020006111028295</t>
        </is>
      </c>
      <c r="B542" s="51" t="inlineStr">
        <is>
          <t>111439</t>
        </is>
      </c>
      <c r="C542" s="156" t="inlineStr">
        <is>
          <t>Multimarca</t>
        </is>
      </c>
      <c r="D542" s="156" t="inlineStr">
        <is>
          <t>12-020-BS006-11-1028</t>
        </is>
      </c>
      <c r="E542" s="156" t="inlineStr">
        <is>
          <t>12-020-BS006-11-1028-295</t>
        </is>
      </c>
      <c r="F542" s="156" t="inlineStr">
        <is>
          <t>29.5</t>
        </is>
      </c>
      <c r="G542" s="156" t="inlineStr">
        <is>
          <t>11.5</t>
        </is>
      </c>
      <c r="H542" s="156" t="inlineStr">
        <is>
          <t>Stetson</t>
        </is>
      </c>
      <c r="I542" s="156" t="inlineStr">
        <is>
          <t>Bota Piel Cognac</t>
        </is>
      </c>
      <c r="J542" s="156" t="inlineStr">
        <is>
          <t>Calzado</t>
        </is>
      </c>
      <c r="K542" s="156" t="inlineStr">
        <is>
          <t>Botas</t>
        </is>
      </c>
      <c r="L542" s="156" t="inlineStr">
        <is>
          <t>Hombre</t>
        </is>
      </c>
      <c r="M542" s="156" t="inlineStr">
        <is>
          <t>Stetson</t>
        </is>
      </c>
      <c r="N542" s="156" t="inlineStr">
        <is>
          <t>SS26</t>
        </is>
      </c>
      <c r="O542" s="156" t="inlineStr">
        <is>
          <t>Seasonal</t>
        </is>
      </c>
      <c r="P542" s="156" t="inlineStr">
        <is>
          <t>Cafe</t>
        </is>
      </c>
      <c r="Q542" s="156" t="n"/>
      <c r="R542" s="156" t="inlineStr">
        <is>
          <t>Punta Cuadrada Ancha</t>
        </is>
      </c>
      <c r="S542" s="156" t="inlineStr">
        <is>
          <t>Piel bovina</t>
        </is>
      </c>
      <c r="T542" s="156" t="inlineStr">
        <is>
          <t>Bota Caballero Piel bovina Lady Hawk Cognac Punta Cuadrada Ancha</t>
        </is>
      </c>
      <c r="U542" s="156" t="inlineStr">
        <is>
          <t>México</t>
        </is>
      </c>
      <c r="V542" s="156" t="inlineStr">
        <is>
          <t>PRS</t>
        </is>
      </c>
      <c r="W542" s="51" t="inlineStr">
        <is>
          <t>53111501</t>
        </is>
      </c>
      <c r="X542" s="156" t="n"/>
      <c r="Y542" s="54" t="n">
        <v>769.11</v>
      </c>
      <c r="Z542" s="54" t="n">
        <v>4396.551724</v>
      </c>
      <c r="AA542" s="55">
        <f>IF(AND(A542="", B542="", E542=""), "", IF(AB542="", "Válido", IF((LEN(AB542)-LEN(SUBSTITUTE(AB542,"; ","")))/2+1&gt;(LEN(AB542)-LEN(SUBSTITUTE(AB542,"[Aviso]","")))/7, "Con Incidencias", "Válido")))</f>
        <v/>
      </c>
      <c r="AB542" s="56">
        <f>IF(AND(A542="", B542="", E542=""), "", TEXTJOIN("; ", TRUE, IF(OR(TRIM(A542&amp;"")="", ISNUMBER(SEARCH("FALTA", A542))), "UPC faltante/inválido", ""), IF(AND(A542&lt;&gt;"", IFERROR(_xlfn.XMATCH(A542,$A$2:$A$2509,0,1)&lt;&gt;_xlfn.XMATCH(A542,$A$2:$A$2509,0,-1),FALSE)), "Código de barras duplicado", ""), IF(AND(E542&lt;&gt;"", COUNTIF($E$2:$E$2509, E542)&gt;1), "SKU duplicado", ""), IF(OR(J542="", J542=""), "[Aviso] División no capturada ()", IF(ISNA(MATCH(J542, Criterios!$A$123:$A$126, 0)), "División no válida", "")), IF(OR(K542="", K542=""), "[Aviso] Categoría no capturada ()", IF(ISNA(MATCH(K542, Criterios!$A$81:$A$120, 0)), "Categoría no válida", IF(AND(J542&lt;&gt;"", J542&lt;&gt;"", J542&lt;&gt;VLOOKUP(K542, Criterios!$A$81:$B$120, 2, FALSE)), "División no coincide con Categoría", ""))), IF(OR(L542="", L542=""), "[Aviso] Género no capturado ()", IF(ISNA(MATCH(L542, Criterios!$B$123:$B$127, 0)), "Género no válido", "")), IF(OR(N542="", N542=""), "[Aviso] Temporada no capturada ()", IF(ISNA(MATCH(N542, Criterios!$C$123:$C$128, 0)), "Temporada no válida", "")), IF(OR(O542="", O542=""), "[Aviso] Ciclo de vida no capturado ()", IF(ISNA(MATCH(O542, Criterios!$D$123:$D$124, 0)), "Ciclo de vida no válido", ""))))</f>
        <v/>
      </c>
      <c r="AC542" s="56" t="n"/>
      <c r="AD542" s="51" t="n">
        <v>0</v>
      </c>
      <c r="AE542" s="156" t="n"/>
      <c r="AF542" s="51" t="n">
        <v>0</v>
      </c>
      <c r="AG542" s="156" t="inlineStr">
        <is>
          <t>Catálogo existente</t>
        </is>
      </c>
      <c r="AH542"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2" s="156" t="inlineStr">
        <is>
          <t>No</t>
        </is>
      </c>
      <c r="AJ542" s="156" t="n"/>
      <c r="AK542" s="155" t="inlineStr">
        <is>
          <t>Criterios: I [Q]; G1522_Extraccion_Articulos_NetSuite_2026-09-30.xlsx: fila 59114 [R] | Shopify Stetson: producto 15054564688235 / variante 53350556434795</t>
        </is>
      </c>
      <c r="AL542" s="58" t="n">
        <v>769.11</v>
      </c>
      <c r="AM542" s="58" t="n">
        <v>4396.551724</v>
      </c>
      <c r="AN542" s="155" t="inlineStr">
        <is>
          <t>Shopify Stetson México</t>
        </is>
      </c>
      <c r="AO542" s="59" t="n">
        <v>1</v>
      </c>
      <c r="AP542" s="59" t="n"/>
      <c r="AQ542" s="59" t="n"/>
      <c r="AR542" s="155" t="inlineStr">
        <is>
          <t>Shopify Stetson México › Stetson Americas: 1</t>
        </is>
      </c>
    </row>
    <row r="543">
      <c r="A543" s="50" t="inlineStr">
        <is>
          <t>12020006111028305</t>
        </is>
      </c>
      <c r="B543" s="51" t="inlineStr">
        <is>
          <t>111440</t>
        </is>
      </c>
      <c r="C543" s="156" t="inlineStr">
        <is>
          <t>Multimarca</t>
        </is>
      </c>
      <c r="D543" s="156" t="inlineStr">
        <is>
          <t>12-020-BS006-11-1028</t>
        </is>
      </c>
      <c r="E543" s="156" t="inlineStr">
        <is>
          <t>12-020-BS006-11-1028-305</t>
        </is>
      </c>
      <c r="F543" s="156" t="inlineStr">
        <is>
          <t>30.5</t>
        </is>
      </c>
      <c r="G543" s="156" t="inlineStr">
        <is>
          <t>12.5</t>
        </is>
      </c>
      <c r="H543" s="156" t="inlineStr">
        <is>
          <t>Stetson</t>
        </is>
      </c>
      <c r="I543" s="156" t="inlineStr">
        <is>
          <t>Bota Piel Cognac</t>
        </is>
      </c>
      <c r="J543" s="156" t="inlineStr">
        <is>
          <t>Calzado</t>
        </is>
      </c>
      <c r="K543" s="156" t="inlineStr">
        <is>
          <t>Botas</t>
        </is>
      </c>
      <c r="L543" s="156" t="inlineStr">
        <is>
          <t>Hombre</t>
        </is>
      </c>
      <c r="M543" s="156" t="inlineStr">
        <is>
          <t>Stetson</t>
        </is>
      </c>
      <c r="N543" s="156" t="inlineStr">
        <is>
          <t>SS26</t>
        </is>
      </c>
      <c r="O543" s="156" t="inlineStr">
        <is>
          <t>Seasonal</t>
        </is>
      </c>
      <c r="P543" s="156" t="inlineStr">
        <is>
          <t>Cafe</t>
        </is>
      </c>
      <c r="Q543" s="156" t="n"/>
      <c r="R543" s="156" t="inlineStr">
        <is>
          <t>Punta Cuadrada Ancha</t>
        </is>
      </c>
      <c r="S543" s="156" t="inlineStr">
        <is>
          <t>Piel bovina</t>
        </is>
      </c>
      <c r="T543" s="156" t="inlineStr">
        <is>
          <t>Bota Caballero Piel bovina Lady Hawk Cognac Punta Cuadrada Ancha</t>
        </is>
      </c>
      <c r="U543" s="156" t="inlineStr">
        <is>
          <t>México</t>
        </is>
      </c>
      <c r="V543" s="156" t="inlineStr">
        <is>
          <t>PRS</t>
        </is>
      </c>
      <c r="W543" s="51" t="inlineStr">
        <is>
          <t>53111501</t>
        </is>
      </c>
      <c r="X543" s="156" t="n"/>
      <c r="Y543" s="54" t="n">
        <v>769.11</v>
      </c>
      <c r="Z543" s="54" t="n">
        <v>4396.551724</v>
      </c>
      <c r="AA543" s="55">
        <f>IF(AND(A543="", B543="", E543=""), "", IF(AB543="", "Válido", IF((LEN(AB543)-LEN(SUBSTITUTE(AB543,"; ","")))/2+1&gt;(LEN(AB543)-LEN(SUBSTITUTE(AB543,"[Aviso]","")))/7, "Con Incidencias", "Válido")))</f>
        <v/>
      </c>
      <c r="AB543" s="56">
        <f>IF(AND(A543="", B543="", E543=""), "", TEXTJOIN("; ", TRUE, IF(OR(TRIM(A543&amp;"")="", ISNUMBER(SEARCH("FALTA", A543))), "UPC faltante/inválido", ""), IF(AND(A543&lt;&gt;"", IFERROR(_xlfn.XMATCH(A543,$A$2:$A$2509,0,1)&lt;&gt;_xlfn.XMATCH(A543,$A$2:$A$2509,0,-1),FALSE)), "Código de barras duplicado", ""), IF(AND(E543&lt;&gt;"", COUNTIF($E$2:$E$2509, E543)&gt;1), "SKU duplicado", ""), IF(OR(J543="", J543=""), "[Aviso] División no capturada ()", IF(ISNA(MATCH(J543, Criterios!$A$123:$A$126, 0)), "División no válida", "")), IF(OR(K543="", K543=""), "[Aviso] Categoría no capturada ()", IF(ISNA(MATCH(K543, Criterios!$A$81:$A$120, 0)), "Categoría no válida", IF(AND(J543&lt;&gt;"", J543&lt;&gt;"", J543&lt;&gt;VLOOKUP(K543, Criterios!$A$81:$B$120, 2, FALSE)), "División no coincide con Categoría", ""))), IF(OR(L543="", L543=""), "[Aviso] Género no capturado ()", IF(ISNA(MATCH(L543, Criterios!$B$123:$B$127, 0)), "Género no válido", "")), IF(OR(N543="", N543=""), "[Aviso] Temporada no capturada ()", IF(ISNA(MATCH(N543, Criterios!$C$123:$C$128, 0)), "Temporada no válida", "")), IF(OR(O543="", O543=""), "[Aviso] Ciclo de vida no capturado ()", IF(ISNA(MATCH(O543, Criterios!$D$123:$D$124, 0)), "Ciclo de vida no válido", ""))))</f>
        <v/>
      </c>
      <c r="AC543" s="56" t="n"/>
      <c r="AD543" s="51" t="n">
        <v>0</v>
      </c>
      <c r="AE543" s="156" t="n"/>
      <c r="AF543" s="51" t="n">
        <v>0</v>
      </c>
      <c r="AG543" s="156" t="inlineStr">
        <is>
          <t>Catálogo existente</t>
        </is>
      </c>
      <c r="AH543"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3" s="156" t="inlineStr">
        <is>
          <t>No</t>
        </is>
      </c>
      <c r="AJ543" s="156" t="n"/>
      <c r="AK543" s="155" t="inlineStr">
        <is>
          <t>Criterios: I [Q]; G1522_Extraccion_Articulos_NetSuite_2026-09-30.xlsx: fila 59115 [R] | Shopify Stetson: producto 15054564688235 / variante 53350556500331</t>
        </is>
      </c>
      <c r="AL543" s="58" t="n">
        <v>769.11</v>
      </c>
      <c r="AM543" s="58" t="n">
        <v>4396.551724</v>
      </c>
      <c r="AN543" s="155" t="inlineStr">
        <is>
          <t>Shopify Stetson México</t>
        </is>
      </c>
      <c r="AO543" s="59" t="n">
        <v>0</v>
      </c>
      <c r="AP543" s="59" t="n"/>
      <c r="AQ543" s="59" t="n"/>
      <c r="AR543" s="155" t="n"/>
    </row>
    <row r="544">
      <c r="A544" s="50" t="inlineStr">
        <is>
          <t>12020006111028315</t>
        </is>
      </c>
      <c r="B544" s="51" t="inlineStr">
        <is>
          <t>111441</t>
        </is>
      </c>
      <c r="C544" s="156" t="inlineStr">
        <is>
          <t>Multimarca</t>
        </is>
      </c>
      <c r="D544" s="156" t="inlineStr">
        <is>
          <t>12-020-BS006-11-1028</t>
        </is>
      </c>
      <c r="E544" s="156" t="inlineStr">
        <is>
          <t>12-020-BS006-11-1028-315</t>
        </is>
      </c>
      <c r="F544" s="156" t="inlineStr">
        <is>
          <t>31.5</t>
        </is>
      </c>
      <c r="G544" s="156" t="inlineStr">
        <is>
          <t>13.5</t>
        </is>
      </c>
      <c r="H544" s="156" t="inlineStr">
        <is>
          <t>Stetson</t>
        </is>
      </c>
      <c r="I544" s="156" t="inlineStr">
        <is>
          <t>Bota Piel Cognac</t>
        </is>
      </c>
      <c r="J544" s="156" t="inlineStr">
        <is>
          <t>Calzado</t>
        </is>
      </c>
      <c r="K544" s="156" t="inlineStr">
        <is>
          <t>Botas</t>
        </is>
      </c>
      <c r="L544" s="156" t="inlineStr">
        <is>
          <t>Hombre</t>
        </is>
      </c>
      <c r="M544" s="156" t="inlineStr">
        <is>
          <t>Stetson</t>
        </is>
      </c>
      <c r="N544" s="156" t="inlineStr">
        <is>
          <t>SS26</t>
        </is>
      </c>
      <c r="O544" s="156" t="inlineStr">
        <is>
          <t>Seasonal</t>
        </is>
      </c>
      <c r="P544" s="156" t="inlineStr">
        <is>
          <t>Cafe</t>
        </is>
      </c>
      <c r="Q544" s="156" t="n"/>
      <c r="R544" s="156" t="inlineStr">
        <is>
          <t>Punta Cuadrada Ancha</t>
        </is>
      </c>
      <c r="S544" s="156" t="inlineStr">
        <is>
          <t>Piel bovina</t>
        </is>
      </c>
      <c r="T544" s="156" t="inlineStr">
        <is>
          <t>Bota Caballero Piel bovina Lady Hawk Cognac Punta Cuadrada Ancha</t>
        </is>
      </c>
      <c r="U544" s="156" t="inlineStr">
        <is>
          <t>México</t>
        </is>
      </c>
      <c r="V544" s="156" t="inlineStr">
        <is>
          <t>PRS</t>
        </is>
      </c>
      <c r="W544" s="51" t="inlineStr">
        <is>
          <t>53111501</t>
        </is>
      </c>
      <c r="X544" s="156" t="n"/>
      <c r="Y544" s="54" t="n">
        <v>769.11</v>
      </c>
      <c r="Z544" s="54" t="n">
        <v>4396.551724</v>
      </c>
      <c r="AA544" s="55">
        <f>IF(AND(A544="", B544="", E544=""), "", IF(AB544="", "Válido", IF((LEN(AB544)-LEN(SUBSTITUTE(AB544,"; ","")))/2+1&gt;(LEN(AB544)-LEN(SUBSTITUTE(AB544,"[Aviso]","")))/7, "Con Incidencias", "Válido")))</f>
        <v/>
      </c>
      <c r="AB544" s="56">
        <f>IF(AND(A544="", B544="", E544=""), "", TEXTJOIN("; ", TRUE, IF(OR(TRIM(A544&amp;"")="", ISNUMBER(SEARCH("FALTA", A544))), "UPC faltante/inválido", ""), IF(AND(A544&lt;&gt;"", IFERROR(_xlfn.XMATCH(A544,$A$2:$A$2509,0,1)&lt;&gt;_xlfn.XMATCH(A544,$A$2:$A$2509,0,-1),FALSE)), "Código de barras duplicado", ""), IF(AND(E544&lt;&gt;"", COUNTIF($E$2:$E$2509, E544)&gt;1), "SKU duplicado", ""), IF(OR(J544="", J544=""), "[Aviso] División no capturada ()", IF(ISNA(MATCH(J544, Criterios!$A$123:$A$126, 0)), "División no válida", "")), IF(OR(K544="", K544=""), "[Aviso] Categoría no capturada ()", IF(ISNA(MATCH(K544, Criterios!$A$81:$A$120, 0)), "Categoría no válida", IF(AND(J544&lt;&gt;"", J544&lt;&gt;"", J544&lt;&gt;VLOOKUP(K544, Criterios!$A$81:$B$120, 2, FALSE)), "División no coincide con Categoría", ""))), IF(OR(L544="", L544=""), "[Aviso] Género no capturado ()", IF(ISNA(MATCH(L544, Criterios!$B$123:$B$127, 0)), "Género no válido", "")), IF(OR(N544="", N544=""), "[Aviso] Temporada no capturada ()", IF(ISNA(MATCH(N544, Criterios!$C$123:$C$128, 0)), "Temporada no válida", "")), IF(OR(O544="", O544=""), "[Aviso] Ciclo de vida no capturado ()", IF(ISNA(MATCH(O544, Criterios!$D$123:$D$124, 0)), "Ciclo de vida no válido", ""))))</f>
        <v/>
      </c>
      <c r="AC544" s="56" t="n"/>
      <c r="AD544" s="51" t="n">
        <v>0</v>
      </c>
      <c r="AE544" s="156" t="n"/>
      <c r="AF544" s="51" t="n">
        <v>0</v>
      </c>
      <c r="AG544" s="156" t="inlineStr">
        <is>
          <t>Catálogo existente</t>
        </is>
      </c>
      <c r="AH544"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4" s="156" t="inlineStr">
        <is>
          <t>No</t>
        </is>
      </c>
      <c r="AJ544" s="156" t="n"/>
      <c r="AK544" s="155" t="inlineStr">
        <is>
          <t>Criterios: I [Q]; G1522_Extraccion_Articulos_NetSuite_2026-09-30.xlsx: fila 59116 [R] | Shopify Stetson: producto 15054564688235 / variante 53350556565867</t>
        </is>
      </c>
      <c r="AL544" s="58" t="n">
        <v>769.11</v>
      </c>
      <c r="AM544" s="58" t="n">
        <v>4396.551724</v>
      </c>
      <c r="AN544" s="155" t="inlineStr">
        <is>
          <t>Shopify Stetson México</t>
        </is>
      </c>
      <c r="AO544" s="59" t="n">
        <v>0</v>
      </c>
      <c r="AP544" s="59" t="n"/>
      <c r="AQ544" s="59" t="n"/>
      <c r="AR544" s="155" t="n"/>
    </row>
    <row r="545">
      <c r="A545" s="50" t="inlineStr">
        <is>
          <t>12020006111028325</t>
        </is>
      </c>
      <c r="B545" s="51" t="inlineStr">
        <is>
          <t>111442</t>
        </is>
      </c>
      <c r="C545" s="156" t="inlineStr">
        <is>
          <t>Multimarca</t>
        </is>
      </c>
      <c r="D545" s="156" t="inlineStr">
        <is>
          <t>12-020-BS006-11-1028</t>
        </is>
      </c>
      <c r="E545" s="156" t="inlineStr">
        <is>
          <t>12-020-BS006-11-1028-325</t>
        </is>
      </c>
      <c r="F545" s="156" t="inlineStr">
        <is>
          <t>32.5</t>
        </is>
      </c>
      <c r="G545" s="156" t="inlineStr">
        <is>
          <t>14.5</t>
        </is>
      </c>
      <c r="H545" s="156" t="inlineStr">
        <is>
          <t>Stetson</t>
        </is>
      </c>
      <c r="I545" s="156" t="inlineStr">
        <is>
          <t>Bota Piel Cognac</t>
        </is>
      </c>
      <c r="J545" s="156" t="inlineStr">
        <is>
          <t>Calzado</t>
        </is>
      </c>
      <c r="K545" s="156" t="inlineStr">
        <is>
          <t>Botas</t>
        </is>
      </c>
      <c r="L545" s="156" t="inlineStr">
        <is>
          <t>Hombre</t>
        </is>
      </c>
      <c r="M545" s="156" t="inlineStr">
        <is>
          <t>Stetson</t>
        </is>
      </c>
      <c r="N545" s="156" t="inlineStr">
        <is>
          <t>SS26</t>
        </is>
      </c>
      <c r="O545" s="156" t="inlineStr">
        <is>
          <t>Seasonal</t>
        </is>
      </c>
      <c r="P545" s="156" t="inlineStr">
        <is>
          <t>Cafe</t>
        </is>
      </c>
      <c r="Q545" s="156" t="n"/>
      <c r="R545" s="156" t="inlineStr">
        <is>
          <t>Punta Cuadrada Ancha</t>
        </is>
      </c>
      <c r="S545" s="156" t="inlineStr">
        <is>
          <t>Piel bovina</t>
        </is>
      </c>
      <c r="T545" s="156" t="inlineStr">
        <is>
          <t>Bota Caballero Piel bovina Lady Hawk Cognac Punta Cuadrada Ancha</t>
        </is>
      </c>
      <c r="U545" s="156" t="inlineStr">
        <is>
          <t>México</t>
        </is>
      </c>
      <c r="V545" s="156" t="inlineStr">
        <is>
          <t>PRS</t>
        </is>
      </c>
      <c r="W545" s="51" t="inlineStr">
        <is>
          <t>53111501</t>
        </is>
      </c>
      <c r="X545" s="156" t="n"/>
      <c r="Y545" s="54" t="n">
        <v>769.11</v>
      </c>
      <c r="Z545" s="54" t="n">
        <v>4396.551724</v>
      </c>
      <c r="AA545" s="55">
        <f>IF(AND(A545="", B545="", E545=""), "", IF(AB545="", "Válido", IF((LEN(AB545)-LEN(SUBSTITUTE(AB545,"; ","")))/2+1&gt;(LEN(AB545)-LEN(SUBSTITUTE(AB545,"[Aviso]","")))/7, "Con Incidencias", "Válido")))</f>
        <v/>
      </c>
      <c r="AB545" s="56">
        <f>IF(AND(A545="", B545="", E545=""), "", TEXTJOIN("; ", TRUE, IF(OR(TRIM(A545&amp;"")="", ISNUMBER(SEARCH("FALTA", A545))), "UPC faltante/inválido", ""), IF(AND(A545&lt;&gt;"", IFERROR(_xlfn.XMATCH(A545,$A$2:$A$2509,0,1)&lt;&gt;_xlfn.XMATCH(A545,$A$2:$A$2509,0,-1),FALSE)), "Código de barras duplicado", ""), IF(AND(E545&lt;&gt;"", COUNTIF($E$2:$E$2509, E545)&gt;1), "SKU duplicado", ""), IF(OR(J545="", J545=""), "[Aviso] División no capturada ()", IF(ISNA(MATCH(J545, Criterios!$A$123:$A$126, 0)), "División no válida", "")), IF(OR(K545="", K545=""), "[Aviso] Categoría no capturada ()", IF(ISNA(MATCH(K545, Criterios!$A$81:$A$120, 0)), "Categoría no válida", IF(AND(J545&lt;&gt;"", J545&lt;&gt;"", J545&lt;&gt;VLOOKUP(K545, Criterios!$A$81:$B$120, 2, FALSE)), "División no coincide con Categoría", ""))), IF(OR(L545="", L545=""), "[Aviso] Género no capturado ()", IF(ISNA(MATCH(L545, Criterios!$B$123:$B$127, 0)), "Género no válido", "")), IF(OR(N545="", N545=""), "[Aviso] Temporada no capturada ()", IF(ISNA(MATCH(N545, Criterios!$C$123:$C$128, 0)), "Temporada no válida", "")), IF(OR(O545="", O545=""), "[Aviso] Ciclo de vida no capturado ()", IF(ISNA(MATCH(O545, Criterios!$D$123:$D$124, 0)), "Ciclo de vida no válido", ""))))</f>
        <v/>
      </c>
      <c r="AC545" s="56" t="n"/>
      <c r="AD545" s="51" t="n">
        <v>0</v>
      </c>
      <c r="AE545" s="156" t="n"/>
      <c r="AF545" s="51" t="n">
        <v>0</v>
      </c>
      <c r="AG545" s="156" t="inlineStr">
        <is>
          <t>Catálogo existente</t>
        </is>
      </c>
      <c r="AH545"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5" s="156" t="inlineStr">
        <is>
          <t>No</t>
        </is>
      </c>
      <c r="AJ545" s="156" t="n"/>
      <c r="AK545" s="155" t="inlineStr">
        <is>
          <t>Criterios: I [Q]; G1522_Extraccion_Articulos_NetSuite_2026-09-30.xlsx: fila 59117 [R] | Shopify Stetson: producto 15054564688235 / variante 53350556631403</t>
        </is>
      </c>
      <c r="AL545" s="58" t="n">
        <v>769.11</v>
      </c>
      <c r="AM545" s="58" t="n">
        <v>4396.551724</v>
      </c>
      <c r="AN545" s="155" t="inlineStr">
        <is>
          <t>Shopify Stetson México</t>
        </is>
      </c>
      <c r="AO545" s="59" t="n">
        <v>0</v>
      </c>
      <c r="AP545" s="59" t="n"/>
      <c r="AQ545" s="59" t="n"/>
      <c r="AR545" s="155" t="n"/>
    </row>
    <row r="546">
      <c r="A546" s="50" t="inlineStr">
        <is>
          <t>12020006111029025</t>
        </is>
      </c>
      <c r="B546" s="51" t="inlineStr">
        <is>
          <t>111443</t>
        </is>
      </c>
      <c r="C546" s="156" t="inlineStr">
        <is>
          <t>Multimarca</t>
        </is>
      </c>
      <c r="D546" s="156" t="inlineStr">
        <is>
          <t>12-020-BS006-11-1029</t>
        </is>
      </c>
      <c r="E546" s="156" t="inlineStr">
        <is>
          <t>12-020-BS006-11-1029-025</t>
        </is>
      </c>
      <c r="F546" s="156" t="inlineStr">
        <is>
          <t>25</t>
        </is>
      </c>
      <c r="G546" s="156" t="inlineStr">
        <is>
          <t>7</t>
        </is>
      </c>
      <c r="H546" s="156" t="inlineStr">
        <is>
          <t>Stetson</t>
        </is>
      </c>
      <c r="I546" s="156" t="inlineStr">
        <is>
          <t>Bota Piel Chocolate</t>
        </is>
      </c>
      <c r="J546" s="156" t="inlineStr">
        <is>
          <t>Calzado</t>
        </is>
      </c>
      <c r="K546" s="156" t="inlineStr">
        <is>
          <t>Botas</t>
        </is>
      </c>
      <c r="L546" s="156" t="inlineStr">
        <is>
          <t>Hombre</t>
        </is>
      </c>
      <c r="M546" s="156" t="inlineStr">
        <is>
          <t>Stetson</t>
        </is>
      </c>
      <c r="N546" s="156" t="inlineStr">
        <is>
          <t>SS26</t>
        </is>
      </c>
      <c r="O546" s="156" t="inlineStr">
        <is>
          <t>Seasonal</t>
        </is>
      </c>
      <c r="P546" s="156" t="inlineStr">
        <is>
          <t>Cafe</t>
        </is>
      </c>
      <c r="Q546" s="156" t="n"/>
      <c r="R546" s="156" t="inlineStr">
        <is>
          <t>Punta Cuadrada Ancha</t>
        </is>
      </c>
      <c r="S546" s="156" t="inlineStr">
        <is>
          <t>Piel bovina</t>
        </is>
      </c>
      <c r="T546" s="156" t="inlineStr">
        <is>
          <t>Bota Caballero Piel bovina Grabada Chocolate Punta Cuadrada Ancha</t>
        </is>
      </c>
      <c r="U546" s="156" t="inlineStr">
        <is>
          <t>México</t>
        </is>
      </c>
      <c r="V546" s="156" t="inlineStr">
        <is>
          <t>PRS</t>
        </is>
      </c>
      <c r="W546" s="51" t="inlineStr">
        <is>
          <t>53111501</t>
        </is>
      </c>
      <c r="X546" s="156" t="n"/>
      <c r="Y546" s="54" t="n">
        <v>752.58</v>
      </c>
      <c r="Z546" s="54" t="n">
        <v>4310.344828</v>
      </c>
      <c r="AA546" s="55">
        <f>IF(AND(A546="", B546="", E546=""), "", IF(AB546="", "Válido", IF((LEN(AB546)-LEN(SUBSTITUTE(AB546,"; ","")))/2+1&gt;(LEN(AB546)-LEN(SUBSTITUTE(AB546,"[Aviso]","")))/7, "Con Incidencias", "Válido")))</f>
        <v/>
      </c>
      <c r="AB546" s="56">
        <f>IF(AND(A546="", B546="", E546=""), "", TEXTJOIN("; ", TRUE, IF(OR(TRIM(A546&amp;"")="", ISNUMBER(SEARCH("FALTA", A546))), "UPC faltante/inválido", ""), IF(AND(A546&lt;&gt;"", IFERROR(_xlfn.XMATCH(A546,$A$2:$A$2509,0,1)&lt;&gt;_xlfn.XMATCH(A546,$A$2:$A$2509,0,-1),FALSE)), "Código de barras duplicado", ""), IF(AND(E546&lt;&gt;"", COUNTIF($E$2:$E$2509, E546)&gt;1), "SKU duplicado", ""), IF(OR(J546="", J546=""), "[Aviso] División no capturada ()", IF(ISNA(MATCH(J546, Criterios!$A$123:$A$126, 0)), "División no válida", "")), IF(OR(K546="", K546=""), "[Aviso] Categoría no capturada ()", IF(ISNA(MATCH(K546, Criterios!$A$81:$A$120, 0)), "Categoría no válida", IF(AND(J546&lt;&gt;"", J546&lt;&gt;"", J546&lt;&gt;VLOOKUP(K546, Criterios!$A$81:$B$120, 2, FALSE)), "División no coincide con Categoría", ""))), IF(OR(L546="", L546=""), "[Aviso] Género no capturado ()", IF(ISNA(MATCH(L546, Criterios!$B$123:$B$127, 0)), "Género no válido", "")), IF(OR(N546="", N546=""), "[Aviso] Temporada no capturada ()", IF(ISNA(MATCH(N546, Criterios!$C$123:$C$128, 0)), "Temporada no válida", "")), IF(OR(O546="", O546=""), "[Aviso] Ciclo de vida no capturado ()", IF(ISNA(MATCH(O546, Criterios!$D$123:$D$124, 0)), "Ciclo de vida no válido", ""))))</f>
        <v/>
      </c>
      <c r="AC546" s="56" t="n"/>
      <c r="AD546" s="51" t="n">
        <v>0</v>
      </c>
      <c r="AE546" s="156" t="n"/>
      <c r="AF546" s="51" t="n">
        <v>0</v>
      </c>
      <c r="AG546" s="156" t="inlineStr">
        <is>
          <t>Catálogo existente</t>
        </is>
      </c>
      <c r="AH5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6" s="156" t="inlineStr">
        <is>
          <t>No</t>
        </is>
      </c>
      <c r="AJ546" s="156" t="n"/>
      <c r="AK546" s="155" t="inlineStr">
        <is>
          <t>Criterios: I [Q]; G1522_Extraccion_Articulos_NetSuite_2026-09-30.xlsx: fila 59118 [R] | Shopify Stetson: producto 15054564721003 / variante 53350556664171</t>
        </is>
      </c>
      <c r="AL546" s="58" t="n">
        <v>752.58</v>
      </c>
      <c r="AM546" s="58" t="n">
        <v>4310.344828</v>
      </c>
      <c r="AN546" s="155" t="inlineStr">
        <is>
          <t>Shopify Stetson México</t>
        </is>
      </c>
      <c r="AO546" s="59" t="n">
        <v>0</v>
      </c>
      <c r="AP546" s="59" t="n"/>
      <c r="AQ546" s="59" t="n"/>
      <c r="AR546" s="155" t="n"/>
    </row>
    <row r="547">
      <c r="A547" s="50" t="inlineStr">
        <is>
          <t>12020006111029026</t>
        </is>
      </c>
      <c r="B547" s="51" t="inlineStr">
        <is>
          <t>111444</t>
        </is>
      </c>
      <c r="C547" s="156" t="inlineStr">
        <is>
          <t>Multimarca</t>
        </is>
      </c>
      <c r="D547" s="156" t="inlineStr">
        <is>
          <t>12-020-BS006-11-1029</t>
        </is>
      </c>
      <c r="E547" s="156" t="inlineStr">
        <is>
          <t>12-020-BS006-11-1029-026</t>
        </is>
      </c>
      <c r="F547" s="156" t="inlineStr">
        <is>
          <t>26</t>
        </is>
      </c>
      <c r="G547" s="156" t="inlineStr">
        <is>
          <t>8</t>
        </is>
      </c>
      <c r="H547" s="156" t="inlineStr">
        <is>
          <t>Stetson</t>
        </is>
      </c>
      <c r="I547" s="156" t="inlineStr">
        <is>
          <t>Bota Piel Chocolate</t>
        </is>
      </c>
      <c r="J547" s="156" t="inlineStr">
        <is>
          <t>Calzado</t>
        </is>
      </c>
      <c r="K547" s="156" t="inlineStr">
        <is>
          <t>Botas</t>
        </is>
      </c>
      <c r="L547" s="156" t="inlineStr">
        <is>
          <t>Hombre</t>
        </is>
      </c>
      <c r="M547" s="156" t="inlineStr">
        <is>
          <t>Stetson</t>
        </is>
      </c>
      <c r="N547" s="156" t="inlineStr">
        <is>
          <t>SS26</t>
        </is>
      </c>
      <c r="O547" s="156" t="inlineStr">
        <is>
          <t>Seasonal</t>
        </is>
      </c>
      <c r="P547" s="156" t="inlineStr">
        <is>
          <t>Cafe</t>
        </is>
      </c>
      <c r="Q547" s="156" t="n"/>
      <c r="R547" s="156" t="inlineStr">
        <is>
          <t>Punta Cuadrada Ancha</t>
        </is>
      </c>
      <c r="S547" s="156" t="inlineStr">
        <is>
          <t>Piel bovina</t>
        </is>
      </c>
      <c r="T547" s="156" t="inlineStr">
        <is>
          <t>Bota Caballero Piel bovina Grabada Chocolate Punta Cuadrada Ancha</t>
        </is>
      </c>
      <c r="U547" s="156" t="inlineStr">
        <is>
          <t>México</t>
        </is>
      </c>
      <c r="V547" s="156" t="inlineStr">
        <is>
          <t>PRS</t>
        </is>
      </c>
      <c r="W547" s="51" t="inlineStr">
        <is>
          <t>53111501</t>
        </is>
      </c>
      <c r="X547" s="156" t="n"/>
      <c r="Y547" s="54" t="n">
        <v>752.58</v>
      </c>
      <c r="Z547" s="54" t="n">
        <v>4310.344828</v>
      </c>
      <c r="AA547" s="55">
        <f>IF(AND(A547="", B547="", E547=""), "", IF(AB547="", "Válido", IF((LEN(AB547)-LEN(SUBSTITUTE(AB547,"; ","")))/2+1&gt;(LEN(AB547)-LEN(SUBSTITUTE(AB547,"[Aviso]","")))/7, "Con Incidencias", "Válido")))</f>
        <v/>
      </c>
      <c r="AB547" s="56">
        <f>IF(AND(A547="", B547="", E547=""), "", TEXTJOIN("; ", TRUE, IF(OR(TRIM(A547&amp;"")="", ISNUMBER(SEARCH("FALTA", A547))), "UPC faltante/inválido", ""), IF(AND(A547&lt;&gt;"", IFERROR(_xlfn.XMATCH(A547,$A$2:$A$2509,0,1)&lt;&gt;_xlfn.XMATCH(A547,$A$2:$A$2509,0,-1),FALSE)), "Código de barras duplicado", ""), IF(AND(E547&lt;&gt;"", COUNTIF($E$2:$E$2509, E547)&gt;1), "SKU duplicado", ""), IF(OR(J547="", J547=""), "[Aviso] División no capturada ()", IF(ISNA(MATCH(J547, Criterios!$A$123:$A$126, 0)), "División no válida", "")), IF(OR(K547="", K547=""), "[Aviso] Categoría no capturada ()", IF(ISNA(MATCH(K547, Criterios!$A$81:$A$120, 0)), "Categoría no válida", IF(AND(J547&lt;&gt;"", J547&lt;&gt;"", J547&lt;&gt;VLOOKUP(K547, Criterios!$A$81:$B$120, 2, FALSE)), "División no coincide con Categoría", ""))), IF(OR(L547="", L547=""), "[Aviso] Género no capturado ()", IF(ISNA(MATCH(L547, Criterios!$B$123:$B$127, 0)), "Género no válido", "")), IF(OR(N547="", N547=""), "[Aviso] Temporada no capturada ()", IF(ISNA(MATCH(N547, Criterios!$C$123:$C$128, 0)), "Temporada no válida", "")), IF(OR(O547="", O547=""), "[Aviso] Ciclo de vida no capturado ()", IF(ISNA(MATCH(O547, Criterios!$D$123:$D$124, 0)), "Ciclo de vida no válido", ""))))</f>
        <v/>
      </c>
      <c r="AC547" s="56" t="n"/>
      <c r="AD547" s="51" t="n">
        <v>0</v>
      </c>
      <c r="AE547" s="156" t="n"/>
      <c r="AF547" s="51" t="n">
        <v>0</v>
      </c>
      <c r="AG547" s="156" t="inlineStr">
        <is>
          <t>Catálogo existente</t>
        </is>
      </c>
      <c r="AH5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7" s="156" t="inlineStr">
        <is>
          <t>No</t>
        </is>
      </c>
      <c r="AJ547" s="156" t="n"/>
      <c r="AK547" s="155" t="inlineStr">
        <is>
          <t>Criterios: I [Q]; G1522_Extraccion_Articulos_NetSuite_2026-09-30.xlsx: fila 59119 [R] | Shopify Stetson: producto 15054564721003 / variante 53350556729707</t>
        </is>
      </c>
      <c r="AL547" s="58" t="n">
        <v>752.58</v>
      </c>
      <c r="AM547" s="58" t="n">
        <v>4310.344828</v>
      </c>
      <c r="AN547" s="155" t="inlineStr">
        <is>
          <t>Shopify Stetson México</t>
        </is>
      </c>
      <c r="AO547" s="59" t="n">
        <v>0</v>
      </c>
      <c r="AP547" s="59" t="n"/>
      <c r="AQ547" s="59" t="n"/>
      <c r="AR547" s="155" t="n"/>
    </row>
    <row r="548">
      <c r="A548" s="50" t="inlineStr">
        <is>
          <t>12020006111029027</t>
        </is>
      </c>
      <c r="B548" s="51" t="inlineStr">
        <is>
          <t>111445</t>
        </is>
      </c>
      <c r="C548" s="156" t="inlineStr">
        <is>
          <t>Multimarca</t>
        </is>
      </c>
      <c r="D548" s="156" t="inlineStr">
        <is>
          <t>12-020-BS006-11-1029</t>
        </is>
      </c>
      <c r="E548" s="156" t="inlineStr">
        <is>
          <t>12-020-BS006-11-1029-027</t>
        </is>
      </c>
      <c r="F548" s="156" t="inlineStr">
        <is>
          <t>27</t>
        </is>
      </c>
      <c r="G548" s="156" t="inlineStr">
        <is>
          <t>9</t>
        </is>
      </c>
      <c r="H548" s="156" t="inlineStr">
        <is>
          <t>Stetson</t>
        </is>
      </c>
      <c r="I548" s="156" t="inlineStr">
        <is>
          <t>Bota Piel Chocolate</t>
        </is>
      </c>
      <c r="J548" s="156" t="inlineStr">
        <is>
          <t>Calzado</t>
        </is>
      </c>
      <c r="K548" s="156" t="inlineStr">
        <is>
          <t>Botas</t>
        </is>
      </c>
      <c r="L548" s="156" t="inlineStr">
        <is>
          <t>Hombre</t>
        </is>
      </c>
      <c r="M548" s="156" t="inlineStr">
        <is>
          <t>Stetson</t>
        </is>
      </c>
      <c r="N548" s="156" t="inlineStr">
        <is>
          <t>SS26</t>
        </is>
      </c>
      <c r="O548" s="156" t="inlineStr">
        <is>
          <t>Seasonal</t>
        </is>
      </c>
      <c r="P548" s="156" t="inlineStr">
        <is>
          <t>Cafe</t>
        </is>
      </c>
      <c r="Q548" s="156" t="n"/>
      <c r="R548" s="156" t="inlineStr">
        <is>
          <t>Punta Cuadrada Ancha</t>
        </is>
      </c>
      <c r="S548" s="156" t="inlineStr">
        <is>
          <t>Piel bovina</t>
        </is>
      </c>
      <c r="T548" s="156" t="inlineStr">
        <is>
          <t>Bota Caballero Piel bovina Grabada Chocolate Punta Cuadrada Ancha</t>
        </is>
      </c>
      <c r="U548" s="156" t="inlineStr">
        <is>
          <t>México</t>
        </is>
      </c>
      <c r="V548" s="156" t="inlineStr">
        <is>
          <t>PRS</t>
        </is>
      </c>
      <c r="W548" s="51" t="inlineStr">
        <is>
          <t>53111501</t>
        </is>
      </c>
      <c r="X548" s="156" t="n"/>
      <c r="Y548" s="54" t="n">
        <v>752.58</v>
      </c>
      <c r="Z548" s="54" t="n">
        <v>4310.344828</v>
      </c>
      <c r="AA548" s="55">
        <f>IF(AND(A548="", B548="", E548=""), "", IF(AB548="", "Válido", IF((LEN(AB548)-LEN(SUBSTITUTE(AB548,"; ","")))/2+1&gt;(LEN(AB548)-LEN(SUBSTITUTE(AB548,"[Aviso]","")))/7, "Con Incidencias", "Válido")))</f>
        <v/>
      </c>
      <c r="AB548" s="56">
        <f>IF(AND(A548="", B548="", E548=""), "", TEXTJOIN("; ", TRUE, IF(OR(TRIM(A548&amp;"")="", ISNUMBER(SEARCH("FALTA", A548))), "UPC faltante/inválido", ""), IF(AND(A548&lt;&gt;"", IFERROR(_xlfn.XMATCH(A548,$A$2:$A$2509,0,1)&lt;&gt;_xlfn.XMATCH(A548,$A$2:$A$2509,0,-1),FALSE)), "Código de barras duplicado", ""), IF(AND(E548&lt;&gt;"", COUNTIF($E$2:$E$2509, E548)&gt;1), "SKU duplicado", ""), IF(OR(J548="", J548=""), "[Aviso] División no capturada ()", IF(ISNA(MATCH(J548, Criterios!$A$123:$A$126, 0)), "División no válida", "")), IF(OR(K548="", K548=""), "[Aviso] Categoría no capturada ()", IF(ISNA(MATCH(K548, Criterios!$A$81:$A$120, 0)), "Categoría no válida", IF(AND(J548&lt;&gt;"", J548&lt;&gt;"", J548&lt;&gt;VLOOKUP(K548, Criterios!$A$81:$B$120, 2, FALSE)), "División no coincide con Categoría", ""))), IF(OR(L548="", L548=""), "[Aviso] Género no capturado ()", IF(ISNA(MATCH(L548, Criterios!$B$123:$B$127, 0)), "Género no válido", "")), IF(OR(N548="", N548=""), "[Aviso] Temporada no capturada ()", IF(ISNA(MATCH(N548, Criterios!$C$123:$C$128, 0)), "Temporada no válida", "")), IF(OR(O548="", O548=""), "[Aviso] Ciclo de vida no capturado ()", IF(ISNA(MATCH(O548, Criterios!$D$123:$D$124, 0)), "Ciclo de vida no válido", ""))))</f>
        <v/>
      </c>
      <c r="AC548" s="56" t="n"/>
      <c r="AD548" s="51" t="n">
        <v>0</v>
      </c>
      <c r="AE548" s="156" t="n"/>
      <c r="AF548" s="51" t="n">
        <v>0</v>
      </c>
      <c r="AG548" s="156" t="inlineStr">
        <is>
          <t>Catálogo existente</t>
        </is>
      </c>
      <c r="AH5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8" s="156" t="inlineStr">
        <is>
          <t>No</t>
        </is>
      </c>
      <c r="AJ548" s="156" t="n"/>
      <c r="AK548" s="155" t="inlineStr">
        <is>
          <t>Criterios: I [Q]; G1522_Extraccion_Articulos_NetSuite_2026-09-30.xlsx: fila 59120 [R] | Shopify Stetson: producto 15054564721003 / variante 53350556795243</t>
        </is>
      </c>
      <c r="AL548" s="58" t="n">
        <v>752.58</v>
      </c>
      <c r="AM548" s="58" t="n">
        <v>4310.344828</v>
      </c>
      <c r="AN548" s="155" t="inlineStr">
        <is>
          <t>Shopify Stetson México</t>
        </is>
      </c>
      <c r="AO548" s="59" t="n">
        <v>2</v>
      </c>
      <c r="AP548" s="59" t="n"/>
      <c r="AQ548" s="59" t="n"/>
      <c r="AR548" s="155" t="inlineStr">
        <is>
          <t>Shopify Stetson México › Stetson Americas: 2</t>
        </is>
      </c>
    </row>
    <row r="549">
      <c r="A549" s="50" t="inlineStr">
        <is>
          <t>12020006111029028</t>
        </is>
      </c>
      <c r="B549" s="51" t="inlineStr">
        <is>
          <t>111446</t>
        </is>
      </c>
      <c r="C549" s="156" t="inlineStr">
        <is>
          <t>Multimarca</t>
        </is>
      </c>
      <c r="D549" s="156" t="inlineStr">
        <is>
          <t>12-020-BS006-11-1029</t>
        </is>
      </c>
      <c r="E549" s="156" t="inlineStr">
        <is>
          <t>12-020-BS006-11-1029-028</t>
        </is>
      </c>
      <c r="F549" s="156" t="inlineStr">
        <is>
          <t>28</t>
        </is>
      </c>
      <c r="G549" s="156" t="inlineStr">
        <is>
          <t>10</t>
        </is>
      </c>
      <c r="H549" s="156" t="inlineStr">
        <is>
          <t>Stetson</t>
        </is>
      </c>
      <c r="I549" s="156" t="inlineStr">
        <is>
          <t>Bota Piel Chocolate</t>
        </is>
      </c>
      <c r="J549" s="156" t="inlineStr">
        <is>
          <t>Calzado</t>
        </is>
      </c>
      <c r="K549" s="156" t="inlineStr">
        <is>
          <t>Botas</t>
        </is>
      </c>
      <c r="L549" s="156" t="inlineStr">
        <is>
          <t>Hombre</t>
        </is>
      </c>
      <c r="M549" s="156" t="inlineStr">
        <is>
          <t>Stetson</t>
        </is>
      </c>
      <c r="N549" s="156" t="inlineStr">
        <is>
          <t>SS26</t>
        </is>
      </c>
      <c r="O549" s="156" t="inlineStr">
        <is>
          <t>Seasonal</t>
        </is>
      </c>
      <c r="P549" s="156" t="inlineStr">
        <is>
          <t>Cafe</t>
        </is>
      </c>
      <c r="Q549" s="156" t="n"/>
      <c r="R549" s="156" t="inlineStr">
        <is>
          <t>Punta Cuadrada Ancha</t>
        </is>
      </c>
      <c r="S549" s="156" t="inlineStr">
        <is>
          <t>Piel bovina</t>
        </is>
      </c>
      <c r="T549" s="156" t="inlineStr">
        <is>
          <t>Bota Caballero Piel bovina Grabada Chocolate Punta Cuadrada Ancha</t>
        </is>
      </c>
      <c r="U549" s="156" t="inlineStr">
        <is>
          <t>México</t>
        </is>
      </c>
      <c r="V549" s="156" t="inlineStr">
        <is>
          <t>PRS</t>
        </is>
      </c>
      <c r="W549" s="51" t="inlineStr">
        <is>
          <t>53111501</t>
        </is>
      </c>
      <c r="X549" s="156" t="n"/>
      <c r="Y549" s="54" t="n">
        <v>752.58</v>
      </c>
      <c r="Z549" s="54" t="n">
        <v>4310.344828</v>
      </c>
      <c r="AA549" s="55">
        <f>IF(AND(A549="", B549="", E549=""), "", IF(AB549="", "Válido", IF((LEN(AB549)-LEN(SUBSTITUTE(AB549,"; ","")))/2+1&gt;(LEN(AB549)-LEN(SUBSTITUTE(AB549,"[Aviso]","")))/7, "Con Incidencias", "Válido")))</f>
        <v/>
      </c>
      <c r="AB549" s="56">
        <f>IF(AND(A549="", B549="", E549=""), "", TEXTJOIN("; ", TRUE, IF(OR(TRIM(A549&amp;"")="", ISNUMBER(SEARCH("FALTA", A549))), "UPC faltante/inválido", ""), IF(AND(A549&lt;&gt;"", IFERROR(_xlfn.XMATCH(A549,$A$2:$A$2509,0,1)&lt;&gt;_xlfn.XMATCH(A549,$A$2:$A$2509,0,-1),FALSE)), "Código de barras duplicado", ""), IF(AND(E549&lt;&gt;"", COUNTIF($E$2:$E$2509, E549)&gt;1), "SKU duplicado", ""), IF(OR(J549="", J549=""), "[Aviso] División no capturada ()", IF(ISNA(MATCH(J549, Criterios!$A$123:$A$126, 0)), "División no válida", "")), IF(OR(K549="", K549=""), "[Aviso] Categoría no capturada ()", IF(ISNA(MATCH(K549, Criterios!$A$81:$A$120, 0)), "Categoría no válida", IF(AND(J549&lt;&gt;"", J549&lt;&gt;"", J549&lt;&gt;VLOOKUP(K549, Criterios!$A$81:$B$120, 2, FALSE)), "División no coincide con Categoría", ""))), IF(OR(L549="", L549=""), "[Aviso] Género no capturado ()", IF(ISNA(MATCH(L549, Criterios!$B$123:$B$127, 0)), "Género no válido", "")), IF(OR(N549="", N549=""), "[Aviso] Temporada no capturada ()", IF(ISNA(MATCH(N549, Criterios!$C$123:$C$128, 0)), "Temporada no válida", "")), IF(OR(O549="", O549=""), "[Aviso] Ciclo de vida no capturado ()", IF(ISNA(MATCH(O549, Criterios!$D$123:$D$124, 0)), "Ciclo de vida no válido", ""))))</f>
        <v/>
      </c>
      <c r="AC549" s="56" t="n"/>
      <c r="AD549" s="51" t="n">
        <v>-1</v>
      </c>
      <c r="AE549" s="156" t="n"/>
      <c r="AF549" s="51" t="n">
        <v>0</v>
      </c>
      <c r="AG549" s="156" t="inlineStr">
        <is>
          <t>Catálogo existente</t>
        </is>
      </c>
      <c r="AH54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9" s="156" t="inlineStr">
        <is>
          <t>Sí</t>
        </is>
      </c>
      <c r="AJ549" s="156" t="inlineStr">
        <is>
          <t>STETSON AMERICAS (-1)</t>
        </is>
      </c>
      <c r="AK549" s="155" t="inlineStr">
        <is>
          <t>Criterios: I [Q]; G1522_Extraccion_Articulos_NetSuite_2026-09-30.xlsx: fila 59121 [R] | Shopify Stetson: producto 15054564721003 / variante 53350556860779</t>
        </is>
      </c>
      <c r="AL549" s="58" t="n">
        <v>752.58</v>
      </c>
      <c r="AM549" s="58" t="n">
        <v>4310.344828</v>
      </c>
      <c r="AN549" s="155" t="inlineStr">
        <is>
          <t>Shopify Stetson México</t>
        </is>
      </c>
      <c r="AO549" s="59" t="n">
        <v>1</v>
      </c>
      <c r="AP549" s="59" t="n"/>
      <c r="AQ549" s="59" t="n"/>
      <c r="AR549" s="155" t="inlineStr">
        <is>
          <t>Shopify Stetson México › Stetson Americas: 1</t>
        </is>
      </c>
    </row>
    <row r="550">
      <c r="A550" s="50" t="inlineStr">
        <is>
          <t>12020006111029029</t>
        </is>
      </c>
      <c r="B550" s="51" t="inlineStr">
        <is>
          <t>111447</t>
        </is>
      </c>
      <c r="C550" s="156" t="inlineStr">
        <is>
          <t>Multimarca</t>
        </is>
      </c>
      <c r="D550" s="156" t="inlineStr">
        <is>
          <t>12-020-BS006-11-1029</t>
        </is>
      </c>
      <c r="E550" s="156" t="inlineStr">
        <is>
          <t>12-020-BS006-11-1029-029</t>
        </is>
      </c>
      <c r="F550" s="156" t="inlineStr">
        <is>
          <t>29</t>
        </is>
      </c>
      <c r="G550" s="156" t="inlineStr">
        <is>
          <t>11</t>
        </is>
      </c>
      <c r="H550" s="156" t="inlineStr">
        <is>
          <t>Stetson</t>
        </is>
      </c>
      <c r="I550" s="156" t="inlineStr">
        <is>
          <t>Bota Piel Chocolate</t>
        </is>
      </c>
      <c r="J550" s="156" t="inlineStr">
        <is>
          <t>Calzado</t>
        </is>
      </c>
      <c r="K550" s="156" t="inlineStr">
        <is>
          <t>Botas</t>
        </is>
      </c>
      <c r="L550" s="156" t="inlineStr">
        <is>
          <t>Hombre</t>
        </is>
      </c>
      <c r="M550" s="156" t="inlineStr">
        <is>
          <t>Stetson</t>
        </is>
      </c>
      <c r="N550" s="156" t="inlineStr">
        <is>
          <t>SS26</t>
        </is>
      </c>
      <c r="O550" s="156" t="inlineStr">
        <is>
          <t>Seasonal</t>
        </is>
      </c>
      <c r="P550" s="156" t="inlineStr">
        <is>
          <t>Cafe</t>
        </is>
      </c>
      <c r="Q550" s="156" t="n"/>
      <c r="R550" s="156" t="inlineStr">
        <is>
          <t>Punta Cuadrada Ancha</t>
        </is>
      </c>
      <c r="S550" s="156" t="inlineStr">
        <is>
          <t>Piel bovina</t>
        </is>
      </c>
      <c r="T550" s="156" t="inlineStr">
        <is>
          <t>Bota Caballero Piel bovina Grabada Chocolate Punta Cuadrada Ancha</t>
        </is>
      </c>
      <c r="U550" s="156" t="inlineStr">
        <is>
          <t>México</t>
        </is>
      </c>
      <c r="V550" s="156" t="inlineStr">
        <is>
          <t>PRS</t>
        </is>
      </c>
      <c r="W550" s="51" t="inlineStr">
        <is>
          <t>53111501</t>
        </is>
      </c>
      <c r="X550" s="156" t="n"/>
      <c r="Y550" s="54" t="n">
        <v>752.58</v>
      </c>
      <c r="Z550" s="54" t="n">
        <v>4310.344828</v>
      </c>
      <c r="AA550" s="55">
        <f>IF(AND(A550="", B550="", E550=""), "", IF(AB550="", "Válido", IF((LEN(AB550)-LEN(SUBSTITUTE(AB550,"; ","")))/2+1&gt;(LEN(AB550)-LEN(SUBSTITUTE(AB550,"[Aviso]","")))/7, "Con Incidencias", "Válido")))</f>
        <v/>
      </c>
      <c r="AB550" s="56">
        <f>IF(AND(A550="", B550="", E550=""), "", TEXTJOIN("; ", TRUE, IF(OR(TRIM(A550&amp;"")="", ISNUMBER(SEARCH("FALTA", A550))), "UPC faltante/inválido", ""), IF(AND(A550&lt;&gt;"", IFERROR(_xlfn.XMATCH(A550,$A$2:$A$2509,0,1)&lt;&gt;_xlfn.XMATCH(A550,$A$2:$A$2509,0,-1),FALSE)), "Código de barras duplicado", ""), IF(AND(E550&lt;&gt;"", COUNTIF($E$2:$E$2509, E550)&gt;1), "SKU duplicado", ""), IF(OR(J550="", J550=""), "[Aviso] División no capturada ()", IF(ISNA(MATCH(J550, Criterios!$A$123:$A$126, 0)), "División no válida", "")), IF(OR(K550="", K550=""), "[Aviso] Categoría no capturada ()", IF(ISNA(MATCH(K550, Criterios!$A$81:$A$120, 0)), "Categoría no válida", IF(AND(J550&lt;&gt;"", J550&lt;&gt;"", J550&lt;&gt;VLOOKUP(K550, Criterios!$A$81:$B$120, 2, FALSE)), "División no coincide con Categoría", ""))), IF(OR(L550="", L550=""), "[Aviso] Género no capturado ()", IF(ISNA(MATCH(L550, Criterios!$B$123:$B$127, 0)), "Género no válido", "")), IF(OR(N550="", N550=""), "[Aviso] Temporada no capturada ()", IF(ISNA(MATCH(N550, Criterios!$C$123:$C$128, 0)), "Temporada no válida", "")), IF(OR(O550="", O550=""), "[Aviso] Ciclo de vida no capturado ()", IF(ISNA(MATCH(O550, Criterios!$D$123:$D$124, 0)), "Ciclo de vida no válido", ""))))</f>
        <v/>
      </c>
      <c r="AC550" s="56" t="n"/>
      <c r="AD550" s="51" t="n">
        <v>0</v>
      </c>
      <c r="AE550" s="156" t="n"/>
      <c r="AF550" s="51" t="n">
        <v>0</v>
      </c>
      <c r="AG550" s="156" t="inlineStr">
        <is>
          <t>Catálogo existente</t>
        </is>
      </c>
      <c r="AH5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0" s="156" t="inlineStr">
        <is>
          <t>No</t>
        </is>
      </c>
      <c r="AJ550" s="156" t="n"/>
      <c r="AK550" s="155" t="inlineStr">
        <is>
          <t>Criterios: I [Q]; G1522_Extraccion_Articulos_NetSuite_2026-09-30.xlsx: fila 59122 [R] | Shopify Stetson: producto 15054564721003 / variante 53350556926315</t>
        </is>
      </c>
      <c r="AL550" s="58" t="n">
        <v>752.58</v>
      </c>
      <c r="AM550" s="58" t="n">
        <v>4310.344828</v>
      </c>
      <c r="AN550" s="155" t="inlineStr">
        <is>
          <t>Shopify Stetson México</t>
        </is>
      </c>
      <c r="AO550" s="59" t="n">
        <v>1</v>
      </c>
      <c r="AP550" s="59" t="n"/>
      <c r="AQ550" s="59" t="n"/>
      <c r="AR550" s="155" t="inlineStr">
        <is>
          <t>Shopify Stetson México › Stetson Americas: 1</t>
        </is>
      </c>
    </row>
    <row r="551">
      <c r="A551" s="50" t="inlineStr">
        <is>
          <t>12020006111029030</t>
        </is>
      </c>
      <c r="B551" s="51" t="inlineStr">
        <is>
          <t>111448</t>
        </is>
      </c>
      <c r="C551" s="156" t="inlineStr">
        <is>
          <t>Multimarca</t>
        </is>
      </c>
      <c r="D551" s="156" t="inlineStr">
        <is>
          <t>12-020-BS006-11-1029</t>
        </is>
      </c>
      <c r="E551" s="156" t="inlineStr">
        <is>
          <t>12-020-BS006-11-1029-030</t>
        </is>
      </c>
      <c r="F551" s="156" t="inlineStr">
        <is>
          <t>30</t>
        </is>
      </c>
      <c r="G551" s="156" t="inlineStr">
        <is>
          <t>12</t>
        </is>
      </c>
      <c r="H551" s="156" t="inlineStr">
        <is>
          <t>Stetson</t>
        </is>
      </c>
      <c r="I551" s="156" t="inlineStr">
        <is>
          <t>Bota Piel Chocolate</t>
        </is>
      </c>
      <c r="J551" s="156" t="inlineStr">
        <is>
          <t>Calzado</t>
        </is>
      </c>
      <c r="K551" s="156" t="inlineStr">
        <is>
          <t>Botas</t>
        </is>
      </c>
      <c r="L551" s="156" t="inlineStr">
        <is>
          <t>Hombre</t>
        </is>
      </c>
      <c r="M551" s="156" t="inlineStr">
        <is>
          <t>Stetson</t>
        </is>
      </c>
      <c r="N551" s="156" t="inlineStr">
        <is>
          <t>SS26</t>
        </is>
      </c>
      <c r="O551" s="156" t="inlineStr">
        <is>
          <t>Seasonal</t>
        </is>
      </c>
      <c r="P551" s="156" t="inlineStr">
        <is>
          <t>Cafe</t>
        </is>
      </c>
      <c r="Q551" s="156" t="n"/>
      <c r="R551" s="156" t="inlineStr">
        <is>
          <t>Punta Cuadrada Ancha</t>
        </is>
      </c>
      <c r="S551" s="156" t="inlineStr">
        <is>
          <t>Piel bovina</t>
        </is>
      </c>
      <c r="T551" s="156" t="inlineStr">
        <is>
          <t>Bota Caballero Piel bovina Grabada Chocolate Punta Cuadrada Ancha</t>
        </is>
      </c>
      <c r="U551" s="156" t="inlineStr">
        <is>
          <t>México</t>
        </is>
      </c>
      <c r="V551" s="156" t="inlineStr">
        <is>
          <t>PRS</t>
        </is>
      </c>
      <c r="W551" s="51" t="inlineStr">
        <is>
          <t>53111501</t>
        </is>
      </c>
      <c r="X551" s="156" t="n"/>
      <c r="Y551" s="54" t="n">
        <v>752.58</v>
      </c>
      <c r="Z551" s="54" t="n">
        <v>4310.344828</v>
      </c>
      <c r="AA551" s="55">
        <f>IF(AND(A551="", B551="", E551=""), "", IF(AB551="", "Válido", IF((LEN(AB551)-LEN(SUBSTITUTE(AB551,"; ","")))/2+1&gt;(LEN(AB551)-LEN(SUBSTITUTE(AB551,"[Aviso]","")))/7, "Con Incidencias", "Válido")))</f>
        <v/>
      </c>
      <c r="AB551" s="56">
        <f>IF(AND(A551="", B551="", E551=""), "", TEXTJOIN("; ", TRUE, IF(OR(TRIM(A551&amp;"")="", ISNUMBER(SEARCH("FALTA", A551))), "UPC faltante/inválido", ""), IF(AND(A551&lt;&gt;"", IFERROR(_xlfn.XMATCH(A551,$A$2:$A$2509,0,1)&lt;&gt;_xlfn.XMATCH(A551,$A$2:$A$2509,0,-1),FALSE)), "Código de barras duplicado", ""), IF(AND(E551&lt;&gt;"", COUNTIF($E$2:$E$2509, E551)&gt;1), "SKU duplicado", ""), IF(OR(J551="", J551=""), "[Aviso] División no capturada ()", IF(ISNA(MATCH(J551, Criterios!$A$123:$A$126, 0)), "División no válida", "")), IF(OR(K551="", K551=""), "[Aviso] Categoría no capturada ()", IF(ISNA(MATCH(K551, Criterios!$A$81:$A$120, 0)), "Categoría no válida", IF(AND(J551&lt;&gt;"", J551&lt;&gt;"", J551&lt;&gt;VLOOKUP(K551, Criterios!$A$81:$B$120, 2, FALSE)), "División no coincide con Categoría", ""))), IF(OR(L551="", L551=""), "[Aviso] Género no capturado ()", IF(ISNA(MATCH(L551, Criterios!$B$123:$B$127, 0)), "Género no válido", "")), IF(OR(N551="", N551=""), "[Aviso] Temporada no capturada ()", IF(ISNA(MATCH(N551, Criterios!$C$123:$C$128, 0)), "Temporada no válida", "")), IF(OR(O551="", O551=""), "[Aviso] Ciclo de vida no capturado ()", IF(ISNA(MATCH(O551, Criterios!$D$123:$D$124, 0)), "Ciclo de vida no válido", ""))))</f>
        <v/>
      </c>
      <c r="AC551" s="56" t="n"/>
      <c r="AD551" s="51" t="n">
        <v>0</v>
      </c>
      <c r="AE551" s="156" t="n"/>
      <c r="AF551" s="51" t="n">
        <v>0</v>
      </c>
      <c r="AG551" s="156" t="inlineStr">
        <is>
          <t>Catálogo existente</t>
        </is>
      </c>
      <c r="AH55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1" s="156" t="inlineStr">
        <is>
          <t>No</t>
        </is>
      </c>
      <c r="AJ551" s="156" t="n"/>
      <c r="AK551" s="155" t="inlineStr">
        <is>
          <t>Criterios: I [Q]; G1522_Extraccion_Articulos_NetSuite_2026-09-30.xlsx: fila 59123 [R] | Shopify Stetson: producto 15054564721003 / variante 53350556991851</t>
        </is>
      </c>
      <c r="AL551" s="58" t="n">
        <v>752.58</v>
      </c>
      <c r="AM551" s="58" t="n">
        <v>4310.344828</v>
      </c>
      <c r="AN551" s="155" t="inlineStr">
        <is>
          <t>Shopify Stetson México</t>
        </is>
      </c>
      <c r="AO551" s="59" t="n">
        <v>0</v>
      </c>
      <c r="AP551" s="59" t="n"/>
      <c r="AQ551" s="59" t="n"/>
      <c r="AR551" s="155" t="n"/>
    </row>
    <row r="552">
      <c r="A552" s="50" t="inlineStr">
        <is>
          <t>12020006111029031</t>
        </is>
      </c>
      <c r="B552" s="51" t="inlineStr">
        <is>
          <t>111449</t>
        </is>
      </c>
      <c r="C552" s="156" t="inlineStr">
        <is>
          <t>Multimarca</t>
        </is>
      </c>
      <c r="D552" s="156" t="inlineStr">
        <is>
          <t>12-020-BS006-11-1029</t>
        </is>
      </c>
      <c r="E552" s="156" t="inlineStr">
        <is>
          <t>12-020-BS006-11-1029-031</t>
        </is>
      </c>
      <c r="F552" s="156" t="inlineStr">
        <is>
          <t>31</t>
        </is>
      </c>
      <c r="G552" s="156" t="inlineStr">
        <is>
          <t>13</t>
        </is>
      </c>
      <c r="H552" s="156" t="inlineStr">
        <is>
          <t>Stetson</t>
        </is>
      </c>
      <c r="I552" s="156" t="inlineStr">
        <is>
          <t>Bota Piel Chocolate</t>
        </is>
      </c>
      <c r="J552" s="156" t="inlineStr">
        <is>
          <t>Calzado</t>
        </is>
      </c>
      <c r="K552" s="156" t="inlineStr">
        <is>
          <t>Botas</t>
        </is>
      </c>
      <c r="L552" s="156" t="inlineStr">
        <is>
          <t>Hombre</t>
        </is>
      </c>
      <c r="M552" s="156" t="inlineStr">
        <is>
          <t>Stetson</t>
        </is>
      </c>
      <c r="N552" s="156" t="inlineStr">
        <is>
          <t>SS26</t>
        </is>
      </c>
      <c r="O552" s="156" t="inlineStr">
        <is>
          <t>Seasonal</t>
        </is>
      </c>
      <c r="P552" s="156" t="inlineStr">
        <is>
          <t>Cafe</t>
        </is>
      </c>
      <c r="Q552" s="156" t="n"/>
      <c r="R552" s="156" t="inlineStr">
        <is>
          <t>Punta Cuadrada Ancha</t>
        </is>
      </c>
      <c r="S552" s="156" t="inlineStr">
        <is>
          <t>Piel bovina</t>
        </is>
      </c>
      <c r="T552" s="156" t="inlineStr">
        <is>
          <t>Bota Caballero Piel bovina Grabada Chocolate Punta Cuadrada Ancha</t>
        </is>
      </c>
      <c r="U552" s="156" t="inlineStr">
        <is>
          <t>México</t>
        </is>
      </c>
      <c r="V552" s="156" t="inlineStr">
        <is>
          <t>PRS</t>
        </is>
      </c>
      <c r="W552" s="51" t="inlineStr">
        <is>
          <t>53111501</t>
        </is>
      </c>
      <c r="X552" s="156" t="n"/>
      <c r="Y552" s="54" t="n">
        <v>752.58</v>
      </c>
      <c r="Z552" s="54" t="n">
        <v>4310.344828</v>
      </c>
      <c r="AA552" s="55">
        <f>IF(AND(A552="", B552="", E552=""), "", IF(AB552="", "Válido", IF((LEN(AB552)-LEN(SUBSTITUTE(AB552,"; ","")))/2+1&gt;(LEN(AB552)-LEN(SUBSTITUTE(AB552,"[Aviso]","")))/7, "Con Incidencias", "Válido")))</f>
        <v/>
      </c>
      <c r="AB552" s="56">
        <f>IF(AND(A552="", B552="", E552=""), "", TEXTJOIN("; ", TRUE, IF(OR(TRIM(A552&amp;"")="", ISNUMBER(SEARCH("FALTA", A552))), "UPC faltante/inválido", ""), IF(AND(A552&lt;&gt;"", IFERROR(_xlfn.XMATCH(A552,$A$2:$A$2509,0,1)&lt;&gt;_xlfn.XMATCH(A552,$A$2:$A$2509,0,-1),FALSE)), "Código de barras duplicado", ""), IF(AND(E552&lt;&gt;"", COUNTIF($E$2:$E$2509, E552)&gt;1), "SKU duplicado", ""), IF(OR(J552="", J552=""), "[Aviso] División no capturada ()", IF(ISNA(MATCH(J552, Criterios!$A$123:$A$126, 0)), "División no válida", "")), IF(OR(K552="", K552=""), "[Aviso] Categoría no capturada ()", IF(ISNA(MATCH(K552, Criterios!$A$81:$A$120, 0)), "Categoría no válida", IF(AND(J552&lt;&gt;"", J552&lt;&gt;"", J552&lt;&gt;VLOOKUP(K552, Criterios!$A$81:$B$120, 2, FALSE)), "División no coincide con Categoría", ""))), IF(OR(L552="", L552=""), "[Aviso] Género no capturado ()", IF(ISNA(MATCH(L552, Criterios!$B$123:$B$127, 0)), "Género no válido", "")), IF(OR(N552="", N552=""), "[Aviso] Temporada no capturada ()", IF(ISNA(MATCH(N552, Criterios!$C$123:$C$128, 0)), "Temporada no válida", "")), IF(OR(O552="", O552=""), "[Aviso] Ciclo de vida no capturado ()", IF(ISNA(MATCH(O552, Criterios!$D$123:$D$124, 0)), "Ciclo de vida no válido", ""))))</f>
        <v/>
      </c>
      <c r="AC552" s="56" t="n"/>
      <c r="AD552" s="51" t="n">
        <v>0</v>
      </c>
      <c r="AE552" s="156" t="n"/>
      <c r="AF552" s="51" t="n">
        <v>0</v>
      </c>
      <c r="AG552" s="156" t="inlineStr">
        <is>
          <t>Catálogo existente</t>
        </is>
      </c>
      <c r="AH5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2" s="156" t="inlineStr">
        <is>
          <t>No</t>
        </is>
      </c>
      <c r="AJ552" s="156" t="n"/>
      <c r="AK552" s="155" t="inlineStr">
        <is>
          <t>Criterios: I [Q]; G1522_Extraccion_Articulos_NetSuite_2026-09-30.xlsx: fila 59124 [R] | Shopify Stetson: producto 15054564721003 / variante 53350557057387</t>
        </is>
      </c>
      <c r="AL552" s="58" t="n">
        <v>752.58</v>
      </c>
      <c r="AM552" s="58" t="n">
        <v>4310.344828</v>
      </c>
      <c r="AN552" s="155" t="inlineStr">
        <is>
          <t>Shopify Stetson México</t>
        </is>
      </c>
      <c r="AO552" s="59" t="n">
        <v>0</v>
      </c>
      <c r="AP552" s="59" t="n"/>
      <c r="AQ552" s="59" t="n"/>
      <c r="AR552" s="155" t="n"/>
    </row>
    <row r="553">
      <c r="A553" s="50" t="inlineStr">
        <is>
          <t>12020006111029032</t>
        </is>
      </c>
      <c r="B553" s="51" t="inlineStr">
        <is>
          <t>111450</t>
        </is>
      </c>
      <c r="C553" s="156" t="inlineStr">
        <is>
          <t>Multimarca</t>
        </is>
      </c>
      <c r="D553" s="156" t="inlineStr">
        <is>
          <t>12-020-BS006-11-1029</t>
        </is>
      </c>
      <c r="E553" s="156" t="inlineStr">
        <is>
          <t>12-020-BS006-11-1029-032</t>
        </is>
      </c>
      <c r="F553" s="156" t="inlineStr">
        <is>
          <t>32</t>
        </is>
      </c>
      <c r="G553" s="156" t="inlineStr">
        <is>
          <t>14</t>
        </is>
      </c>
      <c r="H553" s="156" t="inlineStr">
        <is>
          <t>Stetson</t>
        </is>
      </c>
      <c r="I553" s="156" t="inlineStr">
        <is>
          <t>Bota Piel Chocolate</t>
        </is>
      </c>
      <c r="J553" s="156" t="inlineStr">
        <is>
          <t>Calzado</t>
        </is>
      </c>
      <c r="K553" s="156" t="inlineStr">
        <is>
          <t>Botas</t>
        </is>
      </c>
      <c r="L553" s="156" t="inlineStr">
        <is>
          <t>Hombre</t>
        </is>
      </c>
      <c r="M553" s="156" t="inlineStr">
        <is>
          <t>Stetson</t>
        </is>
      </c>
      <c r="N553" s="156" t="inlineStr">
        <is>
          <t>SS26</t>
        </is>
      </c>
      <c r="O553" s="156" t="inlineStr">
        <is>
          <t>Seasonal</t>
        </is>
      </c>
      <c r="P553" s="156" t="inlineStr">
        <is>
          <t>Cafe</t>
        </is>
      </c>
      <c r="Q553" s="156" t="n"/>
      <c r="R553" s="156" t="inlineStr">
        <is>
          <t>Punta Cuadrada Ancha</t>
        </is>
      </c>
      <c r="S553" s="156" t="inlineStr">
        <is>
          <t>Piel bovina</t>
        </is>
      </c>
      <c r="T553" s="156" t="inlineStr">
        <is>
          <t>Bota Caballero Piel bovina Grabada Chocolate Punta Cuadrada Ancha</t>
        </is>
      </c>
      <c r="U553" s="156" t="inlineStr">
        <is>
          <t>México</t>
        </is>
      </c>
      <c r="V553" s="156" t="inlineStr">
        <is>
          <t>PRS</t>
        </is>
      </c>
      <c r="W553" s="51" t="inlineStr">
        <is>
          <t>53111501</t>
        </is>
      </c>
      <c r="X553" s="156" t="n"/>
      <c r="Y553" s="54" t="n">
        <v>752.58</v>
      </c>
      <c r="Z553" s="54" t="n">
        <v>4310.344828</v>
      </c>
      <c r="AA553" s="55">
        <f>IF(AND(A553="", B553="", E553=""), "", IF(AB553="", "Válido", IF((LEN(AB553)-LEN(SUBSTITUTE(AB553,"; ","")))/2+1&gt;(LEN(AB553)-LEN(SUBSTITUTE(AB553,"[Aviso]","")))/7, "Con Incidencias", "Válido")))</f>
        <v/>
      </c>
      <c r="AB553" s="56">
        <f>IF(AND(A553="", B553="", E553=""), "", TEXTJOIN("; ", TRUE, IF(OR(TRIM(A553&amp;"")="", ISNUMBER(SEARCH("FALTA", A553))), "UPC faltante/inválido", ""), IF(AND(A553&lt;&gt;"", IFERROR(_xlfn.XMATCH(A553,$A$2:$A$2509,0,1)&lt;&gt;_xlfn.XMATCH(A553,$A$2:$A$2509,0,-1),FALSE)), "Código de barras duplicado", ""), IF(AND(E553&lt;&gt;"", COUNTIF($E$2:$E$2509, E553)&gt;1), "SKU duplicado", ""), IF(OR(J553="", J553=""), "[Aviso] División no capturada ()", IF(ISNA(MATCH(J553, Criterios!$A$123:$A$126, 0)), "División no válida", "")), IF(OR(K553="", K553=""), "[Aviso] Categoría no capturada ()", IF(ISNA(MATCH(K553, Criterios!$A$81:$A$120, 0)), "Categoría no válida", IF(AND(J553&lt;&gt;"", J553&lt;&gt;"", J553&lt;&gt;VLOOKUP(K553, Criterios!$A$81:$B$120, 2, FALSE)), "División no coincide con Categoría", ""))), IF(OR(L553="", L553=""), "[Aviso] Género no capturado ()", IF(ISNA(MATCH(L553, Criterios!$B$123:$B$127, 0)), "Género no válido", "")), IF(OR(N553="", N553=""), "[Aviso] Temporada no capturada ()", IF(ISNA(MATCH(N553, Criterios!$C$123:$C$128, 0)), "Temporada no válida", "")), IF(OR(O553="", O553=""), "[Aviso] Ciclo de vida no capturado ()", IF(ISNA(MATCH(O553, Criterios!$D$123:$D$124, 0)), "Ciclo de vida no válido", ""))))</f>
        <v/>
      </c>
      <c r="AC553" s="56" t="n"/>
      <c r="AD553" s="51" t="n">
        <v>0</v>
      </c>
      <c r="AE553" s="156" t="n"/>
      <c r="AF553" s="51" t="n">
        <v>0</v>
      </c>
      <c r="AG553" s="156" t="inlineStr">
        <is>
          <t>Catálogo existente</t>
        </is>
      </c>
      <c r="AH5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3" s="156" t="inlineStr">
        <is>
          <t>No</t>
        </is>
      </c>
      <c r="AJ553" s="156" t="n"/>
      <c r="AK553" s="155" t="inlineStr">
        <is>
          <t>Criterios: I [Q]; G1522_Extraccion_Articulos_NetSuite_2026-09-30.xlsx: fila 59125 [R] | Shopify Stetson: producto 15054564721003 / variante 53350557122923</t>
        </is>
      </c>
      <c r="AL553" s="58" t="n">
        <v>752.58</v>
      </c>
      <c r="AM553" s="58" t="n">
        <v>4310.344828</v>
      </c>
      <c r="AN553" s="155" t="inlineStr">
        <is>
          <t>Shopify Stetson México</t>
        </is>
      </c>
      <c r="AO553" s="59" t="n">
        <v>0</v>
      </c>
      <c r="AP553" s="59" t="n"/>
      <c r="AQ553" s="59" t="n"/>
      <c r="AR553" s="155" t="n"/>
    </row>
    <row r="554">
      <c r="A554" s="50" t="inlineStr">
        <is>
          <t>12020006111029255</t>
        </is>
      </c>
      <c r="B554" s="51" t="inlineStr">
        <is>
          <t>111451</t>
        </is>
      </c>
      <c r="C554" s="156" t="inlineStr">
        <is>
          <t>Multimarca</t>
        </is>
      </c>
      <c r="D554" s="156" t="inlineStr">
        <is>
          <t>12-020-BS006-11-1029</t>
        </is>
      </c>
      <c r="E554" s="156" t="inlineStr">
        <is>
          <t>12-020-BS006-11-1029-255</t>
        </is>
      </c>
      <c r="F554" s="156" t="inlineStr">
        <is>
          <t>25.5</t>
        </is>
      </c>
      <c r="G554" s="156" t="inlineStr">
        <is>
          <t>7.5</t>
        </is>
      </c>
      <c r="H554" s="156" t="inlineStr">
        <is>
          <t>Stetson</t>
        </is>
      </c>
      <c r="I554" s="156" t="inlineStr">
        <is>
          <t>Bota Piel Chocolate</t>
        </is>
      </c>
      <c r="J554" s="156" t="inlineStr">
        <is>
          <t>Calzado</t>
        </is>
      </c>
      <c r="K554" s="156" t="inlineStr">
        <is>
          <t>Botas</t>
        </is>
      </c>
      <c r="L554" s="156" t="inlineStr">
        <is>
          <t>Hombre</t>
        </is>
      </c>
      <c r="M554" s="156" t="inlineStr">
        <is>
          <t>Stetson</t>
        </is>
      </c>
      <c r="N554" s="156" t="inlineStr">
        <is>
          <t>SS26</t>
        </is>
      </c>
      <c r="O554" s="156" t="inlineStr">
        <is>
          <t>Seasonal</t>
        </is>
      </c>
      <c r="P554" s="156" t="inlineStr">
        <is>
          <t>Cafe</t>
        </is>
      </c>
      <c r="Q554" s="156" t="n"/>
      <c r="R554" s="156" t="inlineStr">
        <is>
          <t>Punta Cuadrada Ancha</t>
        </is>
      </c>
      <c r="S554" s="156" t="inlineStr">
        <is>
          <t>Piel bovina</t>
        </is>
      </c>
      <c r="T554" s="156" t="inlineStr">
        <is>
          <t>Bota Caballero Piel bovina Grabada Chocolate Punta Cuadrada Ancha</t>
        </is>
      </c>
      <c r="U554" s="156" t="inlineStr">
        <is>
          <t>México</t>
        </is>
      </c>
      <c r="V554" s="156" t="inlineStr">
        <is>
          <t>PRS</t>
        </is>
      </c>
      <c r="W554" s="51" t="inlineStr">
        <is>
          <t>53111501</t>
        </is>
      </c>
      <c r="X554" s="156" t="n"/>
      <c r="Y554" s="54" t="n">
        <v>752.58</v>
      </c>
      <c r="Z554" s="54" t="n">
        <v>4310.344828</v>
      </c>
      <c r="AA554" s="55">
        <f>IF(AND(A554="", B554="", E554=""), "", IF(AB554="", "Válido", IF((LEN(AB554)-LEN(SUBSTITUTE(AB554,"; ","")))/2+1&gt;(LEN(AB554)-LEN(SUBSTITUTE(AB554,"[Aviso]","")))/7, "Con Incidencias", "Válido")))</f>
        <v/>
      </c>
      <c r="AB554" s="56">
        <f>IF(AND(A554="", B554="", E554=""), "", TEXTJOIN("; ", TRUE, IF(OR(TRIM(A554&amp;"")="", ISNUMBER(SEARCH("FALTA", A554))), "UPC faltante/inválido", ""), IF(AND(A554&lt;&gt;"", IFERROR(_xlfn.XMATCH(A554,$A$2:$A$2509,0,1)&lt;&gt;_xlfn.XMATCH(A554,$A$2:$A$2509,0,-1),FALSE)), "Código de barras duplicado", ""), IF(AND(E554&lt;&gt;"", COUNTIF($E$2:$E$2509, E554)&gt;1), "SKU duplicado", ""), IF(OR(J554="", J554=""), "[Aviso] División no capturada ()", IF(ISNA(MATCH(J554, Criterios!$A$123:$A$126, 0)), "División no válida", "")), IF(OR(K554="", K554=""), "[Aviso] Categoría no capturada ()", IF(ISNA(MATCH(K554, Criterios!$A$81:$A$120, 0)), "Categoría no válida", IF(AND(J554&lt;&gt;"", J554&lt;&gt;"", J554&lt;&gt;VLOOKUP(K554, Criterios!$A$81:$B$120, 2, FALSE)), "División no coincide con Categoría", ""))), IF(OR(L554="", L554=""), "[Aviso] Género no capturado ()", IF(ISNA(MATCH(L554, Criterios!$B$123:$B$127, 0)), "Género no válido", "")), IF(OR(N554="", N554=""), "[Aviso] Temporada no capturada ()", IF(ISNA(MATCH(N554, Criterios!$C$123:$C$128, 0)), "Temporada no válida", "")), IF(OR(O554="", O554=""), "[Aviso] Ciclo de vida no capturado ()", IF(ISNA(MATCH(O554, Criterios!$D$123:$D$124, 0)), "Ciclo de vida no válido", ""))))</f>
        <v/>
      </c>
      <c r="AC554" s="56" t="n"/>
      <c r="AD554" s="51" t="n">
        <v>0</v>
      </c>
      <c r="AE554" s="156" t="n"/>
      <c r="AF554" s="51" t="n">
        <v>0</v>
      </c>
      <c r="AG554" s="156" t="inlineStr">
        <is>
          <t>Catálogo existente</t>
        </is>
      </c>
      <c r="AH5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4" s="156" t="inlineStr">
        <is>
          <t>No</t>
        </is>
      </c>
      <c r="AJ554" s="156" t="n"/>
      <c r="AK554" s="155" t="inlineStr">
        <is>
          <t>Criterios: I [Q]; G1522_Extraccion_Articulos_NetSuite_2026-09-30.xlsx: fila 59126 [R] | Shopify Stetson: producto 15054564721003 / variante 53350556696939</t>
        </is>
      </c>
      <c r="AL554" s="58" t="n">
        <v>752.58</v>
      </c>
      <c r="AM554" s="58" t="n">
        <v>4310.344828</v>
      </c>
      <c r="AN554" s="155" t="inlineStr">
        <is>
          <t>Shopify Stetson México</t>
        </is>
      </c>
      <c r="AO554" s="59" t="n">
        <v>0</v>
      </c>
      <c r="AP554" s="59" t="n"/>
      <c r="AQ554" s="59" t="n"/>
      <c r="AR554" s="155" t="n"/>
    </row>
    <row r="555">
      <c r="A555" s="50" t="inlineStr">
        <is>
          <t>12020006111029265</t>
        </is>
      </c>
      <c r="B555" s="51" t="inlineStr">
        <is>
          <t>111452</t>
        </is>
      </c>
      <c r="C555" s="156" t="inlineStr">
        <is>
          <t>Multimarca</t>
        </is>
      </c>
      <c r="D555" s="156" t="inlineStr">
        <is>
          <t>12-020-BS006-11-1029</t>
        </is>
      </c>
      <c r="E555" s="156" t="inlineStr">
        <is>
          <t>12-020-BS006-11-1029-265</t>
        </is>
      </c>
      <c r="F555" s="156" t="inlineStr">
        <is>
          <t>26.5</t>
        </is>
      </c>
      <c r="G555" s="156" t="inlineStr">
        <is>
          <t>8.5</t>
        </is>
      </c>
      <c r="H555" s="156" t="inlineStr">
        <is>
          <t>Stetson</t>
        </is>
      </c>
      <c r="I555" s="156" t="inlineStr">
        <is>
          <t>Bota Piel Chocolate</t>
        </is>
      </c>
      <c r="J555" s="156" t="inlineStr">
        <is>
          <t>Calzado</t>
        </is>
      </c>
      <c r="K555" s="156" t="inlineStr">
        <is>
          <t>Botas</t>
        </is>
      </c>
      <c r="L555" s="156" t="inlineStr">
        <is>
          <t>Hombre</t>
        </is>
      </c>
      <c r="M555" s="156" t="inlineStr">
        <is>
          <t>Stetson</t>
        </is>
      </c>
      <c r="N555" s="156" t="inlineStr">
        <is>
          <t>SS26</t>
        </is>
      </c>
      <c r="O555" s="156" t="inlineStr">
        <is>
          <t>Seasonal</t>
        </is>
      </c>
      <c r="P555" s="156" t="inlineStr">
        <is>
          <t>Cafe</t>
        </is>
      </c>
      <c r="Q555" s="156" t="n"/>
      <c r="R555" s="156" t="inlineStr">
        <is>
          <t>Punta Cuadrada Ancha</t>
        </is>
      </c>
      <c r="S555" s="156" t="inlineStr">
        <is>
          <t>Piel bovina</t>
        </is>
      </c>
      <c r="T555" s="156" t="inlineStr">
        <is>
          <t>Bota Caballero Piel bovina Grabada Chocolate Punta Cuadrada Ancha</t>
        </is>
      </c>
      <c r="U555" s="156" t="inlineStr">
        <is>
          <t>México</t>
        </is>
      </c>
      <c r="V555" s="156" t="inlineStr">
        <is>
          <t>PRS</t>
        </is>
      </c>
      <c r="W555" s="51" t="inlineStr">
        <is>
          <t>53111501</t>
        </is>
      </c>
      <c r="X555" s="156" t="n"/>
      <c r="Y555" s="54" t="n">
        <v>752.58</v>
      </c>
      <c r="Z555" s="54" t="n">
        <v>4310.344828</v>
      </c>
      <c r="AA555" s="55">
        <f>IF(AND(A555="", B555="", E555=""), "", IF(AB555="", "Válido", IF((LEN(AB555)-LEN(SUBSTITUTE(AB555,"; ","")))/2+1&gt;(LEN(AB555)-LEN(SUBSTITUTE(AB555,"[Aviso]","")))/7, "Con Incidencias", "Válido")))</f>
        <v/>
      </c>
      <c r="AB555" s="56">
        <f>IF(AND(A555="", B555="", E555=""), "", TEXTJOIN("; ", TRUE, IF(OR(TRIM(A555&amp;"")="", ISNUMBER(SEARCH("FALTA", A555))), "UPC faltante/inválido", ""), IF(AND(A555&lt;&gt;"", IFERROR(_xlfn.XMATCH(A555,$A$2:$A$2509,0,1)&lt;&gt;_xlfn.XMATCH(A555,$A$2:$A$2509,0,-1),FALSE)), "Código de barras duplicado", ""), IF(AND(E555&lt;&gt;"", COUNTIF($E$2:$E$2509, E555)&gt;1), "SKU duplicado", ""), IF(OR(J555="", J555=""), "[Aviso] División no capturada ()", IF(ISNA(MATCH(J555, Criterios!$A$123:$A$126, 0)), "División no válida", "")), IF(OR(K555="", K555=""), "[Aviso] Categoría no capturada ()", IF(ISNA(MATCH(K555, Criterios!$A$81:$A$120, 0)), "Categoría no válida", IF(AND(J555&lt;&gt;"", J555&lt;&gt;"", J555&lt;&gt;VLOOKUP(K555, Criterios!$A$81:$B$120, 2, FALSE)), "División no coincide con Categoría", ""))), IF(OR(L555="", L555=""), "[Aviso] Género no capturado ()", IF(ISNA(MATCH(L555, Criterios!$B$123:$B$127, 0)), "Género no válido", "")), IF(OR(N555="", N555=""), "[Aviso] Temporada no capturada ()", IF(ISNA(MATCH(N555, Criterios!$C$123:$C$128, 0)), "Temporada no válida", "")), IF(OR(O555="", O555=""), "[Aviso] Ciclo de vida no capturado ()", IF(ISNA(MATCH(O555, Criterios!$D$123:$D$124, 0)), "Ciclo de vida no válido", ""))))</f>
        <v/>
      </c>
      <c r="AC555" s="56" t="n"/>
      <c r="AD555" s="51" t="n">
        <v>0</v>
      </c>
      <c r="AE555" s="156" t="n"/>
      <c r="AF555" s="51" t="n">
        <v>0</v>
      </c>
      <c r="AG555" s="156" t="inlineStr">
        <is>
          <t>Catálogo existente</t>
        </is>
      </c>
      <c r="AH5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5" s="156" t="inlineStr">
        <is>
          <t>No</t>
        </is>
      </c>
      <c r="AJ555" s="156" t="n"/>
      <c r="AK555" s="155" t="inlineStr">
        <is>
          <t>Criterios: I [Q]; G1522_Extraccion_Articulos_NetSuite_2026-09-30.xlsx: fila 59127 [R] | Shopify Stetson: producto 15054564721003 / variante 53350556762475</t>
        </is>
      </c>
      <c r="AL555" s="58" t="n">
        <v>752.58</v>
      </c>
      <c r="AM555" s="58" t="n">
        <v>4310.344828</v>
      </c>
      <c r="AN555" s="155" t="inlineStr">
        <is>
          <t>Shopify Stetson México</t>
        </is>
      </c>
      <c r="AO555" s="59" t="n">
        <v>1</v>
      </c>
      <c r="AP555" s="59" t="n"/>
      <c r="AQ555" s="59" t="n"/>
      <c r="AR555" s="155" t="inlineStr">
        <is>
          <t>Shopify Stetson México › Stetson Americas: 1</t>
        </is>
      </c>
    </row>
    <row r="556">
      <c r="A556" s="50" t="inlineStr">
        <is>
          <t>12020006111029275</t>
        </is>
      </c>
      <c r="B556" s="51" t="inlineStr">
        <is>
          <t>111453</t>
        </is>
      </c>
      <c r="C556" s="156" t="inlineStr">
        <is>
          <t>Multimarca</t>
        </is>
      </c>
      <c r="D556" s="156" t="inlineStr">
        <is>
          <t>12-020-BS006-11-1029</t>
        </is>
      </c>
      <c r="E556" s="156" t="inlineStr">
        <is>
          <t>12-020-BS006-11-1029-275</t>
        </is>
      </c>
      <c r="F556" s="156" t="inlineStr">
        <is>
          <t>27.5</t>
        </is>
      </c>
      <c r="G556" s="156" t="inlineStr">
        <is>
          <t>9.5</t>
        </is>
      </c>
      <c r="H556" s="156" t="inlineStr">
        <is>
          <t>Stetson</t>
        </is>
      </c>
      <c r="I556" s="156" t="inlineStr">
        <is>
          <t>Bota Piel Chocolate</t>
        </is>
      </c>
      <c r="J556" s="156" t="inlineStr">
        <is>
          <t>Calzado</t>
        </is>
      </c>
      <c r="K556" s="156" t="inlineStr">
        <is>
          <t>Botas</t>
        </is>
      </c>
      <c r="L556" s="156" t="inlineStr">
        <is>
          <t>Hombre</t>
        </is>
      </c>
      <c r="M556" s="156" t="inlineStr">
        <is>
          <t>Stetson</t>
        </is>
      </c>
      <c r="N556" s="156" t="inlineStr">
        <is>
          <t>SS26</t>
        </is>
      </c>
      <c r="O556" s="156" t="inlineStr">
        <is>
          <t>Seasonal</t>
        </is>
      </c>
      <c r="P556" s="156" t="inlineStr">
        <is>
          <t>Cafe</t>
        </is>
      </c>
      <c r="Q556" s="156" t="n"/>
      <c r="R556" s="156" t="inlineStr">
        <is>
          <t>Punta Cuadrada Ancha</t>
        </is>
      </c>
      <c r="S556" s="156" t="inlineStr">
        <is>
          <t>Piel bovina</t>
        </is>
      </c>
      <c r="T556" s="156" t="inlineStr">
        <is>
          <t>Bota Caballero Piel bovina Grabada Chocolate Punta Cuadrada Ancha</t>
        </is>
      </c>
      <c r="U556" s="156" t="inlineStr">
        <is>
          <t>México</t>
        </is>
      </c>
      <c r="V556" s="156" t="inlineStr">
        <is>
          <t>PRS</t>
        </is>
      </c>
      <c r="W556" s="51" t="inlineStr">
        <is>
          <t>53111501</t>
        </is>
      </c>
      <c r="X556" s="156" t="n"/>
      <c r="Y556" s="54" t="n">
        <v>752.58</v>
      </c>
      <c r="Z556" s="54" t="n">
        <v>4310.344828</v>
      </c>
      <c r="AA556" s="55">
        <f>IF(AND(A556="", B556="", E556=""), "", IF(AB556="", "Válido", IF((LEN(AB556)-LEN(SUBSTITUTE(AB556,"; ","")))/2+1&gt;(LEN(AB556)-LEN(SUBSTITUTE(AB556,"[Aviso]","")))/7, "Con Incidencias", "Válido")))</f>
        <v/>
      </c>
      <c r="AB556" s="56">
        <f>IF(AND(A556="", B556="", E556=""), "", TEXTJOIN("; ", TRUE, IF(OR(TRIM(A556&amp;"")="", ISNUMBER(SEARCH("FALTA", A556))), "UPC faltante/inválido", ""), IF(AND(A556&lt;&gt;"", IFERROR(_xlfn.XMATCH(A556,$A$2:$A$2509,0,1)&lt;&gt;_xlfn.XMATCH(A556,$A$2:$A$2509,0,-1),FALSE)), "Código de barras duplicado", ""), IF(AND(E556&lt;&gt;"", COUNTIF($E$2:$E$2509, E556)&gt;1), "SKU duplicado", ""), IF(OR(J556="", J556=""), "[Aviso] División no capturada ()", IF(ISNA(MATCH(J556, Criterios!$A$123:$A$126, 0)), "División no válida", "")), IF(OR(K556="", K556=""), "[Aviso] Categoría no capturada ()", IF(ISNA(MATCH(K556, Criterios!$A$81:$A$120, 0)), "Categoría no válida", IF(AND(J556&lt;&gt;"", J556&lt;&gt;"", J556&lt;&gt;VLOOKUP(K556, Criterios!$A$81:$B$120, 2, FALSE)), "División no coincide con Categoría", ""))), IF(OR(L556="", L556=""), "[Aviso] Género no capturado ()", IF(ISNA(MATCH(L556, Criterios!$B$123:$B$127, 0)), "Género no válido", "")), IF(OR(N556="", N556=""), "[Aviso] Temporada no capturada ()", IF(ISNA(MATCH(N556, Criterios!$C$123:$C$128, 0)), "Temporada no válida", "")), IF(OR(O556="", O556=""), "[Aviso] Ciclo de vida no capturado ()", IF(ISNA(MATCH(O556, Criterios!$D$123:$D$124, 0)), "Ciclo de vida no válido", ""))))</f>
        <v/>
      </c>
      <c r="AC556" s="56" t="n"/>
      <c r="AD556" s="51" t="n">
        <v>-1</v>
      </c>
      <c r="AE556" s="156" t="n"/>
      <c r="AF556" s="51" t="n">
        <v>0</v>
      </c>
      <c r="AG556" s="156" t="inlineStr">
        <is>
          <t>Catálogo existente</t>
        </is>
      </c>
      <c r="AH55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6" s="156" t="inlineStr">
        <is>
          <t>Sí</t>
        </is>
      </c>
      <c r="AJ556" s="156" t="inlineStr">
        <is>
          <t>STETSON AMERICAS (-1)</t>
        </is>
      </c>
      <c r="AK556" s="155" t="inlineStr">
        <is>
          <t>Criterios: I [Q]; G1522_Extraccion_Articulos_NetSuite_2026-09-30.xlsx: fila 59128 [R] | Shopify Stetson: producto 15054564721003 / variante 53350556828011</t>
        </is>
      </c>
      <c r="AL556" s="58" t="n">
        <v>752.58</v>
      </c>
      <c r="AM556" s="58" t="n">
        <v>4310.344828</v>
      </c>
      <c r="AN556" s="155" t="inlineStr">
        <is>
          <t>Shopify Stetson México</t>
        </is>
      </c>
      <c r="AO556" s="59" t="n">
        <v>0</v>
      </c>
      <c r="AP556" s="59" t="n"/>
      <c r="AQ556" s="59" t="n"/>
      <c r="AR556" s="155" t="n"/>
    </row>
    <row r="557">
      <c r="A557" s="50" t="inlineStr">
        <is>
          <t>12020006111029285</t>
        </is>
      </c>
      <c r="B557" s="51" t="inlineStr">
        <is>
          <t>111454</t>
        </is>
      </c>
      <c r="C557" s="156" t="inlineStr">
        <is>
          <t>Multimarca</t>
        </is>
      </c>
      <c r="D557" s="156" t="inlineStr">
        <is>
          <t>12-020-BS006-11-1029</t>
        </is>
      </c>
      <c r="E557" s="156" t="inlineStr">
        <is>
          <t>12-020-BS006-11-1029-285</t>
        </is>
      </c>
      <c r="F557" s="156" t="inlineStr">
        <is>
          <t>28.5</t>
        </is>
      </c>
      <c r="G557" s="156" t="inlineStr">
        <is>
          <t>10.5</t>
        </is>
      </c>
      <c r="H557" s="156" t="inlineStr">
        <is>
          <t>Stetson</t>
        </is>
      </c>
      <c r="I557" s="156" t="inlineStr">
        <is>
          <t>Bota Piel Chocolate</t>
        </is>
      </c>
      <c r="J557" s="156" t="inlineStr">
        <is>
          <t>Calzado</t>
        </is>
      </c>
      <c r="K557" s="156" t="inlineStr">
        <is>
          <t>Botas</t>
        </is>
      </c>
      <c r="L557" s="156" t="inlineStr">
        <is>
          <t>Hombre</t>
        </is>
      </c>
      <c r="M557" s="156" t="inlineStr">
        <is>
          <t>Stetson</t>
        </is>
      </c>
      <c r="N557" s="156" t="inlineStr">
        <is>
          <t>SS26</t>
        </is>
      </c>
      <c r="O557" s="156" t="inlineStr">
        <is>
          <t>Seasonal</t>
        </is>
      </c>
      <c r="P557" s="156" t="inlineStr">
        <is>
          <t>Cafe</t>
        </is>
      </c>
      <c r="Q557" s="156" t="n"/>
      <c r="R557" s="156" t="inlineStr">
        <is>
          <t>Punta Cuadrada Ancha</t>
        </is>
      </c>
      <c r="S557" s="156" t="inlineStr">
        <is>
          <t>Piel bovina</t>
        </is>
      </c>
      <c r="T557" s="156" t="inlineStr">
        <is>
          <t>Bota Caballero Piel bovina Grabada Chocolate Punta Cuadrada Ancha</t>
        </is>
      </c>
      <c r="U557" s="156" t="inlineStr">
        <is>
          <t>México</t>
        </is>
      </c>
      <c r="V557" s="156" t="inlineStr">
        <is>
          <t>PRS</t>
        </is>
      </c>
      <c r="W557" s="51" t="inlineStr">
        <is>
          <t>53111501</t>
        </is>
      </c>
      <c r="X557" s="156" t="n"/>
      <c r="Y557" s="54" t="n">
        <v>752.58</v>
      </c>
      <c r="Z557" s="54" t="n">
        <v>4310.344828</v>
      </c>
      <c r="AA557" s="55">
        <f>IF(AND(A557="", B557="", E557=""), "", IF(AB557="", "Válido", IF((LEN(AB557)-LEN(SUBSTITUTE(AB557,"; ","")))/2+1&gt;(LEN(AB557)-LEN(SUBSTITUTE(AB557,"[Aviso]","")))/7, "Con Incidencias", "Válido")))</f>
        <v/>
      </c>
      <c r="AB557" s="56">
        <f>IF(AND(A557="", B557="", E557=""), "", TEXTJOIN("; ", TRUE, IF(OR(TRIM(A557&amp;"")="", ISNUMBER(SEARCH("FALTA", A557))), "UPC faltante/inválido", ""), IF(AND(A557&lt;&gt;"", IFERROR(_xlfn.XMATCH(A557,$A$2:$A$2509,0,1)&lt;&gt;_xlfn.XMATCH(A557,$A$2:$A$2509,0,-1),FALSE)), "Código de barras duplicado", ""), IF(AND(E557&lt;&gt;"", COUNTIF($E$2:$E$2509, E557)&gt;1), "SKU duplicado", ""), IF(OR(J557="", J557=""), "[Aviso] División no capturada ()", IF(ISNA(MATCH(J557, Criterios!$A$123:$A$126, 0)), "División no válida", "")), IF(OR(K557="", K557=""), "[Aviso] Categoría no capturada ()", IF(ISNA(MATCH(K557, Criterios!$A$81:$A$120, 0)), "Categoría no válida", IF(AND(J557&lt;&gt;"", J557&lt;&gt;"", J557&lt;&gt;VLOOKUP(K557, Criterios!$A$81:$B$120, 2, FALSE)), "División no coincide con Categoría", ""))), IF(OR(L557="", L557=""), "[Aviso] Género no capturado ()", IF(ISNA(MATCH(L557, Criterios!$B$123:$B$127, 0)), "Género no válido", "")), IF(OR(N557="", N557=""), "[Aviso] Temporada no capturada ()", IF(ISNA(MATCH(N557, Criterios!$C$123:$C$128, 0)), "Temporada no válida", "")), IF(OR(O557="", O557=""), "[Aviso] Ciclo de vida no capturado ()", IF(ISNA(MATCH(O557, Criterios!$D$123:$D$124, 0)), "Ciclo de vida no válido", ""))))</f>
        <v/>
      </c>
      <c r="AC557" s="56" t="n"/>
      <c r="AD557" s="51" t="n">
        <v>0</v>
      </c>
      <c r="AE557" s="156" t="n"/>
      <c r="AF557" s="51" t="n">
        <v>0</v>
      </c>
      <c r="AG557" s="156" t="inlineStr">
        <is>
          <t>Catálogo existente</t>
        </is>
      </c>
      <c r="AH5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7" s="156" t="inlineStr">
        <is>
          <t>No</t>
        </is>
      </c>
      <c r="AJ557" s="156" t="n"/>
      <c r="AK557" s="155" t="inlineStr">
        <is>
          <t>Criterios: I [Q]; G1522_Extraccion_Articulos_NetSuite_2026-09-30.xlsx: fila 59129 [R] | Shopify Stetson: producto 15054564721003 / variante 53350556893547</t>
        </is>
      </c>
      <c r="AL557" s="58" t="n">
        <v>752.58</v>
      </c>
      <c r="AM557" s="58" t="n">
        <v>4310.344828</v>
      </c>
      <c r="AN557" s="155" t="inlineStr">
        <is>
          <t>Shopify Stetson México</t>
        </is>
      </c>
      <c r="AO557" s="59" t="n">
        <v>1</v>
      </c>
      <c r="AP557" s="59" t="n"/>
      <c r="AQ557" s="59" t="n"/>
      <c r="AR557" s="155" t="inlineStr">
        <is>
          <t>Shopify Stetson México › Stetson Americas: 1</t>
        </is>
      </c>
    </row>
    <row r="558">
      <c r="A558" s="50" t="inlineStr">
        <is>
          <t>12020006111029295</t>
        </is>
      </c>
      <c r="B558" s="51" t="inlineStr">
        <is>
          <t>111455</t>
        </is>
      </c>
      <c r="C558" s="156" t="inlineStr">
        <is>
          <t>Multimarca</t>
        </is>
      </c>
      <c r="D558" s="156" t="inlineStr">
        <is>
          <t>12-020-BS006-11-1029</t>
        </is>
      </c>
      <c r="E558" s="156" t="inlineStr">
        <is>
          <t>12-020-BS006-11-1029-295</t>
        </is>
      </c>
      <c r="F558" s="156" t="inlineStr">
        <is>
          <t>29.5</t>
        </is>
      </c>
      <c r="G558" s="156" t="inlineStr">
        <is>
          <t>11.5</t>
        </is>
      </c>
      <c r="H558" s="156" t="inlineStr">
        <is>
          <t>Stetson</t>
        </is>
      </c>
      <c r="I558" s="156" t="inlineStr">
        <is>
          <t>Bota Piel Chocolate</t>
        </is>
      </c>
      <c r="J558" s="156" t="inlineStr">
        <is>
          <t>Calzado</t>
        </is>
      </c>
      <c r="K558" s="156" t="inlineStr">
        <is>
          <t>Botas</t>
        </is>
      </c>
      <c r="L558" s="156" t="inlineStr">
        <is>
          <t>Hombre</t>
        </is>
      </c>
      <c r="M558" s="156" t="inlineStr">
        <is>
          <t>Stetson</t>
        </is>
      </c>
      <c r="N558" s="156" t="inlineStr">
        <is>
          <t>SS26</t>
        </is>
      </c>
      <c r="O558" s="156" t="inlineStr">
        <is>
          <t>Seasonal</t>
        </is>
      </c>
      <c r="P558" s="156" t="inlineStr">
        <is>
          <t>Cafe</t>
        </is>
      </c>
      <c r="Q558" s="156" t="n"/>
      <c r="R558" s="156" t="inlineStr">
        <is>
          <t>Punta Cuadrada Ancha</t>
        </is>
      </c>
      <c r="S558" s="156" t="inlineStr">
        <is>
          <t>Piel bovina</t>
        </is>
      </c>
      <c r="T558" s="156" t="inlineStr">
        <is>
          <t>Bota Caballero Piel bovina Grabada Chocolate Punta Cuadrada Ancha</t>
        </is>
      </c>
      <c r="U558" s="156" t="inlineStr">
        <is>
          <t>México</t>
        </is>
      </c>
      <c r="V558" s="156" t="inlineStr">
        <is>
          <t>PRS</t>
        </is>
      </c>
      <c r="W558" s="51" t="inlineStr">
        <is>
          <t>53111501</t>
        </is>
      </c>
      <c r="X558" s="156" t="n"/>
      <c r="Y558" s="54" t="n">
        <v>752.58</v>
      </c>
      <c r="Z558" s="54" t="n">
        <v>4310.344828</v>
      </c>
      <c r="AA558" s="55">
        <f>IF(AND(A558="", B558="", E558=""), "", IF(AB558="", "Válido", IF((LEN(AB558)-LEN(SUBSTITUTE(AB558,"; ","")))/2+1&gt;(LEN(AB558)-LEN(SUBSTITUTE(AB558,"[Aviso]","")))/7, "Con Incidencias", "Válido")))</f>
        <v/>
      </c>
      <c r="AB558" s="56">
        <f>IF(AND(A558="", B558="", E558=""), "", TEXTJOIN("; ", TRUE, IF(OR(TRIM(A558&amp;"")="", ISNUMBER(SEARCH("FALTA", A558))), "UPC faltante/inválido", ""), IF(AND(A558&lt;&gt;"", IFERROR(_xlfn.XMATCH(A558,$A$2:$A$2509,0,1)&lt;&gt;_xlfn.XMATCH(A558,$A$2:$A$2509,0,-1),FALSE)), "Código de barras duplicado", ""), IF(AND(E558&lt;&gt;"", COUNTIF($E$2:$E$2509, E558)&gt;1), "SKU duplicado", ""), IF(OR(J558="", J558=""), "[Aviso] División no capturada ()", IF(ISNA(MATCH(J558, Criterios!$A$123:$A$126, 0)), "División no válida", "")), IF(OR(K558="", K558=""), "[Aviso] Categoría no capturada ()", IF(ISNA(MATCH(K558, Criterios!$A$81:$A$120, 0)), "Categoría no válida", IF(AND(J558&lt;&gt;"", J558&lt;&gt;"", J558&lt;&gt;VLOOKUP(K558, Criterios!$A$81:$B$120, 2, FALSE)), "División no coincide con Categoría", ""))), IF(OR(L558="", L558=""), "[Aviso] Género no capturado ()", IF(ISNA(MATCH(L558, Criterios!$B$123:$B$127, 0)), "Género no válido", "")), IF(OR(N558="", N558=""), "[Aviso] Temporada no capturada ()", IF(ISNA(MATCH(N558, Criterios!$C$123:$C$128, 0)), "Temporada no válida", "")), IF(OR(O558="", O558=""), "[Aviso] Ciclo de vida no capturado ()", IF(ISNA(MATCH(O558, Criterios!$D$123:$D$124, 0)), "Ciclo de vida no válido", ""))))</f>
        <v/>
      </c>
      <c r="AC558" s="56" t="n"/>
      <c r="AD558" s="51" t="n">
        <v>-1</v>
      </c>
      <c r="AE558" s="156" t="n"/>
      <c r="AF558" s="51" t="n">
        <v>0</v>
      </c>
      <c r="AG558" s="156" t="inlineStr">
        <is>
          <t>Catálogo existente</t>
        </is>
      </c>
      <c r="AH55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8" s="156" t="inlineStr">
        <is>
          <t>Sí</t>
        </is>
      </c>
      <c r="AJ558" s="156" t="inlineStr">
        <is>
          <t>STETSON AMERICAS (-1)</t>
        </is>
      </c>
      <c r="AK558" s="155" t="inlineStr">
        <is>
          <t>Criterios: I [Q]; G1522_Extraccion_Articulos_NetSuite_2026-09-30.xlsx: fila 59130 [R] | Shopify Stetson: producto 15054564721003 / variante 53350556959083</t>
        </is>
      </c>
      <c r="AL558" s="58" t="n">
        <v>752.58</v>
      </c>
      <c r="AM558" s="58" t="n">
        <v>4310.344828</v>
      </c>
      <c r="AN558" s="155" t="inlineStr">
        <is>
          <t>Shopify Stetson México</t>
        </is>
      </c>
      <c r="AO558" s="59" t="n">
        <v>0</v>
      </c>
      <c r="AP558" s="59" t="n"/>
      <c r="AQ558" s="59" t="n"/>
      <c r="AR558" s="155" t="n"/>
    </row>
    <row r="559">
      <c r="A559" s="50" t="inlineStr">
        <is>
          <t>12020006111029305</t>
        </is>
      </c>
      <c r="B559" s="51" t="inlineStr">
        <is>
          <t>111456</t>
        </is>
      </c>
      <c r="C559" s="156" t="inlineStr">
        <is>
          <t>Multimarca</t>
        </is>
      </c>
      <c r="D559" s="156" t="inlineStr">
        <is>
          <t>12-020-BS006-11-1029</t>
        </is>
      </c>
      <c r="E559" s="156" t="inlineStr">
        <is>
          <t>12-020-BS006-11-1029-305</t>
        </is>
      </c>
      <c r="F559" s="156" t="inlineStr">
        <is>
          <t>30.5</t>
        </is>
      </c>
      <c r="G559" s="156" t="inlineStr">
        <is>
          <t>12.5</t>
        </is>
      </c>
      <c r="H559" s="156" t="inlineStr">
        <is>
          <t>Stetson</t>
        </is>
      </c>
      <c r="I559" s="156" t="inlineStr">
        <is>
          <t>Bota Piel Chocolate</t>
        </is>
      </c>
      <c r="J559" s="156" t="inlineStr">
        <is>
          <t>Calzado</t>
        </is>
      </c>
      <c r="K559" s="156" t="inlineStr">
        <is>
          <t>Botas</t>
        </is>
      </c>
      <c r="L559" s="156" t="inlineStr">
        <is>
          <t>Hombre</t>
        </is>
      </c>
      <c r="M559" s="156" t="inlineStr">
        <is>
          <t>Stetson</t>
        </is>
      </c>
      <c r="N559" s="156" t="inlineStr">
        <is>
          <t>SS26</t>
        </is>
      </c>
      <c r="O559" s="156" t="inlineStr">
        <is>
          <t>Seasonal</t>
        </is>
      </c>
      <c r="P559" s="156" t="inlineStr">
        <is>
          <t>Cafe</t>
        </is>
      </c>
      <c r="Q559" s="156" t="n"/>
      <c r="R559" s="156" t="inlineStr">
        <is>
          <t>Punta Cuadrada Ancha</t>
        </is>
      </c>
      <c r="S559" s="156" t="inlineStr">
        <is>
          <t>Piel bovina</t>
        </is>
      </c>
      <c r="T559" s="156" t="inlineStr">
        <is>
          <t>Bota Caballero Piel bovina Grabada Chocolate Punta Cuadrada Ancha</t>
        </is>
      </c>
      <c r="U559" s="156" t="inlineStr">
        <is>
          <t>México</t>
        </is>
      </c>
      <c r="V559" s="156" t="inlineStr">
        <is>
          <t>PRS</t>
        </is>
      </c>
      <c r="W559" s="51" t="inlineStr">
        <is>
          <t>53111501</t>
        </is>
      </c>
      <c r="X559" s="156" t="n"/>
      <c r="Y559" s="54" t="n">
        <v>752.58</v>
      </c>
      <c r="Z559" s="54" t="n">
        <v>4310.344828</v>
      </c>
      <c r="AA559" s="55">
        <f>IF(AND(A559="", B559="", E559=""), "", IF(AB559="", "Válido", IF((LEN(AB559)-LEN(SUBSTITUTE(AB559,"; ","")))/2+1&gt;(LEN(AB559)-LEN(SUBSTITUTE(AB559,"[Aviso]","")))/7, "Con Incidencias", "Válido")))</f>
        <v/>
      </c>
      <c r="AB559" s="56">
        <f>IF(AND(A559="", B559="", E559=""), "", TEXTJOIN("; ", TRUE, IF(OR(TRIM(A559&amp;"")="", ISNUMBER(SEARCH("FALTA", A559))), "UPC faltante/inválido", ""), IF(AND(A559&lt;&gt;"", IFERROR(_xlfn.XMATCH(A559,$A$2:$A$2509,0,1)&lt;&gt;_xlfn.XMATCH(A559,$A$2:$A$2509,0,-1),FALSE)), "Código de barras duplicado", ""), IF(AND(E559&lt;&gt;"", COUNTIF($E$2:$E$2509, E559)&gt;1), "SKU duplicado", ""), IF(OR(J559="", J559=""), "[Aviso] División no capturada ()", IF(ISNA(MATCH(J559, Criterios!$A$123:$A$126, 0)), "División no válida", "")), IF(OR(K559="", K559=""), "[Aviso] Categoría no capturada ()", IF(ISNA(MATCH(K559, Criterios!$A$81:$A$120, 0)), "Categoría no válida", IF(AND(J559&lt;&gt;"", J559&lt;&gt;"", J559&lt;&gt;VLOOKUP(K559, Criterios!$A$81:$B$120, 2, FALSE)), "División no coincide con Categoría", ""))), IF(OR(L559="", L559=""), "[Aviso] Género no capturado ()", IF(ISNA(MATCH(L559, Criterios!$B$123:$B$127, 0)), "Género no válido", "")), IF(OR(N559="", N559=""), "[Aviso] Temporada no capturada ()", IF(ISNA(MATCH(N559, Criterios!$C$123:$C$128, 0)), "Temporada no válida", "")), IF(OR(O559="", O559=""), "[Aviso] Ciclo de vida no capturado ()", IF(ISNA(MATCH(O559, Criterios!$D$123:$D$124, 0)), "Ciclo de vida no válido", ""))))</f>
        <v/>
      </c>
      <c r="AC559" s="56" t="n"/>
      <c r="AD559" s="51" t="n">
        <v>0</v>
      </c>
      <c r="AE559" s="156" t="n"/>
      <c r="AF559" s="51" t="n">
        <v>0</v>
      </c>
      <c r="AG559" s="156" t="inlineStr">
        <is>
          <t>Catálogo existente</t>
        </is>
      </c>
      <c r="AH5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9" s="156" t="inlineStr">
        <is>
          <t>No</t>
        </is>
      </c>
      <c r="AJ559" s="156" t="n"/>
      <c r="AK559" s="155" t="inlineStr">
        <is>
          <t>Criterios: I [Q]; G1522_Extraccion_Articulos_NetSuite_2026-09-30.xlsx: fila 59131 [R] | Shopify Stetson: producto 15054564721003 / variante 53350557024619</t>
        </is>
      </c>
      <c r="AL559" s="58" t="n">
        <v>752.58</v>
      </c>
      <c r="AM559" s="58" t="n">
        <v>4310.344828</v>
      </c>
      <c r="AN559" s="155" t="inlineStr">
        <is>
          <t>Shopify Stetson México</t>
        </is>
      </c>
      <c r="AO559" s="59" t="n">
        <v>0</v>
      </c>
      <c r="AP559" s="59" t="n"/>
      <c r="AQ559" s="59" t="n"/>
      <c r="AR559" s="155" t="n"/>
    </row>
    <row r="560">
      <c r="A560" s="50" t="inlineStr">
        <is>
          <t>12020006111029315</t>
        </is>
      </c>
      <c r="B560" s="51" t="inlineStr">
        <is>
          <t>111457</t>
        </is>
      </c>
      <c r="C560" s="156" t="inlineStr">
        <is>
          <t>Multimarca</t>
        </is>
      </c>
      <c r="D560" s="156" t="inlineStr">
        <is>
          <t>12-020-BS006-11-1029</t>
        </is>
      </c>
      <c r="E560" s="156" t="inlineStr">
        <is>
          <t>12-020-BS006-11-1029-315</t>
        </is>
      </c>
      <c r="F560" s="156" t="inlineStr">
        <is>
          <t>31.5</t>
        </is>
      </c>
      <c r="G560" s="156" t="inlineStr">
        <is>
          <t>13.5</t>
        </is>
      </c>
      <c r="H560" s="156" t="inlineStr">
        <is>
          <t>Stetson</t>
        </is>
      </c>
      <c r="I560" s="156" t="inlineStr">
        <is>
          <t>Bota Piel Chocolate</t>
        </is>
      </c>
      <c r="J560" s="156" t="inlineStr">
        <is>
          <t>Calzado</t>
        </is>
      </c>
      <c r="K560" s="156" t="inlineStr">
        <is>
          <t>Botas</t>
        </is>
      </c>
      <c r="L560" s="156" t="inlineStr">
        <is>
          <t>Hombre</t>
        </is>
      </c>
      <c r="M560" s="156" t="inlineStr">
        <is>
          <t>Stetson</t>
        </is>
      </c>
      <c r="N560" s="156" t="inlineStr">
        <is>
          <t>SS26</t>
        </is>
      </c>
      <c r="O560" s="156" t="inlineStr">
        <is>
          <t>Seasonal</t>
        </is>
      </c>
      <c r="P560" s="156" t="inlineStr">
        <is>
          <t>Cafe</t>
        </is>
      </c>
      <c r="Q560" s="156" t="n"/>
      <c r="R560" s="156" t="inlineStr">
        <is>
          <t>Punta Cuadrada Ancha</t>
        </is>
      </c>
      <c r="S560" s="156" t="inlineStr">
        <is>
          <t>Piel bovina</t>
        </is>
      </c>
      <c r="T560" s="156" t="inlineStr">
        <is>
          <t>Bota Caballero Piel bovina Grabada Chocolate Punta Cuadrada Ancha</t>
        </is>
      </c>
      <c r="U560" s="156" t="inlineStr">
        <is>
          <t>México</t>
        </is>
      </c>
      <c r="V560" s="156" t="inlineStr">
        <is>
          <t>PRS</t>
        </is>
      </c>
      <c r="W560" s="51" t="inlineStr">
        <is>
          <t>53111501</t>
        </is>
      </c>
      <c r="X560" s="156" t="n"/>
      <c r="Y560" s="54" t="n">
        <v>752.58</v>
      </c>
      <c r="Z560" s="54" t="n">
        <v>4310.344828</v>
      </c>
      <c r="AA560" s="55">
        <f>IF(AND(A560="", B560="", E560=""), "", IF(AB560="", "Válido", IF((LEN(AB560)-LEN(SUBSTITUTE(AB560,"; ","")))/2+1&gt;(LEN(AB560)-LEN(SUBSTITUTE(AB560,"[Aviso]","")))/7, "Con Incidencias", "Válido")))</f>
        <v/>
      </c>
      <c r="AB560" s="56">
        <f>IF(AND(A560="", B560="", E560=""), "", TEXTJOIN("; ", TRUE, IF(OR(TRIM(A560&amp;"")="", ISNUMBER(SEARCH("FALTA", A560))), "UPC faltante/inválido", ""), IF(AND(A560&lt;&gt;"", IFERROR(_xlfn.XMATCH(A560,$A$2:$A$2509,0,1)&lt;&gt;_xlfn.XMATCH(A560,$A$2:$A$2509,0,-1),FALSE)), "Código de barras duplicado", ""), IF(AND(E560&lt;&gt;"", COUNTIF($E$2:$E$2509, E560)&gt;1), "SKU duplicado", ""), IF(OR(J560="", J560=""), "[Aviso] División no capturada ()", IF(ISNA(MATCH(J560, Criterios!$A$123:$A$126, 0)), "División no válida", "")), IF(OR(K560="", K560=""), "[Aviso] Categoría no capturada ()", IF(ISNA(MATCH(K560, Criterios!$A$81:$A$120, 0)), "Categoría no válida", IF(AND(J560&lt;&gt;"", J560&lt;&gt;"", J560&lt;&gt;VLOOKUP(K560, Criterios!$A$81:$B$120, 2, FALSE)), "División no coincide con Categoría", ""))), IF(OR(L560="", L560=""), "[Aviso] Género no capturado ()", IF(ISNA(MATCH(L560, Criterios!$B$123:$B$127, 0)), "Género no válido", "")), IF(OR(N560="", N560=""), "[Aviso] Temporada no capturada ()", IF(ISNA(MATCH(N560, Criterios!$C$123:$C$128, 0)), "Temporada no válida", "")), IF(OR(O560="", O560=""), "[Aviso] Ciclo de vida no capturado ()", IF(ISNA(MATCH(O560, Criterios!$D$123:$D$124, 0)), "Ciclo de vida no válido", ""))))</f>
        <v/>
      </c>
      <c r="AC560" s="56" t="n"/>
      <c r="AD560" s="51" t="n">
        <v>0</v>
      </c>
      <c r="AE560" s="156" t="n"/>
      <c r="AF560" s="51" t="n">
        <v>0</v>
      </c>
      <c r="AG560" s="156" t="inlineStr">
        <is>
          <t>Catálogo existente</t>
        </is>
      </c>
      <c r="AH5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0" s="156" t="inlineStr">
        <is>
          <t>No</t>
        </is>
      </c>
      <c r="AJ560" s="156" t="n"/>
      <c r="AK560" s="155" t="inlineStr">
        <is>
          <t>Criterios: I [Q]; G1522_Extraccion_Articulos_NetSuite_2026-09-30.xlsx: fila 59132 [R] | Shopify Stetson: producto 15054564721003 / variante 53350557090155</t>
        </is>
      </c>
      <c r="AL560" s="58" t="n">
        <v>752.58</v>
      </c>
      <c r="AM560" s="58" t="n">
        <v>4310.344828</v>
      </c>
      <c r="AN560" s="155" t="inlineStr">
        <is>
          <t>Shopify Stetson México</t>
        </is>
      </c>
      <c r="AO560" s="59" t="n">
        <v>0</v>
      </c>
      <c r="AP560" s="59" t="n"/>
      <c r="AQ560" s="59" t="n"/>
      <c r="AR560" s="155" t="n"/>
    </row>
    <row r="561">
      <c r="A561" s="50" t="inlineStr">
        <is>
          <t>12020006111029325</t>
        </is>
      </c>
      <c r="B561" s="51" t="inlineStr">
        <is>
          <t>111458</t>
        </is>
      </c>
      <c r="C561" s="156" t="inlineStr">
        <is>
          <t>Multimarca</t>
        </is>
      </c>
      <c r="D561" s="156" t="inlineStr">
        <is>
          <t>12-020-BS006-11-1029</t>
        </is>
      </c>
      <c r="E561" s="156" t="inlineStr">
        <is>
          <t>12-020-BS006-11-1029-325</t>
        </is>
      </c>
      <c r="F561" s="156" t="inlineStr">
        <is>
          <t>32.5</t>
        </is>
      </c>
      <c r="G561" s="156" t="inlineStr">
        <is>
          <t>14.5</t>
        </is>
      </c>
      <c r="H561" s="156" t="inlineStr">
        <is>
          <t>Stetson</t>
        </is>
      </c>
      <c r="I561" s="156" t="inlineStr">
        <is>
          <t>Bota Piel Chocolate</t>
        </is>
      </c>
      <c r="J561" s="156" t="inlineStr">
        <is>
          <t>Calzado</t>
        </is>
      </c>
      <c r="K561" s="156" t="inlineStr">
        <is>
          <t>Botas</t>
        </is>
      </c>
      <c r="L561" s="156" t="inlineStr">
        <is>
          <t>Hombre</t>
        </is>
      </c>
      <c r="M561" s="156" t="inlineStr">
        <is>
          <t>Stetson</t>
        </is>
      </c>
      <c r="N561" s="156" t="inlineStr">
        <is>
          <t>SS26</t>
        </is>
      </c>
      <c r="O561" s="156" t="inlineStr">
        <is>
          <t>Seasonal</t>
        </is>
      </c>
      <c r="P561" s="156" t="inlineStr">
        <is>
          <t>Cafe</t>
        </is>
      </c>
      <c r="Q561" s="156" t="n"/>
      <c r="R561" s="156" t="inlineStr">
        <is>
          <t>Punta Cuadrada Ancha</t>
        </is>
      </c>
      <c r="S561" s="156" t="inlineStr">
        <is>
          <t>Piel bovina</t>
        </is>
      </c>
      <c r="T561" s="156" t="inlineStr">
        <is>
          <t>Bota Caballero Piel bovina Grabada Chocolate Punta Cuadrada Ancha</t>
        </is>
      </c>
      <c r="U561" s="156" t="inlineStr">
        <is>
          <t>México</t>
        </is>
      </c>
      <c r="V561" s="156" t="inlineStr">
        <is>
          <t>PRS</t>
        </is>
      </c>
      <c r="W561" s="51" t="inlineStr">
        <is>
          <t>53111501</t>
        </is>
      </c>
      <c r="X561" s="156" t="n"/>
      <c r="Y561" s="54" t="n">
        <v>752.58</v>
      </c>
      <c r="Z561" s="54" t="n">
        <v>4310.344828</v>
      </c>
      <c r="AA561" s="55">
        <f>IF(AND(A561="", B561="", E561=""), "", IF(AB561="", "Válido", IF((LEN(AB561)-LEN(SUBSTITUTE(AB561,"; ","")))/2+1&gt;(LEN(AB561)-LEN(SUBSTITUTE(AB561,"[Aviso]","")))/7, "Con Incidencias", "Válido")))</f>
        <v/>
      </c>
      <c r="AB561" s="56">
        <f>IF(AND(A561="", B561="", E561=""), "", TEXTJOIN("; ", TRUE, IF(OR(TRIM(A561&amp;"")="", ISNUMBER(SEARCH("FALTA", A561))), "UPC faltante/inválido", ""), IF(AND(A561&lt;&gt;"", IFERROR(_xlfn.XMATCH(A561,$A$2:$A$2509,0,1)&lt;&gt;_xlfn.XMATCH(A561,$A$2:$A$2509,0,-1),FALSE)), "Código de barras duplicado", ""), IF(AND(E561&lt;&gt;"", COUNTIF($E$2:$E$2509, E561)&gt;1), "SKU duplicado", ""), IF(OR(J561="", J561=""), "[Aviso] División no capturada ()", IF(ISNA(MATCH(J561, Criterios!$A$123:$A$126, 0)), "División no válida", "")), IF(OR(K561="", K561=""), "[Aviso] Categoría no capturada ()", IF(ISNA(MATCH(K561, Criterios!$A$81:$A$120, 0)), "Categoría no válida", IF(AND(J561&lt;&gt;"", J561&lt;&gt;"", J561&lt;&gt;VLOOKUP(K561, Criterios!$A$81:$B$120, 2, FALSE)), "División no coincide con Categoría", ""))), IF(OR(L561="", L561=""), "[Aviso] Género no capturado ()", IF(ISNA(MATCH(L561, Criterios!$B$123:$B$127, 0)), "Género no válido", "")), IF(OR(N561="", N561=""), "[Aviso] Temporada no capturada ()", IF(ISNA(MATCH(N561, Criterios!$C$123:$C$128, 0)), "Temporada no válida", "")), IF(OR(O561="", O561=""), "[Aviso] Ciclo de vida no capturado ()", IF(ISNA(MATCH(O561, Criterios!$D$123:$D$124, 0)), "Ciclo de vida no válido", ""))))</f>
        <v/>
      </c>
      <c r="AC561" s="56" t="n"/>
      <c r="AD561" s="51" t="n">
        <v>0</v>
      </c>
      <c r="AE561" s="156" t="n"/>
      <c r="AF561" s="51" t="n">
        <v>0</v>
      </c>
      <c r="AG561" s="156" t="inlineStr">
        <is>
          <t>Catálogo existente</t>
        </is>
      </c>
      <c r="AH5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1" s="156" t="inlineStr">
        <is>
          <t>No</t>
        </is>
      </c>
      <c r="AJ561" s="156" t="n"/>
      <c r="AK561" s="155" t="inlineStr">
        <is>
          <t>Criterios: I [Q]; G1522_Extraccion_Articulos_NetSuite_2026-09-30.xlsx: fila 59133 [R] | Shopify Stetson: producto 15054564721003 / variante 53350557155691</t>
        </is>
      </c>
      <c r="AL561" s="58" t="n">
        <v>752.58</v>
      </c>
      <c r="AM561" s="58" t="n">
        <v>4310.344828</v>
      </c>
      <c r="AN561" s="155" t="inlineStr">
        <is>
          <t>Shopify Stetson México</t>
        </is>
      </c>
      <c r="AO561" s="59" t="n">
        <v>0</v>
      </c>
      <c r="AP561" s="59" t="n"/>
      <c r="AQ561" s="59" t="n"/>
      <c r="AR561" s="155" t="n"/>
    </row>
    <row r="562">
      <c r="A562" s="50" t="inlineStr">
        <is>
          <t>12021000131043022</t>
        </is>
      </c>
      <c r="B562" s="51" t="inlineStr">
        <is>
          <t>111464</t>
        </is>
      </c>
      <c r="C562" s="156" t="inlineStr">
        <is>
          <t>Multimarca</t>
        </is>
      </c>
      <c r="D562" s="156" t="inlineStr">
        <is>
          <t>12-021-BS000-13-1043</t>
        </is>
      </c>
      <c r="E562" s="156" t="inlineStr">
        <is>
          <t>12-021-BS000-13-1043-022</t>
        </is>
      </c>
      <c r="F562" s="156" t="inlineStr">
        <is>
          <t>22</t>
        </is>
      </c>
      <c r="G562" s="156" t="inlineStr">
        <is>
          <t>5</t>
        </is>
      </c>
      <c r="H562" s="156" t="inlineStr">
        <is>
          <t>Stetson</t>
        </is>
      </c>
      <c r="I562" s="156" t="inlineStr">
        <is>
          <t>Bota Pitón Crema</t>
        </is>
      </c>
      <c r="J562" s="156" t="inlineStr">
        <is>
          <t>Calzado</t>
        </is>
      </c>
      <c r="K562" s="156" t="inlineStr">
        <is>
          <t>Botas</t>
        </is>
      </c>
      <c r="L562" s="156" t="inlineStr">
        <is>
          <t>Mujer</t>
        </is>
      </c>
      <c r="M562" s="156" t="inlineStr">
        <is>
          <t>Stetson</t>
        </is>
      </c>
      <c r="N562" s="156" t="inlineStr">
        <is>
          <t>SS26</t>
        </is>
      </c>
      <c r="O562" s="156" t="inlineStr">
        <is>
          <t>Seasonal</t>
        </is>
      </c>
      <c r="P562" s="156" t="inlineStr">
        <is>
          <t>Beige</t>
        </is>
      </c>
      <c r="Q562" s="156" t="n"/>
      <c r="R562" s="156" t="inlineStr">
        <is>
          <t>Horma Alexia</t>
        </is>
      </c>
      <c r="S562" s="156" t="inlineStr">
        <is>
          <t>Piel de pitón</t>
        </is>
      </c>
      <c r="T562" s="156" t="inlineStr">
        <is>
          <t>Bota Dama Piel de pitón Crema Horma Alexia</t>
        </is>
      </c>
      <c r="U562" s="156" t="inlineStr">
        <is>
          <t>México</t>
        </is>
      </c>
      <c r="V562" s="156" t="inlineStr">
        <is>
          <t>PRS</t>
        </is>
      </c>
      <c r="W562" s="51" t="inlineStr">
        <is>
          <t>53111502</t>
        </is>
      </c>
      <c r="X562" s="156" t="n"/>
      <c r="Y562" s="54" t="n">
        <v>1252.115</v>
      </c>
      <c r="Z562" s="54" t="n">
        <v>7155.172414</v>
      </c>
      <c r="AA562" s="55">
        <f>IF(AND(A562="", B562="", E562=""), "", IF(AB562="", "Válido", IF((LEN(AB562)-LEN(SUBSTITUTE(AB562,"; ","")))/2+1&gt;(LEN(AB562)-LEN(SUBSTITUTE(AB562,"[Aviso]","")))/7, "Con Incidencias", "Válido")))</f>
        <v/>
      </c>
      <c r="AB562" s="56">
        <f>IF(AND(A562="", B562="", E562=""), "", TEXTJOIN("; ", TRUE, IF(OR(TRIM(A562&amp;"")="", ISNUMBER(SEARCH("FALTA", A562))), "UPC faltante/inválido", ""), IF(AND(A562&lt;&gt;"", IFERROR(_xlfn.XMATCH(A562,$A$2:$A$2509,0,1)&lt;&gt;_xlfn.XMATCH(A562,$A$2:$A$2509,0,-1),FALSE)), "Código de barras duplicado", ""), IF(AND(E562&lt;&gt;"", COUNTIF($E$2:$E$2509, E562)&gt;1), "SKU duplicado", ""), IF(OR(J562="", J562=""), "[Aviso] División no capturada ()", IF(ISNA(MATCH(J562, Criterios!$A$123:$A$126, 0)), "División no válida", "")), IF(OR(K562="", K562=""), "[Aviso] Categoría no capturada ()", IF(ISNA(MATCH(K562, Criterios!$A$81:$A$120, 0)), "Categoría no válida", IF(AND(J562&lt;&gt;"", J562&lt;&gt;"", J562&lt;&gt;VLOOKUP(K562, Criterios!$A$81:$B$120, 2, FALSE)), "División no coincide con Categoría", ""))), IF(OR(L562="", L562=""), "[Aviso] Género no capturado ()", IF(ISNA(MATCH(L562, Criterios!$B$123:$B$127, 0)), "Género no válido", "")), IF(OR(N562="", N562=""), "[Aviso] Temporada no capturada ()", IF(ISNA(MATCH(N562, Criterios!$C$123:$C$128, 0)), "Temporada no válida", "")), IF(OR(O562="", O562=""), "[Aviso] Ciclo de vida no capturado ()", IF(ISNA(MATCH(O562, Criterios!$D$123:$D$124, 0)), "Ciclo de vida no válido", ""))))</f>
        <v/>
      </c>
      <c r="AC562" s="56" t="n"/>
      <c r="AD562" s="51" t="n">
        <v>0</v>
      </c>
      <c r="AE562" s="156" t="n"/>
      <c r="AF562" s="51" t="n">
        <v>0</v>
      </c>
      <c r="AG562" s="156" t="inlineStr">
        <is>
          <t>Catálogo existente</t>
        </is>
      </c>
      <c r="AH5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2" s="156" t="inlineStr">
        <is>
          <t>No</t>
        </is>
      </c>
      <c r="AJ562" s="156" t="n"/>
      <c r="AK562" s="155" t="inlineStr">
        <is>
          <t>Criterios: I [Q]; G1522_Extraccion_Articulos_NetSuite_2026-09-30.xlsx: fila 59139 [R] | Shopify Stetson: producto 15054565179755 / variante 53350562365803</t>
        </is>
      </c>
      <c r="AL562" s="58" t="n">
        <v>1252.115</v>
      </c>
      <c r="AM562" s="58" t="n">
        <v>7155.172414</v>
      </c>
      <c r="AN562" s="155" t="inlineStr">
        <is>
          <t>Shopify Stetson México</t>
        </is>
      </c>
      <c r="AO562" s="59" t="n">
        <v>0</v>
      </c>
      <c r="AP562" s="59" t="n"/>
      <c r="AQ562" s="59" t="n"/>
      <c r="AR562" s="155" t="n"/>
    </row>
    <row r="563">
      <c r="A563" s="50" t="inlineStr">
        <is>
          <t>12021000131043023</t>
        </is>
      </c>
      <c r="B563" s="51" t="inlineStr">
        <is>
          <t>111465</t>
        </is>
      </c>
      <c r="C563" s="156" t="inlineStr">
        <is>
          <t>Multimarca</t>
        </is>
      </c>
      <c r="D563" s="156" t="inlineStr">
        <is>
          <t>12-021-BS000-13-1043</t>
        </is>
      </c>
      <c r="E563" s="156" t="inlineStr">
        <is>
          <t>12-021-BS000-13-1043-023</t>
        </is>
      </c>
      <c r="F563" s="156" t="inlineStr">
        <is>
          <t>23</t>
        </is>
      </c>
      <c r="G563" s="156" t="inlineStr">
        <is>
          <t>6</t>
        </is>
      </c>
      <c r="H563" s="156" t="inlineStr">
        <is>
          <t>Stetson</t>
        </is>
      </c>
      <c r="I563" s="156" t="inlineStr">
        <is>
          <t>Bota Pitón Crema</t>
        </is>
      </c>
      <c r="J563" s="156" t="inlineStr">
        <is>
          <t>Calzado</t>
        </is>
      </c>
      <c r="K563" s="156" t="inlineStr">
        <is>
          <t>Botas</t>
        </is>
      </c>
      <c r="L563" s="156" t="inlineStr">
        <is>
          <t>Mujer</t>
        </is>
      </c>
      <c r="M563" s="156" t="inlineStr">
        <is>
          <t>Stetson</t>
        </is>
      </c>
      <c r="N563" s="156" t="inlineStr">
        <is>
          <t>SS26</t>
        </is>
      </c>
      <c r="O563" s="156" t="inlineStr">
        <is>
          <t>Seasonal</t>
        </is>
      </c>
      <c r="P563" s="156" t="inlineStr">
        <is>
          <t>Beige</t>
        </is>
      </c>
      <c r="Q563" s="156" t="n"/>
      <c r="R563" s="156" t="inlineStr">
        <is>
          <t>Horma Alexia</t>
        </is>
      </c>
      <c r="S563" s="156" t="inlineStr">
        <is>
          <t>Piel de pitón</t>
        </is>
      </c>
      <c r="T563" s="156" t="inlineStr">
        <is>
          <t>Bota Dama Piel de pitón Crema Horma Alexia</t>
        </is>
      </c>
      <c r="U563" s="156" t="inlineStr">
        <is>
          <t>México</t>
        </is>
      </c>
      <c r="V563" s="156" t="inlineStr">
        <is>
          <t>PRS</t>
        </is>
      </c>
      <c r="W563" s="51" t="inlineStr">
        <is>
          <t>53111502</t>
        </is>
      </c>
      <c r="X563" s="156" t="n"/>
      <c r="Y563" s="54" t="n">
        <v>1252.115</v>
      </c>
      <c r="Z563" s="54" t="n">
        <v>7155.172414</v>
      </c>
      <c r="AA563" s="55">
        <f>IF(AND(A563="", B563="", E563=""), "", IF(AB563="", "Válido", IF((LEN(AB563)-LEN(SUBSTITUTE(AB563,"; ","")))/2+1&gt;(LEN(AB563)-LEN(SUBSTITUTE(AB563,"[Aviso]","")))/7, "Con Incidencias", "Válido")))</f>
        <v/>
      </c>
      <c r="AB563" s="56">
        <f>IF(AND(A563="", B563="", E563=""), "", TEXTJOIN("; ", TRUE, IF(OR(TRIM(A563&amp;"")="", ISNUMBER(SEARCH("FALTA", A563))), "UPC faltante/inválido", ""), IF(AND(A563&lt;&gt;"", IFERROR(_xlfn.XMATCH(A563,$A$2:$A$2509,0,1)&lt;&gt;_xlfn.XMATCH(A563,$A$2:$A$2509,0,-1),FALSE)), "Código de barras duplicado", ""), IF(AND(E563&lt;&gt;"", COUNTIF($E$2:$E$2509, E563)&gt;1), "SKU duplicado", ""), IF(OR(J563="", J563=""), "[Aviso] División no capturada ()", IF(ISNA(MATCH(J563, Criterios!$A$123:$A$126, 0)), "División no válida", "")), IF(OR(K563="", K563=""), "[Aviso] Categoría no capturada ()", IF(ISNA(MATCH(K563, Criterios!$A$81:$A$120, 0)), "Categoría no válida", IF(AND(J563&lt;&gt;"", J563&lt;&gt;"", J563&lt;&gt;VLOOKUP(K563, Criterios!$A$81:$B$120, 2, FALSE)), "División no coincide con Categoría", ""))), IF(OR(L563="", L563=""), "[Aviso] Género no capturado ()", IF(ISNA(MATCH(L563, Criterios!$B$123:$B$127, 0)), "Género no válido", "")), IF(OR(N563="", N563=""), "[Aviso] Temporada no capturada ()", IF(ISNA(MATCH(N563, Criterios!$C$123:$C$128, 0)), "Temporada no válida", "")), IF(OR(O563="", O563=""), "[Aviso] Ciclo de vida no capturado ()", IF(ISNA(MATCH(O563, Criterios!$D$123:$D$124, 0)), "Ciclo de vida no válido", ""))))</f>
        <v/>
      </c>
      <c r="AC563" s="56" t="n"/>
      <c r="AD563" s="51" t="n">
        <v>0</v>
      </c>
      <c r="AE563" s="156" t="n"/>
      <c r="AF563" s="51" t="n">
        <v>0</v>
      </c>
      <c r="AG563" s="156" t="inlineStr">
        <is>
          <t>Catálogo existente</t>
        </is>
      </c>
      <c r="AH5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3" s="156" t="inlineStr">
        <is>
          <t>No</t>
        </is>
      </c>
      <c r="AJ563" s="156" t="n"/>
      <c r="AK563" s="155" t="inlineStr">
        <is>
          <t>Criterios: I [Q]; G1522_Extraccion_Articulos_NetSuite_2026-09-30.xlsx: fila 59140 [R] | Shopify Stetson: producto 15054565179755 / variante 53350562431339</t>
        </is>
      </c>
      <c r="AL563" s="58" t="n">
        <v>1252.115</v>
      </c>
      <c r="AM563" s="58" t="n">
        <v>7155.172414</v>
      </c>
      <c r="AN563" s="155" t="inlineStr">
        <is>
          <t>Shopify Stetson México</t>
        </is>
      </c>
      <c r="AO563" s="59" t="n">
        <v>0</v>
      </c>
      <c r="AP563" s="59" t="n"/>
      <c r="AQ563" s="59" t="n"/>
      <c r="AR563" s="155" t="n"/>
    </row>
    <row r="564">
      <c r="A564" s="50" t="inlineStr">
        <is>
          <t>12021000131043024</t>
        </is>
      </c>
      <c r="B564" s="51" t="inlineStr">
        <is>
          <t>111466</t>
        </is>
      </c>
      <c r="C564" s="156" t="inlineStr">
        <is>
          <t>Multimarca</t>
        </is>
      </c>
      <c r="D564" s="156" t="inlineStr">
        <is>
          <t>12-021-BS000-13-1043</t>
        </is>
      </c>
      <c r="E564" s="156" t="inlineStr">
        <is>
          <t>12-021-BS000-13-1043-024</t>
        </is>
      </c>
      <c r="F564" s="156" t="inlineStr">
        <is>
          <t>24</t>
        </is>
      </c>
      <c r="G564" s="156" t="inlineStr">
        <is>
          <t>7</t>
        </is>
      </c>
      <c r="H564" s="156" t="inlineStr">
        <is>
          <t>Stetson</t>
        </is>
      </c>
      <c r="I564" s="156" t="inlineStr">
        <is>
          <t>Bota Pitón Crema</t>
        </is>
      </c>
      <c r="J564" s="156" t="inlineStr">
        <is>
          <t>Calzado</t>
        </is>
      </c>
      <c r="K564" s="156" t="inlineStr">
        <is>
          <t>Botas</t>
        </is>
      </c>
      <c r="L564" s="156" t="inlineStr">
        <is>
          <t>Mujer</t>
        </is>
      </c>
      <c r="M564" s="156" t="inlineStr">
        <is>
          <t>Stetson</t>
        </is>
      </c>
      <c r="N564" s="156" t="inlineStr">
        <is>
          <t>SS26</t>
        </is>
      </c>
      <c r="O564" s="156" t="inlineStr">
        <is>
          <t>Seasonal</t>
        </is>
      </c>
      <c r="P564" s="156" t="inlineStr">
        <is>
          <t>Beige</t>
        </is>
      </c>
      <c r="Q564" s="156" t="n"/>
      <c r="R564" s="156" t="inlineStr">
        <is>
          <t>Horma Alexia</t>
        </is>
      </c>
      <c r="S564" s="156" t="inlineStr">
        <is>
          <t>Piel de pitón</t>
        </is>
      </c>
      <c r="T564" s="156" t="inlineStr">
        <is>
          <t>Bota Dama Piel de pitón Crema Horma Alexia</t>
        </is>
      </c>
      <c r="U564" s="156" t="inlineStr">
        <is>
          <t>México</t>
        </is>
      </c>
      <c r="V564" s="156" t="inlineStr">
        <is>
          <t>PRS</t>
        </is>
      </c>
      <c r="W564" s="51" t="inlineStr">
        <is>
          <t>53111502</t>
        </is>
      </c>
      <c r="X564" s="156" t="n"/>
      <c r="Y564" s="54" t="n">
        <v>1252.115</v>
      </c>
      <c r="Z564" s="54" t="n">
        <v>7155.172414</v>
      </c>
      <c r="AA564" s="55">
        <f>IF(AND(A564="", B564="", E564=""), "", IF(AB564="", "Válido", IF((LEN(AB564)-LEN(SUBSTITUTE(AB564,"; ","")))/2+1&gt;(LEN(AB564)-LEN(SUBSTITUTE(AB564,"[Aviso]","")))/7, "Con Incidencias", "Válido")))</f>
        <v/>
      </c>
      <c r="AB564" s="56">
        <f>IF(AND(A564="", B564="", E564=""), "", TEXTJOIN("; ", TRUE, IF(OR(TRIM(A564&amp;"")="", ISNUMBER(SEARCH("FALTA", A564))), "UPC faltante/inválido", ""), IF(AND(A564&lt;&gt;"", IFERROR(_xlfn.XMATCH(A564,$A$2:$A$2509,0,1)&lt;&gt;_xlfn.XMATCH(A564,$A$2:$A$2509,0,-1),FALSE)), "Código de barras duplicado", ""), IF(AND(E564&lt;&gt;"", COUNTIF($E$2:$E$2509, E564)&gt;1), "SKU duplicado", ""), IF(OR(J564="", J564=""), "[Aviso] División no capturada ()", IF(ISNA(MATCH(J564, Criterios!$A$123:$A$126, 0)), "División no válida", "")), IF(OR(K564="", K564=""), "[Aviso] Categoría no capturada ()", IF(ISNA(MATCH(K564, Criterios!$A$81:$A$120, 0)), "Categoría no válida", IF(AND(J564&lt;&gt;"", J564&lt;&gt;"", J564&lt;&gt;VLOOKUP(K564, Criterios!$A$81:$B$120, 2, FALSE)), "División no coincide con Categoría", ""))), IF(OR(L564="", L564=""), "[Aviso] Género no capturado ()", IF(ISNA(MATCH(L564, Criterios!$B$123:$B$127, 0)), "Género no válido", "")), IF(OR(N564="", N564=""), "[Aviso] Temporada no capturada ()", IF(ISNA(MATCH(N564, Criterios!$C$123:$C$128, 0)), "Temporada no válida", "")), IF(OR(O564="", O564=""), "[Aviso] Ciclo de vida no capturado ()", IF(ISNA(MATCH(O564, Criterios!$D$123:$D$124, 0)), "Ciclo de vida no válido", ""))))</f>
        <v/>
      </c>
      <c r="AC564" s="56" t="n"/>
      <c r="AD564" s="51" t="n">
        <v>-1</v>
      </c>
      <c r="AE564" s="156" t="n"/>
      <c r="AF564" s="51" t="n">
        <v>0</v>
      </c>
      <c r="AG564" s="156" t="inlineStr">
        <is>
          <t>Catálogo existente</t>
        </is>
      </c>
      <c r="AH56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4" s="156" t="inlineStr">
        <is>
          <t>Sí</t>
        </is>
      </c>
      <c r="AJ564" s="156" t="inlineStr">
        <is>
          <t>STETSON AMERICAS (-1)</t>
        </is>
      </c>
      <c r="AK564" s="155" t="inlineStr">
        <is>
          <t>Criterios: I [Q]; G1522_Extraccion_Articulos_NetSuite_2026-09-30.xlsx: fila 59141 [R] | Shopify Stetson: producto 15054565179755 / variante 53350562496875</t>
        </is>
      </c>
      <c r="AL564" s="58" t="n">
        <v>1252.115</v>
      </c>
      <c r="AM564" s="58" t="n">
        <v>7155.172414</v>
      </c>
      <c r="AN564" s="155" t="inlineStr">
        <is>
          <t>Shopify Stetson México</t>
        </is>
      </c>
      <c r="AO564" s="59" t="n">
        <v>1</v>
      </c>
      <c r="AP564" s="59" t="n"/>
      <c r="AQ564" s="59" t="n"/>
      <c r="AR564" s="155" t="inlineStr">
        <is>
          <t>Shopify Stetson México › Stetson Americas: 1</t>
        </is>
      </c>
    </row>
    <row r="565">
      <c r="A565" s="50" t="inlineStr">
        <is>
          <t>12021000131043025</t>
        </is>
      </c>
      <c r="B565" s="51" t="inlineStr">
        <is>
          <t>111467</t>
        </is>
      </c>
      <c r="C565" s="156" t="inlineStr">
        <is>
          <t>Multimarca</t>
        </is>
      </c>
      <c r="D565" s="156" t="inlineStr">
        <is>
          <t>12-021-BS000-13-1043</t>
        </is>
      </c>
      <c r="E565" s="156" t="inlineStr">
        <is>
          <t>12-021-BS000-13-1043-025</t>
        </is>
      </c>
      <c r="F565" s="156" t="inlineStr">
        <is>
          <t>25</t>
        </is>
      </c>
      <c r="G565" s="156" t="inlineStr">
        <is>
          <t>8</t>
        </is>
      </c>
      <c r="H565" s="156" t="inlineStr">
        <is>
          <t>Stetson</t>
        </is>
      </c>
      <c r="I565" s="156" t="inlineStr">
        <is>
          <t>Bota Pitón Crema</t>
        </is>
      </c>
      <c r="J565" s="156" t="inlineStr">
        <is>
          <t>Calzado</t>
        </is>
      </c>
      <c r="K565" s="156" t="inlineStr">
        <is>
          <t>Botas</t>
        </is>
      </c>
      <c r="L565" s="156" t="inlineStr">
        <is>
          <t>Mujer</t>
        </is>
      </c>
      <c r="M565" s="156" t="inlineStr">
        <is>
          <t>Stetson</t>
        </is>
      </c>
      <c r="N565" s="156" t="inlineStr">
        <is>
          <t>SS26</t>
        </is>
      </c>
      <c r="O565" s="156" t="inlineStr">
        <is>
          <t>Seasonal</t>
        </is>
      </c>
      <c r="P565" s="156" t="inlineStr">
        <is>
          <t>Beige</t>
        </is>
      </c>
      <c r="Q565" s="156" t="n"/>
      <c r="R565" s="156" t="inlineStr">
        <is>
          <t>Horma Alexia</t>
        </is>
      </c>
      <c r="S565" s="156" t="inlineStr">
        <is>
          <t>Piel de pitón</t>
        </is>
      </c>
      <c r="T565" s="156" t="inlineStr">
        <is>
          <t>Bota Dama Piel de pitón Crema Horma Alexia</t>
        </is>
      </c>
      <c r="U565" s="156" t="inlineStr">
        <is>
          <t>México</t>
        </is>
      </c>
      <c r="V565" s="156" t="inlineStr">
        <is>
          <t>PRS</t>
        </is>
      </c>
      <c r="W565" s="51" t="inlineStr">
        <is>
          <t>53111502</t>
        </is>
      </c>
      <c r="X565" s="156" t="n"/>
      <c r="Y565" s="54" t="n">
        <v>1252.115</v>
      </c>
      <c r="Z565" s="54" t="n">
        <v>7155.172414</v>
      </c>
      <c r="AA565" s="55">
        <f>IF(AND(A565="", B565="", E565=""), "", IF(AB565="", "Válido", IF((LEN(AB565)-LEN(SUBSTITUTE(AB565,"; ","")))/2+1&gt;(LEN(AB565)-LEN(SUBSTITUTE(AB565,"[Aviso]","")))/7, "Con Incidencias", "Válido")))</f>
        <v/>
      </c>
      <c r="AB565" s="56">
        <f>IF(AND(A565="", B565="", E565=""), "", TEXTJOIN("; ", TRUE, IF(OR(TRIM(A565&amp;"")="", ISNUMBER(SEARCH("FALTA", A565))), "UPC faltante/inválido", ""), IF(AND(A565&lt;&gt;"", IFERROR(_xlfn.XMATCH(A565,$A$2:$A$2509,0,1)&lt;&gt;_xlfn.XMATCH(A565,$A$2:$A$2509,0,-1),FALSE)), "Código de barras duplicado", ""), IF(AND(E565&lt;&gt;"", COUNTIF($E$2:$E$2509, E565)&gt;1), "SKU duplicado", ""), IF(OR(J565="", J565=""), "[Aviso] División no capturada ()", IF(ISNA(MATCH(J565, Criterios!$A$123:$A$126, 0)), "División no válida", "")), IF(OR(K565="", K565=""), "[Aviso] Categoría no capturada ()", IF(ISNA(MATCH(K565, Criterios!$A$81:$A$120, 0)), "Categoría no válida", IF(AND(J565&lt;&gt;"", J565&lt;&gt;"", J565&lt;&gt;VLOOKUP(K565, Criterios!$A$81:$B$120, 2, FALSE)), "División no coincide con Categoría", ""))), IF(OR(L565="", L565=""), "[Aviso] Género no capturado ()", IF(ISNA(MATCH(L565, Criterios!$B$123:$B$127, 0)), "Género no válido", "")), IF(OR(N565="", N565=""), "[Aviso] Temporada no capturada ()", IF(ISNA(MATCH(N565, Criterios!$C$123:$C$128, 0)), "Temporada no válida", "")), IF(OR(O565="", O565=""), "[Aviso] Ciclo de vida no capturado ()", IF(ISNA(MATCH(O565, Criterios!$D$123:$D$124, 0)), "Ciclo de vida no válido", ""))))</f>
        <v/>
      </c>
      <c r="AC565" s="56" t="n"/>
      <c r="AD565" s="51" t="n">
        <v>0</v>
      </c>
      <c r="AE565" s="156" t="n"/>
      <c r="AF565" s="51" t="n">
        <v>0</v>
      </c>
      <c r="AG565" s="156" t="inlineStr">
        <is>
          <t>Catálogo existente</t>
        </is>
      </c>
      <c r="AH5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5" s="156" t="inlineStr">
        <is>
          <t>No</t>
        </is>
      </c>
      <c r="AJ565" s="156" t="n"/>
      <c r="AK565" s="155" t="inlineStr">
        <is>
          <t>Criterios: I [Q]; G1522_Extraccion_Articulos_NetSuite_2026-09-30.xlsx: fila 59142 [R] | Shopify Stetson: producto 15054565179755 / variante 53350562562411</t>
        </is>
      </c>
      <c r="AL565" s="58" t="n">
        <v>1252.115</v>
      </c>
      <c r="AM565" s="58" t="n">
        <v>7155.172414</v>
      </c>
      <c r="AN565" s="155" t="inlineStr">
        <is>
          <t>Shopify Stetson México</t>
        </is>
      </c>
      <c r="AO565" s="59" t="n">
        <v>2</v>
      </c>
      <c r="AP565" s="59" t="n"/>
      <c r="AQ565" s="59" t="n"/>
      <c r="AR565" s="155" t="inlineStr">
        <is>
          <t>Shopify Stetson México › Stetson Americas: 2</t>
        </is>
      </c>
    </row>
    <row r="566">
      <c r="A566" s="50" t="inlineStr">
        <is>
          <t>12021000131043026</t>
        </is>
      </c>
      <c r="B566" s="51" t="inlineStr">
        <is>
          <t>111459</t>
        </is>
      </c>
      <c r="C566" s="156" t="inlineStr">
        <is>
          <t>Multimarca</t>
        </is>
      </c>
      <c r="D566" s="156" t="inlineStr">
        <is>
          <t>12-021-BS000-13-1043</t>
        </is>
      </c>
      <c r="E566" s="156" t="inlineStr">
        <is>
          <t>12-021-BS000-13-1043-026</t>
        </is>
      </c>
      <c r="F566" s="156" t="inlineStr">
        <is>
          <t>26</t>
        </is>
      </c>
      <c r="G566" s="156" t="inlineStr">
        <is>
          <t>9</t>
        </is>
      </c>
      <c r="H566" s="156" t="inlineStr">
        <is>
          <t>Stetson</t>
        </is>
      </c>
      <c r="I566" s="156" t="inlineStr">
        <is>
          <t>Bota Pitón Crema</t>
        </is>
      </c>
      <c r="J566" s="156" t="inlineStr">
        <is>
          <t>Calzado</t>
        </is>
      </c>
      <c r="K566" s="156" t="inlineStr">
        <is>
          <t>Botas</t>
        </is>
      </c>
      <c r="L566" s="156" t="inlineStr">
        <is>
          <t>Mujer</t>
        </is>
      </c>
      <c r="M566" s="156" t="inlineStr">
        <is>
          <t>Stetson</t>
        </is>
      </c>
      <c r="N566" s="156" t="inlineStr">
        <is>
          <t>SS26</t>
        </is>
      </c>
      <c r="O566" s="156" t="inlineStr">
        <is>
          <t>Seasonal</t>
        </is>
      </c>
      <c r="P566" s="156" t="inlineStr">
        <is>
          <t>Beige</t>
        </is>
      </c>
      <c r="Q566" s="156" t="n"/>
      <c r="R566" s="156" t="inlineStr">
        <is>
          <t>Horma Alexia</t>
        </is>
      </c>
      <c r="S566" s="156" t="inlineStr">
        <is>
          <t>Piel de pitón</t>
        </is>
      </c>
      <c r="T566" s="156" t="inlineStr">
        <is>
          <t>Bota Dama Piel de pitón Crema Horma Alexia</t>
        </is>
      </c>
      <c r="U566" s="156" t="inlineStr">
        <is>
          <t>México</t>
        </is>
      </c>
      <c r="V566" s="156" t="inlineStr">
        <is>
          <t>PRS</t>
        </is>
      </c>
      <c r="W566" s="51" t="inlineStr">
        <is>
          <t>53111502</t>
        </is>
      </c>
      <c r="X566" s="156" t="n"/>
      <c r="Y566" s="54" t="n">
        <v>1252.115</v>
      </c>
      <c r="Z566" s="54" t="n">
        <v>7155.172414</v>
      </c>
      <c r="AA566" s="55">
        <f>IF(AND(A566="", B566="", E566=""), "", IF(AB566="", "Válido", IF((LEN(AB566)-LEN(SUBSTITUTE(AB566,"; ","")))/2+1&gt;(LEN(AB566)-LEN(SUBSTITUTE(AB566,"[Aviso]","")))/7, "Con Incidencias", "Válido")))</f>
        <v/>
      </c>
      <c r="AB566" s="56">
        <f>IF(AND(A566="", B566="", E566=""), "", TEXTJOIN("; ", TRUE, IF(OR(TRIM(A566&amp;"")="", ISNUMBER(SEARCH("FALTA", A566))), "UPC faltante/inválido", ""), IF(AND(A566&lt;&gt;"", IFERROR(_xlfn.XMATCH(A566,$A$2:$A$2509,0,1)&lt;&gt;_xlfn.XMATCH(A566,$A$2:$A$2509,0,-1),FALSE)), "Código de barras duplicado", ""), IF(AND(E566&lt;&gt;"", COUNTIF($E$2:$E$2509, E566)&gt;1), "SKU duplicado", ""), IF(OR(J566="", J566=""), "[Aviso] División no capturada ()", IF(ISNA(MATCH(J566, Criterios!$A$123:$A$126, 0)), "División no válida", "")), IF(OR(K566="", K566=""), "[Aviso] Categoría no capturada ()", IF(ISNA(MATCH(K566, Criterios!$A$81:$A$120, 0)), "Categoría no válida", IF(AND(J566&lt;&gt;"", J566&lt;&gt;"", J566&lt;&gt;VLOOKUP(K566, Criterios!$A$81:$B$120, 2, FALSE)), "División no coincide con Categoría", ""))), IF(OR(L566="", L566=""), "[Aviso] Género no capturado ()", IF(ISNA(MATCH(L566, Criterios!$B$123:$B$127, 0)), "Género no válido", "")), IF(OR(N566="", N566=""), "[Aviso] Temporada no capturada ()", IF(ISNA(MATCH(N566, Criterios!$C$123:$C$128, 0)), "Temporada no válida", "")), IF(OR(O566="", O566=""), "[Aviso] Ciclo de vida no capturado ()", IF(ISNA(MATCH(O566, Criterios!$D$123:$D$124, 0)), "Ciclo de vida no válido", ""))))</f>
        <v/>
      </c>
      <c r="AC566" s="56" t="n"/>
      <c r="AD566" s="51" t="n">
        <v>0</v>
      </c>
      <c r="AE566" s="156" t="n"/>
      <c r="AF566" s="51" t="n">
        <v>0</v>
      </c>
      <c r="AG566" s="156" t="inlineStr">
        <is>
          <t>Catálogo existente</t>
        </is>
      </c>
      <c r="AH56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66" s="156" t="inlineStr">
        <is>
          <t>No</t>
        </is>
      </c>
      <c r="AJ566" s="156" t="n"/>
      <c r="AK566" s="155" t="inlineStr">
        <is>
          <t>Criterios: I [Q]; G1522_Extraccion_Articulos_NetSuite_2026-09-30.xlsx: fila 59134 [R]</t>
        </is>
      </c>
      <c r="AL566" s="58" t="n">
        <v>1252.115</v>
      </c>
      <c r="AM566" s="58" t="n">
        <v>7155.172414</v>
      </c>
      <c r="AN566" s="155" t="n"/>
      <c r="AO566" s="59" t="n"/>
      <c r="AP566" s="59" t="n"/>
      <c r="AQ566" s="59" t="n"/>
      <c r="AR566" s="155" t="n"/>
    </row>
    <row r="567">
      <c r="A567" s="50" t="inlineStr">
        <is>
          <t>12021000131043027</t>
        </is>
      </c>
      <c r="B567" s="51" t="inlineStr">
        <is>
          <t>111460</t>
        </is>
      </c>
      <c r="C567" s="156" t="inlineStr">
        <is>
          <t>Multimarca</t>
        </is>
      </c>
      <c r="D567" s="156" t="inlineStr">
        <is>
          <t>12-021-BS000-13-1043</t>
        </is>
      </c>
      <c r="E567" s="156" t="inlineStr">
        <is>
          <t>12-021-BS000-13-1043-027</t>
        </is>
      </c>
      <c r="F567" s="156" t="inlineStr">
        <is>
          <t>27</t>
        </is>
      </c>
      <c r="G567" s="156" t="inlineStr">
        <is>
          <t>10</t>
        </is>
      </c>
      <c r="H567" s="156" t="inlineStr">
        <is>
          <t>Stetson</t>
        </is>
      </c>
      <c r="I567" s="156" t="inlineStr">
        <is>
          <t>Bota Pitón Crema</t>
        </is>
      </c>
      <c r="J567" s="156" t="inlineStr">
        <is>
          <t>Calzado</t>
        </is>
      </c>
      <c r="K567" s="156" t="inlineStr">
        <is>
          <t>Botas</t>
        </is>
      </c>
      <c r="L567" s="156" t="inlineStr">
        <is>
          <t>Mujer</t>
        </is>
      </c>
      <c r="M567" s="156" t="inlineStr">
        <is>
          <t>Stetson</t>
        </is>
      </c>
      <c r="N567" s="156" t="inlineStr">
        <is>
          <t>SS26</t>
        </is>
      </c>
      <c r="O567" s="156" t="inlineStr">
        <is>
          <t>Seasonal</t>
        </is>
      </c>
      <c r="P567" s="156" t="inlineStr">
        <is>
          <t>Beige</t>
        </is>
      </c>
      <c r="Q567" s="156" t="n"/>
      <c r="R567" s="156" t="inlineStr">
        <is>
          <t>Horma Alexia</t>
        </is>
      </c>
      <c r="S567" s="156" t="inlineStr">
        <is>
          <t>Piel de pitón</t>
        </is>
      </c>
      <c r="T567" s="156" t="inlineStr">
        <is>
          <t>Bota Dama Piel de pitón Crema Horma Alexia</t>
        </is>
      </c>
      <c r="U567" s="156" t="inlineStr">
        <is>
          <t>México</t>
        </is>
      </c>
      <c r="V567" s="156" t="inlineStr">
        <is>
          <t>PRS</t>
        </is>
      </c>
      <c r="W567" s="51" t="inlineStr">
        <is>
          <t>53111502</t>
        </is>
      </c>
      <c r="X567" s="156" t="n"/>
      <c r="Y567" s="54" t="n">
        <v>1252.115</v>
      </c>
      <c r="Z567" s="54" t="n">
        <v>7155.172414</v>
      </c>
      <c r="AA567" s="55">
        <f>IF(AND(A567="", B567="", E567=""), "", IF(AB567="", "Válido", IF((LEN(AB567)-LEN(SUBSTITUTE(AB567,"; ","")))/2+1&gt;(LEN(AB567)-LEN(SUBSTITUTE(AB567,"[Aviso]","")))/7, "Con Incidencias", "Válido")))</f>
        <v/>
      </c>
      <c r="AB567" s="56">
        <f>IF(AND(A567="", B567="", E567=""), "", TEXTJOIN("; ", TRUE, IF(OR(TRIM(A567&amp;"")="", ISNUMBER(SEARCH("FALTA", A567))), "UPC faltante/inválido", ""), IF(AND(A567&lt;&gt;"", IFERROR(_xlfn.XMATCH(A567,$A$2:$A$2509,0,1)&lt;&gt;_xlfn.XMATCH(A567,$A$2:$A$2509,0,-1),FALSE)), "Código de barras duplicado", ""), IF(AND(E567&lt;&gt;"", COUNTIF($E$2:$E$2509, E567)&gt;1), "SKU duplicado", ""), IF(OR(J567="", J567=""), "[Aviso] División no capturada ()", IF(ISNA(MATCH(J567, Criterios!$A$123:$A$126, 0)), "División no válida", "")), IF(OR(K567="", K567=""), "[Aviso] Categoría no capturada ()", IF(ISNA(MATCH(K567, Criterios!$A$81:$A$120, 0)), "Categoría no válida", IF(AND(J567&lt;&gt;"", J567&lt;&gt;"", J567&lt;&gt;VLOOKUP(K567, Criterios!$A$81:$B$120, 2, FALSE)), "División no coincide con Categoría", ""))), IF(OR(L567="", L567=""), "[Aviso] Género no capturado ()", IF(ISNA(MATCH(L567, Criterios!$B$123:$B$127, 0)), "Género no válido", "")), IF(OR(N567="", N567=""), "[Aviso] Temporada no capturada ()", IF(ISNA(MATCH(N567, Criterios!$C$123:$C$128, 0)), "Temporada no válida", "")), IF(OR(O567="", O567=""), "[Aviso] Ciclo de vida no capturado ()", IF(ISNA(MATCH(O567, Criterios!$D$123:$D$124, 0)), "Ciclo de vida no válido", ""))))</f>
        <v/>
      </c>
      <c r="AC567" s="56" t="n"/>
      <c r="AD567" s="51" t="n">
        <v>0</v>
      </c>
      <c r="AE567" s="156" t="n"/>
      <c r="AF567" s="51" t="n">
        <v>0</v>
      </c>
      <c r="AG567" s="156" t="inlineStr">
        <is>
          <t>Catálogo existente</t>
        </is>
      </c>
      <c r="AH56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67" s="156" t="inlineStr">
        <is>
          <t>No</t>
        </is>
      </c>
      <c r="AJ567" s="156" t="n"/>
      <c r="AK567" s="155" t="inlineStr">
        <is>
          <t>Criterios: I [Q]; G1522_Extraccion_Articulos_NetSuite_2026-09-30.xlsx: fila 59135 [R]</t>
        </is>
      </c>
      <c r="AL567" s="58" t="n">
        <v>1252.115</v>
      </c>
      <c r="AM567" s="58" t="n">
        <v>7155.172414</v>
      </c>
      <c r="AN567" s="155" t="n"/>
      <c r="AO567" s="59" t="n"/>
      <c r="AP567" s="59" t="n"/>
      <c r="AQ567" s="59" t="n"/>
      <c r="AR567" s="155" t="n"/>
    </row>
    <row r="568">
      <c r="A568" s="50" t="inlineStr">
        <is>
          <t>12021000131043225</t>
        </is>
      </c>
      <c r="B568" s="51" t="inlineStr">
        <is>
          <t>111468</t>
        </is>
      </c>
      <c r="C568" s="156" t="inlineStr">
        <is>
          <t>Multimarca</t>
        </is>
      </c>
      <c r="D568" s="156" t="inlineStr">
        <is>
          <t>12-021-BS000-13-1043</t>
        </is>
      </c>
      <c r="E568" s="156" t="inlineStr">
        <is>
          <t>12-021-BS000-13-1043-225</t>
        </is>
      </c>
      <c r="F568" s="156" t="inlineStr">
        <is>
          <t>22.5</t>
        </is>
      </c>
      <c r="G568" s="156" t="inlineStr">
        <is>
          <t>5.5</t>
        </is>
      </c>
      <c r="H568" s="156" t="inlineStr">
        <is>
          <t>Stetson</t>
        </is>
      </c>
      <c r="I568" s="156" t="inlineStr">
        <is>
          <t>Bota Pitón Crema</t>
        </is>
      </c>
      <c r="J568" s="156" t="inlineStr">
        <is>
          <t>Calzado</t>
        </is>
      </c>
      <c r="K568" s="156" t="inlineStr">
        <is>
          <t>Botas</t>
        </is>
      </c>
      <c r="L568" s="156" t="inlineStr">
        <is>
          <t>Mujer</t>
        </is>
      </c>
      <c r="M568" s="156" t="inlineStr">
        <is>
          <t>Stetson</t>
        </is>
      </c>
      <c r="N568" s="156" t="inlineStr">
        <is>
          <t>SS26</t>
        </is>
      </c>
      <c r="O568" s="156" t="inlineStr">
        <is>
          <t>Seasonal</t>
        </is>
      </c>
      <c r="P568" s="156" t="inlineStr">
        <is>
          <t>Beige</t>
        </is>
      </c>
      <c r="Q568" s="156" t="n"/>
      <c r="R568" s="156" t="inlineStr">
        <is>
          <t>Horma Alexia</t>
        </is>
      </c>
      <c r="S568" s="156" t="inlineStr">
        <is>
          <t>Piel de pitón</t>
        </is>
      </c>
      <c r="T568" s="156" t="inlineStr">
        <is>
          <t>Bota Dama Piel de pitón Crema Horma Alexia</t>
        </is>
      </c>
      <c r="U568" s="156" t="inlineStr">
        <is>
          <t>México</t>
        </is>
      </c>
      <c r="V568" s="156" t="inlineStr">
        <is>
          <t>PRS</t>
        </is>
      </c>
      <c r="W568" s="51" t="inlineStr">
        <is>
          <t>53111502</t>
        </is>
      </c>
      <c r="X568" s="156" t="n"/>
      <c r="Y568" s="54" t="n">
        <v>1252.115</v>
      </c>
      <c r="Z568" s="54" t="n">
        <v>7155.172414</v>
      </c>
      <c r="AA568" s="55">
        <f>IF(AND(A568="", B568="", E568=""), "", IF(AB568="", "Válido", IF((LEN(AB568)-LEN(SUBSTITUTE(AB568,"; ","")))/2+1&gt;(LEN(AB568)-LEN(SUBSTITUTE(AB568,"[Aviso]","")))/7, "Con Incidencias", "Válido")))</f>
        <v/>
      </c>
      <c r="AB568" s="56">
        <f>IF(AND(A568="", B568="", E568=""), "", TEXTJOIN("; ", TRUE, IF(OR(TRIM(A568&amp;"")="", ISNUMBER(SEARCH("FALTA", A568))), "UPC faltante/inválido", ""), IF(AND(A568&lt;&gt;"", IFERROR(_xlfn.XMATCH(A568,$A$2:$A$2509,0,1)&lt;&gt;_xlfn.XMATCH(A568,$A$2:$A$2509,0,-1),FALSE)), "Código de barras duplicado", ""), IF(AND(E568&lt;&gt;"", COUNTIF($E$2:$E$2509, E568)&gt;1), "SKU duplicado", ""), IF(OR(J568="", J568=""), "[Aviso] División no capturada ()", IF(ISNA(MATCH(J568, Criterios!$A$123:$A$126, 0)), "División no válida", "")), IF(OR(K568="", K568=""), "[Aviso] Categoría no capturada ()", IF(ISNA(MATCH(K568, Criterios!$A$81:$A$120, 0)), "Categoría no válida", IF(AND(J568&lt;&gt;"", J568&lt;&gt;"", J568&lt;&gt;VLOOKUP(K568, Criterios!$A$81:$B$120, 2, FALSE)), "División no coincide con Categoría", ""))), IF(OR(L568="", L568=""), "[Aviso] Género no capturado ()", IF(ISNA(MATCH(L568, Criterios!$B$123:$B$127, 0)), "Género no válido", "")), IF(OR(N568="", N568=""), "[Aviso] Temporada no capturada ()", IF(ISNA(MATCH(N568, Criterios!$C$123:$C$128, 0)), "Temporada no válida", "")), IF(OR(O568="", O568=""), "[Aviso] Ciclo de vida no capturado ()", IF(ISNA(MATCH(O568, Criterios!$D$123:$D$124, 0)), "Ciclo de vida no válido", ""))))</f>
        <v/>
      </c>
      <c r="AC568" s="56" t="n"/>
      <c r="AD568" s="51" t="n">
        <v>0</v>
      </c>
      <c r="AE568" s="156" t="n"/>
      <c r="AF568" s="51" t="n">
        <v>0</v>
      </c>
      <c r="AG568" s="156" t="inlineStr">
        <is>
          <t>Catálogo existente</t>
        </is>
      </c>
      <c r="AH5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8" s="156" t="inlineStr">
        <is>
          <t>No</t>
        </is>
      </c>
      <c r="AJ568" s="156" t="n"/>
      <c r="AK568" s="155" t="inlineStr">
        <is>
          <t>Criterios: I [Q]; G1522_Extraccion_Articulos_NetSuite_2026-09-30.xlsx: fila 59143 [R] | Shopify Stetson: producto 15054565179755 / variante 53350562398571</t>
        </is>
      </c>
      <c r="AL568" s="58" t="n">
        <v>1252.115</v>
      </c>
      <c r="AM568" s="58" t="n">
        <v>7155.172414</v>
      </c>
      <c r="AN568" s="155" t="inlineStr">
        <is>
          <t>Shopify Stetson México</t>
        </is>
      </c>
      <c r="AO568" s="59" t="n">
        <v>0</v>
      </c>
      <c r="AP568" s="59" t="n"/>
      <c r="AQ568" s="59" t="n"/>
      <c r="AR568" s="155" t="n"/>
    </row>
    <row r="569">
      <c r="A569" s="50" t="inlineStr">
        <is>
          <t>12021000131043235</t>
        </is>
      </c>
      <c r="B569" s="51" t="inlineStr">
        <is>
          <t>111469</t>
        </is>
      </c>
      <c r="C569" s="156" t="inlineStr">
        <is>
          <t>Multimarca</t>
        </is>
      </c>
      <c r="D569" s="156" t="inlineStr">
        <is>
          <t>12-021-BS000-13-1043</t>
        </is>
      </c>
      <c r="E569" s="156" t="inlineStr">
        <is>
          <t>12-021-BS000-13-1043-235</t>
        </is>
      </c>
      <c r="F569" s="156" t="inlineStr">
        <is>
          <t>23.5</t>
        </is>
      </c>
      <c r="G569" s="156" t="inlineStr">
        <is>
          <t>6.5</t>
        </is>
      </c>
      <c r="H569" s="156" t="inlineStr">
        <is>
          <t>Stetson</t>
        </is>
      </c>
      <c r="I569" s="156" t="inlineStr">
        <is>
          <t>Bota Pitón Crema</t>
        </is>
      </c>
      <c r="J569" s="156" t="inlineStr">
        <is>
          <t>Calzado</t>
        </is>
      </c>
      <c r="K569" s="156" t="inlineStr">
        <is>
          <t>Botas</t>
        </is>
      </c>
      <c r="L569" s="156" t="inlineStr">
        <is>
          <t>Mujer</t>
        </is>
      </c>
      <c r="M569" s="156" t="inlineStr">
        <is>
          <t>Stetson</t>
        </is>
      </c>
      <c r="N569" s="156" t="inlineStr">
        <is>
          <t>SS26</t>
        </is>
      </c>
      <c r="O569" s="156" t="inlineStr">
        <is>
          <t>Seasonal</t>
        </is>
      </c>
      <c r="P569" s="156" t="inlineStr">
        <is>
          <t>Beige</t>
        </is>
      </c>
      <c r="Q569" s="156" t="n"/>
      <c r="R569" s="156" t="inlineStr">
        <is>
          <t>Horma Alexia</t>
        </is>
      </c>
      <c r="S569" s="156" t="inlineStr">
        <is>
          <t>Piel de pitón</t>
        </is>
      </c>
      <c r="T569" s="156" t="inlineStr">
        <is>
          <t>Bota Dama Piel de pitón Crema Horma Alexia</t>
        </is>
      </c>
      <c r="U569" s="156" t="inlineStr">
        <is>
          <t>México</t>
        </is>
      </c>
      <c r="V569" s="156" t="inlineStr">
        <is>
          <t>PRS</t>
        </is>
      </c>
      <c r="W569" s="51" t="inlineStr">
        <is>
          <t>53111502</t>
        </is>
      </c>
      <c r="X569" s="156" t="n"/>
      <c r="Y569" s="54" t="n">
        <v>1252.115</v>
      </c>
      <c r="Z569" s="54" t="n">
        <v>7155.172414</v>
      </c>
      <c r="AA569" s="55">
        <f>IF(AND(A569="", B569="", E569=""), "", IF(AB569="", "Válido", IF((LEN(AB569)-LEN(SUBSTITUTE(AB569,"; ","")))/2+1&gt;(LEN(AB569)-LEN(SUBSTITUTE(AB569,"[Aviso]","")))/7, "Con Incidencias", "Válido")))</f>
        <v/>
      </c>
      <c r="AB569" s="56">
        <f>IF(AND(A569="", B569="", E569=""), "", TEXTJOIN("; ", TRUE, IF(OR(TRIM(A569&amp;"")="", ISNUMBER(SEARCH("FALTA", A569))), "UPC faltante/inválido", ""), IF(AND(A569&lt;&gt;"", IFERROR(_xlfn.XMATCH(A569,$A$2:$A$2509,0,1)&lt;&gt;_xlfn.XMATCH(A569,$A$2:$A$2509,0,-1),FALSE)), "Código de barras duplicado", ""), IF(AND(E569&lt;&gt;"", COUNTIF($E$2:$E$2509, E569)&gt;1), "SKU duplicado", ""), IF(OR(J569="", J569=""), "[Aviso] División no capturada ()", IF(ISNA(MATCH(J569, Criterios!$A$123:$A$126, 0)), "División no válida", "")), IF(OR(K569="", K569=""), "[Aviso] Categoría no capturada ()", IF(ISNA(MATCH(K569, Criterios!$A$81:$A$120, 0)), "Categoría no válida", IF(AND(J569&lt;&gt;"", J569&lt;&gt;"", J569&lt;&gt;VLOOKUP(K569, Criterios!$A$81:$B$120, 2, FALSE)), "División no coincide con Categoría", ""))), IF(OR(L569="", L569=""), "[Aviso] Género no capturado ()", IF(ISNA(MATCH(L569, Criterios!$B$123:$B$127, 0)), "Género no válido", "")), IF(OR(N569="", N569=""), "[Aviso] Temporada no capturada ()", IF(ISNA(MATCH(N569, Criterios!$C$123:$C$128, 0)), "Temporada no válida", "")), IF(OR(O569="", O569=""), "[Aviso] Ciclo de vida no capturado ()", IF(ISNA(MATCH(O569, Criterios!$D$123:$D$124, 0)), "Ciclo de vida no válido", ""))))</f>
        <v/>
      </c>
      <c r="AC569" s="56" t="n"/>
      <c r="AD569" s="51" t="n">
        <v>0</v>
      </c>
      <c r="AE569" s="156" t="n"/>
      <c r="AF569" s="51" t="n">
        <v>0</v>
      </c>
      <c r="AG569" s="156" t="inlineStr">
        <is>
          <t>Catálogo existente</t>
        </is>
      </c>
      <c r="AH5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9" s="156" t="inlineStr">
        <is>
          <t>No</t>
        </is>
      </c>
      <c r="AJ569" s="156" t="n"/>
      <c r="AK569" s="155" t="inlineStr">
        <is>
          <t>Criterios: I [Q]; G1522_Extraccion_Articulos_NetSuite_2026-09-30.xlsx: fila 59144 [R] | Shopify Stetson: producto 15054565179755 / variante 53350562464107</t>
        </is>
      </c>
      <c r="AL569" s="58" t="n">
        <v>1252.115</v>
      </c>
      <c r="AM569" s="58" t="n">
        <v>7155.172414</v>
      </c>
      <c r="AN569" s="155" t="inlineStr">
        <is>
          <t>Shopify Stetson México</t>
        </is>
      </c>
      <c r="AO569" s="59" t="n">
        <v>0</v>
      </c>
      <c r="AP569" s="59" t="n"/>
      <c r="AQ569" s="59" t="n"/>
      <c r="AR569" s="155" t="n"/>
    </row>
    <row r="570">
      <c r="A570" s="50" t="inlineStr">
        <is>
          <t>12021000131043245</t>
        </is>
      </c>
      <c r="B570" s="51" t="inlineStr">
        <is>
          <t>111470</t>
        </is>
      </c>
      <c r="C570" s="156" t="inlineStr">
        <is>
          <t>Multimarca</t>
        </is>
      </c>
      <c r="D570" s="156" t="inlineStr">
        <is>
          <t>12-021-BS000-13-1043</t>
        </is>
      </c>
      <c r="E570" s="156" t="inlineStr">
        <is>
          <t>12-021-BS000-13-1043-245</t>
        </is>
      </c>
      <c r="F570" s="156" t="inlineStr">
        <is>
          <t>24.5</t>
        </is>
      </c>
      <c r="G570" s="156" t="inlineStr">
        <is>
          <t>7.5</t>
        </is>
      </c>
      <c r="H570" s="156" t="inlineStr">
        <is>
          <t>Stetson</t>
        </is>
      </c>
      <c r="I570" s="156" t="inlineStr">
        <is>
          <t>Bota Pitón Crema</t>
        </is>
      </c>
      <c r="J570" s="156" t="inlineStr">
        <is>
          <t>Calzado</t>
        </is>
      </c>
      <c r="K570" s="156" t="inlineStr">
        <is>
          <t>Botas</t>
        </is>
      </c>
      <c r="L570" s="156" t="inlineStr">
        <is>
          <t>Mujer</t>
        </is>
      </c>
      <c r="M570" s="156" t="inlineStr">
        <is>
          <t>Stetson</t>
        </is>
      </c>
      <c r="N570" s="156" t="inlineStr">
        <is>
          <t>SS26</t>
        </is>
      </c>
      <c r="O570" s="156" t="inlineStr">
        <is>
          <t>Seasonal</t>
        </is>
      </c>
      <c r="P570" s="156" t="inlineStr">
        <is>
          <t>Beige</t>
        </is>
      </c>
      <c r="Q570" s="156" t="n"/>
      <c r="R570" s="156" t="inlineStr">
        <is>
          <t>Horma Alexia</t>
        </is>
      </c>
      <c r="S570" s="156" t="inlineStr">
        <is>
          <t>Piel de pitón</t>
        </is>
      </c>
      <c r="T570" s="156" t="inlineStr">
        <is>
          <t>Bota Dama Piel de pitón Crema Horma Alexia</t>
        </is>
      </c>
      <c r="U570" s="156" t="inlineStr">
        <is>
          <t>México</t>
        </is>
      </c>
      <c r="V570" s="156" t="inlineStr">
        <is>
          <t>PRS</t>
        </is>
      </c>
      <c r="W570" s="51" t="inlineStr">
        <is>
          <t>53111502</t>
        </is>
      </c>
      <c r="X570" s="156" t="n"/>
      <c r="Y570" s="54" t="n">
        <v>1252.115</v>
      </c>
      <c r="Z570" s="54" t="n">
        <v>7155.172414</v>
      </c>
      <c r="AA570" s="55">
        <f>IF(AND(A570="", B570="", E570=""), "", IF(AB570="", "Válido", IF((LEN(AB570)-LEN(SUBSTITUTE(AB570,"; ","")))/2+1&gt;(LEN(AB570)-LEN(SUBSTITUTE(AB570,"[Aviso]","")))/7, "Con Incidencias", "Válido")))</f>
        <v/>
      </c>
      <c r="AB570" s="56">
        <f>IF(AND(A570="", B570="", E570=""), "", TEXTJOIN("; ", TRUE, IF(OR(TRIM(A570&amp;"")="", ISNUMBER(SEARCH("FALTA", A570))), "UPC faltante/inválido", ""), IF(AND(A570&lt;&gt;"", IFERROR(_xlfn.XMATCH(A570,$A$2:$A$2509,0,1)&lt;&gt;_xlfn.XMATCH(A570,$A$2:$A$2509,0,-1),FALSE)), "Código de barras duplicado", ""), IF(AND(E570&lt;&gt;"", COUNTIF($E$2:$E$2509, E570)&gt;1), "SKU duplicado", ""), IF(OR(J570="", J570=""), "[Aviso] División no capturada ()", IF(ISNA(MATCH(J570, Criterios!$A$123:$A$126, 0)), "División no válida", "")), IF(OR(K570="", K570=""), "[Aviso] Categoría no capturada ()", IF(ISNA(MATCH(K570, Criterios!$A$81:$A$120, 0)), "Categoría no válida", IF(AND(J570&lt;&gt;"", J570&lt;&gt;"", J570&lt;&gt;VLOOKUP(K570, Criterios!$A$81:$B$120, 2, FALSE)), "División no coincide con Categoría", ""))), IF(OR(L570="", L570=""), "[Aviso] Género no capturado ()", IF(ISNA(MATCH(L570, Criterios!$B$123:$B$127, 0)), "Género no válido", "")), IF(OR(N570="", N570=""), "[Aviso] Temporada no capturada ()", IF(ISNA(MATCH(N570, Criterios!$C$123:$C$128, 0)), "Temporada no válida", "")), IF(OR(O570="", O570=""), "[Aviso] Ciclo de vida no capturado ()", IF(ISNA(MATCH(O570, Criterios!$D$123:$D$124, 0)), "Ciclo de vida no válido", ""))))</f>
        <v/>
      </c>
      <c r="AC570" s="56" t="n"/>
      <c r="AD570" s="51" t="n">
        <v>0</v>
      </c>
      <c r="AE570" s="156" t="n"/>
      <c r="AF570" s="51" t="n">
        <v>0</v>
      </c>
      <c r="AG570" s="156" t="inlineStr">
        <is>
          <t>Catálogo existente</t>
        </is>
      </c>
      <c r="AH5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0" s="156" t="inlineStr">
        <is>
          <t>No</t>
        </is>
      </c>
      <c r="AJ570" s="156" t="n"/>
      <c r="AK570" s="155" t="inlineStr">
        <is>
          <t>Criterios: I [Q]; G1522_Extraccion_Articulos_NetSuite_2026-09-30.xlsx: fila 59145 [R] | Shopify Stetson: producto 15054565179755 / variante 53350562529643</t>
        </is>
      </c>
      <c r="AL570" s="58" t="n">
        <v>1252.115</v>
      </c>
      <c r="AM570" s="58" t="n">
        <v>7155.172414</v>
      </c>
      <c r="AN570" s="155" t="inlineStr">
        <is>
          <t>Shopify Stetson México</t>
        </is>
      </c>
      <c r="AO570" s="59" t="n">
        <v>2</v>
      </c>
      <c r="AP570" s="59" t="n"/>
      <c r="AQ570" s="59" t="n"/>
      <c r="AR570" s="155" t="inlineStr">
        <is>
          <t>Shopify Stetson México › Stetson Americas: 2</t>
        </is>
      </c>
    </row>
    <row r="571">
      <c r="A571" s="50" t="inlineStr">
        <is>
          <t>12021000131043255</t>
        </is>
      </c>
      <c r="B571" s="51" t="inlineStr">
        <is>
          <t>111461</t>
        </is>
      </c>
      <c r="C571" s="156" t="inlineStr">
        <is>
          <t>Multimarca</t>
        </is>
      </c>
      <c r="D571" s="156" t="inlineStr">
        <is>
          <t>12-021-BS000-13-1043</t>
        </is>
      </c>
      <c r="E571" s="156" t="inlineStr">
        <is>
          <t>12-021-BS000-13-1043-255</t>
        </is>
      </c>
      <c r="F571" s="156" t="inlineStr">
        <is>
          <t>25.5</t>
        </is>
      </c>
      <c r="G571" s="156" t="inlineStr">
        <is>
          <t>8.5</t>
        </is>
      </c>
      <c r="H571" s="156" t="inlineStr">
        <is>
          <t>Stetson</t>
        </is>
      </c>
      <c r="I571" s="156" t="inlineStr">
        <is>
          <t>Bota Pitón Crema</t>
        </is>
      </c>
      <c r="J571" s="156" t="inlineStr">
        <is>
          <t>Calzado</t>
        </is>
      </c>
      <c r="K571" s="156" t="inlineStr">
        <is>
          <t>Botas</t>
        </is>
      </c>
      <c r="L571" s="156" t="inlineStr">
        <is>
          <t>Mujer</t>
        </is>
      </c>
      <c r="M571" s="156" t="inlineStr">
        <is>
          <t>Stetson</t>
        </is>
      </c>
      <c r="N571" s="156" t="inlineStr">
        <is>
          <t>SS26</t>
        </is>
      </c>
      <c r="O571" s="156" t="inlineStr">
        <is>
          <t>Seasonal</t>
        </is>
      </c>
      <c r="P571" s="156" t="inlineStr">
        <is>
          <t>Beige</t>
        </is>
      </c>
      <c r="Q571" s="156" t="n"/>
      <c r="R571" s="156" t="inlineStr">
        <is>
          <t>Horma Alexia</t>
        </is>
      </c>
      <c r="S571" s="156" t="inlineStr">
        <is>
          <t>Piel de pitón</t>
        </is>
      </c>
      <c r="T571" s="156" t="inlineStr">
        <is>
          <t>Bota Dama Piel de pitón Crema Horma Alexia</t>
        </is>
      </c>
      <c r="U571" s="156" t="inlineStr">
        <is>
          <t>México</t>
        </is>
      </c>
      <c r="V571" s="156" t="inlineStr">
        <is>
          <t>PRS</t>
        </is>
      </c>
      <c r="W571" s="51" t="inlineStr">
        <is>
          <t>53111502</t>
        </is>
      </c>
      <c r="X571" s="156" t="n"/>
      <c r="Y571" s="54" t="n">
        <v>1252.115</v>
      </c>
      <c r="Z571" s="54" t="n">
        <v>7155.172414</v>
      </c>
      <c r="AA571" s="55">
        <f>IF(AND(A571="", B571="", E571=""), "", IF(AB571="", "Válido", IF((LEN(AB571)-LEN(SUBSTITUTE(AB571,"; ","")))/2+1&gt;(LEN(AB571)-LEN(SUBSTITUTE(AB571,"[Aviso]","")))/7, "Con Incidencias", "Válido")))</f>
        <v/>
      </c>
      <c r="AB571" s="56">
        <f>IF(AND(A571="", B571="", E571=""), "", TEXTJOIN("; ", TRUE, IF(OR(TRIM(A571&amp;"")="", ISNUMBER(SEARCH("FALTA", A571))), "UPC faltante/inválido", ""), IF(AND(A571&lt;&gt;"", IFERROR(_xlfn.XMATCH(A571,$A$2:$A$2509,0,1)&lt;&gt;_xlfn.XMATCH(A571,$A$2:$A$2509,0,-1),FALSE)), "Código de barras duplicado", ""), IF(AND(E571&lt;&gt;"", COUNTIF($E$2:$E$2509, E571)&gt;1), "SKU duplicado", ""), IF(OR(J571="", J571=""), "[Aviso] División no capturada ()", IF(ISNA(MATCH(J571, Criterios!$A$123:$A$126, 0)), "División no válida", "")), IF(OR(K571="", K571=""), "[Aviso] Categoría no capturada ()", IF(ISNA(MATCH(K571, Criterios!$A$81:$A$120, 0)), "Categoría no válida", IF(AND(J571&lt;&gt;"", J571&lt;&gt;"", J571&lt;&gt;VLOOKUP(K571, Criterios!$A$81:$B$120, 2, FALSE)), "División no coincide con Categoría", ""))), IF(OR(L571="", L571=""), "[Aviso] Género no capturado ()", IF(ISNA(MATCH(L571, Criterios!$B$123:$B$127, 0)), "Género no válido", "")), IF(OR(N571="", N571=""), "[Aviso] Temporada no capturada ()", IF(ISNA(MATCH(N571, Criterios!$C$123:$C$128, 0)), "Temporada no válida", "")), IF(OR(O571="", O571=""), "[Aviso] Ciclo de vida no capturado ()", IF(ISNA(MATCH(O571, Criterios!$D$123:$D$124, 0)), "Ciclo de vida no válido", ""))))</f>
        <v/>
      </c>
      <c r="AC571" s="56" t="n"/>
      <c r="AD571" s="51" t="n">
        <v>0</v>
      </c>
      <c r="AE571" s="156" t="n"/>
      <c r="AF571" s="51" t="n">
        <v>0</v>
      </c>
      <c r="AG571" s="156" t="inlineStr">
        <is>
          <t>Catálogo existente</t>
        </is>
      </c>
      <c r="AH57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1" s="156" t="inlineStr">
        <is>
          <t>No</t>
        </is>
      </c>
      <c r="AJ571" s="156" t="n"/>
      <c r="AK571" s="155" t="inlineStr">
        <is>
          <t>Criterios: I [Q]; G1522_Extraccion_Articulos_NetSuite_2026-09-30.xlsx: fila 59136 [R]</t>
        </is>
      </c>
      <c r="AL571" s="58" t="n">
        <v>1252.115</v>
      </c>
      <c r="AM571" s="58" t="n">
        <v>7155.172414</v>
      </c>
      <c r="AN571" s="155" t="n"/>
      <c r="AO571" s="59" t="n"/>
      <c r="AP571" s="59" t="n"/>
      <c r="AQ571" s="59" t="n"/>
      <c r="AR571" s="155" t="n"/>
    </row>
    <row r="572">
      <c r="A572" s="50" t="inlineStr">
        <is>
          <t>12021000131043265</t>
        </is>
      </c>
      <c r="B572" s="51" t="inlineStr">
        <is>
          <t>111462</t>
        </is>
      </c>
      <c r="C572" s="156" t="inlineStr">
        <is>
          <t>Multimarca</t>
        </is>
      </c>
      <c r="D572" s="156" t="inlineStr">
        <is>
          <t>12-021-BS000-13-1043</t>
        </is>
      </c>
      <c r="E572" s="156" t="inlineStr">
        <is>
          <t>12-021-BS000-13-1043-265</t>
        </is>
      </c>
      <c r="F572" s="156" t="inlineStr">
        <is>
          <t>26.5</t>
        </is>
      </c>
      <c r="G572" s="156" t="inlineStr">
        <is>
          <t>9.5</t>
        </is>
      </c>
      <c r="H572" s="156" t="inlineStr">
        <is>
          <t>Stetson</t>
        </is>
      </c>
      <c r="I572" s="156" t="inlineStr">
        <is>
          <t>Bota Pitón Crema</t>
        </is>
      </c>
      <c r="J572" s="156" t="inlineStr">
        <is>
          <t>Calzado</t>
        </is>
      </c>
      <c r="K572" s="156" t="inlineStr">
        <is>
          <t>Botas</t>
        </is>
      </c>
      <c r="L572" s="156" t="inlineStr">
        <is>
          <t>Mujer</t>
        </is>
      </c>
      <c r="M572" s="156" t="inlineStr">
        <is>
          <t>Stetson</t>
        </is>
      </c>
      <c r="N572" s="156" t="inlineStr">
        <is>
          <t>SS26</t>
        </is>
      </c>
      <c r="O572" s="156" t="inlineStr">
        <is>
          <t>Seasonal</t>
        </is>
      </c>
      <c r="P572" s="156" t="inlineStr">
        <is>
          <t>Beige</t>
        </is>
      </c>
      <c r="Q572" s="156" t="n"/>
      <c r="R572" s="156" t="inlineStr">
        <is>
          <t>Horma Alexia</t>
        </is>
      </c>
      <c r="S572" s="156" t="inlineStr">
        <is>
          <t>Piel de pitón</t>
        </is>
      </c>
      <c r="T572" s="156" t="inlineStr">
        <is>
          <t>Bota Dama Piel de pitón Crema Horma Alexia</t>
        </is>
      </c>
      <c r="U572" s="156" t="inlineStr">
        <is>
          <t>México</t>
        </is>
      </c>
      <c r="V572" s="156" t="inlineStr">
        <is>
          <t>PRS</t>
        </is>
      </c>
      <c r="W572" s="51" t="inlineStr">
        <is>
          <t>53111502</t>
        </is>
      </c>
      <c r="X572" s="156" t="n"/>
      <c r="Y572" s="54" t="n">
        <v>1252.115</v>
      </c>
      <c r="Z572" s="54" t="n">
        <v>7155.172414</v>
      </c>
      <c r="AA572" s="55">
        <f>IF(AND(A572="", B572="", E572=""), "", IF(AB572="", "Válido", IF((LEN(AB572)-LEN(SUBSTITUTE(AB572,"; ","")))/2+1&gt;(LEN(AB572)-LEN(SUBSTITUTE(AB572,"[Aviso]","")))/7, "Con Incidencias", "Válido")))</f>
        <v/>
      </c>
      <c r="AB572" s="56">
        <f>IF(AND(A572="", B572="", E572=""), "", TEXTJOIN("; ", TRUE, IF(OR(TRIM(A572&amp;"")="", ISNUMBER(SEARCH("FALTA", A572))), "UPC faltante/inválido", ""), IF(AND(A572&lt;&gt;"", IFERROR(_xlfn.XMATCH(A572,$A$2:$A$2509,0,1)&lt;&gt;_xlfn.XMATCH(A572,$A$2:$A$2509,0,-1),FALSE)), "Código de barras duplicado", ""), IF(AND(E572&lt;&gt;"", COUNTIF($E$2:$E$2509, E572)&gt;1), "SKU duplicado", ""), IF(OR(J572="", J572=""), "[Aviso] División no capturada ()", IF(ISNA(MATCH(J572, Criterios!$A$123:$A$126, 0)), "División no válida", "")), IF(OR(K572="", K572=""), "[Aviso] Categoría no capturada ()", IF(ISNA(MATCH(K572, Criterios!$A$81:$A$120, 0)), "Categoría no válida", IF(AND(J572&lt;&gt;"", J572&lt;&gt;"", J572&lt;&gt;VLOOKUP(K572, Criterios!$A$81:$B$120, 2, FALSE)), "División no coincide con Categoría", ""))), IF(OR(L572="", L572=""), "[Aviso] Género no capturado ()", IF(ISNA(MATCH(L572, Criterios!$B$123:$B$127, 0)), "Género no válido", "")), IF(OR(N572="", N572=""), "[Aviso] Temporada no capturada ()", IF(ISNA(MATCH(N572, Criterios!$C$123:$C$128, 0)), "Temporada no válida", "")), IF(OR(O572="", O572=""), "[Aviso] Ciclo de vida no capturado ()", IF(ISNA(MATCH(O572, Criterios!$D$123:$D$124, 0)), "Ciclo de vida no válido", ""))))</f>
        <v/>
      </c>
      <c r="AC572" s="56" t="n"/>
      <c r="AD572" s="51" t="n">
        <v>0</v>
      </c>
      <c r="AE572" s="156" t="n"/>
      <c r="AF572" s="51" t="n">
        <v>0</v>
      </c>
      <c r="AG572" s="156" t="inlineStr">
        <is>
          <t>Catálogo existente</t>
        </is>
      </c>
      <c r="AH57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2" s="156" t="inlineStr">
        <is>
          <t>No</t>
        </is>
      </c>
      <c r="AJ572" s="156" t="n"/>
      <c r="AK572" s="155" t="inlineStr">
        <is>
          <t>Criterios: I [Q]; G1522_Extraccion_Articulos_NetSuite_2026-09-30.xlsx: fila 59137 [R]</t>
        </is>
      </c>
      <c r="AL572" s="58" t="n">
        <v>1252.115</v>
      </c>
      <c r="AM572" s="58" t="n">
        <v>7155.172414</v>
      </c>
      <c r="AN572" s="155" t="n"/>
      <c r="AO572" s="59" t="n"/>
      <c r="AP572" s="59" t="n"/>
      <c r="AQ572" s="59" t="n"/>
      <c r="AR572" s="155" t="n"/>
    </row>
    <row r="573">
      <c r="A573" s="50" t="inlineStr">
        <is>
          <t>12021000131043275</t>
        </is>
      </c>
      <c r="B573" s="51" t="inlineStr">
        <is>
          <t>111463</t>
        </is>
      </c>
      <c r="C573" s="156" t="inlineStr">
        <is>
          <t>Multimarca</t>
        </is>
      </c>
      <c r="D573" s="156" t="inlineStr">
        <is>
          <t>12-021-BS000-13-1043</t>
        </is>
      </c>
      <c r="E573" s="156" t="inlineStr">
        <is>
          <t>12-021-BS000-13-1043-275</t>
        </is>
      </c>
      <c r="F573" s="156" t="inlineStr">
        <is>
          <t>27.5</t>
        </is>
      </c>
      <c r="G573" s="156" t="inlineStr">
        <is>
          <t>10.5</t>
        </is>
      </c>
      <c r="H573" s="156" t="inlineStr">
        <is>
          <t>Stetson</t>
        </is>
      </c>
      <c r="I573" s="156" t="inlineStr">
        <is>
          <t>Bota Pitón Crema</t>
        </is>
      </c>
      <c r="J573" s="156" t="inlineStr">
        <is>
          <t>Calzado</t>
        </is>
      </c>
      <c r="K573" s="156" t="inlineStr">
        <is>
          <t>Botas</t>
        </is>
      </c>
      <c r="L573" s="156" t="inlineStr">
        <is>
          <t>Mujer</t>
        </is>
      </c>
      <c r="M573" s="156" t="inlineStr">
        <is>
          <t>Stetson</t>
        </is>
      </c>
      <c r="N573" s="156" t="inlineStr">
        <is>
          <t>SS26</t>
        </is>
      </c>
      <c r="O573" s="156" t="inlineStr">
        <is>
          <t>Seasonal</t>
        </is>
      </c>
      <c r="P573" s="156" t="inlineStr">
        <is>
          <t>Beige</t>
        </is>
      </c>
      <c r="Q573" s="156" t="n"/>
      <c r="R573" s="156" t="inlineStr">
        <is>
          <t>Horma Alexia</t>
        </is>
      </c>
      <c r="S573" s="156" t="inlineStr">
        <is>
          <t>Piel de pitón</t>
        </is>
      </c>
      <c r="T573" s="156" t="inlineStr">
        <is>
          <t>Bota Dama Piel de pitón Crema Horma Alexia</t>
        </is>
      </c>
      <c r="U573" s="156" t="inlineStr">
        <is>
          <t>México</t>
        </is>
      </c>
      <c r="V573" s="156" t="inlineStr">
        <is>
          <t>PRS</t>
        </is>
      </c>
      <c r="W573" s="51" t="inlineStr">
        <is>
          <t>53111502</t>
        </is>
      </c>
      <c r="X573" s="156" t="n"/>
      <c r="Y573" s="54" t="n">
        <v>1252.115</v>
      </c>
      <c r="Z573" s="54" t="n">
        <v>7155.172414</v>
      </c>
      <c r="AA573" s="55">
        <f>IF(AND(A573="", B573="", E573=""), "", IF(AB573="", "Válido", IF((LEN(AB573)-LEN(SUBSTITUTE(AB573,"; ","")))/2+1&gt;(LEN(AB573)-LEN(SUBSTITUTE(AB573,"[Aviso]","")))/7, "Con Incidencias", "Válido")))</f>
        <v/>
      </c>
      <c r="AB573" s="56">
        <f>IF(AND(A573="", B573="", E573=""), "", TEXTJOIN("; ", TRUE, IF(OR(TRIM(A573&amp;"")="", ISNUMBER(SEARCH("FALTA", A573))), "UPC faltante/inválido", ""), IF(AND(A573&lt;&gt;"", IFERROR(_xlfn.XMATCH(A573,$A$2:$A$2509,0,1)&lt;&gt;_xlfn.XMATCH(A573,$A$2:$A$2509,0,-1),FALSE)), "Código de barras duplicado", ""), IF(AND(E573&lt;&gt;"", COUNTIF($E$2:$E$2509, E573)&gt;1), "SKU duplicado", ""), IF(OR(J573="", J573=""), "[Aviso] División no capturada ()", IF(ISNA(MATCH(J573, Criterios!$A$123:$A$126, 0)), "División no válida", "")), IF(OR(K573="", K573=""), "[Aviso] Categoría no capturada ()", IF(ISNA(MATCH(K573, Criterios!$A$81:$A$120, 0)), "Categoría no válida", IF(AND(J573&lt;&gt;"", J573&lt;&gt;"", J573&lt;&gt;VLOOKUP(K573, Criterios!$A$81:$B$120, 2, FALSE)), "División no coincide con Categoría", ""))), IF(OR(L573="", L573=""), "[Aviso] Género no capturado ()", IF(ISNA(MATCH(L573, Criterios!$B$123:$B$127, 0)), "Género no válido", "")), IF(OR(N573="", N573=""), "[Aviso] Temporada no capturada ()", IF(ISNA(MATCH(N573, Criterios!$C$123:$C$128, 0)), "Temporada no válida", "")), IF(OR(O573="", O573=""), "[Aviso] Ciclo de vida no capturado ()", IF(ISNA(MATCH(O573, Criterios!$D$123:$D$124, 0)), "Ciclo de vida no válido", ""))))</f>
        <v/>
      </c>
      <c r="AC573" s="56" t="n"/>
      <c r="AD573" s="51" t="n">
        <v>0</v>
      </c>
      <c r="AE573" s="156" t="n"/>
      <c r="AF573" s="51" t="n">
        <v>0</v>
      </c>
      <c r="AG573" s="156" t="inlineStr">
        <is>
          <t>Catálogo existente</t>
        </is>
      </c>
      <c r="AH57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3" s="156" t="inlineStr">
        <is>
          <t>No</t>
        </is>
      </c>
      <c r="AJ573" s="156" t="n"/>
      <c r="AK573" s="155" t="inlineStr">
        <is>
          <t>Criterios: I [Q]; G1522_Extraccion_Articulos_NetSuite_2026-09-30.xlsx: fila 59138 [R]</t>
        </is>
      </c>
      <c r="AL573" s="58" t="n">
        <v>1252.115</v>
      </c>
      <c r="AM573" s="58" t="n">
        <v>7155.172414</v>
      </c>
      <c r="AN573" s="155" t="n"/>
      <c r="AO573" s="59" t="n"/>
      <c r="AP573" s="59" t="n"/>
      <c r="AQ573" s="59" t="n"/>
      <c r="AR573" s="155" t="n"/>
    </row>
    <row r="574">
      <c r="A574" s="50" t="inlineStr">
        <is>
          <t>12021000131044022</t>
        </is>
      </c>
      <c r="B574" s="51" t="inlineStr">
        <is>
          <t>111476</t>
        </is>
      </c>
      <c r="C574" s="156" t="inlineStr">
        <is>
          <t>Multimarca</t>
        </is>
      </c>
      <c r="D574" s="156" t="inlineStr">
        <is>
          <t>12-021-BS000-13-1044</t>
        </is>
      </c>
      <c r="E574" s="156" t="inlineStr">
        <is>
          <t>12-021-BS000-13-1044-022</t>
        </is>
      </c>
      <c r="F574" s="156" t="inlineStr">
        <is>
          <t>22</t>
        </is>
      </c>
      <c r="G574" s="156" t="inlineStr">
        <is>
          <t>5</t>
        </is>
      </c>
      <c r="H574" s="156" t="inlineStr">
        <is>
          <t>Stetson</t>
        </is>
      </c>
      <c r="I574" s="156" t="inlineStr">
        <is>
          <t>Bota Pitón Negro</t>
        </is>
      </c>
      <c r="J574" s="156" t="inlineStr">
        <is>
          <t>Calzado</t>
        </is>
      </c>
      <c r="K574" s="156" t="inlineStr">
        <is>
          <t>Botas</t>
        </is>
      </c>
      <c r="L574" s="156" t="inlineStr">
        <is>
          <t>Mujer</t>
        </is>
      </c>
      <c r="M574" s="156" t="inlineStr">
        <is>
          <t>Stetson</t>
        </is>
      </c>
      <c r="N574" s="156" t="inlineStr">
        <is>
          <t>SS26</t>
        </is>
      </c>
      <c r="O574" s="156" t="inlineStr">
        <is>
          <t>Seasonal</t>
        </is>
      </c>
      <c r="P574" s="156" t="inlineStr">
        <is>
          <t>Negro</t>
        </is>
      </c>
      <c r="Q574" s="156" t="n"/>
      <c r="R574" s="156" t="inlineStr">
        <is>
          <t>Horma Alexia</t>
        </is>
      </c>
      <c r="S574" s="156" t="inlineStr">
        <is>
          <t>Piel de pitón</t>
        </is>
      </c>
      <c r="T574" s="156" t="inlineStr">
        <is>
          <t>Bota Dama Piel de pitón Negro Horma Alexia</t>
        </is>
      </c>
      <c r="U574" s="156" t="inlineStr">
        <is>
          <t>México</t>
        </is>
      </c>
      <c r="V574" s="156" t="inlineStr">
        <is>
          <t>PRS</t>
        </is>
      </c>
      <c r="W574" s="51" t="inlineStr">
        <is>
          <t>53111502</t>
        </is>
      </c>
      <c r="X574" s="156" t="n"/>
      <c r="Y574" s="54" t="n">
        <v>1252.115</v>
      </c>
      <c r="Z574" s="54" t="n">
        <v>7155.172414</v>
      </c>
      <c r="AA574" s="55">
        <f>IF(AND(A574="", B574="", E574=""), "", IF(AB574="", "Válido", IF((LEN(AB574)-LEN(SUBSTITUTE(AB574,"; ","")))/2+1&gt;(LEN(AB574)-LEN(SUBSTITUTE(AB574,"[Aviso]","")))/7, "Con Incidencias", "Válido")))</f>
        <v/>
      </c>
      <c r="AB574" s="56">
        <f>IF(AND(A574="", B574="", E574=""), "", TEXTJOIN("; ", TRUE, IF(OR(TRIM(A574&amp;"")="", ISNUMBER(SEARCH("FALTA", A574))), "UPC faltante/inválido", ""), IF(AND(A574&lt;&gt;"", IFERROR(_xlfn.XMATCH(A574,$A$2:$A$2509,0,1)&lt;&gt;_xlfn.XMATCH(A574,$A$2:$A$2509,0,-1),FALSE)), "Código de barras duplicado", ""), IF(AND(E574&lt;&gt;"", COUNTIF($E$2:$E$2509, E574)&gt;1), "SKU duplicado", ""), IF(OR(J574="", J574=""), "[Aviso] División no capturada ()", IF(ISNA(MATCH(J574, Criterios!$A$123:$A$126, 0)), "División no válida", "")), IF(OR(K574="", K574=""), "[Aviso] Categoría no capturada ()", IF(ISNA(MATCH(K574, Criterios!$A$81:$A$120, 0)), "Categoría no válida", IF(AND(J574&lt;&gt;"", J574&lt;&gt;"", J574&lt;&gt;VLOOKUP(K574, Criterios!$A$81:$B$120, 2, FALSE)), "División no coincide con Categoría", ""))), IF(OR(L574="", L574=""), "[Aviso] Género no capturado ()", IF(ISNA(MATCH(L574, Criterios!$B$123:$B$127, 0)), "Género no válido", "")), IF(OR(N574="", N574=""), "[Aviso] Temporada no capturada ()", IF(ISNA(MATCH(N574, Criterios!$C$123:$C$128, 0)), "Temporada no válida", "")), IF(OR(O574="", O574=""), "[Aviso] Ciclo de vida no capturado ()", IF(ISNA(MATCH(O574, Criterios!$D$123:$D$124, 0)), "Ciclo de vida no válido", ""))))</f>
        <v/>
      </c>
      <c r="AC574" s="56" t="n"/>
      <c r="AD574" s="51" t="n">
        <v>0</v>
      </c>
      <c r="AE574" s="156" t="n"/>
      <c r="AF574" s="51" t="n">
        <v>0</v>
      </c>
      <c r="AG574" s="156" t="inlineStr">
        <is>
          <t>Catálogo existente</t>
        </is>
      </c>
      <c r="AH5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4" s="156" t="inlineStr">
        <is>
          <t>No</t>
        </is>
      </c>
      <c r="AJ574" s="156" t="n"/>
      <c r="AK574" s="155" t="inlineStr">
        <is>
          <t>Criterios: I [Q]; G1522_Extraccion_Articulos_NetSuite_2026-09-30.xlsx: fila 59151 [R] | Shopify Stetson: producto 15054565212523 / variante 53350562759019</t>
        </is>
      </c>
      <c r="AL574" s="58" t="n">
        <v>1252.115</v>
      </c>
      <c r="AM574" s="58" t="n">
        <v>7155.172414</v>
      </c>
      <c r="AN574" s="155" t="inlineStr">
        <is>
          <t>Shopify Stetson México</t>
        </is>
      </c>
      <c r="AO574" s="59" t="n">
        <v>0</v>
      </c>
      <c r="AP574" s="59" t="n"/>
      <c r="AQ574" s="59" t="n"/>
      <c r="AR574" s="155" t="n"/>
    </row>
    <row r="575">
      <c r="A575" s="50" t="inlineStr">
        <is>
          <t>12021000131044023</t>
        </is>
      </c>
      <c r="B575" s="51" t="inlineStr">
        <is>
          <t>111477</t>
        </is>
      </c>
      <c r="C575" s="156" t="inlineStr">
        <is>
          <t>Multimarca</t>
        </is>
      </c>
      <c r="D575" s="156" t="inlineStr">
        <is>
          <t>12-021-BS000-13-1044</t>
        </is>
      </c>
      <c r="E575" s="156" t="inlineStr">
        <is>
          <t>12-021-BS000-13-1044-023</t>
        </is>
      </c>
      <c r="F575" s="156" t="inlineStr">
        <is>
          <t>23</t>
        </is>
      </c>
      <c r="G575" s="156" t="inlineStr">
        <is>
          <t>6</t>
        </is>
      </c>
      <c r="H575" s="156" t="inlineStr">
        <is>
          <t>Stetson</t>
        </is>
      </c>
      <c r="I575" s="156" t="inlineStr">
        <is>
          <t>Bota Pitón Negro</t>
        </is>
      </c>
      <c r="J575" s="156" t="inlineStr">
        <is>
          <t>Calzado</t>
        </is>
      </c>
      <c r="K575" s="156" t="inlineStr">
        <is>
          <t>Botas</t>
        </is>
      </c>
      <c r="L575" s="156" t="inlineStr">
        <is>
          <t>Mujer</t>
        </is>
      </c>
      <c r="M575" s="156" t="inlineStr">
        <is>
          <t>Stetson</t>
        </is>
      </c>
      <c r="N575" s="156" t="inlineStr">
        <is>
          <t>SS26</t>
        </is>
      </c>
      <c r="O575" s="156" t="inlineStr">
        <is>
          <t>Seasonal</t>
        </is>
      </c>
      <c r="P575" s="156" t="inlineStr">
        <is>
          <t>Negro</t>
        </is>
      </c>
      <c r="Q575" s="156" t="n"/>
      <c r="R575" s="156" t="inlineStr">
        <is>
          <t>Horma Alexia</t>
        </is>
      </c>
      <c r="S575" s="156" t="inlineStr">
        <is>
          <t>Piel de pitón</t>
        </is>
      </c>
      <c r="T575" s="156" t="inlineStr">
        <is>
          <t>Bota Dama Piel de pitón Negro Horma Alexia</t>
        </is>
      </c>
      <c r="U575" s="156" t="inlineStr">
        <is>
          <t>México</t>
        </is>
      </c>
      <c r="V575" s="156" t="inlineStr">
        <is>
          <t>PRS</t>
        </is>
      </c>
      <c r="W575" s="51" t="inlineStr">
        <is>
          <t>53111502</t>
        </is>
      </c>
      <c r="X575" s="156" t="n"/>
      <c r="Y575" s="54" t="n">
        <v>1252.115</v>
      </c>
      <c r="Z575" s="54" t="n">
        <v>7155.172414</v>
      </c>
      <c r="AA575" s="55">
        <f>IF(AND(A575="", B575="", E575=""), "", IF(AB575="", "Válido", IF((LEN(AB575)-LEN(SUBSTITUTE(AB575,"; ","")))/2+1&gt;(LEN(AB575)-LEN(SUBSTITUTE(AB575,"[Aviso]","")))/7, "Con Incidencias", "Válido")))</f>
        <v/>
      </c>
      <c r="AB575" s="56">
        <f>IF(AND(A575="", B575="", E575=""), "", TEXTJOIN("; ", TRUE, IF(OR(TRIM(A575&amp;"")="", ISNUMBER(SEARCH("FALTA", A575))), "UPC faltante/inválido", ""), IF(AND(A575&lt;&gt;"", IFERROR(_xlfn.XMATCH(A575,$A$2:$A$2509,0,1)&lt;&gt;_xlfn.XMATCH(A575,$A$2:$A$2509,0,-1),FALSE)), "Código de barras duplicado", ""), IF(AND(E575&lt;&gt;"", COUNTIF($E$2:$E$2509, E575)&gt;1), "SKU duplicado", ""), IF(OR(J575="", J575=""), "[Aviso] División no capturada ()", IF(ISNA(MATCH(J575, Criterios!$A$123:$A$126, 0)), "División no válida", "")), IF(OR(K575="", K575=""), "[Aviso] Categoría no capturada ()", IF(ISNA(MATCH(K575, Criterios!$A$81:$A$120, 0)), "Categoría no válida", IF(AND(J575&lt;&gt;"", J575&lt;&gt;"", J575&lt;&gt;VLOOKUP(K575, Criterios!$A$81:$B$120, 2, FALSE)), "División no coincide con Categoría", ""))), IF(OR(L575="", L575=""), "[Aviso] Género no capturado ()", IF(ISNA(MATCH(L575, Criterios!$B$123:$B$127, 0)), "Género no válido", "")), IF(OR(N575="", N575=""), "[Aviso] Temporada no capturada ()", IF(ISNA(MATCH(N575, Criterios!$C$123:$C$128, 0)), "Temporada no válida", "")), IF(OR(O575="", O575=""), "[Aviso] Ciclo de vida no capturado ()", IF(ISNA(MATCH(O575, Criterios!$D$123:$D$124, 0)), "Ciclo de vida no válido", ""))))</f>
        <v/>
      </c>
      <c r="AC575" s="56" t="n"/>
      <c r="AD575" s="51" t="n">
        <v>0</v>
      </c>
      <c r="AE575" s="156" t="n"/>
      <c r="AF575" s="51" t="n">
        <v>0</v>
      </c>
      <c r="AG575" s="156" t="inlineStr">
        <is>
          <t>Catálogo existente</t>
        </is>
      </c>
      <c r="AH5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5" s="156" t="inlineStr">
        <is>
          <t>No</t>
        </is>
      </c>
      <c r="AJ575" s="156" t="n"/>
      <c r="AK575" s="155" t="inlineStr">
        <is>
          <t>Criterios: I [Q]; G1522_Extraccion_Articulos_NetSuite_2026-09-30.xlsx: fila 59152 [R] | Shopify Stetson: producto 15054565212523 / variante 53350562824555</t>
        </is>
      </c>
      <c r="AL575" s="58" t="n">
        <v>1252.115</v>
      </c>
      <c r="AM575" s="58" t="n">
        <v>7155.172414</v>
      </c>
      <c r="AN575" s="155" t="inlineStr">
        <is>
          <t>Shopify Stetson México</t>
        </is>
      </c>
      <c r="AO575" s="59" t="n">
        <v>0</v>
      </c>
      <c r="AP575" s="59" t="n"/>
      <c r="AQ575" s="59" t="n"/>
      <c r="AR575" s="155" t="n"/>
    </row>
    <row r="576">
      <c r="A576" s="50" t="inlineStr">
        <is>
          <t>12021000131044024</t>
        </is>
      </c>
      <c r="B576" s="51" t="inlineStr">
        <is>
          <t>111478</t>
        </is>
      </c>
      <c r="C576" s="156" t="inlineStr">
        <is>
          <t>Multimarca</t>
        </is>
      </c>
      <c r="D576" s="156" t="inlineStr">
        <is>
          <t>12-021-BS000-13-1044</t>
        </is>
      </c>
      <c r="E576" s="156" t="inlineStr">
        <is>
          <t>12-021-BS000-13-1044-024</t>
        </is>
      </c>
      <c r="F576" s="156" t="inlineStr">
        <is>
          <t>24</t>
        </is>
      </c>
      <c r="G576" s="156" t="inlineStr">
        <is>
          <t>7</t>
        </is>
      </c>
      <c r="H576" s="156" t="inlineStr">
        <is>
          <t>Stetson</t>
        </is>
      </c>
      <c r="I576" s="156" t="inlineStr">
        <is>
          <t>Bota Pitón Negro</t>
        </is>
      </c>
      <c r="J576" s="156" t="inlineStr">
        <is>
          <t>Calzado</t>
        </is>
      </c>
      <c r="K576" s="156" t="inlineStr">
        <is>
          <t>Botas</t>
        </is>
      </c>
      <c r="L576" s="156" t="inlineStr">
        <is>
          <t>Mujer</t>
        </is>
      </c>
      <c r="M576" s="156" t="inlineStr">
        <is>
          <t>Stetson</t>
        </is>
      </c>
      <c r="N576" s="156" t="inlineStr">
        <is>
          <t>SS26</t>
        </is>
      </c>
      <c r="O576" s="156" t="inlineStr">
        <is>
          <t>Seasonal</t>
        </is>
      </c>
      <c r="P576" s="156" t="inlineStr">
        <is>
          <t>Negro</t>
        </is>
      </c>
      <c r="Q576" s="156" t="n"/>
      <c r="R576" s="156" t="inlineStr">
        <is>
          <t>Horma Alexia</t>
        </is>
      </c>
      <c r="S576" s="156" t="inlineStr">
        <is>
          <t>Piel de pitón</t>
        </is>
      </c>
      <c r="T576" s="156" t="inlineStr">
        <is>
          <t>Bota Dama Piel de pitón Negro Horma Alexia</t>
        </is>
      </c>
      <c r="U576" s="156" t="inlineStr">
        <is>
          <t>México</t>
        </is>
      </c>
      <c r="V576" s="156" t="inlineStr">
        <is>
          <t>PRS</t>
        </is>
      </c>
      <c r="W576" s="51" t="inlineStr">
        <is>
          <t>53111502</t>
        </is>
      </c>
      <c r="X576" s="156" t="n"/>
      <c r="Y576" s="54" t="n">
        <v>1252.115</v>
      </c>
      <c r="Z576" s="54" t="n">
        <v>7155.172414</v>
      </c>
      <c r="AA576" s="55">
        <f>IF(AND(A576="", B576="", E576=""), "", IF(AB576="", "Válido", IF((LEN(AB576)-LEN(SUBSTITUTE(AB576,"; ","")))/2+1&gt;(LEN(AB576)-LEN(SUBSTITUTE(AB576,"[Aviso]","")))/7, "Con Incidencias", "Válido")))</f>
        <v/>
      </c>
      <c r="AB576" s="56">
        <f>IF(AND(A576="", B576="", E576=""), "", TEXTJOIN("; ", TRUE, IF(OR(TRIM(A576&amp;"")="", ISNUMBER(SEARCH("FALTA", A576))), "UPC faltante/inválido", ""), IF(AND(A576&lt;&gt;"", IFERROR(_xlfn.XMATCH(A576,$A$2:$A$2509,0,1)&lt;&gt;_xlfn.XMATCH(A576,$A$2:$A$2509,0,-1),FALSE)), "Código de barras duplicado", ""), IF(AND(E576&lt;&gt;"", COUNTIF($E$2:$E$2509, E576)&gt;1), "SKU duplicado", ""), IF(OR(J576="", J576=""), "[Aviso] División no capturada ()", IF(ISNA(MATCH(J576, Criterios!$A$123:$A$126, 0)), "División no válida", "")), IF(OR(K576="", K576=""), "[Aviso] Categoría no capturada ()", IF(ISNA(MATCH(K576, Criterios!$A$81:$A$120, 0)), "Categoría no válida", IF(AND(J576&lt;&gt;"", J576&lt;&gt;"", J576&lt;&gt;VLOOKUP(K576, Criterios!$A$81:$B$120, 2, FALSE)), "División no coincide con Categoría", ""))), IF(OR(L576="", L576=""), "[Aviso] Género no capturado ()", IF(ISNA(MATCH(L576, Criterios!$B$123:$B$127, 0)), "Género no válido", "")), IF(OR(N576="", N576=""), "[Aviso] Temporada no capturada ()", IF(ISNA(MATCH(N576, Criterios!$C$123:$C$128, 0)), "Temporada no válida", "")), IF(OR(O576="", O576=""), "[Aviso] Ciclo de vida no capturado ()", IF(ISNA(MATCH(O576, Criterios!$D$123:$D$124, 0)), "Ciclo de vida no válido", ""))))</f>
        <v/>
      </c>
      <c r="AC576" s="56" t="n"/>
      <c r="AD576" s="51" t="n">
        <v>0</v>
      </c>
      <c r="AE576" s="156" t="n"/>
      <c r="AF576" s="51" t="n">
        <v>0</v>
      </c>
      <c r="AG576" s="156" t="inlineStr">
        <is>
          <t>Catálogo existente</t>
        </is>
      </c>
      <c r="AH5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6" s="156" t="inlineStr">
        <is>
          <t>No</t>
        </is>
      </c>
      <c r="AJ576" s="156" t="n"/>
      <c r="AK576" s="155" t="inlineStr">
        <is>
          <t>Criterios: I [Q]; G1522_Extraccion_Articulos_NetSuite_2026-09-30.xlsx: fila 59153 [R] | Shopify Stetson: producto 15054565212523 / variante 53350562890091</t>
        </is>
      </c>
      <c r="AL576" s="58" t="n">
        <v>1252.115</v>
      </c>
      <c r="AM576" s="58" t="n">
        <v>7155.172414</v>
      </c>
      <c r="AN576" s="155" t="inlineStr">
        <is>
          <t>Shopify Stetson México</t>
        </is>
      </c>
      <c r="AO576" s="59" t="n">
        <v>1</v>
      </c>
      <c r="AP576" s="59" t="n"/>
      <c r="AQ576" s="59" t="n"/>
      <c r="AR576" s="155" t="inlineStr">
        <is>
          <t>Shopify Stetson México › Stetson Americas: 1</t>
        </is>
      </c>
    </row>
    <row r="577">
      <c r="A577" s="50" t="inlineStr">
        <is>
          <t>12021000131044025</t>
        </is>
      </c>
      <c r="B577" s="51" t="inlineStr">
        <is>
          <t>111479</t>
        </is>
      </c>
      <c r="C577" s="156" t="inlineStr">
        <is>
          <t>Multimarca</t>
        </is>
      </c>
      <c r="D577" s="156" t="inlineStr">
        <is>
          <t>12-021-BS000-13-1044</t>
        </is>
      </c>
      <c r="E577" s="156" t="inlineStr">
        <is>
          <t>12-021-BS000-13-1044-025</t>
        </is>
      </c>
      <c r="F577" s="156" t="inlineStr">
        <is>
          <t>25</t>
        </is>
      </c>
      <c r="G577" s="156" t="inlineStr">
        <is>
          <t>8</t>
        </is>
      </c>
      <c r="H577" s="156" t="inlineStr">
        <is>
          <t>Stetson</t>
        </is>
      </c>
      <c r="I577" s="156" t="inlineStr">
        <is>
          <t>Bota Pitón Negro</t>
        </is>
      </c>
      <c r="J577" s="156" t="inlineStr">
        <is>
          <t>Calzado</t>
        </is>
      </c>
      <c r="K577" s="156" t="inlineStr">
        <is>
          <t>Botas</t>
        </is>
      </c>
      <c r="L577" s="156" t="inlineStr">
        <is>
          <t>Mujer</t>
        </is>
      </c>
      <c r="M577" s="156" t="inlineStr">
        <is>
          <t>Stetson</t>
        </is>
      </c>
      <c r="N577" s="156" t="inlineStr">
        <is>
          <t>SS26</t>
        </is>
      </c>
      <c r="O577" s="156" t="inlineStr">
        <is>
          <t>Seasonal</t>
        </is>
      </c>
      <c r="P577" s="156" t="inlineStr">
        <is>
          <t>Negro</t>
        </is>
      </c>
      <c r="Q577" s="156" t="n"/>
      <c r="R577" s="156" t="inlineStr">
        <is>
          <t>Horma Alexia</t>
        </is>
      </c>
      <c r="S577" s="156" t="inlineStr">
        <is>
          <t>Piel de pitón</t>
        </is>
      </c>
      <c r="T577" s="156" t="inlineStr">
        <is>
          <t>Bota Dama Piel de pitón Negro Horma Alexia</t>
        </is>
      </c>
      <c r="U577" s="156" t="inlineStr">
        <is>
          <t>México</t>
        </is>
      </c>
      <c r="V577" s="156" t="inlineStr">
        <is>
          <t>PRS</t>
        </is>
      </c>
      <c r="W577" s="51" t="inlineStr">
        <is>
          <t>53111502</t>
        </is>
      </c>
      <c r="X577" s="156" t="n"/>
      <c r="Y577" s="54" t="n">
        <v>1252.115</v>
      </c>
      <c r="Z577" s="54" t="n">
        <v>7155.172414</v>
      </c>
      <c r="AA577" s="55">
        <f>IF(AND(A577="", B577="", E577=""), "", IF(AB577="", "Válido", IF((LEN(AB577)-LEN(SUBSTITUTE(AB577,"; ","")))/2+1&gt;(LEN(AB577)-LEN(SUBSTITUTE(AB577,"[Aviso]","")))/7, "Con Incidencias", "Válido")))</f>
        <v/>
      </c>
      <c r="AB577" s="56">
        <f>IF(AND(A577="", B577="", E577=""), "", TEXTJOIN("; ", TRUE, IF(OR(TRIM(A577&amp;"")="", ISNUMBER(SEARCH("FALTA", A577))), "UPC faltante/inválido", ""), IF(AND(A577&lt;&gt;"", IFERROR(_xlfn.XMATCH(A577,$A$2:$A$2509,0,1)&lt;&gt;_xlfn.XMATCH(A577,$A$2:$A$2509,0,-1),FALSE)), "Código de barras duplicado", ""), IF(AND(E577&lt;&gt;"", COUNTIF($E$2:$E$2509, E577)&gt;1), "SKU duplicado", ""), IF(OR(J577="", J577=""), "[Aviso] División no capturada ()", IF(ISNA(MATCH(J577, Criterios!$A$123:$A$126, 0)), "División no válida", "")), IF(OR(K577="", K577=""), "[Aviso] Categoría no capturada ()", IF(ISNA(MATCH(K577, Criterios!$A$81:$A$120, 0)), "Categoría no válida", IF(AND(J577&lt;&gt;"", J577&lt;&gt;"", J577&lt;&gt;VLOOKUP(K577, Criterios!$A$81:$B$120, 2, FALSE)), "División no coincide con Categoría", ""))), IF(OR(L577="", L577=""), "[Aviso] Género no capturado ()", IF(ISNA(MATCH(L577, Criterios!$B$123:$B$127, 0)), "Género no válido", "")), IF(OR(N577="", N577=""), "[Aviso] Temporada no capturada ()", IF(ISNA(MATCH(N577, Criterios!$C$123:$C$128, 0)), "Temporada no válida", "")), IF(OR(O577="", O577=""), "[Aviso] Ciclo de vida no capturado ()", IF(ISNA(MATCH(O577, Criterios!$D$123:$D$124, 0)), "Ciclo de vida no válido", ""))))</f>
        <v/>
      </c>
      <c r="AC577" s="56" t="n"/>
      <c r="AD577" s="51" t="n">
        <v>0</v>
      </c>
      <c r="AE577" s="156" t="n"/>
      <c r="AF577" s="51" t="n">
        <v>0</v>
      </c>
      <c r="AG577" s="156" t="inlineStr">
        <is>
          <t>Catálogo existente</t>
        </is>
      </c>
      <c r="AH5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7" s="156" t="inlineStr">
        <is>
          <t>No</t>
        </is>
      </c>
      <c r="AJ577" s="156" t="n"/>
      <c r="AK577" s="155" t="inlineStr">
        <is>
          <t>Criterios: I [Q]; G1522_Extraccion_Articulos_NetSuite_2026-09-30.xlsx: fila 59154 [R] | Shopify Stetson: producto 15054565212523 / variante 53350562955627</t>
        </is>
      </c>
      <c r="AL577" s="58" t="n">
        <v>1252.115</v>
      </c>
      <c r="AM577" s="58" t="n">
        <v>7155.172414</v>
      </c>
      <c r="AN577" s="155" t="inlineStr">
        <is>
          <t>Shopify Stetson México</t>
        </is>
      </c>
      <c r="AO577" s="59" t="n">
        <v>2</v>
      </c>
      <c r="AP577" s="59" t="n"/>
      <c r="AQ577" s="59" t="n"/>
      <c r="AR577" s="155" t="inlineStr">
        <is>
          <t>Shopify Stetson México › Stetson Americas: 2</t>
        </is>
      </c>
    </row>
    <row r="578">
      <c r="A578" s="50" t="inlineStr">
        <is>
          <t>12021000131044026</t>
        </is>
      </c>
      <c r="B578" s="51" t="inlineStr">
        <is>
          <t>111471</t>
        </is>
      </c>
      <c r="C578" s="156" t="inlineStr">
        <is>
          <t>Multimarca</t>
        </is>
      </c>
      <c r="D578" s="156" t="inlineStr">
        <is>
          <t>12-021-BS000-13-1044</t>
        </is>
      </c>
      <c r="E578" s="156" t="inlineStr">
        <is>
          <t>12-021-BS000-13-1044-026</t>
        </is>
      </c>
      <c r="F578" s="156" t="inlineStr">
        <is>
          <t>26</t>
        </is>
      </c>
      <c r="G578" s="156" t="inlineStr">
        <is>
          <t>9</t>
        </is>
      </c>
      <c r="H578" s="156" t="inlineStr">
        <is>
          <t>Stetson</t>
        </is>
      </c>
      <c r="I578" s="156" t="inlineStr">
        <is>
          <t>Bota Pitón Negro</t>
        </is>
      </c>
      <c r="J578" s="156" t="inlineStr">
        <is>
          <t>Calzado</t>
        </is>
      </c>
      <c r="K578" s="156" t="inlineStr">
        <is>
          <t>Botas</t>
        </is>
      </c>
      <c r="L578" s="156" t="inlineStr">
        <is>
          <t>Mujer</t>
        </is>
      </c>
      <c r="M578" s="156" t="inlineStr">
        <is>
          <t>Stetson</t>
        </is>
      </c>
      <c r="N578" s="156" t="inlineStr">
        <is>
          <t>SS26</t>
        </is>
      </c>
      <c r="O578" s="156" t="inlineStr">
        <is>
          <t>Seasonal</t>
        </is>
      </c>
      <c r="P578" s="156" t="inlineStr">
        <is>
          <t>Negro</t>
        </is>
      </c>
      <c r="Q578" s="156" t="n"/>
      <c r="R578" s="156" t="inlineStr">
        <is>
          <t>Horma Alexia</t>
        </is>
      </c>
      <c r="S578" s="156" t="inlineStr">
        <is>
          <t>Piel de pitón</t>
        </is>
      </c>
      <c r="T578" s="156" t="inlineStr">
        <is>
          <t>Bota Dama Piel de pitón Negro Horma Alexia</t>
        </is>
      </c>
      <c r="U578" s="156" t="inlineStr">
        <is>
          <t>México</t>
        </is>
      </c>
      <c r="V578" s="156" t="inlineStr">
        <is>
          <t>PRS</t>
        </is>
      </c>
      <c r="W578" s="51" t="inlineStr">
        <is>
          <t>53111502</t>
        </is>
      </c>
      <c r="X578" s="156" t="n"/>
      <c r="Y578" s="54" t="n">
        <v>1252.115</v>
      </c>
      <c r="Z578" s="54" t="n">
        <v>7155.172414</v>
      </c>
      <c r="AA578" s="55">
        <f>IF(AND(A578="", B578="", E578=""), "", IF(AB578="", "Válido", IF((LEN(AB578)-LEN(SUBSTITUTE(AB578,"; ","")))/2+1&gt;(LEN(AB578)-LEN(SUBSTITUTE(AB578,"[Aviso]","")))/7, "Con Incidencias", "Válido")))</f>
        <v/>
      </c>
      <c r="AB578" s="56">
        <f>IF(AND(A578="", B578="", E578=""), "", TEXTJOIN("; ", TRUE, IF(OR(TRIM(A578&amp;"")="", ISNUMBER(SEARCH("FALTA", A578))), "UPC faltante/inválido", ""), IF(AND(A578&lt;&gt;"", IFERROR(_xlfn.XMATCH(A578,$A$2:$A$2509,0,1)&lt;&gt;_xlfn.XMATCH(A578,$A$2:$A$2509,0,-1),FALSE)), "Código de barras duplicado", ""), IF(AND(E578&lt;&gt;"", COUNTIF($E$2:$E$2509, E578)&gt;1), "SKU duplicado", ""), IF(OR(J578="", J578=""), "[Aviso] División no capturada ()", IF(ISNA(MATCH(J578, Criterios!$A$123:$A$126, 0)), "División no válida", "")), IF(OR(K578="", K578=""), "[Aviso] Categoría no capturada ()", IF(ISNA(MATCH(K578, Criterios!$A$81:$A$120, 0)), "Categoría no válida", IF(AND(J578&lt;&gt;"", J578&lt;&gt;"", J578&lt;&gt;VLOOKUP(K578, Criterios!$A$81:$B$120, 2, FALSE)), "División no coincide con Categoría", ""))), IF(OR(L578="", L578=""), "[Aviso] Género no capturado ()", IF(ISNA(MATCH(L578, Criterios!$B$123:$B$127, 0)), "Género no válido", "")), IF(OR(N578="", N578=""), "[Aviso] Temporada no capturada ()", IF(ISNA(MATCH(N578, Criterios!$C$123:$C$128, 0)), "Temporada no válida", "")), IF(OR(O578="", O578=""), "[Aviso] Ciclo de vida no capturado ()", IF(ISNA(MATCH(O578, Criterios!$D$123:$D$124, 0)), "Ciclo de vida no válido", ""))))</f>
        <v/>
      </c>
      <c r="AC578" s="56" t="n"/>
      <c r="AD578" s="51" t="n">
        <v>0</v>
      </c>
      <c r="AE578" s="156" t="n"/>
      <c r="AF578" s="51" t="n">
        <v>0</v>
      </c>
      <c r="AG578" s="156" t="inlineStr">
        <is>
          <t>Catálogo existente</t>
        </is>
      </c>
      <c r="AH57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8" s="156" t="inlineStr">
        <is>
          <t>No</t>
        </is>
      </c>
      <c r="AJ578" s="156" t="n"/>
      <c r="AK578" s="155" t="inlineStr">
        <is>
          <t>Criterios: I [Q]; G1522_Extraccion_Articulos_NetSuite_2026-09-30.xlsx: fila 59146 [R]</t>
        </is>
      </c>
      <c r="AL578" s="58" t="n">
        <v>1252.115</v>
      </c>
      <c r="AM578" s="58" t="n">
        <v>7155.172414</v>
      </c>
      <c r="AN578" s="155" t="n"/>
      <c r="AO578" s="59" t="n"/>
      <c r="AP578" s="59" t="n"/>
      <c r="AQ578" s="59" t="n"/>
      <c r="AR578" s="155" t="n"/>
    </row>
    <row r="579">
      <c r="A579" s="50" t="inlineStr">
        <is>
          <t>12021000131044027</t>
        </is>
      </c>
      <c r="B579" s="51" t="inlineStr">
        <is>
          <t>111472</t>
        </is>
      </c>
      <c r="C579" s="156" t="inlineStr">
        <is>
          <t>Multimarca</t>
        </is>
      </c>
      <c r="D579" s="156" t="inlineStr">
        <is>
          <t>12-021-BS000-13-1044</t>
        </is>
      </c>
      <c r="E579" s="156" t="inlineStr">
        <is>
          <t>12-021-BS000-13-1044-027</t>
        </is>
      </c>
      <c r="F579" s="156" t="inlineStr">
        <is>
          <t>27</t>
        </is>
      </c>
      <c r="G579" s="156" t="inlineStr">
        <is>
          <t>10</t>
        </is>
      </c>
      <c r="H579" s="156" t="inlineStr">
        <is>
          <t>Stetson</t>
        </is>
      </c>
      <c r="I579" s="156" t="inlineStr">
        <is>
          <t>Bota Pitón Negro</t>
        </is>
      </c>
      <c r="J579" s="156" t="inlineStr">
        <is>
          <t>Calzado</t>
        </is>
      </c>
      <c r="K579" s="156" t="inlineStr">
        <is>
          <t>Botas</t>
        </is>
      </c>
      <c r="L579" s="156" t="inlineStr">
        <is>
          <t>Mujer</t>
        </is>
      </c>
      <c r="M579" s="156" t="inlineStr">
        <is>
          <t>Stetson</t>
        </is>
      </c>
      <c r="N579" s="156" t="inlineStr">
        <is>
          <t>SS26</t>
        </is>
      </c>
      <c r="O579" s="156" t="inlineStr">
        <is>
          <t>Seasonal</t>
        </is>
      </c>
      <c r="P579" s="156" t="inlineStr">
        <is>
          <t>Negro</t>
        </is>
      </c>
      <c r="Q579" s="156" t="n"/>
      <c r="R579" s="156" t="inlineStr">
        <is>
          <t>Horma Alexia</t>
        </is>
      </c>
      <c r="S579" s="156" t="inlineStr">
        <is>
          <t>Piel de pitón</t>
        </is>
      </c>
      <c r="T579" s="156" t="inlineStr">
        <is>
          <t>Bota Dama Piel de pitón Negro Horma Alexia</t>
        </is>
      </c>
      <c r="U579" s="156" t="inlineStr">
        <is>
          <t>México</t>
        </is>
      </c>
      <c r="V579" s="156" t="inlineStr">
        <is>
          <t>PRS</t>
        </is>
      </c>
      <c r="W579" s="51" t="inlineStr">
        <is>
          <t>53111502</t>
        </is>
      </c>
      <c r="X579" s="156" t="n"/>
      <c r="Y579" s="54" t="n">
        <v>1252.115</v>
      </c>
      <c r="Z579" s="54" t="n">
        <v>7155.172414</v>
      </c>
      <c r="AA579" s="55">
        <f>IF(AND(A579="", B579="", E579=""), "", IF(AB579="", "Válido", IF((LEN(AB579)-LEN(SUBSTITUTE(AB579,"; ","")))/2+1&gt;(LEN(AB579)-LEN(SUBSTITUTE(AB579,"[Aviso]","")))/7, "Con Incidencias", "Válido")))</f>
        <v/>
      </c>
      <c r="AB579" s="56">
        <f>IF(AND(A579="", B579="", E579=""), "", TEXTJOIN("; ", TRUE, IF(OR(TRIM(A579&amp;"")="", ISNUMBER(SEARCH("FALTA", A579))), "UPC faltante/inválido", ""), IF(AND(A579&lt;&gt;"", IFERROR(_xlfn.XMATCH(A579,$A$2:$A$2509,0,1)&lt;&gt;_xlfn.XMATCH(A579,$A$2:$A$2509,0,-1),FALSE)), "Código de barras duplicado", ""), IF(AND(E579&lt;&gt;"", COUNTIF($E$2:$E$2509, E579)&gt;1), "SKU duplicado", ""), IF(OR(J579="", J579=""), "[Aviso] División no capturada ()", IF(ISNA(MATCH(J579, Criterios!$A$123:$A$126, 0)), "División no válida", "")), IF(OR(K579="", K579=""), "[Aviso] Categoría no capturada ()", IF(ISNA(MATCH(K579, Criterios!$A$81:$A$120, 0)), "Categoría no válida", IF(AND(J579&lt;&gt;"", J579&lt;&gt;"", J579&lt;&gt;VLOOKUP(K579, Criterios!$A$81:$B$120, 2, FALSE)), "División no coincide con Categoría", ""))), IF(OR(L579="", L579=""), "[Aviso] Género no capturado ()", IF(ISNA(MATCH(L579, Criterios!$B$123:$B$127, 0)), "Género no válido", "")), IF(OR(N579="", N579=""), "[Aviso] Temporada no capturada ()", IF(ISNA(MATCH(N579, Criterios!$C$123:$C$128, 0)), "Temporada no válida", "")), IF(OR(O579="", O579=""), "[Aviso] Ciclo de vida no capturado ()", IF(ISNA(MATCH(O579, Criterios!$D$123:$D$124, 0)), "Ciclo de vida no válido", ""))))</f>
        <v/>
      </c>
      <c r="AC579" s="56" t="n"/>
      <c r="AD579" s="51" t="n">
        <v>0</v>
      </c>
      <c r="AE579" s="156" t="n"/>
      <c r="AF579" s="51" t="n">
        <v>0</v>
      </c>
      <c r="AG579" s="156" t="inlineStr">
        <is>
          <t>Catálogo existente</t>
        </is>
      </c>
      <c r="AH57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9" s="156" t="inlineStr">
        <is>
          <t>No</t>
        </is>
      </c>
      <c r="AJ579" s="156" t="n"/>
      <c r="AK579" s="155" t="inlineStr">
        <is>
          <t>Criterios: I [Q]; G1522_Extraccion_Articulos_NetSuite_2026-09-30.xlsx: fila 59147 [R]</t>
        </is>
      </c>
      <c r="AL579" s="58" t="n">
        <v>1252.115</v>
      </c>
      <c r="AM579" s="58" t="n">
        <v>7155.172414</v>
      </c>
      <c r="AN579" s="155" t="n"/>
      <c r="AO579" s="59" t="n"/>
      <c r="AP579" s="59" t="n"/>
      <c r="AQ579" s="59" t="n"/>
      <c r="AR579" s="155" t="n"/>
    </row>
    <row r="580">
      <c r="A580" s="50" t="inlineStr">
        <is>
          <t>12021000131044225</t>
        </is>
      </c>
      <c r="B580" s="51" t="inlineStr">
        <is>
          <t>111480</t>
        </is>
      </c>
      <c r="C580" s="156" t="inlineStr">
        <is>
          <t>Multimarca</t>
        </is>
      </c>
      <c r="D580" s="156" t="inlineStr">
        <is>
          <t>12-021-BS000-13-1044</t>
        </is>
      </c>
      <c r="E580" s="156" t="inlineStr">
        <is>
          <t>12-021-BS000-13-1044-225</t>
        </is>
      </c>
      <c r="F580" s="156" t="inlineStr">
        <is>
          <t>22.5</t>
        </is>
      </c>
      <c r="G580" s="156" t="inlineStr">
        <is>
          <t>5.5</t>
        </is>
      </c>
      <c r="H580" s="156" t="inlineStr">
        <is>
          <t>Stetson</t>
        </is>
      </c>
      <c r="I580" s="156" t="inlineStr">
        <is>
          <t>Bota Pitón Negro</t>
        </is>
      </c>
      <c r="J580" s="156" t="inlineStr">
        <is>
          <t>Calzado</t>
        </is>
      </c>
      <c r="K580" s="156" t="inlineStr">
        <is>
          <t>Botas</t>
        </is>
      </c>
      <c r="L580" s="156" t="inlineStr">
        <is>
          <t>Mujer</t>
        </is>
      </c>
      <c r="M580" s="156" t="inlineStr">
        <is>
          <t>Stetson</t>
        </is>
      </c>
      <c r="N580" s="156" t="inlineStr">
        <is>
          <t>SS26</t>
        </is>
      </c>
      <c r="O580" s="156" t="inlineStr">
        <is>
          <t>Seasonal</t>
        </is>
      </c>
      <c r="P580" s="156" t="inlineStr">
        <is>
          <t>Negro</t>
        </is>
      </c>
      <c r="Q580" s="156" t="n"/>
      <c r="R580" s="156" t="inlineStr">
        <is>
          <t>Horma Alexia</t>
        </is>
      </c>
      <c r="S580" s="156" t="inlineStr">
        <is>
          <t>Piel de pitón</t>
        </is>
      </c>
      <c r="T580" s="156" t="inlineStr">
        <is>
          <t>Bota Dama Piel de pitón Negro Horma Alexia</t>
        </is>
      </c>
      <c r="U580" s="156" t="inlineStr">
        <is>
          <t>México</t>
        </is>
      </c>
      <c r="V580" s="156" t="inlineStr">
        <is>
          <t>PRS</t>
        </is>
      </c>
      <c r="W580" s="51" t="inlineStr">
        <is>
          <t>53111502</t>
        </is>
      </c>
      <c r="X580" s="156" t="n"/>
      <c r="Y580" s="54" t="n">
        <v>1252.115</v>
      </c>
      <c r="Z580" s="54" t="n">
        <v>7155.172414</v>
      </c>
      <c r="AA580" s="55">
        <f>IF(AND(A580="", B580="", E580=""), "", IF(AB580="", "Válido", IF((LEN(AB580)-LEN(SUBSTITUTE(AB580,"; ","")))/2+1&gt;(LEN(AB580)-LEN(SUBSTITUTE(AB580,"[Aviso]","")))/7, "Con Incidencias", "Válido")))</f>
        <v/>
      </c>
      <c r="AB580" s="56">
        <f>IF(AND(A580="", B580="", E580=""), "", TEXTJOIN("; ", TRUE, IF(OR(TRIM(A580&amp;"")="", ISNUMBER(SEARCH("FALTA", A580))), "UPC faltante/inválido", ""), IF(AND(A580&lt;&gt;"", IFERROR(_xlfn.XMATCH(A580,$A$2:$A$2509,0,1)&lt;&gt;_xlfn.XMATCH(A580,$A$2:$A$2509,0,-1),FALSE)), "Código de barras duplicado", ""), IF(AND(E580&lt;&gt;"", COUNTIF($E$2:$E$2509, E580)&gt;1), "SKU duplicado", ""), IF(OR(J580="", J580=""), "[Aviso] División no capturada ()", IF(ISNA(MATCH(J580, Criterios!$A$123:$A$126, 0)), "División no válida", "")), IF(OR(K580="", K580=""), "[Aviso] Categoría no capturada ()", IF(ISNA(MATCH(K580, Criterios!$A$81:$A$120, 0)), "Categoría no válida", IF(AND(J580&lt;&gt;"", J580&lt;&gt;"", J580&lt;&gt;VLOOKUP(K580, Criterios!$A$81:$B$120, 2, FALSE)), "División no coincide con Categoría", ""))), IF(OR(L580="", L580=""), "[Aviso] Género no capturado ()", IF(ISNA(MATCH(L580, Criterios!$B$123:$B$127, 0)), "Género no válido", "")), IF(OR(N580="", N580=""), "[Aviso] Temporada no capturada ()", IF(ISNA(MATCH(N580, Criterios!$C$123:$C$128, 0)), "Temporada no válida", "")), IF(OR(O580="", O580=""), "[Aviso] Ciclo de vida no capturado ()", IF(ISNA(MATCH(O580, Criterios!$D$123:$D$124, 0)), "Ciclo de vida no válido", ""))))</f>
        <v/>
      </c>
      <c r="AC580" s="56" t="n"/>
      <c r="AD580" s="51" t="n">
        <v>0</v>
      </c>
      <c r="AE580" s="156" t="n"/>
      <c r="AF580" s="51" t="n">
        <v>0</v>
      </c>
      <c r="AG580" s="156" t="inlineStr">
        <is>
          <t>Catálogo existente</t>
        </is>
      </c>
      <c r="AH5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0" s="156" t="inlineStr">
        <is>
          <t>No</t>
        </is>
      </c>
      <c r="AJ580" s="156" t="n"/>
      <c r="AK580" s="155" t="inlineStr">
        <is>
          <t>Criterios: I [Q]; G1522_Extraccion_Articulos_NetSuite_2026-09-30.xlsx: fila 59155 [R] | Shopify Stetson: producto 15054565212523 / variante 53350562791787</t>
        </is>
      </c>
      <c r="AL580" s="58" t="n">
        <v>1252.115</v>
      </c>
      <c r="AM580" s="58" t="n">
        <v>7155.172414</v>
      </c>
      <c r="AN580" s="155" t="inlineStr">
        <is>
          <t>Shopify Stetson México</t>
        </is>
      </c>
      <c r="AO580" s="59" t="n">
        <v>0</v>
      </c>
      <c r="AP580" s="59" t="n"/>
      <c r="AQ580" s="59" t="n"/>
      <c r="AR580" s="155" t="n"/>
    </row>
    <row r="581">
      <c r="A581" s="50" t="inlineStr">
        <is>
          <t>12021000131044235</t>
        </is>
      </c>
      <c r="B581" s="51" t="inlineStr">
        <is>
          <t>111481</t>
        </is>
      </c>
      <c r="C581" s="156" t="inlineStr">
        <is>
          <t>Multimarca</t>
        </is>
      </c>
      <c r="D581" s="156" t="inlineStr">
        <is>
          <t>12-021-BS000-13-1044</t>
        </is>
      </c>
      <c r="E581" s="156" t="inlineStr">
        <is>
          <t>12-021-BS000-13-1044-235</t>
        </is>
      </c>
      <c r="F581" s="156" t="inlineStr">
        <is>
          <t>23.5</t>
        </is>
      </c>
      <c r="G581" s="156" t="inlineStr">
        <is>
          <t>6.5</t>
        </is>
      </c>
      <c r="H581" s="156" t="inlineStr">
        <is>
          <t>Stetson</t>
        </is>
      </c>
      <c r="I581" s="156" t="inlineStr">
        <is>
          <t>Bota Pitón Negro</t>
        </is>
      </c>
      <c r="J581" s="156" t="inlineStr">
        <is>
          <t>Calzado</t>
        </is>
      </c>
      <c r="K581" s="156" t="inlineStr">
        <is>
          <t>Botas</t>
        </is>
      </c>
      <c r="L581" s="156" t="inlineStr">
        <is>
          <t>Mujer</t>
        </is>
      </c>
      <c r="M581" s="156" t="inlineStr">
        <is>
          <t>Stetson</t>
        </is>
      </c>
      <c r="N581" s="156" t="inlineStr">
        <is>
          <t>SS26</t>
        </is>
      </c>
      <c r="O581" s="156" t="inlineStr">
        <is>
          <t>Seasonal</t>
        </is>
      </c>
      <c r="P581" s="156" t="inlineStr">
        <is>
          <t>Negro</t>
        </is>
      </c>
      <c r="Q581" s="156" t="n"/>
      <c r="R581" s="156" t="inlineStr">
        <is>
          <t>Horma Alexia</t>
        </is>
      </c>
      <c r="S581" s="156" t="inlineStr">
        <is>
          <t>Piel de pitón</t>
        </is>
      </c>
      <c r="T581" s="156" t="inlineStr">
        <is>
          <t>Bota Dama Piel de pitón Negro Horma Alexia</t>
        </is>
      </c>
      <c r="U581" s="156" t="inlineStr">
        <is>
          <t>México</t>
        </is>
      </c>
      <c r="V581" s="156" t="inlineStr">
        <is>
          <t>PRS</t>
        </is>
      </c>
      <c r="W581" s="51" t="inlineStr">
        <is>
          <t>53111502</t>
        </is>
      </c>
      <c r="X581" s="156" t="n"/>
      <c r="Y581" s="54" t="n">
        <v>1252.115</v>
      </c>
      <c r="Z581" s="54" t="n">
        <v>7155.172414</v>
      </c>
      <c r="AA581" s="55">
        <f>IF(AND(A581="", B581="", E581=""), "", IF(AB581="", "Válido", IF((LEN(AB581)-LEN(SUBSTITUTE(AB581,"; ","")))/2+1&gt;(LEN(AB581)-LEN(SUBSTITUTE(AB581,"[Aviso]","")))/7, "Con Incidencias", "Válido")))</f>
        <v/>
      </c>
      <c r="AB581" s="56">
        <f>IF(AND(A581="", B581="", E581=""), "", TEXTJOIN("; ", TRUE, IF(OR(TRIM(A581&amp;"")="", ISNUMBER(SEARCH("FALTA", A581))), "UPC faltante/inválido", ""), IF(AND(A581&lt;&gt;"", IFERROR(_xlfn.XMATCH(A581,$A$2:$A$2509,0,1)&lt;&gt;_xlfn.XMATCH(A581,$A$2:$A$2509,0,-1),FALSE)), "Código de barras duplicado", ""), IF(AND(E581&lt;&gt;"", COUNTIF($E$2:$E$2509, E581)&gt;1), "SKU duplicado", ""), IF(OR(J581="", J581=""), "[Aviso] División no capturada ()", IF(ISNA(MATCH(J581, Criterios!$A$123:$A$126, 0)), "División no válida", "")), IF(OR(K581="", K581=""), "[Aviso] Categoría no capturada ()", IF(ISNA(MATCH(K581, Criterios!$A$81:$A$120, 0)), "Categoría no válida", IF(AND(J581&lt;&gt;"", J581&lt;&gt;"", J581&lt;&gt;VLOOKUP(K581, Criterios!$A$81:$B$120, 2, FALSE)), "División no coincide con Categoría", ""))), IF(OR(L581="", L581=""), "[Aviso] Género no capturado ()", IF(ISNA(MATCH(L581, Criterios!$B$123:$B$127, 0)), "Género no válido", "")), IF(OR(N581="", N581=""), "[Aviso] Temporada no capturada ()", IF(ISNA(MATCH(N581, Criterios!$C$123:$C$128, 0)), "Temporada no válida", "")), IF(OR(O581="", O581=""), "[Aviso] Ciclo de vida no capturado ()", IF(ISNA(MATCH(O581, Criterios!$D$123:$D$124, 0)), "Ciclo de vida no válido", ""))))</f>
        <v/>
      </c>
      <c r="AC581" s="56" t="n"/>
      <c r="AD581" s="51" t="n">
        <v>0</v>
      </c>
      <c r="AE581" s="156" t="n"/>
      <c r="AF581" s="51" t="n">
        <v>0</v>
      </c>
      <c r="AG581" s="156" t="inlineStr">
        <is>
          <t>Catálogo existente</t>
        </is>
      </c>
      <c r="AH5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1" s="156" t="inlineStr">
        <is>
          <t>No</t>
        </is>
      </c>
      <c r="AJ581" s="156" t="n"/>
      <c r="AK581" s="155" t="inlineStr">
        <is>
          <t>Criterios: I [Q]; G1522_Extraccion_Articulos_NetSuite_2026-09-30.xlsx: fila 59156 [R] | Shopify Stetson: producto 15054565212523 / variante 53350562857323</t>
        </is>
      </c>
      <c r="AL581" s="58" t="n">
        <v>1252.115</v>
      </c>
      <c r="AM581" s="58" t="n">
        <v>7155.172414</v>
      </c>
      <c r="AN581" s="155" t="inlineStr">
        <is>
          <t>Shopify Stetson México</t>
        </is>
      </c>
      <c r="AO581" s="59" t="n">
        <v>0</v>
      </c>
      <c r="AP581" s="59" t="n"/>
      <c r="AQ581" s="59" t="n"/>
      <c r="AR581" s="155" t="n"/>
    </row>
    <row r="582">
      <c r="A582" s="50" t="inlineStr">
        <is>
          <t>12021000131044245</t>
        </is>
      </c>
      <c r="B582" s="51" t="inlineStr">
        <is>
          <t>111482</t>
        </is>
      </c>
      <c r="C582" s="156" t="inlineStr">
        <is>
          <t>Multimarca</t>
        </is>
      </c>
      <c r="D582" s="156" t="inlineStr">
        <is>
          <t>12-021-BS000-13-1044</t>
        </is>
      </c>
      <c r="E582" s="156" t="inlineStr">
        <is>
          <t>12-021-BS000-13-1044-245</t>
        </is>
      </c>
      <c r="F582" s="156" t="inlineStr">
        <is>
          <t>24.5</t>
        </is>
      </c>
      <c r="G582" s="156" t="inlineStr">
        <is>
          <t>7.5</t>
        </is>
      </c>
      <c r="H582" s="156" t="inlineStr">
        <is>
          <t>Stetson</t>
        </is>
      </c>
      <c r="I582" s="156" t="inlineStr">
        <is>
          <t>Bota Pitón Negro</t>
        </is>
      </c>
      <c r="J582" s="156" t="inlineStr">
        <is>
          <t>Calzado</t>
        </is>
      </c>
      <c r="K582" s="156" t="inlineStr">
        <is>
          <t>Botas</t>
        </is>
      </c>
      <c r="L582" s="156" t="inlineStr">
        <is>
          <t>Mujer</t>
        </is>
      </c>
      <c r="M582" s="156" t="inlineStr">
        <is>
          <t>Stetson</t>
        </is>
      </c>
      <c r="N582" s="156" t="inlineStr">
        <is>
          <t>SS26</t>
        </is>
      </c>
      <c r="O582" s="156" t="inlineStr">
        <is>
          <t>Seasonal</t>
        </is>
      </c>
      <c r="P582" s="156" t="inlineStr">
        <is>
          <t>Negro</t>
        </is>
      </c>
      <c r="Q582" s="156" t="n"/>
      <c r="R582" s="156" t="inlineStr">
        <is>
          <t>Horma Alexia</t>
        </is>
      </c>
      <c r="S582" s="156" t="inlineStr">
        <is>
          <t>Piel de pitón</t>
        </is>
      </c>
      <c r="T582" s="156" t="inlineStr">
        <is>
          <t>Bota Dama Piel de pitón Negro Horma Alexia</t>
        </is>
      </c>
      <c r="U582" s="156" t="inlineStr">
        <is>
          <t>México</t>
        </is>
      </c>
      <c r="V582" s="156" t="inlineStr">
        <is>
          <t>PRS</t>
        </is>
      </c>
      <c r="W582" s="51" t="inlineStr">
        <is>
          <t>53111502</t>
        </is>
      </c>
      <c r="X582" s="156" t="n"/>
      <c r="Y582" s="54" t="n">
        <v>1252.115</v>
      </c>
      <c r="Z582" s="54" t="n">
        <v>7155.172414</v>
      </c>
      <c r="AA582" s="55">
        <f>IF(AND(A582="", B582="", E582=""), "", IF(AB582="", "Válido", IF((LEN(AB582)-LEN(SUBSTITUTE(AB582,"; ","")))/2+1&gt;(LEN(AB582)-LEN(SUBSTITUTE(AB582,"[Aviso]","")))/7, "Con Incidencias", "Válido")))</f>
        <v/>
      </c>
      <c r="AB582" s="56">
        <f>IF(AND(A582="", B582="", E582=""), "", TEXTJOIN("; ", TRUE, IF(OR(TRIM(A582&amp;"")="", ISNUMBER(SEARCH("FALTA", A582))), "UPC faltante/inválido", ""), IF(AND(A582&lt;&gt;"", IFERROR(_xlfn.XMATCH(A582,$A$2:$A$2509,0,1)&lt;&gt;_xlfn.XMATCH(A582,$A$2:$A$2509,0,-1),FALSE)), "Código de barras duplicado", ""), IF(AND(E582&lt;&gt;"", COUNTIF($E$2:$E$2509, E582)&gt;1), "SKU duplicado", ""), IF(OR(J582="", J582=""), "[Aviso] División no capturada ()", IF(ISNA(MATCH(J582, Criterios!$A$123:$A$126, 0)), "División no válida", "")), IF(OR(K582="", K582=""), "[Aviso] Categoría no capturada ()", IF(ISNA(MATCH(K582, Criterios!$A$81:$A$120, 0)), "Categoría no válida", IF(AND(J582&lt;&gt;"", J582&lt;&gt;"", J582&lt;&gt;VLOOKUP(K582, Criterios!$A$81:$B$120, 2, FALSE)), "División no coincide con Categoría", ""))), IF(OR(L582="", L582=""), "[Aviso] Género no capturado ()", IF(ISNA(MATCH(L582, Criterios!$B$123:$B$127, 0)), "Género no válido", "")), IF(OR(N582="", N582=""), "[Aviso] Temporada no capturada ()", IF(ISNA(MATCH(N582, Criterios!$C$123:$C$128, 0)), "Temporada no válida", "")), IF(OR(O582="", O582=""), "[Aviso] Ciclo de vida no capturado ()", IF(ISNA(MATCH(O582, Criterios!$D$123:$D$124, 0)), "Ciclo de vida no válido", ""))))</f>
        <v/>
      </c>
      <c r="AC582" s="56" t="n"/>
      <c r="AD582" s="51" t="n">
        <v>-1</v>
      </c>
      <c r="AE582" s="156" t="n"/>
      <c r="AF582" s="51" t="n">
        <v>0</v>
      </c>
      <c r="AG582" s="156" t="inlineStr">
        <is>
          <t>Catálogo existente</t>
        </is>
      </c>
      <c r="AH58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2" s="156" t="inlineStr">
        <is>
          <t>Sí</t>
        </is>
      </c>
      <c r="AJ582" s="156" t="inlineStr">
        <is>
          <t>STETSON AMERICAS (-1)</t>
        </is>
      </c>
      <c r="AK582" s="155" t="inlineStr">
        <is>
          <t>Criterios: I [Q]; G1522_Extraccion_Articulos_NetSuite_2026-09-30.xlsx: fila 59157 [R] | Shopify Stetson: producto 15054565212523 / variante 53350562922859</t>
        </is>
      </c>
      <c r="AL582" s="58" t="n">
        <v>1252.115</v>
      </c>
      <c r="AM582" s="58" t="n">
        <v>7155.172414</v>
      </c>
      <c r="AN582" s="155" t="inlineStr">
        <is>
          <t>Shopify Stetson México</t>
        </is>
      </c>
      <c r="AO582" s="59" t="n">
        <v>1</v>
      </c>
      <c r="AP582" s="59" t="n"/>
      <c r="AQ582" s="59" t="n"/>
      <c r="AR582" s="155" t="inlineStr">
        <is>
          <t>Shopify Stetson México › Stetson Americas: 1</t>
        </is>
      </c>
    </row>
    <row r="583">
      <c r="A583" s="50" t="inlineStr">
        <is>
          <t>12021000131044255</t>
        </is>
      </c>
      <c r="B583" s="51" t="inlineStr">
        <is>
          <t>111473</t>
        </is>
      </c>
      <c r="C583" s="156" t="inlineStr">
        <is>
          <t>Multimarca</t>
        </is>
      </c>
      <c r="D583" s="156" t="inlineStr">
        <is>
          <t>12-021-BS000-13-1044</t>
        </is>
      </c>
      <c r="E583" s="156" t="inlineStr">
        <is>
          <t>12-021-BS000-13-1044-255</t>
        </is>
      </c>
      <c r="F583" s="156" t="inlineStr">
        <is>
          <t>25.5</t>
        </is>
      </c>
      <c r="G583" s="156" t="inlineStr">
        <is>
          <t>8.5</t>
        </is>
      </c>
      <c r="H583" s="156" t="inlineStr">
        <is>
          <t>Stetson</t>
        </is>
      </c>
      <c r="I583" s="156" t="inlineStr">
        <is>
          <t>Bota Pitón Negro</t>
        </is>
      </c>
      <c r="J583" s="156" t="inlineStr">
        <is>
          <t>Calzado</t>
        </is>
      </c>
      <c r="K583" s="156" t="inlineStr">
        <is>
          <t>Botas</t>
        </is>
      </c>
      <c r="L583" s="156" t="inlineStr">
        <is>
          <t>Mujer</t>
        </is>
      </c>
      <c r="M583" s="156" t="inlineStr">
        <is>
          <t>Stetson</t>
        </is>
      </c>
      <c r="N583" s="156" t="inlineStr">
        <is>
          <t>SS26</t>
        </is>
      </c>
      <c r="O583" s="156" t="inlineStr">
        <is>
          <t>Seasonal</t>
        </is>
      </c>
      <c r="P583" s="156" t="inlineStr">
        <is>
          <t>Negro</t>
        </is>
      </c>
      <c r="Q583" s="156" t="n"/>
      <c r="R583" s="156" t="inlineStr">
        <is>
          <t>Horma Alexia</t>
        </is>
      </c>
      <c r="S583" s="156" t="inlineStr">
        <is>
          <t>Piel de pitón</t>
        </is>
      </c>
      <c r="T583" s="156" t="inlineStr">
        <is>
          <t>Bota Dama Piel de pitón Negro Horma Alexia</t>
        </is>
      </c>
      <c r="U583" s="156" t="inlineStr">
        <is>
          <t>México</t>
        </is>
      </c>
      <c r="V583" s="156" t="inlineStr">
        <is>
          <t>PRS</t>
        </is>
      </c>
      <c r="W583" s="51" t="inlineStr">
        <is>
          <t>53111502</t>
        </is>
      </c>
      <c r="X583" s="156" t="n"/>
      <c r="Y583" s="54" t="n">
        <v>1252.115</v>
      </c>
      <c r="Z583" s="54" t="n">
        <v>7155.172414</v>
      </c>
      <c r="AA583" s="55">
        <f>IF(AND(A583="", B583="", E583=""), "", IF(AB583="", "Válido", IF((LEN(AB583)-LEN(SUBSTITUTE(AB583,"; ","")))/2+1&gt;(LEN(AB583)-LEN(SUBSTITUTE(AB583,"[Aviso]","")))/7, "Con Incidencias", "Válido")))</f>
        <v/>
      </c>
      <c r="AB583" s="56">
        <f>IF(AND(A583="", B583="", E583=""), "", TEXTJOIN("; ", TRUE, IF(OR(TRIM(A583&amp;"")="", ISNUMBER(SEARCH("FALTA", A583))), "UPC faltante/inválido", ""), IF(AND(A583&lt;&gt;"", IFERROR(_xlfn.XMATCH(A583,$A$2:$A$2509,0,1)&lt;&gt;_xlfn.XMATCH(A583,$A$2:$A$2509,0,-1),FALSE)), "Código de barras duplicado", ""), IF(AND(E583&lt;&gt;"", COUNTIF($E$2:$E$2509, E583)&gt;1), "SKU duplicado", ""), IF(OR(J583="", J583=""), "[Aviso] División no capturada ()", IF(ISNA(MATCH(J583, Criterios!$A$123:$A$126, 0)), "División no válida", "")), IF(OR(K583="", K583=""), "[Aviso] Categoría no capturada ()", IF(ISNA(MATCH(K583, Criterios!$A$81:$A$120, 0)), "Categoría no válida", IF(AND(J583&lt;&gt;"", J583&lt;&gt;"", J583&lt;&gt;VLOOKUP(K583, Criterios!$A$81:$B$120, 2, FALSE)), "División no coincide con Categoría", ""))), IF(OR(L583="", L583=""), "[Aviso] Género no capturado ()", IF(ISNA(MATCH(L583, Criterios!$B$123:$B$127, 0)), "Género no válido", "")), IF(OR(N583="", N583=""), "[Aviso] Temporada no capturada ()", IF(ISNA(MATCH(N583, Criterios!$C$123:$C$128, 0)), "Temporada no válida", "")), IF(OR(O583="", O583=""), "[Aviso] Ciclo de vida no capturado ()", IF(ISNA(MATCH(O583, Criterios!$D$123:$D$124, 0)), "Ciclo de vida no válido", ""))))</f>
        <v/>
      </c>
      <c r="AC583" s="56" t="n"/>
      <c r="AD583" s="51" t="n">
        <v>0</v>
      </c>
      <c r="AE583" s="156" t="n"/>
      <c r="AF583" s="51" t="n">
        <v>0</v>
      </c>
      <c r="AG583" s="156" t="inlineStr">
        <is>
          <t>Catálogo existente</t>
        </is>
      </c>
      <c r="AH58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3" s="156" t="inlineStr">
        <is>
          <t>No</t>
        </is>
      </c>
      <c r="AJ583" s="156" t="n"/>
      <c r="AK583" s="155" t="inlineStr">
        <is>
          <t>Criterios: I [Q]; G1522_Extraccion_Articulos_NetSuite_2026-09-30.xlsx: fila 59148 [R]</t>
        </is>
      </c>
      <c r="AL583" s="58" t="n">
        <v>1252.115</v>
      </c>
      <c r="AM583" s="58" t="n">
        <v>7155.172414</v>
      </c>
      <c r="AN583" s="155" t="n"/>
      <c r="AO583" s="59" t="n"/>
      <c r="AP583" s="59" t="n"/>
      <c r="AQ583" s="59" t="n"/>
      <c r="AR583" s="155" t="n"/>
    </row>
    <row r="584">
      <c r="A584" s="50" t="inlineStr">
        <is>
          <t>12021000131044265</t>
        </is>
      </c>
      <c r="B584" s="51" t="inlineStr">
        <is>
          <t>111474</t>
        </is>
      </c>
      <c r="C584" s="156" t="inlineStr">
        <is>
          <t>Multimarca</t>
        </is>
      </c>
      <c r="D584" s="156" t="inlineStr">
        <is>
          <t>12-021-BS000-13-1044</t>
        </is>
      </c>
      <c r="E584" s="156" t="inlineStr">
        <is>
          <t>12-021-BS000-13-1044-265</t>
        </is>
      </c>
      <c r="F584" s="156" t="inlineStr">
        <is>
          <t>26.5</t>
        </is>
      </c>
      <c r="G584" s="156" t="inlineStr">
        <is>
          <t>9.5</t>
        </is>
      </c>
      <c r="H584" s="156" t="inlineStr">
        <is>
          <t>Stetson</t>
        </is>
      </c>
      <c r="I584" s="156" t="inlineStr">
        <is>
          <t>Bota Pitón Negro</t>
        </is>
      </c>
      <c r="J584" s="156" t="inlineStr">
        <is>
          <t>Calzado</t>
        </is>
      </c>
      <c r="K584" s="156" t="inlineStr">
        <is>
          <t>Botas</t>
        </is>
      </c>
      <c r="L584" s="156" t="inlineStr">
        <is>
          <t>Mujer</t>
        </is>
      </c>
      <c r="M584" s="156" t="inlineStr">
        <is>
          <t>Stetson</t>
        </is>
      </c>
      <c r="N584" s="156" t="inlineStr">
        <is>
          <t>SS26</t>
        </is>
      </c>
      <c r="O584" s="156" t="inlineStr">
        <is>
          <t>Seasonal</t>
        </is>
      </c>
      <c r="P584" s="156" t="inlineStr">
        <is>
          <t>Negro</t>
        </is>
      </c>
      <c r="Q584" s="156" t="n"/>
      <c r="R584" s="156" t="inlineStr">
        <is>
          <t>Horma Alexia</t>
        </is>
      </c>
      <c r="S584" s="156" t="inlineStr">
        <is>
          <t>Piel de pitón</t>
        </is>
      </c>
      <c r="T584" s="156" t="inlineStr">
        <is>
          <t>Bota Dama Piel de pitón Negro Horma Alexia</t>
        </is>
      </c>
      <c r="U584" s="156" t="inlineStr">
        <is>
          <t>México</t>
        </is>
      </c>
      <c r="V584" s="156" t="inlineStr">
        <is>
          <t>PRS</t>
        </is>
      </c>
      <c r="W584" s="51" t="inlineStr">
        <is>
          <t>53111502</t>
        </is>
      </c>
      <c r="X584" s="156" t="n"/>
      <c r="Y584" s="54" t="n">
        <v>1252.115</v>
      </c>
      <c r="Z584" s="54" t="n">
        <v>7155.172414</v>
      </c>
      <c r="AA584" s="55">
        <f>IF(AND(A584="", B584="", E584=""), "", IF(AB584="", "Válido", IF((LEN(AB584)-LEN(SUBSTITUTE(AB584,"; ","")))/2+1&gt;(LEN(AB584)-LEN(SUBSTITUTE(AB584,"[Aviso]","")))/7, "Con Incidencias", "Válido")))</f>
        <v/>
      </c>
      <c r="AB584" s="56">
        <f>IF(AND(A584="", B584="", E584=""), "", TEXTJOIN("; ", TRUE, IF(OR(TRIM(A584&amp;"")="", ISNUMBER(SEARCH("FALTA", A584))), "UPC faltante/inválido", ""), IF(AND(A584&lt;&gt;"", IFERROR(_xlfn.XMATCH(A584,$A$2:$A$2509,0,1)&lt;&gt;_xlfn.XMATCH(A584,$A$2:$A$2509,0,-1),FALSE)), "Código de barras duplicado", ""), IF(AND(E584&lt;&gt;"", COUNTIF($E$2:$E$2509, E584)&gt;1), "SKU duplicado", ""), IF(OR(J584="", J584=""), "[Aviso] División no capturada ()", IF(ISNA(MATCH(J584, Criterios!$A$123:$A$126, 0)), "División no válida", "")), IF(OR(K584="", K584=""), "[Aviso] Categoría no capturada ()", IF(ISNA(MATCH(K584, Criterios!$A$81:$A$120, 0)), "Categoría no válida", IF(AND(J584&lt;&gt;"", J584&lt;&gt;"", J584&lt;&gt;VLOOKUP(K584, Criterios!$A$81:$B$120, 2, FALSE)), "División no coincide con Categoría", ""))), IF(OR(L584="", L584=""), "[Aviso] Género no capturado ()", IF(ISNA(MATCH(L584, Criterios!$B$123:$B$127, 0)), "Género no válido", "")), IF(OR(N584="", N584=""), "[Aviso] Temporada no capturada ()", IF(ISNA(MATCH(N584, Criterios!$C$123:$C$128, 0)), "Temporada no válida", "")), IF(OR(O584="", O584=""), "[Aviso] Ciclo de vida no capturado ()", IF(ISNA(MATCH(O584, Criterios!$D$123:$D$124, 0)), "Ciclo de vida no válido", ""))))</f>
        <v/>
      </c>
      <c r="AC584" s="56" t="n"/>
      <c r="AD584" s="51" t="n">
        <v>0</v>
      </c>
      <c r="AE584" s="156" t="n"/>
      <c r="AF584" s="51" t="n">
        <v>0</v>
      </c>
      <c r="AG584" s="156" t="inlineStr">
        <is>
          <t>Catálogo existente</t>
        </is>
      </c>
      <c r="AH58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4" s="156" t="inlineStr">
        <is>
          <t>No</t>
        </is>
      </c>
      <c r="AJ584" s="156" t="n"/>
      <c r="AK584" s="155" t="inlineStr">
        <is>
          <t>Criterios: I [Q]; G1522_Extraccion_Articulos_NetSuite_2026-09-30.xlsx: fila 59149 [R]</t>
        </is>
      </c>
      <c r="AL584" s="58" t="n">
        <v>1252.115</v>
      </c>
      <c r="AM584" s="58" t="n">
        <v>7155.172414</v>
      </c>
      <c r="AN584" s="155" t="n"/>
      <c r="AO584" s="59" t="n"/>
      <c r="AP584" s="59" t="n"/>
      <c r="AQ584" s="59" t="n"/>
      <c r="AR584" s="155" t="n"/>
    </row>
    <row r="585">
      <c r="A585" s="50" t="inlineStr">
        <is>
          <t>12021000131044275</t>
        </is>
      </c>
      <c r="B585" s="51" t="inlineStr">
        <is>
          <t>111475</t>
        </is>
      </c>
      <c r="C585" s="156" t="inlineStr">
        <is>
          <t>Multimarca</t>
        </is>
      </c>
      <c r="D585" s="156" t="inlineStr">
        <is>
          <t>12-021-BS000-13-1044</t>
        </is>
      </c>
      <c r="E585" s="156" t="inlineStr">
        <is>
          <t>12-021-BS000-13-1044-275</t>
        </is>
      </c>
      <c r="F585" s="156" t="inlineStr">
        <is>
          <t>27.5</t>
        </is>
      </c>
      <c r="G585" s="156" t="inlineStr">
        <is>
          <t>10.5</t>
        </is>
      </c>
      <c r="H585" s="156" t="inlineStr">
        <is>
          <t>Stetson</t>
        </is>
      </c>
      <c r="I585" s="156" t="inlineStr">
        <is>
          <t>Bota Pitón Negro</t>
        </is>
      </c>
      <c r="J585" s="156" t="inlineStr">
        <is>
          <t>Calzado</t>
        </is>
      </c>
      <c r="K585" s="156" t="inlineStr">
        <is>
          <t>Botas</t>
        </is>
      </c>
      <c r="L585" s="156" t="inlineStr">
        <is>
          <t>Mujer</t>
        </is>
      </c>
      <c r="M585" s="156" t="inlineStr">
        <is>
          <t>Stetson</t>
        </is>
      </c>
      <c r="N585" s="156" t="inlineStr">
        <is>
          <t>SS26</t>
        </is>
      </c>
      <c r="O585" s="156" t="inlineStr">
        <is>
          <t>Seasonal</t>
        </is>
      </c>
      <c r="P585" s="156" t="inlineStr">
        <is>
          <t>Negro</t>
        </is>
      </c>
      <c r="Q585" s="156" t="n"/>
      <c r="R585" s="156" t="inlineStr">
        <is>
          <t>Horma Alexia</t>
        </is>
      </c>
      <c r="S585" s="156" t="inlineStr">
        <is>
          <t>Piel de pitón</t>
        </is>
      </c>
      <c r="T585" s="156" t="inlineStr">
        <is>
          <t>Bota Dama Piel de pitón Negro Horma Alexia</t>
        </is>
      </c>
      <c r="U585" s="156" t="inlineStr">
        <is>
          <t>México</t>
        </is>
      </c>
      <c r="V585" s="156" t="inlineStr">
        <is>
          <t>PRS</t>
        </is>
      </c>
      <c r="W585" s="51" t="inlineStr">
        <is>
          <t>53111502</t>
        </is>
      </c>
      <c r="X585" s="156" t="n"/>
      <c r="Y585" s="54" t="n">
        <v>1252.115</v>
      </c>
      <c r="Z585" s="54" t="n">
        <v>7155.172414</v>
      </c>
      <c r="AA585" s="55">
        <f>IF(AND(A585="", B585="", E585=""), "", IF(AB585="", "Válido", IF((LEN(AB585)-LEN(SUBSTITUTE(AB585,"; ","")))/2+1&gt;(LEN(AB585)-LEN(SUBSTITUTE(AB585,"[Aviso]","")))/7, "Con Incidencias", "Válido")))</f>
        <v/>
      </c>
      <c r="AB585" s="56">
        <f>IF(AND(A585="", B585="", E585=""), "", TEXTJOIN("; ", TRUE, IF(OR(TRIM(A585&amp;"")="", ISNUMBER(SEARCH("FALTA", A585))), "UPC faltante/inválido", ""), IF(AND(A585&lt;&gt;"", IFERROR(_xlfn.XMATCH(A585,$A$2:$A$2509,0,1)&lt;&gt;_xlfn.XMATCH(A585,$A$2:$A$2509,0,-1),FALSE)), "Código de barras duplicado", ""), IF(AND(E585&lt;&gt;"", COUNTIF($E$2:$E$2509, E585)&gt;1), "SKU duplicado", ""), IF(OR(J585="", J585=""), "[Aviso] División no capturada ()", IF(ISNA(MATCH(J585, Criterios!$A$123:$A$126, 0)), "División no válida", "")), IF(OR(K585="", K585=""), "[Aviso] Categoría no capturada ()", IF(ISNA(MATCH(K585, Criterios!$A$81:$A$120, 0)), "Categoría no válida", IF(AND(J585&lt;&gt;"", J585&lt;&gt;"", J585&lt;&gt;VLOOKUP(K585, Criterios!$A$81:$B$120, 2, FALSE)), "División no coincide con Categoría", ""))), IF(OR(L585="", L585=""), "[Aviso] Género no capturado ()", IF(ISNA(MATCH(L585, Criterios!$B$123:$B$127, 0)), "Género no válido", "")), IF(OR(N585="", N585=""), "[Aviso] Temporada no capturada ()", IF(ISNA(MATCH(N585, Criterios!$C$123:$C$128, 0)), "Temporada no válida", "")), IF(OR(O585="", O585=""), "[Aviso] Ciclo de vida no capturado ()", IF(ISNA(MATCH(O585, Criterios!$D$123:$D$124, 0)), "Ciclo de vida no válido", ""))))</f>
        <v/>
      </c>
      <c r="AC585" s="56" t="n"/>
      <c r="AD585" s="51" t="n">
        <v>0</v>
      </c>
      <c r="AE585" s="156" t="n"/>
      <c r="AF585" s="51" t="n">
        <v>0</v>
      </c>
      <c r="AG585" s="156" t="inlineStr">
        <is>
          <t>Catálogo existente</t>
        </is>
      </c>
      <c r="AH58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5" s="156" t="inlineStr">
        <is>
          <t>No</t>
        </is>
      </c>
      <c r="AJ585" s="156" t="n"/>
      <c r="AK585" s="155" t="inlineStr">
        <is>
          <t>Criterios: I [Q]; G1522_Extraccion_Articulos_NetSuite_2026-09-30.xlsx: fila 59150 [R]</t>
        </is>
      </c>
      <c r="AL585" s="58" t="n">
        <v>1252.115</v>
      </c>
      <c r="AM585" s="58" t="n">
        <v>7155.172414</v>
      </c>
      <c r="AN585" s="155" t="n"/>
      <c r="AO585" s="59" t="n"/>
      <c r="AP585" s="59" t="n"/>
      <c r="AQ585" s="59" t="n"/>
      <c r="AR585" s="155" t="n"/>
    </row>
    <row r="586">
      <c r="A586" s="50" t="inlineStr">
        <is>
          <t>12021000131045022</t>
        </is>
      </c>
      <c r="B586" s="51" t="inlineStr">
        <is>
          <t>111488</t>
        </is>
      </c>
      <c r="C586" s="156" t="inlineStr">
        <is>
          <t>Multimarca</t>
        </is>
      </c>
      <c r="D586" s="156" t="inlineStr">
        <is>
          <t>12-021-BS000-13-1045</t>
        </is>
      </c>
      <c r="E586" s="156" t="inlineStr">
        <is>
          <t>12-021-BS000-13-1045-022</t>
        </is>
      </c>
      <c r="F586" s="156" t="inlineStr">
        <is>
          <t>22</t>
        </is>
      </c>
      <c r="G586" s="156" t="inlineStr">
        <is>
          <t>5</t>
        </is>
      </c>
      <c r="H586" s="156" t="inlineStr">
        <is>
          <t>Stetson</t>
        </is>
      </c>
      <c r="I586" s="156" t="inlineStr">
        <is>
          <t>Bota Pitón Rojo</t>
        </is>
      </c>
      <c r="J586" s="156" t="inlineStr">
        <is>
          <t>Calzado</t>
        </is>
      </c>
      <c r="K586" s="156" t="inlineStr">
        <is>
          <t>Botas</t>
        </is>
      </c>
      <c r="L586" s="156" t="inlineStr">
        <is>
          <t>Mujer</t>
        </is>
      </c>
      <c r="M586" s="156" t="inlineStr">
        <is>
          <t>Stetson</t>
        </is>
      </c>
      <c r="N586" s="156" t="inlineStr">
        <is>
          <t>SS26</t>
        </is>
      </c>
      <c r="O586" s="156" t="inlineStr">
        <is>
          <t>Seasonal</t>
        </is>
      </c>
      <c r="P586" s="156" t="inlineStr">
        <is>
          <t>Rojo</t>
        </is>
      </c>
      <c r="Q586" s="156" t="n"/>
      <c r="R586" s="156" t="inlineStr">
        <is>
          <t>Horma Alexia</t>
        </is>
      </c>
      <c r="S586" s="156" t="inlineStr">
        <is>
          <t>Piel de pitón</t>
        </is>
      </c>
      <c r="T586" s="156" t="inlineStr">
        <is>
          <t>Bota Dama Piel de pitón Rojo Horma Alexia</t>
        </is>
      </c>
      <c r="U586" s="156" t="inlineStr">
        <is>
          <t>México</t>
        </is>
      </c>
      <c r="V586" s="156" t="inlineStr">
        <is>
          <t>PRS</t>
        </is>
      </c>
      <c r="W586" s="51" t="inlineStr">
        <is>
          <t>53111502</t>
        </is>
      </c>
      <c r="X586" s="156" t="n"/>
      <c r="Y586" s="54" t="n">
        <v>1252.115</v>
      </c>
      <c r="Z586" s="54" t="n">
        <v>7155.172414</v>
      </c>
      <c r="AA586" s="55">
        <f>IF(AND(A586="", B586="", E586=""), "", IF(AB586="", "Válido", IF((LEN(AB586)-LEN(SUBSTITUTE(AB586,"; ","")))/2+1&gt;(LEN(AB586)-LEN(SUBSTITUTE(AB586,"[Aviso]","")))/7, "Con Incidencias", "Válido")))</f>
        <v/>
      </c>
      <c r="AB586" s="56">
        <f>IF(AND(A586="", B586="", E586=""), "", TEXTJOIN("; ", TRUE, IF(OR(TRIM(A586&amp;"")="", ISNUMBER(SEARCH("FALTA", A586))), "UPC faltante/inválido", ""), IF(AND(A586&lt;&gt;"", IFERROR(_xlfn.XMATCH(A586,$A$2:$A$2509,0,1)&lt;&gt;_xlfn.XMATCH(A586,$A$2:$A$2509,0,-1),FALSE)), "Código de barras duplicado", ""), IF(AND(E586&lt;&gt;"", COUNTIF($E$2:$E$2509, E586)&gt;1), "SKU duplicado", ""), IF(OR(J586="", J586=""), "[Aviso] División no capturada ()", IF(ISNA(MATCH(J586, Criterios!$A$123:$A$126, 0)), "División no válida", "")), IF(OR(K586="", K586=""), "[Aviso] Categoría no capturada ()", IF(ISNA(MATCH(K586, Criterios!$A$81:$A$120, 0)), "Categoría no válida", IF(AND(J586&lt;&gt;"", J586&lt;&gt;"", J586&lt;&gt;VLOOKUP(K586, Criterios!$A$81:$B$120, 2, FALSE)), "División no coincide con Categoría", ""))), IF(OR(L586="", L586=""), "[Aviso] Género no capturado ()", IF(ISNA(MATCH(L586, Criterios!$B$123:$B$127, 0)), "Género no válido", "")), IF(OR(N586="", N586=""), "[Aviso] Temporada no capturada ()", IF(ISNA(MATCH(N586, Criterios!$C$123:$C$128, 0)), "Temporada no válida", "")), IF(OR(O586="", O586=""), "[Aviso] Ciclo de vida no capturado ()", IF(ISNA(MATCH(O586, Criterios!$D$123:$D$124, 0)), "Ciclo de vida no válido", ""))))</f>
        <v/>
      </c>
      <c r="AC586" s="56" t="n"/>
      <c r="AD586" s="51" t="n">
        <v>0</v>
      </c>
      <c r="AE586" s="156" t="n"/>
      <c r="AF586" s="51" t="n">
        <v>0</v>
      </c>
      <c r="AG586" s="156" t="inlineStr">
        <is>
          <t>Catálogo existente</t>
        </is>
      </c>
      <c r="AH5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6" s="156" t="inlineStr">
        <is>
          <t>No</t>
        </is>
      </c>
      <c r="AJ586" s="156" t="n"/>
      <c r="AK586" s="155" t="inlineStr">
        <is>
          <t>Criterios: I [Q]; G1522_Extraccion_Articulos_NetSuite_2026-09-30.xlsx: fila 59163 [R] | Shopify Stetson: producto 15054565245291 / variante 53350563152235</t>
        </is>
      </c>
      <c r="AL586" s="58" t="n">
        <v>1252.115</v>
      </c>
      <c r="AM586" s="58" t="n">
        <v>7155.172414</v>
      </c>
      <c r="AN586" s="155" t="inlineStr">
        <is>
          <t>Shopify Stetson México</t>
        </is>
      </c>
      <c r="AO586" s="59" t="n">
        <v>0</v>
      </c>
      <c r="AP586" s="59" t="n"/>
      <c r="AQ586" s="59" t="n"/>
      <c r="AR586" s="155" t="n"/>
    </row>
    <row r="587">
      <c r="A587" s="50" t="inlineStr">
        <is>
          <t>12021000131045023</t>
        </is>
      </c>
      <c r="B587" s="51" t="inlineStr">
        <is>
          <t>111489</t>
        </is>
      </c>
      <c r="C587" s="156" t="inlineStr">
        <is>
          <t>Multimarca</t>
        </is>
      </c>
      <c r="D587" s="156" t="inlineStr">
        <is>
          <t>12-021-BS000-13-1045</t>
        </is>
      </c>
      <c r="E587" s="156" t="inlineStr">
        <is>
          <t>12-021-BS000-13-1045-023</t>
        </is>
      </c>
      <c r="F587" s="156" t="inlineStr">
        <is>
          <t>23</t>
        </is>
      </c>
      <c r="G587" s="156" t="inlineStr">
        <is>
          <t>6</t>
        </is>
      </c>
      <c r="H587" s="156" t="inlineStr">
        <is>
          <t>Stetson</t>
        </is>
      </c>
      <c r="I587" s="156" t="inlineStr">
        <is>
          <t>Bota Pitón Rojo</t>
        </is>
      </c>
      <c r="J587" s="156" t="inlineStr">
        <is>
          <t>Calzado</t>
        </is>
      </c>
      <c r="K587" s="156" t="inlineStr">
        <is>
          <t>Botas</t>
        </is>
      </c>
      <c r="L587" s="156" t="inlineStr">
        <is>
          <t>Mujer</t>
        </is>
      </c>
      <c r="M587" s="156" t="inlineStr">
        <is>
          <t>Stetson</t>
        </is>
      </c>
      <c r="N587" s="156" t="inlineStr">
        <is>
          <t>SS26</t>
        </is>
      </c>
      <c r="O587" s="156" t="inlineStr">
        <is>
          <t>Seasonal</t>
        </is>
      </c>
      <c r="P587" s="156" t="inlineStr">
        <is>
          <t>Rojo</t>
        </is>
      </c>
      <c r="Q587" s="156" t="n"/>
      <c r="R587" s="156" t="inlineStr">
        <is>
          <t>Horma Alexia</t>
        </is>
      </c>
      <c r="S587" s="156" t="inlineStr">
        <is>
          <t>Piel de pitón</t>
        </is>
      </c>
      <c r="T587" s="156" t="inlineStr">
        <is>
          <t>Bota Dama Piel de pitón Rojo Horma Alexia</t>
        </is>
      </c>
      <c r="U587" s="156" t="inlineStr">
        <is>
          <t>México</t>
        </is>
      </c>
      <c r="V587" s="156" t="inlineStr">
        <is>
          <t>PRS</t>
        </is>
      </c>
      <c r="W587" s="51" t="inlineStr">
        <is>
          <t>53111502</t>
        </is>
      </c>
      <c r="X587" s="156" t="n"/>
      <c r="Y587" s="54" t="n">
        <v>1252.115</v>
      </c>
      <c r="Z587" s="54" t="n">
        <v>7155.172414</v>
      </c>
      <c r="AA587" s="55">
        <f>IF(AND(A587="", B587="", E587=""), "", IF(AB587="", "Válido", IF((LEN(AB587)-LEN(SUBSTITUTE(AB587,"; ","")))/2+1&gt;(LEN(AB587)-LEN(SUBSTITUTE(AB587,"[Aviso]","")))/7, "Con Incidencias", "Válido")))</f>
        <v/>
      </c>
      <c r="AB587" s="56">
        <f>IF(AND(A587="", B587="", E587=""), "", TEXTJOIN("; ", TRUE, IF(OR(TRIM(A587&amp;"")="", ISNUMBER(SEARCH("FALTA", A587))), "UPC faltante/inválido", ""), IF(AND(A587&lt;&gt;"", IFERROR(_xlfn.XMATCH(A587,$A$2:$A$2509,0,1)&lt;&gt;_xlfn.XMATCH(A587,$A$2:$A$2509,0,-1),FALSE)), "Código de barras duplicado", ""), IF(AND(E587&lt;&gt;"", COUNTIF($E$2:$E$2509, E587)&gt;1), "SKU duplicado", ""), IF(OR(J587="", J587=""), "[Aviso] División no capturada ()", IF(ISNA(MATCH(J587, Criterios!$A$123:$A$126, 0)), "División no válida", "")), IF(OR(K587="", K587=""), "[Aviso] Categoría no capturada ()", IF(ISNA(MATCH(K587, Criterios!$A$81:$A$120, 0)), "Categoría no válida", IF(AND(J587&lt;&gt;"", J587&lt;&gt;"", J587&lt;&gt;VLOOKUP(K587, Criterios!$A$81:$B$120, 2, FALSE)), "División no coincide con Categoría", ""))), IF(OR(L587="", L587=""), "[Aviso] Género no capturado ()", IF(ISNA(MATCH(L587, Criterios!$B$123:$B$127, 0)), "Género no válido", "")), IF(OR(N587="", N587=""), "[Aviso] Temporada no capturada ()", IF(ISNA(MATCH(N587, Criterios!$C$123:$C$128, 0)), "Temporada no válida", "")), IF(OR(O587="", O587=""), "[Aviso] Ciclo de vida no capturado ()", IF(ISNA(MATCH(O587, Criterios!$D$123:$D$124, 0)), "Ciclo de vida no válido", ""))))</f>
        <v/>
      </c>
      <c r="AC587" s="56" t="n"/>
      <c r="AD587" s="51" t="n">
        <v>0</v>
      </c>
      <c r="AE587" s="156" t="n"/>
      <c r="AF587" s="51" t="n">
        <v>0</v>
      </c>
      <c r="AG587" s="156" t="inlineStr">
        <is>
          <t>Catálogo existente</t>
        </is>
      </c>
      <c r="AH5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7" s="156" t="inlineStr">
        <is>
          <t>No</t>
        </is>
      </c>
      <c r="AJ587" s="156" t="n"/>
      <c r="AK587" s="155" t="inlineStr">
        <is>
          <t>Criterios: I [Q]; G1522_Extraccion_Articulos_NetSuite_2026-09-30.xlsx: fila 59164 [R] | Shopify Stetson: producto 15054565245291 / variante 53350563217771</t>
        </is>
      </c>
      <c r="AL587" s="58" t="n">
        <v>1252.115</v>
      </c>
      <c r="AM587" s="58" t="n">
        <v>7155.172414</v>
      </c>
      <c r="AN587" s="155" t="inlineStr">
        <is>
          <t>Shopify Stetson México</t>
        </is>
      </c>
      <c r="AO587" s="59" t="n">
        <v>0</v>
      </c>
      <c r="AP587" s="59" t="n"/>
      <c r="AQ587" s="59" t="n"/>
      <c r="AR587" s="155" t="n"/>
    </row>
    <row r="588">
      <c r="A588" s="50" t="inlineStr">
        <is>
          <t>12021000131045024</t>
        </is>
      </c>
      <c r="B588" s="51" t="inlineStr">
        <is>
          <t>111490</t>
        </is>
      </c>
      <c r="C588" s="156" t="inlineStr">
        <is>
          <t>Multimarca</t>
        </is>
      </c>
      <c r="D588" s="156" t="inlineStr">
        <is>
          <t>12-021-BS000-13-1045</t>
        </is>
      </c>
      <c r="E588" s="156" t="inlineStr">
        <is>
          <t>12-021-BS000-13-1045-024</t>
        </is>
      </c>
      <c r="F588" s="156" t="inlineStr">
        <is>
          <t>24</t>
        </is>
      </c>
      <c r="G588" s="156" t="inlineStr">
        <is>
          <t>7</t>
        </is>
      </c>
      <c r="H588" s="156" t="inlineStr">
        <is>
          <t>Stetson</t>
        </is>
      </c>
      <c r="I588" s="156" t="inlineStr">
        <is>
          <t>Bota Pitón Rojo</t>
        </is>
      </c>
      <c r="J588" s="156" t="inlineStr">
        <is>
          <t>Calzado</t>
        </is>
      </c>
      <c r="K588" s="156" t="inlineStr">
        <is>
          <t>Botas</t>
        </is>
      </c>
      <c r="L588" s="156" t="inlineStr">
        <is>
          <t>Mujer</t>
        </is>
      </c>
      <c r="M588" s="156" t="inlineStr">
        <is>
          <t>Stetson</t>
        </is>
      </c>
      <c r="N588" s="156" t="inlineStr">
        <is>
          <t>SS26</t>
        </is>
      </c>
      <c r="O588" s="156" t="inlineStr">
        <is>
          <t>Seasonal</t>
        </is>
      </c>
      <c r="P588" s="156" t="inlineStr">
        <is>
          <t>Rojo</t>
        </is>
      </c>
      <c r="Q588" s="156" t="n"/>
      <c r="R588" s="156" t="inlineStr">
        <is>
          <t>Horma Alexia</t>
        </is>
      </c>
      <c r="S588" s="156" t="inlineStr">
        <is>
          <t>Piel de pitón</t>
        </is>
      </c>
      <c r="T588" s="156" t="inlineStr">
        <is>
          <t>Bota Dama Piel de pitón Rojo Horma Alexia</t>
        </is>
      </c>
      <c r="U588" s="156" t="inlineStr">
        <is>
          <t>México</t>
        </is>
      </c>
      <c r="V588" s="156" t="inlineStr">
        <is>
          <t>PRS</t>
        </is>
      </c>
      <c r="W588" s="51" t="inlineStr">
        <is>
          <t>53111502</t>
        </is>
      </c>
      <c r="X588" s="156" t="n"/>
      <c r="Y588" s="54" t="n">
        <v>1252.115</v>
      </c>
      <c r="Z588" s="54" t="n">
        <v>7155.172414</v>
      </c>
      <c r="AA588" s="55">
        <f>IF(AND(A588="", B588="", E588=""), "", IF(AB588="", "Válido", IF((LEN(AB588)-LEN(SUBSTITUTE(AB588,"; ","")))/2+1&gt;(LEN(AB588)-LEN(SUBSTITUTE(AB588,"[Aviso]","")))/7, "Con Incidencias", "Válido")))</f>
        <v/>
      </c>
      <c r="AB588" s="56">
        <f>IF(AND(A588="", B588="", E588=""), "", TEXTJOIN("; ", TRUE, IF(OR(TRIM(A588&amp;"")="", ISNUMBER(SEARCH("FALTA", A588))), "UPC faltante/inválido", ""), IF(AND(A588&lt;&gt;"", IFERROR(_xlfn.XMATCH(A588,$A$2:$A$2509,0,1)&lt;&gt;_xlfn.XMATCH(A588,$A$2:$A$2509,0,-1),FALSE)), "Código de barras duplicado", ""), IF(AND(E588&lt;&gt;"", COUNTIF($E$2:$E$2509, E588)&gt;1), "SKU duplicado", ""), IF(OR(J588="", J588=""), "[Aviso] División no capturada ()", IF(ISNA(MATCH(J588, Criterios!$A$123:$A$126, 0)), "División no válida", "")), IF(OR(K588="", K588=""), "[Aviso] Categoría no capturada ()", IF(ISNA(MATCH(K588, Criterios!$A$81:$A$120, 0)), "Categoría no válida", IF(AND(J588&lt;&gt;"", J588&lt;&gt;"", J588&lt;&gt;VLOOKUP(K588, Criterios!$A$81:$B$120, 2, FALSE)), "División no coincide con Categoría", ""))), IF(OR(L588="", L588=""), "[Aviso] Género no capturado ()", IF(ISNA(MATCH(L588, Criterios!$B$123:$B$127, 0)), "Género no válido", "")), IF(OR(N588="", N588=""), "[Aviso] Temporada no capturada ()", IF(ISNA(MATCH(N588, Criterios!$C$123:$C$128, 0)), "Temporada no válida", "")), IF(OR(O588="", O588=""), "[Aviso] Ciclo de vida no capturado ()", IF(ISNA(MATCH(O588, Criterios!$D$123:$D$124, 0)), "Ciclo de vida no válido", ""))))</f>
        <v/>
      </c>
      <c r="AC588" s="56" t="n"/>
      <c r="AD588" s="51" t="n">
        <v>0</v>
      </c>
      <c r="AE588" s="156" t="n"/>
      <c r="AF588" s="51" t="n">
        <v>0</v>
      </c>
      <c r="AG588" s="156" t="inlineStr">
        <is>
          <t>Catálogo existente</t>
        </is>
      </c>
      <c r="AH5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8" s="156" t="inlineStr">
        <is>
          <t>No</t>
        </is>
      </c>
      <c r="AJ588" s="156" t="n"/>
      <c r="AK588" s="155" t="inlineStr">
        <is>
          <t>Criterios: I [Q]; G1522_Extraccion_Articulos_NetSuite_2026-09-30.xlsx: fila 59165 [R] | Shopify Stetson: producto 15054565245291 / variante 53350563283307</t>
        </is>
      </c>
      <c r="AL588" s="58" t="n">
        <v>1252.115</v>
      </c>
      <c r="AM588" s="58" t="n">
        <v>7155.172414</v>
      </c>
      <c r="AN588" s="155" t="inlineStr">
        <is>
          <t>Shopify Stetson México</t>
        </is>
      </c>
      <c r="AO588" s="59" t="n">
        <v>2</v>
      </c>
      <c r="AP588" s="59" t="n"/>
      <c r="AQ588" s="59" t="n"/>
      <c r="AR588" s="155" t="inlineStr">
        <is>
          <t>Shopify Stetson México › Stetson Americas: 2</t>
        </is>
      </c>
    </row>
    <row r="589">
      <c r="A589" s="50" t="inlineStr">
        <is>
          <t>12021000131045025</t>
        </is>
      </c>
      <c r="B589" s="51" t="inlineStr">
        <is>
          <t>111491</t>
        </is>
      </c>
      <c r="C589" s="156" t="inlineStr">
        <is>
          <t>Multimarca</t>
        </is>
      </c>
      <c r="D589" s="156" t="inlineStr">
        <is>
          <t>12-021-BS000-13-1045</t>
        </is>
      </c>
      <c r="E589" s="156" t="inlineStr">
        <is>
          <t>12-021-BS000-13-1045-025</t>
        </is>
      </c>
      <c r="F589" s="156" t="inlineStr">
        <is>
          <t>25</t>
        </is>
      </c>
      <c r="G589" s="156" t="inlineStr">
        <is>
          <t>8</t>
        </is>
      </c>
      <c r="H589" s="156" t="inlineStr">
        <is>
          <t>Stetson</t>
        </is>
      </c>
      <c r="I589" s="156" t="inlineStr">
        <is>
          <t>Bota Pitón Rojo</t>
        </is>
      </c>
      <c r="J589" s="156" t="inlineStr">
        <is>
          <t>Calzado</t>
        </is>
      </c>
      <c r="K589" s="156" t="inlineStr">
        <is>
          <t>Botas</t>
        </is>
      </c>
      <c r="L589" s="156" t="inlineStr">
        <is>
          <t>Mujer</t>
        </is>
      </c>
      <c r="M589" s="156" t="inlineStr">
        <is>
          <t>Stetson</t>
        </is>
      </c>
      <c r="N589" s="156" t="inlineStr">
        <is>
          <t>SS26</t>
        </is>
      </c>
      <c r="O589" s="156" t="inlineStr">
        <is>
          <t>Seasonal</t>
        </is>
      </c>
      <c r="P589" s="156" t="inlineStr">
        <is>
          <t>Rojo</t>
        </is>
      </c>
      <c r="Q589" s="156" t="n"/>
      <c r="R589" s="156" t="inlineStr">
        <is>
          <t>Horma Alexia</t>
        </is>
      </c>
      <c r="S589" s="156" t="inlineStr">
        <is>
          <t>Piel de pitón</t>
        </is>
      </c>
      <c r="T589" s="156" t="inlineStr">
        <is>
          <t>Bota Dama Piel de pitón Rojo Horma Alexia</t>
        </is>
      </c>
      <c r="U589" s="156" t="inlineStr">
        <is>
          <t>México</t>
        </is>
      </c>
      <c r="V589" s="156" t="inlineStr">
        <is>
          <t>PRS</t>
        </is>
      </c>
      <c r="W589" s="51" t="inlineStr">
        <is>
          <t>53111502</t>
        </is>
      </c>
      <c r="X589" s="156" t="n"/>
      <c r="Y589" s="54" t="n">
        <v>1252.115</v>
      </c>
      <c r="Z589" s="54" t="n">
        <v>7155.172414</v>
      </c>
      <c r="AA589" s="55">
        <f>IF(AND(A589="", B589="", E589=""), "", IF(AB589="", "Válido", IF((LEN(AB589)-LEN(SUBSTITUTE(AB589,"; ","")))/2+1&gt;(LEN(AB589)-LEN(SUBSTITUTE(AB589,"[Aviso]","")))/7, "Con Incidencias", "Válido")))</f>
        <v/>
      </c>
      <c r="AB589" s="56">
        <f>IF(AND(A589="", B589="", E589=""), "", TEXTJOIN("; ", TRUE, IF(OR(TRIM(A589&amp;"")="", ISNUMBER(SEARCH("FALTA", A589))), "UPC faltante/inválido", ""), IF(AND(A589&lt;&gt;"", IFERROR(_xlfn.XMATCH(A589,$A$2:$A$2509,0,1)&lt;&gt;_xlfn.XMATCH(A589,$A$2:$A$2509,0,-1),FALSE)), "Código de barras duplicado", ""), IF(AND(E589&lt;&gt;"", COUNTIF($E$2:$E$2509, E589)&gt;1), "SKU duplicado", ""), IF(OR(J589="", J589=""), "[Aviso] División no capturada ()", IF(ISNA(MATCH(J589, Criterios!$A$123:$A$126, 0)), "División no válida", "")), IF(OR(K589="", K589=""), "[Aviso] Categoría no capturada ()", IF(ISNA(MATCH(K589, Criterios!$A$81:$A$120, 0)), "Categoría no válida", IF(AND(J589&lt;&gt;"", J589&lt;&gt;"", J589&lt;&gt;VLOOKUP(K589, Criterios!$A$81:$B$120, 2, FALSE)), "División no coincide con Categoría", ""))), IF(OR(L589="", L589=""), "[Aviso] Género no capturado ()", IF(ISNA(MATCH(L589, Criterios!$B$123:$B$127, 0)), "Género no válido", "")), IF(OR(N589="", N589=""), "[Aviso] Temporada no capturada ()", IF(ISNA(MATCH(N589, Criterios!$C$123:$C$128, 0)), "Temporada no válida", "")), IF(OR(O589="", O589=""), "[Aviso] Ciclo de vida no capturado ()", IF(ISNA(MATCH(O589, Criterios!$D$123:$D$124, 0)), "Ciclo de vida no válido", ""))))</f>
        <v/>
      </c>
      <c r="AC589" s="56" t="n"/>
      <c r="AD589" s="51" t="n">
        <v>0</v>
      </c>
      <c r="AE589" s="156" t="n"/>
      <c r="AF589" s="51" t="n">
        <v>0</v>
      </c>
      <c r="AG589" s="156" t="inlineStr">
        <is>
          <t>Catálogo existente</t>
        </is>
      </c>
      <c r="AH5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9" s="156" t="inlineStr">
        <is>
          <t>No</t>
        </is>
      </c>
      <c r="AJ589" s="156" t="n"/>
      <c r="AK589" s="155" t="inlineStr">
        <is>
          <t>Criterios: I [Q]; G1522_Extraccion_Articulos_NetSuite_2026-09-30.xlsx: fila 59166 [R] | Shopify Stetson: producto 15054565245291 / variante 53350563348843</t>
        </is>
      </c>
      <c r="AL589" s="58" t="n">
        <v>1252.115</v>
      </c>
      <c r="AM589" s="58" t="n">
        <v>7155.172414</v>
      </c>
      <c r="AN589" s="155" t="inlineStr">
        <is>
          <t>Shopify Stetson México</t>
        </is>
      </c>
      <c r="AO589" s="59" t="n">
        <v>1</v>
      </c>
      <c r="AP589" s="59" t="n"/>
      <c r="AQ589" s="59" t="n"/>
      <c r="AR589" s="155" t="inlineStr">
        <is>
          <t>Shopify Stetson México › Stetson Americas: 1</t>
        </is>
      </c>
    </row>
    <row r="590">
      <c r="A590" s="50" t="inlineStr">
        <is>
          <t>12021000131045026</t>
        </is>
      </c>
      <c r="B590" s="51" t="inlineStr">
        <is>
          <t>111483</t>
        </is>
      </c>
      <c r="C590" s="156" t="inlineStr">
        <is>
          <t>Multimarca</t>
        </is>
      </c>
      <c r="D590" s="156" t="inlineStr">
        <is>
          <t>12-021-BS000-13-1045</t>
        </is>
      </c>
      <c r="E590" s="156" t="inlineStr">
        <is>
          <t>12-021-BS000-13-1045-026</t>
        </is>
      </c>
      <c r="F590" s="156" t="inlineStr">
        <is>
          <t>26</t>
        </is>
      </c>
      <c r="G590" s="156" t="inlineStr">
        <is>
          <t>9</t>
        </is>
      </c>
      <c r="H590" s="156" t="inlineStr">
        <is>
          <t>Stetson</t>
        </is>
      </c>
      <c r="I590" s="156" t="inlineStr">
        <is>
          <t>Bota Pitón Rojo</t>
        </is>
      </c>
      <c r="J590" s="156" t="inlineStr">
        <is>
          <t>Calzado</t>
        </is>
      </c>
      <c r="K590" s="156" t="inlineStr">
        <is>
          <t>Botas</t>
        </is>
      </c>
      <c r="L590" s="156" t="inlineStr">
        <is>
          <t>Mujer</t>
        </is>
      </c>
      <c r="M590" s="156" t="inlineStr">
        <is>
          <t>Stetson</t>
        </is>
      </c>
      <c r="N590" s="156" t="inlineStr">
        <is>
          <t>SS26</t>
        </is>
      </c>
      <c r="O590" s="156" t="inlineStr">
        <is>
          <t>Seasonal</t>
        </is>
      </c>
      <c r="P590" s="156" t="inlineStr">
        <is>
          <t>Rojo</t>
        </is>
      </c>
      <c r="Q590" s="156" t="n"/>
      <c r="R590" s="156" t="inlineStr">
        <is>
          <t>Horma Alexia</t>
        </is>
      </c>
      <c r="S590" s="156" t="inlineStr">
        <is>
          <t>Piel de pitón</t>
        </is>
      </c>
      <c r="T590" s="156" t="inlineStr">
        <is>
          <t>Bota Dama Piel de pitón Rojo Horma Alexia</t>
        </is>
      </c>
      <c r="U590" s="156" t="inlineStr">
        <is>
          <t>México</t>
        </is>
      </c>
      <c r="V590" s="156" t="inlineStr">
        <is>
          <t>PRS</t>
        </is>
      </c>
      <c r="W590" s="51" t="inlineStr">
        <is>
          <t>53111502</t>
        </is>
      </c>
      <c r="X590" s="156" t="n"/>
      <c r="Y590" s="54" t="n">
        <v>1252.115</v>
      </c>
      <c r="Z590" s="54" t="n">
        <v>7155.172414</v>
      </c>
      <c r="AA590" s="55">
        <f>IF(AND(A590="", B590="", E590=""), "", IF(AB590="", "Válido", IF((LEN(AB590)-LEN(SUBSTITUTE(AB590,"; ","")))/2+1&gt;(LEN(AB590)-LEN(SUBSTITUTE(AB590,"[Aviso]","")))/7, "Con Incidencias", "Válido")))</f>
        <v/>
      </c>
      <c r="AB590" s="56">
        <f>IF(AND(A590="", B590="", E590=""), "", TEXTJOIN("; ", TRUE, IF(OR(TRIM(A590&amp;"")="", ISNUMBER(SEARCH("FALTA", A590))), "UPC faltante/inválido", ""), IF(AND(A590&lt;&gt;"", IFERROR(_xlfn.XMATCH(A590,$A$2:$A$2509,0,1)&lt;&gt;_xlfn.XMATCH(A590,$A$2:$A$2509,0,-1),FALSE)), "Código de barras duplicado", ""), IF(AND(E590&lt;&gt;"", COUNTIF($E$2:$E$2509, E590)&gt;1), "SKU duplicado", ""), IF(OR(J590="", J590=""), "[Aviso] División no capturada ()", IF(ISNA(MATCH(J590, Criterios!$A$123:$A$126, 0)), "División no válida", "")), IF(OR(K590="", K590=""), "[Aviso] Categoría no capturada ()", IF(ISNA(MATCH(K590, Criterios!$A$81:$A$120, 0)), "Categoría no válida", IF(AND(J590&lt;&gt;"", J590&lt;&gt;"", J590&lt;&gt;VLOOKUP(K590, Criterios!$A$81:$B$120, 2, FALSE)), "División no coincide con Categoría", ""))), IF(OR(L590="", L590=""), "[Aviso] Género no capturado ()", IF(ISNA(MATCH(L590, Criterios!$B$123:$B$127, 0)), "Género no válido", "")), IF(OR(N590="", N590=""), "[Aviso] Temporada no capturada ()", IF(ISNA(MATCH(N590, Criterios!$C$123:$C$128, 0)), "Temporada no válida", "")), IF(OR(O590="", O590=""), "[Aviso] Ciclo de vida no capturado ()", IF(ISNA(MATCH(O590, Criterios!$D$123:$D$124, 0)), "Ciclo de vida no válido", ""))))</f>
        <v/>
      </c>
      <c r="AC590" s="56" t="n"/>
      <c r="AD590" s="51" t="n">
        <v>0</v>
      </c>
      <c r="AE590" s="156" t="n"/>
      <c r="AF590" s="51" t="n">
        <v>0</v>
      </c>
      <c r="AG590" s="156" t="inlineStr">
        <is>
          <t>Catálogo existente</t>
        </is>
      </c>
      <c r="AH59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0" s="156" t="inlineStr">
        <is>
          <t>No</t>
        </is>
      </c>
      <c r="AJ590" s="156" t="n"/>
      <c r="AK590" s="155" t="inlineStr">
        <is>
          <t>Criterios: I [Q]; G1522_Extraccion_Articulos_NetSuite_2026-09-30.xlsx: fila 59158 [R]</t>
        </is>
      </c>
      <c r="AL590" s="58" t="n">
        <v>1252.115</v>
      </c>
      <c r="AM590" s="58" t="n">
        <v>7155.172414</v>
      </c>
      <c r="AN590" s="155" t="n"/>
      <c r="AO590" s="59" t="n"/>
      <c r="AP590" s="59" t="n"/>
      <c r="AQ590" s="59" t="n"/>
      <c r="AR590" s="155" t="n"/>
    </row>
    <row r="591">
      <c r="A591" s="50" t="inlineStr">
        <is>
          <t>12021000131045027</t>
        </is>
      </c>
      <c r="B591" s="51" t="inlineStr">
        <is>
          <t>111484</t>
        </is>
      </c>
      <c r="C591" s="156" t="inlineStr">
        <is>
          <t>Multimarca</t>
        </is>
      </c>
      <c r="D591" s="156" t="inlineStr">
        <is>
          <t>12-021-BS000-13-1045</t>
        </is>
      </c>
      <c r="E591" s="156" t="inlineStr">
        <is>
          <t>12-021-BS000-13-1045-027</t>
        </is>
      </c>
      <c r="F591" s="156" t="inlineStr">
        <is>
          <t>27</t>
        </is>
      </c>
      <c r="G591" s="156" t="inlineStr">
        <is>
          <t>10</t>
        </is>
      </c>
      <c r="H591" s="156" t="inlineStr">
        <is>
          <t>Stetson</t>
        </is>
      </c>
      <c r="I591" s="156" t="inlineStr">
        <is>
          <t>Bota Pitón Rojo</t>
        </is>
      </c>
      <c r="J591" s="156" t="inlineStr">
        <is>
          <t>Calzado</t>
        </is>
      </c>
      <c r="K591" s="156" t="inlineStr">
        <is>
          <t>Botas</t>
        </is>
      </c>
      <c r="L591" s="156" t="inlineStr">
        <is>
          <t>Mujer</t>
        </is>
      </c>
      <c r="M591" s="156" t="inlineStr">
        <is>
          <t>Stetson</t>
        </is>
      </c>
      <c r="N591" s="156" t="inlineStr">
        <is>
          <t>SS26</t>
        </is>
      </c>
      <c r="O591" s="156" t="inlineStr">
        <is>
          <t>Seasonal</t>
        </is>
      </c>
      <c r="P591" s="156" t="inlineStr">
        <is>
          <t>Rojo</t>
        </is>
      </c>
      <c r="Q591" s="156" t="n"/>
      <c r="R591" s="156" t="inlineStr">
        <is>
          <t>Horma Alexia</t>
        </is>
      </c>
      <c r="S591" s="156" t="inlineStr">
        <is>
          <t>Piel de pitón</t>
        </is>
      </c>
      <c r="T591" s="156" t="inlineStr">
        <is>
          <t>Bota Dama Piel de pitón Rojo Horma Alexia</t>
        </is>
      </c>
      <c r="U591" s="156" t="inlineStr">
        <is>
          <t>México</t>
        </is>
      </c>
      <c r="V591" s="156" t="inlineStr">
        <is>
          <t>PRS</t>
        </is>
      </c>
      <c r="W591" s="51" t="inlineStr">
        <is>
          <t>53111502</t>
        </is>
      </c>
      <c r="X591" s="156" t="n"/>
      <c r="Y591" s="54" t="n">
        <v>1252.115</v>
      </c>
      <c r="Z591" s="54" t="n">
        <v>7155.172414</v>
      </c>
      <c r="AA591" s="55">
        <f>IF(AND(A591="", B591="", E591=""), "", IF(AB591="", "Válido", IF((LEN(AB591)-LEN(SUBSTITUTE(AB591,"; ","")))/2+1&gt;(LEN(AB591)-LEN(SUBSTITUTE(AB591,"[Aviso]","")))/7, "Con Incidencias", "Válido")))</f>
        <v/>
      </c>
      <c r="AB591" s="56">
        <f>IF(AND(A591="", B591="", E591=""), "", TEXTJOIN("; ", TRUE, IF(OR(TRIM(A591&amp;"")="", ISNUMBER(SEARCH("FALTA", A591))), "UPC faltante/inválido", ""), IF(AND(A591&lt;&gt;"", IFERROR(_xlfn.XMATCH(A591,$A$2:$A$2509,0,1)&lt;&gt;_xlfn.XMATCH(A591,$A$2:$A$2509,0,-1),FALSE)), "Código de barras duplicado", ""), IF(AND(E591&lt;&gt;"", COUNTIF($E$2:$E$2509, E591)&gt;1), "SKU duplicado", ""), IF(OR(J591="", J591=""), "[Aviso] División no capturada ()", IF(ISNA(MATCH(J591, Criterios!$A$123:$A$126, 0)), "División no válida", "")), IF(OR(K591="", K591=""), "[Aviso] Categoría no capturada ()", IF(ISNA(MATCH(K591, Criterios!$A$81:$A$120, 0)), "Categoría no válida", IF(AND(J591&lt;&gt;"", J591&lt;&gt;"", J591&lt;&gt;VLOOKUP(K591, Criterios!$A$81:$B$120, 2, FALSE)), "División no coincide con Categoría", ""))), IF(OR(L591="", L591=""), "[Aviso] Género no capturado ()", IF(ISNA(MATCH(L591, Criterios!$B$123:$B$127, 0)), "Género no válido", "")), IF(OR(N591="", N591=""), "[Aviso] Temporada no capturada ()", IF(ISNA(MATCH(N591, Criterios!$C$123:$C$128, 0)), "Temporada no válida", "")), IF(OR(O591="", O591=""), "[Aviso] Ciclo de vida no capturado ()", IF(ISNA(MATCH(O591, Criterios!$D$123:$D$124, 0)), "Ciclo de vida no válido", ""))))</f>
        <v/>
      </c>
      <c r="AC591" s="56" t="n"/>
      <c r="AD591" s="51" t="n">
        <v>0</v>
      </c>
      <c r="AE591" s="156" t="n"/>
      <c r="AF591" s="51" t="n">
        <v>0</v>
      </c>
      <c r="AG591" s="156" t="inlineStr">
        <is>
          <t>Catálogo existente</t>
        </is>
      </c>
      <c r="AH59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1" s="156" t="inlineStr">
        <is>
          <t>No</t>
        </is>
      </c>
      <c r="AJ591" s="156" t="n"/>
      <c r="AK591" s="155" t="inlineStr">
        <is>
          <t>Criterios: I [Q]; G1522_Extraccion_Articulos_NetSuite_2026-09-30.xlsx: fila 59159 [R]</t>
        </is>
      </c>
      <c r="AL591" s="58" t="n">
        <v>1252.115</v>
      </c>
      <c r="AM591" s="58" t="n">
        <v>7155.172414</v>
      </c>
      <c r="AN591" s="155" t="n"/>
      <c r="AO591" s="59" t="n"/>
      <c r="AP591" s="59" t="n"/>
      <c r="AQ591" s="59" t="n"/>
      <c r="AR591" s="155" t="n"/>
    </row>
    <row r="592">
      <c r="A592" s="50" t="inlineStr">
        <is>
          <t>12021000131045225</t>
        </is>
      </c>
      <c r="B592" s="51" t="inlineStr">
        <is>
          <t>111492</t>
        </is>
      </c>
      <c r="C592" s="156" t="inlineStr">
        <is>
          <t>Multimarca</t>
        </is>
      </c>
      <c r="D592" s="156" t="inlineStr">
        <is>
          <t>12-021-BS000-13-1045</t>
        </is>
      </c>
      <c r="E592" s="156" t="inlineStr">
        <is>
          <t>12-021-BS000-13-1045-225</t>
        </is>
      </c>
      <c r="F592" s="156" t="inlineStr">
        <is>
          <t>22.5</t>
        </is>
      </c>
      <c r="G592" s="156" t="inlineStr">
        <is>
          <t>5.5</t>
        </is>
      </c>
      <c r="H592" s="156" t="inlineStr">
        <is>
          <t>Stetson</t>
        </is>
      </c>
      <c r="I592" s="156" t="inlineStr">
        <is>
          <t>Bota Pitón Rojo</t>
        </is>
      </c>
      <c r="J592" s="156" t="inlineStr">
        <is>
          <t>Calzado</t>
        </is>
      </c>
      <c r="K592" s="156" t="inlineStr">
        <is>
          <t>Botas</t>
        </is>
      </c>
      <c r="L592" s="156" t="inlineStr">
        <is>
          <t>Mujer</t>
        </is>
      </c>
      <c r="M592" s="156" t="inlineStr">
        <is>
          <t>Stetson</t>
        </is>
      </c>
      <c r="N592" s="156" t="inlineStr">
        <is>
          <t>SS26</t>
        </is>
      </c>
      <c r="O592" s="156" t="inlineStr">
        <is>
          <t>Seasonal</t>
        </is>
      </c>
      <c r="P592" s="156" t="inlineStr">
        <is>
          <t>Rojo</t>
        </is>
      </c>
      <c r="Q592" s="156" t="n"/>
      <c r="R592" s="156" t="inlineStr">
        <is>
          <t>Horma Alexia</t>
        </is>
      </c>
      <c r="S592" s="156" t="inlineStr">
        <is>
          <t>Piel de pitón</t>
        </is>
      </c>
      <c r="T592" s="156" t="inlineStr">
        <is>
          <t>Bota Dama Piel de pitón Rojo Horma Alexia</t>
        </is>
      </c>
      <c r="U592" s="156" t="inlineStr">
        <is>
          <t>México</t>
        </is>
      </c>
      <c r="V592" s="156" t="inlineStr">
        <is>
          <t>PRS</t>
        </is>
      </c>
      <c r="W592" s="51" t="inlineStr">
        <is>
          <t>53111502</t>
        </is>
      </c>
      <c r="X592" s="156" t="n"/>
      <c r="Y592" s="54" t="n">
        <v>1252.115</v>
      </c>
      <c r="Z592" s="54" t="n">
        <v>7155.172414</v>
      </c>
      <c r="AA592" s="55">
        <f>IF(AND(A592="", B592="", E592=""), "", IF(AB592="", "Válido", IF((LEN(AB592)-LEN(SUBSTITUTE(AB592,"; ","")))/2+1&gt;(LEN(AB592)-LEN(SUBSTITUTE(AB592,"[Aviso]","")))/7, "Con Incidencias", "Válido")))</f>
        <v/>
      </c>
      <c r="AB592" s="56">
        <f>IF(AND(A592="", B592="", E592=""), "", TEXTJOIN("; ", TRUE, IF(OR(TRIM(A592&amp;"")="", ISNUMBER(SEARCH("FALTA", A592))), "UPC faltante/inválido", ""), IF(AND(A592&lt;&gt;"", IFERROR(_xlfn.XMATCH(A592,$A$2:$A$2509,0,1)&lt;&gt;_xlfn.XMATCH(A592,$A$2:$A$2509,0,-1),FALSE)), "Código de barras duplicado", ""), IF(AND(E592&lt;&gt;"", COUNTIF($E$2:$E$2509, E592)&gt;1), "SKU duplicado", ""), IF(OR(J592="", J592=""), "[Aviso] División no capturada ()", IF(ISNA(MATCH(J592, Criterios!$A$123:$A$126, 0)), "División no válida", "")), IF(OR(K592="", K592=""), "[Aviso] Categoría no capturada ()", IF(ISNA(MATCH(K592, Criterios!$A$81:$A$120, 0)), "Categoría no válida", IF(AND(J592&lt;&gt;"", J592&lt;&gt;"", J592&lt;&gt;VLOOKUP(K592, Criterios!$A$81:$B$120, 2, FALSE)), "División no coincide con Categoría", ""))), IF(OR(L592="", L592=""), "[Aviso] Género no capturado ()", IF(ISNA(MATCH(L592, Criterios!$B$123:$B$127, 0)), "Género no válido", "")), IF(OR(N592="", N592=""), "[Aviso] Temporada no capturada ()", IF(ISNA(MATCH(N592, Criterios!$C$123:$C$128, 0)), "Temporada no válida", "")), IF(OR(O592="", O592=""), "[Aviso] Ciclo de vida no capturado ()", IF(ISNA(MATCH(O592, Criterios!$D$123:$D$124, 0)), "Ciclo de vida no válido", ""))))</f>
        <v/>
      </c>
      <c r="AC592" s="56" t="n"/>
      <c r="AD592" s="51" t="n">
        <v>0</v>
      </c>
      <c r="AE592" s="156" t="n"/>
      <c r="AF592" s="51" t="n">
        <v>0</v>
      </c>
      <c r="AG592" s="156" t="inlineStr">
        <is>
          <t>Catálogo existente</t>
        </is>
      </c>
      <c r="AH5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2" s="156" t="inlineStr">
        <is>
          <t>No</t>
        </is>
      </c>
      <c r="AJ592" s="156" t="n"/>
      <c r="AK592" s="155" t="inlineStr">
        <is>
          <t>Criterios: I [Q]; G1522_Extraccion_Articulos_NetSuite_2026-09-30.xlsx: fila 59167 [R] | Shopify Stetson: producto 15054565245291 / variante 53350563185003</t>
        </is>
      </c>
      <c r="AL592" s="58" t="n">
        <v>1252.115</v>
      </c>
      <c r="AM592" s="58" t="n">
        <v>7155.172414</v>
      </c>
      <c r="AN592" s="155" t="inlineStr">
        <is>
          <t>Shopify Stetson México</t>
        </is>
      </c>
      <c r="AO592" s="59" t="n">
        <v>0</v>
      </c>
      <c r="AP592" s="59" t="n"/>
      <c r="AQ592" s="59" t="n"/>
      <c r="AR592" s="155" t="n"/>
    </row>
    <row r="593">
      <c r="A593" s="50" t="inlineStr">
        <is>
          <t>12021000131045235</t>
        </is>
      </c>
      <c r="B593" s="51" t="inlineStr">
        <is>
          <t>111493</t>
        </is>
      </c>
      <c r="C593" s="156" t="inlineStr">
        <is>
          <t>Multimarca</t>
        </is>
      </c>
      <c r="D593" s="156" t="inlineStr">
        <is>
          <t>12-021-BS000-13-1045</t>
        </is>
      </c>
      <c r="E593" s="156" t="inlineStr">
        <is>
          <t>12-021-BS000-13-1045-235</t>
        </is>
      </c>
      <c r="F593" s="156" t="inlineStr">
        <is>
          <t>23.5</t>
        </is>
      </c>
      <c r="G593" s="156" t="inlineStr">
        <is>
          <t>6.5</t>
        </is>
      </c>
      <c r="H593" s="156" t="inlineStr">
        <is>
          <t>Stetson</t>
        </is>
      </c>
      <c r="I593" s="156" t="inlineStr">
        <is>
          <t>Bota Pitón Rojo</t>
        </is>
      </c>
      <c r="J593" s="156" t="inlineStr">
        <is>
          <t>Calzado</t>
        </is>
      </c>
      <c r="K593" s="156" t="inlineStr">
        <is>
          <t>Botas</t>
        </is>
      </c>
      <c r="L593" s="156" t="inlineStr">
        <is>
          <t>Mujer</t>
        </is>
      </c>
      <c r="M593" s="156" t="inlineStr">
        <is>
          <t>Stetson</t>
        </is>
      </c>
      <c r="N593" s="156" t="inlineStr">
        <is>
          <t>SS26</t>
        </is>
      </c>
      <c r="O593" s="156" t="inlineStr">
        <is>
          <t>Seasonal</t>
        </is>
      </c>
      <c r="P593" s="156" t="inlineStr">
        <is>
          <t>Rojo</t>
        </is>
      </c>
      <c r="Q593" s="156" t="n"/>
      <c r="R593" s="156" t="inlineStr">
        <is>
          <t>Horma Alexia</t>
        </is>
      </c>
      <c r="S593" s="156" t="inlineStr">
        <is>
          <t>Piel de pitón</t>
        </is>
      </c>
      <c r="T593" s="156" t="inlineStr">
        <is>
          <t>Bota Dama Piel de pitón Rojo Horma Alexia</t>
        </is>
      </c>
      <c r="U593" s="156" t="inlineStr">
        <is>
          <t>México</t>
        </is>
      </c>
      <c r="V593" s="156" t="inlineStr">
        <is>
          <t>PRS</t>
        </is>
      </c>
      <c r="W593" s="51" t="inlineStr">
        <is>
          <t>53111502</t>
        </is>
      </c>
      <c r="X593" s="156" t="n"/>
      <c r="Y593" s="54" t="n">
        <v>1252.115</v>
      </c>
      <c r="Z593" s="54" t="n">
        <v>7155.172414</v>
      </c>
      <c r="AA593" s="55">
        <f>IF(AND(A593="", B593="", E593=""), "", IF(AB593="", "Válido", IF((LEN(AB593)-LEN(SUBSTITUTE(AB593,"; ","")))/2+1&gt;(LEN(AB593)-LEN(SUBSTITUTE(AB593,"[Aviso]","")))/7, "Con Incidencias", "Válido")))</f>
        <v/>
      </c>
      <c r="AB593" s="56">
        <f>IF(AND(A593="", B593="", E593=""), "", TEXTJOIN("; ", TRUE, IF(OR(TRIM(A593&amp;"")="", ISNUMBER(SEARCH("FALTA", A593))), "UPC faltante/inválido", ""), IF(AND(A593&lt;&gt;"", IFERROR(_xlfn.XMATCH(A593,$A$2:$A$2509,0,1)&lt;&gt;_xlfn.XMATCH(A593,$A$2:$A$2509,0,-1),FALSE)), "Código de barras duplicado", ""), IF(AND(E593&lt;&gt;"", COUNTIF($E$2:$E$2509, E593)&gt;1), "SKU duplicado", ""), IF(OR(J593="", J593=""), "[Aviso] División no capturada ()", IF(ISNA(MATCH(J593, Criterios!$A$123:$A$126, 0)), "División no válida", "")), IF(OR(K593="", K593=""), "[Aviso] Categoría no capturada ()", IF(ISNA(MATCH(K593, Criterios!$A$81:$A$120, 0)), "Categoría no válida", IF(AND(J593&lt;&gt;"", J593&lt;&gt;"", J593&lt;&gt;VLOOKUP(K593, Criterios!$A$81:$B$120, 2, FALSE)), "División no coincide con Categoría", ""))), IF(OR(L593="", L593=""), "[Aviso] Género no capturado ()", IF(ISNA(MATCH(L593, Criterios!$B$123:$B$127, 0)), "Género no válido", "")), IF(OR(N593="", N593=""), "[Aviso] Temporada no capturada ()", IF(ISNA(MATCH(N593, Criterios!$C$123:$C$128, 0)), "Temporada no válida", "")), IF(OR(O593="", O593=""), "[Aviso] Ciclo de vida no capturado ()", IF(ISNA(MATCH(O593, Criterios!$D$123:$D$124, 0)), "Ciclo de vida no válido", ""))))</f>
        <v/>
      </c>
      <c r="AC593" s="56" t="n"/>
      <c r="AD593" s="51" t="n">
        <v>0</v>
      </c>
      <c r="AE593" s="156" t="n"/>
      <c r="AF593" s="51" t="n">
        <v>0</v>
      </c>
      <c r="AG593" s="156" t="inlineStr">
        <is>
          <t>Catálogo existente</t>
        </is>
      </c>
      <c r="AH5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3" s="156" t="inlineStr">
        <is>
          <t>No</t>
        </is>
      </c>
      <c r="AJ593" s="156" t="n"/>
      <c r="AK593" s="155" t="inlineStr">
        <is>
          <t>Criterios: I [Q]; G1522_Extraccion_Articulos_NetSuite_2026-09-30.xlsx: fila 59168 [R] | Shopify Stetson: producto 15054565245291 / variante 53350563250539</t>
        </is>
      </c>
      <c r="AL593" s="58" t="n">
        <v>1252.115</v>
      </c>
      <c r="AM593" s="58" t="n">
        <v>7155.172414</v>
      </c>
      <c r="AN593" s="155" t="inlineStr">
        <is>
          <t>Shopify Stetson México</t>
        </is>
      </c>
      <c r="AO593" s="59" t="n">
        <v>0</v>
      </c>
      <c r="AP593" s="59" t="n"/>
      <c r="AQ593" s="59" t="n"/>
      <c r="AR593" s="155" t="n"/>
    </row>
    <row r="594">
      <c r="A594" s="50" t="inlineStr">
        <is>
          <t>12021000131045245</t>
        </is>
      </c>
      <c r="B594" s="51" t="inlineStr">
        <is>
          <t>111494</t>
        </is>
      </c>
      <c r="C594" s="156" t="inlineStr">
        <is>
          <t>Multimarca</t>
        </is>
      </c>
      <c r="D594" s="156" t="inlineStr">
        <is>
          <t>12-021-BS000-13-1045</t>
        </is>
      </c>
      <c r="E594" s="156" t="inlineStr">
        <is>
          <t>12-021-BS000-13-1045-245</t>
        </is>
      </c>
      <c r="F594" s="156" t="inlineStr">
        <is>
          <t>24.5</t>
        </is>
      </c>
      <c r="G594" s="156" t="inlineStr">
        <is>
          <t>7.5</t>
        </is>
      </c>
      <c r="H594" s="156" t="inlineStr">
        <is>
          <t>Stetson</t>
        </is>
      </c>
      <c r="I594" s="156" t="inlineStr">
        <is>
          <t>Bota Pitón Rojo</t>
        </is>
      </c>
      <c r="J594" s="156" t="inlineStr">
        <is>
          <t>Calzado</t>
        </is>
      </c>
      <c r="K594" s="156" t="inlineStr">
        <is>
          <t>Botas</t>
        </is>
      </c>
      <c r="L594" s="156" t="inlineStr">
        <is>
          <t>Mujer</t>
        </is>
      </c>
      <c r="M594" s="156" t="inlineStr">
        <is>
          <t>Stetson</t>
        </is>
      </c>
      <c r="N594" s="156" t="inlineStr">
        <is>
          <t>SS26</t>
        </is>
      </c>
      <c r="O594" s="156" t="inlineStr">
        <is>
          <t>Seasonal</t>
        </is>
      </c>
      <c r="P594" s="156" t="inlineStr">
        <is>
          <t>Rojo</t>
        </is>
      </c>
      <c r="Q594" s="156" t="n"/>
      <c r="R594" s="156" t="inlineStr">
        <is>
          <t>Horma Alexia</t>
        </is>
      </c>
      <c r="S594" s="156" t="inlineStr">
        <is>
          <t>Piel de pitón</t>
        </is>
      </c>
      <c r="T594" s="156" t="inlineStr">
        <is>
          <t>Bota Dama Piel de pitón Rojo Horma Alexia</t>
        </is>
      </c>
      <c r="U594" s="156" t="inlineStr">
        <is>
          <t>México</t>
        </is>
      </c>
      <c r="V594" s="156" t="inlineStr">
        <is>
          <t>PRS</t>
        </is>
      </c>
      <c r="W594" s="51" t="inlineStr">
        <is>
          <t>53111502</t>
        </is>
      </c>
      <c r="X594" s="156" t="n"/>
      <c r="Y594" s="54" t="n">
        <v>1252.115</v>
      </c>
      <c r="Z594" s="54" t="n">
        <v>7155.172414</v>
      </c>
      <c r="AA594" s="55">
        <f>IF(AND(A594="", B594="", E594=""), "", IF(AB594="", "Válido", IF((LEN(AB594)-LEN(SUBSTITUTE(AB594,"; ","")))/2+1&gt;(LEN(AB594)-LEN(SUBSTITUTE(AB594,"[Aviso]","")))/7, "Con Incidencias", "Válido")))</f>
        <v/>
      </c>
      <c r="AB594" s="56">
        <f>IF(AND(A594="", B594="", E594=""), "", TEXTJOIN("; ", TRUE, IF(OR(TRIM(A594&amp;"")="", ISNUMBER(SEARCH("FALTA", A594))), "UPC faltante/inválido", ""), IF(AND(A594&lt;&gt;"", IFERROR(_xlfn.XMATCH(A594,$A$2:$A$2509,0,1)&lt;&gt;_xlfn.XMATCH(A594,$A$2:$A$2509,0,-1),FALSE)), "Código de barras duplicado", ""), IF(AND(E594&lt;&gt;"", COUNTIF($E$2:$E$2509, E594)&gt;1), "SKU duplicado", ""), IF(OR(J594="", J594=""), "[Aviso] División no capturada ()", IF(ISNA(MATCH(J594, Criterios!$A$123:$A$126, 0)), "División no válida", "")), IF(OR(K594="", K594=""), "[Aviso] Categoría no capturada ()", IF(ISNA(MATCH(K594, Criterios!$A$81:$A$120, 0)), "Categoría no válida", IF(AND(J594&lt;&gt;"", J594&lt;&gt;"", J594&lt;&gt;VLOOKUP(K594, Criterios!$A$81:$B$120, 2, FALSE)), "División no coincide con Categoría", ""))), IF(OR(L594="", L594=""), "[Aviso] Género no capturado ()", IF(ISNA(MATCH(L594, Criterios!$B$123:$B$127, 0)), "Género no válido", "")), IF(OR(N594="", N594=""), "[Aviso] Temporada no capturada ()", IF(ISNA(MATCH(N594, Criterios!$C$123:$C$128, 0)), "Temporada no válida", "")), IF(OR(O594="", O594=""), "[Aviso] Ciclo de vida no capturado ()", IF(ISNA(MATCH(O594, Criterios!$D$123:$D$124, 0)), "Ciclo de vida no válido", ""))))</f>
        <v/>
      </c>
      <c r="AC594" s="56" t="n"/>
      <c r="AD594" s="51" t="n">
        <v>0</v>
      </c>
      <c r="AE594" s="156" t="n"/>
      <c r="AF594" s="51" t="n">
        <v>0</v>
      </c>
      <c r="AG594" s="156" t="inlineStr">
        <is>
          <t>Catálogo existente</t>
        </is>
      </c>
      <c r="AH5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4" s="156" t="inlineStr">
        <is>
          <t>No</t>
        </is>
      </c>
      <c r="AJ594" s="156" t="n"/>
      <c r="AK594" s="155" t="inlineStr">
        <is>
          <t>Criterios: I [Q]; G1522_Extraccion_Articulos_NetSuite_2026-09-30.xlsx: fila 59169 [R] | Shopify Stetson: producto 15054565245291 / variante 53350563316075</t>
        </is>
      </c>
      <c r="AL594" s="58" t="n">
        <v>1252.115</v>
      </c>
      <c r="AM594" s="58" t="n">
        <v>7155.172414</v>
      </c>
      <c r="AN594" s="155" t="inlineStr">
        <is>
          <t>Shopify Stetson México</t>
        </is>
      </c>
      <c r="AO594" s="59" t="n">
        <v>1</v>
      </c>
      <c r="AP594" s="59" t="n"/>
      <c r="AQ594" s="59" t="n"/>
      <c r="AR594" s="155" t="inlineStr">
        <is>
          <t>Shopify Stetson México › Stetson Americas: 1</t>
        </is>
      </c>
    </row>
    <row r="595">
      <c r="A595" s="50" t="inlineStr">
        <is>
          <t>12021000131045255</t>
        </is>
      </c>
      <c r="B595" s="51" t="inlineStr">
        <is>
          <t>111485</t>
        </is>
      </c>
      <c r="C595" s="156" t="inlineStr">
        <is>
          <t>Multimarca</t>
        </is>
      </c>
      <c r="D595" s="156" t="inlineStr">
        <is>
          <t>12-021-BS000-13-1045</t>
        </is>
      </c>
      <c r="E595" s="156" t="inlineStr">
        <is>
          <t>12-021-BS000-13-1045-255</t>
        </is>
      </c>
      <c r="F595" s="156" t="inlineStr">
        <is>
          <t>25.5</t>
        </is>
      </c>
      <c r="G595" s="156" t="inlineStr">
        <is>
          <t>8.5</t>
        </is>
      </c>
      <c r="H595" s="156" t="inlineStr">
        <is>
          <t>Stetson</t>
        </is>
      </c>
      <c r="I595" s="156" t="inlineStr">
        <is>
          <t>Bota Pitón Rojo</t>
        </is>
      </c>
      <c r="J595" s="156" t="inlineStr">
        <is>
          <t>Calzado</t>
        </is>
      </c>
      <c r="K595" s="156" t="inlineStr">
        <is>
          <t>Botas</t>
        </is>
      </c>
      <c r="L595" s="156" t="inlineStr">
        <is>
          <t>Mujer</t>
        </is>
      </c>
      <c r="M595" s="156" t="inlineStr">
        <is>
          <t>Stetson</t>
        </is>
      </c>
      <c r="N595" s="156" t="inlineStr">
        <is>
          <t>SS26</t>
        </is>
      </c>
      <c r="O595" s="156" t="inlineStr">
        <is>
          <t>Seasonal</t>
        </is>
      </c>
      <c r="P595" s="156" t="inlineStr">
        <is>
          <t>Rojo</t>
        </is>
      </c>
      <c r="Q595" s="156" t="n"/>
      <c r="R595" s="156" t="inlineStr">
        <is>
          <t>Horma Alexia</t>
        </is>
      </c>
      <c r="S595" s="156" t="inlineStr">
        <is>
          <t>Piel de pitón</t>
        </is>
      </c>
      <c r="T595" s="156" t="inlineStr">
        <is>
          <t>Bota Dama Piel de pitón Rojo Horma Alexia</t>
        </is>
      </c>
      <c r="U595" s="156" t="inlineStr">
        <is>
          <t>México</t>
        </is>
      </c>
      <c r="V595" s="156" t="inlineStr">
        <is>
          <t>PRS</t>
        </is>
      </c>
      <c r="W595" s="51" t="inlineStr">
        <is>
          <t>53111502</t>
        </is>
      </c>
      <c r="X595" s="156" t="n"/>
      <c r="Y595" s="54" t="n">
        <v>1252.115</v>
      </c>
      <c r="Z595" s="54" t="n">
        <v>7155.172414</v>
      </c>
      <c r="AA595" s="55">
        <f>IF(AND(A595="", B595="", E595=""), "", IF(AB595="", "Válido", IF((LEN(AB595)-LEN(SUBSTITUTE(AB595,"; ","")))/2+1&gt;(LEN(AB595)-LEN(SUBSTITUTE(AB595,"[Aviso]","")))/7, "Con Incidencias", "Válido")))</f>
        <v/>
      </c>
      <c r="AB595" s="56">
        <f>IF(AND(A595="", B595="", E595=""), "", TEXTJOIN("; ", TRUE, IF(OR(TRIM(A595&amp;"")="", ISNUMBER(SEARCH("FALTA", A595))), "UPC faltante/inválido", ""), IF(AND(A595&lt;&gt;"", IFERROR(_xlfn.XMATCH(A595,$A$2:$A$2509,0,1)&lt;&gt;_xlfn.XMATCH(A595,$A$2:$A$2509,0,-1),FALSE)), "Código de barras duplicado", ""), IF(AND(E595&lt;&gt;"", COUNTIF($E$2:$E$2509, E595)&gt;1), "SKU duplicado", ""), IF(OR(J595="", J595=""), "[Aviso] División no capturada ()", IF(ISNA(MATCH(J595, Criterios!$A$123:$A$126, 0)), "División no válida", "")), IF(OR(K595="", K595=""), "[Aviso] Categoría no capturada ()", IF(ISNA(MATCH(K595, Criterios!$A$81:$A$120, 0)), "Categoría no válida", IF(AND(J595&lt;&gt;"", J595&lt;&gt;"", J595&lt;&gt;VLOOKUP(K595, Criterios!$A$81:$B$120, 2, FALSE)), "División no coincide con Categoría", ""))), IF(OR(L595="", L595=""), "[Aviso] Género no capturado ()", IF(ISNA(MATCH(L595, Criterios!$B$123:$B$127, 0)), "Género no válido", "")), IF(OR(N595="", N595=""), "[Aviso] Temporada no capturada ()", IF(ISNA(MATCH(N595, Criterios!$C$123:$C$128, 0)), "Temporada no válida", "")), IF(OR(O595="", O595=""), "[Aviso] Ciclo de vida no capturado ()", IF(ISNA(MATCH(O595, Criterios!$D$123:$D$124, 0)), "Ciclo de vida no válido", ""))))</f>
        <v/>
      </c>
      <c r="AC595" s="56" t="n"/>
      <c r="AD595" s="51" t="n">
        <v>0</v>
      </c>
      <c r="AE595" s="156" t="n"/>
      <c r="AF595" s="51" t="n">
        <v>0</v>
      </c>
      <c r="AG595" s="156" t="inlineStr">
        <is>
          <t>Catálogo existente</t>
        </is>
      </c>
      <c r="AH59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5" s="156" t="inlineStr">
        <is>
          <t>No</t>
        </is>
      </c>
      <c r="AJ595" s="156" t="n"/>
      <c r="AK595" s="155" t="inlineStr">
        <is>
          <t>Criterios: I [Q]; G1522_Extraccion_Articulos_NetSuite_2026-09-30.xlsx: fila 59160 [R]</t>
        </is>
      </c>
      <c r="AL595" s="58" t="n">
        <v>1252.115</v>
      </c>
      <c r="AM595" s="58" t="n">
        <v>7155.172414</v>
      </c>
      <c r="AN595" s="155" t="n"/>
      <c r="AO595" s="59" t="n"/>
      <c r="AP595" s="59" t="n"/>
      <c r="AQ595" s="59" t="n"/>
      <c r="AR595" s="155" t="n"/>
    </row>
    <row r="596">
      <c r="A596" s="50" t="inlineStr">
        <is>
          <t>12021000131045265</t>
        </is>
      </c>
      <c r="B596" s="51" t="inlineStr">
        <is>
          <t>111486</t>
        </is>
      </c>
      <c r="C596" s="156" t="inlineStr">
        <is>
          <t>Multimarca</t>
        </is>
      </c>
      <c r="D596" s="156" t="inlineStr">
        <is>
          <t>12-021-BS000-13-1045</t>
        </is>
      </c>
      <c r="E596" s="156" t="inlineStr">
        <is>
          <t>12-021-BS000-13-1045-265</t>
        </is>
      </c>
      <c r="F596" s="156" t="inlineStr">
        <is>
          <t>26.5</t>
        </is>
      </c>
      <c r="G596" s="156" t="inlineStr">
        <is>
          <t>9.5</t>
        </is>
      </c>
      <c r="H596" s="156" t="inlineStr">
        <is>
          <t>Stetson</t>
        </is>
      </c>
      <c r="I596" s="156" t="inlineStr">
        <is>
          <t>Bota Pitón Rojo</t>
        </is>
      </c>
      <c r="J596" s="156" t="inlineStr">
        <is>
          <t>Calzado</t>
        </is>
      </c>
      <c r="K596" s="156" t="inlineStr">
        <is>
          <t>Botas</t>
        </is>
      </c>
      <c r="L596" s="156" t="inlineStr">
        <is>
          <t>Mujer</t>
        </is>
      </c>
      <c r="M596" s="156" t="inlineStr">
        <is>
          <t>Stetson</t>
        </is>
      </c>
      <c r="N596" s="156" t="inlineStr">
        <is>
          <t>SS26</t>
        </is>
      </c>
      <c r="O596" s="156" t="inlineStr">
        <is>
          <t>Seasonal</t>
        </is>
      </c>
      <c r="P596" s="156" t="inlineStr">
        <is>
          <t>Rojo</t>
        </is>
      </c>
      <c r="Q596" s="156" t="n"/>
      <c r="R596" s="156" t="inlineStr">
        <is>
          <t>Horma Alexia</t>
        </is>
      </c>
      <c r="S596" s="156" t="inlineStr">
        <is>
          <t>Piel de pitón</t>
        </is>
      </c>
      <c r="T596" s="156" t="inlineStr">
        <is>
          <t>Bota Dama Piel de pitón Rojo Horma Alexia</t>
        </is>
      </c>
      <c r="U596" s="156" t="inlineStr">
        <is>
          <t>México</t>
        </is>
      </c>
      <c r="V596" s="156" t="inlineStr">
        <is>
          <t>PRS</t>
        </is>
      </c>
      <c r="W596" s="51" t="inlineStr">
        <is>
          <t>53111502</t>
        </is>
      </c>
      <c r="X596" s="156" t="n"/>
      <c r="Y596" s="54" t="n">
        <v>1252.115</v>
      </c>
      <c r="Z596" s="54" t="n">
        <v>7155.172414</v>
      </c>
      <c r="AA596" s="55">
        <f>IF(AND(A596="", B596="", E596=""), "", IF(AB596="", "Válido", IF((LEN(AB596)-LEN(SUBSTITUTE(AB596,"; ","")))/2+1&gt;(LEN(AB596)-LEN(SUBSTITUTE(AB596,"[Aviso]","")))/7, "Con Incidencias", "Válido")))</f>
        <v/>
      </c>
      <c r="AB596" s="56">
        <f>IF(AND(A596="", B596="", E596=""), "", TEXTJOIN("; ", TRUE, IF(OR(TRIM(A596&amp;"")="", ISNUMBER(SEARCH("FALTA", A596))), "UPC faltante/inválido", ""), IF(AND(A596&lt;&gt;"", IFERROR(_xlfn.XMATCH(A596,$A$2:$A$2509,0,1)&lt;&gt;_xlfn.XMATCH(A596,$A$2:$A$2509,0,-1),FALSE)), "Código de barras duplicado", ""), IF(AND(E596&lt;&gt;"", COUNTIF($E$2:$E$2509, E596)&gt;1), "SKU duplicado", ""), IF(OR(J596="", J596=""), "[Aviso] División no capturada ()", IF(ISNA(MATCH(J596, Criterios!$A$123:$A$126, 0)), "División no válida", "")), IF(OR(K596="", K596=""), "[Aviso] Categoría no capturada ()", IF(ISNA(MATCH(K596, Criterios!$A$81:$A$120, 0)), "Categoría no válida", IF(AND(J596&lt;&gt;"", J596&lt;&gt;"", J596&lt;&gt;VLOOKUP(K596, Criterios!$A$81:$B$120, 2, FALSE)), "División no coincide con Categoría", ""))), IF(OR(L596="", L596=""), "[Aviso] Género no capturado ()", IF(ISNA(MATCH(L596, Criterios!$B$123:$B$127, 0)), "Género no válido", "")), IF(OR(N596="", N596=""), "[Aviso] Temporada no capturada ()", IF(ISNA(MATCH(N596, Criterios!$C$123:$C$128, 0)), "Temporada no válida", "")), IF(OR(O596="", O596=""), "[Aviso] Ciclo de vida no capturado ()", IF(ISNA(MATCH(O596, Criterios!$D$123:$D$124, 0)), "Ciclo de vida no válido", ""))))</f>
        <v/>
      </c>
      <c r="AC596" s="56" t="n"/>
      <c r="AD596" s="51" t="n">
        <v>0</v>
      </c>
      <c r="AE596" s="156" t="n"/>
      <c r="AF596" s="51" t="n">
        <v>0</v>
      </c>
      <c r="AG596" s="156" t="inlineStr">
        <is>
          <t>Catálogo existente</t>
        </is>
      </c>
      <c r="AH59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6" s="156" t="inlineStr">
        <is>
          <t>No</t>
        </is>
      </c>
      <c r="AJ596" s="156" t="n"/>
      <c r="AK596" s="155" t="inlineStr">
        <is>
          <t>Criterios: I [Q]; G1522_Extraccion_Articulos_NetSuite_2026-09-30.xlsx: fila 59161 [R]</t>
        </is>
      </c>
      <c r="AL596" s="58" t="n">
        <v>1252.115</v>
      </c>
      <c r="AM596" s="58" t="n">
        <v>7155.172414</v>
      </c>
      <c r="AN596" s="155" t="n"/>
      <c r="AO596" s="59" t="n"/>
      <c r="AP596" s="59" t="n"/>
      <c r="AQ596" s="59" t="n"/>
      <c r="AR596" s="155" t="n"/>
    </row>
    <row r="597">
      <c r="A597" s="50" t="inlineStr">
        <is>
          <t>12021000131045275</t>
        </is>
      </c>
      <c r="B597" s="51" t="inlineStr">
        <is>
          <t>111487</t>
        </is>
      </c>
      <c r="C597" s="156" t="inlineStr">
        <is>
          <t>Multimarca</t>
        </is>
      </c>
      <c r="D597" s="156" t="inlineStr">
        <is>
          <t>12-021-BS000-13-1045</t>
        </is>
      </c>
      <c r="E597" s="156" t="inlineStr">
        <is>
          <t>12-021-BS000-13-1045-275</t>
        </is>
      </c>
      <c r="F597" s="156" t="inlineStr">
        <is>
          <t>27.5</t>
        </is>
      </c>
      <c r="G597" s="156" t="inlineStr">
        <is>
          <t>10.5</t>
        </is>
      </c>
      <c r="H597" s="156" t="inlineStr">
        <is>
          <t>Stetson</t>
        </is>
      </c>
      <c r="I597" s="156" t="inlineStr">
        <is>
          <t>Bota Pitón Rojo</t>
        </is>
      </c>
      <c r="J597" s="156" t="inlineStr">
        <is>
          <t>Calzado</t>
        </is>
      </c>
      <c r="K597" s="156" t="inlineStr">
        <is>
          <t>Botas</t>
        </is>
      </c>
      <c r="L597" s="156" t="inlineStr">
        <is>
          <t>Mujer</t>
        </is>
      </c>
      <c r="M597" s="156" t="inlineStr">
        <is>
          <t>Stetson</t>
        </is>
      </c>
      <c r="N597" s="156" t="inlineStr">
        <is>
          <t>SS26</t>
        </is>
      </c>
      <c r="O597" s="156" t="inlineStr">
        <is>
          <t>Seasonal</t>
        </is>
      </c>
      <c r="P597" s="156" t="inlineStr">
        <is>
          <t>Rojo</t>
        </is>
      </c>
      <c r="Q597" s="156" t="n"/>
      <c r="R597" s="156" t="inlineStr">
        <is>
          <t>Horma Alexia</t>
        </is>
      </c>
      <c r="S597" s="156" t="inlineStr">
        <is>
          <t>Piel de pitón</t>
        </is>
      </c>
      <c r="T597" s="156" t="inlineStr">
        <is>
          <t>Bota Dama Piel de pitón Rojo Horma Alexia</t>
        </is>
      </c>
      <c r="U597" s="156" t="inlineStr">
        <is>
          <t>México</t>
        </is>
      </c>
      <c r="V597" s="156" t="inlineStr">
        <is>
          <t>PRS</t>
        </is>
      </c>
      <c r="W597" s="51" t="inlineStr">
        <is>
          <t>53111502</t>
        </is>
      </c>
      <c r="X597" s="156" t="n"/>
      <c r="Y597" s="54" t="n">
        <v>1252.115</v>
      </c>
      <c r="Z597" s="54" t="n">
        <v>7155.172414</v>
      </c>
      <c r="AA597" s="55">
        <f>IF(AND(A597="", B597="", E597=""), "", IF(AB597="", "Válido", IF((LEN(AB597)-LEN(SUBSTITUTE(AB597,"; ","")))/2+1&gt;(LEN(AB597)-LEN(SUBSTITUTE(AB597,"[Aviso]","")))/7, "Con Incidencias", "Válido")))</f>
        <v/>
      </c>
      <c r="AB597" s="56">
        <f>IF(AND(A597="", B597="", E597=""), "", TEXTJOIN("; ", TRUE, IF(OR(TRIM(A597&amp;"")="", ISNUMBER(SEARCH("FALTA", A597))), "UPC faltante/inválido", ""), IF(AND(A597&lt;&gt;"", IFERROR(_xlfn.XMATCH(A597,$A$2:$A$2509,0,1)&lt;&gt;_xlfn.XMATCH(A597,$A$2:$A$2509,0,-1),FALSE)), "Código de barras duplicado", ""), IF(AND(E597&lt;&gt;"", COUNTIF($E$2:$E$2509, E597)&gt;1), "SKU duplicado", ""), IF(OR(J597="", J597=""), "[Aviso] División no capturada ()", IF(ISNA(MATCH(J597, Criterios!$A$123:$A$126, 0)), "División no válida", "")), IF(OR(K597="", K597=""), "[Aviso] Categoría no capturada ()", IF(ISNA(MATCH(K597, Criterios!$A$81:$A$120, 0)), "Categoría no válida", IF(AND(J597&lt;&gt;"", J597&lt;&gt;"", J597&lt;&gt;VLOOKUP(K597, Criterios!$A$81:$B$120, 2, FALSE)), "División no coincide con Categoría", ""))), IF(OR(L597="", L597=""), "[Aviso] Género no capturado ()", IF(ISNA(MATCH(L597, Criterios!$B$123:$B$127, 0)), "Género no válido", "")), IF(OR(N597="", N597=""), "[Aviso] Temporada no capturada ()", IF(ISNA(MATCH(N597, Criterios!$C$123:$C$128, 0)), "Temporada no válida", "")), IF(OR(O597="", O597=""), "[Aviso] Ciclo de vida no capturado ()", IF(ISNA(MATCH(O597, Criterios!$D$123:$D$124, 0)), "Ciclo de vida no válido", ""))))</f>
        <v/>
      </c>
      <c r="AC597" s="56" t="n"/>
      <c r="AD597" s="51" t="n">
        <v>0</v>
      </c>
      <c r="AE597" s="156" t="n"/>
      <c r="AF597" s="51" t="n">
        <v>0</v>
      </c>
      <c r="AG597" s="156" t="inlineStr">
        <is>
          <t>Catálogo existente</t>
        </is>
      </c>
      <c r="AH59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7" s="156" t="inlineStr">
        <is>
          <t>No</t>
        </is>
      </c>
      <c r="AJ597" s="156" t="n"/>
      <c r="AK597" s="155" t="inlineStr">
        <is>
          <t>Criterios: I [Q]; G1522_Extraccion_Articulos_NetSuite_2026-09-30.xlsx: fila 59162 [R]</t>
        </is>
      </c>
      <c r="AL597" s="58" t="n">
        <v>1252.115</v>
      </c>
      <c r="AM597" s="58" t="n">
        <v>7155.172414</v>
      </c>
      <c r="AN597" s="155" t="n"/>
      <c r="AO597" s="59" t="n"/>
      <c r="AP597" s="59" t="n"/>
      <c r="AQ597" s="59" t="n"/>
      <c r="AR597" s="155" t="n"/>
    </row>
    <row r="598">
      <c r="A598" s="50" t="inlineStr">
        <is>
          <t>12021001121030022</t>
        </is>
      </c>
      <c r="B598" s="51" t="inlineStr">
        <is>
          <t>111500</t>
        </is>
      </c>
      <c r="C598" s="156" t="inlineStr">
        <is>
          <t>Multimarca</t>
        </is>
      </c>
      <c r="D598" s="156" t="inlineStr">
        <is>
          <t>12-021-BS001-12-1030</t>
        </is>
      </c>
      <c r="E598" s="156" t="inlineStr">
        <is>
          <t>12-021-BS001-12-1030-022</t>
        </is>
      </c>
      <c r="F598" s="156" t="inlineStr">
        <is>
          <t>22</t>
        </is>
      </c>
      <c r="G598" s="156" t="inlineStr">
        <is>
          <t>5</t>
        </is>
      </c>
      <c r="H598" s="156" t="inlineStr">
        <is>
          <t>Stetson</t>
        </is>
      </c>
      <c r="I598" s="156" t="inlineStr">
        <is>
          <t>Bota Piel Café</t>
        </is>
      </c>
      <c r="J598" s="156" t="inlineStr">
        <is>
          <t>Calzado</t>
        </is>
      </c>
      <c r="K598" s="156" t="inlineStr">
        <is>
          <t>Botas</t>
        </is>
      </c>
      <c r="L598" s="156" t="inlineStr">
        <is>
          <t>Mujer</t>
        </is>
      </c>
      <c r="M598" s="156" t="inlineStr">
        <is>
          <t>Stetson</t>
        </is>
      </c>
      <c r="N598" s="156" t="inlineStr">
        <is>
          <t>SS26</t>
        </is>
      </c>
      <c r="O598" s="156" t="inlineStr">
        <is>
          <t>Seasonal</t>
        </is>
      </c>
      <c r="P598" s="156" t="inlineStr">
        <is>
          <t>Cafe</t>
        </is>
      </c>
      <c r="Q598" s="156" t="n"/>
      <c r="R598" s="156" t="inlineStr">
        <is>
          <t>Horma Agatha</t>
        </is>
      </c>
      <c r="S598" s="156" t="inlineStr">
        <is>
          <t>Piel bovina</t>
        </is>
      </c>
      <c r="T598" s="156" t="inlineStr">
        <is>
          <t>Bota Dama Piel bovina Clayton Café Horma Agatha</t>
        </is>
      </c>
      <c r="U598" s="156" t="inlineStr">
        <is>
          <t>México</t>
        </is>
      </c>
      <c r="V598" s="156" t="inlineStr">
        <is>
          <t>PRS</t>
        </is>
      </c>
      <c r="W598" s="51" t="inlineStr">
        <is>
          <t>53111502</t>
        </is>
      </c>
      <c r="X598" s="156" t="n"/>
      <c r="Y598" s="54" t="n">
        <v>724.5599999999999</v>
      </c>
      <c r="Z598" s="54" t="n">
        <v>4224.137931</v>
      </c>
      <c r="AA598" s="55">
        <f>IF(AND(A598="", B598="", E598=""), "", IF(AB598="", "Válido", IF((LEN(AB598)-LEN(SUBSTITUTE(AB598,"; ","")))/2+1&gt;(LEN(AB598)-LEN(SUBSTITUTE(AB598,"[Aviso]","")))/7, "Con Incidencias", "Válido")))</f>
        <v/>
      </c>
      <c r="AB598" s="56">
        <f>IF(AND(A598="", B598="", E598=""), "", TEXTJOIN("; ", TRUE, IF(OR(TRIM(A598&amp;"")="", ISNUMBER(SEARCH("FALTA", A598))), "UPC faltante/inválido", ""), IF(AND(A598&lt;&gt;"", IFERROR(_xlfn.XMATCH(A598,$A$2:$A$2509,0,1)&lt;&gt;_xlfn.XMATCH(A598,$A$2:$A$2509,0,-1),FALSE)), "Código de barras duplicado", ""), IF(AND(E598&lt;&gt;"", COUNTIF($E$2:$E$2509, E598)&gt;1), "SKU duplicado", ""), IF(OR(J598="", J598=""), "[Aviso] División no capturada ()", IF(ISNA(MATCH(J598, Criterios!$A$123:$A$126, 0)), "División no válida", "")), IF(OR(K598="", K598=""), "[Aviso] Categoría no capturada ()", IF(ISNA(MATCH(K598, Criterios!$A$81:$A$120, 0)), "Categoría no válida", IF(AND(J598&lt;&gt;"", J598&lt;&gt;"", J598&lt;&gt;VLOOKUP(K598, Criterios!$A$81:$B$120, 2, FALSE)), "División no coincide con Categoría", ""))), IF(OR(L598="", L598=""), "[Aviso] Género no capturado ()", IF(ISNA(MATCH(L598, Criterios!$B$123:$B$127, 0)), "Género no válido", "")), IF(OR(N598="", N598=""), "[Aviso] Temporada no capturada ()", IF(ISNA(MATCH(N598, Criterios!$C$123:$C$128, 0)), "Temporada no válida", "")), IF(OR(O598="", O598=""), "[Aviso] Ciclo de vida no capturado ()", IF(ISNA(MATCH(O598, Criterios!$D$123:$D$124, 0)), "Ciclo de vida no válido", ""))))</f>
        <v/>
      </c>
      <c r="AC598" s="56" t="n"/>
      <c r="AD598" s="51" t="n">
        <v>0</v>
      </c>
      <c r="AE598" s="156" t="n"/>
      <c r="AF598" s="51" t="n">
        <v>0</v>
      </c>
      <c r="AG598" s="156" t="inlineStr">
        <is>
          <t>Catálogo existente</t>
        </is>
      </c>
      <c r="AH5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8" s="156" t="inlineStr">
        <is>
          <t>No</t>
        </is>
      </c>
      <c r="AJ598" s="156" t="n"/>
      <c r="AK598" s="155" t="inlineStr">
        <is>
          <t>Criterios: I [Q]; G1522_Extraccion_Articulos_NetSuite_2026-09-30.xlsx: fila 59175 [R] | Shopify Stetson: producto 15054564753771 / variante 53350557188459</t>
        </is>
      </c>
      <c r="AL598" s="58" t="n">
        <v>724.5599999999999</v>
      </c>
      <c r="AM598" s="58" t="n">
        <v>4224.137931</v>
      </c>
      <c r="AN598" s="155" t="inlineStr">
        <is>
          <t>Shopify Stetson México</t>
        </is>
      </c>
      <c r="AO598" s="59" t="n">
        <v>0</v>
      </c>
      <c r="AP598" s="59" t="n"/>
      <c r="AQ598" s="59" t="n"/>
      <c r="AR598" s="155" t="n"/>
    </row>
    <row r="599">
      <c r="A599" s="50" t="inlineStr">
        <is>
          <t>12021001121030023</t>
        </is>
      </c>
      <c r="B599" s="51" t="inlineStr">
        <is>
          <t>111501</t>
        </is>
      </c>
      <c r="C599" s="156" t="inlineStr">
        <is>
          <t>Multimarca</t>
        </is>
      </c>
      <c r="D599" s="156" t="inlineStr">
        <is>
          <t>12-021-BS001-12-1030</t>
        </is>
      </c>
      <c r="E599" s="156" t="inlineStr">
        <is>
          <t>12-021-BS001-12-1030-023</t>
        </is>
      </c>
      <c r="F599" s="156" t="inlineStr">
        <is>
          <t>23</t>
        </is>
      </c>
      <c r="G599" s="156" t="inlineStr">
        <is>
          <t>6</t>
        </is>
      </c>
      <c r="H599" s="156" t="inlineStr">
        <is>
          <t>Stetson</t>
        </is>
      </c>
      <c r="I599" s="156" t="inlineStr">
        <is>
          <t>Bota Piel Café</t>
        </is>
      </c>
      <c r="J599" s="156" t="inlineStr">
        <is>
          <t>Calzado</t>
        </is>
      </c>
      <c r="K599" s="156" t="inlineStr">
        <is>
          <t>Botas</t>
        </is>
      </c>
      <c r="L599" s="156" t="inlineStr">
        <is>
          <t>Mujer</t>
        </is>
      </c>
      <c r="M599" s="156" t="inlineStr">
        <is>
          <t>Stetson</t>
        </is>
      </c>
      <c r="N599" s="156" t="inlineStr">
        <is>
          <t>SS26</t>
        </is>
      </c>
      <c r="O599" s="156" t="inlineStr">
        <is>
          <t>Seasonal</t>
        </is>
      </c>
      <c r="P599" s="156" t="inlineStr">
        <is>
          <t>Cafe</t>
        </is>
      </c>
      <c r="Q599" s="156" t="n"/>
      <c r="R599" s="156" t="inlineStr">
        <is>
          <t>Horma Agatha</t>
        </is>
      </c>
      <c r="S599" s="156" t="inlineStr">
        <is>
          <t>Piel bovina</t>
        </is>
      </c>
      <c r="T599" s="156" t="inlineStr">
        <is>
          <t>Bota Dama Piel bovina Clayton Café Horma Agatha</t>
        </is>
      </c>
      <c r="U599" s="156" t="inlineStr">
        <is>
          <t>México</t>
        </is>
      </c>
      <c r="V599" s="156" t="inlineStr">
        <is>
          <t>PRS</t>
        </is>
      </c>
      <c r="W599" s="51" t="inlineStr">
        <is>
          <t>53111502</t>
        </is>
      </c>
      <c r="X599" s="156" t="n"/>
      <c r="Y599" s="54" t="n">
        <v>724.5599999999999</v>
      </c>
      <c r="Z599" s="54" t="n">
        <v>4224.137931</v>
      </c>
      <c r="AA599" s="55">
        <f>IF(AND(A599="", B599="", E599=""), "", IF(AB599="", "Válido", IF((LEN(AB599)-LEN(SUBSTITUTE(AB599,"; ","")))/2+1&gt;(LEN(AB599)-LEN(SUBSTITUTE(AB599,"[Aviso]","")))/7, "Con Incidencias", "Válido")))</f>
        <v/>
      </c>
      <c r="AB599" s="56">
        <f>IF(AND(A599="", B599="", E599=""), "", TEXTJOIN("; ", TRUE, IF(OR(TRIM(A599&amp;"")="", ISNUMBER(SEARCH("FALTA", A599))), "UPC faltante/inválido", ""), IF(AND(A599&lt;&gt;"", IFERROR(_xlfn.XMATCH(A599,$A$2:$A$2509,0,1)&lt;&gt;_xlfn.XMATCH(A599,$A$2:$A$2509,0,-1),FALSE)), "Código de barras duplicado", ""), IF(AND(E599&lt;&gt;"", COUNTIF($E$2:$E$2509, E599)&gt;1), "SKU duplicado", ""), IF(OR(J599="", J599=""), "[Aviso] División no capturada ()", IF(ISNA(MATCH(J599, Criterios!$A$123:$A$126, 0)), "División no válida", "")), IF(OR(K599="", K599=""), "[Aviso] Categoría no capturada ()", IF(ISNA(MATCH(K599, Criterios!$A$81:$A$120, 0)), "Categoría no válida", IF(AND(J599&lt;&gt;"", J599&lt;&gt;"", J599&lt;&gt;VLOOKUP(K599, Criterios!$A$81:$B$120, 2, FALSE)), "División no coincide con Categoría", ""))), IF(OR(L599="", L599=""), "[Aviso] Género no capturado ()", IF(ISNA(MATCH(L599, Criterios!$B$123:$B$127, 0)), "Género no válido", "")), IF(OR(N599="", N599=""), "[Aviso] Temporada no capturada ()", IF(ISNA(MATCH(N599, Criterios!$C$123:$C$128, 0)), "Temporada no válida", "")), IF(OR(O599="", O599=""), "[Aviso] Ciclo de vida no capturado ()", IF(ISNA(MATCH(O599, Criterios!$D$123:$D$124, 0)), "Ciclo de vida no válido", ""))))</f>
        <v/>
      </c>
      <c r="AC599" s="56" t="n"/>
      <c r="AD599" s="51" t="n">
        <v>0</v>
      </c>
      <c r="AE599" s="156" t="n"/>
      <c r="AF599" s="51" t="n">
        <v>0</v>
      </c>
      <c r="AG599" s="156" t="inlineStr">
        <is>
          <t>Catálogo existente</t>
        </is>
      </c>
      <c r="AH5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9" s="156" t="inlineStr">
        <is>
          <t>No</t>
        </is>
      </c>
      <c r="AJ599" s="156" t="n"/>
      <c r="AK599" s="155" t="inlineStr">
        <is>
          <t>Criterios: I [Q]; G1522_Extraccion_Articulos_NetSuite_2026-09-30.xlsx: fila 59176 [R] | Shopify Stetson: producto 15054564753771 / variante 53350557253995</t>
        </is>
      </c>
      <c r="AL599" s="58" t="n">
        <v>724.5599999999999</v>
      </c>
      <c r="AM599" s="58" t="n">
        <v>4224.137931</v>
      </c>
      <c r="AN599" s="155" t="inlineStr">
        <is>
          <t>Shopify Stetson México</t>
        </is>
      </c>
      <c r="AO599" s="59" t="n">
        <v>1</v>
      </c>
      <c r="AP599" s="59" t="n"/>
      <c r="AQ599" s="59" t="n"/>
      <c r="AR599" s="155" t="inlineStr">
        <is>
          <t>Shopify Stetson México › Stetson Americas: 1</t>
        </is>
      </c>
    </row>
    <row r="600">
      <c r="A600" s="50" t="inlineStr">
        <is>
          <t>12021001121030024</t>
        </is>
      </c>
      <c r="B600" s="51" t="inlineStr">
        <is>
          <t>111502</t>
        </is>
      </c>
      <c r="C600" s="156" t="inlineStr">
        <is>
          <t>Multimarca</t>
        </is>
      </c>
      <c r="D600" s="156" t="inlineStr">
        <is>
          <t>12-021-BS001-12-1030</t>
        </is>
      </c>
      <c r="E600" s="156" t="inlineStr">
        <is>
          <t>12-021-BS001-12-1030-024</t>
        </is>
      </c>
      <c r="F600" s="156" t="inlineStr">
        <is>
          <t>24</t>
        </is>
      </c>
      <c r="G600" s="156" t="inlineStr">
        <is>
          <t>7</t>
        </is>
      </c>
      <c r="H600" s="156" t="inlineStr">
        <is>
          <t>Stetson</t>
        </is>
      </c>
      <c r="I600" s="156" t="inlineStr">
        <is>
          <t>Bota Piel Café</t>
        </is>
      </c>
      <c r="J600" s="156" t="inlineStr">
        <is>
          <t>Calzado</t>
        </is>
      </c>
      <c r="K600" s="156" t="inlineStr">
        <is>
          <t>Botas</t>
        </is>
      </c>
      <c r="L600" s="156" t="inlineStr">
        <is>
          <t>Mujer</t>
        </is>
      </c>
      <c r="M600" s="156" t="inlineStr">
        <is>
          <t>Stetson</t>
        </is>
      </c>
      <c r="N600" s="156" t="inlineStr">
        <is>
          <t>SS26</t>
        </is>
      </c>
      <c r="O600" s="156" t="inlineStr">
        <is>
          <t>Seasonal</t>
        </is>
      </c>
      <c r="P600" s="156" t="inlineStr">
        <is>
          <t>Cafe</t>
        </is>
      </c>
      <c r="Q600" s="156" t="n"/>
      <c r="R600" s="156" t="inlineStr">
        <is>
          <t>Horma Agatha</t>
        </is>
      </c>
      <c r="S600" s="156" t="inlineStr">
        <is>
          <t>Piel bovina</t>
        </is>
      </c>
      <c r="T600" s="156" t="inlineStr">
        <is>
          <t>Bota Dama Piel bovina Clayton Café Horma Agatha</t>
        </is>
      </c>
      <c r="U600" s="156" t="inlineStr">
        <is>
          <t>México</t>
        </is>
      </c>
      <c r="V600" s="156" t="inlineStr">
        <is>
          <t>PRS</t>
        </is>
      </c>
      <c r="W600" s="51" t="inlineStr">
        <is>
          <t>53111502</t>
        </is>
      </c>
      <c r="X600" s="156" t="n"/>
      <c r="Y600" s="54" t="n">
        <v>724.5599999999999</v>
      </c>
      <c r="Z600" s="54" t="n">
        <v>4224.137931</v>
      </c>
      <c r="AA600" s="55">
        <f>IF(AND(A600="", B600="", E600=""), "", IF(AB600="", "Válido", IF((LEN(AB600)-LEN(SUBSTITUTE(AB600,"; ","")))/2+1&gt;(LEN(AB600)-LEN(SUBSTITUTE(AB600,"[Aviso]","")))/7, "Con Incidencias", "Válido")))</f>
        <v/>
      </c>
      <c r="AB600" s="56">
        <f>IF(AND(A600="", B600="", E600=""), "", TEXTJOIN("; ", TRUE, IF(OR(TRIM(A600&amp;"")="", ISNUMBER(SEARCH("FALTA", A600))), "UPC faltante/inválido", ""), IF(AND(A600&lt;&gt;"", IFERROR(_xlfn.XMATCH(A600,$A$2:$A$2509,0,1)&lt;&gt;_xlfn.XMATCH(A600,$A$2:$A$2509,0,-1),FALSE)), "Código de barras duplicado", ""), IF(AND(E600&lt;&gt;"", COUNTIF($E$2:$E$2509, E600)&gt;1), "SKU duplicado", ""), IF(OR(J600="", J600=""), "[Aviso] División no capturada ()", IF(ISNA(MATCH(J600, Criterios!$A$123:$A$126, 0)), "División no válida", "")), IF(OR(K600="", K600=""), "[Aviso] Categoría no capturada ()", IF(ISNA(MATCH(K600, Criterios!$A$81:$A$120, 0)), "Categoría no válida", IF(AND(J600&lt;&gt;"", J600&lt;&gt;"", J600&lt;&gt;VLOOKUP(K600, Criterios!$A$81:$B$120, 2, FALSE)), "División no coincide con Categoría", ""))), IF(OR(L600="", L600=""), "[Aviso] Género no capturado ()", IF(ISNA(MATCH(L600, Criterios!$B$123:$B$127, 0)), "Género no válido", "")), IF(OR(N600="", N600=""), "[Aviso] Temporada no capturada ()", IF(ISNA(MATCH(N600, Criterios!$C$123:$C$128, 0)), "Temporada no válida", "")), IF(OR(O600="", O600=""), "[Aviso] Ciclo de vida no capturado ()", IF(ISNA(MATCH(O600, Criterios!$D$123:$D$124, 0)), "Ciclo de vida no válido", ""))))</f>
        <v/>
      </c>
      <c r="AC600" s="56" t="n"/>
      <c r="AD600" s="51" t="n">
        <v>-2</v>
      </c>
      <c r="AE600" s="156" t="n"/>
      <c r="AF600" s="51" t="n">
        <v>0</v>
      </c>
      <c r="AG600" s="156" t="inlineStr">
        <is>
          <t>Catálogo existente</t>
        </is>
      </c>
      <c r="AH6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0" s="156" t="inlineStr">
        <is>
          <t>Sí</t>
        </is>
      </c>
      <c r="AJ600" s="156" t="inlineStr">
        <is>
          <t>STETSON AMERICAS (-2)</t>
        </is>
      </c>
      <c r="AK600" s="155" t="inlineStr">
        <is>
          <t>Criterios: I [Q]; G1522_Extraccion_Articulos_NetSuite_2026-09-30.xlsx: fila 59177 [R] | Shopify Stetson: producto 15054564753771 / variante 53350557319531</t>
        </is>
      </c>
      <c r="AL600" s="58" t="n">
        <v>724.5599999999999</v>
      </c>
      <c r="AM600" s="58" t="n">
        <v>4224.137931</v>
      </c>
      <c r="AN600" s="155" t="inlineStr">
        <is>
          <t>Shopify Stetson México</t>
        </is>
      </c>
      <c r="AO600" s="59" t="n">
        <v>0</v>
      </c>
      <c r="AP600" s="59" t="n"/>
      <c r="AQ600" s="59" t="n"/>
      <c r="AR600" s="155" t="n"/>
    </row>
    <row r="601">
      <c r="A601" s="50" t="inlineStr">
        <is>
          <t>12021001121030025</t>
        </is>
      </c>
      <c r="B601" s="51" t="inlineStr">
        <is>
          <t>111503</t>
        </is>
      </c>
      <c r="C601" s="156" t="inlineStr">
        <is>
          <t>Multimarca</t>
        </is>
      </c>
      <c r="D601" s="156" t="inlineStr">
        <is>
          <t>12-021-BS001-12-1030</t>
        </is>
      </c>
      <c r="E601" s="156" t="inlineStr">
        <is>
          <t>12-021-BS001-12-1030-025</t>
        </is>
      </c>
      <c r="F601" s="156" t="inlineStr">
        <is>
          <t>25</t>
        </is>
      </c>
      <c r="G601" s="156" t="inlineStr">
        <is>
          <t>8</t>
        </is>
      </c>
      <c r="H601" s="156" t="inlineStr">
        <is>
          <t>Stetson</t>
        </is>
      </c>
      <c r="I601" s="156" t="inlineStr">
        <is>
          <t>Bota Piel Café</t>
        </is>
      </c>
      <c r="J601" s="156" t="inlineStr">
        <is>
          <t>Calzado</t>
        </is>
      </c>
      <c r="K601" s="156" t="inlineStr">
        <is>
          <t>Botas</t>
        </is>
      </c>
      <c r="L601" s="156" t="inlineStr">
        <is>
          <t>Mujer</t>
        </is>
      </c>
      <c r="M601" s="156" t="inlineStr">
        <is>
          <t>Stetson</t>
        </is>
      </c>
      <c r="N601" s="156" t="inlineStr">
        <is>
          <t>SS26</t>
        </is>
      </c>
      <c r="O601" s="156" t="inlineStr">
        <is>
          <t>Seasonal</t>
        </is>
      </c>
      <c r="P601" s="156" t="inlineStr">
        <is>
          <t>Cafe</t>
        </is>
      </c>
      <c r="Q601" s="156" t="n"/>
      <c r="R601" s="156" t="inlineStr">
        <is>
          <t>Horma Agatha</t>
        </is>
      </c>
      <c r="S601" s="156" t="inlineStr">
        <is>
          <t>Piel bovina</t>
        </is>
      </c>
      <c r="T601" s="156" t="inlineStr">
        <is>
          <t>Bota Dama Piel bovina Clayton Café Horma Agatha</t>
        </is>
      </c>
      <c r="U601" s="156" t="inlineStr">
        <is>
          <t>México</t>
        </is>
      </c>
      <c r="V601" s="156" t="inlineStr">
        <is>
          <t>PRS</t>
        </is>
      </c>
      <c r="W601" s="51" t="inlineStr">
        <is>
          <t>53111502</t>
        </is>
      </c>
      <c r="X601" s="156" t="n"/>
      <c r="Y601" s="54" t="n">
        <v>724.5599999999999</v>
      </c>
      <c r="Z601" s="54" t="n">
        <v>4224.137931</v>
      </c>
      <c r="AA601" s="55">
        <f>IF(AND(A601="", B601="", E601=""), "", IF(AB601="", "Válido", IF((LEN(AB601)-LEN(SUBSTITUTE(AB601,"; ","")))/2+1&gt;(LEN(AB601)-LEN(SUBSTITUTE(AB601,"[Aviso]","")))/7, "Con Incidencias", "Válido")))</f>
        <v/>
      </c>
      <c r="AB601" s="56">
        <f>IF(AND(A601="", B601="", E601=""), "", TEXTJOIN("; ", TRUE, IF(OR(TRIM(A601&amp;"")="", ISNUMBER(SEARCH("FALTA", A601))), "UPC faltante/inválido", ""), IF(AND(A601&lt;&gt;"", IFERROR(_xlfn.XMATCH(A601,$A$2:$A$2509,0,1)&lt;&gt;_xlfn.XMATCH(A601,$A$2:$A$2509,0,-1),FALSE)), "Código de barras duplicado", ""), IF(AND(E601&lt;&gt;"", COUNTIF($E$2:$E$2509, E601)&gt;1), "SKU duplicado", ""), IF(OR(J601="", J601=""), "[Aviso] División no capturada ()", IF(ISNA(MATCH(J601, Criterios!$A$123:$A$126, 0)), "División no válida", "")), IF(OR(K601="", K601=""), "[Aviso] Categoría no capturada ()", IF(ISNA(MATCH(K601, Criterios!$A$81:$A$120, 0)), "Categoría no válida", IF(AND(J601&lt;&gt;"", J601&lt;&gt;"", J601&lt;&gt;VLOOKUP(K601, Criterios!$A$81:$B$120, 2, FALSE)), "División no coincide con Categoría", ""))), IF(OR(L601="", L601=""), "[Aviso] Género no capturado ()", IF(ISNA(MATCH(L601, Criterios!$B$123:$B$127, 0)), "Género no válido", "")), IF(OR(N601="", N601=""), "[Aviso] Temporada no capturada ()", IF(ISNA(MATCH(N601, Criterios!$C$123:$C$128, 0)), "Temporada no válida", "")), IF(OR(O601="", O601=""), "[Aviso] Ciclo de vida no capturado ()", IF(ISNA(MATCH(O601, Criterios!$D$123:$D$124, 0)), "Ciclo de vida no válido", ""))))</f>
        <v/>
      </c>
      <c r="AC601" s="56" t="n"/>
      <c r="AD601" s="51" t="n">
        <v>-2</v>
      </c>
      <c r="AE601" s="156" t="n"/>
      <c r="AF601" s="51" t="n">
        <v>0</v>
      </c>
      <c r="AG601" s="156" t="inlineStr">
        <is>
          <t>Catálogo existente</t>
        </is>
      </c>
      <c r="AH6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1" s="156" t="inlineStr">
        <is>
          <t>Sí</t>
        </is>
      </c>
      <c r="AJ601" s="156" t="inlineStr">
        <is>
          <t>STETSON AMERICAS (-2)</t>
        </is>
      </c>
      <c r="AK601" s="155" t="inlineStr">
        <is>
          <t>Criterios: I [Q]; G1522_Extraccion_Articulos_NetSuite_2026-09-30.xlsx: fila 59178 [R] | Shopify Stetson: producto 15054564753771 / variante 53350557385067</t>
        </is>
      </c>
      <c r="AL601" s="58" t="n">
        <v>724.5599999999999</v>
      </c>
      <c r="AM601" s="58" t="n">
        <v>4224.137931</v>
      </c>
      <c r="AN601" s="155" t="inlineStr">
        <is>
          <t>Shopify Stetson México</t>
        </is>
      </c>
      <c r="AO601" s="59" t="n">
        <v>0</v>
      </c>
      <c r="AP601" s="59" t="n"/>
      <c r="AQ601" s="59" t="n"/>
      <c r="AR601" s="155" t="n"/>
    </row>
    <row r="602">
      <c r="A602" s="50" t="inlineStr">
        <is>
          <t>12021001121030026</t>
        </is>
      </c>
      <c r="B602" s="51" t="inlineStr">
        <is>
          <t>111495</t>
        </is>
      </c>
      <c r="C602" s="156" t="inlineStr">
        <is>
          <t>Multimarca</t>
        </is>
      </c>
      <c r="D602" s="156" t="inlineStr">
        <is>
          <t>12-021-BS001-12-1030</t>
        </is>
      </c>
      <c r="E602" s="156" t="inlineStr">
        <is>
          <t>12-021-BS001-12-1030-026</t>
        </is>
      </c>
      <c r="F602" s="156" t="inlineStr">
        <is>
          <t>26</t>
        </is>
      </c>
      <c r="G602" s="156" t="inlineStr">
        <is>
          <t>9</t>
        </is>
      </c>
      <c r="H602" s="156" t="inlineStr">
        <is>
          <t>Stetson</t>
        </is>
      </c>
      <c r="I602" s="156" t="inlineStr">
        <is>
          <t>Bota Piel Café</t>
        </is>
      </c>
      <c r="J602" s="156" t="inlineStr">
        <is>
          <t>Calzado</t>
        </is>
      </c>
      <c r="K602" s="156" t="inlineStr">
        <is>
          <t>Botas</t>
        </is>
      </c>
      <c r="L602" s="156" t="inlineStr">
        <is>
          <t>Mujer</t>
        </is>
      </c>
      <c r="M602" s="156" t="inlineStr">
        <is>
          <t>Stetson</t>
        </is>
      </c>
      <c r="N602" s="156" t="inlineStr">
        <is>
          <t>SS26</t>
        </is>
      </c>
      <c r="O602" s="156" t="inlineStr">
        <is>
          <t>Seasonal</t>
        </is>
      </c>
      <c r="P602" s="156" t="inlineStr">
        <is>
          <t>Cafe</t>
        </is>
      </c>
      <c r="Q602" s="156" t="n"/>
      <c r="R602" s="156" t="inlineStr">
        <is>
          <t>Horma Agatha</t>
        </is>
      </c>
      <c r="S602" s="156" t="inlineStr">
        <is>
          <t>Piel bovina</t>
        </is>
      </c>
      <c r="T602" s="156" t="inlineStr">
        <is>
          <t>Bota Dama Piel bovina Clayton Café Horma Agatha</t>
        </is>
      </c>
      <c r="U602" s="156" t="inlineStr">
        <is>
          <t>México</t>
        </is>
      </c>
      <c r="V602" s="156" t="inlineStr">
        <is>
          <t>PRS</t>
        </is>
      </c>
      <c r="W602" s="51" t="inlineStr">
        <is>
          <t>53111502</t>
        </is>
      </c>
      <c r="X602" s="156" t="n"/>
      <c r="Y602" s="54" t="n">
        <v>724.5599999999999</v>
      </c>
      <c r="Z602" s="54" t="n">
        <v>4224.137931</v>
      </c>
      <c r="AA602" s="55">
        <f>IF(AND(A602="", B602="", E602=""), "", IF(AB602="", "Válido", IF((LEN(AB602)-LEN(SUBSTITUTE(AB602,"; ","")))/2+1&gt;(LEN(AB602)-LEN(SUBSTITUTE(AB602,"[Aviso]","")))/7, "Con Incidencias", "Válido")))</f>
        <v/>
      </c>
      <c r="AB602" s="56">
        <f>IF(AND(A602="", B602="", E602=""), "", TEXTJOIN("; ", TRUE, IF(OR(TRIM(A602&amp;"")="", ISNUMBER(SEARCH("FALTA", A602))), "UPC faltante/inválido", ""), IF(AND(A602&lt;&gt;"", IFERROR(_xlfn.XMATCH(A602,$A$2:$A$2509,0,1)&lt;&gt;_xlfn.XMATCH(A602,$A$2:$A$2509,0,-1),FALSE)), "Código de barras duplicado", ""), IF(AND(E602&lt;&gt;"", COUNTIF($E$2:$E$2509, E602)&gt;1), "SKU duplicado", ""), IF(OR(J602="", J602=""), "[Aviso] División no capturada ()", IF(ISNA(MATCH(J602, Criterios!$A$123:$A$126, 0)), "División no válida", "")), IF(OR(K602="", K602=""), "[Aviso] Categoría no capturada ()", IF(ISNA(MATCH(K602, Criterios!$A$81:$A$120, 0)), "Categoría no válida", IF(AND(J602&lt;&gt;"", J602&lt;&gt;"", J602&lt;&gt;VLOOKUP(K602, Criterios!$A$81:$B$120, 2, FALSE)), "División no coincide con Categoría", ""))), IF(OR(L602="", L602=""), "[Aviso] Género no capturado ()", IF(ISNA(MATCH(L602, Criterios!$B$123:$B$127, 0)), "Género no válido", "")), IF(OR(N602="", N602=""), "[Aviso] Temporada no capturada ()", IF(ISNA(MATCH(N602, Criterios!$C$123:$C$128, 0)), "Temporada no válida", "")), IF(OR(O602="", O602=""), "[Aviso] Ciclo de vida no capturado ()", IF(ISNA(MATCH(O602, Criterios!$D$123:$D$124, 0)), "Ciclo de vida no válido", ""))))</f>
        <v/>
      </c>
      <c r="AC602" s="56" t="n"/>
      <c r="AD602" s="51" t="n">
        <v>-1</v>
      </c>
      <c r="AE602" s="156" t="n"/>
      <c r="AF602" s="51" t="n">
        <v>0</v>
      </c>
      <c r="AG602" s="156" t="inlineStr">
        <is>
          <t>Catálogo existente</t>
        </is>
      </c>
      <c r="AH602"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2" s="156" t="inlineStr">
        <is>
          <t>Sí</t>
        </is>
      </c>
      <c r="AJ602" s="156" t="inlineStr">
        <is>
          <t>STETSON AMERICAS (-1)</t>
        </is>
      </c>
      <c r="AK602" s="155" t="inlineStr">
        <is>
          <t>Criterios: I [Q]; G1522_Extraccion_Articulos_NetSuite_2026-09-30.xlsx: fila 59170 [R]</t>
        </is>
      </c>
      <c r="AL602" s="58" t="n">
        <v>724.5599999999999</v>
      </c>
      <c r="AM602" s="58" t="n">
        <v>4224.137931</v>
      </c>
      <c r="AN602" s="155" t="n"/>
      <c r="AO602" s="59" t="n"/>
      <c r="AP602" s="59" t="n"/>
      <c r="AQ602" s="59" t="n"/>
      <c r="AR602" s="155" t="n"/>
    </row>
    <row r="603">
      <c r="A603" s="50" t="inlineStr">
        <is>
          <t>12021001121030027</t>
        </is>
      </c>
      <c r="B603" s="51" t="inlineStr">
        <is>
          <t>111496</t>
        </is>
      </c>
      <c r="C603" s="156" t="inlineStr">
        <is>
          <t>Multimarca</t>
        </is>
      </c>
      <c r="D603" s="156" t="inlineStr">
        <is>
          <t>12-021-BS001-12-1030</t>
        </is>
      </c>
      <c r="E603" s="156" t="inlineStr">
        <is>
          <t>12-021-BS001-12-1030-027</t>
        </is>
      </c>
      <c r="F603" s="156" t="inlineStr">
        <is>
          <t>27</t>
        </is>
      </c>
      <c r="G603" s="156" t="inlineStr">
        <is>
          <t>10</t>
        </is>
      </c>
      <c r="H603" s="156" t="inlineStr">
        <is>
          <t>Stetson</t>
        </is>
      </c>
      <c r="I603" s="156" t="inlineStr">
        <is>
          <t>Bota Piel Café</t>
        </is>
      </c>
      <c r="J603" s="156" t="inlineStr">
        <is>
          <t>Calzado</t>
        </is>
      </c>
      <c r="K603" s="156" t="inlineStr">
        <is>
          <t>Botas</t>
        </is>
      </c>
      <c r="L603" s="156" t="inlineStr">
        <is>
          <t>Mujer</t>
        </is>
      </c>
      <c r="M603" s="156" t="inlineStr">
        <is>
          <t>Stetson</t>
        </is>
      </c>
      <c r="N603" s="156" t="inlineStr">
        <is>
          <t>SS26</t>
        </is>
      </c>
      <c r="O603" s="156" t="inlineStr">
        <is>
          <t>Seasonal</t>
        </is>
      </c>
      <c r="P603" s="156" t="inlineStr">
        <is>
          <t>Cafe</t>
        </is>
      </c>
      <c r="Q603" s="156" t="n"/>
      <c r="R603" s="156" t="inlineStr">
        <is>
          <t>Horma Agatha</t>
        </is>
      </c>
      <c r="S603" s="156" t="inlineStr">
        <is>
          <t>Piel bovina</t>
        </is>
      </c>
      <c r="T603" s="156" t="inlineStr">
        <is>
          <t>Bota Dama Piel bovina Clayton Café Horma Agatha</t>
        </is>
      </c>
      <c r="U603" s="156" t="inlineStr">
        <is>
          <t>México</t>
        </is>
      </c>
      <c r="V603" s="156" t="inlineStr">
        <is>
          <t>PRS</t>
        </is>
      </c>
      <c r="W603" s="51" t="inlineStr">
        <is>
          <t>53111502</t>
        </is>
      </c>
      <c r="X603" s="156" t="n"/>
      <c r="Y603" s="54" t="n">
        <v>724.5599999999999</v>
      </c>
      <c r="Z603" s="54" t="n">
        <v>4224.137931</v>
      </c>
      <c r="AA603" s="55">
        <f>IF(AND(A603="", B603="", E603=""), "", IF(AB603="", "Válido", IF((LEN(AB603)-LEN(SUBSTITUTE(AB603,"; ","")))/2+1&gt;(LEN(AB603)-LEN(SUBSTITUTE(AB603,"[Aviso]","")))/7, "Con Incidencias", "Válido")))</f>
        <v/>
      </c>
      <c r="AB603" s="56">
        <f>IF(AND(A603="", B603="", E603=""), "", TEXTJOIN("; ", TRUE, IF(OR(TRIM(A603&amp;"")="", ISNUMBER(SEARCH("FALTA", A603))), "UPC faltante/inválido", ""), IF(AND(A603&lt;&gt;"", IFERROR(_xlfn.XMATCH(A603,$A$2:$A$2509,0,1)&lt;&gt;_xlfn.XMATCH(A603,$A$2:$A$2509,0,-1),FALSE)), "Código de barras duplicado", ""), IF(AND(E603&lt;&gt;"", COUNTIF($E$2:$E$2509, E603)&gt;1), "SKU duplicado", ""), IF(OR(J603="", J603=""), "[Aviso] División no capturada ()", IF(ISNA(MATCH(J603, Criterios!$A$123:$A$126, 0)), "División no válida", "")), IF(OR(K603="", K603=""), "[Aviso] Categoría no capturada ()", IF(ISNA(MATCH(K603, Criterios!$A$81:$A$120, 0)), "Categoría no válida", IF(AND(J603&lt;&gt;"", J603&lt;&gt;"", J603&lt;&gt;VLOOKUP(K603, Criterios!$A$81:$B$120, 2, FALSE)), "División no coincide con Categoría", ""))), IF(OR(L603="", L603=""), "[Aviso] Género no capturado ()", IF(ISNA(MATCH(L603, Criterios!$B$123:$B$127, 0)), "Género no válido", "")), IF(OR(N603="", N603=""), "[Aviso] Temporada no capturada ()", IF(ISNA(MATCH(N603, Criterios!$C$123:$C$128, 0)), "Temporada no válida", "")), IF(OR(O603="", O603=""), "[Aviso] Ciclo de vida no capturado ()", IF(ISNA(MATCH(O603, Criterios!$D$123:$D$124, 0)), "Ciclo de vida no válido", ""))))</f>
        <v/>
      </c>
      <c r="AC603" s="56" t="n"/>
      <c r="AD603" s="51" t="n">
        <v>0</v>
      </c>
      <c r="AE603" s="156" t="n"/>
      <c r="AF603" s="51" t="n">
        <v>0</v>
      </c>
      <c r="AG603" s="156" t="inlineStr">
        <is>
          <t>Catálogo existente</t>
        </is>
      </c>
      <c r="AH60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3" s="156" t="inlineStr">
        <is>
          <t>No</t>
        </is>
      </c>
      <c r="AJ603" s="156" t="n"/>
      <c r="AK603" s="155" t="inlineStr">
        <is>
          <t>Criterios: I [Q]; G1522_Extraccion_Articulos_NetSuite_2026-09-30.xlsx: fila 59171 [R]</t>
        </is>
      </c>
      <c r="AL603" s="58" t="n">
        <v>724.5599999999999</v>
      </c>
      <c r="AM603" s="58" t="n">
        <v>4224.137931</v>
      </c>
      <c r="AN603" s="155" t="n"/>
      <c r="AO603" s="59" t="n"/>
      <c r="AP603" s="59" t="n"/>
      <c r="AQ603" s="59" t="n"/>
      <c r="AR603" s="155" t="n"/>
    </row>
    <row r="604">
      <c r="A604" s="50" t="inlineStr">
        <is>
          <t>12021001121030225</t>
        </is>
      </c>
      <c r="B604" s="51" t="inlineStr">
        <is>
          <t>111504</t>
        </is>
      </c>
      <c r="C604" s="156" t="inlineStr">
        <is>
          <t>Multimarca</t>
        </is>
      </c>
      <c r="D604" s="156" t="inlineStr">
        <is>
          <t>12-021-BS001-12-1030</t>
        </is>
      </c>
      <c r="E604" s="156" t="inlineStr">
        <is>
          <t>12-021-BS001-12-1030-225</t>
        </is>
      </c>
      <c r="F604" s="156" t="inlineStr">
        <is>
          <t>22.5</t>
        </is>
      </c>
      <c r="G604" s="156" t="inlineStr">
        <is>
          <t>5.5</t>
        </is>
      </c>
      <c r="H604" s="156" t="inlineStr">
        <is>
          <t>Stetson</t>
        </is>
      </c>
      <c r="I604" s="156" t="inlineStr">
        <is>
          <t>Bota Piel Café</t>
        </is>
      </c>
      <c r="J604" s="156" t="inlineStr">
        <is>
          <t>Calzado</t>
        </is>
      </c>
      <c r="K604" s="156" t="inlineStr">
        <is>
          <t>Botas</t>
        </is>
      </c>
      <c r="L604" s="156" t="inlineStr">
        <is>
          <t>Mujer</t>
        </is>
      </c>
      <c r="M604" s="156" t="inlineStr">
        <is>
          <t>Stetson</t>
        </is>
      </c>
      <c r="N604" s="156" t="inlineStr">
        <is>
          <t>SS26</t>
        </is>
      </c>
      <c r="O604" s="156" t="inlineStr">
        <is>
          <t>Seasonal</t>
        </is>
      </c>
      <c r="P604" s="156" t="inlineStr">
        <is>
          <t>Cafe</t>
        </is>
      </c>
      <c r="Q604" s="156" t="n"/>
      <c r="R604" s="156" t="inlineStr">
        <is>
          <t>Horma Agatha</t>
        </is>
      </c>
      <c r="S604" s="156" t="inlineStr">
        <is>
          <t>Piel bovina</t>
        </is>
      </c>
      <c r="T604" s="156" t="inlineStr">
        <is>
          <t>Bota Dama Piel bovina Clayton Café Horma Agatha</t>
        </is>
      </c>
      <c r="U604" s="156" t="inlineStr">
        <is>
          <t>México</t>
        </is>
      </c>
      <c r="V604" s="156" t="inlineStr">
        <is>
          <t>PRS</t>
        </is>
      </c>
      <c r="W604" s="51" t="inlineStr">
        <is>
          <t>53111502</t>
        </is>
      </c>
      <c r="X604" s="156" t="n"/>
      <c r="Y604" s="54" t="n">
        <v>724.5599999999999</v>
      </c>
      <c r="Z604" s="54" t="n">
        <v>4224.137931</v>
      </c>
      <c r="AA604" s="55">
        <f>IF(AND(A604="", B604="", E604=""), "", IF(AB604="", "Válido", IF((LEN(AB604)-LEN(SUBSTITUTE(AB604,"; ","")))/2+1&gt;(LEN(AB604)-LEN(SUBSTITUTE(AB604,"[Aviso]","")))/7, "Con Incidencias", "Válido")))</f>
        <v/>
      </c>
      <c r="AB604" s="56">
        <f>IF(AND(A604="", B604="", E604=""), "", TEXTJOIN("; ", TRUE, IF(OR(TRIM(A604&amp;"")="", ISNUMBER(SEARCH("FALTA", A604))), "UPC faltante/inválido", ""), IF(AND(A604&lt;&gt;"", IFERROR(_xlfn.XMATCH(A604,$A$2:$A$2509,0,1)&lt;&gt;_xlfn.XMATCH(A604,$A$2:$A$2509,0,-1),FALSE)), "Código de barras duplicado", ""), IF(AND(E604&lt;&gt;"", COUNTIF($E$2:$E$2509, E604)&gt;1), "SKU duplicado", ""), IF(OR(J604="", J604=""), "[Aviso] División no capturada ()", IF(ISNA(MATCH(J604, Criterios!$A$123:$A$126, 0)), "División no válida", "")), IF(OR(K604="", K604=""), "[Aviso] Categoría no capturada ()", IF(ISNA(MATCH(K604, Criterios!$A$81:$A$120, 0)), "Categoría no válida", IF(AND(J604&lt;&gt;"", J604&lt;&gt;"", J604&lt;&gt;VLOOKUP(K604, Criterios!$A$81:$B$120, 2, FALSE)), "División no coincide con Categoría", ""))), IF(OR(L604="", L604=""), "[Aviso] Género no capturado ()", IF(ISNA(MATCH(L604, Criterios!$B$123:$B$127, 0)), "Género no válido", "")), IF(OR(N604="", N604=""), "[Aviso] Temporada no capturada ()", IF(ISNA(MATCH(N604, Criterios!$C$123:$C$128, 0)), "Temporada no válida", "")), IF(OR(O604="", O604=""), "[Aviso] Ciclo de vida no capturado ()", IF(ISNA(MATCH(O604, Criterios!$D$123:$D$124, 0)), "Ciclo de vida no válido", ""))))</f>
        <v/>
      </c>
      <c r="AC604" s="56" t="n"/>
      <c r="AD604" s="51" t="n">
        <v>0</v>
      </c>
      <c r="AE604" s="156" t="n"/>
      <c r="AF604" s="51" t="n">
        <v>0</v>
      </c>
      <c r="AG604" s="156" t="inlineStr">
        <is>
          <t>Catálogo existente</t>
        </is>
      </c>
      <c r="AH6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4" s="156" t="inlineStr">
        <is>
          <t>No</t>
        </is>
      </c>
      <c r="AJ604" s="156" t="n"/>
      <c r="AK604" s="155" t="inlineStr">
        <is>
          <t>Criterios: I [Q]; G1522_Extraccion_Articulos_NetSuite_2026-09-30.xlsx: fila 59179 [R] | Shopify Stetson: producto 15054564753771 / variante 53350557221227</t>
        </is>
      </c>
      <c r="AL604" s="58" t="n">
        <v>724.5599999999999</v>
      </c>
      <c r="AM604" s="58" t="n">
        <v>4224.137931</v>
      </c>
      <c r="AN604" s="155" t="inlineStr">
        <is>
          <t>Shopify Stetson México</t>
        </is>
      </c>
      <c r="AO604" s="59" t="n">
        <v>0</v>
      </c>
      <c r="AP604" s="59" t="n"/>
      <c r="AQ604" s="59" t="n"/>
      <c r="AR604" s="155" t="n"/>
    </row>
    <row r="605">
      <c r="A605" s="50" t="inlineStr">
        <is>
          <t>12021001121030235</t>
        </is>
      </c>
      <c r="B605" s="51" t="inlineStr">
        <is>
          <t>111505</t>
        </is>
      </c>
      <c r="C605" s="156" t="inlineStr">
        <is>
          <t>Multimarca</t>
        </is>
      </c>
      <c r="D605" s="156" t="inlineStr">
        <is>
          <t>12-021-BS001-12-1030</t>
        </is>
      </c>
      <c r="E605" s="156" t="inlineStr">
        <is>
          <t>12-021-BS001-12-1030-235</t>
        </is>
      </c>
      <c r="F605" s="156" t="inlineStr">
        <is>
          <t>23.5</t>
        </is>
      </c>
      <c r="G605" s="156" t="inlineStr">
        <is>
          <t>6.5</t>
        </is>
      </c>
      <c r="H605" s="156" t="inlineStr">
        <is>
          <t>Stetson</t>
        </is>
      </c>
      <c r="I605" s="156" t="inlineStr">
        <is>
          <t>Bota Piel Café</t>
        </is>
      </c>
      <c r="J605" s="156" t="inlineStr">
        <is>
          <t>Calzado</t>
        </is>
      </c>
      <c r="K605" s="156" t="inlineStr">
        <is>
          <t>Botas</t>
        </is>
      </c>
      <c r="L605" s="156" t="inlineStr">
        <is>
          <t>Mujer</t>
        </is>
      </c>
      <c r="M605" s="156" t="inlineStr">
        <is>
          <t>Stetson</t>
        </is>
      </c>
      <c r="N605" s="156" t="inlineStr">
        <is>
          <t>SS26</t>
        </is>
      </c>
      <c r="O605" s="156" t="inlineStr">
        <is>
          <t>Seasonal</t>
        </is>
      </c>
      <c r="P605" s="156" t="inlineStr">
        <is>
          <t>Cafe</t>
        </is>
      </c>
      <c r="Q605" s="156" t="n"/>
      <c r="R605" s="156" t="inlineStr">
        <is>
          <t>Horma Agatha</t>
        </is>
      </c>
      <c r="S605" s="156" t="inlineStr">
        <is>
          <t>Piel bovina</t>
        </is>
      </c>
      <c r="T605" s="156" t="inlineStr">
        <is>
          <t>Bota Dama Piel bovina Clayton Café Horma Agatha</t>
        </is>
      </c>
      <c r="U605" s="156" t="inlineStr">
        <is>
          <t>México</t>
        </is>
      </c>
      <c r="V605" s="156" t="inlineStr">
        <is>
          <t>PRS</t>
        </is>
      </c>
      <c r="W605" s="51" t="inlineStr">
        <is>
          <t>53111502</t>
        </is>
      </c>
      <c r="X605" s="156" t="n"/>
      <c r="Y605" s="54" t="n">
        <v>724.5599999999999</v>
      </c>
      <c r="Z605" s="54" t="n">
        <v>4224.137931</v>
      </c>
      <c r="AA605" s="55">
        <f>IF(AND(A605="", B605="", E605=""), "", IF(AB605="", "Válido", IF((LEN(AB605)-LEN(SUBSTITUTE(AB605,"; ","")))/2+1&gt;(LEN(AB605)-LEN(SUBSTITUTE(AB605,"[Aviso]","")))/7, "Con Incidencias", "Válido")))</f>
        <v/>
      </c>
      <c r="AB605" s="56">
        <f>IF(AND(A605="", B605="", E605=""), "", TEXTJOIN("; ", TRUE, IF(OR(TRIM(A605&amp;"")="", ISNUMBER(SEARCH("FALTA", A605))), "UPC faltante/inválido", ""), IF(AND(A605&lt;&gt;"", IFERROR(_xlfn.XMATCH(A605,$A$2:$A$2509,0,1)&lt;&gt;_xlfn.XMATCH(A605,$A$2:$A$2509,0,-1),FALSE)), "Código de barras duplicado", ""), IF(AND(E605&lt;&gt;"", COUNTIF($E$2:$E$2509, E605)&gt;1), "SKU duplicado", ""), IF(OR(J605="", J605=""), "[Aviso] División no capturada ()", IF(ISNA(MATCH(J605, Criterios!$A$123:$A$126, 0)), "División no válida", "")), IF(OR(K605="", K605=""), "[Aviso] Categoría no capturada ()", IF(ISNA(MATCH(K605, Criterios!$A$81:$A$120, 0)), "Categoría no válida", IF(AND(J605&lt;&gt;"", J605&lt;&gt;"", J605&lt;&gt;VLOOKUP(K605, Criterios!$A$81:$B$120, 2, FALSE)), "División no coincide con Categoría", ""))), IF(OR(L605="", L605=""), "[Aviso] Género no capturado ()", IF(ISNA(MATCH(L605, Criterios!$B$123:$B$127, 0)), "Género no válido", "")), IF(OR(N605="", N605=""), "[Aviso] Temporada no capturada ()", IF(ISNA(MATCH(N605, Criterios!$C$123:$C$128, 0)), "Temporada no válida", "")), IF(OR(O605="", O605=""), "[Aviso] Ciclo de vida no capturado ()", IF(ISNA(MATCH(O605, Criterios!$D$123:$D$124, 0)), "Ciclo de vida no válido", ""))))</f>
        <v/>
      </c>
      <c r="AC605" s="56" t="n"/>
      <c r="AD605" s="51" t="n">
        <v>-1</v>
      </c>
      <c r="AE605" s="156" t="n"/>
      <c r="AF605" s="51" t="n">
        <v>0</v>
      </c>
      <c r="AG605" s="156" t="inlineStr">
        <is>
          <t>Catálogo existente</t>
        </is>
      </c>
      <c r="AH60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5" s="156" t="inlineStr">
        <is>
          <t>Sí</t>
        </is>
      </c>
      <c r="AJ605" s="156" t="inlineStr">
        <is>
          <t>STETSON AMERICAS (-1)</t>
        </is>
      </c>
      <c r="AK605" s="155" t="inlineStr">
        <is>
          <t>Criterios: I [Q]; G1522_Extraccion_Articulos_NetSuite_2026-09-30.xlsx: fila 59180 [R] | Shopify Stetson: producto 15054564753771 / variante 53350557286763</t>
        </is>
      </c>
      <c r="AL605" s="58" t="n">
        <v>724.5599999999999</v>
      </c>
      <c r="AM605" s="58" t="n">
        <v>4224.137931</v>
      </c>
      <c r="AN605" s="155" t="inlineStr">
        <is>
          <t>Shopify Stetson México</t>
        </is>
      </c>
      <c r="AO605" s="59" t="n">
        <v>0</v>
      </c>
      <c r="AP605" s="59" t="n"/>
      <c r="AQ605" s="59" t="n"/>
      <c r="AR605" s="155" t="n"/>
    </row>
    <row r="606">
      <c r="A606" s="50" t="inlineStr">
        <is>
          <t>12021001121030245</t>
        </is>
      </c>
      <c r="B606" s="51" t="inlineStr">
        <is>
          <t>111506</t>
        </is>
      </c>
      <c r="C606" s="156" t="inlineStr">
        <is>
          <t>Multimarca</t>
        </is>
      </c>
      <c r="D606" s="156" t="inlineStr">
        <is>
          <t>12-021-BS001-12-1030</t>
        </is>
      </c>
      <c r="E606" s="156" t="inlineStr">
        <is>
          <t>12-021-BS001-12-1030-245</t>
        </is>
      </c>
      <c r="F606" s="156" t="inlineStr">
        <is>
          <t>24.5</t>
        </is>
      </c>
      <c r="G606" s="156" t="inlineStr">
        <is>
          <t>7.5</t>
        </is>
      </c>
      <c r="H606" s="156" t="inlineStr">
        <is>
          <t>Stetson</t>
        </is>
      </c>
      <c r="I606" s="156" t="inlineStr">
        <is>
          <t>Bota Piel Café</t>
        </is>
      </c>
      <c r="J606" s="156" t="inlineStr">
        <is>
          <t>Calzado</t>
        </is>
      </c>
      <c r="K606" s="156" t="inlineStr">
        <is>
          <t>Botas</t>
        </is>
      </c>
      <c r="L606" s="156" t="inlineStr">
        <is>
          <t>Mujer</t>
        </is>
      </c>
      <c r="M606" s="156" t="inlineStr">
        <is>
          <t>Stetson</t>
        </is>
      </c>
      <c r="N606" s="156" t="inlineStr">
        <is>
          <t>SS26</t>
        </is>
      </c>
      <c r="O606" s="156" t="inlineStr">
        <is>
          <t>Seasonal</t>
        </is>
      </c>
      <c r="P606" s="156" t="inlineStr">
        <is>
          <t>Cafe</t>
        </is>
      </c>
      <c r="Q606" s="156" t="n"/>
      <c r="R606" s="156" t="inlineStr">
        <is>
          <t>Horma Agatha</t>
        </is>
      </c>
      <c r="S606" s="156" t="inlineStr">
        <is>
          <t>Piel bovina</t>
        </is>
      </c>
      <c r="T606" s="156" t="inlineStr">
        <is>
          <t>Bota Dama Piel bovina Clayton Café Horma Agatha</t>
        </is>
      </c>
      <c r="U606" s="156" t="inlineStr">
        <is>
          <t>México</t>
        </is>
      </c>
      <c r="V606" s="156" t="inlineStr">
        <is>
          <t>PRS</t>
        </is>
      </c>
      <c r="W606" s="51" t="inlineStr">
        <is>
          <t>53111502</t>
        </is>
      </c>
      <c r="X606" s="156" t="n"/>
      <c r="Y606" s="54" t="n">
        <v>724.5599999999999</v>
      </c>
      <c r="Z606" s="54" t="n">
        <v>4224.137931</v>
      </c>
      <c r="AA606" s="55">
        <f>IF(AND(A606="", B606="", E606=""), "", IF(AB606="", "Válido", IF((LEN(AB606)-LEN(SUBSTITUTE(AB606,"; ","")))/2+1&gt;(LEN(AB606)-LEN(SUBSTITUTE(AB606,"[Aviso]","")))/7, "Con Incidencias", "Válido")))</f>
        <v/>
      </c>
      <c r="AB606" s="56">
        <f>IF(AND(A606="", B606="", E606=""), "", TEXTJOIN("; ", TRUE, IF(OR(TRIM(A606&amp;"")="", ISNUMBER(SEARCH("FALTA", A606))), "UPC faltante/inválido", ""), IF(AND(A606&lt;&gt;"", IFERROR(_xlfn.XMATCH(A606,$A$2:$A$2509,0,1)&lt;&gt;_xlfn.XMATCH(A606,$A$2:$A$2509,0,-1),FALSE)), "Código de barras duplicado", ""), IF(AND(E606&lt;&gt;"", COUNTIF($E$2:$E$2509, E606)&gt;1), "SKU duplicado", ""), IF(OR(J606="", J606=""), "[Aviso] División no capturada ()", IF(ISNA(MATCH(J606, Criterios!$A$123:$A$126, 0)), "División no válida", "")), IF(OR(K606="", K606=""), "[Aviso] Categoría no capturada ()", IF(ISNA(MATCH(K606, Criterios!$A$81:$A$120, 0)), "Categoría no válida", IF(AND(J606&lt;&gt;"", J606&lt;&gt;"", J606&lt;&gt;VLOOKUP(K606, Criterios!$A$81:$B$120, 2, FALSE)), "División no coincide con Categoría", ""))), IF(OR(L606="", L606=""), "[Aviso] Género no capturado ()", IF(ISNA(MATCH(L606, Criterios!$B$123:$B$127, 0)), "Género no válido", "")), IF(OR(N606="", N606=""), "[Aviso] Temporada no capturada ()", IF(ISNA(MATCH(N606, Criterios!$C$123:$C$128, 0)), "Temporada no válida", "")), IF(OR(O606="", O606=""), "[Aviso] Ciclo de vida no capturado ()", IF(ISNA(MATCH(O606, Criterios!$D$123:$D$124, 0)), "Ciclo de vida no válido", ""))))</f>
        <v/>
      </c>
      <c r="AC606" s="56" t="n"/>
      <c r="AD606" s="51" t="n">
        <v>-2</v>
      </c>
      <c r="AE606" s="156" t="n"/>
      <c r="AF606" s="51" t="n">
        <v>0</v>
      </c>
      <c r="AG606" s="156" t="inlineStr">
        <is>
          <t>Catálogo existente</t>
        </is>
      </c>
      <c r="AH60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6" s="156" t="inlineStr">
        <is>
          <t>Sí</t>
        </is>
      </c>
      <c r="AJ606" s="156" t="inlineStr">
        <is>
          <t>STETSON AMERICAS (-2)</t>
        </is>
      </c>
      <c r="AK606" s="155" t="inlineStr">
        <is>
          <t>Criterios: I [Q]; G1522_Extraccion_Articulos_NetSuite_2026-09-30.xlsx: fila 59181 [R] | Shopify Stetson: producto 15054564753771 / variante 53350557352299</t>
        </is>
      </c>
      <c r="AL606" s="58" t="n">
        <v>724.5599999999999</v>
      </c>
      <c r="AM606" s="58" t="n">
        <v>4224.137931</v>
      </c>
      <c r="AN606" s="155" t="inlineStr">
        <is>
          <t>Shopify Stetson México</t>
        </is>
      </c>
      <c r="AO606" s="59" t="n">
        <v>0</v>
      </c>
      <c r="AP606" s="59" t="n"/>
      <c r="AQ606" s="59" t="n"/>
      <c r="AR606" s="155" t="n"/>
    </row>
    <row r="607">
      <c r="A607" s="50" t="inlineStr">
        <is>
          <t>12021001121030255</t>
        </is>
      </c>
      <c r="B607" s="51" t="inlineStr">
        <is>
          <t>111497</t>
        </is>
      </c>
      <c r="C607" s="156" t="inlineStr">
        <is>
          <t>Multimarca</t>
        </is>
      </c>
      <c r="D607" s="156" t="inlineStr">
        <is>
          <t>12-021-BS001-12-1030</t>
        </is>
      </c>
      <c r="E607" s="156" t="inlineStr">
        <is>
          <t>12-021-BS001-12-1030-255</t>
        </is>
      </c>
      <c r="F607" s="156" t="inlineStr">
        <is>
          <t>25.5</t>
        </is>
      </c>
      <c r="G607" s="156" t="inlineStr">
        <is>
          <t>8.5</t>
        </is>
      </c>
      <c r="H607" s="156" t="inlineStr">
        <is>
          <t>Stetson</t>
        </is>
      </c>
      <c r="I607" s="156" t="inlineStr">
        <is>
          <t>Bota Piel Café</t>
        </is>
      </c>
      <c r="J607" s="156" t="inlineStr">
        <is>
          <t>Calzado</t>
        </is>
      </c>
      <c r="K607" s="156" t="inlineStr">
        <is>
          <t>Botas</t>
        </is>
      </c>
      <c r="L607" s="156" t="inlineStr">
        <is>
          <t>Mujer</t>
        </is>
      </c>
      <c r="M607" s="156" t="inlineStr">
        <is>
          <t>Stetson</t>
        </is>
      </c>
      <c r="N607" s="156" t="inlineStr">
        <is>
          <t>SS26</t>
        </is>
      </c>
      <c r="O607" s="156" t="inlineStr">
        <is>
          <t>Seasonal</t>
        </is>
      </c>
      <c r="P607" s="156" t="inlineStr">
        <is>
          <t>Cafe</t>
        </is>
      </c>
      <c r="Q607" s="156" t="n"/>
      <c r="R607" s="156" t="inlineStr">
        <is>
          <t>Horma Agatha</t>
        </is>
      </c>
      <c r="S607" s="156" t="inlineStr">
        <is>
          <t>Piel bovina</t>
        </is>
      </c>
      <c r="T607" s="156" t="inlineStr">
        <is>
          <t>Bota Dama Piel bovina Clayton Café Horma Agatha</t>
        </is>
      </c>
      <c r="U607" s="156" t="inlineStr">
        <is>
          <t>México</t>
        </is>
      </c>
      <c r="V607" s="156" t="inlineStr">
        <is>
          <t>PRS</t>
        </is>
      </c>
      <c r="W607" s="51" t="inlineStr">
        <is>
          <t>53111502</t>
        </is>
      </c>
      <c r="X607" s="156" t="n"/>
      <c r="Y607" s="54" t="n">
        <v>724.5599999999999</v>
      </c>
      <c r="Z607" s="54" t="n">
        <v>4224.137931</v>
      </c>
      <c r="AA607" s="55">
        <f>IF(AND(A607="", B607="", E607=""), "", IF(AB607="", "Válido", IF((LEN(AB607)-LEN(SUBSTITUTE(AB607,"; ","")))/2+1&gt;(LEN(AB607)-LEN(SUBSTITUTE(AB607,"[Aviso]","")))/7, "Con Incidencias", "Válido")))</f>
        <v/>
      </c>
      <c r="AB607" s="56">
        <f>IF(AND(A607="", B607="", E607=""), "", TEXTJOIN("; ", TRUE, IF(OR(TRIM(A607&amp;"")="", ISNUMBER(SEARCH("FALTA", A607))), "UPC faltante/inválido", ""), IF(AND(A607&lt;&gt;"", IFERROR(_xlfn.XMATCH(A607,$A$2:$A$2509,0,1)&lt;&gt;_xlfn.XMATCH(A607,$A$2:$A$2509,0,-1),FALSE)), "Código de barras duplicado", ""), IF(AND(E607&lt;&gt;"", COUNTIF($E$2:$E$2509, E607)&gt;1), "SKU duplicado", ""), IF(OR(J607="", J607=""), "[Aviso] División no capturada ()", IF(ISNA(MATCH(J607, Criterios!$A$123:$A$126, 0)), "División no válida", "")), IF(OR(K607="", K607=""), "[Aviso] Categoría no capturada ()", IF(ISNA(MATCH(K607, Criterios!$A$81:$A$120, 0)), "Categoría no válida", IF(AND(J607&lt;&gt;"", J607&lt;&gt;"", J607&lt;&gt;VLOOKUP(K607, Criterios!$A$81:$B$120, 2, FALSE)), "División no coincide con Categoría", ""))), IF(OR(L607="", L607=""), "[Aviso] Género no capturado ()", IF(ISNA(MATCH(L607, Criterios!$B$123:$B$127, 0)), "Género no válido", "")), IF(OR(N607="", N607=""), "[Aviso] Temporada no capturada ()", IF(ISNA(MATCH(N607, Criterios!$C$123:$C$128, 0)), "Temporada no válida", "")), IF(OR(O607="", O607=""), "[Aviso] Ciclo de vida no capturado ()", IF(ISNA(MATCH(O607, Criterios!$D$123:$D$124, 0)), "Ciclo de vida no válido", ""))))</f>
        <v/>
      </c>
      <c r="AC607" s="56" t="n"/>
      <c r="AD607" s="51" t="n">
        <v>-1</v>
      </c>
      <c r="AE607" s="156" t="n"/>
      <c r="AF607" s="51" t="n">
        <v>0</v>
      </c>
      <c r="AG607" s="156" t="inlineStr">
        <is>
          <t>Catálogo existente</t>
        </is>
      </c>
      <c r="AH607"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7" s="156" t="inlineStr">
        <is>
          <t>Sí</t>
        </is>
      </c>
      <c r="AJ607" s="156" t="inlineStr">
        <is>
          <t>STETSON AMERICAS (-1)</t>
        </is>
      </c>
      <c r="AK607" s="155" t="inlineStr">
        <is>
          <t>Criterios: I [Q]; G1522_Extraccion_Articulos_NetSuite_2026-09-30.xlsx: fila 59172 [R]</t>
        </is>
      </c>
      <c r="AL607" s="58" t="n">
        <v>724.5599999999999</v>
      </c>
      <c r="AM607" s="58" t="n">
        <v>4224.137931</v>
      </c>
      <c r="AN607" s="155" t="n"/>
      <c r="AO607" s="59" t="n"/>
      <c r="AP607" s="59" t="n"/>
      <c r="AQ607" s="59" t="n"/>
      <c r="AR607" s="155" t="n"/>
    </row>
    <row r="608">
      <c r="A608" s="50" t="inlineStr">
        <is>
          <t>12021001121030265</t>
        </is>
      </c>
      <c r="B608" s="51" t="inlineStr">
        <is>
          <t>111498</t>
        </is>
      </c>
      <c r="C608" s="156" t="inlineStr">
        <is>
          <t>Multimarca</t>
        </is>
      </c>
      <c r="D608" s="156" t="inlineStr">
        <is>
          <t>12-021-BS001-12-1030</t>
        </is>
      </c>
      <c r="E608" s="156" t="inlineStr">
        <is>
          <t>12-021-BS001-12-1030-265</t>
        </is>
      </c>
      <c r="F608" s="156" t="inlineStr">
        <is>
          <t>26.5</t>
        </is>
      </c>
      <c r="G608" s="156" t="inlineStr">
        <is>
          <t>9.5</t>
        </is>
      </c>
      <c r="H608" s="156" t="inlineStr">
        <is>
          <t>Stetson</t>
        </is>
      </c>
      <c r="I608" s="156" t="inlineStr">
        <is>
          <t>Bota Piel Café</t>
        </is>
      </c>
      <c r="J608" s="156" t="inlineStr">
        <is>
          <t>Calzado</t>
        </is>
      </c>
      <c r="K608" s="156" t="inlineStr">
        <is>
          <t>Botas</t>
        </is>
      </c>
      <c r="L608" s="156" t="inlineStr">
        <is>
          <t>Mujer</t>
        </is>
      </c>
      <c r="M608" s="156" t="inlineStr">
        <is>
          <t>Stetson</t>
        </is>
      </c>
      <c r="N608" s="156" t="inlineStr">
        <is>
          <t>SS26</t>
        </is>
      </c>
      <c r="O608" s="156" t="inlineStr">
        <is>
          <t>Seasonal</t>
        </is>
      </c>
      <c r="P608" s="156" t="inlineStr">
        <is>
          <t>Cafe</t>
        </is>
      </c>
      <c r="Q608" s="156" t="n"/>
      <c r="R608" s="156" t="inlineStr">
        <is>
          <t>Horma Agatha</t>
        </is>
      </c>
      <c r="S608" s="156" t="inlineStr">
        <is>
          <t>Piel bovina</t>
        </is>
      </c>
      <c r="T608" s="156" t="inlineStr">
        <is>
          <t>Bota Dama Piel bovina Clayton Café Horma Agatha</t>
        </is>
      </c>
      <c r="U608" s="156" t="inlineStr">
        <is>
          <t>México</t>
        </is>
      </c>
      <c r="V608" s="156" t="inlineStr">
        <is>
          <t>PRS</t>
        </is>
      </c>
      <c r="W608" s="51" t="inlineStr">
        <is>
          <t>53111502</t>
        </is>
      </c>
      <c r="X608" s="156" t="n"/>
      <c r="Y608" s="54" t="n">
        <v>724.5599999999999</v>
      </c>
      <c r="Z608" s="54" t="n">
        <v>4224.137931</v>
      </c>
      <c r="AA608" s="55">
        <f>IF(AND(A608="", B608="", E608=""), "", IF(AB608="", "Válido", IF((LEN(AB608)-LEN(SUBSTITUTE(AB608,"; ","")))/2+1&gt;(LEN(AB608)-LEN(SUBSTITUTE(AB608,"[Aviso]","")))/7, "Con Incidencias", "Válido")))</f>
        <v/>
      </c>
      <c r="AB608" s="56">
        <f>IF(AND(A608="", B608="", E608=""), "", TEXTJOIN("; ", TRUE, IF(OR(TRIM(A608&amp;"")="", ISNUMBER(SEARCH("FALTA", A608))), "UPC faltante/inválido", ""), IF(AND(A608&lt;&gt;"", IFERROR(_xlfn.XMATCH(A608,$A$2:$A$2509,0,1)&lt;&gt;_xlfn.XMATCH(A608,$A$2:$A$2509,0,-1),FALSE)), "Código de barras duplicado", ""), IF(AND(E608&lt;&gt;"", COUNTIF($E$2:$E$2509, E608)&gt;1), "SKU duplicado", ""), IF(OR(J608="", J608=""), "[Aviso] División no capturada ()", IF(ISNA(MATCH(J608, Criterios!$A$123:$A$126, 0)), "División no válida", "")), IF(OR(K608="", K608=""), "[Aviso] Categoría no capturada ()", IF(ISNA(MATCH(K608, Criterios!$A$81:$A$120, 0)), "Categoría no válida", IF(AND(J608&lt;&gt;"", J608&lt;&gt;"", J608&lt;&gt;VLOOKUP(K608, Criterios!$A$81:$B$120, 2, FALSE)), "División no coincide con Categoría", ""))), IF(OR(L608="", L608=""), "[Aviso] Género no capturado ()", IF(ISNA(MATCH(L608, Criterios!$B$123:$B$127, 0)), "Género no válido", "")), IF(OR(N608="", N608=""), "[Aviso] Temporada no capturada ()", IF(ISNA(MATCH(N608, Criterios!$C$123:$C$128, 0)), "Temporada no válida", "")), IF(OR(O608="", O608=""), "[Aviso] Ciclo de vida no capturado ()", IF(ISNA(MATCH(O608, Criterios!$D$123:$D$124, 0)), "Ciclo de vida no válido", ""))))</f>
        <v/>
      </c>
      <c r="AC608" s="56" t="n"/>
      <c r="AD608" s="51" t="n">
        <v>-1</v>
      </c>
      <c r="AE608" s="156" t="n"/>
      <c r="AF608" s="51" t="n">
        <v>0</v>
      </c>
      <c r="AG608" s="156" t="inlineStr">
        <is>
          <t>Catálogo existente</t>
        </is>
      </c>
      <c r="AH608"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8" s="156" t="inlineStr">
        <is>
          <t>Sí</t>
        </is>
      </c>
      <c r="AJ608" s="156" t="inlineStr">
        <is>
          <t>STETSON AMERICAS (-1)</t>
        </is>
      </c>
      <c r="AK608" s="155" t="inlineStr">
        <is>
          <t>Criterios: I [Q]; G1522_Extraccion_Articulos_NetSuite_2026-09-30.xlsx: fila 59173 [R]</t>
        </is>
      </c>
      <c r="AL608" s="58" t="n">
        <v>724.5599999999999</v>
      </c>
      <c r="AM608" s="58" t="n">
        <v>4224.137931</v>
      </c>
      <c r="AN608" s="155" t="n"/>
      <c r="AO608" s="59" t="n"/>
      <c r="AP608" s="59" t="n"/>
      <c r="AQ608" s="59" t="n"/>
      <c r="AR608" s="155" t="n"/>
    </row>
    <row r="609">
      <c r="A609" s="50" t="inlineStr">
        <is>
          <t>12021001121030275</t>
        </is>
      </c>
      <c r="B609" s="51" t="inlineStr">
        <is>
          <t>111499</t>
        </is>
      </c>
      <c r="C609" s="156" t="inlineStr">
        <is>
          <t>Multimarca</t>
        </is>
      </c>
      <c r="D609" s="156" t="inlineStr">
        <is>
          <t>12-021-BS001-12-1030</t>
        </is>
      </c>
      <c r="E609" s="156" t="inlineStr">
        <is>
          <t>12-021-BS001-12-1030-275</t>
        </is>
      </c>
      <c r="F609" s="156" t="inlineStr">
        <is>
          <t>27.5</t>
        </is>
      </c>
      <c r="G609" s="156" t="inlineStr">
        <is>
          <t>10.5</t>
        </is>
      </c>
      <c r="H609" s="156" t="inlineStr">
        <is>
          <t>Stetson</t>
        </is>
      </c>
      <c r="I609" s="156" t="inlineStr">
        <is>
          <t>Bota Piel Café</t>
        </is>
      </c>
      <c r="J609" s="156" t="inlineStr">
        <is>
          <t>Calzado</t>
        </is>
      </c>
      <c r="K609" s="156" t="inlineStr">
        <is>
          <t>Botas</t>
        </is>
      </c>
      <c r="L609" s="156" t="inlineStr">
        <is>
          <t>Mujer</t>
        </is>
      </c>
      <c r="M609" s="156" t="inlineStr">
        <is>
          <t>Stetson</t>
        </is>
      </c>
      <c r="N609" s="156" t="inlineStr">
        <is>
          <t>SS26</t>
        </is>
      </c>
      <c r="O609" s="156" t="inlineStr">
        <is>
          <t>Seasonal</t>
        </is>
      </c>
      <c r="P609" s="156" t="inlineStr">
        <is>
          <t>Cafe</t>
        </is>
      </c>
      <c r="Q609" s="156" t="n"/>
      <c r="R609" s="156" t="inlineStr">
        <is>
          <t>Horma Agatha</t>
        </is>
      </c>
      <c r="S609" s="156" t="inlineStr">
        <is>
          <t>Piel bovina</t>
        </is>
      </c>
      <c r="T609" s="156" t="inlineStr">
        <is>
          <t>Bota Dama Piel bovina Clayton Café Horma Agatha</t>
        </is>
      </c>
      <c r="U609" s="156" t="inlineStr">
        <is>
          <t>México</t>
        </is>
      </c>
      <c r="V609" s="156" t="inlineStr">
        <is>
          <t>PRS</t>
        </is>
      </c>
      <c r="W609" s="51" t="inlineStr">
        <is>
          <t>53111502</t>
        </is>
      </c>
      <c r="X609" s="156" t="n"/>
      <c r="Y609" s="54" t="n">
        <v>724.5599999999999</v>
      </c>
      <c r="Z609" s="54" t="n">
        <v>4224.137931</v>
      </c>
      <c r="AA609" s="55">
        <f>IF(AND(A609="", B609="", E609=""), "", IF(AB609="", "Válido", IF((LEN(AB609)-LEN(SUBSTITUTE(AB609,"; ","")))/2+1&gt;(LEN(AB609)-LEN(SUBSTITUTE(AB609,"[Aviso]","")))/7, "Con Incidencias", "Válido")))</f>
        <v/>
      </c>
      <c r="AB609" s="56">
        <f>IF(AND(A609="", B609="", E609=""), "", TEXTJOIN("; ", TRUE, IF(OR(TRIM(A609&amp;"")="", ISNUMBER(SEARCH("FALTA", A609))), "UPC faltante/inválido", ""), IF(AND(A609&lt;&gt;"", IFERROR(_xlfn.XMATCH(A609,$A$2:$A$2509,0,1)&lt;&gt;_xlfn.XMATCH(A609,$A$2:$A$2509,0,-1),FALSE)), "Código de barras duplicado", ""), IF(AND(E609&lt;&gt;"", COUNTIF($E$2:$E$2509, E609)&gt;1), "SKU duplicado", ""), IF(OR(J609="", J609=""), "[Aviso] División no capturada ()", IF(ISNA(MATCH(J609, Criterios!$A$123:$A$126, 0)), "División no válida", "")), IF(OR(K609="", K609=""), "[Aviso] Categoría no capturada ()", IF(ISNA(MATCH(K609, Criterios!$A$81:$A$120, 0)), "Categoría no válida", IF(AND(J609&lt;&gt;"", J609&lt;&gt;"", J609&lt;&gt;VLOOKUP(K609, Criterios!$A$81:$B$120, 2, FALSE)), "División no coincide con Categoría", ""))), IF(OR(L609="", L609=""), "[Aviso] Género no capturado ()", IF(ISNA(MATCH(L609, Criterios!$B$123:$B$127, 0)), "Género no válido", "")), IF(OR(N609="", N609=""), "[Aviso] Temporada no capturada ()", IF(ISNA(MATCH(N609, Criterios!$C$123:$C$128, 0)), "Temporada no válida", "")), IF(OR(O609="", O609=""), "[Aviso] Ciclo de vida no capturado ()", IF(ISNA(MATCH(O609, Criterios!$D$123:$D$124, 0)), "Ciclo de vida no válido", ""))))</f>
        <v/>
      </c>
      <c r="AC609" s="56" t="n"/>
      <c r="AD609" s="51" t="n">
        <v>0</v>
      </c>
      <c r="AE609" s="156" t="n"/>
      <c r="AF609" s="51" t="n">
        <v>0</v>
      </c>
      <c r="AG609" s="156" t="inlineStr">
        <is>
          <t>Catálogo existente</t>
        </is>
      </c>
      <c r="AH60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9" s="156" t="inlineStr">
        <is>
          <t>No</t>
        </is>
      </c>
      <c r="AJ609" s="156" t="n"/>
      <c r="AK609" s="155" t="inlineStr">
        <is>
          <t>Criterios: I [Q]; G1522_Extraccion_Articulos_NetSuite_2026-09-30.xlsx: fila 59174 [R]</t>
        </is>
      </c>
      <c r="AL609" s="58" t="n">
        <v>724.5599999999999</v>
      </c>
      <c r="AM609" s="58" t="n">
        <v>4224.137931</v>
      </c>
      <c r="AN609" s="155" t="n"/>
      <c r="AO609" s="59" t="n"/>
      <c r="AP609" s="59" t="n"/>
      <c r="AQ609" s="59" t="n"/>
      <c r="AR609" s="155" t="n"/>
    </row>
    <row r="610">
      <c r="A610" s="50" t="inlineStr">
        <is>
          <t>12021001121031022</t>
        </is>
      </c>
      <c r="B610" s="51" t="inlineStr">
        <is>
          <t>111512</t>
        </is>
      </c>
      <c r="C610" s="156" t="inlineStr">
        <is>
          <t>Multimarca</t>
        </is>
      </c>
      <c r="D610" s="156" t="inlineStr">
        <is>
          <t>12-021-BS001-12-1031</t>
        </is>
      </c>
      <c r="E610" s="156" t="inlineStr">
        <is>
          <t>12-021-BS001-12-1031-022</t>
        </is>
      </c>
      <c r="F610" s="156" t="inlineStr">
        <is>
          <t>22</t>
        </is>
      </c>
      <c r="G610" s="156" t="inlineStr">
        <is>
          <t>5</t>
        </is>
      </c>
      <c r="H610" s="156" t="inlineStr">
        <is>
          <t>Stetson</t>
        </is>
      </c>
      <c r="I610" s="156" t="inlineStr">
        <is>
          <t>Bota Piel Negro</t>
        </is>
      </c>
      <c r="J610" s="156" t="inlineStr">
        <is>
          <t>Calzado</t>
        </is>
      </c>
      <c r="K610" s="156" t="inlineStr">
        <is>
          <t>Botas</t>
        </is>
      </c>
      <c r="L610" s="156" t="inlineStr">
        <is>
          <t>Mujer</t>
        </is>
      </c>
      <c r="M610" s="156" t="inlineStr">
        <is>
          <t>Stetson</t>
        </is>
      </c>
      <c r="N610" s="156" t="inlineStr">
        <is>
          <t>SS26</t>
        </is>
      </c>
      <c r="O610" s="156" t="inlineStr">
        <is>
          <t>Seasonal</t>
        </is>
      </c>
      <c r="P610" s="156" t="inlineStr">
        <is>
          <t>Negro</t>
        </is>
      </c>
      <c r="Q610" s="156" t="n"/>
      <c r="R610" s="156" t="inlineStr">
        <is>
          <t>Horma Agatha</t>
        </is>
      </c>
      <c r="S610" s="156" t="inlineStr">
        <is>
          <t>Piel bovina</t>
        </is>
      </c>
      <c r="T610" s="156" t="inlineStr">
        <is>
          <t>Bota Dama Piel bovina Clayton Negro Horma Agatha</t>
        </is>
      </c>
      <c r="U610" s="156" t="inlineStr">
        <is>
          <t>México</t>
        </is>
      </c>
      <c r="V610" s="156" t="inlineStr">
        <is>
          <t>PRS</t>
        </is>
      </c>
      <c r="W610" s="51" t="inlineStr">
        <is>
          <t>53111502</t>
        </is>
      </c>
      <c r="X610" s="156" t="n"/>
      <c r="Y610" s="54" t="n">
        <v>724.5599999999999</v>
      </c>
      <c r="Z610" s="54" t="n">
        <v>4224.137931</v>
      </c>
      <c r="AA610" s="55">
        <f>IF(AND(A610="", B610="", E610=""), "", IF(AB610="", "Válido", IF((LEN(AB610)-LEN(SUBSTITUTE(AB610,"; ","")))/2+1&gt;(LEN(AB610)-LEN(SUBSTITUTE(AB610,"[Aviso]","")))/7, "Con Incidencias", "Válido")))</f>
        <v/>
      </c>
      <c r="AB610" s="56">
        <f>IF(AND(A610="", B610="", E610=""), "", TEXTJOIN("; ", TRUE, IF(OR(TRIM(A610&amp;"")="", ISNUMBER(SEARCH("FALTA", A610))), "UPC faltante/inválido", ""), IF(AND(A610&lt;&gt;"", IFERROR(_xlfn.XMATCH(A610,$A$2:$A$2509,0,1)&lt;&gt;_xlfn.XMATCH(A610,$A$2:$A$2509,0,-1),FALSE)), "Código de barras duplicado", ""), IF(AND(E610&lt;&gt;"", COUNTIF($E$2:$E$2509, E610)&gt;1), "SKU duplicado", ""), IF(OR(J610="", J610=""), "[Aviso] División no capturada ()", IF(ISNA(MATCH(J610, Criterios!$A$123:$A$126, 0)), "División no válida", "")), IF(OR(K610="", K610=""), "[Aviso] Categoría no capturada ()", IF(ISNA(MATCH(K610, Criterios!$A$81:$A$120, 0)), "Categoría no válida", IF(AND(J610&lt;&gt;"", J610&lt;&gt;"", J610&lt;&gt;VLOOKUP(K610, Criterios!$A$81:$B$120, 2, FALSE)), "División no coincide con Categoría", ""))), IF(OR(L610="", L610=""), "[Aviso] Género no capturado ()", IF(ISNA(MATCH(L610, Criterios!$B$123:$B$127, 0)), "Género no válido", "")), IF(OR(N610="", N610=""), "[Aviso] Temporada no capturada ()", IF(ISNA(MATCH(N610, Criterios!$C$123:$C$128, 0)), "Temporada no válida", "")), IF(OR(O610="", O610=""), "[Aviso] Ciclo de vida no capturado ()", IF(ISNA(MATCH(O610, Criterios!$D$123:$D$124, 0)), "Ciclo de vida no válido", ""))))</f>
        <v/>
      </c>
      <c r="AC610" s="56" t="n"/>
      <c r="AD610" s="51" t="n">
        <v>0</v>
      </c>
      <c r="AE610" s="156" t="n"/>
      <c r="AF610" s="51" t="n">
        <v>0</v>
      </c>
      <c r="AG610" s="156" t="inlineStr">
        <is>
          <t>Catálogo existente</t>
        </is>
      </c>
      <c r="AH6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0" s="156" t="inlineStr">
        <is>
          <t>No</t>
        </is>
      </c>
      <c r="AJ610" s="156" t="n"/>
      <c r="AK610" s="155" t="inlineStr">
        <is>
          <t>Criterios: I [Q]; G1522_Extraccion_Articulos_NetSuite_2026-09-30.xlsx: fila 59187 [R] | Shopify Stetson: producto 15054564786539 / variante 53350557647211</t>
        </is>
      </c>
      <c r="AL610" s="58" t="n">
        <v>724.5599999999999</v>
      </c>
      <c r="AM610" s="58" t="n">
        <v>4224.137931</v>
      </c>
      <c r="AN610" s="155" t="inlineStr">
        <is>
          <t>Shopify Stetson México</t>
        </is>
      </c>
      <c r="AO610" s="59" t="n">
        <v>0</v>
      </c>
      <c r="AP610" s="59" t="n"/>
      <c r="AQ610" s="59" t="n"/>
      <c r="AR610" s="155" t="n"/>
    </row>
    <row r="611">
      <c r="A611" s="50" t="inlineStr">
        <is>
          <t>12021001121031023</t>
        </is>
      </c>
      <c r="B611" s="51" t="inlineStr">
        <is>
          <t>111513</t>
        </is>
      </c>
      <c r="C611" s="156" t="inlineStr">
        <is>
          <t>Multimarca</t>
        </is>
      </c>
      <c r="D611" s="156" t="inlineStr">
        <is>
          <t>12-021-BS001-12-1031</t>
        </is>
      </c>
      <c r="E611" s="156" t="inlineStr">
        <is>
          <t>12-021-BS001-12-1031-023</t>
        </is>
      </c>
      <c r="F611" s="156" t="inlineStr">
        <is>
          <t>23</t>
        </is>
      </c>
      <c r="G611" s="156" t="inlineStr">
        <is>
          <t>6</t>
        </is>
      </c>
      <c r="H611" s="156" t="inlineStr">
        <is>
          <t>Stetson</t>
        </is>
      </c>
      <c r="I611" s="156" t="inlineStr">
        <is>
          <t>Bota Piel Negro</t>
        </is>
      </c>
      <c r="J611" s="156" t="inlineStr">
        <is>
          <t>Calzado</t>
        </is>
      </c>
      <c r="K611" s="156" t="inlineStr">
        <is>
          <t>Botas</t>
        </is>
      </c>
      <c r="L611" s="156" t="inlineStr">
        <is>
          <t>Mujer</t>
        </is>
      </c>
      <c r="M611" s="156" t="inlineStr">
        <is>
          <t>Stetson</t>
        </is>
      </c>
      <c r="N611" s="156" t="inlineStr">
        <is>
          <t>SS26</t>
        </is>
      </c>
      <c r="O611" s="156" t="inlineStr">
        <is>
          <t>Seasonal</t>
        </is>
      </c>
      <c r="P611" s="156" t="inlineStr">
        <is>
          <t>Negro</t>
        </is>
      </c>
      <c r="Q611" s="156" t="n"/>
      <c r="R611" s="156" t="inlineStr">
        <is>
          <t>Horma Agatha</t>
        </is>
      </c>
      <c r="S611" s="156" t="inlineStr">
        <is>
          <t>Piel bovina</t>
        </is>
      </c>
      <c r="T611" s="156" t="inlineStr">
        <is>
          <t>Bota Dama Piel bovina Clayton Negro Horma Agatha</t>
        </is>
      </c>
      <c r="U611" s="156" t="inlineStr">
        <is>
          <t>México</t>
        </is>
      </c>
      <c r="V611" s="156" t="inlineStr">
        <is>
          <t>PRS</t>
        </is>
      </c>
      <c r="W611" s="51" t="inlineStr">
        <is>
          <t>53111502</t>
        </is>
      </c>
      <c r="X611" s="156" t="n"/>
      <c r="Y611" s="54" t="n">
        <v>724.5599999999999</v>
      </c>
      <c r="Z611" s="54" t="n">
        <v>4224.137931</v>
      </c>
      <c r="AA611" s="55">
        <f>IF(AND(A611="", B611="", E611=""), "", IF(AB611="", "Válido", IF((LEN(AB611)-LEN(SUBSTITUTE(AB611,"; ","")))/2+1&gt;(LEN(AB611)-LEN(SUBSTITUTE(AB611,"[Aviso]","")))/7, "Con Incidencias", "Válido")))</f>
        <v/>
      </c>
      <c r="AB611" s="56">
        <f>IF(AND(A611="", B611="", E611=""), "", TEXTJOIN("; ", TRUE, IF(OR(TRIM(A611&amp;"")="", ISNUMBER(SEARCH("FALTA", A611))), "UPC faltante/inválido", ""), IF(AND(A611&lt;&gt;"", IFERROR(_xlfn.XMATCH(A611,$A$2:$A$2509,0,1)&lt;&gt;_xlfn.XMATCH(A611,$A$2:$A$2509,0,-1),FALSE)), "Código de barras duplicado", ""), IF(AND(E611&lt;&gt;"", COUNTIF($E$2:$E$2509, E611)&gt;1), "SKU duplicado", ""), IF(OR(J611="", J611=""), "[Aviso] División no capturada ()", IF(ISNA(MATCH(J611, Criterios!$A$123:$A$126, 0)), "División no válida", "")), IF(OR(K611="", K611=""), "[Aviso] Categoría no capturada ()", IF(ISNA(MATCH(K611, Criterios!$A$81:$A$120, 0)), "Categoría no válida", IF(AND(J611&lt;&gt;"", J611&lt;&gt;"", J611&lt;&gt;VLOOKUP(K611, Criterios!$A$81:$B$120, 2, FALSE)), "División no coincide con Categoría", ""))), IF(OR(L611="", L611=""), "[Aviso] Género no capturado ()", IF(ISNA(MATCH(L611, Criterios!$B$123:$B$127, 0)), "Género no válido", "")), IF(OR(N611="", N611=""), "[Aviso] Temporada no capturada ()", IF(ISNA(MATCH(N611, Criterios!$C$123:$C$128, 0)), "Temporada no válida", "")), IF(OR(O611="", O611=""), "[Aviso] Ciclo de vida no capturado ()", IF(ISNA(MATCH(O611, Criterios!$D$123:$D$124, 0)), "Ciclo de vida no válido", ""))))</f>
        <v/>
      </c>
      <c r="AC611" s="56" t="n"/>
      <c r="AD611" s="51" t="n">
        <v>-1</v>
      </c>
      <c r="AE611" s="156" t="n"/>
      <c r="AF611" s="51" t="n">
        <v>0</v>
      </c>
      <c r="AG611" s="156" t="inlineStr">
        <is>
          <t>Catálogo existente</t>
        </is>
      </c>
      <c r="AH61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1" s="156" t="inlineStr">
        <is>
          <t>Sí</t>
        </is>
      </c>
      <c r="AJ611" s="156" t="inlineStr">
        <is>
          <t>STETSON AMERICAS (-1)</t>
        </is>
      </c>
      <c r="AK611" s="155" t="inlineStr">
        <is>
          <t>Criterios: I [Q]; G1522_Extraccion_Articulos_NetSuite_2026-09-30.xlsx: fila 59188 [R] | Shopify Stetson: producto 15054564786539 / variante 53350557712747</t>
        </is>
      </c>
      <c r="AL611" s="58" t="n">
        <v>724.5599999999999</v>
      </c>
      <c r="AM611" s="58" t="n">
        <v>4224.137931</v>
      </c>
      <c r="AN611" s="155" t="inlineStr">
        <is>
          <t>Shopify Stetson México</t>
        </is>
      </c>
      <c r="AO611" s="59" t="n">
        <v>0</v>
      </c>
      <c r="AP611" s="59" t="n"/>
      <c r="AQ611" s="59" t="n"/>
      <c r="AR611" s="155" t="n"/>
    </row>
    <row r="612">
      <c r="A612" s="50" t="inlineStr">
        <is>
          <t>12021001121031024</t>
        </is>
      </c>
      <c r="B612" s="51" t="inlineStr">
        <is>
          <t>111514</t>
        </is>
      </c>
      <c r="C612" s="156" t="inlineStr">
        <is>
          <t>Multimarca</t>
        </is>
      </c>
      <c r="D612" s="156" t="inlineStr">
        <is>
          <t>12-021-BS001-12-1031</t>
        </is>
      </c>
      <c r="E612" s="156" t="inlineStr">
        <is>
          <t>12-021-BS001-12-1031-024</t>
        </is>
      </c>
      <c r="F612" s="156" t="inlineStr">
        <is>
          <t>24</t>
        </is>
      </c>
      <c r="G612" s="156" t="inlineStr">
        <is>
          <t>7</t>
        </is>
      </c>
      <c r="H612" s="156" t="inlineStr">
        <is>
          <t>Stetson</t>
        </is>
      </c>
      <c r="I612" s="156" t="inlineStr">
        <is>
          <t>Bota Piel Negro</t>
        </is>
      </c>
      <c r="J612" s="156" t="inlineStr">
        <is>
          <t>Calzado</t>
        </is>
      </c>
      <c r="K612" s="156" t="inlineStr">
        <is>
          <t>Botas</t>
        </is>
      </c>
      <c r="L612" s="156" t="inlineStr">
        <is>
          <t>Mujer</t>
        </is>
      </c>
      <c r="M612" s="156" t="inlineStr">
        <is>
          <t>Stetson</t>
        </is>
      </c>
      <c r="N612" s="156" t="inlineStr">
        <is>
          <t>SS26</t>
        </is>
      </c>
      <c r="O612" s="156" t="inlineStr">
        <is>
          <t>Seasonal</t>
        </is>
      </c>
      <c r="P612" s="156" t="inlineStr">
        <is>
          <t>Negro</t>
        </is>
      </c>
      <c r="Q612" s="156" t="n"/>
      <c r="R612" s="156" t="inlineStr">
        <is>
          <t>Horma Agatha</t>
        </is>
      </c>
      <c r="S612" s="156" t="inlineStr">
        <is>
          <t>Piel bovina</t>
        </is>
      </c>
      <c r="T612" s="156" t="inlineStr">
        <is>
          <t>Bota Dama Piel bovina Clayton Negro Horma Agatha</t>
        </is>
      </c>
      <c r="U612" s="156" t="inlineStr">
        <is>
          <t>México</t>
        </is>
      </c>
      <c r="V612" s="156" t="inlineStr">
        <is>
          <t>PRS</t>
        </is>
      </c>
      <c r="W612" s="51" t="inlineStr">
        <is>
          <t>53111502</t>
        </is>
      </c>
      <c r="X612" s="156" t="n"/>
      <c r="Y612" s="54" t="n">
        <v>724.5599999999999</v>
      </c>
      <c r="Z612" s="54" t="n">
        <v>4224.137931</v>
      </c>
      <c r="AA612" s="55">
        <f>IF(AND(A612="", B612="", E612=""), "", IF(AB612="", "Válido", IF((LEN(AB612)-LEN(SUBSTITUTE(AB612,"; ","")))/2+1&gt;(LEN(AB612)-LEN(SUBSTITUTE(AB612,"[Aviso]","")))/7, "Con Incidencias", "Válido")))</f>
        <v/>
      </c>
      <c r="AB612" s="56">
        <f>IF(AND(A612="", B612="", E612=""), "", TEXTJOIN("; ", TRUE, IF(OR(TRIM(A612&amp;"")="", ISNUMBER(SEARCH("FALTA", A612))), "UPC faltante/inválido", ""), IF(AND(A612&lt;&gt;"", IFERROR(_xlfn.XMATCH(A612,$A$2:$A$2509,0,1)&lt;&gt;_xlfn.XMATCH(A612,$A$2:$A$2509,0,-1),FALSE)), "Código de barras duplicado", ""), IF(AND(E612&lt;&gt;"", COUNTIF($E$2:$E$2509, E612)&gt;1), "SKU duplicado", ""), IF(OR(J612="", J612=""), "[Aviso] División no capturada ()", IF(ISNA(MATCH(J612, Criterios!$A$123:$A$126, 0)), "División no válida", "")), IF(OR(K612="", K612=""), "[Aviso] Categoría no capturada ()", IF(ISNA(MATCH(K612, Criterios!$A$81:$A$120, 0)), "Categoría no válida", IF(AND(J612&lt;&gt;"", J612&lt;&gt;"", J612&lt;&gt;VLOOKUP(K612, Criterios!$A$81:$B$120, 2, FALSE)), "División no coincide con Categoría", ""))), IF(OR(L612="", L612=""), "[Aviso] Género no capturado ()", IF(ISNA(MATCH(L612, Criterios!$B$123:$B$127, 0)), "Género no válido", "")), IF(OR(N612="", N612=""), "[Aviso] Temporada no capturada ()", IF(ISNA(MATCH(N612, Criterios!$C$123:$C$128, 0)), "Temporada no válida", "")), IF(OR(O612="", O612=""), "[Aviso] Ciclo de vida no capturado ()", IF(ISNA(MATCH(O612, Criterios!$D$123:$D$124, 0)), "Ciclo de vida no válido", ""))))</f>
        <v/>
      </c>
      <c r="AC612" s="56" t="n"/>
      <c r="AD612" s="51" t="n">
        <v>0</v>
      </c>
      <c r="AE612" s="156" t="n"/>
      <c r="AF612" s="51" t="n">
        <v>0</v>
      </c>
      <c r="AG612" s="156" t="inlineStr">
        <is>
          <t>Catálogo existente</t>
        </is>
      </c>
      <c r="AH6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2" s="156" t="inlineStr">
        <is>
          <t>No</t>
        </is>
      </c>
      <c r="AJ612" s="156" t="n"/>
      <c r="AK612" s="155" t="inlineStr">
        <is>
          <t>Criterios: I [Q]; G1522_Extraccion_Articulos_NetSuite_2026-09-30.xlsx: fila 59189 [R] | Shopify Stetson: producto 15054564786539 / variante 53350557778283</t>
        </is>
      </c>
      <c r="AL612" s="58" t="n">
        <v>724.5599999999999</v>
      </c>
      <c r="AM612" s="58" t="n">
        <v>4224.137931</v>
      </c>
      <c r="AN612" s="155" t="inlineStr">
        <is>
          <t>Shopify Stetson México</t>
        </is>
      </c>
      <c r="AO612" s="59" t="n">
        <v>2</v>
      </c>
      <c r="AP612" s="59" t="n"/>
      <c r="AQ612" s="59" t="n"/>
      <c r="AR612" s="155" t="inlineStr">
        <is>
          <t>Shopify Stetson México › Stetson Americas: 2</t>
        </is>
      </c>
    </row>
    <row r="613">
      <c r="A613" s="50" t="inlineStr">
        <is>
          <t>12021001121031025</t>
        </is>
      </c>
      <c r="B613" s="51" t="inlineStr">
        <is>
          <t>111515</t>
        </is>
      </c>
      <c r="C613" s="156" t="inlineStr">
        <is>
          <t>Multimarca</t>
        </is>
      </c>
      <c r="D613" s="156" t="inlineStr">
        <is>
          <t>12-021-BS001-12-1031</t>
        </is>
      </c>
      <c r="E613" s="156" t="inlineStr">
        <is>
          <t>12-021-BS001-12-1031-025</t>
        </is>
      </c>
      <c r="F613" s="156" t="inlineStr">
        <is>
          <t>25</t>
        </is>
      </c>
      <c r="G613" s="156" t="inlineStr">
        <is>
          <t>8</t>
        </is>
      </c>
      <c r="H613" s="156" t="inlineStr">
        <is>
          <t>Stetson</t>
        </is>
      </c>
      <c r="I613" s="156" t="inlineStr">
        <is>
          <t>Bota Piel Negro</t>
        </is>
      </c>
      <c r="J613" s="156" t="inlineStr">
        <is>
          <t>Calzado</t>
        </is>
      </c>
      <c r="K613" s="156" t="inlineStr">
        <is>
          <t>Botas</t>
        </is>
      </c>
      <c r="L613" s="156" t="inlineStr">
        <is>
          <t>Mujer</t>
        </is>
      </c>
      <c r="M613" s="156" t="inlineStr">
        <is>
          <t>Stetson</t>
        </is>
      </c>
      <c r="N613" s="156" t="inlineStr">
        <is>
          <t>SS26</t>
        </is>
      </c>
      <c r="O613" s="156" t="inlineStr">
        <is>
          <t>Seasonal</t>
        </is>
      </c>
      <c r="P613" s="156" t="inlineStr">
        <is>
          <t>Negro</t>
        </is>
      </c>
      <c r="Q613" s="156" t="n"/>
      <c r="R613" s="156" t="inlineStr">
        <is>
          <t>Horma Agatha</t>
        </is>
      </c>
      <c r="S613" s="156" t="inlineStr">
        <is>
          <t>Piel bovina</t>
        </is>
      </c>
      <c r="T613" s="156" t="inlineStr">
        <is>
          <t>Bota Dama Piel bovina Clayton Negro Horma Agatha</t>
        </is>
      </c>
      <c r="U613" s="156" t="inlineStr">
        <is>
          <t>México</t>
        </is>
      </c>
      <c r="V613" s="156" t="inlineStr">
        <is>
          <t>PRS</t>
        </is>
      </c>
      <c r="W613" s="51" t="inlineStr">
        <is>
          <t>53111502</t>
        </is>
      </c>
      <c r="X613" s="156" t="n"/>
      <c r="Y613" s="54" t="n">
        <v>724.5599999999999</v>
      </c>
      <c r="Z613" s="54" t="n">
        <v>4224.137931</v>
      </c>
      <c r="AA613" s="55">
        <f>IF(AND(A613="", B613="", E613=""), "", IF(AB613="", "Válido", IF((LEN(AB613)-LEN(SUBSTITUTE(AB613,"; ","")))/2+1&gt;(LEN(AB613)-LEN(SUBSTITUTE(AB613,"[Aviso]","")))/7, "Con Incidencias", "Válido")))</f>
        <v/>
      </c>
      <c r="AB613" s="56">
        <f>IF(AND(A613="", B613="", E613=""), "", TEXTJOIN("; ", TRUE, IF(OR(TRIM(A613&amp;"")="", ISNUMBER(SEARCH("FALTA", A613))), "UPC faltante/inválido", ""), IF(AND(A613&lt;&gt;"", IFERROR(_xlfn.XMATCH(A613,$A$2:$A$2509,0,1)&lt;&gt;_xlfn.XMATCH(A613,$A$2:$A$2509,0,-1),FALSE)), "Código de barras duplicado", ""), IF(AND(E613&lt;&gt;"", COUNTIF($E$2:$E$2509, E613)&gt;1), "SKU duplicado", ""), IF(OR(J613="", J613=""), "[Aviso] División no capturada ()", IF(ISNA(MATCH(J613, Criterios!$A$123:$A$126, 0)), "División no válida", "")), IF(OR(K613="", K613=""), "[Aviso] Categoría no capturada ()", IF(ISNA(MATCH(K613, Criterios!$A$81:$A$120, 0)), "Categoría no válida", IF(AND(J613&lt;&gt;"", J613&lt;&gt;"", J613&lt;&gt;VLOOKUP(K613, Criterios!$A$81:$B$120, 2, FALSE)), "División no coincide con Categoría", ""))), IF(OR(L613="", L613=""), "[Aviso] Género no capturado ()", IF(ISNA(MATCH(L613, Criterios!$B$123:$B$127, 0)), "Género no válido", "")), IF(OR(N613="", N613=""), "[Aviso] Temporada no capturada ()", IF(ISNA(MATCH(N613, Criterios!$C$123:$C$128, 0)), "Temporada no válida", "")), IF(OR(O613="", O613=""), "[Aviso] Ciclo de vida no capturado ()", IF(ISNA(MATCH(O613, Criterios!$D$123:$D$124, 0)), "Ciclo de vida no válido", ""))))</f>
        <v/>
      </c>
      <c r="AC613" s="56" t="n"/>
      <c r="AD613" s="51" t="n">
        <v>-2</v>
      </c>
      <c r="AE613" s="156" t="n"/>
      <c r="AF613" s="51" t="n">
        <v>0</v>
      </c>
      <c r="AG613" s="156" t="inlineStr">
        <is>
          <t>Catálogo existente</t>
        </is>
      </c>
      <c r="AH61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3" s="156" t="inlineStr">
        <is>
          <t>Sí</t>
        </is>
      </c>
      <c r="AJ613" s="156" t="inlineStr">
        <is>
          <t>STETSON AMERICAS (-2)</t>
        </is>
      </c>
      <c r="AK613" s="155" t="inlineStr">
        <is>
          <t>Criterios: I [Q]; G1522_Extraccion_Articulos_NetSuite_2026-09-30.xlsx: fila 59190 [R] | Shopify Stetson: producto 15054564786539 / variante 53350557843819</t>
        </is>
      </c>
      <c r="AL613" s="58" t="n">
        <v>724.5599999999999</v>
      </c>
      <c r="AM613" s="58" t="n">
        <v>4224.137931</v>
      </c>
      <c r="AN613" s="155" t="inlineStr">
        <is>
          <t>Shopify Stetson México</t>
        </is>
      </c>
      <c r="AO613" s="59" t="n">
        <v>0</v>
      </c>
      <c r="AP613" s="59" t="n"/>
      <c r="AQ613" s="59" t="n"/>
      <c r="AR613" s="155" t="n"/>
    </row>
    <row r="614">
      <c r="A614" s="50" t="inlineStr">
        <is>
          <t>12021001121031026</t>
        </is>
      </c>
      <c r="B614" s="51" t="inlineStr">
        <is>
          <t>111507</t>
        </is>
      </c>
      <c r="C614" s="156" t="inlineStr">
        <is>
          <t>Multimarca</t>
        </is>
      </c>
      <c r="D614" s="156" t="inlineStr">
        <is>
          <t>12-021-BS001-12-1031</t>
        </is>
      </c>
      <c r="E614" s="156" t="inlineStr">
        <is>
          <t>12-021-BS001-12-1031-026</t>
        </is>
      </c>
      <c r="F614" s="156" t="inlineStr">
        <is>
          <t>26</t>
        </is>
      </c>
      <c r="G614" s="156" t="inlineStr">
        <is>
          <t>9</t>
        </is>
      </c>
      <c r="H614" s="156" t="inlineStr">
        <is>
          <t>Stetson</t>
        </is>
      </c>
      <c r="I614" s="156" t="inlineStr">
        <is>
          <t>Bota Piel Negro</t>
        </is>
      </c>
      <c r="J614" s="156" t="inlineStr">
        <is>
          <t>Calzado</t>
        </is>
      </c>
      <c r="K614" s="156" t="inlineStr">
        <is>
          <t>Botas</t>
        </is>
      </c>
      <c r="L614" s="156" t="inlineStr">
        <is>
          <t>Mujer</t>
        </is>
      </c>
      <c r="M614" s="156" t="inlineStr">
        <is>
          <t>Stetson</t>
        </is>
      </c>
      <c r="N614" s="156" t="inlineStr">
        <is>
          <t>SS26</t>
        </is>
      </c>
      <c r="O614" s="156" t="inlineStr">
        <is>
          <t>Seasonal</t>
        </is>
      </c>
      <c r="P614" s="156" t="inlineStr">
        <is>
          <t>Negro</t>
        </is>
      </c>
      <c r="Q614" s="156" t="n"/>
      <c r="R614" s="156" t="inlineStr">
        <is>
          <t>Horma Agatha</t>
        </is>
      </c>
      <c r="S614" s="156" t="inlineStr">
        <is>
          <t>Piel bovina</t>
        </is>
      </c>
      <c r="T614" s="156" t="inlineStr">
        <is>
          <t>Bota Dama Piel bovina Clayton Negro Horma Agatha</t>
        </is>
      </c>
      <c r="U614" s="156" t="inlineStr">
        <is>
          <t>México</t>
        </is>
      </c>
      <c r="V614" s="156" t="inlineStr">
        <is>
          <t>PRS</t>
        </is>
      </c>
      <c r="W614" s="51" t="inlineStr">
        <is>
          <t>53111502</t>
        </is>
      </c>
      <c r="X614" s="156" t="n"/>
      <c r="Y614" s="54" t="n">
        <v>724.5599999999999</v>
      </c>
      <c r="Z614" s="54" t="n">
        <v>4224.137931</v>
      </c>
      <c r="AA614" s="55">
        <f>IF(AND(A614="", B614="", E614=""), "", IF(AB614="", "Válido", IF((LEN(AB614)-LEN(SUBSTITUTE(AB614,"; ","")))/2+1&gt;(LEN(AB614)-LEN(SUBSTITUTE(AB614,"[Aviso]","")))/7, "Con Incidencias", "Válido")))</f>
        <v/>
      </c>
      <c r="AB614" s="56">
        <f>IF(AND(A614="", B614="", E614=""), "", TEXTJOIN("; ", TRUE, IF(OR(TRIM(A614&amp;"")="", ISNUMBER(SEARCH("FALTA", A614))), "UPC faltante/inválido", ""), IF(AND(A614&lt;&gt;"", IFERROR(_xlfn.XMATCH(A614,$A$2:$A$2509,0,1)&lt;&gt;_xlfn.XMATCH(A614,$A$2:$A$2509,0,-1),FALSE)), "Código de barras duplicado", ""), IF(AND(E614&lt;&gt;"", COUNTIF($E$2:$E$2509, E614)&gt;1), "SKU duplicado", ""), IF(OR(J614="", J614=""), "[Aviso] División no capturada ()", IF(ISNA(MATCH(J614, Criterios!$A$123:$A$126, 0)), "División no válida", "")), IF(OR(K614="", K614=""), "[Aviso] Categoría no capturada ()", IF(ISNA(MATCH(K614, Criterios!$A$81:$A$120, 0)), "Categoría no válida", IF(AND(J614&lt;&gt;"", J614&lt;&gt;"", J614&lt;&gt;VLOOKUP(K614, Criterios!$A$81:$B$120, 2, FALSE)), "División no coincide con Categoría", ""))), IF(OR(L614="", L614=""), "[Aviso] Género no capturado ()", IF(ISNA(MATCH(L614, Criterios!$B$123:$B$127, 0)), "Género no válido", "")), IF(OR(N614="", N614=""), "[Aviso] Temporada no capturada ()", IF(ISNA(MATCH(N614, Criterios!$C$123:$C$128, 0)), "Temporada no válida", "")), IF(OR(O614="", O614=""), "[Aviso] Ciclo de vida no capturado ()", IF(ISNA(MATCH(O614, Criterios!$D$123:$D$124, 0)), "Ciclo de vida no válido", ""))))</f>
        <v/>
      </c>
      <c r="AC614" s="56" t="n"/>
      <c r="AD614" s="51" t="n">
        <v>-1</v>
      </c>
      <c r="AE614" s="156" t="n"/>
      <c r="AF614" s="51" t="n">
        <v>0</v>
      </c>
      <c r="AG614" s="156" t="inlineStr">
        <is>
          <t>Catálogo existente</t>
        </is>
      </c>
      <c r="AH614"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4" s="156" t="inlineStr">
        <is>
          <t>Sí</t>
        </is>
      </c>
      <c r="AJ614" s="156" t="inlineStr">
        <is>
          <t>STETSON AMERICAS (-1)</t>
        </is>
      </c>
      <c r="AK614" s="155" t="inlineStr">
        <is>
          <t>Criterios: I [Q]; G1522_Extraccion_Articulos_NetSuite_2026-09-30.xlsx: fila 59182 [R]</t>
        </is>
      </c>
      <c r="AL614" s="58" t="n">
        <v>724.5599999999999</v>
      </c>
      <c r="AM614" s="58" t="n">
        <v>4224.137931</v>
      </c>
      <c r="AN614" s="155" t="n"/>
      <c r="AO614" s="59" t="n"/>
      <c r="AP614" s="59" t="n"/>
      <c r="AQ614" s="59" t="n"/>
      <c r="AR614" s="155" t="n"/>
    </row>
    <row r="615">
      <c r="A615" s="50" t="inlineStr">
        <is>
          <t>12021001121031027</t>
        </is>
      </c>
      <c r="B615" s="51" t="inlineStr">
        <is>
          <t>111508</t>
        </is>
      </c>
      <c r="C615" s="156" t="inlineStr">
        <is>
          <t>Multimarca</t>
        </is>
      </c>
      <c r="D615" s="156" t="inlineStr">
        <is>
          <t>12-021-BS001-12-1031</t>
        </is>
      </c>
      <c r="E615" s="156" t="inlineStr">
        <is>
          <t>12-021-BS001-12-1031-027</t>
        </is>
      </c>
      <c r="F615" s="156" t="inlineStr">
        <is>
          <t>27</t>
        </is>
      </c>
      <c r="G615" s="156" t="inlineStr">
        <is>
          <t>10</t>
        </is>
      </c>
      <c r="H615" s="156" t="inlineStr">
        <is>
          <t>Stetson</t>
        </is>
      </c>
      <c r="I615" s="156" t="inlineStr">
        <is>
          <t>Bota Piel Negro</t>
        </is>
      </c>
      <c r="J615" s="156" t="inlineStr">
        <is>
          <t>Calzado</t>
        </is>
      </c>
      <c r="K615" s="156" t="inlineStr">
        <is>
          <t>Botas</t>
        </is>
      </c>
      <c r="L615" s="156" t="inlineStr">
        <is>
          <t>Mujer</t>
        </is>
      </c>
      <c r="M615" s="156" t="inlineStr">
        <is>
          <t>Stetson</t>
        </is>
      </c>
      <c r="N615" s="156" t="inlineStr">
        <is>
          <t>SS26</t>
        </is>
      </c>
      <c r="O615" s="156" t="inlineStr">
        <is>
          <t>Seasonal</t>
        </is>
      </c>
      <c r="P615" s="156" t="inlineStr">
        <is>
          <t>Negro</t>
        </is>
      </c>
      <c r="Q615" s="156" t="n"/>
      <c r="R615" s="156" t="inlineStr">
        <is>
          <t>Horma Agatha</t>
        </is>
      </c>
      <c r="S615" s="156" t="inlineStr">
        <is>
          <t>Piel bovina</t>
        </is>
      </c>
      <c r="T615" s="156" t="inlineStr">
        <is>
          <t>Bota Dama Piel bovina Clayton Negro Horma Agatha</t>
        </is>
      </c>
      <c r="U615" s="156" t="inlineStr">
        <is>
          <t>México</t>
        </is>
      </c>
      <c r="V615" s="156" t="inlineStr">
        <is>
          <t>PRS</t>
        </is>
      </c>
      <c r="W615" s="51" t="inlineStr">
        <is>
          <t>53111502</t>
        </is>
      </c>
      <c r="X615" s="156" t="n"/>
      <c r="Y615" s="54" t="n">
        <v>724.5599999999999</v>
      </c>
      <c r="Z615" s="54" t="n">
        <v>4224.137931</v>
      </c>
      <c r="AA615" s="55">
        <f>IF(AND(A615="", B615="", E615=""), "", IF(AB615="", "Válido", IF((LEN(AB615)-LEN(SUBSTITUTE(AB615,"; ","")))/2+1&gt;(LEN(AB615)-LEN(SUBSTITUTE(AB615,"[Aviso]","")))/7, "Con Incidencias", "Válido")))</f>
        <v/>
      </c>
      <c r="AB615" s="56">
        <f>IF(AND(A615="", B615="", E615=""), "", TEXTJOIN("; ", TRUE, IF(OR(TRIM(A615&amp;"")="", ISNUMBER(SEARCH("FALTA", A615))), "UPC faltante/inválido", ""), IF(AND(A615&lt;&gt;"", IFERROR(_xlfn.XMATCH(A615,$A$2:$A$2509,0,1)&lt;&gt;_xlfn.XMATCH(A615,$A$2:$A$2509,0,-1),FALSE)), "Código de barras duplicado", ""), IF(AND(E615&lt;&gt;"", COUNTIF($E$2:$E$2509, E615)&gt;1), "SKU duplicado", ""), IF(OR(J615="", J615=""), "[Aviso] División no capturada ()", IF(ISNA(MATCH(J615, Criterios!$A$123:$A$126, 0)), "División no válida", "")), IF(OR(K615="", K615=""), "[Aviso] Categoría no capturada ()", IF(ISNA(MATCH(K615, Criterios!$A$81:$A$120, 0)), "Categoría no válida", IF(AND(J615&lt;&gt;"", J615&lt;&gt;"", J615&lt;&gt;VLOOKUP(K615, Criterios!$A$81:$B$120, 2, FALSE)), "División no coincide con Categoría", ""))), IF(OR(L615="", L615=""), "[Aviso] Género no capturado ()", IF(ISNA(MATCH(L615, Criterios!$B$123:$B$127, 0)), "Género no válido", "")), IF(OR(N615="", N615=""), "[Aviso] Temporada no capturada ()", IF(ISNA(MATCH(N615, Criterios!$C$123:$C$128, 0)), "Temporada no válida", "")), IF(OR(O615="", O615=""), "[Aviso] Ciclo de vida no capturado ()", IF(ISNA(MATCH(O615, Criterios!$D$123:$D$124, 0)), "Ciclo de vida no válido", ""))))</f>
        <v/>
      </c>
      <c r="AC615" s="56" t="n"/>
      <c r="AD615" s="51" t="n">
        <v>-1</v>
      </c>
      <c r="AE615" s="156" t="n"/>
      <c r="AF615" s="51" t="n">
        <v>0</v>
      </c>
      <c r="AG615" s="156" t="inlineStr">
        <is>
          <t>Catálogo existente</t>
        </is>
      </c>
      <c r="AH615"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5" s="156" t="inlineStr">
        <is>
          <t>Sí</t>
        </is>
      </c>
      <c r="AJ615" s="156" t="inlineStr">
        <is>
          <t>STETSON AMERICAS (-1)</t>
        </is>
      </c>
      <c r="AK615" s="155" t="inlineStr">
        <is>
          <t>Criterios: I [Q]; G1522_Extraccion_Articulos_NetSuite_2026-09-30.xlsx: fila 59183 [R]</t>
        </is>
      </c>
      <c r="AL615" s="58" t="n">
        <v>724.5599999999999</v>
      </c>
      <c r="AM615" s="58" t="n">
        <v>4224.137931</v>
      </c>
      <c r="AN615" s="155" t="n"/>
      <c r="AO615" s="59" t="n"/>
      <c r="AP615" s="59" t="n"/>
      <c r="AQ615" s="59" t="n"/>
      <c r="AR615" s="155" t="n"/>
    </row>
    <row r="616">
      <c r="A616" s="50" t="inlineStr">
        <is>
          <t>12021001121031225</t>
        </is>
      </c>
      <c r="B616" s="51" t="inlineStr">
        <is>
          <t>111516</t>
        </is>
      </c>
      <c r="C616" s="156" t="inlineStr">
        <is>
          <t>Multimarca</t>
        </is>
      </c>
      <c r="D616" s="156" t="inlineStr">
        <is>
          <t>12-021-BS001-12-1031</t>
        </is>
      </c>
      <c r="E616" s="156" t="inlineStr">
        <is>
          <t>12-021-BS001-12-1031-225</t>
        </is>
      </c>
      <c r="F616" s="156" t="inlineStr">
        <is>
          <t>22.5</t>
        </is>
      </c>
      <c r="G616" s="156" t="inlineStr">
        <is>
          <t>5.5</t>
        </is>
      </c>
      <c r="H616" s="156" t="inlineStr">
        <is>
          <t>Stetson</t>
        </is>
      </c>
      <c r="I616" s="156" t="inlineStr">
        <is>
          <t>Bota Piel Negro</t>
        </is>
      </c>
      <c r="J616" s="156" t="inlineStr">
        <is>
          <t>Calzado</t>
        </is>
      </c>
      <c r="K616" s="156" t="inlineStr">
        <is>
          <t>Botas</t>
        </is>
      </c>
      <c r="L616" s="156" t="inlineStr">
        <is>
          <t>Mujer</t>
        </is>
      </c>
      <c r="M616" s="156" t="inlineStr">
        <is>
          <t>Stetson</t>
        </is>
      </c>
      <c r="N616" s="156" t="inlineStr">
        <is>
          <t>SS26</t>
        </is>
      </c>
      <c r="O616" s="156" t="inlineStr">
        <is>
          <t>Seasonal</t>
        </is>
      </c>
      <c r="P616" s="156" t="inlineStr">
        <is>
          <t>Negro</t>
        </is>
      </c>
      <c r="Q616" s="156" t="n"/>
      <c r="R616" s="156" t="inlineStr">
        <is>
          <t>Horma Agatha</t>
        </is>
      </c>
      <c r="S616" s="156" t="inlineStr">
        <is>
          <t>Piel bovina</t>
        </is>
      </c>
      <c r="T616" s="156" t="inlineStr">
        <is>
          <t>Bota Dama Piel bovina Clayton Negro Horma Agatha</t>
        </is>
      </c>
      <c r="U616" s="156" t="inlineStr">
        <is>
          <t>México</t>
        </is>
      </c>
      <c r="V616" s="156" t="inlineStr">
        <is>
          <t>PRS</t>
        </is>
      </c>
      <c r="W616" s="51" t="inlineStr">
        <is>
          <t>53111502</t>
        </is>
      </c>
      <c r="X616" s="156" t="n"/>
      <c r="Y616" s="54" t="n">
        <v>724.5599999999999</v>
      </c>
      <c r="Z616" s="54" t="n">
        <v>4224.137931</v>
      </c>
      <c r="AA616" s="55">
        <f>IF(AND(A616="", B616="", E616=""), "", IF(AB616="", "Válido", IF((LEN(AB616)-LEN(SUBSTITUTE(AB616,"; ","")))/2+1&gt;(LEN(AB616)-LEN(SUBSTITUTE(AB616,"[Aviso]","")))/7, "Con Incidencias", "Válido")))</f>
        <v/>
      </c>
      <c r="AB616" s="56">
        <f>IF(AND(A616="", B616="", E616=""), "", TEXTJOIN("; ", TRUE, IF(OR(TRIM(A616&amp;"")="", ISNUMBER(SEARCH("FALTA", A616))), "UPC faltante/inválido", ""), IF(AND(A616&lt;&gt;"", IFERROR(_xlfn.XMATCH(A616,$A$2:$A$2509,0,1)&lt;&gt;_xlfn.XMATCH(A616,$A$2:$A$2509,0,-1),FALSE)), "Código de barras duplicado", ""), IF(AND(E616&lt;&gt;"", COUNTIF($E$2:$E$2509, E616)&gt;1), "SKU duplicado", ""), IF(OR(J616="", J616=""), "[Aviso] División no capturada ()", IF(ISNA(MATCH(J616, Criterios!$A$123:$A$126, 0)), "División no válida", "")), IF(OR(K616="", K616=""), "[Aviso] Categoría no capturada ()", IF(ISNA(MATCH(K616, Criterios!$A$81:$A$120, 0)), "Categoría no válida", IF(AND(J616&lt;&gt;"", J616&lt;&gt;"", J616&lt;&gt;VLOOKUP(K616, Criterios!$A$81:$B$120, 2, FALSE)), "División no coincide con Categoría", ""))), IF(OR(L616="", L616=""), "[Aviso] Género no capturado ()", IF(ISNA(MATCH(L616, Criterios!$B$123:$B$127, 0)), "Género no válido", "")), IF(OR(N616="", N616=""), "[Aviso] Temporada no capturada ()", IF(ISNA(MATCH(N616, Criterios!$C$123:$C$128, 0)), "Temporada no válida", "")), IF(OR(O616="", O616=""), "[Aviso] Ciclo de vida no capturado ()", IF(ISNA(MATCH(O616, Criterios!$D$123:$D$124, 0)), "Ciclo de vida no válido", ""))))</f>
        <v/>
      </c>
      <c r="AC616" s="56" t="n"/>
      <c r="AD616" s="51" t="n">
        <v>0</v>
      </c>
      <c r="AE616" s="156" t="n"/>
      <c r="AF616" s="51" t="n">
        <v>0</v>
      </c>
      <c r="AG616" s="156" t="inlineStr">
        <is>
          <t>Catálogo existente</t>
        </is>
      </c>
      <c r="AH6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6" s="156" t="inlineStr">
        <is>
          <t>No</t>
        </is>
      </c>
      <c r="AJ616" s="156" t="n"/>
      <c r="AK616" s="155" t="inlineStr">
        <is>
          <t>Criterios: I [Q]; G1522_Extraccion_Articulos_NetSuite_2026-09-30.xlsx: fila 59191 [R] | Shopify Stetson: producto 15054564786539 / variante 53350557679979</t>
        </is>
      </c>
      <c r="AL616" s="58" t="n">
        <v>724.5599999999999</v>
      </c>
      <c r="AM616" s="58" t="n">
        <v>4224.137931</v>
      </c>
      <c r="AN616" s="155" t="inlineStr">
        <is>
          <t>Shopify Stetson México</t>
        </is>
      </c>
      <c r="AO616" s="59" t="n">
        <v>0</v>
      </c>
      <c r="AP616" s="59" t="n"/>
      <c r="AQ616" s="59" t="n"/>
      <c r="AR616" s="155" t="n"/>
    </row>
    <row r="617">
      <c r="A617" s="50" t="inlineStr">
        <is>
          <t>12021001121031235</t>
        </is>
      </c>
      <c r="B617" s="51" t="inlineStr">
        <is>
          <t>111517</t>
        </is>
      </c>
      <c r="C617" s="156" t="inlineStr">
        <is>
          <t>Multimarca</t>
        </is>
      </c>
      <c r="D617" s="156" t="inlineStr">
        <is>
          <t>12-021-BS001-12-1031</t>
        </is>
      </c>
      <c r="E617" s="156" t="inlineStr">
        <is>
          <t>12-021-BS001-12-1031-235</t>
        </is>
      </c>
      <c r="F617" s="156" t="inlineStr">
        <is>
          <t>23.5</t>
        </is>
      </c>
      <c r="G617" s="156" t="inlineStr">
        <is>
          <t>6.5</t>
        </is>
      </c>
      <c r="H617" s="156" t="inlineStr">
        <is>
          <t>Stetson</t>
        </is>
      </c>
      <c r="I617" s="156" t="inlineStr">
        <is>
          <t>Bota Piel Negro</t>
        </is>
      </c>
      <c r="J617" s="156" t="inlineStr">
        <is>
          <t>Calzado</t>
        </is>
      </c>
      <c r="K617" s="156" t="inlineStr">
        <is>
          <t>Botas</t>
        </is>
      </c>
      <c r="L617" s="156" t="inlineStr">
        <is>
          <t>Mujer</t>
        </is>
      </c>
      <c r="M617" s="156" t="inlineStr">
        <is>
          <t>Stetson</t>
        </is>
      </c>
      <c r="N617" s="156" t="inlineStr">
        <is>
          <t>SS26</t>
        </is>
      </c>
      <c r="O617" s="156" t="inlineStr">
        <is>
          <t>Seasonal</t>
        </is>
      </c>
      <c r="P617" s="156" t="inlineStr">
        <is>
          <t>Negro</t>
        </is>
      </c>
      <c r="Q617" s="156" t="n"/>
      <c r="R617" s="156" t="inlineStr">
        <is>
          <t>Horma Agatha</t>
        </is>
      </c>
      <c r="S617" s="156" t="inlineStr">
        <is>
          <t>Piel bovina</t>
        </is>
      </c>
      <c r="T617" s="156" t="inlineStr">
        <is>
          <t>Bota Dama Piel bovina Clayton Negro Horma Agatha</t>
        </is>
      </c>
      <c r="U617" s="156" t="inlineStr">
        <is>
          <t>México</t>
        </is>
      </c>
      <c r="V617" s="156" t="inlineStr">
        <is>
          <t>PRS</t>
        </is>
      </c>
      <c r="W617" s="51" t="inlineStr">
        <is>
          <t>53111502</t>
        </is>
      </c>
      <c r="X617" s="156" t="n"/>
      <c r="Y617" s="54" t="n">
        <v>724.5599999999999</v>
      </c>
      <c r="Z617" s="54" t="n">
        <v>4224.137931</v>
      </c>
      <c r="AA617" s="55">
        <f>IF(AND(A617="", B617="", E617=""), "", IF(AB617="", "Válido", IF((LEN(AB617)-LEN(SUBSTITUTE(AB617,"; ","")))/2+1&gt;(LEN(AB617)-LEN(SUBSTITUTE(AB617,"[Aviso]","")))/7, "Con Incidencias", "Válido")))</f>
        <v/>
      </c>
      <c r="AB617" s="56">
        <f>IF(AND(A617="", B617="", E617=""), "", TEXTJOIN("; ", TRUE, IF(OR(TRIM(A617&amp;"")="", ISNUMBER(SEARCH("FALTA", A617))), "UPC faltante/inválido", ""), IF(AND(A617&lt;&gt;"", IFERROR(_xlfn.XMATCH(A617,$A$2:$A$2509,0,1)&lt;&gt;_xlfn.XMATCH(A617,$A$2:$A$2509,0,-1),FALSE)), "Código de barras duplicado", ""), IF(AND(E617&lt;&gt;"", COUNTIF($E$2:$E$2509, E617)&gt;1), "SKU duplicado", ""), IF(OR(J617="", J617=""), "[Aviso] División no capturada ()", IF(ISNA(MATCH(J617, Criterios!$A$123:$A$126, 0)), "División no válida", "")), IF(OR(K617="", K617=""), "[Aviso] Categoría no capturada ()", IF(ISNA(MATCH(K617, Criterios!$A$81:$A$120, 0)), "Categoría no válida", IF(AND(J617&lt;&gt;"", J617&lt;&gt;"", J617&lt;&gt;VLOOKUP(K617, Criterios!$A$81:$B$120, 2, FALSE)), "División no coincide con Categoría", ""))), IF(OR(L617="", L617=""), "[Aviso] Género no capturado ()", IF(ISNA(MATCH(L617, Criterios!$B$123:$B$127, 0)), "Género no válido", "")), IF(OR(N617="", N617=""), "[Aviso] Temporada no capturada ()", IF(ISNA(MATCH(N617, Criterios!$C$123:$C$128, 0)), "Temporada no válida", "")), IF(OR(O617="", O617=""), "[Aviso] Ciclo de vida no capturado ()", IF(ISNA(MATCH(O617, Criterios!$D$123:$D$124, 0)), "Ciclo de vida no válido", ""))))</f>
        <v/>
      </c>
      <c r="AC617" s="56" t="n"/>
      <c r="AD617" s="51" t="n">
        <v>0</v>
      </c>
      <c r="AE617" s="156" t="n"/>
      <c r="AF617" s="51" t="n">
        <v>0</v>
      </c>
      <c r="AG617" s="156" t="inlineStr">
        <is>
          <t>Catálogo existente</t>
        </is>
      </c>
      <c r="AH6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7" s="156" t="inlineStr">
        <is>
          <t>No</t>
        </is>
      </c>
      <c r="AJ617" s="156" t="n"/>
      <c r="AK617" s="155" t="inlineStr">
        <is>
          <t>Criterios: I [Q]; G1522_Extraccion_Articulos_NetSuite_2026-09-30.xlsx: fila 59192 [R] | Shopify Stetson: producto 15054564786539 / variante 53350557745515</t>
        </is>
      </c>
      <c r="AL617" s="58" t="n">
        <v>724.5599999999999</v>
      </c>
      <c r="AM617" s="58" t="n">
        <v>4224.137931</v>
      </c>
      <c r="AN617" s="155" t="inlineStr">
        <is>
          <t>Shopify Stetson México</t>
        </is>
      </c>
      <c r="AO617" s="59" t="n">
        <v>1</v>
      </c>
      <c r="AP617" s="59" t="n"/>
      <c r="AQ617" s="59" t="n"/>
      <c r="AR617" s="155" t="inlineStr">
        <is>
          <t>Shopify Stetson México › Stetson Americas: 1</t>
        </is>
      </c>
    </row>
    <row r="618">
      <c r="A618" s="50" t="inlineStr">
        <is>
          <t>12021001121031245</t>
        </is>
      </c>
      <c r="B618" s="51" t="inlineStr">
        <is>
          <t>111518</t>
        </is>
      </c>
      <c r="C618" s="156" t="inlineStr">
        <is>
          <t>Multimarca</t>
        </is>
      </c>
      <c r="D618" s="156" t="inlineStr">
        <is>
          <t>12-021-BS001-12-1031</t>
        </is>
      </c>
      <c r="E618" s="156" t="inlineStr">
        <is>
          <t>12-021-BS001-12-1031-245</t>
        </is>
      </c>
      <c r="F618" s="156" t="inlineStr">
        <is>
          <t>24.5</t>
        </is>
      </c>
      <c r="G618" s="156" t="inlineStr">
        <is>
          <t>7.5</t>
        </is>
      </c>
      <c r="H618" s="156" t="inlineStr">
        <is>
          <t>Stetson</t>
        </is>
      </c>
      <c r="I618" s="156" t="inlineStr">
        <is>
          <t>Bota Piel Negro</t>
        </is>
      </c>
      <c r="J618" s="156" t="inlineStr">
        <is>
          <t>Calzado</t>
        </is>
      </c>
      <c r="K618" s="156" t="inlineStr">
        <is>
          <t>Botas</t>
        </is>
      </c>
      <c r="L618" s="156" t="inlineStr">
        <is>
          <t>Mujer</t>
        </is>
      </c>
      <c r="M618" s="156" t="inlineStr">
        <is>
          <t>Stetson</t>
        </is>
      </c>
      <c r="N618" s="156" t="inlineStr">
        <is>
          <t>SS26</t>
        </is>
      </c>
      <c r="O618" s="156" t="inlineStr">
        <is>
          <t>Seasonal</t>
        </is>
      </c>
      <c r="P618" s="156" t="inlineStr">
        <is>
          <t>Negro</t>
        </is>
      </c>
      <c r="Q618" s="156" t="n"/>
      <c r="R618" s="156" t="inlineStr">
        <is>
          <t>Horma Agatha</t>
        </is>
      </c>
      <c r="S618" s="156" t="inlineStr">
        <is>
          <t>Piel bovina</t>
        </is>
      </c>
      <c r="T618" s="156" t="inlineStr">
        <is>
          <t>Bota Dama Piel bovina Clayton Negro Horma Agatha</t>
        </is>
      </c>
      <c r="U618" s="156" t="inlineStr">
        <is>
          <t>México</t>
        </is>
      </c>
      <c r="V618" s="156" t="inlineStr">
        <is>
          <t>PRS</t>
        </is>
      </c>
      <c r="W618" s="51" t="inlineStr">
        <is>
          <t>53111502</t>
        </is>
      </c>
      <c r="X618" s="156" t="n"/>
      <c r="Y618" s="54" t="n">
        <v>724.5599999999999</v>
      </c>
      <c r="Z618" s="54" t="n">
        <v>4224.137931</v>
      </c>
      <c r="AA618" s="55">
        <f>IF(AND(A618="", B618="", E618=""), "", IF(AB618="", "Válido", IF((LEN(AB618)-LEN(SUBSTITUTE(AB618,"; ","")))/2+1&gt;(LEN(AB618)-LEN(SUBSTITUTE(AB618,"[Aviso]","")))/7, "Con Incidencias", "Válido")))</f>
        <v/>
      </c>
      <c r="AB618" s="56">
        <f>IF(AND(A618="", B618="", E618=""), "", TEXTJOIN("; ", TRUE, IF(OR(TRIM(A618&amp;"")="", ISNUMBER(SEARCH("FALTA", A618))), "UPC faltante/inválido", ""), IF(AND(A618&lt;&gt;"", IFERROR(_xlfn.XMATCH(A618,$A$2:$A$2509,0,1)&lt;&gt;_xlfn.XMATCH(A618,$A$2:$A$2509,0,-1),FALSE)), "Código de barras duplicado", ""), IF(AND(E618&lt;&gt;"", COUNTIF($E$2:$E$2509, E618)&gt;1), "SKU duplicado", ""), IF(OR(J618="", J618=""), "[Aviso] División no capturada ()", IF(ISNA(MATCH(J618, Criterios!$A$123:$A$126, 0)), "División no válida", "")), IF(OR(K618="", K618=""), "[Aviso] Categoría no capturada ()", IF(ISNA(MATCH(K618, Criterios!$A$81:$A$120, 0)), "Categoría no válida", IF(AND(J618&lt;&gt;"", J618&lt;&gt;"", J618&lt;&gt;VLOOKUP(K618, Criterios!$A$81:$B$120, 2, FALSE)), "División no coincide con Categoría", ""))), IF(OR(L618="", L618=""), "[Aviso] Género no capturado ()", IF(ISNA(MATCH(L618, Criterios!$B$123:$B$127, 0)), "Género no válido", "")), IF(OR(N618="", N618=""), "[Aviso] Temporada no capturada ()", IF(ISNA(MATCH(N618, Criterios!$C$123:$C$128, 0)), "Temporada no válida", "")), IF(OR(O618="", O618=""), "[Aviso] Ciclo de vida no capturado ()", IF(ISNA(MATCH(O618, Criterios!$D$123:$D$124, 0)), "Ciclo de vida no válido", ""))))</f>
        <v/>
      </c>
      <c r="AC618" s="56" t="n"/>
      <c r="AD618" s="51" t="n">
        <v>-2</v>
      </c>
      <c r="AE618" s="156" t="n"/>
      <c r="AF618" s="51" t="n">
        <v>0</v>
      </c>
      <c r="AG618" s="156" t="inlineStr">
        <is>
          <t>Catálogo existente</t>
        </is>
      </c>
      <c r="AH61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8" s="156" t="inlineStr">
        <is>
          <t>Sí</t>
        </is>
      </c>
      <c r="AJ618" s="156" t="inlineStr">
        <is>
          <t>STETSON AMERICAS (-2)</t>
        </is>
      </c>
      <c r="AK618" s="155" t="inlineStr">
        <is>
          <t>Criterios: I [Q]; G1522_Extraccion_Articulos_NetSuite_2026-09-30.xlsx: fila 59193 [R] | Shopify Stetson: producto 15054564786539 / variante 53350557811051</t>
        </is>
      </c>
      <c r="AL618" s="58" t="n">
        <v>724.5599999999999</v>
      </c>
      <c r="AM618" s="58" t="n">
        <v>4224.137931</v>
      </c>
      <c r="AN618" s="155" t="inlineStr">
        <is>
          <t>Shopify Stetson México</t>
        </is>
      </c>
      <c r="AO618" s="59" t="n">
        <v>0</v>
      </c>
      <c r="AP618" s="59" t="n"/>
      <c r="AQ618" s="59" t="n"/>
      <c r="AR618" s="155" t="n"/>
    </row>
    <row r="619">
      <c r="A619" s="50" t="inlineStr">
        <is>
          <t>12021001121031255</t>
        </is>
      </c>
      <c r="B619" s="51" t="inlineStr">
        <is>
          <t>111509</t>
        </is>
      </c>
      <c r="C619" s="156" t="inlineStr">
        <is>
          <t>Multimarca</t>
        </is>
      </c>
      <c r="D619" s="156" t="inlineStr">
        <is>
          <t>12-021-BS001-12-1031</t>
        </is>
      </c>
      <c r="E619" s="156" t="inlineStr">
        <is>
          <t>12-021-BS001-12-1031-255</t>
        </is>
      </c>
      <c r="F619" s="156" t="inlineStr">
        <is>
          <t>25.5</t>
        </is>
      </c>
      <c r="G619" s="156" t="inlineStr">
        <is>
          <t>8.5</t>
        </is>
      </c>
      <c r="H619" s="156" t="inlineStr">
        <is>
          <t>Stetson</t>
        </is>
      </c>
      <c r="I619" s="156" t="inlineStr">
        <is>
          <t>Bota Piel Negro</t>
        </is>
      </c>
      <c r="J619" s="156" t="inlineStr">
        <is>
          <t>Calzado</t>
        </is>
      </c>
      <c r="K619" s="156" t="inlineStr">
        <is>
          <t>Botas</t>
        </is>
      </c>
      <c r="L619" s="156" t="inlineStr">
        <is>
          <t>Mujer</t>
        </is>
      </c>
      <c r="M619" s="156" t="inlineStr">
        <is>
          <t>Stetson</t>
        </is>
      </c>
      <c r="N619" s="156" t="inlineStr">
        <is>
          <t>SS26</t>
        </is>
      </c>
      <c r="O619" s="156" t="inlineStr">
        <is>
          <t>Seasonal</t>
        </is>
      </c>
      <c r="P619" s="156" t="inlineStr">
        <is>
          <t>Negro</t>
        </is>
      </c>
      <c r="Q619" s="156" t="n"/>
      <c r="R619" s="156" t="inlineStr">
        <is>
          <t>Horma Agatha</t>
        </is>
      </c>
      <c r="S619" s="156" t="inlineStr">
        <is>
          <t>Piel bovina</t>
        </is>
      </c>
      <c r="T619" s="156" t="inlineStr">
        <is>
          <t>Bota Dama Piel bovina Clayton Negro Horma Agatha</t>
        </is>
      </c>
      <c r="U619" s="156" t="inlineStr">
        <is>
          <t>México</t>
        </is>
      </c>
      <c r="V619" s="156" t="inlineStr">
        <is>
          <t>PRS</t>
        </is>
      </c>
      <c r="W619" s="51" t="inlineStr">
        <is>
          <t>53111502</t>
        </is>
      </c>
      <c r="X619" s="156" t="n"/>
      <c r="Y619" s="54" t="n">
        <v>724.5599999999999</v>
      </c>
      <c r="Z619" s="54" t="n">
        <v>4224.137931</v>
      </c>
      <c r="AA619" s="55">
        <f>IF(AND(A619="", B619="", E619=""), "", IF(AB619="", "Válido", IF((LEN(AB619)-LEN(SUBSTITUTE(AB619,"; ","")))/2+1&gt;(LEN(AB619)-LEN(SUBSTITUTE(AB619,"[Aviso]","")))/7, "Con Incidencias", "Válido")))</f>
        <v/>
      </c>
      <c r="AB619" s="56">
        <f>IF(AND(A619="", B619="", E619=""), "", TEXTJOIN("; ", TRUE, IF(OR(TRIM(A619&amp;"")="", ISNUMBER(SEARCH("FALTA", A619))), "UPC faltante/inválido", ""), IF(AND(A619&lt;&gt;"", IFERROR(_xlfn.XMATCH(A619,$A$2:$A$2509,0,1)&lt;&gt;_xlfn.XMATCH(A619,$A$2:$A$2509,0,-1),FALSE)), "Código de barras duplicado", ""), IF(AND(E619&lt;&gt;"", COUNTIF($E$2:$E$2509, E619)&gt;1), "SKU duplicado", ""), IF(OR(J619="", J619=""), "[Aviso] División no capturada ()", IF(ISNA(MATCH(J619, Criterios!$A$123:$A$126, 0)), "División no válida", "")), IF(OR(K619="", K619=""), "[Aviso] Categoría no capturada ()", IF(ISNA(MATCH(K619, Criterios!$A$81:$A$120, 0)), "Categoría no válida", IF(AND(J619&lt;&gt;"", J619&lt;&gt;"", J619&lt;&gt;VLOOKUP(K619, Criterios!$A$81:$B$120, 2, FALSE)), "División no coincide con Categoría", ""))), IF(OR(L619="", L619=""), "[Aviso] Género no capturado ()", IF(ISNA(MATCH(L619, Criterios!$B$123:$B$127, 0)), "Género no válido", "")), IF(OR(N619="", N619=""), "[Aviso] Temporada no capturada ()", IF(ISNA(MATCH(N619, Criterios!$C$123:$C$128, 0)), "Temporada no válida", "")), IF(OR(O619="", O619=""), "[Aviso] Ciclo de vida no capturado ()", IF(ISNA(MATCH(O619, Criterios!$D$123:$D$124, 0)), "Ciclo de vida no válido", ""))))</f>
        <v/>
      </c>
      <c r="AC619" s="56" t="n"/>
      <c r="AD619" s="51" t="n">
        <v>-2</v>
      </c>
      <c r="AE619" s="156" t="n"/>
      <c r="AF619" s="51" t="n">
        <v>0</v>
      </c>
      <c r="AG619" s="156" t="inlineStr">
        <is>
          <t>Catálogo existente</t>
        </is>
      </c>
      <c r="AH619"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9" s="156" t="inlineStr">
        <is>
          <t>Sí</t>
        </is>
      </c>
      <c r="AJ619" s="156" t="inlineStr">
        <is>
          <t>STETSON AMERICAS (-2)</t>
        </is>
      </c>
      <c r="AK619" s="155" t="inlineStr">
        <is>
          <t>Criterios: I [Q]; G1522_Extraccion_Articulos_NetSuite_2026-09-30.xlsx: fila 59184 [R]</t>
        </is>
      </c>
      <c r="AL619" s="58" t="n">
        <v>724.5599999999999</v>
      </c>
      <c r="AM619" s="58" t="n">
        <v>4224.137931</v>
      </c>
      <c r="AN619" s="155" t="n"/>
      <c r="AO619" s="59" t="n"/>
      <c r="AP619" s="59" t="n"/>
      <c r="AQ619" s="59" t="n"/>
      <c r="AR619" s="155" t="n"/>
    </row>
    <row r="620">
      <c r="A620" s="50" t="inlineStr">
        <is>
          <t>12021001121031265</t>
        </is>
      </c>
      <c r="B620" s="51" t="inlineStr">
        <is>
          <t>111510</t>
        </is>
      </c>
      <c r="C620" s="156" t="inlineStr">
        <is>
          <t>Multimarca</t>
        </is>
      </c>
      <c r="D620" s="156" t="inlineStr">
        <is>
          <t>12-021-BS001-12-1031</t>
        </is>
      </c>
      <c r="E620" s="156" t="inlineStr">
        <is>
          <t>12-021-BS001-12-1031-265</t>
        </is>
      </c>
      <c r="F620" s="156" t="inlineStr">
        <is>
          <t>26.5</t>
        </is>
      </c>
      <c r="G620" s="156" t="inlineStr">
        <is>
          <t>9.5</t>
        </is>
      </c>
      <c r="H620" s="156" t="inlineStr">
        <is>
          <t>Stetson</t>
        </is>
      </c>
      <c r="I620" s="156" t="inlineStr">
        <is>
          <t>Bota Piel Negro</t>
        </is>
      </c>
      <c r="J620" s="156" t="inlineStr">
        <is>
          <t>Calzado</t>
        </is>
      </c>
      <c r="K620" s="156" t="inlineStr">
        <is>
          <t>Botas</t>
        </is>
      </c>
      <c r="L620" s="156" t="inlineStr">
        <is>
          <t>Mujer</t>
        </is>
      </c>
      <c r="M620" s="156" t="inlineStr">
        <is>
          <t>Stetson</t>
        </is>
      </c>
      <c r="N620" s="156" t="inlineStr">
        <is>
          <t>SS26</t>
        </is>
      </c>
      <c r="O620" s="156" t="inlineStr">
        <is>
          <t>Seasonal</t>
        </is>
      </c>
      <c r="P620" s="156" t="inlineStr">
        <is>
          <t>Negro</t>
        </is>
      </c>
      <c r="Q620" s="156" t="n"/>
      <c r="R620" s="156" t="inlineStr">
        <is>
          <t>Horma Agatha</t>
        </is>
      </c>
      <c r="S620" s="156" t="inlineStr">
        <is>
          <t>Piel bovina</t>
        </is>
      </c>
      <c r="T620" s="156" t="inlineStr">
        <is>
          <t>Bota Dama Piel bovina Clayton Negro Horma Agatha</t>
        </is>
      </c>
      <c r="U620" s="156" t="inlineStr">
        <is>
          <t>México</t>
        </is>
      </c>
      <c r="V620" s="156" t="inlineStr">
        <is>
          <t>PRS</t>
        </is>
      </c>
      <c r="W620" s="51" t="inlineStr">
        <is>
          <t>53111502</t>
        </is>
      </c>
      <c r="X620" s="156" t="n"/>
      <c r="Y620" s="54" t="n">
        <v>724.5599999999999</v>
      </c>
      <c r="Z620" s="54" t="n">
        <v>4224.137931</v>
      </c>
      <c r="AA620" s="55">
        <f>IF(AND(A620="", B620="", E620=""), "", IF(AB620="", "Válido", IF((LEN(AB620)-LEN(SUBSTITUTE(AB620,"; ","")))/2+1&gt;(LEN(AB620)-LEN(SUBSTITUTE(AB620,"[Aviso]","")))/7, "Con Incidencias", "Válido")))</f>
        <v/>
      </c>
      <c r="AB620" s="56">
        <f>IF(AND(A620="", B620="", E620=""), "", TEXTJOIN("; ", TRUE, IF(OR(TRIM(A620&amp;"")="", ISNUMBER(SEARCH("FALTA", A620))), "UPC faltante/inválido", ""), IF(AND(A620&lt;&gt;"", IFERROR(_xlfn.XMATCH(A620,$A$2:$A$2509,0,1)&lt;&gt;_xlfn.XMATCH(A620,$A$2:$A$2509,0,-1),FALSE)), "Código de barras duplicado", ""), IF(AND(E620&lt;&gt;"", COUNTIF($E$2:$E$2509, E620)&gt;1), "SKU duplicado", ""), IF(OR(J620="", J620=""), "[Aviso] División no capturada ()", IF(ISNA(MATCH(J620, Criterios!$A$123:$A$126, 0)), "División no válida", "")), IF(OR(K620="", K620=""), "[Aviso] Categoría no capturada ()", IF(ISNA(MATCH(K620, Criterios!$A$81:$A$120, 0)), "Categoría no válida", IF(AND(J620&lt;&gt;"", J620&lt;&gt;"", J620&lt;&gt;VLOOKUP(K620, Criterios!$A$81:$B$120, 2, FALSE)), "División no coincide con Categoría", ""))), IF(OR(L620="", L620=""), "[Aviso] Género no capturado ()", IF(ISNA(MATCH(L620, Criterios!$B$123:$B$127, 0)), "Género no válido", "")), IF(OR(N620="", N620=""), "[Aviso] Temporada no capturada ()", IF(ISNA(MATCH(N620, Criterios!$C$123:$C$128, 0)), "Temporada no válida", "")), IF(OR(O620="", O620=""), "[Aviso] Ciclo de vida no capturado ()", IF(ISNA(MATCH(O620, Criterios!$D$123:$D$124, 0)), "Ciclo de vida no válido", ""))))</f>
        <v/>
      </c>
      <c r="AC620" s="56" t="n"/>
      <c r="AD620" s="51" t="n">
        <v>-1</v>
      </c>
      <c r="AE620" s="156" t="n"/>
      <c r="AF620" s="51" t="n">
        <v>0</v>
      </c>
      <c r="AG620" s="156" t="inlineStr">
        <is>
          <t>Catálogo existente</t>
        </is>
      </c>
      <c r="AH620"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0" s="156" t="inlineStr">
        <is>
          <t>Sí</t>
        </is>
      </c>
      <c r="AJ620" s="156" t="inlineStr">
        <is>
          <t>STETSON AMERICAS (-1)</t>
        </is>
      </c>
      <c r="AK620" s="155" t="inlineStr">
        <is>
          <t>Criterios: I [Q]; G1522_Extraccion_Articulos_NetSuite_2026-09-30.xlsx: fila 59185 [R]</t>
        </is>
      </c>
      <c r="AL620" s="58" t="n">
        <v>724.5599999999999</v>
      </c>
      <c r="AM620" s="58" t="n">
        <v>4224.137931</v>
      </c>
      <c r="AN620" s="155" t="n"/>
      <c r="AO620" s="59" t="n"/>
      <c r="AP620" s="59" t="n"/>
      <c r="AQ620" s="59" t="n"/>
      <c r="AR620" s="155" t="n"/>
    </row>
    <row r="621">
      <c r="A621" s="50" t="inlineStr">
        <is>
          <t>12021001121031275</t>
        </is>
      </c>
      <c r="B621" s="51" t="inlineStr">
        <is>
          <t>111511</t>
        </is>
      </c>
      <c r="C621" s="156" t="inlineStr">
        <is>
          <t>Multimarca</t>
        </is>
      </c>
      <c r="D621" s="156" t="inlineStr">
        <is>
          <t>12-021-BS001-12-1031</t>
        </is>
      </c>
      <c r="E621" s="156" t="inlineStr">
        <is>
          <t>12-021-BS001-12-1031-275</t>
        </is>
      </c>
      <c r="F621" s="156" t="inlineStr">
        <is>
          <t>27.5</t>
        </is>
      </c>
      <c r="G621" s="156" t="inlineStr">
        <is>
          <t>10.5</t>
        </is>
      </c>
      <c r="H621" s="156" t="inlineStr">
        <is>
          <t>Stetson</t>
        </is>
      </c>
      <c r="I621" s="156" t="inlineStr">
        <is>
          <t>Bota Piel Negro</t>
        </is>
      </c>
      <c r="J621" s="156" t="inlineStr">
        <is>
          <t>Calzado</t>
        </is>
      </c>
      <c r="K621" s="156" t="inlineStr">
        <is>
          <t>Botas</t>
        </is>
      </c>
      <c r="L621" s="156" t="inlineStr">
        <is>
          <t>Mujer</t>
        </is>
      </c>
      <c r="M621" s="156" t="inlineStr">
        <is>
          <t>Stetson</t>
        </is>
      </c>
      <c r="N621" s="156" t="inlineStr">
        <is>
          <t>SS26</t>
        </is>
      </c>
      <c r="O621" s="156" t="inlineStr">
        <is>
          <t>Seasonal</t>
        </is>
      </c>
      <c r="P621" s="156" t="inlineStr">
        <is>
          <t>Negro</t>
        </is>
      </c>
      <c r="Q621" s="156" t="n"/>
      <c r="R621" s="156" t="inlineStr">
        <is>
          <t>Horma Agatha</t>
        </is>
      </c>
      <c r="S621" s="156" t="inlineStr">
        <is>
          <t>Piel bovina</t>
        </is>
      </c>
      <c r="T621" s="156" t="inlineStr">
        <is>
          <t>Bota Dama Piel bovina Clayton Negro Horma Agatha</t>
        </is>
      </c>
      <c r="U621" s="156" t="inlineStr">
        <is>
          <t>México</t>
        </is>
      </c>
      <c r="V621" s="156" t="inlineStr">
        <is>
          <t>PRS</t>
        </is>
      </c>
      <c r="W621" s="51" t="inlineStr">
        <is>
          <t>53111502</t>
        </is>
      </c>
      <c r="X621" s="156" t="n"/>
      <c r="Y621" s="54" t="n">
        <v>724.5599999999999</v>
      </c>
      <c r="Z621" s="54" t="n">
        <v>4224.137931</v>
      </c>
      <c r="AA621" s="55">
        <f>IF(AND(A621="", B621="", E621=""), "", IF(AB621="", "Válido", IF((LEN(AB621)-LEN(SUBSTITUTE(AB621,"; ","")))/2+1&gt;(LEN(AB621)-LEN(SUBSTITUTE(AB621,"[Aviso]","")))/7, "Con Incidencias", "Válido")))</f>
        <v/>
      </c>
      <c r="AB621" s="56">
        <f>IF(AND(A621="", B621="", E621=""), "", TEXTJOIN("; ", TRUE, IF(OR(TRIM(A621&amp;"")="", ISNUMBER(SEARCH("FALTA", A621))), "UPC faltante/inválido", ""), IF(AND(A621&lt;&gt;"", IFERROR(_xlfn.XMATCH(A621,$A$2:$A$2509,0,1)&lt;&gt;_xlfn.XMATCH(A621,$A$2:$A$2509,0,-1),FALSE)), "Código de barras duplicado", ""), IF(AND(E621&lt;&gt;"", COUNTIF($E$2:$E$2509, E621)&gt;1), "SKU duplicado", ""), IF(OR(J621="", J621=""), "[Aviso] División no capturada ()", IF(ISNA(MATCH(J621, Criterios!$A$123:$A$126, 0)), "División no válida", "")), IF(OR(K621="", K621=""), "[Aviso] Categoría no capturada ()", IF(ISNA(MATCH(K621, Criterios!$A$81:$A$120, 0)), "Categoría no válida", IF(AND(J621&lt;&gt;"", J621&lt;&gt;"", J621&lt;&gt;VLOOKUP(K621, Criterios!$A$81:$B$120, 2, FALSE)), "División no coincide con Categoría", ""))), IF(OR(L621="", L621=""), "[Aviso] Género no capturado ()", IF(ISNA(MATCH(L621, Criterios!$B$123:$B$127, 0)), "Género no válido", "")), IF(OR(N621="", N621=""), "[Aviso] Temporada no capturada ()", IF(ISNA(MATCH(N621, Criterios!$C$123:$C$128, 0)), "Temporada no válida", "")), IF(OR(O621="", O621=""), "[Aviso] Ciclo de vida no capturado ()", IF(ISNA(MATCH(O621, Criterios!$D$123:$D$124, 0)), "Ciclo de vida no válido", ""))))</f>
        <v/>
      </c>
      <c r="AC621" s="56" t="n"/>
      <c r="AD621" s="51" t="n">
        <v>0</v>
      </c>
      <c r="AE621" s="156" t="n"/>
      <c r="AF621" s="51" t="n">
        <v>0</v>
      </c>
      <c r="AG621" s="156" t="inlineStr">
        <is>
          <t>Catálogo existente</t>
        </is>
      </c>
      <c r="AH62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1" s="156" t="inlineStr">
        <is>
          <t>No</t>
        </is>
      </c>
      <c r="AJ621" s="156" t="n"/>
      <c r="AK621" s="155" t="inlineStr">
        <is>
          <t>Criterios: I [Q]; G1522_Extraccion_Articulos_NetSuite_2026-09-30.xlsx: fila 59186 [R]</t>
        </is>
      </c>
      <c r="AL621" s="58" t="n">
        <v>724.5599999999999</v>
      </c>
      <c r="AM621" s="58" t="n">
        <v>4224.137931</v>
      </c>
      <c r="AN621" s="155" t="n"/>
      <c r="AO621" s="59" t="n"/>
      <c r="AP621" s="59" t="n"/>
      <c r="AQ621" s="59" t="n"/>
      <c r="AR621" s="155" t="n"/>
    </row>
    <row r="622">
      <c r="A622" s="50" t="inlineStr">
        <is>
          <t>12021001121032022</t>
        </is>
      </c>
      <c r="B622" s="51" t="inlineStr">
        <is>
          <t>111524</t>
        </is>
      </c>
      <c r="C622" s="156" t="inlineStr">
        <is>
          <t>Multimarca</t>
        </is>
      </c>
      <c r="D622" s="156" t="inlineStr">
        <is>
          <t>12-021-BS001-12-1032</t>
        </is>
      </c>
      <c r="E622" s="156" t="inlineStr">
        <is>
          <t>12-021-BS001-12-1032-022</t>
        </is>
      </c>
      <c r="F622" s="156" t="inlineStr">
        <is>
          <t>22</t>
        </is>
      </c>
      <c r="G622" s="156" t="inlineStr">
        <is>
          <t>5</t>
        </is>
      </c>
      <c r="H622" s="156" t="inlineStr">
        <is>
          <t>Stetson</t>
        </is>
      </c>
      <c r="I622" s="156" t="inlineStr">
        <is>
          <t>Bota Piel Vino</t>
        </is>
      </c>
      <c r="J622" s="156" t="inlineStr">
        <is>
          <t>Calzado</t>
        </is>
      </c>
      <c r="K622" s="156" t="inlineStr">
        <is>
          <t>Botas</t>
        </is>
      </c>
      <c r="L622" s="156" t="inlineStr">
        <is>
          <t>Mujer</t>
        </is>
      </c>
      <c r="M622" s="156" t="inlineStr">
        <is>
          <t>Stetson</t>
        </is>
      </c>
      <c r="N622" s="156" t="inlineStr">
        <is>
          <t>SS26</t>
        </is>
      </c>
      <c r="O622" s="156" t="inlineStr">
        <is>
          <t>Seasonal</t>
        </is>
      </c>
      <c r="P622" s="156" t="inlineStr">
        <is>
          <t>Rojo</t>
        </is>
      </c>
      <c r="Q622" s="156" t="n"/>
      <c r="R622" s="156" t="inlineStr">
        <is>
          <t>Horma Agatha</t>
        </is>
      </c>
      <c r="S622" s="156" t="inlineStr">
        <is>
          <t>Piel bovina</t>
        </is>
      </c>
      <c r="T622" s="156" t="inlineStr">
        <is>
          <t>Bota Dama Piel bovina Clayton Vino Horma Agatha</t>
        </is>
      </c>
      <c r="U622" s="156" t="inlineStr">
        <is>
          <t>México</t>
        </is>
      </c>
      <c r="V622" s="156" t="inlineStr">
        <is>
          <t>PRS</t>
        </is>
      </c>
      <c r="W622" s="51" t="inlineStr">
        <is>
          <t>53111502</t>
        </is>
      </c>
      <c r="X622" s="156" t="n"/>
      <c r="Y622" s="54" t="n">
        <v>724.5599999999999</v>
      </c>
      <c r="Z622" s="54" t="n">
        <v>4224.137931</v>
      </c>
      <c r="AA622" s="55">
        <f>IF(AND(A622="", B622="", E622=""), "", IF(AB622="", "Válido", IF((LEN(AB622)-LEN(SUBSTITUTE(AB622,"; ","")))/2+1&gt;(LEN(AB622)-LEN(SUBSTITUTE(AB622,"[Aviso]","")))/7, "Con Incidencias", "Válido")))</f>
        <v/>
      </c>
      <c r="AB622" s="56">
        <f>IF(AND(A622="", B622="", E622=""), "", TEXTJOIN("; ", TRUE, IF(OR(TRIM(A622&amp;"")="", ISNUMBER(SEARCH("FALTA", A622))), "UPC faltante/inválido", ""), IF(AND(A622&lt;&gt;"", IFERROR(_xlfn.XMATCH(A622,$A$2:$A$2509,0,1)&lt;&gt;_xlfn.XMATCH(A622,$A$2:$A$2509,0,-1),FALSE)), "Código de barras duplicado", ""), IF(AND(E622&lt;&gt;"", COUNTIF($E$2:$E$2509, E622)&gt;1), "SKU duplicado", ""), IF(OR(J622="", J622=""), "[Aviso] División no capturada ()", IF(ISNA(MATCH(J622, Criterios!$A$123:$A$126, 0)), "División no válida", "")), IF(OR(K622="", K622=""), "[Aviso] Categoría no capturada ()", IF(ISNA(MATCH(K622, Criterios!$A$81:$A$120, 0)), "Categoría no válida", IF(AND(J622&lt;&gt;"", J622&lt;&gt;"", J622&lt;&gt;VLOOKUP(K622, Criterios!$A$81:$B$120, 2, FALSE)), "División no coincide con Categoría", ""))), IF(OR(L622="", L622=""), "[Aviso] Género no capturado ()", IF(ISNA(MATCH(L622, Criterios!$B$123:$B$127, 0)), "Género no válido", "")), IF(OR(N622="", N622=""), "[Aviso] Temporada no capturada ()", IF(ISNA(MATCH(N622, Criterios!$C$123:$C$128, 0)), "Temporada no válida", "")), IF(OR(O622="", O622=""), "[Aviso] Ciclo de vida no capturado ()", IF(ISNA(MATCH(O622, Criterios!$D$123:$D$124, 0)), "Ciclo de vida no válido", ""))))</f>
        <v/>
      </c>
      <c r="AC622" s="56" t="n"/>
      <c r="AD622" s="51" t="n">
        <v>0</v>
      </c>
      <c r="AE622" s="156" t="n"/>
      <c r="AF622" s="51" t="n">
        <v>0</v>
      </c>
      <c r="AG622" s="156" t="inlineStr">
        <is>
          <t>Catálogo existente</t>
        </is>
      </c>
      <c r="AH6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2" s="156" t="inlineStr">
        <is>
          <t>No</t>
        </is>
      </c>
      <c r="AJ622" s="156" t="n"/>
      <c r="AK622" s="155" t="inlineStr">
        <is>
          <t>Criterios: I [Q]; G1522_Extraccion_Articulos_NetSuite_2026-09-30.xlsx: fila 59199 [R] | Shopify Stetson: producto 15054564819307 / variante 53350558040427</t>
        </is>
      </c>
      <c r="AL622" s="58" t="n">
        <v>724.5599999999999</v>
      </c>
      <c r="AM622" s="58" t="n">
        <v>4224.137931</v>
      </c>
      <c r="AN622" s="155" t="inlineStr">
        <is>
          <t>Shopify Stetson México</t>
        </is>
      </c>
      <c r="AO622" s="59" t="n">
        <v>0</v>
      </c>
      <c r="AP622" s="59" t="n"/>
      <c r="AQ622" s="59" t="n"/>
      <c r="AR622" s="155" t="n"/>
    </row>
    <row r="623">
      <c r="A623" s="50" t="inlineStr">
        <is>
          <t>12021001121032023</t>
        </is>
      </c>
      <c r="B623" s="51" t="inlineStr">
        <is>
          <t>111525</t>
        </is>
      </c>
      <c r="C623" s="156" t="inlineStr">
        <is>
          <t>Multimarca</t>
        </is>
      </c>
      <c r="D623" s="156" t="inlineStr">
        <is>
          <t>12-021-BS001-12-1032</t>
        </is>
      </c>
      <c r="E623" s="156" t="inlineStr">
        <is>
          <t>12-021-BS001-12-1032-023</t>
        </is>
      </c>
      <c r="F623" s="156" t="inlineStr">
        <is>
          <t>23</t>
        </is>
      </c>
      <c r="G623" s="156" t="inlineStr">
        <is>
          <t>6</t>
        </is>
      </c>
      <c r="H623" s="156" t="inlineStr">
        <is>
          <t>Stetson</t>
        </is>
      </c>
      <c r="I623" s="156" t="inlineStr">
        <is>
          <t>Bota Piel Vino</t>
        </is>
      </c>
      <c r="J623" s="156" t="inlineStr">
        <is>
          <t>Calzado</t>
        </is>
      </c>
      <c r="K623" s="156" t="inlineStr">
        <is>
          <t>Botas</t>
        </is>
      </c>
      <c r="L623" s="156" t="inlineStr">
        <is>
          <t>Mujer</t>
        </is>
      </c>
      <c r="M623" s="156" t="inlineStr">
        <is>
          <t>Stetson</t>
        </is>
      </c>
      <c r="N623" s="156" t="inlineStr">
        <is>
          <t>SS26</t>
        </is>
      </c>
      <c r="O623" s="156" t="inlineStr">
        <is>
          <t>Seasonal</t>
        </is>
      </c>
      <c r="P623" s="156" t="inlineStr">
        <is>
          <t>Rojo</t>
        </is>
      </c>
      <c r="Q623" s="156" t="n"/>
      <c r="R623" s="156" t="inlineStr">
        <is>
          <t>Horma Agatha</t>
        </is>
      </c>
      <c r="S623" s="156" t="inlineStr">
        <is>
          <t>Piel bovina</t>
        </is>
      </c>
      <c r="T623" s="156" t="inlineStr">
        <is>
          <t>Bota Dama Piel bovina Clayton Vino Horma Agatha</t>
        </is>
      </c>
      <c r="U623" s="156" t="inlineStr">
        <is>
          <t>México</t>
        </is>
      </c>
      <c r="V623" s="156" t="inlineStr">
        <is>
          <t>PRS</t>
        </is>
      </c>
      <c r="W623" s="51" t="inlineStr">
        <is>
          <t>53111502</t>
        </is>
      </c>
      <c r="X623" s="156" t="n"/>
      <c r="Y623" s="54" t="n">
        <v>724.5599999999999</v>
      </c>
      <c r="Z623" s="54" t="n">
        <v>4224.137931</v>
      </c>
      <c r="AA623" s="55">
        <f>IF(AND(A623="", B623="", E623=""), "", IF(AB623="", "Válido", IF((LEN(AB623)-LEN(SUBSTITUTE(AB623,"; ","")))/2+1&gt;(LEN(AB623)-LEN(SUBSTITUTE(AB623,"[Aviso]","")))/7, "Con Incidencias", "Válido")))</f>
        <v/>
      </c>
      <c r="AB623" s="56">
        <f>IF(AND(A623="", B623="", E623=""), "", TEXTJOIN("; ", TRUE, IF(OR(TRIM(A623&amp;"")="", ISNUMBER(SEARCH("FALTA", A623))), "UPC faltante/inválido", ""), IF(AND(A623&lt;&gt;"", IFERROR(_xlfn.XMATCH(A623,$A$2:$A$2509,0,1)&lt;&gt;_xlfn.XMATCH(A623,$A$2:$A$2509,0,-1),FALSE)), "Código de barras duplicado", ""), IF(AND(E623&lt;&gt;"", COUNTIF($E$2:$E$2509, E623)&gt;1), "SKU duplicado", ""), IF(OR(J623="", J623=""), "[Aviso] División no capturada ()", IF(ISNA(MATCH(J623, Criterios!$A$123:$A$126, 0)), "División no válida", "")), IF(OR(K623="", K623=""), "[Aviso] Categoría no capturada ()", IF(ISNA(MATCH(K623, Criterios!$A$81:$A$120, 0)), "Categoría no válida", IF(AND(J623&lt;&gt;"", J623&lt;&gt;"", J623&lt;&gt;VLOOKUP(K623, Criterios!$A$81:$B$120, 2, FALSE)), "División no coincide con Categoría", ""))), IF(OR(L623="", L623=""), "[Aviso] Género no capturado ()", IF(ISNA(MATCH(L623, Criterios!$B$123:$B$127, 0)), "Género no válido", "")), IF(OR(N623="", N623=""), "[Aviso] Temporada no capturada ()", IF(ISNA(MATCH(N623, Criterios!$C$123:$C$128, 0)), "Temporada no válida", "")), IF(OR(O623="", O623=""), "[Aviso] Ciclo de vida no capturado ()", IF(ISNA(MATCH(O623, Criterios!$D$123:$D$124, 0)), "Ciclo de vida no válido", ""))))</f>
        <v/>
      </c>
      <c r="AC623" s="56" t="n"/>
      <c r="AD623" s="51" t="n">
        <v>0</v>
      </c>
      <c r="AE623" s="156" t="n"/>
      <c r="AF623" s="51" t="n">
        <v>0</v>
      </c>
      <c r="AG623" s="156" t="inlineStr">
        <is>
          <t>Catálogo existente</t>
        </is>
      </c>
      <c r="AH6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3" s="156" t="inlineStr">
        <is>
          <t>No</t>
        </is>
      </c>
      <c r="AJ623" s="156" t="n"/>
      <c r="AK623" s="155" t="inlineStr">
        <is>
          <t>Criterios: I [Q]; G1522_Extraccion_Articulos_NetSuite_2026-09-30.xlsx: fila 59200 [R] | Shopify Stetson: producto 15054564819307 / variante 53350558105963</t>
        </is>
      </c>
      <c r="AL623" s="58" t="n">
        <v>724.5599999999999</v>
      </c>
      <c r="AM623" s="58" t="n">
        <v>4224.137931</v>
      </c>
      <c r="AN623" s="155" t="inlineStr">
        <is>
          <t>Shopify Stetson México</t>
        </is>
      </c>
      <c r="AO623" s="59" t="n">
        <v>0</v>
      </c>
      <c r="AP623" s="59" t="n"/>
      <c r="AQ623" s="59" t="n"/>
      <c r="AR623" s="155" t="n"/>
    </row>
    <row r="624">
      <c r="A624" s="50" t="inlineStr">
        <is>
          <t>12021001121032024</t>
        </is>
      </c>
      <c r="B624" s="51" t="inlineStr">
        <is>
          <t>111526</t>
        </is>
      </c>
      <c r="C624" s="156" t="inlineStr">
        <is>
          <t>Multimarca</t>
        </is>
      </c>
      <c r="D624" s="156" t="inlineStr">
        <is>
          <t>12-021-BS001-12-1032</t>
        </is>
      </c>
      <c r="E624" s="156" t="inlineStr">
        <is>
          <t>12-021-BS001-12-1032-024</t>
        </is>
      </c>
      <c r="F624" s="156" t="inlineStr">
        <is>
          <t>24</t>
        </is>
      </c>
      <c r="G624" s="156" t="inlineStr">
        <is>
          <t>7</t>
        </is>
      </c>
      <c r="H624" s="156" t="inlineStr">
        <is>
          <t>Stetson</t>
        </is>
      </c>
      <c r="I624" s="156" t="inlineStr">
        <is>
          <t>Bota Piel Vino</t>
        </is>
      </c>
      <c r="J624" s="156" t="inlineStr">
        <is>
          <t>Calzado</t>
        </is>
      </c>
      <c r="K624" s="156" t="inlineStr">
        <is>
          <t>Botas</t>
        </is>
      </c>
      <c r="L624" s="156" t="inlineStr">
        <is>
          <t>Mujer</t>
        </is>
      </c>
      <c r="M624" s="156" t="inlineStr">
        <is>
          <t>Stetson</t>
        </is>
      </c>
      <c r="N624" s="156" t="inlineStr">
        <is>
          <t>SS26</t>
        </is>
      </c>
      <c r="O624" s="156" t="inlineStr">
        <is>
          <t>Seasonal</t>
        </is>
      </c>
      <c r="P624" s="156" t="inlineStr">
        <is>
          <t>Rojo</t>
        </is>
      </c>
      <c r="Q624" s="156" t="n"/>
      <c r="R624" s="156" t="inlineStr">
        <is>
          <t>Horma Agatha</t>
        </is>
      </c>
      <c r="S624" s="156" t="inlineStr">
        <is>
          <t>Piel bovina</t>
        </is>
      </c>
      <c r="T624" s="156" t="inlineStr">
        <is>
          <t>Bota Dama Piel bovina Clayton Vino Horma Agatha</t>
        </is>
      </c>
      <c r="U624" s="156" t="inlineStr">
        <is>
          <t>México</t>
        </is>
      </c>
      <c r="V624" s="156" t="inlineStr">
        <is>
          <t>PRS</t>
        </is>
      </c>
      <c r="W624" s="51" t="inlineStr">
        <is>
          <t>53111502</t>
        </is>
      </c>
      <c r="X624" s="156" t="n"/>
      <c r="Y624" s="54" t="n">
        <v>724.5599999999999</v>
      </c>
      <c r="Z624" s="54" t="n">
        <v>4224.137931</v>
      </c>
      <c r="AA624" s="55">
        <f>IF(AND(A624="", B624="", E624=""), "", IF(AB624="", "Válido", IF((LEN(AB624)-LEN(SUBSTITUTE(AB624,"; ","")))/2+1&gt;(LEN(AB624)-LEN(SUBSTITUTE(AB624,"[Aviso]","")))/7, "Con Incidencias", "Válido")))</f>
        <v/>
      </c>
      <c r="AB624" s="56">
        <f>IF(AND(A624="", B624="", E624=""), "", TEXTJOIN("; ", TRUE, IF(OR(TRIM(A624&amp;"")="", ISNUMBER(SEARCH("FALTA", A624))), "UPC faltante/inválido", ""), IF(AND(A624&lt;&gt;"", IFERROR(_xlfn.XMATCH(A624,$A$2:$A$2509,0,1)&lt;&gt;_xlfn.XMATCH(A624,$A$2:$A$2509,0,-1),FALSE)), "Código de barras duplicado", ""), IF(AND(E624&lt;&gt;"", COUNTIF($E$2:$E$2509, E624)&gt;1), "SKU duplicado", ""), IF(OR(J624="", J624=""), "[Aviso] División no capturada ()", IF(ISNA(MATCH(J624, Criterios!$A$123:$A$126, 0)), "División no válida", "")), IF(OR(K624="", K624=""), "[Aviso] Categoría no capturada ()", IF(ISNA(MATCH(K624, Criterios!$A$81:$A$120, 0)), "Categoría no válida", IF(AND(J624&lt;&gt;"", J624&lt;&gt;"", J624&lt;&gt;VLOOKUP(K624, Criterios!$A$81:$B$120, 2, FALSE)), "División no coincide con Categoría", ""))), IF(OR(L624="", L624=""), "[Aviso] Género no capturado ()", IF(ISNA(MATCH(L624, Criterios!$B$123:$B$127, 0)), "Género no válido", "")), IF(OR(N624="", N624=""), "[Aviso] Temporada no capturada ()", IF(ISNA(MATCH(N624, Criterios!$C$123:$C$128, 0)), "Temporada no válida", "")), IF(OR(O624="", O624=""), "[Aviso] Ciclo de vida no capturado ()", IF(ISNA(MATCH(O624, Criterios!$D$123:$D$124, 0)), "Ciclo de vida no válido", ""))))</f>
        <v/>
      </c>
      <c r="AC624" s="56" t="n"/>
      <c r="AD624" s="51" t="n">
        <v>-1</v>
      </c>
      <c r="AE624" s="156" t="n"/>
      <c r="AF624" s="51" t="n">
        <v>0</v>
      </c>
      <c r="AG624" s="156" t="inlineStr">
        <is>
          <t>Catálogo existente</t>
        </is>
      </c>
      <c r="AH62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4" s="156" t="inlineStr">
        <is>
          <t>Sí</t>
        </is>
      </c>
      <c r="AJ624" s="156" t="inlineStr">
        <is>
          <t>STETSON AMERICAS (-1)</t>
        </is>
      </c>
      <c r="AK624" s="155" t="inlineStr">
        <is>
          <t>Criterios: I [Q]; G1522_Extraccion_Articulos_NetSuite_2026-09-30.xlsx: fila 59201 [R] | Shopify Stetson: producto 15054564819307 / variante 53350558171499</t>
        </is>
      </c>
      <c r="AL624" s="58" t="n">
        <v>724.5599999999999</v>
      </c>
      <c r="AM624" s="58" t="n">
        <v>4224.137931</v>
      </c>
      <c r="AN624" s="155" t="inlineStr">
        <is>
          <t>Shopify Stetson México</t>
        </is>
      </c>
      <c r="AO624" s="59" t="n">
        <v>-1</v>
      </c>
      <c r="AP624" s="59" t="n"/>
      <c r="AQ624" s="59" t="n"/>
      <c r="AR624" s="155" t="n"/>
    </row>
    <row r="625">
      <c r="A625" s="50" t="inlineStr">
        <is>
          <t>12021001121032025</t>
        </is>
      </c>
      <c r="B625" s="51" t="inlineStr">
        <is>
          <t>111527</t>
        </is>
      </c>
      <c r="C625" s="156" t="inlineStr">
        <is>
          <t>Multimarca</t>
        </is>
      </c>
      <c r="D625" s="156" t="inlineStr">
        <is>
          <t>12-021-BS001-12-1032</t>
        </is>
      </c>
      <c r="E625" s="156" t="inlineStr">
        <is>
          <t>12-021-BS001-12-1032-025</t>
        </is>
      </c>
      <c r="F625" s="156" t="inlineStr">
        <is>
          <t>25</t>
        </is>
      </c>
      <c r="G625" s="156" t="inlineStr">
        <is>
          <t>8</t>
        </is>
      </c>
      <c r="H625" s="156" t="inlineStr">
        <is>
          <t>Stetson</t>
        </is>
      </c>
      <c r="I625" s="156" t="inlineStr">
        <is>
          <t>Bota Piel Vino</t>
        </is>
      </c>
      <c r="J625" s="156" t="inlineStr">
        <is>
          <t>Calzado</t>
        </is>
      </c>
      <c r="K625" s="156" t="inlineStr">
        <is>
          <t>Botas</t>
        </is>
      </c>
      <c r="L625" s="156" t="inlineStr">
        <is>
          <t>Mujer</t>
        </is>
      </c>
      <c r="M625" s="156" t="inlineStr">
        <is>
          <t>Stetson</t>
        </is>
      </c>
      <c r="N625" s="156" t="inlineStr">
        <is>
          <t>SS26</t>
        </is>
      </c>
      <c r="O625" s="156" t="inlineStr">
        <is>
          <t>Seasonal</t>
        </is>
      </c>
      <c r="P625" s="156" t="inlineStr">
        <is>
          <t>Rojo</t>
        </is>
      </c>
      <c r="Q625" s="156" t="n"/>
      <c r="R625" s="156" t="inlineStr">
        <is>
          <t>Horma Agatha</t>
        </is>
      </c>
      <c r="S625" s="156" t="inlineStr">
        <is>
          <t>Piel bovina</t>
        </is>
      </c>
      <c r="T625" s="156" t="inlineStr">
        <is>
          <t>Bota Dama Piel bovina Clayton Vino Horma Agatha</t>
        </is>
      </c>
      <c r="U625" s="156" t="inlineStr">
        <is>
          <t>México</t>
        </is>
      </c>
      <c r="V625" s="156" t="inlineStr">
        <is>
          <t>PRS</t>
        </is>
      </c>
      <c r="W625" s="51" t="inlineStr">
        <is>
          <t>53111502</t>
        </is>
      </c>
      <c r="X625" s="156" t="n"/>
      <c r="Y625" s="54" t="n">
        <v>724.5599999999999</v>
      </c>
      <c r="Z625" s="54" t="n">
        <v>4224.137931</v>
      </c>
      <c r="AA625" s="55">
        <f>IF(AND(A625="", B625="", E625=""), "", IF(AB625="", "Válido", IF((LEN(AB625)-LEN(SUBSTITUTE(AB625,"; ","")))/2+1&gt;(LEN(AB625)-LEN(SUBSTITUTE(AB625,"[Aviso]","")))/7, "Con Incidencias", "Válido")))</f>
        <v/>
      </c>
      <c r="AB625" s="56">
        <f>IF(AND(A625="", B625="", E625=""), "", TEXTJOIN("; ", TRUE, IF(OR(TRIM(A625&amp;"")="", ISNUMBER(SEARCH("FALTA", A625))), "UPC faltante/inválido", ""), IF(AND(A625&lt;&gt;"", IFERROR(_xlfn.XMATCH(A625,$A$2:$A$2509,0,1)&lt;&gt;_xlfn.XMATCH(A625,$A$2:$A$2509,0,-1),FALSE)), "Código de barras duplicado", ""), IF(AND(E625&lt;&gt;"", COUNTIF($E$2:$E$2509, E625)&gt;1), "SKU duplicado", ""), IF(OR(J625="", J625=""), "[Aviso] División no capturada ()", IF(ISNA(MATCH(J625, Criterios!$A$123:$A$126, 0)), "División no válida", "")), IF(OR(K625="", K625=""), "[Aviso] Categoría no capturada ()", IF(ISNA(MATCH(K625, Criterios!$A$81:$A$120, 0)), "Categoría no válida", IF(AND(J625&lt;&gt;"", J625&lt;&gt;"", J625&lt;&gt;VLOOKUP(K625, Criterios!$A$81:$B$120, 2, FALSE)), "División no coincide con Categoría", ""))), IF(OR(L625="", L625=""), "[Aviso] Género no capturado ()", IF(ISNA(MATCH(L625, Criterios!$B$123:$B$127, 0)), "Género no válido", "")), IF(OR(N625="", N625=""), "[Aviso] Temporada no capturada ()", IF(ISNA(MATCH(N625, Criterios!$C$123:$C$128, 0)), "Temporada no válida", "")), IF(OR(O625="", O625=""), "[Aviso] Ciclo de vida no capturado ()", IF(ISNA(MATCH(O625, Criterios!$D$123:$D$124, 0)), "Ciclo de vida no válido", ""))))</f>
        <v/>
      </c>
      <c r="AC625" s="56" t="n"/>
      <c r="AD625" s="51" t="n">
        <v>1</v>
      </c>
      <c r="AE625" s="156" t="inlineStr">
        <is>
          <t>STETSON AMERICAS (1)</t>
        </is>
      </c>
      <c r="AF625" s="51" t="n">
        <v>1</v>
      </c>
      <c r="AG625" s="156" t="inlineStr">
        <is>
          <t>Catálogo existente</t>
        </is>
      </c>
      <c r="AH6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5" s="156" t="inlineStr">
        <is>
          <t>No</t>
        </is>
      </c>
      <c r="AJ625" s="156" t="n"/>
      <c r="AK625" s="155" t="inlineStr">
        <is>
          <t>Criterios: I [Q]; G1522_Extraccion_Articulos_NetSuite_2026-09-30.xlsx: fila 59202 [R] | Shopify Stetson: producto 15054564819307 / variante 53350558237035</t>
        </is>
      </c>
      <c r="AL625" s="58" t="n">
        <v>724.5599999999999</v>
      </c>
      <c r="AM625" s="58" t="n">
        <v>4224.137931</v>
      </c>
      <c r="AN625" s="155" t="inlineStr">
        <is>
          <t>Shopify Stetson México</t>
        </is>
      </c>
      <c r="AO625" s="59" t="n">
        <v>1</v>
      </c>
      <c r="AP625" s="59" t="n"/>
      <c r="AQ625" s="59" t="n"/>
      <c r="AR625" s="155" t="inlineStr">
        <is>
          <t>Shopify Stetson México › Stetson Americas: 1</t>
        </is>
      </c>
    </row>
    <row r="626">
      <c r="A626" s="50" t="inlineStr">
        <is>
          <t>12021001121032026</t>
        </is>
      </c>
      <c r="B626" s="51" t="inlineStr">
        <is>
          <t>111519</t>
        </is>
      </c>
      <c r="C626" s="156" t="inlineStr">
        <is>
          <t>Multimarca</t>
        </is>
      </c>
      <c r="D626" s="156" t="inlineStr">
        <is>
          <t>12-021-BS001-12-1032</t>
        </is>
      </c>
      <c r="E626" s="156" t="inlineStr">
        <is>
          <t>12-021-BS001-12-1032-026</t>
        </is>
      </c>
      <c r="F626" s="156" t="inlineStr">
        <is>
          <t>26</t>
        </is>
      </c>
      <c r="G626" s="156" t="inlineStr">
        <is>
          <t>9</t>
        </is>
      </c>
      <c r="H626" s="156" t="inlineStr">
        <is>
          <t>Stetson</t>
        </is>
      </c>
      <c r="I626" s="156" t="inlineStr">
        <is>
          <t>Bota Piel Vino</t>
        </is>
      </c>
      <c r="J626" s="156" t="inlineStr">
        <is>
          <t>Calzado</t>
        </is>
      </c>
      <c r="K626" s="156" t="inlineStr">
        <is>
          <t>Botas</t>
        </is>
      </c>
      <c r="L626" s="156" t="inlineStr">
        <is>
          <t>Mujer</t>
        </is>
      </c>
      <c r="M626" s="156" t="inlineStr">
        <is>
          <t>Stetson</t>
        </is>
      </c>
      <c r="N626" s="156" t="inlineStr">
        <is>
          <t>SS26</t>
        </is>
      </c>
      <c r="O626" s="156" t="inlineStr">
        <is>
          <t>Seasonal</t>
        </is>
      </c>
      <c r="P626" s="156" t="inlineStr">
        <is>
          <t>Rojo</t>
        </is>
      </c>
      <c r="Q626" s="156" t="n"/>
      <c r="R626" s="156" t="inlineStr">
        <is>
          <t>Horma Agatha</t>
        </is>
      </c>
      <c r="S626" s="156" t="inlineStr">
        <is>
          <t>Piel bovina</t>
        </is>
      </c>
      <c r="T626" s="156" t="inlineStr">
        <is>
          <t>Bota Dama Piel bovina Clayton Vino Horma Agatha</t>
        </is>
      </c>
      <c r="U626" s="156" t="inlineStr">
        <is>
          <t>México</t>
        </is>
      </c>
      <c r="V626" s="156" t="inlineStr">
        <is>
          <t>PRS</t>
        </is>
      </c>
      <c r="W626" s="51" t="inlineStr">
        <is>
          <t>53111502</t>
        </is>
      </c>
      <c r="X626" s="156" t="n"/>
      <c r="Y626" s="54" t="n">
        <v>724.5599999999999</v>
      </c>
      <c r="Z626" s="54" t="n">
        <v>4224.137931</v>
      </c>
      <c r="AA626" s="55">
        <f>IF(AND(A626="", B626="", E626=""), "", IF(AB626="", "Válido", IF((LEN(AB626)-LEN(SUBSTITUTE(AB626,"; ","")))/2+1&gt;(LEN(AB626)-LEN(SUBSTITUTE(AB626,"[Aviso]","")))/7, "Con Incidencias", "Válido")))</f>
        <v/>
      </c>
      <c r="AB626" s="56">
        <f>IF(AND(A626="", B626="", E626=""), "", TEXTJOIN("; ", TRUE, IF(OR(TRIM(A626&amp;"")="", ISNUMBER(SEARCH("FALTA", A626))), "UPC faltante/inválido", ""), IF(AND(A626&lt;&gt;"", IFERROR(_xlfn.XMATCH(A626,$A$2:$A$2509,0,1)&lt;&gt;_xlfn.XMATCH(A626,$A$2:$A$2509,0,-1),FALSE)), "Código de barras duplicado", ""), IF(AND(E626&lt;&gt;"", COUNTIF($E$2:$E$2509, E626)&gt;1), "SKU duplicado", ""), IF(OR(J626="", J626=""), "[Aviso] División no capturada ()", IF(ISNA(MATCH(J626, Criterios!$A$123:$A$126, 0)), "División no válida", "")), IF(OR(K626="", K626=""), "[Aviso] Categoría no capturada ()", IF(ISNA(MATCH(K626, Criterios!$A$81:$A$120, 0)), "Categoría no válida", IF(AND(J626&lt;&gt;"", J626&lt;&gt;"", J626&lt;&gt;VLOOKUP(K626, Criterios!$A$81:$B$120, 2, FALSE)), "División no coincide con Categoría", ""))), IF(OR(L626="", L626=""), "[Aviso] Género no capturado ()", IF(ISNA(MATCH(L626, Criterios!$B$123:$B$127, 0)), "Género no válido", "")), IF(OR(N626="", N626=""), "[Aviso] Temporada no capturada ()", IF(ISNA(MATCH(N626, Criterios!$C$123:$C$128, 0)), "Temporada no válida", "")), IF(OR(O626="", O626=""), "[Aviso] Ciclo de vida no capturado ()", IF(ISNA(MATCH(O626, Criterios!$D$123:$D$124, 0)), "Ciclo de vida no válido", ""))))</f>
        <v/>
      </c>
      <c r="AC626" s="56" t="n"/>
      <c r="AD626" s="51" t="n">
        <v>0</v>
      </c>
      <c r="AE626" s="156" t="n"/>
      <c r="AF626" s="51" t="n">
        <v>0</v>
      </c>
      <c r="AG626" s="156" t="inlineStr">
        <is>
          <t>Catálogo existente</t>
        </is>
      </c>
      <c r="AH62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6" s="156" t="inlineStr">
        <is>
          <t>No</t>
        </is>
      </c>
      <c r="AJ626" s="156" t="n"/>
      <c r="AK626" s="155" t="inlineStr">
        <is>
          <t>Criterios: I [Q]; G1522_Extraccion_Articulos_NetSuite_2026-09-30.xlsx: fila 59194 [R]</t>
        </is>
      </c>
      <c r="AL626" s="58" t="n">
        <v>724.5599999999999</v>
      </c>
      <c r="AM626" s="58" t="n">
        <v>4224.137931</v>
      </c>
      <c r="AN626" s="155" t="n"/>
      <c r="AO626" s="59" t="n"/>
      <c r="AP626" s="59" t="n"/>
      <c r="AQ626" s="59" t="n"/>
      <c r="AR626" s="155" t="n"/>
    </row>
    <row r="627">
      <c r="A627" s="50" t="inlineStr">
        <is>
          <t>12021001121032027</t>
        </is>
      </c>
      <c r="B627" s="51" t="inlineStr">
        <is>
          <t>111520</t>
        </is>
      </c>
      <c r="C627" s="156" t="inlineStr">
        <is>
          <t>Multimarca</t>
        </is>
      </c>
      <c r="D627" s="156" t="inlineStr">
        <is>
          <t>12-021-BS001-12-1032</t>
        </is>
      </c>
      <c r="E627" s="156" t="inlineStr">
        <is>
          <t>12-021-BS001-12-1032-027</t>
        </is>
      </c>
      <c r="F627" s="156" t="inlineStr">
        <is>
          <t>27</t>
        </is>
      </c>
      <c r="G627" s="156" t="inlineStr">
        <is>
          <t>10</t>
        </is>
      </c>
      <c r="H627" s="156" t="inlineStr">
        <is>
          <t>Stetson</t>
        </is>
      </c>
      <c r="I627" s="156" t="inlineStr">
        <is>
          <t>Bota Piel Vino</t>
        </is>
      </c>
      <c r="J627" s="156" t="inlineStr">
        <is>
          <t>Calzado</t>
        </is>
      </c>
      <c r="K627" s="156" t="inlineStr">
        <is>
          <t>Botas</t>
        </is>
      </c>
      <c r="L627" s="156" t="inlineStr">
        <is>
          <t>Mujer</t>
        </is>
      </c>
      <c r="M627" s="156" t="inlineStr">
        <is>
          <t>Stetson</t>
        </is>
      </c>
      <c r="N627" s="156" t="inlineStr">
        <is>
          <t>SS26</t>
        </is>
      </c>
      <c r="O627" s="156" t="inlineStr">
        <is>
          <t>Seasonal</t>
        </is>
      </c>
      <c r="P627" s="156" t="inlineStr">
        <is>
          <t>Rojo</t>
        </is>
      </c>
      <c r="Q627" s="156" t="n"/>
      <c r="R627" s="156" t="inlineStr">
        <is>
          <t>Horma Agatha</t>
        </is>
      </c>
      <c r="S627" s="156" t="inlineStr">
        <is>
          <t>Piel bovina</t>
        </is>
      </c>
      <c r="T627" s="156" t="inlineStr">
        <is>
          <t>Bota Dama Piel bovina Clayton Vino Horma Agatha</t>
        </is>
      </c>
      <c r="U627" s="156" t="inlineStr">
        <is>
          <t>México</t>
        </is>
      </c>
      <c r="V627" s="156" t="inlineStr">
        <is>
          <t>PRS</t>
        </is>
      </c>
      <c r="W627" s="51" t="inlineStr">
        <is>
          <t>53111502</t>
        </is>
      </c>
      <c r="X627" s="156" t="n"/>
      <c r="Y627" s="54" t="n">
        <v>724.5599999999999</v>
      </c>
      <c r="Z627" s="54" t="n">
        <v>4224.137931</v>
      </c>
      <c r="AA627" s="55">
        <f>IF(AND(A627="", B627="", E627=""), "", IF(AB627="", "Válido", IF((LEN(AB627)-LEN(SUBSTITUTE(AB627,"; ","")))/2+1&gt;(LEN(AB627)-LEN(SUBSTITUTE(AB627,"[Aviso]","")))/7, "Con Incidencias", "Válido")))</f>
        <v/>
      </c>
      <c r="AB627" s="56">
        <f>IF(AND(A627="", B627="", E627=""), "", TEXTJOIN("; ", TRUE, IF(OR(TRIM(A627&amp;"")="", ISNUMBER(SEARCH("FALTA", A627))), "UPC faltante/inválido", ""), IF(AND(A627&lt;&gt;"", IFERROR(_xlfn.XMATCH(A627,$A$2:$A$2509,0,1)&lt;&gt;_xlfn.XMATCH(A627,$A$2:$A$2509,0,-1),FALSE)), "Código de barras duplicado", ""), IF(AND(E627&lt;&gt;"", COUNTIF($E$2:$E$2509, E627)&gt;1), "SKU duplicado", ""), IF(OR(J627="", J627=""), "[Aviso] División no capturada ()", IF(ISNA(MATCH(J627, Criterios!$A$123:$A$126, 0)), "División no válida", "")), IF(OR(K627="", K627=""), "[Aviso] Categoría no capturada ()", IF(ISNA(MATCH(K627, Criterios!$A$81:$A$120, 0)), "Categoría no válida", IF(AND(J627&lt;&gt;"", J627&lt;&gt;"", J627&lt;&gt;VLOOKUP(K627, Criterios!$A$81:$B$120, 2, FALSE)), "División no coincide con Categoría", ""))), IF(OR(L627="", L627=""), "[Aviso] Género no capturado ()", IF(ISNA(MATCH(L627, Criterios!$B$123:$B$127, 0)), "Género no válido", "")), IF(OR(N627="", N627=""), "[Aviso] Temporada no capturada ()", IF(ISNA(MATCH(N627, Criterios!$C$123:$C$128, 0)), "Temporada no válida", "")), IF(OR(O627="", O627=""), "[Aviso] Ciclo de vida no capturado ()", IF(ISNA(MATCH(O627, Criterios!$D$123:$D$124, 0)), "Ciclo de vida no válido", ""))))</f>
        <v/>
      </c>
      <c r="AC627" s="56" t="n"/>
      <c r="AD627" s="51" t="n">
        <v>0</v>
      </c>
      <c r="AE627" s="156" t="n"/>
      <c r="AF627" s="51" t="n">
        <v>0</v>
      </c>
      <c r="AG627" s="156" t="inlineStr">
        <is>
          <t>Catálogo existente</t>
        </is>
      </c>
      <c r="AH62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7" s="156" t="inlineStr">
        <is>
          <t>No</t>
        </is>
      </c>
      <c r="AJ627" s="156" t="n"/>
      <c r="AK627" s="155" t="inlineStr">
        <is>
          <t>Criterios: I [Q]; G1522_Extraccion_Articulos_NetSuite_2026-09-30.xlsx: fila 59195 [R]</t>
        </is>
      </c>
      <c r="AL627" s="58" t="n">
        <v>724.5599999999999</v>
      </c>
      <c r="AM627" s="58" t="n">
        <v>4224.137931</v>
      </c>
      <c r="AN627" s="155" t="n"/>
      <c r="AO627" s="59" t="n"/>
      <c r="AP627" s="59" t="n"/>
      <c r="AQ627" s="59" t="n"/>
      <c r="AR627" s="155" t="n"/>
    </row>
    <row r="628">
      <c r="A628" s="50" t="inlineStr">
        <is>
          <t>12021001121032225</t>
        </is>
      </c>
      <c r="B628" s="51" t="inlineStr">
        <is>
          <t>111528</t>
        </is>
      </c>
      <c r="C628" s="156" t="inlineStr">
        <is>
          <t>Multimarca</t>
        </is>
      </c>
      <c r="D628" s="156" t="inlineStr">
        <is>
          <t>12-021-BS001-12-1032</t>
        </is>
      </c>
      <c r="E628" s="156" t="inlineStr">
        <is>
          <t>12-021-BS001-12-1032-225</t>
        </is>
      </c>
      <c r="F628" s="156" t="inlineStr">
        <is>
          <t>22.5</t>
        </is>
      </c>
      <c r="G628" s="156" t="inlineStr">
        <is>
          <t>5.5</t>
        </is>
      </c>
      <c r="H628" s="156" t="inlineStr">
        <is>
          <t>Stetson</t>
        </is>
      </c>
      <c r="I628" s="156" t="inlineStr">
        <is>
          <t>Bota Piel Vino</t>
        </is>
      </c>
      <c r="J628" s="156" t="inlineStr">
        <is>
          <t>Calzado</t>
        </is>
      </c>
      <c r="K628" s="156" t="inlineStr">
        <is>
          <t>Botas</t>
        </is>
      </c>
      <c r="L628" s="156" t="inlineStr">
        <is>
          <t>Mujer</t>
        </is>
      </c>
      <c r="M628" s="156" t="inlineStr">
        <is>
          <t>Stetson</t>
        </is>
      </c>
      <c r="N628" s="156" t="inlineStr">
        <is>
          <t>SS26</t>
        </is>
      </c>
      <c r="O628" s="156" t="inlineStr">
        <is>
          <t>Seasonal</t>
        </is>
      </c>
      <c r="P628" s="156" t="inlineStr">
        <is>
          <t>Rojo</t>
        </is>
      </c>
      <c r="Q628" s="156" t="n"/>
      <c r="R628" s="156" t="inlineStr">
        <is>
          <t>Horma Agatha</t>
        </is>
      </c>
      <c r="S628" s="156" t="inlineStr">
        <is>
          <t>Piel bovina</t>
        </is>
      </c>
      <c r="T628" s="156" t="inlineStr">
        <is>
          <t>Bota Dama Piel bovina Clayton Vino Horma Agatha</t>
        </is>
      </c>
      <c r="U628" s="156" t="inlineStr">
        <is>
          <t>México</t>
        </is>
      </c>
      <c r="V628" s="156" t="inlineStr">
        <is>
          <t>PRS</t>
        </is>
      </c>
      <c r="W628" s="51" t="inlineStr">
        <is>
          <t>53111502</t>
        </is>
      </c>
      <c r="X628" s="156" t="n"/>
      <c r="Y628" s="54" t="n">
        <v>724.5599999999999</v>
      </c>
      <c r="Z628" s="54" t="n">
        <v>4224.137931</v>
      </c>
      <c r="AA628" s="55">
        <f>IF(AND(A628="", B628="", E628=""), "", IF(AB628="", "Válido", IF((LEN(AB628)-LEN(SUBSTITUTE(AB628,"; ","")))/2+1&gt;(LEN(AB628)-LEN(SUBSTITUTE(AB628,"[Aviso]","")))/7, "Con Incidencias", "Válido")))</f>
        <v/>
      </c>
      <c r="AB628" s="56">
        <f>IF(AND(A628="", B628="", E628=""), "", TEXTJOIN("; ", TRUE, IF(OR(TRIM(A628&amp;"")="", ISNUMBER(SEARCH("FALTA", A628))), "UPC faltante/inválido", ""), IF(AND(A628&lt;&gt;"", IFERROR(_xlfn.XMATCH(A628,$A$2:$A$2509,0,1)&lt;&gt;_xlfn.XMATCH(A628,$A$2:$A$2509,0,-1),FALSE)), "Código de barras duplicado", ""), IF(AND(E628&lt;&gt;"", COUNTIF($E$2:$E$2509, E628)&gt;1), "SKU duplicado", ""), IF(OR(J628="", J628=""), "[Aviso] División no capturada ()", IF(ISNA(MATCH(J628, Criterios!$A$123:$A$126, 0)), "División no válida", "")), IF(OR(K628="", K628=""), "[Aviso] Categoría no capturada ()", IF(ISNA(MATCH(K628, Criterios!$A$81:$A$120, 0)), "Categoría no válida", IF(AND(J628&lt;&gt;"", J628&lt;&gt;"", J628&lt;&gt;VLOOKUP(K628, Criterios!$A$81:$B$120, 2, FALSE)), "División no coincide con Categoría", ""))), IF(OR(L628="", L628=""), "[Aviso] Género no capturado ()", IF(ISNA(MATCH(L628, Criterios!$B$123:$B$127, 0)), "Género no válido", "")), IF(OR(N628="", N628=""), "[Aviso] Temporada no capturada ()", IF(ISNA(MATCH(N628, Criterios!$C$123:$C$128, 0)), "Temporada no válida", "")), IF(OR(O628="", O628=""), "[Aviso] Ciclo de vida no capturado ()", IF(ISNA(MATCH(O628, Criterios!$D$123:$D$124, 0)), "Ciclo de vida no válido", ""))))</f>
        <v/>
      </c>
      <c r="AC628" s="56" t="n"/>
      <c r="AD628" s="51" t="n">
        <v>0</v>
      </c>
      <c r="AE628" s="156" t="n"/>
      <c r="AF628" s="51" t="n">
        <v>0</v>
      </c>
      <c r="AG628" s="156" t="inlineStr">
        <is>
          <t>Catálogo existente</t>
        </is>
      </c>
      <c r="AH6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8" s="156" t="inlineStr">
        <is>
          <t>No</t>
        </is>
      </c>
      <c r="AJ628" s="156" t="n"/>
      <c r="AK628" s="155" t="inlineStr">
        <is>
          <t>Criterios: I [Q]; G1522_Extraccion_Articulos_NetSuite_2026-09-30.xlsx: fila 59203 [R] | Shopify Stetson: producto 15054564819307 / variante 53350558073195</t>
        </is>
      </c>
      <c r="AL628" s="58" t="n">
        <v>724.5599999999999</v>
      </c>
      <c r="AM628" s="58" t="n">
        <v>4224.137931</v>
      </c>
      <c r="AN628" s="155" t="inlineStr">
        <is>
          <t>Shopify Stetson México</t>
        </is>
      </c>
      <c r="AO628" s="59" t="n">
        <v>0</v>
      </c>
      <c r="AP628" s="59" t="n"/>
      <c r="AQ628" s="59" t="n"/>
      <c r="AR628" s="155" t="n"/>
    </row>
    <row r="629">
      <c r="A629" s="50" t="inlineStr">
        <is>
          <t>12021001121032235</t>
        </is>
      </c>
      <c r="B629" s="51" t="inlineStr">
        <is>
          <t>111529</t>
        </is>
      </c>
      <c r="C629" s="156" t="inlineStr">
        <is>
          <t>Multimarca</t>
        </is>
      </c>
      <c r="D629" s="156" t="inlineStr">
        <is>
          <t>12-021-BS001-12-1032</t>
        </is>
      </c>
      <c r="E629" s="156" t="inlineStr">
        <is>
          <t>12-021-BS001-12-1032-235</t>
        </is>
      </c>
      <c r="F629" s="156" t="inlineStr">
        <is>
          <t>23.5</t>
        </is>
      </c>
      <c r="G629" s="156" t="inlineStr">
        <is>
          <t>6.5</t>
        </is>
      </c>
      <c r="H629" s="156" t="inlineStr">
        <is>
          <t>Stetson</t>
        </is>
      </c>
      <c r="I629" s="156" t="inlineStr">
        <is>
          <t>Bota Piel Vino</t>
        </is>
      </c>
      <c r="J629" s="156" t="inlineStr">
        <is>
          <t>Calzado</t>
        </is>
      </c>
      <c r="K629" s="156" t="inlineStr">
        <is>
          <t>Botas</t>
        </is>
      </c>
      <c r="L629" s="156" t="inlineStr">
        <is>
          <t>Mujer</t>
        </is>
      </c>
      <c r="M629" s="156" t="inlineStr">
        <is>
          <t>Stetson</t>
        </is>
      </c>
      <c r="N629" s="156" t="inlineStr">
        <is>
          <t>SS26</t>
        </is>
      </c>
      <c r="O629" s="156" t="inlineStr">
        <is>
          <t>Seasonal</t>
        </is>
      </c>
      <c r="P629" s="156" t="inlineStr">
        <is>
          <t>Rojo</t>
        </is>
      </c>
      <c r="Q629" s="156" t="n"/>
      <c r="R629" s="156" t="inlineStr">
        <is>
          <t>Horma Agatha</t>
        </is>
      </c>
      <c r="S629" s="156" t="inlineStr">
        <is>
          <t>Piel bovina</t>
        </is>
      </c>
      <c r="T629" s="156" t="inlineStr">
        <is>
          <t>Bota Dama Piel bovina Clayton Vino Horma Agatha</t>
        </is>
      </c>
      <c r="U629" s="156" t="inlineStr">
        <is>
          <t>México</t>
        </is>
      </c>
      <c r="V629" s="156" t="inlineStr">
        <is>
          <t>PRS</t>
        </is>
      </c>
      <c r="W629" s="51" t="inlineStr">
        <is>
          <t>53111502</t>
        </is>
      </c>
      <c r="X629" s="156" t="n"/>
      <c r="Y629" s="54" t="n">
        <v>724.5599999999999</v>
      </c>
      <c r="Z629" s="54" t="n">
        <v>4224.137931</v>
      </c>
      <c r="AA629" s="55">
        <f>IF(AND(A629="", B629="", E629=""), "", IF(AB629="", "Válido", IF((LEN(AB629)-LEN(SUBSTITUTE(AB629,"; ","")))/2+1&gt;(LEN(AB629)-LEN(SUBSTITUTE(AB629,"[Aviso]","")))/7, "Con Incidencias", "Válido")))</f>
        <v/>
      </c>
      <c r="AB629" s="56">
        <f>IF(AND(A629="", B629="", E629=""), "", TEXTJOIN("; ", TRUE, IF(OR(TRIM(A629&amp;"")="", ISNUMBER(SEARCH("FALTA", A629))), "UPC faltante/inválido", ""), IF(AND(A629&lt;&gt;"", IFERROR(_xlfn.XMATCH(A629,$A$2:$A$2509,0,1)&lt;&gt;_xlfn.XMATCH(A629,$A$2:$A$2509,0,-1),FALSE)), "Código de barras duplicado", ""), IF(AND(E629&lt;&gt;"", COUNTIF($E$2:$E$2509, E629)&gt;1), "SKU duplicado", ""), IF(OR(J629="", J629=""), "[Aviso] División no capturada ()", IF(ISNA(MATCH(J629, Criterios!$A$123:$A$126, 0)), "División no válida", "")), IF(OR(K629="", K629=""), "[Aviso] Categoría no capturada ()", IF(ISNA(MATCH(K629, Criterios!$A$81:$A$120, 0)), "Categoría no válida", IF(AND(J629&lt;&gt;"", J629&lt;&gt;"", J629&lt;&gt;VLOOKUP(K629, Criterios!$A$81:$B$120, 2, FALSE)), "División no coincide con Categoría", ""))), IF(OR(L629="", L629=""), "[Aviso] Género no capturado ()", IF(ISNA(MATCH(L629, Criterios!$B$123:$B$127, 0)), "Género no válido", "")), IF(OR(N629="", N629=""), "[Aviso] Temporada no capturada ()", IF(ISNA(MATCH(N629, Criterios!$C$123:$C$128, 0)), "Temporada no válida", "")), IF(OR(O629="", O629=""), "[Aviso] Ciclo de vida no capturado ()", IF(ISNA(MATCH(O629, Criterios!$D$123:$D$124, 0)), "Ciclo de vida no válido", ""))))</f>
        <v/>
      </c>
      <c r="AC629" s="56" t="n"/>
      <c r="AD629" s="51" t="n">
        <v>1</v>
      </c>
      <c r="AE629" s="156" t="inlineStr">
        <is>
          <t>STETSON AMERICAS (1)</t>
        </is>
      </c>
      <c r="AF629" s="51" t="n">
        <v>1</v>
      </c>
      <c r="AG629" s="156" t="inlineStr">
        <is>
          <t>Catálogo existente</t>
        </is>
      </c>
      <c r="AH6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9" s="156" t="inlineStr">
        <is>
          <t>No</t>
        </is>
      </c>
      <c r="AJ629" s="156" t="n"/>
      <c r="AK629" s="155" t="inlineStr">
        <is>
          <t>Criterios: I [Q]; G1522_Extraccion_Articulos_NetSuite_2026-09-30.xlsx: fila 59204 [R] | Shopify Stetson: producto 15054564819307 / variante 53350558138731</t>
        </is>
      </c>
      <c r="AL629" s="58" t="n">
        <v>724.5599999999999</v>
      </c>
      <c r="AM629" s="58" t="n">
        <v>4224.137931</v>
      </c>
      <c r="AN629" s="155" t="inlineStr">
        <is>
          <t>Shopify Stetson México</t>
        </is>
      </c>
      <c r="AO629" s="59" t="n">
        <v>1</v>
      </c>
      <c r="AP629" s="59" t="n"/>
      <c r="AQ629" s="59" t="n"/>
      <c r="AR629" s="155" t="inlineStr">
        <is>
          <t>Shopify Stetson México › Stetson Americas: 1</t>
        </is>
      </c>
    </row>
    <row r="630">
      <c r="A630" s="50" t="inlineStr">
        <is>
          <t>12021001121032245</t>
        </is>
      </c>
      <c r="B630" s="51" t="inlineStr">
        <is>
          <t>111530</t>
        </is>
      </c>
      <c r="C630" s="156" t="inlineStr">
        <is>
          <t>Multimarca</t>
        </is>
      </c>
      <c r="D630" s="156" t="inlineStr">
        <is>
          <t>12-021-BS001-12-1032</t>
        </is>
      </c>
      <c r="E630" s="156" t="inlineStr">
        <is>
          <t>12-021-BS001-12-1032-245</t>
        </is>
      </c>
      <c r="F630" s="156" t="inlineStr">
        <is>
          <t>24.5</t>
        </is>
      </c>
      <c r="G630" s="156" t="inlineStr">
        <is>
          <t>7.5</t>
        </is>
      </c>
      <c r="H630" s="156" t="inlineStr">
        <is>
          <t>Stetson</t>
        </is>
      </c>
      <c r="I630" s="156" t="inlineStr">
        <is>
          <t>Bota Piel Vino</t>
        </is>
      </c>
      <c r="J630" s="156" t="inlineStr">
        <is>
          <t>Calzado</t>
        </is>
      </c>
      <c r="K630" s="156" t="inlineStr">
        <is>
          <t>Botas</t>
        </is>
      </c>
      <c r="L630" s="156" t="inlineStr">
        <is>
          <t>Mujer</t>
        </is>
      </c>
      <c r="M630" s="156" t="inlineStr">
        <is>
          <t>Stetson</t>
        </is>
      </c>
      <c r="N630" s="156" t="inlineStr">
        <is>
          <t>SS26</t>
        </is>
      </c>
      <c r="O630" s="156" t="inlineStr">
        <is>
          <t>Seasonal</t>
        </is>
      </c>
      <c r="P630" s="156" t="inlineStr">
        <is>
          <t>Rojo</t>
        </is>
      </c>
      <c r="Q630" s="156" t="n"/>
      <c r="R630" s="156" t="inlineStr">
        <is>
          <t>Horma Agatha</t>
        </is>
      </c>
      <c r="S630" s="156" t="inlineStr">
        <is>
          <t>Piel bovina</t>
        </is>
      </c>
      <c r="T630" s="156" t="inlineStr">
        <is>
          <t>Bota Dama Piel bovina Clayton Vino Horma Agatha</t>
        </is>
      </c>
      <c r="U630" s="156" t="inlineStr">
        <is>
          <t>México</t>
        </is>
      </c>
      <c r="V630" s="156" t="inlineStr">
        <is>
          <t>PRS</t>
        </is>
      </c>
      <c r="W630" s="51" t="inlineStr">
        <is>
          <t>53111502</t>
        </is>
      </c>
      <c r="X630" s="156" t="n"/>
      <c r="Y630" s="54" t="n">
        <v>724.5599999999999</v>
      </c>
      <c r="Z630" s="54" t="n">
        <v>4224.137931</v>
      </c>
      <c r="AA630" s="55">
        <f>IF(AND(A630="", B630="", E630=""), "", IF(AB630="", "Válido", IF((LEN(AB630)-LEN(SUBSTITUTE(AB630,"; ","")))/2+1&gt;(LEN(AB630)-LEN(SUBSTITUTE(AB630,"[Aviso]","")))/7, "Con Incidencias", "Válido")))</f>
        <v/>
      </c>
      <c r="AB630" s="56">
        <f>IF(AND(A630="", B630="", E630=""), "", TEXTJOIN("; ", TRUE, IF(OR(TRIM(A630&amp;"")="", ISNUMBER(SEARCH("FALTA", A630))), "UPC faltante/inválido", ""), IF(AND(A630&lt;&gt;"", IFERROR(_xlfn.XMATCH(A630,$A$2:$A$2509,0,1)&lt;&gt;_xlfn.XMATCH(A630,$A$2:$A$2509,0,-1),FALSE)), "Código de barras duplicado", ""), IF(AND(E630&lt;&gt;"", COUNTIF($E$2:$E$2509, E630)&gt;1), "SKU duplicado", ""), IF(OR(J630="", J630=""), "[Aviso] División no capturada ()", IF(ISNA(MATCH(J630, Criterios!$A$123:$A$126, 0)), "División no válida", "")), IF(OR(K630="", K630=""), "[Aviso] Categoría no capturada ()", IF(ISNA(MATCH(K630, Criterios!$A$81:$A$120, 0)), "Categoría no válida", IF(AND(J630&lt;&gt;"", J630&lt;&gt;"", J630&lt;&gt;VLOOKUP(K630, Criterios!$A$81:$B$120, 2, FALSE)), "División no coincide con Categoría", ""))), IF(OR(L630="", L630=""), "[Aviso] Género no capturado ()", IF(ISNA(MATCH(L630, Criterios!$B$123:$B$127, 0)), "Género no válido", "")), IF(OR(N630="", N630=""), "[Aviso] Temporada no capturada ()", IF(ISNA(MATCH(N630, Criterios!$C$123:$C$128, 0)), "Temporada no válida", "")), IF(OR(O630="", O630=""), "[Aviso] Ciclo de vida no capturado ()", IF(ISNA(MATCH(O630, Criterios!$D$123:$D$124, 0)), "Ciclo de vida no válido", ""))))</f>
        <v/>
      </c>
      <c r="AC630" s="56" t="n"/>
      <c r="AD630" s="51" t="n">
        <v>1</v>
      </c>
      <c r="AE630" s="156" t="inlineStr">
        <is>
          <t>STETSON AMERICAS (1)</t>
        </is>
      </c>
      <c r="AF630" s="51" t="n">
        <v>1</v>
      </c>
      <c r="AG630" s="156" t="inlineStr">
        <is>
          <t>Catálogo existente</t>
        </is>
      </c>
      <c r="AH6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0" s="156" t="inlineStr">
        <is>
          <t>No</t>
        </is>
      </c>
      <c r="AJ630" s="156" t="n"/>
      <c r="AK630" s="155" t="inlineStr">
        <is>
          <t>Criterios: I [Q]; G1522_Extraccion_Articulos_NetSuite_2026-09-30.xlsx: fila 59205 [R] | Shopify Stetson: producto 15054564819307 / variante 53350558204267</t>
        </is>
      </c>
      <c r="AL630" s="58" t="n">
        <v>724.5599999999999</v>
      </c>
      <c r="AM630" s="58" t="n">
        <v>4224.137931</v>
      </c>
      <c r="AN630" s="155" t="inlineStr">
        <is>
          <t>Shopify Stetson México</t>
        </is>
      </c>
      <c r="AO630" s="59" t="n">
        <v>1</v>
      </c>
      <c r="AP630" s="59" t="n"/>
      <c r="AQ630" s="59" t="n"/>
      <c r="AR630" s="155" t="inlineStr">
        <is>
          <t>Shopify Stetson México › Stetson Americas: 1</t>
        </is>
      </c>
    </row>
    <row r="631">
      <c r="A631" s="50" t="inlineStr">
        <is>
          <t>12021001121032255</t>
        </is>
      </c>
      <c r="B631" s="51" t="inlineStr">
        <is>
          <t>111521</t>
        </is>
      </c>
      <c r="C631" s="156" t="inlineStr">
        <is>
          <t>Multimarca</t>
        </is>
      </c>
      <c r="D631" s="156" t="inlineStr">
        <is>
          <t>12-021-BS001-12-1032</t>
        </is>
      </c>
      <c r="E631" s="156" t="inlineStr">
        <is>
          <t>12-021-BS001-12-1032-255</t>
        </is>
      </c>
      <c r="F631" s="156" t="inlineStr">
        <is>
          <t>25.5</t>
        </is>
      </c>
      <c r="G631" s="156" t="inlineStr">
        <is>
          <t>8.5</t>
        </is>
      </c>
      <c r="H631" s="156" t="inlineStr">
        <is>
          <t>Stetson</t>
        </is>
      </c>
      <c r="I631" s="156" t="inlineStr">
        <is>
          <t>Bota Piel Vino</t>
        </is>
      </c>
      <c r="J631" s="156" t="inlineStr">
        <is>
          <t>Calzado</t>
        </is>
      </c>
      <c r="K631" s="156" t="inlineStr">
        <is>
          <t>Botas</t>
        </is>
      </c>
      <c r="L631" s="156" t="inlineStr">
        <is>
          <t>Mujer</t>
        </is>
      </c>
      <c r="M631" s="156" t="inlineStr">
        <is>
          <t>Stetson</t>
        </is>
      </c>
      <c r="N631" s="156" t="inlineStr">
        <is>
          <t>SS26</t>
        </is>
      </c>
      <c r="O631" s="156" t="inlineStr">
        <is>
          <t>Seasonal</t>
        </is>
      </c>
      <c r="P631" s="156" t="inlineStr">
        <is>
          <t>Rojo</t>
        </is>
      </c>
      <c r="Q631" s="156" t="n"/>
      <c r="R631" s="156" t="inlineStr">
        <is>
          <t>Horma Agatha</t>
        </is>
      </c>
      <c r="S631" s="156" t="inlineStr">
        <is>
          <t>Piel bovina</t>
        </is>
      </c>
      <c r="T631" s="156" t="inlineStr">
        <is>
          <t>Bota Dama Piel bovina Clayton Vino Horma Agatha</t>
        </is>
      </c>
      <c r="U631" s="156" t="inlineStr">
        <is>
          <t>México</t>
        </is>
      </c>
      <c r="V631" s="156" t="inlineStr">
        <is>
          <t>PRS</t>
        </is>
      </c>
      <c r="W631" s="51" t="inlineStr">
        <is>
          <t>53111502</t>
        </is>
      </c>
      <c r="X631" s="156" t="n"/>
      <c r="Y631" s="54" t="n">
        <v>724.5599999999999</v>
      </c>
      <c r="Z631" s="54" t="n">
        <v>4224.137931</v>
      </c>
      <c r="AA631" s="55">
        <f>IF(AND(A631="", B631="", E631=""), "", IF(AB631="", "Válido", IF((LEN(AB631)-LEN(SUBSTITUTE(AB631,"; ","")))/2+1&gt;(LEN(AB631)-LEN(SUBSTITUTE(AB631,"[Aviso]","")))/7, "Con Incidencias", "Válido")))</f>
        <v/>
      </c>
      <c r="AB631" s="56">
        <f>IF(AND(A631="", B631="", E631=""), "", TEXTJOIN("; ", TRUE, IF(OR(TRIM(A631&amp;"")="", ISNUMBER(SEARCH("FALTA", A631))), "UPC faltante/inválido", ""), IF(AND(A631&lt;&gt;"", IFERROR(_xlfn.XMATCH(A631,$A$2:$A$2509,0,1)&lt;&gt;_xlfn.XMATCH(A631,$A$2:$A$2509,0,-1),FALSE)), "Código de barras duplicado", ""), IF(AND(E631&lt;&gt;"", COUNTIF($E$2:$E$2509, E631)&gt;1), "SKU duplicado", ""), IF(OR(J631="", J631=""), "[Aviso] División no capturada ()", IF(ISNA(MATCH(J631, Criterios!$A$123:$A$126, 0)), "División no válida", "")), IF(OR(K631="", K631=""), "[Aviso] Categoría no capturada ()", IF(ISNA(MATCH(K631, Criterios!$A$81:$A$120, 0)), "Categoría no válida", IF(AND(J631&lt;&gt;"", J631&lt;&gt;"", J631&lt;&gt;VLOOKUP(K631, Criterios!$A$81:$B$120, 2, FALSE)), "División no coincide con Categoría", ""))), IF(OR(L631="", L631=""), "[Aviso] Género no capturado ()", IF(ISNA(MATCH(L631, Criterios!$B$123:$B$127, 0)), "Género no válido", "")), IF(OR(N631="", N631=""), "[Aviso] Temporada no capturada ()", IF(ISNA(MATCH(N631, Criterios!$C$123:$C$128, 0)), "Temporada no válida", "")), IF(OR(O631="", O631=""), "[Aviso] Ciclo de vida no capturado ()", IF(ISNA(MATCH(O631, Criterios!$D$123:$D$124, 0)), "Ciclo de vida no válido", ""))))</f>
        <v/>
      </c>
      <c r="AC631" s="56" t="n"/>
      <c r="AD631" s="51" t="n">
        <v>2</v>
      </c>
      <c r="AE631" s="156" t="inlineStr">
        <is>
          <t>STETSON AMERICAS (2)</t>
        </is>
      </c>
      <c r="AF631" s="51" t="n">
        <v>2</v>
      </c>
      <c r="AG631" s="156" t="inlineStr">
        <is>
          <t>Catálogo existente</t>
        </is>
      </c>
      <c r="AH63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1" s="156" t="inlineStr">
        <is>
          <t>No</t>
        </is>
      </c>
      <c r="AJ631" s="156" t="n"/>
      <c r="AK631" s="155" t="inlineStr">
        <is>
          <t>Criterios: I [Q]; G1522_Extraccion_Articulos_NetSuite_2026-09-30.xlsx: fila 59196 [R]</t>
        </is>
      </c>
      <c r="AL631" s="58" t="n">
        <v>724.5599999999999</v>
      </c>
      <c r="AM631" s="58" t="n">
        <v>4224.137931</v>
      </c>
      <c r="AN631" s="155" t="n"/>
      <c r="AO631" s="59" t="n"/>
      <c r="AP631" s="59" t="n"/>
      <c r="AQ631" s="59" t="n"/>
      <c r="AR631" s="155" t="n"/>
    </row>
    <row r="632">
      <c r="A632" s="50" t="inlineStr">
        <is>
          <t>12021001121032265</t>
        </is>
      </c>
      <c r="B632" s="51" t="inlineStr">
        <is>
          <t>111522</t>
        </is>
      </c>
      <c r="C632" s="156" t="inlineStr">
        <is>
          <t>Multimarca</t>
        </is>
      </c>
      <c r="D632" s="156" t="inlineStr">
        <is>
          <t>12-021-BS001-12-1032</t>
        </is>
      </c>
      <c r="E632" s="156" t="inlineStr">
        <is>
          <t>12-021-BS001-12-1032-265</t>
        </is>
      </c>
      <c r="F632" s="156" t="inlineStr">
        <is>
          <t>26.5</t>
        </is>
      </c>
      <c r="G632" s="156" t="inlineStr">
        <is>
          <t>9.5</t>
        </is>
      </c>
      <c r="H632" s="156" t="inlineStr">
        <is>
          <t>Stetson</t>
        </is>
      </c>
      <c r="I632" s="156" t="inlineStr">
        <is>
          <t>Bota Piel Vino</t>
        </is>
      </c>
      <c r="J632" s="156" t="inlineStr">
        <is>
          <t>Calzado</t>
        </is>
      </c>
      <c r="K632" s="156" t="inlineStr">
        <is>
          <t>Botas</t>
        </is>
      </c>
      <c r="L632" s="156" t="inlineStr">
        <is>
          <t>Mujer</t>
        </is>
      </c>
      <c r="M632" s="156" t="inlineStr">
        <is>
          <t>Stetson</t>
        </is>
      </c>
      <c r="N632" s="156" t="inlineStr">
        <is>
          <t>SS26</t>
        </is>
      </c>
      <c r="O632" s="156" t="inlineStr">
        <is>
          <t>Seasonal</t>
        </is>
      </c>
      <c r="P632" s="156" t="inlineStr">
        <is>
          <t>Rojo</t>
        </is>
      </c>
      <c r="Q632" s="156" t="n"/>
      <c r="R632" s="156" t="inlineStr">
        <is>
          <t>Horma Agatha</t>
        </is>
      </c>
      <c r="S632" s="156" t="inlineStr">
        <is>
          <t>Piel bovina</t>
        </is>
      </c>
      <c r="T632" s="156" t="inlineStr">
        <is>
          <t>Bota Dama Piel bovina Clayton Vino Horma Agatha</t>
        </is>
      </c>
      <c r="U632" s="156" t="inlineStr">
        <is>
          <t>México</t>
        </is>
      </c>
      <c r="V632" s="156" t="inlineStr">
        <is>
          <t>PRS</t>
        </is>
      </c>
      <c r="W632" s="51" t="inlineStr">
        <is>
          <t>53111502</t>
        </is>
      </c>
      <c r="X632" s="156" t="n"/>
      <c r="Y632" s="54" t="n">
        <v>724.5599999999999</v>
      </c>
      <c r="Z632" s="54" t="n">
        <v>4224.137931</v>
      </c>
      <c r="AA632" s="55">
        <f>IF(AND(A632="", B632="", E632=""), "", IF(AB632="", "Válido", IF((LEN(AB632)-LEN(SUBSTITUTE(AB632,"; ","")))/2+1&gt;(LEN(AB632)-LEN(SUBSTITUTE(AB632,"[Aviso]","")))/7, "Con Incidencias", "Válido")))</f>
        <v/>
      </c>
      <c r="AB632" s="56">
        <f>IF(AND(A632="", B632="", E632=""), "", TEXTJOIN("; ", TRUE, IF(OR(TRIM(A632&amp;"")="", ISNUMBER(SEARCH("FALTA", A632))), "UPC faltante/inválido", ""), IF(AND(A632&lt;&gt;"", IFERROR(_xlfn.XMATCH(A632,$A$2:$A$2509,0,1)&lt;&gt;_xlfn.XMATCH(A632,$A$2:$A$2509,0,-1),FALSE)), "Código de barras duplicado", ""), IF(AND(E632&lt;&gt;"", COUNTIF($E$2:$E$2509, E632)&gt;1), "SKU duplicado", ""), IF(OR(J632="", J632=""), "[Aviso] División no capturada ()", IF(ISNA(MATCH(J632, Criterios!$A$123:$A$126, 0)), "División no válida", "")), IF(OR(K632="", K632=""), "[Aviso] Categoría no capturada ()", IF(ISNA(MATCH(K632, Criterios!$A$81:$A$120, 0)), "Categoría no válida", IF(AND(J632&lt;&gt;"", J632&lt;&gt;"", J632&lt;&gt;VLOOKUP(K632, Criterios!$A$81:$B$120, 2, FALSE)), "División no coincide con Categoría", ""))), IF(OR(L632="", L632=""), "[Aviso] Género no capturado ()", IF(ISNA(MATCH(L632, Criterios!$B$123:$B$127, 0)), "Género no válido", "")), IF(OR(N632="", N632=""), "[Aviso] Temporada no capturada ()", IF(ISNA(MATCH(N632, Criterios!$C$123:$C$128, 0)), "Temporada no válida", "")), IF(OR(O632="", O632=""), "[Aviso] Ciclo de vida no capturado ()", IF(ISNA(MATCH(O632, Criterios!$D$123:$D$124, 0)), "Ciclo de vida no válido", ""))))</f>
        <v/>
      </c>
      <c r="AC632" s="56" t="n"/>
      <c r="AD632" s="51" t="n">
        <v>1</v>
      </c>
      <c r="AE632" s="156" t="inlineStr">
        <is>
          <t>STETSON AMERICAS (1)</t>
        </is>
      </c>
      <c r="AF632" s="51" t="n">
        <v>1</v>
      </c>
      <c r="AG632" s="156" t="inlineStr">
        <is>
          <t>Catálogo existente</t>
        </is>
      </c>
      <c r="AH63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2" s="156" t="inlineStr">
        <is>
          <t>No</t>
        </is>
      </c>
      <c r="AJ632" s="156" t="n"/>
      <c r="AK632" s="155" t="inlineStr">
        <is>
          <t>Criterios: I [Q]; G1522_Extraccion_Articulos_NetSuite_2026-09-30.xlsx: fila 59197 [R]</t>
        </is>
      </c>
      <c r="AL632" s="58" t="n">
        <v>724.5599999999999</v>
      </c>
      <c r="AM632" s="58" t="n">
        <v>4224.137931</v>
      </c>
      <c r="AN632" s="155" t="n"/>
      <c r="AO632" s="59" t="n"/>
      <c r="AP632" s="59" t="n"/>
      <c r="AQ632" s="59" t="n"/>
      <c r="AR632" s="155" t="n"/>
    </row>
    <row r="633">
      <c r="A633" s="50" t="inlineStr">
        <is>
          <t>12021001121032275</t>
        </is>
      </c>
      <c r="B633" s="51" t="inlineStr">
        <is>
          <t>111523</t>
        </is>
      </c>
      <c r="C633" s="156" t="inlineStr">
        <is>
          <t>Multimarca</t>
        </is>
      </c>
      <c r="D633" s="156" t="inlineStr">
        <is>
          <t>12-021-BS001-12-1032</t>
        </is>
      </c>
      <c r="E633" s="156" t="inlineStr">
        <is>
          <t>12-021-BS001-12-1032-275</t>
        </is>
      </c>
      <c r="F633" s="156" t="inlineStr">
        <is>
          <t>27.5</t>
        </is>
      </c>
      <c r="G633" s="156" t="inlineStr">
        <is>
          <t>10.5</t>
        </is>
      </c>
      <c r="H633" s="156" t="inlineStr">
        <is>
          <t>Stetson</t>
        </is>
      </c>
      <c r="I633" s="156" t="inlineStr">
        <is>
          <t>Bota Piel Vino</t>
        </is>
      </c>
      <c r="J633" s="156" t="inlineStr">
        <is>
          <t>Calzado</t>
        </is>
      </c>
      <c r="K633" s="156" t="inlineStr">
        <is>
          <t>Botas</t>
        </is>
      </c>
      <c r="L633" s="156" t="inlineStr">
        <is>
          <t>Mujer</t>
        </is>
      </c>
      <c r="M633" s="156" t="inlineStr">
        <is>
          <t>Stetson</t>
        </is>
      </c>
      <c r="N633" s="156" t="inlineStr">
        <is>
          <t>SS26</t>
        </is>
      </c>
      <c r="O633" s="156" t="inlineStr">
        <is>
          <t>Seasonal</t>
        </is>
      </c>
      <c r="P633" s="156" t="inlineStr">
        <is>
          <t>Rojo</t>
        </is>
      </c>
      <c r="Q633" s="156" t="n"/>
      <c r="R633" s="156" t="inlineStr">
        <is>
          <t>Horma Agatha</t>
        </is>
      </c>
      <c r="S633" s="156" t="inlineStr">
        <is>
          <t>Piel bovina</t>
        </is>
      </c>
      <c r="T633" s="156" t="inlineStr">
        <is>
          <t>Bota Dama Piel bovina Clayton Vino Horma Agatha</t>
        </is>
      </c>
      <c r="U633" s="156" t="inlineStr">
        <is>
          <t>México</t>
        </is>
      </c>
      <c r="V633" s="156" t="inlineStr">
        <is>
          <t>PRS</t>
        </is>
      </c>
      <c r="W633" s="51" t="inlineStr">
        <is>
          <t>53111502</t>
        </is>
      </c>
      <c r="X633" s="156" t="n"/>
      <c r="Y633" s="54" t="n">
        <v>724.5599999999999</v>
      </c>
      <c r="Z633" s="54" t="n">
        <v>4224.137931</v>
      </c>
      <c r="AA633" s="55">
        <f>IF(AND(A633="", B633="", E633=""), "", IF(AB633="", "Válido", IF((LEN(AB633)-LEN(SUBSTITUTE(AB633,"; ","")))/2+1&gt;(LEN(AB633)-LEN(SUBSTITUTE(AB633,"[Aviso]","")))/7, "Con Incidencias", "Válido")))</f>
        <v/>
      </c>
      <c r="AB633" s="56">
        <f>IF(AND(A633="", B633="", E633=""), "", TEXTJOIN("; ", TRUE, IF(OR(TRIM(A633&amp;"")="", ISNUMBER(SEARCH("FALTA", A633))), "UPC faltante/inválido", ""), IF(AND(A633&lt;&gt;"", IFERROR(_xlfn.XMATCH(A633,$A$2:$A$2509,0,1)&lt;&gt;_xlfn.XMATCH(A633,$A$2:$A$2509,0,-1),FALSE)), "Código de barras duplicado", ""), IF(AND(E633&lt;&gt;"", COUNTIF($E$2:$E$2509, E633)&gt;1), "SKU duplicado", ""), IF(OR(J633="", J633=""), "[Aviso] División no capturada ()", IF(ISNA(MATCH(J633, Criterios!$A$123:$A$126, 0)), "División no válida", "")), IF(OR(K633="", K633=""), "[Aviso] Categoría no capturada ()", IF(ISNA(MATCH(K633, Criterios!$A$81:$A$120, 0)), "Categoría no válida", IF(AND(J633&lt;&gt;"", J633&lt;&gt;"", J633&lt;&gt;VLOOKUP(K633, Criterios!$A$81:$B$120, 2, FALSE)), "División no coincide con Categoría", ""))), IF(OR(L633="", L633=""), "[Aviso] Género no capturado ()", IF(ISNA(MATCH(L633, Criterios!$B$123:$B$127, 0)), "Género no válido", "")), IF(OR(N633="", N633=""), "[Aviso] Temporada no capturada ()", IF(ISNA(MATCH(N633, Criterios!$C$123:$C$128, 0)), "Temporada no válida", "")), IF(OR(O633="", O633=""), "[Aviso] Ciclo de vida no capturado ()", IF(ISNA(MATCH(O633, Criterios!$D$123:$D$124, 0)), "Ciclo de vida no válido", ""))))</f>
        <v/>
      </c>
      <c r="AC633" s="56" t="n"/>
      <c r="AD633" s="51" t="n">
        <v>0</v>
      </c>
      <c r="AE633" s="156" t="n"/>
      <c r="AF633" s="51" t="n">
        <v>0</v>
      </c>
      <c r="AG633" s="156" t="inlineStr">
        <is>
          <t>Catálogo existente</t>
        </is>
      </c>
      <c r="AH63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3" s="156" t="inlineStr">
        <is>
          <t>No</t>
        </is>
      </c>
      <c r="AJ633" s="156" t="n"/>
      <c r="AK633" s="155" t="inlineStr">
        <is>
          <t>Criterios: I [Q]; G1522_Extraccion_Articulos_NetSuite_2026-09-30.xlsx: fila 59198 [R]</t>
        </is>
      </c>
      <c r="AL633" s="58" t="n">
        <v>724.5599999999999</v>
      </c>
      <c r="AM633" s="58" t="n">
        <v>4224.137931</v>
      </c>
      <c r="AN633" s="155" t="n"/>
      <c r="AO633" s="59" t="n"/>
      <c r="AP633" s="59" t="n"/>
      <c r="AQ633" s="59" t="n"/>
      <c r="AR633" s="155" t="n"/>
    </row>
    <row r="634">
      <c r="A634" s="50" t="inlineStr">
        <is>
          <t>12021001121033022</t>
        </is>
      </c>
      <c r="B634" s="51" t="inlineStr">
        <is>
          <t>111536</t>
        </is>
      </c>
      <c r="C634" s="156" t="inlineStr">
        <is>
          <t>Multimarca</t>
        </is>
      </c>
      <c r="D634" s="156" t="inlineStr">
        <is>
          <t>12-021-BS001-12-1033</t>
        </is>
      </c>
      <c r="E634" s="156" t="inlineStr">
        <is>
          <t>12-021-BS001-12-1033-022</t>
        </is>
      </c>
      <c r="F634" s="156" t="inlineStr">
        <is>
          <t>22</t>
        </is>
      </c>
      <c r="G634" s="156" t="inlineStr">
        <is>
          <t>5</t>
        </is>
      </c>
      <c r="H634" s="156" t="inlineStr">
        <is>
          <t>Stetson</t>
        </is>
      </c>
      <c r="I634" s="156" t="inlineStr">
        <is>
          <t>Bota Piel Terracota</t>
        </is>
      </c>
      <c r="J634" s="156" t="inlineStr">
        <is>
          <t>Calzado</t>
        </is>
      </c>
      <c r="K634" s="156" t="inlineStr">
        <is>
          <t>Botas</t>
        </is>
      </c>
      <c r="L634" s="156" t="inlineStr">
        <is>
          <t>Mujer</t>
        </is>
      </c>
      <c r="M634" s="156" t="inlineStr">
        <is>
          <t>Stetson</t>
        </is>
      </c>
      <c r="N634" s="156" t="inlineStr">
        <is>
          <t>SS26</t>
        </is>
      </c>
      <c r="O634" s="156" t="inlineStr">
        <is>
          <t>Seasonal</t>
        </is>
      </c>
      <c r="P634" s="156" t="inlineStr">
        <is>
          <t>Cafe</t>
        </is>
      </c>
      <c r="Q634" s="156" t="n"/>
      <c r="R634" s="156" t="inlineStr">
        <is>
          <t>Horma Agatha</t>
        </is>
      </c>
      <c r="S634" s="156" t="inlineStr">
        <is>
          <t>Piel bovina</t>
        </is>
      </c>
      <c r="T634" s="156" t="inlineStr">
        <is>
          <t>Bota Dama Piel bovina Clayton Terracota Horma Agatha</t>
        </is>
      </c>
      <c r="U634" s="156" t="inlineStr">
        <is>
          <t>México</t>
        </is>
      </c>
      <c r="V634" s="156" t="inlineStr">
        <is>
          <t>PRS</t>
        </is>
      </c>
      <c r="W634" s="51" t="inlineStr">
        <is>
          <t>53111502</t>
        </is>
      </c>
      <c r="X634" s="156" t="n"/>
      <c r="Y634" s="54" t="n">
        <v>724.5599999999999</v>
      </c>
      <c r="Z634" s="54" t="n">
        <v>4224.137931</v>
      </c>
      <c r="AA634" s="55">
        <f>IF(AND(A634="", B634="", E634=""), "", IF(AB634="", "Válido", IF((LEN(AB634)-LEN(SUBSTITUTE(AB634,"; ","")))/2+1&gt;(LEN(AB634)-LEN(SUBSTITUTE(AB634,"[Aviso]","")))/7, "Con Incidencias", "Válido")))</f>
        <v/>
      </c>
      <c r="AB634" s="56">
        <f>IF(AND(A634="", B634="", E634=""), "", TEXTJOIN("; ", TRUE, IF(OR(TRIM(A634&amp;"")="", ISNUMBER(SEARCH("FALTA", A634))), "UPC faltante/inválido", ""), IF(AND(A634&lt;&gt;"", IFERROR(_xlfn.XMATCH(A634,$A$2:$A$2509,0,1)&lt;&gt;_xlfn.XMATCH(A634,$A$2:$A$2509,0,-1),FALSE)), "Código de barras duplicado", ""), IF(AND(E634&lt;&gt;"", COUNTIF($E$2:$E$2509, E634)&gt;1), "SKU duplicado", ""), IF(OR(J634="", J634=""), "[Aviso] División no capturada ()", IF(ISNA(MATCH(J634, Criterios!$A$123:$A$126, 0)), "División no válida", "")), IF(OR(K634="", K634=""), "[Aviso] Categoría no capturada ()", IF(ISNA(MATCH(K634, Criterios!$A$81:$A$120, 0)), "Categoría no válida", IF(AND(J634&lt;&gt;"", J634&lt;&gt;"", J634&lt;&gt;VLOOKUP(K634, Criterios!$A$81:$B$120, 2, FALSE)), "División no coincide con Categoría", ""))), IF(OR(L634="", L634=""), "[Aviso] Género no capturado ()", IF(ISNA(MATCH(L634, Criterios!$B$123:$B$127, 0)), "Género no válido", "")), IF(OR(N634="", N634=""), "[Aviso] Temporada no capturada ()", IF(ISNA(MATCH(N634, Criterios!$C$123:$C$128, 0)), "Temporada no válida", "")), IF(OR(O634="", O634=""), "[Aviso] Ciclo de vida no capturado ()", IF(ISNA(MATCH(O634, Criterios!$D$123:$D$124, 0)), "Ciclo de vida no válido", ""))))</f>
        <v/>
      </c>
      <c r="AC634" s="56" t="n"/>
      <c r="AD634" s="51" t="n">
        <v>0</v>
      </c>
      <c r="AE634" s="156" t="n"/>
      <c r="AF634" s="51" t="n">
        <v>0</v>
      </c>
      <c r="AG634" s="156" t="inlineStr">
        <is>
          <t>Catálogo existente</t>
        </is>
      </c>
      <c r="AH6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4" s="156" t="inlineStr">
        <is>
          <t>No</t>
        </is>
      </c>
      <c r="AJ634" s="156" t="n"/>
      <c r="AK634" s="155" t="inlineStr">
        <is>
          <t>Criterios: I [Q]; G1522_Extraccion_Articulos_NetSuite_2026-09-30.xlsx: fila 59211 [R] | Shopify Stetson: producto 15054564852075 / variante 53350558433643</t>
        </is>
      </c>
      <c r="AL634" s="58" t="n">
        <v>724.5599999999999</v>
      </c>
      <c r="AM634" s="58" t="n">
        <v>4224.137931</v>
      </c>
      <c r="AN634" s="155" t="inlineStr">
        <is>
          <t>Shopify Stetson México</t>
        </is>
      </c>
      <c r="AO634" s="59" t="n">
        <v>0</v>
      </c>
      <c r="AP634" s="59" t="n"/>
      <c r="AQ634" s="59" t="n"/>
      <c r="AR634" s="155" t="n"/>
    </row>
    <row r="635">
      <c r="A635" s="50" t="inlineStr">
        <is>
          <t>12021001121033023</t>
        </is>
      </c>
      <c r="B635" s="51" t="inlineStr">
        <is>
          <t>111537</t>
        </is>
      </c>
      <c r="C635" s="156" t="inlineStr">
        <is>
          <t>Multimarca</t>
        </is>
      </c>
      <c r="D635" s="156" t="inlineStr">
        <is>
          <t>12-021-BS001-12-1033</t>
        </is>
      </c>
      <c r="E635" s="156" t="inlineStr">
        <is>
          <t>12-021-BS001-12-1033-023</t>
        </is>
      </c>
      <c r="F635" s="156" t="inlineStr">
        <is>
          <t>23</t>
        </is>
      </c>
      <c r="G635" s="156" t="inlineStr">
        <is>
          <t>6</t>
        </is>
      </c>
      <c r="H635" s="156" t="inlineStr">
        <is>
          <t>Stetson</t>
        </is>
      </c>
      <c r="I635" s="156" t="inlineStr">
        <is>
          <t>Bota Piel Terracota</t>
        </is>
      </c>
      <c r="J635" s="156" t="inlineStr">
        <is>
          <t>Calzado</t>
        </is>
      </c>
      <c r="K635" s="156" t="inlineStr">
        <is>
          <t>Botas</t>
        </is>
      </c>
      <c r="L635" s="156" t="inlineStr">
        <is>
          <t>Mujer</t>
        </is>
      </c>
      <c r="M635" s="156" t="inlineStr">
        <is>
          <t>Stetson</t>
        </is>
      </c>
      <c r="N635" s="156" t="inlineStr">
        <is>
          <t>SS26</t>
        </is>
      </c>
      <c r="O635" s="156" t="inlineStr">
        <is>
          <t>Seasonal</t>
        </is>
      </c>
      <c r="P635" s="156" t="inlineStr">
        <is>
          <t>Cafe</t>
        </is>
      </c>
      <c r="Q635" s="156" t="n"/>
      <c r="R635" s="156" t="inlineStr">
        <is>
          <t>Horma Agatha</t>
        </is>
      </c>
      <c r="S635" s="156" t="inlineStr">
        <is>
          <t>Piel bovina</t>
        </is>
      </c>
      <c r="T635" s="156" t="inlineStr">
        <is>
          <t>Bota Dama Piel bovina Clayton Terracota Horma Agatha</t>
        </is>
      </c>
      <c r="U635" s="156" t="inlineStr">
        <is>
          <t>México</t>
        </is>
      </c>
      <c r="V635" s="156" t="inlineStr">
        <is>
          <t>PRS</t>
        </is>
      </c>
      <c r="W635" s="51" t="inlineStr">
        <is>
          <t>53111502</t>
        </is>
      </c>
      <c r="X635" s="156" t="n"/>
      <c r="Y635" s="54" t="n">
        <v>724.5599999999999</v>
      </c>
      <c r="Z635" s="54" t="n">
        <v>4224.137931</v>
      </c>
      <c r="AA635" s="55">
        <f>IF(AND(A635="", B635="", E635=""), "", IF(AB635="", "Válido", IF((LEN(AB635)-LEN(SUBSTITUTE(AB635,"; ","")))/2+1&gt;(LEN(AB635)-LEN(SUBSTITUTE(AB635,"[Aviso]","")))/7, "Con Incidencias", "Válido")))</f>
        <v/>
      </c>
      <c r="AB635" s="56">
        <f>IF(AND(A635="", B635="", E635=""), "", TEXTJOIN("; ", TRUE, IF(OR(TRIM(A635&amp;"")="", ISNUMBER(SEARCH("FALTA", A635))), "UPC faltante/inválido", ""), IF(AND(A635&lt;&gt;"", IFERROR(_xlfn.XMATCH(A635,$A$2:$A$2509,0,1)&lt;&gt;_xlfn.XMATCH(A635,$A$2:$A$2509,0,-1),FALSE)), "Código de barras duplicado", ""), IF(AND(E635&lt;&gt;"", COUNTIF($E$2:$E$2509, E635)&gt;1), "SKU duplicado", ""), IF(OR(J635="", J635=""), "[Aviso] División no capturada ()", IF(ISNA(MATCH(J635, Criterios!$A$123:$A$126, 0)), "División no válida", "")), IF(OR(K635="", K635=""), "[Aviso] Categoría no capturada ()", IF(ISNA(MATCH(K635, Criterios!$A$81:$A$120, 0)), "Categoría no válida", IF(AND(J635&lt;&gt;"", J635&lt;&gt;"", J635&lt;&gt;VLOOKUP(K635, Criterios!$A$81:$B$120, 2, FALSE)), "División no coincide con Categoría", ""))), IF(OR(L635="", L635=""), "[Aviso] Género no capturado ()", IF(ISNA(MATCH(L635, Criterios!$B$123:$B$127, 0)), "Género no válido", "")), IF(OR(N635="", N635=""), "[Aviso] Temporada no capturada ()", IF(ISNA(MATCH(N635, Criterios!$C$123:$C$128, 0)), "Temporada no válida", "")), IF(OR(O635="", O635=""), "[Aviso] Ciclo de vida no capturado ()", IF(ISNA(MATCH(O635, Criterios!$D$123:$D$124, 0)), "Ciclo de vida no válido", ""))))</f>
        <v/>
      </c>
      <c r="AC635" s="56" t="n"/>
      <c r="AD635" s="51" t="n">
        <v>1</v>
      </c>
      <c r="AE635" s="156" t="inlineStr">
        <is>
          <t>STETSON AMERICAS (1)</t>
        </is>
      </c>
      <c r="AF635" s="51" t="n">
        <v>1</v>
      </c>
      <c r="AG635" s="156" t="inlineStr">
        <is>
          <t>Catálogo existente</t>
        </is>
      </c>
      <c r="AH6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5" s="156" t="inlineStr">
        <is>
          <t>No</t>
        </is>
      </c>
      <c r="AJ635" s="156" t="n"/>
      <c r="AK635" s="155" t="inlineStr">
        <is>
          <t>Criterios: I [Q]; G1522_Extraccion_Articulos_NetSuite_2026-09-30.xlsx: fila 59212 [R] | Shopify Stetson: producto 15054564852075 / variante 53350558499179</t>
        </is>
      </c>
      <c r="AL635" s="58" t="n">
        <v>724.5599999999999</v>
      </c>
      <c r="AM635" s="58" t="n">
        <v>4224.137931</v>
      </c>
      <c r="AN635" s="155" t="inlineStr">
        <is>
          <t>Shopify Stetson México</t>
        </is>
      </c>
      <c r="AO635" s="59" t="n">
        <v>1</v>
      </c>
      <c r="AP635" s="59" t="n"/>
      <c r="AQ635" s="59" t="n"/>
      <c r="AR635" s="155" t="inlineStr">
        <is>
          <t>Shopify Stetson México › Stetson Americas: 1</t>
        </is>
      </c>
    </row>
    <row r="636">
      <c r="A636" s="50" t="inlineStr">
        <is>
          <t>12021001121033024</t>
        </is>
      </c>
      <c r="B636" s="51" t="inlineStr">
        <is>
          <t>111538</t>
        </is>
      </c>
      <c r="C636" s="156" t="inlineStr">
        <is>
          <t>Multimarca</t>
        </is>
      </c>
      <c r="D636" s="156" t="inlineStr">
        <is>
          <t>12-021-BS001-12-1033</t>
        </is>
      </c>
      <c r="E636" s="156" t="inlineStr">
        <is>
          <t>12-021-BS001-12-1033-024</t>
        </is>
      </c>
      <c r="F636" s="156" t="inlineStr">
        <is>
          <t>24</t>
        </is>
      </c>
      <c r="G636" s="156" t="inlineStr">
        <is>
          <t>7</t>
        </is>
      </c>
      <c r="H636" s="156" t="inlineStr">
        <is>
          <t>Stetson</t>
        </is>
      </c>
      <c r="I636" s="156" t="inlineStr">
        <is>
          <t>Bota Piel Terracota</t>
        </is>
      </c>
      <c r="J636" s="156" t="inlineStr">
        <is>
          <t>Calzado</t>
        </is>
      </c>
      <c r="K636" s="156" t="inlineStr">
        <is>
          <t>Botas</t>
        </is>
      </c>
      <c r="L636" s="156" t="inlineStr">
        <is>
          <t>Mujer</t>
        </is>
      </c>
      <c r="M636" s="156" t="inlineStr">
        <is>
          <t>Stetson</t>
        </is>
      </c>
      <c r="N636" s="156" t="inlineStr">
        <is>
          <t>SS26</t>
        </is>
      </c>
      <c r="O636" s="156" t="inlineStr">
        <is>
          <t>Seasonal</t>
        </is>
      </c>
      <c r="P636" s="156" t="inlineStr">
        <is>
          <t>Cafe</t>
        </is>
      </c>
      <c r="Q636" s="156" t="n"/>
      <c r="R636" s="156" t="inlineStr">
        <is>
          <t>Horma Agatha</t>
        </is>
      </c>
      <c r="S636" s="156" t="inlineStr">
        <is>
          <t>Piel bovina</t>
        </is>
      </c>
      <c r="T636" s="156" t="inlineStr">
        <is>
          <t>Bota Dama Piel bovina Clayton Terracota Horma Agatha</t>
        </is>
      </c>
      <c r="U636" s="156" t="inlineStr">
        <is>
          <t>México</t>
        </is>
      </c>
      <c r="V636" s="156" t="inlineStr">
        <is>
          <t>PRS</t>
        </is>
      </c>
      <c r="W636" s="51" t="inlineStr">
        <is>
          <t>53111502</t>
        </is>
      </c>
      <c r="X636" s="156" t="n"/>
      <c r="Y636" s="54" t="n">
        <v>724.5599999999999</v>
      </c>
      <c r="Z636" s="54" t="n">
        <v>4224.137931</v>
      </c>
      <c r="AA636" s="55">
        <f>IF(AND(A636="", B636="", E636=""), "", IF(AB636="", "Válido", IF((LEN(AB636)-LEN(SUBSTITUTE(AB636,"; ","")))/2+1&gt;(LEN(AB636)-LEN(SUBSTITUTE(AB636,"[Aviso]","")))/7, "Con Incidencias", "Válido")))</f>
        <v/>
      </c>
      <c r="AB636" s="56">
        <f>IF(AND(A636="", B636="", E636=""), "", TEXTJOIN("; ", TRUE, IF(OR(TRIM(A636&amp;"")="", ISNUMBER(SEARCH("FALTA", A636))), "UPC faltante/inválido", ""), IF(AND(A636&lt;&gt;"", IFERROR(_xlfn.XMATCH(A636,$A$2:$A$2509,0,1)&lt;&gt;_xlfn.XMATCH(A636,$A$2:$A$2509,0,-1),FALSE)), "Código de barras duplicado", ""), IF(AND(E636&lt;&gt;"", COUNTIF($E$2:$E$2509, E636)&gt;1), "SKU duplicado", ""), IF(OR(J636="", J636=""), "[Aviso] División no capturada ()", IF(ISNA(MATCH(J636, Criterios!$A$123:$A$126, 0)), "División no válida", "")), IF(OR(K636="", K636=""), "[Aviso] Categoría no capturada ()", IF(ISNA(MATCH(K636, Criterios!$A$81:$A$120, 0)), "Categoría no válida", IF(AND(J636&lt;&gt;"", J636&lt;&gt;"", J636&lt;&gt;VLOOKUP(K636, Criterios!$A$81:$B$120, 2, FALSE)), "División no coincide con Categoría", ""))), IF(OR(L636="", L636=""), "[Aviso] Género no capturado ()", IF(ISNA(MATCH(L636, Criterios!$B$123:$B$127, 0)), "Género no válido", "")), IF(OR(N636="", N636=""), "[Aviso] Temporada no capturada ()", IF(ISNA(MATCH(N636, Criterios!$C$123:$C$128, 0)), "Temporada no válida", "")), IF(OR(O636="", O636=""), "[Aviso] Ciclo de vida no capturado ()", IF(ISNA(MATCH(O636, Criterios!$D$123:$D$124, 0)), "Ciclo de vida no válido", ""))))</f>
        <v/>
      </c>
      <c r="AC636" s="56" t="n"/>
      <c r="AD636" s="51" t="n">
        <v>1</v>
      </c>
      <c r="AE636" s="156" t="inlineStr">
        <is>
          <t>STETSON AMERICAS (1)</t>
        </is>
      </c>
      <c r="AF636" s="51" t="n">
        <v>1</v>
      </c>
      <c r="AG636" s="156" t="inlineStr">
        <is>
          <t>Catálogo existente</t>
        </is>
      </c>
      <c r="AH6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6" s="156" t="inlineStr">
        <is>
          <t>No</t>
        </is>
      </c>
      <c r="AJ636" s="156" t="n"/>
      <c r="AK636" s="155" t="inlineStr">
        <is>
          <t>Criterios: I [Q]; G1522_Extraccion_Articulos_NetSuite_2026-09-30.xlsx: fila 59213 [R] | Shopify Stetson: producto 15054564852075 / variante 53350558564715</t>
        </is>
      </c>
      <c r="AL636" s="58" t="n">
        <v>724.5599999999999</v>
      </c>
      <c r="AM636" s="58" t="n">
        <v>4224.137931</v>
      </c>
      <c r="AN636" s="155" t="inlineStr">
        <is>
          <t>Shopify Stetson México</t>
        </is>
      </c>
      <c r="AO636" s="59" t="n">
        <v>1</v>
      </c>
      <c r="AP636" s="59" t="n"/>
      <c r="AQ636" s="59" t="n"/>
      <c r="AR636" s="155" t="inlineStr">
        <is>
          <t>Shopify Stetson México › Stetson Americas: 1</t>
        </is>
      </c>
    </row>
    <row r="637">
      <c r="A637" s="50" t="inlineStr">
        <is>
          <t>12021001121033025</t>
        </is>
      </c>
      <c r="B637" s="51" t="inlineStr">
        <is>
          <t>111539</t>
        </is>
      </c>
      <c r="C637" s="156" t="inlineStr">
        <is>
          <t>Multimarca</t>
        </is>
      </c>
      <c r="D637" s="156" t="inlineStr">
        <is>
          <t>12-021-BS001-12-1033</t>
        </is>
      </c>
      <c r="E637" s="156" t="inlineStr">
        <is>
          <t>12-021-BS001-12-1033-025</t>
        </is>
      </c>
      <c r="F637" s="156" t="inlineStr">
        <is>
          <t>25</t>
        </is>
      </c>
      <c r="G637" s="156" t="inlineStr">
        <is>
          <t>8</t>
        </is>
      </c>
      <c r="H637" s="156" t="inlineStr">
        <is>
          <t>Stetson</t>
        </is>
      </c>
      <c r="I637" s="156" t="inlineStr">
        <is>
          <t>Bota Piel Terracota</t>
        </is>
      </c>
      <c r="J637" s="156" t="inlineStr">
        <is>
          <t>Calzado</t>
        </is>
      </c>
      <c r="K637" s="156" t="inlineStr">
        <is>
          <t>Botas</t>
        </is>
      </c>
      <c r="L637" s="156" t="inlineStr">
        <is>
          <t>Mujer</t>
        </is>
      </c>
      <c r="M637" s="156" t="inlineStr">
        <is>
          <t>Stetson</t>
        </is>
      </c>
      <c r="N637" s="156" t="inlineStr">
        <is>
          <t>SS26</t>
        </is>
      </c>
      <c r="O637" s="156" t="inlineStr">
        <is>
          <t>Seasonal</t>
        </is>
      </c>
      <c r="P637" s="156" t="inlineStr">
        <is>
          <t>Cafe</t>
        </is>
      </c>
      <c r="Q637" s="156" t="n"/>
      <c r="R637" s="156" t="inlineStr">
        <is>
          <t>Horma Agatha</t>
        </is>
      </c>
      <c r="S637" s="156" t="inlineStr">
        <is>
          <t>Piel bovina</t>
        </is>
      </c>
      <c r="T637" s="156" t="inlineStr">
        <is>
          <t>Bota Dama Piel bovina Clayton Terracota Horma Agatha</t>
        </is>
      </c>
      <c r="U637" s="156" t="inlineStr">
        <is>
          <t>México</t>
        </is>
      </c>
      <c r="V637" s="156" t="inlineStr">
        <is>
          <t>PRS</t>
        </is>
      </c>
      <c r="W637" s="51" t="inlineStr">
        <is>
          <t>53111502</t>
        </is>
      </c>
      <c r="X637" s="156" t="n"/>
      <c r="Y637" s="54" t="n">
        <v>724.5599999999999</v>
      </c>
      <c r="Z637" s="54" t="n">
        <v>4224.137931</v>
      </c>
      <c r="AA637" s="55">
        <f>IF(AND(A637="", B637="", E637=""), "", IF(AB637="", "Válido", IF((LEN(AB637)-LEN(SUBSTITUTE(AB637,"; ","")))/2+1&gt;(LEN(AB637)-LEN(SUBSTITUTE(AB637,"[Aviso]","")))/7, "Con Incidencias", "Válido")))</f>
        <v/>
      </c>
      <c r="AB637" s="56">
        <f>IF(AND(A637="", B637="", E637=""), "", TEXTJOIN("; ", TRUE, IF(OR(TRIM(A637&amp;"")="", ISNUMBER(SEARCH("FALTA", A637))), "UPC faltante/inválido", ""), IF(AND(A637&lt;&gt;"", IFERROR(_xlfn.XMATCH(A637,$A$2:$A$2509,0,1)&lt;&gt;_xlfn.XMATCH(A637,$A$2:$A$2509,0,-1),FALSE)), "Código de barras duplicado", ""), IF(AND(E637&lt;&gt;"", COUNTIF($E$2:$E$2509, E637)&gt;1), "SKU duplicado", ""), IF(OR(J637="", J637=""), "[Aviso] División no capturada ()", IF(ISNA(MATCH(J637, Criterios!$A$123:$A$126, 0)), "División no válida", "")), IF(OR(K637="", K637=""), "[Aviso] Categoría no capturada ()", IF(ISNA(MATCH(K637, Criterios!$A$81:$A$120, 0)), "Categoría no válida", IF(AND(J637&lt;&gt;"", J637&lt;&gt;"", J637&lt;&gt;VLOOKUP(K637, Criterios!$A$81:$B$120, 2, FALSE)), "División no coincide con Categoría", ""))), IF(OR(L637="", L637=""), "[Aviso] Género no capturado ()", IF(ISNA(MATCH(L637, Criterios!$B$123:$B$127, 0)), "Género no válido", "")), IF(OR(N637="", N637=""), "[Aviso] Temporada no capturada ()", IF(ISNA(MATCH(N637, Criterios!$C$123:$C$128, 0)), "Temporada no válida", "")), IF(OR(O637="", O637=""), "[Aviso] Ciclo de vida no capturado ()", IF(ISNA(MATCH(O637, Criterios!$D$123:$D$124, 0)), "Ciclo de vida no válido", ""))))</f>
        <v/>
      </c>
      <c r="AC637" s="56" t="n"/>
      <c r="AD637" s="51" t="n">
        <v>2</v>
      </c>
      <c r="AE637" s="156" t="inlineStr">
        <is>
          <t>STETSON AMERICAS (2)</t>
        </is>
      </c>
      <c r="AF637" s="51" t="n">
        <v>2</v>
      </c>
      <c r="AG637" s="156" t="inlineStr">
        <is>
          <t>Catálogo existente</t>
        </is>
      </c>
      <c r="AH6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7" s="156" t="inlineStr">
        <is>
          <t>No</t>
        </is>
      </c>
      <c r="AJ637" s="156" t="n"/>
      <c r="AK637" s="155" t="inlineStr">
        <is>
          <t>Criterios: I [Q]; G1522_Extraccion_Articulos_NetSuite_2026-09-30.xlsx: fila 59214 [R] | Shopify Stetson: producto 15054564852075 / variante 53350558630251</t>
        </is>
      </c>
      <c r="AL637" s="58" t="n">
        <v>724.5599999999999</v>
      </c>
      <c r="AM637" s="58" t="n">
        <v>4224.137931</v>
      </c>
      <c r="AN637" s="155" t="inlineStr">
        <is>
          <t>Shopify Stetson México</t>
        </is>
      </c>
      <c r="AO637" s="59" t="n">
        <v>2</v>
      </c>
      <c r="AP637" s="59" t="n"/>
      <c r="AQ637" s="59" t="n"/>
      <c r="AR637" s="155" t="inlineStr">
        <is>
          <t>Shopify Stetson México › Stetson Americas: 2</t>
        </is>
      </c>
    </row>
    <row r="638">
      <c r="A638" s="50" t="inlineStr">
        <is>
          <t>12021001121033026</t>
        </is>
      </c>
      <c r="B638" s="51" t="inlineStr">
        <is>
          <t>111531</t>
        </is>
      </c>
      <c r="C638" s="156" t="inlineStr">
        <is>
          <t>Multimarca</t>
        </is>
      </c>
      <c r="D638" s="156" t="inlineStr">
        <is>
          <t>12-021-BS001-12-1033</t>
        </is>
      </c>
      <c r="E638" s="156" t="inlineStr">
        <is>
          <t>12-021-BS001-12-1033-026</t>
        </is>
      </c>
      <c r="F638" s="156" t="inlineStr">
        <is>
          <t>26</t>
        </is>
      </c>
      <c r="G638" s="156" t="inlineStr">
        <is>
          <t>9</t>
        </is>
      </c>
      <c r="H638" s="156" t="inlineStr">
        <is>
          <t>Stetson</t>
        </is>
      </c>
      <c r="I638" s="156" t="inlineStr">
        <is>
          <t>Bota Piel Terracota</t>
        </is>
      </c>
      <c r="J638" s="156" t="inlineStr">
        <is>
          <t>Calzado</t>
        </is>
      </c>
      <c r="K638" s="156" t="inlineStr">
        <is>
          <t>Botas</t>
        </is>
      </c>
      <c r="L638" s="156" t="inlineStr">
        <is>
          <t>Mujer</t>
        </is>
      </c>
      <c r="M638" s="156" t="inlineStr">
        <is>
          <t>Stetson</t>
        </is>
      </c>
      <c r="N638" s="156" t="inlineStr">
        <is>
          <t>SS26</t>
        </is>
      </c>
      <c r="O638" s="156" t="inlineStr">
        <is>
          <t>Seasonal</t>
        </is>
      </c>
      <c r="P638" s="156" t="inlineStr">
        <is>
          <t>Cafe</t>
        </is>
      </c>
      <c r="Q638" s="156" t="n"/>
      <c r="R638" s="156" t="inlineStr">
        <is>
          <t>Horma Agatha</t>
        </is>
      </c>
      <c r="S638" s="156" t="inlineStr">
        <is>
          <t>Piel bovina</t>
        </is>
      </c>
      <c r="T638" s="156" t="inlineStr">
        <is>
          <t>Bota Dama Piel bovina Clayton Terracota Horma Agatha</t>
        </is>
      </c>
      <c r="U638" s="156" t="inlineStr">
        <is>
          <t>México</t>
        </is>
      </c>
      <c r="V638" s="156" t="inlineStr">
        <is>
          <t>PRS</t>
        </is>
      </c>
      <c r="W638" s="51" t="inlineStr">
        <is>
          <t>53111502</t>
        </is>
      </c>
      <c r="X638" s="156" t="n"/>
      <c r="Y638" s="54" t="n">
        <v>724.5599999999999</v>
      </c>
      <c r="Z638" s="54" t="n">
        <v>4224.137931</v>
      </c>
      <c r="AA638" s="55">
        <f>IF(AND(A638="", B638="", E638=""), "", IF(AB638="", "Válido", IF((LEN(AB638)-LEN(SUBSTITUTE(AB638,"; ","")))/2+1&gt;(LEN(AB638)-LEN(SUBSTITUTE(AB638,"[Aviso]","")))/7, "Con Incidencias", "Válido")))</f>
        <v/>
      </c>
      <c r="AB638" s="56">
        <f>IF(AND(A638="", B638="", E638=""), "", TEXTJOIN("; ", TRUE, IF(OR(TRIM(A638&amp;"")="", ISNUMBER(SEARCH("FALTA", A638))), "UPC faltante/inválido", ""), IF(AND(A638&lt;&gt;"", IFERROR(_xlfn.XMATCH(A638,$A$2:$A$2509,0,1)&lt;&gt;_xlfn.XMATCH(A638,$A$2:$A$2509,0,-1),FALSE)), "Código de barras duplicado", ""), IF(AND(E638&lt;&gt;"", COUNTIF($E$2:$E$2509, E638)&gt;1), "SKU duplicado", ""), IF(OR(J638="", J638=""), "[Aviso] División no capturada ()", IF(ISNA(MATCH(J638, Criterios!$A$123:$A$126, 0)), "División no válida", "")), IF(OR(K638="", K638=""), "[Aviso] Categoría no capturada ()", IF(ISNA(MATCH(K638, Criterios!$A$81:$A$120, 0)), "Categoría no válida", IF(AND(J638&lt;&gt;"", J638&lt;&gt;"", J638&lt;&gt;VLOOKUP(K638, Criterios!$A$81:$B$120, 2, FALSE)), "División no coincide con Categoría", ""))), IF(OR(L638="", L638=""), "[Aviso] Género no capturado ()", IF(ISNA(MATCH(L638, Criterios!$B$123:$B$127, 0)), "Género no válido", "")), IF(OR(N638="", N638=""), "[Aviso] Temporada no capturada ()", IF(ISNA(MATCH(N638, Criterios!$C$123:$C$128, 0)), "Temporada no válida", "")), IF(OR(O638="", O638=""), "[Aviso] Ciclo de vida no capturado ()", IF(ISNA(MATCH(O638, Criterios!$D$123:$D$124, 0)), "Ciclo de vida no válido", ""))))</f>
        <v/>
      </c>
      <c r="AC638" s="56" t="n"/>
      <c r="AD638" s="51" t="n">
        <v>-1</v>
      </c>
      <c r="AE638" s="156" t="n"/>
      <c r="AF638" s="51" t="n">
        <v>0</v>
      </c>
      <c r="AG638" s="156" t="inlineStr">
        <is>
          <t>Catálogo existente</t>
        </is>
      </c>
      <c r="AH638"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8" s="156" t="inlineStr">
        <is>
          <t>Sí</t>
        </is>
      </c>
      <c r="AJ638" s="156" t="inlineStr">
        <is>
          <t>STETSON AMERICAS (-1)</t>
        </is>
      </c>
      <c r="AK638" s="155" t="inlineStr">
        <is>
          <t>Criterios: I [Q]; G1522_Extraccion_Articulos_NetSuite_2026-09-30.xlsx: fila 59206 [R]</t>
        </is>
      </c>
      <c r="AL638" s="58" t="n">
        <v>724.5599999999999</v>
      </c>
      <c r="AM638" s="58" t="n">
        <v>4224.137931</v>
      </c>
      <c r="AN638" s="155" t="n"/>
      <c r="AO638" s="59" t="n"/>
      <c r="AP638" s="59" t="n"/>
      <c r="AQ638" s="59" t="n"/>
      <c r="AR638" s="155" t="n"/>
    </row>
    <row r="639">
      <c r="A639" s="50" t="inlineStr">
        <is>
          <t>12021001121033027</t>
        </is>
      </c>
      <c r="B639" s="51" t="inlineStr">
        <is>
          <t>111532</t>
        </is>
      </c>
      <c r="C639" s="156" t="inlineStr">
        <is>
          <t>Multimarca</t>
        </is>
      </c>
      <c r="D639" s="156" t="inlineStr">
        <is>
          <t>12-021-BS001-12-1033</t>
        </is>
      </c>
      <c r="E639" s="156" t="inlineStr">
        <is>
          <t>12-021-BS001-12-1033-027</t>
        </is>
      </c>
      <c r="F639" s="156" t="inlineStr">
        <is>
          <t>27</t>
        </is>
      </c>
      <c r="G639" s="156" t="inlineStr">
        <is>
          <t>10</t>
        </is>
      </c>
      <c r="H639" s="156" t="inlineStr">
        <is>
          <t>Stetson</t>
        </is>
      </c>
      <c r="I639" s="156" t="inlineStr">
        <is>
          <t>Bota Piel Terracota</t>
        </is>
      </c>
      <c r="J639" s="156" t="inlineStr">
        <is>
          <t>Calzado</t>
        </is>
      </c>
      <c r="K639" s="156" t="inlineStr">
        <is>
          <t>Botas</t>
        </is>
      </c>
      <c r="L639" s="156" t="inlineStr">
        <is>
          <t>Mujer</t>
        </is>
      </c>
      <c r="M639" s="156" t="inlineStr">
        <is>
          <t>Stetson</t>
        </is>
      </c>
      <c r="N639" s="156" t="inlineStr">
        <is>
          <t>SS26</t>
        </is>
      </c>
      <c r="O639" s="156" t="inlineStr">
        <is>
          <t>Seasonal</t>
        </is>
      </c>
      <c r="P639" s="156" t="inlineStr">
        <is>
          <t>Cafe</t>
        </is>
      </c>
      <c r="Q639" s="156" t="n"/>
      <c r="R639" s="156" t="inlineStr">
        <is>
          <t>Horma Agatha</t>
        </is>
      </c>
      <c r="S639" s="156" t="inlineStr">
        <is>
          <t>Piel bovina</t>
        </is>
      </c>
      <c r="T639" s="156" t="inlineStr">
        <is>
          <t>Bota Dama Piel bovina Clayton Terracota Horma Agatha</t>
        </is>
      </c>
      <c r="U639" s="156" t="inlineStr">
        <is>
          <t>México</t>
        </is>
      </c>
      <c r="V639" s="156" t="inlineStr">
        <is>
          <t>PRS</t>
        </is>
      </c>
      <c r="W639" s="51" t="inlineStr">
        <is>
          <t>53111502</t>
        </is>
      </c>
      <c r="X639" s="156" t="n"/>
      <c r="Y639" s="54" t="n">
        <v>724.5599999999999</v>
      </c>
      <c r="Z639" s="54" t="n">
        <v>4224.137931</v>
      </c>
      <c r="AA639" s="55">
        <f>IF(AND(A639="", B639="", E639=""), "", IF(AB639="", "Válido", IF((LEN(AB639)-LEN(SUBSTITUTE(AB639,"; ","")))/2+1&gt;(LEN(AB639)-LEN(SUBSTITUTE(AB639,"[Aviso]","")))/7, "Con Incidencias", "Válido")))</f>
        <v/>
      </c>
      <c r="AB639" s="56">
        <f>IF(AND(A639="", B639="", E639=""), "", TEXTJOIN("; ", TRUE, IF(OR(TRIM(A639&amp;"")="", ISNUMBER(SEARCH("FALTA", A639))), "UPC faltante/inválido", ""), IF(AND(A639&lt;&gt;"", IFERROR(_xlfn.XMATCH(A639,$A$2:$A$2509,0,1)&lt;&gt;_xlfn.XMATCH(A639,$A$2:$A$2509,0,-1),FALSE)), "Código de barras duplicado", ""), IF(AND(E639&lt;&gt;"", COUNTIF($E$2:$E$2509, E639)&gt;1), "SKU duplicado", ""), IF(OR(J639="", J639=""), "[Aviso] División no capturada ()", IF(ISNA(MATCH(J639, Criterios!$A$123:$A$126, 0)), "División no válida", "")), IF(OR(K639="", K639=""), "[Aviso] Categoría no capturada ()", IF(ISNA(MATCH(K639, Criterios!$A$81:$A$120, 0)), "Categoría no válida", IF(AND(J639&lt;&gt;"", J639&lt;&gt;"", J639&lt;&gt;VLOOKUP(K639, Criterios!$A$81:$B$120, 2, FALSE)), "División no coincide con Categoría", ""))), IF(OR(L639="", L639=""), "[Aviso] Género no capturado ()", IF(ISNA(MATCH(L639, Criterios!$B$123:$B$127, 0)), "Género no válido", "")), IF(OR(N639="", N639=""), "[Aviso] Temporada no capturada ()", IF(ISNA(MATCH(N639, Criterios!$C$123:$C$128, 0)), "Temporada no válida", "")), IF(OR(O639="", O639=""), "[Aviso] Ciclo de vida no capturado ()", IF(ISNA(MATCH(O639, Criterios!$D$123:$D$124, 0)), "Ciclo de vida no válido", ""))))</f>
        <v/>
      </c>
      <c r="AC639" s="56" t="n"/>
      <c r="AD639" s="51" t="n">
        <v>0</v>
      </c>
      <c r="AE639" s="156" t="n"/>
      <c r="AF639" s="51" t="n">
        <v>0</v>
      </c>
      <c r="AG639" s="156" t="inlineStr">
        <is>
          <t>Catálogo existente</t>
        </is>
      </c>
      <c r="AH63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9" s="156" t="inlineStr">
        <is>
          <t>No</t>
        </is>
      </c>
      <c r="AJ639" s="156" t="n"/>
      <c r="AK639" s="155" t="inlineStr">
        <is>
          <t>Criterios: I [Q]; G1522_Extraccion_Articulos_NetSuite_2026-09-30.xlsx: fila 59207 [R]</t>
        </is>
      </c>
      <c r="AL639" s="58" t="n">
        <v>724.5599999999999</v>
      </c>
      <c r="AM639" s="58" t="n">
        <v>4224.137931</v>
      </c>
      <c r="AN639" s="155" t="n"/>
      <c r="AO639" s="59" t="n"/>
      <c r="AP639" s="59" t="n"/>
      <c r="AQ639" s="59" t="n"/>
      <c r="AR639" s="155" t="n"/>
    </row>
    <row r="640">
      <c r="A640" s="50" t="inlineStr">
        <is>
          <t>12021001121033225</t>
        </is>
      </c>
      <c r="B640" s="51" t="inlineStr">
        <is>
          <t>111540</t>
        </is>
      </c>
      <c r="C640" s="156" t="inlineStr">
        <is>
          <t>Multimarca</t>
        </is>
      </c>
      <c r="D640" s="156" t="inlineStr">
        <is>
          <t>12-021-BS001-12-1033</t>
        </is>
      </c>
      <c r="E640" s="156" t="inlineStr">
        <is>
          <t>12-021-BS001-12-1033-225</t>
        </is>
      </c>
      <c r="F640" s="156" t="inlineStr">
        <is>
          <t>22.5</t>
        </is>
      </c>
      <c r="G640" s="156" t="inlineStr">
        <is>
          <t>5.5</t>
        </is>
      </c>
      <c r="H640" s="156" t="inlineStr">
        <is>
          <t>Stetson</t>
        </is>
      </c>
      <c r="I640" s="156" t="inlineStr">
        <is>
          <t>Bota Piel Terracota</t>
        </is>
      </c>
      <c r="J640" s="156" t="inlineStr">
        <is>
          <t>Calzado</t>
        </is>
      </c>
      <c r="K640" s="156" t="inlineStr">
        <is>
          <t>Botas</t>
        </is>
      </c>
      <c r="L640" s="156" t="inlineStr">
        <is>
          <t>Mujer</t>
        </is>
      </c>
      <c r="M640" s="156" t="inlineStr">
        <is>
          <t>Stetson</t>
        </is>
      </c>
      <c r="N640" s="156" t="inlineStr">
        <is>
          <t>SS26</t>
        </is>
      </c>
      <c r="O640" s="156" t="inlineStr">
        <is>
          <t>Seasonal</t>
        </is>
      </c>
      <c r="P640" s="156" t="inlineStr">
        <is>
          <t>Cafe</t>
        </is>
      </c>
      <c r="Q640" s="156" t="n"/>
      <c r="R640" s="156" t="inlineStr">
        <is>
          <t>Horma Agatha</t>
        </is>
      </c>
      <c r="S640" s="156" t="inlineStr">
        <is>
          <t>Piel bovina</t>
        </is>
      </c>
      <c r="T640" s="156" t="inlineStr">
        <is>
          <t>Bota Dama Piel bovina Clayton Terracota Horma Agatha</t>
        </is>
      </c>
      <c r="U640" s="156" t="inlineStr">
        <is>
          <t>México</t>
        </is>
      </c>
      <c r="V640" s="156" t="inlineStr">
        <is>
          <t>PRS</t>
        </is>
      </c>
      <c r="W640" s="51" t="inlineStr">
        <is>
          <t>53111502</t>
        </is>
      </c>
      <c r="X640" s="156" t="n"/>
      <c r="Y640" s="54" t="n">
        <v>724.5599999999999</v>
      </c>
      <c r="Z640" s="54" t="n">
        <v>4224.137931</v>
      </c>
      <c r="AA640" s="55">
        <f>IF(AND(A640="", B640="", E640=""), "", IF(AB640="", "Válido", IF((LEN(AB640)-LEN(SUBSTITUTE(AB640,"; ","")))/2+1&gt;(LEN(AB640)-LEN(SUBSTITUTE(AB640,"[Aviso]","")))/7, "Con Incidencias", "Válido")))</f>
        <v/>
      </c>
      <c r="AB640" s="56">
        <f>IF(AND(A640="", B640="", E640=""), "", TEXTJOIN("; ", TRUE, IF(OR(TRIM(A640&amp;"")="", ISNUMBER(SEARCH("FALTA", A640))), "UPC faltante/inválido", ""), IF(AND(A640&lt;&gt;"", IFERROR(_xlfn.XMATCH(A640,$A$2:$A$2509,0,1)&lt;&gt;_xlfn.XMATCH(A640,$A$2:$A$2509,0,-1),FALSE)), "Código de barras duplicado", ""), IF(AND(E640&lt;&gt;"", COUNTIF($E$2:$E$2509, E640)&gt;1), "SKU duplicado", ""), IF(OR(J640="", J640=""), "[Aviso] División no capturada ()", IF(ISNA(MATCH(J640, Criterios!$A$123:$A$126, 0)), "División no válida", "")), IF(OR(K640="", K640=""), "[Aviso] Categoría no capturada ()", IF(ISNA(MATCH(K640, Criterios!$A$81:$A$120, 0)), "Categoría no válida", IF(AND(J640&lt;&gt;"", J640&lt;&gt;"", J640&lt;&gt;VLOOKUP(K640, Criterios!$A$81:$B$120, 2, FALSE)), "División no coincide con Categoría", ""))), IF(OR(L640="", L640=""), "[Aviso] Género no capturado ()", IF(ISNA(MATCH(L640, Criterios!$B$123:$B$127, 0)), "Género no válido", "")), IF(OR(N640="", N640=""), "[Aviso] Temporada no capturada ()", IF(ISNA(MATCH(N640, Criterios!$C$123:$C$128, 0)), "Temporada no válida", "")), IF(OR(O640="", O640=""), "[Aviso] Ciclo de vida no capturado ()", IF(ISNA(MATCH(O640, Criterios!$D$123:$D$124, 0)), "Ciclo de vida no válido", ""))))</f>
        <v/>
      </c>
      <c r="AC640" s="56" t="n"/>
      <c r="AD640" s="51" t="n">
        <v>0</v>
      </c>
      <c r="AE640" s="156" t="n"/>
      <c r="AF640" s="51" t="n">
        <v>0</v>
      </c>
      <c r="AG640" s="156" t="inlineStr">
        <is>
          <t>Catálogo existente</t>
        </is>
      </c>
      <c r="AH6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0" s="156" t="inlineStr">
        <is>
          <t>No</t>
        </is>
      </c>
      <c r="AJ640" s="156" t="n"/>
      <c r="AK640" s="155" t="inlineStr">
        <is>
          <t>Criterios: I [Q]; G1522_Extraccion_Articulos_NetSuite_2026-09-30.xlsx: fila 59215 [R] | Shopify Stetson: producto 15054564852075 / variante 53350558466411</t>
        </is>
      </c>
      <c r="AL640" s="58" t="n">
        <v>724.5599999999999</v>
      </c>
      <c r="AM640" s="58" t="n">
        <v>4224.137931</v>
      </c>
      <c r="AN640" s="155" t="inlineStr">
        <is>
          <t>Shopify Stetson México</t>
        </is>
      </c>
      <c r="AO640" s="59" t="n">
        <v>0</v>
      </c>
      <c r="AP640" s="59" t="n"/>
      <c r="AQ640" s="59" t="n"/>
      <c r="AR640" s="155" t="n"/>
    </row>
    <row r="641">
      <c r="A641" s="50" t="inlineStr">
        <is>
          <t>12021001121033235</t>
        </is>
      </c>
      <c r="B641" s="51" t="inlineStr">
        <is>
          <t>111541</t>
        </is>
      </c>
      <c r="C641" s="156" t="inlineStr">
        <is>
          <t>Multimarca</t>
        </is>
      </c>
      <c r="D641" s="156" t="inlineStr">
        <is>
          <t>12-021-BS001-12-1033</t>
        </is>
      </c>
      <c r="E641" s="156" t="inlineStr">
        <is>
          <t>12-021-BS001-12-1033-235</t>
        </is>
      </c>
      <c r="F641" s="156" t="inlineStr">
        <is>
          <t>23.5</t>
        </is>
      </c>
      <c r="G641" s="156" t="inlineStr">
        <is>
          <t>6.5</t>
        </is>
      </c>
      <c r="H641" s="156" t="inlineStr">
        <is>
          <t>Stetson</t>
        </is>
      </c>
      <c r="I641" s="156" t="inlineStr">
        <is>
          <t>Bota Piel Terracota</t>
        </is>
      </c>
      <c r="J641" s="156" t="inlineStr">
        <is>
          <t>Calzado</t>
        </is>
      </c>
      <c r="K641" s="156" t="inlineStr">
        <is>
          <t>Botas</t>
        </is>
      </c>
      <c r="L641" s="156" t="inlineStr">
        <is>
          <t>Mujer</t>
        </is>
      </c>
      <c r="M641" s="156" t="inlineStr">
        <is>
          <t>Stetson</t>
        </is>
      </c>
      <c r="N641" s="156" t="inlineStr">
        <is>
          <t>SS26</t>
        </is>
      </c>
      <c r="O641" s="156" t="inlineStr">
        <is>
          <t>Seasonal</t>
        </is>
      </c>
      <c r="P641" s="156" t="inlineStr">
        <is>
          <t>Cafe</t>
        </is>
      </c>
      <c r="Q641" s="156" t="n"/>
      <c r="R641" s="156" t="inlineStr">
        <is>
          <t>Horma Agatha</t>
        </is>
      </c>
      <c r="S641" s="156" t="inlineStr">
        <is>
          <t>Piel bovina</t>
        </is>
      </c>
      <c r="T641" s="156" t="inlineStr">
        <is>
          <t>Bota Dama Piel bovina Clayton Terracota Horma Agatha</t>
        </is>
      </c>
      <c r="U641" s="156" t="inlineStr">
        <is>
          <t>México</t>
        </is>
      </c>
      <c r="V641" s="156" t="inlineStr">
        <is>
          <t>PRS</t>
        </is>
      </c>
      <c r="W641" s="51" t="inlineStr">
        <is>
          <t>53111502</t>
        </is>
      </c>
      <c r="X641" s="156" t="n"/>
      <c r="Y641" s="54" t="n">
        <v>724.5599999999999</v>
      </c>
      <c r="Z641" s="54" t="n">
        <v>4224.137931</v>
      </c>
      <c r="AA641" s="55">
        <f>IF(AND(A641="", B641="", E641=""), "", IF(AB641="", "Válido", IF((LEN(AB641)-LEN(SUBSTITUTE(AB641,"; ","")))/2+1&gt;(LEN(AB641)-LEN(SUBSTITUTE(AB641,"[Aviso]","")))/7, "Con Incidencias", "Válido")))</f>
        <v/>
      </c>
      <c r="AB641" s="56">
        <f>IF(AND(A641="", B641="", E641=""), "", TEXTJOIN("; ", TRUE, IF(OR(TRIM(A641&amp;"")="", ISNUMBER(SEARCH("FALTA", A641))), "UPC faltante/inválido", ""), IF(AND(A641&lt;&gt;"", IFERROR(_xlfn.XMATCH(A641,$A$2:$A$2509,0,1)&lt;&gt;_xlfn.XMATCH(A641,$A$2:$A$2509,0,-1),FALSE)), "Código de barras duplicado", ""), IF(AND(E641&lt;&gt;"", COUNTIF($E$2:$E$2509, E641)&gt;1), "SKU duplicado", ""), IF(OR(J641="", J641=""), "[Aviso] División no capturada ()", IF(ISNA(MATCH(J641, Criterios!$A$123:$A$126, 0)), "División no válida", "")), IF(OR(K641="", K641=""), "[Aviso] Categoría no capturada ()", IF(ISNA(MATCH(K641, Criterios!$A$81:$A$120, 0)), "Categoría no válida", IF(AND(J641&lt;&gt;"", J641&lt;&gt;"", J641&lt;&gt;VLOOKUP(K641, Criterios!$A$81:$B$120, 2, FALSE)), "División no coincide con Categoría", ""))), IF(OR(L641="", L641=""), "[Aviso] Género no capturado ()", IF(ISNA(MATCH(L641, Criterios!$B$123:$B$127, 0)), "Género no válido", "")), IF(OR(N641="", N641=""), "[Aviso] Temporada no capturada ()", IF(ISNA(MATCH(N641, Criterios!$C$123:$C$128, 0)), "Temporada no válida", "")), IF(OR(O641="", O641=""), "[Aviso] Ciclo de vida no capturado ()", IF(ISNA(MATCH(O641, Criterios!$D$123:$D$124, 0)), "Ciclo de vida no válido", ""))))</f>
        <v/>
      </c>
      <c r="AC641" s="56" t="n"/>
      <c r="AD641" s="51" t="n">
        <v>0</v>
      </c>
      <c r="AE641" s="156" t="n"/>
      <c r="AF641" s="51" t="n">
        <v>0</v>
      </c>
      <c r="AG641" s="156" t="inlineStr">
        <is>
          <t>Catálogo existente</t>
        </is>
      </c>
      <c r="AH6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1" s="156" t="inlineStr">
        <is>
          <t>No</t>
        </is>
      </c>
      <c r="AJ641" s="156" t="n"/>
      <c r="AK641" s="155" t="inlineStr">
        <is>
          <t>Criterios: I [Q]; G1522_Extraccion_Articulos_NetSuite_2026-09-30.xlsx: fila 59216 [R] | Shopify Stetson: producto 15054564852075 / variante 53350558531947</t>
        </is>
      </c>
      <c r="AL641" s="58" t="n">
        <v>724.5599999999999</v>
      </c>
      <c r="AM641" s="58" t="n">
        <v>4224.137931</v>
      </c>
      <c r="AN641" s="155" t="inlineStr">
        <is>
          <t>Shopify Stetson México</t>
        </is>
      </c>
      <c r="AO641" s="59" t="n">
        <v>0</v>
      </c>
      <c r="AP641" s="59" t="n"/>
      <c r="AQ641" s="59" t="n"/>
      <c r="AR641" s="155" t="n"/>
    </row>
    <row r="642">
      <c r="A642" s="50" t="inlineStr">
        <is>
          <t>12021001121033245</t>
        </is>
      </c>
      <c r="B642" s="51" t="inlineStr">
        <is>
          <t>111542</t>
        </is>
      </c>
      <c r="C642" s="156" t="inlineStr">
        <is>
          <t>Multimarca</t>
        </is>
      </c>
      <c r="D642" s="156" t="inlineStr">
        <is>
          <t>12-021-BS001-12-1033</t>
        </is>
      </c>
      <c r="E642" s="156" t="inlineStr">
        <is>
          <t>12-021-BS001-12-1033-245</t>
        </is>
      </c>
      <c r="F642" s="156" t="inlineStr">
        <is>
          <t>24.5</t>
        </is>
      </c>
      <c r="G642" s="156" t="inlineStr">
        <is>
          <t>7.5</t>
        </is>
      </c>
      <c r="H642" s="156" t="inlineStr">
        <is>
          <t>Stetson</t>
        </is>
      </c>
      <c r="I642" s="156" t="inlineStr">
        <is>
          <t>Bota Piel Terracota</t>
        </is>
      </c>
      <c r="J642" s="156" t="inlineStr">
        <is>
          <t>Calzado</t>
        </is>
      </c>
      <c r="K642" s="156" t="inlineStr">
        <is>
          <t>Botas</t>
        </is>
      </c>
      <c r="L642" s="156" t="inlineStr">
        <is>
          <t>Mujer</t>
        </is>
      </c>
      <c r="M642" s="156" t="inlineStr">
        <is>
          <t>Stetson</t>
        </is>
      </c>
      <c r="N642" s="156" t="inlineStr">
        <is>
          <t>SS26</t>
        </is>
      </c>
      <c r="O642" s="156" t="inlineStr">
        <is>
          <t>Seasonal</t>
        </is>
      </c>
      <c r="P642" s="156" t="inlineStr">
        <is>
          <t>Cafe</t>
        </is>
      </c>
      <c r="Q642" s="156" t="n"/>
      <c r="R642" s="156" t="inlineStr">
        <is>
          <t>Horma Agatha</t>
        </is>
      </c>
      <c r="S642" s="156" t="inlineStr">
        <is>
          <t>Piel bovina</t>
        </is>
      </c>
      <c r="T642" s="156" t="inlineStr">
        <is>
          <t>Bota Dama Piel bovina Clayton Terracota Horma Agatha</t>
        </is>
      </c>
      <c r="U642" s="156" t="inlineStr">
        <is>
          <t>México</t>
        </is>
      </c>
      <c r="V642" s="156" t="inlineStr">
        <is>
          <t>PRS</t>
        </is>
      </c>
      <c r="W642" s="51" t="inlineStr">
        <is>
          <t>53111502</t>
        </is>
      </c>
      <c r="X642" s="156" t="n"/>
      <c r="Y642" s="54" t="n">
        <v>724.5599999999999</v>
      </c>
      <c r="Z642" s="54" t="n">
        <v>4224.137931</v>
      </c>
      <c r="AA642" s="55">
        <f>IF(AND(A642="", B642="", E642=""), "", IF(AB642="", "Válido", IF((LEN(AB642)-LEN(SUBSTITUTE(AB642,"; ","")))/2+1&gt;(LEN(AB642)-LEN(SUBSTITUTE(AB642,"[Aviso]","")))/7, "Con Incidencias", "Válido")))</f>
        <v/>
      </c>
      <c r="AB642" s="56">
        <f>IF(AND(A642="", B642="", E642=""), "", TEXTJOIN("; ", TRUE, IF(OR(TRIM(A642&amp;"")="", ISNUMBER(SEARCH("FALTA", A642))), "UPC faltante/inválido", ""), IF(AND(A642&lt;&gt;"", IFERROR(_xlfn.XMATCH(A642,$A$2:$A$2509,0,1)&lt;&gt;_xlfn.XMATCH(A642,$A$2:$A$2509,0,-1),FALSE)), "Código de barras duplicado", ""), IF(AND(E642&lt;&gt;"", COUNTIF($E$2:$E$2509, E642)&gt;1), "SKU duplicado", ""), IF(OR(J642="", J642=""), "[Aviso] División no capturada ()", IF(ISNA(MATCH(J642, Criterios!$A$123:$A$126, 0)), "División no válida", "")), IF(OR(K642="", K642=""), "[Aviso] Categoría no capturada ()", IF(ISNA(MATCH(K642, Criterios!$A$81:$A$120, 0)), "Categoría no válida", IF(AND(J642&lt;&gt;"", J642&lt;&gt;"", J642&lt;&gt;VLOOKUP(K642, Criterios!$A$81:$B$120, 2, FALSE)), "División no coincide con Categoría", ""))), IF(OR(L642="", L642=""), "[Aviso] Género no capturado ()", IF(ISNA(MATCH(L642, Criterios!$B$123:$B$127, 0)), "Género no válido", "")), IF(OR(N642="", N642=""), "[Aviso] Temporada no capturada ()", IF(ISNA(MATCH(N642, Criterios!$C$123:$C$128, 0)), "Temporada no válida", "")), IF(OR(O642="", O642=""), "[Aviso] Ciclo de vida no capturado ()", IF(ISNA(MATCH(O642, Criterios!$D$123:$D$124, 0)), "Ciclo de vida no válido", ""))))</f>
        <v/>
      </c>
      <c r="AC642" s="56" t="n"/>
      <c r="AD642" s="51" t="n">
        <v>0</v>
      </c>
      <c r="AE642" s="156" t="n"/>
      <c r="AF642" s="51" t="n">
        <v>0</v>
      </c>
      <c r="AG642" s="156" t="inlineStr">
        <is>
          <t>Catálogo existente</t>
        </is>
      </c>
      <c r="AH6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2" s="156" t="inlineStr">
        <is>
          <t>No</t>
        </is>
      </c>
      <c r="AJ642" s="156" t="n"/>
      <c r="AK642" s="155" t="inlineStr">
        <is>
          <t>Criterios: I [Q]; G1522_Extraccion_Articulos_NetSuite_2026-09-30.xlsx: fila 59217 [R] | Shopify Stetson: producto 15054564852075 / variante 53350558597483</t>
        </is>
      </c>
      <c r="AL642" s="58" t="n">
        <v>724.5599999999999</v>
      </c>
      <c r="AM642" s="58" t="n">
        <v>4224.137931</v>
      </c>
      <c r="AN642" s="155" t="inlineStr">
        <is>
          <t>Shopify Stetson México</t>
        </is>
      </c>
      <c r="AO642" s="59" t="n">
        <v>0</v>
      </c>
      <c r="AP642" s="59" t="n"/>
      <c r="AQ642" s="59" t="n"/>
      <c r="AR642" s="155" t="n"/>
    </row>
    <row r="643">
      <c r="A643" s="50" t="inlineStr">
        <is>
          <t>12021001121033255</t>
        </is>
      </c>
      <c r="B643" s="51" t="inlineStr">
        <is>
          <t>111533</t>
        </is>
      </c>
      <c r="C643" s="156" t="inlineStr">
        <is>
          <t>Multimarca</t>
        </is>
      </c>
      <c r="D643" s="156" t="inlineStr">
        <is>
          <t>12-021-BS001-12-1033</t>
        </is>
      </c>
      <c r="E643" s="156" t="inlineStr">
        <is>
          <t>12-021-BS001-12-1033-255</t>
        </is>
      </c>
      <c r="F643" s="156" t="inlineStr">
        <is>
          <t>25.5</t>
        </is>
      </c>
      <c r="G643" s="156" t="inlineStr">
        <is>
          <t>8.5</t>
        </is>
      </c>
      <c r="H643" s="156" t="inlineStr">
        <is>
          <t>Stetson</t>
        </is>
      </c>
      <c r="I643" s="156" t="inlineStr">
        <is>
          <t>Bota Piel Terracota</t>
        </is>
      </c>
      <c r="J643" s="156" t="inlineStr">
        <is>
          <t>Calzado</t>
        </is>
      </c>
      <c r="K643" s="156" t="inlineStr">
        <is>
          <t>Botas</t>
        </is>
      </c>
      <c r="L643" s="156" t="inlineStr">
        <is>
          <t>Mujer</t>
        </is>
      </c>
      <c r="M643" s="156" t="inlineStr">
        <is>
          <t>Stetson</t>
        </is>
      </c>
      <c r="N643" s="156" t="inlineStr">
        <is>
          <t>SS26</t>
        </is>
      </c>
      <c r="O643" s="156" t="inlineStr">
        <is>
          <t>Seasonal</t>
        </is>
      </c>
      <c r="P643" s="156" t="inlineStr">
        <is>
          <t>Cafe</t>
        </is>
      </c>
      <c r="Q643" s="156" t="n"/>
      <c r="R643" s="156" t="inlineStr">
        <is>
          <t>Horma Agatha</t>
        </is>
      </c>
      <c r="S643" s="156" t="inlineStr">
        <is>
          <t>Piel bovina</t>
        </is>
      </c>
      <c r="T643" s="156" t="inlineStr">
        <is>
          <t>Bota Dama Piel bovina Clayton Terracota Horma Agatha</t>
        </is>
      </c>
      <c r="U643" s="156" t="inlineStr">
        <is>
          <t>México</t>
        </is>
      </c>
      <c r="V643" s="156" t="inlineStr">
        <is>
          <t>PRS</t>
        </is>
      </c>
      <c r="W643" s="51" t="inlineStr">
        <is>
          <t>53111502</t>
        </is>
      </c>
      <c r="X643" s="156" t="n"/>
      <c r="Y643" s="54" t="n">
        <v>724.5599999999999</v>
      </c>
      <c r="Z643" s="54" t="n">
        <v>4224.137931</v>
      </c>
      <c r="AA643" s="55">
        <f>IF(AND(A643="", B643="", E643=""), "", IF(AB643="", "Válido", IF((LEN(AB643)-LEN(SUBSTITUTE(AB643,"; ","")))/2+1&gt;(LEN(AB643)-LEN(SUBSTITUTE(AB643,"[Aviso]","")))/7, "Con Incidencias", "Válido")))</f>
        <v/>
      </c>
      <c r="AB643" s="56">
        <f>IF(AND(A643="", B643="", E643=""), "", TEXTJOIN("; ", TRUE, IF(OR(TRIM(A643&amp;"")="", ISNUMBER(SEARCH("FALTA", A643))), "UPC faltante/inválido", ""), IF(AND(A643&lt;&gt;"", IFERROR(_xlfn.XMATCH(A643,$A$2:$A$2509,0,1)&lt;&gt;_xlfn.XMATCH(A643,$A$2:$A$2509,0,-1),FALSE)), "Código de barras duplicado", ""), IF(AND(E643&lt;&gt;"", COUNTIF($E$2:$E$2509, E643)&gt;1), "SKU duplicado", ""), IF(OR(J643="", J643=""), "[Aviso] División no capturada ()", IF(ISNA(MATCH(J643, Criterios!$A$123:$A$126, 0)), "División no válida", "")), IF(OR(K643="", K643=""), "[Aviso] Categoría no capturada ()", IF(ISNA(MATCH(K643, Criterios!$A$81:$A$120, 0)), "Categoría no válida", IF(AND(J643&lt;&gt;"", J643&lt;&gt;"", J643&lt;&gt;VLOOKUP(K643, Criterios!$A$81:$B$120, 2, FALSE)), "División no coincide con Categoría", ""))), IF(OR(L643="", L643=""), "[Aviso] Género no capturado ()", IF(ISNA(MATCH(L643, Criterios!$B$123:$B$127, 0)), "Género no válido", "")), IF(OR(N643="", N643=""), "[Aviso] Temporada no capturada ()", IF(ISNA(MATCH(N643, Criterios!$C$123:$C$128, 0)), "Temporada no válida", "")), IF(OR(O643="", O643=""), "[Aviso] Ciclo de vida no capturado ()", IF(ISNA(MATCH(O643, Criterios!$D$123:$D$124, 0)), "Ciclo de vida no válido", ""))))</f>
        <v/>
      </c>
      <c r="AC643" s="56" t="n"/>
      <c r="AD643" s="51" t="n">
        <v>2</v>
      </c>
      <c r="AE643" s="156" t="inlineStr">
        <is>
          <t>STETSON AMERICAS (2)</t>
        </is>
      </c>
      <c r="AF643" s="51" t="n">
        <v>2</v>
      </c>
      <c r="AG643" s="156" t="inlineStr">
        <is>
          <t>Catálogo existente</t>
        </is>
      </c>
      <c r="AH64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3" s="156" t="inlineStr">
        <is>
          <t>No</t>
        </is>
      </c>
      <c r="AJ643" s="156" t="n"/>
      <c r="AK643" s="155" t="inlineStr">
        <is>
          <t>Criterios: I [Q]; G1522_Extraccion_Articulos_NetSuite_2026-09-30.xlsx: fila 59208 [R]</t>
        </is>
      </c>
      <c r="AL643" s="58" t="n">
        <v>724.5599999999999</v>
      </c>
      <c r="AM643" s="58" t="n">
        <v>4224.137931</v>
      </c>
      <c r="AN643" s="155" t="n"/>
      <c r="AO643" s="59" t="n"/>
      <c r="AP643" s="59" t="n"/>
      <c r="AQ643" s="59" t="n"/>
      <c r="AR643" s="155" t="n"/>
    </row>
    <row r="644">
      <c r="A644" s="50" t="inlineStr">
        <is>
          <t>12021001121033265</t>
        </is>
      </c>
      <c r="B644" s="51" t="inlineStr">
        <is>
          <t>111534</t>
        </is>
      </c>
      <c r="C644" s="156" t="inlineStr">
        <is>
          <t>Multimarca</t>
        </is>
      </c>
      <c r="D644" s="156" t="inlineStr">
        <is>
          <t>12-021-BS001-12-1033</t>
        </is>
      </c>
      <c r="E644" s="156" t="inlineStr">
        <is>
          <t>12-021-BS001-12-1033-265</t>
        </is>
      </c>
      <c r="F644" s="156" t="inlineStr">
        <is>
          <t>26.5</t>
        </is>
      </c>
      <c r="G644" s="156" t="inlineStr">
        <is>
          <t>9.5</t>
        </is>
      </c>
      <c r="H644" s="156" t="inlineStr">
        <is>
          <t>Stetson</t>
        </is>
      </c>
      <c r="I644" s="156" t="inlineStr">
        <is>
          <t>Bota Piel Terracota</t>
        </is>
      </c>
      <c r="J644" s="156" t="inlineStr">
        <is>
          <t>Calzado</t>
        </is>
      </c>
      <c r="K644" s="156" t="inlineStr">
        <is>
          <t>Botas</t>
        </is>
      </c>
      <c r="L644" s="156" t="inlineStr">
        <is>
          <t>Mujer</t>
        </is>
      </c>
      <c r="M644" s="156" t="inlineStr">
        <is>
          <t>Stetson</t>
        </is>
      </c>
      <c r="N644" s="156" t="inlineStr">
        <is>
          <t>SS26</t>
        </is>
      </c>
      <c r="O644" s="156" t="inlineStr">
        <is>
          <t>Seasonal</t>
        </is>
      </c>
      <c r="P644" s="156" t="inlineStr">
        <is>
          <t>Cafe</t>
        </is>
      </c>
      <c r="Q644" s="156" t="n"/>
      <c r="R644" s="156" t="inlineStr">
        <is>
          <t>Horma Agatha</t>
        </is>
      </c>
      <c r="S644" s="156" t="inlineStr">
        <is>
          <t>Piel bovina</t>
        </is>
      </c>
      <c r="T644" s="156" t="inlineStr">
        <is>
          <t>Bota Dama Piel bovina Clayton Terracota Horma Agatha</t>
        </is>
      </c>
      <c r="U644" s="156" t="inlineStr">
        <is>
          <t>México</t>
        </is>
      </c>
      <c r="V644" s="156" t="inlineStr">
        <is>
          <t>PRS</t>
        </is>
      </c>
      <c r="W644" s="51" t="inlineStr">
        <is>
          <t>53111502</t>
        </is>
      </c>
      <c r="X644" s="156" t="n"/>
      <c r="Y644" s="54" t="n">
        <v>724.5599999999999</v>
      </c>
      <c r="Z644" s="54" t="n">
        <v>4224.137931</v>
      </c>
      <c r="AA644" s="55">
        <f>IF(AND(A644="", B644="", E644=""), "", IF(AB644="", "Válido", IF((LEN(AB644)-LEN(SUBSTITUTE(AB644,"; ","")))/2+1&gt;(LEN(AB644)-LEN(SUBSTITUTE(AB644,"[Aviso]","")))/7, "Con Incidencias", "Válido")))</f>
        <v/>
      </c>
      <c r="AB644" s="56">
        <f>IF(AND(A644="", B644="", E644=""), "", TEXTJOIN("; ", TRUE, IF(OR(TRIM(A644&amp;"")="", ISNUMBER(SEARCH("FALTA", A644))), "UPC faltante/inválido", ""), IF(AND(A644&lt;&gt;"", IFERROR(_xlfn.XMATCH(A644,$A$2:$A$2509,0,1)&lt;&gt;_xlfn.XMATCH(A644,$A$2:$A$2509,0,-1),FALSE)), "Código de barras duplicado", ""), IF(AND(E644&lt;&gt;"", COUNTIF($E$2:$E$2509, E644)&gt;1), "SKU duplicado", ""), IF(OR(J644="", J644=""), "[Aviso] División no capturada ()", IF(ISNA(MATCH(J644, Criterios!$A$123:$A$126, 0)), "División no válida", "")), IF(OR(K644="", K644=""), "[Aviso] Categoría no capturada ()", IF(ISNA(MATCH(K644, Criterios!$A$81:$A$120, 0)), "Categoría no válida", IF(AND(J644&lt;&gt;"", J644&lt;&gt;"", J644&lt;&gt;VLOOKUP(K644, Criterios!$A$81:$B$120, 2, FALSE)), "División no coincide con Categoría", ""))), IF(OR(L644="", L644=""), "[Aviso] Género no capturado ()", IF(ISNA(MATCH(L644, Criterios!$B$123:$B$127, 0)), "Género no válido", "")), IF(OR(N644="", N644=""), "[Aviso] Temporada no capturada ()", IF(ISNA(MATCH(N644, Criterios!$C$123:$C$128, 0)), "Temporada no válida", "")), IF(OR(O644="", O644=""), "[Aviso] Ciclo de vida no capturado ()", IF(ISNA(MATCH(O644, Criterios!$D$123:$D$124, 0)), "Ciclo de vida no válido", ""))))</f>
        <v/>
      </c>
      <c r="AC644" s="56" t="n"/>
      <c r="AD644" s="51" t="n">
        <v>1</v>
      </c>
      <c r="AE644" s="156" t="inlineStr">
        <is>
          <t>STETSON AMERICAS (1)</t>
        </is>
      </c>
      <c r="AF644" s="51" t="n">
        <v>1</v>
      </c>
      <c r="AG644" s="156" t="inlineStr">
        <is>
          <t>Catálogo existente</t>
        </is>
      </c>
      <c r="AH64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4" s="156" t="inlineStr">
        <is>
          <t>No</t>
        </is>
      </c>
      <c r="AJ644" s="156" t="n"/>
      <c r="AK644" s="155" t="inlineStr">
        <is>
          <t>Criterios: I [Q]; G1522_Extraccion_Articulos_NetSuite_2026-09-30.xlsx: fila 59209 [R]</t>
        </is>
      </c>
      <c r="AL644" s="58" t="n">
        <v>724.5599999999999</v>
      </c>
      <c r="AM644" s="58" t="n">
        <v>4224.137931</v>
      </c>
      <c r="AN644" s="155" t="n"/>
      <c r="AO644" s="59" t="n"/>
      <c r="AP644" s="59" t="n"/>
      <c r="AQ644" s="59" t="n"/>
      <c r="AR644" s="155" t="n"/>
    </row>
    <row r="645">
      <c r="A645" s="50" t="inlineStr">
        <is>
          <t>12021001121033275</t>
        </is>
      </c>
      <c r="B645" s="51" t="inlineStr">
        <is>
          <t>111535</t>
        </is>
      </c>
      <c r="C645" s="156" t="inlineStr">
        <is>
          <t>Multimarca</t>
        </is>
      </c>
      <c r="D645" s="156" t="inlineStr">
        <is>
          <t>12-021-BS001-12-1033</t>
        </is>
      </c>
      <c r="E645" s="156" t="inlineStr">
        <is>
          <t>12-021-BS001-12-1033-275</t>
        </is>
      </c>
      <c r="F645" s="156" t="inlineStr">
        <is>
          <t>27.5</t>
        </is>
      </c>
      <c r="G645" s="156" t="inlineStr">
        <is>
          <t>10.5</t>
        </is>
      </c>
      <c r="H645" s="156" t="inlineStr">
        <is>
          <t>Stetson</t>
        </is>
      </c>
      <c r="I645" s="156" t="inlineStr">
        <is>
          <t>Bota Piel Terracota</t>
        </is>
      </c>
      <c r="J645" s="156" t="inlineStr">
        <is>
          <t>Calzado</t>
        </is>
      </c>
      <c r="K645" s="156" t="inlineStr">
        <is>
          <t>Botas</t>
        </is>
      </c>
      <c r="L645" s="156" t="inlineStr">
        <is>
          <t>Mujer</t>
        </is>
      </c>
      <c r="M645" s="156" t="inlineStr">
        <is>
          <t>Stetson</t>
        </is>
      </c>
      <c r="N645" s="156" t="inlineStr">
        <is>
          <t>SS26</t>
        </is>
      </c>
      <c r="O645" s="156" t="inlineStr">
        <is>
          <t>Seasonal</t>
        </is>
      </c>
      <c r="P645" s="156" t="inlineStr">
        <is>
          <t>Cafe</t>
        </is>
      </c>
      <c r="Q645" s="156" t="n"/>
      <c r="R645" s="156" t="inlineStr">
        <is>
          <t>Horma Agatha</t>
        </is>
      </c>
      <c r="S645" s="156" t="inlineStr">
        <is>
          <t>Piel bovina</t>
        </is>
      </c>
      <c r="T645" s="156" t="inlineStr">
        <is>
          <t>Bota Dama Piel bovina Clayton Terracota Horma Agatha</t>
        </is>
      </c>
      <c r="U645" s="156" t="inlineStr">
        <is>
          <t>México</t>
        </is>
      </c>
      <c r="V645" s="156" t="inlineStr">
        <is>
          <t>PRS</t>
        </is>
      </c>
      <c r="W645" s="51" t="inlineStr">
        <is>
          <t>53111502</t>
        </is>
      </c>
      <c r="X645" s="156" t="n"/>
      <c r="Y645" s="54" t="n">
        <v>724.5599999999999</v>
      </c>
      <c r="Z645" s="54" t="n">
        <v>4224.137931</v>
      </c>
      <c r="AA645" s="55">
        <f>IF(AND(A645="", B645="", E645=""), "", IF(AB645="", "Válido", IF((LEN(AB645)-LEN(SUBSTITUTE(AB645,"; ","")))/2+1&gt;(LEN(AB645)-LEN(SUBSTITUTE(AB645,"[Aviso]","")))/7, "Con Incidencias", "Válido")))</f>
        <v/>
      </c>
      <c r="AB645" s="56">
        <f>IF(AND(A645="", B645="", E645=""), "", TEXTJOIN("; ", TRUE, IF(OR(TRIM(A645&amp;"")="", ISNUMBER(SEARCH("FALTA", A645))), "UPC faltante/inválido", ""), IF(AND(A645&lt;&gt;"", IFERROR(_xlfn.XMATCH(A645,$A$2:$A$2509,0,1)&lt;&gt;_xlfn.XMATCH(A645,$A$2:$A$2509,0,-1),FALSE)), "Código de barras duplicado", ""), IF(AND(E645&lt;&gt;"", COUNTIF($E$2:$E$2509, E645)&gt;1), "SKU duplicado", ""), IF(OR(J645="", J645=""), "[Aviso] División no capturada ()", IF(ISNA(MATCH(J645, Criterios!$A$123:$A$126, 0)), "División no válida", "")), IF(OR(K645="", K645=""), "[Aviso] Categoría no capturada ()", IF(ISNA(MATCH(K645, Criterios!$A$81:$A$120, 0)), "Categoría no válida", IF(AND(J645&lt;&gt;"", J645&lt;&gt;"", J645&lt;&gt;VLOOKUP(K645, Criterios!$A$81:$B$120, 2, FALSE)), "División no coincide con Categoría", ""))), IF(OR(L645="", L645=""), "[Aviso] Género no capturado ()", IF(ISNA(MATCH(L645, Criterios!$B$123:$B$127, 0)), "Género no válido", "")), IF(OR(N645="", N645=""), "[Aviso] Temporada no capturada ()", IF(ISNA(MATCH(N645, Criterios!$C$123:$C$128, 0)), "Temporada no válida", "")), IF(OR(O645="", O645=""), "[Aviso] Ciclo de vida no capturado ()", IF(ISNA(MATCH(O645, Criterios!$D$123:$D$124, 0)), "Ciclo de vida no válido", ""))))</f>
        <v/>
      </c>
      <c r="AC645" s="56" t="n"/>
      <c r="AD645" s="51" t="n">
        <v>0</v>
      </c>
      <c r="AE645" s="156" t="n"/>
      <c r="AF645" s="51" t="n">
        <v>0</v>
      </c>
      <c r="AG645" s="156" t="inlineStr">
        <is>
          <t>Catálogo existente</t>
        </is>
      </c>
      <c r="AH64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5" s="156" t="inlineStr">
        <is>
          <t>No</t>
        </is>
      </c>
      <c r="AJ645" s="156" t="n"/>
      <c r="AK645" s="155" t="inlineStr">
        <is>
          <t>Criterios: I [Q]; G1522_Extraccion_Articulos_NetSuite_2026-09-30.xlsx: fila 59210 [R]</t>
        </is>
      </c>
      <c r="AL645" s="58" t="n">
        <v>724.5599999999999</v>
      </c>
      <c r="AM645" s="58" t="n">
        <v>4224.137931</v>
      </c>
      <c r="AN645" s="155" t="n"/>
      <c r="AO645" s="59" t="n"/>
      <c r="AP645" s="59" t="n"/>
      <c r="AQ645" s="59" t="n"/>
      <c r="AR645" s="155" t="n"/>
    </row>
    <row r="646">
      <c r="A646" s="50" t="inlineStr">
        <is>
          <t>12021002131034022</t>
        </is>
      </c>
      <c r="B646" s="51" t="inlineStr">
        <is>
          <t>111548</t>
        </is>
      </c>
      <c r="C646" s="156" t="inlineStr">
        <is>
          <t>Multimarca</t>
        </is>
      </c>
      <c r="D646" s="156" t="inlineStr">
        <is>
          <t>12-021-BS002-13-1034</t>
        </is>
      </c>
      <c r="E646" s="156" t="inlineStr">
        <is>
          <t>12-021-BS002-13-1034-022</t>
        </is>
      </c>
      <c r="F646" s="156" t="inlineStr">
        <is>
          <t>22</t>
        </is>
      </c>
      <c r="G646" s="156" t="inlineStr">
        <is>
          <t>5</t>
        </is>
      </c>
      <c r="H646" s="156" t="inlineStr">
        <is>
          <t>Stetson</t>
        </is>
      </c>
      <c r="I646" s="156" t="inlineStr">
        <is>
          <t>Bota Piel Azul Claro</t>
        </is>
      </c>
      <c r="J646" s="156" t="inlineStr">
        <is>
          <t>Calzado</t>
        </is>
      </c>
      <c r="K646" s="156" t="inlineStr">
        <is>
          <t>Botas</t>
        </is>
      </c>
      <c r="L646" s="156" t="inlineStr">
        <is>
          <t>Mujer</t>
        </is>
      </c>
      <c r="M646" s="156" t="inlineStr">
        <is>
          <t>Stetson</t>
        </is>
      </c>
      <c r="N646" s="156" t="inlineStr">
        <is>
          <t>SS26</t>
        </is>
      </c>
      <c r="O646" s="156" t="inlineStr">
        <is>
          <t>Seasonal</t>
        </is>
      </c>
      <c r="P646" s="156" t="inlineStr">
        <is>
          <t>Azul</t>
        </is>
      </c>
      <c r="Q646" s="156" t="n"/>
      <c r="R646" s="156" t="inlineStr">
        <is>
          <t>Horma Alexia</t>
        </is>
      </c>
      <c r="S646" s="156" t="inlineStr">
        <is>
          <t>Piel bovina</t>
        </is>
      </c>
      <c r="T646" s="156" t="inlineStr">
        <is>
          <t>Bota Dama Piel bovina Becerro Suave Azul Claro Horma Alexia</t>
        </is>
      </c>
      <c r="U646" s="156" t="inlineStr">
        <is>
          <t>México</t>
        </is>
      </c>
      <c r="V646" s="156" t="inlineStr">
        <is>
          <t>PRS</t>
        </is>
      </c>
      <c r="W646" s="51" t="inlineStr">
        <is>
          <t>53111502</t>
        </is>
      </c>
      <c r="X646" s="156" t="n"/>
      <c r="Y646" s="54" t="n">
        <v>830.025</v>
      </c>
      <c r="Z646" s="54" t="n">
        <v>4827.586207</v>
      </c>
      <c r="AA646" s="55">
        <f>IF(AND(A646="", B646="", E646=""), "", IF(AB646="", "Válido", IF((LEN(AB646)-LEN(SUBSTITUTE(AB646,"; ","")))/2+1&gt;(LEN(AB646)-LEN(SUBSTITUTE(AB646,"[Aviso]","")))/7, "Con Incidencias", "Válido")))</f>
        <v/>
      </c>
      <c r="AB646" s="56">
        <f>IF(AND(A646="", B646="", E646=""), "", TEXTJOIN("; ", TRUE, IF(OR(TRIM(A646&amp;"")="", ISNUMBER(SEARCH("FALTA", A646))), "UPC faltante/inválido", ""), IF(AND(A646&lt;&gt;"", IFERROR(_xlfn.XMATCH(A646,$A$2:$A$2509,0,1)&lt;&gt;_xlfn.XMATCH(A646,$A$2:$A$2509,0,-1),FALSE)), "Código de barras duplicado", ""), IF(AND(E646&lt;&gt;"", COUNTIF($E$2:$E$2509, E646)&gt;1), "SKU duplicado", ""), IF(OR(J646="", J646=""), "[Aviso] División no capturada ()", IF(ISNA(MATCH(J646, Criterios!$A$123:$A$126, 0)), "División no válida", "")), IF(OR(K646="", K646=""), "[Aviso] Categoría no capturada ()", IF(ISNA(MATCH(K646, Criterios!$A$81:$A$120, 0)), "Categoría no válida", IF(AND(J646&lt;&gt;"", J646&lt;&gt;"", J646&lt;&gt;VLOOKUP(K646, Criterios!$A$81:$B$120, 2, FALSE)), "División no coincide con Categoría", ""))), IF(OR(L646="", L646=""), "[Aviso] Género no capturado ()", IF(ISNA(MATCH(L646, Criterios!$B$123:$B$127, 0)), "Género no válido", "")), IF(OR(N646="", N646=""), "[Aviso] Temporada no capturada ()", IF(ISNA(MATCH(N646, Criterios!$C$123:$C$128, 0)), "Temporada no válida", "")), IF(OR(O646="", O646=""), "[Aviso] Ciclo de vida no capturado ()", IF(ISNA(MATCH(O646, Criterios!$D$123:$D$124, 0)), "Ciclo de vida no válido", ""))))</f>
        <v/>
      </c>
      <c r="AC646" s="56" t="n"/>
      <c r="AD646" s="51" t="n">
        <v>0</v>
      </c>
      <c r="AE646" s="156" t="n"/>
      <c r="AF646" s="51" t="n">
        <v>0</v>
      </c>
      <c r="AG646" s="156" t="inlineStr">
        <is>
          <t>Catálogo existente</t>
        </is>
      </c>
      <c r="AH6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6" s="156" t="inlineStr">
        <is>
          <t>No</t>
        </is>
      </c>
      <c r="AJ646" s="156" t="n"/>
      <c r="AK646" s="155" t="inlineStr">
        <is>
          <t>Criterios: I [Q]; G1522_Extraccion_Articulos_NetSuite_2026-09-30.xlsx: fila 59223 [R] | Shopify Stetson: producto 15054564884843 / variante 53350558826859</t>
        </is>
      </c>
      <c r="AL646" s="58" t="n">
        <v>830.025</v>
      </c>
      <c r="AM646" s="58" t="n">
        <v>4827.586207</v>
      </c>
      <c r="AN646" s="155" t="inlineStr">
        <is>
          <t>Shopify Stetson México</t>
        </is>
      </c>
      <c r="AO646" s="59" t="n">
        <v>0</v>
      </c>
      <c r="AP646" s="59" t="n"/>
      <c r="AQ646" s="59" t="n"/>
      <c r="AR646" s="155" t="n"/>
    </row>
    <row r="647">
      <c r="A647" s="50" t="inlineStr">
        <is>
          <t>12021002131034023</t>
        </is>
      </c>
      <c r="B647" s="51" t="inlineStr">
        <is>
          <t>111549</t>
        </is>
      </c>
      <c r="C647" s="156" t="inlineStr">
        <is>
          <t>Multimarca</t>
        </is>
      </c>
      <c r="D647" s="156" t="inlineStr">
        <is>
          <t>12-021-BS002-13-1034</t>
        </is>
      </c>
      <c r="E647" s="156" t="inlineStr">
        <is>
          <t>12-021-BS002-13-1034-023</t>
        </is>
      </c>
      <c r="F647" s="156" t="inlineStr">
        <is>
          <t>23</t>
        </is>
      </c>
      <c r="G647" s="156" t="inlineStr">
        <is>
          <t>6</t>
        </is>
      </c>
      <c r="H647" s="156" t="inlineStr">
        <is>
          <t>Stetson</t>
        </is>
      </c>
      <c r="I647" s="156" t="inlineStr">
        <is>
          <t>Bota Piel Azul Claro</t>
        </is>
      </c>
      <c r="J647" s="156" t="inlineStr">
        <is>
          <t>Calzado</t>
        </is>
      </c>
      <c r="K647" s="156" t="inlineStr">
        <is>
          <t>Botas</t>
        </is>
      </c>
      <c r="L647" s="156" t="inlineStr">
        <is>
          <t>Mujer</t>
        </is>
      </c>
      <c r="M647" s="156" t="inlineStr">
        <is>
          <t>Stetson</t>
        </is>
      </c>
      <c r="N647" s="156" t="inlineStr">
        <is>
          <t>SS26</t>
        </is>
      </c>
      <c r="O647" s="156" t="inlineStr">
        <is>
          <t>Seasonal</t>
        </is>
      </c>
      <c r="P647" s="156" t="inlineStr">
        <is>
          <t>Azul</t>
        </is>
      </c>
      <c r="Q647" s="156" t="n"/>
      <c r="R647" s="156" t="inlineStr">
        <is>
          <t>Horma Alexia</t>
        </is>
      </c>
      <c r="S647" s="156" t="inlineStr">
        <is>
          <t>Piel bovina</t>
        </is>
      </c>
      <c r="T647" s="156" t="inlineStr">
        <is>
          <t>Bota Dama Piel bovina Becerro Suave Azul Claro Horma Alexia</t>
        </is>
      </c>
      <c r="U647" s="156" t="inlineStr">
        <is>
          <t>México</t>
        </is>
      </c>
      <c r="V647" s="156" t="inlineStr">
        <is>
          <t>PRS</t>
        </is>
      </c>
      <c r="W647" s="51" t="inlineStr">
        <is>
          <t>53111502</t>
        </is>
      </c>
      <c r="X647" s="156" t="n"/>
      <c r="Y647" s="54" t="n">
        <v>830.025</v>
      </c>
      <c r="Z647" s="54" t="n">
        <v>4827.586207</v>
      </c>
      <c r="AA647" s="55">
        <f>IF(AND(A647="", B647="", E647=""), "", IF(AB647="", "Válido", IF((LEN(AB647)-LEN(SUBSTITUTE(AB647,"; ","")))/2+1&gt;(LEN(AB647)-LEN(SUBSTITUTE(AB647,"[Aviso]","")))/7, "Con Incidencias", "Válido")))</f>
        <v/>
      </c>
      <c r="AB647" s="56">
        <f>IF(AND(A647="", B647="", E647=""), "", TEXTJOIN("; ", TRUE, IF(OR(TRIM(A647&amp;"")="", ISNUMBER(SEARCH("FALTA", A647))), "UPC faltante/inválido", ""), IF(AND(A647&lt;&gt;"", IFERROR(_xlfn.XMATCH(A647,$A$2:$A$2509,0,1)&lt;&gt;_xlfn.XMATCH(A647,$A$2:$A$2509,0,-1),FALSE)), "Código de barras duplicado", ""), IF(AND(E647&lt;&gt;"", COUNTIF($E$2:$E$2509, E647)&gt;1), "SKU duplicado", ""), IF(OR(J647="", J647=""), "[Aviso] División no capturada ()", IF(ISNA(MATCH(J647, Criterios!$A$123:$A$126, 0)), "División no válida", "")), IF(OR(K647="", K647=""), "[Aviso] Categoría no capturada ()", IF(ISNA(MATCH(K647, Criterios!$A$81:$A$120, 0)), "Categoría no válida", IF(AND(J647&lt;&gt;"", J647&lt;&gt;"", J647&lt;&gt;VLOOKUP(K647, Criterios!$A$81:$B$120, 2, FALSE)), "División no coincide con Categoría", ""))), IF(OR(L647="", L647=""), "[Aviso] Género no capturado ()", IF(ISNA(MATCH(L647, Criterios!$B$123:$B$127, 0)), "Género no válido", "")), IF(OR(N647="", N647=""), "[Aviso] Temporada no capturada ()", IF(ISNA(MATCH(N647, Criterios!$C$123:$C$128, 0)), "Temporada no válida", "")), IF(OR(O647="", O647=""), "[Aviso] Ciclo de vida no capturado ()", IF(ISNA(MATCH(O647, Criterios!$D$123:$D$124, 0)), "Ciclo de vida no válido", ""))))</f>
        <v/>
      </c>
      <c r="AC647" s="56" t="n"/>
      <c r="AD647" s="51" t="n">
        <v>0</v>
      </c>
      <c r="AE647" s="156" t="n"/>
      <c r="AF647" s="51" t="n">
        <v>0</v>
      </c>
      <c r="AG647" s="156" t="inlineStr">
        <is>
          <t>Catálogo existente</t>
        </is>
      </c>
      <c r="AH6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7" s="156" t="inlineStr">
        <is>
          <t>No</t>
        </is>
      </c>
      <c r="AJ647" s="156" t="n"/>
      <c r="AK647" s="155" t="inlineStr">
        <is>
          <t>Criterios: I [Q]; G1522_Extraccion_Articulos_NetSuite_2026-09-30.xlsx: fila 59224 [R] | Shopify Stetson: producto 15054564884843 / variante 53350558892395</t>
        </is>
      </c>
      <c r="AL647" s="58" t="n">
        <v>830.025</v>
      </c>
      <c r="AM647" s="58" t="n">
        <v>4827.586207</v>
      </c>
      <c r="AN647" s="155" t="inlineStr">
        <is>
          <t>Shopify Stetson México</t>
        </is>
      </c>
      <c r="AO647" s="59" t="n">
        <v>0</v>
      </c>
      <c r="AP647" s="59" t="n"/>
      <c r="AQ647" s="59" t="n"/>
      <c r="AR647" s="155" t="n"/>
    </row>
    <row r="648">
      <c r="A648" s="50" t="inlineStr">
        <is>
          <t>12021002131034024</t>
        </is>
      </c>
      <c r="B648" s="51" t="inlineStr">
        <is>
          <t>111550</t>
        </is>
      </c>
      <c r="C648" s="156" t="inlineStr">
        <is>
          <t>Multimarca</t>
        </is>
      </c>
      <c r="D648" s="156" t="inlineStr">
        <is>
          <t>12-021-BS002-13-1034</t>
        </is>
      </c>
      <c r="E648" s="156" t="inlineStr">
        <is>
          <t>12-021-BS002-13-1034-024</t>
        </is>
      </c>
      <c r="F648" s="156" t="inlineStr">
        <is>
          <t>24</t>
        </is>
      </c>
      <c r="G648" s="156" t="inlineStr">
        <is>
          <t>7</t>
        </is>
      </c>
      <c r="H648" s="156" t="inlineStr">
        <is>
          <t>Stetson</t>
        </is>
      </c>
      <c r="I648" s="156" t="inlineStr">
        <is>
          <t>Bota Piel Azul Claro</t>
        </is>
      </c>
      <c r="J648" s="156" t="inlineStr">
        <is>
          <t>Calzado</t>
        </is>
      </c>
      <c r="K648" s="156" t="inlineStr">
        <is>
          <t>Botas</t>
        </is>
      </c>
      <c r="L648" s="156" t="inlineStr">
        <is>
          <t>Mujer</t>
        </is>
      </c>
      <c r="M648" s="156" t="inlineStr">
        <is>
          <t>Stetson</t>
        </is>
      </c>
      <c r="N648" s="156" t="inlineStr">
        <is>
          <t>SS26</t>
        </is>
      </c>
      <c r="O648" s="156" t="inlineStr">
        <is>
          <t>Seasonal</t>
        </is>
      </c>
      <c r="P648" s="156" t="inlineStr">
        <is>
          <t>Azul</t>
        </is>
      </c>
      <c r="Q648" s="156" t="n"/>
      <c r="R648" s="156" t="inlineStr">
        <is>
          <t>Horma Alexia</t>
        </is>
      </c>
      <c r="S648" s="156" t="inlineStr">
        <is>
          <t>Piel bovina</t>
        </is>
      </c>
      <c r="T648" s="156" t="inlineStr">
        <is>
          <t>Bota Dama Piel bovina Becerro Suave Azul Claro Horma Alexia</t>
        </is>
      </c>
      <c r="U648" s="156" t="inlineStr">
        <is>
          <t>México</t>
        </is>
      </c>
      <c r="V648" s="156" t="inlineStr">
        <is>
          <t>PRS</t>
        </is>
      </c>
      <c r="W648" s="51" t="inlineStr">
        <is>
          <t>53111502</t>
        </is>
      </c>
      <c r="X648" s="156" t="n"/>
      <c r="Y648" s="54" t="n">
        <v>830.025</v>
      </c>
      <c r="Z648" s="54" t="n">
        <v>4827.586207</v>
      </c>
      <c r="AA648" s="55">
        <f>IF(AND(A648="", B648="", E648=""), "", IF(AB648="", "Válido", IF((LEN(AB648)-LEN(SUBSTITUTE(AB648,"; ","")))/2+1&gt;(LEN(AB648)-LEN(SUBSTITUTE(AB648,"[Aviso]","")))/7, "Con Incidencias", "Válido")))</f>
        <v/>
      </c>
      <c r="AB648" s="56">
        <f>IF(AND(A648="", B648="", E648=""), "", TEXTJOIN("; ", TRUE, IF(OR(TRIM(A648&amp;"")="", ISNUMBER(SEARCH("FALTA", A648))), "UPC faltante/inválido", ""), IF(AND(A648&lt;&gt;"", IFERROR(_xlfn.XMATCH(A648,$A$2:$A$2509,0,1)&lt;&gt;_xlfn.XMATCH(A648,$A$2:$A$2509,0,-1),FALSE)), "Código de barras duplicado", ""), IF(AND(E648&lt;&gt;"", COUNTIF($E$2:$E$2509, E648)&gt;1), "SKU duplicado", ""), IF(OR(J648="", J648=""), "[Aviso] División no capturada ()", IF(ISNA(MATCH(J648, Criterios!$A$123:$A$126, 0)), "División no válida", "")), IF(OR(K648="", K648=""), "[Aviso] Categoría no capturada ()", IF(ISNA(MATCH(K648, Criterios!$A$81:$A$120, 0)), "Categoría no válida", IF(AND(J648&lt;&gt;"", J648&lt;&gt;"", J648&lt;&gt;VLOOKUP(K648, Criterios!$A$81:$B$120, 2, FALSE)), "División no coincide con Categoría", ""))), IF(OR(L648="", L648=""), "[Aviso] Género no capturado ()", IF(ISNA(MATCH(L648, Criterios!$B$123:$B$127, 0)), "Género no válido", "")), IF(OR(N648="", N648=""), "[Aviso] Temporada no capturada ()", IF(ISNA(MATCH(N648, Criterios!$C$123:$C$128, 0)), "Temporada no válida", "")), IF(OR(O648="", O648=""), "[Aviso] Ciclo de vida no capturado ()", IF(ISNA(MATCH(O648, Criterios!$D$123:$D$124, 0)), "Ciclo de vida no válido", ""))))</f>
        <v/>
      </c>
      <c r="AC648" s="56" t="n"/>
      <c r="AD648" s="51" t="n">
        <v>2</v>
      </c>
      <c r="AE648" s="156" t="inlineStr">
        <is>
          <t>STETSON AMERICAS (2)</t>
        </is>
      </c>
      <c r="AF648" s="51" t="n">
        <v>2</v>
      </c>
      <c r="AG648" s="156" t="inlineStr">
        <is>
          <t>Catálogo existente</t>
        </is>
      </c>
      <c r="AH6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8" s="156" t="inlineStr">
        <is>
          <t>No</t>
        </is>
      </c>
      <c r="AJ648" s="156" t="n"/>
      <c r="AK648" s="155" t="inlineStr">
        <is>
          <t>Criterios: I [Q]; G1522_Extraccion_Articulos_NetSuite_2026-09-30.xlsx: fila 59225 [R] | Shopify Stetson: producto 15054564884843 / variante 53350558957931</t>
        </is>
      </c>
      <c r="AL648" s="58" t="n">
        <v>830.025</v>
      </c>
      <c r="AM648" s="58" t="n">
        <v>4827.586207</v>
      </c>
      <c r="AN648" s="155" t="inlineStr">
        <is>
          <t>Shopify Stetson México</t>
        </is>
      </c>
      <c r="AO648" s="59" t="n">
        <v>2</v>
      </c>
      <c r="AP648" s="59" t="n"/>
      <c r="AQ648" s="59" t="n"/>
      <c r="AR648" s="155" t="inlineStr">
        <is>
          <t>Shopify Stetson México › Stetson Americas: 2</t>
        </is>
      </c>
    </row>
    <row r="649">
      <c r="A649" s="50" t="inlineStr">
        <is>
          <t>12021002131034025</t>
        </is>
      </c>
      <c r="B649" s="51" t="inlineStr">
        <is>
          <t>111551</t>
        </is>
      </c>
      <c r="C649" s="156" t="inlineStr">
        <is>
          <t>Multimarca</t>
        </is>
      </c>
      <c r="D649" s="156" t="inlineStr">
        <is>
          <t>12-021-BS002-13-1034</t>
        </is>
      </c>
      <c r="E649" s="156" t="inlineStr">
        <is>
          <t>12-021-BS002-13-1034-025</t>
        </is>
      </c>
      <c r="F649" s="156" t="inlineStr">
        <is>
          <t>25</t>
        </is>
      </c>
      <c r="G649" s="156" t="inlineStr">
        <is>
          <t>8</t>
        </is>
      </c>
      <c r="H649" s="156" t="inlineStr">
        <is>
          <t>Stetson</t>
        </is>
      </c>
      <c r="I649" s="156" t="inlineStr">
        <is>
          <t>Bota Piel Azul Claro</t>
        </is>
      </c>
      <c r="J649" s="156" t="inlineStr">
        <is>
          <t>Calzado</t>
        </is>
      </c>
      <c r="K649" s="156" t="inlineStr">
        <is>
          <t>Botas</t>
        </is>
      </c>
      <c r="L649" s="156" t="inlineStr">
        <is>
          <t>Mujer</t>
        </is>
      </c>
      <c r="M649" s="156" t="inlineStr">
        <is>
          <t>Stetson</t>
        </is>
      </c>
      <c r="N649" s="156" t="inlineStr">
        <is>
          <t>SS26</t>
        </is>
      </c>
      <c r="O649" s="156" t="inlineStr">
        <is>
          <t>Seasonal</t>
        </is>
      </c>
      <c r="P649" s="156" t="inlineStr">
        <is>
          <t>Azul</t>
        </is>
      </c>
      <c r="Q649" s="156" t="n"/>
      <c r="R649" s="156" t="inlineStr">
        <is>
          <t>Horma Alexia</t>
        </is>
      </c>
      <c r="S649" s="156" t="inlineStr">
        <is>
          <t>Piel bovina</t>
        </is>
      </c>
      <c r="T649" s="156" t="inlineStr">
        <is>
          <t>Bota Dama Piel bovina Becerro Suave Azul Claro Horma Alexia</t>
        </is>
      </c>
      <c r="U649" s="156" t="inlineStr">
        <is>
          <t>México</t>
        </is>
      </c>
      <c r="V649" s="156" t="inlineStr">
        <is>
          <t>PRS</t>
        </is>
      </c>
      <c r="W649" s="51" t="inlineStr">
        <is>
          <t>53111502</t>
        </is>
      </c>
      <c r="X649" s="156" t="n"/>
      <c r="Y649" s="54" t="n">
        <v>830.025</v>
      </c>
      <c r="Z649" s="54" t="n">
        <v>4827.586207</v>
      </c>
      <c r="AA649" s="55">
        <f>IF(AND(A649="", B649="", E649=""), "", IF(AB649="", "Válido", IF((LEN(AB649)-LEN(SUBSTITUTE(AB649,"; ","")))/2+1&gt;(LEN(AB649)-LEN(SUBSTITUTE(AB649,"[Aviso]","")))/7, "Con Incidencias", "Válido")))</f>
        <v/>
      </c>
      <c r="AB649" s="56">
        <f>IF(AND(A649="", B649="", E649=""), "", TEXTJOIN("; ", TRUE, IF(OR(TRIM(A649&amp;"")="", ISNUMBER(SEARCH("FALTA", A649))), "UPC faltante/inválido", ""), IF(AND(A649&lt;&gt;"", IFERROR(_xlfn.XMATCH(A649,$A$2:$A$2509,0,1)&lt;&gt;_xlfn.XMATCH(A649,$A$2:$A$2509,0,-1),FALSE)), "Código de barras duplicado", ""), IF(AND(E649&lt;&gt;"", COUNTIF($E$2:$E$2509, E649)&gt;1), "SKU duplicado", ""), IF(OR(J649="", J649=""), "[Aviso] División no capturada ()", IF(ISNA(MATCH(J649, Criterios!$A$123:$A$126, 0)), "División no válida", "")), IF(OR(K649="", K649=""), "[Aviso] Categoría no capturada ()", IF(ISNA(MATCH(K649, Criterios!$A$81:$A$120, 0)), "Categoría no válida", IF(AND(J649&lt;&gt;"", J649&lt;&gt;"", J649&lt;&gt;VLOOKUP(K649, Criterios!$A$81:$B$120, 2, FALSE)), "División no coincide con Categoría", ""))), IF(OR(L649="", L649=""), "[Aviso] Género no capturado ()", IF(ISNA(MATCH(L649, Criterios!$B$123:$B$127, 0)), "Género no válido", "")), IF(OR(N649="", N649=""), "[Aviso] Temporada no capturada ()", IF(ISNA(MATCH(N649, Criterios!$C$123:$C$128, 0)), "Temporada no válida", "")), IF(OR(O649="", O649=""), "[Aviso] Ciclo de vida no capturado ()", IF(ISNA(MATCH(O649, Criterios!$D$123:$D$124, 0)), "Ciclo de vida no válido", ""))))</f>
        <v/>
      </c>
      <c r="AC649" s="56" t="n"/>
      <c r="AD649" s="51" t="n">
        <v>2</v>
      </c>
      <c r="AE649" s="156" t="inlineStr">
        <is>
          <t>STETSON AMERICAS (2)</t>
        </is>
      </c>
      <c r="AF649" s="51" t="n">
        <v>2</v>
      </c>
      <c r="AG649" s="156" t="inlineStr">
        <is>
          <t>Catálogo existente</t>
        </is>
      </c>
      <c r="AH6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9" s="156" t="inlineStr">
        <is>
          <t>No</t>
        </is>
      </c>
      <c r="AJ649" s="156" t="n"/>
      <c r="AK649" s="155" t="inlineStr">
        <is>
          <t>Criterios: I [Q]; G1522_Extraccion_Articulos_NetSuite_2026-09-30.xlsx: fila 59226 [R] | Shopify Stetson: producto 15054564884843 / variante 53350559023467</t>
        </is>
      </c>
      <c r="AL649" s="58" t="n">
        <v>830.025</v>
      </c>
      <c r="AM649" s="58" t="n">
        <v>4827.586207</v>
      </c>
      <c r="AN649" s="155" t="inlineStr">
        <is>
          <t>Shopify Stetson México</t>
        </is>
      </c>
      <c r="AO649" s="59" t="n">
        <v>2</v>
      </c>
      <c r="AP649" s="59" t="n"/>
      <c r="AQ649" s="59" t="n"/>
      <c r="AR649" s="155" t="inlineStr">
        <is>
          <t>Shopify Stetson México › Stetson Americas: 2</t>
        </is>
      </c>
    </row>
    <row r="650">
      <c r="A650" s="50" t="inlineStr">
        <is>
          <t>12021002131034026</t>
        </is>
      </c>
      <c r="B650" s="51" t="inlineStr">
        <is>
          <t>111543</t>
        </is>
      </c>
      <c r="C650" s="156" t="inlineStr">
        <is>
          <t>Multimarca</t>
        </is>
      </c>
      <c r="D650" s="156" t="inlineStr">
        <is>
          <t>12-021-BS002-13-1034</t>
        </is>
      </c>
      <c r="E650" s="156" t="inlineStr">
        <is>
          <t>12-021-BS002-13-1034-026</t>
        </is>
      </c>
      <c r="F650" s="156" t="inlineStr">
        <is>
          <t>26</t>
        </is>
      </c>
      <c r="G650" s="156" t="inlineStr">
        <is>
          <t>9</t>
        </is>
      </c>
      <c r="H650" s="156" t="inlineStr">
        <is>
          <t>Stetson</t>
        </is>
      </c>
      <c r="I650" s="156" t="inlineStr">
        <is>
          <t>Bota Piel Azul Claro</t>
        </is>
      </c>
      <c r="J650" s="156" t="inlineStr">
        <is>
          <t>Calzado</t>
        </is>
      </c>
      <c r="K650" s="156" t="inlineStr">
        <is>
          <t>Botas</t>
        </is>
      </c>
      <c r="L650" s="156" t="inlineStr">
        <is>
          <t>Mujer</t>
        </is>
      </c>
      <c r="M650" s="156" t="inlineStr">
        <is>
          <t>Stetson</t>
        </is>
      </c>
      <c r="N650" s="156" t="inlineStr">
        <is>
          <t>SS26</t>
        </is>
      </c>
      <c r="O650" s="156" t="inlineStr">
        <is>
          <t>Seasonal</t>
        </is>
      </c>
      <c r="P650" s="156" t="inlineStr">
        <is>
          <t>Azul</t>
        </is>
      </c>
      <c r="Q650" s="156" t="n"/>
      <c r="R650" s="156" t="inlineStr">
        <is>
          <t>Horma Alexia</t>
        </is>
      </c>
      <c r="S650" s="156" t="inlineStr">
        <is>
          <t>Piel bovina</t>
        </is>
      </c>
      <c r="T650" s="156" t="inlineStr">
        <is>
          <t>Bota Dama Piel bovina Becerro Suave Azul Claro Horma Alexia</t>
        </is>
      </c>
      <c r="U650" s="156" t="inlineStr">
        <is>
          <t>México</t>
        </is>
      </c>
      <c r="V650" s="156" t="inlineStr">
        <is>
          <t>PRS</t>
        </is>
      </c>
      <c r="W650" s="51" t="inlineStr">
        <is>
          <t>53111502</t>
        </is>
      </c>
      <c r="X650" s="156" t="n"/>
      <c r="Y650" s="54" t="n">
        <v>830.025</v>
      </c>
      <c r="Z650" s="54" t="n">
        <v>4827.586207</v>
      </c>
      <c r="AA650" s="55">
        <f>IF(AND(A650="", B650="", E650=""), "", IF(AB650="", "Válido", IF((LEN(AB650)-LEN(SUBSTITUTE(AB650,"; ","")))/2+1&gt;(LEN(AB650)-LEN(SUBSTITUTE(AB650,"[Aviso]","")))/7, "Con Incidencias", "Válido")))</f>
        <v/>
      </c>
      <c r="AB650" s="56">
        <f>IF(AND(A650="", B650="", E650=""), "", TEXTJOIN("; ", TRUE, IF(OR(TRIM(A650&amp;"")="", ISNUMBER(SEARCH("FALTA", A650))), "UPC faltante/inválido", ""), IF(AND(A650&lt;&gt;"", IFERROR(_xlfn.XMATCH(A650,$A$2:$A$2509,0,1)&lt;&gt;_xlfn.XMATCH(A650,$A$2:$A$2509,0,-1),FALSE)), "Código de barras duplicado", ""), IF(AND(E650&lt;&gt;"", COUNTIF($E$2:$E$2509, E650)&gt;1), "SKU duplicado", ""), IF(OR(J650="", J650=""), "[Aviso] División no capturada ()", IF(ISNA(MATCH(J650, Criterios!$A$123:$A$126, 0)), "División no válida", "")), IF(OR(K650="", K650=""), "[Aviso] Categoría no capturada ()", IF(ISNA(MATCH(K650, Criterios!$A$81:$A$120, 0)), "Categoría no válida", IF(AND(J650&lt;&gt;"", J650&lt;&gt;"", J650&lt;&gt;VLOOKUP(K650, Criterios!$A$81:$B$120, 2, FALSE)), "División no coincide con Categoría", ""))), IF(OR(L650="", L650=""), "[Aviso] Género no capturado ()", IF(ISNA(MATCH(L650, Criterios!$B$123:$B$127, 0)), "Género no válido", "")), IF(OR(N650="", N650=""), "[Aviso] Temporada no capturada ()", IF(ISNA(MATCH(N650, Criterios!$C$123:$C$128, 0)), "Temporada no válida", "")), IF(OR(O650="", O650=""), "[Aviso] Ciclo de vida no capturado ()", IF(ISNA(MATCH(O650, Criterios!$D$123:$D$124, 0)), "Ciclo de vida no válido", ""))))</f>
        <v/>
      </c>
      <c r="AC650" s="56" t="n"/>
      <c r="AD650" s="51" t="n">
        <v>1</v>
      </c>
      <c r="AE650" s="156" t="inlineStr">
        <is>
          <t>STETSON AMERICAS (1)</t>
        </is>
      </c>
      <c r="AF650" s="51" t="n">
        <v>1</v>
      </c>
      <c r="AG650" s="156" t="inlineStr">
        <is>
          <t>Catálogo existente</t>
        </is>
      </c>
      <c r="AH65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0" s="156" t="inlineStr">
        <is>
          <t>No</t>
        </is>
      </c>
      <c r="AJ650" s="156" t="n"/>
      <c r="AK650" s="155" t="inlineStr">
        <is>
          <t>Criterios: I [Q]; G1522_Extraccion_Articulos_NetSuite_2026-09-30.xlsx: fila 59218 [R]</t>
        </is>
      </c>
      <c r="AL650" s="58" t="n">
        <v>830.025</v>
      </c>
      <c r="AM650" s="58" t="n">
        <v>4827.586207</v>
      </c>
      <c r="AN650" s="155" t="n"/>
      <c r="AO650" s="59" t="n"/>
      <c r="AP650" s="59" t="n"/>
      <c r="AQ650" s="59" t="n"/>
      <c r="AR650" s="155" t="n"/>
    </row>
    <row r="651">
      <c r="A651" s="50" t="inlineStr">
        <is>
          <t>12021002131034027</t>
        </is>
      </c>
      <c r="B651" s="51" t="inlineStr">
        <is>
          <t>111544</t>
        </is>
      </c>
      <c r="C651" s="156" t="inlineStr">
        <is>
          <t>Multimarca</t>
        </is>
      </c>
      <c r="D651" s="156" t="inlineStr">
        <is>
          <t>12-021-BS002-13-1034</t>
        </is>
      </c>
      <c r="E651" s="156" t="inlineStr">
        <is>
          <t>12-021-BS002-13-1034-027</t>
        </is>
      </c>
      <c r="F651" s="156" t="inlineStr">
        <is>
          <t>27</t>
        </is>
      </c>
      <c r="G651" s="156" t="inlineStr">
        <is>
          <t>10</t>
        </is>
      </c>
      <c r="H651" s="156" t="inlineStr">
        <is>
          <t>Stetson</t>
        </is>
      </c>
      <c r="I651" s="156" t="inlineStr">
        <is>
          <t>Bota Piel Azul Claro</t>
        </is>
      </c>
      <c r="J651" s="156" t="inlineStr">
        <is>
          <t>Calzado</t>
        </is>
      </c>
      <c r="K651" s="156" t="inlineStr">
        <is>
          <t>Botas</t>
        </is>
      </c>
      <c r="L651" s="156" t="inlineStr">
        <is>
          <t>Mujer</t>
        </is>
      </c>
      <c r="M651" s="156" t="inlineStr">
        <is>
          <t>Stetson</t>
        </is>
      </c>
      <c r="N651" s="156" t="inlineStr">
        <is>
          <t>SS26</t>
        </is>
      </c>
      <c r="O651" s="156" t="inlineStr">
        <is>
          <t>Seasonal</t>
        </is>
      </c>
      <c r="P651" s="156" t="inlineStr">
        <is>
          <t>Azul</t>
        </is>
      </c>
      <c r="Q651" s="156" t="n"/>
      <c r="R651" s="156" t="inlineStr">
        <is>
          <t>Horma Alexia</t>
        </is>
      </c>
      <c r="S651" s="156" t="inlineStr">
        <is>
          <t>Piel bovina</t>
        </is>
      </c>
      <c r="T651" s="156" t="inlineStr">
        <is>
          <t>Bota Dama Piel bovina Becerro Suave Azul Claro Horma Alexia</t>
        </is>
      </c>
      <c r="U651" s="156" t="inlineStr">
        <is>
          <t>México</t>
        </is>
      </c>
      <c r="V651" s="156" t="inlineStr">
        <is>
          <t>PRS</t>
        </is>
      </c>
      <c r="W651" s="51" t="inlineStr">
        <is>
          <t>53111502</t>
        </is>
      </c>
      <c r="X651" s="156" t="n"/>
      <c r="Y651" s="54" t="n">
        <v>830.025</v>
      </c>
      <c r="Z651" s="54" t="n">
        <v>4827.586207</v>
      </c>
      <c r="AA651" s="55">
        <f>IF(AND(A651="", B651="", E651=""), "", IF(AB651="", "Válido", IF((LEN(AB651)-LEN(SUBSTITUTE(AB651,"; ","")))/2+1&gt;(LEN(AB651)-LEN(SUBSTITUTE(AB651,"[Aviso]","")))/7, "Con Incidencias", "Válido")))</f>
        <v/>
      </c>
      <c r="AB651" s="56">
        <f>IF(AND(A651="", B651="", E651=""), "", TEXTJOIN("; ", TRUE, IF(OR(TRIM(A651&amp;"")="", ISNUMBER(SEARCH("FALTA", A651))), "UPC faltante/inválido", ""), IF(AND(A651&lt;&gt;"", IFERROR(_xlfn.XMATCH(A651,$A$2:$A$2509,0,1)&lt;&gt;_xlfn.XMATCH(A651,$A$2:$A$2509,0,-1),FALSE)), "Código de barras duplicado", ""), IF(AND(E651&lt;&gt;"", COUNTIF($E$2:$E$2509, E651)&gt;1), "SKU duplicado", ""), IF(OR(J651="", J651=""), "[Aviso] División no capturada ()", IF(ISNA(MATCH(J651, Criterios!$A$123:$A$126, 0)), "División no válida", "")), IF(OR(K651="", K651=""), "[Aviso] Categoría no capturada ()", IF(ISNA(MATCH(K651, Criterios!$A$81:$A$120, 0)), "Categoría no válida", IF(AND(J651&lt;&gt;"", J651&lt;&gt;"", J651&lt;&gt;VLOOKUP(K651, Criterios!$A$81:$B$120, 2, FALSE)), "División no coincide con Categoría", ""))), IF(OR(L651="", L651=""), "[Aviso] Género no capturado ()", IF(ISNA(MATCH(L651, Criterios!$B$123:$B$127, 0)), "Género no válido", "")), IF(OR(N651="", N651=""), "[Aviso] Temporada no capturada ()", IF(ISNA(MATCH(N651, Criterios!$C$123:$C$128, 0)), "Temporada no válida", "")), IF(OR(O651="", O651=""), "[Aviso] Ciclo de vida no capturado ()", IF(ISNA(MATCH(O651, Criterios!$D$123:$D$124, 0)), "Ciclo de vida no válido", ""))))</f>
        <v/>
      </c>
      <c r="AC651" s="56" t="n"/>
      <c r="AD651" s="51" t="n">
        <v>0</v>
      </c>
      <c r="AE651" s="156" t="n"/>
      <c r="AF651" s="51" t="n">
        <v>0</v>
      </c>
      <c r="AG651" s="156" t="inlineStr">
        <is>
          <t>Catálogo existente</t>
        </is>
      </c>
      <c r="AH65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1" s="156" t="inlineStr">
        <is>
          <t>No</t>
        </is>
      </c>
      <c r="AJ651" s="156" t="n"/>
      <c r="AK651" s="155" t="inlineStr">
        <is>
          <t>Criterios: I [Q]; G1522_Extraccion_Articulos_NetSuite_2026-09-30.xlsx: fila 59219 [R]</t>
        </is>
      </c>
      <c r="AL651" s="58" t="n">
        <v>830.025</v>
      </c>
      <c r="AM651" s="58" t="n">
        <v>4827.586207</v>
      </c>
      <c r="AN651" s="155" t="n"/>
      <c r="AO651" s="59" t="n"/>
      <c r="AP651" s="59" t="n"/>
      <c r="AQ651" s="59" t="n"/>
      <c r="AR651" s="155" t="n"/>
    </row>
    <row r="652">
      <c r="A652" s="50" t="inlineStr">
        <is>
          <t>12021002131034225</t>
        </is>
      </c>
      <c r="B652" s="51" t="inlineStr">
        <is>
          <t>111552</t>
        </is>
      </c>
      <c r="C652" s="156" t="inlineStr">
        <is>
          <t>Multimarca</t>
        </is>
      </c>
      <c r="D652" s="156" t="inlineStr">
        <is>
          <t>12-021-BS002-13-1034</t>
        </is>
      </c>
      <c r="E652" s="156" t="inlineStr">
        <is>
          <t>12-021-BS002-13-1034-225</t>
        </is>
      </c>
      <c r="F652" s="156" t="inlineStr">
        <is>
          <t>22.5</t>
        </is>
      </c>
      <c r="G652" s="156" t="inlineStr">
        <is>
          <t>5.5</t>
        </is>
      </c>
      <c r="H652" s="156" t="inlineStr">
        <is>
          <t>Stetson</t>
        </is>
      </c>
      <c r="I652" s="156" t="inlineStr">
        <is>
          <t>Bota Piel Azul Claro</t>
        </is>
      </c>
      <c r="J652" s="156" t="inlineStr">
        <is>
          <t>Calzado</t>
        </is>
      </c>
      <c r="K652" s="156" t="inlineStr">
        <is>
          <t>Botas</t>
        </is>
      </c>
      <c r="L652" s="156" t="inlineStr">
        <is>
          <t>Mujer</t>
        </is>
      </c>
      <c r="M652" s="156" t="inlineStr">
        <is>
          <t>Stetson</t>
        </is>
      </c>
      <c r="N652" s="156" t="inlineStr">
        <is>
          <t>SS26</t>
        </is>
      </c>
      <c r="O652" s="156" t="inlineStr">
        <is>
          <t>Seasonal</t>
        </is>
      </c>
      <c r="P652" s="156" t="inlineStr">
        <is>
          <t>Azul</t>
        </is>
      </c>
      <c r="Q652" s="156" t="n"/>
      <c r="R652" s="156" t="inlineStr">
        <is>
          <t>Horma Alexia</t>
        </is>
      </c>
      <c r="S652" s="156" t="inlineStr">
        <is>
          <t>Piel bovina</t>
        </is>
      </c>
      <c r="T652" s="156" t="inlineStr">
        <is>
          <t>Bota Dama Piel bovina Becerro Suave Azul Claro Horma Alexia</t>
        </is>
      </c>
      <c r="U652" s="156" t="inlineStr">
        <is>
          <t>México</t>
        </is>
      </c>
      <c r="V652" s="156" t="inlineStr">
        <is>
          <t>PRS</t>
        </is>
      </c>
      <c r="W652" s="51" t="inlineStr">
        <is>
          <t>53111502</t>
        </is>
      </c>
      <c r="X652" s="156" t="n"/>
      <c r="Y652" s="54" t="n">
        <v>830.025</v>
      </c>
      <c r="Z652" s="54" t="n">
        <v>4827.586207</v>
      </c>
      <c r="AA652" s="55">
        <f>IF(AND(A652="", B652="", E652=""), "", IF(AB652="", "Válido", IF((LEN(AB652)-LEN(SUBSTITUTE(AB652,"; ","")))/2+1&gt;(LEN(AB652)-LEN(SUBSTITUTE(AB652,"[Aviso]","")))/7, "Con Incidencias", "Válido")))</f>
        <v/>
      </c>
      <c r="AB652" s="56">
        <f>IF(AND(A652="", B652="", E652=""), "", TEXTJOIN("; ", TRUE, IF(OR(TRIM(A652&amp;"")="", ISNUMBER(SEARCH("FALTA", A652))), "UPC faltante/inválido", ""), IF(AND(A652&lt;&gt;"", IFERROR(_xlfn.XMATCH(A652,$A$2:$A$2509,0,1)&lt;&gt;_xlfn.XMATCH(A652,$A$2:$A$2509,0,-1),FALSE)), "Código de barras duplicado", ""), IF(AND(E652&lt;&gt;"", COUNTIF($E$2:$E$2509, E652)&gt;1), "SKU duplicado", ""), IF(OR(J652="", J652=""), "[Aviso] División no capturada ()", IF(ISNA(MATCH(J652, Criterios!$A$123:$A$126, 0)), "División no válida", "")), IF(OR(K652="", K652=""), "[Aviso] Categoría no capturada ()", IF(ISNA(MATCH(K652, Criterios!$A$81:$A$120, 0)), "Categoría no válida", IF(AND(J652&lt;&gt;"", J652&lt;&gt;"", J652&lt;&gt;VLOOKUP(K652, Criterios!$A$81:$B$120, 2, FALSE)), "División no coincide con Categoría", ""))), IF(OR(L652="", L652=""), "[Aviso] Género no capturado ()", IF(ISNA(MATCH(L652, Criterios!$B$123:$B$127, 0)), "Género no válido", "")), IF(OR(N652="", N652=""), "[Aviso] Temporada no capturada ()", IF(ISNA(MATCH(N652, Criterios!$C$123:$C$128, 0)), "Temporada no válida", "")), IF(OR(O652="", O652=""), "[Aviso] Ciclo de vida no capturado ()", IF(ISNA(MATCH(O652, Criterios!$D$123:$D$124, 0)), "Ciclo de vida no válido", ""))))</f>
        <v/>
      </c>
      <c r="AC652" s="56" t="n"/>
      <c r="AD652" s="51" t="n">
        <v>0</v>
      </c>
      <c r="AE652" s="156" t="n"/>
      <c r="AF652" s="51" t="n">
        <v>0</v>
      </c>
      <c r="AG652" s="156" t="inlineStr">
        <is>
          <t>Catálogo existente</t>
        </is>
      </c>
      <c r="AH6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2" s="156" t="inlineStr">
        <is>
          <t>No</t>
        </is>
      </c>
      <c r="AJ652" s="156" t="n"/>
      <c r="AK652" s="155" t="inlineStr">
        <is>
          <t>Criterios: I [Q]; G1522_Extraccion_Articulos_NetSuite_2026-09-30.xlsx: fila 59227 [R] | Shopify Stetson: producto 15054564884843 / variante 53350558859627</t>
        </is>
      </c>
      <c r="AL652" s="58" t="n">
        <v>830.025</v>
      </c>
      <c r="AM652" s="58" t="n">
        <v>4827.586207</v>
      </c>
      <c r="AN652" s="155" t="inlineStr">
        <is>
          <t>Shopify Stetson México</t>
        </is>
      </c>
      <c r="AO652" s="59" t="n">
        <v>0</v>
      </c>
      <c r="AP652" s="59" t="n"/>
      <c r="AQ652" s="59" t="n"/>
      <c r="AR652" s="155" t="n"/>
    </row>
    <row r="653">
      <c r="A653" s="50" t="inlineStr">
        <is>
          <t>12021002131034235</t>
        </is>
      </c>
      <c r="B653" s="51" t="inlineStr">
        <is>
          <t>111553</t>
        </is>
      </c>
      <c r="C653" s="156" t="inlineStr">
        <is>
          <t>Multimarca</t>
        </is>
      </c>
      <c r="D653" s="156" t="inlineStr">
        <is>
          <t>12-021-BS002-13-1034</t>
        </is>
      </c>
      <c r="E653" s="156" t="inlineStr">
        <is>
          <t>12-021-BS002-13-1034-235</t>
        </is>
      </c>
      <c r="F653" s="156" t="inlineStr">
        <is>
          <t>23.5</t>
        </is>
      </c>
      <c r="G653" s="156" t="inlineStr">
        <is>
          <t>6.5</t>
        </is>
      </c>
      <c r="H653" s="156" t="inlineStr">
        <is>
          <t>Stetson</t>
        </is>
      </c>
      <c r="I653" s="156" t="inlineStr">
        <is>
          <t>Bota Piel Azul Claro</t>
        </is>
      </c>
      <c r="J653" s="156" t="inlineStr">
        <is>
          <t>Calzado</t>
        </is>
      </c>
      <c r="K653" s="156" t="inlineStr">
        <is>
          <t>Botas</t>
        </is>
      </c>
      <c r="L653" s="156" t="inlineStr">
        <is>
          <t>Mujer</t>
        </is>
      </c>
      <c r="M653" s="156" t="inlineStr">
        <is>
          <t>Stetson</t>
        </is>
      </c>
      <c r="N653" s="156" t="inlineStr">
        <is>
          <t>SS26</t>
        </is>
      </c>
      <c r="O653" s="156" t="inlineStr">
        <is>
          <t>Seasonal</t>
        </is>
      </c>
      <c r="P653" s="156" t="inlineStr">
        <is>
          <t>Azul</t>
        </is>
      </c>
      <c r="Q653" s="156" t="n"/>
      <c r="R653" s="156" t="inlineStr">
        <is>
          <t>Horma Alexia</t>
        </is>
      </c>
      <c r="S653" s="156" t="inlineStr">
        <is>
          <t>Piel bovina</t>
        </is>
      </c>
      <c r="T653" s="156" t="inlineStr">
        <is>
          <t>Bota Dama Piel bovina Becerro Suave Azul Claro Horma Alexia</t>
        </is>
      </c>
      <c r="U653" s="156" t="inlineStr">
        <is>
          <t>México</t>
        </is>
      </c>
      <c r="V653" s="156" t="inlineStr">
        <is>
          <t>PRS</t>
        </is>
      </c>
      <c r="W653" s="51" t="inlineStr">
        <is>
          <t>53111502</t>
        </is>
      </c>
      <c r="X653" s="156" t="n"/>
      <c r="Y653" s="54" t="n">
        <v>830.025</v>
      </c>
      <c r="Z653" s="54" t="n">
        <v>4827.586207</v>
      </c>
      <c r="AA653" s="55">
        <f>IF(AND(A653="", B653="", E653=""), "", IF(AB653="", "Válido", IF((LEN(AB653)-LEN(SUBSTITUTE(AB653,"; ","")))/2+1&gt;(LEN(AB653)-LEN(SUBSTITUTE(AB653,"[Aviso]","")))/7, "Con Incidencias", "Válido")))</f>
        <v/>
      </c>
      <c r="AB653" s="56">
        <f>IF(AND(A653="", B653="", E653=""), "", TEXTJOIN("; ", TRUE, IF(OR(TRIM(A653&amp;"")="", ISNUMBER(SEARCH("FALTA", A653))), "UPC faltante/inválido", ""), IF(AND(A653&lt;&gt;"", IFERROR(_xlfn.XMATCH(A653,$A$2:$A$2509,0,1)&lt;&gt;_xlfn.XMATCH(A653,$A$2:$A$2509,0,-1),FALSE)), "Código de barras duplicado", ""), IF(AND(E653&lt;&gt;"", COUNTIF($E$2:$E$2509, E653)&gt;1), "SKU duplicado", ""), IF(OR(J653="", J653=""), "[Aviso] División no capturada ()", IF(ISNA(MATCH(J653, Criterios!$A$123:$A$126, 0)), "División no válida", "")), IF(OR(K653="", K653=""), "[Aviso] Categoría no capturada ()", IF(ISNA(MATCH(K653, Criterios!$A$81:$A$120, 0)), "Categoría no válida", IF(AND(J653&lt;&gt;"", J653&lt;&gt;"", J653&lt;&gt;VLOOKUP(K653, Criterios!$A$81:$B$120, 2, FALSE)), "División no coincide con Categoría", ""))), IF(OR(L653="", L653=""), "[Aviso] Género no capturado ()", IF(ISNA(MATCH(L653, Criterios!$B$123:$B$127, 0)), "Género no válido", "")), IF(OR(N653="", N653=""), "[Aviso] Temporada no capturada ()", IF(ISNA(MATCH(N653, Criterios!$C$123:$C$128, 0)), "Temporada no válida", "")), IF(OR(O653="", O653=""), "[Aviso] Ciclo de vida no capturado ()", IF(ISNA(MATCH(O653, Criterios!$D$123:$D$124, 0)), "Ciclo de vida no válido", ""))))</f>
        <v/>
      </c>
      <c r="AC653" s="56" t="n"/>
      <c r="AD653" s="51" t="n">
        <v>1</v>
      </c>
      <c r="AE653" s="156" t="inlineStr">
        <is>
          <t>B25 CEDIS (1)</t>
        </is>
      </c>
      <c r="AF653" s="51" t="n">
        <v>1</v>
      </c>
      <c r="AG653" s="156" t="inlineStr">
        <is>
          <t>Catálogo existente</t>
        </is>
      </c>
      <c r="AH6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3" s="156" t="inlineStr">
        <is>
          <t>No</t>
        </is>
      </c>
      <c r="AJ653" s="156" t="n"/>
      <c r="AK653" s="155" t="inlineStr">
        <is>
          <t>Criterios: I [Q]; G1522_Extraccion_Articulos_NetSuite_2026-09-30.xlsx: fila 59228 [R] | Shopify Stetson: producto 15054564884843 / variante 53350558925163</t>
        </is>
      </c>
      <c r="AL653" s="58" t="n">
        <v>830.025</v>
      </c>
      <c r="AM653" s="58" t="n">
        <v>4827.586207</v>
      </c>
      <c r="AN653" s="155" t="inlineStr">
        <is>
          <t>Shopify Stetson México</t>
        </is>
      </c>
      <c r="AO653" s="59" t="n">
        <v>0</v>
      </c>
      <c r="AP653" s="59" t="n"/>
      <c r="AQ653" s="59" t="n"/>
      <c r="AR653" s="155" t="n"/>
    </row>
    <row r="654">
      <c r="A654" s="50" t="inlineStr">
        <is>
          <t>12021002131034245</t>
        </is>
      </c>
      <c r="B654" s="51" t="inlineStr">
        <is>
          <t>111554</t>
        </is>
      </c>
      <c r="C654" s="156" t="inlineStr">
        <is>
          <t>Multimarca</t>
        </is>
      </c>
      <c r="D654" s="156" t="inlineStr">
        <is>
          <t>12-021-BS002-13-1034</t>
        </is>
      </c>
      <c r="E654" s="156" t="inlineStr">
        <is>
          <t>12-021-BS002-13-1034-245</t>
        </is>
      </c>
      <c r="F654" s="156" t="inlineStr">
        <is>
          <t>24.5</t>
        </is>
      </c>
      <c r="G654" s="156" t="inlineStr">
        <is>
          <t>7.5</t>
        </is>
      </c>
      <c r="H654" s="156" t="inlineStr">
        <is>
          <t>Stetson</t>
        </is>
      </c>
      <c r="I654" s="156" t="inlineStr">
        <is>
          <t>Bota Piel Azul Claro</t>
        </is>
      </c>
      <c r="J654" s="156" t="inlineStr">
        <is>
          <t>Calzado</t>
        </is>
      </c>
      <c r="K654" s="156" t="inlineStr">
        <is>
          <t>Botas</t>
        </is>
      </c>
      <c r="L654" s="156" t="inlineStr">
        <is>
          <t>Mujer</t>
        </is>
      </c>
      <c r="M654" s="156" t="inlineStr">
        <is>
          <t>Stetson</t>
        </is>
      </c>
      <c r="N654" s="156" t="inlineStr">
        <is>
          <t>SS26</t>
        </is>
      </c>
      <c r="O654" s="156" t="inlineStr">
        <is>
          <t>Seasonal</t>
        </is>
      </c>
      <c r="P654" s="156" t="inlineStr">
        <is>
          <t>Azul</t>
        </is>
      </c>
      <c r="Q654" s="156" t="n"/>
      <c r="R654" s="156" t="inlineStr">
        <is>
          <t>Horma Alexia</t>
        </is>
      </c>
      <c r="S654" s="156" t="inlineStr">
        <is>
          <t>Piel bovina</t>
        </is>
      </c>
      <c r="T654" s="156" t="inlineStr">
        <is>
          <t>Bota Dama Piel bovina Becerro Suave Azul Claro Horma Alexia</t>
        </is>
      </c>
      <c r="U654" s="156" t="inlineStr">
        <is>
          <t>México</t>
        </is>
      </c>
      <c r="V654" s="156" t="inlineStr">
        <is>
          <t>PRS</t>
        </is>
      </c>
      <c r="W654" s="51" t="inlineStr">
        <is>
          <t>53111502</t>
        </is>
      </c>
      <c r="X654" s="156" t="n"/>
      <c r="Y654" s="54" t="n">
        <v>830.025</v>
      </c>
      <c r="Z654" s="54" t="n">
        <v>4827.586207</v>
      </c>
      <c r="AA654" s="55">
        <f>IF(AND(A654="", B654="", E654=""), "", IF(AB654="", "Válido", IF((LEN(AB654)-LEN(SUBSTITUTE(AB654,"; ","")))/2+1&gt;(LEN(AB654)-LEN(SUBSTITUTE(AB654,"[Aviso]","")))/7, "Con Incidencias", "Válido")))</f>
        <v/>
      </c>
      <c r="AB654" s="56">
        <f>IF(AND(A654="", B654="", E654=""), "", TEXTJOIN("; ", TRUE, IF(OR(TRIM(A654&amp;"")="", ISNUMBER(SEARCH("FALTA", A654))), "UPC faltante/inválido", ""), IF(AND(A654&lt;&gt;"", IFERROR(_xlfn.XMATCH(A654,$A$2:$A$2509,0,1)&lt;&gt;_xlfn.XMATCH(A654,$A$2:$A$2509,0,-1),FALSE)), "Código de barras duplicado", ""), IF(AND(E654&lt;&gt;"", COUNTIF($E$2:$E$2509, E654)&gt;1), "SKU duplicado", ""), IF(OR(J654="", J654=""), "[Aviso] División no capturada ()", IF(ISNA(MATCH(J654, Criterios!$A$123:$A$126, 0)), "División no válida", "")), IF(OR(K654="", K654=""), "[Aviso] Categoría no capturada ()", IF(ISNA(MATCH(K654, Criterios!$A$81:$A$120, 0)), "Categoría no válida", IF(AND(J654&lt;&gt;"", J654&lt;&gt;"", J654&lt;&gt;VLOOKUP(K654, Criterios!$A$81:$B$120, 2, FALSE)), "División no coincide con Categoría", ""))), IF(OR(L654="", L654=""), "[Aviso] Género no capturado ()", IF(ISNA(MATCH(L654, Criterios!$B$123:$B$127, 0)), "Género no válido", "")), IF(OR(N654="", N654=""), "[Aviso] Temporada no capturada ()", IF(ISNA(MATCH(N654, Criterios!$C$123:$C$128, 0)), "Temporada no válida", "")), IF(OR(O654="", O654=""), "[Aviso] Ciclo de vida no capturado ()", IF(ISNA(MATCH(O654, Criterios!$D$123:$D$124, 0)), "Ciclo de vida no válido", ""))))</f>
        <v/>
      </c>
      <c r="AC654" s="56" t="n"/>
      <c r="AD654" s="51" t="n">
        <v>2</v>
      </c>
      <c r="AE654" s="156" t="inlineStr">
        <is>
          <t>STETSON AMERICAS (2)</t>
        </is>
      </c>
      <c r="AF654" s="51" t="n">
        <v>2</v>
      </c>
      <c r="AG654" s="156" t="inlineStr">
        <is>
          <t>Catálogo existente</t>
        </is>
      </c>
      <c r="AH6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4" s="156" t="inlineStr">
        <is>
          <t>No</t>
        </is>
      </c>
      <c r="AJ654" s="156" t="n"/>
      <c r="AK654" s="155" t="inlineStr">
        <is>
          <t>Criterios: I [Q]; G1522_Extraccion_Articulos_NetSuite_2026-09-30.xlsx: fila 59229 [R] | Shopify Stetson: producto 15054564884843 / variante 53350558990699</t>
        </is>
      </c>
      <c r="AL654" s="58" t="n">
        <v>830.025</v>
      </c>
      <c r="AM654" s="58" t="n">
        <v>4827.586207</v>
      </c>
      <c r="AN654" s="155" t="inlineStr">
        <is>
          <t>Shopify Stetson México</t>
        </is>
      </c>
      <c r="AO654" s="59" t="n">
        <v>2</v>
      </c>
      <c r="AP654" s="59" t="n"/>
      <c r="AQ654" s="59" t="n"/>
      <c r="AR654" s="155" t="inlineStr">
        <is>
          <t>Shopify Stetson México › Stetson Americas: 2</t>
        </is>
      </c>
    </row>
    <row r="655">
      <c r="A655" s="50" t="inlineStr">
        <is>
          <t>12021002131034255</t>
        </is>
      </c>
      <c r="B655" s="51" t="inlineStr">
        <is>
          <t>111545</t>
        </is>
      </c>
      <c r="C655" s="156" t="inlineStr">
        <is>
          <t>Multimarca</t>
        </is>
      </c>
      <c r="D655" s="156" t="inlineStr">
        <is>
          <t>12-021-BS002-13-1034</t>
        </is>
      </c>
      <c r="E655" s="156" t="inlineStr">
        <is>
          <t>12-021-BS002-13-1034-255</t>
        </is>
      </c>
      <c r="F655" s="156" t="inlineStr">
        <is>
          <t>25.5</t>
        </is>
      </c>
      <c r="G655" s="156" t="inlineStr">
        <is>
          <t>8.5</t>
        </is>
      </c>
      <c r="H655" s="156" t="inlineStr">
        <is>
          <t>Stetson</t>
        </is>
      </c>
      <c r="I655" s="156" t="inlineStr">
        <is>
          <t>Bota Piel Azul Claro</t>
        </is>
      </c>
      <c r="J655" s="156" t="inlineStr">
        <is>
          <t>Calzado</t>
        </is>
      </c>
      <c r="K655" s="156" t="inlineStr">
        <is>
          <t>Botas</t>
        </is>
      </c>
      <c r="L655" s="156" t="inlineStr">
        <is>
          <t>Mujer</t>
        </is>
      </c>
      <c r="M655" s="156" t="inlineStr">
        <is>
          <t>Stetson</t>
        </is>
      </c>
      <c r="N655" s="156" t="inlineStr">
        <is>
          <t>SS26</t>
        </is>
      </c>
      <c r="O655" s="156" t="inlineStr">
        <is>
          <t>Seasonal</t>
        </is>
      </c>
      <c r="P655" s="156" t="inlineStr">
        <is>
          <t>Azul</t>
        </is>
      </c>
      <c r="Q655" s="156" t="n"/>
      <c r="R655" s="156" t="inlineStr">
        <is>
          <t>Horma Alexia</t>
        </is>
      </c>
      <c r="S655" s="156" t="inlineStr">
        <is>
          <t>Piel bovina</t>
        </is>
      </c>
      <c r="T655" s="156" t="inlineStr">
        <is>
          <t>Bota Dama Piel bovina Becerro Suave Azul Claro Horma Alexia</t>
        </is>
      </c>
      <c r="U655" s="156" t="inlineStr">
        <is>
          <t>México</t>
        </is>
      </c>
      <c r="V655" s="156" t="inlineStr">
        <is>
          <t>PRS</t>
        </is>
      </c>
      <c r="W655" s="51" t="inlineStr">
        <is>
          <t>53111502</t>
        </is>
      </c>
      <c r="X655" s="156" t="n"/>
      <c r="Y655" s="54" t="n">
        <v>830.025</v>
      </c>
      <c r="Z655" s="54" t="n">
        <v>4827.586207</v>
      </c>
      <c r="AA655" s="55">
        <f>IF(AND(A655="", B655="", E655=""), "", IF(AB655="", "Válido", IF((LEN(AB655)-LEN(SUBSTITUTE(AB655,"; ","")))/2+1&gt;(LEN(AB655)-LEN(SUBSTITUTE(AB655,"[Aviso]","")))/7, "Con Incidencias", "Válido")))</f>
        <v/>
      </c>
      <c r="AB655" s="56">
        <f>IF(AND(A655="", B655="", E655=""), "", TEXTJOIN("; ", TRUE, IF(OR(TRIM(A655&amp;"")="", ISNUMBER(SEARCH("FALTA", A655))), "UPC faltante/inválido", ""), IF(AND(A655&lt;&gt;"", IFERROR(_xlfn.XMATCH(A655,$A$2:$A$2509,0,1)&lt;&gt;_xlfn.XMATCH(A655,$A$2:$A$2509,0,-1),FALSE)), "Código de barras duplicado", ""), IF(AND(E655&lt;&gt;"", COUNTIF($E$2:$E$2509, E655)&gt;1), "SKU duplicado", ""), IF(OR(J655="", J655=""), "[Aviso] División no capturada ()", IF(ISNA(MATCH(J655, Criterios!$A$123:$A$126, 0)), "División no válida", "")), IF(OR(K655="", K655=""), "[Aviso] Categoría no capturada ()", IF(ISNA(MATCH(K655, Criterios!$A$81:$A$120, 0)), "Categoría no válida", IF(AND(J655&lt;&gt;"", J655&lt;&gt;"", J655&lt;&gt;VLOOKUP(K655, Criterios!$A$81:$B$120, 2, FALSE)), "División no coincide con Categoría", ""))), IF(OR(L655="", L655=""), "[Aviso] Género no capturado ()", IF(ISNA(MATCH(L655, Criterios!$B$123:$B$127, 0)), "Género no válido", "")), IF(OR(N655="", N655=""), "[Aviso] Temporada no capturada ()", IF(ISNA(MATCH(N655, Criterios!$C$123:$C$128, 0)), "Temporada no válida", "")), IF(OR(O655="", O655=""), "[Aviso] Ciclo de vida no capturado ()", IF(ISNA(MATCH(O655, Criterios!$D$123:$D$124, 0)), "Ciclo de vida no válido", ""))))</f>
        <v/>
      </c>
      <c r="AC655" s="56" t="n"/>
      <c r="AD655" s="51" t="n">
        <v>1</v>
      </c>
      <c r="AE655" s="156" t="inlineStr">
        <is>
          <t>STETSON AMERICAS (1)</t>
        </is>
      </c>
      <c r="AF655" s="51" t="n">
        <v>1</v>
      </c>
      <c r="AG655" s="156" t="inlineStr">
        <is>
          <t>Catálogo existente</t>
        </is>
      </c>
      <c r="AH65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5" s="156" t="inlineStr">
        <is>
          <t>No</t>
        </is>
      </c>
      <c r="AJ655" s="156" t="n"/>
      <c r="AK655" s="155" t="inlineStr">
        <is>
          <t>Criterios: I [Q]; G1522_Extraccion_Articulos_NetSuite_2026-09-30.xlsx: fila 59220 [R]</t>
        </is>
      </c>
      <c r="AL655" s="58" t="n">
        <v>830.025</v>
      </c>
      <c r="AM655" s="58" t="n">
        <v>4827.586207</v>
      </c>
      <c r="AN655" s="155" t="n"/>
      <c r="AO655" s="59" t="n"/>
      <c r="AP655" s="59" t="n"/>
      <c r="AQ655" s="59" t="n"/>
      <c r="AR655" s="155" t="n"/>
    </row>
    <row r="656">
      <c r="A656" s="50" t="inlineStr">
        <is>
          <t>12021002131034265</t>
        </is>
      </c>
      <c r="B656" s="51" t="inlineStr">
        <is>
          <t>111546</t>
        </is>
      </c>
      <c r="C656" s="156" t="inlineStr">
        <is>
          <t>Multimarca</t>
        </is>
      </c>
      <c r="D656" s="156" t="inlineStr">
        <is>
          <t>12-021-BS002-13-1034</t>
        </is>
      </c>
      <c r="E656" s="156" t="inlineStr">
        <is>
          <t>12-021-BS002-13-1034-265</t>
        </is>
      </c>
      <c r="F656" s="156" t="inlineStr">
        <is>
          <t>26.5</t>
        </is>
      </c>
      <c r="G656" s="156" t="inlineStr">
        <is>
          <t>9.5</t>
        </is>
      </c>
      <c r="H656" s="156" t="inlineStr">
        <is>
          <t>Stetson</t>
        </is>
      </c>
      <c r="I656" s="156" t="inlineStr">
        <is>
          <t>Bota Piel Azul Claro</t>
        </is>
      </c>
      <c r="J656" s="156" t="inlineStr">
        <is>
          <t>Calzado</t>
        </is>
      </c>
      <c r="K656" s="156" t="inlineStr">
        <is>
          <t>Botas</t>
        </is>
      </c>
      <c r="L656" s="156" t="inlineStr">
        <is>
          <t>Mujer</t>
        </is>
      </c>
      <c r="M656" s="156" t="inlineStr">
        <is>
          <t>Stetson</t>
        </is>
      </c>
      <c r="N656" s="156" t="inlineStr">
        <is>
          <t>SS26</t>
        </is>
      </c>
      <c r="O656" s="156" t="inlineStr">
        <is>
          <t>Seasonal</t>
        </is>
      </c>
      <c r="P656" s="156" t="inlineStr">
        <is>
          <t>Azul</t>
        </is>
      </c>
      <c r="Q656" s="156" t="n"/>
      <c r="R656" s="156" t="inlineStr">
        <is>
          <t>Horma Alexia</t>
        </is>
      </c>
      <c r="S656" s="156" t="inlineStr">
        <is>
          <t>Piel bovina</t>
        </is>
      </c>
      <c r="T656" s="156" t="inlineStr">
        <is>
          <t>Bota Dama Piel bovina Becerro Suave Azul Claro Horma Alexia</t>
        </is>
      </c>
      <c r="U656" s="156" t="inlineStr">
        <is>
          <t>México</t>
        </is>
      </c>
      <c r="V656" s="156" t="inlineStr">
        <is>
          <t>PRS</t>
        </is>
      </c>
      <c r="W656" s="51" t="inlineStr">
        <is>
          <t>53111502</t>
        </is>
      </c>
      <c r="X656" s="156" t="n"/>
      <c r="Y656" s="54" t="n">
        <v>830.025</v>
      </c>
      <c r="Z656" s="54" t="n">
        <v>4827.586207</v>
      </c>
      <c r="AA656" s="55">
        <f>IF(AND(A656="", B656="", E656=""), "", IF(AB656="", "Válido", IF((LEN(AB656)-LEN(SUBSTITUTE(AB656,"; ","")))/2+1&gt;(LEN(AB656)-LEN(SUBSTITUTE(AB656,"[Aviso]","")))/7, "Con Incidencias", "Válido")))</f>
        <v/>
      </c>
      <c r="AB656" s="56">
        <f>IF(AND(A656="", B656="", E656=""), "", TEXTJOIN("; ", TRUE, IF(OR(TRIM(A656&amp;"")="", ISNUMBER(SEARCH("FALTA", A656))), "UPC faltante/inválido", ""), IF(AND(A656&lt;&gt;"", IFERROR(_xlfn.XMATCH(A656,$A$2:$A$2509,0,1)&lt;&gt;_xlfn.XMATCH(A656,$A$2:$A$2509,0,-1),FALSE)), "Código de barras duplicado", ""), IF(AND(E656&lt;&gt;"", COUNTIF($E$2:$E$2509, E656)&gt;1), "SKU duplicado", ""), IF(OR(J656="", J656=""), "[Aviso] División no capturada ()", IF(ISNA(MATCH(J656, Criterios!$A$123:$A$126, 0)), "División no válida", "")), IF(OR(K656="", K656=""), "[Aviso] Categoría no capturada ()", IF(ISNA(MATCH(K656, Criterios!$A$81:$A$120, 0)), "Categoría no válida", IF(AND(J656&lt;&gt;"", J656&lt;&gt;"", J656&lt;&gt;VLOOKUP(K656, Criterios!$A$81:$B$120, 2, FALSE)), "División no coincide con Categoría", ""))), IF(OR(L656="", L656=""), "[Aviso] Género no capturado ()", IF(ISNA(MATCH(L656, Criterios!$B$123:$B$127, 0)), "Género no válido", "")), IF(OR(N656="", N656=""), "[Aviso] Temporada no capturada ()", IF(ISNA(MATCH(N656, Criterios!$C$123:$C$128, 0)), "Temporada no válida", "")), IF(OR(O656="", O656=""), "[Aviso] Ciclo de vida no capturado ()", IF(ISNA(MATCH(O656, Criterios!$D$123:$D$124, 0)), "Ciclo de vida no válido", ""))))</f>
        <v/>
      </c>
      <c r="AC656" s="56" t="n"/>
      <c r="AD656" s="51" t="n">
        <v>0</v>
      </c>
      <c r="AE656" s="156" t="n"/>
      <c r="AF656" s="51" t="n">
        <v>0</v>
      </c>
      <c r="AG656" s="156" t="inlineStr">
        <is>
          <t>Catálogo existente</t>
        </is>
      </c>
      <c r="AH65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6" s="156" t="inlineStr">
        <is>
          <t>No</t>
        </is>
      </c>
      <c r="AJ656" s="156" t="n"/>
      <c r="AK656" s="155" t="inlineStr">
        <is>
          <t>Criterios: I [Q]; G1522_Extraccion_Articulos_NetSuite_2026-09-30.xlsx: fila 59221 [R]</t>
        </is>
      </c>
      <c r="AL656" s="58" t="n">
        <v>830.025</v>
      </c>
      <c r="AM656" s="58" t="n">
        <v>4827.586207</v>
      </c>
      <c r="AN656" s="155" t="n"/>
      <c r="AO656" s="59" t="n"/>
      <c r="AP656" s="59" t="n"/>
      <c r="AQ656" s="59" t="n"/>
      <c r="AR656" s="155" t="n"/>
    </row>
    <row r="657">
      <c r="A657" s="50" t="inlineStr">
        <is>
          <t>12021002131034275</t>
        </is>
      </c>
      <c r="B657" s="51" t="inlineStr">
        <is>
          <t>111547</t>
        </is>
      </c>
      <c r="C657" s="156" t="inlineStr">
        <is>
          <t>Multimarca</t>
        </is>
      </c>
      <c r="D657" s="156" t="inlineStr">
        <is>
          <t>12-021-BS002-13-1034</t>
        </is>
      </c>
      <c r="E657" s="156" t="inlineStr">
        <is>
          <t>12-021-BS002-13-1034-275</t>
        </is>
      </c>
      <c r="F657" s="156" t="inlineStr">
        <is>
          <t>27.5</t>
        </is>
      </c>
      <c r="G657" s="156" t="inlineStr">
        <is>
          <t>10.5</t>
        </is>
      </c>
      <c r="H657" s="156" t="inlineStr">
        <is>
          <t>Stetson</t>
        </is>
      </c>
      <c r="I657" s="156" t="inlineStr">
        <is>
          <t>Bota Piel Azul Claro</t>
        </is>
      </c>
      <c r="J657" s="156" t="inlineStr">
        <is>
          <t>Calzado</t>
        </is>
      </c>
      <c r="K657" s="156" t="inlineStr">
        <is>
          <t>Botas</t>
        </is>
      </c>
      <c r="L657" s="156" t="inlineStr">
        <is>
          <t>Mujer</t>
        </is>
      </c>
      <c r="M657" s="156" t="inlineStr">
        <is>
          <t>Stetson</t>
        </is>
      </c>
      <c r="N657" s="156" t="inlineStr">
        <is>
          <t>SS26</t>
        </is>
      </c>
      <c r="O657" s="156" t="inlineStr">
        <is>
          <t>Seasonal</t>
        </is>
      </c>
      <c r="P657" s="156" t="inlineStr">
        <is>
          <t>Azul</t>
        </is>
      </c>
      <c r="Q657" s="156" t="n"/>
      <c r="R657" s="156" t="inlineStr">
        <is>
          <t>Horma Alexia</t>
        </is>
      </c>
      <c r="S657" s="156" t="inlineStr">
        <is>
          <t>Piel bovina</t>
        </is>
      </c>
      <c r="T657" s="156" t="inlineStr">
        <is>
          <t>Bota Dama Piel bovina Becerro Suave Azul Claro Horma Alexia</t>
        </is>
      </c>
      <c r="U657" s="156" t="inlineStr">
        <is>
          <t>México</t>
        </is>
      </c>
      <c r="V657" s="156" t="inlineStr">
        <is>
          <t>PRS</t>
        </is>
      </c>
      <c r="W657" s="51" t="inlineStr">
        <is>
          <t>53111502</t>
        </is>
      </c>
      <c r="X657" s="156" t="n"/>
      <c r="Y657" s="54" t="n">
        <v>830.025</v>
      </c>
      <c r="Z657" s="54" t="n">
        <v>4827.586207</v>
      </c>
      <c r="AA657" s="55">
        <f>IF(AND(A657="", B657="", E657=""), "", IF(AB657="", "Válido", IF((LEN(AB657)-LEN(SUBSTITUTE(AB657,"; ","")))/2+1&gt;(LEN(AB657)-LEN(SUBSTITUTE(AB657,"[Aviso]","")))/7, "Con Incidencias", "Válido")))</f>
        <v/>
      </c>
      <c r="AB657" s="56">
        <f>IF(AND(A657="", B657="", E657=""), "", TEXTJOIN("; ", TRUE, IF(OR(TRIM(A657&amp;"")="", ISNUMBER(SEARCH("FALTA", A657))), "UPC faltante/inválido", ""), IF(AND(A657&lt;&gt;"", IFERROR(_xlfn.XMATCH(A657,$A$2:$A$2509,0,1)&lt;&gt;_xlfn.XMATCH(A657,$A$2:$A$2509,0,-1),FALSE)), "Código de barras duplicado", ""), IF(AND(E657&lt;&gt;"", COUNTIF($E$2:$E$2509, E657)&gt;1), "SKU duplicado", ""), IF(OR(J657="", J657=""), "[Aviso] División no capturada ()", IF(ISNA(MATCH(J657, Criterios!$A$123:$A$126, 0)), "División no válida", "")), IF(OR(K657="", K657=""), "[Aviso] Categoría no capturada ()", IF(ISNA(MATCH(K657, Criterios!$A$81:$A$120, 0)), "Categoría no válida", IF(AND(J657&lt;&gt;"", J657&lt;&gt;"", J657&lt;&gt;VLOOKUP(K657, Criterios!$A$81:$B$120, 2, FALSE)), "División no coincide con Categoría", ""))), IF(OR(L657="", L657=""), "[Aviso] Género no capturado ()", IF(ISNA(MATCH(L657, Criterios!$B$123:$B$127, 0)), "Género no válido", "")), IF(OR(N657="", N657=""), "[Aviso] Temporada no capturada ()", IF(ISNA(MATCH(N657, Criterios!$C$123:$C$128, 0)), "Temporada no válida", "")), IF(OR(O657="", O657=""), "[Aviso] Ciclo de vida no capturado ()", IF(ISNA(MATCH(O657, Criterios!$D$123:$D$124, 0)), "Ciclo de vida no válido", ""))))</f>
        <v/>
      </c>
      <c r="AC657" s="56" t="n"/>
      <c r="AD657" s="51" t="n">
        <v>0</v>
      </c>
      <c r="AE657" s="156" t="n"/>
      <c r="AF657" s="51" t="n">
        <v>0</v>
      </c>
      <c r="AG657" s="156" t="inlineStr">
        <is>
          <t>Catálogo existente</t>
        </is>
      </c>
      <c r="AH65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7" s="156" t="inlineStr">
        <is>
          <t>No</t>
        </is>
      </c>
      <c r="AJ657" s="156" t="n"/>
      <c r="AK657" s="155" t="inlineStr">
        <is>
          <t>Criterios: I [Q]; G1522_Extraccion_Articulos_NetSuite_2026-09-30.xlsx: fila 59222 [R]</t>
        </is>
      </c>
      <c r="AL657" s="58" t="n">
        <v>830.025</v>
      </c>
      <c r="AM657" s="58" t="n">
        <v>4827.586207</v>
      </c>
      <c r="AN657" s="155" t="n"/>
      <c r="AO657" s="59" t="n"/>
      <c r="AP657" s="59" t="n"/>
      <c r="AQ657" s="59" t="n"/>
      <c r="AR657" s="155" t="n"/>
    </row>
    <row r="658">
      <c r="A658" s="50" t="inlineStr">
        <is>
          <t>12021002131035022</t>
        </is>
      </c>
      <c r="B658" s="51" t="inlineStr">
        <is>
          <t>111560</t>
        </is>
      </c>
      <c r="C658" s="156" t="inlineStr">
        <is>
          <t>Multimarca</t>
        </is>
      </c>
      <c r="D658" s="156" t="inlineStr">
        <is>
          <t>12-021-BS002-13-1035</t>
        </is>
      </c>
      <c r="E658" s="156" t="inlineStr">
        <is>
          <t>12-021-BS002-13-1035-022</t>
        </is>
      </c>
      <c r="F658" s="156" t="inlineStr">
        <is>
          <t>22</t>
        </is>
      </c>
      <c r="G658" s="156" t="inlineStr">
        <is>
          <t>5</t>
        </is>
      </c>
      <c r="H658" s="156" t="inlineStr">
        <is>
          <t>Stetson</t>
        </is>
      </c>
      <c r="I658" s="156" t="inlineStr">
        <is>
          <t>Bota Piel Rosa Claro</t>
        </is>
      </c>
      <c r="J658" s="156" t="inlineStr">
        <is>
          <t>Calzado</t>
        </is>
      </c>
      <c r="K658" s="156" t="inlineStr">
        <is>
          <t>Botas</t>
        </is>
      </c>
      <c r="L658" s="156" t="inlineStr">
        <is>
          <t>Mujer</t>
        </is>
      </c>
      <c r="M658" s="156" t="inlineStr">
        <is>
          <t>Stetson</t>
        </is>
      </c>
      <c r="N658" s="156" t="inlineStr">
        <is>
          <t>SS26</t>
        </is>
      </c>
      <c r="O658" s="156" t="inlineStr">
        <is>
          <t>Seasonal</t>
        </is>
      </c>
      <c r="P658" s="156" t="inlineStr">
        <is>
          <t>Rosa</t>
        </is>
      </c>
      <c r="Q658" s="156" t="n"/>
      <c r="R658" s="156" t="inlineStr">
        <is>
          <t>Horma Alexia</t>
        </is>
      </c>
      <c r="S658" s="156" t="inlineStr">
        <is>
          <t>Piel bovina</t>
        </is>
      </c>
      <c r="T658" s="156" t="inlineStr">
        <is>
          <t>Bota Dama Piel bovina Becerro Suave Rosa Claro Horma Alexia</t>
        </is>
      </c>
      <c r="U658" s="156" t="inlineStr">
        <is>
          <t>México</t>
        </is>
      </c>
      <c r="V658" s="156" t="inlineStr">
        <is>
          <t>PRS</t>
        </is>
      </c>
      <c r="W658" s="51" t="inlineStr">
        <is>
          <t>53111502</t>
        </is>
      </c>
      <c r="X658" s="156" t="n"/>
      <c r="Y658" s="54" t="n">
        <v>830.025</v>
      </c>
      <c r="Z658" s="54" t="n">
        <v>4827.586207</v>
      </c>
      <c r="AA658" s="55">
        <f>IF(AND(A658="", B658="", E658=""), "", IF(AB658="", "Válido", IF((LEN(AB658)-LEN(SUBSTITUTE(AB658,"; ","")))/2+1&gt;(LEN(AB658)-LEN(SUBSTITUTE(AB658,"[Aviso]","")))/7, "Con Incidencias", "Válido")))</f>
        <v/>
      </c>
      <c r="AB658" s="56">
        <f>IF(AND(A658="", B658="", E658=""), "", TEXTJOIN("; ", TRUE, IF(OR(TRIM(A658&amp;"")="", ISNUMBER(SEARCH("FALTA", A658))), "UPC faltante/inválido", ""), IF(AND(A658&lt;&gt;"", IFERROR(_xlfn.XMATCH(A658,$A$2:$A$2509,0,1)&lt;&gt;_xlfn.XMATCH(A658,$A$2:$A$2509,0,-1),FALSE)), "Código de barras duplicado", ""), IF(AND(E658&lt;&gt;"", COUNTIF($E$2:$E$2509, E658)&gt;1), "SKU duplicado", ""), IF(OR(J658="", J658=""), "[Aviso] División no capturada ()", IF(ISNA(MATCH(J658, Criterios!$A$123:$A$126, 0)), "División no válida", "")), IF(OR(K658="", K658=""), "[Aviso] Categoría no capturada ()", IF(ISNA(MATCH(K658, Criterios!$A$81:$A$120, 0)), "Categoría no válida", IF(AND(J658&lt;&gt;"", J658&lt;&gt;"", J658&lt;&gt;VLOOKUP(K658, Criterios!$A$81:$B$120, 2, FALSE)), "División no coincide con Categoría", ""))), IF(OR(L658="", L658=""), "[Aviso] Género no capturado ()", IF(ISNA(MATCH(L658, Criterios!$B$123:$B$127, 0)), "Género no válido", "")), IF(OR(N658="", N658=""), "[Aviso] Temporada no capturada ()", IF(ISNA(MATCH(N658, Criterios!$C$123:$C$128, 0)), "Temporada no válida", "")), IF(OR(O658="", O658=""), "[Aviso] Ciclo de vida no capturado ()", IF(ISNA(MATCH(O658, Criterios!$D$123:$D$124, 0)), "Ciclo de vida no válido", ""))))</f>
        <v/>
      </c>
      <c r="AC658" s="56" t="n"/>
      <c r="AD658" s="51" t="n">
        <v>0</v>
      </c>
      <c r="AE658" s="156" t="n"/>
      <c r="AF658" s="51" t="n">
        <v>0</v>
      </c>
      <c r="AG658" s="156" t="inlineStr">
        <is>
          <t>Catálogo existente</t>
        </is>
      </c>
      <c r="AH6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8" s="156" t="inlineStr">
        <is>
          <t>No</t>
        </is>
      </c>
      <c r="AJ658" s="156" t="n"/>
      <c r="AK658" s="155" t="inlineStr">
        <is>
          <t>Criterios: I [Q]; G1522_Extraccion_Articulos_NetSuite_2026-09-30.xlsx: fila 59235 [R] | Shopify Stetson: producto 15054564917611 / variante 53350559220075</t>
        </is>
      </c>
      <c r="AL658" s="58" t="n">
        <v>830.025</v>
      </c>
      <c r="AM658" s="58" t="n">
        <v>4827.586207</v>
      </c>
      <c r="AN658" s="155" t="inlineStr">
        <is>
          <t>Shopify Stetson México</t>
        </is>
      </c>
      <c r="AO658" s="59" t="n">
        <v>0</v>
      </c>
      <c r="AP658" s="59" t="n"/>
      <c r="AQ658" s="59" t="n"/>
      <c r="AR658" s="155" t="n"/>
    </row>
    <row r="659">
      <c r="A659" s="50" t="inlineStr">
        <is>
          <t>12021002131035023</t>
        </is>
      </c>
      <c r="B659" s="51" t="inlineStr">
        <is>
          <t>111561</t>
        </is>
      </c>
      <c r="C659" s="156" t="inlineStr">
        <is>
          <t>Multimarca</t>
        </is>
      </c>
      <c r="D659" s="156" t="inlineStr">
        <is>
          <t>12-021-BS002-13-1035</t>
        </is>
      </c>
      <c r="E659" s="156" t="inlineStr">
        <is>
          <t>12-021-BS002-13-1035-023</t>
        </is>
      </c>
      <c r="F659" s="156" t="inlineStr">
        <is>
          <t>23</t>
        </is>
      </c>
      <c r="G659" s="156" t="inlineStr">
        <is>
          <t>6</t>
        </is>
      </c>
      <c r="H659" s="156" t="inlineStr">
        <is>
          <t>Stetson</t>
        </is>
      </c>
      <c r="I659" s="156" t="inlineStr">
        <is>
          <t>Bota Piel Rosa Claro</t>
        </is>
      </c>
      <c r="J659" s="156" t="inlineStr">
        <is>
          <t>Calzado</t>
        </is>
      </c>
      <c r="K659" s="156" t="inlineStr">
        <is>
          <t>Botas</t>
        </is>
      </c>
      <c r="L659" s="156" t="inlineStr">
        <is>
          <t>Mujer</t>
        </is>
      </c>
      <c r="M659" s="156" t="inlineStr">
        <is>
          <t>Stetson</t>
        </is>
      </c>
      <c r="N659" s="156" t="inlineStr">
        <is>
          <t>SS26</t>
        </is>
      </c>
      <c r="O659" s="156" t="inlineStr">
        <is>
          <t>Seasonal</t>
        </is>
      </c>
      <c r="P659" s="156" t="inlineStr">
        <is>
          <t>Rosa</t>
        </is>
      </c>
      <c r="Q659" s="156" t="n"/>
      <c r="R659" s="156" t="inlineStr">
        <is>
          <t>Horma Alexia</t>
        </is>
      </c>
      <c r="S659" s="156" t="inlineStr">
        <is>
          <t>Piel bovina</t>
        </is>
      </c>
      <c r="T659" s="156" t="inlineStr">
        <is>
          <t>Bota Dama Piel bovina Becerro Suave Rosa Claro Horma Alexia</t>
        </is>
      </c>
      <c r="U659" s="156" t="inlineStr">
        <is>
          <t>México</t>
        </is>
      </c>
      <c r="V659" s="156" t="inlineStr">
        <is>
          <t>PRS</t>
        </is>
      </c>
      <c r="W659" s="51" t="inlineStr">
        <is>
          <t>53111502</t>
        </is>
      </c>
      <c r="X659" s="156" t="n"/>
      <c r="Y659" s="54" t="n">
        <v>830.025</v>
      </c>
      <c r="Z659" s="54" t="n">
        <v>4827.586207</v>
      </c>
      <c r="AA659" s="55">
        <f>IF(AND(A659="", B659="", E659=""), "", IF(AB659="", "Válido", IF((LEN(AB659)-LEN(SUBSTITUTE(AB659,"; ","")))/2+1&gt;(LEN(AB659)-LEN(SUBSTITUTE(AB659,"[Aviso]","")))/7, "Con Incidencias", "Válido")))</f>
        <v/>
      </c>
      <c r="AB659" s="56">
        <f>IF(AND(A659="", B659="", E659=""), "", TEXTJOIN("; ", TRUE, IF(OR(TRIM(A659&amp;"")="", ISNUMBER(SEARCH("FALTA", A659))), "UPC faltante/inválido", ""), IF(AND(A659&lt;&gt;"", IFERROR(_xlfn.XMATCH(A659,$A$2:$A$2509,0,1)&lt;&gt;_xlfn.XMATCH(A659,$A$2:$A$2509,0,-1),FALSE)), "Código de barras duplicado", ""), IF(AND(E659&lt;&gt;"", COUNTIF($E$2:$E$2509, E659)&gt;1), "SKU duplicado", ""), IF(OR(J659="", J659=""), "[Aviso] División no capturada ()", IF(ISNA(MATCH(J659, Criterios!$A$123:$A$126, 0)), "División no válida", "")), IF(OR(K659="", K659=""), "[Aviso] Categoría no capturada ()", IF(ISNA(MATCH(K659, Criterios!$A$81:$A$120, 0)), "Categoría no válida", IF(AND(J659&lt;&gt;"", J659&lt;&gt;"", J659&lt;&gt;VLOOKUP(K659, Criterios!$A$81:$B$120, 2, FALSE)), "División no coincide con Categoría", ""))), IF(OR(L659="", L659=""), "[Aviso] Género no capturado ()", IF(ISNA(MATCH(L659, Criterios!$B$123:$B$127, 0)), "Género no válido", "")), IF(OR(N659="", N659=""), "[Aviso] Temporada no capturada ()", IF(ISNA(MATCH(N659, Criterios!$C$123:$C$128, 0)), "Temporada no válida", "")), IF(OR(O659="", O659=""), "[Aviso] Ciclo de vida no capturado ()", IF(ISNA(MATCH(O659, Criterios!$D$123:$D$124, 0)), "Ciclo de vida no válido", ""))))</f>
        <v/>
      </c>
      <c r="AC659" s="56" t="n"/>
      <c r="AD659" s="51" t="n">
        <v>0</v>
      </c>
      <c r="AE659" s="156" t="n"/>
      <c r="AF659" s="51" t="n">
        <v>0</v>
      </c>
      <c r="AG659" s="156" t="inlineStr">
        <is>
          <t>Catálogo existente</t>
        </is>
      </c>
      <c r="AH6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9" s="156" t="inlineStr">
        <is>
          <t>No</t>
        </is>
      </c>
      <c r="AJ659" s="156" t="n"/>
      <c r="AK659" s="155" t="inlineStr">
        <is>
          <t>Criterios: I [Q]; G1522_Extraccion_Articulos_NetSuite_2026-09-30.xlsx: fila 59236 [R] | Shopify Stetson: producto 15054564917611 / variante 53350559285611</t>
        </is>
      </c>
      <c r="AL659" s="58" t="n">
        <v>830.025</v>
      </c>
      <c r="AM659" s="58" t="n">
        <v>4827.586207</v>
      </c>
      <c r="AN659" s="155" t="inlineStr">
        <is>
          <t>Shopify Stetson México</t>
        </is>
      </c>
      <c r="AO659" s="59" t="n">
        <v>0</v>
      </c>
      <c r="AP659" s="59" t="n"/>
      <c r="AQ659" s="59" t="n"/>
      <c r="AR659" s="155" t="n"/>
    </row>
    <row r="660">
      <c r="A660" s="50" t="inlineStr">
        <is>
          <t>12021002131035024</t>
        </is>
      </c>
      <c r="B660" s="51" t="inlineStr">
        <is>
          <t>111562</t>
        </is>
      </c>
      <c r="C660" s="156" t="inlineStr">
        <is>
          <t>Multimarca</t>
        </is>
      </c>
      <c r="D660" s="156" t="inlineStr">
        <is>
          <t>12-021-BS002-13-1035</t>
        </is>
      </c>
      <c r="E660" s="156" t="inlineStr">
        <is>
          <t>12-021-BS002-13-1035-024</t>
        </is>
      </c>
      <c r="F660" s="156" t="inlineStr">
        <is>
          <t>24</t>
        </is>
      </c>
      <c r="G660" s="156" t="inlineStr">
        <is>
          <t>7</t>
        </is>
      </c>
      <c r="H660" s="156" t="inlineStr">
        <is>
          <t>Stetson</t>
        </is>
      </c>
      <c r="I660" s="156" t="inlineStr">
        <is>
          <t>Bota Piel Rosa Claro</t>
        </is>
      </c>
      <c r="J660" s="156" t="inlineStr">
        <is>
          <t>Calzado</t>
        </is>
      </c>
      <c r="K660" s="156" t="inlineStr">
        <is>
          <t>Botas</t>
        </is>
      </c>
      <c r="L660" s="156" t="inlineStr">
        <is>
          <t>Mujer</t>
        </is>
      </c>
      <c r="M660" s="156" t="inlineStr">
        <is>
          <t>Stetson</t>
        </is>
      </c>
      <c r="N660" s="156" t="inlineStr">
        <is>
          <t>SS26</t>
        </is>
      </c>
      <c r="O660" s="156" t="inlineStr">
        <is>
          <t>Seasonal</t>
        </is>
      </c>
      <c r="P660" s="156" t="inlineStr">
        <is>
          <t>Rosa</t>
        </is>
      </c>
      <c r="Q660" s="156" t="n"/>
      <c r="R660" s="156" t="inlineStr">
        <is>
          <t>Horma Alexia</t>
        </is>
      </c>
      <c r="S660" s="156" t="inlineStr">
        <is>
          <t>Piel bovina</t>
        </is>
      </c>
      <c r="T660" s="156" t="inlineStr">
        <is>
          <t>Bota Dama Piel bovina Becerro Suave Rosa Claro Horma Alexia</t>
        </is>
      </c>
      <c r="U660" s="156" t="inlineStr">
        <is>
          <t>México</t>
        </is>
      </c>
      <c r="V660" s="156" t="inlineStr">
        <is>
          <t>PRS</t>
        </is>
      </c>
      <c r="W660" s="51" t="inlineStr">
        <is>
          <t>53111502</t>
        </is>
      </c>
      <c r="X660" s="156" t="n"/>
      <c r="Y660" s="54" t="n">
        <v>830.025</v>
      </c>
      <c r="Z660" s="54" t="n">
        <v>4827.586207</v>
      </c>
      <c r="AA660" s="55">
        <f>IF(AND(A660="", B660="", E660=""), "", IF(AB660="", "Válido", IF((LEN(AB660)-LEN(SUBSTITUTE(AB660,"; ","")))/2+1&gt;(LEN(AB660)-LEN(SUBSTITUTE(AB660,"[Aviso]","")))/7, "Con Incidencias", "Válido")))</f>
        <v/>
      </c>
      <c r="AB660" s="56">
        <f>IF(AND(A660="", B660="", E660=""), "", TEXTJOIN("; ", TRUE, IF(OR(TRIM(A660&amp;"")="", ISNUMBER(SEARCH("FALTA", A660))), "UPC faltante/inválido", ""), IF(AND(A660&lt;&gt;"", IFERROR(_xlfn.XMATCH(A660,$A$2:$A$2509,0,1)&lt;&gt;_xlfn.XMATCH(A660,$A$2:$A$2509,0,-1),FALSE)), "Código de barras duplicado", ""), IF(AND(E660&lt;&gt;"", COUNTIF($E$2:$E$2509, E660)&gt;1), "SKU duplicado", ""), IF(OR(J660="", J660=""), "[Aviso] División no capturada ()", IF(ISNA(MATCH(J660, Criterios!$A$123:$A$126, 0)), "División no válida", "")), IF(OR(K660="", K660=""), "[Aviso] Categoría no capturada ()", IF(ISNA(MATCH(K660, Criterios!$A$81:$A$120, 0)), "Categoría no válida", IF(AND(J660&lt;&gt;"", J660&lt;&gt;"", J660&lt;&gt;VLOOKUP(K660, Criterios!$A$81:$B$120, 2, FALSE)), "División no coincide con Categoría", ""))), IF(OR(L660="", L660=""), "[Aviso] Género no capturado ()", IF(ISNA(MATCH(L660, Criterios!$B$123:$B$127, 0)), "Género no válido", "")), IF(OR(N660="", N660=""), "[Aviso] Temporada no capturada ()", IF(ISNA(MATCH(N660, Criterios!$C$123:$C$128, 0)), "Temporada no válida", "")), IF(OR(O660="", O660=""), "[Aviso] Ciclo de vida no capturado ()", IF(ISNA(MATCH(O660, Criterios!$D$123:$D$124, 0)), "Ciclo de vida no válido", ""))))</f>
        <v/>
      </c>
      <c r="AC660" s="56" t="n"/>
      <c r="AD660" s="51" t="n">
        <v>2</v>
      </c>
      <c r="AE660" s="156" t="inlineStr">
        <is>
          <t>STETSON AMERICAS (2)</t>
        </is>
      </c>
      <c r="AF660" s="51" t="n">
        <v>2</v>
      </c>
      <c r="AG660" s="156" t="inlineStr">
        <is>
          <t>Catálogo existente</t>
        </is>
      </c>
      <c r="AH6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60" s="156" t="inlineStr">
        <is>
          <t>No</t>
        </is>
      </c>
      <c r="AJ660" s="156" t="n"/>
      <c r="AK660" s="155" t="inlineStr">
        <is>
          <t>Criterios: I [Q]; G1522_Extraccion_Articulos_NetSuite_2026-09-30.xlsx: fila 59237 [R] | Shopify Stetson: producto 15054564917611 / variante 53350559351147</t>
        </is>
      </c>
      <c r="AL660" s="58" t="n">
        <v>830.025</v>
      </c>
      <c r="AM660" s="58" t="n">
        <v>4827.586207</v>
      </c>
      <c r="AN660" s="155" t="inlineStr">
        <is>
          <t>Shopify Stetson México</t>
        </is>
      </c>
      <c r="AO660" s="59" t="n">
        <v>2</v>
      </c>
      <c r="AP660" s="59" t="n"/>
      <c r="AQ660" s="59" t="n"/>
      <c r="AR660" s="155" t="inlineStr">
        <is>
          <t>Shopify Stetson México › Stetson Americas: 2</t>
        </is>
      </c>
    </row>
    <row r="661">
      <c r="A661" s="50" t="inlineStr">
        <is>
          <t>12021002131035025</t>
        </is>
      </c>
      <c r="B661" s="51" t="inlineStr">
        <is>
          <t>111563</t>
        </is>
      </c>
      <c r="C661" s="156" t="inlineStr">
        <is>
          <t>Multimarca</t>
        </is>
      </c>
      <c r="D661" s="156" t="inlineStr">
        <is>
          <t>12-021-BS002-13-1035</t>
        </is>
      </c>
      <c r="E661" s="156" t="inlineStr">
        <is>
          <t>12-021-BS002-13-1035-025</t>
        </is>
      </c>
      <c r="F661" s="156" t="inlineStr">
        <is>
          <t>25</t>
        </is>
      </c>
      <c r="G661" s="156" t="inlineStr">
        <is>
          <t>8</t>
        </is>
      </c>
      <c r="H661" s="156" t="inlineStr">
        <is>
          <t>Stetson</t>
        </is>
      </c>
      <c r="I661" s="156" t="inlineStr">
        <is>
          <t>Bota Piel Rosa Claro</t>
        </is>
      </c>
      <c r="J661" s="156" t="inlineStr">
        <is>
          <t>Calzado</t>
        </is>
      </c>
      <c r="K661" s="156" t="inlineStr">
        <is>
          <t>Botas</t>
        </is>
      </c>
      <c r="L661" s="156" t="inlineStr">
        <is>
          <t>Mujer</t>
        </is>
      </c>
      <c r="M661" s="156" t="inlineStr">
        <is>
          <t>Stetson</t>
        </is>
      </c>
      <c r="N661" s="156" t="inlineStr">
        <is>
          <t>SS26</t>
        </is>
      </c>
      <c r="O661" s="156" t="inlineStr">
        <is>
          <t>Seasonal</t>
        </is>
      </c>
      <c r="P661" s="156" t="inlineStr">
        <is>
          <t>Rosa</t>
        </is>
      </c>
      <c r="Q661" s="156" t="n"/>
      <c r="R661" s="156" t="inlineStr">
        <is>
          <t>Horma Alexia</t>
        </is>
      </c>
      <c r="S661" s="156" t="inlineStr">
        <is>
          <t>Piel bovina</t>
        </is>
      </c>
      <c r="T661" s="156" t="inlineStr">
        <is>
          <t>Bota Dama Piel bovina Becerro Suave Rosa Claro Horma Alexia</t>
        </is>
      </c>
      <c r="U661" s="156" t="inlineStr">
        <is>
          <t>México</t>
        </is>
      </c>
      <c r="V661" s="156" t="inlineStr">
        <is>
          <t>PRS</t>
        </is>
      </c>
      <c r="W661" s="51" t="inlineStr">
        <is>
          <t>53111502</t>
        </is>
      </c>
      <c r="X661" s="156" t="n"/>
      <c r="Y661" s="54" t="n">
        <v>830.025</v>
      </c>
      <c r="Z661" s="54" t="n">
        <v>4827.586207</v>
      </c>
      <c r="AA661" s="55">
        <f>IF(AND(A661="", B661="", E661=""), "", IF(AB661="", "Válido", IF((LEN(AB661)-LEN(SUBSTITUTE(AB661,"; ","")))/2+1&gt;(LEN(AB661)-LEN(SUBSTITUTE(AB661,"[Aviso]","")))/7, "Con Incidencias", "Válido")))</f>
        <v/>
      </c>
      <c r="AB661" s="56">
        <f>IF(AND(A661="", B661="", E661=""), "", TEXTJOIN("; ", TRUE, IF(OR(TRIM(A661&amp;"")="", ISNUMBER(SEARCH("FALTA", A661))), "UPC faltante/inválido", ""), IF(AND(A661&lt;&gt;"", IFERROR(_xlfn.XMATCH(A661,$A$2:$A$2509,0,1)&lt;&gt;_xlfn.XMATCH(A661,$A$2:$A$2509,0,-1),FALSE)), "Código de barras duplicado", ""), IF(AND(E661&lt;&gt;"", COUNTIF($E$2:$E$2509, E661)&gt;1), "SKU duplicado", ""), IF(OR(J661="", J661=""), "[Aviso] División no capturada ()", IF(ISNA(MATCH(J661, Criterios!$A$123:$A$126, 0)), "División no válida", "")), IF(OR(K661="", K661=""), "[Aviso] Categoría no capturada ()", IF(ISNA(MATCH(K661, Criterios!$A$81:$A$120, 0)), "Categoría no válida", IF(AND(J661&lt;&gt;"", J661&lt;&gt;"", J661&lt;&gt;VLOOKUP(K661, Criterios!$A$81:$B$120, 2, FALSE)), "División no coincide con Categoría", ""))), IF(OR(L661="", L661=""), "[Aviso] Género no capturado ()", IF(ISNA(MATCH(L661, Criterios!$B$123:$B$127, 0)), "Género no válido", "")), IF(OR(N661="", N661=""), "[Aviso] Temporada no capturada ()", IF(ISNA(MATCH(N661, Criterios!$C$123:$C$128, 0)), "Temporada no válida", "")), IF(OR(O661="", O661=""), "[Aviso] Ciclo de vida no capturado ()", IF(ISNA(MATCH(O661, Criterios!$D$123:$D$124, 0)), "Ciclo de vida no válido", ""))))</f>
        <v/>
      </c>
      <c r="AC661" s="56" t="n"/>
      <c r="AD661" s="51" t="n">
        <v>2</v>
      </c>
      <c r="AE661" s="156" t="inlineStr">
        <is>
          <t>STETSON AMERICAS (2)</t>
        </is>
      </c>
      <c r="AF661" s="51" t="n">
        <v>2</v>
      </c>
      <c r="AG661" s="156" t="inlineStr">
        <is>
          <t>Catálogo existente</t>
        </is>
      </c>
      <c r="AH6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61" s="156" t="inlineStr">
        <is>
          <t>No</t>
        </is>
      </c>
      <c r="AJ661" s="156" t="n"/>
      <c r="AK661" s="155" t="inlineStr">
        <is>
          <t>Criterios: I [Q]; G1522_Extraccion_Articulos_NetSuite_2026-09-30.xlsx: fila 59238 [R] | Shopify Stetson: producto 15054564917611 / variante 53350559416683</t>
        </is>
      </c>
      <c r="AL661" s="58" t="n">
        <v>830.025</v>
      </c>
      <c r="AM661" s="58" t="n">
        <v>4827.586207</v>
      </c>
      <c r="AN661" s="155" t="inlineStr">
        <is>
          <t>Shopify Stetson México</t>
        </is>
      </c>
      <c r="AO661" s="59" t="n">
        <v>2</v>
      </c>
      <c r="AP661" s="59" t="n"/>
      <c r="AQ661" s="59" t="n"/>
      <c r="AR661" s="155" t="inlineStr">
        <is>
          <t>Shopify Stetson México › Stetson Americas: 2</t>
        </is>
      </c>
    </row>
    <row r="662">
      <c r="A662" s="50" t="inlineStr">
        <is>
          <t>12021002131035026</t>
        </is>
      </c>
      <c r="B662" s="51" t="inlineStr">
        <is>
          <t>111555</t>
        </is>
      </c>
      <c r="C662" s="156" t="inlineStr">
        <is>
          <t>Multimarca</t>
        </is>
      </c>
      <c r="D662" s="156" t="inlineStr">
        <is>
          <t>12-021-BS002-13-1035</t>
        </is>
      </c>
      <c r="E662" s="156" t="inlineStr">
        <is>
          <t>12-021-BS002-13-1035-026</t>
        </is>
      </c>
      <c r="F662" s="156" t="inlineStr">
        <is>
          <t>26</t>
        </is>
      </c>
      <c r="G662" s="156" t="inlineStr">
        <is>
          <t>9</t>
        </is>
      </c>
      <c r="H662" s="156" t="inlineStr">
        <is>
          <t>Stetson</t>
        </is>
      </c>
      <c r="I662" s="156" t="inlineStr">
        <is>
          <t>Bota Piel Rosa Claro</t>
        </is>
      </c>
      <c r="J662" s="156" t="inlineStr">
        <is>
          <t>Calzado</t>
        </is>
      </c>
      <c r="K662" s="156" t="inlineStr">
        <is>
          <t>Botas</t>
        </is>
      </c>
      <c r="L662" s="156" t="inlineStr">
        <is>
          <t>Mujer</t>
        </is>
      </c>
      <c r="M662" s="156" t="inlineStr">
        <is>
          <t>Stetson</t>
        </is>
      </c>
      <c r="N662" s="156" t="inlineStr">
        <is>
          <t>SS26</t>
        </is>
      </c>
      <c r="O662" s="156" t="inlineStr">
        <is>
          <t>Seasonal</t>
        </is>
      </c>
      <c r="P662" s="156" t="inlineStr">
        <is>
          <t>Rosa</t>
        </is>
      </c>
      <c r="Q662" s="156" t="n"/>
      <c r="R662" s="156" t="inlineStr">
        <is>
          <t>Horma Alexia</t>
        </is>
      </c>
      <c r="S662" s="156" t="inlineStr">
        <is>
          <t>Piel bovina</t>
        </is>
      </c>
      <c r="T662" s="156" t="inlineStr">
        <is>
          <t>Bota Dama Piel bovina Becerro Suave Rosa Claro Horma Alexia</t>
        </is>
      </c>
      <c r="U662" s="156" t="inlineStr">
        <is>
          <t>México</t>
        </is>
      </c>
      <c r="V662" s="156" t="inlineStr">
        <is>
          <t>PRS</t>
        </is>
      </c>
      <c r="W662" s="51" t="inlineStr">
        <is>
          <t>53111502</t>
        </is>
      </c>
      <c r="X662" s="156" t="n"/>
      <c r="Y662" s="54" t="n">
        <v>830.025</v>
      </c>
      <c r="Z662" s="54" t="n">
        <v>4827.586207</v>
      </c>
      <c r="AA662" s="55">
        <f>IF(AND(A662="", B662="", E662=""), "", IF(AB662="", "Válido", IF((LEN(AB662)-LEN(SUBSTITUTE(AB662,"; ","")))/2+1&gt;(LEN(AB662)-LEN(SUBSTITUTE(AB662,"[Aviso]","")))/7, "Con Incidencias", "Válido")))</f>
        <v/>
      </c>
      <c r="AB662" s="56">
        <f>IF(AND(A662="", B662="", E662=""), "", TEXTJOIN("; ", TRUE, IF(OR(TRIM(A662&amp;"")="", ISNUMBER(SEARCH("FALTA", A662))), "UPC faltante/inválido", ""), IF(AND(A662&lt;&gt;"", IFERROR(_xlfn.XMATCH(A662,$A$2:$A$2509,0,1)&lt;&gt;_xlfn.XMATCH(A662,$A$2:$A$2509,0,-1),FALSE)), "Código de barras duplicado", ""), IF(AND(E662&lt;&gt;"", COUNTIF($E$2:$E$2509, E662)&gt;1), "SKU duplicado", ""), IF(OR(J662="", J662=""), "[Aviso] División no capturada ()", IF(ISNA(MATCH(J662, Criterios!$A$123:$A$126, 0)), "División no válida", "")), IF(OR(K662="", K662=""), "[Aviso] Categoría no capturada ()", IF(ISNA(MATCH(K662, Criterios!$A$81:$A$120, 0)), "Categoría no válida", IF(AND(J662&lt;&gt;"", J662&lt;&gt;"", J662&lt;&gt;VLOOKUP(K662, Criterios!$A$81:$B$120, 2, FALSE)), "División no coincide con Categoría", ""))), IF(OR(L662="", L662=""), "[Aviso] Género no capturado ()", IF(ISNA(MATCH(L662, Criterios!$B$123:$B$127, 0)), "Género no válido", "")), IF(OR(N662="", N662=""), "[Aviso] Temporada no capturada ()", IF(ISNA(MATCH(N662, Criterios!$C$123:$C$128, 0)), "Temporada no válida", "")), IF(OR(O662="", O662=""), "[Aviso] Ciclo de vida no capturado ()", IF(ISNA(MATCH(O662, Criterios!$D$123:$D$124, 0)), "Ciclo de vida no válido", ""))))</f>
        <v/>
      </c>
      <c r="AC662" s="56" t="n"/>
      <c r="AD662" s="51" t="n">
        <v>1</v>
      </c>
      <c r="AE662" s="156" t="inlineStr">
        <is>
          <t>STETSON AMERICAS (1)</t>
        </is>
      </c>
      <c r="AF662" s="51" t="n">
        <v>1</v>
      </c>
      <c r="AG662" s="156" t="inlineStr">
        <is>
          <t>Catálogo existente</t>
        </is>
      </c>
      <c r="AH66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62" s="156" t="inlineStr">
        <is>
          <t>No</t>
        </is>
      </c>
      <c r="AJ662" s="156" t="n"/>
      <c r="AK662" s="155" t="inlineStr">
        <is>
          <t>Criterios: I [Q]; G1522_Extraccion_Articulos_NetSuite_2026-09-30.xlsx: fila 59230 [R]</t>
        </is>
      </c>
      <c r="AL662" s="58" t="n">
        <v>830.025</v>
      </c>
      <c r="AM662" s="58" t="n">
        <v>4827.586207</v>
      </c>
      <c r="AN662" s="155" t="n"/>
      <c r="AO662" s="59" t="n"/>
      <c r="AP662" s="59" t="n"/>
      <c r="AQ662" s="59" t="n"/>
      <c r="AR662" s="155" t="n"/>
    </row>
    <row r="663">
      <c r="A663" s="50" t="inlineStr">
        <is>
          <t>12021002131035027</t>
        </is>
      </c>
      <c r="B663" s="51" t="inlineStr">
        <is>
          <t>111556</t>
        </is>
      </c>
      <c r="C663" s="156" t="inlineStr">
        <is>
          <t>Multimarca</t>
        </is>
      </c>
      <c r="D663" s="156" t="inlineStr">
        <is>
          <t>12-021-BS002-13-1035</t>
        </is>
      </c>
      <c r="E663" s="156" t="inlineStr">
        <is>
          <t>12-021-BS002-13-1035-027</t>
        </is>
      </c>
      <c r="F663" s="156" t="inlineStr">
        <is>
          <t>27</t>
        </is>
      </c>
      <c r="G663" s="156" t="inlineStr">
        <is>
          <t>10</t>
        </is>
      </c>
      <c r="H663" s="156" t="inlineStr">
        <is>
          <t>Stetson</t>
        </is>
      </c>
      <c r="I663" s="156" t="inlineStr">
        <is>
          <t>Bota Piel Rosa Claro</t>
        </is>
      </c>
      <c r="J663" s="156" t="inlineStr">
        <is>
          <t>Calzado</t>
        </is>
      </c>
      <c r="K663" s="156" t="inlineStr">
        <is>
          <t>Botas</t>
        </is>
      </c>
      <c r="L663" s="156" t="inlineStr">
        <is>
          <t>Mujer</t>
        </is>
      </c>
      <c r="M663" s="156" t="inlineStr">
        <is>
          <t>Stetson</t>
        </is>
      </c>
      <c r="N663" s="156" t="inlineStr">
        <is>
          <t>SS26</t>
        </is>
      </c>
      <c r="O663" s="156" t="inlineStr">
        <is>
          <t>Seasonal</t>
        </is>
      </c>
      <c r="P663" s="156" t="inlineStr">
        <is>
          <t>Rosa</t>
        </is>
      </c>
      <c r="Q663" s="156" t="n"/>
      <c r="R663" s="156" t="inlineStr">
        <is>
          <t>Horma Alexia</t>
        </is>
      </c>
      <c r="S663" s="156" t="inlineStr">
        <is>
          <t>Piel bovina</t>
        </is>
      </c>
      <c r="T663" s="156" t="inlineStr">
        <is>
          <t>Bota Dama Piel bovina Becerro Suave Rosa Claro Horma Alexia</t>
        </is>
      </c>
      <c r="U663" s="156" t="inlineStr">
        <is>
          <t>México</t>
        </is>
      </c>
      <c r="V663" s="156" t="inlineStr">
        <is>
          <t>PRS</t>
        </is>
      </c>
      <c r="W663" s="51" t="inlineStr">
        <is>
          <t>53111502</t>
        </is>
      </c>
      <c r="X663" s="156" t="n"/>
      <c r="Y663" s="54" t="n">
        <v>830.025</v>
      </c>
      <c r="Z663" s="54" t="n">
        <v>4827.586207</v>
      </c>
      <c r="AA663" s="55">
        <f>IF(AND(A663="", B663="", E663=""), "", IF(AB663="", "Válido", IF((LEN(AB663)-LEN(SUBSTITUTE(AB663,"; ","")))/2+1&gt;(LEN(AB663)-LEN(SUBSTITUTE(AB663,"[Aviso]","")))/7, "Con Incidencias", "Válido")))</f>
        <v/>
      </c>
      <c r="AB663" s="56">
        <f>IF(AND(A663="", B663="", E663=""), "", TEXTJOIN("; ", TRUE, IF(OR(TRIM(A663&amp;"")="", ISNUMBER(SEARCH("FALTA", A663))), "UPC faltante/inválido", ""), IF(AND(A663&lt;&gt;"", IFERROR(_xlfn.XMATCH(A663,$A$2:$A$2509,0,1)&lt;&gt;_xlfn.XMATCH(A663,$A$2:$A$2509,0,-1),FALSE)), "Código de barras duplicado", ""), IF(AND(E663&lt;&gt;"", COUNTIF($E$2:$E$2509, E663)&gt;1), "SKU duplicado", ""), IF(OR(J663="", J663=""), "[Aviso] División no capturada ()", IF(ISNA(MATCH(J663, Criterios!$A$123:$A$126, 0)), "División no válida", "")), IF(OR(K663="", K663=""), "[Aviso] Categoría no capturada ()", IF(ISNA(MATCH(K663, Criterios!$A$81:$A$120, 0)), "Categoría no válida", IF(AND(J663&lt;&gt;"", J663&lt;&gt;"", J663&lt;&gt;VLOOKUP(K663, Criterios!$A$81:$B$120, 2, FALSE)), "División no coincide con Categoría", ""))), IF(OR(L663="", L663=""), "[Aviso] Género no capturado ()", IF(ISNA(MATCH(L663, Criterios!$B$123:$B$127, 0)), "Género no válido", "")), IF(OR(N663="", N663=""), "[Aviso] Temporada no capturada ()", IF(ISNA(MATCH(N663, Criterios!$C$123:$C$128, 0)), "Temporada no válida", "")), IF(OR(O663="", O663=""), "[Aviso] Ciclo de vida no capturado ()", IF(ISNA(MATCH(O663, Criterios!$D$123:$D$124, 0)), "Ciclo de vida no válido", ""))))</f>
        <v/>
      </c>
      <c r="AC663" s="56" t="n"/>
      <c r="AD663" s="51" t="n">
        <v>0</v>
      </c>
      <c r="AE663" s="156" t="n"/>
      <c r="AF663" s="51" t="n">
        <v>0</v>
      </c>
      <c r="AG663" s="156" t="inlineStr">
        <is>
          <t>Catálogo existente</t>
        </is>
      </c>
      <c r="AH66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63" s="156" t="inlineStr">
        <is>
          <t>No</t>
        </is>
      </c>
      <c r="AJ663" s="156" t="n"/>
      <c r="AK663" s="155" t="inlineStr">
        <is>
          <t>Criterios: I [Q]; G1522_Extraccion_Articulos_NetSuite_2026-09-30.xlsx: fila 59231 [R]</t>
        </is>
      </c>
      <c r="AL663" s="58" t="n">
        <v>830.025</v>
      </c>
      <c r="AM663" s="58" t="n">
        <v>4827.586207</v>
      </c>
      <c r="AN663" s="155" t="n"/>
      <c r="AO663" s="59" t="n"/>
      <c r="AP663" s="59" t="n"/>
      <c r="AQ663" s="59" t="n"/>
      <c r="AR663" s="155" t="n"/>
    </row>
    <row r="664">
      <c r="A664" s="50" t="inlineStr">
        <is>
          <t>12021002131035225</t>
        </is>
      </c>
      <c r="B664" s="51" t="inlineStr">
        <is>
          <t>111564</t>
        </is>
      </c>
      <c r="C664" s="156" t="inlineStr">
        <is>
          <t>Multimarca</t>
        </is>
      </c>
      <c r="D664" s="156" t="inlineStr">
        <is>
          <t>12-021-BS002-13-1035</t>
        </is>
      </c>
      <c r="E664" s="156" t="inlineStr">
        <is>
          <t>12-021-BS002-13-1035-225</t>
        </is>
      </c>
      <c r="F664" s="156" t="inlineStr">
        <is>
          <t>22.5</t>
        </is>
      </c>
      <c r="G664" s="156" t="inlineStr">
        <is>
          <t>5.5</t>
        </is>
      </c>
      <c r="H664" s="156" t="inlineStr">
        <is>
          <t>Stetson</t>
        </is>
      </c>
      <c r="I664" s="156" t="inlineStr">
        <is>
          <t>Bota Piel Rosa Claro</t>
        </is>
      </c>
      <c r="J664" s="156" t="inlineStr">
        <is>
          <t>Calzado</t>
        </is>
      </c>
      <c r="K664" s="156" t="inlineStr">
        <is>
          <t>Botas</t>
        </is>
      </c>
      <c r="L664" s="156" t="inlineStr">
        <is>
          <t>Mujer</t>
        </is>
      </c>
      <c r="M664" s="156" t="inlineStr">
        <is>
          <t>Stetson</t>
        </is>
      </c>
      <c r="N664" s="156" t="inlineStr">
        <is>
          <t>SS26</t>
        </is>
      </c>
      <c r="O664" s="156" t="inlineStr">
        <is>
          <t>Seasonal</t>
        </is>
      </c>
      <c r="P664" s="156" t="inlineStr">
        <is>
          <t>Rosa</t>
        </is>
      </c>
      <c r="Q664" s="156" t="n"/>
      <c r="R664" s="156" t="inlineStr">
        <is>
          <t>Horma Alexia</t>
        </is>
      </c>
      <c r="S664" s="156" t="inlineStr">
        <is>
          <t>Piel bovina</t>
        </is>
      </c>
      <c r="T664" s="156" t="inlineStr">
        <is>
          <t>Bota Dama Piel bovina Becerro Suave Rosa Claro Horma Alexia</t>
        </is>
      </c>
      <c r="U664" s="156" t="inlineStr">
        <is>
          <t>México</t>
        </is>
      </c>
      <c r="V664" s="156" t="inlineStr">
        <is>
          <t>PRS</t>
        </is>
      </c>
      <c r="W664" s="51" t="inlineStr">
        <is>
          <t>53111502</t>
        </is>
      </c>
      <c r="X664" s="156" t="n"/>
      <c r="Y664" s="54" t="n">
        <v>830.025</v>
      </c>
      <c r="Z664" s="54" t="n">
        <v>4827.586207</v>
      </c>
      <c r="AA664" s="55">
        <f>IF(AND(A664="", B664="", E664=""), "", IF(AB664="", "Válido", IF((LEN(AB664)-LEN(SUBSTITUTE(AB664,"; ","")))/2+1&gt;(LEN(AB664)-LEN(SUBSTITUTE(AB664,"[Aviso]","")))/7, "Con Incidencias", "Válido")))</f>
        <v/>
      </c>
      <c r="AB664" s="56">
        <f>IF(AND(A664="", B664="", E664=""), "", TEXTJOIN("; ", TRUE, IF(OR(TRIM(A664&amp;"")="", ISNUMBER(SEARCH("FALTA", A664))), "UPC faltante/inválido", ""), IF(AND(A664&lt;&gt;"", IFERROR(_xlfn.XMATCH(A664,$A$2:$A$2509,0,1)&lt;&gt;_xlfn.XMATCH(A664,$A$2:$A$2509,0,-1),FALSE)), "Código de barras duplicado", ""), IF(AND(E664&lt;&gt;"", COUNTIF($E$2:$E$2509, E664)&gt;1), "SKU duplicado", ""), IF(OR(J664="", J664=""), "[Aviso] División no capturada ()", IF(ISNA(MATCH(J664, Criterios!$A$123:$A$126, 0)), "División no válida", "")), IF(OR(K664="", K664=""), "[Aviso] Categoría no capturada ()", IF(ISNA(MATCH(K664, Criterios!$A$81:$A$120, 0)), "Categoría no válida", IF(AND(J664&lt;&gt;"", J664&lt;&gt;"", J664&lt;&gt;VLOOKUP(K664, Criterios!$A$81:$B$120, 2, FALSE)), "División no coincide con Categoría", ""))), IF(OR(L664="", L664=""), "[Aviso] Género no capturado ()", IF(ISNA(MATCH(L664, Criterios!$B$123:$B$127, 0)), "Género no válido", "")), IF(OR(N664="", N664=""), "[Aviso] Temporada no capturada ()", IF(ISNA(MATCH(N664, Criterios!$C$123:$C$128, 0)), "Temporada no válida", "")), IF(OR(O664="", O664=""), "[Aviso] Ciclo de vida no capturado ()", IF(ISNA(MATCH(O664, Criterios!$D$123:$D$124, 0)), "Ciclo de vida no válido", ""))))</f>
        <v/>
      </c>
      <c r="AC664" s="56" t="n"/>
      <c r="AD664" s="51" t="n">
        <v>0</v>
      </c>
      <c r="AE664" s="156" t="n"/>
      <c r="AF664" s="51" t="n">
        <v>0</v>
      </c>
      <c r="AG664" s="156" t="inlineStr">
        <is>
          <t>Catálogo existente</t>
        </is>
      </c>
      <c r="AH6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64" s="156" t="inlineStr">
        <is>
          <t>No</t>
        </is>
      </c>
      <c r="AJ664" s="156" t="n"/>
      <c r="AK664" s="155" t="inlineStr">
        <is>
          <t>Criterios: I [Q]; G1522_Extraccion_Articulos_NetSuite_2026-09-30.xlsx: fila 59239 [R] | Shopify Stetson: producto 15054564917611 / variante 53350559252843</t>
        </is>
      </c>
      <c r="AL664" s="58" t="n">
        <v>830.025</v>
      </c>
      <c r="AM664" s="58" t="n">
        <v>4827.586207</v>
      </c>
      <c r="AN664" s="155" t="inlineStr">
        <is>
          <t>Shopify Stetson México</t>
        </is>
      </c>
      <c r="AO664" s="59" t="n">
        <v>0</v>
      </c>
      <c r="AP664" s="59" t="n"/>
      <c r="AQ664" s="59" t="n"/>
      <c r="AR664" s="155" t="n"/>
    </row>
    <row r="665">
      <c r="A665" s="50" t="inlineStr">
        <is>
          <t>12021002131035235</t>
        </is>
      </c>
      <c r="B665" s="51" t="inlineStr">
        <is>
          <t>111565</t>
        </is>
      </c>
      <c r="C665" s="156" t="inlineStr">
        <is>
          <t>Multimarca</t>
        </is>
      </c>
      <c r="D665" s="156" t="inlineStr">
        <is>
          <t>12-021-BS002-13-1035</t>
        </is>
      </c>
      <c r="E665" s="156" t="inlineStr">
        <is>
          <t>12-021-BS002-13-1035-235</t>
        </is>
      </c>
      <c r="F665" s="156" t="inlineStr">
        <is>
          <t>23.5</t>
        </is>
      </c>
      <c r="G665" s="156" t="inlineStr">
        <is>
          <t>6.5</t>
        </is>
      </c>
      <c r="H665" s="156" t="inlineStr">
        <is>
          <t>Stetson</t>
        </is>
      </c>
      <c r="I665" s="156" t="inlineStr">
        <is>
          <t>Bota Piel Rosa Claro</t>
        </is>
      </c>
      <c r="J665" s="156" t="inlineStr">
        <is>
          <t>Calzado</t>
        </is>
      </c>
      <c r="K665" s="156" t="inlineStr">
        <is>
          <t>Botas</t>
        </is>
      </c>
      <c r="L665" s="156" t="inlineStr">
        <is>
          <t>Mujer</t>
        </is>
      </c>
      <c r="M665" s="156" t="inlineStr">
        <is>
          <t>Stetson</t>
        </is>
      </c>
      <c r="N665" s="156" t="inlineStr">
        <is>
          <t>SS26</t>
        </is>
      </c>
      <c r="O665" s="156" t="inlineStr">
        <is>
          <t>Seasonal</t>
        </is>
      </c>
      <c r="P665" s="156" t="inlineStr">
        <is>
          <t>Rosa</t>
        </is>
      </c>
      <c r="Q665" s="156" t="n"/>
      <c r="R665" s="156" t="inlineStr">
        <is>
          <t>Horma Alexia</t>
        </is>
      </c>
      <c r="S665" s="156" t="inlineStr">
        <is>
          <t>Piel bovina</t>
        </is>
      </c>
      <c r="T665" s="156" t="inlineStr">
        <is>
          <t>Bota Dama Piel bovina Becerro Suave Rosa Claro Horma Alexia</t>
        </is>
      </c>
      <c r="U665" s="156" t="inlineStr">
        <is>
          <t>México</t>
        </is>
      </c>
      <c r="V665" s="156" t="inlineStr">
        <is>
          <t>PRS</t>
        </is>
      </c>
      <c r="W665" s="51" t="inlineStr">
        <is>
          <t>53111502</t>
        </is>
      </c>
      <c r="X665" s="156" t="n"/>
      <c r="Y665" s="54" t="n">
        <v>830.025</v>
      </c>
      <c r="Z665" s="54" t="n">
        <v>4827.586207</v>
      </c>
      <c r="AA665" s="55">
        <f>IF(AND(A665="", B665="", E665=""), "", IF(AB665="", "Válido", IF((LEN(AB665)-LEN(SUBSTITUTE(AB665,"; ","")))/2+1&gt;(LEN(AB665)-LEN(SUBSTITUTE(AB665,"[Aviso]","")))/7, "Con Incidencias", "Válido")))</f>
        <v/>
      </c>
      <c r="AB665" s="56">
        <f>IF(AND(A665="", B665="", E665=""), "", TEXTJOIN("; ", TRUE, IF(OR(TRIM(A665&amp;"")="", ISNUMBER(SEARCH("FALTA", A665))), "UPC faltante/inválido", ""), IF(AND(A665&lt;&gt;"", IFERROR(_xlfn.XMATCH(A665,$A$2:$A$2509,0,1)&lt;&gt;_xlfn.XMATCH(A665,$A$2:$A$2509,0,-1),FALSE)), "Código de barras duplicado", ""), IF(AND(E665&lt;&gt;"", COUNTIF($E$2:$E$2509, E665)&gt;1), "SKU duplicado", ""), IF(OR(J665="", J665=""), "[Aviso] División no capturada ()", IF(ISNA(MATCH(J665, Criterios!$A$123:$A$126, 0)), "División no válida", "")), IF(OR(K665="", K665=""), "[Aviso] Categoría no capturada ()", IF(ISNA(MATCH(K665, Criterios!$A$81:$A$120, 0)), "Categoría no válida", IF(AND(J665&lt;&gt;"", J665&lt;&gt;"", J665&lt;&gt;VLOOKUP(K665, Criterios!$A$81:$B$120, 2, FALSE)), "División no coincide con Categoría", ""))), IF(OR(L665="", L665=""), "[Aviso] Género no capturado ()", IF(ISNA(MATCH(L665, Criterios!$B$123:$B$127, 0)), "Género no válido", "")), IF(OR(N665="", N665=""), "[Aviso] Temporada no capturada ()", IF(ISNA(MATCH(N665, Criterios!$C$123:$C$128, 0)), "Temporada no válida", "")), IF(OR(O665="", O665=""), "[Aviso] Ciclo de vida no capturado ()", IF(ISNA(MATCH(O665, Criterios!$D$123:$D$124, 0)), "Ciclo de vida no válido", ""))))</f>
        <v/>
      </c>
      <c r="AC665" s="56" t="n"/>
      <c r="AD665" s="51" t="n">
        <v>1</v>
      </c>
      <c r="AE665" s="156" t="inlineStr">
        <is>
          <t>PUNTO DE VENTA (1)</t>
        </is>
      </c>
      <c r="AF665" s="51" t="n">
        <v>1</v>
      </c>
      <c r="AG665" s="156" t="inlineStr">
        <is>
          <t>Catálogo existente</t>
        </is>
      </c>
      <c r="AH6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65" s="156" t="inlineStr">
        <is>
          <t>No</t>
        </is>
      </c>
      <c r="AJ665" s="156" t="n"/>
      <c r="AK665" s="155" t="inlineStr">
        <is>
          <t>Criterios: I [Q]; G1522_Extraccion_Articulos_NetSuite_2026-09-30.xlsx: fila 59240 [R] | Shopify Stetson: producto 15054564917611 / variante 53350559318379</t>
        </is>
      </c>
      <c r="AL665" s="58" t="n">
        <v>830.025</v>
      </c>
      <c r="AM665" s="58" t="n">
        <v>4827.586207</v>
      </c>
      <c r="AN665" s="155" t="inlineStr">
        <is>
          <t>Shopify Stetson México</t>
        </is>
      </c>
      <c r="AO665" s="59" t="n">
        <v>0</v>
      </c>
      <c r="AP665" s="59" t="n"/>
      <c r="AQ665" s="59" t="n"/>
      <c r="AR665" s="155" t="n"/>
    </row>
    <row r="666">
      <c r="A666" s="50" t="inlineStr">
        <is>
          <t>12021002131035245</t>
        </is>
      </c>
      <c r="B666" s="51" t="inlineStr">
        <is>
          <t>111566</t>
        </is>
      </c>
      <c r="C666" s="156" t="inlineStr">
        <is>
          <t>Multimarca</t>
        </is>
      </c>
      <c r="D666" s="156" t="inlineStr">
        <is>
          <t>12-021-BS002-13-1035</t>
        </is>
      </c>
      <c r="E666" s="156" t="inlineStr">
        <is>
          <t>12-021-BS002-13-1035-245</t>
        </is>
      </c>
      <c r="F666" s="156" t="inlineStr">
        <is>
          <t>24.5</t>
        </is>
      </c>
      <c r="G666" s="156" t="inlineStr">
        <is>
          <t>7.5</t>
        </is>
      </c>
      <c r="H666" s="156" t="inlineStr">
        <is>
          <t>Stetson</t>
        </is>
      </c>
      <c r="I666" s="156" t="inlineStr">
        <is>
          <t>Bota Piel Rosa Claro</t>
        </is>
      </c>
      <c r="J666" s="156" t="inlineStr">
        <is>
          <t>Calzado</t>
        </is>
      </c>
      <c r="K666" s="156" t="inlineStr">
        <is>
          <t>Botas</t>
        </is>
      </c>
      <c r="L666" s="156" t="inlineStr">
        <is>
          <t>Mujer</t>
        </is>
      </c>
      <c r="M666" s="156" t="inlineStr">
        <is>
          <t>Stetson</t>
        </is>
      </c>
      <c r="N666" s="156" t="inlineStr">
        <is>
          <t>SS26</t>
        </is>
      </c>
      <c r="O666" s="156" t="inlineStr">
        <is>
          <t>Seasonal</t>
        </is>
      </c>
      <c r="P666" s="156" t="inlineStr">
        <is>
          <t>Rosa</t>
        </is>
      </c>
      <c r="Q666" s="156" t="n"/>
      <c r="R666" s="156" t="inlineStr">
        <is>
          <t>Horma Alexia</t>
        </is>
      </c>
      <c r="S666" s="156" t="inlineStr">
        <is>
          <t>Piel bovina</t>
        </is>
      </c>
      <c r="T666" s="156" t="inlineStr">
        <is>
          <t>Bota Dama Piel bovina Becerro Suave Rosa Claro Horma Alexia</t>
        </is>
      </c>
      <c r="U666" s="156" t="inlineStr">
        <is>
          <t>México</t>
        </is>
      </c>
      <c r="V666" s="156" t="inlineStr">
        <is>
          <t>PRS</t>
        </is>
      </c>
      <c r="W666" s="51" t="inlineStr">
        <is>
          <t>53111502</t>
        </is>
      </c>
      <c r="X666" s="156" t="n"/>
      <c r="Y666" s="54" t="n">
        <v>830.025</v>
      </c>
      <c r="Z666" s="54" t="n">
        <v>4827.586207</v>
      </c>
      <c r="AA666" s="55">
        <f>IF(AND(A666="", B666="", E666=""), "", IF(AB666="", "Válido", IF((LEN(AB666)-LEN(SUBSTITUTE(AB666,"; ","")))/2+1&gt;(LEN(AB666)-LEN(SUBSTITUTE(AB666,"[Aviso]","")))/7, "Con Incidencias", "Válido")))</f>
        <v/>
      </c>
      <c r="AB666" s="56">
        <f>IF(AND(A666="", B666="", E666=""), "", TEXTJOIN("; ", TRUE, IF(OR(TRIM(A666&amp;"")="", ISNUMBER(SEARCH("FALTA", A666))), "UPC faltante/inválido", ""), IF(AND(A666&lt;&gt;"", IFERROR(_xlfn.XMATCH(A666,$A$2:$A$2509,0,1)&lt;&gt;_xlfn.XMATCH(A666,$A$2:$A$2509,0,-1),FALSE)), "Código de barras duplicado", ""), IF(AND(E666&lt;&gt;"", COUNTIF($E$2:$E$2509, E666)&gt;1), "SKU duplicado", ""), IF(OR(J666="", J666=""), "[Aviso] División no capturada ()", IF(ISNA(MATCH(J666, Criterios!$A$123:$A$126, 0)), "División no válida", "")), IF(OR(K666="", K666=""), "[Aviso] Categoría no capturada ()", IF(ISNA(MATCH(K666, Criterios!$A$81:$A$120, 0)), "Categoría no válida", IF(AND(J666&lt;&gt;"", J666&lt;&gt;"", J666&lt;&gt;VLOOKUP(K666, Criterios!$A$81:$B$120, 2, FALSE)), "División no coincide con Categoría", ""))), IF(OR(L666="", L666=""), "[Aviso] Género no capturado ()", IF(ISNA(MATCH(L666, Criterios!$B$123:$B$127, 0)), "Género no válido", "")), IF(OR(N666="", N666=""), "[Aviso] Temporada no capturada ()", IF(ISNA(MATCH(N666, Criterios!$C$123:$C$128, 0)), "Temporada no válida", "")), IF(OR(O666="", O666=""), "[Aviso] Ciclo de vida no capturado ()", IF(ISNA(MATCH(O666, Criterios!$D$123:$D$124, 0)), "Ciclo de vida no válido", ""))))</f>
        <v/>
      </c>
      <c r="AC666" s="56" t="n"/>
      <c r="AD666" s="51" t="n">
        <v>2</v>
      </c>
      <c r="AE666" s="156" t="inlineStr">
        <is>
          <t>STETSON AMERICAS (2)</t>
        </is>
      </c>
      <c r="AF666" s="51" t="n">
        <v>2</v>
      </c>
      <c r="AG666" s="156" t="inlineStr">
        <is>
          <t>Catálogo existente</t>
        </is>
      </c>
      <c r="AH66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66" s="156" t="inlineStr">
        <is>
          <t>No</t>
        </is>
      </c>
      <c r="AJ666" s="156" t="n"/>
      <c r="AK666" s="155" t="inlineStr">
        <is>
          <t>Criterios: I [Q]; G1522_Extraccion_Articulos_NetSuite_2026-09-30.xlsx: fila 59241 [R] | Shopify Stetson: producto 15054564917611 / variante 53350559383915</t>
        </is>
      </c>
      <c r="AL666" s="58" t="n">
        <v>830.025</v>
      </c>
      <c r="AM666" s="58" t="n">
        <v>4827.586207</v>
      </c>
      <c r="AN666" s="155" t="inlineStr">
        <is>
          <t>Shopify Stetson México</t>
        </is>
      </c>
      <c r="AO666" s="59" t="n">
        <v>2</v>
      </c>
      <c r="AP666" s="59" t="n"/>
      <c r="AQ666" s="59" t="n"/>
      <c r="AR666" s="155" t="inlineStr">
        <is>
          <t>Shopify Stetson México › Stetson Americas: 2</t>
        </is>
      </c>
    </row>
    <row r="667">
      <c r="A667" s="50" t="inlineStr">
        <is>
          <t>12021002131035255</t>
        </is>
      </c>
      <c r="B667" s="51" t="inlineStr">
        <is>
          <t>111557</t>
        </is>
      </c>
      <c r="C667" s="156" t="inlineStr">
        <is>
          <t>Multimarca</t>
        </is>
      </c>
      <c r="D667" s="156" t="inlineStr">
        <is>
          <t>12-021-BS002-13-1035</t>
        </is>
      </c>
      <c r="E667" s="156" t="inlineStr">
        <is>
          <t>12-021-BS002-13-1035-255</t>
        </is>
      </c>
      <c r="F667" s="156" t="inlineStr">
        <is>
          <t>25.5</t>
        </is>
      </c>
      <c r="G667" s="156" t="inlineStr">
        <is>
          <t>8.5</t>
        </is>
      </c>
      <c r="H667" s="156" t="inlineStr">
        <is>
          <t>Stetson</t>
        </is>
      </c>
      <c r="I667" s="156" t="inlineStr">
        <is>
          <t>Bota Piel Rosa Claro</t>
        </is>
      </c>
      <c r="J667" s="156" t="inlineStr">
        <is>
          <t>Calzado</t>
        </is>
      </c>
      <c r="K667" s="156" t="inlineStr">
        <is>
          <t>Botas</t>
        </is>
      </c>
      <c r="L667" s="156" t="inlineStr">
        <is>
          <t>Mujer</t>
        </is>
      </c>
      <c r="M667" s="156" t="inlineStr">
        <is>
          <t>Stetson</t>
        </is>
      </c>
      <c r="N667" s="156" t="inlineStr">
        <is>
          <t>SS26</t>
        </is>
      </c>
      <c r="O667" s="156" t="inlineStr">
        <is>
          <t>Seasonal</t>
        </is>
      </c>
      <c r="P667" s="156" t="inlineStr">
        <is>
          <t>Rosa</t>
        </is>
      </c>
      <c r="Q667" s="156" t="n"/>
      <c r="R667" s="156" t="inlineStr">
        <is>
          <t>Horma Alexia</t>
        </is>
      </c>
      <c r="S667" s="156" t="inlineStr">
        <is>
          <t>Piel bovina</t>
        </is>
      </c>
      <c r="T667" s="156" t="inlineStr">
        <is>
          <t>Bota Dama Piel bovina Becerro Suave Rosa Claro Horma Alexia</t>
        </is>
      </c>
      <c r="U667" s="156" t="inlineStr">
        <is>
          <t>México</t>
        </is>
      </c>
      <c r="V667" s="156" t="inlineStr">
        <is>
          <t>PRS</t>
        </is>
      </c>
      <c r="W667" s="51" t="inlineStr">
        <is>
          <t>53111502</t>
        </is>
      </c>
      <c r="X667" s="156" t="n"/>
      <c r="Y667" s="54" t="n">
        <v>830.025</v>
      </c>
      <c r="Z667" s="54" t="n">
        <v>4827.586207</v>
      </c>
      <c r="AA667" s="55">
        <f>IF(AND(A667="", B667="", E667=""), "", IF(AB667="", "Válido", IF((LEN(AB667)-LEN(SUBSTITUTE(AB667,"; ","")))/2+1&gt;(LEN(AB667)-LEN(SUBSTITUTE(AB667,"[Aviso]","")))/7, "Con Incidencias", "Válido")))</f>
        <v/>
      </c>
      <c r="AB667" s="56">
        <f>IF(AND(A667="", B667="", E667=""), "", TEXTJOIN("; ", TRUE, IF(OR(TRIM(A667&amp;"")="", ISNUMBER(SEARCH("FALTA", A667))), "UPC faltante/inválido", ""), IF(AND(A667&lt;&gt;"", IFERROR(_xlfn.XMATCH(A667,$A$2:$A$2509,0,1)&lt;&gt;_xlfn.XMATCH(A667,$A$2:$A$2509,0,-1),FALSE)), "Código de barras duplicado", ""), IF(AND(E667&lt;&gt;"", COUNTIF($E$2:$E$2509, E667)&gt;1), "SKU duplicado", ""), IF(OR(J667="", J667=""), "[Aviso] División no capturada ()", IF(ISNA(MATCH(J667, Criterios!$A$123:$A$126, 0)), "División no válida", "")), IF(OR(K667="", K667=""), "[Aviso] Categoría no capturada ()", IF(ISNA(MATCH(K667, Criterios!$A$81:$A$120, 0)), "Categoría no válida", IF(AND(J667&lt;&gt;"", J667&lt;&gt;"", J667&lt;&gt;VLOOKUP(K667, Criterios!$A$81:$B$120, 2, FALSE)), "División no coincide con Categoría", ""))), IF(OR(L667="", L667=""), "[Aviso] Género no capturado ()", IF(ISNA(MATCH(L667, Criterios!$B$123:$B$127, 0)), "Género no válido", "")), IF(OR(N667="", N667=""), "[Aviso] Temporada no capturada ()", IF(ISNA(MATCH(N667, Criterios!$C$123:$C$128, 0)), "Temporada no válida", "")), IF(OR(O667="", O667=""), "[Aviso] Ciclo de vida no capturado ()", IF(ISNA(MATCH(O667, Criterios!$D$123:$D$124, 0)), "Ciclo de vida no válido", ""))))</f>
        <v/>
      </c>
      <c r="AC667" s="56" t="n"/>
      <c r="AD667" s="51" t="n">
        <v>1</v>
      </c>
      <c r="AE667" s="156" t="inlineStr">
        <is>
          <t>STETSON AMERICAS (1)</t>
        </is>
      </c>
      <c r="AF667" s="51" t="n">
        <v>1</v>
      </c>
      <c r="AG667" s="156" t="inlineStr">
        <is>
          <t>Catálogo existente</t>
        </is>
      </c>
      <c r="AH66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67" s="156" t="inlineStr">
        <is>
          <t>No</t>
        </is>
      </c>
      <c r="AJ667" s="156" t="n"/>
      <c r="AK667" s="155" t="inlineStr">
        <is>
          <t>Criterios: I [Q]; G1522_Extraccion_Articulos_NetSuite_2026-09-30.xlsx: fila 59232 [R]</t>
        </is>
      </c>
      <c r="AL667" s="58" t="n">
        <v>830.025</v>
      </c>
      <c r="AM667" s="58" t="n">
        <v>4827.586207</v>
      </c>
      <c r="AN667" s="155" t="n"/>
      <c r="AO667" s="59" t="n"/>
      <c r="AP667" s="59" t="n"/>
      <c r="AQ667" s="59" t="n"/>
      <c r="AR667" s="155" t="n"/>
    </row>
    <row r="668">
      <c r="A668" s="50" t="inlineStr">
        <is>
          <t>12021002131035265</t>
        </is>
      </c>
      <c r="B668" s="51" t="inlineStr">
        <is>
          <t>111558</t>
        </is>
      </c>
      <c r="C668" s="156" t="inlineStr">
        <is>
          <t>Multimarca</t>
        </is>
      </c>
      <c r="D668" s="156" t="inlineStr">
        <is>
          <t>12-021-BS002-13-1035</t>
        </is>
      </c>
      <c r="E668" s="156" t="inlineStr">
        <is>
          <t>12-021-BS002-13-1035-265</t>
        </is>
      </c>
      <c r="F668" s="156" t="inlineStr">
        <is>
          <t>26.5</t>
        </is>
      </c>
      <c r="G668" s="156" t="inlineStr">
        <is>
          <t>9.5</t>
        </is>
      </c>
      <c r="H668" s="156" t="inlineStr">
        <is>
          <t>Stetson</t>
        </is>
      </c>
      <c r="I668" s="156" t="inlineStr">
        <is>
          <t>Bota Piel Rosa Claro</t>
        </is>
      </c>
      <c r="J668" s="156" t="inlineStr">
        <is>
          <t>Calzado</t>
        </is>
      </c>
      <c r="K668" s="156" t="inlineStr">
        <is>
          <t>Botas</t>
        </is>
      </c>
      <c r="L668" s="156" t="inlineStr">
        <is>
          <t>Mujer</t>
        </is>
      </c>
      <c r="M668" s="156" t="inlineStr">
        <is>
          <t>Stetson</t>
        </is>
      </c>
      <c r="N668" s="156" t="inlineStr">
        <is>
          <t>SS26</t>
        </is>
      </c>
      <c r="O668" s="156" t="inlineStr">
        <is>
          <t>Seasonal</t>
        </is>
      </c>
      <c r="P668" s="156" t="inlineStr">
        <is>
          <t>Rosa</t>
        </is>
      </c>
      <c r="Q668" s="156" t="n"/>
      <c r="R668" s="156" t="inlineStr">
        <is>
          <t>Horma Alexia</t>
        </is>
      </c>
      <c r="S668" s="156" t="inlineStr">
        <is>
          <t>Piel bovina</t>
        </is>
      </c>
      <c r="T668" s="156" t="inlineStr">
        <is>
          <t>Bota Dama Piel bovina Becerro Suave Rosa Claro Horma Alexia</t>
        </is>
      </c>
      <c r="U668" s="156" t="inlineStr">
        <is>
          <t>México</t>
        </is>
      </c>
      <c r="V668" s="156" t="inlineStr">
        <is>
          <t>PRS</t>
        </is>
      </c>
      <c r="W668" s="51" t="inlineStr">
        <is>
          <t>53111502</t>
        </is>
      </c>
      <c r="X668" s="156" t="n"/>
      <c r="Y668" s="54" t="n">
        <v>830.025</v>
      </c>
      <c r="Z668" s="54" t="n">
        <v>4827.586207</v>
      </c>
      <c r="AA668" s="55">
        <f>IF(AND(A668="", B668="", E668=""), "", IF(AB668="", "Válido", IF((LEN(AB668)-LEN(SUBSTITUTE(AB668,"; ","")))/2+1&gt;(LEN(AB668)-LEN(SUBSTITUTE(AB668,"[Aviso]","")))/7, "Con Incidencias", "Válido")))</f>
        <v/>
      </c>
      <c r="AB668" s="56">
        <f>IF(AND(A668="", B668="", E668=""), "", TEXTJOIN("; ", TRUE, IF(OR(TRIM(A668&amp;"")="", ISNUMBER(SEARCH("FALTA", A668))), "UPC faltante/inválido", ""), IF(AND(A668&lt;&gt;"", IFERROR(_xlfn.XMATCH(A668,$A$2:$A$2509,0,1)&lt;&gt;_xlfn.XMATCH(A668,$A$2:$A$2509,0,-1),FALSE)), "Código de barras duplicado", ""), IF(AND(E668&lt;&gt;"", COUNTIF($E$2:$E$2509, E668)&gt;1), "SKU duplicado", ""), IF(OR(J668="", J668=""), "[Aviso] División no capturada ()", IF(ISNA(MATCH(J668, Criterios!$A$123:$A$126, 0)), "División no válida", "")), IF(OR(K668="", K668=""), "[Aviso] Categoría no capturada ()", IF(ISNA(MATCH(K668, Criterios!$A$81:$A$120, 0)), "Categoría no válida", IF(AND(J668&lt;&gt;"", J668&lt;&gt;"", J668&lt;&gt;VLOOKUP(K668, Criterios!$A$81:$B$120, 2, FALSE)), "División no coincide con Categoría", ""))), IF(OR(L668="", L668=""), "[Aviso] Género no capturado ()", IF(ISNA(MATCH(L668, Criterios!$B$123:$B$127, 0)), "Género no válido", "")), IF(OR(N668="", N668=""), "[Aviso] Temporada no capturada ()", IF(ISNA(MATCH(N668, Criterios!$C$123:$C$128, 0)), "Temporada no válida", "")), IF(OR(O668="", O668=""), "[Aviso] Ciclo de vida no capturado ()", IF(ISNA(MATCH(O668, Criterios!$D$123:$D$124, 0)), "Ciclo de vida no válido", ""))))</f>
        <v/>
      </c>
      <c r="AC668" s="56" t="n"/>
      <c r="AD668" s="51" t="n">
        <v>0</v>
      </c>
      <c r="AE668" s="156" t="n"/>
      <c r="AF668" s="51" t="n">
        <v>0</v>
      </c>
      <c r="AG668" s="156" t="inlineStr">
        <is>
          <t>Catálogo existente</t>
        </is>
      </c>
      <c r="AH66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68" s="156" t="inlineStr">
        <is>
          <t>No</t>
        </is>
      </c>
      <c r="AJ668" s="156" t="n"/>
      <c r="AK668" s="155" t="inlineStr">
        <is>
          <t>Criterios: I [Q]; G1522_Extraccion_Articulos_NetSuite_2026-09-30.xlsx: fila 59233 [R]</t>
        </is>
      </c>
      <c r="AL668" s="58" t="n">
        <v>830.025</v>
      </c>
      <c r="AM668" s="58" t="n">
        <v>4827.586207</v>
      </c>
      <c r="AN668" s="155" t="n"/>
      <c r="AO668" s="59" t="n"/>
      <c r="AP668" s="59" t="n"/>
      <c r="AQ668" s="59" t="n"/>
      <c r="AR668" s="155" t="n"/>
    </row>
    <row r="669">
      <c r="A669" s="50" t="inlineStr">
        <is>
          <t>12021002131035275</t>
        </is>
      </c>
      <c r="B669" s="51" t="inlineStr">
        <is>
          <t>111559</t>
        </is>
      </c>
      <c r="C669" s="156" t="inlineStr">
        <is>
          <t>Multimarca</t>
        </is>
      </c>
      <c r="D669" s="156" t="inlineStr">
        <is>
          <t>12-021-BS002-13-1035</t>
        </is>
      </c>
      <c r="E669" s="156" t="inlineStr">
        <is>
          <t>12-021-BS002-13-1035-275</t>
        </is>
      </c>
      <c r="F669" s="156" t="inlineStr">
        <is>
          <t>27.5</t>
        </is>
      </c>
      <c r="G669" s="156" t="inlineStr">
        <is>
          <t>10.5</t>
        </is>
      </c>
      <c r="H669" s="156" t="inlineStr">
        <is>
          <t>Stetson</t>
        </is>
      </c>
      <c r="I669" s="156" t="inlineStr">
        <is>
          <t>Bota Piel Rosa Claro</t>
        </is>
      </c>
      <c r="J669" s="156" t="inlineStr">
        <is>
          <t>Calzado</t>
        </is>
      </c>
      <c r="K669" s="156" t="inlineStr">
        <is>
          <t>Botas</t>
        </is>
      </c>
      <c r="L669" s="156" t="inlineStr">
        <is>
          <t>Mujer</t>
        </is>
      </c>
      <c r="M669" s="156" t="inlineStr">
        <is>
          <t>Stetson</t>
        </is>
      </c>
      <c r="N669" s="156" t="inlineStr">
        <is>
          <t>SS26</t>
        </is>
      </c>
      <c r="O669" s="156" t="inlineStr">
        <is>
          <t>Seasonal</t>
        </is>
      </c>
      <c r="P669" s="156" t="inlineStr">
        <is>
          <t>Rosa</t>
        </is>
      </c>
      <c r="Q669" s="156" t="n"/>
      <c r="R669" s="156" t="inlineStr">
        <is>
          <t>Horma Alexia</t>
        </is>
      </c>
      <c r="S669" s="156" t="inlineStr">
        <is>
          <t>Piel bovina</t>
        </is>
      </c>
      <c r="T669" s="156" t="inlineStr">
        <is>
          <t>Bota Dama Piel bovina Becerro Suave Rosa Claro Horma Alexia</t>
        </is>
      </c>
      <c r="U669" s="156" t="inlineStr">
        <is>
          <t>México</t>
        </is>
      </c>
      <c r="V669" s="156" t="inlineStr">
        <is>
          <t>PRS</t>
        </is>
      </c>
      <c r="W669" s="51" t="inlineStr">
        <is>
          <t>53111502</t>
        </is>
      </c>
      <c r="X669" s="156" t="n"/>
      <c r="Y669" s="54" t="n">
        <v>830.025</v>
      </c>
      <c r="Z669" s="54" t="n">
        <v>4827.586207</v>
      </c>
      <c r="AA669" s="55">
        <f>IF(AND(A669="", B669="", E669=""), "", IF(AB669="", "Válido", IF((LEN(AB669)-LEN(SUBSTITUTE(AB669,"; ","")))/2+1&gt;(LEN(AB669)-LEN(SUBSTITUTE(AB669,"[Aviso]","")))/7, "Con Incidencias", "Válido")))</f>
        <v/>
      </c>
      <c r="AB669" s="56">
        <f>IF(AND(A669="", B669="", E669=""), "", TEXTJOIN("; ", TRUE, IF(OR(TRIM(A669&amp;"")="", ISNUMBER(SEARCH("FALTA", A669))), "UPC faltante/inválido", ""), IF(AND(A669&lt;&gt;"", IFERROR(_xlfn.XMATCH(A669,$A$2:$A$2509,0,1)&lt;&gt;_xlfn.XMATCH(A669,$A$2:$A$2509,0,-1),FALSE)), "Código de barras duplicado", ""), IF(AND(E669&lt;&gt;"", COUNTIF($E$2:$E$2509, E669)&gt;1), "SKU duplicado", ""), IF(OR(J669="", J669=""), "[Aviso] División no capturada ()", IF(ISNA(MATCH(J669, Criterios!$A$123:$A$126, 0)), "División no válida", "")), IF(OR(K669="", K669=""), "[Aviso] Categoría no capturada ()", IF(ISNA(MATCH(K669, Criterios!$A$81:$A$120, 0)), "Categoría no válida", IF(AND(J669&lt;&gt;"", J669&lt;&gt;"", J669&lt;&gt;VLOOKUP(K669, Criterios!$A$81:$B$120, 2, FALSE)), "División no coincide con Categoría", ""))), IF(OR(L669="", L669=""), "[Aviso] Género no capturado ()", IF(ISNA(MATCH(L669, Criterios!$B$123:$B$127, 0)), "Género no válido", "")), IF(OR(N669="", N669=""), "[Aviso] Temporada no capturada ()", IF(ISNA(MATCH(N669, Criterios!$C$123:$C$128, 0)), "Temporada no válida", "")), IF(OR(O669="", O669=""), "[Aviso] Ciclo de vida no capturado ()", IF(ISNA(MATCH(O669, Criterios!$D$123:$D$124, 0)), "Ciclo de vida no válido", ""))))</f>
        <v/>
      </c>
      <c r="AC669" s="56" t="n"/>
      <c r="AD669" s="51" t="n">
        <v>0</v>
      </c>
      <c r="AE669" s="156" t="n"/>
      <c r="AF669" s="51" t="n">
        <v>0</v>
      </c>
      <c r="AG669" s="156" t="inlineStr">
        <is>
          <t>Catálogo existente</t>
        </is>
      </c>
      <c r="AH66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69" s="156" t="inlineStr">
        <is>
          <t>No</t>
        </is>
      </c>
      <c r="AJ669" s="156" t="n"/>
      <c r="AK669" s="155" t="inlineStr">
        <is>
          <t>Criterios: I [Q]; G1522_Extraccion_Articulos_NetSuite_2026-09-30.xlsx: fila 59234 [R]</t>
        </is>
      </c>
      <c r="AL669" s="58" t="n">
        <v>830.025</v>
      </c>
      <c r="AM669" s="58" t="n">
        <v>4827.586207</v>
      </c>
      <c r="AN669" s="155" t="n"/>
      <c r="AO669" s="59" t="n"/>
      <c r="AP669" s="59" t="n"/>
      <c r="AQ669" s="59" t="n"/>
      <c r="AR669" s="155" t="n"/>
    </row>
    <row r="670">
      <c r="A670" s="50" t="inlineStr">
        <is>
          <t>12021002131036022</t>
        </is>
      </c>
      <c r="B670" s="51" t="inlineStr">
        <is>
          <t>111572</t>
        </is>
      </c>
      <c r="C670" s="156" t="inlineStr">
        <is>
          <t>Multimarca</t>
        </is>
      </c>
      <c r="D670" s="156" t="inlineStr">
        <is>
          <t>12-021-BS002-13-1036</t>
        </is>
      </c>
      <c r="E670" s="156" t="inlineStr">
        <is>
          <t>12-021-BS002-13-1036-022</t>
        </is>
      </c>
      <c r="F670" s="156" t="inlineStr">
        <is>
          <t>22</t>
        </is>
      </c>
      <c r="G670" s="156" t="inlineStr">
        <is>
          <t>5</t>
        </is>
      </c>
      <c r="H670" s="156" t="inlineStr">
        <is>
          <t>Stetson</t>
        </is>
      </c>
      <c r="I670" s="156" t="inlineStr">
        <is>
          <t>Bota Piel Café</t>
        </is>
      </c>
      <c r="J670" s="156" t="inlineStr">
        <is>
          <t>Calzado</t>
        </is>
      </c>
      <c r="K670" s="156" t="inlineStr">
        <is>
          <t>Botas</t>
        </is>
      </c>
      <c r="L670" s="156" t="inlineStr">
        <is>
          <t>Mujer</t>
        </is>
      </c>
      <c r="M670" s="156" t="inlineStr">
        <is>
          <t>Stetson</t>
        </is>
      </c>
      <c r="N670" s="156" t="inlineStr">
        <is>
          <t>SS26</t>
        </is>
      </c>
      <c r="O670" s="156" t="inlineStr">
        <is>
          <t>Seasonal</t>
        </is>
      </c>
      <c r="P670" s="156" t="inlineStr">
        <is>
          <t>Cafe</t>
        </is>
      </c>
      <c r="Q670" s="156" t="n"/>
      <c r="R670" s="156" t="inlineStr">
        <is>
          <t>Horma Alexia</t>
        </is>
      </c>
      <c r="S670" s="156" t="inlineStr">
        <is>
          <t>Piel bovina</t>
        </is>
      </c>
      <c r="T670" s="156" t="inlineStr">
        <is>
          <t>Bota Dama Piel bovina Boney Café Horma Alexia</t>
        </is>
      </c>
      <c r="U670" s="156" t="inlineStr">
        <is>
          <t>México</t>
        </is>
      </c>
      <c r="V670" s="156" t="inlineStr">
        <is>
          <t>PRS</t>
        </is>
      </c>
      <c r="W670" s="51" t="inlineStr">
        <is>
          <t>53111502</t>
        </is>
      </c>
      <c r="X670" s="156" t="n"/>
      <c r="Y670" s="54" t="n">
        <v>830.025</v>
      </c>
      <c r="Z670" s="54" t="n">
        <v>4827.586207</v>
      </c>
      <c r="AA670" s="55">
        <f>IF(AND(A670="", B670="", E670=""), "", IF(AB670="", "Válido", IF((LEN(AB670)-LEN(SUBSTITUTE(AB670,"; ","")))/2+1&gt;(LEN(AB670)-LEN(SUBSTITUTE(AB670,"[Aviso]","")))/7, "Con Incidencias", "Válido")))</f>
        <v/>
      </c>
      <c r="AB670" s="56">
        <f>IF(AND(A670="", B670="", E670=""), "", TEXTJOIN("; ", TRUE, IF(OR(TRIM(A670&amp;"")="", ISNUMBER(SEARCH("FALTA", A670))), "UPC faltante/inválido", ""), IF(AND(A670&lt;&gt;"", IFERROR(_xlfn.XMATCH(A670,$A$2:$A$2509,0,1)&lt;&gt;_xlfn.XMATCH(A670,$A$2:$A$2509,0,-1),FALSE)), "Código de barras duplicado", ""), IF(AND(E670&lt;&gt;"", COUNTIF($E$2:$E$2509, E670)&gt;1), "SKU duplicado", ""), IF(OR(J670="", J670=""), "[Aviso] División no capturada ()", IF(ISNA(MATCH(J670, Criterios!$A$123:$A$126, 0)), "División no válida", "")), IF(OR(K670="", K670=""), "[Aviso] Categoría no capturada ()", IF(ISNA(MATCH(K670, Criterios!$A$81:$A$120, 0)), "Categoría no válida", IF(AND(J670&lt;&gt;"", J670&lt;&gt;"", J670&lt;&gt;VLOOKUP(K670, Criterios!$A$81:$B$120, 2, FALSE)), "División no coincide con Categoría", ""))), IF(OR(L670="", L670=""), "[Aviso] Género no capturado ()", IF(ISNA(MATCH(L670, Criterios!$B$123:$B$127, 0)), "Género no válido", "")), IF(OR(N670="", N670=""), "[Aviso] Temporada no capturada ()", IF(ISNA(MATCH(N670, Criterios!$C$123:$C$128, 0)), "Temporada no válida", "")), IF(OR(O670="", O670=""), "[Aviso] Ciclo de vida no capturado ()", IF(ISNA(MATCH(O670, Criterios!$D$123:$D$124, 0)), "Ciclo de vida no válido", ""))))</f>
        <v/>
      </c>
      <c r="AC670" s="56" t="n"/>
      <c r="AD670" s="51" t="n">
        <v>0</v>
      </c>
      <c r="AE670" s="156" t="n"/>
      <c r="AF670" s="51" t="n">
        <v>0</v>
      </c>
      <c r="AG670" s="156" t="inlineStr">
        <is>
          <t>Catálogo existente</t>
        </is>
      </c>
      <c r="AH6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0" s="156" t="inlineStr">
        <is>
          <t>No</t>
        </is>
      </c>
      <c r="AJ670" s="156" t="n"/>
      <c r="AK670" s="155" t="inlineStr">
        <is>
          <t>Criterios: I [Q]; G1522_Extraccion_Articulos_NetSuite_2026-09-30.xlsx: fila 59247 [R] | Shopify Stetson: producto 15054564950379 / variante 53350559613291</t>
        </is>
      </c>
      <c r="AL670" s="58" t="n">
        <v>830.025</v>
      </c>
      <c r="AM670" s="58" t="n">
        <v>4827.586207</v>
      </c>
      <c r="AN670" s="155" t="inlineStr">
        <is>
          <t>Shopify Stetson México</t>
        </is>
      </c>
      <c r="AO670" s="59" t="n">
        <v>0</v>
      </c>
      <c r="AP670" s="59" t="n"/>
      <c r="AQ670" s="59" t="n"/>
      <c r="AR670" s="155" t="n"/>
    </row>
    <row r="671">
      <c r="A671" s="50" t="inlineStr">
        <is>
          <t>12021002131036023</t>
        </is>
      </c>
      <c r="B671" s="51" t="inlineStr">
        <is>
          <t>111573</t>
        </is>
      </c>
      <c r="C671" s="156" t="inlineStr">
        <is>
          <t>Multimarca</t>
        </is>
      </c>
      <c r="D671" s="156" t="inlineStr">
        <is>
          <t>12-021-BS002-13-1036</t>
        </is>
      </c>
      <c r="E671" s="156" t="inlineStr">
        <is>
          <t>12-021-BS002-13-1036-023</t>
        </is>
      </c>
      <c r="F671" s="156" t="inlineStr">
        <is>
          <t>23</t>
        </is>
      </c>
      <c r="G671" s="156" t="inlineStr">
        <is>
          <t>6</t>
        </is>
      </c>
      <c r="H671" s="156" t="inlineStr">
        <is>
          <t>Stetson</t>
        </is>
      </c>
      <c r="I671" s="156" t="inlineStr">
        <is>
          <t>Bota Piel Café</t>
        </is>
      </c>
      <c r="J671" s="156" t="inlineStr">
        <is>
          <t>Calzado</t>
        </is>
      </c>
      <c r="K671" s="156" t="inlineStr">
        <is>
          <t>Botas</t>
        </is>
      </c>
      <c r="L671" s="156" t="inlineStr">
        <is>
          <t>Mujer</t>
        </is>
      </c>
      <c r="M671" s="156" t="inlineStr">
        <is>
          <t>Stetson</t>
        </is>
      </c>
      <c r="N671" s="156" t="inlineStr">
        <is>
          <t>SS26</t>
        </is>
      </c>
      <c r="O671" s="156" t="inlineStr">
        <is>
          <t>Seasonal</t>
        </is>
      </c>
      <c r="P671" s="156" t="inlineStr">
        <is>
          <t>Cafe</t>
        </is>
      </c>
      <c r="Q671" s="156" t="n"/>
      <c r="R671" s="156" t="inlineStr">
        <is>
          <t>Horma Alexia</t>
        </is>
      </c>
      <c r="S671" s="156" t="inlineStr">
        <is>
          <t>Piel bovina</t>
        </is>
      </c>
      <c r="T671" s="156" t="inlineStr">
        <is>
          <t>Bota Dama Piel bovina Boney Café Horma Alexia</t>
        </is>
      </c>
      <c r="U671" s="156" t="inlineStr">
        <is>
          <t>México</t>
        </is>
      </c>
      <c r="V671" s="156" t="inlineStr">
        <is>
          <t>PRS</t>
        </is>
      </c>
      <c r="W671" s="51" t="inlineStr">
        <is>
          <t>53111502</t>
        </is>
      </c>
      <c r="X671" s="156" t="n"/>
      <c r="Y671" s="54" t="n">
        <v>830.025</v>
      </c>
      <c r="Z671" s="54" t="n">
        <v>4827.586207</v>
      </c>
      <c r="AA671" s="55">
        <f>IF(AND(A671="", B671="", E671=""), "", IF(AB671="", "Válido", IF((LEN(AB671)-LEN(SUBSTITUTE(AB671,"; ","")))/2+1&gt;(LEN(AB671)-LEN(SUBSTITUTE(AB671,"[Aviso]","")))/7, "Con Incidencias", "Válido")))</f>
        <v/>
      </c>
      <c r="AB671" s="56">
        <f>IF(AND(A671="", B671="", E671=""), "", TEXTJOIN("; ", TRUE, IF(OR(TRIM(A671&amp;"")="", ISNUMBER(SEARCH("FALTA", A671))), "UPC faltante/inválido", ""), IF(AND(A671&lt;&gt;"", IFERROR(_xlfn.XMATCH(A671,$A$2:$A$2509,0,1)&lt;&gt;_xlfn.XMATCH(A671,$A$2:$A$2509,0,-1),FALSE)), "Código de barras duplicado", ""), IF(AND(E671&lt;&gt;"", COUNTIF($E$2:$E$2509, E671)&gt;1), "SKU duplicado", ""), IF(OR(J671="", J671=""), "[Aviso] División no capturada ()", IF(ISNA(MATCH(J671, Criterios!$A$123:$A$126, 0)), "División no válida", "")), IF(OR(K671="", K671=""), "[Aviso] Categoría no capturada ()", IF(ISNA(MATCH(K671, Criterios!$A$81:$A$120, 0)), "Categoría no válida", IF(AND(J671&lt;&gt;"", J671&lt;&gt;"", J671&lt;&gt;VLOOKUP(K671, Criterios!$A$81:$B$120, 2, FALSE)), "División no coincide con Categoría", ""))), IF(OR(L671="", L671=""), "[Aviso] Género no capturado ()", IF(ISNA(MATCH(L671, Criterios!$B$123:$B$127, 0)), "Género no válido", "")), IF(OR(N671="", N671=""), "[Aviso] Temporada no capturada ()", IF(ISNA(MATCH(N671, Criterios!$C$123:$C$128, 0)), "Temporada no válida", "")), IF(OR(O671="", O671=""), "[Aviso] Ciclo de vida no capturado ()", IF(ISNA(MATCH(O671, Criterios!$D$123:$D$124, 0)), "Ciclo de vida no válido", ""))))</f>
        <v/>
      </c>
      <c r="AC671" s="56" t="n"/>
      <c r="AD671" s="51" t="n">
        <v>1</v>
      </c>
      <c r="AE671" s="156" t="inlineStr">
        <is>
          <t>STETSON AMERICAS (1)</t>
        </is>
      </c>
      <c r="AF671" s="51" t="n">
        <v>1</v>
      </c>
      <c r="AG671" s="156" t="inlineStr">
        <is>
          <t>Catálogo existente</t>
        </is>
      </c>
      <c r="AH6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1" s="156" t="inlineStr">
        <is>
          <t>No</t>
        </is>
      </c>
      <c r="AJ671" s="156" t="n"/>
      <c r="AK671" s="155" t="inlineStr">
        <is>
          <t>Criterios: I [Q]; G1522_Extraccion_Articulos_NetSuite_2026-09-30.xlsx: fila 59248 [R] | Shopify Stetson: producto 15054564950379 / variante 53350559678827</t>
        </is>
      </c>
      <c r="AL671" s="58" t="n">
        <v>830.025</v>
      </c>
      <c r="AM671" s="58" t="n">
        <v>4827.586207</v>
      </c>
      <c r="AN671" s="155" t="inlineStr">
        <is>
          <t>Shopify Stetson México</t>
        </is>
      </c>
      <c r="AO671" s="59" t="n">
        <v>1</v>
      </c>
      <c r="AP671" s="59" t="n"/>
      <c r="AQ671" s="59" t="n"/>
      <c r="AR671" s="155" t="inlineStr">
        <is>
          <t>Shopify Stetson México › Stetson Americas: 1</t>
        </is>
      </c>
    </row>
    <row r="672">
      <c r="A672" s="50" t="inlineStr">
        <is>
          <t>12021002131036024</t>
        </is>
      </c>
      <c r="B672" s="51" t="inlineStr">
        <is>
          <t>111574</t>
        </is>
      </c>
      <c r="C672" s="156" t="inlineStr">
        <is>
          <t>Multimarca</t>
        </is>
      </c>
      <c r="D672" s="156" t="inlineStr">
        <is>
          <t>12-021-BS002-13-1036</t>
        </is>
      </c>
      <c r="E672" s="156" t="inlineStr">
        <is>
          <t>12-021-BS002-13-1036-024</t>
        </is>
      </c>
      <c r="F672" s="156" t="inlineStr">
        <is>
          <t>24</t>
        </is>
      </c>
      <c r="G672" s="156" t="inlineStr">
        <is>
          <t>7</t>
        </is>
      </c>
      <c r="H672" s="156" t="inlineStr">
        <is>
          <t>Stetson</t>
        </is>
      </c>
      <c r="I672" s="156" t="inlineStr">
        <is>
          <t>Bota Piel Café</t>
        </is>
      </c>
      <c r="J672" s="156" t="inlineStr">
        <is>
          <t>Calzado</t>
        </is>
      </c>
      <c r="K672" s="156" t="inlineStr">
        <is>
          <t>Botas</t>
        </is>
      </c>
      <c r="L672" s="156" t="inlineStr">
        <is>
          <t>Mujer</t>
        </is>
      </c>
      <c r="M672" s="156" t="inlineStr">
        <is>
          <t>Stetson</t>
        </is>
      </c>
      <c r="N672" s="156" t="inlineStr">
        <is>
          <t>SS26</t>
        </is>
      </c>
      <c r="O672" s="156" t="inlineStr">
        <is>
          <t>Seasonal</t>
        </is>
      </c>
      <c r="P672" s="156" t="inlineStr">
        <is>
          <t>Cafe</t>
        </is>
      </c>
      <c r="Q672" s="156" t="n"/>
      <c r="R672" s="156" t="inlineStr">
        <is>
          <t>Horma Alexia</t>
        </is>
      </c>
      <c r="S672" s="156" t="inlineStr">
        <is>
          <t>Piel bovina</t>
        </is>
      </c>
      <c r="T672" s="156" t="inlineStr">
        <is>
          <t>Bota Dama Piel bovina Boney Café Horma Alexia</t>
        </is>
      </c>
      <c r="U672" s="156" t="inlineStr">
        <is>
          <t>México</t>
        </is>
      </c>
      <c r="V672" s="156" t="inlineStr">
        <is>
          <t>PRS</t>
        </is>
      </c>
      <c r="W672" s="51" t="inlineStr">
        <is>
          <t>53111502</t>
        </is>
      </c>
      <c r="X672" s="156" t="n"/>
      <c r="Y672" s="54" t="n">
        <v>830.025</v>
      </c>
      <c r="Z672" s="54" t="n">
        <v>4827.586207</v>
      </c>
      <c r="AA672" s="55">
        <f>IF(AND(A672="", B672="", E672=""), "", IF(AB672="", "Válido", IF((LEN(AB672)-LEN(SUBSTITUTE(AB672,"; ","")))/2+1&gt;(LEN(AB672)-LEN(SUBSTITUTE(AB672,"[Aviso]","")))/7, "Con Incidencias", "Válido")))</f>
        <v/>
      </c>
      <c r="AB672" s="56">
        <f>IF(AND(A672="", B672="", E672=""), "", TEXTJOIN("; ", TRUE, IF(OR(TRIM(A672&amp;"")="", ISNUMBER(SEARCH("FALTA", A672))), "UPC faltante/inválido", ""), IF(AND(A672&lt;&gt;"", IFERROR(_xlfn.XMATCH(A672,$A$2:$A$2509,0,1)&lt;&gt;_xlfn.XMATCH(A672,$A$2:$A$2509,0,-1),FALSE)), "Código de barras duplicado", ""), IF(AND(E672&lt;&gt;"", COUNTIF($E$2:$E$2509, E672)&gt;1), "SKU duplicado", ""), IF(OR(J672="", J672=""), "[Aviso] División no capturada ()", IF(ISNA(MATCH(J672, Criterios!$A$123:$A$126, 0)), "División no válida", "")), IF(OR(K672="", K672=""), "[Aviso] Categoría no capturada ()", IF(ISNA(MATCH(K672, Criterios!$A$81:$A$120, 0)), "Categoría no válida", IF(AND(J672&lt;&gt;"", J672&lt;&gt;"", J672&lt;&gt;VLOOKUP(K672, Criterios!$A$81:$B$120, 2, FALSE)), "División no coincide con Categoría", ""))), IF(OR(L672="", L672=""), "[Aviso] Género no capturado ()", IF(ISNA(MATCH(L672, Criterios!$B$123:$B$127, 0)), "Género no válido", "")), IF(OR(N672="", N672=""), "[Aviso] Temporada no capturada ()", IF(ISNA(MATCH(N672, Criterios!$C$123:$C$128, 0)), "Temporada no válida", "")), IF(OR(O672="", O672=""), "[Aviso] Ciclo de vida no capturado ()", IF(ISNA(MATCH(O672, Criterios!$D$123:$D$124, 0)), "Ciclo de vida no válido", ""))))</f>
        <v/>
      </c>
      <c r="AC672" s="56" t="n"/>
      <c r="AD672" s="51" t="n">
        <v>2</v>
      </c>
      <c r="AE672" s="156" t="inlineStr">
        <is>
          <t>STETSON AMERICAS (2)</t>
        </is>
      </c>
      <c r="AF672" s="51" t="n">
        <v>2</v>
      </c>
      <c r="AG672" s="156" t="inlineStr">
        <is>
          <t>Catálogo existente</t>
        </is>
      </c>
      <c r="AH6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2" s="156" t="inlineStr">
        <is>
          <t>No</t>
        </is>
      </c>
      <c r="AJ672" s="156" t="n"/>
      <c r="AK672" s="155" t="inlineStr">
        <is>
          <t>Criterios: I [Q]; G1522_Extraccion_Articulos_NetSuite_2026-09-30.xlsx: fila 59249 [R] | Shopify Stetson: producto 15054564950379 / variante 53350559744363</t>
        </is>
      </c>
      <c r="AL672" s="58" t="n">
        <v>830.025</v>
      </c>
      <c r="AM672" s="58" t="n">
        <v>4827.586207</v>
      </c>
      <c r="AN672" s="155" t="inlineStr">
        <is>
          <t>Shopify Stetson México</t>
        </is>
      </c>
      <c r="AO672" s="59" t="n">
        <v>2</v>
      </c>
      <c r="AP672" s="59" t="n"/>
      <c r="AQ672" s="59" t="n"/>
      <c r="AR672" s="155" t="inlineStr">
        <is>
          <t>Shopify Stetson México › Stetson Americas: 2</t>
        </is>
      </c>
    </row>
    <row r="673">
      <c r="A673" s="50" t="inlineStr">
        <is>
          <t>12021002131036025</t>
        </is>
      </c>
      <c r="B673" s="51" t="inlineStr">
        <is>
          <t>111575</t>
        </is>
      </c>
      <c r="C673" s="156" t="inlineStr">
        <is>
          <t>Multimarca</t>
        </is>
      </c>
      <c r="D673" s="156" t="inlineStr">
        <is>
          <t>12-021-BS002-13-1036</t>
        </is>
      </c>
      <c r="E673" s="156" t="inlineStr">
        <is>
          <t>12-021-BS002-13-1036-025</t>
        </is>
      </c>
      <c r="F673" s="156" t="inlineStr">
        <is>
          <t>25</t>
        </is>
      </c>
      <c r="G673" s="156" t="inlineStr">
        <is>
          <t>8</t>
        </is>
      </c>
      <c r="H673" s="156" t="inlineStr">
        <is>
          <t>Stetson</t>
        </is>
      </c>
      <c r="I673" s="156" t="inlineStr">
        <is>
          <t>Bota Piel Café</t>
        </is>
      </c>
      <c r="J673" s="156" t="inlineStr">
        <is>
          <t>Calzado</t>
        </is>
      </c>
      <c r="K673" s="156" t="inlineStr">
        <is>
          <t>Botas</t>
        </is>
      </c>
      <c r="L673" s="156" t="inlineStr">
        <is>
          <t>Mujer</t>
        </is>
      </c>
      <c r="M673" s="156" t="inlineStr">
        <is>
          <t>Stetson</t>
        </is>
      </c>
      <c r="N673" s="156" t="inlineStr">
        <is>
          <t>SS26</t>
        </is>
      </c>
      <c r="O673" s="156" t="inlineStr">
        <is>
          <t>Seasonal</t>
        </is>
      </c>
      <c r="P673" s="156" t="inlineStr">
        <is>
          <t>Cafe</t>
        </is>
      </c>
      <c r="Q673" s="156" t="n"/>
      <c r="R673" s="156" t="inlineStr">
        <is>
          <t>Horma Alexia</t>
        </is>
      </c>
      <c r="S673" s="156" t="inlineStr">
        <is>
          <t>Piel bovina</t>
        </is>
      </c>
      <c r="T673" s="156" t="inlineStr">
        <is>
          <t>Bota Dama Piel bovina Boney Café Horma Alexia</t>
        </is>
      </c>
      <c r="U673" s="156" t="inlineStr">
        <is>
          <t>México</t>
        </is>
      </c>
      <c r="V673" s="156" t="inlineStr">
        <is>
          <t>PRS</t>
        </is>
      </c>
      <c r="W673" s="51" t="inlineStr">
        <is>
          <t>53111502</t>
        </is>
      </c>
      <c r="X673" s="156" t="n"/>
      <c r="Y673" s="54" t="n">
        <v>830.025</v>
      </c>
      <c r="Z673" s="54" t="n">
        <v>4827.586207</v>
      </c>
      <c r="AA673" s="55">
        <f>IF(AND(A673="", B673="", E673=""), "", IF(AB673="", "Válido", IF((LEN(AB673)-LEN(SUBSTITUTE(AB673,"; ","")))/2+1&gt;(LEN(AB673)-LEN(SUBSTITUTE(AB673,"[Aviso]","")))/7, "Con Incidencias", "Válido")))</f>
        <v/>
      </c>
      <c r="AB673" s="56">
        <f>IF(AND(A673="", B673="", E673=""), "", TEXTJOIN("; ", TRUE, IF(OR(TRIM(A673&amp;"")="", ISNUMBER(SEARCH("FALTA", A673))), "UPC faltante/inválido", ""), IF(AND(A673&lt;&gt;"", IFERROR(_xlfn.XMATCH(A673,$A$2:$A$2509,0,1)&lt;&gt;_xlfn.XMATCH(A673,$A$2:$A$2509,0,-1),FALSE)), "Código de barras duplicado", ""), IF(AND(E673&lt;&gt;"", COUNTIF($E$2:$E$2509, E673)&gt;1), "SKU duplicado", ""), IF(OR(J673="", J673=""), "[Aviso] División no capturada ()", IF(ISNA(MATCH(J673, Criterios!$A$123:$A$126, 0)), "División no válida", "")), IF(OR(K673="", K673=""), "[Aviso] Categoría no capturada ()", IF(ISNA(MATCH(K673, Criterios!$A$81:$A$120, 0)), "Categoría no válida", IF(AND(J673&lt;&gt;"", J673&lt;&gt;"", J673&lt;&gt;VLOOKUP(K673, Criterios!$A$81:$B$120, 2, FALSE)), "División no coincide con Categoría", ""))), IF(OR(L673="", L673=""), "[Aviso] Género no capturado ()", IF(ISNA(MATCH(L673, Criterios!$B$123:$B$127, 0)), "Género no válido", "")), IF(OR(N673="", N673=""), "[Aviso] Temporada no capturada ()", IF(ISNA(MATCH(N673, Criterios!$C$123:$C$128, 0)), "Temporada no válida", "")), IF(OR(O673="", O673=""), "[Aviso] Ciclo de vida no capturado ()", IF(ISNA(MATCH(O673, Criterios!$D$123:$D$124, 0)), "Ciclo de vida no válido", ""))))</f>
        <v/>
      </c>
      <c r="AC673" s="56" t="n"/>
      <c r="AD673" s="51" t="n">
        <v>2</v>
      </c>
      <c r="AE673" s="156" t="inlineStr">
        <is>
          <t>STETSON AMERICAS (2)</t>
        </is>
      </c>
      <c r="AF673" s="51" t="n">
        <v>2</v>
      </c>
      <c r="AG673" s="156" t="inlineStr">
        <is>
          <t>Catálogo existente</t>
        </is>
      </c>
      <c r="AH6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3" s="156" t="inlineStr">
        <is>
          <t>No</t>
        </is>
      </c>
      <c r="AJ673" s="156" t="n"/>
      <c r="AK673" s="155" t="inlineStr">
        <is>
          <t>Criterios: I [Q]; G1522_Extraccion_Articulos_NetSuite_2026-09-30.xlsx: fila 59250 [R] | Shopify Stetson: producto 15054564950379 / variante 53350559809899</t>
        </is>
      </c>
      <c r="AL673" s="58" t="n">
        <v>830.025</v>
      </c>
      <c r="AM673" s="58" t="n">
        <v>4827.586207</v>
      </c>
      <c r="AN673" s="155" t="inlineStr">
        <is>
          <t>Shopify Stetson México</t>
        </is>
      </c>
      <c r="AO673" s="59" t="n">
        <v>2</v>
      </c>
      <c r="AP673" s="59" t="n"/>
      <c r="AQ673" s="59" t="n"/>
      <c r="AR673" s="155" t="inlineStr">
        <is>
          <t>Shopify Stetson México › Stetson Americas: 2</t>
        </is>
      </c>
    </row>
    <row r="674">
      <c r="A674" s="50" t="inlineStr">
        <is>
          <t>12021002131036026</t>
        </is>
      </c>
      <c r="B674" s="51" t="inlineStr">
        <is>
          <t>111567</t>
        </is>
      </c>
      <c r="C674" s="156" t="inlineStr">
        <is>
          <t>Multimarca</t>
        </is>
      </c>
      <c r="D674" s="156" t="inlineStr">
        <is>
          <t>12-021-BS002-13-1036</t>
        </is>
      </c>
      <c r="E674" s="156" t="inlineStr">
        <is>
          <t>12-021-BS002-13-1036-026</t>
        </is>
      </c>
      <c r="F674" s="156" t="inlineStr">
        <is>
          <t>26</t>
        </is>
      </c>
      <c r="G674" s="156" t="inlineStr">
        <is>
          <t>9</t>
        </is>
      </c>
      <c r="H674" s="156" t="inlineStr">
        <is>
          <t>Stetson</t>
        </is>
      </c>
      <c r="I674" s="156" t="inlineStr">
        <is>
          <t>Bota Piel Café</t>
        </is>
      </c>
      <c r="J674" s="156" t="inlineStr">
        <is>
          <t>Calzado</t>
        </is>
      </c>
      <c r="K674" s="156" t="inlineStr">
        <is>
          <t>Botas</t>
        </is>
      </c>
      <c r="L674" s="156" t="inlineStr">
        <is>
          <t>Mujer</t>
        </is>
      </c>
      <c r="M674" s="156" t="inlineStr">
        <is>
          <t>Stetson</t>
        </is>
      </c>
      <c r="N674" s="156" t="inlineStr">
        <is>
          <t>SS26</t>
        </is>
      </c>
      <c r="O674" s="156" t="inlineStr">
        <is>
          <t>Seasonal</t>
        </is>
      </c>
      <c r="P674" s="156" t="inlineStr">
        <is>
          <t>Cafe</t>
        </is>
      </c>
      <c r="Q674" s="156" t="n"/>
      <c r="R674" s="156" t="inlineStr">
        <is>
          <t>Horma Alexia</t>
        </is>
      </c>
      <c r="S674" s="156" t="inlineStr">
        <is>
          <t>Piel bovina</t>
        </is>
      </c>
      <c r="T674" s="156" t="inlineStr">
        <is>
          <t>Bota Dama Piel bovina Boney Café Horma Alexia</t>
        </is>
      </c>
      <c r="U674" s="156" t="inlineStr">
        <is>
          <t>México</t>
        </is>
      </c>
      <c r="V674" s="156" t="inlineStr">
        <is>
          <t>PRS</t>
        </is>
      </c>
      <c r="W674" s="51" t="inlineStr">
        <is>
          <t>53111502</t>
        </is>
      </c>
      <c r="X674" s="156" t="n"/>
      <c r="Y674" s="54" t="n">
        <v>830.025</v>
      </c>
      <c r="Z674" s="54" t="n">
        <v>4827.586207</v>
      </c>
      <c r="AA674" s="55">
        <f>IF(AND(A674="", B674="", E674=""), "", IF(AB674="", "Válido", IF((LEN(AB674)-LEN(SUBSTITUTE(AB674,"; ","")))/2+1&gt;(LEN(AB674)-LEN(SUBSTITUTE(AB674,"[Aviso]","")))/7, "Con Incidencias", "Válido")))</f>
        <v/>
      </c>
      <c r="AB674" s="56">
        <f>IF(AND(A674="", B674="", E674=""), "", TEXTJOIN("; ", TRUE, IF(OR(TRIM(A674&amp;"")="", ISNUMBER(SEARCH("FALTA", A674))), "UPC faltante/inválido", ""), IF(AND(A674&lt;&gt;"", IFERROR(_xlfn.XMATCH(A674,$A$2:$A$2509,0,1)&lt;&gt;_xlfn.XMATCH(A674,$A$2:$A$2509,0,-1),FALSE)), "Código de barras duplicado", ""), IF(AND(E674&lt;&gt;"", COUNTIF($E$2:$E$2509, E674)&gt;1), "SKU duplicado", ""), IF(OR(J674="", J674=""), "[Aviso] División no capturada ()", IF(ISNA(MATCH(J674, Criterios!$A$123:$A$126, 0)), "División no válida", "")), IF(OR(K674="", K674=""), "[Aviso] Categoría no capturada ()", IF(ISNA(MATCH(K674, Criterios!$A$81:$A$120, 0)), "Categoría no válida", IF(AND(J674&lt;&gt;"", J674&lt;&gt;"", J674&lt;&gt;VLOOKUP(K674, Criterios!$A$81:$B$120, 2, FALSE)), "División no coincide con Categoría", ""))), IF(OR(L674="", L674=""), "[Aviso] Género no capturado ()", IF(ISNA(MATCH(L674, Criterios!$B$123:$B$127, 0)), "Género no válido", "")), IF(OR(N674="", N674=""), "[Aviso] Temporada no capturada ()", IF(ISNA(MATCH(N674, Criterios!$C$123:$C$128, 0)), "Temporada no válida", "")), IF(OR(O674="", O674=""), "[Aviso] Ciclo de vida no capturado ()", IF(ISNA(MATCH(O674, Criterios!$D$123:$D$124, 0)), "Ciclo de vida no válido", ""))))</f>
        <v/>
      </c>
      <c r="AC674" s="56" t="n"/>
      <c r="AD674" s="51" t="n">
        <v>1</v>
      </c>
      <c r="AE674" s="156" t="inlineStr">
        <is>
          <t>STETSON AMERICAS (1)</t>
        </is>
      </c>
      <c r="AF674" s="51" t="n">
        <v>1</v>
      </c>
      <c r="AG674" s="156" t="inlineStr">
        <is>
          <t>Catálogo existente</t>
        </is>
      </c>
      <c r="AH67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74" s="156" t="inlineStr">
        <is>
          <t>No</t>
        </is>
      </c>
      <c r="AJ674" s="156" t="n"/>
      <c r="AK674" s="155" t="inlineStr">
        <is>
          <t>Criterios: I [Q]; G1522_Extraccion_Articulos_NetSuite_2026-09-30.xlsx: fila 59242 [R]</t>
        </is>
      </c>
      <c r="AL674" s="58" t="n">
        <v>830.025</v>
      </c>
      <c r="AM674" s="58" t="n">
        <v>4827.586207</v>
      </c>
      <c r="AN674" s="155" t="n"/>
      <c r="AO674" s="59" t="n"/>
      <c r="AP674" s="59" t="n"/>
      <c r="AQ674" s="59" t="n"/>
      <c r="AR674" s="155" t="n"/>
    </row>
    <row r="675">
      <c r="A675" s="50" t="inlineStr">
        <is>
          <t>12021002131036027</t>
        </is>
      </c>
      <c r="B675" s="51" t="inlineStr">
        <is>
          <t>111568</t>
        </is>
      </c>
      <c r="C675" s="156" t="inlineStr">
        <is>
          <t>Multimarca</t>
        </is>
      </c>
      <c r="D675" s="156" t="inlineStr">
        <is>
          <t>12-021-BS002-13-1036</t>
        </is>
      </c>
      <c r="E675" s="156" t="inlineStr">
        <is>
          <t>12-021-BS002-13-1036-027</t>
        </is>
      </c>
      <c r="F675" s="156" t="inlineStr">
        <is>
          <t>27</t>
        </is>
      </c>
      <c r="G675" s="156" t="inlineStr">
        <is>
          <t>10</t>
        </is>
      </c>
      <c r="H675" s="156" t="inlineStr">
        <is>
          <t>Stetson</t>
        </is>
      </c>
      <c r="I675" s="156" t="inlineStr">
        <is>
          <t>Bota Piel Café</t>
        </is>
      </c>
      <c r="J675" s="156" t="inlineStr">
        <is>
          <t>Calzado</t>
        </is>
      </c>
      <c r="K675" s="156" t="inlineStr">
        <is>
          <t>Botas</t>
        </is>
      </c>
      <c r="L675" s="156" t="inlineStr">
        <is>
          <t>Mujer</t>
        </is>
      </c>
      <c r="M675" s="156" t="inlineStr">
        <is>
          <t>Stetson</t>
        </is>
      </c>
      <c r="N675" s="156" t="inlineStr">
        <is>
          <t>SS26</t>
        </is>
      </c>
      <c r="O675" s="156" t="inlineStr">
        <is>
          <t>Seasonal</t>
        </is>
      </c>
      <c r="P675" s="156" t="inlineStr">
        <is>
          <t>Cafe</t>
        </is>
      </c>
      <c r="Q675" s="156" t="n"/>
      <c r="R675" s="156" t="inlineStr">
        <is>
          <t>Horma Alexia</t>
        </is>
      </c>
      <c r="S675" s="156" t="inlineStr">
        <is>
          <t>Piel bovina</t>
        </is>
      </c>
      <c r="T675" s="156" t="inlineStr">
        <is>
          <t>Bota Dama Piel bovina Boney Café Horma Alexia</t>
        </is>
      </c>
      <c r="U675" s="156" t="inlineStr">
        <is>
          <t>México</t>
        </is>
      </c>
      <c r="V675" s="156" t="inlineStr">
        <is>
          <t>PRS</t>
        </is>
      </c>
      <c r="W675" s="51" t="inlineStr">
        <is>
          <t>53111502</t>
        </is>
      </c>
      <c r="X675" s="156" t="n"/>
      <c r="Y675" s="54" t="n">
        <v>830.025</v>
      </c>
      <c r="Z675" s="54" t="n">
        <v>4827.586207</v>
      </c>
      <c r="AA675" s="55">
        <f>IF(AND(A675="", B675="", E675=""), "", IF(AB675="", "Válido", IF((LEN(AB675)-LEN(SUBSTITUTE(AB675,"; ","")))/2+1&gt;(LEN(AB675)-LEN(SUBSTITUTE(AB675,"[Aviso]","")))/7, "Con Incidencias", "Válido")))</f>
        <v/>
      </c>
      <c r="AB675" s="56">
        <f>IF(AND(A675="", B675="", E675=""), "", TEXTJOIN("; ", TRUE, IF(OR(TRIM(A675&amp;"")="", ISNUMBER(SEARCH("FALTA", A675))), "UPC faltante/inválido", ""), IF(AND(A675&lt;&gt;"", IFERROR(_xlfn.XMATCH(A675,$A$2:$A$2509,0,1)&lt;&gt;_xlfn.XMATCH(A675,$A$2:$A$2509,0,-1),FALSE)), "Código de barras duplicado", ""), IF(AND(E675&lt;&gt;"", COUNTIF($E$2:$E$2509, E675)&gt;1), "SKU duplicado", ""), IF(OR(J675="", J675=""), "[Aviso] División no capturada ()", IF(ISNA(MATCH(J675, Criterios!$A$123:$A$126, 0)), "División no válida", "")), IF(OR(K675="", K675=""), "[Aviso] Categoría no capturada ()", IF(ISNA(MATCH(K675, Criterios!$A$81:$A$120, 0)), "Categoría no válida", IF(AND(J675&lt;&gt;"", J675&lt;&gt;"", J675&lt;&gt;VLOOKUP(K675, Criterios!$A$81:$B$120, 2, FALSE)), "División no coincide con Categoría", ""))), IF(OR(L675="", L675=""), "[Aviso] Género no capturado ()", IF(ISNA(MATCH(L675, Criterios!$B$123:$B$127, 0)), "Género no válido", "")), IF(OR(N675="", N675=""), "[Aviso] Temporada no capturada ()", IF(ISNA(MATCH(N675, Criterios!$C$123:$C$128, 0)), "Temporada no válida", "")), IF(OR(O675="", O675=""), "[Aviso] Ciclo de vida no capturado ()", IF(ISNA(MATCH(O675, Criterios!$D$123:$D$124, 0)), "Ciclo de vida no válido", ""))))</f>
        <v/>
      </c>
      <c r="AC675" s="56" t="n"/>
      <c r="AD675" s="51" t="n">
        <v>0</v>
      </c>
      <c r="AE675" s="156" t="n"/>
      <c r="AF675" s="51" t="n">
        <v>0</v>
      </c>
      <c r="AG675" s="156" t="inlineStr">
        <is>
          <t>Catálogo existente</t>
        </is>
      </c>
      <c r="AH67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75" s="156" t="inlineStr">
        <is>
          <t>No</t>
        </is>
      </c>
      <c r="AJ675" s="156" t="n"/>
      <c r="AK675" s="155" t="inlineStr">
        <is>
          <t>Criterios: I [Q]; G1522_Extraccion_Articulos_NetSuite_2026-09-30.xlsx: fila 59243 [R]</t>
        </is>
      </c>
      <c r="AL675" s="58" t="n">
        <v>830.025</v>
      </c>
      <c r="AM675" s="58" t="n">
        <v>4827.586207</v>
      </c>
      <c r="AN675" s="155" t="n"/>
      <c r="AO675" s="59" t="n"/>
      <c r="AP675" s="59" t="n"/>
      <c r="AQ675" s="59" t="n"/>
      <c r="AR675" s="155" t="n"/>
    </row>
    <row r="676">
      <c r="A676" s="50" t="inlineStr">
        <is>
          <t>12021002131036225</t>
        </is>
      </c>
      <c r="B676" s="51" t="inlineStr">
        <is>
          <t>111576</t>
        </is>
      </c>
      <c r="C676" s="156" t="inlineStr">
        <is>
          <t>Multimarca</t>
        </is>
      </c>
      <c r="D676" s="156" t="inlineStr">
        <is>
          <t>12-021-BS002-13-1036</t>
        </is>
      </c>
      <c r="E676" s="156" t="inlineStr">
        <is>
          <t>12-021-BS002-13-1036-225</t>
        </is>
      </c>
      <c r="F676" s="156" t="inlineStr">
        <is>
          <t>22.5</t>
        </is>
      </c>
      <c r="G676" s="156" t="inlineStr">
        <is>
          <t>5.5</t>
        </is>
      </c>
      <c r="H676" s="156" t="inlineStr">
        <is>
          <t>Stetson</t>
        </is>
      </c>
      <c r="I676" s="156" t="inlineStr">
        <is>
          <t>Bota Piel Café</t>
        </is>
      </c>
      <c r="J676" s="156" t="inlineStr">
        <is>
          <t>Calzado</t>
        </is>
      </c>
      <c r="K676" s="156" t="inlineStr">
        <is>
          <t>Botas</t>
        </is>
      </c>
      <c r="L676" s="156" t="inlineStr">
        <is>
          <t>Mujer</t>
        </is>
      </c>
      <c r="M676" s="156" t="inlineStr">
        <is>
          <t>Stetson</t>
        </is>
      </c>
      <c r="N676" s="156" t="inlineStr">
        <is>
          <t>SS26</t>
        </is>
      </c>
      <c r="O676" s="156" t="inlineStr">
        <is>
          <t>Seasonal</t>
        </is>
      </c>
      <c r="P676" s="156" t="inlineStr">
        <is>
          <t>Cafe</t>
        </is>
      </c>
      <c r="Q676" s="156" t="n"/>
      <c r="R676" s="156" t="inlineStr">
        <is>
          <t>Horma Alexia</t>
        </is>
      </c>
      <c r="S676" s="156" t="inlineStr">
        <is>
          <t>Piel bovina</t>
        </is>
      </c>
      <c r="T676" s="156" t="inlineStr">
        <is>
          <t>Bota Dama Piel bovina Boney Café Horma Alexia</t>
        </is>
      </c>
      <c r="U676" s="156" t="inlineStr">
        <is>
          <t>México</t>
        </is>
      </c>
      <c r="V676" s="156" t="inlineStr">
        <is>
          <t>PRS</t>
        </is>
      </c>
      <c r="W676" s="51" t="inlineStr">
        <is>
          <t>53111502</t>
        </is>
      </c>
      <c r="X676" s="156" t="n"/>
      <c r="Y676" s="54" t="n">
        <v>830.025</v>
      </c>
      <c r="Z676" s="54" t="n">
        <v>4827.586207</v>
      </c>
      <c r="AA676" s="55">
        <f>IF(AND(A676="", B676="", E676=""), "", IF(AB676="", "Válido", IF((LEN(AB676)-LEN(SUBSTITUTE(AB676,"; ","")))/2+1&gt;(LEN(AB676)-LEN(SUBSTITUTE(AB676,"[Aviso]","")))/7, "Con Incidencias", "Válido")))</f>
        <v/>
      </c>
      <c r="AB676" s="56">
        <f>IF(AND(A676="", B676="", E676=""), "", TEXTJOIN("; ", TRUE, IF(OR(TRIM(A676&amp;"")="", ISNUMBER(SEARCH("FALTA", A676))), "UPC faltante/inválido", ""), IF(AND(A676&lt;&gt;"", IFERROR(_xlfn.XMATCH(A676,$A$2:$A$2509,0,1)&lt;&gt;_xlfn.XMATCH(A676,$A$2:$A$2509,0,-1),FALSE)), "Código de barras duplicado", ""), IF(AND(E676&lt;&gt;"", COUNTIF($E$2:$E$2509, E676)&gt;1), "SKU duplicado", ""), IF(OR(J676="", J676=""), "[Aviso] División no capturada ()", IF(ISNA(MATCH(J676, Criterios!$A$123:$A$126, 0)), "División no válida", "")), IF(OR(K676="", K676=""), "[Aviso] Categoría no capturada ()", IF(ISNA(MATCH(K676, Criterios!$A$81:$A$120, 0)), "Categoría no válida", IF(AND(J676&lt;&gt;"", J676&lt;&gt;"", J676&lt;&gt;VLOOKUP(K676, Criterios!$A$81:$B$120, 2, FALSE)), "División no coincide con Categoría", ""))), IF(OR(L676="", L676=""), "[Aviso] Género no capturado ()", IF(ISNA(MATCH(L676, Criterios!$B$123:$B$127, 0)), "Género no válido", "")), IF(OR(N676="", N676=""), "[Aviso] Temporada no capturada ()", IF(ISNA(MATCH(N676, Criterios!$C$123:$C$128, 0)), "Temporada no válida", "")), IF(OR(O676="", O676=""), "[Aviso] Ciclo de vida no capturado ()", IF(ISNA(MATCH(O676, Criterios!$D$123:$D$124, 0)), "Ciclo de vida no válido", ""))))</f>
        <v/>
      </c>
      <c r="AC676" s="56" t="n"/>
      <c r="AD676" s="51" t="n">
        <v>0</v>
      </c>
      <c r="AE676" s="156" t="n"/>
      <c r="AF676" s="51" t="n">
        <v>0</v>
      </c>
      <c r="AG676" s="156" t="inlineStr">
        <is>
          <t>Catálogo existente</t>
        </is>
      </c>
      <c r="AH6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6" s="156" t="inlineStr">
        <is>
          <t>No</t>
        </is>
      </c>
      <c r="AJ676" s="156" t="n"/>
      <c r="AK676" s="155" t="inlineStr">
        <is>
          <t>Criterios: I [Q]; G1522_Extraccion_Articulos_NetSuite_2026-09-30.xlsx: fila 59251 [R] | Shopify Stetson: producto 15054564950379 / variante 53350559646059</t>
        </is>
      </c>
      <c r="AL676" s="58" t="n">
        <v>830.025</v>
      </c>
      <c r="AM676" s="58" t="n">
        <v>4827.586207</v>
      </c>
      <c r="AN676" s="155" t="inlineStr">
        <is>
          <t>Shopify Stetson México</t>
        </is>
      </c>
      <c r="AO676" s="59" t="n">
        <v>0</v>
      </c>
      <c r="AP676" s="59" t="n"/>
      <c r="AQ676" s="59" t="n"/>
      <c r="AR676" s="155" t="n"/>
    </row>
    <row r="677">
      <c r="A677" s="50" t="inlineStr">
        <is>
          <t>12021002131036235</t>
        </is>
      </c>
      <c r="B677" s="51" t="inlineStr">
        <is>
          <t>111577</t>
        </is>
      </c>
      <c r="C677" s="156" t="inlineStr">
        <is>
          <t>Multimarca</t>
        </is>
      </c>
      <c r="D677" s="156" t="inlineStr">
        <is>
          <t>12-021-BS002-13-1036</t>
        </is>
      </c>
      <c r="E677" s="156" t="inlineStr">
        <is>
          <t>12-021-BS002-13-1036-235</t>
        </is>
      </c>
      <c r="F677" s="156" t="inlineStr">
        <is>
          <t>23.5</t>
        </is>
      </c>
      <c r="G677" s="156" t="inlineStr">
        <is>
          <t>6.5</t>
        </is>
      </c>
      <c r="H677" s="156" t="inlineStr">
        <is>
          <t>Stetson</t>
        </is>
      </c>
      <c r="I677" s="156" t="inlineStr">
        <is>
          <t>Bota Piel Café</t>
        </is>
      </c>
      <c r="J677" s="156" t="inlineStr">
        <is>
          <t>Calzado</t>
        </is>
      </c>
      <c r="K677" s="156" t="inlineStr">
        <is>
          <t>Botas</t>
        </is>
      </c>
      <c r="L677" s="156" t="inlineStr">
        <is>
          <t>Mujer</t>
        </is>
      </c>
      <c r="M677" s="156" t="inlineStr">
        <is>
          <t>Stetson</t>
        </is>
      </c>
      <c r="N677" s="156" t="inlineStr">
        <is>
          <t>SS26</t>
        </is>
      </c>
      <c r="O677" s="156" t="inlineStr">
        <is>
          <t>Seasonal</t>
        </is>
      </c>
      <c r="P677" s="156" t="inlineStr">
        <is>
          <t>Cafe</t>
        </is>
      </c>
      <c r="Q677" s="156" t="n"/>
      <c r="R677" s="156" t="inlineStr">
        <is>
          <t>Horma Alexia</t>
        </is>
      </c>
      <c r="S677" s="156" t="inlineStr">
        <is>
          <t>Piel bovina</t>
        </is>
      </c>
      <c r="T677" s="156" t="inlineStr">
        <is>
          <t>Bota Dama Piel bovina Boney Café Horma Alexia</t>
        </is>
      </c>
      <c r="U677" s="156" t="inlineStr">
        <is>
          <t>México</t>
        </is>
      </c>
      <c r="V677" s="156" t="inlineStr">
        <is>
          <t>PRS</t>
        </is>
      </c>
      <c r="W677" s="51" t="inlineStr">
        <is>
          <t>53111502</t>
        </is>
      </c>
      <c r="X677" s="156" t="n"/>
      <c r="Y677" s="54" t="n">
        <v>830.025</v>
      </c>
      <c r="Z677" s="54" t="n">
        <v>4827.586207</v>
      </c>
      <c r="AA677" s="55">
        <f>IF(AND(A677="", B677="", E677=""), "", IF(AB677="", "Válido", IF((LEN(AB677)-LEN(SUBSTITUTE(AB677,"; ","")))/2+1&gt;(LEN(AB677)-LEN(SUBSTITUTE(AB677,"[Aviso]","")))/7, "Con Incidencias", "Válido")))</f>
        <v/>
      </c>
      <c r="AB677" s="56">
        <f>IF(AND(A677="", B677="", E677=""), "", TEXTJOIN("; ", TRUE, IF(OR(TRIM(A677&amp;"")="", ISNUMBER(SEARCH("FALTA", A677))), "UPC faltante/inválido", ""), IF(AND(A677&lt;&gt;"", IFERROR(_xlfn.XMATCH(A677,$A$2:$A$2509,0,1)&lt;&gt;_xlfn.XMATCH(A677,$A$2:$A$2509,0,-1),FALSE)), "Código de barras duplicado", ""), IF(AND(E677&lt;&gt;"", COUNTIF($E$2:$E$2509, E677)&gt;1), "SKU duplicado", ""), IF(OR(J677="", J677=""), "[Aviso] División no capturada ()", IF(ISNA(MATCH(J677, Criterios!$A$123:$A$126, 0)), "División no válida", "")), IF(OR(K677="", K677=""), "[Aviso] Categoría no capturada ()", IF(ISNA(MATCH(K677, Criterios!$A$81:$A$120, 0)), "Categoría no válida", IF(AND(J677&lt;&gt;"", J677&lt;&gt;"", J677&lt;&gt;VLOOKUP(K677, Criterios!$A$81:$B$120, 2, FALSE)), "División no coincide con Categoría", ""))), IF(OR(L677="", L677=""), "[Aviso] Género no capturado ()", IF(ISNA(MATCH(L677, Criterios!$B$123:$B$127, 0)), "Género no válido", "")), IF(OR(N677="", N677=""), "[Aviso] Temporada no capturada ()", IF(ISNA(MATCH(N677, Criterios!$C$123:$C$128, 0)), "Temporada no válida", "")), IF(OR(O677="", O677=""), "[Aviso] Ciclo de vida no capturado ()", IF(ISNA(MATCH(O677, Criterios!$D$123:$D$124, 0)), "Ciclo de vida no válido", ""))))</f>
        <v/>
      </c>
      <c r="AC677" s="56" t="n"/>
      <c r="AD677" s="51" t="n">
        <v>1</v>
      </c>
      <c r="AE677" s="156" t="inlineStr">
        <is>
          <t>PUNTO DE VENTA (1)</t>
        </is>
      </c>
      <c r="AF677" s="51" t="n">
        <v>1</v>
      </c>
      <c r="AG677" s="156" t="inlineStr">
        <is>
          <t>Catálogo existente</t>
        </is>
      </c>
      <c r="AH6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7" s="156" t="inlineStr">
        <is>
          <t>No</t>
        </is>
      </c>
      <c r="AJ677" s="156" t="n"/>
      <c r="AK677" s="155" t="inlineStr">
        <is>
          <t>Criterios: I [Q]; G1522_Extraccion_Articulos_NetSuite_2026-09-30.xlsx: fila 59252 [R] | Shopify Stetson: producto 15054564950379 / variante 53350559711595</t>
        </is>
      </c>
      <c r="AL677" s="58" t="n">
        <v>830.025</v>
      </c>
      <c r="AM677" s="58" t="n">
        <v>4827.586207</v>
      </c>
      <c r="AN677" s="155" t="inlineStr">
        <is>
          <t>Shopify Stetson México</t>
        </is>
      </c>
      <c r="AO677" s="59" t="n">
        <v>0</v>
      </c>
      <c r="AP677" s="59" t="n"/>
      <c r="AQ677" s="59" t="n"/>
      <c r="AR677" s="155" t="n"/>
    </row>
    <row r="678">
      <c r="A678" s="50" t="inlineStr">
        <is>
          <t>12021002131036245</t>
        </is>
      </c>
      <c r="B678" s="51" t="inlineStr">
        <is>
          <t>111578</t>
        </is>
      </c>
      <c r="C678" s="156" t="inlineStr">
        <is>
          <t>Multimarca</t>
        </is>
      </c>
      <c r="D678" s="156" t="inlineStr">
        <is>
          <t>12-021-BS002-13-1036</t>
        </is>
      </c>
      <c r="E678" s="156" t="inlineStr">
        <is>
          <t>12-021-BS002-13-1036-245</t>
        </is>
      </c>
      <c r="F678" s="156" t="inlineStr">
        <is>
          <t>24.5</t>
        </is>
      </c>
      <c r="G678" s="156" t="inlineStr">
        <is>
          <t>7.5</t>
        </is>
      </c>
      <c r="H678" s="156" t="inlineStr">
        <is>
          <t>Stetson</t>
        </is>
      </c>
      <c r="I678" s="156" t="inlineStr">
        <is>
          <t>Bota Piel Café</t>
        </is>
      </c>
      <c r="J678" s="156" t="inlineStr">
        <is>
          <t>Calzado</t>
        </is>
      </c>
      <c r="K678" s="156" t="inlineStr">
        <is>
          <t>Botas</t>
        </is>
      </c>
      <c r="L678" s="156" t="inlineStr">
        <is>
          <t>Mujer</t>
        </is>
      </c>
      <c r="M678" s="156" t="inlineStr">
        <is>
          <t>Stetson</t>
        </is>
      </c>
      <c r="N678" s="156" t="inlineStr">
        <is>
          <t>SS26</t>
        </is>
      </c>
      <c r="O678" s="156" t="inlineStr">
        <is>
          <t>Seasonal</t>
        </is>
      </c>
      <c r="P678" s="156" t="inlineStr">
        <is>
          <t>Cafe</t>
        </is>
      </c>
      <c r="Q678" s="156" t="n"/>
      <c r="R678" s="156" t="inlineStr">
        <is>
          <t>Horma Alexia</t>
        </is>
      </c>
      <c r="S678" s="156" t="inlineStr">
        <is>
          <t>Piel bovina</t>
        </is>
      </c>
      <c r="T678" s="156" t="inlineStr">
        <is>
          <t>Bota Dama Piel bovina Boney Café Horma Alexia</t>
        </is>
      </c>
      <c r="U678" s="156" t="inlineStr">
        <is>
          <t>México</t>
        </is>
      </c>
      <c r="V678" s="156" t="inlineStr">
        <is>
          <t>PRS</t>
        </is>
      </c>
      <c r="W678" s="51" t="inlineStr">
        <is>
          <t>53111502</t>
        </is>
      </c>
      <c r="X678" s="156" t="n"/>
      <c r="Y678" s="54" t="n">
        <v>830.025</v>
      </c>
      <c r="Z678" s="54" t="n">
        <v>4827.586207</v>
      </c>
      <c r="AA678" s="55">
        <f>IF(AND(A678="", B678="", E678=""), "", IF(AB678="", "Válido", IF((LEN(AB678)-LEN(SUBSTITUTE(AB678,"; ","")))/2+1&gt;(LEN(AB678)-LEN(SUBSTITUTE(AB678,"[Aviso]","")))/7, "Con Incidencias", "Válido")))</f>
        <v/>
      </c>
      <c r="AB678" s="56">
        <f>IF(AND(A678="", B678="", E678=""), "", TEXTJOIN("; ", TRUE, IF(OR(TRIM(A678&amp;"")="", ISNUMBER(SEARCH("FALTA", A678))), "UPC faltante/inválido", ""), IF(AND(A678&lt;&gt;"", IFERROR(_xlfn.XMATCH(A678,$A$2:$A$2509,0,1)&lt;&gt;_xlfn.XMATCH(A678,$A$2:$A$2509,0,-1),FALSE)), "Código de barras duplicado", ""), IF(AND(E678&lt;&gt;"", COUNTIF($E$2:$E$2509, E678)&gt;1), "SKU duplicado", ""), IF(OR(J678="", J678=""), "[Aviso] División no capturada ()", IF(ISNA(MATCH(J678, Criterios!$A$123:$A$126, 0)), "División no válida", "")), IF(OR(K678="", K678=""), "[Aviso] Categoría no capturada ()", IF(ISNA(MATCH(K678, Criterios!$A$81:$A$120, 0)), "Categoría no válida", IF(AND(J678&lt;&gt;"", J678&lt;&gt;"", J678&lt;&gt;VLOOKUP(K678, Criterios!$A$81:$B$120, 2, FALSE)), "División no coincide con Categoría", ""))), IF(OR(L678="", L678=""), "[Aviso] Género no capturado ()", IF(ISNA(MATCH(L678, Criterios!$B$123:$B$127, 0)), "Género no válido", "")), IF(OR(N678="", N678=""), "[Aviso] Temporada no capturada ()", IF(ISNA(MATCH(N678, Criterios!$C$123:$C$128, 0)), "Temporada no válida", "")), IF(OR(O678="", O678=""), "[Aviso] Ciclo de vida no capturado ()", IF(ISNA(MATCH(O678, Criterios!$D$123:$D$124, 0)), "Ciclo de vida no válido", ""))))</f>
        <v/>
      </c>
      <c r="AC678" s="56" t="n"/>
      <c r="AD678" s="51" t="n">
        <v>2</v>
      </c>
      <c r="AE678" s="156" t="inlineStr">
        <is>
          <t>STETSON AMERICAS (2)</t>
        </is>
      </c>
      <c r="AF678" s="51" t="n">
        <v>2</v>
      </c>
      <c r="AG678" s="156" t="inlineStr">
        <is>
          <t>Catálogo existente</t>
        </is>
      </c>
      <c r="AH6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78" s="156" t="inlineStr">
        <is>
          <t>No</t>
        </is>
      </c>
      <c r="AJ678" s="156" t="n"/>
      <c r="AK678" s="155" t="inlineStr">
        <is>
          <t>Criterios: I [Q]; G1522_Extraccion_Articulos_NetSuite_2026-09-30.xlsx: fila 59253 [R] | Shopify Stetson: producto 15054564950379 / variante 53350559777131</t>
        </is>
      </c>
      <c r="AL678" s="58" t="n">
        <v>830.025</v>
      </c>
      <c r="AM678" s="58" t="n">
        <v>4827.586207</v>
      </c>
      <c r="AN678" s="155" t="inlineStr">
        <is>
          <t>Shopify Stetson México</t>
        </is>
      </c>
      <c r="AO678" s="59" t="n">
        <v>2</v>
      </c>
      <c r="AP678" s="59" t="n"/>
      <c r="AQ678" s="59" t="n"/>
      <c r="AR678" s="155" t="inlineStr">
        <is>
          <t>Shopify Stetson México › Stetson Americas: 2</t>
        </is>
      </c>
    </row>
    <row r="679">
      <c r="A679" s="50" t="inlineStr">
        <is>
          <t>12021002131036255</t>
        </is>
      </c>
      <c r="B679" s="51" t="inlineStr">
        <is>
          <t>111569</t>
        </is>
      </c>
      <c r="C679" s="156" t="inlineStr">
        <is>
          <t>Multimarca</t>
        </is>
      </c>
      <c r="D679" s="156" t="inlineStr">
        <is>
          <t>12-021-BS002-13-1036</t>
        </is>
      </c>
      <c r="E679" s="156" t="inlineStr">
        <is>
          <t>12-021-BS002-13-1036-255</t>
        </is>
      </c>
      <c r="F679" s="156" t="inlineStr">
        <is>
          <t>25.5</t>
        </is>
      </c>
      <c r="G679" s="156" t="inlineStr">
        <is>
          <t>8.5</t>
        </is>
      </c>
      <c r="H679" s="156" t="inlineStr">
        <is>
          <t>Stetson</t>
        </is>
      </c>
      <c r="I679" s="156" t="inlineStr">
        <is>
          <t>Bota Piel Café</t>
        </is>
      </c>
      <c r="J679" s="156" t="inlineStr">
        <is>
          <t>Calzado</t>
        </is>
      </c>
      <c r="K679" s="156" t="inlineStr">
        <is>
          <t>Botas</t>
        </is>
      </c>
      <c r="L679" s="156" t="inlineStr">
        <is>
          <t>Mujer</t>
        </is>
      </c>
      <c r="M679" s="156" t="inlineStr">
        <is>
          <t>Stetson</t>
        </is>
      </c>
      <c r="N679" s="156" t="inlineStr">
        <is>
          <t>SS26</t>
        </is>
      </c>
      <c r="O679" s="156" t="inlineStr">
        <is>
          <t>Seasonal</t>
        </is>
      </c>
      <c r="P679" s="156" t="inlineStr">
        <is>
          <t>Cafe</t>
        </is>
      </c>
      <c r="Q679" s="156" t="n"/>
      <c r="R679" s="156" t="inlineStr">
        <is>
          <t>Horma Alexia</t>
        </is>
      </c>
      <c r="S679" s="156" t="inlineStr">
        <is>
          <t>Piel bovina</t>
        </is>
      </c>
      <c r="T679" s="156" t="inlineStr">
        <is>
          <t>Bota Dama Piel bovina Boney Café Horma Alexia</t>
        </is>
      </c>
      <c r="U679" s="156" t="inlineStr">
        <is>
          <t>México</t>
        </is>
      </c>
      <c r="V679" s="156" t="inlineStr">
        <is>
          <t>PRS</t>
        </is>
      </c>
      <c r="W679" s="51" t="inlineStr">
        <is>
          <t>53111502</t>
        </is>
      </c>
      <c r="X679" s="156" t="n"/>
      <c r="Y679" s="54" t="n">
        <v>830.025</v>
      </c>
      <c r="Z679" s="54" t="n">
        <v>4827.586207</v>
      </c>
      <c r="AA679" s="55">
        <f>IF(AND(A679="", B679="", E679=""), "", IF(AB679="", "Válido", IF((LEN(AB679)-LEN(SUBSTITUTE(AB679,"; ","")))/2+1&gt;(LEN(AB679)-LEN(SUBSTITUTE(AB679,"[Aviso]","")))/7, "Con Incidencias", "Válido")))</f>
        <v/>
      </c>
      <c r="AB679" s="56">
        <f>IF(AND(A679="", B679="", E679=""), "", TEXTJOIN("; ", TRUE, IF(OR(TRIM(A679&amp;"")="", ISNUMBER(SEARCH("FALTA", A679))), "UPC faltante/inválido", ""), IF(AND(A679&lt;&gt;"", IFERROR(_xlfn.XMATCH(A679,$A$2:$A$2509,0,1)&lt;&gt;_xlfn.XMATCH(A679,$A$2:$A$2509,0,-1),FALSE)), "Código de barras duplicado", ""), IF(AND(E679&lt;&gt;"", COUNTIF($E$2:$E$2509, E679)&gt;1), "SKU duplicado", ""), IF(OR(J679="", J679=""), "[Aviso] División no capturada ()", IF(ISNA(MATCH(J679, Criterios!$A$123:$A$126, 0)), "División no válida", "")), IF(OR(K679="", K679=""), "[Aviso] Categoría no capturada ()", IF(ISNA(MATCH(K679, Criterios!$A$81:$A$120, 0)), "Categoría no válida", IF(AND(J679&lt;&gt;"", J679&lt;&gt;"", J679&lt;&gt;VLOOKUP(K679, Criterios!$A$81:$B$120, 2, FALSE)), "División no coincide con Categoría", ""))), IF(OR(L679="", L679=""), "[Aviso] Género no capturado ()", IF(ISNA(MATCH(L679, Criterios!$B$123:$B$127, 0)), "Género no válido", "")), IF(OR(N679="", N679=""), "[Aviso] Temporada no capturada ()", IF(ISNA(MATCH(N679, Criterios!$C$123:$C$128, 0)), "Temporada no válida", "")), IF(OR(O679="", O679=""), "[Aviso] Ciclo de vida no capturado ()", IF(ISNA(MATCH(O679, Criterios!$D$123:$D$124, 0)), "Ciclo de vida no válido", ""))))</f>
        <v/>
      </c>
      <c r="AC679" s="56" t="n"/>
      <c r="AD679" s="51" t="n">
        <v>2</v>
      </c>
      <c r="AE679" s="156" t="inlineStr">
        <is>
          <t>STETSON AMERICAS (2)</t>
        </is>
      </c>
      <c r="AF679" s="51" t="n">
        <v>2</v>
      </c>
      <c r="AG679" s="156" t="inlineStr">
        <is>
          <t>Catálogo existente</t>
        </is>
      </c>
      <c r="AH67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79" s="156" t="inlineStr">
        <is>
          <t>No</t>
        </is>
      </c>
      <c r="AJ679" s="156" t="n"/>
      <c r="AK679" s="155" t="inlineStr">
        <is>
          <t>Criterios: I [Q]; G1522_Extraccion_Articulos_NetSuite_2026-09-30.xlsx: fila 59244 [R]</t>
        </is>
      </c>
      <c r="AL679" s="58" t="n">
        <v>830.025</v>
      </c>
      <c r="AM679" s="58" t="n">
        <v>4827.586207</v>
      </c>
      <c r="AN679" s="155" t="n"/>
      <c r="AO679" s="59" t="n"/>
      <c r="AP679" s="59" t="n"/>
      <c r="AQ679" s="59" t="n"/>
      <c r="AR679" s="155" t="n"/>
    </row>
    <row r="680">
      <c r="A680" s="50" t="inlineStr">
        <is>
          <t>12021002131036265</t>
        </is>
      </c>
      <c r="B680" s="51" t="inlineStr">
        <is>
          <t>111570</t>
        </is>
      </c>
      <c r="C680" s="156" t="inlineStr">
        <is>
          <t>Multimarca</t>
        </is>
      </c>
      <c r="D680" s="156" t="inlineStr">
        <is>
          <t>12-021-BS002-13-1036</t>
        </is>
      </c>
      <c r="E680" s="156" t="inlineStr">
        <is>
          <t>12-021-BS002-13-1036-265</t>
        </is>
      </c>
      <c r="F680" s="156" t="inlineStr">
        <is>
          <t>26.5</t>
        </is>
      </c>
      <c r="G680" s="156" t="inlineStr">
        <is>
          <t>9.5</t>
        </is>
      </c>
      <c r="H680" s="156" t="inlineStr">
        <is>
          <t>Stetson</t>
        </is>
      </c>
      <c r="I680" s="156" t="inlineStr">
        <is>
          <t>Bota Piel Café</t>
        </is>
      </c>
      <c r="J680" s="156" t="inlineStr">
        <is>
          <t>Calzado</t>
        </is>
      </c>
      <c r="K680" s="156" t="inlineStr">
        <is>
          <t>Botas</t>
        </is>
      </c>
      <c r="L680" s="156" t="inlineStr">
        <is>
          <t>Mujer</t>
        </is>
      </c>
      <c r="M680" s="156" t="inlineStr">
        <is>
          <t>Stetson</t>
        </is>
      </c>
      <c r="N680" s="156" t="inlineStr">
        <is>
          <t>SS26</t>
        </is>
      </c>
      <c r="O680" s="156" t="inlineStr">
        <is>
          <t>Seasonal</t>
        </is>
      </c>
      <c r="P680" s="156" t="inlineStr">
        <is>
          <t>Cafe</t>
        </is>
      </c>
      <c r="Q680" s="156" t="n"/>
      <c r="R680" s="156" t="inlineStr">
        <is>
          <t>Horma Alexia</t>
        </is>
      </c>
      <c r="S680" s="156" t="inlineStr">
        <is>
          <t>Piel bovina</t>
        </is>
      </c>
      <c r="T680" s="156" t="inlineStr">
        <is>
          <t>Bota Dama Piel bovina Boney Café Horma Alexia</t>
        </is>
      </c>
      <c r="U680" s="156" t="inlineStr">
        <is>
          <t>México</t>
        </is>
      </c>
      <c r="V680" s="156" t="inlineStr">
        <is>
          <t>PRS</t>
        </is>
      </c>
      <c r="W680" s="51" t="inlineStr">
        <is>
          <t>53111502</t>
        </is>
      </c>
      <c r="X680" s="156" t="n"/>
      <c r="Y680" s="54" t="n">
        <v>830.025</v>
      </c>
      <c r="Z680" s="54" t="n">
        <v>4827.586207</v>
      </c>
      <c r="AA680" s="55">
        <f>IF(AND(A680="", B680="", E680=""), "", IF(AB680="", "Válido", IF((LEN(AB680)-LEN(SUBSTITUTE(AB680,"; ","")))/2+1&gt;(LEN(AB680)-LEN(SUBSTITUTE(AB680,"[Aviso]","")))/7, "Con Incidencias", "Válido")))</f>
        <v/>
      </c>
      <c r="AB680" s="56">
        <f>IF(AND(A680="", B680="", E680=""), "", TEXTJOIN("; ", TRUE, IF(OR(TRIM(A680&amp;"")="", ISNUMBER(SEARCH("FALTA", A680))), "UPC faltante/inválido", ""), IF(AND(A680&lt;&gt;"", IFERROR(_xlfn.XMATCH(A680,$A$2:$A$2509,0,1)&lt;&gt;_xlfn.XMATCH(A680,$A$2:$A$2509,0,-1),FALSE)), "Código de barras duplicado", ""), IF(AND(E680&lt;&gt;"", COUNTIF($E$2:$E$2509, E680)&gt;1), "SKU duplicado", ""), IF(OR(J680="", J680=""), "[Aviso] División no capturada ()", IF(ISNA(MATCH(J680, Criterios!$A$123:$A$126, 0)), "División no válida", "")), IF(OR(K680="", K680=""), "[Aviso] Categoría no capturada ()", IF(ISNA(MATCH(K680, Criterios!$A$81:$A$120, 0)), "Categoría no válida", IF(AND(J680&lt;&gt;"", J680&lt;&gt;"", J680&lt;&gt;VLOOKUP(K680, Criterios!$A$81:$B$120, 2, FALSE)), "División no coincide con Categoría", ""))), IF(OR(L680="", L680=""), "[Aviso] Género no capturado ()", IF(ISNA(MATCH(L680, Criterios!$B$123:$B$127, 0)), "Género no válido", "")), IF(OR(N680="", N680=""), "[Aviso] Temporada no capturada ()", IF(ISNA(MATCH(N680, Criterios!$C$123:$C$128, 0)), "Temporada no válida", "")), IF(OR(O680="", O680=""), "[Aviso] Ciclo de vida no capturado ()", IF(ISNA(MATCH(O680, Criterios!$D$123:$D$124, 0)), "Ciclo de vida no válido", ""))))</f>
        <v/>
      </c>
      <c r="AC680" s="56" t="n"/>
      <c r="AD680" s="51" t="n">
        <v>1</v>
      </c>
      <c r="AE680" s="156" t="inlineStr">
        <is>
          <t>STETSON AMERICAS (1)</t>
        </is>
      </c>
      <c r="AF680" s="51" t="n">
        <v>1</v>
      </c>
      <c r="AG680" s="156" t="inlineStr">
        <is>
          <t>Catálogo existente</t>
        </is>
      </c>
      <c r="AH68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0" s="156" t="inlineStr">
        <is>
          <t>No</t>
        </is>
      </c>
      <c r="AJ680" s="156" t="n"/>
      <c r="AK680" s="155" t="inlineStr">
        <is>
          <t>Criterios: I [Q]; G1522_Extraccion_Articulos_NetSuite_2026-09-30.xlsx: fila 59245 [R]</t>
        </is>
      </c>
      <c r="AL680" s="58" t="n">
        <v>830.025</v>
      </c>
      <c r="AM680" s="58" t="n">
        <v>4827.586207</v>
      </c>
      <c r="AN680" s="155" t="n"/>
      <c r="AO680" s="59" t="n"/>
      <c r="AP680" s="59" t="n"/>
      <c r="AQ680" s="59" t="n"/>
      <c r="AR680" s="155" t="n"/>
    </row>
    <row r="681">
      <c r="A681" s="50" t="inlineStr">
        <is>
          <t>12021002131036275</t>
        </is>
      </c>
      <c r="B681" s="51" t="inlineStr">
        <is>
          <t>111571</t>
        </is>
      </c>
      <c r="C681" s="156" t="inlineStr">
        <is>
          <t>Multimarca</t>
        </is>
      </c>
      <c r="D681" s="156" t="inlineStr">
        <is>
          <t>12-021-BS002-13-1036</t>
        </is>
      </c>
      <c r="E681" s="156" t="inlineStr">
        <is>
          <t>12-021-BS002-13-1036-275</t>
        </is>
      </c>
      <c r="F681" s="156" t="inlineStr">
        <is>
          <t>27.5</t>
        </is>
      </c>
      <c r="G681" s="156" t="inlineStr">
        <is>
          <t>10.5</t>
        </is>
      </c>
      <c r="H681" s="156" t="inlineStr">
        <is>
          <t>Stetson</t>
        </is>
      </c>
      <c r="I681" s="156" t="inlineStr">
        <is>
          <t>Bota Piel Café</t>
        </is>
      </c>
      <c r="J681" s="156" t="inlineStr">
        <is>
          <t>Calzado</t>
        </is>
      </c>
      <c r="K681" s="156" t="inlineStr">
        <is>
          <t>Botas</t>
        </is>
      </c>
      <c r="L681" s="156" t="inlineStr">
        <is>
          <t>Mujer</t>
        </is>
      </c>
      <c r="M681" s="156" t="inlineStr">
        <is>
          <t>Stetson</t>
        </is>
      </c>
      <c r="N681" s="156" t="inlineStr">
        <is>
          <t>SS26</t>
        </is>
      </c>
      <c r="O681" s="156" t="inlineStr">
        <is>
          <t>Seasonal</t>
        </is>
      </c>
      <c r="P681" s="156" t="inlineStr">
        <is>
          <t>Cafe</t>
        </is>
      </c>
      <c r="Q681" s="156" t="n"/>
      <c r="R681" s="156" t="inlineStr">
        <is>
          <t>Horma Alexia</t>
        </is>
      </c>
      <c r="S681" s="156" t="inlineStr">
        <is>
          <t>Piel bovina</t>
        </is>
      </c>
      <c r="T681" s="156" t="inlineStr">
        <is>
          <t>Bota Dama Piel bovina Boney Café Horma Alexia</t>
        </is>
      </c>
      <c r="U681" s="156" t="inlineStr">
        <is>
          <t>México</t>
        </is>
      </c>
      <c r="V681" s="156" t="inlineStr">
        <is>
          <t>PRS</t>
        </is>
      </c>
      <c r="W681" s="51" t="inlineStr">
        <is>
          <t>53111502</t>
        </is>
      </c>
      <c r="X681" s="156" t="n"/>
      <c r="Y681" s="54" t="n">
        <v>830.025</v>
      </c>
      <c r="Z681" s="54" t="n">
        <v>4827.586207</v>
      </c>
      <c r="AA681" s="55">
        <f>IF(AND(A681="", B681="", E681=""), "", IF(AB681="", "Válido", IF((LEN(AB681)-LEN(SUBSTITUTE(AB681,"; ","")))/2+1&gt;(LEN(AB681)-LEN(SUBSTITUTE(AB681,"[Aviso]","")))/7, "Con Incidencias", "Válido")))</f>
        <v/>
      </c>
      <c r="AB681" s="56">
        <f>IF(AND(A681="", B681="", E681=""), "", TEXTJOIN("; ", TRUE, IF(OR(TRIM(A681&amp;"")="", ISNUMBER(SEARCH("FALTA", A681))), "UPC faltante/inválido", ""), IF(AND(A681&lt;&gt;"", IFERROR(_xlfn.XMATCH(A681,$A$2:$A$2509,0,1)&lt;&gt;_xlfn.XMATCH(A681,$A$2:$A$2509,0,-1),FALSE)), "Código de barras duplicado", ""), IF(AND(E681&lt;&gt;"", COUNTIF($E$2:$E$2509, E681)&gt;1), "SKU duplicado", ""), IF(OR(J681="", J681=""), "[Aviso] División no capturada ()", IF(ISNA(MATCH(J681, Criterios!$A$123:$A$126, 0)), "División no válida", "")), IF(OR(K681="", K681=""), "[Aviso] Categoría no capturada ()", IF(ISNA(MATCH(K681, Criterios!$A$81:$A$120, 0)), "Categoría no válida", IF(AND(J681&lt;&gt;"", J681&lt;&gt;"", J681&lt;&gt;VLOOKUP(K681, Criterios!$A$81:$B$120, 2, FALSE)), "División no coincide con Categoría", ""))), IF(OR(L681="", L681=""), "[Aviso] Género no capturado ()", IF(ISNA(MATCH(L681, Criterios!$B$123:$B$127, 0)), "Género no válido", "")), IF(OR(N681="", N681=""), "[Aviso] Temporada no capturada ()", IF(ISNA(MATCH(N681, Criterios!$C$123:$C$128, 0)), "Temporada no válida", "")), IF(OR(O681="", O681=""), "[Aviso] Ciclo de vida no capturado ()", IF(ISNA(MATCH(O681, Criterios!$D$123:$D$124, 0)), "Ciclo de vida no válido", ""))))</f>
        <v/>
      </c>
      <c r="AC681" s="56" t="n"/>
      <c r="AD681" s="51" t="n">
        <v>0</v>
      </c>
      <c r="AE681" s="156" t="n"/>
      <c r="AF681" s="51" t="n">
        <v>0</v>
      </c>
      <c r="AG681" s="156" t="inlineStr">
        <is>
          <t>Catálogo existente</t>
        </is>
      </c>
      <c r="AH68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1" s="156" t="inlineStr">
        <is>
          <t>No</t>
        </is>
      </c>
      <c r="AJ681" s="156" t="n"/>
      <c r="AK681" s="155" t="inlineStr">
        <is>
          <t>Criterios: I [Q]; G1522_Extraccion_Articulos_NetSuite_2026-09-30.xlsx: fila 59246 [R]</t>
        </is>
      </c>
      <c r="AL681" s="58" t="n">
        <v>830.025</v>
      </c>
      <c r="AM681" s="58" t="n">
        <v>4827.586207</v>
      </c>
      <c r="AN681" s="155" t="n"/>
      <c r="AO681" s="59" t="n"/>
      <c r="AP681" s="59" t="n"/>
      <c r="AQ681" s="59" t="n"/>
      <c r="AR681" s="155" t="n"/>
    </row>
    <row r="682">
      <c r="A682" s="50" t="inlineStr">
        <is>
          <t>12021003131037022</t>
        </is>
      </c>
      <c r="B682" s="51" t="inlineStr">
        <is>
          <t>111584</t>
        </is>
      </c>
      <c r="C682" s="156" t="inlineStr">
        <is>
          <t>Multimarca</t>
        </is>
      </c>
      <c r="D682" s="156" t="inlineStr">
        <is>
          <t>12-021-BS003-13-1037</t>
        </is>
      </c>
      <c r="E682" s="156" t="inlineStr">
        <is>
          <t>12-021-BS003-13-1037-022</t>
        </is>
      </c>
      <c r="F682" s="156" t="inlineStr">
        <is>
          <t>22</t>
        </is>
      </c>
      <c r="G682" s="156" t="inlineStr">
        <is>
          <t>5</t>
        </is>
      </c>
      <c r="H682" s="156" t="inlineStr">
        <is>
          <t>Stetson</t>
        </is>
      </c>
      <c r="I682" s="156" t="inlineStr">
        <is>
          <t>Bota Piel Negro</t>
        </is>
      </c>
      <c r="J682" s="156" t="inlineStr">
        <is>
          <t>Calzado</t>
        </is>
      </c>
      <c r="K682" s="156" t="inlineStr">
        <is>
          <t>Botas</t>
        </is>
      </c>
      <c r="L682" s="156" t="inlineStr">
        <is>
          <t>Mujer</t>
        </is>
      </c>
      <c r="M682" s="156" t="inlineStr">
        <is>
          <t>Stetson</t>
        </is>
      </c>
      <c r="N682" s="156" t="inlineStr">
        <is>
          <t>SS26</t>
        </is>
      </c>
      <c r="O682" s="156" t="inlineStr">
        <is>
          <t>Seasonal</t>
        </is>
      </c>
      <c r="P682" s="156" t="inlineStr">
        <is>
          <t>Negro</t>
        </is>
      </c>
      <c r="Q682" s="156" t="n"/>
      <c r="R682" s="156" t="inlineStr">
        <is>
          <t>Horma Alexia</t>
        </is>
      </c>
      <c r="S682" s="156" t="inlineStr">
        <is>
          <t>Piel bovina</t>
        </is>
      </c>
      <c r="T682" s="156" t="inlineStr">
        <is>
          <t>Bota Dama Piel bovina Clayton Negro Horma Alexia</t>
        </is>
      </c>
      <c r="U682" s="156" t="inlineStr">
        <is>
          <t>México</t>
        </is>
      </c>
      <c r="V682" s="156" t="inlineStr">
        <is>
          <t>PRS</t>
        </is>
      </c>
      <c r="W682" s="51" t="inlineStr">
        <is>
          <t>53111502</t>
        </is>
      </c>
      <c r="X682" s="156" t="n"/>
      <c r="Y682" s="54" t="n">
        <v>724.5599999999999</v>
      </c>
      <c r="Z682" s="54" t="n">
        <v>4224.137931</v>
      </c>
      <c r="AA682" s="55">
        <f>IF(AND(A682="", B682="", E682=""), "", IF(AB682="", "Válido", IF((LEN(AB682)-LEN(SUBSTITUTE(AB682,"; ","")))/2+1&gt;(LEN(AB682)-LEN(SUBSTITUTE(AB682,"[Aviso]","")))/7, "Con Incidencias", "Válido")))</f>
        <v/>
      </c>
      <c r="AB682" s="56">
        <f>IF(AND(A682="", B682="", E682=""), "", TEXTJOIN("; ", TRUE, IF(OR(TRIM(A682&amp;"")="", ISNUMBER(SEARCH("FALTA", A682))), "UPC faltante/inválido", ""), IF(AND(A682&lt;&gt;"", IFERROR(_xlfn.XMATCH(A682,$A$2:$A$2509,0,1)&lt;&gt;_xlfn.XMATCH(A682,$A$2:$A$2509,0,-1),FALSE)), "Código de barras duplicado", ""), IF(AND(E682&lt;&gt;"", COUNTIF($E$2:$E$2509, E682)&gt;1), "SKU duplicado", ""), IF(OR(J682="", J682=""), "[Aviso] División no capturada ()", IF(ISNA(MATCH(J682, Criterios!$A$123:$A$126, 0)), "División no válida", "")), IF(OR(K682="", K682=""), "[Aviso] Categoría no capturada ()", IF(ISNA(MATCH(K682, Criterios!$A$81:$A$120, 0)), "Categoría no válida", IF(AND(J682&lt;&gt;"", J682&lt;&gt;"", J682&lt;&gt;VLOOKUP(K682, Criterios!$A$81:$B$120, 2, FALSE)), "División no coincide con Categoría", ""))), IF(OR(L682="", L682=""), "[Aviso] Género no capturado ()", IF(ISNA(MATCH(L682, Criterios!$B$123:$B$127, 0)), "Género no válido", "")), IF(OR(N682="", N682=""), "[Aviso] Temporada no capturada ()", IF(ISNA(MATCH(N682, Criterios!$C$123:$C$128, 0)), "Temporada no válida", "")), IF(OR(O682="", O682=""), "[Aviso] Ciclo de vida no capturado ()", IF(ISNA(MATCH(O682, Criterios!$D$123:$D$124, 0)), "Ciclo de vida no válido", ""))))</f>
        <v/>
      </c>
      <c r="AC682" s="56" t="n"/>
      <c r="AD682" s="51" t="n">
        <v>0</v>
      </c>
      <c r="AE682" s="156" t="n"/>
      <c r="AF682" s="51" t="n">
        <v>0</v>
      </c>
      <c r="AG682" s="156" t="inlineStr">
        <is>
          <t>Catálogo existente</t>
        </is>
      </c>
      <c r="AH6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2" s="156" t="inlineStr">
        <is>
          <t>No</t>
        </is>
      </c>
      <c r="AJ682" s="156" t="n"/>
      <c r="AK682" s="155" t="inlineStr">
        <is>
          <t>Criterios: I [Q]; G1522_Extraccion_Articulos_NetSuite_2026-09-30.xlsx: fila 59259 [R] | Shopify Stetson: producto 15054564983147 / variante 53350560006507</t>
        </is>
      </c>
      <c r="AL682" s="58" t="n">
        <v>724.5599999999999</v>
      </c>
      <c r="AM682" s="58" t="n">
        <v>4224.137931</v>
      </c>
      <c r="AN682" s="155" t="inlineStr">
        <is>
          <t>Shopify Stetson México</t>
        </is>
      </c>
      <c r="AO682" s="59" t="n">
        <v>0</v>
      </c>
      <c r="AP682" s="59" t="n"/>
      <c r="AQ682" s="59" t="n"/>
      <c r="AR682" s="155" t="n"/>
    </row>
    <row r="683">
      <c r="A683" s="50" t="inlineStr">
        <is>
          <t>12021003131037023</t>
        </is>
      </c>
      <c r="B683" s="51" t="inlineStr">
        <is>
          <t>111585</t>
        </is>
      </c>
      <c r="C683" s="156" t="inlineStr">
        <is>
          <t>Multimarca</t>
        </is>
      </c>
      <c r="D683" s="156" t="inlineStr">
        <is>
          <t>12-021-BS003-13-1037</t>
        </is>
      </c>
      <c r="E683" s="156" t="inlineStr">
        <is>
          <t>12-021-BS003-13-1037-023</t>
        </is>
      </c>
      <c r="F683" s="156" t="inlineStr">
        <is>
          <t>23</t>
        </is>
      </c>
      <c r="G683" s="156" t="inlineStr">
        <is>
          <t>6</t>
        </is>
      </c>
      <c r="H683" s="156" t="inlineStr">
        <is>
          <t>Stetson</t>
        </is>
      </c>
      <c r="I683" s="156" t="inlineStr">
        <is>
          <t>Bota Piel Negro</t>
        </is>
      </c>
      <c r="J683" s="156" t="inlineStr">
        <is>
          <t>Calzado</t>
        </is>
      </c>
      <c r="K683" s="156" t="inlineStr">
        <is>
          <t>Botas</t>
        </is>
      </c>
      <c r="L683" s="156" t="inlineStr">
        <is>
          <t>Mujer</t>
        </is>
      </c>
      <c r="M683" s="156" t="inlineStr">
        <is>
          <t>Stetson</t>
        </is>
      </c>
      <c r="N683" s="156" t="inlineStr">
        <is>
          <t>SS26</t>
        </is>
      </c>
      <c r="O683" s="156" t="inlineStr">
        <is>
          <t>Seasonal</t>
        </is>
      </c>
      <c r="P683" s="156" t="inlineStr">
        <is>
          <t>Negro</t>
        </is>
      </c>
      <c r="Q683" s="156" t="n"/>
      <c r="R683" s="156" t="inlineStr">
        <is>
          <t>Horma Alexia</t>
        </is>
      </c>
      <c r="S683" s="156" t="inlineStr">
        <is>
          <t>Piel bovina</t>
        </is>
      </c>
      <c r="T683" s="156" t="inlineStr">
        <is>
          <t>Bota Dama Piel bovina Clayton Negro Horma Alexia</t>
        </is>
      </c>
      <c r="U683" s="156" t="inlineStr">
        <is>
          <t>México</t>
        </is>
      </c>
      <c r="V683" s="156" t="inlineStr">
        <is>
          <t>PRS</t>
        </is>
      </c>
      <c r="W683" s="51" t="inlineStr">
        <is>
          <t>53111502</t>
        </is>
      </c>
      <c r="X683" s="156" t="n"/>
      <c r="Y683" s="54" t="n">
        <v>724.5599999999999</v>
      </c>
      <c r="Z683" s="54" t="n">
        <v>4224.137931</v>
      </c>
      <c r="AA683" s="55">
        <f>IF(AND(A683="", B683="", E683=""), "", IF(AB683="", "Válido", IF((LEN(AB683)-LEN(SUBSTITUTE(AB683,"; ","")))/2+1&gt;(LEN(AB683)-LEN(SUBSTITUTE(AB683,"[Aviso]","")))/7, "Con Incidencias", "Válido")))</f>
        <v/>
      </c>
      <c r="AB683" s="56">
        <f>IF(AND(A683="", B683="", E683=""), "", TEXTJOIN("; ", TRUE, IF(OR(TRIM(A683&amp;"")="", ISNUMBER(SEARCH("FALTA", A683))), "UPC faltante/inválido", ""), IF(AND(A683&lt;&gt;"", IFERROR(_xlfn.XMATCH(A683,$A$2:$A$2509,0,1)&lt;&gt;_xlfn.XMATCH(A683,$A$2:$A$2509,0,-1),FALSE)), "Código de barras duplicado", ""), IF(AND(E683&lt;&gt;"", COUNTIF($E$2:$E$2509, E683)&gt;1), "SKU duplicado", ""), IF(OR(J683="", J683=""), "[Aviso] División no capturada ()", IF(ISNA(MATCH(J683, Criterios!$A$123:$A$126, 0)), "División no válida", "")), IF(OR(K683="", K683=""), "[Aviso] Categoría no capturada ()", IF(ISNA(MATCH(K683, Criterios!$A$81:$A$120, 0)), "Categoría no válida", IF(AND(J683&lt;&gt;"", J683&lt;&gt;"", J683&lt;&gt;VLOOKUP(K683, Criterios!$A$81:$B$120, 2, FALSE)), "División no coincide con Categoría", ""))), IF(OR(L683="", L683=""), "[Aviso] Género no capturado ()", IF(ISNA(MATCH(L683, Criterios!$B$123:$B$127, 0)), "Género no válido", "")), IF(OR(N683="", N683=""), "[Aviso] Temporada no capturada ()", IF(ISNA(MATCH(N683, Criterios!$C$123:$C$128, 0)), "Temporada no válida", "")), IF(OR(O683="", O683=""), "[Aviso] Ciclo de vida no capturado ()", IF(ISNA(MATCH(O683, Criterios!$D$123:$D$124, 0)), "Ciclo de vida no válido", ""))))</f>
        <v/>
      </c>
      <c r="AC683" s="56" t="n"/>
      <c r="AD683" s="51" t="n">
        <v>0</v>
      </c>
      <c r="AE683" s="156" t="n"/>
      <c r="AF683" s="51" t="n">
        <v>0</v>
      </c>
      <c r="AG683" s="156" t="inlineStr">
        <is>
          <t>Catálogo existente</t>
        </is>
      </c>
      <c r="AH6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3" s="156" t="inlineStr">
        <is>
          <t>No</t>
        </is>
      </c>
      <c r="AJ683" s="156" t="n"/>
      <c r="AK683" s="155" t="inlineStr">
        <is>
          <t>Criterios: I [Q]; G1522_Extraccion_Articulos_NetSuite_2026-09-30.xlsx: fila 59260 [R] | Shopify Stetson: producto 15054564983147 / variante 53350560072043</t>
        </is>
      </c>
      <c r="AL683" s="58" t="n">
        <v>724.5599999999999</v>
      </c>
      <c r="AM683" s="58" t="n">
        <v>4224.137931</v>
      </c>
      <c r="AN683" s="155" t="inlineStr">
        <is>
          <t>Shopify Stetson México</t>
        </is>
      </c>
      <c r="AO683" s="59" t="n">
        <v>1</v>
      </c>
      <c r="AP683" s="59" t="n"/>
      <c r="AQ683" s="59" t="n"/>
      <c r="AR683" s="155" t="inlineStr">
        <is>
          <t>Shopify Stetson México › Stetson Americas: 1</t>
        </is>
      </c>
    </row>
    <row r="684">
      <c r="A684" s="50" t="inlineStr">
        <is>
          <t>12021003131037024</t>
        </is>
      </c>
      <c r="B684" s="51" t="inlineStr">
        <is>
          <t>111586</t>
        </is>
      </c>
      <c r="C684" s="156" t="inlineStr">
        <is>
          <t>Multimarca</t>
        </is>
      </c>
      <c r="D684" s="156" t="inlineStr">
        <is>
          <t>12-021-BS003-13-1037</t>
        </is>
      </c>
      <c r="E684" s="156" t="inlineStr">
        <is>
          <t>12-021-BS003-13-1037-024</t>
        </is>
      </c>
      <c r="F684" s="156" t="inlineStr">
        <is>
          <t>24</t>
        </is>
      </c>
      <c r="G684" s="156" t="inlineStr">
        <is>
          <t>7</t>
        </is>
      </c>
      <c r="H684" s="156" t="inlineStr">
        <is>
          <t>Stetson</t>
        </is>
      </c>
      <c r="I684" s="156" t="inlineStr">
        <is>
          <t>Bota Piel Negro</t>
        </is>
      </c>
      <c r="J684" s="156" t="inlineStr">
        <is>
          <t>Calzado</t>
        </is>
      </c>
      <c r="K684" s="156" t="inlineStr">
        <is>
          <t>Botas</t>
        </is>
      </c>
      <c r="L684" s="156" t="inlineStr">
        <is>
          <t>Mujer</t>
        </is>
      </c>
      <c r="M684" s="156" t="inlineStr">
        <is>
          <t>Stetson</t>
        </is>
      </c>
      <c r="N684" s="156" t="inlineStr">
        <is>
          <t>SS26</t>
        </is>
      </c>
      <c r="O684" s="156" t="inlineStr">
        <is>
          <t>Seasonal</t>
        </is>
      </c>
      <c r="P684" s="156" t="inlineStr">
        <is>
          <t>Negro</t>
        </is>
      </c>
      <c r="Q684" s="156" t="n"/>
      <c r="R684" s="156" t="inlineStr">
        <is>
          <t>Horma Alexia</t>
        </is>
      </c>
      <c r="S684" s="156" t="inlineStr">
        <is>
          <t>Piel bovina</t>
        </is>
      </c>
      <c r="T684" s="156" t="inlineStr">
        <is>
          <t>Bota Dama Piel bovina Clayton Negro Horma Alexia</t>
        </is>
      </c>
      <c r="U684" s="156" t="inlineStr">
        <is>
          <t>México</t>
        </is>
      </c>
      <c r="V684" s="156" t="inlineStr">
        <is>
          <t>PRS</t>
        </is>
      </c>
      <c r="W684" s="51" t="inlineStr">
        <is>
          <t>53111502</t>
        </is>
      </c>
      <c r="X684" s="156" t="n"/>
      <c r="Y684" s="54" t="n">
        <v>724.5599999999999</v>
      </c>
      <c r="Z684" s="54" t="n">
        <v>4224.137931</v>
      </c>
      <c r="AA684" s="55">
        <f>IF(AND(A684="", B684="", E684=""), "", IF(AB684="", "Válido", IF((LEN(AB684)-LEN(SUBSTITUTE(AB684,"; ","")))/2+1&gt;(LEN(AB684)-LEN(SUBSTITUTE(AB684,"[Aviso]","")))/7, "Con Incidencias", "Válido")))</f>
        <v/>
      </c>
      <c r="AB684" s="56">
        <f>IF(AND(A684="", B684="", E684=""), "", TEXTJOIN("; ", TRUE, IF(OR(TRIM(A684&amp;"")="", ISNUMBER(SEARCH("FALTA", A684))), "UPC faltante/inválido", ""), IF(AND(A684&lt;&gt;"", IFERROR(_xlfn.XMATCH(A684,$A$2:$A$2509,0,1)&lt;&gt;_xlfn.XMATCH(A684,$A$2:$A$2509,0,-1),FALSE)), "Código de barras duplicado", ""), IF(AND(E684&lt;&gt;"", COUNTIF($E$2:$E$2509, E684)&gt;1), "SKU duplicado", ""), IF(OR(J684="", J684=""), "[Aviso] División no capturada ()", IF(ISNA(MATCH(J684, Criterios!$A$123:$A$126, 0)), "División no válida", "")), IF(OR(K684="", K684=""), "[Aviso] Categoría no capturada ()", IF(ISNA(MATCH(K684, Criterios!$A$81:$A$120, 0)), "Categoría no válida", IF(AND(J684&lt;&gt;"", J684&lt;&gt;"", J684&lt;&gt;VLOOKUP(K684, Criterios!$A$81:$B$120, 2, FALSE)), "División no coincide con Categoría", ""))), IF(OR(L684="", L684=""), "[Aviso] Género no capturado ()", IF(ISNA(MATCH(L684, Criterios!$B$123:$B$127, 0)), "Género no válido", "")), IF(OR(N684="", N684=""), "[Aviso] Temporada no capturada ()", IF(ISNA(MATCH(N684, Criterios!$C$123:$C$128, 0)), "Temporada no válida", "")), IF(OR(O684="", O684=""), "[Aviso] Ciclo de vida no capturado ()", IF(ISNA(MATCH(O684, Criterios!$D$123:$D$124, 0)), "Ciclo de vida no válido", ""))))</f>
        <v/>
      </c>
      <c r="AC684" s="56" t="n"/>
      <c r="AD684" s="51" t="n">
        <v>-2</v>
      </c>
      <c r="AE684" s="156" t="n"/>
      <c r="AF684" s="51" t="n">
        <v>0</v>
      </c>
      <c r="AG684" s="156" t="inlineStr">
        <is>
          <t>Catálogo existente</t>
        </is>
      </c>
      <c r="AH68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4" s="156" t="inlineStr">
        <is>
          <t>Sí</t>
        </is>
      </c>
      <c r="AJ684" s="156" t="inlineStr">
        <is>
          <t>STETSON AMERICAS (-2)</t>
        </is>
      </c>
      <c r="AK684" s="155" t="inlineStr">
        <is>
          <t>Criterios: I [Q]; G1522_Extraccion_Articulos_NetSuite_2026-09-30.xlsx: fila 59261 [R] | Shopify Stetson: producto 15054564983147 / variante 53350560137579</t>
        </is>
      </c>
      <c r="AL684" s="58" t="n">
        <v>724.5599999999999</v>
      </c>
      <c r="AM684" s="58" t="n">
        <v>4224.137931</v>
      </c>
      <c r="AN684" s="155" t="inlineStr">
        <is>
          <t>Shopify Stetson México</t>
        </is>
      </c>
      <c r="AO684" s="59" t="n">
        <v>0</v>
      </c>
      <c r="AP684" s="59" t="n"/>
      <c r="AQ684" s="59" t="n"/>
      <c r="AR684" s="155" t="n"/>
    </row>
    <row r="685">
      <c r="A685" s="50" t="inlineStr">
        <is>
          <t>12021003131037025</t>
        </is>
      </c>
      <c r="B685" s="51" t="inlineStr">
        <is>
          <t>111587</t>
        </is>
      </c>
      <c r="C685" s="156" t="inlineStr">
        <is>
          <t>Multimarca</t>
        </is>
      </c>
      <c r="D685" s="156" t="inlineStr">
        <is>
          <t>12-021-BS003-13-1037</t>
        </is>
      </c>
      <c r="E685" s="156" t="inlineStr">
        <is>
          <t>12-021-BS003-13-1037-025</t>
        </is>
      </c>
      <c r="F685" s="156" t="inlineStr">
        <is>
          <t>25</t>
        </is>
      </c>
      <c r="G685" s="156" t="inlineStr">
        <is>
          <t>8</t>
        </is>
      </c>
      <c r="H685" s="156" t="inlineStr">
        <is>
          <t>Stetson</t>
        </is>
      </c>
      <c r="I685" s="156" t="inlineStr">
        <is>
          <t>Bota Piel Negro</t>
        </is>
      </c>
      <c r="J685" s="156" t="inlineStr">
        <is>
          <t>Calzado</t>
        </is>
      </c>
      <c r="K685" s="156" t="inlineStr">
        <is>
          <t>Botas</t>
        </is>
      </c>
      <c r="L685" s="156" t="inlineStr">
        <is>
          <t>Mujer</t>
        </is>
      </c>
      <c r="M685" s="156" t="inlineStr">
        <is>
          <t>Stetson</t>
        </is>
      </c>
      <c r="N685" s="156" t="inlineStr">
        <is>
          <t>SS26</t>
        </is>
      </c>
      <c r="O685" s="156" t="inlineStr">
        <is>
          <t>Seasonal</t>
        </is>
      </c>
      <c r="P685" s="156" t="inlineStr">
        <is>
          <t>Negro</t>
        </is>
      </c>
      <c r="Q685" s="156" t="n"/>
      <c r="R685" s="156" t="inlineStr">
        <is>
          <t>Horma Alexia</t>
        </is>
      </c>
      <c r="S685" s="156" t="inlineStr">
        <is>
          <t>Piel bovina</t>
        </is>
      </c>
      <c r="T685" s="156" t="inlineStr">
        <is>
          <t>Bota Dama Piel bovina Clayton Negro Horma Alexia</t>
        </is>
      </c>
      <c r="U685" s="156" t="inlineStr">
        <is>
          <t>México</t>
        </is>
      </c>
      <c r="V685" s="156" t="inlineStr">
        <is>
          <t>PRS</t>
        </is>
      </c>
      <c r="W685" s="51" t="inlineStr">
        <is>
          <t>53111502</t>
        </is>
      </c>
      <c r="X685" s="156" t="n"/>
      <c r="Y685" s="54" t="n">
        <v>724.5599999999999</v>
      </c>
      <c r="Z685" s="54" t="n">
        <v>4224.137931</v>
      </c>
      <c r="AA685" s="55">
        <f>IF(AND(A685="", B685="", E685=""), "", IF(AB685="", "Válido", IF((LEN(AB685)-LEN(SUBSTITUTE(AB685,"; ","")))/2+1&gt;(LEN(AB685)-LEN(SUBSTITUTE(AB685,"[Aviso]","")))/7, "Con Incidencias", "Válido")))</f>
        <v/>
      </c>
      <c r="AB685" s="56">
        <f>IF(AND(A685="", B685="", E685=""), "", TEXTJOIN("; ", TRUE, IF(OR(TRIM(A685&amp;"")="", ISNUMBER(SEARCH("FALTA", A685))), "UPC faltante/inválido", ""), IF(AND(A685&lt;&gt;"", IFERROR(_xlfn.XMATCH(A685,$A$2:$A$2509,0,1)&lt;&gt;_xlfn.XMATCH(A685,$A$2:$A$2509,0,-1),FALSE)), "Código de barras duplicado", ""), IF(AND(E685&lt;&gt;"", COUNTIF($E$2:$E$2509, E685)&gt;1), "SKU duplicado", ""), IF(OR(J685="", J685=""), "[Aviso] División no capturada ()", IF(ISNA(MATCH(J685, Criterios!$A$123:$A$126, 0)), "División no válida", "")), IF(OR(K685="", K685=""), "[Aviso] Categoría no capturada ()", IF(ISNA(MATCH(K685, Criterios!$A$81:$A$120, 0)), "Categoría no válida", IF(AND(J685&lt;&gt;"", J685&lt;&gt;"", J685&lt;&gt;VLOOKUP(K685, Criterios!$A$81:$B$120, 2, FALSE)), "División no coincide con Categoría", ""))), IF(OR(L685="", L685=""), "[Aviso] Género no capturado ()", IF(ISNA(MATCH(L685, Criterios!$B$123:$B$127, 0)), "Género no válido", "")), IF(OR(N685="", N685=""), "[Aviso] Temporada no capturada ()", IF(ISNA(MATCH(N685, Criterios!$C$123:$C$128, 0)), "Temporada no válida", "")), IF(OR(O685="", O685=""), "[Aviso] Ciclo de vida no capturado ()", IF(ISNA(MATCH(O685, Criterios!$D$123:$D$124, 0)), "Ciclo de vida no válido", ""))))</f>
        <v/>
      </c>
      <c r="AC685" s="56" t="n"/>
      <c r="AD685" s="51" t="n">
        <v>0</v>
      </c>
      <c r="AE685" s="156" t="n"/>
      <c r="AF685" s="51" t="n">
        <v>0</v>
      </c>
      <c r="AG685" s="156" t="inlineStr">
        <is>
          <t>Catálogo existente</t>
        </is>
      </c>
      <c r="AH6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5" s="156" t="inlineStr">
        <is>
          <t>No</t>
        </is>
      </c>
      <c r="AJ685" s="156" t="n"/>
      <c r="AK685" s="155" t="inlineStr">
        <is>
          <t>Criterios: I [Q]; G1522_Extraccion_Articulos_NetSuite_2026-09-30.xlsx: fila 59262 [R] | Shopify Stetson: producto 15054564983147 / variante 53350560203115</t>
        </is>
      </c>
      <c r="AL685" s="58" t="n">
        <v>724.5599999999999</v>
      </c>
      <c r="AM685" s="58" t="n">
        <v>4224.137931</v>
      </c>
      <c r="AN685" s="155" t="inlineStr">
        <is>
          <t>Shopify Stetson México</t>
        </is>
      </c>
      <c r="AO685" s="59" t="n">
        <v>2</v>
      </c>
      <c r="AP685" s="59" t="n"/>
      <c r="AQ685" s="59" t="n"/>
      <c r="AR685" s="155" t="inlineStr">
        <is>
          <t>Shopify Stetson México › Stetson Americas: 2</t>
        </is>
      </c>
    </row>
    <row r="686">
      <c r="A686" s="50" t="inlineStr">
        <is>
          <t>12021003131037026</t>
        </is>
      </c>
      <c r="B686" s="51" t="inlineStr">
        <is>
          <t>111579</t>
        </is>
      </c>
      <c r="C686" s="156" t="inlineStr">
        <is>
          <t>Multimarca</t>
        </is>
      </c>
      <c r="D686" s="156" t="inlineStr">
        <is>
          <t>12-021-BS003-13-1037</t>
        </is>
      </c>
      <c r="E686" s="156" t="inlineStr">
        <is>
          <t>12-021-BS003-13-1037-026</t>
        </is>
      </c>
      <c r="F686" s="156" t="inlineStr">
        <is>
          <t>26</t>
        </is>
      </c>
      <c r="G686" s="156" t="inlineStr">
        <is>
          <t>9</t>
        </is>
      </c>
      <c r="H686" s="156" t="inlineStr">
        <is>
          <t>Stetson</t>
        </is>
      </c>
      <c r="I686" s="156" t="inlineStr">
        <is>
          <t>Bota Piel Negro</t>
        </is>
      </c>
      <c r="J686" s="156" t="inlineStr">
        <is>
          <t>Calzado</t>
        </is>
      </c>
      <c r="K686" s="156" t="inlineStr">
        <is>
          <t>Botas</t>
        </is>
      </c>
      <c r="L686" s="156" t="inlineStr">
        <is>
          <t>Mujer</t>
        </is>
      </c>
      <c r="M686" s="156" t="inlineStr">
        <is>
          <t>Stetson</t>
        </is>
      </c>
      <c r="N686" s="156" t="inlineStr">
        <is>
          <t>SS26</t>
        </is>
      </c>
      <c r="O686" s="156" t="inlineStr">
        <is>
          <t>Seasonal</t>
        </is>
      </c>
      <c r="P686" s="156" t="inlineStr">
        <is>
          <t>Negro</t>
        </is>
      </c>
      <c r="Q686" s="156" t="n"/>
      <c r="R686" s="156" t="inlineStr">
        <is>
          <t>Horma Alexia</t>
        </is>
      </c>
      <c r="S686" s="156" t="inlineStr">
        <is>
          <t>Piel bovina</t>
        </is>
      </c>
      <c r="T686" s="156" t="inlineStr">
        <is>
          <t>Bota Dama Piel bovina Clayton Negro Horma Alexia</t>
        </is>
      </c>
      <c r="U686" s="156" t="inlineStr">
        <is>
          <t>México</t>
        </is>
      </c>
      <c r="V686" s="156" t="inlineStr">
        <is>
          <t>PRS</t>
        </is>
      </c>
      <c r="W686" s="51" t="inlineStr">
        <is>
          <t>53111502</t>
        </is>
      </c>
      <c r="X686" s="156" t="n"/>
      <c r="Y686" s="54" t="n">
        <v>724.5599999999999</v>
      </c>
      <c r="Z686" s="54" t="n">
        <v>4224.137931</v>
      </c>
      <c r="AA686" s="55">
        <f>IF(AND(A686="", B686="", E686=""), "", IF(AB686="", "Válido", IF((LEN(AB686)-LEN(SUBSTITUTE(AB686,"; ","")))/2+1&gt;(LEN(AB686)-LEN(SUBSTITUTE(AB686,"[Aviso]","")))/7, "Con Incidencias", "Válido")))</f>
        <v/>
      </c>
      <c r="AB686" s="56">
        <f>IF(AND(A686="", B686="", E686=""), "", TEXTJOIN("; ", TRUE, IF(OR(TRIM(A686&amp;"")="", ISNUMBER(SEARCH("FALTA", A686))), "UPC faltante/inválido", ""), IF(AND(A686&lt;&gt;"", IFERROR(_xlfn.XMATCH(A686,$A$2:$A$2509,0,1)&lt;&gt;_xlfn.XMATCH(A686,$A$2:$A$2509,0,-1),FALSE)), "Código de barras duplicado", ""), IF(AND(E686&lt;&gt;"", COUNTIF($E$2:$E$2509, E686)&gt;1), "SKU duplicado", ""), IF(OR(J686="", J686=""), "[Aviso] División no capturada ()", IF(ISNA(MATCH(J686, Criterios!$A$123:$A$126, 0)), "División no válida", "")), IF(OR(K686="", K686=""), "[Aviso] Categoría no capturada ()", IF(ISNA(MATCH(K686, Criterios!$A$81:$A$120, 0)), "Categoría no válida", IF(AND(J686&lt;&gt;"", J686&lt;&gt;"", J686&lt;&gt;VLOOKUP(K686, Criterios!$A$81:$B$120, 2, FALSE)), "División no coincide con Categoría", ""))), IF(OR(L686="", L686=""), "[Aviso] Género no capturado ()", IF(ISNA(MATCH(L686, Criterios!$B$123:$B$127, 0)), "Género no válido", "")), IF(OR(N686="", N686=""), "[Aviso] Temporada no capturada ()", IF(ISNA(MATCH(N686, Criterios!$C$123:$C$128, 0)), "Temporada no válida", "")), IF(OR(O686="", O686=""), "[Aviso] Ciclo de vida no capturado ()", IF(ISNA(MATCH(O686, Criterios!$D$123:$D$124, 0)), "Ciclo de vida no válido", ""))))</f>
        <v/>
      </c>
      <c r="AC686" s="56" t="n"/>
      <c r="AD686" s="51" t="n">
        <v>-1</v>
      </c>
      <c r="AE686" s="156" t="n"/>
      <c r="AF686" s="51" t="n">
        <v>0</v>
      </c>
      <c r="AG686" s="156" t="inlineStr">
        <is>
          <t>Catálogo existente</t>
        </is>
      </c>
      <c r="AH686"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6" s="156" t="inlineStr">
        <is>
          <t>Sí</t>
        </is>
      </c>
      <c r="AJ686" s="156" t="inlineStr">
        <is>
          <t>STETSON AMERICAS (-1)</t>
        </is>
      </c>
      <c r="AK686" s="155" t="inlineStr">
        <is>
          <t>Criterios: I [Q]; G1522_Extraccion_Articulos_NetSuite_2026-09-30.xlsx: fila 59254 [R]</t>
        </is>
      </c>
      <c r="AL686" s="58" t="n">
        <v>724.5599999999999</v>
      </c>
      <c r="AM686" s="58" t="n">
        <v>4224.137931</v>
      </c>
      <c r="AN686" s="155" t="n"/>
      <c r="AO686" s="59" t="n"/>
      <c r="AP686" s="59" t="n"/>
      <c r="AQ686" s="59" t="n"/>
      <c r="AR686" s="155" t="n"/>
    </row>
    <row r="687">
      <c r="A687" s="50" t="inlineStr">
        <is>
          <t>12021003131037027</t>
        </is>
      </c>
      <c r="B687" s="51" t="inlineStr">
        <is>
          <t>111580</t>
        </is>
      </c>
      <c r="C687" s="156" t="inlineStr">
        <is>
          <t>Multimarca</t>
        </is>
      </c>
      <c r="D687" s="156" t="inlineStr">
        <is>
          <t>12-021-BS003-13-1037</t>
        </is>
      </c>
      <c r="E687" s="156" t="inlineStr">
        <is>
          <t>12-021-BS003-13-1037-027</t>
        </is>
      </c>
      <c r="F687" s="156" t="inlineStr">
        <is>
          <t>27</t>
        </is>
      </c>
      <c r="G687" s="156" t="inlineStr">
        <is>
          <t>10</t>
        </is>
      </c>
      <c r="H687" s="156" t="inlineStr">
        <is>
          <t>Stetson</t>
        </is>
      </c>
      <c r="I687" s="156" t="inlineStr">
        <is>
          <t>Bota Piel Negro</t>
        </is>
      </c>
      <c r="J687" s="156" t="inlineStr">
        <is>
          <t>Calzado</t>
        </is>
      </c>
      <c r="K687" s="156" t="inlineStr">
        <is>
          <t>Botas</t>
        </is>
      </c>
      <c r="L687" s="156" t="inlineStr">
        <is>
          <t>Mujer</t>
        </is>
      </c>
      <c r="M687" s="156" t="inlineStr">
        <is>
          <t>Stetson</t>
        </is>
      </c>
      <c r="N687" s="156" t="inlineStr">
        <is>
          <t>SS26</t>
        </is>
      </c>
      <c r="O687" s="156" t="inlineStr">
        <is>
          <t>Seasonal</t>
        </is>
      </c>
      <c r="P687" s="156" t="inlineStr">
        <is>
          <t>Negro</t>
        </is>
      </c>
      <c r="Q687" s="156" t="n"/>
      <c r="R687" s="156" t="inlineStr">
        <is>
          <t>Horma Alexia</t>
        </is>
      </c>
      <c r="S687" s="156" t="inlineStr">
        <is>
          <t>Piel bovina</t>
        </is>
      </c>
      <c r="T687" s="156" t="inlineStr">
        <is>
          <t>Bota Dama Piel bovina Clayton Negro Horma Alexia</t>
        </is>
      </c>
      <c r="U687" s="156" t="inlineStr">
        <is>
          <t>México</t>
        </is>
      </c>
      <c r="V687" s="156" t="inlineStr">
        <is>
          <t>PRS</t>
        </is>
      </c>
      <c r="W687" s="51" t="inlineStr">
        <is>
          <t>53111502</t>
        </is>
      </c>
      <c r="X687" s="156" t="n"/>
      <c r="Y687" s="54" t="n">
        <v>724.5599999999999</v>
      </c>
      <c r="Z687" s="54" t="n">
        <v>4224.137931</v>
      </c>
      <c r="AA687" s="55">
        <f>IF(AND(A687="", B687="", E687=""), "", IF(AB687="", "Válido", IF((LEN(AB687)-LEN(SUBSTITUTE(AB687,"; ","")))/2+1&gt;(LEN(AB687)-LEN(SUBSTITUTE(AB687,"[Aviso]","")))/7, "Con Incidencias", "Válido")))</f>
        <v/>
      </c>
      <c r="AB687" s="56">
        <f>IF(AND(A687="", B687="", E687=""), "", TEXTJOIN("; ", TRUE, IF(OR(TRIM(A687&amp;"")="", ISNUMBER(SEARCH("FALTA", A687))), "UPC faltante/inválido", ""), IF(AND(A687&lt;&gt;"", IFERROR(_xlfn.XMATCH(A687,$A$2:$A$2509,0,1)&lt;&gt;_xlfn.XMATCH(A687,$A$2:$A$2509,0,-1),FALSE)), "Código de barras duplicado", ""), IF(AND(E687&lt;&gt;"", COUNTIF($E$2:$E$2509, E687)&gt;1), "SKU duplicado", ""), IF(OR(J687="", J687=""), "[Aviso] División no capturada ()", IF(ISNA(MATCH(J687, Criterios!$A$123:$A$126, 0)), "División no válida", "")), IF(OR(K687="", K687=""), "[Aviso] Categoría no capturada ()", IF(ISNA(MATCH(K687, Criterios!$A$81:$A$120, 0)), "Categoría no válida", IF(AND(J687&lt;&gt;"", J687&lt;&gt;"", J687&lt;&gt;VLOOKUP(K687, Criterios!$A$81:$B$120, 2, FALSE)), "División no coincide con Categoría", ""))), IF(OR(L687="", L687=""), "[Aviso] Género no capturado ()", IF(ISNA(MATCH(L687, Criterios!$B$123:$B$127, 0)), "Género no válido", "")), IF(OR(N687="", N687=""), "[Aviso] Temporada no capturada ()", IF(ISNA(MATCH(N687, Criterios!$C$123:$C$128, 0)), "Temporada no válida", "")), IF(OR(O687="", O687=""), "[Aviso] Ciclo de vida no capturado ()", IF(ISNA(MATCH(O687, Criterios!$D$123:$D$124, 0)), "Ciclo de vida no válido", ""))))</f>
        <v/>
      </c>
      <c r="AC687" s="56" t="n"/>
      <c r="AD687" s="51" t="n">
        <v>0</v>
      </c>
      <c r="AE687" s="156" t="n"/>
      <c r="AF687" s="51" t="n">
        <v>0</v>
      </c>
      <c r="AG687" s="156" t="inlineStr">
        <is>
          <t>Catálogo existente</t>
        </is>
      </c>
      <c r="AH68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7" s="156" t="inlineStr">
        <is>
          <t>No</t>
        </is>
      </c>
      <c r="AJ687" s="156" t="n"/>
      <c r="AK687" s="155" t="inlineStr">
        <is>
          <t>Criterios: I [Q]; G1522_Extraccion_Articulos_NetSuite_2026-09-30.xlsx: fila 59255 [R]</t>
        </is>
      </c>
      <c r="AL687" s="58" t="n">
        <v>724.5599999999999</v>
      </c>
      <c r="AM687" s="58" t="n">
        <v>4224.137931</v>
      </c>
      <c r="AN687" s="155" t="n"/>
      <c r="AO687" s="59" t="n"/>
      <c r="AP687" s="59" t="n"/>
      <c r="AQ687" s="59" t="n"/>
      <c r="AR687" s="155" t="n"/>
    </row>
    <row r="688">
      <c r="A688" s="50" t="inlineStr">
        <is>
          <t>12021003131037225</t>
        </is>
      </c>
      <c r="B688" s="51" t="inlineStr">
        <is>
          <t>111588</t>
        </is>
      </c>
      <c r="C688" s="156" t="inlineStr">
        <is>
          <t>Multimarca</t>
        </is>
      </c>
      <c r="D688" s="156" t="inlineStr">
        <is>
          <t>12-021-BS003-13-1037</t>
        </is>
      </c>
      <c r="E688" s="156" t="inlineStr">
        <is>
          <t>12-021-BS003-13-1037-225</t>
        </is>
      </c>
      <c r="F688" s="156" t="inlineStr">
        <is>
          <t>22.5</t>
        </is>
      </c>
      <c r="G688" s="156" t="inlineStr">
        <is>
          <t>5.5</t>
        </is>
      </c>
      <c r="H688" s="156" t="inlineStr">
        <is>
          <t>Stetson</t>
        </is>
      </c>
      <c r="I688" s="156" t="inlineStr">
        <is>
          <t>Bota Piel Negro</t>
        </is>
      </c>
      <c r="J688" s="156" t="inlineStr">
        <is>
          <t>Calzado</t>
        </is>
      </c>
      <c r="K688" s="156" t="inlineStr">
        <is>
          <t>Botas</t>
        </is>
      </c>
      <c r="L688" s="156" t="inlineStr">
        <is>
          <t>Mujer</t>
        </is>
      </c>
      <c r="M688" s="156" t="inlineStr">
        <is>
          <t>Stetson</t>
        </is>
      </c>
      <c r="N688" s="156" t="inlineStr">
        <is>
          <t>SS26</t>
        </is>
      </c>
      <c r="O688" s="156" t="inlineStr">
        <is>
          <t>Seasonal</t>
        </is>
      </c>
      <c r="P688" s="156" t="inlineStr">
        <is>
          <t>Negro</t>
        </is>
      </c>
      <c r="Q688" s="156" t="n"/>
      <c r="R688" s="156" t="inlineStr">
        <is>
          <t>Horma Alexia</t>
        </is>
      </c>
      <c r="S688" s="156" t="inlineStr">
        <is>
          <t>Piel bovina</t>
        </is>
      </c>
      <c r="T688" s="156" t="inlineStr">
        <is>
          <t>Bota Dama Piel bovina Clayton Negro Horma Alexia</t>
        </is>
      </c>
      <c r="U688" s="156" t="inlineStr">
        <is>
          <t>México</t>
        </is>
      </c>
      <c r="V688" s="156" t="inlineStr">
        <is>
          <t>PRS</t>
        </is>
      </c>
      <c r="W688" s="51" t="inlineStr">
        <is>
          <t>53111502</t>
        </is>
      </c>
      <c r="X688" s="156" t="n"/>
      <c r="Y688" s="54" t="n">
        <v>724.5599999999999</v>
      </c>
      <c r="Z688" s="54" t="n">
        <v>4224.137931</v>
      </c>
      <c r="AA688" s="55">
        <f>IF(AND(A688="", B688="", E688=""), "", IF(AB688="", "Válido", IF((LEN(AB688)-LEN(SUBSTITUTE(AB688,"; ","")))/2+1&gt;(LEN(AB688)-LEN(SUBSTITUTE(AB688,"[Aviso]","")))/7, "Con Incidencias", "Válido")))</f>
        <v/>
      </c>
      <c r="AB688" s="56">
        <f>IF(AND(A688="", B688="", E688=""), "", TEXTJOIN("; ", TRUE, IF(OR(TRIM(A688&amp;"")="", ISNUMBER(SEARCH("FALTA", A688))), "UPC faltante/inválido", ""), IF(AND(A688&lt;&gt;"", IFERROR(_xlfn.XMATCH(A688,$A$2:$A$2509,0,1)&lt;&gt;_xlfn.XMATCH(A688,$A$2:$A$2509,0,-1),FALSE)), "Código de barras duplicado", ""), IF(AND(E688&lt;&gt;"", COUNTIF($E$2:$E$2509, E688)&gt;1), "SKU duplicado", ""), IF(OR(J688="", J688=""), "[Aviso] División no capturada ()", IF(ISNA(MATCH(J688, Criterios!$A$123:$A$126, 0)), "División no válida", "")), IF(OR(K688="", K688=""), "[Aviso] Categoría no capturada ()", IF(ISNA(MATCH(K688, Criterios!$A$81:$A$120, 0)), "Categoría no válida", IF(AND(J688&lt;&gt;"", J688&lt;&gt;"", J688&lt;&gt;VLOOKUP(K688, Criterios!$A$81:$B$120, 2, FALSE)), "División no coincide con Categoría", ""))), IF(OR(L688="", L688=""), "[Aviso] Género no capturado ()", IF(ISNA(MATCH(L688, Criterios!$B$123:$B$127, 0)), "Género no válido", "")), IF(OR(N688="", N688=""), "[Aviso] Temporada no capturada ()", IF(ISNA(MATCH(N688, Criterios!$C$123:$C$128, 0)), "Temporada no válida", "")), IF(OR(O688="", O688=""), "[Aviso] Ciclo de vida no capturado ()", IF(ISNA(MATCH(O688, Criterios!$D$123:$D$124, 0)), "Ciclo de vida no válido", ""))))</f>
        <v/>
      </c>
      <c r="AC688" s="56" t="n"/>
      <c r="AD688" s="51" t="n">
        <v>0</v>
      </c>
      <c r="AE688" s="156" t="n"/>
      <c r="AF688" s="51" t="n">
        <v>0</v>
      </c>
      <c r="AG688" s="156" t="inlineStr">
        <is>
          <t>Catálogo existente</t>
        </is>
      </c>
      <c r="AH6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8" s="156" t="inlineStr">
        <is>
          <t>No</t>
        </is>
      </c>
      <c r="AJ688" s="156" t="n"/>
      <c r="AK688" s="155" t="inlineStr">
        <is>
          <t>Criterios: I [Q]; G1522_Extraccion_Articulos_NetSuite_2026-09-30.xlsx: fila 59263 [R] | Shopify Stetson: producto 15054564983147 / variante 53350560039275</t>
        </is>
      </c>
      <c r="AL688" s="58" t="n">
        <v>724.5599999999999</v>
      </c>
      <c r="AM688" s="58" t="n">
        <v>4224.137931</v>
      </c>
      <c r="AN688" s="155" t="inlineStr">
        <is>
          <t>Shopify Stetson México</t>
        </is>
      </c>
      <c r="AO688" s="59" t="n">
        <v>0</v>
      </c>
      <c r="AP688" s="59" t="n"/>
      <c r="AQ688" s="59" t="n"/>
      <c r="AR688" s="155" t="n"/>
    </row>
    <row r="689">
      <c r="A689" s="50" t="inlineStr">
        <is>
          <t>12021003131037235</t>
        </is>
      </c>
      <c r="B689" s="51" t="inlineStr">
        <is>
          <t>111589</t>
        </is>
      </c>
      <c r="C689" s="156" t="inlineStr">
        <is>
          <t>Multimarca</t>
        </is>
      </c>
      <c r="D689" s="156" t="inlineStr">
        <is>
          <t>12-021-BS003-13-1037</t>
        </is>
      </c>
      <c r="E689" s="156" t="inlineStr">
        <is>
          <t>12-021-BS003-13-1037-235</t>
        </is>
      </c>
      <c r="F689" s="156" t="inlineStr">
        <is>
          <t>23.5</t>
        </is>
      </c>
      <c r="G689" s="156" t="inlineStr">
        <is>
          <t>6.5</t>
        </is>
      </c>
      <c r="H689" s="156" t="inlineStr">
        <is>
          <t>Stetson</t>
        </is>
      </c>
      <c r="I689" s="156" t="inlineStr">
        <is>
          <t>Bota Piel Negro</t>
        </is>
      </c>
      <c r="J689" s="156" t="inlineStr">
        <is>
          <t>Calzado</t>
        </is>
      </c>
      <c r="K689" s="156" t="inlineStr">
        <is>
          <t>Botas</t>
        </is>
      </c>
      <c r="L689" s="156" t="inlineStr">
        <is>
          <t>Mujer</t>
        </is>
      </c>
      <c r="M689" s="156" t="inlineStr">
        <is>
          <t>Stetson</t>
        </is>
      </c>
      <c r="N689" s="156" t="inlineStr">
        <is>
          <t>SS26</t>
        </is>
      </c>
      <c r="O689" s="156" t="inlineStr">
        <is>
          <t>Seasonal</t>
        </is>
      </c>
      <c r="P689" s="156" t="inlineStr">
        <is>
          <t>Negro</t>
        </is>
      </c>
      <c r="Q689" s="156" t="n"/>
      <c r="R689" s="156" t="inlineStr">
        <is>
          <t>Horma Alexia</t>
        </is>
      </c>
      <c r="S689" s="156" t="inlineStr">
        <is>
          <t>Piel bovina</t>
        </is>
      </c>
      <c r="T689" s="156" t="inlineStr">
        <is>
          <t>Bota Dama Piel bovina Clayton Negro Horma Alexia</t>
        </is>
      </c>
      <c r="U689" s="156" t="inlineStr">
        <is>
          <t>México</t>
        </is>
      </c>
      <c r="V689" s="156" t="inlineStr">
        <is>
          <t>PRS</t>
        </is>
      </c>
      <c r="W689" s="51" t="inlineStr">
        <is>
          <t>53111502</t>
        </is>
      </c>
      <c r="X689" s="156" t="n"/>
      <c r="Y689" s="54" t="n">
        <v>724.5599999999999</v>
      </c>
      <c r="Z689" s="54" t="n">
        <v>4224.137931</v>
      </c>
      <c r="AA689" s="55">
        <f>IF(AND(A689="", B689="", E689=""), "", IF(AB689="", "Válido", IF((LEN(AB689)-LEN(SUBSTITUTE(AB689,"; ","")))/2+1&gt;(LEN(AB689)-LEN(SUBSTITUTE(AB689,"[Aviso]","")))/7, "Con Incidencias", "Válido")))</f>
        <v/>
      </c>
      <c r="AB689" s="56">
        <f>IF(AND(A689="", B689="", E689=""), "", TEXTJOIN("; ", TRUE, IF(OR(TRIM(A689&amp;"")="", ISNUMBER(SEARCH("FALTA", A689))), "UPC faltante/inválido", ""), IF(AND(A689&lt;&gt;"", IFERROR(_xlfn.XMATCH(A689,$A$2:$A$2509,0,1)&lt;&gt;_xlfn.XMATCH(A689,$A$2:$A$2509,0,-1),FALSE)), "Código de barras duplicado", ""), IF(AND(E689&lt;&gt;"", COUNTIF($E$2:$E$2509, E689)&gt;1), "SKU duplicado", ""), IF(OR(J689="", J689=""), "[Aviso] División no capturada ()", IF(ISNA(MATCH(J689, Criterios!$A$123:$A$126, 0)), "División no válida", "")), IF(OR(K689="", K689=""), "[Aviso] Categoría no capturada ()", IF(ISNA(MATCH(K689, Criterios!$A$81:$A$120, 0)), "Categoría no válida", IF(AND(J689&lt;&gt;"", J689&lt;&gt;"", J689&lt;&gt;VLOOKUP(K689, Criterios!$A$81:$B$120, 2, FALSE)), "División no coincide con Categoría", ""))), IF(OR(L689="", L689=""), "[Aviso] Género no capturado ()", IF(ISNA(MATCH(L689, Criterios!$B$123:$B$127, 0)), "Género no válido", "")), IF(OR(N689="", N689=""), "[Aviso] Temporada no capturada ()", IF(ISNA(MATCH(N689, Criterios!$C$123:$C$128, 0)), "Temporada no válida", "")), IF(OR(O689="", O689=""), "[Aviso] Ciclo de vida no capturado ()", IF(ISNA(MATCH(O689, Criterios!$D$123:$D$124, 0)), "Ciclo de vida no válido", ""))))</f>
        <v/>
      </c>
      <c r="AC689" s="56" t="n"/>
      <c r="AD689" s="51" t="n">
        <v>0</v>
      </c>
      <c r="AE689" s="156" t="n"/>
      <c r="AF689" s="51" t="n">
        <v>0</v>
      </c>
      <c r="AG689" s="156" t="inlineStr">
        <is>
          <t>Catálogo existente</t>
        </is>
      </c>
      <c r="AH6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9" s="156" t="inlineStr">
        <is>
          <t>No</t>
        </is>
      </c>
      <c r="AJ689" s="156" t="n"/>
      <c r="AK689" s="155" t="inlineStr">
        <is>
          <t>Criterios: I [Q]; G1522_Extraccion_Articulos_NetSuite_2026-09-30.xlsx: fila 59264 [R] | Shopify Stetson: producto 15054564983147 / variante 53350560104811</t>
        </is>
      </c>
      <c r="AL689" s="58" t="n">
        <v>724.5599999999999</v>
      </c>
      <c r="AM689" s="58" t="n">
        <v>4224.137931</v>
      </c>
      <c r="AN689" s="155" t="inlineStr">
        <is>
          <t>Shopify Stetson México</t>
        </is>
      </c>
      <c r="AO689" s="59" t="n">
        <v>1</v>
      </c>
      <c r="AP689" s="59" t="n"/>
      <c r="AQ689" s="59" t="n"/>
      <c r="AR689" s="155" t="inlineStr">
        <is>
          <t>Shopify Stetson México › Stetson Americas: 1</t>
        </is>
      </c>
    </row>
    <row r="690">
      <c r="A690" s="50" t="inlineStr">
        <is>
          <t>12021003131037245</t>
        </is>
      </c>
      <c r="B690" s="51" t="inlineStr">
        <is>
          <t>111590</t>
        </is>
      </c>
      <c r="C690" s="156" t="inlineStr">
        <is>
          <t>Multimarca</t>
        </is>
      </c>
      <c r="D690" s="156" t="inlineStr">
        <is>
          <t>12-021-BS003-13-1037</t>
        </is>
      </c>
      <c r="E690" s="156" t="inlineStr">
        <is>
          <t>12-021-BS003-13-1037-245</t>
        </is>
      </c>
      <c r="F690" s="156" t="inlineStr">
        <is>
          <t>24.5</t>
        </is>
      </c>
      <c r="G690" s="156" t="inlineStr">
        <is>
          <t>7.5</t>
        </is>
      </c>
      <c r="H690" s="156" t="inlineStr">
        <is>
          <t>Stetson</t>
        </is>
      </c>
      <c r="I690" s="156" t="inlineStr">
        <is>
          <t>Bota Piel Negro</t>
        </is>
      </c>
      <c r="J690" s="156" t="inlineStr">
        <is>
          <t>Calzado</t>
        </is>
      </c>
      <c r="K690" s="156" t="inlineStr">
        <is>
          <t>Botas</t>
        </is>
      </c>
      <c r="L690" s="156" t="inlineStr">
        <is>
          <t>Mujer</t>
        </is>
      </c>
      <c r="M690" s="156" t="inlineStr">
        <is>
          <t>Stetson</t>
        </is>
      </c>
      <c r="N690" s="156" t="inlineStr">
        <is>
          <t>SS26</t>
        </is>
      </c>
      <c r="O690" s="156" t="inlineStr">
        <is>
          <t>Seasonal</t>
        </is>
      </c>
      <c r="P690" s="156" t="inlineStr">
        <is>
          <t>Negro</t>
        </is>
      </c>
      <c r="Q690" s="156" t="n"/>
      <c r="R690" s="156" t="inlineStr">
        <is>
          <t>Horma Alexia</t>
        </is>
      </c>
      <c r="S690" s="156" t="inlineStr">
        <is>
          <t>Piel bovina</t>
        </is>
      </c>
      <c r="T690" s="156" t="inlineStr">
        <is>
          <t>Bota Dama Piel bovina Clayton Negro Horma Alexia</t>
        </is>
      </c>
      <c r="U690" s="156" t="inlineStr">
        <is>
          <t>México</t>
        </is>
      </c>
      <c r="V690" s="156" t="inlineStr">
        <is>
          <t>PRS</t>
        </is>
      </c>
      <c r="W690" s="51" t="inlineStr">
        <is>
          <t>53111502</t>
        </is>
      </c>
      <c r="X690" s="156" t="n"/>
      <c r="Y690" s="54" t="n">
        <v>724.5599999999999</v>
      </c>
      <c r="Z690" s="54" t="n">
        <v>4224.137931</v>
      </c>
      <c r="AA690" s="55">
        <f>IF(AND(A690="", B690="", E690=""), "", IF(AB690="", "Válido", IF((LEN(AB690)-LEN(SUBSTITUTE(AB690,"; ","")))/2+1&gt;(LEN(AB690)-LEN(SUBSTITUTE(AB690,"[Aviso]","")))/7, "Con Incidencias", "Válido")))</f>
        <v/>
      </c>
      <c r="AB690" s="56">
        <f>IF(AND(A690="", B690="", E690=""), "", TEXTJOIN("; ", TRUE, IF(OR(TRIM(A690&amp;"")="", ISNUMBER(SEARCH("FALTA", A690))), "UPC faltante/inválido", ""), IF(AND(A690&lt;&gt;"", IFERROR(_xlfn.XMATCH(A690,$A$2:$A$2509,0,1)&lt;&gt;_xlfn.XMATCH(A690,$A$2:$A$2509,0,-1),FALSE)), "Código de barras duplicado", ""), IF(AND(E690&lt;&gt;"", COUNTIF($E$2:$E$2509, E690)&gt;1), "SKU duplicado", ""), IF(OR(J690="", J690=""), "[Aviso] División no capturada ()", IF(ISNA(MATCH(J690, Criterios!$A$123:$A$126, 0)), "División no válida", "")), IF(OR(K690="", K690=""), "[Aviso] Categoría no capturada ()", IF(ISNA(MATCH(K690, Criterios!$A$81:$A$120, 0)), "Categoría no válida", IF(AND(J690&lt;&gt;"", J690&lt;&gt;"", J690&lt;&gt;VLOOKUP(K690, Criterios!$A$81:$B$120, 2, FALSE)), "División no coincide con Categoría", ""))), IF(OR(L690="", L690=""), "[Aviso] Género no capturado ()", IF(ISNA(MATCH(L690, Criterios!$B$123:$B$127, 0)), "Género no válido", "")), IF(OR(N690="", N690=""), "[Aviso] Temporada no capturada ()", IF(ISNA(MATCH(N690, Criterios!$C$123:$C$128, 0)), "Temporada no válida", "")), IF(OR(O690="", O690=""), "[Aviso] Ciclo de vida no capturado ()", IF(ISNA(MATCH(O690, Criterios!$D$123:$D$124, 0)), "Ciclo de vida no válido", ""))))</f>
        <v/>
      </c>
      <c r="AC690" s="56" t="n"/>
      <c r="AD690" s="51" t="n">
        <v>0</v>
      </c>
      <c r="AE690" s="156" t="n"/>
      <c r="AF690" s="51" t="n">
        <v>0</v>
      </c>
      <c r="AG690" s="156" t="inlineStr">
        <is>
          <t>Catálogo existente</t>
        </is>
      </c>
      <c r="AH6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0" s="156" t="inlineStr">
        <is>
          <t>No</t>
        </is>
      </c>
      <c r="AJ690" s="156" t="n"/>
      <c r="AK690" s="155" t="inlineStr">
        <is>
          <t>Criterios: I [Q]; G1522_Extraccion_Articulos_NetSuite_2026-09-30.xlsx: fila 59265 [R] | Shopify Stetson: producto 15054564983147 / variante 53350560170347</t>
        </is>
      </c>
      <c r="AL690" s="58" t="n">
        <v>724.5599999999999</v>
      </c>
      <c r="AM690" s="58" t="n">
        <v>4224.137931</v>
      </c>
      <c r="AN690" s="155" t="inlineStr">
        <is>
          <t>Shopify Stetson México</t>
        </is>
      </c>
      <c r="AO690" s="59" t="n">
        <v>2</v>
      </c>
      <c r="AP690" s="59" t="n"/>
      <c r="AQ690" s="59" t="n"/>
      <c r="AR690" s="155" t="inlineStr">
        <is>
          <t>Shopify Stetson México › Stetson Americas: 2</t>
        </is>
      </c>
    </row>
    <row r="691">
      <c r="A691" s="50" t="inlineStr">
        <is>
          <t>12021003131037255</t>
        </is>
      </c>
      <c r="B691" s="51" t="inlineStr">
        <is>
          <t>111581</t>
        </is>
      </c>
      <c r="C691" s="156" t="inlineStr">
        <is>
          <t>Multimarca</t>
        </is>
      </c>
      <c r="D691" s="156" t="inlineStr">
        <is>
          <t>12-021-BS003-13-1037</t>
        </is>
      </c>
      <c r="E691" s="156" t="inlineStr">
        <is>
          <t>12-021-BS003-13-1037-255</t>
        </is>
      </c>
      <c r="F691" s="156" t="inlineStr">
        <is>
          <t>25.5</t>
        </is>
      </c>
      <c r="G691" s="156" t="inlineStr">
        <is>
          <t>8.5</t>
        </is>
      </c>
      <c r="H691" s="156" t="inlineStr">
        <is>
          <t>Stetson</t>
        </is>
      </c>
      <c r="I691" s="156" t="inlineStr">
        <is>
          <t>Bota Piel Negro</t>
        </is>
      </c>
      <c r="J691" s="156" t="inlineStr">
        <is>
          <t>Calzado</t>
        </is>
      </c>
      <c r="K691" s="156" t="inlineStr">
        <is>
          <t>Botas</t>
        </is>
      </c>
      <c r="L691" s="156" t="inlineStr">
        <is>
          <t>Mujer</t>
        </is>
      </c>
      <c r="M691" s="156" t="inlineStr">
        <is>
          <t>Stetson</t>
        </is>
      </c>
      <c r="N691" s="156" t="inlineStr">
        <is>
          <t>SS26</t>
        </is>
      </c>
      <c r="O691" s="156" t="inlineStr">
        <is>
          <t>Seasonal</t>
        </is>
      </c>
      <c r="P691" s="156" t="inlineStr">
        <is>
          <t>Negro</t>
        </is>
      </c>
      <c r="Q691" s="156" t="n"/>
      <c r="R691" s="156" t="inlineStr">
        <is>
          <t>Horma Alexia</t>
        </is>
      </c>
      <c r="S691" s="156" t="inlineStr">
        <is>
          <t>Piel bovina</t>
        </is>
      </c>
      <c r="T691" s="156" t="inlineStr">
        <is>
          <t>Bota Dama Piel bovina Clayton Negro Horma Alexia</t>
        </is>
      </c>
      <c r="U691" s="156" t="inlineStr">
        <is>
          <t>México</t>
        </is>
      </c>
      <c r="V691" s="156" t="inlineStr">
        <is>
          <t>PRS</t>
        </is>
      </c>
      <c r="W691" s="51" t="inlineStr">
        <is>
          <t>53111502</t>
        </is>
      </c>
      <c r="X691" s="156" t="n"/>
      <c r="Y691" s="54" t="n">
        <v>724.5599999999999</v>
      </c>
      <c r="Z691" s="54" t="n">
        <v>4224.137931</v>
      </c>
      <c r="AA691" s="55">
        <f>IF(AND(A691="", B691="", E691=""), "", IF(AB691="", "Válido", IF((LEN(AB691)-LEN(SUBSTITUTE(AB691,"; ","")))/2+1&gt;(LEN(AB691)-LEN(SUBSTITUTE(AB691,"[Aviso]","")))/7, "Con Incidencias", "Válido")))</f>
        <v/>
      </c>
      <c r="AB691" s="56">
        <f>IF(AND(A691="", B691="", E691=""), "", TEXTJOIN("; ", TRUE, IF(OR(TRIM(A691&amp;"")="", ISNUMBER(SEARCH("FALTA", A691))), "UPC faltante/inválido", ""), IF(AND(A691&lt;&gt;"", IFERROR(_xlfn.XMATCH(A691,$A$2:$A$2509,0,1)&lt;&gt;_xlfn.XMATCH(A691,$A$2:$A$2509,0,-1),FALSE)), "Código de barras duplicado", ""), IF(AND(E691&lt;&gt;"", COUNTIF($E$2:$E$2509, E691)&gt;1), "SKU duplicado", ""), IF(OR(J691="", J691=""), "[Aviso] División no capturada ()", IF(ISNA(MATCH(J691, Criterios!$A$123:$A$126, 0)), "División no válida", "")), IF(OR(K691="", K691=""), "[Aviso] Categoría no capturada ()", IF(ISNA(MATCH(K691, Criterios!$A$81:$A$120, 0)), "Categoría no válida", IF(AND(J691&lt;&gt;"", J691&lt;&gt;"", J691&lt;&gt;VLOOKUP(K691, Criterios!$A$81:$B$120, 2, FALSE)), "División no coincide con Categoría", ""))), IF(OR(L691="", L691=""), "[Aviso] Género no capturado ()", IF(ISNA(MATCH(L691, Criterios!$B$123:$B$127, 0)), "Género no válido", "")), IF(OR(N691="", N691=""), "[Aviso] Temporada no capturada ()", IF(ISNA(MATCH(N691, Criterios!$C$123:$C$128, 0)), "Temporada no válida", "")), IF(OR(O691="", O691=""), "[Aviso] Ciclo de vida no capturado ()", IF(ISNA(MATCH(O691, Criterios!$D$123:$D$124, 0)), "Ciclo de vida no válido", ""))))</f>
        <v/>
      </c>
      <c r="AC691" s="56" t="n"/>
      <c r="AD691" s="51" t="n">
        <v>0</v>
      </c>
      <c r="AE691" s="156" t="n"/>
      <c r="AF691" s="51" t="n">
        <v>0</v>
      </c>
      <c r="AG691" s="156" t="inlineStr">
        <is>
          <t>Catálogo existente</t>
        </is>
      </c>
      <c r="AH69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1" s="156" t="inlineStr">
        <is>
          <t>No</t>
        </is>
      </c>
      <c r="AJ691" s="156" t="n"/>
      <c r="AK691" s="155" t="inlineStr">
        <is>
          <t>Criterios: I [Q]; G1522_Extraccion_Articulos_NetSuite_2026-09-30.xlsx: fila 59256 [R]</t>
        </is>
      </c>
      <c r="AL691" s="58" t="n">
        <v>724.5599999999999</v>
      </c>
      <c r="AM691" s="58" t="n">
        <v>4224.137931</v>
      </c>
      <c r="AN691" s="155" t="n"/>
      <c r="AO691" s="59" t="n"/>
      <c r="AP691" s="59" t="n"/>
      <c r="AQ691" s="59" t="n"/>
      <c r="AR691" s="155" t="n"/>
    </row>
    <row r="692">
      <c r="A692" s="50" t="inlineStr">
        <is>
          <t>12021003131037265</t>
        </is>
      </c>
      <c r="B692" s="51" t="inlineStr">
        <is>
          <t>111582</t>
        </is>
      </c>
      <c r="C692" s="156" t="inlineStr">
        <is>
          <t>Multimarca</t>
        </is>
      </c>
      <c r="D692" s="156" t="inlineStr">
        <is>
          <t>12-021-BS003-13-1037</t>
        </is>
      </c>
      <c r="E692" s="156" t="inlineStr">
        <is>
          <t>12-021-BS003-13-1037-265</t>
        </is>
      </c>
      <c r="F692" s="156" t="inlineStr">
        <is>
          <t>26.5</t>
        </is>
      </c>
      <c r="G692" s="156" t="inlineStr">
        <is>
          <t>9.5</t>
        </is>
      </c>
      <c r="H692" s="156" t="inlineStr">
        <is>
          <t>Stetson</t>
        </is>
      </c>
      <c r="I692" s="156" t="inlineStr">
        <is>
          <t>Bota Piel Negro</t>
        </is>
      </c>
      <c r="J692" s="156" t="inlineStr">
        <is>
          <t>Calzado</t>
        </is>
      </c>
      <c r="K692" s="156" t="inlineStr">
        <is>
          <t>Botas</t>
        </is>
      </c>
      <c r="L692" s="156" t="inlineStr">
        <is>
          <t>Mujer</t>
        </is>
      </c>
      <c r="M692" s="156" t="inlineStr">
        <is>
          <t>Stetson</t>
        </is>
      </c>
      <c r="N692" s="156" t="inlineStr">
        <is>
          <t>SS26</t>
        </is>
      </c>
      <c r="O692" s="156" t="inlineStr">
        <is>
          <t>Seasonal</t>
        </is>
      </c>
      <c r="P692" s="156" t="inlineStr">
        <is>
          <t>Negro</t>
        </is>
      </c>
      <c r="Q692" s="156" t="n"/>
      <c r="R692" s="156" t="inlineStr">
        <is>
          <t>Horma Alexia</t>
        </is>
      </c>
      <c r="S692" s="156" t="inlineStr">
        <is>
          <t>Piel bovina</t>
        </is>
      </c>
      <c r="T692" s="156" t="inlineStr">
        <is>
          <t>Bota Dama Piel bovina Clayton Negro Horma Alexia</t>
        </is>
      </c>
      <c r="U692" s="156" t="inlineStr">
        <is>
          <t>México</t>
        </is>
      </c>
      <c r="V692" s="156" t="inlineStr">
        <is>
          <t>PRS</t>
        </is>
      </c>
      <c r="W692" s="51" t="inlineStr">
        <is>
          <t>53111502</t>
        </is>
      </c>
      <c r="X692" s="156" t="n"/>
      <c r="Y692" s="54" t="n">
        <v>724.5599999999999</v>
      </c>
      <c r="Z692" s="54" t="n">
        <v>4224.137931</v>
      </c>
      <c r="AA692" s="55">
        <f>IF(AND(A692="", B692="", E692=""), "", IF(AB692="", "Válido", IF((LEN(AB692)-LEN(SUBSTITUTE(AB692,"; ","")))/2+1&gt;(LEN(AB692)-LEN(SUBSTITUTE(AB692,"[Aviso]","")))/7, "Con Incidencias", "Válido")))</f>
        <v/>
      </c>
      <c r="AB692" s="56">
        <f>IF(AND(A692="", B692="", E692=""), "", TEXTJOIN("; ", TRUE, IF(OR(TRIM(A692&amp;"")="", ISNUMBER(SEARCH("FALTA", A692))), "UPC faltante/inválido", ""), IF(AND(A692&lt;&gt;"", IFERROR(_xlfn.XMATCH(A692,$A$2:$A$2509,0,1)&lt;&gt;_xlfn.XMATCH(A692,$A$2:$A$2509,0,-1),FALSE)), "Código de barras duplicado", ""), IF(AND(E692&lt;&gt;"", COUNTIF($E$2:$E$2509, E692)&gt;1), "SKU duplicado", ""), IF(OR(J692="", J692=""), "[Aviso] División no capturada ()", IF(ISNA(MATCH(J692, Criterios!$A$123:$A$126, 0)), "División no válida", "")), IF(OR(K692="", K692=""), "[Aviso] Categoría no capturada ()", IF(ISNA(MATCH(K692, Criterios!$A$81:$A$120, 0)), "Categoría no válida", IF(AND(J692&lt;&gt;"", J692&lt;&gt;"", J692&lt;&gt;VLOOKUP(K692, Criterios!$A$81:$B$120, 2, FALSE)), "División no coincide con Categoría", ""))), IF(OR(L692="", L692=""), "[Aviso] Género no capturado ()", IF(ISNA(MATCH(L692, Criterios!$B$123:$B$127, 0)), "Género no válido", "")), IF(OR(N692="", N692=""), "[Aviso] Temporada no capturada ()", IF(ISNA(MATCH(N692, Criterios!$C$123:$C$128, 0)), "Temporada no válida", "")), IF(OR(O692="", O692=""), "[Aviso] Ciclo de vida no capturado ()", IF(ISNA(MATCH(O692, Criterios!$D$123:$D$124, 0)), "Ciclo de vida no válido", ""))))</f>
        <v/>
      </c>
      <c r="AC692" s="56" t="n"/>
      <c r="AD692" s="51" t="n">
        <v>-1</v>
      </c>
      <c r="AE692" s="156" t="n"/>
      <c r="AF692" s="51" t="n">
        <v>0</v>
      </c>
      <c r="AG692" s="156" t="inlineStr">
        <is>
          <t>Catálogo existente</t>
        </is>
      </c>
      <c r="AH692"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2" s="156" t="inlineStr">
        <is>
          <t>Sí</t>
        </is>
      </c>
      <c r="AJ692" s="156" t="inlineStr">
        <is>
          <t>STETSON AMERICAS (-1)</t>
        </is>
      </c>
      <c r="AK692" s="155" t="inlineStr">
        <is>
          <t>Criterios: I [Q]; G1522_Extraccion_Articulos_NetSuite_2026-09-30.xlsx: fila 59257 [R]</t>
        </is>
      </c>
      <c r="AL692" s="58" t="n">
        <v>724.5599999999999</v>
      </c>
      <c r="AM692" s="58" t="n">
        <v>4224.137931</v>
      </c>
      <c r="AN692" s="155" t="n"/>
      <c r="AO692" s="59" t="n"/>
      <c r="AP692" s="59" t="n"/>
      <c r="AQ692" s="59" t="n"/>
      <c r="AR692" s="155" t="n"/>
    </row>
    <row r="693">
      <c r="A693" s="50" t="inlineStr">
        <is>
          <t>12021003131037275</t>
        </is>
      </c>
      <c r="B693" s="51" t="inlineStr">
        <is>
          <t>111583</t>
        </is>
      </c>
      <c r="C693" s="156" t="inlineStr">
        <is>
          <t>Multimarca</t>
        </is>
      </c>
      <c r="D693" s="156" t="inlineStr">
        <is>
          <t>12-021-BS003-13-1037</t>
        </is>
      </c>
      <c r="E693" s="156" t="inlineStr">
        <is>
          <t>12-021-BS003-13-1037-275</t>
        </is>
      </c>
      <c r="F693" s="156" t="inlineStr">
        <is>
          <t>27.5</t>
        </is>
      </c>
      <c r="G693" s="156" t="inlineStr">
        <is>
          <t>10.5</t>
        </is>
      </c>
      <c r="H693" s="156" t="inlineStr">
        <is>
          <t>Stetson</t>
        </is>
      </c>
      <c r="I693" s="156" t="inlineStr">
        <is>
          <t>Bota Piel Negro</t>
        </is>
      </c>
      <c r="J693" s="156" t="inlineStr">
        <is>
          <t>Calzado</t>
        </is>
      </c>
      <c r="K693" s="156" t="inlineStr">
        <is>
          <t>Botas</t>
        </is>
      </c>
      <c r="L693" s="156" t="inlineStr">
        <is>
          <t>Mujer</t>
        </is>
      </c>
      <c r="M693" s="156" t="inlineStr">
        <is>
          <t>Stetson</t>
        </is>
      </c>
      <c r="N693" s="156" t="inlineStr">
        <is>
          <t>SS26</t>
        </is>
      </c>
      <c r="O693" s="156" t="inlineStr">
        <is>
          <t>Seasonal</t>
        </is>
      </c>
      <c r="P693" s="156" t="inlineStr">
        <is>
          <t>Negro</t>
        </is>
      </c>
      <c r="Q693" s="156" t="n"/>
      <c r="R693" s="156" t="inlineStr">
        <is>
          <t>Horma Alexia</t>
        </is>
      </c>
      <c r="S693" s="156" t="inlineStr">
        <is>
          <t>Piel bovina</t>
        </is>
      </c>
      <c r="T693" s="156" t="inlineStr">
        <is>
          <t>Bota Dama Piel bovina Clayton Negro Horma Alexia</t>
        </is>
      </c>
      <c r="U693" s="156" t="inlineStr">
        <is>
          <t>México</t>
        </is>
      </c>
      <c r="V693" s="156" t="inlineStr">
        <is>
          <t>PRS</t>
        </is>
      </c>
      <c r="W693" s="51" t="inlineStr">
        <is>
          <t>53111502</t>
        </is>
      </c>
      <c r="X693" s="156" t="n"/>
      <c r="Y693" s="54" t="n">
        <v>724.5599999999999</v>
      </c>
      <c r="Z693" s="54" t="n">
        <v>4224.137931</v>
      </c>
      <c r="AA693" s="55">
        <f>IF(AND(A693="", B693="", E693=""), "", IF(AB693="", "Válido", IF((LEN(AB693)-LEN(SUBSTITUTE(AB693,"; ","")))/2+1&gt;(LEN(AB693)-LEN(SUBSTITUTE(AB693,"[Aviso]","")))/7, "Con Incidencias", "Válido")))</f>
        <v/>
      </c>
      <c r="AB693" s="56">
        <f>IF(AND(A693="", B693="", E693=""), "", TEXTJOIN("; ", TRUE, IF(OR(TRIM(A693&amp;"")="", ISNUMBER(SEARCH("FALTA", A693))), "UPC faltante/inválido", ""), IF(AND(A693&lt;&gt;"", IFERROR(_xlfn.XMATCH(A693,$A$2:$A$2509,0,1)&lt;&gt;_xlfn.XMATCH(A693,$A$2:$A$2509,0,-1),FALSE)), "Código de barras duplicado", ""), IF(AND(E693&lt;&gt;"", COUNTIF($E$2:$E$2509, E693)&gt;1), "SKU duplicado", ""), IF(OR(J693="", J693=""), "[Aviso] División no capturada ()", IF(ISNA(MATCH(J693, Criterios!$A$123:$A$126, 0)), "División no válida", "")), IF(OR(K693="", K693=""), "[Aviso] Categoría no capturada ()", IF(ISNA(MATCH(K693, Criterios!$A$81:$A$120, 0)), "Categoría no válida", IF(AND(J693&lt;&gt;"", J693&lt;&gt;"", J693&lt;&gt;VLOOKUP(K693, Criterios!$A$81:$B$120, 2, FALSE)), "División no coincide con Categoría", ""))), IF(OR(L693="", L693=""), "[Aviso] Género no capturado ()", IF(ISNA(MATCH(L693, Criterios!$B$123:$B$127, 0)), "Género no válido", "")), IF(OR(N693="", N693=""), "[Aviso] Temporada no capturada ()", IF(ISNA(MATCH(N693, Criterios!$C$123:$C$128, 0)), "Temporada no válida", "")), IF(OR(O693="", O693=""), "[Aviso] Ciclo de vida no capturado ()", IF(ISNA(MATCH(O693, Criterios!$D$123:$D$124, 0)), "Ciclo de vida no válido", ""))))</f>
        <v/>
      </c>
      <c r="AC693" s="56" t="n"/>
      <c r="AD693" s="51" t="n">
        <v>0</v>
      </c>
      <c r="AE693" s="156" t="n"/>
      <c r="AF693" s="51" t="n">
        <v>0</v>
      </c>
      <c r="AG693" s="156" t="inlineStr">
        <is>
          <t>Catálogo existente</t>
        </is>
      </c>
      <c r="AH69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3" s="156" t="inlineStr">
        <is>
          <t>No</t>
        </is>
      </c>
      <c r="AJ693" s="156" t="n"/>
      <c r="AK693" s="155" t="inlineStr">
        <is>
          <t>Criterios: I [Q]; G1522_Extraccion_Articulos_NetSuite_2026-09-30.xlsx: fila 59258 [R]</t>
        </is>
      </c>
      <c r="AL693" s="58" t="n">
        <v>724.5599999999999</v>
      </c>
      <c r="AM693" s="58" t="n">
        <v>4224.137931</v>
      </c>
      <c r="AN693" s="155" t="n"/>
      <c r="AO693" s="59" t="n"/>
      <c r="AP693" s="59" t="n"/>
      <c r="AQ693" s="59" t="n"/>
      <c r="AR693" s="155" t="n"/>
    </row>
    <row r="694">
      <c r="A694" s="50" t="inlineStr">
        <is>
          <t>12021003131038022</t>
        </is>
      </c>
      <c r="B694" s="51" t="inlineStr">
        <is>
          <t>111596</t>
        </is>
      </c>
      <c r="C694" s="156" t="inlineStr">
        <is>
          <t>Multimarca</t>
        </is>
      </c>
      <c r="D694" s="156" t="inlineStr">
        <is>
          <t>12-021-BS003-13-1038</t>
        </is>
      </c>
      <c r="E694" s="156" t="inlineStr">
        <is>
          <t>12-021-BS003-13-1038-022</t>
        </is>
      </c>
      <c r="F694" s="156" t="inlineStr">
        <is>
          <t>22</t>
        </is>
      </c>
      <c r="G694" s="156" t="inlineStr">
        <is>
          <t>5</t>
        </is>
      </c>
      <c r="H694" s="156" t="inlineStr">
        <is>
          <t>Stetson</t>
        </is>
      </c>
      <c r="I694" s="156" t="inlineStr">
        <is>
          <t>Bota Piel Escarlata</t>
        </is>
      </c>
      <c r="J694" s="156" t="inlineStr">
        <is>
          <t>Calzado</t>
        </is>
      </c>
      <c r="K694" s="156" t="inlineStr">
        <is>
          <t>Botas</t>
        </is>
      </c>
      <c r="L694" s="156" t="inlineStr">
        <is>
          <t>Mujer</t>
        </is>
      </c>
      <c r="M694" s="156" t="inlineStr">
        <is>
          <t>Stetson</t>
        </is>
      </c>
      <c r="N694" s="156" t="inlineStr">
        <is>
          <t>SS26</t>
        </is>
      </c>
      <c r="O694" s="156" t="inlineStr">
        <is>
          <t>Seasonal</t>
        </is>
      </c>
      <c r="P694" s="156" t="inlineStr">
        <is>
          <t>Rojo</t>
        </is>
      </c>
      <c r="Q694" s="156" t="n"/>
      <c r="R694" s="156" t="inlineStr">
        <is>
          <t>Horma Alexia</t>
        </is>
      </c>
      <c r="S694" s="156" t="inlineStr">
        <is>
          <t>Piel bovina</t>
        </is>
      </c>
      <c r="T694" s="156" t="inlineStr">
        <is>
          <t>Bota Dama Piel bovina Bullion Escarlata Horma Alexia</t>
        </is>
      </c>
      <c r="U694" s="156" t="inlineStr">
        <is>
          <t>México</t>
        </is>
      </c>
      <c r="V694" s="156" t="inlineStr">
        <is>
          <t>PRS</t>
        </is>
      </c>
      <c r="W694" s="51" t="inlineStr">
        <is>
          <t>53111502</t>
        </is>
      </c>
      <c r="X694" s="156" t="n"/>
      <c r="Y694" s="54" t="n">
        <v>653.9400000000001</v>
      </c>
      <c r="Z694" s="54" t="n">
        <v>3793.103448</v>
      </c>
      <c r="AA694" s="55">
        <f>IF(AND(A694="", B694="", E694=""), "", IF(AB694="", "Válido", IF((LEN(AB694)-LEN(SUBSTITUTE(AB694,"; ","")))/2+1&gt;(LEN(AB694)-LEN(SUBSTITUTE(AB694,"[Aviso]","")))/7, "Con Incidencias", "Válido")))</f>
        <v/>
      </c>
      <c r="AB694" s="56">
        <f>IF(AND(A694="", B694="", E694=""), "", TEXTJOIN("; ", TRUE, IF(OR(TRIM(A694&amp;"")="", ISNUMBER(SEARCH("FALTA", A694))), "UPC faltante/inválido", ""), IF(AND(A694&lt;&gt;"", IFERROR(_xlfn.XMATCH(A694,$A$2:$A$2509,0,1)&lt;&gt;_xlfn.XMATCH(A694,$A$2:$A$2509,0,-1),FALSE)), "Código de barras duplicado", ""), IF(AND(E694&lt;&gt;"", COUNTIF($E$2:$E$2509, E694)&gt;1), "SKU duplicado", ""), IF(OR(J694="", J694=""), "[Aviso] División no capturada ()", IF(ISNA(MATCH(J694, Criterios!$A$123:$A$126, 0)), "División no válida", "")), IF(OR(K694="", K694=""), "[Aviso] Categoría no capturada ()", IF(ISNA(MATCH(K694, Criterios!$A$81:$A$120, 0)), "Categoría no válida", IF(AND(J694&lt;&gt;"", J694&lt;&gt;"", J694&lt;&gt;VLOOKUP(K694, Criterios!$A$81:$B$120, 2, FALSE)), "División no coincide con Categoría", ""))), IF(OR(L694="", L694=""), "[Aviso] Género no capturado ()", IF(ISNA(MATCH(L694, Criterios!$B$123:$B$127, 0)), "Género no válido", "")), IF(OR(N694="", N694=""), "[Aviso] Temporada no capturada ()", IF(ISNA(MATCH(N694, Criterios!$C$123:$C$128, 0)), "Temporada no válida", "")), IF(OR(O694="", O694=""), "[Aviso] Ciclo de vida no capturado ()", IF(ISNA(MATCH(O694, Criterios!$D$123:$D$124, 0)), "Ciclo de vida no válido", ""))))</f>
        <v/>
      </c>
      <c r="AC694" s="56" t="n"/>
      <c r="AD694" s="51" t="n">
        <v>0</v>
      </c>
      <c r="AE694" s="156" t="n"/>
      <c r="AF694" s="51" t="n">
        <v>0</v>
      </c>
      <c r="AG694" s="156" t="inlineStr">
        <is>
          <t>Catálogo existente</t>
        </is>
      </c>
      <c r="AH6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4" s="156" t="inlineStr">
        <is>
          <t>No</t>
        </is>
      </c>
      <c r="AJ694" s="156" t="n"/>
      <c r="AK694" s="155" t="inlineStr">
        <is>
          <t>Criterios: I [Q]; G1522_Extraccion_Articulos_NetSuite_2026-09-30.xlsx: fila 59271 [R] | Shopify Stetson: producto 15054565015915 / variante 53350560399723</t>
        </is>
      </c>
      <c r="AL694" s="58" t="n">
        <v>653.9400000000001</v>
      </c>
      <c r="AM694" s="58" t="n">
        <v>3793.103448</v>
      </c>
      <c r="AN694" s="155" t="inlineStr">
        <is>
          <t>Shopify Stetson México</t>
        </is>
      </c>
      <c r="AO694" s="59" t="n">
        <v>0</v>
      </c>
      <c r="AP694" s="59" t="n"/>
      <c r="AQ694" s="59" t="n"/>
      <c r="AR694" s="155" t="n"/>
    </row>
    <row r="695">
      <c r="A695" s="50" t="inlineStr">
        <is>
          <t>12021003131038023</t>
        </is>
      </c>
      <c r="B695" s="51" t="inlineStr">
        <is>
          <t>111597</t>
        </is>
      </c>
      <c r="C695" s="156" t="inlineStr">
        <is>
          <t>Multimarca</t>
        </is>
      </c>
      <c r="D695" s="156" t="inlineStr">
        <is>
          <t>12-021-BS003-13-1038</t>
        </is>
      </c>
      <c r="E695" s="156" t="inlineStr">
        <is>
          <t>12-021-BS003-13-1038-023</t>
        </is>
      </c>
      <c r="F695" s="156" t="inlineStr">
        <is>
          <t>23</t>
        </is>
      </c>
      <c r="G695" s="156" t="inlineStr">
        <is>
          <t>6</t>
        </is>
      </c>
      <c r="H695" s="156" t="inlineStr">
        <is>
          <t>Stetson</t>
        </is>
      </c>
      <c r="I695" s="156" t="inlineStr">
        <is>
          <t>Bota Piel Escarlata</t>
        </is>
      </c>
      <c r="J695" s="156" t="inlineStr">
        <is>
          <t>Calzado</t>
        </is>
      </c>
      <c r="K695" s="156" t="inlineStr">
        <is>
          <t>Botas</t>
        </is>
      </c>
      <c r="L695" s="156" t="inlineStr">
        <is>
          <t>Mujer</t>
        </is>
      </c>
      <c r="M695" s="156" t="inlineStr">
        <is>
          <t>Stetson</t>
        </is>
      </c>
      <c r="N695" s="156" t="inlineStr">
        <is>
          <t>SS26</t>
        </is>
      </c>
      <c r="O695" s="156" t="inlineStr">
        <is>
          <t>Seasonal</t>
        </is>
      </c>
      <c r="P695" s="156" t="inlineStr">
        <is>
          <t>Rojo</t>
        </is>
      </c>
      <c r="Q695" s="156" t="n"/>
      <c r="R695" s="156" t="inlineStr">
        <is>
          <t>Horma Alexia</t>
        </is>
      </c>
      <c r="S695" s="156" t="inlineStr">
        <is>
          <t>Piel bovina</t>
        </is>
      </c>
      <c r="T695" s="156" t="inlineStr">
        <is>
          <t>Bota Dama Piel bovina Bullion Escarlata Horma Alexia</t>
        </is>
      </c>
      <c r="U695" s="156" t="inlineStr">
        <is>
          <t>México</t>
        </is>
      </c>
      <c r="V695" s="156" t="inlineStr">
        <is>
          <t>PRS</t>
        </is>
      </c>
      <c r="W695" s="51" t="inlineStr">
        <is>
          <t>53111502</t>
        </is>
      </c>
      <c r="X695" s="156" t="n"/>
      <c r="Y695" s="54" t="n">
        <v>653.9400000000001</v>
      </c>
      <c r="Z695" s="54" t="n">
        <v>3793.103448</v>
      </c>
      <c r="AA695" s="55">
        <f>IF(AND(A695="", B695="", E695=""), "", IF(AB695="", "Válido", IF((LEN(AB695)-LEN(SUBSTITUTE(AB695,"; ","")))/2+1&gt;(LEN(AB695)-LEN(SUBSTITUTE(AB695,"[Aviso]","")))/7, "Con Incidencias", "Válido")))</f>
        <v/>
      </c>
      <c r="AB695" s="56">
        <f>IF(AND(A695="", B695="", E695=""), "", TEXTJOIN("; ", TRUE, IF(OR(TRIM(A695&amp;"")="", ISNUMBER(SEARCH("FALTA", A695))), "UPC faltante/inválido", ""), IF(AND(A695&lt;&gt;"", IFERROR(_xlfn.XMATCH(A695,$A$2:$A$2509,0,1)&lt;&gt;_xlfn.XMATCH(A695,$A$2:$A$2509,0,-1),FALSE)), "Código de barras duplicado", ""), IF(AND(E695&lt;&gt;"", COUNTIF($E$2:$E$2509, E695)&gt;1), "SKU duplicado", ""), IF(OR(J695="", J695=""), "[Aviso] División no capturada ()", IF(ISNA(MATCH(J695, Criterios!$A$123:$A$126, 0)), "División no válida", "")), IF(OR(K695="", K695=""), "[Aviso] Categoría no capturada ()", IF(ISNA(MATCH(K695, Criterios!$A$81:$A$120, 0)), "Categoría no válida", IF(AND(J695&lt;&gt;"", J695&lt;&gt;"", J695&lt;&gt;VLOOKUP(K695, Criterios!$A$81:$B$120, 2, FALSE)), "División no coincide con Categoría", ""))), IF(OR(L695="", L695=""), "[Aviso] Género no capturado ()", IF(ISNA(MATCH(L695, Criterios!$B$123:$B$127, 0)), "Género no válido", "")), IF(OR(N695="", N695=""), "[Aviso] Temporada no capturada ()", IF(ISNA(MATCH(N695, Criterios!$C$123:$C$128, 0)), "Temporada no válida", "")), IF(OR(O695="", O695=""), "[Aviso] Ciclo de vida no capturado ()", IF(ISNA(MATCH(O695, Criterios!$D$123:$D$124, 0)), "Ciclo de vida no válido", ""))))</f>
        <v/>
      </c>
      <c r="AC695" s="56" t="n"/>
      <c r="AD695" s="51" t="n">
        <v>-1</v>
      </c>
      <c r="AE695" s="156" t="n"/>
      <c r="AF695" s="51" t="n">
        <v>0</v>
      </c>
      <c r="AG695" s="156" t="inlineStr">
        <is>
          <t>Catálogo existente</t>
        </is>
      </c>
      <c r="AH69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5" s="156" t="inlineStr">
        <is>
          <t>Sí</t>
        </is>
      </c>
      <c r="AJ695" s="156" t="inlineStr">
        <is>
          <t>STETSON AMERICAS (-1)</t>
        </is>
      </c>
      <c r="AK695" s="155" t="inlineStr">
        <is>
          <t>Criterios: I [Q]; G1522_Extraccion_Articulos_NetSuite_2026-09-30.xlsx: fila 59272 [R] | Shopify Stetson: producto 15054565015915 / variante 53350560465259</t>
        </is>
      </c>
      <c r="AL695" s="58" t="n">
        <v>653.9400000000001</v>
      </c>
      <c r="AM695" s="58" t="n">
        <v>3793.103448</v>
      </c>
      <c r="AN695" s="155" t="inlineStr">
        <is>
          <t>Shopify Stetson México</t>
        </is>
      </c>
      <c r="AO695" s="59" t="n">
        <v>0</v>
      </c>
      <c r="AP695" s="59" t="n"/>
      <c r="AQ695" s="59" t="n"/>
      <c r="AR695" s="155" t="n"/>
    </row>
    <row r="696">
      <c r="A696" s="50" t="inlineStr">
        <is>
          <t>12021003131038024</t>
        </is>
      </c>
      <c r="B696" s="51" t="inlineStr">
        <is>
          <t>111598</t>
        </is>
      </c>
      <c r="C696" s="156" t="inlineStr">
        <is>
          <t>Multimarca</t>
        </is>
      </c>
      <c r="D696" s="156" t="inlineStr">
        <is>
          <t>12-021-BS003-13-1038</t>
        </is>
      </c>
      <c r="E696" s="156" t="inlineStr">
        <is>
          <t>12-021-BS003-13-1038-024</t>
        </is>
      </c>
      <c r="F696" s="156" t="inlineStr">
        <is>
          <t>24</t>
        </is>
      </c>
      <c r="G696" s="156" t="inlineStr">
        <is>
          <t>7</t>
        </is>
      </c>
      <c r="H696" s="156" t="inlineStr">
        <is>
          <t>Stetson</t>
        </is>
      </c>
      <c r="I696" s="156" t="inlineStr">
        <is>
          <t>Bota Piel Escarlata</t>
        </is>
      </c>
      <c r="J696" s="156" t="inlineStr">
        <is>
          <t>Calzado</t>
        </is>
      </c>
      <c r="K696" s="156" t="inlineStr">
        <is>
          <t>Botas</t>
        </is>
      </c>
      <c r="L696" s="156" t="inlineStr">
        <is>
          <t>Mujer</t>
        </is>
      </c>
      <c r="M696" s="156" t="inlineStr">
        <is>
          <t>Stetson</t>
        </is>
      </c>
      <c r="N696" s="156" t="inlineStr">
        <is>
          <t>SS26</t>
        </is>
      </c>
      <c r="O696" s="156" t="inlineStr">
        <is>
          <t>Seasonal</t>
        </is>
      </c>
      <c r="P696" s="156" t="inlineStr">
        <is>
          <t>Rojo</t>
        </is>
      </c>
      <c r="Q696" s="156" t="n"/>
      <c r="R696" s="156" t="inlineStr">
        <is>
          <t>Horma Alexia</t>
        </is>
      </c>
      <c r="S696" s="156" t="inlineStr">
        <is>
          <t>Piel bovina</t>
        </is>
      </c>
      <c r="T696" s="156" t="inlineStr">
        <is>
          <t>Bota Dama Piel bovina Bullion Escarlata Horma Alexia</t>
        </is>
      </c>
      <c r="U696" s="156" t="inlineStr">
        <is>
          <t>México</t>
        </is>
      </c>
      <c r="V696" s="156" t="inlineStr">
        <is>
          <t>PRS</t>
        </is>
      </c>
      <c r="W696" s="51" t="inlineStr">
        <is>
          <t>53111502</t>
        </is>
      </c>
      <c r="X696" s="156" t="n"/>
      <c r="Y696" s="54" t="n">
        <v>653.9400000000001</v>
      </c>
      <c r="Z696" s="54" t="n">
        <v>3793.103448</v>
      </c>
      <c r="AA696" s="55">
        <f>IF(AND(A696="", B696="", E696=""), "", IF(AB696="", "Válido", IF((LEN(AB696)-LEN(SUBSTITUTE(AB696,"; ","")))/2+1&gt;(LEN(AB696)-LEN(SUBSTITUTE(AB696,"[Aviso]","")))/7, "Con Incidencias", "Válido")))</f>
        <v/>
      </c>
      <c r="AB696" s="56">
        <f>IF(AND(A696="", B696="", E696=""), "", TEXTJOIN("; ", TRUE, IF(OR(TRIM(A696&amp;"")="", ISNUMBER(SEARCH("FALTA", A696))), "UPC faltante/inválido", ""), IF(AND(A696&lt;&gt;"", IFERROR(_xlfn.XMATCH(A696,$A$2:$A$2509,0,1)&lt;&gt;_xlfn.XMATCH(A696,$A$2:$A$2509,0,-1),FALSE)), "Código de barras duplicado", ""), IF(AND(E696&lt;&gt;"", COUNTIF($E$2:$E$2509, E696)&gt;1), "SKU duplicado", ""), IF(OR(J696="", J696=""), "[Aviso] División no capturada ()", IF(ISNA(MATCH(J696, Criterios!$A$123:$A$126, 0)), "División no válida", "")), IF(OR(K696="", K696=""), "[Aviso] Categoría no capturada ()", IF(ISNA(MATCH(K696, Criterios!$A$81:$A$120, 0)), "Categoría no válida", IF(AND(J696&lt;&gt;"", J696&lt;&gt;"", J696&lt;&gt;VLOOKUP(K696, Criterios!$A$81:$B$120, 2, FALSE)), "División no coincide con Categoría", ""))), IF(OR(L696="", L696=""), "[Aviso] Género no capturado ()", IF(ISNA(MATCH(L696, Criterios!$B$123:$B$127, 0)), "Género no válido", "")), IF(OR(N696="", N696=""), "[Aviso] Temporada no capturada ()", IF(ISNA(MATCH(N696, Criterios!$C$123:$C$128, 0)), "Temporada no válida", "")), IF(OR(O696="", O696=""), "[Aviso] Ciclo de vida no capturado ()", IF(ISNA(MATCH(O696, Criterios!$D$123:$D$124, 0)), "Ciclo de vida no válido", ""))))</f>
        <v/>
      </c>
      <c r="AC696" s="56" t="n"/>
      <c r="AD696" s="51" t="n">
        <v>0</v>
      </c>
      <c r="AE696" s="156" t="n"/>
      <c r="AF696" s="51" t="n">
        <v>0</v>
      </c>
      <c r="AG696" s="156" t="inlineStr">
        <is>
          <t>Catálogo existente</t>
        </is>
      </c>
      <c r="AH6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6" s="156" t="inlineStr">
        <is>
          <t>No</t>
        </is>
      </c>
      <c r="AJ696" s="156" t="n"/>
      <c r="AK696" s="155" t="inlineStr">
        <is>
          <t>Criterios: I [Q]; G1522_Extraccion_Articulos_NetSuite_2026-09-30.xlsx: fila 59273 [R] | Shopify Stetson: producto 15054565015915 / variante 53350560530795</t>
        </is>
      </c>
      <c r="AL696" s="58" t="n">
        <v>653.9400000000001</v>
      </c>
      <c r="AM696" s="58" t="n">
        <v>3793.103448</v>
      </c>
      <c r="AN696" s="155" t="inlineStr">
        <is>
          <t>Shopify Stetson México</t>
        </is>
      </c>
      <c r="AO696" s="59" t="n">
        <v>2</v>
      </c>
      <c r="AP696" s="59" t="n"/>
      <c r="AQ696" s="59" t="n"/>
      <c r="AR696" s="155" t="inlineStr">
        <is>
          <t>Shopify Stetson México › Stetson Americas: 2</t>
        </is>
      </c>
    </row>
    <row r="697">
      <c r="A697" s="50" t="inlineStr">
        <is>
          <t>12021003131038025</t>
        </is>
      </c>
      <c r="B697" s="51" t="inlineStr">
        <is>
          <t>111599</t>
        </is>
      </c>
      <c r="C697" s="156" t="inlineStr">
        <is>
          <t>Multimarca</t>
        </is>
      </c>
      <c r="D697" s="156" t="inlineStr">
        <is>
          <t>12-021-BS003-13-1038</t>
        </is>
      </c>
      <c r="E697" s="156" t="inlineStr">
        <is>
          <t>12-021-BS003-13-1038-025</t>
        </is>
      </c>
      <c r="F697" s="156" t="inlineStr">
        <is>
          <t>25</t>
        </is>
      </c>
      <c r="G697" s="156" t="inlineStr">
        <is>
          <t>8</t>
        </is>
      </c>
      <c r="H697" s="156" t="inlineStr">
        <is>
          <t>Stetson</t>
        </is>
      </c>
      <c r="I697" s="156" t="inlineStr">
        <is>
          <t>Bota Piel Escarlata</t>
        </is>
      </c>
      <c r="J697" s="156" t="inlineStr">
        <is>
          <t>Calzado</t>
        </is>
      </c>
      <c r="K697" s="156" t="inlineStr">
        <is>
          <t>Botas</t>
        </is>
      </c>
      <c r="L697" s="156" t="inlineStr">
        <is>
          <t>Mujer</t>
        </is>
      </c>
      <c r="M697" s="156" t="inlineStr">
        <is>
          <t>Stetson</t>
        </is>
      </c>
      <c r="N697" s="156" t="inlineStr">
        <is>
          <t>SS26</t>
        </is>
      </c>
      <c r="O697" s="156" t="inlineStr">
        <is>
          <t>Seasonal</t>
        </is>
      </c>
      <c r="P697" s="156" t="inlineStr">
        <is>
          <t>Rojo</t>
        </is>
      </c>
      <c r="Q697" s="156" t="n"/>
      <c r="R697" s="156" t="inlineStr">
        <is>
          <t>Horma Alexia</t>
        </is>
      </c>
      <c r="S697" s="156" t="inlineStr">
        <is>
          <t>Piel bovina</t>
        </is>
      </c>
      <c r="T697" s="156" t="inlineStr">
        <is>
          <t>Bota Dama Piel bovina Bullion Escarlata Horma Alexia</t>
        </is>
      </c>
      <c r="U697" s="156" t="inlineStr">
        <is>
          <t>México</t>
        </is>
      </c>
      <c r="V697" s="156" t="inlineStr">
        <is>
          <t>PRS</t>
        </is>
      </c>
      <c r="W697" s="51" t="inlineStr">
        <is>
          <t>53111502</t>
        </is>
      </c>
      <c r="X697" s="156" t="n"/>
      <c r="Y697" s="54" t="n">
        <v>653.9400000000001</v>
      </c>
      <c r="Z697" s="54" t="n">
        <v>3793.103448</v>
      </c>
      <c r="AA697" s="55">
        <f>IF(AND(A697="", B697="", E697=""), "", IF(AB697="", "Válido", IF((LEN(AB697)-LEN(SUBSTITUTE(AB697,"; ","")))/2+1&gt;(LEN(AB697)-LEN(SUBSTITUTE(AB697,"[Aviso]","")))/7, "Con Incidencias", "Válido")))</f>
        <v/>
      </c>
      <c r="AB697" s="56">
        <f>IF(AND(A697="", B697="", E697=""), "", TEXTJOIN("; ", TRUE, IF(OR(TRIM(A697&amp;"")="", ISNUMBER(SEARCH("FALTA", A697))), "UPC faltante/inválido", ""), IF(AND(A697&lt;&gt;"", IFERROR(_xlfn.XMATCH(A697,$A$2:$A$2509,0,1)&lt;&gt;_xlfn.XMATCH(A697,$A$2:$A$2509,0,-1),FALSE)), "Código de barras duplicado", ""), IF(AND(E697&lt;&gt;"", COUNTIF($E$2:$E$2509, E697)&gt;1), "SKU duplicado", ""), IF(OR(J697="", J697=""), "[Aviso] División no capturada ()", IF(ISNA(MATCH(J697, Criterios!$A$123:$A$126, 0)), "División no válida", "")), IF(OR(K697="", K697=""), "[Aviso] Categoría no capturada ()", IF(ISNA(MATCH(K697, Criterios!$A$81:$A$120, 0)), "Categoría no válida", IF(AND(J697&lt;&gt;"", J697&lt;&gt;"", J697&lt;&gt;VLOOKUP(K697, Criterios!$A$81:$B$120, 2, FALSE)), "División no coincide con Categoría", ""))), IF(OR(L697="", L697=""), "[Aviso] Género no capturado ()", IF(ISNA(MATCH(L697, Criterios!$B$123:$B$127, 0)), "Género no válido", "")), IF(OR(N697="", N697=""), "[Aviso] Temporada no capturada ()", IF(ISNA(MATCH(N697, Criterios!$C$123:$C$128, 0)), "Temporada no válida", "")), IF(OR(O697="", O697=""), "[Aviso] Ciclo de vida no capturado ()", IF(ISNA(MATCH(O697, Criterios!$D$123:$D$124, 0)), "Ciclo de vida no válido", ""))))</f>
        <v/>
      </c>
      <c r="AC697" s="56" t="n"/>
      <c r="AD697" s="51" t="n">
        <v>-2</v>
      </c>
      <c r="AE697" s="156" t="n"/>
      <c r="AF697" s="51" t="n">
        <v>0</v>
      </c>
      <c r="AG697" s="156" t="inlineStr">
        <is>
          <t>Catálogo existente</t>
        </is>
      </c>
      <c r="AH69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7" s="156" t="inlineStr">
        <is>
          <t>Sí</t>
        </is>
      </c>
      <c r="AJ697" s="156" t="inlineStr">
        <is>
          <t>STETSON AMERICAS (-2)</t>
        </is>
      </c>
      <c r="AK697" s="155" t="inlineStr">
        <is>
          <t>Criterios: I [Q]; G1522_Extraccion_Articulos_NetSuite_2026-09-30.xlsx: fila 59274 [R] | Shopify Stetson: producto 15054565015915 / variante 53350560596331</t>
        </is>
      </c>
      <c r="AL697" s="58" t="n">
        <v>653.9400000000001</v>
      </c>
      <c r="AM697" s="58" t="n">
        <v>3793.103448</v>
      </c>
      <c r="AN697" s="155" t="inlineStr">
        <is>
          <t>Shopify Stetson México</t>
        </is>
      </c>
      <c r="AO697" s="59" t="n">
        <v>0</v>
      </c>
      <c r="AP697" s="59" t="n"/>
      <c r="AQ697" s="59" t="n"/>
      <c r="AR697" s="155" t="n"/>
    </row>
    <row r="698">
      <c r="A698" s="50" t="inlineStr">
        <is>
          <t>12021003131038026</t>
        </is>
      </c>
      <c r="B698" s="51" t="inlineStr">
        <is>
          <t>111591</t>
        </is>
      </c>
      <c r="C698" s="156" t="inlineStr">
        <is>
          <t>Multimarca</t>
        </is>
      </c>
      <c r="D698" s="156" t="inlineStr">
        <is>
          <t>12-021-BS003-13-1038</t>
        </is>
      </c>
      <c r="E698" s="156" t="inlineStr">
        <is>
          <t>12-021-BS003-13-1038-026</t>
        </is>
      </c>
      <c r="F698" s="156" t="inlineStr">
        <is>
          <t>26</t>
        </is>
      </c>
      <c r="G698" s="156" t="inlineStr">
        <is>
          <t>9</t>
        </is>
      </c>
      <c r="H698" s="156" t="inlineStr">
        <is>
          <t>Stetson</t>
        </is>
      </c>
      <c r="I698" s="156" t="inlineStr">
        <is>
          <t>Bota Piel Escarlata</t>
        </is>
      </c>
      <c r="J698" s="156" t="inlineStr">
        <is>
          <t>Calzado</t>
        </is>
      </c>
      <c r="K698" s="156" t="inlineStr">
        <is>
          <t>Botas</t>
        </is>
      </c>
      <c r="L698" s="156" t="inlineStr">
        <is>
          <t>Mujer</t>
        </is>
      </c>
      <c r="M698" s="156" t="inlineStr">
        <is>
          <t>Stetson</t>
        </is>
      </c>
      <c r="N698" s="156" t="inlineStr">
        <is>
          <t>SS26</t>
        </is>
      </c>
      <c r="O698" s="156" t="inlineStr">
        <is>
          <t>Seasonal</t>
        </is>
      </c>
      <c r="P698" s="156" t="inlineStr">
        <is>
          <t>Rojo</t>
        </is>
      </c>
      <c r="Q698" s="156" t="n"/>
      <c r="R698" s="156" t="inlineStr">
        <is>
          <t>Horma Alexia</t>
        </is>
      </c>
      <c r="S698" s="156" t="inlineStr">
        <is>
          <t>Piel bovina</t>
        </is>
      </c>
      <c r="T698" s="156" t="inlineStr">
        <is>
          <t>Bota Dama Piel bovina Bullion Escarlata Horma Alexia</t>
        </is>
      </c>
      <c r="U698" s="156" t="inlineStr">
        <is>
          <t>México</t>
        </is>
      </c>
      <c r="V698" s="156" t="inlineStr">
        <is>
          <t>PRS</t>
        </is>
      </c>
      <c r="W698" s="51" t="inlineStr">
        <is>
          <t>53111502</t>
        </is>
      </c>
      <c r="X698" s="156" t="n"/>
      <c r="Y698" s="54" t="n">
        <v>653.9400000000001</v>
      </c>
      <c r="Z698" s="54" t="n">
        <v>3793.103448</v>
      </c>
      <c r="AA698" s="55">
        <f>IF(AND(A698="", B698="", E698=""), "", IF(AB698="", "Válido", IF((LEN(AB698)-LEN(SUBSTITUTE(AB698,"; ","")))/2+1&gt;(LEN(AB698)-LEN(SUBSTITUTE(AB698,"[Aviso]","")))/7, "Con Incidencias", "Válido")))</f>
        <v/>
      </c>
      <c r="AB698" s="56">
        <f>IF(AND(A698="", B698="", E698=""), "", TEXTJOIN("; ", TRUE, IF(OR(TRIM(A698&amp;"")="", ISNUMBER(SEARCH("FALTA", A698))), "UPC faltante/inválido", ""), IF(AND(A698&lt;&gt;"", IFERROR(_xlfn.XMATCH(A698,$A$2:$A$2509,0,1)&lt;&gt;_xlfn.XMATCH(A698,$A$2:$A$2509,0,-1),FALSE)), "Código de barras duplicado", ""), IF(AND(E698&lt;&gt;"", COUNTIF($E$2:$E$2509, E698)&gt;1), "SKU duplicado", ""), IF(OR(J698="", J698=""), "[Aviso] División no capturada ()", IF(ISNA(MATCH(J698, Criterios!$A$123:$A$126, 0)), "División no válida", "")), IF(OR(K698="", K698=""), "[Aviso] Categoría no capturada ()", IF(ISNA(MATCH(K698, Criterios!$A$81:$A$120, 0)), "Categoría no válida", IF(AND(J698&lt;&gt;"", J698&lt;&gt;"", J698&lt;&gt;VLOOKUP(K698, Criterios!$A$81:$B$120, 2, FALSE)), "División no coincide con Categoría", ""))), IF(OR(L698="", L698=""), "[Aviso] Género no capturado ()", IF(ISNA(MATCH(L698, Criterios!$B$123:$B$127, 0)), "Género no válido", "")), IF(OR(N698="", N698=""), "[Aviso] Temporada no capturada ()", IF(ISNA(MATCH(N698, Criterios!$C$123:$C$128, 0)), "Temporada no válida", "")), IF(OR(O698="", O698=""), "[Aviso] Ciclo de vida no capturado ()", IF(ISNA(MATCH(O698, Criterios!$D$123:$D$124, 0)), "Ciclo de vida no válido", ""))))</f>
        <v/>
      </c>
      <c r="AC698" s="56" t="n"/>
      <c r="AD698" s="51" t="n">
        <v>0</v>
      </c>
      <c r="AE698" s="156" t="n"/>
      <c r="AF698" s="51" t="n">
        <v>0</v>
      </c>
      <c r="AG698" s="156" t="inlineStr">
        <is>
          <t>Catálogo existente</t>
        </is>
      </c>
      <c r="AH69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8" s="156" t="inlineStr">
        <is>
          <t>No</t>
        </is>
      </c>
      <c r="AJ698" s="156" t="n"/>
      <c r="AK698" s="155" t="inlineStr">
        <is>
          <t>Criterios: I [Q]; G1522_Extraccion_Articulos_NetSuite_2026-09-30.xlsx: fila 59266 [R]</t>
        </is>
      </c>
      <c r="AL698" s="58" t="n">
        <v>653.9400000000001</v>
      </c>
      <c r="AM698" s="58" t="n">
        <v>3793.103448</v>
      </c>
      <c r="AN698" s="155" t="n"/>
      <c r="AO698" s="59" t="n"/>
      <c r="AP698" s="59" t="n"/>
      <c r="AQ698" s="59" t="n"/>
      <c r="AR698" s="155" t="n"/>
    </row>
    <row r="699">
      <c r="A699" s="50" t="inlineStr">
        <is>
          <t>12021003131038027</t>
        </is>
      </c>
      <c r="B699" s="51" t="inlineStr">
        <is>
          <t>111592</t>
        </is>
      </c>
      <c r="C699" s="156" t="inlineStr">
        <is>
          <t>Multimarca</t>
        </is>
      </c>
      <c r="D699" s="156" t="inlineStr">
        <is>
          <t>12-021-BS003-13-1038</t>
        </is>
      </c>
      <c r="E699" s="156" t="inlineStr">
        <is>
          <t>12-021-BS003-13-1038-027</t>
        </is>
      </c>
      <c r="F699" s="156" t="inlineStr">
        <is>
          <t>27</t>
        </is>
      </c>
      <c r="G699" s="156" t="inlineStr">
        <is>
          <t>10</t>
        </is>
      </c>
      <c r="H699" s="156" t="inlineStr">
        <is>
          <t>Stetson</t>
        </is>
      </c>
      <c r="I699" s="156" t="inlineStr">
        <is>
          <t>Bota Piel Escarlata</t>
        </is>
      </c>
      <c r="J699" s="156" t="inlineStr">
        <is>
          <t>Calzado</t>
        </is>
      </c>
      <c r="K699" s="156" t="inlineStr">
        <is>
          <t>Botas</t>
        </is>
      </c>
      <c r="L699" s="156" t="inlineStr">
        <is>
          <t>Mujer</t>
        </is>
      </c>
      <c r="M699" s="156" t="inlineStr">
        <is>
          <t>Stetson</t>
        </is>
      </c>
      <c r="N699" s="156" t="inlineStr">
        <is>
          <t>SS26</t>
        </is>
      </c>
      <c r="O699" s="156" t="inlineStr">
        <is>
          <t>Seasonal</t>
        </is>
      </c>
      <c r="P699" s="156" t="inlineStr">
        <is>
          <t>Rojo</t>
        </is>
      </c>
      <c r="Q699" s="156" t="n"/>
      <c r="R699" s="156" t="inlineStr">
        <is>
          <t>Horma Alexia</t>
        </is>
      </c>
      <c r="S699" s="156" t="inlineStr">
        <is>
          <t>Piel bovina</t>
        </is>
      </c>
      <c r="T699" s="156" t="inlineStr">
        <is>
          <t>Bota Dama Piel bovina Bullion Escarlata Horma Alexia</t>
        </is>
      </c>
      <c r="U699" s="156" t="inlineStr">
        <is>
          <t>México</t>
        </is>
      </c>
      <c r="V699" s="156" t="inlineStr">
        <is>
          <t>PRS</t>
        </is>
      </c>
      <c r="W699" s="51" t="inlineStr">
        <is>
          <t>53111502</t>
        </is>
      </c>
      <c r="X699" s="156" t="n"/>
      <c r="Y699" s="54" t="n">
        <v>653.9400000000001</v>
      </c>
      <c r="Z699" s="54" t="n">
        <v>3793.103448</v>
      </c>
      <c r="AA699" s="55">
        <f>IF(AND(A699="", B699="", E699=""), "", IF(AB699="", "Válido", IF((LEN(AB699)-LEN(SUBSTITUTE(AB699,"; ","")))/2+1&gt;(LEN(AB699)-LEN(SUBSTITUTE(AB699,"[Aviso]","")))/7, "Con Incidencias", "Válido")))</f>
        <v/>
      </c>
      <c r="AB699" s="56">
        <f>IF(AND(A699="", B699="", E699=""), "", TEXTJOIN("; ", TRUE, IF(OR(TRIM(A699&amp;"")="", ISNUMBER(SEARCH("FALTA", A699))), "UPC faltante/inválido", ""), IF(AND(A699&lt;&gt;"", IFERROR(_xlfn.XMATCH(A699,$A$2:$A$2509,0,1)&lt;&gt;_xlfn.XMATCH(A699,$A$2:$A$2509,0,-1),FALSE)), "Código de barras duplicado", ""), IF(AND(E699&lt;&gt;"", COUNTIF($E$2:$E$2509, E699)&gt;1), "SKU duplicado", ""), IF(OR(J699="", J699=""), "[Aviso] División no capturada ()", IF(ISNA(MATCH(J699, Criterios!$A$123:$A$126, 0)), "División no válida", "")), IF(OR(K699="", K699=""), "[Aviso] Categoría no capturada ()", IF(ISNA(MATCH(K699, Criterios!$A$81:$A$120, 0)), "Categoría no válida", IF(AND(J699&lt;&gt;"", J699&lt;&gt;"", J699&lt;&gt;VLOOKUP(K699, Criterios!$A$81:$B$120, 2, FALSE)), "División no coincide con Categoría", ""))), IF(OR(L699="", L699=""), "[Aviso] Género no capturado ()", IF(ISNA(MATCH(L699, Criterios!$B$123:$B$127, 0)), "Género no válido", "")), IF(OR(N699="", N699=""), "[Aviso] Temporada no capturada ()", IF(ISNA(MATCH(N699, Criterios!$C$123:$C$128, 0)), "Temporada no válida", "")), IF(OR(O699="", O699=""), "[Aviso] Ciclo de vida no capturado ()", IF(ISNA(MATCH(O699, Criterios!$D$123:$D$124, 0)), "Ciclo de vida no válido", ""))))</f>
        <v/>
      </c>
      <c r="AC699" s="56" t="n"/>
      <c r="AD699" s="51" t="n">
        <v>0</v>
      </c>
      <c r="AE699" s="156" t="n"/>
      <c r="AF699" s="51" t="n">
        <v>0</v>
      </c>
      <c r="AG699" s="156" t="inlineStr">
        <is>
          <t>Catálogo existente</t>
        </is>
      </c>
      <c r="AH69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9" s="156" t="inlineStr">
        <is>
          <t>No</t>
        </is>
      </c>
      <c r="AJ699" s="156" t="n"/>
      <c r="AK699" s="155" t="inlineStr">
        <is>
          <t>Criterios: I [Q]; G1522_Extraccion_Articulos_NetSuite_2026-09-30.xlsx: fila 59267 [R]</t>
        </is>
      </c>
      <c r="AL699" s="58" t="n">
        <v>653.9400000000001</v>
      </c>
      <c r="AM699" s="58" t="n">
        <v>3793.103448</v>
      </c>
      <c r="AN699" s="155" t="n"/>
      <c r="AO699" s="59" t="n"/>
      <c r="AP699" s="59" t="n"/>
      <c r="AQ699" s="59" t="n"/>
      <c r="AR699" s="155" t="n"/>
    </row>
    <row r="700">
      <c r="A700" s="50" t="inlineStr">
        <is>
          <t>12021003131038225</t>
        </is>
      </c>
      <c r="B700" s="51" t="inlineStr">
        <is>
          <t>111600</t>
        </is>
      </c>
      <c r="C700" s="156" t="inlineStr">
        <is>
          <t>Multimarca</t>
        </is>
      </c>
      <c r="D700" s="156" t="inlineStr">
        <is>
          <t>12-021-BS003-13-1038</t>
        </is>
      </c>
      <c r="E700" s="156" t="inlineStr">
        <is>
          <t>12-021-BS003-13-1038-225</t>
        </is>
      </c>
      <c r="F700" s="156" t="inlineStr">
        <is>
          <t>22.5</t>
        </is>
      </c>
      <c r="G700" s="156" t="inlineStr">
        <is>
          <t>5.5</t>
        </is>
      </c>
      <c r="H700" s="156" t="inlineStr">
        <is>
          <t>Stetson</t>
        </is>
      </c>
      <c r="I700" s="156" t="inlineStr">
        <is>
          <t>Bota Piel Escarlata</t>
        </is>
      </c>
      <c r="J700" s="156" t="inlineStr">
        <is>
          <t>Calzado</t>
        </is>
      </c>
      <c r="K700" s="156" t="inlineStr">
        <is>
          <t>Botas</t>
        </is>
      </c>
      <c r="L700" s="156" t="inlineStr">
        <is>
          <t>Mujer</t>
        </is>
      </c>
      <c r="M700" s="156" t="inlineStr">
        <is>
          <t>Stetson</t>
        </is>
      </c>
      <c r="N700" s="156" t="inlineStr">
        <is>
          <t>SS26</t>
        </is>
      </c>
      <c r="O700" s="156" t="inlineStr">
        <is>
          <t>Seasonal</t>
        </is>
      </c>
      <c r="P700" s="156" t="inlineStr">
        <is>
          <t>Rojo</t>
        </is>
      </c>
      <c r="Q700" s="156" t="n"/>
      <c r="R700" s="156" t="inlineStr">
        <is>
          <t>Horma Alexia</t>
        </is>
      </c>
      <c r="S700" s="156" t="inlineStr">
        <is>
          <t>Piel bovina</t>
        </is>
      </c>
      <c r="T700" s="156" t="inlineStr">
        <is>
          <t>Bota Dama Piel bovina Bullion Escarlata Horma Alexia</t>
        </is>
      </c>
      <c r="U700" s="156" t="inlineStr">
        <is>
          <t>México</t>
        </is>
      </c>
      <c r="V700" s="156" t="inlineStr">
        <is>
          <t>PRS</t>
        </is>
      </c>
      <c r="W700" s="51" t="inlineStr">
        <is>
          <t>53111502</t>
        </is>
      </c>
      <c r="X700" s="156" t="n"/>
      <c r="Y700" s="54" t="n">
        <v>653.9400000000001</v>
      </c>
      <c r="Z700" s="54" t="n">
        <v>3793.103448</v>
      </c>
      <c r="AA700" s="55">
        <f>IF(AND(A700="", B700="", E700=""), "", IF(AB700="", "Válido", IF((LEN(AB700)-LEN(SUBSTITUTE(AB700,"; ","")))/2+1&gt;(LEN(AB700)-LEN(SUBSTITUTE(AB700,"[Aviso]","")))/7, "Con Incidencias", "Válido")))</f>
        <v/>
      </c>
      <c r="AB700" s="56">
        <f>IF(AND(A700="", B700="", E700=""), "", TEXTJOIN("; ", TRUE, IF(OR(TRIM(A700&amp;"")="", ISNUMBER(SEARCH("FALTA", A700))), "UPC faltante/inválido", ""), IF(AND(A700&lt;&gt;"", IFERROR(_xlfn.XMATCH(A700,$A$2:$A$2509,0,1)&lt;&gt;_xlfn.XMATCH(A700,$A$2:$A$2509,0,-1),FALSE)), "Código de barras duplicado", ""), IF(AND(E700&lt;&gt;"", COUNTIF($E$2:$E$2509, E700)&gt;1), "SKU duplicado", ""), IF(OR(J700="", J700=""), "[Aviso] División no capturada ()", IF(ISNA(MATCH(J700, Criterios!$A$123:$A$126, 0)), "División no válida", "")), IF(OR(K700="", K700=""), "[Aviso] Categoría no capturada ()", IF(ISNA(MATCH(K700, Criterios!$A$81:$A$120, 0)), "Categoría no válida", IF(AND(J700&lt;&gt;"", J700&lt;&gt;"", J700&lt;&gt;VLOOKUP(K700, Criterios!$A$81:$B$120, 2, FALSE)), "División no coincide con Categoría", ""))), IF(OR(L700="", L700=""), "[Aviso] Género no capturado ()", IF(ISNA(MATCH(L700, Criterios!$B$123:$B$127, 0)), "Género no válido", "")), IF(OR(N700="", N700=""), "[Aviso] Temporada no capturada ()", IF(ISNA(MATCH(N700, Criterios!$C$123:$C$128, 0)), "Temporada no válida", "")), IF(OR(O700="", O700=""), "[Aviso] Ciclo de vida no capturado ()", IF(ISNA(MATCH(O700, Criterios!$D$123:$D$124, 0)), "Ciclo de vida no válido", ""))))</f>
        <v/>
      </c>
      <c r="AC700" s="56" t="n"/>
      <c r="AD700" s="51" t="n">
        <v>0</v>
      </c>
      <c r="AE700" s="156" t="n"/>
      <c r="AF700" s="51" t="n">
        <v>0</v>
      </c>
      <c r="AG700" s="156" t="inlineStr">
        <is>
          <t>Catálogo existente</t>
        </is>
      </c>
      <c r="AH7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0" s="156" t="inlineStr">
        <is>
          <t>No</t>
        </is>
      </c>
      <c r="AJ700" s="156" t="n"/>
      <c r="AK700" s="155" t="inlineStr">
        <is>
          <t>Criterios: I [Q]; G1522_Extraccion_Articulos_NetSuite_2026-09-30.xlsx: fila 59275 [R] | Shopify Stetson: producto 15054565015915 / variante 53350560432491</t>
        </is>
      </c>
      <c r="AL700" s="58" t="n">
        <v>653.9400000000001</v>
      </c>
      <c r="AM700" s="58" t="n">
        <v>3793.103448</v>
      </c>
      <c r="AN700" s="155" t="inlineStr">
        <is>
          <t>Shopify Stetson México</t>
        </is>
      </c>
      <c r="AO700" s="59" t="n">
        <v>0</v>
      </c>
      <c r="AP700" s="59" t="n"/>
      <c r="AQ700" s="59" t="n"/>
      <c r="AR700" s="155" t="n"/>
    </row>
    <row r="701">
      <c r="A701" s="50" t="inlineStr">
        <is>
          <t>12021003131038235</t>
        </is>
      </c>
      <c r="B701" s="51" t="inlineStr">
        <is>
          <t>111601</t>
        </is>
      </c>
      <c r="C701" s="156" t="inlineStr">
        <is>
          <t>Multimarca</t>
        </is>
      </c>
      <c r="D701" s="156" t="inlineStr">
        <is>
          <t>12-021-BS003-13-1038</t>
        </is>
      </c>
      <c r="E701" s="156" t="inlineStr">
        <is>
          <t>12-021-BS003-13-1038-235</t>
        </is>
      </c>
      <c r="F701" s="156" t="inlineStr">
        <is>
          <t>23.5</t>
        </is>
      </c>
      <c r="G701" s="156" t="inlineStr">
        <is>
          <t>6.5</t>
        </is>
      </c>
      <c r="H701" s="156" t="inlineStr">
        <is>
          <t>Stetson</t>
        </is>
      </c>
      <c r="I701" s="156" t="inlineStr">
        <is>
          <t>Bota Piel Escarlata</t>
        </is>
      </c>
      <c r="J701" s="156" t="inlineStr">
        <is>
          <t>Calzado</t>
        </is>
      </c>
      <c r="K701" s="156" t="inlineStr">
        <is>
          <t>Botas</t>
        </is>
      </c>
      <c r="L701" s="156" t="inlineStr">
        <is>
          <t>Mujer</t>
        </is>
      </c>
      <c r="M701" s="156" t="inlineStr">
        <is>
          <t>Stetson</t>
        </is>
      </c>
      <c r="N701" s="156" t="inlineStr">
        <is>
          <t>SS26</t>
        </is>
      </c>
      <c r="O701" s="156" t="inlineStr">
        <is>
          <t>Seasonal</t>
        </is>
      </c>
      <c r="P701" s="156" t="inlineStr">
        <is>
          <t>Rojo</t>
        </is>
      </c>
      <c r="Q701" s="156" t="n"/>
      <c r="R701" s="156" t="inlineStr">
        <is>
          <t>Horma Alexia</t>
        </is>
      </c>
      <c r="S701" s="156" t="inlineStr">
        <is>
          <t>Piel bovina</t>
        </is>
      </c>
      <c r="T701" s="156" t="inlineStr">
        <is>
          <t>Bota Dama Piel bovina Bullion Escarlata Horma Alexia</t>
        </is>
      </c>
      <c r="U701" s="156" t="inlineStr">
        <is>
          <t>México</t>
        </is>
      </c>
      <c r="V701" s="156" t="inlineStr">
        <is>
          <t>PRS</t>
        </is>
      </c>
      <c r="W701" s="51" t="inlineStr">
        <is>
          <t>53111502</t>
        </is>
      </c>
      <c r="X701" s="156" t="n"/>
      <c r="Y701" s="54" t="n">
        <v>653.9400000000001</v>
      </c>
      <c r="Z701" s="54" t="n">
        <v>3793.103448</v>
      </c>
      <c r="AA701" s="55">
        <f>IF(AND(A701="", B701="", E701=""), "", IF(AB701="", "Válido", IF((LEN(AB701)-LEN(SUBSTITUTE(AB701,"; ","")))/2+1&gt;(LEN(AB701)-LEN(SUBSTITUTE(AB701,"[Aviso]","")))/7, "Con Incidencias", "Válido")))</f>
        <v/>
      </c>
      <c r="AB701" s="56">
        <f>IF(AND(A701="", B701="", E701=""), "", TEXTJOIN("; ", TRUE, IF(OR(TRIM(A701&amp;"")="", ISNUMBER(SEARCH("FALTA", A701))), "UPC faltante/inválido", ""), IF(AND(A701&lt;&gt;"", IFERROR(_xlfn.XMATCH(A701,$A$2:$A$2509,0,1)&lt;&gt;_xlfn.XMATCH(A701,$A$2:$A$2509,0,-1),FALSE)), "Código de barras duplicado", ""), IF(AND(E701&lt;&gt;"", COUNTIF($E$2:$E$2509, E701)&gt;1), "SKU duplicado", ""), IF(OR(J701="", J701=""), "[Aviso] División no capturada ()", IF(ISNA(MATCH(J701, Criterios!$A$123:$A$126, 0)), "División no válida", "")), IF(OR(K701="", K701=""), "[Aviso] Categoría no capturada ()", IF(ISNA(MATCH(K701, Criterios!$A$81:$A$120, 0)), "Categoría no válida", IF(AND(J701&lt;&gt;"", J701&lt;&gt;"", J701&lt;&gt;VLOOKUP(K701, Criterios!$A$81:$B$120, 2, FALSE)), "División no coincide con Categoría", ""))), IF(OR(L701="", L701=""), "[Aviso] Género no capturado ()", IF(ISNA(MATCH(L701, Criterios!$B$123:$B$127, 0)), "Género no válido", "")), IF(OR(N701="", N701=""), "[Aviso] Temporada no capturada ()", IF(ISNA(MATCH(N701, Criterios!$C$123:$C$128, 0)), "Temporada no válida", "")), IF(OR(O701="", O701=""), "[Aviso] Ciclo de vida no capturado ()", IF(ISNA(MATCH(O701, Criterios!$D$123:$D$124, 0)), "Ciclo de vida no válido", ""))))</f>
        <v/>
      </c>
      <c r="AC701" s="56" t="n"/>
      <c r="AD701" s="51" t="n">
        <v>-1</v>
      </c>
      <c r="AE701" s="156" t="n"/>
      <c r="AF701" s="51" t="n">
        <v>0</v>
      </c>
      <c r="AG701" s="156" t="inlineStr">
        <is>
          <t>Catálogo existente</t>
        </is>
      </c>
      <c r="AH7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1" s="156" t="inlineStr">
        <is>
          <t>Sí</t>
        </is>
      </c>
      <c r="AJ701" s="156" t="inlineStr">
        <is>
          <t>STETSON AMERICAS (-1)</t>
        </is>
      </c>
      <c r="AK701" s="155" t="inlineStr">
        <is>
          <t>Criterios: I [Q]; G1522_Extraccion_Articulos_NetSuite_2026-09-30.xlsx: fila 59276 [R] | Shopify Stetson: producto 15054565015915 / variante 53350560498027</t>
        </is>
      </c>
      <c r="AL701" s="58" t="n">
        <v>653.9400000000001</v>
      </c>
      <c r="AM701" s="58" t="n">
        <v>3793.103448</v>
      </c>
      <c r="AN701" s="155" t="inlineStr">
        <is>
          <t>Shopify Stetson México</t>
        </is>
      </c>
      <c r="AO701" s="59" t="n">
        <v>0</v>
      </c>
      <c r="AP701" s="59" t="n"/>
      <c r="AQ701" s="59" t="n"/>
      <c r="AR701" s="155" t="n"/>
    </row>
    <row r="702">
      <c r="A702" s="50" t="inlineStr">
        <is>
          <t>12021003131038245</t>
        </is>
      </c>
      <c r="B702" s="51" t="inlineStr">
        <is>
          <t>111602</t>
        </is>
      </c>
      <c r="C702" s="156" t="inlineStr">
        <is>
          <t>Multimarca</t>
        </is>
      </c>
      <c r="D702" s="156" t="inlineStr">
        <is>
          <t>12-021-BS003-13-1038</t>
        </is>
      </c>
      <c r="E702" s="156" t="inlineStr">
        <is>
          <t>12-021-BS003-13-1038-245</t>
        </is>
      </c>
      <c r="F702" s="156" t="inlineStr">
        <is>
          <t>24.5</t>
        </is>
      </c>
      <c r="G702" s="156" t="inlineStr">
        <is>
          <t>7.5</t>
        </is>
      </c>
      <c r="H702" s="156" t="inlineStr">
        <is>
          <t>Stetson</t>
        </is>
      </c>
      <c r="I702" s="156" t="inlineStr">
        <is>
          <t>Bota Piel Escarlata</t>
        </is>
      </c>
      <c r="J702" s="156" t="inlineStr">
        <is>
          <t>Calzado</t>
        </is>
      </c>
      <c r="K702" s="156" t="inlineStr">
        <is>
          <t>Botas</t>
        </is>
      </c>
      <c r="L702" s="156" t="inlineStr">
        <is>
          <t>Mujer</t>
        </is>
      </c>
      <c r="M702" s="156" t="inlineStr">
        <is>
          <t>Stetson</t>
        </is>
      </c>
      <c r="N702" s="156" t="inlineStr">
        <is>
          <t>SS26</t>
        </is>
      </c>
      <c r="O702" s="156" t="inlineStr">
        <is>
          <t>Seasonal</t>
        </is>
      </c>
      <c r="P702" s="156" t="inlineStr">
        <is>
          <t>Rojo</t>
        </is>
      </c>
      <c r="Q702" s="156" t="n"/>
      <c r="R702" s="156" t="inlineStr">
        <is>
          <t>Horma Alexia</t>
        </is>
      </c>
      <c r="S702" s="156" t="inlineStr">
        <is>
          <t>Piel bovina</t>
        </is>
      </c>
      <c r="T702" s="156" t="inlineStr">
        <is>
          <t>Bota Dama Piel bovina Bullion Escarlata Horma Alexia</t>
        </is>
      </c>
      <c r="U702" s="156" t="inlineStr">
        <is>
          <t>México</t>
        </is>
      </c>
      <c r="V702" s="156" t="inlineStr">
        <is>
          <t>PRS</t>
        </is>
      </c>
      <c r="W702" s="51" t="inlineStr">
        <is>
          <t>53111502</t>
        </is>
      </c>
      <c r="X702" s="156" t="n"/>
      <c r="Y702" s="54" t="n">
        <v>653.9400000000001</v>
      </c>
      <c r="Z702" s="54" t="n">
        <v>3793.103448</v>
      </c>
      <c r="AA702" s="55">
        <f>IF(AND(A702="", B702="", E702=""), "", IF(AB702="", "Válido", IF((LEN(AB702)-LEN(SUBSTITUTE(AB702,"; ","")))/2+1&gt;(LEN(AB702)-LEN(SUBSTITUTE(AB702,"[Aviso]","")))/7, "Con Incidencias", "Válido")))</f>
        <v/>
      </c>
      <c r="AB702" s="56">
        <f>IF(AND(A702="", B702="", E702=""), "", TEXTJOIN("; ", TRUE, IF(OR(TRIM(A702&amp;"")="", ISNUMBER(SEARCH("FALTA", A702))), "UPC faltante/inválido", ""), IF(AND(A702&lt;&gt;"", IFERROR(_xlfn.XMATCH(A702,$A$2:$A$2509,0,1)&lt;&gt;_xlfn.XMATCH(A702,$A$2:$A$2509,0,-1),FALSE)), "Código de barras duplicado", ""), IF(AND(E702&lt;&gt;"", COUNTIF($E$2:$E$2509, E702)&gt;1), "SKU duplicado", ""), IF(OR(J702="", J702=""), "[Aviso] División no capturada ()", IF(ISNA(MATCH(J702, Criterios!$A$123:$A$126, 0)), "División no válida", "")), IF(OR(K702="", K702=""), "[Aviso] Categoría no capturada ()", IF(ISNA(MATCH(K702, Criterios!$A$81:$A$120, 0)), "Categoría no válida", IF(AND(J702&lt;&gt;"", J702&lt;&gt;"", J702&lt;&gt;VLOOKUP(K702, Criterios!$A$81:$B$120, 2, FALSE)), "División no coincide con Categoría", ""))), IF(OR(L702="", L702=""), "[Aviso] Género no capturado ()", IF(ISNA(MATCH(L702, Criterios!$B$123:$B$127, 0)), "Género no válido", "")), IF(OR(N702="", N702=""), "[Aviso] Temporada no capturada ()", IF(ISNA(MATCH(N702, Criterios!$C$123:$C$128, 0)), "Temporada no válida", "")), IF(OR(O702="", O702=""), "[Aviso] Ciclo de vida no capturado ()", IF(ISNA(MATCH(O702, Criterios!$D$123:$D$124, 0)), "Ciclo de vida no válido", ""))))</f>
        <v/>
      </c>
      <c r="AC702" s="56" t="n"/>
      <c r="AD702" s="51" t="n">
        <v>-1</v>
      </c>
      <c r="AE702" s="156" t="n"/>
      <c r="AF702" s="51" t="n">
        <v>0</v>
      </c>
      <c r="AG702" s="156" t="inlineStr">
        <is>
          <t>Catálogo existente</t>
        </is>
      </c>
      <c r="AH70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2" s="156" t="inlineStr">
        <is>
          <t>Sí</t>
        </is>
      </c>
      <c r="AJ702" s="156" t="inlineStr">
        <is>
          <t>STETSON AMERICAS (-1)</t>
        </is>
      </c>
      <c r="AK702" s="155" t="inlineStr">
        <is>
          <t>Criterios: I [Q]; G1522_Extraccion_Articulos_NetSuite_2026-09-30.xlsx: fila 59277 [R] | Shopify Stetson: producto 15054565015915 / variante 53350560563563</t>
        </is>
      </c>
      <c r="AL702" s="58" t="n">
        <v>653.9400000000001</v>
      </c>
      <c r="AM702" s="58" t="n">
        <v>3793.103448</v>
      </c>
      <c r="AN702" s="155" t="inlineStr">
        <is>
          <t>Shopify Stetson México</t>
        </is>
      </c>
      <c r="AO702" s="59" t="n">
        <v>1</v>
      </c>
      <c r="AP702" s="59" t="n"/>
      <c r="AQ702" s="59" t="n"/>
      <c r="AR702" s="155" t="inlineStr">
        <is>
          <t>Shopify Stetson México › Stetson Americas: 1</t>
        </is>
      </c>
    </row>
    <row r="703">
      <c r="A703" s="50" t="inlineStr">
        <is>
          <t>12021003131038255</t>
        </is>
      </c>
      <c r="B703" s="51" t="inlineStr">
        <is>
          <t>111593</t>
        </is>
      </c>
      <c r="C703" s="156" t="inlineStr">
        <is>
          <t>Multimarca</t>
        </is>
      </c>
      <c r="D703" s="156" t="inlineStr">
        <is>
          <t>12-021-BS003-13-1038</t>
        </is>
      </c>
      <c r="E703" s="156" t="inlineStr">
        <is>
          <t>12-021-BS003-13-1038-255</t>
        </is>
      </c>
      <c r="F703" s="156" t="inlineStr">
        <is>
          <t>25.5</t>
        </is>
      </c>
      <c r="G703" s="156" t="inlineStr">
        <is>
          <t>8.5</t>
        </is>
      </c>
      <c r="H703" s="156" t="inlineStr">
        <is>
          <t>Stetson</t>
        </is>
      </c>
      <c r="I703" s="156" t="inlineStr">
        <is>
          <t>Bota Piel Escarlata</t>
        </is>
      </c>
      <c r="J703" s="156" t="inlineStr">
        <is>
          <t>Calzado</t>
        </is>
      </c>
      <c r="K703" s="156" t="inlineStr">
        <is>
          <t>Botas</t>
        </is>
      </c>
      <c r="L703" s="156" t="inlineStr">
        <is>
          <t>Mujer</t>
        </is>
      </c>
      <c r="M703" s="156" t="inlineStr">
        <is>
          <t>Stetson</t>
        </is>
      </c>
      <c r="N703" s="156" t="inlineStr">
        <is>
          <t>SS26</t>
        </is>
      </c>
      <c r="O703" s="156" t="inlineStr">
        <is>
          <t>Seasonal</t>
        </is>
      </c>
      <c r="P703" s="156" t="inlineStr">
        <is>
          <t>Rojo</t>
        </is>
      </c>
      <c r="Q703" s="156" t="n"/>
      <c r="R703" s="156" t="inlineStr">
        <is>
          <t>Horma Alexia</t>
        </is>
      </c>
      <c r="S703" s="156" t="inlineStr">
        <is>
          <t>Piel bovina</t>
        </is>
      </c>
      <c r="T703" s="156" t="inlineStr">
        <is>
          <t>Bota Dama Piel bovina Bullion Escarlata Horma Alexia</t>
        </is>
      </c>
      <c r="U703" s="156" t="inlineStr">
        <is>
          <t>México</t>
        </is>
      </c>
      <c r="V703" s="156" t="inlineStr">
        <is>
          <t>PRS</t>
        </is>
      </c>
      <c r="W703" s="51" t="inlineStr">
        <is>
          <t>53111502</t>
        </is>
      </c>
      <c r="X703" s="156" t="n"/>
      <c r="Y703" s="54" t="n">
        <v>653.9400000000001</v>
      </c>
      <c r="Z703" s="54" t="n">
        <v>3793.103448</v>
      </c>
      <c r="AA703" s="55">
        <f>IF(AND(A703="", B703="", E703=""), "", IF(AB703="", "Válido", IF((LEN(AB703)-LEN(SUBSTITUTE(AB703,"; ","")))/2+1&gt;(LEN(AB703)-LEN(SUBSTITUTE(AB703,"[Aviso]","")))/7, "Con Incidencias", "Válido")))</f>
        <v/>
      </c>
      <c r="AB703" s="56">
        <f>IF(AND(A703="", B703="", E703=""), "", TEXTJOIN("; ", TRUE, IF(OR(TRIM(A703&amp;"")="", ISNUMBER(SEARCH("FALTA", A703))), "UPC faltante/inválido", ""), IF(AND(A703&lt;&gt;"", IFERROR(_xlfn.XMATCH(A703,$A$2:$A$2509,0,1)&lt;&gt;_xlfn.XMATCH(A703,$A$2:$A$2509,0,-1),FALSE)), "Código de barras duplicado", ""), IF(AND(E703&lt;&gt;"", COUNTIF($E$2:$E$2509, E703)&gt;1), "SKU duplicado", ""), IF(OR(J703="", J703=""), "[Aviso] División no capturada ()", IF(ISNA(MATCH(J703, Criterios!$A$123:$A$126, 0)), "División no válida", "")), IF(OR(K703="", K703=""), "[Aviso] Categoría no capturada ()", IF(ISNA(MATCH(K703, Criterios!$A$81:$A$120, 0)), "Categoría no válida", IF(AND(J703&lt;&gt;"", J703&lt;&gt;"", J703&lt;&gt;VLOOKUP(K703, Criterios!$A$81:$B$120, 2, FALSE)), "División no coincide con Categoría", ""))), IF(OR(L703="", L703=""), "[Aviso] Género no capturado ()", IF(ISNA(MATCH(L703, Criterios!$B$123:$B$127, 0)), "Género no válido", "")), IF(OR(N703="", N703=""), "[Aviso] Temporada no capturada ()", IF(ISNA(MATCH(N703, Criterios!$C$123:$C$128, 0)), "Temporada no válida", "")), IF(OR(O703="", O703=""), "[Aviso] Ciclo de vida no capturado ()", IF(ISNA(MATCH(O703, Criterios!$D$123:$D$124, 0)), "Ciclo de vida no válido", ""))))</f>
        <v/>
      </c>
      <c r="AC703" s="56" t="n"/>
      <c r="AD703" s="51" t="n">
        <v>0</v>
      </c>
      <c r="AE703" s="156" t="n"/>
      <c r="AF703" s="51" t="n">
        <v>0</v>
      </c>
      <c r="AG703" s="156" t="inlineStr">
        <is>
          <t>Catálogo existente</t>
        </is>
      </c>
      <c r="AH70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3" s="156" t="inlineStr">
        <is>
          <t>No</t>
        </is>
      </c>
      <c r="AJ703" s="156" t="n"/>
      <c r="AK703" s="155" t="inlineStr">
        <is>
          <t>Criterios: I [Q]; G1522_Extraccion_Articulos_NetSuite_2026-09-30.xlsx: fila 59268 [R]</t>
        </is>
      </c>
      <c r="AL703" s="58" t="n">
        <v>653.9400000000001</v>
      </c>
      <c r="AM703" s="58" t="n">
        <v>3793.103448</v>
      </c>
      <c r="AN703" s="155" t="n"/>
      <c r="AO703" s="59" t="n"/>
      <c r="AP703" s="59" t="n"/>
      <c r="AQ703" s="59" t="n"/>
      <c r="AR703" s="155" t="n"/>
    </row>
    <row r="704">
      <c r="A704" s="50" t="inlineStr">
        <is>
          <t>12021003131038265</t>
        </is>
      </c>
      <c r="B704" s="51" t="inlineStr">
        <is>
          <t>111594</t>
        </is>
      </c>
      <c r="C704" s="156" t="inlineStr">
        <is>
          <t>Multimarca</t>
        </is>
      </c>
      <c r="D704" s="156" t="inlineStr">
        <is>
          <t>12-021-BS003-13-1038</t>
        </is>
      </c>
      <c r="E704" s="156" t="inlineStr">
        <is>
          <t>12-021-BS003-13-1038-265</t>
        </is>
      </c>
      <c r="F704" s="156" t="inlineStr">
        <is>
          <t>26.5</t>
        </is>
      </c>
      <c r="G704" s="156" t="inlineStr">
        <is>
          <t>9.5</t>
        </is>
      </c>
      <c r="H704" s="156" t="inlineStr">
        <is>
          <t>Stetson</t>
        </is>
      </c>
      <c r="I704" s="156" t="inlineStr">
        <is>
          <t>Bota Piel Escarlata</t>
        </is>
      </c>
      <c r="J704" s="156" t="inlineStr">
        <is>
          <t>Calzado</t>
        </is>
      </c>
      <c r="K704" s="156" t="inlineStr">
        <is>
          <t>Botas</t>
        </is>
      </c>
      <c r="L704" s="156" t="inlineStr">
        <is>
          <t>Mujer</t>
        </is>
      </c>
      <c r="M704" s="156" t="inlineStr">
        <is>
          <t>Stetson</t>
        </is>
      </c>
      <c r="N704" s="156" t="inlineStr">
        <is>
          <t>SS26</t>
        </is>
      </c>
      <c r="O704" s="156" t="inlineStr">
        <is>
          <t>Seasonal</t>
        </is>
      </c>
      <c r="P704" s="156" t="inlineStr">
        <is>
          <t>Rojo</t>
        </is>
      </c>
      <c r="Q704" s="156" t="n"/>
      <c r="R704" s="156" t="inlineStr">
        <is>
          <t>Horma Alexia</t>
        </is>
      </c>
      <c r="S704" s="156" t="inlineStr">
        <is>
          <t>Piel bovina</t>
        </is>
      </c>
      <c r="T704" s="156" t="inlineStr">
        <is>
          <t>Bota Dama Piel bovina Bullion Escarlata Horma Alexia</t>
        </is>
      </c>
      <c r="U704" s="156" t="inlineStr">
        <is>
          <t>México</t>
        </is>
      </c>
      <c r="V704" s="156" t="inlineStr">
        <is>
          <t>PRS</t>
        </is>
      </c>
      <c r="W704" s="51" t="inlineStr">
        <is>
          <t>53111502</t>
        </is>
      </c>
      <c r="X704" s="156" t="n"/>
      <c r="Y704" s="54" t="n">
        <v>653.9400000000001</v>
      </c>
      <c r="Z704" s="54" t="n">
        <v>3793.103448</v>
      </c>
      <c r="AA704" s="55">
        <f>IF(AND(A704="", B704="", E704=""), "", IF(AB704="", "Válido", IF((LEN(AB704)-LEN(SUBSTITUTE(AB704,"; ","")))/2+1&gt;(LEN(AB704)-LEN(SUBSTITUTE(AB704,"[Aviso]","")))/7, "Con Incidencias", "Válido")))</f>
        <v/>
      </c>
      <c r="AB704" s="56">
        <f>IF(AND(A704="", B704="", E704=""), "", TEXTJOIN("; ", TRUE, IF(OR(TRIM(A704&amp;"")="", ISNUMBER(SEARCH("FALTA", A704))), "UPC faltante/inválido", ""), IF(AND(A704&lt;&gt;"", IFERROR(_xlfn.XMATCH(A704,$A$2:$A$2509,0,1)&lt;&gt;_xlfn.XMATCH(A704,$A$2:$A$2509,0,-1),FALSE)), "Código de barras duplicado", ""), IF(AND(E704&lt;&gt;"", COUNTIF($E$2:$E$2509, E704)&gt;1), "SKU duplicado", ""), IF(OR(J704="", J704=""), "[Aviso] División no capturada ()", IF(ISNA(MATCH(J704, Criterios!$A$123:$A$126, 0)), "División no válida", "")), IF(OR(K704="", K704=""), "[Aviso] Categoría no capturada ()", IF(ISNA(MATCH(K704, Criterios!$A$81:$A$120, 0)), "Categoría no válida", IF(AND(J704&lt;&gt;"", J704&lt;&gt;"", J704&lt;&gt;VLOOKUP(K704, Criterios!$A$81:$B$120, 2, FALSE)), "División no coincide con Categoría", ""))), IF(OR(L704="", L704=""), "[Aviso] Género no capturado ()", IF(ISNA(MATCH(L704, Criterios!$B$123:$B$127, 0)), "Género no válido", "")), IF(OR(N704="", N704=""), "[Aviso] Temporada no capturada ()", IF(ISNA(MATCH(N704, Criterios!$C$123:$C$128, 0)), "Temporada no válida", "")), IF(OR(O704="", O704=""), "[Aviso] Ciclo de vida no capturado ()", IF(ISNA(MATCH(O704, Criterios!$D$123:$D$124, 0)), "Ciclo de vida no válido", ""))))</f>
        <v/>
      </c>
      <c r="AC704" s="56" t="n"/>
      <c r="AD704" s="51" t="n">
        <v>-1</v>
      </c>
      <c r="AE704" s="156" t="n"/>
      <c r="AF704" s="51" t="n">
        <v>0</v>
      </c>
      <c r="AG704" s="156" t="inlineStr">
        <is>
          <t>Catálogo existente</t>
        </is>
      </c>
      <c r="AH704"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4" s="156" t="inlineStr">
        <is>
          <t>Sí</t>
        </is>
      </c>
      <c r="AJ704" s="156" t="inlineStr">
        <is>
          <t>STETSON AMERICAS (-1)</t>
        </is>
      </c>
      <c r="AK704" s="155" t="inlineStr">
        <is>
          <t>Criterios: I [Q]; G1522_Extraccion_Articulos_NetSuite_2026-09-30.xlsx: fila 59269 [R]</t>
        </is>
      </c>
      <c r="AL704" s="58" t="n">
        <v>653.9400000000001</v>
      </c>
      <c r="AM704" s="58" t="n">
        <v>3793.103448</v>
      </c>
      <c r="AN704" s="155" t="n"/>
      <c r="AO704" s="59" t="n"/>
      <c r="AP704" s="59" t="n"/>
      <c r="AQ704" s="59" t="n"/>
      <c r="AR704" s="155" t="n"/>
    </row>
    <row r="705">
      <c r="A705" s="50" t="inlineStr">
        <is>
          <t>12021003131038275</t>
        </is>
      </c>
      <c r="B705" s="51" t="inlineStr">
        <is>
          <t>111595</t>
        </is>
      </c>
      <c r="C705" s="156" t="inlineStr">
        <is>
          <t>Multimarca</t>
        </is>
      </c>
      <c r="D705" s="156" t="inlineStr">
        <is>
          <t>12-021-BS003-13-1038</t>
        </is>
      </c>
      <c r="E705" s="156" t="inlineStr">
        <is>
          <t>12-021-BS003-13-1038-275</t>
        </is>
      </c>
      <c r="F705" s="156" t="inlineStr">
        <is>
          <t>27.5</t>
        </is>
      </c>
      <c r="G705" s="156" t="inlineStr">
        <is>
          <t>10.5</t>
        </is>
      </c>
      <c r="H705" s="156" t="inlineStr">
        <is>
          <t>Stetson</t>
        </is>
      </c>
      <c r="I705" s="156" t="inlineStr">
        <is>
          <t>Bota Piel Escarlata</t>
        </is>
      </c>
      <c r="J705" s="156" t="inlineStr">
        <is>
          <t>Calzado</t>
        </is>
      </c>
      <c r="K705" s="156" t="inlineStr">
        <is>
          <t>Botas</t>
        </is>
      </c>
      <c r="L705" s="156" t="inlineStr">
        <is>
          <t>Mujer</t>
        </is>
      </c>
      <c r="M705" s="156" t="inlineStr">
        <is>
          <t>Stetson</t>
        </is>
      </c>
      <c r="N705" s="156" t="inlineStr">
        <is>
          <t>SS26</t>
        </is>
      </c>
      <c r="O705" s="156" t="inlineStr">
        <is>
          <t>Seasonal</t>
        </is>
      </c>
      <c r="P705" s="156" t="inlineStr">
        <is>
          <t>Rojo</t>
        </is>
      </c>
      <c r="Q705" s="156" t="n"/>
      <c r="R705" s="156" t="inlineStr">
        <is>
          <t>Horma Alexia</t>
        </is>
      </c>
      <c r="S705" s="156" t="inlineStr">
        <is>
          <t>Piel bovina</t>
        </is>
      </c>
      <c r="T705" s="156" t="inlineStr">
        <is>
          <t>Bota Dama Piel bovina Bullion Escarlata Horma Alexia</t>
        </is>
      </c>
      <c r="U705" s="156" t="inlineStr">
        <is>
          <t>México</t>
        </is>
      </c>
      <c r="V705" s="156" t="inlineStr">
        <is>
          <t>PRS</t>
        </is>
      </c>
      <c r="W705" s="51" t="inlineStr">
        <is>
          <t>53111502</t>
        </is>
      </c>
      <c r="X705" s="156" t="n"/>
      <c r="Y705" s="54" t="n">
        <v>653.9400000000001</v>
      </c>
      <c r="Z705" s="54" t="n">
        <v>3793.103448</v>
      </c>
      <c r="AA705" s="55">
        <f>IF(AND(A705="", B705="", E705=""), "", IF(AB705="", "Válido", IF((LEN(AB705)-LEN(SUBSTITUTE(AB705,"; ","")))/2+1&gt;(LEN(AB705)-LEN(SUBSTITUTE(AB705,"[Aviso]","")))/7, "Con Incidencias", "Válido")))</f>
        <v/>
      </c>
      <c r="AB705" s="56">
        <f>IF(AND(A705="", B705="", E705=""), "", TEXTJOIN("; ", TRUE, IF(OR(TRIM(A705&amp;"")="", ISNUMBER(SEARCH("FALTA", A705))), "UPC faltante/inválido", ""), IF(AND(A705&lt;&gt;"", IFERROR(_xlfn.XMATCH(A705,$A$2:$A$2509,0,1)&lt;&gt;_xlfn.XMATCH(A705,$A$2:$A$2509,0,-1),FALSE)), "Código de barras duplicado", ""), IF(AND(E705&lt;&gt;"", COUNTIF($E$2:$E$2509, E705)&gt;1), "SKU duplicado", ""), IF(OR(J705="", J705=""), "[Aviso] División no capturada ()", IF(ISNA(MATCH(J705, Criterios!$A$123:$A$126, 0)), "División no válida", "")), IF(OR(K705="", K705=""), "[Aviso] Categoría no capturada ()", IF(ISNA(MATCH(K705, Criterios!$A$81:$A$120, 0)), "Categoría no válida", IF(AND(J705&lt;&gt;"", J705&lt;&gt;"", J705&lt;&gt;VLOOKUP(K705, Criterios!$A$81:$B$120, 2, FALSE)), "División no coincide con Categoría", ""))), IF(OR(L705="", L705=""), "[Aviso] Género no capturado ()", IF(ISNA(MATCH(L705, Criterios!$B$123:$B$127, 0)), "Género no válido", "")), IF(OR(N705="", N705=""), "[Aviso] Temporada no capturada ()", IF(ISNA(MATCH(N705, Criterios!$C$123:$C$128, 0)), "Temporada no válida", "")), IF(OR(O705="", O705=""), "[Aviso] Ciclo de vida no capturado ()", IF(ISNA(MATCH(O705, Criterios!$D$123:$D$124, 0)), "Ciclo de vida no válido", ""))))</f>
        <v/>
      </c>
      <c r="AC705" s="56" t="n"/>
      <c r="AD705" s="51" t="n">
        <v>0</v>
      </c>
      <c r="AE705" s="156" t="n"/>
      <c r="AF705" s="51" t="n">
        <v>0</v>
      </c>
      <c r="AG705" s="156" t="inlineStr">
        <is>
          <t>Catálogo existente</t>
        </is>
      </c>
      <c r="AH70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5" s="156" t="inlineStr">
        <is>
          <t>No</t>
        </is>
      </c>
      <c r="AJ705" s="156" t="n"/>
      <c r="AK705" s="155" t="inlineStr">
        <is>
          <t>Criterios: I [Q]; G1522_Extraccion_Articulos_NetSuite_2026-09-30.xlsx: fila 59270 [R]</t>
        </is>
      </c>
      <c r="AL705" s="58" t="n">
        <v>653.9400000000001</v>
      </c>
      <c r="AM705" s="58" t="n">
        <v>3793.103448</v>
      </c>
      <c r="AN705" s="155" t="n"/>
      <c r="AO705" s="59" t="n"/>
      <c r="AP705" s="59" t="n"/>
      <c r="AQ705" s="59" t="n"/>
      <c r="AR705" s="155" t="n"/>
    </row>
    <row r="706">
      <c r="A706" s="50" t="inlineStr">
        <is>
          <t>12021003131039022</t>
        </is>
      </c>
      <c r="B706" s="51" t="inlineStr">
        <is>
          <t>111608</t>
        </is>
      </c>
      <c r="C706" s="156" t="inlineStr">
        <is>
          <t>Multimarca</t>
        </is>
      </c>
      <c r="D706" s="156" t="inlineStr">
        <is>
          <t>12-021-BS003-13-1039</t>
        </is>
      </c>
      <c r="E706" s="156" t="inlineStr">
        <is>
          <t>12-021-BS003-13-1039-022</t>
        </is>
      </c>
      <c r="F706" s="156" t="inlineStr">
        <is>
          <t>22</t>
        </is>
      </c>
      <c r="G706" s="156" t="inlineStr">
        <is>
          <t>5</t>
        </is>
      </c>
      <c r="H706" s="156" t="inlineStr">
        <is>
          <t>Stetson</t>
        </is>
      </c>
      <c r="I706" s="156" t="inlineStr">
        <is>
          <t>Bota Piel Azul</t>
        </is>
      </c>
      <c r="J706" s="156" t="inlineStr">
        <is>
          <t>Calzado</t>
        </is>
      </c>
      <c r="K706" s="156" t="inlineStr">
        <is>
          <t>Botas</t>
        </is>
      </c>
      <c r="L706" s="156" t="inlineStr">
        <is>
          <t>Mujer</t>
        </is>
      </c>
      <c r="M706" s="156" t="inlineStr">
        <is>
          <t>Stetson</t>
        </is>
      </c>
      <c r="N706" s="156" t="inlineStr">
        <is>
          <t>SS26</t>
        </is>
      </c>
      <c r="O706" s="156" t="inlineStr">
        <is>
          <t>Seasonal</t>
        </is>
      </c>
      <c r="P706" s="156" t="inlineStr">
        <is>
          <t>Azul</t>
        </is>
      </c>
      <c r="Q706" s="156" t="n"/>
      <c r="R706" s="156" t="inlineStr">
        <is>
          <t>Horma Alexia</t>
        </is>
      </c>
      <c r="S706" s="156" t="inlineStr">
        <is>
          <t>Piel bovina</t>
        </is>
      </c>
      <c r="T706" s="156" t="inlineStr">
        <is>
          <t>Bota Dama Piel bovina Clayton Azul Horma Alexia</t>
        </is>
      </c>
      <c r="U706" s="156" t="inlineStr">
        <is>
          <t>México</t>
        </is>
      </c>
      <c r="V706" s="156" t="inlineStr">
        <is>
          <t>PRS</t>
        </is>
      </c>
      <c r="W706" s="51" t="inlineStr">
        <is>
          <t>53111502</t>
        </is>
      </c>
      <c r="X706" s="156" t="n"/>
      <c r="Y706" s="54" t="n">
        <v>724.5599999999999</v>
      </c>
      <c r="Z706" s="54" t="n">
        <v>4224.137931</v>
      </c>
      <c r="AA706" s="55">
        <f>IF(AND(A706="", B706="", E706=""), "", IF(AB706="", "Válido", IF((LEN(AB706)-LEN(SUBSTITUTE(AB706,"; ","")))/2+1&gt;(LEN(AB706)-LEN(SUBSTITUTE(AB706,"[Aviso]","")))/7, "Con Incidencias", "Válido")))</f>
        <v/>
      </c>
      <c r="AB706" s="56">
        <f>IF(AND(A706="", B706="", E706=""), "", TEXTJOIN("; ", TRUE, IF(OR(TRIM(A706&amp;"")="", ISNUMBER(SEARCH("FALTA", A706))), "UPC faltante/inválido", ""), IF(AND(A706&lt;&gt;"", IFERROR(_xlfn.XMATCH(A706,$A$2:$A$2509,0,1)&lt;&gt;_xlfn.XMATCH(A706,$A$2:$A$2509,0,-1),FALSE)), "Código de barras duplicado", ""), IF(AND(E706&lt;&gt;"", COUNTIF($E$2:$E$2509, E706)&gt;1), "SKU duplicado", ""), IF(OR(J706="", J706=""), "[Aviso] División no capturada ()", IF(ISNA(MATCH(J706, Criterios!$A$123:$A$126, 0)), "División no válida", "")), IF(OR(K706="", K706=""), "[Aviso] Categoría no capturada ()", IF(ISNA(MATCH(K706, Criterios!$A$81:$A$120, 0)), "Categoría no válida", IF(AND(J706&lt;&gt;"", J706&lt;&gt;"", J706&lt;&gt;VLOOKUP(K706, Criterios!$A$81:$B$120, 2, FALSE)), "División no coincide con Categoría", ""))), IF(OR(L706="", L706=""), "[Aviso] Género no capturado ()", IF(ISNA(MATCH(L706, Criterios!$B$123:$B$127, 0)), "Género no válido", "")), IF(OR(N706="", N706=""), "[Aviso] Temporada no capturada ()", IF(ISNA(MATCH(N706, Criterios!$C$123:$C$128, 0)), "Temporada no válida", "")), IF(OR(O706="", O706=""), "[Aviso] Ciclo de vida no capturado ()", IF(ISNA(MATCH(O706, Criterios!$D$123:$D$124, 0)), "Ciclo de vida no válido", ""))))</f>
        <v/>
      </c>
      <c r="AC706" s="56" t="n"/>
      <c r="AD706" s="51" t="n">
        <v>0</v>
      </c>
      <c r="AE706" s="156" t="n"/>
      <c r="AF706" s="51" t="n">
        <v>0</v>
      </c>
      <c r="AG706" s="156" t="inlineStr">
        <is>
          <t>Catálogo existente</t>
        </is>
      </c>
      <c r="AH7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6" s="156" t="inlineStr">
        <is>
          <t>No</t>
        </is>
      </c>
      <c r="AJ706" s="156" t="n"/>
      <c r="AK706" s="155" t="inlineStr">
        <is>
          <t>Criterios: I [Q]; G1522_Extraccion_Articulos_NetSuite_2026-09-30.xlsx: fila 59283 [R] | Shopify Stetson: producto 15054565048683 / variante 53350560792939</t>
        </is>
      </c>
      <c r="AL706" s="58" t="n">
        <v>724.5599999999999</v>
      </c>
      <c r="AM706" s="58" t="n">
        <v>4224.137931</v>
      </c>
      <c r="AN706" s="155" t="inlineStr">
        <is>
          <t>Shopify Stetson México</t>
        </is>
      </c>
      <c r="AO706" s="59" t="n">
        <v>0</v>
      </c>
      <c r="AP706" s="59" t="n"/>
      <c r="AQ706" s="59" t="n"/>
      <c r="AR706" s="155" t="n"/>
    </row>
    <row r="707">
      <c r="A707" s="50" t="inlineStr">
        <is>
          <t>12021003131039023</t>
        </is>
      </c>
      <c r="B707" s="51" t="inlineStr">
        <is>
          <t>111609</t>
        </is>
      </c>
      <c r="C707" s="156" t="inlineStr">
        <is>
          <t>Multimarca</t>
        </is>
      </c>
      <c r="D707" s="156" t="inlineStr">
        <is>
          <t>12-021-BS003-13-1039</t>
        </is>
      </c>
      <c r="E707" s="156" t="inlineStr">
        <is>
          <t>12-021-BS003-13-1039-023</t>
        </is>
      </c>
      <c r="F707" s="156" t="inlineStr">
        <is>
          <t>23</t>
        </is>
      </c>
      <c r="G707" s="156" t="inlineStr">
        <is>
          <t>6</t>
        </is>
      </c>
      <c r="H707" s="156" t="inlineStr">
        <is>
          <t>Stetson</t>
        </is>
      </c>
      <c r="I707" s="156" t="inlineStr">
        <is>
          <t>Bota Piel Azul</t>
        </is>
      </c>
      <c r="J707" s="156" t="inlineStr">
        <is>
          <t>Calzado</t>
        </is>
      </c>
      <c r="K707" s="156" t="inlineStr">
        <is>
          <t>Botas</t>
        </is>
      </c>
      <c r="L707" s="156" t="inlineStr">
        <is>
          <t>Mujer</t>
        </is>
      </c>
      <c r="M707" s="156" t="inlineStr">
        <is>
          <t>Stetson</t>
        </is>
      </c>
      <c r="N707" s="156" t="inlineStr">
        <is>
          <t>SS26</t>
        </is>
      </c>
      <c r="O707" s="156" t="inlineStr">
        <is>
          <t>Seasonal</t>
        </is>
      </c>
      <c r="P707" s="156" t="inlineStr">
        <is>
          <t>Azul</t>
        </is>
      </c>
      <c r="Q707" s="156" t="n"/>
      <c r="R707" s="156" t="inlineStr">
        <is>
          <t>Horma Alexia</t>
        </is>
      </c>
      <c r="S707" s="156" t="inlineStr">
        <is>
          <t>Piel bovina</t>
        </is>
      </c>
      <c r="T707" s="156" t="inlineStr">
        <is>
          <t>Bota Dama Piel bovina Clayton Azul Horma Alexia</t>
        </is>
      </c>
      <c r="U707" s="156" t="inlineStr">
        <is>
          <t>México</t>
        </is>
      </c>
      <c r="V707" s="156" t="inlineStr">
        <is>
          <t>PRS</t>
        </is>
      </c>
      <c r="W707" s="51" t="inlineStr">
        <is>
          <t>53111502</t>
        </is>
      </c>
      <c r="X707" s="156" t="n"/>
      <c r="Y707" s="54" t="n">
        <v>724.5599999999999</v>
      </c>
      <c r="Z707" s="54" t="n">
        <v>4224.137931</v>
      </c>
      <c r="AA707" s="55">
        <f>IF(AND(A707="", B707="", E707=""), "", IF(AB707="", "Válido", IF((LEN(AB707)-LEN(SUBSTITUTE(AB707,"; ","")))/2+1&gt;(LEN(AB707)-LEN(SUBSTITUTE(AB707,"[Aviso]","")))/7, "Con Incidencias", "Válido")))</f>
        <v/>
      </c>
      <c r="AB707" s="56">
        <f>IF(AND(A707="", B707="", E707=""), "", TEXTJOIN("; ", TRUE, IF(OR(TRIM(A707&amp;"")="", ISNUMBER(SEARCH("FALTA", A707))), "UPC faltante/inválido", ""), IF(AND(A707&lt;&gt;"", IFERROR(_xlfn.XMATCH(A707,$A$2:$A$2509,0,1)&lt;&gt;_xlfn.XMATCH(A707,$A$2:$A$2509,0,-1),FALSE)), "Código de barras duplicado", ""), IF(AND(E707&lt;&gt;"", COUNTIF($E$2:$E$2509, E707)&gt;1), "SKU duplicado", ""), IF(OR(J707="", J707=""), "[Aviso] División no capturada ()", IF(ISNA(MATCH(J707, Criterios!$A$123:$A$126, 0)), "División no válida", "")), IF(OR(K707="", K707=""), "[Aviso] Categoría no capturada ()", IF(ISNA(MATCH(K707, Criterios!$A$81:$A$120, 0)), "Categoría no válida", IF(AND(J707&lt;&gt;"", J707&lt;&gt;"", J707&lt;&gt;VLOOKUP(K707, Criterios!$A$81:$B$120, 2, FALSE)), "División no coincide con Categoría", ""))), IF(OR(L707="", L707=""), "[Aviso] Género no capturado ()", IF(ISNA(MATCH(L707, Criterios!$B$123:$B$127, 0)), "Género no válido", "")), IF(OR(N707="", N707=""), "[Aviso] Temporada no capturada ()", IF(ISNA(MATCH(N707, Criterios!$C$123:$C$128, 0)), "Temporada no válida", "")), IF(OR(O707="", O707=""), "[Aviso] Ciclo de vida no capturado ()", IF(ISNA(MATCH(O707, Criterios!$D$123:$D$124, 0)), "Ciclo de vida no válido", ""))))</f>
        <v/>
      </c>
      <c r="AC707" s="56" t="n"/>
      <c r="AD707" s="51" t="n">
        <v>-2</v>
      </c>
      <c r="AE707" s="156" t="n"/>
      <c r="AF707" s="51" t="n">
        <v>0</v>
      </c>
      <c r="AG707" s="156" t="inlineStr">
        <is>
          <t>Catálogo existente</t>
        </is>
      </c>
      <c r="AH70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7" s="156" t="inlineStr">
        <is>
          <t>Sí</t>
        </is>
      </c>
      <c r="AJ707" s="156" t="inlineStr">
        <is>
          <t>STETSON AMERICAS (-2)</t>
        </is>
      </c>
      <c r="AK707" s="155" t="inlineStr">
        <is>
          <t>Criterios: I [Q]; G1522_Extraccion_Articulos_NetSuite_2026-09-30.xlsx: fila 59284 [R] | Shopify Stetson: producto 15054565048683 / variante 53350560858475</t>
        </is>
      </c>
      <c r="AL707" s="58" t="n">
        <v>724.5599999999999</v>
      </c>
      <c r="AM707" s="58" t="n">
        <v>4224.137931</v>
      </c>
      <c r="AN707" s="155" t="inlineStr">
        <is>
          <t>Shopify Stetson México</t>
        </is>
      </c>
      <c r="AO707" s="59" t="n">
        <v>-1</v>
      </c>
      <c r="AP707" s="59" t="n"/>
      <c r="AQ707" s="59" t="n"/>
      <c r="AR707" s="155" t="n"/>
    </row>
    <row r="708">
      <c r="A708" s="50" t="inlineStr">
        <is>
          <t>12021003131039024</t>
        </is>
      </c>
      <c r="B708" s="51" t="inlineStr">
        <is>
          <t>111610</t>
        </is>
      </c>
      <c r="C708" s="156" t="inlineStr">
        <is>
          <t>Multimarca</t>
        </is>
      </c>
      <c r="D708" s="156" t="inlineStr">
        <is>
          <t>12-021-BS003-13-1039</t>
        </is>
      </c>
      <c r="E708" s="156" t="inlineStr">
        <is>
          <t>12-021-BS003-13-1039-024</t>
        </is>
      </c>
      <c r="F708" s="156" t="inlineStr">
        <is>
          <t>24</t>
        </is>
      </c>
      <c r="G708" s="156" t="inlineStr">
        <is>
          <t>7</t>
        </is>
      </c>
      <c r="H708" s="156" t="inlineStr">
        <is>
          <t>Stetson</t>
        </is>
      </c>
      <c r="I708" s="156" t="inlineStr">
        <is>
          <t>Bota Piel Azul</t>
        </is>
      </c>
      <c r="J708" s="156" t="inlineStr">
        <is>
          <t>Calzado</t>
        </is>
      </c>
      <c r="K708" s="156" t="inlineStr">
        <is>
          <t>Botas</t>
        </is>
      </c>
      <c r="L708" s="156" t="inlineStr">
        <is>
          <t>Mujer</t>
        </is>
      </c>
      <c r="M708" s="156" t="inlineStr">
        <is>
          <t>Stetson</t>
        </is>
      </c>
      <c r="N708" s="156" t="inlineStr">
        <is>
          <t>SS26</t>
        </is>
      </c>
      <c r="O708" s="156" t="inlineStr">
        <is>
          <t>Seasonal</t>
        </is>
      </c>
      <c r="P708" s="156" t="inlineStr">
        <is>
          <t>Azul</t>
        </is>
      </c>
      <c r="Q708" s="156" t="n"/>
      <c r="R708" s="156" t="inlineStr">
        <is>
          <t>Horma Alexia</t>
        </is>
      </c>
      <c r="S708" s="156" t="inlineStr">
        <is>
          <t>Piel bovina</t>
        </is>
      </c>
      <c r="T708" s="156" t="inlineStr">
        <is>
          <t>Bota Dama Piel bovina Clayton Azul Horma Alexia</t>
        </is>
      </c>
      <c r="U708" s="156" t="inlineStr">
        <is>
          <t>México</t>
        </is>
      </c>
      <c r="V708" s="156" t="inlineStr">
        <is>
          <t>PRS</t>
        </is>
      </c>
      <c r="W708" s="51" t="inlineStr">
        <is>
          <t>53111502</t>
        </is>
      </c>
      <c r="X708" s="156" t="n"/>
      <c r="Y708" s="54" t="n">
        <v>724.5599999999999</v>
      </c>
      <c r="Z708" s="54" t="n">
        <v>4224.137931</v>
      </c>
      <c r="AA708" s="55">
        <f>IF(AND(A708="", B708="", E708=""), "", IF(AB708="", "Válido", IF((LEN(AB708)-LEN(SUBSTITUTE(AB708,"; ","")))/2+1&gt;(LEN(AB708)-LEN(SUBSTITUTE(AB708,"[Aviso]","")))/7, "Con Incidencias", "Válido")))</f>
        <v/>
      </c>
      <c r="AB708" s="56">
        <f>IF(AND(A708="", B708="", E708=""), "", TEXTJOIN("; ", TRUE, IF(OR(TRIM(A708&amp;"")="", ISNUMBER(SEARCH("FALTA", A708))), "UPC faltante/inválido", ""), IF(AND(A708&lt;&gt;"", IFERROR(_xlfn.XMATCH(A708,$A$2:$A$2509,0,1)&lt;&gt;_xlfn.XMATCH(A708,$A$2:$A$2509,0,-1),FALSE)), "Código de barras duplicado", ""), IF(AND(E708&lt;&gt;"", COUNTIF($E$2:$E$2509, E708)&gt;1), "SKU duplicado", ""), IF(OR(J708="", J708=""), "[Aviso] División no capturada ()", IF(ISNA(MATCH(J708, Criterios!$A$123:$A$126, 0)), "División no válida", "")), IF(OR(K708="", K708=""), "[Aviso] Categoría no capturada ()", IF(ISNA(MATCH(K708, Criterios!$A$81:$A$120, 0)), "Categoría no válida", IF(AND(J708&lt;&gt;"", J708&lt;&gt;"", J708&lt;&gt;VLOOKUP(K708, Criterios!$A$81:$B$120, 2, FALSE)), "División no coincide con Categoría", ""))), IF(OR(L708="", L708=""), "[Aviso] Género no capturado ()", IF(ISNA(MATCH(L708, Criterios!$B$123:$B$127, 0)), "Género no válido", "")), IF(OR(N708="", N708=""), "[Aviso] Temporada no capturada ()", IF(ISNA(MATCH(N708, Criterios!$C$123:$C$128, 0)), "Temporada no válida", "")), IF(OR(O708="", O708=""), "[Aviso] Ciclo de vida no capturado ()", IF(ISNA(MATCH(O708, Criterios!$D$123:$D$124, 0)), "Ciclo de vida no válido", ""))))</f>
        <v/>
      </c>
      <c r="AC708" s="56" t="n"/>
      <c r="AD708" s="51" t="n">
        <v>1</v>
      </c>
      <c r="AE708" s="156" t="inlineStr">
        <is>
          <t>STETSON AMERICAS (1)</t>
        </is>
      </c>
      <c r="AF708" s="51" t="n">
        <v>1</v>
      </c>
      <c r="AG708" s="156" t="inlineStr">
        <is>
          <t>Catálogo existente</t>
        </is>
      </c>
      <c r="AH7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8" s="156" t="inlineStr">
        <is>
          <t>No</t>
        </is>
      </c>
      <c r="AJ708" s="156" t="n"/>
      <c r="AK708" s="155" t="inlineStr">
        <is>
          <t>Criterios: I [Q]; G1522_Extraccion_Articulos_NetSuite_2026-09-30.xlsx: fila 59285 [R] | Shopify Stetson: producto 15054565048683 / variante 53350560924011</t>
        </is>
      </c>
      <c r="AL708" s="58" t="n">
        <v>724.5599999999999</v>
      </c>
      <c r="AM708" s="58" t="n">
        <v>4224.137931</v>
      </c>
      <c r="AN708" s="155" t="inlineStr">
        <is>
          <t>Shopify Stetson México</t>
        </is>
      </c>
      <c r="AO708" s="59" t="n">
        <v>3</v>
      </c>
      <c r="AP708" s="59" t="n"/>
      <c r="AQ708" s="59" t="n"/>
      <c r="AR708" s="155" t="inlineStr">
        <is>
          <t>Shopify Stetson México › Stetson Americas: 3</t>
        </is>
      </c>
    </row>
    <row r="709">
      <c r="A709" s="50" t="inlineStr">
        <is>
          <t>12021003131039025</t>
        </is>
      </c>
      <c r="B709" s="51" t="inlineStr">
        <is>
          <t>111611</t>
        </is>
      </c>
      <c r="C709" s="156" t="inlineStr">
        <is>
          <t>Multimarca</t>
        </is>
      </c>
      <c r="D709" s="156" t="inlineStr">
        <is>
          <t>12-021-BS003-13-1039</t>
        </is>
      </c>
      <c r="E709" s="156" t="inlineStr">
        <is>
          <t>12-021-BS003-13-1039-025</t>
        </is>
      </c>
      <c r="F709" s="156" t="inlineStr">
        <is>
          <t>25</t>
        </is>
      </c>
      <c r="G709" s="156" t="inlineStr">
        <is>
          <t>8</t>
        </is>
      </c>
      <c r="H709" s="156" t="inlineStr">
        <is>
          <t>Stetson</t>
        </is>
      </c>
      <c r="I709" s="156" t="inlineStr">
        <is>
          <t>Bota Piel Azul</t>
        </is>
      </c>
      <c r="J709" s="156" t="inlineStr">
        <is>
          <t>Calzado</t>
        </is>
      </c>
      <c r="K709" s="156" t="inlineStr">
        <is>
          <t>Botas</t>
        </is>
      </c>
      <c r="L709" s="156" t="inlineStr">
        <is>
          <t>Mujer</t>
        </is>
      </c>
      <c r="M709" s="156" t="inlineStr">
        <is>
          <t>Stetson</t>
        </is>
      </c>
      <c r="N709" s="156" t="inlineStr">
        <is>
          <t>SS26</t>
        </is>
      </c>
      <c r="O709" s="156" t="inlineStr">
        <is>
          <t>Seasonal</t>
        </is>
      </c>
      <c r="P709" s="156" t="inlineStr">
        <is>
          <t>Azul</t>
        </is>
      </c>
      <c r="Q709" s="156" t="n"/>
      <c r="R709" s="156" t="inlineStr">
        <is>
          <t>Horma Alexia</t>
        </is>
      </c>
      <c r="S709" s="156" t="inlineStr">
        <is>
          <t>Piel bovina</t>
        </is>
      </c>
      <c r="T709" s="156" t="inlineStr">
        <is>
          <t>Bota Dama Piel bovina Clayton Azul Horma Alexia</t>
        </is>
      </c>
      <c r="U709" s="156" t="inlineStr">
        <is>
          <t>México</t>
        </is>
      </c>
      <c r="V709" s="156" t="inlineStr">
        <is>
          <t>PRS</t>
        </is>
      </c>
      <c r="W709" s="51" t="inlineStr">
        <is>
          <t>53111502</t>
        </is>
      </c>
      <c r="X709" s="156" t="n"/>
      <c r="Y709" s="54" t="n">
        <v>724.5599999999999</v>
      </c>
      <c r="Z709" s="54" t="n">
        <v>4224.137931</v>
      </c>
      <c r="AA709" s="55">
        <f>IF(AND(A709="", B709="", E709=""), "", IF(AB709="", "Válido", IF((LEN(AB709)-LEN(SUBSTITUTE(AB709,"; ","")))/2+1&gt;(LEN(AB709)-LEN(SUBSTITUTE(AB709,"[Aviso]","")))/7, "Con Incidencias", "Válido")))</f>
        <v/>
      </c>
      <c r="AB709" s="56">
        <f>IF(AND(A709="", B709="", E709=""), "", TEXTJOIN("; ", TRUE, IF(OR(TRIM(A709&amp;"")="", ISNUMBER(SEARCH("FALTA", A709))), "UPC faltante/inválido", ""), IF(AND(A709&lt;&gt;"", IFERROR(_xlfn.XMATCH(A709,$A$2:$A$2509,0,1)&lt;&gt;_xlfn.XMATCH(A709,$A$2:$A$2509,0,-1),FALSE)), "Código de barras duplicado", ""), IF(AND(E709&lt;&gt;"", COUNTIF($E$2:$E$2509, E709)&gt;1), "SKU duplicado", ""), IF(OR(J709="", J709=""), "[Aviso] División no capturada ()", IF(ISNA(MATCH(J709, Criterios!$A$123:$A$126, 0)), "División no válida", "")), IF(OR(K709="", K709=""), "[Aviso] Categoría no capturada ()", IF(ISNA(MATCH(K709, Criterios!$A$81:$A$120, 0)), "Categoría no válida", IF(AND(J709&lt;&gt;"", J709&lt;&gt;"", J709&lt;&gt;VLOOKUP(K709, Criterios!$A$81:$B$120, 2, FALSE)), "División no coincide con Categoría", ""))), IF(OR(L709="", L709=""), "[Aviso] Género no capturado ()", IF(ISNA(MATCH(L709, Criterios!$B$123:$B$127, 0)), "Género no válido", "")), IF(OR(N709="", N709=""), "[Aviso] Temporada no capturada ()", IF(ISNA(MATCH(N709, Criterios!$C$123:$C$128, 0)), "Temporada no válida", "")), IF(OR(O709="", O709=""), "[Aviso] Ciclo de vida no capturado ()", IF(ISNA(MATCH(O709, Criterios!$D$123:$D$124, 0)), "Ciclo de vida no válido", ""))))</f>
        <v/>
      </c>
      <c r="AC709" s="56" t="n"/>
      <c r="AD709" s="51" t="n">
        <v>-2</v>
      </c>
      <c r="AE709" s="156" t="n"/>
      <c r="AF709" s="51" t="n">
        <v>0</v>
      </c>
      <c r="AG709" s="156" t="inlineStr">
        <is>
          <t>Catálogo existente</t>
        </is>
      </c>
      <c r="AH70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9" s="156" t="inlineStr">
        <is>
          <t>Sí</t>
        </is>
      </c>
      <c r="AJ709" s="156" t="inlineStr">
        <is>
          <t>STETSON AMERICAS (-2)</t>
        </is>
      </c>
      <c r="AK709" s="155" t="inlineStr">
        <is>
          <t>Criterios: I [Q]; G1522_Extraccion_Articulos_NetSuite_2026-09-30.xlsx: fila 59286 [R] | Shopify Stetson: producto 15054565048683 / variante 53350560989547</t>
        </is>
      </c>
      <c r="AL709" s="58" t="n">
        <v>724.5599999999999</v>
      </c>
      <c r="AM709" s="58" t="n">
        <v>4224.137931</v>
      </c>
      <c r="AN709" s="155" t="inlineStr">
        <is>
          <t>Shopify Stetson México</t>
        </is>
      </c>
      <c r="AO709" s="59" t="n">
        <v>0</v>
      </c>
      <c r="AP709" s="59" t="n"/>
      <c r="AQ709" s="59" t="n"/>
      <c r="AR709" s="155" t="n"/>
    </row>
    <row r="710">
      <c r="A710" s="50" t="inlineStr">
        <is>
          <t>12021003131039026</t>
        </is>
      </c>
      <c r="B710" s="51" t="inlineStr">
        <is>
          <t>111603</t>
        </is>
      </c>
      <c r="C710" s="156" t="inlineStr">
        <is>
          <t>Multimarca</t>
        </is>
      </c>
      <c r="D710" s="156" t="inlineStr">
        <is>
          <t>12-021-BS003-13-1039</t>
        </is>
      </c>
      <c r="E710" s="156" t="inlineStr">
        <is>
          <t>12-021-BS003-13-1039-026</t>
        </is>
      </c>
      <c r="F710" s="156" t="inlineStr">
        <is>
          <t>26</t>
        </is>
      </c>
      <c r="G710" s="156" t="inlineStr">
        <is>
          <t>9</t>
        </is>
      </c>
      <c r="H710" s="156" t="inlineStr">
        <is>
          <t>Stetson</t>
        </is>
      </c>
      <c r="I710" s="156" t="inlineStr">
        <is>
          <t>Bota Piel Azul</t>
        </is>
      </c>
      <c r="J710" s="156" t="inlineStr">
        <is>
          <t>Calzado</t>
        </is>
      </c>
      <c r="K710" s="156" t="inlineStr">
        <is>
          <t>Botas</t>
        </is>
      </c>
      <c r="L710" s="156" t="inlineStr">
        <is>
          <t>Mujer</t>
        </is>
      </c>
      <c r="M710" s="156" t="inlineStr">
        <is>
          <t>Stetson</t>
        </is>
      </c>
      <c r="N710" s="156" t="inlineStr">
        <is>
          <t>SS26</t>
        </is>
      </c>
      <c r="O710" s="156" t="inlineStr">
        <is>
          <t>Seasonal</t>
        </is>
      </c>
      <c r="P710" s="156" t="inlineStr">
        <is>
          <t>Azul</t>
        </is>
      </c>
      <c r="Q710" s="156" t="n"/>
      <c r="R710" s="156" t="inlineStr">
        <is>
          <t>Horma Alexia</t>
        </is>
      </c>
      <c r="S710" s="156" t="inlineStr">
        <is>
          <t>Piel bovina</t>
        </is>
      </c>
      <c r="T710" s="156" t="inlineStr">
        <is>
          <t>Bota Dama Piel bovina Clayton Azul Horma Alexia</t>
        </is>
      </c>
      <c r="U710" s="156" t="inlineStr">
        <is>
          <t>México</t>
        </is>
      </c>
      <c r="V710" s="156" t="inlineStr">
        <is>
          <t>PRS</t>
        </is>
      </c>
      <c r="W710" s="51" t="inlineStr">
        <is>
          <t>53111502</t>
        </is>
      </c>
      <c r="X710" s="156" t="n"/>
      <c r="Y710" s="54" t="n">
        <v>724.5599999999999</v>
      </c>
      <c r="Z710" s="54" t="n">
        <v>4224.137931</v>
      </c>
      <c r="AA710" s="55">
        <f>IF(AND(A710="", B710="", E710=""), "", IF(AB710="", "Válido", IF((LEN(AB710)-LEN(SUBSTITUTE(AB710,"; ","")))/2+1&gt;(LEN(AB710)-LEN(SUBSTITUTE(AB710,"[Aviso]","")))/7, "Con Incidencias", "Válido")))</f>
        <v/>
      </c>
      <c r="AB710" s="56">
        <f>IF(AND(A710="", B710="", E710=""), "", TEXTJOIN("; ", TRUE, IF(OR(TRIM(A710&amp;"")="", ISNUMBER(SEARCH("FALTA", A710))), "UPC faltante/inválido", ""), IF(AND(A710&lt;&gt;"", IFERROR(_xlfn.XMATCH(A710,$A$2:$A$2509,0,1)&lt;&gt;_xlfn.XMATCH(A710,$A$2:$A$2509,0,-1),FALSE)), "Código de barras duplicado", ""), IF(AND(E710&lt;&gt;"", COUNTIF($E$2:$E$2509, E710)&gt;1), "SKU duplicado", ""), IF(OR(J710="", J710=""), "[Aviso] División no capturada ()", IF(ISNA(MATCH(J710, Criterios!$A$123:$A$126, 0)), "División no válida", "")), IF(OR(K710="", K710=""), "[Aviso] Categoría no capturada ()", IF(ISNA(MATCH(K710, Criterios!$A$81:$A$120, 0)), "Categoría no válida", IF(AND(J710&lt;&gt;"", J710&lt;&gt;"", J710&lt;&gt;VLOOKUP(K710, Criterios!$A$81:$B$120, 2, FALSE)), "División no coincide con Categoría", ""))), IF(OR(L710="", L710=""), "[Aviso] Género no capturado ()", IF(ISNA(MATCH(L710, Criterios!$B$123:$B$127, 0)), "Género no válido", "")), IF(OR(N710="", N710=""), "[Aviso] Temporada no capturada ()", IF(ISNA(MATCH(N710, Criterios!$C$123:$C$128, 0)), "Temporada no válida", "")), IF(OR(O710="", O710=""), "[Aviso] Ciclo de vida no capturado ()", IF(ISNA(MATCH(O710, Criterios!$D$123:$D$124, 0)), "Ciclo de vida no válido", ""))))</f>
        <v/>
      </c>
      <c r="AC710" s="56" t="n"/>
      <c r="AD710" s="51" t="n">
        <v>1</v>
      </c>
      <c r="AE710" s="156" t="inlineStr">
        <is>
          <t>STETSON AMERICAS (1)</t>
        </is>
      </c>
      <c r="AF710" s="51" t="n">
        <v>1</v>
      </c>
      <c r="AG710" s="156" t="inlineStr">
        <is>
          <t>Catálogo existente</t>
        </is>
      </c>
      <c r="AH71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10" s="156" t="inlineStr">
        <is>
          <t>No</t>
        </is>
      </c>
      <c r="AJ710" s="156" t="n"/>
      <c r="AK710" s="155" t="inlineStr">
        <is>
          <t>Criterios: I [Q]; G1522_Extraccion_Articulos_NetSuite_2026-09-30.xlsx: fila 59278 [R]</t>
        </is>
      </c>
      <c r="AL710" s="58" t="n">
        <v>724.5599999999999</v>
      </c>
      <c r="AM710" s="58" t="n">
        <v>4224.137931</v>
      </c>
      <c r="AN710" s="155" t="n"/>
      <c r="AO710" s="59" t="n"/>
      <c r="AP710" s="59" t="n"/>
      <c r="AQ710" s="59" t="n"/>
      <c r="AR710" s="155" t="n"/>
    </row>
    <row r="711">
      <c r="A711" s="50" t="inlineStr">
        <is>
          <t>12021003131039027</t>
        </is>
      </c>
      <c r="B711" s="51" t="inlineStr">
        <is>
          <t>111604</t>
        </is>
      </c>
      <c r="C711" s="156" t="inlineStr">
        <is>
          <t>Multimarca</t>
        </is>
      </c>
      <c r="D711" s="156" t="inlineStr">
        <is>
          <t>12-021-BS003-13-1039</t>
        </is>
      </c>
      <c r="E711" s="156" t="inlineStr">
        <is>
          <t>12-021-BS003-13-1039-027</t>
        </is>
      </c>
      <c r="F711" s="156" t="inlineStr">
        <is>
          <t>27</t>
        </is>
      </c>
      <c r="G711" s="156" t="inlineStr">
        <is>
          <t>10</t>
        </is>
      </c>
      <c r="H711" s="156" t="inlineStr">
        <is>
          <t>Stetson</t>
        </is>
      </c>
      <c r="I711" s="156" t="inlineStr">
        <is>
          <t>Bota Piel Azul</t>
        </is>
      </c>
      <c r="J711" s="156" t="inlineStr">
        <is>
          <t>Calzado</t>
        </is>
      </c>
      <c r="K711" s="156" t="inlineStr">
        <is>
          <t>Botas</t>
        </is>
      </c>
      <c r="L711" s="156" t="inlineStr">
        <is>
          <t>Mujer</t>
        </is>
      </c>
      <c r="M711" s="156" t="inlineStr">
        <is>
          <t>Stetson</t>
        </is>
      </c>
      <c r="N711" s="156" t="inlineStr">
        <is>
          <t>SS26</t>
        </is>
      </c>
      <c r="O711" s="156" t="inlineStr">
        <is>
          <t>Seasonal</t>
        </is>
      </c>
      <c r="P711" s="156" t="inlineStr">
        <is>
          <t>Azul</t>
        </is>
      </c>
      <c r="Q711" s="156" t="n"/>
      <c r="R711" s="156" t="inlineStr">
        <is>
          <t>Horma Alexia</t>
        </is>
      </c>
      <c r="S711" s="156" t="inlineStr">
        <is>
          <t>Piel bovina</t>
        </is>
      </c>
      <c r="T711" s="156" t="inlineStr">
        <is>
          <t>Bota Dama Piel bovina Clayton Azul Horma Alexia</t>
        </is>
      </c>
      <c r="U711" s="156" t="inlineStr">
        <is>
          <t>México</t>
        </is>
      </c>
      <c r="V711" s="156" t="inlineStr">
        <is>
          <t>PRS</t>
        </is>
      </c>
      <c r="W711" s="51" t="inlineStr">
        <is>
          <t>53111502</t>
        </is>
      </c>
      <c r="X711" s="156" t="n"/>
      <c r="Y711" s="54" t="n">
        <v>724.5599999999999</v>
      </c>
      <c r="Z711" s="54" t="n">
        <v>4224.137931</v>
      </c>
      <c r="AA711" s="55">
        <f>IF(AND(A711="", B711="", E711=""), "", IF(AB711="", "Válido", IF((LEN(AB711)-LEN(SUBSTITUTE(AB711,"; ","")))/2+1&gt;(LEN(AB711)-LEN(SUBSTITUTE(AB711,"[Aviso]","")))/7, "Con Incidencias", "Válido")))</f>
        <v/>
      </c>
      <c r="AB711" s="56">
        <f>IF(AND(A711="", B711="", E711=""), "", TEXTJOIN("; ", TRUE, IF(OR(TRIM(A711&amp;"")="", ISNUMBER(SEARCH("FALTA", A711))), "UPC faltante/inválido", ""), IF(AND(A711&lt;&gt;"", IFERROR(_xlfn.XMATCH(A711,$A$2:$A$2509,0,1)&lt;&gt;_xlfn.XMATCH(A711,$A$2:$A$2509,0,-1),FALSE)), "Código de barras duplicado", ""), IF(AND(E711&lt;&gt;"", COUNTIF($E$2:$E$2509, E711)&gt;1), "SKU duplicado", ""), IF(OR(J711="", J711=""), "[Aviso] División no capturada ()", IF(ISNA(MATCH(J711, Criterios!$A$123:$A$126, 0)), "División no válida", "")), IF(OR(K711="", K711=""), "[Aviso] Categoría no capturada ()", IF(ISNA(MATCH(K711, Criterios!$A$81:$A$120, 0)), "Categoría no válida", IF(AND(J711&lt;&gt;"", J711&lt;&gt;"", J711&lt;&gt;VLOOKUP(K711, Criterios!$A$81:$B$120, 2, FALSE)), "División no coincide con Categoría", ""))), IF(OR(L711="", L711=""), "[Aviso] Género no capturado ()", IF(ISNA(MATCH(L711, Criterios!$B$123:$B$127, 0)), "Género no válido", "")), IF(OR(N711="", N711=""), "[Aviso] Temporada no capturada ()", IF(ISNA(MATCH(N711, Criterios!$C$123:$C$128, 0)), "Temporada no válida", "")), IF(OR(O711="", O711=""), "[Aviso] Ciclo de vida no capturado ()", IF(ISNA(MATCH(O711, Criterios!$D$123:$D$124, 0)), "Ciclo de vida no válido", ""))))</f>
        <v/>
      </c>
      <c r="AC711" s="56" t="n"/>
      <c r="AD711" s="51" t="n">
        <v>0</v>
      </c>
      <c r="AE711" s="156" t="n"/>
      <c r="AF711" s="51" t="n">
        <v>0</v>
      </c>
      <c r="AG711" s="156" t="inlineStr">
        <is>
          <t>Catálogo existente</t>
        </is>
      </c>
      <c r="AH71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11" s="156" t="inlineStr">
        <is>
          <t>No</t>
        </is>
      </c>
      <c r="AJ711" s="156" t="n"/>
      <c r="AK711" s="155" t="inlineStr">
        <is>
          <t>Criterios: I [Q]; G1522_Extraccion_Articulos_NetSuite_2026-09-30.xlsx: fila 59279 [R]</t>
        </is>
      </c>
      <c r="AL711" s="58" t="n">
        <v>724.5599999999999</v>
      </c>
      <c r="AM711" s="58" t="n">
        <v>4224.137931</v>
      </c>
      <c r="AN711" s="155" t="n"/>
      <c r="AO711" s="59" t="n"/>
      <c r="AP711" s="59" t="n"/>
      <c r="AQ711" s="59" t="n"/>
      <c r="AR711" s="155" t="n"/>
    </row>
    <row r="712">
      <c r="A712" s="50" t="inlineStr">
        <is>
          <t>12021003131039225</t>
        </is>
      </c>
      <c r="B712" s="51" t="inlineStr">
        <is>
          <t>111612</t>
        </is>
      </c>
      <c r="C712" s="156" t="inlineStr">
        <is>
          <t>Multimarca</t>
        </is>
      </c>
      <c r="D712" s="156" t="inlineStr">
        <is>
          <t>12-021-BS003-13-1039</t>
        </is>
      </c>
      <c r="E712" s="156" t="inlineStr">
        <is>
          <t>12-021-BS003-13-1039-225</t>
        </is>
      </c>
      <c r="F712" s="156" t="inlineStr">
        <is>
          <t>22.5</t>
        </is>
      </c>
      <c r="G712" s="156" t="inlineStr">
        <is>
          <t>5.5</t>
        </is>
      </c>
      <c r="H712" s="156" t="inlineStr">
        <is>
          <t>Stetson</t>
        </is>
      </c>
      <c r="I712" s="156" t="inlineStr">
        <is>
          <t>Bota Piel Azul</t>
        </is>
      </c>
      <c r="J712" s="156" t="inlineStr">
        <is>
          <t>Calzado</t>
        </is>
      </c>
      <c r="K712" s="156" t="inlineStr">
        <is>
          <t>Botas</t>
        </is>
      </c>
      <c r="L712" s="156" t="inlineStr">
        <is>
          <t>Mujer</t>
        </is>
      </c>
      <c r="M712" s="156" t="inlineStr">
        <is>
          <t>Stetson</t>
        </is>
      </c>
      <c r="N712" s="156" t="inlineStr">
        <is>
          <t>SS26</t>
        </is>
      </c>
      <c r="O712" s="156" t="inlineStr">
        <is>
          <t>Seasonal</t>
        </is>
      </c>
      <c r="P712" s="156" t="inlineStr">
        <is>
          <t>Azul</t>
        </is>
      </c>
      <c r="Q712" s="156" t="n"/>
      <c r="R712" s="156" t="inlineStr">
        <is>
          <t>Horma Alexia</t>
        </is>
      </c>
      <c r="S712" s="156" t="inlineStr">
        <is>
          <t>Piel bovina</t>
        </is>
      </c>
      <c r="T712" s="156" t="inlineStr">
        <is>
          <t>Bota Dama Piel bovina Clayton Azul Horma Alexia</t>
        </is>
      </c>
      <c r="U712" s="156" t="inlineStr">
        <is>
          <t>México</t>
        </is>
      </c>
      <c r="V712" s="156" t="inlineStr">
        <is>
          <t>PRS</t>
        </is>
      </c>
      <c r="W712" s="51" t="inlineStr">
        <is>
          <t>53111502</t>
        </is>
      </c>
      <c r="X712" s="156" t="n"/>
      <c r="Y712" s="54" t="n">
        <v>724.5599999999999</v>
      </c>
      <c r="Z712" s="54" t="n">
        <v>4224.137931</v>
      </c>
      <c r="AA712" s="55">
        <f>IF(AND(A712="", B712="", E712=""), "", IF(AB712="", "Válido", IF((LEN(AB712)-LEN(SUBSTITUTE(AB712,"; ","")))/2+1&gt;(LEN(AB712)-LEN(SUBSTITUTE(AB712,"[Aviso]","")))/7, "Con Incidencias", "Válido")))</f>
        <v/>
      </c>
      <c r="AB712" s="56">
        <f>IF(AND(A712="", B712="", E712=""), "", TEXTJOIN("; ", TRUE, IF(OR(TRIM(A712&amp;"")="", ISNUMBER(SEARCH("FALTA", A712))), "UPC faltante/inválido", ""), IF(AND(A712&lt;&gt;"", IFERROR(_xlfn.XMATCH(A712,$A$2:$A$2509,0,1)&lt;&gt;_xlfn.XMATCH(A712,$A$2:$A$2509,0,-1),FALSE)), "Código de barras duplicado", ""), IF(AND(E712&lt;&gt;"", COUNTIF($E$2:$E$2509, E712)&gt;1), "SKU duplicado", ""), IF(OR(J712="", J712=""), "[Aviso] División no capturada ()", IF(ISNA(MATCH(J712, Criterios!$A$123:$A$126, 0)), "División no válida", "")), IF(OR(K712="", K712=""), "[Aviso] Categoría no capturada ()", IF(ISNA(MATCH(K712, Criterios!$A$81:$A$120, 0)), "Categoría no válida", IF(AND(J712&lt;&gt;"", J712&lt;&gt;"", J712&lt;&gt;VLOOKUP(K712, Criterios!$A$81:$B$120, 2, FALSE)), "División no coincide con Categoría", ""))), IF(OR(L712="", L712=""), "[Aviso] Género no capturado ()", IF(ISNA(MATCH(L712, Criterios!$B$123:$B$127, 0)), "Género no válido", "")), IF(OR(N712="", N712=""), "[Aviso] Temporada no capturada ()", IF(ISNA(MATCH(N712, Criterios!$C$123:$C$128, 0)), "Temporada no válida", "")), IF(OR(O712="", O712=""), "[Aviso] Ciclo de vida no capturado ()", IF(ISNA(MATCH(O712, Criterios!$D$123:$D$124, 0)), "Ciclo de vida no válido", ""))))</f>
        <v/>
      </c>
      <c r="AC712" s="56" t="n"/>
      <c r="AD712" s="51" t="n">
        <v>0</v>
      </c>
      <c r="AE712" s="156" t="n"/>
      <c r="AF712" s="51" t="n">
        <v>0</v>
      </c>
      <c r="AG712" s="156" t="inlineStr">
        <is>
          <t>Catálogo existente</t>
        </is>
      </c>
      <c r="AH7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2" s="156" t="inlineStr">
        <is>
          <t>No</t>
        </is>
      </c>
      <c r="AJ712" s="156" t="n"/>
      <c r="AK712" s="155" t="inlineStr">
        <is>
          <t>Criterios: I [Q]; G1522_Extraccion_Articulos_NetSuite_2026-09-30.xlsx: fila 59287 [R] | Shopify Stetson: producto 15054565048683 / variante 53350560825707</t>
        </is>
      </c>
      <c r="AL712" s="58" t="n">
        <v>724.5599999999999</v>
      </c>
      <c r="AM712" s="58" t="n">
        <v>4224.137931</v>
      </c>
      <c r="AN712" s="155" t="inlineStr">
        <is>
          <t>Shopify Stetson México</t>
        </is>
      </c>
      <c r="AO712" s="59" t="n">
        <v>0</v>
      </c>
      <c r="AP712" s="59" t="n"/>
      <c r="AQ712" s="59" t="n"/>
      <c r="AR712" s="155" t="n"/>
    </row>
    <row r="713">
      <c r="A713" s="50" t="inlineStr">
        <is>
          <t>12021003131039235</t>
        </is>
      </c>
      <c r="B713" s="51" t="inlineStr">
        <is>
          <t>111613</t>
        </is>
      </c>
      <c r="C713" s="156" t="inlineStr">
        <is>
          <t>Multimarca</t>
        </is>
      </c>
      <c r="D713" s="156" t="inlineStr">
        <is>
          <t>12-021-BS003-13-1039</t>
        </is>
      </c>
      <c r="E713" s="156" t="inlineStr">
        <is>
          <t>12-021-BS003-13-1039-235</t>
        </is>
      </c>
      <c r="F713" s="156" t="inlineStr">
        <is>
          <t>23.5</t>
        </is>
      </c>
      <c r="G713" s="156" t="inlineStr">
        <is>
          <t>6.5</t>
        </is>
      </c>
      <c r="H713" s="156" t="inlineStr">
        <is>
          <t>Stetson</t>
        </is>
      </c>
      <c r="I713" s="156" t="inlineStr">
        <is>
          <t>Bota Piel Azul</t>
        </is>
      </c>
      <c r="J713" s="156" t="inlineStr">
        <is>
          <t>Calzado</t>
        </is>
      </c>
      <c r="K713" s="156" t="inlineStr">
        <is>
          <t>Botas</t>
        </is>
      </c>
      <c r="L713" s="156" t="inlineStr">
        <is>
          <t>Mujer</t>
        </is>
      </c>
      <c r="M713" s="156" t="inlineStr">
        <is>
          <t>Stetson</t>
        </is>
      </c>
      <c r="N713" s="156" t="inlineStr">
        <is>
          <t>SS26</t>
        </is>
      </c>
      <c r="O713" s="156" t="inlineStr">
        <is>
          <t>Seasonal</t>
        </is>
      </c>
      <c r="P713" s="156" t="inlineStr">
        <is>
          <t>Azul</t>
        </is>
      </c>
      <c r="Q713" s="156" t="n"/>
      <c r="R713" s="156" t="inlineStr">
        <is>
          <t>Horma Alexia</t>
        </is>
      </c>
      <c r="S713" s="156" t="inlineStr">
        <is>
          <t>Piel bovina</t>
        </is>
      </c>
      <c r="T713" s="156" t="inlineStr">
        <is>
          <t>Bota Dama Piel bovina Clayton Azul Horma Alexia</t>
        </is>
      </c>
      <c r="U713" s="156" t="inlineStr">
        <is>
          <t>México</t>
        </is>
      </c>
      <c r="V713" s="156" t="inlineStr">
        <is>
          <t>PRS</t>
        </is>
      </c>
      <c r="W713" s="51" t="inlineStr">
        <is>
          <t>53111502</t>
        </is>
      </c>
      <c r="X713" s="156" t="n"/>
      <c r="Y713" s="54" t="n">
        <v>724.5599999999999</v>
      </c>
      <c r="Z713" s="54" t="n">
        <v>4224.137931</v>
      </c>
      <c r="AA713" s="55">
        <f>IF(AND(A713="", B713="", E713=""), "", IF(AB713="", "Válido", IF((LEN(AB713)-LEN(SUBSTITUTE(AB713,"; ","")))/2+1&gt;(LEN(AB713)-LEN(SUBSTITUTE(AB713,"[Aviso]","")))/7, "Con Incidencias", "Válido")))</f>
        <v/>
      </c>
      <c r="AB713" s="56">
        <f>IF(AND(A713="", B713="", E713=""), "", TEXTJOIN("; ", TRUE, IF(OR(TRIM(A713&amp;"")="", ISNUMBER(SEARCH("FALTA", A713))), "UPC faltante/inválido", ""), IF(AND(A713&lt;&gt;"", IFERROR(_xlfn.XMATCH(A713,$A$2:$A$2509,0,1)&lt;&gt;_xlfn.XMATCH(A713,$A$2:$A$2509,0,-1),FALSE)), "Código de barras duplicado", ""), IF(AND(E713&lt;&gt;"", COUNTIF($E$2:$E$2509, E713)&gt;1), "SKU duplicado", ""), IF(OR(J713="", J713=""), "[Aviso] División no capturada ()", IF(ISNA(MATCH(J713, Criterios!$A$123:$A$126, 0)), "División no válida", "")), IF(OR(K713="", K713=""), "[Aviso] Categoría no capturada ()", IF(ISNA(MATCH(K713, Criterios!$A$81:$A$120, 0)), "Categoría no válida", IF(AND(J713&lt;&gt;"", J713&lt;&gt;"", J713&lt;&gt;VLOOKUP(K713, Criterios!$A$81:$B$120, 2, FALSE)), "División no coincide con Categoría", ""))), IF(OR(L713="", L713=""), "[Aviso] Género no capturado ()", IF(ISNA(MATCH(L713, Criterios!$B$123:$B$127, 0)), "Género no válido", "")), IF(OR(N713="", N713=""), "[Aviso] Temporada no capturada ()", IF(ISNA(MATCH(N713, Criterios!$C$123:$C$128, 0)), "Temporada no válida", "")), IF(OR(O713="", O713=""), "[Aviso] Ciclo de vida no capturado ()", IF(ISNA(MATCH(O713, Criterios!$D$123:$D$124, 0)), "Ciclo de vida no válido", ""))))</f>
        <v/>
      </c>
      <c r="AC713" s="56" t="n"/>
      <c r="AD713" s="51" t="n">
        <v>1</v>
      </c>
      <c r="AE713" s="156" t="inlineStr">
        <is>
          <t>PUNTO DE VENTA (1)</t>
        </is>
      </c>
      <c r="AF713" s="51" t="n">
        <v>1</v>
      </c>
      <c r="AG713" s="156" t="inlineStr">
        <is>
          <t>Catálogo existente</t>
        </is>
      </c>
      <c r="AH7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3" s="156" t="inlineStr">
        <is>
          <t>No</t>
        </is>
      </c>
      <c r="AJ713" s="156" t="n"/>
      <c r="AK713" s="155" t="inlineStr">
        <is>
          <t>Criterios: I [Q]; G1522_Extraccion_Articulos_NetSuite_2026-09-30.xlsx: fila 59288 [R] | Shopify Stetson: producto 15054565048683 / variante 53350560891243</t>
        </is>
      </c>
      <c r="AL713" s="58" t="n">
        <v>724.5599999999999</v>
      </c>
      <c r="AM713" s="58" t="n">
        <v>4224.137931</v>
      </c>
      <c r="AN713" s="155" t="inlineStr">
        <is>
          <t>Shopify Stetson México</t>
        </is>
      </c>
      <c r="AO713" s="59" t="n">
        <v>1</v>
      </c>
      <c r="AP713" s="59" t="n"/>
      <c r="AQ713" s="59" t="n"/>
      <c r="AR713" s="155" t="inlineStr">
        <is>
          <t>Shopify Stetson México › Stetson Americas: 1</t>
        </is>
      </c>
    </row>
    <row r="714">
      <c r="A714" s="50" t="inlineStr">
        <is>
          <t>12021003131039245</t>
        </is>
      </c>
      <c r="B714" s="51" t="inlineStr">
        <is>
          <t>111614</t>
        </is>
      </c>
      <c r="C714" s="156" t="inlineStr">
        <is>
          <t>Multimarca</t>
        </is>
      </c>
      <c r="D714" s="156" t="inlineStr">
        <is>
          <t>12-021-BS003-13-1039</t>
        </is>
      </c>
      <c r="E714" s="156" t="inlineStr">
        <is>
          <t>12-021-BS003-13-1039-245</t>
        </is>
      </c>
      <c r="F714" s="156" t="inlineStr">
        <is>
          <t>24.5</t>
        </is>
      </c>
      <c r="G714" s="156" t="inlineStr">
        <is>
          <t>7.5</t>
        </is>
      </c>
      <c r="H714" s="156" t="inlineStr">
        <is>
          <t>Stetson</t>
        </is>
      </c>
      <c r="I714" s="156" t="inlineStr">
        <is>
          <t>Bota Piel Azul</t>
        </is>
      </c>
      <c r="J714" s="156" t="inlineStr">
        <is>
          <t>Calzado</t>
        </is>
      </c>
      <c r="K714" s="156" t="inlineStr">
        <is>
          <t>Botas</t>
        </is>
      </c>
      <c r="L714" s="156" t="inlineStr">
        <is>
          <t>Mujer</t>
        </is>
      </c>
      <c r="M714" s="156" t="inlineStr">
        <is>
          <t>Stetson</t>
        </is>
      </c>
      <c r="N714" s="156" t="inlineStr">
        <is>
          <t>SS26</t>
        </is>
      </c>
      <c r="O714" s="156" t="inlineStr">
        <is>
          <t>Seasonal</t>
        </is>
      </c>
      <c r="P714" s="156" t="inlineStr">
        <is>
          <t>Azul</t>
        </is>
      </c>
      <c r="Q714" s="156" t="n"/>
      <c r="R714" s="156" t="inlineStr">
        <is>
          <t>Horma Alexia</t>
        </is>
      </c>
      <c r="S714" s="156" t="inlineStr">
        <is>
          <t>Piel bovina</t>
        </is>
      </c>
      <c r="T714" s="156" t="inlineStr">
        <is>
          <t>Bota Dama Piel bovina Clayton Azul Horma Alexia</t>
        </is>
      </c>
      <c r="U714" s="156" t="inlineStr">
        <is>
          <t>México</t>
        </is>
      </c>
      <c r="V714" s="156" t="inlineStr">
        <is>
          <t>PRS</t>
        </is>
      </c>
      <c r="W714" s="51" t="inlineStr">
        <is>
          <t>53111502</t>
        </is>
      </c>
      <c r="X714" s="156" t="n"/>
      <c r="Y714" s="54" t="n">
        <v>724.5599999999999</v>
      </c>
      <c r="Z714" s="54" t="n">
        <v>4224.137931</v>
      </c>
      <c r="AA714" s="55">
        <f>IF(AND(A714="", B714="", E714=""), "", IF(AB714="", "Válido", IF((LEN(AB714)-LEN(SUBSTITUTE(AB714,"; ","")))/2+1&gt;(LEN(AB714)-LEN(SUBSTITUTE(AB714,"[Aviso]","")))/7, "Con Incidencias", "Válido")))</f>
        <v/>
      </c>
      <c r="AB714" s="56">
        <f>IF(AND(A714="", B714="", E714=""), "", TEXTJOIN("; ", TRUE, IF(OR(TRIM(A714&amp;"")="", ISNUMBER(SEARCH("FALTA", A714))), "UPC faltante/inválido", ""), IF(AND(A714&lt;&gt;"", IFERROR(_xlfn.XMATCH(A714,$A$2:$A$2509,0,1)&lt;&gt;_xlfn.XMATCH(A714,$A$2:$A$2509,0,-1),FALSE)), "Código de barras duplicado", ""), IF(AND(E714&lt;&gt;"", COUNTIF($E$2:$E$2509, E714)&gt;1), "SKU duplicado", ""), IF(OR(J714="", J714=""), "[Aviso] División no capturada ()", IF(ISNA(MATCH(J714, Criterios!$A$123:$A$126, 0)), "División no válida", "")), IF(OR(K714="", K714=""), "[Aviso] Categoría no capturada ()", IF(ISNA(MATCH(K714, Criterios!$A$81:$A$120, 0)), "Categoría no válida", IF(AND(J714&lt;&gt;"", J714&lt;&gt;"", J714&lt;&gt;VLOOKUP(K714, Criterios!$A$81:$B$120, 2, FALSE)), "División no coincide con Categoría", ""))), IF(OR(L714="", L714=""), "[Aviso] Género no capturado ()", IF(ISNA(MATCH(L714, Criterios!$B$123:$B$127, 0)), "Género no válido", "")), IF(OR(N714="", N714=""), "[Aviso] Temporada no capturada ()", IF(ISNA(MATCH(N714, Criterios!$C$123:$C$128, 0)), "Temporada no válida", "")), IF(OR(O714="", O714=""), "[Aviso] Ciclo de vida no capturado ()", IF(ISNA(MATCH(O714, Criterios!$D$123:$D$124, 0)), "Ciclo de vida no válido", ""))))</f>
        <v/>
      </c>
      <c r="AC714" s="56" t="n"/>
      <c r="AD714" s="51" t="n">
        <v>2</v>
      </c>
      <c r="AE714" s="156" t="inlineStr">
        <is>
          <t>STETSON AMERICAS (2)</t>
        </is>
      </c>
      <c r="AF714" s="51" t="n">
        <v>2</v>
      </c>
      <c r="AG714" s="156" t="inlineStr">
        <is>
          <t>Catálogo existente</t>
        </is>
      </c>
      <c r="AH7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4" s="156" t="inlineStr">
        <is>
          <t>No</t>
        </is>
      </c>
      <c r="AJ714" s="156" t="n"/>
      <c r="AK714" s="155" t="inlineStr">
        <is>
          <t>Criterios: I [Q]; G1522_Extraccion_Articulos_NetSuite_2026-09-30.xlsx: fila 59289 [R] | Shopify Stetson: producto 15054565048683 / variante 53350560956779</t>
        </is>
      </c>
      <c r="AL714" s="58" t="n">
        <v>724.5599999999999</v>
      </c>
      <c r="AM714" s="58" t="n">
        <v>4224.137931</v>
      </c>
      <c r="AN714" s="155" t="inlineStr">
        <is>
          <t>Shopify Stetson México</t>
        </is>
      </c>
      <c r="AO714" s="59" t="n">
        <v>4</v>
      </c>
      <c r="AP714" s="59" t="n"/>
      <c r="AQ714" s="59" t="n"/>
      <c r="AR714" s="155" t="inlineStr">
        <is>
          <t>Shopify Stetson México › Stetson Americas: 4</t>
        </is>
      </c>
    </row>
    <row r="715">
      <c r="A715" s="50" t="inlineStr">
        <is>
          <t>12021003131039255</t>
        </is>
      </c>
      <c r="B715" s="51" t="inlineStr">
        <is>
          <t>111605</t>
        </is>
      </c>
      <c r="C715" s="156" t="inlineStr">
        <is>
          <t>Multimarca</t>
        </is>
      </c>
      <c r="D715" s="156" t="inlineStr">
        <is>
          <t>12-021-BS003-13-1039</t>
        </is>
      </c>
      <c r="E715" s="156" t="inlineStr">
        <is>
          <t>12-021-BS003-13-1039-255</t>
        </is>
      </c>
      <c r="F715" s="156" t="inlineStr">
        <is>
          <t>25.5</t>
        </is>
      </c>
      <c r="G715" s="156" t="inlineStr">
        <is>
          <t>8.5</t>
        </is>
      </c>
      <c r="H715" s="156" t="inlineStr">
        <is>
          <t>Stetson</t>
        </is>
      </c>
      <c r="I715" s="156" t="inlineStr">
        <is>
          <t>Bota Piel Azul</t>
        </is>
      </c>
      <c r="J715" s="156" t="inlineStr">
        <is>
          <t>Calzado</t>
        </is>
      </c>
      <c r="K715" s="156" t="inlineStr">
        <is>
          <t>Botas</t>
        </is>
      </c>
      <c r="L715" s="156" t="inlineStr">
        <is>
          <t>Mujer</t>
        </is>
      </c>
      <c r="M715" s="156" t="inlineStr">
        <is>
          <t>Stetson</t>
        </is>
      </c>
      <c r="N715" s="156" t="inlineStr">
        <is>
          <t>SS26</t>
        </is>
      </c>
      <c r="O715" s="156" t="inlineStr">
        <is>
          <t>Seasonal</t>
        </is>
      </c>
      <c r="P715" s="156" t="inlineStr">
        <is>
          <t>Azul</t>
        </is>
      </c>
      <c r="Q715" s="156" t="n"/>
      <c r="R715" s="156" t="inlineStr">
        <is>
          <t>Horma Alexia</t>
        </is>
      </c>
      <c r="S715" s="156" t="inlineStr">
        <is>
          <t>Piel bovina</t>
        </is>
      </c>
      <c r="T715" s="156" t="inlineStr">
        <is>
          <t>Bota Dama Piel bovina Clayton Azul Horma Alexia</t>
        </is>
      </c>
      <c r="U715" s="156" t="inlineStr">
        <is>
          <t>México</t>
        </is>
      </c>
      <c r="V715" s="156" t="inlineStr">
        <is>
          <t>PRS</t>
        </is>
      </c>
      <c r="W715" s="51" t="inlineStr">
        <is>
          <t>53111502</t>
        </is>
      </c>
      <c r="X715" s="156" t="n"/>
      <c r="Y715" s="54" t="n">
        <v>724.5599999999999</v>
      </c>
      <c r="Z715" s="54" t="n">
        <v>4224.137931</v>
      </c>
      <c r="AA715" s="55">
        <f>IF(AND(A715="", B715="", E715=""), "", IF(AB715="", "Válido", IF((LEN(AB715)-LEN(SUBSTITUTE(AB715,"; ","")))/2+1&gt;(LEN(AB715)-LEN(SUBSTITUTE(AB715,"[Aviso]","")))/7, "Con Incidencias", "Válido")))</f>
        <v/>
      </c>
      <c r="AB715" s="56">
        <f>IF(AND(A715="", B715="", E715=""), "", TEXTJOIN("; ", TRUE, IF(OR(TRIM(A715&amp;"")="", ISNUMBER(SEARCH("FALTA", A715))), "UPC faltante/inválido", ""), IF(AND(A715&lt;&gt;"", IFERROR(_xlfn.XMATCH(A715,$A$2:$A$2509,0,1)&lt;&gt;_xlfn.XMATCH(A715,$A$2:$A$2509,0,-1),FALSE)), "Código de barras duplicado", ""), IF(AND(E715&lt;&gt;"", COUNTIF($E$2:$E$2509, E715)&gt;1), "SKU duplicado", ""), IF(OR(J715="", J715=""), "[Aviso] División no capturada ()", IF(ISNA(MATCH(J715, Criterios!$A$123:$A$126, 0)), "División no válida", "")), IF(OR(K715="", K715=""), "[Aviso] Categoría no capturada ()", IF(ISNA(MATCH(K715, Criterios!$A$81:$A$120, 0)), "Categoría no válida", IF(AND(J715&lt;&gt;"", J715&lt;&gt;"", J715&lt;&gt;VLOOKUP(K715, Criterios!$A$81:$B$120, 2, FALSE)), "División no coincide con Categoría", ""))), IF(OR(L715="", L715=""), "[Aviso] Género no capturado ()", IF(ISNA(MATCH(L715, Criterios!$B$123:$B$127, 0)), "Género no válido", "")), IF(OR(N715="", N715=""), "[Aviso] Temporada no capturada ()", IF(ISNA(MATCH(N715, Criterios!$C$123:$C$128, 0)), "Temporada no válida", "")), IF(OR(O715="", O715=""), "[Aviso] Ciclo de vida no capturado ()", IF(ISNA(MATCH(O715, Criterios!$D$123:$D$124, 0)), "Ciclo de vida no válido", ""))))</f>
        <v/>
      </c>
      <c r="AC715" s="56" t="n"/>
      <c r="AD715" s="51" t="n">
        <v>1</v>
      </c>
      <c r="AE715" s="156" t="inlineStr">
        <is>
          <t>STETSON AMERICAS (1)</t>
        </is>
      </c>
      <c r="AF715" s="51" t="n">
        <v>1</v>
      </c>
      <c r="AG715" s="156" t="inlineStr">
        <is>
          <t>Catálogo existente</t>
        </is>
      </c>
      <c r="AH71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15" s="156" t="inlineStr">
        <is>
          <t>No</t>
        </is>
      </c>
      <c r="AJ715" s="156" t="n"/>
      <c r="AK715" s="155" t="inlineStr">
        <is>
          <t>Criterios: I [Q]; G1522_Extraccion_Articulos_NetSuite_2026-09-30.xlsx: fila 59280 [R]</t>
        </is>
      </c>
      <c r="AL715" s="58" t="n">
        <v>724.5599999999999</v>
      </c>
      <c r="AM715" s="58" t="n">
        <v>4224.137931</v>
      </c>
      <c r="AN715" s="155" t="n"/>
      <c r="AO715" s="59" t="n"/>
      <c r="AP715" s="59" t="n"/>
      <c r="AQ715" s="59" t="n"/>
      <c r="AR715" s="155" t="n"/>
    </row>
    <row r="716">
      <c r="A716" s="50" t="inlineStr">
        <is>
          <t>12021003131039265</t>
        </is>
      </c>
      <c r="B716" s="51" t="inlineStr">
        <is>
          <t>111606</t>
        </is>
      </c>
      <c r="C716" s="156" t="inlineStr">
        <is>
          <t>Multimarca</t>
        </is>
      </c>
      <c r="D716" s="156" t="inlineStr">
        <is>
          <t>12-021-BS003-13-1039</t>
        </is>
      </c>
      <c r="E716" s="156" t="inlineStr">
        <is>
          <t>12-021-BS003-13-1039-265</t>
        </is>
      </c>
      <c r="F716" s="156" t="inlineStr">
        <is>
          <t>26.5</t>
        </is>
      </c>
      <c r="G716" s="156" t="inlineStr">
        <is>
          <t>9.5</t>
        </is>
      </c>
      <c r="H716" s="156" t="inlineStr">
        <is>
          <t>Stetson</t>
        </is>
      </c>
      <c r="I716" s="156" t="inlineStr">
        <is>
          <t>Bota Piel Azul</t>
        </is>
      </c>
      <c r="J716" s="156" t="inlineStr">
        <is>
          <t>Calzado</t>
        </is>
      </c>
      <c r="K716" s="156" t="inlineStr">
        <is>
          <t>Botas</t>
        </is>
      </c>
      <c r="L716" s="156" t="inlineStr">
        <is>
          <t>Mujer</t>
        </is>
      </c>
      <c r="M716" s="156" t="inlineStr">
        <is>
          <t>Stetson</t>
        </is>
      </c>
      <c r="N716" s="156" t="inlineStr">
        <is>
          <t>SS26</t>
        </is>
      </c>
      <c r="O716" s="156" t="inlineStr">
        <is>
          <t>Seasonal</t>
        </is>
      </c>
      <c r="P716" s="156" t="inlineStr">
        <is>
          <t>Azul</t>
        </is>
      </c>
      <c r="Q716" s="156" t="n"/>
      <c r="R716" s="156" t="inlineStr">
        <is>
          <t>Horma Alexia</t>
        </is>
      </c>
      <c r="S716" s="156" t="inlineStr">
        <is>
          <t>Piel bovina</t>
        </is>
      </c>
      <c r="T716" s="156" t="inlineStr">
        <is>
          <t>Bota Dama Piel bovina Clayton Azul Horma Alexia</t>
        </is>
      </c>
      <c r="U716" s="156" t="inlineStr">
        <is>
          <t>México</t>
        </is>
      </c>
      <c r="V716" s="156" t="inlineStr">
        <is>
          <t>PRS</t>
        </is>
      </c>
      <c r="W716" s="51" t="inlineStr">
        <is>
          <t>53111502</t>
        </is>
      </c>
      <c r="X716" s="156" t="n"/>
      <c r="Y716" s="54" t="n">
        <v>724.5599999999999</v>
      </c>
      <c r="Z716" s="54" t="n">
        <v>4224.137931</v>
      </c>
      <c r="AA716" s="55">
        <f>IF(AND(A716="", B716="", E716=""), "", IF(AB716="", "Válido", IF((LEN(AB716)-LEN(SUBSTITUTE(AB716,"; ","")))/2+1&gt;(LEN(AB716)-LEN(SUBSTITUTE(AB716,"[Aviso]","")))/7, "Con Incidencias", "Válido")))</f>
        <v/>
      </c>
      <c r="AB716" s="56">
        <f>IF(AND(A716="", B716="", E716=""), "", TEXTJOIN("; ", TRUE, IF(OR(TRIM(A716&amp;"")="", ISNUMBER(SEARCH("FALTA", A716))), "UPC faltante/inválido", ""), IF(AND(A716&lt;&gt;"", IFERROR(_xlfn.XMATCH(A716,$A$2:$A$2509,0,1)&lt;&gt;_xlfn.XMATCH(A716,$A$2:$A$2509,0,-1),FALSE)), "Código de barras duplicado", ""), IF(AND(E716&lt;&gt;"", COUNTIF($E$2:$E$2509, E716)&gt;1), "SKU duplicado", ""), IF(OR(J716="", J716=""), "[Aviso] División no capturada ()", IF(ISNA(MATCH(J716, Criterios!$A$123:$A$126, 0)), "División no válida", "")), IF(OR(K716="", K716=""), "[Aviso] Categoría no capturada ()", IF(ISNA(MATCH(K716, Criterios!$A$81:$A$120, 0)), "Categoría no válida", IF(AND(J716&lt;&gt;"", J716&lt;&gt;"", J716&lt;&gt;VLOOKUP(K716, Criterios!$A$81:$B$120, 2, FALSE)), "División no coincide con Categoría", ""))), IF(OR(L716="", L716=""), "[Aviso] Género no capturado ()", IF(ISNA(MATCH(L716, Criterios!$B$123:$B$127, 0)), "Género no válido", "")), IF(OR(N716="", N716=""), "[Aviso] Temporada no capturada ()", IF(ISNA(MATCH(N716, Criterios!$C$123:$C$128, 0)), "Temporada no válida", "")), IF(OR(O716="", O716=""), "[Aviso] Ciclo de vida no capturado ()", IF(ISNA(MATCH(O716, Criterios!$D$123:$D$124, 0)), "Ciclo de vida no válido", ""))))</f>
        <v/>
      </c>
      <c r="AC716" s="56" t="n"/>
      <c r="AD716" s="51" t="n">
        <v>-1</v>
      </c>
      <c r="AE716" s="156" t="n"/>
      <c r="AF716" s="51" t="n">
        <v>0</v>
      </c>
      <c r="AG716" s="156" t="inlineStr">
        <is>
          <t>Catálogo existente</t>
        </is>
      </c>
      <c r="AH716"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16" s="156" t="inlineStr">
        <is>
          <t>Sí</t>
        </is>
      </c>
      <c r="AJ716" s="156" t="inlineStr">
        <is>
          <t>STETSON AMERICAS (-1)</t>
        </is>
      </c>
      <c r="AK716" s="155" t="inlineStr">
        <is>
          <t>Criterios: I [Q]; G1522_Extraccion_Articulos_NetSuite_2026-09-30.xlsx: fila 59281 [R]</t>
        </is>
      </c>
      <c r="AL716" s="58" t="n">
        <v>724.5599999999999</v>
      </c>
      <c r="AM716" s="58" t="n">
        <v>4224.137931</v>
      </c>
      <c r="AN716" s="155" t="n"/>
      <c r="AO716" s="59" t="n"/>
      <c r="AP716" s="59" t="n"/>
      <c r="AQ716" s="59" t="n"/>
      <c r="AR716" s="155" t="n"/>
    </row>
    <row r="717">
      <c r="A717" s="50" t="inlineStr">
        <is>
          <t>12021003131039275</t>
        </is>
      </c>
      <c r="B717" s="51" t="inlineStr">
        <is>
          <t>111607</t>
        </is>
      </c>
      <c r="C717" s="156" t="inlineStr">
        <is>
          <t>Multimarca</t>
        </is>
      </c>
      <c r="D717" s="156" t="inlineStr">
        <is>
          <t>12-021-BS003-13-1039</t>
        </is>
      </c>
      <c r="E717" s="156" t="inlineStr">
        <is>
          <t>12-021-BS003-13-1039-275</t>
        </is>
      </c>
      <c r="F717" s="156" t="inlineStr">
        <is>
          <t>27.5</t>
        </is>
      </c>
      <c r="G717" s="156" t="inlineStr">
        <is>
          <t>10.5</t>
        </is>
      </c>
      <c r="H717" s="156" t="inlineStr">
        <is>
          <t>Stetson</t>
        </is>
      </c>
      <c r="I717" s="156" t="inlineStr">
        <is>
          <t>Bota Piel Azul</t>
        </is>
      </c>
      <c r="J717" s="156" t="inlineStr">
        <is>
          <t>Calzado</t>
        </is>
      </c>
      <c r="K717" s="156" t="inlineStr">
        <is>
          <t>Botas</t>
        </is>
      </c>
      <c r="L717" s="156" t="inlineStr">
        <is>
          <t>Mujer</t>
        </is>
      </c>
      <c r="M717" s="156" t="inlineStr">
        <is>
          <t>Stetson</t>
        </is>
      </c>
      <c r="N717" s="156" t="inlineStr">
        <is>
          <t>SS26</t>
        </is>
      </c>
      <c r="O717" s="156" t="inlineStr">
        <is>
          <t>Seasonal</t>
        </is>
      </c>
      <c r="P717" s="156" t="inlineStr">
        <is>
          <t>Azul</t>
        </is>
      </c>
      <c r="Q717" s="156" t="n"/>
      <c r="R717" s="156" t="inlineStr">
        <is>
          <t>Horma Alexia</t>
        </is>
      </c>
      <c r="S717" s="156" t="inlineStr">
        <is>
          <t>Piel bovina</t>
        </is>
      </c>
      <c r="T717" s="156" t="inlineStr">
        <is>
          <t>Bota Dama Piel bovina Clayton Azul Horma Alexia</t>
        </is>
      </c>
      <c r="U717" s="156" t="inlineStr">
        <is>
          <t>México</t>
        </is>
      </c>
      <c r="V717" s="156" t="inlineStr">
        <is>
          <t>PRS</t>
        </is>
      </c>
      <c r="W717" s="51" t="inlineStr">
        <is>
          <t>53111502</t>
        </is>
      </c>
      <c r="X717" s="156" t="n"/>
      <c r="Y717" s="54" t="n">
        <v>724.5599999999999</v>
      </c>
      <c r="Z717" s="54" t="n">
        <v>4224.137931</v>
      </c>
      <c r="AA717" s="55">
        <f>IF(AND(A717="", B717="", E717=""), "", IF(AB717="", "Válido", IF((LEN(AB717)-LEN(SUBSTITUTE(AB717,"; ","")))/2+1&gt;(LEN(AB717)-LEN(SUBSTITUTE(AB717,"[Aviso]","")))/7, "Con Incidencias", "Válido")))</f>
        <v/>
      </c>
      <c r="AB717" s="56">
        <f>IF(AND(A717="", B717="", E717=""), "", TEXTJOIN("; ", TRUE, IF(OR(TRIM(A717&amp;"")="", ISNUMBER(SEARCH("FALTA", A717))), "UPC faltante/inválido", ""), IF(AND(A717&lt;&gt;"", IFERROR(_xlfn.XMATCH(A717,$A$2:$A$2509,0,1)&lt;&gt;_xlfn.XMATCH(A717,$A$2:$A$2509,0,-1),FALSE)), "Código de barras duplicado", ""), IF(AND(E717&lt;&gt;"", COUNTIF($E$2:$E$2509, E717)&gt;1), "SKU duplicado", ""), IF(OR(J717="", J717=""), "[Aviso] División no capturada ()", IF(ISNA(MATCH(J717, Criterios!$A$123:$A$126, 0)), "División no válida", "")), IF(OR(K717="", K717=""), "[Aviso] Categoría no capturada ()", IF(ISNA(MATCH(K717, Criterios!$A$81:$A$120, 0)), "Categoría no válida", IF(AND(J717&lt;&gt;"", J717&lt;&gt;"", J717&lt;&gt;VLOOKUP(K717, Criterios!$A$81:$B$120, 2, FALSE)), "División no coincide con Categoría", ""))), IF(OR(L717="", L717=""), "[Aviso] Género no capturado ()", IF(ISNA(MATCH(L717, Criterios!$B$123:$B$127, 0)), "Género no válido", "")), IF(OR(N717="", N717=""), "[Aviso] Temporada no capturada ()", IF(ISNA(MATCH(N717, Criterios!$C$123:$C$128, 0)), "Temporada no válida", "")), IF(OR(O717="", O717=""), "[Aviso] Ciclo de vida no capturado ()", IF(ISNA(MATCH(O717, Criterios!$D$123:$D$124, 0)), "Ciclo de vida no válido", ""))))</f>
        <v/>
      </c>
      <c r="AC717" s="56" t="n"/>
      <c r="AD717" s="51" t="n">
        <v>0</v>
      </c>
      <c r="AE717" s="156" t="n"/>
      <c r="AF717" s="51" t="n">
        <v>0</v>
      </c>
      <c r="AG717" s="156" t="inlineStr">
        <is>
          <t>Catálogo existente</t>
        </is>
      </c>
      <c r="AH71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17" s="156" t="inlineStr">
        <is>
          <t>No</t>
        </is>
      </c>
      <c r="AJ717" s="156" t="n"/>
      <c r="AK717" s="155" t="inlineStr">
        <is>
          <t>Criterios: I [Q]; G1522_Extraccion_Articulos_NetSuite_2026-09-30.xlsx: fila 59282 [R]</t>
        </is>
      </c>
      <c r="AL717" s="58" t="n">
        <v>724.5599999999999</v>
      </c>
      <c r="AM717" s="58" t="n">
        <v>4224.137931</v>
      </c>
      <c r="AN717" s="155" t="n"/>
      <c r="AO717" s="59" t="n"/>
      <c r="AP717" s="59" t="n"/>
      <c r="AQ717" s="59" t="n"/>
      <c r="AR717" s="155" t="n"/>
    </row>
    <row r="718">
      <c r="A718" s="50" t="inlineStr">
        <is>
          <t>12021003131040022</t>
        </is>
      </c>
      <c r="B718" s="51" t="inlineStr">
        <is>
          <t>111620</t>
        </is>
      </c>
      <c r="C718" s="156" t="inlineStr">
        <is>
          <t>Multimarca</t>
        </is>
      </c>
      <c r="D718" s="156" t="inlineStr">
        <is>
          <t>12-021-BS003-13-1040</t>
        </is>
      </c>
      <c r="E718" s="156" t="inlineStr">
        <is>
          <t>12-021-BS003-13-1040-022</t>
        </is>
      </c>
      <c r="F718" s="156" t="inlineStr">
        <is>
          <t>22</t>
        </is>
      </c>
      <c r="G718" s="156" t="inlineStr">
        <is>
          <t>5</t>
        </is>
      </c>
      <c r="H718" s="156" t="inlineStr">
        <is>
          <t>Stetson</t>
        </is>
      </c>
      <c r="I718" s="156" t="inlineStr">
        <is>
          <t>Bota Piel Café Arcilla</t>
        </is>
      </c>
      <c r="J718" s="156" t="inlineStr">
        <is>
          <t>Calzado</t>
        </is>
      </c>
      <c r="K718" s="156" t="inlineStr">
        <is>
          <t>Botas</t>
        </is>
      </c>
      <c r="L718" s="156" t="inlineStr">
        <is>
          <t>Mujer</t>
        </is>
      </c>
      <c r="M718" s="156" t="inlineStr">
        <is>
          <t>Stetson</t>
        </is>
      </c>
      <c r="N718" s="156" t="inlineStr">
        <is>
          <t>SS26</t>
        </is>
      </c>
      <c r="O718" s="156" t="inlineStr">
        <is>
          <t>Seasonal</t>
        </is>
      </c>
      <c r="P718" s="156" t="inlineStr">
        <is>
          <t>Cafe</t>
        </is>
      </c>
      <c r="Q718" s="156" t="n"/>
      <c r="R718" s="156" t="inlineStr">
        <is>
          <t>Horma Alexia</t>
        </is>
      </c>
      <c r="S718" s="156" t="inlineStr">
        <is>
          <t>Piel bovina</t>
        </is>
      </c>
      <c r="T718" s="156" t="inlineStr">
        <is>
          <t>Bota Dama Piel bovina Boney Café Arcilla Horma Alexia</t>
        </is>
      </c>
      <c r="U718" s="156" t="inlineStr">
        <is>
          <t>México</t>
        </is>
      </c>
      <c r="V718" s="156" t="inlineStr">
        <is>
          <t>PRS</t>
        </is>
      </c>
      <c r="W718" s="51" t="inlineStr">
        <is>
          <t>53111502</t>
        </is>
      </c>
      <c r="X718" s="156" t="n"/>
      <c r="Y718" s="54" t="n">
        <v>724.5599999999999</v>
      </c>
      <c r="Z718" s="54" t="n">
        <v>4224.137931</v>
      </c>
      <c r="AA718" s="55">
        <f>IF(AND(A718="", B718="", E718=""), "", IF(AB718="", "Válido", IF((LEN(AB718)-LEN(SUBSTITUTE(AB718,"; ","")))/2+1&gt;(LEN(AB718)-LEN(SUBSTITUTE(AB718,"[Aviso]","")))/7, "Con Incidencias", "Válido")))</f>
        <v/>
      </c>
      <c r="AB718" s="56">
        <f>IF(AND(A718="", B718="", E718=""), "", TEXTJOIN("; ", TRUE, IF(OR(TRIM(A718&amp;"")="", ISNUMBER(SEARCH("FALTA", A718))), "UPC faltante/inválido", ""), IF(AND(A718&lt;&gt;"", IFERROR(_xlfn.XMATCH(A718,$A$2:$A$2509,0,1)&lt;&gt;_xlfn.XMATCH(A718,$A$2:$A$2509,0,-1),FALSE)), "Código de barras duplicado", ""), IF(AND(E718&lt;&gt;"", COUNTIF($E$2:$E$2509, E718)&gt;1), "SKU duplicado", ""), IF(OR(J718="", J718=""), "[Aviso] División no capturada ()", IF(ISNA(MATCH(J718, Criterios!$A$123:$A$126, 0)), "División no válida", "")), IF(OR(K718="", K718=""), "[Aviso] Categoría no capturada ()", IF(ISNA(MATCH(K718, Criterios!$A$81:$A$120, 0)), "Categoría no válida", IF(AND(J718&lt;&gt;"", J718&lt;&gt;"", J718&lt;&gt;VLOOKUP(K718, Criterios!$A$81:$B$120, 2, FALSE)), "División no coincide con Categoría", ""))), IF(OR(L718="", L718=""), "[Aviso] Género no capturado ()", IF(ISNA(MATCH(L718, Criterios!$B$123:$B$127, 0)), "Género no válido", "")), IF(OR(N718="", N718=""), "[Aviso] Temporada no capturada ()", IF(ISNA(MATCH(N718, Criterios!$C$123:$C$128, 0)), "Temporada no válida", "")), IF(OR(O718="", O718=""), "[Aviso] Ciclo de vida no capturado ()", IF(ISNA(MATCH(O718, Criterios!$D$123:$D$124, 0)), "Ciclo de vida no válido", ""))))</f>
        <v/>
      </c>
      <c r="AC718" s="56" t="n"/>
      <c r="AD718" s="51" t="n">
        <v>0</v>
      </c>
      <c r="AE718" s="156" t="n"/>
      <c r="AF718" s="51" t="n">
        <v>0</v>
      </c>
      <c r="AG718" s="156" t="inlineStr">
        <is>
          <t>Catálogo existente</t>
        </is>
      </c>
      <c r="AH7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8" s="156" t="inlineStr">
        <is>
          <t>No</t>
        </is>
      </c>
      <c r="AJ718" s="156" t="n"/>
      <c r="AK718" s="155" t="inlineStr">
        <is>
          <t>Criterios: I [Q]; G1522_Extraccion_Articulos_NetSuite_2026-09-30.xlsx: fila 59295 [R] | Shopify Stetson: producto 15054565081451 / variante 53350561186155</t>
        </is>
      </c>
      <c r="AL718" s="58" t="n">
        <v>724.5599999999999</v>
      </c>
      <c r="AM718" s="58" t="n">
        <v>4224.137931</v>
      </c>
      <c r="AN718" s="155" t="inlineStr">
        <is>
          <t>Shopify Stetson México</t>
        </is>
      </c>
      <c r="AO718" s="59" t="n">
        <v>0</v>
      </c>
      <c r="AP718" s="59" t="n"/>
      <c r="AQ718" s="59" t="n"/>
      <c r="AR718" s="155" t="n"/>
    </row>
    <row r="719">
      <c r="A719" s="50" t="inlineStr">
        <is>
          <t>12021003131040023</t>
        </is>
      </c>
      <c r="B719" s="51" t="inlineStr">
        <is>
          <t>111621</t>
        </is>
      </c>
      <c r="C719" s="156" t="inlineStr">
        <is>
          <t>Multimarca</t>
        </is>
      </c>
      <c r="D719" s="156" t="inlineStr">
        <is>
          <t>12-021-BS003-13-1040</t>
        </is>
      </c>
      <c r="E719" s="156" t="inlineStr">
        <is>
          <t>12-021-BS003-13-1040-023</t>
        </is>
      </c>
      <c r="F719" s="156" t="inlineStr">
        <is>
          <t>23</t>
        </is>
      </c>
      <c r="G719" s="156" t="inlineStr">
        <is>
          <t>6</t>
        </is>
      </c>
      <c r="H719" s="156" t="inlineStr">
        <is>
          <t>Stetson</t>
        </is>
      </c>
      <c r="I719" s="156" t="inlineStr">
        <is>
          <t>Bota Piel Café Arcilla</t>
        </is>
      </c>
      <c r="J719" s="156" t="inlineStr">
        <is>
          <t>Calzado</t>
        </is>
      </c>
      <c r="K719" s="156" t="inlineStr">
        <is>
          <t>Botas</t>
        </is>
      </c>
      <c r="L719" s="156" t="inlineStr">
        <is>
          <t>Mujer</t>
        </is>
      </c>
      <c r="M719" s="156" t="inlineStr">
        <is>
          <t>Stetson</t>
        </is>
      </c>
      <c r="N719" s="156" t="inlineStr">
        <is>
          <t>SS26</t>
        </is>
      </c>
      <c r="O719" s="156" t="inlineStr">
        <is>
          <t>Seasonal</t>
        </is>
      </c>
      <c r="P719" s="156" t="inlineStr">
        <is>
          <t>Cafe</t>
        </is>
      </c>
      <c r="Q719" s="156" t="n"/>
      <c r="R719" s="156" t="inlineStr">
        <is>
          <t>Horma Alexia</t>
        </is>
      </c>
      <c r="S719" s="156" t="inlineStr">
        <is>
          <t>Piel bovina</t>
        </is>
      </c>
      <c r="T719" s="156" t="inlineStr">
        <is>
          <t>Bota Dama Piel bovina Boney Café Arcilla Horma Alexia</t>
        </is>
      </c>
      <c r="U719" s="156" t="inlineStr">
        <is>
          <t>México</t>
        </is>
      </c>
      <c r="V719" s="156" t="inlineStr">
        <is>
          <t>PRS</t>
        </is>
      </c>
      <c r="W719" s="51" t="inlineStr">
        <is>
          <t>53111502</t>
        </is>
      </c>
      <c r="X719" s="156" t="n"/>
      <c r="Y719" s="54" t="n">
        <v>724.5599999999999</v>
      </c>
      <c r="Z719" s="54" t="n">
        <v>4224.137931</v>
      </c>
      <c r="AA719" s="55">
        <f>IF(AND(A719="", B719="", E719=""), "", IF(AB719="", "Válido", IF((LEN(AB719)-LEN(SUBSTITUTE(AB719,"; ","")))/2+1&gt;(LEN(AB719)-LEN(SUBSTITUTE(AB719,"[Aviso]","")))/7, "Con Incidencias", "Válido")))</f>
        <v/>
      </c>
      <c r="AB719" s="56">
        <f>IF(AND(A719="", B719="", E719=""), "", TEXTJOIN("; ", TRUE, IF(OR(TRIM(A719&amp;"")="", ISNUMBER(SEARCH("FALTA", A719))), "UPC faltante/inválido", ""), IF(AND(A719&lt;&gt;"", IFERROR(_xlfn.XMATCH(A719,$A$2:$A$2509,0,1)&lt;&gt;_xlfn.XMATCH(A719,$A$2:$A$2509,0,-1),FALSE)), "Código de barras duplicado", ""), IF(AND(E719&lt;&gt;"", COUNTIF($E$2:$E$2509, E719)&gt;1), "SKU duplicado", ""), IF(OR(J719="", J719=""), "[Aviso] División no capturada ()", IF(ISNA(MATCH(J719, Criterios!$A$123:$A$126, 0)), "División no válida", "")), IF(OR(K719="", K719=""), "[Aviso] Categoría no capturada ()", IF(ISNA(MATCH(K719, Criterios!$A$81:$A$120, 0)), "Categoría no válida", IF(AND(J719&lt;&gt;"", J719&lt;&gt;"", J719&lt;&gt;VLOOKUP(K719, Criterios!$A$81:$B$120, 2, FALSE)), "División no coincide con Categoría", ""))), IF(OR(L719="", L719=""), "[Aviso] Género no capturado ()", IF(ISNA(MATCH(L719, Criterios!$B$123:$B$127, 0)), "Género no válido", "")), IF(OR(N719="", N719=""), "[Aviso] Temporada no capturada ()", IF(ISNA(MATCH(N719, Criterios!$C$123:$C$128, 0)), "Temporada no válida", "")), IF(OR(O719="", O719=""), "[Aviso] Ciclo de vida no capturado ()", IF(ISNA(MATCH(O719, Criterios!$D$123:$D$124, 0)), "Ciclo de vida no válido", ""))))</f>
        <v/>
      </c>
      <c r="AC719" s="56" t="n"/>
      <c r="AD719" s="51" t="n">
        <v>0</v>
      </c>
      <c r="AE719" s="156" t="n"/>
      <c r="AF719" s="51" t="n">
        <v>0</v>
      </c>
      <c r="AG719" s="156" t="inlineStr">
        <is>
          <t>Catálogo existente</t>
        </is>
      </c>
      <c r="AH7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9" s="156" t="inlineStr">
        <is>
          <t>No</t>
        </is>
      </c>
      <c r="AJ719" s="156" t="n"/>
      <c r="AK719" s="155" t="inlineStr">
        <is>
          <t>Criterios: I [Q]; G1522_Extraccion_Articulos_NetSuite_2026-09-30.xlsx: fila 59296 [R] | Shopify Stetson: producto 15054565081451 / variante 53350561251691</t>
        </is>
      </c>
      <c r="AL719" s="58" t="n">
        <v>724.5599999999999</v>
      </c>
      <c r="AM719" s="58" t="n">
        <v>4224.137931</v>
      </c>
      <c r="AN719" s="155" t="inlineStr">
        <is>
          <t>Shopify Stetson México</t>
        </is>
      </c>
      <c r="AO719" s="59" t="n">
        <v>1</v>
      </c>
      <c r="AP719" s="59" t="n"/>
      <c r="AQ719" s="59" t="n"/>
      <c r="AR719" s="155" t="inlineStr">
        <is>
          <t>Shopify Stetson México › Stetson Americas: 1</t>
        </is>
      </c>
    </row>
    <row r="720">
      <c r="A720" s="50" t="inlineStr">
        <is>
          <t>12021003131040024</t>
        </is>
      </c>
      <c r="B720" s="51" t="inlineStr">
        <is>
          <t>111622</t>
        </is>
      </c>
      <c r="C720" s="156" t="inlineStr">
        <is>
          <t>Multimarca</t>
        </is>
      </c>
      <c r="D720" s="156" t="inlineStr">
        <is>
          <t>12-021-BS003-13-1040</t>
        </is>
      </c>
      <c r="E720" s="156" t="inlineStr">
        <is>
          <t>12-021-BS003-13-1040-024</t>
        </is>
      </c>
      <c r="F720" s="156" t="inlineStr">
        <is>
          <t>24</t>
        </is>
      </c>
      <c r="G720" s="156" t="inlineStr">
        <is>
          <t>7</t>
        </is>
      </c>
      <c r="H720" s="156" t="inlineStr">
        <is>
          <t>Stetson</t>
        </is>
      </c>
      <c r="I720" s="156" t="inlineStr">
        <is>
          <t>Bota Piel Café Arcilla</t>
        </is>
      </c>
      <c r="J720" s="156" t="inlineStr">
        <is>
          <t>Calzado</t>
        </is>
      </c>
      <c r="K720" s="156" t="inlineStr">
        <is>
          <t>Botas</t>
        </is>
      </c>
      <c r="L720" s="156" t="inlineStr">
        <is>
          <t>Mujer</t>
        </is>
      </c>
      <c r="M720" s="156" t="inlineStr">
        <is>
          <t>Stetson</t>
        </is>
      </c>
      <c r="N720" s="156" t="inlineStr">
        <is>
          <t>SS26</t>
        </is>
      </c>
      <c r="O720" s="156" t="inlineStr">
        <is>
          <t>Seasonal</t>
        </is>
      </c>
      <c r="P720" s="156" t="inlineStr">
        <is>
          <t>Cafe</t>
        </is>
      </c>
      <c r="Q720" s="156" t="n"/>
      <c r="R720" s="156" t="inlineStr">
        <is>
          <t>Horma Alexia</t>
        </is>
      </c>
      <c r="S720" s="156" t="inlineStr">
        <is>
          <t>Piel bovina</t>
        </is>
      </c>
      <c r="T720" s="156" t="inlineStr">
        <is>
          <t>Bota Dama Piel bovina Boney Café Arcilla Horma Alexia</t>
        </is>
      </c>
      <c r="U720" s="156" t="inlineStr">
        <is>
          <t>México</t>
        </is>
      </c>
      <c r="V720" s="156" t="inlineStr">
        <is>
          <t>PRS</t>
        </is>
      </c>
      <c r="W720" s="51" t="inlineStr">
        <is>
          <t>53111502</t>
        </is>
      </c>
      <c r="X720" s="156" t="n"/>
      <c r="Y720" s="54" t="n">
        <v>724.5599999999999</v>
      </c>
      <c r="Z720" s="54" t="n">
        <v>4224.137931</v>
      </c>
      <c r="AA720" s="55">
        <f>IF(AND(A720="", B720="", E720=""), "", IF(AB720="", "Válido", IF((LEN(AB720)-LEN(SUBSTITUTE(AB720,"; ","")))/2+1&gt;(LEN(AB720)-LEN(SUBSTITUTE(AB720,"[Aviso]","")))/7, "Con Incidencias", "Válido")))</f>
        <v/>
      </c>
      <c r="AB720" s="56">
        <f>IF(AND(A720="", B720="", E720=""), "", TEXTJOIN("; ", TRUE, IF(OR(TRIM(A720&amp;"")="", ISNUMBER(SEARCH("FALTA", A720))), "UPC faltante/inválido", ""), IF(AND(A720&lt;&gt;"", IFERROR(_xlfn.XMATCH(A720,$A$2:$A$2509,0,1)&lt;&gt;_xlfn.XMATCH(A720,$A$2:$A$2509,0,-1),FALSE)), "Código de barras duplicado", ""), IF(AND(E720&lt;&gt;"", COUNTIF($E$2:$E$2509, E720)&gt;1), "SKU duplicado", ""), IF(OR(J720="", J720=""), "[Aviso] División no capturada ()", IF(ISNA(MATCH(J720, Criterios!$A$123:$A$126, 0)), "División no válida", "")), IF(OR(K720="", K720=""), "[Aviso] Categoría no capturada ()", IF(ISNA(MATCH(K720, Criterios!$A$81:$A$120, 0)), "Categoría no válida", IF(AND(J720&lt;&gt;"", J720&lt;&gt;"", J720&lt;&gt;VLOOKUP(K720, Criterios!$A$81:$B$120, 2, FALSE)), "División no coincide con Categoría", ""))), IF(OR(L720="", L720=""), "[Aviso] Género no capturado ()", IF(ISNA(MATCH(L720, Criterios!$B$123:$B$127, 0)), "Género no válido", "")), IF(OR(N720="", N720=""), "[Aviso] Temporada no capturada ()", IF(ISNA(MATCH(N720, Criterios!$C$123:$C$128, 0)), "Temporada no válida", "")), IF(OR(O720="", O720=""), "[Aviso] Ciclo de vida no capturado ()", IF(ISNA(MATCH(O720, Criterios!$D$123:$D$124, 0)), "Ciclo de vida no válido", ""))))</f>
        <v/>
      </c>
      <c r="AC720" s="56" t="n"/>
      <c r="AD720" s="51" t="n">
        <v>-1</v>
      </c>
      <c r="AE720" s="156" t="n"/>
      <c r="AF720" s="51" t="n">
        <v>0</v>
      </c>
      <c r="AG720" s="156" t="inlineStr">
        <is>
          <t>Catálogo existente</t>
        </is>
      </c>
      <c r="AH72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0" s="156" t="inlineStr">
        <is>
          <t>Sí</t>
        </is>
      </c>
      <c r="AJ720" s="156" t="inlineStr">
        <is>
          <t>STETSON AMERICAS (-1)</t>
        </is>
      </c>
      <c r="AK720" s="155" t="inlineStr">
        <is>
          <t>Criterios: I [Q]; G1522_Extraccion_Articulos_NetSuite_2026-09-30.xlsx: fila 59297 [R] | Shopify Stetson: producto 15054565081451 / variante 53350561317227</t>
        </is>
      </c>
      <c r="AL720" s="58" t="n">
        <v>724.5599999999999</v>
      </c>
      <c r="AM720" s="58" t="n">
        <v>4224.137931</v>
      </c>
      <c r="AN720" s="155" t="inlineStr">
        <is>
          <t>Shopify Stetson México</t>
        </is>
      </c>
      <c r="AO720" s="59" t="n">
        <v>1</v>
      </c>
      <c r="AP720" s="59" t="n"/>
      <c r="AQ720" s="59" t="n"/>
      <c r="AR720" s="155" t="inlineStr">
        <is>
          <t>Shopify Stetson México › Stetson Americas: 1</t>
        </is>
      </c>
    </row>
    <row r="721">
      <c r="A721" s="50" t="inlineStr">
        <is>
          <t>12021003131040025</t>
        </is>
      </c>
      <c r="B721" s="51" t="inlineStr">
        <is>
          <t>111623</t>
        </is>
      </c>
      <c r="C721" s="156" t="inlineStr">
        <is>
          <t>Multimarca</t>
        </is>
      </c>
      <c r="D721" s="156" t="inlineStr">
        <is>
          <t>12-021-BS003-13-1040</t>
        </is>
      </c>
      <c r="E721" s="156" t="inlineStr">
        <is>
          <t>12-021-BS003-13-1040-025</t>
        </is>
      </c>
      <c r="F721" s="156" t="inlineStr">
        <is>
          <t>25</t>
        </is>
      </c>
      <c r="G721" s="156" t="inlineStr">
        <is>
          <t>8</t>
        </is>
      </c>
      <c r="H721" s="156" t="inlineStr">
        <is>
          <t>Stetson</t>
        </is>
      </c>
      <c r="I721" s="156" t="inlineStr">
        <is>
          <t>Bota Piel Café Arcilla</t>
        </is>
      </c>
      <c r="J721" s="156" t="inlineStr">
        <is>
          <t>Calzado</t>
        </is>
      </c>
      <c r="K721" s="156" t="inlineStr">
        <is>
          <t>Botas</t>
        </is>
      </c>
      <c r="L721" s="156" t="inlineStr">
        <is>
          <t>Mujer</t>
        </is>
      </c>
      <c r="M721" s="156" t="inlineStr">
        <is>
          <t>Stetson</t>
        </is>
      </c>
      <c r="N721" s="156" t="inlineStr">
        <is>
          <t>SS26</t>
        </is>
      </c>
      <c r="O721" s="156" t="inlineStr">
        <is>
          <t>Seasonal</t>
        </is>
      </c>
      <c r="P721" s="156" t="inlineStr">
        <is>
          <t>Cafe</t>
        </is>
      </c>
      <c r="Q721" s="156" t="n"/>
      <c r="R721" s="156" t="inlineStr">
        <is>
          <t>Horma Alexia</t>
        </is>
      </c>
      <c r="S721" s="156" t="inlineStr">
        <is>
          <t>Piel bovina</t>
        </is>
      </c>
      <c r="T721" s="156" t="inlineStr">
        <is>
          <t>Bota Dama Piel bovina Boney Café Arcilla Horma Alexia</t>
        </is>
      </c>
      <c r="U721" s="156" t="inlineStr">
        <is>
          <t>México</t>
        </is>
      </c>
      <c r="V721" s="156" t="inlineStr">
        <is>
          <t>PRS</t>
        </is>
      </c>
      <c r="W721" s="51" t="inlineStr">
        <is>
          <t>53111502</t>
        </is>
      </c>
      <c r="X721" s="156" t="n"/>
      <c r="Y721" s="54" t="n">
        <v>724.5599999999999</v>
      </c>
      <c r="Z721" s="54" t="n">
        <v>4224.137931</v>
      </c>
      <c r="AA721" s="55">
        <f>IF(AND(A721="", B721="", E721=""), "", IF(AB721="", "Válido", IF((LEN(AB721)-LEN(SUBSTITUTE(AB721,"; ","")))/2+1&gt;(LEN(AB721)-LEN(SUBSTITUTE(AB721,"[Aviso]","")))/7, "Con Incidencias", "Válido")))</f>
        <v/>
      </c>
      <c r="AB721" s="56">
        <f>IF(AND(A721="", B721="", E721=""), "", TEXTJOIN("; ", TRUE, IF(OR(TRIM(A721&amp;"")="", ISNUMBER(SEARCH("FALTA", A721))), "UPC faltante/inválido", ""), IF(AND(A721&lt;&gt;"", IFERROR(_xlfn.XMATCH(A721,$A$2:$A$2509,0,1)&lt;&gt;_xlfn.XMATCH(A721,$A$2:$A$2509,0,-1),FALSE)), "Código de barras duplicado", ""), IF(AND(E721&lt;&gt;"", COUNTIF($E$2:$E$2509, E721)&gt;1), "SKU duplicado", ""), IF(OR(J721="", J721=""), "[Aviso] División no capturada ()", IF(ISNA(MATCH(J721, Criterios!$A$123:$A$126, 0)), "División no válida", "")), IF(OR(K721="", K721=""), "[Aviso] Categoría no capturada ()", IF(ISNA(MATCH(K721, Criterios!$A$81:$A$120, 0)), "Categoría no válida", IF(AND(J721&lt;&gt;"", J721&lt;&gt;"", J721&lt;&gt;VLOOKUP(K721, Criterios!$A$81:$B$120, 2, FALSE)), "División no coincide con Categoría", ""))), IF(OR(L721="", L721=""), "[Aviso] Género no capturado ()", IF(ISNA(MATCH(L721, Criterios!$B$123:$B$127, 0)), "Género no válido", "")), IF(OR(N721="", N721=""), "[Aviso] Temporada no capturada ()", IF(ISNA(MATCH(N721, Criterios!$C$123:$C$128, 0)), "Temporada no válida", "")), IF(OR(O721="", O721=""), "[Aviso] Ciclo de vida no capturado ()", IF(ISNA(MATCH(O721, Criterios!$D$123:$D$124, 0)), "Ciclo de vida no válido", ""))))</f>
        <v/>
      </c>
      <c r="AC721" s="56" t="n"/>
      <c r="AD721" s="51" t="n">
        <v>-1</v>
      </c>
      <c r="AE721" s="156" t="n"/>
      <c r="AF721" s="51" t="n">
        <v>0</v>
      </c>
      <c r="AG721" s="156" t="inlineStr">
        <is>
          <t>Catálogo existente</t>
        </is>
      </c>
      <c r="AH72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1" s="156" t="inlineStr">
        <is>
          <t>Sí</t>
        </is>
      </c>
      <c r="AJ721" s="156" t="inlineStr">
        <is>
          <t>STETSON AMERICAS (-1)</t>
        </is>
      </c>
      <c r="AK721" s="155" t="inlineStr">
        <is>
          <t>Criterios: I [Q]; G1522_Extraccion_Articulos_NetSuite_2026-09-30.xlsx: fila 59298 [R] | Shopify Stetson: producto 15054565081451 / variante 53350561382763</t>
        </is>
      </c>
      <c r="AL721" s="58" t="n">
        <v>724.5599999999999</v>
      </c>
      <c r="AM721" s="58" t="n">
        <v>4224.137931</v>
      </c>
      <c r="AN721" s="155" t="inlineStr">
        <is>
          <t>Shopify Stetson México</t>
        </is>
      </c>
      <c r="AO721" s="59" t="n">
        <v>1</v>
      </c>
      <c r="AP721" s="59" t="n"/>
      <c r="AQ721" s="59" t="n"/>
      <c r="AR721" s="155" t="inlineStr">
        <is>
          <t>Shopify Stetson México › Stetson Americas: 1</t>
        </is>
      </c>
    </row>
    <row r="722">
      <c r="A722" s="50" t="inlineStr">
        <is>
          <t>12021003131040026</t>
        </is>
      </c>
      <c r="B722" s="51" t="inlineStr">
        <is>
          <t>111615</t>
        </is>
      </c>
      <c r="C722" s="156" t="inlineStr">
        <is>
          <t>Multimarca</t>
        </is>
      </c>
      <c r="D722" s="156" t="inlineStr">
        <is>
          <t>12-021-BS003-13-1040</t>
        </is>
      </c>
      <c r="E722" s="156" t="inlineStr">
        <is>
          <t>12-021-BS003-13-1040-026</t>
        </is>
      </c>
      <c r="F722" s="156" t="inlineStr">
        <is>
          <t>26</t>
        </is>
      </c>
      <c r="G722" s="156" t="inlineStr">
        <is>
          <t>9</t>
        </is>
      </c>
      <c r="H722" s="156" t="inlineStr">
        <is>
          <t>Stetson</t>
        </is>
      </c>
      <c r="I722" s="156" t="inlineStr">
        <is>
          <t>Bota Piel Café Arcilla</t>
        </is>
      </c>
      <c r="J722" s="156" t="inlineStr">
        <is>
          <t>Calzado</t>
        </is>
      </c>
      <c r="K722" s="156" t="inlineStr">
        <is>
          <t>Botas</t>
        </is>
      </c>
      <c r="L722" s="156" t="inlineStr">
        <is>
          <t>Mujer</t>
        </is>
      </c>
      <c r="M722" s="156" t="inlineStr">
        <is>
          <t>Stetson</t>
        </is>
      </c>
      <c r="N722" s="156" t="inlineStr">
        <is>
          <t>SS26</t>
        </is>
      </c>
      <c r="O722" s="156" t="inlineStr">
        <is>
          <t>Seasonal</t>
        </is>
      </c>
      <c r="P722" s="156" t="inlineStr">
        <is>
          <t>Cafe</t>
        </is>
      </c>
      <c r="Q722" s="156" t="n"/>
      <c r="R722" s="156" t="inlineStr">
        <is>
          <t>Horma Alexia</t>
        </is>
      </c>
      <c r="S722" s="156" t="inlineStr">
        <is>
          <t>Piel bovina</t>
        </is>
      </c>
      <c r="T722" s="156" t="inlineStr">
        <is>
          <t>Bota Dama Piel bovina Boney Café Arcilla Horma Alexia</t>
        </is>
      </c>
      <c r="U722" s="156" t="inlineStr">
        <is>
          <t>México</t>
        </is>
      </c>
      <c r="V722" s="156" t="inlineStr">
        <is>
          <t>PRS</t>
        </is>
      </c>
      <c r="W722" s="51" t="inlineStr">
        <is>
          <t>53111502</t>
        </is>
      </c>
      <c r="X722" s="156" t="n"/>
      <c r="Y722" s="54" t="n">
        <v>724.5599999999999</v>
      </c>
      <c r="Z722" s="54" t="n">
        <v>4224.137931</v>
      </c>
      <c r="AA722" s="55">
        <f>IF(AND(A722="", B722="", E722=""), "", IF(AB722="", "Válido", IF((LEN(AB722)-LEN(SUBSTITUTE(AB722,"; ","")))/2+1&gt;(LEN(AB722)-LEN(SUBSTITUTE(AB722,"[Aviso]","")))/7, "Con Incidencias", "Válido")))</f>
        <v/>
      </c>
      <c r="AB722" s="56">
        <f>IF(AND(A722="", B722="", E722=""), "", TEXTJOIN("; ", TRUE, IF(OR(TRIM(A722&amp;"")="", ISNUMBER(SEARCH("FALTA", A722))), "UPC faltante/inválido", ""), IF(AND(A722&lt;&gt;"", IFERROR(_xlfn.XMATCH(A722,$A$2:$A$2509,0,1)&lt;&gt;_xlfn.XMATCH(A722,$A$2:$A$2509,0,-1),FALSE)), "Código de barras duplicado", ""), IF(AND(E722&lt;&gt;"", COUNTIF($E$2:$E$2509, E722)&gt;1), "SKU duplicado", ""), IF(OR(J722="", J722=""), "[Aviso] División no capturada ()", IF(ISNA(MATCH(J722, Criterios!$A$123:$A$126, 0)), "División no válida", "")), IF(OR(K722="", K722=""), "[Aviso] Categoría no capturada ()", IF(ISNA(MATCH(K722, Criterios!$A$81:$A$120, 0)), "Categoría no válida", IF(AND(J722&lt;&gt;"", J722&lt;&gt;"", J722&lt;&gt;VLOOKUP(K722, Criterios!$A$81:$B$120, 2, FALSE)), "División no coincide con Categoría", ""))), IF(OR(L722="", L722=""), "[Aviso] Género no capturado ()", IF(ISNA(MATCH(L722, Criterios!$B$123:$B$127, 0)), "Género no válido", "")), IF(OR(N722="", N722=""), "[Aviso] Temporada no capturada ()", IF(ISNA(MATCH(N722, Criterios!$C$123:$C$128, 0)), "Temporada no válida", "")), IF(OR(O722="", O722=""), "[Aviso] Ciclo de vida no capturado ()", IF(ISNA(MATCH(O722, Criterios!$D$123:$D$124, 0)), "Ciclo de vida no válido", ""))))</f>
        <v/>
      </c>
      <c r="AC722" s="56" t="n"/>
      <c r="AD722" s="51" t="n">
        <v>0</v>
      </c>
      <c r="AE722" s="156" t="n"/>
      <c r="AF722" s="51" t="n">
        <v>0</v>
      </c>
      <c r="AG722" s="156" t="inlineStr">
        <is>
          <t>Catálogo existente</t>
        </is>
      </c>
      <c r="AH72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2" s="156" t="inlineStr">
        <is>
          <t>No</t>
        </is>
      </c>
      <c r="AJ722" s="156" t="n"/>
      <c r="AK722" s="155" t="inlineStr">
        <is>
          <t>Criterios: I [Q]; G1522_Extraccion_Articulos_NetSuite_2026-09-30.xlsx: fila 59290 [R]</t>
        </is>
      </c>
      <c r="AL722" s="58" t="n">
        <v>724.5599999999999</v>
      </c>
      <c r="AM722" s="58" t="n">
        <v>4224.137931</v>
      </c>
      <c r="AN722" s="155" t="n"/>
      <c r="AO722" s="59" t="n"/>
      <c r="AP722" s="59" t="n"/>
      <c r="AQ722" s="59" t="n"/>
      <c r="AR722" s="155" t="n"/>
    </row>
    <row r="723">
      <c r="A723" s="50" t="inlineStr">
        <is>
          <t>12021003131040027</t>
        </is>
      </c>
      <c r="B723" s="51" t="inlineStr">
        <is>
          <t>111616</t>
        </is>
      </c>
      <c r="C723" s="156" t="inlineStr">
        <is>
          <t>Multimarca</t>
        </is>
      </c>
      <c r="D723" s="156" t="inlineStr">
        <is>
          <t>12-021-BS003-13-1040</t>
        </is>
      </c>
      <c r="E723" s="156" t="inlineStr">
        <is>
          <t>12-021-BS003-13-1040-027</t>
        </is>
      </c>
      <c r="F723" s="156" t="inlineStr">
        <is>
          <t>27</t>
        </is>
      </c>
      <c r="G723" s="156" t="inlineStr">
        <is>
          <t>10</t>
        </is>
      </c>
      <c r="H723" s="156" t="inlineStr">
        <is>
          <t>Stetson</t>
        </is>
      </c>
      <c r="I723" s="156" t="inlineStr">
        <is>
          <t>Bota Piel Café Arcilla</t>
        </is>
      </c>
      <c r="J723" s="156" t="inlineStr">
        <is>
          <t>Calzado</t>
        </is>
      </c>
      <c r="K723" s="156" t="inlineStr">
        <is>
          <t>Botas</t>
        </is>
      </c>
      <c r="L723" s="156" t="inlineStr">
        <is>
          <t>Mujer</t>
        </is>
      </c>
      <c r="M723" s="156" t="inlineStr">
        <is>
          <t>Stetson</t>
        </is>
      </c>
      <c r="N723" s="156" t="inlineStr">
        <is>
          <t>SS26</t>
        </is>
      </c>
      <c r="O723" s="156" t="inlineStr">
        <is>
          <t>Seasonal</t>
        </is>
      </c>
      <c r="P723" s="156" t="inlineStr">
        <is>
          <t>Cafe</t>
        </is>
      </c>
      <c r="Q723" s="156" t="n"/>
      <c r="R723" s="156" t="inlineStr">
        <is>
          <t>Horma Alexia</t>
        </is>
      </c>
      <c r="S723" s="156" t="inlineStr">
        <is>
          <t>Piel bovina</t>
        </is>
      </c>
      <c r="T723" s="156" t="inlineStr">
        <is>
          <t>Bota Dama Piel bovina Boney Café Arcilla Horma Alexia</t>
        </is>
      </c>
      <c r="U723" s="156" t="inlineStr">
        <is>
          <t>México</t>
        </is>
      </c>
      <c r="V723" s="156" t="inlineStr">
        <is>
          <t>PRS</t>
        </is>
      </c>
      <c r="W723" s="51" t="inlineStr">
        <is>
          <t>53111502</t>
        </is>
      </c>
      <c r="X723" s="156" t="n"/>
      <c r="Y723" s="54" t="n">
        <v>724.5599999999999</v>
      </c>
      <c r="Z723" s="54" t="n">
        <v>4224.137931</v>
      </c>
      <c r="AA723" s="55">
        <f>IF(AND(A723="", B723="", E723=""), "", IF(AB723="", "Válido", IF((LEN(AB723)-LEN(SUBSTITUTE(AB723,"; ","")))/2+1&gt;(LEN(AB723)-LEN(SUBSTITUTE(AB723,"[Aviso]","")))/7, "Con Incidencias", "Válido")))</f>
        <v/>
      </c>
      <c r="AB723" s="56">
        <f>IF(AND(A723="", B723="", E723=""), "", TEXTJOIN("; ", TRUE, IF(OR(TRIM(A723&amp;"")="", ISNUMBER(SEARCH("FALTA", A723))), "UPC faltante/inválido", ""), IF(AND(A723&lt;&gt;"", IFERROR(_xlfn.XMATCH(A723,$A$2:$A$2509,0,1)&lt;&gt;_xlfn.XMATCH(A723,$A$2:$A$2509,0,-1),FALSE)), "Código de barras duplicado", ""), IF(AND(E723&lt;&gt;"", COUNTIF($E$2:$E$2509, E723)&gt;1), "SKU duplicado", ""), IF(OR(J723="", J723=""), "[Aviso] División no capturada ()", IF(ISNA(MATCH(J723, Criterios!$A$123:$A$126, 0)), "División no válida", "")), IF(OR(K723="", K723=""), "[Aviso] Categoría no capturada ()", IF(ISNA(MATCH(K723, Criterios!$A$81:$A$120, 0)), "Categoría no válida", IF(AND(J723&lt;&gt;"", J723&lt;&gt;"", J723&lt;&gt;VLOOKUP(K723, Criterios!$A$81:$B$120, 2, FALSE)), "División no coincide con Categoría", ""))), IF(OR(L723="", L723=""), "[Aviso] Género no capturado ()", IF(ISNA(MATCH(L723, Criterios!$B$123:$B$127, 0)), "Género no válido", "")), IF(OR(N723="", N723=""), "[Aviso] Temporada no capturada ()", IF(ISNA(MATCH(N723, Criterios!$C$123:$C$128, 0)), "Temporada no válida", "")), IF(OR(O723="", O723=""), "[Aviso] Ciclo de vida no capturado ()", IF(ISNA(MATCH(O723, Criterios!$D$123:$D$124, 0)), "Ciclo de vida no válido", ""))))</f>
        <v/>
      </c>
      <c r="AC723" s="56" t="n"/>
      <c r="AD723" s="51" t="n">
        <v>0</v>
      </c>
      <c r="AE723" s="156" t="n"/>
      <c r="AF723" s="51" t="n">
        <v>0</v>
      </c>
      <c r="AG723" s="156" t="inlineStr">
        <is>
          <t>Catálogo existente</t>
        </is>
      </c>
      <c r="AH72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3" s="156" t="inlineStr">
        <is>
          <t>No</t>
        </is>
      </c>
      <c r="AJ723" s="156" t="n"/>
      <c r="AK723" s="155" t="inlineStr">
        <is>
          <t>Criterios: I [Q]; G1522_Extraccion_Articulos_NetSuite_2026-09-30.xlsx: fila 59291 [R]</t>
        </is>
      </c>
      <c r="AL723" s="58" t="n">
        <v>724.5599999999999</v>
      </c>
      <c r="AM723" s="58" t="n">
        <v>4224.137931</v>
      </c>
      <c r="AN723" s="155" t="n"/>
      <c r="AO723" s="59" t="n"/>
      <c r="AP723" s="59" t="n"/>
      <c r="AQ723" s="59" t="n"/>
      <c r="AR723" s="155" t="n"/>
    </row>
    <row r="724">
      <c r="A724" s="50" t="inlineStr">
        <is>
          <t>12021003131040225</t>
        </is>
      </c>
      <c r="B724" s="51" t="inlineStr">
        <is>
          <t>111624</t>
        </is>
      </c>
      <c r="C724" s="156" t="inlineStr">
        <is>
          <t>Multimarca</t>
        </is>
      </c>
      <c r="D724" s="156" t="inlineStr">
        <is>
          <t>12-021-BS003-13-1040</t>
        </is>
      </c>
      <c r="E724" s="156" t="inlineStr">
        <is>
          <t>12-021-BS003-13-1040-225</t>
        </is>
      </c>
      <c r="F724" s="156" t="inlineStr">
        <is>
          <t>22.5</t>
        </is>
      </c>
      <c r="G724" s="156" t="inlineStr">
        <is>
          <t>5.5</t>
        </is>
      </c>
      <c r="H724" s="156" t="inlineStr">
        <is>
          <t>Stetson</t>
        </is>
      </c>
      <c r="I724" s="156" t="inlineStr">
        <is>
          <t>Bota Piel Café Arcilla</t>
        </is>
      </c>
      <c r="J724" s="156" t="inlineStr">
        <is>
          <t>Calzado</t>
        </is>
      </c>
      <c r="K724" s="156" t="inlineStr">
        <is>
          <t>Botas</t>
        </is>
      </c>
      <c r="L724" s="156" t="inlineStr">
        <is>
          <t>Mujer</t>
        </is>
      </c>
      <c r="M724" s="156" t="inlineStr">
        <is>
          <t>Stetson</t>
        </is>
      </c>
      <c r="N724" s="156" t="inlineStr">
        <is>
          <t>SS26</t>
        </is>
      </c>
      <c r="O724" s="156" t="inlineStr">
        <is>
          <t>Seasonal</t>
        </is>
      </c>
      <c r="P724" s="156" t="inlineStr">
        <is>
          <t>Cafe</t>
        </is>
      </c>
      <c r="Q724" s="156" t="n"/>
      <c r="R724" s="156" t="inlineStr">
        <is>
          <t>Horma Alexia</t>
        </is>
      </c>
      <c r="S724" s="156" t="inlineStr">
        <is>
          <t>Piel bovina</t>
        </is>
      </c>
      <c r="T724" s="156" t="inlineStr">
        <is>
          <t>Bota Dama Piel bovina Boney Café Arcilla Horma Alexia</t>
        </is>
      </c>
      <c r="U724" s="156" t="inlineStr">
        <is>
          <t>México</t>
        </is>
      </c>
      <c r="V724" s="156" t="inlineStr">
        <is>
          <t>PRS</t>
        </is>
      </c>
      <c r="W724" s="51" t="inlineStr">
        <is>
          <t>53111502</t>
        </is>
      </c>
      <c r="X724" s="156" t="n"/>
      <c r="Y724" s="54" t="n">
        <v>724.5599999999999</v>
      </c>
      <c r="Z724" s="54" t="n">
        <v>4224.137931</v>
      </c>
      <c r="AA724" s="55">
        <f>IF(AND(A724="", B724="", E724=""), "", IF(AB724="", "Válido", IF((LEN(AB724)-LEN(SUBSTITUTE(AB724,"; ","")))/2+1&gt;(LEN(AB724)-LEN(SUBSTITUTE(AB724,"[Aviso]","")))/7, "Con Incidencias", "Válido")))</f>
        <v/>
      </c>
      <c r="AB724" s="56">
        <f>IF(AND(A724="", B724="", E724=""), "", TEXTJOIN("; ", TRUE, IF(OR(TRIM(A724&amp;"")="", ISNUMBER(SEARCH("FALTA", A724))), "UPC faltante/inválido", ""), IF(AND(A724&lt;&gt;"", IFERROR(_xlfn.XMATCH(A724,$A$2:$A$2509,0,1)&lt;&gt;_xlfn.XMATCH(A724,$A$2:$A$2509,0,-1),FALSE)), "Código de barras duplicado", ""), IF(AND(E724&lt;&gt;"", COUNTIF($E$2:$E$2509, E724)&gt;1), "SKU duplicado", ""), IF(OR(J724="", J724=""), "[Aviso] División no capturada ()", IF(ISNA(MATCH(J724, Criterios!$A$123:$A$126, 0)), "División no válida", "")), IF(OR(K724="", K724=""), "[Aviso] Categoría no capturada ()", IF(ISNA(MATCH(K724, Criterios!$A$81:$A$120, 0)), "Categoría no válida", IF(AND(J724&lt;&gt;"", J724&lt;&gt;"", J724&lt;&gt;VLOOKUP(K724, Criterios!$A$81:$B$120, 2, FALSE)), "División no coincide con Categoría", ""))), IF(OR(L724="", L724=""), "[Aviso] Género no capturado ()", IF(ISNA(MATCH(L724, Criterios!$B$123:$B$127, 0)), "Género no válido", "")), IF(OR(N724="", N724=""), "[Aviso] Temporada no capturada ()", IF(ISNA(MATCH(N724, Criterios!$C$123:$C$128, 0)), "Temporada no válida", "")), IF(OR(O724="", O724=""), "[Aviso] Ciclo de vida no capturado ()", IF(ISNA(MATCH(O724, Criterios!$D$123:$D$124, 0)), "Ciclo de vida no válido", ""))))</f>
        <v/>
      </c>
      <c r="AC724" s="56" t="n"/>
      <c r="AD724" s="51" t="n">
        <v>0</v>
      </c>
      <c r="AE724" s="156" t="n"/>
      <c r="AF724" s="51" t="n">
        <v>0</v>
      </c>
      <c r="AG724" s="156" t="inlineStr">
        <is>
          <t>Catálogo existente</t>
        </is>
      </c>
      <c r="AH7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4" s="156" t="inlineStr">
        <is>
          <t>No</t>
        </is>
      </c>
      <c r="AJ724" s="156" t="n"/>
      <c r="AK724" s="155" t="inlineStr">
        <is>
          <t>Criterios: I [Q]; G1522_Extraccion_Articulos_NetSuite_2026-09-30.xlsx: fila 59299 [R] | Shopify Stetson: producto 15054565081451 / variante 53350561218923</t>
        </is>
      </c>
      <c r="AL724" s="58" t="n">
        <v>724.5599999999999</v>
      </c>
      <c r="AM724" s="58" t="n">
        <v>4224.137931</v>
      </c>
      <c r="AN724" s="155" t="inlineStr">
        <is>
          <t>Shopify Stetson México</t>
        </is>
      </c>
      <c r="AO724" s="59" t="n">
        <v>0</v>
      </c>
      <c r="AP724" s="59" t="n"/>
      <c r="AQ724" s="59" t="n"/>
      <c r="AR724" s="155" t="n"/>
    </row>
    <row r="725">
      <c r="A725" s="50" t="inlineStr">
        <is>
          <t>12021003131040235</t>
        </is>
      </c>
      <c r="B725" s="51" t="inlineStr">
        <is>
          <t>111625</t>
        </is>
      </c>
      <c r="C725" s="156" t="inlineStr">
        <is>
          <t>Multimarca</t>
        </is>
      </c>
      <c r="D725" s="156" t="inlineStr">
        <is>
          <t>12-021-BS003-13-1040</t>
        </is>
      </c>
      <c r="E725" s="156" t="inlineStr">
        <is>
          <t>12-021-BS003-13-1040-235</t>
        </is>
      </c>
      <c r="F725" s="156" t="inlineStr">
        <is>
          <t>23.5</t>
        </is>
      </c>
      <c r="G725" s="156" t="inlineStr">
        <is>
          <t>6.5</t>
        </is>
      </c>
      <c r="H725" s="156" t="inlineStr">
        <is>
          <t>Stetson</t>
        </is>
      </c>
      <c r="I725" s="156" t="inlineStr">
        <is>
          <t>Bota Piel Café Arcilla</t>
        </is>
      </c>
      <c r="J725" s="156" t="inlineStr">
        <is>
          <t>Calzado</t>
        </is>
      </c>
      <c r="K725" s="156" t="inlineStr">
        <is>
          <t>Botas</t>
        </is>
      </c>
      <c r="L725" s="156" t="inlineStr">
        <is>
          <t>Mujer</t>
        </is>
      </c>
      <c r="M725" s="156" t="inlineStr">
        <is>
          <t>Stetson</t>
        </is>
      </c>
      <c r="N725" s="156" t="inlineStr">
        <is>
          <t>SS26</t>
        </is>
      </c>
      <c r="O725" s="156" t="inlineStr">
        <is>
          <t>Seasonal</t>
        </is>
      </c>
      <c r="P725" s="156" t="inlineStr">
        <is>
          <t>Cafe</t>
        </is>
      </c>
      <c r="Q725" s="156" t="n"/>
      <c r="R725" s="156" t="inlineStr">
        <is>
          <t>Horma Alexia</t>
        </is>
      </c>
      <c r="S725" s="156" t="inlineStr">
        <is>
          <t>Piel bovina</t>
        </is>
      </c>
      <c r="T725" s="156" t="inlineStr">
        <is>
          <t>Bota Dama Piel bovina Boney Café Arcilla Horma Alexia</t>
        </is>
      </c>
      <c r="U725" s="156" t="inlineStr">
        <is>
          <t>México</t>
        </is>
      </c>
      <c r="V725" s="156" t="inlineStr">
        <is>
          <t>PRS</t>
        </is>
      </c>
      <c r="W725" s="51" t="inlineStr">
        <is>
          <t>53111502</t>
        </is>
      </c>
      <c r="X725" s="156" t="n"/>
      <c r="Y725" s="54" t="n">
        <v>724.5599999999999</v>
      </c>
      <c r="Z725" s="54" t="n">
        <v>4224.137931</v>
      </c>
      <c r="AA725" s="55">
        <f>IF(AND(A725="", B725="", E725=""), "", IF(AB725="", "Válido", IF((LEN(AB725)-LEN(SUBSTITUTE(AB725,"; ","")))/2+1&gt;(LEN(AB725)-LEN(SUBSTITUTE(AB725,"[Aviso]","")))/7, "Con Incidencias", "Válido")))</f>
        <v/>
      </c>
      <c r="AB725" s="56">
        <f>IF(AND(A725="", B725="", E725=""), "", TEXTJOIN("; ", TRUE, IF(OR(TRIM(A725&amp;"")="", ISNUMBER(SEARCH("FALTA", A725))), "UPC faltante/inválido", ""), IF(AND(A725&lt;&gt;"", IFERROR(_xlfn.XMATCH(A725,$A$2:$A$2509,0,1)&lt;&gt;_xlfn.XMATCH(A725,$A$2:$A$2509,0,-1),FALSE)), "Código de barras duplicado", ""), IF(AND(E725&lt;&gt;"", COUNTIF($E$2:$E$2509, E725)&gt;1), "SKU duplicado", ""), IF(OR(J725="", J725=""), "[Aviso] División no capturada ()", IF(ISNA(MATCH(J725, Criterios!$A$123:$A$126, 0)), "División no válida", "")), IF(OR(K725="", K725=""), "[Aviso] Categoría no capturada ()", IF(ISNA(MATCH(K725, Criterios!$A$81:$A$120, 0)), "Categoría no válida", IF(AND(J725&lt;&gt;"", J725&lt;&gt;"", J725&lt;&gt;VLOOKUP(K725, Criterios!$A$81:$B$120, 2, FALSE)), "División no coincide con Categoría", ""))), IF(OR(L725="", L725=""), "[Aviso] Género no capturado ()", IF(ISNA(MATCH(L725, Criterios!$B$123:$B$127, 0)), "Género no válido", "")), IF(OR(N725="", N725=""), "[Aviso] Temporada no capturada ()", IF(ISNA(MATCH(N725, Criterios!$C$123:$C$128, 0)), "Temporada no válida", "")), IF(OR(O725="", O725=""), "[Aviso] Ciclo de vida no capturado ()", IF(ISNA(MATCH(O725, Criterios!$D$123:$D$124, 0)), "Ciclo de vida no válido", ""))))</f>
        <v/>
      </c>
      <c r="AC725" s="56" t="n"/>
      <c r="AD725" s="51" t="n">
        <v>-1</v>
      </c>
      <c r="AE725" s="156" t="n"/>
      <c r="AF725" s="51" t="n">
        <v>0</v>
      </c>
      <c r="AG725" s="156" t="inlineStr">
        <is>
          <t>Catálogo existente</t>
        </is>
      </c>
      <c r="AH7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5" s="156" t="inlineStr">
        <is>
          <t>Sí</t>
        </is>
      </c>
      <c r="AJ725" s="156" t="inlineStr">
        <is>
          <t>STETSON AMERICAS (-1)</t>
        </is>
      </c>
      <c r="AK725" s="155" t="inlineStr">
        <is>
          <t>Criterios: I [Q]; G1522_Extraccion_Articulos_NetSuite_2026-09-30.xlsx: fila 59300 [R] | Shopify Stetson: producto 15054565081451 / variante 53350561284459</t>
        </is>
      </c>
      <c r="AL725" s="58" t="n">
        <v>724.5599999999999</v>
      </c>
      <c r="AM725" s="58" t="n">
        <v>4224.137931</v>
      </c>
      <c r="AN725" s="155" t="inlineStr">
        <is>
          <t>Shopify Stetson México</t>
        </is>
      </c>
      <c r="AO725" s="59" t="n">
        <v>0</v>
      </c>
      <c r="AP725" s="59" t="n"/>
      <c r="AQ725" s="59" t="n"/>
      <c r="AR725" s="155" t="n"/>
    </row>
    <row r="726">
      <c r="A726" s="50" t="inlineStr">
        <is>
          <t>12021003131040245</t>
        </is>
      </c>
      <c r="B726" s="51" t="inlineStr">
        <is>
          <t>111626</t>
        </is>
      </c>
      <c r="C726" s="156" t="inlineStr">
        <is>
          <t>Multimarca</t>
        </is>
      </c>
      <c r="D726" s="156" t="inlineStr">
        <is>
          <t>12-021-BS003-13-1040</t>
        </is>
      </c>
      <c r="E726" s="156" t="inlineStr">
        <is>
          <t>12-021-BS003-13-1040-245</t>
        </is>
      </c>
      <c r="F726" s="156" t="inlineStr">
        <is>
          <t>24.5</t>
        </is>
      </c>
      <c r="G726" s="156" t="inlineStr">
        <is>
          <t>7.5</t>
        </is>
      </c>
      <c r="H726" s="156" t="inlineStr">
        <is>
          <t>Stetson</t>
        </is>
      </c>
      <c r="I726" s="156" t="inlineStr">
        <is>
          <t>Bota Piel Café Arcilla</t>
        </is>
      </c>
      <c r="J726" s="156" t="inlineStr">
        <is>
          <t>Calzado</t>
        </is>
      </c>
      <c r="K726" s="156" t="inlineStr">
        <is>
          <t>Botas</t>
        </is>
      </c>
      <c r="L726" s="156" t="inlineStr">
        <is>
          <t>Mujer</t>
        </is>
      </c>
      <c r="M726" s="156" t="inlineStr">
        <is>
          <t>Stetson</t>
        </is>
      </c>
      <c r="N726" s="156" t="inlineStr">
        <is>
          <t>SS26</t>
        </is>
      </c>
      <c r="O726" s="156" t="inlineStr">
        <is>
          <t>Seasonal</t>
        </is>
      </c>
      <c r="P726" s="156" t="inlineStr">
        <is>
          <t>Cafe</t>
        </is>
      </c>
      <c r="Q726" s="156" t="n"/>
      <c r="R726" s="156" t="inlineStr">
        <is>
          <t>Horma Alexia</t>
        </is>
      </c>
      <c r="S726" s="156" t="inlineStr">
        <is>
          <t>Piel bovina</t>
        </is>
      </c>
      <c r="T726" s="156" t="inlineStr">
        <is>
          <t>Bota Dama Piel bovina Boney Café Arcilla Horma Alexia</t>
        </is>
      </c>
      <c r="U726" s="156" t="inlineStr">
        <is>
          <t>México</t>
        </is>
      </c>
      <c r="V726" s="156" t="inlineStr">
        <is>
          <t>PRS</t>
        </is>
      </c>
      <c r="W726" s="51" t="inlineStr">
        <is>
          <t>53111502</t>
        </is>
      </c>
      <c r="X726" s="156" t="n"/>
      <c r="Y726" s="54" t="n">
        <v>724.5599999999999</v>
      </c>
      <c r="Z726" s="54" t="n">
        <v>4224.137931</v>
      </c>
      <c r="AA726" s="55">
        <f>IF(AND(A726="", B726="", E726=""), "", IF(AB726="", "Válido", IF((LEN(AB726)-LEN(SUBSTITUTE(AB726,"; ","")))/2+1&gt;(LEN(AB726)-LEN(SUBSTITUTE(AB726,"[Aviso]","")))/7, "Con Incidencias", "Válido")))</f>
        <v/>
      </c>
      <c r="AB726" s="56">
        <f>IF(AND(A726="", B726="", E726=""), "", TEXTJOIN("; ", TRUE, IF(OR(TRIM(A726&amp;"")="", ISNUMBER(SEARCH("FALTA", A726))), "UPC faltante/inválido", ""), IF(AND(A726&lt;&gt;"", IFERROR(_xlfn.XMATCH(A726,$A$2:$A$2509,0,1)&lt;&gt;_xlfn.XMATCH(A726,$A$2:$A$2509,0,-1),FALSE)), "Código de barras duplicado", ""), IF(AND(E726&lt;&gt;"", COUNTIF($E$2:$E$2509, E726)&gt;1), "SKU duplicado", ""), IF(OR(J726="", J726=""), "[Aviso] División no capturada ()", IF(ISNA(MATCH(J726, Criterios!$A$123:$A$126, 0)), "División no válida", "")), IF(OR(K726="", K726=""), "[Aviso] Categoría no capturada ()", IF(ISNA(MATCH(K726, Criterios!$A$81:$A$120, 0)), "Categoría no válida", IF(AND(J726&lt;&gt;"", J726&lt;&gt;"", J726&lt;&gt;VLOOKUP(K726, Criterios!$A$81:$B$120, 2, FALSE)), "División no coincide con Categoría", ""))), IF(OR(L726="", L726=""), "[Aviso] Género no capturado ()", IF(ISNA(MATCH(L726, Criterios!$B$123:$B$127, 0)), "Género no válido", "")), IF(OR(N726="", N726=""), "[Aviso] Temporada no capturada ()", IF(ISNA(MATCH(N726, Criterios!$C$123:$C$128, 0)), "Temporada no válida", "")), IF(OR(O726="", O726=""), "[Aviso] Ciclo de vida no capturado ()", IF(ISNA(MATCH(O726, Criterios!$D$123:$D$124, 0)), "Ciclo de vida no válido", ""))))</f>
        <v/>
      </c>
      <c r="AC726" s="56" t="n"/>
      <c r="AD726" s="51" t="n">
        <v>-2</v>
      </c>
      <c r="AE726" s="156" t="n"/>
      <c r="AF726" s="51" t="n">
        <v>0</v>
      </c>
      <c r="AG726" s="156" t="inlineStr">
        <is>
          <t>Catálogo existente</t>
        </is>
      </c>
      <c r="AH7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6" s="156" t="inlineStr">
        <is>
          <t>Sí</t>
        </is>
      </c>
      <c r="AJ726" s="156" t="inlineStr">
        <is>
          <t>STETSON AMERICAS (-2)</t>
        </is>
      </c>
      <c r="AK726" s="155" t="inlineStr">
        <is>
          <t>Criterios: I [Q]; G1522_Extraccion_Articulos_NetSuite_2026-09-30.xlsx: fila 59301 [R] | Shopify Stetson: producto 15054565081451 / variante 53350561349995</t>
        </is>
      </c>
      <c r="AL726" s="58" t="n">
        <v>724.5599999999999</v>
      </c>
      <c r="AM726" s="58" t="n">
        <v>4224.137931</v>
      </c>
      <c r="AN726" s="155" t="inlineStr">
        <is>
          <t>Shopify Stetson México</t>
        </is>
      </c>
      <c r="AO726" s="59" t="n">
        <v>0</v>
      </c>
      <c r="AP726" s="59" t="n"/>
      <c r="AQ726" s="59" t="n"/>
      <c r="AR726" s="155" t="n"/>
    </row>
    <row r="727">
      <c r="A727" s="50" t="inlineStr">
        <is>
          <t>12021003131040255</t>
        </is>
      </c>
      <c r="B727" s="51" t="inlineStr">
        <is>
          <t>111617</t>
        </is>
      </c>
      <c r="C727" s="156" t="inlineStr">
        <is>
          <t>Multimarca</t>
        </is>
      </c>
      <c r="D727" s="156" t="inlineStr">
        <is>
          <t>12-021-BS003-13-1040</t>
        </is>
      </c>
      <c r="E727" s="156" t="inlineStr">
        <is>
          <t>12-021-BS003-13-1040-255</t>
        </is>
      </c>
      <c r="F727" s="156" t="inlineStr">
        <is>
          <t>25.5</t>
        </is>
      </c>
      <c r="G727" s="156" t="inlineStr">
        <is>
          <t>8.5</t>
        </is>
      </c>
      <c r="H727" s="156" t="inlineStr">
        <is>
          <t>Stetson</t>
        </is>
      </c>
      <c r="I727" s="156" t="inlineStr">
        <is>
          <t>Bota Piel Café Arcilla</t>
        </is>
      </c>
      <c r="J727" s="156" t="inlineStr">
        <is>
          <t>Calzado</t>
        </is>
      </c>
      <c r="K727" s="156" t="inlineStr">
        <is>
          <t>Botas</t>
        </is>
      </c>
      <c r="L727" s="156" t="inlineStr">
        <is>
          <t>Mujer</t>
        </is>
      </c>
      <c r="M727" s="156" t="inlineStr">
        <is>
          <t>Stetson</t>
        </is>
      </c>
      <c r="N727" s="156" t="inlineStr">
        <is>
          <t>SS26</t>
        </is>
      </c>
      <c r="O727" s="156" t="inlineStr">
        <is>
          <t>Seasonal</t>
        </is>
      </c>
      <c r="P727" s="156" t="inlineStr">
        <is>
          <t>Cafe</t>
        </is>
      </c>
      <c r="Q727" s="156" t="n"/>
      <c r="R727" s="156" t="inlineStr">
        <is>
          <t>Horma Alexia</t>
        </is>
      </c>
      <c r="S727" s="156" t="inlineStr">
        <is>
          <t>Piel bovina</t>
        </is>
      </c>
      <c r="T727" s="156" t="inlineStr">
        <is>
          <t>Bota Dama Piel bovina Boney Café Arcilla Horma Alexia</t>
        </is>
      </c>
      <c r="U727" s="156" t="inlineStr">
        <is>
          <t>México</t>
        </is>
      </c>
      <c r="V727" s="156" t="inlineStr">
        <is>
          <t>PRS</t>
        </is>
      </c>
      <c r="W727" s="51" t="inlineStr">
        <is>
          <t>53111502</t>
        </is>
      </c>
      <c r="X727" s="156" t="n"/>
      <c r="Y727" s="54" t="n">
        <v>724.5599999999999</v>
      </c>
      <c r="Z727" s="54" t="n">
        <v>4224.137931</v>
      </c>
      <c r="AA727" s="55">
        <f>IF(AND(A727="", B727="", E727=""), "", IF(AB727="", "Válido", IF((LEN(AB727)-LEN(SUBSTITUTE(AB727,"; ","")))/2+1&gt;(LEN(AB727)-LEN(SUBSTITUTE(AB727,"[Aviso]","")))/7, "Con Incidencias", "Válido")))</f>
        <v/>
      </c>
      <c r="AB727" s="56">
        <f>IF(AND(A727="", B727="", E727=""), "", TEXTJOIN("; ", TRUE, IF(OR(TRIM(A727&amp;"")="", ISNUMBER(SEARCH("FALTA", A727))), "UPC faltante/inválido", ""), IF(AND(A727&lt;&gt;"", IFERROR(_xlfn.XMATCH(A727,$A$2:$A$2509,0,1)&lt;&gt;_xlfn.XMATCH(A727,$A$2:$A$2509,0,-1),FALSE)), "Código de barras duplicado", ""), IF(AND(E727&lt;&gt;"", COUNTIF($E$2:$E$2509, E727)&gt;1), "SKU duplicado", ""), IF(OR(J727="", J727=""), "[Aviso] División no capturada ()", IF(ISNA(MATCH(J727, Criterios!$A$123:$A$126, 0)), "División no válida", "")), IF(OR(K727="", K727=""), "[Aviso] Categoría no capturada ()", IF(ISNA(MATCH(K727, Criterios!$A$81:$A$120, 0)), "Categoría no válida", IF(AND(J727&lt;&gt;"", J727&lt;&gt;"", J727&lt;&gt;VLOOKUP(K727, Criterios!$A$81:$B$120, 2, FALSE)), "División no coincide con Categoría", ""))), IF(OR(L727="", L727=""), "[Aviso] Género no capturado ()", IF(ISNA(MATCH(L727, Criterios!$B$123:$B$127, 0)), "Género no válido", "")), IF(OR(N727="", N727=""), "[Aviso] Temporada no capturada ()", IF(ISNA(MATCH(N727, Criterios!$C$123:$C$128, 0)), "Temporada no válida", "")), IF(OR(O727="", O727=""), "[Aviso] Ciclo de vida no capturado ()", IF(ISNA(MATCH(O727, Criterios!$D$123:$D$124, 0)), "Ciclo de vida no válido", ""))))</f>
        <v/>
      </c>
      <c r="AC727" s="56" t="n"/>
      <c r="AD727" s="51" t="n">
        <v>-2</v>
      </c>
      <c r="AE727" s="156" t="n"/>
      <c r="AF727" s="51" t="n">
        <v>0</v>
      </c>
      <c r="AG727" s="156" t="inlineStr">
        <is>
          <t>Catálogo existente</t>
        </is>
      </c>
      <c r="AH727"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7" s="156" t="inlineStr">
        <is>
          <t>Sí</t>
        </is>
      </c>
      <c r="AJ727" s="156" t="inlineStr">
        <is>
          <t>STETSON AMERICAS (-2)</t>
        </is>
      </c>
      <c r="AK727" s="155" t="inlineStr">
        <is>
          <t>Criterios: I [Q]; G1522_Extraccion_Articulos_NetSuite_2026-09-30.xlsx: fila 59292 [R]</t>
        </is>
      </c>
      <c r="AL727" s="58" t="n">
        <v>724.5599999999999</v>
      </c>
      <c r="AM727" s="58" t="n">
        <v>4224.137931</v>
      </c>
      <c r="AN727" s="155" t="n"/>
      <c r="AO727" s="59" t="n"/>
      <c r="AP727" s="59" t="n"/>
      <c r="AQ727" s="59" t="n"/>
      <c r="AR727" s="155" t="n"/>
    </row>
    <row r="728">
      <c r="A728" s="50" t="inlineStr">
        <is>
          <t>12021003131040265</t>
        </is>
      </c>
      <c r="B728" s="51" t="inlineStr">
        <is>
          <t>111618</t>
        </is>
      </c>
      <c r="C728" s="156" t="inlineStr">
        <is>
          <t>Multimarca</t>
        </is>
      </c>
      <c r="D728" s="156" t="inlineStr">
        <is>
          <t>12-021-BS003-13-1040</t>
        </is>
      </c>
      <c r="E728" s="156" t="inlineStr">
        <is>
          <t>12-021-BS003-13-1040-265</t>
        </is>
      </c>
      <c r="F728" s="156" t="inlineStr">
        <is>
          <t>26.5</t>
        </is>
      </c>
      <c r="G728" s="156" t="inlineStr">
        <is>
          <t>9.5</t>
        </is>
      </c>
      <c r="H728" s="156" t="inlineStr">
        <is>
          <t>Stetson</t>
        </is>
      </c>
      <c r="I728" s="156" t="inlineStr">
        <is>
          <t>Bota Piel Café Arcilla</t>
        </is>
      </c>
      <c r="J728" s="156" t="inlineStr">
        <is>
          <t>Calzado</t>
        </is>
      </c>
      <c r="K728" s="156" t="inlineStr">
        <is>
          <t>Botas</t>
        </is>
      </c>
      <c r="L728" s="156" t="inlineStr">
        <is>
          <t>Mujer</t>
        </is>
      </c>
      <c r="M728" s="156" t="inlineStr">
        <is>
          <t>Stetson</t>
        </is>
      </c>
      <c r="N728" s="156" t="inlineStr">
        <is>
          <t>SS26</t>
        </is>
      </c>
      <c r="O728" s="156" t="inlineStr">
        <is>
          <t>Seasonal</t>
        </is>
      </c>
      <c r="P728" s="156" t="inlineStr">
        <is>
          <t>Cafe</t>
        </is>
      </c>
      <c r="Q728" s="156" t="n"/>
      <c r="R728" s="156" t="inlineStr">
        <is>
          <t>Horma Alexia</t>
        </is>
      </c>
      <c r="S728" s="156" t="inlineStr">
        <is>
          <t>Piel bovina</t>
        </is>
      </c>
      <c r="T728" s="156" t="inlineStr">
        <is>
          <t>Bota Dama Piel bovina Boney Café Arcilla Horma Alexia</t>
        </is>
      </c>
      <c r="U728" s="156" t="inlineStr">
        <is>
          <t>México</t>
        </is>
      </c>
      <c r="V728" s="156" t="inlineStr">
        <is>
          <t>PRS</t>
        </is>
      </c>
      <c r="W728" s="51" t="inlineStr">
        <is>
          <t>53111502</t>
        </is>
      </c>
      <c r="X728" s="156" t="n"/>
      <c r="Y728" s="54" t="n">
        <v>724.5599999999999</v>
      </c>
      <c r="Z728" s="54" t="n">
        <v>4224.137931</v>
      </c>
      <c r="AA728" s="55">
        <f>IF(AND(A728="", B728="", E728=""), "", IF(AB728="", "Válido", IF((LEN(AB728)-LEN(SUBSTITUTE(AB728,"; ","")))/2+1&gt;(LEN(AB728)-LEN(SUBSTITUTE(AB728,"[Aviso]","")))/7, "Con Incidencias", "Válido")))</f>
        <v/>
      </c>
      <c r="AB728" s="56">
        <f>IF(AND(A728="", B728="", E728=""), "", TEXTJOIN("; ", TRUE, IF(OR(TRIM(A728&amp;"")="", ISNUMBER(SEARCH("FALTA", A728))), "UPC faltante/inválido", ""), IF(AND(A728&lt;&gt;"", IFERROR(_xlfn.XMATCH(A728,$A$2:$A$2509,0,1)&lt;&gt;_xlfn.XMATCH(A728,$A$2:$A$2509,0,-1),FALSE)), "Código de barras duplicado", ""), IF(AND(E728&lt;&gt;"", COUNTIF($E$2:$E$2509, E728)&gt;1), "SKU duplicado", ""), IF(OR(J728="", J728=""), "[Aviso] División no capturada ()", IF(ISNA(MATCH(J728, Criterios!$A$123:$A$126, 0)), "División no válida", "")), IF(OR(K728="", K728=""), "[Aviso] Categoría no capturada ()", IF(ISNA(MATCH(K728, Criterios!$A$81:$A$120, 0)), "Categoría no válida", IF(AND(J728&lt;&gt;"", J728&lt;&gt;"", J728&lt;&gt;VLOOKUP(K728, Criterios!$A$81:$B$120, 2, FALSE)), "División no coincide con Categoría", ""))), IF(OR(L728="", L728=""), "[Aviso] Género no capturado ()", IF(ISNA(MATCH(L728, Criterios!$B$123:$B$127, 0)), "Género no válido", "")), IF(OR(N728="", N728=""), "[Aviso] Temporada no capturada ()", IF(ISNA(MATCH(N728, Criterios!$C$123:$C$128, 0)), "Temporada no válida", "")), IF(OR(O728="", O728=""), "[Aviso] Ciclo de vida no capturado ()", IF(ISNA(MATCH(O728, Criterios!$D$123:$D$124, 0)), "Ciclo de vida no válido", ""))))</f>
        <v/>
      </c>
      <c r="AC728" s="56" t="n"/>
      <c r="AD728" s="51" t="n">
        <v>0</v>
      </c>
      <c r="AE728" s="156" t="n"/>
      <c r="AF728" s="51" t="n">
        <v>0</v>
      </c>
      <c r="AG728" s="156" t="inlineStr">
        <is>
          <t>Catálogo existente</t>
        </is>
      </c>
      <c r="AH72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8" s="156" t="inlineStr">
        <is>
          <t>No</t>
        </is>
      </c>
      <c r="AJ728" s="156" t="n"/>
      <c r="AK728" s="155" t="inlineStr">
        <is>
          <t>Criterios: I [Q]; G1522_Extraccion_Articulos_NetSuite_2026-09-30.xlsx: fila 59293 [R]</t>
        </is>
      </c>
      <c r="AL728" s="58" t="n">
        <v>724.5599999999999</v>
      </c>
      <c r="AM728" s="58" t="n">
        <v>4224.137931</v>
      </c>
      <c r="AN728" s="155" t="n"/>
      <c r="AO728" s="59" t="n"/>
      <c r="AP728" s="59" t="n"/>
      <c r="AQ728" s="59" t="n"/>
      <c r="AR728" s="155" t="n"/>
    </row>
    <row r="729">
      <c r="A729" s="50" t="inlineStr">
        <is>
          <t>12021003131040275</t>
        </is>
      </c>
      <c r="B729" s="51" t="inlineStr">
        <is>
          <t>111619</t>
        </is>
      </c>
      <c r="C729" s="156" t="inlineStr">
        <is>
          <t>Multimarca</t>
        </is>
      </c>
      <c r="D729" s="156" t="inlineStr">
        <is>
          <t>12-021-BS003-13-1040</t>
        </is>
      </c>
      <c r="E729" s="156" t="inlineStr">
        <is>
          <t>12-021-BS003-13-1040-275</t>
        </is>
      </c>
      <c r="F729" s="156" t="inlineStr">
        <is>
          <t>27.5</t>
        </is>
      </c>
      <c r="G729" s="156" t="inlineStr">
        <is>
          <t>10.5</t>
        </is>
      </c>
      <c r="H729" s="156" t="inlineStr">
        <is>
          <t>Stetson</t>
        </is>
      </c>
      <c r="I729" s="156" t="inlineStr">
        <is>
          <t>Bota Piel Café Arcilla</t>
        </is>
      </c>
      <c r="J729" s="156" t="inlineStr">
        <is>
          <t>Calzado</t>
        </is>
      </c>
      <c r="K729" s="156" t="inlineStr">
        <is>
          <t>Botas</t>
        </is>
      </c>
      <c r="L729" s="156" t="inlineStr">
        <is>
          <t>Mujer</t>
        </is>
      </c>
      <c r="M729" s="156" t="inlineStr">
        <is>
          <t>Stetson</t>
        </is>
      </c>
      <c r="N729" s="156" t="inlineStr">
        <is>
          <t>SS26</t>
        </is>
      </c>
      <c r="O729" s="156" t="inlineStr">
        <is>
          <t>Seasonal</t>
        </is>
      </c>
      <c r="P729" s="156" t="inlineStr">
        <is>
          <t>Cafe</t>
        </is>
      </c>
      <c r="Q729" s="156" t="n"/>
      <c r="R729" s="156" t="inlineStr">
        <is>
          <t>Horma Alexia</t>
        </is>
      </c>
      <c r="S729" s="156" t="inlineStr">
        <is>
          <t>Piel bovina</t>
        </is>
      </c>
      <c r="T729" s="156" t="inlineStr">
        <is>
          <t>Bota Dama Piel bovina Boney Café Arcilla Horma Alexia</t>
        </is>
      </c>
      <c r="U729" s="156" t="inlineStr">
        <is>
          <t>México</t>
        </is>
      </c>
      <c r="V729" s="156" t="inlineStr">
        <is>
          <t>PRS</t>
        </is>
      </c>
      <c r="W729" s="51" t="inlineStr">
        <is>
          <t>53111502</t>
        </is>
      </c>
      <c r="X729" s="156" t="n"/>
      <c r="Y729" s="54" t="n">
        <v>724.5599999999999</v>
      </c>
      <c r="Z729" s="54" t="n">
        <v>4224.137931</v>
      </c>
      <c r="AA729" s="55">
        <f>IF(AND(A729="", B729="", E729=""), "", IF(AB729="", "Válido", IF((LEN(AB729)-LEN(SUBSTITUTE(AB729,"; ","")))/2+1&gt;(LEN(AB729)-LEN(SUBSTITUTE(AB729,"[Aviso]","")))/7, "Con Incidencias", "Válido")))</f>
        <v/>
      </c>
      <c r="AB729" s="56">
        <f>IF(AND(A729="", B729="", E729=""), "", TEXTJOIN("; ", TRUE, IF(OR(TRIM(A729&amp;"")="", ISNUMBER(SEARCH("FALTA", A729))), "UPC faltante/inválido", ""), IF(AND(A729&lt;&gt;"", IFERROR(_xlfn.XMATCH(A729,$A$2:$A$2509,0,1)&lt;&gt;_xlfn.XMATCH(A729,$A$2:$A$2509,0,-1),FALSE)), "Código de barras duplicado", ""), IF(AND(E729&lt;&gt;"", COUNTIF($E$2:$E$2509, E729)&gt;1), "SKU duplicado", ""), IF(OR(J729="", J729=""), "[Aviso] División no capturada ()", IF(ISNA(MATCH(J729, Criterios!$A$123:$A$126, 0)), "División no válida", "")), IF(OR(K729="", K729=""), "[Aviso] Categoría no capturada ()", IF(ISNA(MATCH(K729, Criterios!$A$81:$A$120, 0)), "Categoría no válida", IF(AND(J729&lt;&gt;"", J729&lt;&gt;"", J729&lt;&gt;VLOOKUP(K729, Criterios!$A$81:$B$120, 2, FALSE)), "División no coincide con Categoría", ""))), IF(OR(L729="", L729=""), "[Aviso] Género no capturado ()", IF(ISNA(MATCH(L729, Criterios!$B$123:$B$127, 0)), "Género no válido", "")), IF(OR(N729="", N729=""), "[Aviso] Temporada no capturada ()", IF(ISNA(MATCH(N729, Criterios!$C$123:$C$128, 0)), "Temporada no válida", "")), IF(OR(O729="", O729=""), "[Aviso] Ciclo de vida no capturado ()", IF(ISNA(MATCH(O729, Criterios!$D$123:$D$124, 0)), "Ciclo de vida no válido", ""))))</f>
        <v/>
      </c>
      <c r="AC729" s="56" t="n"/>
      <c r="AD729" s="51" t="n">
        <v>0</v>
      </c>
      <c r="AE729" s="156" t="n"/>
      <c r="AF729" s="51" t="n">
        <v>0</v>
      </c>
      <c r="AG729" s="156" t="inlineStr">
        <is>
          <t>Catálogo existente</t>
        </is>
      </c>
      <c r="AH72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9" s="156" t="inlineStr">
        <is>
          <t>No</t>
        </is>
      </c>
      <c r="AJ729" s="156" t="n"/>
      <c r="AK729" s="155" t="inlineStr">
        <is>
          <t>Criterios: I [Q]; G1522_Extraccion_Articulos_NetSuite_2026-09-30.xlsx: fila 59294 [R]</t>
        </is>
      </c>
      <c r="AL729" s="58" t="n">
        <v>724.5599999999999</v>
      </c>
      <c r="AM729" s="58" t="n">
        <v>4224.137931</v>
      </c>
      <c r="AN729" s="155" t="n"/>
      <c r="AO729" s="59" t="n"/>
      <c r="AP729" s="59" t="n"/>
      <c r="AQ729" s="59" t="n"/>
      <c r="AR729" s="155" t="n"/>
    </row>
    <row r="730">
      <c r="A730" s="50" t="inlineStr">
        <is>
          <t>12021004131041022</t>
        </is>
      </c>
      <c r="B730" s="51" t="inlineStr">
        <is>
          <t>111632</t>
        </is>
      </c>
      <c r="C730" s="156" t="inlineStr">
        <is>
          <t>Multimarca</t>
        </is>
      </c>
      <c r="D730" s="156" t="inlineStr">
        <is>
          <t>12-021-BS004-13-1041</t>
        </is>
      </c>
      <c r="E730" s="156" t="inlineStr">
        <is>
          <t>12-021-BS004-13-1041-022</t>
        </is>
      </c>
      <c r="F730" s="156" t="inlineStr">
        <is>
          <t>22</t>
        </is>
      </c>
      <c r="G730" s="156" t="inlineStr">
        <is>
          <t>5</t>
        </is>
      </c>
      <c r="H730" s="156" t="inlineStr">
        <is>
          <t>Stetson</t>
        </is>
      </c>
      <c r="I730" s="156" t="inlineStr">
        <is>
          <t>Bota Caimán Negro</t>
        </is>
      </c>
      <c r="J730" s="156" t="inlineStr">
        <is>
          <t>Calzado</t>
        </is>
      </c>
      <c r="K730" s="156" t="inlineStr">
        <is>
          <t>Botas</t>
        </is>
      </c>
      <c r="L730" s="156" t="inlineStr">
        <is>
          <t>Mujer</t>
        </is>
      </c>
      <c r="M730" s="156" t="inlineStr">
        <is>
          <t>Stetson</t>
        </is>
      </c>
      <c r="N730" s="156" t="inlineStr">
        <is>
          <t>SS26</t>
        </is>
      </c>
      <c r="O730" s="156" t="inlineStr">
        <is>
          <t>Seasonal</t>
        </is>
      </c>
      <c r="P730" s="156" t="inlineStr">
        <is>
          <t>Negro</t>
        </is>
      </c>
      <c r="Q730" s="156" t="n"/>
      <c r="R730" s="156" t="inlineStr">
        <is>
          <t>Horma Alexia</t>
        </is>
      </c>
      <c r="S730" s="156" t="inlineStr">
        <is>
          <t>Piel de caimán</t>
        </is>
      </c>
      <c r="T730" s="156" t="inlineStr">
        <is>
          <t>Bota Dama Piel de caimán Negro Horma Alexia</t>
        </is>
      </c>
      <c r="U730" s="156" t="inlineStr">
        <is>
          <t>México</t>
        </is>
      </c>
      <c r="V730" s="156" t="inlineStr">
        <is>
          <t>PRS</t>
        </is>
      </c>
      <c r="W730" s="51" t="inlineStr">
        <is>
          <t>53111502</t>
        </is>
      </c>
      <c r="X730" s="156" t="n"/>
      <c r="Y730" s="54" t="n">
        <v>1504.5</v>
      </c>
      <c r="Z730" s="54" t="n">
        <v>8620.689655</v>
      </c>
      <c r="AA730" s="55">
        <f>IF(AND(A730="", B730="", E730=""), "", IF(AB730="", "Válido", IF((LEN(AB730)-LEN(SUBSTITUTE(AB730,"; ","")))/2+1&gt;(LEN(AB730)-LEN(SUBSTITUTE(AB730,"[Aviso]","")))/7, "Con Incidencias", "Válido")))</f>
        <v/>
      </c>
      <c r="AB730" s="56">
        <f>IF(AND(A730="", B730="", E730=""), "", TEXTJOIN("; ", TRUE, IF(OR(TRIM(A730&amp;"")="", ISNUMBER(SEARCH("FALTA", A730))), "UPC faltante/inválido", ""), IF(AND(A730&lt;&gt;"", IFERROR(_xlfn.XMATCH(A730,$A$2:$A$2509,0,1)&lt;&gt;_xlfn.XMATCH(A730,$A$2:$A$2509,0,-1),FALSE)), "Código de barras duplicado", ""), IF(AND(E730&lt;&gt;"", COUNTIF($E$2:$E$2509, E730)&gt;1), "SKU duplicado", ""), IF(OR(J730="", J730=""), "[Aviso] División no capturada ()", IF(ISNA(MATCH(J730, Criterios!$A$123:$A$126, 0)), "División no válida", "")), IF(OR(K730="", K730=""), "[Aviso] Categoría no capturada ()", IF(ISNA(MATCH(K730, Criterios!$A$81:$A$120, 0)), "Categoría no válida", IF(AND(J730&lt;&gt;"", J730&lt;&gt;"", J730&lt;&gt;VLOOKUP(K730, Criterios!$A$81:$B$120, 2, FALSE)), "División no coincide con Categoría", ""))), IF(OR(L730="", L730=""), "[Aviso] Género no capturado ()", IF(ISNA(MATCH(L730, Criterios!$B$123:$B$127, 0)), "Género no válido", "")), IF(OR(N730="", N730=""), "[Aviso] Temporada no capturada ()", IF(ISNA(MATCH(N730, Criterios!$C$123:$C$128, 0)), "Temporada no válida", "")), IF(OR(O730="", O730=""), "[Aviso] Ciclo de vida no capturado ()", IF(ISNA(MATCH(O730, Criterios!$D$123:$D$124, 0)), "Ciclo de vida no válido", ""))))</f>
        <v/>
      </c>
      <c r="AC730" s="56" t="n"/>
      <c r="AD730" s="51" t="n">
        <v>0</v>
      </c>
      <c r="AE730" s="156" t="n"/>
      <c r="AF730" s="51" t="n">
        <v>0</v>
      </c>
      <c r="AG730" s="156" t="inlineStr">
        <is>
          <t>Catálogo existente</t>
        </is>
      </c>
      <c r="AH7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0" s="156" t="inlineStr">
        <is>
          <t>No</t>
        </is>
      </c>
      <c r="AJ730" s="156" t="n"/>
      <c r="AK730" s="155" t="inlineStr">
        <is>
          <t>Criterios: I [Q]; G1522_Extraccion_Articulos_NetSuite_2026-09-30.xlsx: fila 59307 [R] | Shopify Stetson: producto 15054565114219 / variante 53350561579371</t>
        </is>
      </c>
      <c r="AL730" s="58" t="n">
        <v>1504.5</v>
      </c>
      <c r="AM730" s="58" t="n">
        <v>8620.689655</v>
      </c>
      <c r="AN730" s="155" t="inlineStr">
        <is>
          <t>Shopify Stetson México</t>
        </is>
      </c>
      <c r="AO730" s="59" t="n">
        <v>0</v>
      </c>
      <c r="AP730" s="59" t="n"/>
      <c r="AQ730" s="59" t="n"/>
      <c r="AR730" s="155" t="n"/>
    </row>
    <row r="731">
      <c r="A731" s="50" t="inlineStr">
        <is>
          <t>12021004131041023</t>
        </is>
      </c>
      <c r="B731" s="51" t="inlineStr">
        <is>
          <t>111633</t>
        </is>
      </c>
      <c r="C731" s="156" t="inlineStr">
        <is>
          <t>Multimarca</t>
        </is>
      </c>
      <c r="D731" s="156" t="inlineStr">
        <is>
          <t>12-021-BS004-13-1041</t>
        </is>
      </c>
      <c r="E731" s="156" t="inlineStr">
        <is>
          <t>12-021-BS004-13-1041-023</t>
        </is>
      </c>
      <c r="F731" s="156" t="inlineStr">
        <is>
          <t>23</t>
        </is>
      </c>
      <c r="G731" s="156" t="inlineStr">
        <is>
          <t>6</t>
        </is>
      </c>
      <c r="H731" s="156" t="inlineStr">
        <is>
          <t>Stetson</t>
        </is>
      </c>
      <c r="I731" s="156" t="inlineStr">
        <is>
          <t>Bota Caimán Negro</t>
        </is>
      </c>
      <c r="J731" s="156" t="inlineStr">
        <is>
          <t>Calzado</t>
        </is>
      </c>
      <c r="K731" s="156" t="inlineStr">
        <is>
          <t>Botas</t>
        </is>
      </c>
      <c r="L731" s="156" t="inlineStr">
        <is>
          <t>Mujer</t>
        </is>
      </c>
      <c r="M731" s="156" t="inlineStr">
        <is>
          <t>Stetson</t>
        </is>
      </c>
      <c r="N731" s="156" t="inlineStr">
        <is>
          <t>SS26</t>
        </is>
      </c>
      <c r="O731" s="156" t="inlineStr">
        <is>
          <t>Seasonal</t>
        </is>
      </c>
      <c r="P731" s="156" t="inlineStr">
        <is>
          <t>Negro</t>
        </is>
      </c>
      <c r="Q731" s="156" t="n"/>
      <c r="R731" s="156" t="inlineStr">
        <is>
          <t>Horma Alexia</t>
        </is>
      </c>
      <c r="S731" s="156" t="inlineStr">
        <is>
          <t>Piel de caimán</t>
        </is>
      </c>
      <c r="T731" s="156" t="inlineStr">
        <is>
          <t>Bota Dama Piel de caimán Negro Horma Alexia</t>
        </is>
      </c>
      <c r="U731" s="156" t="inlineStr">
        <is>
          <t>México</t>
        </is>
      </c>
      <c r="V731" s="156" t="inlineStr">
        <is>
          <t>PRS</t>
        </is>
      </c>
      <c r="W731" s="51" t="inlineStr">
        <is>
          <t>53111502</t>
        </is>
      </c>
      <c r="X731" s="156" t="n"/>
      <c r="Y731" s="54" t="n">
        <v>1504.5</v>
      </c>
      <c r="Z731" s="54" t="n">
        <v>8620.689655</v>
      </c>
      <c r="AA731" s="55">
        <f>IF(AND(A731="", B731="", E731=""), "", IF(AB731="", "Válido", IF((LEN(AB731)-LEN(SUBSTITUTE(AB731,"; ","")))/2+1&gt;(LEN(AB731)-LEN(SUBSTITUTE(AB731,"[Aviso]","")))/7, "Con Incidencias", "Válido")))</f>
        <v/>
      </c>
      <c r="AB731" s="56">
        <f>IF(AND(A731="", B731="", E731=""), "", TEXTJOIN("; ", TRUE, IF(OR(TRIM(A731&amp;"")="", ISNUMBER(SEARCH("FALTA", A731))), "UPC faltante/inválido", ""), IF(AND(A731&lt;&gt;"", IFERROR(_xlfn.XMATCH(A731,$A$2:$A$2509,0,1)&lt;&gt;_xlfn.XMATCH(A731,$A$2:$A$2509,0,-1),FALSE)), "Código de barras duplicado", ""), IF(AND(E731&lt;&gt;"", COUNTIF($E$2:$E$2509, E731)&gt;1), "SKU duplicado", ""), IF(OR(J731="", J731=""), "[Aviso] División no capturada ()", IF(ISNA(MATCH(J731, Criterios!$A$123:$A$126, 0)), "División no válida", "")), IF(OR(K731="", K731=""), "[Aviso] Categoría no capturada ()", IF(ISNA(MATCH(K731, Criterios!$A$81:$A$120, 0)), "Categoría no válida", IF(AND(J731&lt;&gt;"", J731&lt;&gt;"", J731&lt;&gt;VLOOKUP(K731, Criterios!$A$81:$B$120, 2, FALSE)), "División no coincide con Categoría", ""))), IF(OR(L731="", L731=""), "[Aviso] Género no capturado ()", IF(ISNA(MATCH(L731, Criterios!$B$123:$B$127, 0)), "Género no válido", "")), IF(OR(N731="", N731=""), "[Aviso] Temporada no capturada ()", IF(ISNA(MATCH(N731, Criterios!$C$123:$C$128, 0)), "Temporada no válida", "")), IF(OR(O731="", O731=""), "[Aviso] Ciclo de vida no capturado ()", IF(ISNA(MATCH(O731, Criterios!$D$123:$D$124, 0)), "Ciclo de vida no válido", ""))))</f>
        <v/>
      </c>
      <c r="AC731" s="56" t="n"/>
      <c r="AD731" s="51" t="n">
        <v>0</v>
      </c>
      <c r="AE731" s="156" t="n"/>
      <c r="AF731" s="51" t="n">
        <v>0</v>
      </c>
      <c r="AG731" s="156" t="inlineStr">
        <is>
          <t>Catálogo existente</t>
        </is>
      </c>
      <c r="AH7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1" s="156" t="inlineStr">
        <is>
          <t>No</t>
        </is>
      </c>
      <c r="AJ731" s="156" t="n"/>
      <c r="AK731" s="155" t="inlineStr">
        <is>
          <t>Criterios: I [Q]; G1522_Extraccion_Articulos_NetSuite_2026-09-30.xlsx: fila 59308 [R] | Shopify Stetson: producto 15054565114219 / variante 53350561644907</t>
        </is>
      </c>
      <c r="AL731" s="58" t="n">
        <v>1504.5</v>
      </c>
      <c r="AM731" s="58" t="n">
        <v>8620.689655</v>
      </c>
      <c r="AN731" s="155" t="inlineStr">
        <is>
          <t>Shopify Stetson México</t>
        </is>
      </c>
      <c r="AO731" s="59" t="n">
        <v>0</v>
      </c>
      <c r="AP731" s="59" t="n"/>
      <c r="AQ731" s="59" t="n"/>
      <c r="AR731" s="155" t="n"/>
    </row>
    <row r="732">
      <c r="A732" s="50" t="inlineStr">
        <is>
          <t>12021004131041024</t>
        </is>
      </c>
      <c r="B732" s="51" t="inlineStr">
        <is>
          <t>111634</t>
        </is>
      </c>
      <c r="C732" s="156" t="inlineStr">
        <is>
          <t>Multimarca</t>
        </is>
      </c>
      <c r="D732" s="156" t="inlineStr">
        <is>
          <t>12-021-BS004-13-1041</t>
        </is>
      </c>
      <c r="E732" s="156" t="inlineStr">
        <is>
          <t>12-021-BS004-13-1041-024</t>
        </is>
      </c>
      <c r="F732" s="156" t="inlineStr">
        <is>
          <t>24</t>
        </is>
      </c>
      <c r="G732" s="156" t="inlineStr">
        <is>
          <t>7</t>
        </is>
      </c>
      <c r="H732" s="156" t="inlineStr">
        <is>
          <t>Stetson</t>
        </is>
      </c>
      <c r="I732" s="156" t="inlineStr">
        <is>
          <t>Bota Caimán Negro</t>
        </is>
      </c>
      <c r="J732" s="156" t="inlineStr">
        <is>
          <t>Calzado</t>
        </is>
      </c>
      <c r="K732" s="156" t="inlineStr">
        <is>
          <t>Botas</t>
        </is>
      </c>
      <c r="L732" s="156" t="inlineStr">
        <is>
          <t>Mujer</t>
        </is>
      </c>
      <c r="M732" s="156" t="inlineStr">
        <is>
          <t>Stetson</t>
        </is>
      </c>
      <c r="N732" s="156" t="inlineStr">
        <is>
          <t>SS26</t>
        </is>
      </c>
      <c r="O732" s="156" t="inlineStr">
        <is>
          <t>Seasonal</t>
        </is>
      </c>
      <c r="P732" s="156" t="inlineStr">
        <is>
          <t>Negro</t>
        </is>
      </c>
      <c r="Q732" s="156" t="n"/>
      <c r="R732" s="156" t="inlineStr">
        <is>
          <t>Horma Alexia</t>
        </is>
      </c>
      <c r="S732" s="156" t="inlineStr">
        <is>
          <t>Piel de caimán</t>
        </is>
      </c>
      <c r="T732" s="156" t="inlineStr">
        <is>
          <t>Bota Dama Piel de caimán Negro Horma Alexia</t>
        </is>
      </c>
      <c r="U732" s="156" t="inlineStr">
        <is>
          <t>México</t>
        </is>
      </c>
      <c r="V732" s="156" t="inlineStr">
        <is>
          <t>PRS</t>
        </is>
      </c>
      <c r="W732" s="51" t="inlineStr">
        <is>
          <t>53111502</t>
        </is>
      </c>
      <c r="X732" s="156" t="n"/>
      <c r="Y732" s="54" t="n">
        <v>1504.5</v>
      </c>
      <c r="Z732" s="54" t="n">
        <v>8620.689655</v>
      </c>
      <c r="AA732" s="55">
        <f>IF(AND(A732="", B732="", E732=""), "", IF(AB732="", "Válido", IF((LEN(AB732)-LEN(SUBSTITUTE(AB732,"; ","")))/2+1&gt;(LEN(AB732)-LEN(SUBSTITUTE(AB732,"[Aviso]","")))/7, "Con Incidencias", "Válido")))</f>
        <v/>
      </c>
      <c r="AB732" s="56">
        <f>IF(AND(A732="", B732="", E732=""), "", TEXTJOIN("; ", TRUE, IF(OR(TRIM(A732&amp;"")="", ISNUMBER(SEARCH("FALTA", A732))), "UPC faltante/inválido", ""), IF(AND(A732&lt;&gt;"", IFERROR(_xlfn.XMATCH(A732,$A$2:$A$2509,0,1)&lt;&gt;_xlfn.XMATCH(A732,$A$2:$A$2509,0,-1),FALSE)), "Código de barras duplicado", ""), IF(AND(E732&lt;&gt;"", COUNTIF($E$2:$E$2509, E732)&gt;1), "SKU duplicado", ""), IF(OR(J732="", J732=""), "[Aviso] División no capturada ()", IF(ISNA(MATCH(J732, Criterios!$A$123:$A$126, 0)), "División no válida", "")), IF(OR(K732="", K732=""), "[Aviso] Categoría no capturada ()", IF(ISNA(MATCH(K732, Criterios!$A$81:$A$120, 0)), "Categoría no válida", IF(AND(J732&lt;&gt;"", J732&lt;&gt;"", J732&lt;&gt;VLOOKUP(K732, Criterios!$A$81:$B$120, 2, FALSE)), "División no coincide con Categoría", ""))), IF(OR(L732="", L732=""), "[Aviso] Género no capturado ()", IF(ISNA(MATCH(L732, Criterios!$B$123:$B$127, 0)), "Género no válido", "")), IF(OR(N732="", N732=""), "[Aviso] Temporada no capturada ()", IF(ISNA(MATCH(N732, Criterios!$C$123:$C$128, 0)), "Temporada no válida", "")), IF(OR(O732="", O732=""), "[Aviso] Ciclo de vida no capturado ()", IF(ISNA(MATCH(O732, Criterios!$D$123:$D$124, 0)), "Ciclo de vida no válido", ""))))</f>
        <v/>
      </c>
      <c r="AC732" s="56" t="n"/>
      <c r="AD732" s="51" t="n">
        <v>-1</v>
      </c>
      <c r="AE732" s="156" t="n"/>
      <c r="AF732" s="51" t="n">
        <v>0</v>
      </c>
      <c r="AG732" s="156" t="inlineStr">
        <is>
          <t>Catálogo existente</t>
        </is>
      </c>
      <c r="AH73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2" s="156" t="inlineStr">
        <is>
          <t>Sí</t>
        </is>
      </c>
      <c r="AJ732" s="156" t="inlineStr">
        <is>
          <t>STETSON AMERICAS (-1)</t>
        </is>
      </c>
      <c r="AK732" s="155" t="inlineStr">
        <is>
          <t>Criterios: I [Q]; G1522_Extraccion_Articulos_NetSuite_2026-09-30.xlsx: fila 59309 [R] | Shopify Stetson: producto 15054565114219 / variante 53350561710443</t>
        </is>
      </c>
      <c r="AL732" s="58" t="n">
        <v>1504.5</v>
      </c>
      <c r="AM732" s="58" t="n">
        <v>8620.689655</v>
      </c>
      <c r="AN732" s="155" t="inlineStr">
        <is>
          <t>Shopify Stetson México</t>
        </is>
      </c>
      <c r="AO732" s="59" t="n">
        <v>0</v>
      </c>
      <c r="AP732" s="59" t="n"/>
      <c r="AQ732" s="59" t="n"/>
      <c r="AR732" s="155" t="n"/>
    </row>
    <row r="733">
      <c r="A733" s="50" t="inlineStr">
        <is>
          <t>12021004131041025</t>
        </is>
      </c>
      <c r="B733" s="51" t="inlineStr">
        <is>
          <t>111635</t>
        </is>
      </c>
      <c r="C733" s="156" t="inlineStr">
        <is>
          <t>Multimarca</t>
        </is>
      </c>
      <c r="D733" s="156" t="inlineStr">
        <is>
          <t>12-021-BS004-13-1041</t>
        </is>
      </c>
      <c r="E733" s="156" t="inlineStr">
        <is>
          <t>12-021-BS004-13-1041-025</t>
        </is>
      </c>
      <c r="F733" s="156" t="inlineStr">
        <is>
          <t>25</t>
        </is>
      </c>
      <c r="G733" s="156" t="inlineStr">
        <is>
          <t>8</t>
        </is>
      </c>
      <c r="H733" s="156" t="inlineStr">
        <is>
          <t>Stetson</t>
        </is>
      </c>
      <c r="I733" s="156" t="inlineStr">
        <is>
          <t>Bota Caimán Negro</t>
        </is>
      </c>
      <c r="J733" s="156" t="inlineStr">
        <is>
          <t>Calzado</t>
        </is>
      </c>
      <c r="K733" s="156" t="inlineStr">
        <is>
          <t>Botas</t>
        </is>
      </c>
      <c r="L733" s="156" t="inlineStr">
        <is>
          <t>Mujer</t>
        </is>
      </c>
      <c r="M733" s="156" t="inlineStr">
        <is>
          <t>Stetson</t>
        </is>
      </c>
      <c r="N733" s="156" t="inlineStr">
        <is>
          <t>SS26</t>
        </is>
      </c>
      <c r="O733" s="156" t="inlineStr">
        <is>
          <t>Seasonal</t>
        </is>
      </c>
      <c r="P733" s="156" t="inlineStr">
        <is>
          <t>Negro</t>
        </is>
      </c>
      <c r="Q733" s="156" t="n"/>
      <c r="R733" s="156" t="inlineStr">
        <is>
          <t>Horma Alexia</t>
        </is>
      </c>
      <c r="S733" s="156" t="inlineStr">
        <is>
          <t>Piel de caimán</t>
        </is>
      </c>
      <c r="T733" s="156" t="inlineStr">
        <is>
          <t>Bota Dama Piel de caimán Negro Horma Alexia</t>
        </is>
      </c>
      <c r="U733" s="156" t="inlineStr">
        <is>
          <t>México</t>
        </is>
      </c>
      <c r="V733" s="156" t="inlineStr">
        <is>
          <t>PRS</t>
        </is>
      </c>
      <c r="W733" s="51" t="inlineStr">
        <is>
          <t>53111502</t>
        </is>
      </c>
      <c r="X733" s="156" t="n"/>
      <c r="Y733" s="54" t="n">
        <v>1504.5</v>
      </c>
      <c r="Z733" s="54" t="n">
        <v>8620.689655</v>
      </c>
      <c r="AA733" s="55">
        <f>IF(AND(A733="", B733="", E733=""), "", IF(AB733="", "Válido", IF((LEN(AB733)-LEN(SUBSTITUTE(AB733,"; ","")))/2+1&gt;(LEN(AB733)-LEN(SUBSTITUTE(AB733,"[Aviso]","")))/7, "Con Incidencias", "Válido")))</f>
        <v/>
      </c>
      <c r="AB733" s="56">
        <f>IF(AND(A733="", B733="", E733=""), "", TEXTJOIN("; ", TRUE, IF(OR(TRIM(A733&amp;"")="", ISNUMBER(SEARCH("FALTA", A733))), "UPC faltante/inválido", ""), IF(AND(A733&lt;&gt;"", IFERROR(_xlfn.XMATCH(A733,$A$2:$A$2509,0,1)&lt;&gt;_xlfn.XMATCH(A733,$A$2:$A$2509,0,-1),FALSE)), "Código de barras duplicado", ""), IF(AND(E733&lt;&gt;"", COUNTIF($E$2:$E$2509, E733)&gt;1), "SKU duplicado", ""), IF(OR(J733="", J733=""), "[Aviso] División no capturada ()", IF(ISNA(MATCH(J733, Criterios!$A$123:$A$126, 0)), "División no válida", "")), IF(OR(K733="", K733=""), "[Aviso] Categoría no capturada ()", IF(ISNA(MATCH(K733, Criterios!$A$81:$A$120, 0)), "Categoría no válida", IF(AND(J733&lt;&gt;"", J733&lt;&gt;"", J733&lt;&gt;VLOOKUP(K733, Criterios!$A$81:$B$120, 2, FALSE)), "División no coincide con Categoría", ""))), IF(OR(L733="", L733=""), "[Aviso] Género no capturado ()", IF(ISNA(MATCH(L733, Criterios!$B$123:$B$127, 0)), "Género no válido", "")), IF(OR(N733="", N733=""), "[Aviso] Temporada no capturada ()", IF(ISNA(MATCH(N733, Criterios!$C$123:$C$128, 0)), "Temporada no válida", "")), IF(OR(O733="", O733=""), "[Aviso] Ciclo de vida no capturado ()", IF(ISNA(MATCH(O733, Criterios!$D$123:$D$124, 0)), "Ciclo de vida no válido", ""))))</f>
        <v/>
      </c>
      <c r="AC733" s="56" t="n"/>
      <c r="AD733" s="51" t="n">
        <v>-1</v>
      </c>
      <c r="AE733" s="156" t="n"/>
      <c r="AF733" s="51" t="n">
        <v>0</v>
      </c>
      <c r="AG733" s="156" t="inlineStr">
        <is>
          <t>Catálogo existente</t>
        </is>
      </c>
      <c r="AH73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3" s="156" t="inlineStr">
        <is>
          <t>Sí</t>
        </is>
      </c>
      <c r="AJ733" s="156" t="inlineStr">
        <is>
          <t>STETSON AMERICAS (-1)</t>
        </is>
      </c>
      <c r="AK733" s="155" t="inlineStr">
        <is>
          <t>Criterios: I [Q]; G1522_Extraccion_Articulos_NetSuite_2026-09-30.xlsx: fila 59310 [R] | Shopify Stetson: producto 15054565114219 / variante 53350561775979</t>
        </is>
      </c>
      <c r="AL733" s="58" t="n">
        <v>1504.5</v>
      </c>
      <c r="AM733" s="58" t="n">
        <v>8620.689655</v>
      </c>
      <c r="AN733" s="155" t="inlineStr">
        <is>
          <t>Shopify Stetson México</t>
        </is>
      </c>
      <c r="AO733" s="59" t="n">
        <v>0</v>
      </c>
      <c r="AP733" s="59" t="n"/>
      <c r="AQ733" s="59" t="n"/>
      <c r="AR733" s="155" t="n"/>
    </row>
    <row r="734">
      <c r="A734" s="50" t="inlineStr">
        <is>
          <t>12021004131041026</t>
        </is>
      </c>
      <c r="B734" s="51" t="inlineStr">
        <is>
          <t>111627</t>
        </is>
      </c>
      <c r="C734" s="156" t="inlineStr">
        <is>
          <t>Multimarca</t>
        </is>
      </c>
      <c r="D734" s="156" t="inlineStr">
        <is>
          <t>12-021-BS004-13-1041</t>
        </is>
      </c>
      <c r="E734" s="156" t="inlineStr">
        <is>
          <t>12-021-BS004-13-1041-026</t>
        </is>
      </c>
      <c r="F734" s="156" t="inlineStr">
        <is>
          <t>26</t>
        </is>
      </c>
      <c r="G734" s="156" t="inlineStr">
        <is>
          <t>9</t>
        </is>
      </c>
      <c r="H734" s="156" t="inlineStr">
        <is>
          <t>Stetson</t>
        </is>
      </c>
      <c r="I734" s="156" t="inlineStr">
        <is>
          <t>Bota Caimán Negro</t>
        </is>
      </c>
      <c r="J734" s="156" t="inlineStr">
        <is>
          <t>Calzado</t>
        </is>
      </c>
      <c r="K734" s="156" t="inlineStr">
        <is>
          <t>Botas</t>
        </is>
      </c>
      <c r="L734" s="156" t="inlineStr">
        <is>
          <t>Mujer</t>
        </is>
      </c>
      <c r="M734" s="156" t="inlineStr">
        <is>
          <t>Stetson</t>
        </is>
      </c>
      <c r="N734" s="156" t="inlineStr">
        <is>
          <t>SS26</t>
        </is>
      </c>
      <c r="O734" s="156" t="inlineStr">
        <is>
          <t>Seasonal</t>
        </is>
      </c>
      <c r="P734" s="156" t="inlineStr">
        <is>
          <t>Negro</t>
        </is>
      </c>
      <c r="Q734" s="156" t="n"/>
      <c r="R734" s="156" t="inlineStr">
        <is>
          <t>Horma Alexia</t>
        </is>
      </c>
      <c r="S734" s="156" t="inlineStr">
        <is>
          <t>Piel de caimán</t>
        </is>
      </c>
      <c r="T734" s="156" t="inlineStr">
        <is>
          <t>Bota Dama Piel de caimán Negro Horma Alexia</t>
        </is>
      </c>
      <c r="U734" s="156" t="inlineStr">
        <is>
          <t>México</t>
        </is>
      </c>
      <c r="V734" s="156" t="inlineStr">
        <is>
          <t>PRS</t>
        </is>
      </c>
      <c r="W734" s="51" t="inlineStr">
        <is>
          <t>53111502</t>
        </is>
      </c>
      <c r="X734" s="156" t="n"/>
      <c r="Y734" s="54" t="n">
        <v>1504.5</v>
      </c>
      <c r="Z734" s="54" t="n">
        <v>8620.689655</v>
      </c>
      <c r="AA734" s="55">
        <f>IF(AND(A734="", B734="", E734=""), "", IF(AB734="", "Válido", IF((LEN(AB734)-LEN(SUBSTITUTE(AB734,"; ","")))/2+1&gt;(LEN(AB734)-LEN(SUBSTITUTE(AB734,"[Aviso]","")))/7, "Con Incidencias", "Válido")))</f>
        <v/>
      </c>
      <c r="AB734" s="56">
        <f>IF(AND(A734="", B734="", E734=""), "", TEXTJOIN("; ", TRUE, IF(OR(TRIM(A734&amp;"")="", ISNUMBER(SEARCH("FALTA", A734))), "UPC faltante/inválido", ""), IF(AND(A734&lt;&gt;"", IFERROR(_xlfn.XMATCH(A734,$A$2:$A$2509,0,1)&lt;&gt;_xlfn.XMATCH(A734,$A$2:$A$2509,0,-1),FALSE)), "Código de barras duplicado", ""), IF(AND(E734&lt;&gt;"", COUNTIF($E$2:$E$2509, E734)&gt;1), "SKU duplicado", ""), IF(OR(J734="", J734=""), "[Aviso] División no capturada ()", IF(ISNA(MATCH(J734, Criterios!$A$123:$A$126, 0)), "División no válida", "")), IF(OR(K734="", K734=""), "[Aviso] Categoría no capturada ()", IF(ISNA(MATCH(K734, Criterios!$A$81:$A$120, 0)), "Categoría no válida", IF(AND(J734&lt;&gt;"", J734&lt;&gt;"", J734&lt;&gt;VLOOKUP(K734, Criterios!$A$81:$B$120, 2, FALSE)), "División no coincide con Categoría", ""))), IF(OR(L734="", L734=""), "[Aviso] Género no capturado ()", IF(ISNA(MATCH(L734, Criterios!$B$123:$B$127, 0)), "Género no válido", "")), IF(OR(N734="", N734=""), "[Aviso] Temporada no capturada ()", IF(ISNA(MATCH(N734, Criterios!$C$123:$C$128, 0)), "Temporada no válida", "")), IF(OR(O734="", O734=""), "[Aviso] Ciclo de vida no capturado ()", IF(ISNA(MATCH(O734, Criterios!$D$123:$D$124, 0)), "Ciclo de vida no válido", ""))))</f>
        <v/>
      </c>
      <c r="AC734" s="56" t="n"/>
      <c r="AD734" s="51" t="n">
        <v>0</v>
      </c>
      <c r="AE734" s="156" t="n"/>
      <c r="AF734" s="51" t="n">
        <v>0</v>
      </c>
      <c r="AG734" s="156" t="inlineStr">
        <is>
          <t>Catálogo existente</t>
        </is>
      </c>
      <c r="AH73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4" s="156" t="inlineStr">
        <is>
          <t>No</t>
        </is>
      </c>
      <c r="AJ734" s="156" t="n"/>
      <c r="AK734" s="155" t="inlineStr">
        <is>
          <t>Criterios: I [Q]; G1522_Extraccion_Articulos_NetSuite_2026-09-30.xlsx: fila 59302 [R]</t>
        </is>
      </c>
      <c r="AL734" s="58" t="n">
        <v>1504.5</v>
      </c>
      <c r="AM734" s="58" t="n">
        <v>8620.689655</v>
      </c>
      <c r="AN734" s="155" t="n"/>
      <c r="AO734" s="59" t="n"/>
      <c r="AP734" s="59" t="n"/>
      <c r="AQ734" s="59" t="n"/>
      <c r="AR734" s="155" t="n"/>
    </row>
    <row r="735">
      <c r="A735" s="50" t="inlineStr">
        <is>
          <t>12021004131041027</t>
        </is>
      </c>
      <c r="B735" s="51" t="inlineStr">
        <is>
          <t>111628</t>
        </is>
      </c>
      <c r="C735" s="156" t="inlineStr">
        <is>
          <t>Multimarca</t>
        </is>
      </c>
      <c r="D735" s="156" t="inlineStr">
        <is>
          <t>12-021-BS004-13-1041</t>
        </is>
      </c>
      <c r="E735" s="156" t="inlineStr">
        <is>
          <t>12-021-BS004-13-1041-027</t>
        </is>
      </c>
      <c r="F735" s="156" t="inlineStr">
        <is>
          <t>27</t>
        </is>
      </c>
      <c r="G735" s="156" t="inlineStr">
        <is>
          <t>10</t>
        </is>
      </c>
      <c r="H735" s="156" t="inlineStr">
        <is>
          <t>Stetson</t>
        </is>
      </c>
      <c r="I735" s="156" t="inlineStr">
        <is>
          <t>Bota Caimán Negro</t>
        </is>
      </c>
      <c r="J735" s="156" t="inlineStr">
        <is>
          <t>Calzado</t>
        </is>
      </c>
      <c r="K735" s="156" t="inlineStr">
        <is>
          <t>Botas</t>
        </is>
      </c>
      <c r="L735" s="156" t="inlineStr">
        <is>
          <t>Mujer</t>
        </is>
      </c>
      <c r="M735" s="156" t="inlineStr">
        <is>
          <t>Stetson</t>
        </is>
      </c>
      <c r="N735" s="156" t="inlineStr">
        <is>
          <t>SS26</t>
        </is>
      </c>
      <c r="O735" s="156" t="inlineStr">
        <is>
          <t>Seasonal</t>
        </is>
      </c>
      <c r="P735" s="156" t="inlineStr">
        <is>
          <t>Negro</t>
        </is>
      </c>
      <c r="Q735" s="156" t="n"/>
      <c r="R735" s="156" t="inlineStr">
        <is>
          <t>Horma Alexia</t>
        </is>
      </c>
      <c r="S735" s="156" t="inlineStr">
        <is>
          <t>Piel de caimán</t>
        </is>
      </c>
      <c r="T735" s="156" t="inlineStr">
        <is>
          <t>Bota Dama Piel de caimán Negro Horma Alexia</t>
        </is>
      </c>
      <c r="U735" s="156" t="inlineStr">
        <is>
          <t>México</t>
        </is>
      </c>
      <c r="V735" s="156" t="inlineStr">
        <is>
          <t>PRS</t>
        </is>
      </c>
      <c r="W735" s="51" t="inlineStr">
        <is>
          <t>53111502</t>
        </is>
      </c>
      <c r="X735" s="156" t="n"/>
      <c r="Y735" s="54" t="n">
        <v>1504.5</v>
      </c>
      <c r="Z735" s="54" t="n">
        <v>8620.689655</v>
      </c>
      <c r="AA735" s="55">
        <f>IF(AND(A735="", B735="", E735=""), "", IF(AB735="", "Válido", IF((LEN(AB735)-LEN(SUBSTITUTE(AB735,"; ","")))/2+1&gt;(LEN(AB735)-LEN(SUBSTITUTE(AB735,"[Aviso]","")))/7, "Con Incidencias", "Válido")))</f>
        <v/>
      </c>
      <c r="AB735" s="56">
        <f>IF(AND(A735="", B735="", E735=""), "", TEXTJOIN("; ", TRUE, IF(OR(TRIM(A735&amp;"")="", ISNUMBER(SEARCH("FALTA", A735))), "UPC faltante/inválido", ""), IF(AND(A735&lt;&gt;"", IFERROR(_xlfn.XMATCH(A735,$A$2:$A$2509,0,1)&lt;&gt;_xlfn.XMATCH(A735,$A$2:$A$2509,0,-1),FALSE)), "Código de barras duplicado", ""), IF(AND(E735&lt;&gt;"", COUNTIF($E$2:$E$2509, E735)&gt;1), "SKU duplicado", ""), IF(OR(J735="", J735=""), "[Aviso] División no capturada ()", IF(ISNA(MATCH(J735, Criterios!$A$123:$A$126, 0)), "División no válida", "")), IF(OR(K735="", K735=""), "[Aviso] Categoría no capturada ()", IF(ISNA(MATCH(K735, Criterios!$A$81:$A$120, 0)), "Categoría no válida", IF(AND(J735&lt;&gt;"", J735&lt;&gt;"", J735&lt;&gt;VLOOKUP(K735, Criterios!$A$81:$B$120, 2, FALSE)), "División no coincide con Categoría", ""))), IF(OR(L735="", L735=""), "[Aviso] Género no capturado ()", IF(ISNA(MATCH(L735, Criterios!$B$123:$B$127, 0)), "Género no válido", "")), IF(OR(N735="", N735=""), "[Aviso] Temporada no capturada ()", IF(ISNA(MATCH(N735, Criterios!$C$123:$C$128, 0)), "Temporada no válida", "")), IF(OR(O735="", O735=""), "[Aviso] Ciclo de vida no capturado ()", IF(ISNA(MATCH(O735, Criterios!$D$123:$D$124, 0)), "Ciclo de vida no válido", ""))))</f>
        <v/>
      </c>
      <c r="AC735" s="56" t="n"/>
      <c r="AD735" s="51" t="n">
        <v>0</v>
      </c>
      <c r="AE735" s="156" t="n"/>
      <c r="AF735" s="51" t="n">
        <v>0</v>
      </c>
      <c r="AG735" s="156" t="inlineStr">
        <is>
          <t>Catálogo existente</t>
        </is>
      </c>
      <c r="AH73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5" s="156" t="inlineStr">
        <is>
          <t>No</t>
        </is>
      </c>
      <c r="AJ735" s="156" t="n"/>
      <c r="AK735" s="155" t="inlineStr">
        <is>
          <t>Criterios: I [Q]; G1522_Extraccion_Articulos_NetSuite_2026-09-30.xlsx: fila 59303 [R]</t>
        </is>
      </c>
      <c r="AL735" s="58" t="n">
        <v>1504.5</v>
      </c>
      <c r="AM735" s="58" t="n">
        <v>8620.689655</v>
      </c>
      <c r="AN735" s="155" t="n"/>
      <c r="AO735" s="59" t="n"/>
      <c r="AP735" s="59" t="n"/>
      <c r="AQ735" s="59" t="n"/>
      <c r="AR735" s="155" t="n"/>
    </row>
    <row r="736">
      <c r="A736" s="50" t="inlineStr">
        <is>
          <t>12021004131041225</t>
        </is>
      </c>
      <c r="B736" s="51" t="inlineStr">
        <is>
          <t>111636</t>
        </is>
      </c>
      <c r="C736" s="156" t="inlineStr">
        <is>
          <t>Multimarca</t>
        </is>
      </c>
      <c r="D736" s="156" t="inlineStr">
        <is>
          <t>12-021-BS004-13-1041</t>
        </is>
      </c>
      <c r="E736" s="156" t="inlineStr">
        <is>
          <t>12-021-BS004-13-1041-225</t>
        </is>
      </c>
      <c r="F736" s="156" t="inlineStr">
        <is>
          <t>22.5</t>
        </is>
      </c>
      <c r="G736" s="156" t="inlineStr">
        <is>
          <t>5.5</t>
        </is>
      </c>
      <c r="H736" s="156" t="inlineStr">
        <is>
          <t>Stetson</t>
        </is>
      </c>
      <c r="I736" s="156" t="inlineStr">
        <is>
          <t>Bota Caimán Negro</t>
        </is>
      </c>
      <c r="J736" s="156" t="inlineStr">
        <is>
          <t>Calzado</t>
        </is>
      </c>
      <c r="K736" s="156" t="inlineStr">
        <is>
          <t>Botas</t>
        </is>
      </c>
      <c r="L736" s="156" t="inlineStr">
        <is>
          <t>Mujer</t>
        </is>
      </c>
      <c r="M736" s="156" t="inlineStr">
        <is>
          <t>Stetson</t>
        </is>
      </c>
      <c r="N736" s="156" t="inlineStr">
        <is>
          <t>SS26</t>
        </is>
      </c>
      <c r="O736" s="156" t="inlineStr">
        <is>
          <t>Seasonal</t>
        </is>
      </c>
      <c r="P736" s="156" t="inlineStr">
        <is>
          <t>Negro</t>
        </is>
      </c>
      <c r="Q736" s="156" t="n"/>
      <c r="R736" s="156" t="inlineStr">
        <is>
          <t>Horma Alexia</t>
        </is>
      </c>
      <c r="S736" s="156" t="inlineStr">
        <is>
          <t>Piel de caimán</t>
        </is>
      </c>
      <c r="T736" s="156" t="inlineStr">
        <is>
          <t>Bota Dama Piel de caimán Negro Horma Alexia</t>
        </is>
      </c>
      <c r="U736" s="156" t="inlineStr">
        <is>
          <t>México</t>
        </is>
      </c>
      <c r="V736" s="156" t="inlineStr">
        <is>
          <t>PRS</t>
        </is>
      </c>
      <c r="W736" s="51" t="inlineStr">
        <is>
          <t>53111502</t>
        </is>
      </c>
      <c r="X736" s="156" t="n"/>
      <c r="Y736" s="54" t="n">
        <v>1504.5</v>
      </c>
      <c r="Z736" s="54" t="n">
        <v>8620.689655</v>
      </c>
      <c r="AA736" s="55">
        <f>IF(AND(A736="", B736="", E736=""), "", IF(AB736="", "Válido", IF((LEN(AB736)-LEN(SUBSTITUTE(AB736,"; ","")))/2+1&gt;(LEN(AB736)-LEN(SUBSTITUTE(AB736,"[Aviso]","")))/7, "Con Incidencias", "Válido")))</f>
        <v/>
      </c>
      <c r="AB736" s="56">
        <f>IF(AND(A736="", B736="", E736=""), "", TEXTJOIN("; ", TRUE, IF(OR(TRIM(A736&amp;"")="", ISNUMBER(SEARCH("FALTA", A736))), "UPC faltante/inválido", ""), IF(AND(A736&lt;&gt;"", IFERROR(_xlfn.XMATCH(A736,$A$2:$A$2509,0,1)&lt;&gt;_xlfn.XMATCH(A736,$A$2:$A$2509,0,-1),FALSE)), "Código de barras duplicado", ""), IF(AND(E736&lt;&gt;"", COUNTIF($E$2:$E$2509, E736)&gt;1), "SKU duplicado", ""), IF(OR(J736="", J736=""), "[Aviso] División no capturada ()", IF(ISNA(MATCH(J736, Criterios!$A$123:$A$126, 0)), "División no válida", "")), IF(OR(K736="", K736=""), "[Aviso] Categoría no capturada ()", IF(ISNA(MATCH(K736, Criterios!$A$81:$A$120, 0)), "Categoría no válida", IF(AND(J736&lt;&gt;"", J736&lt;&gt;"", J736&lt;&gt;VLOOKUP(K736, Criterios!$A$81:$B$120, 2, FALSE)), "División no coincide con Categoría", ""))), IF(OR(L736="", L736=""), "[Aviso] Género no capturado ()", IF(ISNA(MATCH(L736, Criterios!$B$123:$B$127, 0)), "Género no válido", "")), IF(OR(N736="", N736=""), "[Aviso] Temporada no capturada ()", IF(ISNA(MATCH(N736, Criterios!$C$123:$C$128, 0)), "Temporada no válida", "")), IF(OR(O736="", O736=""), "[Aviso] Ciclo de vida no capturado ()", IF(ISNA(MATCH(O736, Criterios!$D$123:$D$124, 0)), "Ciclo de vida no válido", ""))))</f>
        <v/>
      </c>
      <c r="AC736" s="56" t="n"/>
      <c r="AD736" s="51" t="n">
        <v>0</v>
      </c>
      <c r="AE736" s="156" t="n"/>
      <c r="AF736" s="51" t="n">
        <v>0</v>
      </c>
      <c r="AG736" s="156" t="inlineStr">
        <is>
          <t>Catálogo existente</t>
        </is>
      </c>
      <c r="AH7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6" s="156" t="inlineStr">
        <is>
          <t>No</t>
        </is>
      </c>
      <c r="AJ736" s="156" t="n"/>
      <c r="AK736" s="155" t="inlineStr">
        <is>
          <t>Criterios: I [Q]; G1522_Extraccion_Articulos_NetSuite_2026-09-30.xlsx: fila 59311 [R] | Shopify Stetson: producto 15054565114219 / variante 53350561612139</t>
        </is>
      </c>
      <c r="AL736" s="58" t="n">
        <v>1504.5</v>
      </c>
      <c r="AM736" s="58" t="n">
        <v>8620.689655</v>
      </c>
      <c r="AN736" s="155" t="inlineStr">
        <is>
          <t>Shopify Stetson México</t>
        </is>
      </c>
      <c r="AO736" s="59" t="n">
        <v>0</v>
      </c>
      <c r="AP736" s="59" t="n"/>
      <c r="AQ736" s="59" t="n"/>
      <c r="AR736" s="155" t="n"/>
    </row>
    <row r="737">
      <c r="A737" s="50" t="inlineStr">
        <is>
          <t>12021004131041235</t>
        </is>
      </c>
      <c r="B737" s="51" t="inlineStr">
        <is>
          <t>111637</t>
        </is>
      </c>
      <c r="C737" s="156" t="inlineStr">
        <is>
          <t>Multimarca</t>
        </is>
      </c>
      <c r="D737" s="156" t="inlineStr">
        <is>
          <t>12-021-BS004-13-1041</t>
        </is>
      </c>
      <c r="E737" s="156" t="inlineStr">
        <is>
          <t>12-021-BS004-13-1041-235</t>
        </is>
      </c>
      <c r="F737" s="156" t="inlineStr">
        <is>
          <t>23.5</t>
        </is>
      </c>
      <c r="G737" s="156" t="inlineStr">
        <is>
          <t>6.5</t>
        </is>
      </c>
      <c r="H737" s="156" t="inlineStr">
        <is>
          <t>Stetson</t>
        </is>
      </c>
      <c r="I737" s="156" t="inlineStr">
        <is>
          <t>Bota Caimán Negro</t>
        </is>
      </c>
      <c r="J737" s="156" t="inlineStr">
        <is>
          <t>Calzado</t>
        </is>
      </c>
      <c r="K737" s="156" t="inlineStr">
        <is>
          <t>Botas</t>
        </is>
      </c>
      <c r="L737" s="156" t="inlineStr">
        <is>
          <t>Mujer</t>
        </is>
      </c>
      <c r="M737" s="156" t="inlineStr">
        <is>
          <t>Stetson</t>
        </is>
      </c>
      <c r="N737" s="156" t="inlineStr">
        <is>
          <t>SS26</t>
        </is>
      </c>
      <c r="O737" s="156" t="inlineStr">
        <is>
          <t>Seasonal</t>
        </is>
      </c>
      <c r="P737" s="156" t="inlineStr">
        <is>
          <t>Negro</t>
        </is>
      </c>
      <c r="Q737" s="156" t="n"/>
      <c r="R737" s="156" t="inlineStr">
        <is>
          <t>Horma Alexia</t>
        </is>
      </c>
      <c r="S737" s="156" t="inlineStr">
        <is>
          <t>Piel de caimán</t>
        </is>
      </c>
      <c r="T737" s="156" t="inlineStr">
        <is>
          <t>Bota Dama Piel de caimán Negro Horma Alexia</t>
        </is>
      </c>
      <c r="U737" s="156" t="inlineStr">
        <is>
          <t>México</t>
        </is>
      </c>
      <c r="V737" s="156" t="inlineStr">
        <is>
          <t>PRS</t>
        </is>
      </c>
      <c r="W737" s="51" t="inlineStr">
        <is>
          <t>53111502</t>
        </is>
      </c>
      <c r="X737" s="156" t="n"/>
      <c r="Y737" s="54" t="n">
        <v>1504.5</v>
      </c>
      <c r="Z737" s="54" t="n">
        <v>8620.689655</v>
      </c>
      <c r="AA737" s="55">
        <f>IF(AND(A737="", B737="", E737=""), "", IF(AB737="", "Válido", IF((LEN(AB737)-LEN(SUBSTITUTE(AB737,"; ","")))/2+1&gt;(LEN(AB737)-LEN(SUBSTITUTE(AB737,"[Aviso]","")))/7, "Con Incidencias", "Válido")))</f>
        <v/>
      </c>
      <c r="AB737" s="56">
        <f>IF(AND(A737="", B737="", E737=""), "", TEXTJOIN("; ", TRUE, IF(OR(TRIM(A737&amp;"")="", ISNUMBER(SEARCH("FALTA", A737))), "UPC faltante/inválido", ""), IF(AND(A737&lt;&gt;"", IFERROR(_xlfn.XMATCH(A737,$A$2:$A$2509,0,1)&lt;&gt;_xlfn.XMATCH(A737,$A$2:$A$2509,0,-1),FALSE)), "Código de barras duplicado", ""), IF(AND(E737&lt;&gt;"", COUNTIF($E$2:$E$2509, E737)&gt;1), "SKU duplicado", ""), IF(OR(J737="", J737=""), "[Aviso] División no capturada ()", IF(ISNA(MATCH(J737, Criterios!$A$123:$A$126, 0)), "División no válida", "")), IF(OR(K737="", K737=""), "[Aviso] Categoría no capturada ()", IF(ISNA(MATCH(K737, Criterios!$A$81:$A$120, 0)), "Categoría no válida", IF(AND(J737&lt;&gt;"", J737&lt;&gt;"", J737&lt;&gt;VLOOKUP(K737, Criterios!$A$81:$B$120, 2, FALSE)), "División no coincide con Categoría", ""))), IF(OR(L737="", L737=""), "[Aviso] Género no capturado ()", IF(ISNA(MATCH(L737, Criterios!$B$123:$B$127, 0)), "Género no válido", "")), IF(OR(N737="", N737=""), "[Aviso] Temporada no capturada ()", IF(ISNA(MATCH(N737, Criterios!$C$123:$C$128, 0)), "Temporada no válida", "")), IF(OR(O737="", O737=""), "[Aviso] Ciclo de vida no capturado ()", IF(ISNA(MATCH(O737, Criterios!$D$123:$D$124, 0)), "Ciclo de vida no válido", ""))))</f>
        <v/>
      </c>
      <c r="AC737" s="56" t="n"/>
      <c r="AD737" s="51" t="n">
        <v>0</v>
      </c>
      <c r="AE737" s="156" t="n"/>
      <c r="AF737" s="51" t="n">
        <v>0</v>
      </c>
      <c r="AG737" s="156" t="inlineStr">
        <is>
          <t>Catálogo existente</t>
        </is>
      </c>
      <c r="AH7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7" s="156" t="inlineStr">
        <is>
          <t>No</t>
        </is>
      </c>
      <c r="AJ737" s="156" t="n"/>
      <c r="AK737" s="155" t="inlineStr">
        <is>
          <t>Criterios: I [Q]; G1522_Extraccion_Articulos_NetSuite_2026-09-30.xlsx: fila 59312 [R] | Shopify Stetson: producto 15054565114219 / variante 53350561677675</t>
        </is>
      </c>
      <c r="AL737" s="58" t="n">
        <v>1504.5</v>
      </c>
      <c r="AM737" s="58" t="n">
        <v>8620.689655</v>
      </c>
      <c r="AN737" s="155" t="inlineStr">
        <is>
          <t>Shopify Stetson México</t>
        </is>
      </c>
      <c r="AO737" s="59" t="n">
        <v>0</v>
      </c>
      <c r="AP737" s="59" t="n"/>
      <c r="AQ737" s="59" t="n"/>
      <c r="AR737" s="155" t="n"/>
    </row>
    <row r="738">
      <c r="A738" s="50" t="inlineStr">
        <is>
          <t>12021004131041245</t>
        </is>
      </c>
      <c r="B738" s="51" t="inlineStr">
        <is>
          <t>111638</t>
        </is>
      </c>
      <c r="C738" s="156" t="inlineStr">
        <is>
          <t>Multimarca</t>
        </is>
      </c>
      <c r="D738" s="156" t="inlineStr">
        <is>
          <t>12-021-BS004-13-1041</t>
        </is>
      </c>
      <c r="E738" s="156" t="inlineStr">
        <is>
          <t>12-021-BS004-13-1041-245</t>
        </is>
      </c>
      <c r="F738" s="156" t="inlineStr">
        <is>
          <t>24.5</t>
        </is>
      </c>
      <c r="G738" s="156" t="inlineStr">
        <is>
          <t>7.5</t>
        </is>
      </c>
      <c r="H738" s="156" t="inlineStr">
        <is>
          <t>Stetson</t>
        </is>
      </c>
      <c r="I738" s="156" t="inlineStr">
        <is>
          <t>Bota Caimán Negro</t>
        </is>
      </c>
      <c r="J738" s="156" t="inlineStr">
        <is>
          <t>Calzado</t>
        </is>
      </c>
      <c r="K738" s="156" t="inlineStr">
        <is>
          <t>Botas</t>
        </is>
      </c>
      <c r="L738" s="156" t="inlineStr">
        <is>
          <t>Mujer</t>
        </is>
      </c>
      <c r="M738" s="156" t="inlineStr">
        <is>
          <t>Stetson</t>
        </is>
      </c>
      <c r="N738" s="156" t="inlineStr">
        <is>
          <t>SS26</t>
        </is>
      </c>
      <c r="O738" s="156" t="inlineStr">
        <is>
          <t>Seasonal</t>
        </is>
      </c>
      <c r="P738" s="156" t="inlineStr">
        <is>
          <t>Negro</t>
        </is>
      </c>
      <c r="Q738" s="156" t="n"/>
      <c r="R738" s="156" t="inlineStr">
        <is>
          <t>Horma Alexia</t>
        </is>
      </c>
      <c r="S738" s="156" t="inlineStr">
        <is>
          <t>Piel de caimán</t>
        </is>
      </c>
      <c r="T738" s="156" t="inlineStr">
        <is>
          <t>Bota Dama Piel de caimán Negro Horma Alexia</t>
        </is>
      </c>
      <c r="U738" s="156" t="inlineStr">
        <is>
          <t>México</t>
        </is>
      </c>
      <c r="V738" s="156" t="inlineStr">
        <is>
          <t>PRS</t>
        </is>
      </c>
      <c r="W738" s="51" t="inlineStr">
        <is>
          <t>53111502</t>
        </is>
      </c>
      <c r="X738" s="156" t="n"/>
      <c r="Y738" s="54" t="n">
        <v>1504.5</v>
      </c>
      <c r="Z738" s="54" t="n">
        <v>8620.689655</v>
      </c>
      <c r="AA738" s="55">
        <f>IF(AND(A738="", B738="", E738=""), "", IF(AB738="", "Válido", IF((LEN(AB738)-LEN(SUBSTITUTE(AB738,"; ","")))/2+1&gt;(LEN(AB738)-LEN(SUBSTITUTE(AB738,"[Aviso]","")))/7, "Con Incidencias", "Válido")))</f>
        <v/>
      </c>
      <c r="AB738" s="56">
        <f>IF(AND(A738="", B738="", E738=""), "", TEXTJOIN("; ", TRUE, IF(OR(TRIM(A738&amp;"")="", ISNUMBER(SEARCH("FALTA", A738))), "UPC faltante/inválido", ""), IF(AND(A738&lt;&gt;"", IFERROR(_xlfn.XMATCH(A738,$A$2:$A$2509,0,1)&lt;&gt;_xlfn.XMATCH(A738,$A$2:$A$2509,0,-1),FALSE)), "Código de barras duplicado", ""), IF(AND(E738&lt;&gt;"", COUNTIF($E$2:$E$2509, E738)&gt;1), "SKU duplicado", ""), IF(OR(J738="", J738=""), "[Aviso] División no capturada ()", IF(ISNA(MATCH(J738, Criterios!$A$123:$A$126, 0)), "División no válida", "")), IF(OR(K738="", K738=""), "[Aviso] Categoría no capturada ()", IF(ISNA(MATCH(K738, Criterios!$A$81:$A$120, 0)), "Categoría no válida", IF(AND(J738&lt;&gt;"", J738&lt;&gt;"", J738&lt;&gt;VLOOKUP(K738, Criterios!$A$81:$B$120, 2, FALSE)), "División no coincide con Categoría", ""))), IF(OR(L738="", L738=""), "[Aviso] Género no capturado ()", IF(ISNA(MATCH(L738, Criterios!$B$123:$B$127, 0)), "Género no válido", "")), IF(OR(N738="", N738=""), "[Aviso] Temporada no capturada ()", IF(ISNA(MATCH(N738, Criterios!$C$123:$C$128, 0)), "Temporada no válida", "")), IF(OR(O738="", O738=""), "[Aviso] Ciclo de vida no capturado ()", IF(ISNA(MATCH(O738, Criterios!$D$123:$D$124, 0)), "Ciclo de vida no válido", ""))))</f>
        <v/>
      </c>
      <c r="AC738" s="56" t="n"/>
      <c r="AD738" s="51" t="n">
        <v>-1</v>
      </c>
      <c r="AE738" s="156" t="n"/>
      <c r="AF738" s="51" t="n">
        <v>0</v>
      </c>
      <c r="AG738" s="156" t="inlineStr">
        <is>
          <t>Catálogo existente</t>
        </is>
      </c>
      <c r="AH73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8" s="156" t="inlineStr">
        <is>
          <t>Sí</t>
        </is>
      </c>
      <c r="AJ738" s="156" t="inlineStr">
        <is>
          <t>STETSON AMERICAS (-1)</t>
        </is>
      </c>
      <c r="AK738" s="155" t="inlineStr">
        <is>
          <t>Criterios: I [Q]; G1522_Extraccion_Articulos_NetSuite_2026-09-30.xlsx: fila 59313 [R] | Shopify Stetson: producto 15054565114219 / variante 53350561743211</t>
        </is>
      </c>
      <c r="AL738" s="58" t="n">
        <v>1504.5</v>
      </c>
      <c r="AM738" s="58" t="n">
        <v>8620.689655</v>
      </c>
      <c r="AN738" s="155" t="inlineStr">
        <is>
          <t>Shopify Stetson México</t>
        </is>
      </c>
      <c r="AO738" s="59" t="n">
        <v>1</v>
      </c>
      <c r="AP738" s="59" t="n"/>
      <c r="AQ738" s="59" t="n"/>
      <c r="AR738" s="155" t="inlineStr">
        <is>
          <t>Shopify Stetson México › Stetson Americas: 1</t>
        </is>
      </c>
    </row>
    <row r="739">
      <c r="A739" s="50" t="inlineStr">
        <is>
          <t>12021004131041255</t>
        </is>
      </c>
      <c r="B739" s="51" t="inlineStr">
        <is>
          <t>111629</t>
        </is>
      </c>
      <c r="C739" s="156" t="inlineStr">
        <is>
          <t>Multimarca</t>
        </is>
      </c>
      <c r="D739" s="156" t="inlineStr">
        <is>
          <t>12-021-BS004-13-1041</t>
        </is>
      </c>
      <c r="E739" s="156" t="inlineStr">
        <is>
          <t>12-021-BS004-13-1041-255</t>
        </is>
      </c>
      <c r="F739" s="156" t="inlineStr">
        <is>
          <t>25.5</t>
        </is>
      </c>
      <c r="G739" s="156" t="inlineStr">
        <is>
          <t>8.5</t>
        </is>
      </c>
      <c r="H739" s="156" t="inlineStr">
        <is>
          <t>Stetson</t>
        </is>
      </c>
      <c r="I739" s="156" t="inlineStr">
        <is>
          <t>Bota Caimán Negro</t>
        </is>
      </c>
      <c r="J739" s="156" t="inlineStr">
        <is>
          <t>Calzado</t>
        </is>
      </c>
      <c r="K739" s="156" t="inlineStr">
        <is>
          <t>Botas</t>
        </is>
      </c>
      <c r="L739" s="156" t="inlineStr">
        <is>
          <t>Mujer</t>
        </is>
      </c>
      <c r="M739" s="156" t="inlineStr">
        <is>
          <t>Stetson</t>
        </is>
      </c>
      <c r="N739" s="156" t="inlineStr">
        <is>
          <t>SS26</t>
        </is>
      </c>
      <c r="O739" s="156" t="inlineStr">
        <is>
          <t>Seasonal</t>
        </is>
      </c>
      <c r="P739" s="156" t="inlineStr">
        <is>
          <t>Negro</t>
        </is>
      </c>
      <c r="Q739" s="156" t="n"/>
      <c r="R739" s="156" t="inlineStr">
        <is>
          <t>Horma Alexia</t>
        </is>
      </c>
      <c r="S739" s="156" t="inlineStr">
        <is>
          <t>Piel de caimán</t>
        </is>
      </c>
      <c r="T739" s="156" t="inlineStr">
        <is>
          <t>Bota Dama Piel de caimán Negro Horma Alexia</t>
        </is>
      </c>
      <c r="U739" s="156" t="inlineStr">
        <is>
          <t>México</t>
        </is>
      </c>
      <c r="V739" s="156" t="inlineStr">
        <is>
          <t>PRS</t>
        </is>
      </c>
      <c r="W739" s="51" t="inlineStr">
        <is>
          <t>53111502</t>
        </is>
      </c>
      <c r="X739" s="156" t="n"/>
      <c r="Y739" s="54" t="n">
        <v>1504.5</v>
      </c>
      <c r="Z739" s="54" t="n">
        <v>8620.689655</v>
      </c>
      <c r="AA739" s="55">
        <f>IF(AND(A739="", B739="", E739=""), "", IF(AB739="", "Válido", IF((LEN(AB739)-LEN(SUBSTITUTE(AB739,"; ","")))/2+1&gt;(LEN(AB739)-LEN(SUBSTITUTE(AB739,"[Aviso]","")))/7, "Con Incidencias", "Válido")))</f>
        <v/>
      </c>
      <c r="AB739" s="56">
        <f>IF(AND(A739="", B739="", E739=""), "", TEXTJOIN("; ", TRUE, IF(OR(TRIM(A739&amp;"")="", ISNUMBER(SEARCH("FALTA", A739))), "UPC faltante/inválido", ""), IF(AND(A739&lt;&gt;"", IFERROR(_xlfn.XMATCH(A739,$A$2:$A$2509,0,1)&lt;&gt;_xlfn.XMATCH(A739,$A$2:$A$2509,0,-1),FALSE)), "Código de barras duplicado", ""), IF(AND(E739&lt;&gt;"", COUNTIF($E$2:$E$2509, E739)&gt;1), "SKU duplicado", ""), IF(OR(J739="", J739=""), "[Aviso] División no capturada ()", IF(ISNA(MATCH(J739, Criterios!$A$123:$A$126, 0)), "División no válida", "")), IF(OR(K739="", K739=""), "[Aviso] Categoría no capturada ()", IF(ISNA(MATCH(K739, Criterios!$A$81:$A$120, 0)), "Categoría no válida", IF(AND(J739&lt;&gt;"", J739&lt;&gt;"", J739&lt;&gt;VLOOKUP(K739, Criterios!$A$81:$B$120, 2, FALSE)), "División no coincide con Categoría", ""))), IF(OR(L739="", L739=""), "[Aviso] Género no capturado ()", IF(ISNA(MATCH(L739, Criterios!$B$123:$B$127, 0)), "Género no válido", "")), IF(OR(N739="", N739=""), "[Aviso] Temporada no capturada ()", IF(ISNA(MATCH(N739, Criterios!$C$123:$C$128, 0)), "Temporada no válida", "")), IF(OR(O739="", O739=""), "[Aviso] Ciclo de vida no capturado ()", IF(ISNA(MATCH(O739, Criterios!$D$123:$D$124, 0)), "Ciclo de vida no válido", ""))))</f>
        <v/>
      </c>
      <c r="AC739" s="56" t="n"/>
      <c r="AD739" s="51" t="n">
        <v>-1</v>
      </c>
      <c r="AE739" s="156" t="n"/>
      <c r="AF739" s="51" t="n">
        <v>0</v>
      </c>
      <c r="AG739" s="156" t="inlineStr">
        <is>
          <t>Catálogo existente</t>
        </is>
      </c>
      <c r="AH739"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9" s="156" t="inlineStr">
        <is>
          <t>Sí</t>
        </is>
      </c>
      <c r="AJ739" s="156" t="inlineStr">
        <is>
          <t>STETSON AMERICAS (-1)</t>
        </is>
      </c>
      <c r="AK739" s="155" t="inlineStr">
        <is>
          <t>Criterios: I [Q]; G1522_Extraccion_Articulos_NetSuite_2026-09-30.xlsx: fila 59304 [R]</t>
        </is>
      </c>
      <c r="AL739" s="58" t="n">
        <v>1504.5</v>
      </c>
      <c r="AM739" s="58" t="n">
        <v>8620.689655</v>
      </c>
      <c r="AN739" s="155" t="n"/>
      <c r="AO739" s="59" t="n"/>
      <c r="AP739" s="59" t="n"/>
      <c r="AQ739" s="59" t="n"/>
      <c r="AR739" s="155" t="n"/>
    </row>
    <row r="740">
      <c r="A740" s="50" t="inlineStr">
        <is>
          <t>12021004131041265</t>
        </is>
      </c>
      <c r="B740" s="51" t="inlineStr">
        <is>
          <t>111630</t>
        </is>
      </c>
      <c r="C740" s="156" t="inlineStr">
        <is>
          <t>Multimarca</t>
        </is>
      </c>
      <c r="D740" s="156" t="inlineStr">
        <is>
          <t>12-021-BS004-13-1041</t>
        </is>
      </c>
      <c r="E740" s="156" t="inlineStr">
        <is>
          <t>12-021-BS004-13-1041-265</t>
        </is>
      </c>
      <c r="F740" s="156" t="inlineStr">
        <is>
          <t>26.5</t>
        </is>
      </c>
      <c r="G740" s="156" t="inlineStr">
        <is>
          <t>9.5</t>
        </is>
      </c>
      <c r="H740" s="156" t="inlineStr">
        <is>
          <t>Stetson</t>
        </is>
      </c>
      <c r="I740" s="156" t="inlineStr">
        <is>
          <t>Bota Caimán Negro</t>
        </is>
      </c>
      <c r="J740" s="156" t="inlineStr">
        <is>
          <t>Calzado</t>
        </is>
      </c>
      <c r="K740" s="156" t="inlineStr">
        <is>
          <t>Botas</t>
        </is>
      </c>
      <c r="L740" s="156" t="inlineStr">
        <is>
          <t>Mujer</t>
        </is>
      </c>
      <c r="M740" s="156" t="inlineStr">
        <is>
          <t>Stetson</t>
        </is>
      </c>
      <c r="N740" s="156" t="inlineStr">
        <is>
          <t>SS26</t>
        </is>
      </c>
      <c r="O740" s="156" t="inlineStr">
        <is>
          <t>Seasonal</t>
        </is>
      </c>
      <c r="P740" s="156" t="inlineStr">
        <is>
          <t>Negro</t>
        </is>
      </c>
      <c r="Q740" s="156" t="n"/>
      <c r="R740" s="156" t="inlineStr">
        <is>
          <t>Horma Alexia</t>
        </is>
      </c>
      <c r="S740" s="156" t="inlineStr">
        <is>
          <t>Piel de caimán</t>
        </is>
      </c>
      <c r="T740" s="156" t="inlineStr">
        <is>
          <t>Bota Dama Piel de caimán Negro Horma Alexia</t>
        </is>
      </c>
      <c r="U740" s="156" t="inlineStr">
        <is>
          <t>México</t>
        </is>
      </c>
      <c r="V740" s="156" t="inlineStr">
        <is>
          <t>PRS</t>
        </is>
      </c>
      <c r="W740" s="51" t="inlineStr">
        <is>
          <t>53111502</t>
        </is>
      </c>
      <c r="X740" s="156" t="n"/>
      <c r="Y740" s="54" t="n">
        <v>1504.5</v>
      </c>
      <c r="Z740" s="54" t="n">
        <v>8620.689655</v>
      </c>
      <c r="AA740" s="55">
        <f>IF(AND(A740="", B740="", E740=""), "", IF(AB740="", "Válido", IF((LEN(AB740)-LEN(SUBSTITUTE(AB740,"; ","")))/2+1&gt;(LEN(AB740)-LEN(SUBSTITUTE(AB740,"[Aviso]","")))/7, "Con Incidencias", "Válido")))</f>
        <v/>
      </c>
      <c r="AB740" s="56">
        <f>IF(AND(A740="", B740="", E740=""), "", TEXTJOIN("; ", TRUE, IF(OR(TRIM(A740&amp;"")="", ISNUMBER(SEARCH("FALTA", A740))), "UPC faltante/inválido", ""), IF(AND(A740&lt;&gt;"", IFERROR(_xlfn.XMATCH(A740,$A$2:$A$2509,0,1)&lt;&gt;_xlfn.XMATCH(A740,$A$2:$A$2509,0,-1),FALSE)), "Código de barras duplicado", ""), IF(AND(E740&lt;&gt;"", COUNTIF($E$2:$E$2509, E740)&gt;1), "SKU duplicado", ""), IF(OR(J740="", J740=""), "[Aviso] División no capturada ()", IF(ISNA(MATCH(J740, Criterios!$A$123:$A$126, 0)), "División no válida", "")), IF(OR(K740="", K740=""), "[Aviso] Categoría no capturada ()", IF(ISNA(MATCH(K740, Criterios!$A$81:$A$120, 0)), "Categoría no válida", IF(AND(J740&lt;&gt;"", J740&lt;&gt;"", J740&lt;&gt;VLOOKUP(K740, Criterios!$A$81:$B$120, 2, FALSE)), "División no coincide con Categoría", ""))), IF(OR(L740="", L740=""), "[Aviso] Género no capturado ()", IF(ISNA(MATCH(L740, Criterios!$B$123:$B$127, 0)), "Género no válido", "")), IF(OR(N740="", N740=""), "[Aviso] Temporada no capturada ()", IF(ISNA(MATCH(N740, Criterios!$C$123:$C$128, 0)), "Temporada no válida", "")), IF(OR(O740="", O740=""), "[Aviso] Ciclo de vida no capturado ()", IF(ISNA(MATCH(O740, Criterios!$D$123:$D$124, 0)), "Ciclo de vida no válido", ""))))</f>
        <v/>
      </c>
      <c r="AC740" s="56" t="n"/>
      <c r="AD740" s="51" t="n">
        <v>0</v>
      </c>
      <c r="AE740" s="156" t="n"/>
      <c r="AF740" s="51" t="n">
        <v>0</v>
      </c>
      <c r="AG740" s="156" t="inlineStr">
        <is>
          <t>Catálogo existente</t>
        </is>
      </c>
      <c r="AH74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0" s="156" t="inlineStr">
        <is>
          <t>No</t>
        </is>
      </c>
      <c r="AJ740" s="156" t="n"/>
      <c r="AK740" s="155" t="inlineStr">
        <is>
          <t>Criterios: I [Q]; G1522_Extraccion_Articulos_NetSuite_2026-09-30.xlsx: fila 59305 [R]</t>
        </is>
      </c>
      <c r="AL740" s="58" t="n">
        <v>1504.5</v>
      </c>
      <c r="AM740" s="58" t="n">
        <v>8620.689655</v>
      </c>
      <c r="AN740" s="155" t="n"/>
      <c r="AO740" s="59" t="n"/>
      <c r="AP740" s="59" t="n"/>
      <c r="AQ740" s="59" t="n"/>
      <c r="AR740" s="155" t="n"/>
    </row>
    <row r="741">
      <c r="A741" s="50" t="inlineStr">
        <is>
          <t>12021004131041275</t>
        </is>
      </c>
      <c r="B741" s="51" t="inlineStr">
        <is>
          <t>111631</t>
        </is>
      </c>
      <c r="C741" s="156" t="inlineStr">
        <is>
          <t>Multimarca</t>
        </is>
      </c>
      <c r="D741" s="156" t="inlineStr">
        <is>
          <t>12-021-BS004-13-1041</t>
        </is>
      </c>
      <c r="E741" s="156" t="inlineStr">
        <is>
          <t>12-021-BS004-13-1041-275</t>
        </is>
      </c>
      <c r="F741" s="156" t="inlineStr">
        <is>
          <t>27.5</t>
        </is>
      </c>
      <c r="G741" s="156" t="inlineStr">
        <is>
          <t>10.5</t>
        </is>
      </c>
      <c r="H741" s="156" t="inlineStr">
        <is>
          <t>Stetson</t>
        </is>
      </c>
      <c r="I741" s="156" t="inlineStr">
        <is>
          <t>Bota Caimán Negro</t>
        </is>
      </c>
      <c r="J741" s="156" t="inlineStr">
        <is>
          <t>Calzado</t>
        </is>
      </c>
      <c r="K741" s="156" t="inlineStr">
        <is>
          <t>Botas</t>
        </is>
      </c>
      <c r="L741" s="156" t="inlineStr">
        <is>
          <t>Mujer</t>
        </is>
      </c>
      <c r="M741" s="156" t="inlineStr">
        <is>
          <t>Stetson</t>
        </is>
      </c>
      <c r="N741" s="156" t="inlineStr">
        <is>
          <t>SS26</t>
        </is>
      </c>
      <c r="O741" s="156" t="inlineStr">
        <is>
          <t>Seasonal</t>
        </is>
      </c>
      <c r="P741" s="156" t="inlineStr">
        <is>
          <t>Negro</t>
        </is>
      </c>
      <c r="Q741" s="156" t="n"/>
      <c r="R741" s="156" t="inlineStr">
        <is>
          <t>Horma Alexia</t>
        </is>
      </c>
      <c r="S741" s="156" t="inlineStr">
        <is>
          <t>Piel de caimán</t>
        </is>
      </c>
      <c r="T741" s="156" t="inlineStr">
        <is>
          <t>Bota Dama Piel de caimán Negro Horma Alexia</t>
        </is>
      </c>
      <c r="U741" s="156" t="inlineStr">
        <is>
          <t>México</t>
        </is>
      </c>
      <c r="V741" s="156" t="inlineStr">
        <is>
          <t>PRS</t>
        </is>
      </c>
      <c r="W741" s="51" t="inlineStr">
        <is>
          <t>53111502</t>
        </is>
      </c>
      <c r="X741" s="156" t="n"/>
      <c r="Y741" s="54" t="n">
        <v>1504.5</v>
      </c>
      <c r="Z741" s="54" t="n">
        <v>8620.689655</v>
      </c>
      <c r="AA741" s="55">
        <f>IF(AND(A741="", B741="", E741=""), "", IF(AB741="", "Válido", IF((LEN(AB741)-LEN(SUBSTITUTE(AB741,"; ","")))/2+1&gt;(LEN(AB741)-LEN(SUBSTITUTE(AB741,"[Aviso]","")))/7, "Con Incidencias", "Válido")))</f>
        <v/>
      </c>
      <c r="AB741" s="56">
        <f>IF(AND(A741="", B741="", E741=""), "", TEXTJOIN("; ", TRUE, IF(OR(TRIM(A741&amp;"")="", ISNUMBER(SEARCH("FALTA", A741))), "UPC faltante/inválido", ""), IF(AND(A741&lt;&gt;"", IFERROR(_xlfn.XMATCH(A741,$A$2:$A$2509,0,1)&lt;&gt;_xlfn.XMATCH(A741,$A$2:$A$2509,0,-1),FALSE)), "Código de barras duplicado", ""), IF(AND(E741&lt;&gt;"", COUNTIF($E$2:$E$2509, E741)&gt;1), "SKU duplicado", ""), IF(OR(J741="", J741=""), "[Aviso] División no capturada ()", IF(ISNA(MATCH(J741, Criterios!$A$123:$A$126, 0)), "División no válida", "")), IF(OR(K741="", K741=""), "[Aviso] Categoría no capturada ()", IF(ISNA(MATCH(K741, Criterios!$A$81:$A$120, 0)), "Categoría no válida", IF(AND(J741&lt;&gt;"", J741&lt;&gt;"", J741&lt;&gt;VLOOKUP(K741, Criterios!$A$81:$B$120, 2, FALSE)), "División no coincide con Categoría", ""))), IF(OR(L741="", L741=""), "[Aviso] Género no capturado ()", IF(ISNA(MATCH(L741, Criterios!$B$123:$B$127, 0)), "Género no válido", "")), IF(OR(N741="", N741=""), "[Aviso] Temporada no capturada ()", IF(ISNA(MATCH(N741, Criterios!$C$123:$C$128, 0)), "Temporada no válida", "")), IF(OR(O741="", O741=""), "[Aviso] Ciclo de vida no capturado ()", IF(ISNA(MATCH(O741, Criterios!$D$123:$D$124, 0)), "Ciclo de vida no válido", ""))))</f>
        <v/>
      </c>
      <c r="AC741" s="56" t="n"/>
      <c r="AD741" s="51" t="n">
        <v>0</v>
      </c>
      <c r="AE741" s="156" t="n"/>
      <c r="AF741" s="51" t="n">
        <v>0</v>
      </c>
      <c r="AG741" s="156" t="inlineStr">
        <is>
          <t>Catálogo existente</t>
        </is>
      </c>
      <c r="AH74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1" s="156" t="inlineStr">
        <is>
          <t>No</t>
        </is>
      </c>
      <c r="AJ741" s="156" t="n"/>
      <c r="AK741" s="155" t="inlineStr">
        <is>
          <t>Criterios: I [Q]; G1522_Extraccion_Articulos_NetSuite_2026-09-30.xlsx: fila 59306 [R]</t>
        </is>
      </c>
      <c r="AL741" s="58" t="n">
        <v>1504.5</v>
      </c>
      <c r="AM741" s="58" t="n">
        <v>8620.689655</v>
      </c>
      <c r="AN741" s="155" t="n"/>
      <c r="AO741" s="59" t="n"/>
      <c r="AP741" s="59" t="n"/>
      <c r="AQ741" s="59" t="n"/>
      <c r="AR741" s="155" t="n"/>
    </row>
    <row r="742">
      <c r="A742" s="50" t="inlineStr">
        <is>
          <t>12021004131042022</t>
        </is>
      </c>
      <c r="B742" s="51" t="inlineStr">
        <is>
          <t>111644</t>
        </is>
      </c>
      <c r="C742" s="156" t="inlineStr">
        <is>
          <t>Multimarca</t>
        </is>
      </c>
      <c r="D742" s="156" t="inlineStr">
        <is>
          <t>12-021-BS004-13-1042</t>
        </is>
      </c>
      <c r="E742" s="156" t="inlineStr">
        <is>
          <t>12-021-BS004-13-1042-022</t>
        </is>
      </c>
      <c r="F742" s="156" t="inlineStr">
        <is>
          <t>22</t>
        </is>
      </c>
      <c r="G742" s="156" t="inlineStr">
        <is>
          <t>5</t>
        </is>
      </c>
      <c r="H742" s="156" t="inlineStr">
        <is>
          <t>Stetson</t>
        </is>
      </c>
      <c r="I742" s="156" t="inlineStr">
        <is>
          <t>Bota Caimán Arena</t>
        </is>
      </c>
      <c r="J742" s="156" t="inlineStr">
        <is>
          <t>Calzado</t>
        </is>
      </c>
      <c r="K742" s="156" t="inlineStr">
        <is>
          <t>Botas</t>
        </is>
      </c>
      <c r="L742" s="156" t="inlineStr">
        <is>
          <t>Mujer</t>
        </is>
      </c>
      <c r="M742" s="156" t="inlineStr">
        <is>
          <t>Stetson</t>
        </is>
      </c>
      <c r="N742" s="156" t="inlineStr">
        <is>
          <t>SS26</t>
        </is>
      </c>
      <c r="O742" s="156" t="inlineStr">
        <is>
          <t>Seasonal</t>
        </is>
      </c>
      <c r="P742" s="156" t="inlineStr">
        <is>
          <t>Beige</t>
        </is>
      </c>
      <c r="Q742" s="156" t="n"/>
      <c r="R742" s="156" t="inlineStr">
        <is>
          <t>Horma Alexia</t>
        </is>
      </c>
      <c r="S742" s="156" t="inlineStr">
        <is>
          <t>Piel de caimán</t>
        </is>
      </c>
      <c r="T742" s="156" t="inlineStr">
        <is>
          <t>Bota Dama Piel de caimán Arena Horma Alexia</t>
        </is>
      </c>
      <c r="U742" s="156" t="inlineStr">
        <is>
          <t>México</t>
        </is>
      </c>
      <c r="V742" s="156" t="inlineStr">
        <is>
          <t>PRS</t>
        </is>
      </c>
      <c r="W742" s="51" t="inlineStr">
        <is>
          <t>53111502</t>
        </is>
      </c>
      <c r="X742" s="156" t="n"/>
      <c r="Y742" s="54" t="n">
        <v>1504.5</v>
      </c>
      <c r="Z742" s="54" t="n">
        <v>8620.689655</v>
      </c>
      <c r="AA742" s="55">
        <f>IF(AND(A742="", B742="", E742=""), "", IF(AB742="", "Válido", IF((LEN(AB742)-LEN(SUBSTITUTE(AB742,"; ","")))/2+1&gt;(LEN(AB742)-LEN(SUBSTITUTE(AB742,"[Aviso]","")))/7, "Con Incidencias", "Válido")))</f>
        <v/>
      </c>
      <c r="AB742" s="56">
        <f>IF(AND(A742="", B742="", E742=""), "", TEXTJOIN("; ", TRUE, IF(OR(TRIM(A742&amp;"")="", ISNUMBER(SEARCH("FALTA", A742))), "UPC faltante/inválido", ""), IF(AND(A742&lt;&gt;"", IFERROR(_xlfn.XMATCH(A742,$A$2:$A$2509,0,1)&lt;&gt;_xlfn.XMATCH(A742,$A$2:$A$2509,0,-1),FALSE)), "Código de barras duplicado", ""), IF(AND(E742&lt;&gt;"", COUNTIF($E$2:$E$2509, E742)&gt;1), "SKU duplicado", ""), IF(OR(J742="", J742=""), "[Aviso] División no capturada ()", IF(ISNA(MATCH(J742, Criterios!$A$123:$A$126, 0)), "División no válida", "")), IF(OR(K742="", K742=""), "[Aviso] Categoría no capturada ()", IF(ISNA(MATCH(K742, Criterios!$A$81:$A$120, 0)), "Categoría no válida", IF(AND(J742&lt;&gt;"", J742&lt;&gt;"", J742&lt;&gt;VLOOKUP(K742, Criterios!$A$81:$B$120, 2, FALSE)), "División no coincide con Categoría", ""))), IF(OR(L742="", L742=""), "[Aviso] Género no capturado ()", IF(ISNA(MATCH(L742, Criterios!$B$123:$B$127, 0)), "Género no válido", "")), IF(OR(N742="", N742=""), "[Aviso] Temporada no capturada ()", IF(ISNA(MATCH(N742, Criterios!$C$123:$C$128, 0)), "Temporada no válida", "")), IF(OR(O742="", O742=""), "[Aviso] Ciclo de vida no capturado ()", IF(ISNA(MATCH(O742, Criterios!$D$123:$D$124, 0)), "Ciclo de vida no válido", ""))))</f>
        <v/>
      </c>
      <c r="AC742" s="56" t="n"/>
      <c r="AD742" s="51" t="n">
        <v>0</v>
      </c>
      <c r="AE742" s="156" t="n"/>
      <c r="AF742" s="51" t="n">
        <v>0</v>
      </c>
      <c r="AG742" s="156" t="inlineStr">
        <is>
          <t>Catálogo existente</t>
        </is>
      </c>
      <c r="AH7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2" s="156" t="inlineStr">
        <is>
          <t>No</t>
        </is>
      </c>
      <c r="AJ742" s="156" t="n"/>
      <c r="AK742" s="155" t="inlineStr">
        <is>
          <t>Criterios: I [Q]; G1522_Extraccion_Articulos_NetSuite_2026-09-30.xlsx: fila 59319 [R] | Shopify Stetson: producto 15054565146987 / variante 53350561972587</t>
        </is>
      </c>
      <c r="AL742" s="58" t="n">
        <v>1504.5</v>
      </c>
      <c r="AM742" s="58" t="n">
        <v>8620.689655</v>
      </c>
      <c r="AN742" s="155" t="inlineStr">
        <is>
          <t>Shopify Stetson México</t>
        </is>
      </c>
      <c r="AO742" s="59" t="n">
        <v>0</v>
      </c>
      <c r="AP742" s="59" t="n"/>
      <c r="AQ742" s="59" t="n"/>
      <c r="AR742" s="155" t="n"/>
    </row>
    <row r="743">
      <c r="A743" s="50" t="inlineStr">
        <is>
          <t>12021004131042023</t>
        </is>
      </c>
      <c r="B743" s="51" t="inlineStr">
        <is>
          <t>111645</t>
        </is>
      </c>
      <c r="C743" s="156" t="inlineStr">
        <is>
          <t>Multimarca</t>
        </is>
      </c>
      <c r="D743" s="156" t="inlineStr">
        <is>
          <t>12-021-BS004-13-1042</t>
        </is>
      </c>
      <c r="E743" s="156" t="inlineStr">
        <is>
          <t>12-021-BS004-13-1042-023</t>
        </is>
      </c>
      <c r="F743" s="156" t="inlineStr">
        <is>
          <t>23</t>
        </is>
      </c>
      <c r="G743" s="156" t="inlineStr">
        <is>
          <t>6</t>
        </is>
      </c>
      <c r="H743" s="156" t="inlineStr">
        <is>
          <t>Stetson</t>
        </is>
      </c>
      <c r="I743" s="156" t="inlineStr">
        <is>
          <t>Bota Caimán Arena</t>
        </is>
      </c>
      <c r="J743" s="156" t="inlineStr">
        <is>
          <t>Calzado</t>
        </is>
      </c>
      <c r="K743" s="156" t="inlineStr">
        <is>
          <t>Botas</t>
        </is>
      </c>
      <c r="L743" s="156" t="inlineStr">
        <is>
          <t>Mujer</t>
        </is>
      </c>
      <c r="M743" s="156" t="inlineStr">
        <is>
          <t>Stetson</t>
        </is>
      </c>
      <c r="N743" s="156" t="inlineStr">
        <is>
          <t>SS26</t>
        </is>
      </c>
      <c r="O743" s="156" t="inlineStr">
        <is>
          <t>Seasonal</t>
        </is>
      </c>
      <c r="P743" s="156" t="inlineStr">
        <is>
          <t>Beige</t>
        </is>
      </c>
      <c r="Q743" s="156" t="n"/>
      <c r="R743" s="156" t="inlineStr">
        <is>
          <t>Horma Alexia</t>
        </is>
      </c>
      <c r="S743" s="156" t="inlineStr">
        <is>
          <t>Piel de caimán</t>
        </is>
      </c>
      <c r="T743" s="156" t="inlineStr">
        <is>
          <t>Bota Dama Piel de caimán Arena Horma Alexia</t>
        </is>
      </c>
      <c r="U743" s="156" t="inlineStr">
        <is>
          <t>México</t>
        </is>
      </c>
      <c r="V743" s="156" t="inlineStr">
        <is>
          <t>PRS</t>
        </is>
      </c>
      <c r="W743" s="51" t="inlineStr">
        <is>
          <t>53111502</t>
        </is>
      </c>
      <c r="X743" s="156" t="n"/>
      <c r="Y743" s="54" t="n">
        <v>1504.5</v>
      </c>
      <c r="Z743" s="54" t="n">
        <v>8620.689655</v>
      </c>
      <c r="AA743" s="55">
        <f>IF(AND(A743="", B743="", E743=""), "", IF(AB743="", "Válido", IF((LEN(AB743)-LEN(SUBSTITUTE(AB743,"; ","")))/2+1&gt;(LEN(AB743)-LEN(SUBSTITUTE(AB743,"[Aviso]","")))/7, "Con Incidencias", "Válido")))</f>
        <v/>
      </c>
      <c r="AB743" s="56">
        <f>IF(AND(A743="", B743="", E743=""), "", TEXTJOIN("; ", TRUE, IF(OR(TRIM(A743&amp;"")="", ISNUMBER(SEARCH("FALTA", A743))), "UPC faltante/inválido", ""), IF(AND(A743&lt;&gt;"", IFERROR(_xlfn.XMATCH(A743,$A$2:$A$2509,0,1)&lt;&gt;_xlfn.XMATCH(A743,$A$2:$A$2509,0,-1),FALSE)), "Código de barras duplicado", ""), IF(AND(E743&lt;&gt;"", COUNTIF($E$2:$E$2509, E743)&gt;1), "SKU duplicado", ""), IF(OR(J743="", J743=""), "[Aviso] División no capturada ()", IF(ISNA(MATCH(J743, Criterios!$A$123:$A$126, 0)), "División no válida", "")), IF(OR(K743="", K743=""), "[Aviso] Categoría no capturada ()", IF(ISNA(MATCH(K743, Criterios!$A$81:$A$120, 0)), "Categoría no válida", IF(AND(J743&lt;&gt;"", J743&lt;&gt;"", J743&lt;&gt;VLOOKUP(K743, Criterios!$A$81:$B$120, 2, FALSE)), "División no coincide con Categoría", ""))), IF(OR(L743="", L743=""), "[Aviso] Género no capturado ()", IF(ISNA(MATCH(L743, Criterios!$B$123:$B$127, 0)), "Género no válido", "")), IF(OR(N743="", N743=""), "[Aviso] Temporada no capturada ()", IF(ISNA(MATCH(N743, Criterios!$C$123:$C$128, 0)), "Temporada no válida", "")), IF(OR(O743="", O743=""), "[Aviso] Ciclo de vida no capturado ()", IF(ISNA(MATCH(O743, Criterios!$D$123:$D$124, 0)), "Ciclo de vida no válido", ""))))</f>
        <v/>
      </c>
      <c r="AC743" s="56" t="n"/>
      <c r="AD743" s="51" t="n">
        <v>0</v>
      </c>
      <c r="AE743" s="156" t="n"/>
      <c r="AF743" s="51" t="n">
        <v>0</v>
      </c>
      <c r="AG743" s="156" t="inlineStr">
        <is>
          <t>Catálogo existente</t>
        </is>
      </c>
      <c r="AH7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3" s="156" t="inlineStr">
        <is>
          <t>No</t>
        </is>
      </c>
      <c r="AJ743" s="156" t="n"/>
      <c r="AK743" s="155" t="inlineStr">
        <is>
          <t>Criterios: I [Q]; G1522_Extraccion_Articulos_NetSuite_2026-09-30.xlsx: fila 59320 [R] | Shopify Stetson: producto 15054565146987 / variante 53350562038123</t>
        </is>
      </c>
      <c r="AL743" s="58" t="n">
        <v>1504.5</v>
      </c>
      <c r="AM743" s="58" t="n">
        <v>8620.689655</v>
      </c>
      <c r="AN743" s="155" t="inlineStr">
        <is>
          <t>Shopify Stetson México</t>
        </is>
      </c>
      <c r="AO743" s="59" t="n">
        <v>0</v>
      </c>
      <c r="AP743" s="59" t="n"/>
      <c r="AQ743" s="59" t="n"/>
      <c r="AR743" s="155" t="n"/>
    </row>
    <row r="744">
      <c r="A744" s="50" t="inlineStr">
        <is>
          <t>12021004131042024</t>
        </is>
      </c>
      <c r="B744" s="51" t="inlineStr">
        <is>
          <t>111646</t>
        </is>
      </c>
      <c r="C744" s="156" t="inlineStr">
        <is>
          <t>Multimarca</t>
        </is>
      </c>
      <c r="D744" s="156" t="inlineStr">
        <is>
          <t>12-021-BS004-13-1042</t>
        </is>
      </c>
      <c r="E744" s="156" t="inlineStr">
        <is>
          <t>12-021-BS004-13-1042-024</t>
        </is>
      </c>
      <c r="F744" s="156" t="inlineStr">
        <is>
          <t>24</t>
        </is>
      </c>
      <c r="G744" s="156" t="inlineStr">
        <is>
          <t>7</t>
        </is>
      </c>
      <c r="H744" s="156" t="inlineStr">
        <is>
          <t>Stetson</t>
        </is>
      </c>
      <c r="I744" s="156" t="inlineStr">
        <is>
          <t>Bota Caimán Arena</t>
        </is>
      </c>
      <c r="J744" s="156" t="inlineStr">
        <is>
          <t>Calzado</t>
        </is>
      </c>
      <c r="K744" s="156" t="inlineStr">
        <is>
          <t>Botas</t>
        </is>
      </c>
      <c r="L744" s="156" t="inlineStr">
        <is>
          <t>Mujer</t>
        </is>
      </c>
      <c r="M744" s="156" t="inlineStr">
        <is>
          <t>Stetson</t>
        </is>
      </c>
      <c r="N744" s="156" t="inlineStr">
        <is>
          <t>SS26</t>
        </is>
      </c>
      <c r="O744" s="156" t="inlineStr">
        <is>
          <t>Seasonal</t>
        </is>
      </c>
      <c r="P744" s="156" t="inlineStr">
        <is>
          <t>Beige</t>
        </is>
      </c>
      <c r="Q744" s="156" t="n"/>
      <c r="R744" s="156" t="inlineStr">
        <is>
          <t>Horma Alexia</t>
        </is>
      </c>
      <c r="S744" s="156" t="inlineStr">
        <is>
          <t>Piel de caimán</t>
        </is>
      </c>
      <c r="T744" s="156" t="inlineStr">
        <is>
          <t>Bota Dama Piel de caimán Arena Horma Alexia</t>
        </is>
      </c>
      <c r="U744" s="156" t="inlineStr">
        <is>
          <t>México</t>
        </is>
      </c>
      <c r="V744" s="156" t="inlineStr">
        <is>
          <t>PRS</t>
        </is>
      </c>
      <c r="W744" s="51" t="inlineStr">
        <is>
          <t>53111502</t>
        </is>
      </c>
      <c r="X744" s="156" t="n"/>
      <c r="Y744" s="54" t="n">
        <v>1504.5</v>
      </c>
      <c r="Z744" s="54" t="n">
        <v>8620.689655</v>
      </c>
      <c r="AA744" s="55">
        <f>IF(AND(A744="", B744="", E744=""), "", IF(AB744="", "Válido", IF((LEN(AB744)-LEN(SUBSTITUTE(AB744,"; ","")))/2+1&gt;(LEN(AB744)-LEN(SUBSTITUTE(AB744,"[Aviso]","")))/7, "Con Incidencias", "Válido")))</f>
        <v/>
      </c>
      <c r="AB744" s="56">
        <f>IF(AND(A744="", B744="", E744=""), "", TEXTJOIN("; ", TRUE, IF(OR(TRIM(A744&amp;"")="", ISNUMBER(SEARCH("FALTA", A744))), "UPC faltante/inválido", ""), IF(AND(A744&lt;&gt;"", IFERROR(_xlfn.XMATCH(A744,$A$2:$A$2509,0,1)&lt;&gt;_xlfn.XMATCH(A744,$A$2:$A$2509,0,-1),FALSE)), "Código de barras duplicado", ""), IF(AND(E744&lt;&gt;"", COUNTIF($E$2:$E$2509, E744)&gt;1), "SKU duplicado", ""), IF(OR(J744="", J744=""), "[Aviso] División no capturada ()", IF(ISNA(MATCH(J744, Criterios!$A$123:$A$126, 0)), "División no válida", "")), IF(OR(K744="", K744=""), "[Aviso] Categoría no capturada ()", IF(ISNA(MATCH(K744, Criterios!$A$81:$A$120, 0)), "Categoría no válida", IF(AND(J744&lt;&gt;"", J744&lt;&gt;"", J744&lt;&gt;VLOOKUP(K744, Criterios!$A$81:$B$120, 2, FALSE)), "División no coincide con Categoría", ""))), IF(OR(L744="", L744=""), "[Aviso] Género no capturado ()", IF(ISNA(MATCH(L744, Criterios!$B$123:$B$127, 0)), "Género no válido", "")), IF(OR(N744="", N744=""), "[Aviso] Temporada no capturada ()", IF(ISNA(MATCH(N744, Criterios!$C$123:$C$128, 0)), "Temporada no válida", "")), IF(OR(O744="", O744=""), "[Aviso] Ciclo de vida no capturado ()", IF(ISNA(MATCH(O744, Criterios!$D$123:$D$124, 0)), "Ciclo de vida no válido", ""))))</f>
        <v/>
      </c>
      <c r="AC744" s="56" t="n"/>
      <c r="AD744" s="51" t="n">
        <v>-1</v>
      </c>
      <c r="AE744" s="156" t="n"/>
      <c r="AF744" s="51" t="n">
        <v>0</v>
      </c>
      <c r="AG744" s="156" t="inlineStr">
        <is>
          <t>Catálogo existente</t>
        </is>
      </c>
      <c r="AH74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4" s="156" t="inlineStr">
        <is>
          <t>Sí</t>
        </is>
      </c>
      <c r="AJ744" s="156" t="inlineStr">
        <is>
          <t>STETSON AMERICAS (-1)</t>
        </is>
      </c>
      <c r="AK744" s="155" t="inlineStr">
        <is>
          <t>Criterios: I [Q]; G1522_Extraccion_Articulos_NetSuite_2026-09-30.xlsx: fila 59321 [R] | Shopify Stetson: producto 15054565146987 / variante 53350562103659</t>
        </is>
      </c>
      <c r="AL744" s="58" t="n">
        <v>1504.5</v>
      </c>
      <c r="AM744" s="58" t="n">
        <v>8620.689655</v>
      </c>
      <c r="AN744" s="155" t="inlineStr">
        <is>
          <t>Shopify Stetson México</t>
        </is>
      </c>
      <c r="AO744" s="59" t="n">
        <v>0</v>
      </c>
      <c r="AP744" s="59" t="n"/>
      <c r="AQ744" s="59" t="n"/>
      <c r="AR744" s="155" t="n"/>
    </row>
    <row r="745">
      <c r="A745" s="50" t="inlineStr">
        <is>
          <t>12021004131042025</t>
        </is>
      </c>
      <c r="B745" s="51" t="inlineStr">
        <is>
          <t>111647</t>
        </is>
      </c>
      <c r="C745" s="156" t="inlineStr">
        <is>
          <t>Multimarca</t>
        </is>
      </c>
      <c r="D745" s="156" t="inlineStr">
        <is>
          <t>12-021-BS004-13-1042</t>
        </is>
      </c>
      <c r="E745" s="156" t="inlineStr">
        <is>
          <t>12-021-BS004-13-1042-025</t>
        </is>
      </c>
      <c r="F745" s="156" t="inlineStr">
        <is>
          <t>25</t>
        </is>
      </c>
      <c r="G745" s="156" t="inlineStr">
        <is>
          <t>8</t>
        </is>
      </c>
      <c r="H745" s="156" t="inlineStr">
        <is>
          <t>Stetson</t>
        </is>
      </c>
      <c r="I745" s="156" t="inlineStr">
        <is>
          <t>Bota Caimán Arena</t>
        </is>
      </c>
      <c r="J745" s="156" t="inlineStr">
        <is>
          <t>Calzado</t>
        </is>
      </c>
      <c r="K745" s="156" t="inlineStr">
        <is>
          <t>Botas</t>
        </is>
      </c>
      <c r="L745" s="156" t="inlineStr">
        <is>
          <t>Mujer</t>
        </is>
      </c>
      <c r="M745" s="156" t="inlineStr">
        <is>
          <t>Stetson</t>
        </is>
      </c>
      <c r="N745" s="156" t="inlineStr">
        <is>
          <t>SS26</t>
        </is>
      </c>
      <c r="O745" s="156" t="inlineStr">
        <is>
          <t>Seasonal</t>
        </is>
      </c>
      <c r="P745" s="156" t="inlineStr">
        <is>
          <t>Beige</t>
        </is>
      </c>
      <c r="Q745" s="156" t="n"/>
      <c r="R745" s="156" t="inlineStr">
        <is>
          <t>Horma Alexia</t>
        </is>
      </c>
      <c r="S745" s="156" t="inlineStr">
        <is>
          <t>Piel de caimán</t>
        </is>
      </c>
      <c r="T745" s="156" t="inlineStr">
        <is>
          <t>Bota Dama Piel de caimán Arena Horma Alexia</t>
        </is>
      </c>
      <c r="U745" s="156" t="inlineStr">
        <is>
          <t>México</t>
        </is>
      </c>
      <c r="V745" s="156" t="inlineStr">
        <is>
          <t>PRS</t>
        </is>
      </c>
      <c r="W745" s="51" t="inlineStr">
        <is>
          <t>53111502</t>
        </is>
      </c>
      <c r="X745" s="156" t="n"/>
      <c r="Y745" s="54" t="n">
        <v>1504.5</v>
      </c>
      <c r="Z745" s="54" t="n">
        <v>8620.689655</v>
      </c>
      <c r="AA745" s="55">
        <f>IF(AND(A745="", B745="", E745=""), "", IF(AB745="", "Válido", IF((LEN(AB745)-LEN(SUBSTITUTE(AB745,"; ","")))/2+1&gt;(LEN(AB745)-LEN(SUBSTITUTE(AB745,"[Aviso]","")))/7, "Con Incidencias", "Válido")))</f>
        <v/>
      </c>
      <c r="AB745" s="56">
        <f>IF(AND(A745="", B745="", E745=""), "", TEXTJOIN("; ", TRUE, IF(OR(TRIM(A745&amp;"")="", ISNUMBER(SEARCH("FALTA", A745))), "UPC faltante/inválido", ""), IF(AND(A745&lt;&gt;"", IFERROR(_xlfn.XMATCH(A745,$A$2:$A$2509,0,1)&lt;&gt;_xlfn.XMATCH(A745,$A$2:$A$2509,0,-1),FALSE)), "Código de barras duplicado", ""), IF(AND(E745&lt;&gt;"", COUNTIF($E$2:$E$2509, E745)&gt;1), "SKU duplicado", ""), IF(OR(J745="", J745=""), "[Aviso] División no capturada ()", IF(ISNA(MATCH(J745, Criterios!$A$123:$A$126, 0)), "División no válida", "")), IF(OR(K745="", K745=""), "[Aviso] Categoría no capturada ()", IF(ISNA(MATCH(K745, Criterios!$A$81:$A$120, 0)), "Categoría no válida", IF(AND(J745&lt;&gt;"", J745&lt;&gt;"", J745&lt;&gt;VLOOKUP(K745, Criterios!$A$81:$B$120, 2, FALSE)), "División no coincide con Categoría", ""))), IF(OR(L745="", L745=""), "[Aviso] Género no capturado ()", IF(ISNA(MATCH(L745, Criterios!$B$123:$B$127, 0)), "Género no válido", "")), IF(OR(N745="", N745=""), "[Aviso] Temporada no capturada ()", IF(ISNA(MATCH(N745, Criterios!$C$123:$C$128, 0)), "Temporada no válida", "")), IF(OR(O745="", O745=""), "[Aviso] Ciclo de vida no capturado ()", IF(ISNA(MATCH(O745, Criterios!$D$123:$D$124, 0)), "Ciclo de vida no válido", ""))))</f>
        <v/>
      </c>
      <c r="AC745" s="56" t="n"/>
      <c r="AD745" s="51" t="n">
        <v>-1</v>
      </c>
      <c r="AE745" s="156" t="n"/>
      <c r="AF745" s="51" t="n">
        <v>0</v>
      </c>
      <c r="AG745" s="156" t="inlineStr">
        <is>
          <t>Catálogo existente</t>
        </is>
      </c>
      <c r="AH74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5" s="156" t="inlineStr">
        <is>
          <t>Sí</t>
        </is>
      </c>
      <c r="AJ745" s="156" t="inlineStr">
        <is>
          <t>STETSON AMERICAS (-1)</t>
        </is>
      </c>
      <c r="AK745" s="155" t="inlineStr">
        <is>
          <t>Criterios: I [Q]; G1522_Extraccion_Articulos_NetSuite_2026-09-30.xlsx: fila 59322 [R] | Shopify Stetson: producto 15054565146987 / variante 53350562169195</t>
        </is>
      </c>
      <c r="AL745" s="58" t="n">
        <v>1504.5</v>
      </c>
      <c r="AM745" s="58" t="n">
        <v>8620.689655</v>
      </c>
      <c r="AN745" s="155" t="inlineStr">
        <is>
          <t>Shopify Stetson México</t>
        </is>
      </c>
      <c r="AO745" s="59" t="n">
        <v>1</v>
      </c>
      <c r="AP745" s="59" t="n"/>
      <c r="AQ745" s="59" t="n"/>
      <c r="AR745" s="155" t="inlineStr">
        <is>
          <t>Shopify Stetson México › Stetson Americas: 1</t>
        </is>
      </c>
    </row>
    <row r="746">
      <c r="A746" s="50" t="inlineStr">
        <is>
          <t>12021004131042026</t>
        </is>
      </c>
      <c r="B746" s="51" t="inlineStr">
        <is>
          <t>111639</t>
        </is>
      </c>
      <c r="C746" s="156" t="inlineStr">
        <is>
          <t>Multimarca</t>
        </is>
      </c>
      <c r="D746" s="156" t="inlineStr">
        <is>
          <t>12-021-BS004-13-1042</t>
        </is>
      </c>
      <c r="E746" s="156" t="inlineStr">
        <is>
          <t>12-021-BS004-13-1042-026</t>
        </is>
      </c>
      <c r="F746" s="156" t="inlineStr">
        <is>
          <t>26</t>
        </is>
      </c>
      <c r="G746" s="156" t="inlineStr">
        <is>
          <t>9</t>
        </is>
      </c>
      <c r="H746" s="156" t="inlineStr">
        <is>
          <t>Stetson</t>
        </is>
      </c>
      <c r="I746" s="156" t="inlineStr">
        <is>
          <t>Bota Caimán Arena</t>
        </is>
      </c>
      <c r="J746" s="156" t="inlineStr">
        <is>
          <t>Calzado</t>
        </is>
      </c>
      <c r="K746" s="156" t="inlineStr">
        <is>
          <t>Botas</t>
        </is>
      </c>
      <c r="L746" s="156" t="inlineStr">
        <is>
          <t>Mujer</t>
        </is>
      </c>
      <c r="M746" s="156" t="inlineStr">
        <is>
          <t>Stetson</t>
        </is>
      </c>
      <c r="N746" s="156" t="inlineStr">
        <is>
          <t>SS26</t>
        </is>
      </c>
      <c r="O746" s="156" t="inlineStr">
        <is>
          <t>Seasonal</t>
        </is>
      </c>
      <c r="P746" s="156" t="inlineStr">
        <is>
          <t>Beige</t>
        </is>
      </c>
      <c r="Q746" s="156" t="n"/>
      <c r="R746" s="156" t="inlineStr">
        <is>
          <t>Horma Alexia</t>
        </is>
      </c>
      <c r="S746" s="156" t="inlineStr">
        <is>
          <t>Piel de caimán</t>
        </is>
      </c>
      <c r="T746" s="156" t="inlineStr">
        <is>
          <t>Bota Dama Piel de caimán Arena Horma Alexia</t>
        </is>
      </c>
      <c r="U746" s="156" t="inlineStr">
        <is>
          <t>México</t>
        </is>
      </c>
      <c r="V746" s="156" t="inlineStr">
        <is>
          <t>PRS</t>
        </is>
      </c>
      <c r="W746" s="51" t="inlineStr">
        <is>
          <t>53111502</t>
        </is>
      </c>
      <c r="X746" s="156" t="n"/>
      <c r="Y746" s="54" t="n">
        <v>1504.5</v>
      </c>
      <c r="Z746" s="54" t="n">
        <v>8620.689655</v>
      </c>
      <c r="AA746" s="55">
        <f>IF(AND(A746="", B746="", E746=""), "", IF(AB746="", "Válido", IF((LEN(AB746)-LEN(SUBSTITUTE(AB746,"; ","")))/2+1&gt;(LEN(AB746)-LEN(SUBSTITUTE(AB746,"[Aviso]","")))/7, "Con Incidencias", "Válido")))</f>
        <v/>
      </c>
      <c r="AB746" s="56">
        <f>IF(AND(A746="", B746="", E746=""), "", TEXTJOIN("; ", TRUE, IF(OR(TRIM(A746&amp;"")="", ISNUMBER(SEARCH("FALTA", A746))), "UPC faltante/inválido", ""), IF(AND(A746&lt;&gt;"", IFERROR(_xlfn.XMATCH(A746,$A$2:$A$2509,0,1)&lt;&gt;_xlfn.XMATCH(A746,$A$2:$A$2509,0,-1),FALSE)), "Código de barras duplicado", ""), IF(AND(E746&lt;&gt;"", COUNTIF($E$2:$E$2509, E746)&gt;1), "SKU duplicado", ""), IF(OR(J746="", J746=""), "[Aviso] División no capturada ()", IF(ISNA(MATCH(J746, Criterios!$A$123:$A$126, 0)), "División no válida", "")), IF(OR(K746="", K746=""), "[Aviso] Categoría no capturada ()", IF(ISNA(MATCH(K746, Criterios!$A$81:$A$120, 0)), "Categoría no válida", IF(AND(J746&lt;&gt;"", J746&lt;&gt;"", J746&lt;&gt;VLOOKUP(K746, Criterios!$A$81:$B$120, 2, FALSE)), "División no coincide con Categoría", ""))), IF(OR(L746="", L746=""), "[Aviso] Género no capturado ()", IF(ISNA(MATCH(L746, Criterios!$B$123:$B$127, 0)), "Género no válido", "")), IF(OR(N746="", N746=""), "[Aviso] Temporada no capturada ()", IF(ISNA(MATCH(N746, Criterios!$C$123:$C$128, 0)), "Temporada no válida", "")), IF(OR(O746="", O746=""), "[Aviso] Ciclo de vida no capturado ()", IF(ISNA(MATCH(O746, Criterios!$D$123:$D$124, 0)), "Ciclo de vida no válido", ""))))</f>
        <v/>
      </c>
      <c r="AC746" s="56" t="n"/>
      <c r="AD746" s="51" t="n">
        <v>0</v>
      </c>
      <c r="AE746" s="156" t="n"/>
      <c r="AF746" s="51" t="n">
        <v>0</v>
      </c>
      <c r="AG746" s="156" t="inlineStr">
        <is>
          <t>Catálogo existente</t>
        </is>
      </c>
      <c r="AH74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6" s="156" t="inlineStr">
        <is>
          <t>No</t>
        </is>
      </c>
      <c r="AJ746" s="156" t="n"/>
      <c r="AK746" s="155" t="inlineStr">
        <is>
          <t>Criterios: I [Q]; G1522_Extraccion_Articulos_NetSuite_2026-09-30.xlsx: fila 59314 [R]</t>
        </is>
      </c>
      <c r="AL746" s="58" t="n">
        <v>1504.5</v>
      </c>
      <c r="AM746" s="58" t="n">
        <v>8620.689655</v>
      </c>
      <c r="AN746" s="155" t="n"/>
      <c r="AO746" s="59" t="n"/>
      <c r="AP746" s="59" t="n"/>
      <c r="AQ746" s="59" t="n"/>
      <c r="AR746" s="155" t="n"/>
    </row>
    <row r="747">
      <c r="A747" s="50" t="inlineStr">
        <is>
          <t>12021004131042027</t>
        </is>
      </c>
      <c r="B747" s="51" t="inlineStr">
        <is>
          <t>111640</t>
        </is>
      </c>
      <c r="C747" s="156" t="inlineStr">
        <is>
          <t>Multimarca</t>
        </is>
      </c>
      <c r="D747" s="156" t="inlineStr">
        <is>
          <t>12-021-BS004-13-1042</t>
        </is>
      </c>
      <c r="E747" s="156" t="inlineStr">
        <is>
          <t>12-021-BS004-13-1042-027</t>
        </is>
      </c>
      <c r="F747" s="156" t="inlineStr">
        <is>
          <t>27</t>
        </is>
      </c>
      <c r="G747" s="156" t="inlineStr">
        <is>
          <t>10</t>
        </is>
      </c>
      <c r="H747" s="156" t="inlineStr">
        <is>
          <t>Stetson</t>
        </is>
      </c>
      <c r="I747" s="156" t="inlineStr">
        <is>
          <t>Bota Caimán Arena</t>
        </is>
      </c>
      <c r="J747" s="156" t="inlineStr">
        <is>
          <t>Calzado</t>
        </is>
      </c>
      <c r="K747" s="156" t="inlineStr">
        <is>
          <t>Botas</t>
        </is>
      </c>
      <c r="L747" s="156" t="inlineStr">
        <is>
          <t>Mujer</t>
        </is>
      </c>
      <c r="M747" s="156" t="inlineStr">
        <is>
          <t>Stetson</t>
        </is>
      </c>
      <c r="N747" s="156" t="inlineStr">
        <is>
          <t>SS26</t>
        </is>
      </c>
      <c r="O747" s="156" t="inlineStr">
        <is>
          <t>Seasonal</t>
        </is>
      </c>
      <c r="P747" s="156" t="inlineStr">
        <is>
          <t>Beige</t>
        </is>
      </c>
      <c r="Q747" s="156" t="n"/>
      <c r="R747" s="156" t="inlineStr">
        <is>
          <t>Horma Alexia</t>
        </is>
      </c>
      <c r="S747" s="156" t="inlineStr">
        <is>
          <t>Piel de caimán</t>
        </is>
      </c>
      <c r="T747" s="156" t="inlineStr">
        <is>
          <t>Bota Dama Piel de caimán Arena Horma Alexia</t>
        </is>
      </c>
      <c r="U747" s="156" t="inlineStr">
        <is>
          <t>México</t>
        </is>
      </c>
      <c r="V747" s="156" t="inlineStr">
        <is>
          <t>PRS</t>
        </is>
      </c>
      <c r="W747" s="51" t="inlineStr">
        <is>
          <t>53111502</t>
        </is>
      </c>
      <c r="X747" s="156" t="n"/>
      <c r="Y747" s="54" t="n">
        <v>1504.5</v>
      </c>
      <c r="Z747" s="54" t="n">
        <v>8620.689655</v>
      </c>
      <c r="AA747" s="55">
        <f>IF(AND(A747="", B747="", E747=""), "", IF(AB747="", "Válido", IF((LEN(AB747)-LEN(SUBSTITUTE(AB747,"; ","")))/2+1&gt;(LEN(AB747)-LEN(SUBSTITUTE(AB747,"[Aviso]","")))/7, "Con Incidencias", "Válido")))</f>
        <v/>
      </c>
      <c r="AB747" s="56">
        <f>IF(AND(A747="", B747="", E747=""), "", TEXTJOIN("; ", TRUE, IF(OR(TRIM(A747&amp;"")="", ISNUMBER(SEARCH("FALTA", A747))), "UPC faltante/inválido", ""), IF(AND(A747&lt;&gt;"", IFERROR(_xlfn.XMATCH(A747,$A$2:$A$2509,0,1)&lt;&gt;_xlfn.XMATCH(A747,$A$2:$A$2509,0,-1),FALSE)), "Código de barras duplicado", ""), IF(AND(E747&lt;&gt;"", COUNTIF($E$2:$E$2509, E747)&gt;1), "SKU duplicado", ""), IF(OR(J747="", J747=""), "[Aviso] División no capturada ()", IF(ISNA(MATCH(J747, Criterios!$A$123:$A$126, 0)), "División no válida", "")), IF(OR(K747="", K747=""), "[Aviso] Categoría no capturada ()", IF(ISNA(MATCH(K747, Criterios!$A$81:$A$120, 0)), "Categoría no válida", IF(AND(J747&lt;&gt;"", J747&lt;&gt;"", J747&lt;&gt;VLOOKUP(K747, Criterios!$A$81:$B$120, 2, FALSE)), "División no coincide con Categoría", ""))), IF(OR(L747="", L747=""), "[Aviso] Género no capturado ()", IF(ISNA(MATCH(L747, Criterios!$B$123:$B$127, 0)), "Género no válido", "")), IF(OR(N747="", N747=""), "[Aviso] Temporada no capturada ()", IF(ISNA(MATCH(N747, Criterios!$C$123:$C$128, 0)), "Temporada no válida", "")), IF(OR(O747="", O747=""), "[Aviso] Ciclo de vida no capturado ()", IF(ISNA(MATCH(O747, Criterios!$D$123:$D$124, 0)), "Ciclo de vida no válido", ""))))</f>
        <v/>
      </c>
      <c r="AC747" s="56" t="n"/>
      <c r="AD747" s="51" t="n">
        <v>0</v>
      </c>
      <c r="AE747" s="156" t="n"/>
      <c r="AF747" s="51" t="n">
        <v>0</v>
      </c>
      <c r="AG747" s="156" t="inlineStr">
        <is>
          <t>Catálogo existente</t>
        </is>
      </c>
      <c r="AH74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7" s="156" t="inlineStr">
        <is>
          <t>No</t>
        </is>
      </c>
      <c r="AJ747" s="156" t="n"/>
      <c r="AK747" s="155" t="inlineStr">
        <is>
          <t>Criterios: I [Q]; G1522_Extraccion_Articulos_NetSuite_2026-09-30.xlsx: fila 59315 [R]</t>
        </is>
      </c>
      <c r="AL747" s="58" t="n">
        <v>1504.5</v>
      </c>
      <c r="AM747" s="58" t="n">
        <v>8620.689655</v>
      </c>
      <c r="AN747" s="155" t="n"/>
      <c r="AO747" s="59" t="n"/>
      <c r="AP747" s="59" t="n"/>
      <c r="AQ747" s="59" t="n"/>
      <c r="AR747" s="155" t="n"/>
    </row>
    <row r="748">
      <c r="A748" s="50" t="inlineStr">
        <is>
          <t>12021004131042225</t>
        </is>
      </c>
      <c r="B748" s="51" t="inlineStr">
        <is>
          <t>111648</t>
        </is>
      </c>
      <c r="C748" s="156" t="inlineStr">
        <is>
          <t>Multimarca</t>
        </is>
      </c>
      <c r="D748" s="156" t="inlineStr">
        <is>
          <t>12-021-BS004-13-1042</t>
        </is>
      </c>
      <c r="E748" s="156" t="inlineStr">
        <is>
          <t>12-021-BS004-13-1042-225</t>
        </is>
      </c>
      <c r="F748" s="156" t="inlineStr">
        <is>
          <t>22.5</t>
        </is>
      </c>
      <c r="G748" s="156" t="inlineStr">
        <is>
          <t>5.5</t>
        </is>
      </c>
      <c r="H748" s="156" t="inlineStr">
        <is>
          <t>Stetson</t>
        </is>
      </c>
      <c r="I748" s="156" t="inlineStr">
        <is>
          <t>Bota Caimán Arena</t>
        </is>
      </c>
      <c r="J748" s="156" t="inlineStr">
        <is>
          <t>Calzado</t>
        </is>
      </c>
      <c r="K748" s="156" t="inlineStr">
        <is>
          <t>Botas</t>
        </is>
      </c>
      <c r="L748" s="156" t="inlineStr">
        <is>
          <t>Mujer</t>
        </is>
      </c>
      <c r="M748" s="156" t="inlineStr">
        <is>
          <t>Stetson</t>
        </is>
      </c>
      <c r="N748" s="156" t="inlineStr">
        <is>
          <t>SS26</t>
        </is>
      </c>
      <c r="O748" s="156" t="inlineStr">
        <is>
          <t>Seasonal</t>
        </is>
      </c>
      <c r="P748" s="156" t="inlineStr">
        <is>
          <t>Beige</t>
        </is>
      </c>
      <c r="Q748" s="156" t="n"/>
      <c r="R748" s="156" t="inlineStr">
        <is>
          <t>Horma Alexia</t>
        </is>
      </c>
      <c r="S748" s="156" t="inlineStr">
        <is>
          <t>Piel de caimán</t>
        </is>
      </c>
      <c r="T748" s="156" t="inlineStr">
        <is>
          <t>Bota Dama Piel de caimán Arena Horma Alexia</t>
        </is>
      </c>
      <c r="U748" s="156" t="inlineStr">
        <is>
          <t>México</t>
        </is>
      </c>
      <c r="V748" s="156" t="inlineStr">
        <is>
          <t>PRS</t>
        </is>
      </c>
      <c r="W748" s="51" t="inlineStr">
        <is>
          <t>53111502</t>
        </is>
      </c>
      <c r="X748" s="156" t="n"/>
      <c r="Y748" s="54" t="n">
        <v>1504.5</v>
      </c>
      <c r="Z748" s="54" t="n">
        <v>8620.689655</v>
      </c>
      <c r="AA748" s="55">
        <f>IF(AND(A748="", B748="", E748=""), "", IF(AB748="", "Válido", IF((LEN(AB748)-LEN(SUBSTITUTE(AB748,"; ","")))/2+1&gt;(LEN(AB748)-LEN(SUBSTITUTE(AB748,"[Aviso]","")))/7, "Con Incidencias", "Válido")))</f>
        <v/>
      </c>
      <c r="AB748" s="56">
        <f>IF(AND(A748="", B748="", E748=""), "", TEXTJOIN("; ", TRUE, IF(OR(TRIM(A748&amp;"")="", ISNUMBER(SEARCH("FALTA", A748))), "UPC faltante/inválido", ""), IF(AND(A748&lt;&gt;"", IFERROR(_xlfn.XMATCH(A748,$A$2:$A$2509,0,1)&lt;&gt;_xlfn.XMATCH(A748,$A$2:$A$2509,0,-1),FALSE)), "Código de barras duplicado", ""), IF(AND(E748&lt;&gt;"", COUNTIF($E$2:$E$2509, E748)&gt;1), "SKU duplicado", ""), IF(OR(J748="", J748=""), "[Aviso] División no capturada ()", IF(ISNA(MATCH(J748, Criterios!$A$123:$A$126, 0)), "División no válida", "")), IF(OR(K748="", K748=""), "[Aviso] Categoría no capturada ()", IF(ISNA(MATCH(K748, Criterios!$A$81:$A$120, 0)), "Categoría no válida", IF(AND(J748&lt;&gt;"", J748&lt;&gt;"", J748&lt;&gt;VLOOKUP(K748, Criterios!$A$81:$B$120, 2, FALSE)), "División no coincide con Categoría", ""))), IF(OR(L748="", L748=""), "[Aviso] Género no capturado ()", IF(ISNA(MATCH(L748, Criterios!$B$123:$B$127, 0)), "Género no válido", "")), IF(OR(N748="", N748=""), "[Aviso] Temporada no capturada ()", IF(ISNA(MATCH(N748, Criterios!$C$123:$C$128, 0)), "Temporada no válida", "")), IF(OR(O748="", O748=""), "[Aviso] Ciclo de vida no capturado ()", IF(ISNA(MATCH(O748, Criterios!$D$123:$D$124, 0)), "Ciclo de vida no válido", ""))))</f>
        <v/>
      </c>
      <c r="AC748" s="56" t="n"/>
      <c r="AD748" s="51" t="n">
        <v>0</v>
      </c>
      <c r="AE748" s="156" t="n"/>
      <c r="AF748" s="51" t="n">
        <v>0</v>
      </c>
      <c r="AG748" s="156" t="inlineStr">
        <is>
          <t>Catálogo existente</t>
        </is>
      </c>
      <c r="AH7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8" s="156" t="inlineStr">
        <is>
          <t>No</t>
        </is>
      </c>
      <c r="AJ748" s="156" t="n"/>
      <c r="AK748" s="155" t="inlineStr">
        <is>
          <t>Criterios: I [Q]; G1522_Extraccion_Articulos_NetSuite_2026-09-30.xlsx: fila 59323 [R] | Shopify Stetson: producto 15054565146987 / variante 53350562005355</t>
        </is>
      </c>
      <c r="AL748" s="58" t="n">
        <v>1504.5</v>
      </c>
      <c r="AM748" s="58" t="n">
        <v>8620.689655</v>
      </c>
      <c r="AN748" s="155" t="inlineStr">
        <is>
          <t>Shopify Stetson México</t>
        </is>
      </c>
      <c r="AO748" s="59" t="n">
        <v>0</v>
      </c>
      <c r="AP748" s="59" t="n"/>
      <c r="AQ748" s="59" t="n"/>
      <c r="AR748" s="155" t="n"/>
    </row>
    <row r="749">
      <c r="A749" s="50" t="inlineStr">
        <is>
          <t>12021004131042235</t>
        </is>
      </c>
      <c r="B749" s="51" t="inlineStr">
        <is>
          <t>111649</t>
        </is>
      </c>
      <c r="C749" s="156" t="inlineStr">
        <is>
          <t>Multimarca</t>
        </is>
      </c>
      <c r="D749" s="156" t="inlineStr">
        <is>
          <t>12-021-BS004-13-1042</t>
        </is>
      </c>
      <c r="E749" s="156" t="inlineStr">
        <is>
          <t>12-021-BS004-13-1042-235</t>
        </is>
      </c>
      <c r="F749" s="156" t="inlineStr">
        <is>
          <t>23.5</t>
        </is>
      </c>
      <c r="G749" s="156" t="inlineStr">
        <is>
          <t>6.5</t>
        </is>
      </c>
      <c r="H749" s="156" t="inlineStr">
        <is>
          <t>Stetson</t>
        </is>
      </c>
      <c r="I749" s="156" t="inlineStr">
        <is>
          <t>Bota Caimán Arena</t>
        </is>
      </c>
      <c r="J749" s="156" t="inlineStr">
        <is>
          <t>Calzado</t>
        </is>
      </c>
      <c r="K749" s="156" t="inlineStr">
        <is>
          <t>Botas</t>
        </is>
      </c>
      <c r="L749" s="156" t="inlineStr">
        <is>
          <t>Mujer</t>
        </is>
      </c>
      <c r="M749" s="156" t="inlineStr">
        <is>
          <t>Stetson</t>
        </is>
      </c>
      <c r="N749" s="156" t="inlineStr">
        <is>
          <t>SS26</t>
        </is>
      </c>
      <c r="O749" s="156" t="inlineStr">
        <is>
          <t>Seasonal</t>
        </is>
      </c>
      <c r="P749" s="156" t="inlineStr">
        <is>
          <t>Beige</t>
        </is>
      </c>
      <c r="Q749" s="156" t="n"/>
      <c r="R749" s="156" t="inlineStr">
        <is>
          <t>Horma Alexia</t>
        </is>
      </c>
      <c r="S749" s="156" t="inlineStr">
        <is>
          <t>Piel de caimán</t>
        </is>
      </c>
      <c r="T749" s="156" t="inlineStr">
        <is>
          <t>Bota Dama Piel de caimán Arena Horma Alexia</t>
        </is>
      </c>
      <c r="U749" s="156" t="inlineStr">
        <is>
          <t>México</t>
        </is>
      </c>
      <c r="V749" s="156" t="inlineStr">
        <is>
          <t>PRS</t>
        </is>
      </c>
      <c r="W749" s="51" t="inlineStr">
        <is>
          <t>53111502</t>
        </is>
      </c>
      <c r="X749" s="156" t="n"/>
      <c r="Y749" s="54" t="n">
        <v>1504.5</v>
      </c>
      <c r="Z749" s="54" t="n">
        <v>8620.689655</v>
      </c>
      <c r="AA749" s="55">
        <f>IF(AND(A749="", B749="", E749=""), "", IF(AB749="", "Válido", IF((LEN(AB749)-LEN(SUBSTITUTE(AB749,"; ","")))/2+1&gt;(LEN(AB749)-LEN(SUBSTITUTE(AB749,"[Aviso]","")))/7, "Con Incidencias", "Válido")))</f>
        <v/>
      </c>
      <c r="AB749" s="56">
        <f>IF(AND(A749="", B749="", E749=""), "", TEXTJOIN("; ", TRUE, IF(OR(TRIM(A749&amp;"")="", ISNUMBER(SEARCH("FALTA", A749))), "UPC faltante/inválido", ""), IF(AND(A749&lt;&gt;"", IFERROR(_xlfn.XMATCH(A749,$A$2:$A$2509,0,1)&lt;&gt;_xlfn.XMATCH(A749,$A$2:$A$2509,0,-1),FALSE)), "Código de barras duplicado", ""), IF(AND(E749&lt;&gt;"", COUNTIF($E$2:$E$2509, E749)&gt;1), "SKU duplicado", ""), IF(OR(J749="", J749=""), "[Aviso] División no capturada ()", IF(ISNA(MATCH(J749, Criterios!$A$123:$A$126, 0)), "División no válida", "")), IF(OR(K749="", K749=""), "[Aviso] Categoría no capturada ()", IF(ISNA(MATCH(K749, Criterios!$A$81:$A$120, 0)), "Categoría no válida", IF(AND(J749&lt;&gt;"", J749&lt;&gt;"", J749&lt;&gt;VLOOKUP(K749, Criterios!$A$81:$B$120, 2, FALSE)), "División no coincide con Categoría", ""))), IF(OR(L749="", L749=""), "[Aviso] Género no capturado ()", IF(ISNA(MATCH(L749, Criterios!$B$123:$B$127, 0)), "Género no válido", "")), IF(OR(N749="", N749=""), "[Aviso] Temporada no capturada ()", IF(ISNA(MATCH(N749, Criterios!$C$123:$C$128, 0)), "Temporada no válida", "")), IF(OR(O749="", O749=""), "[Aviso] Ciclo de vida no capturado ()", IF(ISNA(MATCH(O749, Criterios!$D$123:$D$124, 0)), "Ciclo de vida no válido", ""))))</f>
        <v/>
      </c>
      <c r="AC749" s="56" t="n"/>
      <c r="AD749" s="51" t="n">
        <v>0</v>
      </c>
      <c r="AE749" s="156" t="n"/>
      <c r="AF749" s="51" t="n">
        <v>0</v>
      </c>
      <c r="AG749" s="156" t="inlineStr">
        <is>
          <t>Catálogo existente</t>
        </is>
      </c>
      <c r="AH7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9" s="156" t="inlineStr">
        <is>
          <t>No</t>
        </is>
      </c>
      <c r="AJ749" s="156" t="n"/>
      <c r="AK749" s="155" t="inlineStr">
        <is>
          <t>Criterios: I [Q]; G1522_Extraccion_Articulos_NetSuite_2026-09-30.xlsx: fila 59324 [R] | Shopify Stetson: producto 15054565146987 / variante 53350562070891</t>
        </is>
      </c>
      <c r="AL749" s="58" t="n">
        <v>1504.5</v>
      </c>
      <c r="AM749" s="58" t="n">
        <v>8620.689655</v>
      </c>
      <c r="AN749" s="155" t="inlineStr">
        <is>
          <t>Shopify Stetson México</t>
        </is>
      </c>
      <c r="AO749" s="59" t="n">
        <v>0</v>
      </c>
      <c r="AP749" s="59" t="n"/>
      <c r="AQ749" s="59" t="n"/>
      <c r="AR749" s="155" t="n"/>
    </row>
    <row r="750">
      <c r="A750" s="50" t="inlineStr">
        <is>
          <t>12021004131042245</t>
        </is>
      </c>
      <c r="B750" s="51" t="inlineStr">
        <is>
          <t>111650</t>
        </is>
      </c>
      <c r="C750" s="156" t="inlineStr">
        <is>
          <t>Multimarca</t>
        </is>
      </c>
      <c r="D750" s="156" t="inlineStr">
        <is>
          <t>12-021-BS004-13-1042</t>
        </is>
      </c>
      <c r="E750" s="156" t="inlineStr">
        <is>
          <t>12-021-BS004-13-1042-245</t>
        </is>
      </c>
      <c r="F750" s="156" t="inlineStr">
        <is>
          <t>24.5</t>
        </is>
      </c>
      <c r="G750" s="156" t="inlineStr">
        <is>
          <t>7.5</t>
        </is>
      </c>
      <c r="H750" s="156" t="inlineStr">
        <is>
          <t>Stetson</t>
        </is>
      </c>
      <c r="I750" s="156" t="inlineStr">
        <is>
          <t>Bota Caimán Arena</t>
        </is>
      </c>
      <c r="J750" s="156" t="inlineStr">
        <is>
          <t>Calzado</t>
        </is>
      </c>
      <c r="K750" s="156" t="inlineStr">
        <is>
          <t>Botas</t>
        </is>
      </c>
      <c r="L750" s="156" t="inlineStr">
        <is>
          <t>Mujer</t>
        </is>
      </c>
      <c r="M750" s="156" t="inlineStr">
        <is>
          <t>Stetson</t>
        </is>
      </c>
      <c r="N750" s="156" t="inlineStr">
        <is>
          <t>SS26</t>
        </is>
      </c>
      <c r="O750" s="156" t="inlineStr">
        <is>
          <t>Seasonal</t>
        </is>
      </c>
      <c r="P750" s="156" t="inlineStr">
        <is>
          <t>Beige</t>
        </is>
      </c>
      <c r="Q750" s="156" t="n"/>
      <c r="R750" s="156" t="inlineStr">
        <is>
          <t>Horma Alexia</t>
        </is>
      </c>
      <c r="S750" s="156" t="inlineStr">
        <is>
          <t>Piel de caimán</t>
        </is>
      </c>
      <c r="T750" s="156" t="inlineStr">
        <is>
          <t>Bota Dama Piel de caimán Arena Horma Alexia</t>
        </is>
      </c>
      <c r="U750" s="156" t="inlineStr">
        <is>
          <t>México</t>
        </is>
      </c>
      <c r="V750" s="156" t="inlineStr">
        <is>
          <t>PRS</t>
        </is>
      </c>
      <c r="W750" s="51" t="inlineStr">
        <is>
          <t>53111502</t>
        </is>
      </c>
      <c r="X750" s="156" t="n"/>
      <c r="Y750" s="54" t="n">
        <v>1504.5</v>
      </c>
      <c r="Z750" s="54" t="n">
        <v>8620.689655</v>
      </c>
      <c r="AA750" s="55">
        <f>IF(AND(A750="", B750="", E750=""), "", IF(AB750="", "Válido", IF((LEN(AB750)-LEN(SUBSTITUTE(AB750,"; ","")))/2+1&gt;(LEN(AB750)-LEN(SUBSTITUTE(AB750,"[Aviso]","")))/7, "Con Incidencias", "Válido")))</f>
        <v/>
      </c>
      <c r="AB750" s="56">
        <f>IF(AND(A750="", B750="", E750=""), "", TEXTJOIN("; ", TRUE, IF(OR(TRIM(A750&amp;"")="", ISNUMBER(SEARCH("FALTA", A750))), "UPC faltante/inválido", ""), IF(AND(A750&lt;&gt;"", IFERROR(_xlfn.XMATCH(A750,$A$2:$A$2509,0,1)&lt;&gt;_xlfn.XMATCH(A750,$A$2:$A$2509,0,-1),FALSE)), "Código de barras duplicado", ""), IF(AND(E750&lt;&gt;"", COUNTIF($E$2:$E$2509, E750)&gt;1), "SKU duplicado", ""), IF(OR(J750="", J750=""), "[Aviso] División no capturada ()", IF(ISNA(MATCH(J750, Criterios!$A$123:$A$126, 0)), "División no válida", "")), IF(OR(K750="", K750=""), "[Aviso] Categoría no capturada ()", IF(ISNA(MATCH(K750, Criterios!$A$81:$A$120, 0)), "Categoría no válida", IF(AND(J750&lt;&gt;"", J750&lt;&gt;"", J750&lt;&gt;VLOOKUP(K750, Criterios!$A$81:$B$120, 2, FALSE)), "División no coincide con Categoría", ""))), IF(OR(L750="", L750=""), "[Aviso] Género no capturado ()", IF(ISNA(MATCH(L750, Criterios!$B$123:$B$127, 0)), "Género no válido", "")), IF(OR(N750="", N750=""), "[Aviso] Temporada no capturada ()", IF(ISNA(MATCH(N750, Criterios!$C$123:$C$128, 0)), "Temporada no válida", "")), IF(OR(O750="", O750=""), "[Aviso] Ciclo de vida no capturado ()", IF(ISNA(MATCH(O750, Criterios!$D$123:$D$124, 0)), "Ciclo de vida no válido", ""))))</f>
        <v/>
      </c>
      <c r="AC750" s="56" t="n"/>
      <c r="AD750" s="51" t="n">
        <v>-1</v>
      </c>
      <c r="AE750" s="156" t="n"/>
      <c r="AF750" s="51" t="n">
        <v>0</v>
      </c>
      <c r="AG750" s="156" t="inlineStr">
        <is>
          <t>Catálogo existente</t>
        </is>
      </c>
      <c r="AH75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50" s="156" t="inlineStr">
        <is>
          <t>Sí</t>
        </is>
      </c>
      <c r="AJ750" s="156" t="inlineStr">
        <is>
          <t>STETSON AMERICAS (-1)</t>
        </is>
      </c>
      <c r="AK750" s="155" t="inlineStr">
        <is>
          <t>Criterios: I [Q]; G1522_Extraccion_Articulos_NetSuite_2026-09-30.xlsx: fila 59325 [R] | Shopify Stetson: producto 15054565146987 / variante 53350562136427</t>
        </is>
      </c>
      <c r="AL750" s="58" t="n">
        <v>1504.5</v>
      </c>
      <c r="AM750" s="58" t="n">
        <v>8620.689655</v>
      </c>
      <c r="AN750" s="155" t="inlineStr">
        <is>
          <t>Shopify Stetson México</t>
        </is>
      </c>
      <c r="AO750" s="59" t="n">
        <v>0</v>
      </c>
      <c r="AP750" s="59" t="n"/>
      <c r="AQ750" s="59" t="n"/>
      <c r="AR750" s="155" t="n"/>
    </row>
    <row r="751">
      <c r="A751" s="50" t="inlineStr">
        <is>
          <t>12021004131042255</t>
        </is>
      </c>
      <c r="B751" s="51" t="inlineStr">
        <is>
          <t>111641</t>
        </is>
      </c>
      <c r="C751" s="156" t="inlineStr">
        <is>
          <t>Multimarca</t>
        </is>
      </c>
      <c r="D751" s="156" t="inlineStr">
        <is>
          <t>12-021-BS004-13-1042</t>
        </is>
      </c>
      <c r="E751" s="156" t="inlineStr">
        <is>
          <t>12-021-BS004-13-1042-255</t>
        </is>
      </c>
      <c r="F751" s="156" t="inlineStr">
        <is>
          <t>25.5</t>
        </is>
      </c>
      <c r="G751" s="156" t="inlineStr">
        <is>
          <t>8.5</t>
        </is>
      </c>
      <c r="H751" s="156" t="inlineStr">
        <is>
          <t>Stetson</t>
        </is>
      </c>
      <c r="I751" s="156" t="inlineStr">
        <is>
          <t>Bota Caimán Arena</t>
        </is>
      </c>
      <c r="J751" s="156" t="inlineStr">
        <is>
          <t>Calzado</t>
        </is>
      </c>
      <c r="K751" s="156" t="inlineStr">
        <is>
          <t>Botas</t>
        </is>
      </c>
      <c r="L751" s="156" t="inlineStr">
        <is>
          <t>Mujer</t>
        </is>
      </c>
      <c r="M751" s="156" t="inlineStr">
        <is>
          <t>Stetson</t>
        </is>
      </c>
      <c r="N751" s="156" t="inlineStr">
        <is>
          <t>SS26</t>
        </is>
      </c>
      <c r="O751" s="156" t="inlineStr">
        <is>
          <t>Seasonal</t>
        </is>
      </c>
      <c r="P751" s="156" t="inlineStr">
        <is>
          <t>Beige</t>
        </is>
      </c>
      <c r="Q751" s="156" t="n"/>
      <c r="R751" s="156" t="inlineStr">
        <is>
          <t>Horma Alexia</t>
        </is>
      </c>
      <c r="S751" s="156" t="inlineStr">
        <is>
          <t>Piel de caimán</t>
        </is>
      </c>
      <c r="T751" s="156" t="inlineStr">
        <is>
          <t>Bota Dama Piel de caimán Arena Horma Alexia</t>
        </is>
      </c>
      <c r="U751" s="156" t="inlineStr">
        <is>
          <t>México</t>
        </is>
      </c>
      <c r="V751" s="156" t="inlineStr">
        <is>
          <t>PRS</t>
        </is>
      </c>
      <c r="W751" s="51" t="inlineStr">
        <is>
          <t>53111502</t>
        </is>
      </c>
      <c r="X751" s="156" t="n"/>
      <c r="Y751" s="54" t="n">
        <v>1504.5</v>
      </c>
      <c r="Z751" s="54" t="n">
        <v>8620.689655</v>
      </c>
      <c r="AA751" s="55">
        <f>IF(AND(A751="", B751="", E751=""), "", IF(AB751="", "Válido", IF((LEN(AB751)-LEN(SUBSTITUTE(AB751,"; ","")))/2+1&gt;(LEN(AB751)-LEN(SUBSTITUTE(AB751,"[Aviso]","")))/7, "Con Incidencias", "Válido")))</f>
        <v/>
      </c>
      <c r="AB751" s="56">
        <f>IF(AND(A751="", B751="", E751=""), "", TEXTJOIN("; ", TRUE, IF(OR(TRIM(A751&amp;"")="", ISNUMBER(SEARCH("FALTA", A751))), "UPC faltante/inválido", ""), IF(AND(A751&lt;&gt;"", IFERROR(_xlfn.XMATCH(A751,$A$2:$A$2509,0,1)&lt;&gt;_xlfn.XMATCH(A751,$A$2:$A$2509,0,-1),FALSE)), "Código de barras duplicado", ""), IF(AND(E751&lt;&gt;"", COUNTIF($E$2:$E$2509, E751)&gt;1), "SKU duplicado", ""), IF(OR(J751="", J751=""), "[Aviso] División no capturada ()", IF(ISNA(MATCH(J751, Criterios!$A$123:$A$126, 0)), "División no válida", "")), IF(OR(K751="", K751=""), "[Aviso] Categoría no capturada ()", IF(ISNA(MATCH(K751, Criterios!$A$81:$A$120, 0)), "Categoría no válida", IF(AND(J751&lt;&gt;"", J751&lt;&gt;"", J751&lt;&gt;VLOOKUP(K751, Criterios!$A$81:$B$120, 2, FALSE)), "División no coincide con Categoría", ""))), IF(OR(L751="", L751=""), "[Aviso] Género no capturado ()", IF(ISNA(MATCH(L751, Criterios!$B$123:$B$127, 0)), "Género no válido", "")), IF(OR(N751="", N751=""), "[Aviso] Temporada no capturada ()", IF(ISNA(MATCH(N751, Criterios!$C$123:$C$128, 0)), "Temporada no válida", "")), IF(OR(O751="", O751=""), "[Aviso] Ciclo de vida no capturado ()", IF(ISNA(MATCH(O751, Criterios!$D$123:$D$124, 0)), "Ciclo de vida no válido", ""))))</f>
        <v/>
      </c>
      <c r="AC751" s="56" t="n"/>
      <c r="AD751" s="51" t="n">
        <v>0</v>
      </c>
      <c r="AE751" s="156" t="n"/>
      <c r="AF751" s="51" t="n">
        <v>0</v>
      </c>
      <c r="AG751" s="156" t="inlineStr">
        <is>
          <t>Catálogo existente</t>
        </is>
      </c>
      <c r="AH75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1" s="156" t="inlineStr">
        <is>
          <t>No</t>
        </is>
      </c>
      <c r="AJ751" s="156" t="n"/>
      <c r="AK751" s="155" t="inlineStr">
        <is>
          <t>Criterios: I [Q]; G1522_Extraccion_Articulos_NetSuite_2026-09-30.xlsx: fila 59316 [R]</t>
        </is>
      </c>
      <c r="AL751" s="58" t="n">
        <v>1504.5</v>
      </c>
      <c r="AM751" s="58" t="n">
        <v>8620.689655</v>
      </c>
      <c r="AN751" s="155" t="n"/>
      <c r="AO751" s="59" t="n"/>
      <c r="AP751" s="59" t="n"/>
      <c r="AQ751" s="59" t="n"/>
      <c r="AR751" s="155" t="n"/>
    </row>
    <row r="752">
      <c r="A752" s="50" t="inlineStr">
        <is>
          <t>12021004131042265</t>
        </is>
      </c>
      <c r="B752" s="51" t="inlineStr">
        <is>
          <t>111642</t>
        </is>
      </c>
      <c r="C752" s="156" t="inlineStr">
        <is>
          <t>Multimarca</t>
        </is>
      </c>
      <c r="D752" s="156" t="inlineStr">
        <is>
          <t>12-021-BS004-13-1042</t>
        </is>
      </c>
      <c r="E752" s="156" t="inlineStr">
        <is>
          <t>12-021-BS004-13-1042-265</t>
        </is>
      </c>
      <c r="F752" s="156" t="inlineStr">
        <is>
          <t>26.5</t>
        </is>
      </c>
      <c r="G752" s="156" t="inlineStr">
        <is>
          <t>9.5</t>
        </is>
      </c>
      <c r="H752" s="156" t="inlineStr">
        <is>
          <t>Stetson</t>
        </is>
      </c>
      <c r="I752" s="156" t="inlineStr">
        <is>
          <t>Bota Caimán Arena</t>
        </is>
      </c>
      <c r="J752" s="156" t="inlineStr">
        <is>
          <t>Calzado</t>
        </is>
      </c>
      <c r="K752" s="156" t="inlineStr">
        <is>
          <t>Botas</t>
        </is>
      </c>
      <c r="L752" s="156" t="inlineStr">
        <is>
          <t>Mujer</t>
        </is>
      </c>
      <c r="M752" s="156" t="inlineStr">
        <is>
          <t>Stetson</t>
        </is>
      </c>
      <c r="N752" s="156" t="inlineStr">
        <is>
          <t>SS26</t>
        </is>
      </c>
      <c r="O752" s="156" t="inlineStr">
        <is>
          <t>Seasonal</t>
        </is>
      </c>
      <c r="P752" s="156" t="inlineStr">
        <is>
          <t>Beige</t>
        </is>
      </c>
      <c r="Q752" s="156" t="n"/>
      <c r="R752" s="156" t="inlineStr">
        <is>
          <t>Horma Alexia</t>
        </is>
      </c>
      <c r="S752" s="156" t="inlineStr">
        <is>
          <t>Piel de caimán</t>
        </is>
      </c>
      <c r="T752" s="156" t="inlineStr">
        <is>
          <t>Bota Dama Piel de caimán Arena Horma Alexia</t>
        </is>
      </c>
      <c r="U752" s="156" t="inlineStr">
        <is>
          <t>México</t>
        </is>
      </c>
      <c r="V752" s="156" t="inlineStr">
        <is>
          <t>PRS</t>
        </is>
      </c>
      <c r="W752" s="51" t="inlineStr">
        <is>
          <t>53111502</t>
        </is>
      </c>
      <c r="X752" s="156" t="n"/>
      <c r="Y752" s="54" t="n">
        <v>1504.5</v>
      </c>
      <c r="Z752" s="54" t="n">
        <v>8620.689655</v>
      </c>
      <c r="AA752" s="55">
        <f>IF(AND(A752="", B752="", E752=""), "", IF(AB752="", "Válido", IF((LEN(AB752)-LEN(SUBSTITUTE(AB752,"; ","")))/2+1&gt;(LEN(AB752)-LEN(SUBSTITUTE(AB752,"[Aviso]","")))/7, "Con Incidencias", "Válido")))</f>
        <v/>
      </c>
      <c r="AB752" s="56">
        <f>IF(AND(A752="", B752="", E752=""), "", TEXTJOIN("; ", TRUE, IF(OR(TRIM(A752&amp;"")="", ISNUMBER(SEARCH("FALTA", A752))), "UPC faltante/inválido", ""), IF(AND(A752&lt;&gt;"", IFERROR(_xlfn.XMATCH(A752,$A$2:$A$2509,0,1)&lt;&gt;_xlfn.XMATCH(A752,$A$2:$A$2509,0,-1),FALSE)), "Código de barras duplicado", ""), IF(AND(E752&lt;&gt;"", COUNTIF($E$2:$E$2509, E752)&gt;1), "SKU duplicado", ""), IF(OR(J752="", J752=""), "[Aviso] División no capturada ()", IF(ISNA(MATCH(J752, Criterios!$A$123:$A$126, 0)), "División no válida", "")), IF(OR(K752="", K752=""), "[Aviso] Categoría no capturada ()", IF(ISNA(MATCH(K752, Criterios!$A$81:$A$120, 0)), "Categoría no válida", IF(AND(J752&lt;&gt;"", J752&lt;&gt;"", J752&lt;&gt;VLOOKUP(K752, Criterios!$A$81:$B$120, 2, FALSE)), "División no coincide con Categoría", ""))), IF(OR(L752="", L752=""), "[Aviso] Género no capturado ()", IF(ISNA(MATCH(L752, Criterios!$B$123:$B$127, 0)), "Género no válido", "")), IF(OR(N752="", N752=""), "[Aviso] Temporada no capturada ()", IF(ISNA(MATCH(N752, Criterios!$C$123:$C$128, 0)), "Temporada no válida", "")), IF(OR(O752="", O752=""), "[Aviso] Ciclo de vida no capturado ()", IF(ISNA(MATCH(O752, Criterios!$D$123:$D$124, 0)), "Ciclo de vida no válido", ""))))</f>
        <v/>
      </c>
      <c r="AC752" s="56" t="n"/>
      <c r="AD752" s="51" t="n">
        <v>0</v>
      </c>
      <c r="AE752" s="156" t="n"/>
      <c r="AF752" s="51" t="n">
        <v>0</v>
      </c>
      <c r="AG752" s="156" t="inlineStr">
        <is>
          <t>Catálogo existente</t>
        </is>
      </c>
      <c r="AH75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2" s="156" t="inlineStr">
        <is>
          <t>No</t>
        </is>
      </c>
      <c r="AJ752" s="156" t="n"/>
      <c r="AK752" s="155" t="inlineStr">
        <is>
          <t>Criterios: I [Q]; G1522_Extraccion_Articulos_NetSuite_2026-09-30.xlsx: fila 59317 [R]</t>
        </is>
      </c>
      <c r="AL752" s="58" t="n">
        <v>1504.5</v>
      </c>
      <c r="AM752" s="58" t="n">
        <v>8620.689655</v>
      </c>
      <c r="AN752" s="155" t="n"/>
      <c r="AO752" s="59" t="n"/>
      <c r="AP752" s="59" t="n"/>
      <c r="AQ752" s="59" t="n"/>
      <c r="AR752" s="155" t="n"/>
    </row>
    <row r="753">
      <c r="A753" s="50" t="inlineStr">
        <is>
          <t>12021004131042275</t>
        </is>
      </c>
      <c r="B753" s="51" t="inlineStr">
        <is>
          <t>111643</t>
        </is>
      </c>
      <c r="C753" s="156" t="inlineStr">
        <is>
          <t>Multimarca</t>
        </is>
      </c>
      <c r="D753" s="156" t="inlineStr">
        <is>
          <t>12-021-BS004-13-1042</t>
        </is>
      </c>
      <c r="E753" s="156" t="inlineStr">
        <is>
          <t>12-021-BS004-13-1042-275</t>
        </is>
      </c>
      <c r="F753" s="156" t="inlineStr">
        <is>
          <t>27.5</t>
        </is>
      </c>
      <c r="G753" s="156" t="inlineStr">
        <is>
          <t>10.5</t>
        </is>
      </c>
      <c r="H753" s="156" t="inlineStr">
        <is>
          <t>Stetson</t>
        </is>
      </c>
      <c r="I753" s="156" t="inlineStr">
        <is>
          <t>Bota Caimán Arena</t>
        </is>
      </c>
      <c r="J753" s="156" t="inlineStr">
        <is>
          <t>Calzado</t>
        </is>
      </c>
      <c r="K753" s="156" t="inlineStr">
        <is>
          <t>Botas</t>
        </is>
      </c>
      <c r="L753" s="156" t="inlineStr">
        <is>
          <t>Mujer</t>
        </is>
      </c>
      <c r="M753" s="156" t="inlineStr">
        <is>
          <t>Stetson</t>
        </is>
      </c>
      <c r="N753" s="156" t="inlineStr">
        <is>
          <t>SS26</t>
        </is>
      </c>
      <c r="O753" s="156" t="inlineStr">
        <is>
          <t>Seasonal</t>
        </is>
      </c>
      <c r="P753" s="156" t="inlineStr">
        <is>
          <t>Beige</t>
        </is>
      </c>
      <c r="Q753" s="156" t="n"/>
      <c r="R753" s="156" t="inlineStr">
        <is>
          <t>Horma Alexia</t>
        </is>
      </c>
      <c r="S753" s="156" t="inlineStr">
        <is>
          <t>Piel de caimán</t>
        </is>
      </c>
      <c r="T753" s="156" t="inlineStr">
        <is>
          <t>Bota Dama Piel de caimán Arena Horma Alexia</t>
        </is>
      </c>
      <c r="U753" s="156" t="inlineStr">
        <is>
          <t>México</t>
        </is>
      </c>
      <c r="V753" s="156" t="inlineStr">
        <is>
          <t>PRS</t>
        </is>
      </c>
      <c r="W753" s="51" t="inlineStr">
        <is>
          <t>53111502</t>
        </is>
      </c>
      <c r="X753" s="156" t="n"/>
      <c r="Y753" s="54" t="n">
        <v>1504.5</v>
      </c>
      <c r="Z753" s="54" t="n">
        <v>8620.689655</v>
      </c>
      <c r="AA753" s="55">
        <f>IF(AND(A753="", B753="", E753=""), "", IF(AB753="", "Válido", IF((LEN(AB753)-LEN(SUBSTITUTE(AB753,"; ","")))/2+1&gt;(LEN(AB753)-LEN(SUBSTITUTE(AB753,"[Aviso]","")))/7, "Con Incidencias", "Válido")))</f>
        <v/>
      </c>
      <c r="AB753" s="56">
        <f>IF(AND(A753="", B753="", E753=""), "", TEXTJOIN("; ", TRUE, IF(OR(TRIM(A753&amp;"")="", ISNUMBER(SEARCH("FALTA", A753))), "UPC faltante/inválido", ""), IF(AND(A753&lt;&gt;"", IFERROR(_xlfn.XMATCH(A753,$A$2:$A$2509,0,1)&lt;&gt;_xlfn.XMATCH(A753,$A$2:$A$2509,0,-1),FALSE)), "Código de barras duplicado", ""), IF(AND(E753&lt;&gt;"", COUNTIF($E$2:$E$2509, E753)&gt;1), "SKU duplicado", ""), IF(OR(J753="", J753=""), "[Aviso] División no capturada ()", IF(ISNA(MATCH(J753, Criterios!$A$123:$A$126, 0)), "División no válida", "")), IF(OR(K753="", K753=""), "[Aviso] Categoría no capturada ()", IF(ISNA(MATCH(K753, Criterios!$A$81:$A$120, 0)), "Categoría no válida", IF(AND(J753&lt;&gt;"", J753&lt;&gt;"", J753&lt;&gt;VLOOKUP(K753, Criterios!$A$81:$B$120, 2, FALSE)), "División no coincide con Categoría", ""))), IF(OR(L753="", L753=""), "[Aviso] Género no capturado ()", IF(ISNA(MATCH(L753, Criterios!$B$123:$B$127, 0)), "Género no válido", "")), IF(OR(N753="", N753=""), "[Aviso] Temporada no capturada ()", IF(ISNA(MATCH(N753, Criterios!$C$123:$C$128, 0)), "Temporada no válida", "")), IF(OR(O753="", O753=""), "[Aviso] Ciclo de vida no capturado ()", IF(ISNA(MATCH(O753, Criterios!$D$123:$D$124, 0)), "Ciclo de vida no válido", ""))))</f>
        <v/>
      </c>
      <c r="AC753" s="56" t="n"/>
      <c r="AD753" s="51" t="n">
        <v>0</v>
      </c>
      <c r="AE753" s="156" t="n"/>
      <c r="AF753" s="51" t="n">
        <v>0</v>
      </c>
      <c r="AG753" s="156" t="inlineStr">
        <is>
          <t>Catálogo existente</t>
        </is>
      </c>
      <c r="AH75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3" s="156" t="inlineStr">
        <is>
          <t>No</t>
        </is>
      </c>
      <c r="AJ753" s="156" t="n"/>
      <c r="AK753" s="155" t="inlineStr">
        <is>
          <t>Criterios: I [Q]; G1522_Extraccion_Articulos_NetSuite_2026-09-30.xlsx: fila 59318 [R]</t>
        </is>
      </c>
      <c r="AL753" s="58" t="n">
        <v>1504.5</v>
      </c>
      <c r="AM753" s="58" t="n">
        <v>8620.689655</v>
      </c>
      <c r="AN753" s="155" t="n"/>
      <c r="AO753" s="59" t="n"/>
      <c r="AP753" s="59" t="n"/>
      <c r="AQ753" s="59" t="n"/>
      <c r="AR753" s="155" t="n"/>
    </row>
    <row r="754">
      <c r="A754" s="50" t="inlineStr">
        <is>
          <t>195556002766</t>
        </is>
      </c>
      <c r="B754" s="51" t="inlineStr">
        <is>
          <t>117401</t>
        </is>
      </c>
      <c r="C754" s="156" t="inlineStr">
        <is>
          <t>Multimarca</t>
        </is>
      </c>
      <c r="D754" s="156" t="inlineStr">
        <is>
          <t>TWMDNTB103607</t>
        </is>
      </c>
      <c r="E754" s="156" t="inlineStr">
        <is>
          <t>TWMDNTB103607L0</t>
        </is>
      </c>
      <c r="F754" s="156" t="inlineStr">
        <is>
          <t>L</t>
        </is>
      </c>
      <c r="G754" s="156" t="inlineStr">
        <is>
          <t>L</t>
        </is>
      </c>
      <c r="H754" s="156" t="inlineStr">
        <is>
          <t>Stetson</t>
        </is>
      </c>
      <c r="I754" s="156" t="inlineStr">
        <is>
          <t>Texana Stetson Midnight Negro</t>
        </is>
      </c>
      <c r="J754" s="156" t="inlineStr">
        <is>
          <t>Accesorios</t>
        </is>
      </c>
      <c r="K754" s="156" t="inlineStr">
        <is>
          <t>Sombreros</t>
        </is>
      </c>
      <c r="L754" s="156" t="inlineStr">
        <is>
          <t>Unisex</t>
        </is>
      </c>
      <c r="M754" s="156" t="inlineStr">
        <is>
          <t>Stetson</t>
        </is>
      </c>
      <c r="N754" s="156" t="inlineStr">
        <is>
          <t>FW26</t>
        </is>
      </c>
      <c r="O754" s="156" t="inlineStr">
        <is>
          <t>Seasonal</t>
        </is>
      </c>
      <c r="P754" s="156" t="inlineStr">
        <is>
          <t>Negro</t>
        </is>
      </c>
      <c r="Q754" s="156" t="n"/>
      <c r="R754" s="156" t="inlineStr">
        <is>
          <t>Copa Pinch Front</t>
        </is>
      </c>
      <c r="S754" s="156" t="inlineStr">
        <is>
          <t>Mezcla de lana</t>
        </is>
      </c>
      <c r="T754"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Negro
 Material: Fieltro de lana de calidad
 Fabricación: Hecho a mano en Garland, Texas, EE. UU.</t>
        </is>
      </c>
      <c r="U754" s="156" t="inlineStr">
        <is>
          <t>Estados Unidos</t>
        </is>
      </c>
      <c r="V754" s="156" t="inlineStr">
        <is>
          <t>PZS</t>
        </is>
      </c>
      <c r="W754" s="51" t="inlineStr">
        <is>
          <t>53102503</t>
        </is>
      </c>
      <c r="X754" s="156" t="inlineStr">
        <is>
          <t>https://cdn.shopify.com/s/files/1/0357/2432/9005/products/TWMDNTB1036-07_BLACK_1.jpg?v=1649101941</t>
        </is>
      </c>
      <c r="Y754" s="54" t="n">
        <v>1338.75</v>
      </c>
      <c r="Z754" s="54" t="n">
        <v>3275.862069</v>
      </c>
      <c r="AA754" s="55">
        <f>IF(AND(A754="", B754="", E754=""), "", IF(AB754="", "Válido", IF((LEN(AB754)-LEN(SUBSTITUTE(AB754,"; ","")))/2+1&gt;(LEN(AB754)-LEN(SUBSTITUTE(AB754,"[Aviso]","")))/7, "Con Incidencias", "Válido")))</f>
        <v/>
      </c>
      <c r="AB754" s="56">
        <f>IF(AND(A754="", B754="", E754=""), "", TEXTJOIN("; ", TRUE, IF(OR(TRIM(A754&amp;"")="", ISNUMBER(SEARCH("FALTA", A754))), "UPC faltante/inválido", ""), IF(AND(A754&lt;&gt;"", IFERROR(_xlfn.XMATCH(A754,$A$2:$A$2509,0,1)&lt;&gt;_xlfn.XMATCH(A754,$A$2:$A$2509,0,-1),FALSE)), "Código de barras duplicado", ""), IF(AND(E754&lt;&gt;"", COUNTIF($E$2:$E$2509, E754)&gt;1), "SKU duplicado", ""), IF(OR(J754="", J754=""), "[Aviso] División no capturada ()", IF(ISNA(MATCH(J754, Criterios!$A$123:$A$126, 0)), "División no válida", "")), IF(OR(K754="", K754=""), "[Aviso] Categoría no capturada ()", IF(ISNA(MATCH(K754, Criterios!$A$81:$A$120, 0)), "Categoría no válida", IF(AND(J754&lt;&gt;"", J754&lt;&gt;"", J754&lt;&gt;VLOOKUP(K754, Criterios!$A$81:$B$120, 2, FALSE)), "División no coincide con Categoría", ""))), IF(OR(L754="", L754=""), "[Aviso] Género no capturado ()", IF(ISNA(MATCH(L754, Criterios!$B$123:$B$127, 0)), "Género no válido", "")), IF(OR(N754="", N754=""), "[Aviso] Temporada no capturada ()", IF(ISNA(MATCH(N754, Criterios!$C$123:$C$128, 0)), "Temporada no válida", "")), IF(OR(O754="", O754=""), "[Aviso] Ciclo de vida no capturado ()", IF(ISNA(MATCH(O754, Criterios!$D$123:$D$124, 0)), "Ciclo de vida no válido", ""))))</f>
        <v/>
      </c>
      <c r="AC754" s="56" t="n"/>
      <c r="AD754" s="51" t="n">
        <v>0</v>
      </c>
      <c r="AE754" s="156" t="inlineStr">
        <is>
          <t>STETSON AMERICAS (2)</t>
        </is>
      </c>
      <c r="AF754" s="51" t="n">
        <v>2</v>
      </c>
      <c r="AG754" s="156" t="inlineStr">
        <is>
          <t>Catálogo existente</t>
        </is>
      </c>
      <c r="AH754"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«https://cdn.shopify.com/s/files/1/0357/2432/9005/products/TWMDNTB1036-07_BLACK_1.jpg?v=1649101941» (Completado por investigación en línea)</t>
        </is>
      </c>
      <c r="AI754" s="156" t="inlineStr">
        <is>
          <t>Sí</t>
        </is>
      </c>
      <c r="AJ754" s="156" t="inlineStr">
        <is>
          <t>B25 CEDIS (-1); PUNTO DE VENTA (-1)</t>
        </is>
      </c>
      <c r="AK754" s="155" t="inlineStr">
        <is>
          <t>Criterios: I [Q] | Shopify Stetson: producto 15227650507115 / variante 53791839551851 | Investigación en línea 06/10/2026: https://www.stetson.com/products/midtown-wide-flat-brim-hat-black</t>
        </is>
      </c>
      <c r="AL754" s="58" t="n">
        <v>1338.75</v>
      </c>
      <c r="AM754" s="58" t="n">
        <v>3275.862069</v>
      </c>
      <c r="AN754" s="155" t="inlineStr">
        <is>
          <t>Shopify Stetson México</t>
        </is>
      </c>
      <c r="AO754" s="59" t="n">
        <v>2</v>
      </c>
      <c r="AP754" s="59" t="n"/>
      <c r="AQ754" s="59" t="n"/>
      <c r="AR754" s="155" t="inlineStr">
        <is>
          <t>Shopify Stetson México › Stetson Americas: 2</t>
        </is>
      </c>
    </row>
    <row r="755">
      <c r="A755" s="50" t="inlineStr">
        <is>
          <t>195556002773</t>
        </is>
      </c>
      <c r="B755" s="51" t="inlineStr">
        <is>
          <t>117403</t>
        </is>
      </c>
      <c r="C755" s="156" t="inlineStr">
        <is>
          <t>Multimarca</t>
        </is>
      </c>
      <c r="D755" s="156" t="inlineStr">
        <is>
          <t>TWMDNTB103674</t>
        </is>
      </c>
      <c r="E755" s="156" t="inlineStr">
        <is>
          <t>TWMDNTB103674L0</t>
        </is>
      </c>
      <c r="F755" s="156" t="inlineStr">
        <is>
          <t>L</t>
        </is>
      </c>
      <c r="G755" s="156" t="inlineStr">
        <is>
          <t>L</t>
        </is>
      </c>
      <c r="H755" s="156" t="inlineStr">
        <is>
          <t>Stetson</t>
        </is>
      </c>
      <c r="I755" s="156" t="inlineStr">
        <is>
          <t>Texana Stetson Midnight Negro</t>
        </is>
      </c>
      <c r="J755" s="156" t="inlineStr">
        <is>
          <t>Accesorios</t>
        </is>
      </c>
      <c r="K755" s="156" t="inlineStr">
        <is>
          <t>Sombreros</t>
        </is>
      </c>
      <c r="L755" s="156" t="inlineStr">
        <is>
          <t>Unisex</t>
        </is>
      </c>
      <c r="M755" s="156" t="inlineStr">
        <is>
          <t>Stetson</t>
        </is>
      </c>
      <c r="N755" s="156" t="inlineStr">
        <is>
          <t>FW26</t>
        </is>
      </c>
      <c r="O755" s="156" t="inlineStr">
        <is>
          <t>Seasonal</t>
        </is>
      </c>
      <c r="P755" s="156" t="inlineStr">
        <is>
          <t>Negro</t>
        </is>
      </c>
      <c r="Q755" s="156" t="n"/>
      <c r="R755" s="156" t="inlineStr">
        <is>
          <t>Copa Pinch Front</t>
        </is>
      </c>
      <c r="S755" s="156" t="inlineStr">
        <is>
          <t>Mezcla de lana</t>
        </is>
      </c>
      <c r="T755"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Hueso (color oficial Stetson: Bone)
 Material: Fieltro de lana de calidad
 Fabricación: Hecho a mano en Garland, Texas, EE. UU.</t>
        </is>
      </c>
      <c r="U755" s="156" t="inlineStr">
        <is>
          <t>Estados Unidos</t>
        </is>
      </c>
      <c r="V755" s="156" t="inlineStr">
        <is>
          <t>PZS</t>
        </is>
      </c>
      <c r="W755" s="51" t="inlineStr">
        <is>
          <t>53102503</t>
        </is>
      </c>
      <c r="X755" s="156" t="n"/>
      <c r="Y755" s="54" t="n">
        <v>1338.75</v>
      </c>
      <c r="Z755" s="54" t="n">
        <v>3275.862069</v>
      </c>
      <c r="AA755" s="55">
        <f>IF(AND(A755="", B755="", E755=""), "", IF(AB755="", "Válido", IF((LEN(AB755)-LEN(SUBSTITUTE(AB755,"; ","")))/2+1&gt;(LEN(AB755)-LEN(SUBSTITUTE(AB755,"[Aviso]","")))/7, "Con Incidencias", "Válido")))</f>
        <v/>
      </c>
      <c r="AB755" s="56">
        <f>IF(AND(A755="", B755="", E755=""), "", TEXTJOIN("; ", TRUE, IF(OR(TRIM(A755&amp;"")="", ISNUMBER(SEARCH("FALTA", A755))), "UPC faltante/inválido", ""), IF(AND(A755&lt;&gt;"", IFERROR(_xlfn.XMATCH(A755,$A$2:$A$2509,0,1)&lt;&gt;_xlfn.XMATCH(A755,$A$2:$A$2509,0,-1),FALSE)), "Código de barras duplicado", ""), IF(AND(E755&lt;&gt;"", COUNTIF($E$2:$E$2509, E755)&gt;1), "SKU duplicado", ""), IF(OR(J755="", J755=""), "[Aviso] División no capturada ()", IF(ISNA(MATCH(J755, Criterios!$A$123:$A$126, 0)), "División no válida", "")), IF(OR(K755="", K755=""), "[Aviso] Categoría no capturada ()", IF(ISNA(MATCH(K755, Criterios!$A$81:$A$120, 0)), "Categoría no válida", IF(AND(J755&lt;&gt;"", J755&lt;&gt;"", J755&lt;&gt;VLOOKUP(K755, Criterios!$A$81:$B$120, 2, FALSE)), "División no coincide con Categoría", ""))), IF(OR(L755="", L755=""), "[Aviso] Género no capturado ()", IF(ISNA(MATCH(L755, Criterios!$B$123:$B$127, 0)), "Género no válido", "")), IF(OR(N755="", N755=""), "[Aviso] Temporada no capturada ()", IF(ISNA(MATCH(N755, Criterios!$C$123:$C$128, 0)), "Temporada no válida", "")), IF(OR(O755="", O755=""), "[Aviso] Ciclo de vida no capturado ()", IF(ISNA(MATCH(O755, Criterios!$D$123:$D$124, 0)), "Ciclo de vida no válido", ""))))</f>
        <v/>
      </c>
      <c r="AC755" s="56" t="n"/>
      <c r="AD755" s="51" t="n">
        <v>0</v>
      </c>
      <c r="AE755" s="156" t="inlineStr">
        <is>
          <t>STETSON AMERICAS (2)</t>
        </is>
      </c>
      <c r="AF755" s="51" t="n">
        <v>2</v>
      </c>
      <c r="AG755" s="156" t="inlineStr">
        <is>
          <t>Catálogo existente</t>
        </is>
      </c>
      <c r="AH755" s="156" t="inlineStr">
        <is>
          <t>Revisión 29/09/2026: Talla fuente L sin equivalencia exacta en Criterios para Talla Sombrero; Campos sin respaldo: X | 01/10/2026: complementado desde Shopify Stetson México (match por código de barras): WB Fit, WB Silueta | 01/10/2026: Shopify Stetson México trae Color «Blanco» — se conservó el valor de Productos</t>
        </is>
      </c>
      <c r="AI755" s="156" t="inlineStr">
        <is>
          <t>Sí</t>
        </is>
      </c>
      <c r="AJ755" s="156" t="inlineStr">
        <is>
          <t>PUNTO DE VENTA (-1); B25 CEDIS (-1)</t>
        </is>
      </c>
      <c r="AK755" s="155" t="inlineStr">
        <is>
          <t>Criterios: I [Q] | Shopify Stetson: producto 15227650539883 / variante 53791839617387</t>
        </is>
      </c>
      <c r="AL755" s="58" t="n">
        <v>1338.75</v>
      </c>
      <c r="AM755" s="58" t="n">
        <v>3275.862069</v>
      </c>
      <c r="AN755" s="155" t="inlineStr">
        <is>
          <t>Shopify Stetson México</t>
        </is>
      </c>
      <c r="AO755" s="59" t="n">
        <v>2</v>
      </c>
      <c r="AP755" s="59" t="n"/>
      <c r="AQ755" s="59" t="n"/>
      <c r="AR755" s="155" t="inlineStr">
        <is>
          <t>Shopify Stetson México › Stetson Americas: 2</t>
        </is>
      </c>
    </row>
    <row r="756">
      <c r="A756" s="50" t="inlineStr">
        <is>
          <t>195556002780</t>
        </is>
      </c>
      <c r="B756" s="51" t="inlineStr">
        <is>
          <t>117402</t>
        </is>
      </c>
      <c r="C756" s="156" t="inlineStr">
        <is>
          <t>Multimarca</t>
        </is>
      </c>
      <c r="D756" s="156" t="inlineStr">
        <is>
          <t>TWMDNTB103607</t>
        </is>
      </c>
      <c r="E756" s="156" t="inlineStr">
        <is>
          <t>TWMDNTB103607M0</t>
        </is>
      </c>
      <c r="F756" s="156" t="inlineStr">
        <is>
          <t>M</t>
        </is>
      </c>
      <c r="G756" s="156" t="inlineStr">
        <is>
          <t>M</t>
        </is>
      </c>
      <c r="H756" s="156" t="inlineStr">
        <is>
          <t>Stetson</t>
        </is>
      </c>
      <c r="I756" s="156" t="inlineStr">
        <is>
          <t>Texana Stetson Midnight Negro</t>
        </is>
      </c>
      <c r="J756" s="156" t="inlineStr">
        <is>
          <t>Accesorios</t>
        </is>
      </c>
      <c r="K756" s="156" t="inlineStr">
        <is>
          <t>Sombreros</t>
        </is>
      </c>
      <c r="L756" s="156" t="inlineStr">
        <is>
          <t>Unisex</t>
        </is>
      </c>
      <c r="M756" s="156" t="inlineStr">
        <is>
          <t>Stetson</t>
        </is>
      </c>
      <c r="N756" s="156" t="inlineStr">
        <is>
          <t>FW26</t>
        </is>
      </c>
      <c r="O756" s="156" t="inlineStr">
        <is>
          <t>Seasonal</t>
        </is>
      </c>
      <c r="P756" s="156" t="inlineStr">
        <is>
          <t>Negro</t>
        </is>
      </c>
      <c r="Q756" s="156" t="n"/>
      <c r="R756" s="156" t="inlineStr">
        <is>
          <t>Copa Pinch Front</t>
        </is>
      </c>
      <c r="S756" s="156" t="inlineStr">
        <is>
          <t>Mezcla de lana</t>
        </is>
      </c>
      <c r="T756"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Negro
 Material: Fieltro de lana de calidad
 Fabricación: Hecho a mano en Garland, Texas, EE. UU.</t>
        </is>
      </c>
      <c r="U756" s="156" t="inlineStr">
        <is>
          <t>Estados Unidos</t>
        </is>
      </c>
      <c r="V756" s="156" t="inlineStr">
        <is>
          <t>PZS</t>
        </is>
      </c>
      <c r="W756" s="51" t="inlineStr">
        <is>
          <t>53102503</t>
        </is>
      </c>
      <c r="X756" s="156" t="inlineStr">
        <is>
          <t>https://cdn.shopify.com/s/files/1/0357/2432/9005/products/TWMDNTB1036-07_BLACK_1.jpg?v=1649101941</t>
        </is>
      </c>
      <c r="Y756" s="54" t="n">
        <v>1338.75</v>
      </c>
      <c r="Z756" s="54" t="n">
        <v>3275.862069</v>
      </c>
      <c r="AA756" s="55">
        <f>IF(AND(A756="", B756="", E756=""), "", IF(AB756="", "Válido", IF((LEN(AB756)-LEN(SUBSTITUTE(AB756,"; ","")))/2+1&gt;(LEN(AB756)-LEN(SUBSTITUTE(AB756,"[Aviso]","")))/7, "Con Incidencias", "Válido")))</f>
        <v/>
      </c>
      <c r="AB756" s="56">
        <f>IF(AND(A756="", B756="", E756=""), "", TEXTJOIN("; ", TRUE, IF(OR(TRIM(A756&amp;"")="", ISNUMBER(SEARCH("FALTA", A756))), "UPC faltante/inválido", ""), IF(AND(A756&lt;&gt;"", IFERROR(_xlfn.XMATCH(A756,$A$2:$A$2509,0,1)&lt;&gt;_xlfn.XMATCH(A756,$A$2:$A$2509,0,-1),FALSE)), "Código de barras duplicado", ""), IF(AND(E756&lt;&gt;"", COUNTIF($E$2:$E$2509, E756)&gt;1), "SKU duplicado", ""), IF(OR(J756="", J756=""), "[Aviso] División no capturada ()", IF(ISNA(MATCH(J756, Criterios!$A$123:$A$126, 0)), "División no válida", "")), IF(OR(K756="", K756=""), "[Aviso] Categoría no capturada ()", IF(ISNA(MATCH(K756, Criterios!$A$81:$A$120, 0)), "Categoría no válida", IF(AND(J756&lt;&gt;"", J756&lt;&gt;"", J756&lt;&gt;VLOOKUP(K756, Criterios!$A$81:$B$120, 2, FALSE)), "División no coincide con Categoría", ""))), IF(OR(L756="", L756=""), "[Aviso] Género no capturado ()", IF(ISNA(MATCH(L756, Criterios!$B$123:$B$127, 0)), "Género no válido", "")), IF(OR(N756="", N756=""), "[Aviso] Temporada no capturada ()", IF(ISNA(MATCH(N756, Criterios!$C$123:$C$128, 0)), "Temporada no válida", "")), IF(OR(O756="", O756=""), "[Aviso] Ciclo de vida no capturado ()", IF(ISNA(MATCH(O756, Criterios!$D$123:$D$124, 0)), "Ciclo de vida no válido", ""))))</f>
        <v/>
      </c>
      <c r="AC756" s="56" t="n"/>
      <c r="AD756" s="51" t="n">
        <v>0</v>
      </c>
      <c r="AE756" s="156" t="inlineStr">
        <is>
          <t>STETSON AMERICAS (2)</t>
        </is>
      </c>
      <c r="AF756" s="51" t="n">
        <v>2</v>
      </c>
      <c r="AG756" s="156" t="inlineStr">
        <is>
          <t>Catálogo existente</t>
        </is>
      </c>
      <c r="AH756" s="156" t="inlineStr">
        <is>
          <t>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«https://cdn.shopify.com/s/files/1/0357/2432/9005/products/TWMDNTB1036-07_BLACK_1.jpg?v=1649101941» (Completado por investigación en línea)</t>
        </is>
      </c>
      <c r="AI756" s="156" t="inlineStr">
        <is>
          <t>Sí</t>
        </is>
      </c>
      <c r="AJ756" s="156" t="inlineStr">
        <is>
          <t>PUNTO DE VENTA (-1); B25 CEDIS (-1)</t>
        </is>
      </c>
      <c r="AK756" s="155" t="inlineStr">
        <is>
          <t>Criterios: I [Q] | Shopify Stetson: producto 15227650507115 / variante 53791839584619 | Investigación en línea 06/10/2026: https://www.stetson.com/products/midtown-wide-flat-brim-hat-black</t>
        </is>
      </c>
      <c r="AL756" s="58" t="n">
        <v>1338.75</v>
      </c>
      <c r="AM756" s="58" t="n">
        <v>3275.862069</v>
      </c>
      <c r="AN756" s="155" t="inlineStr">
        <is>
          <t>Shopify Stetson México</t>
        </is>
      </c>
      <c r="AO756" s="59" t="n">
        <v>2</v>
      </c>
      <c r="AP756" s="59" t="n"/>
      <c r="AQ756" s="59" t="n"/>
      <c r="AR756" s="155" t="inlineStr">
        <is>
          <t>Shopify Stetson México › Stetson Americas: 2</t>
        </is>
      </c>
    </row>
    <row r="757">
      <c r="A757" s="50" t="inlineStr">
        <is>
          <t>195556002797</t>
        </is>
      </c>
      <c r="B757" s="51" t="inlineStr">
        <is>
          <t>117404</t>
        </is>
      </c>
      <c r="C757" s="156" t="inlineStr">
        <is>
          <t>Multimarca</t>
        </is>
      </c>
      <c r="D757" s="156" t="inlineStr">
        <is>
          <t>TWMDNTB103674</t>
        </is>
      </c>
      <c r="E757" s="156" t="inlineStr">
        <is>
          <t>TWMDNTB103674M0</t>
        </is>
      </c>
      <c r="F757" s="156" t="inlineStr">
        <is>
          <t>M</t>
        </is>
      </c>
      <c r="G757" s="156" t="inlineStr">
        <is>
          <t>M</t>
        </is>
      </c>
      <c r="H757" s="156" t="inlineStr">
        <is>
          <t>Stetson</t>
        </is>
      </c>
      <c r="I757" s="156" t="inlineStr">
        <is>
          <t>Texana Stetson Midnight Negro</t>
        </is>
      </c>
      <c r="J757" s="156" t="inlineStr">
        <is>
          <t>Accesorios</t>
        </is>
      </c>
      <c r="K757" s="156" t="inlineStr">
        <is>
          <t>Sombreros</t>
        </is>
      </c>
      <c r="L757" s="156" t="inlineStr">
        <is>
          <t>Unisex</t>
        </is>
      </c>
      <c r="M757" s="156" t="inlineStr">
        <is>
          <t>Stetson</t>
        </is>
      </c>
      <c r="N757" s="156" t="inlineStr">
        <is>
          <t>FW26</t>
        </is>
      </c>
      <c r="O757" s="156" t="inlineStr">
        <is>
          <t>Seasonal</t>
        </is>
      </c>
      <c r="P757" s="156" t="inlineStr">
        <is>
          <t>Negro</t>
        </is>
      </c>
      <c r="Q757" s="156" t="n"/>
      <c r="R757" s="156" t="inlineStr">
        <is>
          <t>Copa Pinch Front</t>
        </is>
      </c>
      <c r="S757" s="156" t="inlineStr">
        <is>
          <t>Mezcla de lana</t>
        </is>
      </c>
      <c r="T757"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Hueso (color oficial Stetson: Bone)
 Material: Fieltro de lana de calidad
 Fabricación: Hecho a mano en Garland, Texas, EE. UU.</t>
        </is>
      </c>
      <c r="U757" s="156" t="inlineStr">
        <is>
          <t>Estados Unidos</t>
        </is>
      </c>
      <c r="V757" s="156" t="inlineStr">
        <is>
          <t>PZS</t>
        </is>
      </c>
      <c r="W757" s="51" t="inlineStr">
        <is>
          <t>53102503</t>
        </is>
      </c>
      <c r="X757" s="156" t="n"/>
      <c r="Y757" s="54" t="n">
        <v>1338.75</v>
      </c>
      <c r="Z757" s="54" t="n">
        <v>3275.862069</v>
      </c>
      <c r="AA757" s="55">
        <f>IF(AND(A757="", B757="", E757=""), "", IF(AB757="", "Válido", IF((LEN(AB757)-LEN(SUBSTITUTE(AB757,"; ","")))/2+1&gt;(LEN(AB757)-LEN(SUBSTITUTE(AB757,"[Aviso]","")))/7, "Con Incidencias", "Válido")))</f>
        <v/>
      </c>
      <c r="AB757" s="56">
        <f>IF(AND(A757="", B757="", E757=""), "", TEXTJOIN("; ", TRUE, IF(OR(TRIM(A757&amp;"")="", ISNUMBER(SEARCH("FALTA", A757))), "UPC faltante/inválido", ""), IF(AND(A757&lt;&gt;"", IFERROR(_xlfn.XMATCH(A757,$A$2:$A$2509,0,1)&lt;&gt;_xlfn.XMATCH(A757,$A$2:$A$2509,0,-1),FALSE)), "Código de barras duplicado", ""), IF(AND(E757&lt;&gt;"", COUNTIF($E$2:$E$2509, E757)&gt;1), "SKU duplicado", ""), IF(OR(J757="", J757=""), "[Aviso] División no capturada ()", IF(ISNA(MATCH(J757, Criterios!$A$123:$A$126, 0)), "División no válida", "")), IF(OR(K757="", K757=""), "[Aviso] Categoría no capturada ()", IF(ISNA(MATCH(K757, Criterios!$A$81:$A$120, 0)), "Categoría no válida", IF(AND(J757&lt;&gt;"", J757&lt;&gt;"", J757&lt;&gt;VLOOKUP(K757, Criterios!$A$81:$B$120, 2, FALSE)), "División no coincide con Categoría", ""))), IF(OR(L757="", L757=""), "[Aviso] Género no capturado ()", IF(ISNA(MATCH(L757, Criterios!$B$123:$B$127, 0)), "Género no válido", "")), IF(OR(N757="", N757=""), "[Aviso] Temporada no capturada ()", IF(ISNA(MATCH(N757, Criterios!$C$123:$C$128, 0)), "Temporada no válida", "")), IF(OR(O757="", O757=""), "[Aviso] Ciclo de vida no capturado ()", IF(ISNA(MATCH(O757, Criterios!$D$123:$D$124, 0)), "Ciclo de vida no válido", ""))))</f>
        <v/>
      </c>
      <c r="AC757" s="56" t="n"/>
      <c r="AD757" s="51" t="n">
        <v>0</v>
      </c>
      <c r="AE757" s="156" t="inlineStr">
        <is>
          <t>STETSON AMERICAS (2)</t>
        </is>
      </c>
      <c r="AF757" s="51" t="n">
        <v>2</v>
      </c>
      <c r="AG757" s="156" t="inlineStr">
        <is>
          <t>Catálogo existente</t>
        </is>
      </c>
      <c r="AH757" s="156" t="inlineStr">
        <is>
          <t>Revisión 29/09/2026: Talla fuente M sin equivalencia exacta en Criterios para Talla Sombrero; Campos sin respaldo: X | 01/10/2026: complementado desde Shopify Stetson México (match por código de barras): WB Fit, WB Silueta | 01/10/2026: Shopify Stetson México trae Color «Blanco» — se conservó el valor de Productos</t>
        </is>
      </c>
      <c r="AI757" s="156" t="inlineStr">
        <is>
          <t>Sí</t>
        </is>
      </c>
      <c r="AJ757" s="156" t="inlineStr">
        <is>
          <t>PUNTO DE VENTA (-1); B25 CEDIS (-1)</t>
        </is>
      </c>
      <c r="AK757" s="155" t="inlineStr">
        <is>
          <t>Criterios: I [Q] | Shopify Stetson: producto 15227650539883 / variante 53791839650155</t>
        </is>
      </c>
      <c r="AL757" s="58" t="n">
        <v>1338.75</v>
      </c>
      <c r="AM757" s="58" t="n">
        <v>3275.862069</v>
      </c>
      <c r="AN757" s="155" t="inlineStr">
        <is>
          <t>Shopify Stetson México</t>
        </is>
      </c>
      <c r="AO757" s="59" t="n">
        <v>2</v>
      </c>
      <c r="AP757" s="59" t="n"/>
      <c r="AQ757" s="59" t="n"/>
      <c r="AR757" s="155" t="inlineStr">
        <is>
          <t>Shopify Stetson México › Stetson Americas: 2</t>
        </is>
      </c>
    </row>
    <row r="758">
      <c r="A758" s="50" t="inlineStr">
        <is>
          <t>195556013328</t>
        </is>
      </c>
      <c r="B758" s="51" t="inlineStr">
        <is>
          <t>117393</t>
        </is>
      </c>
      <c r="C758" s="156" t="inlineStr">
        <is>
          <t>Multimarca</t>
        </is>
      </c>
      <c r="D758" s="156" t="inlineStr">
        <is>
          <t>TWBKRGB103475</t>
        </is>
      </c>
      <c r="E758" s="156" t="inlineStr">
        <is>
          <t>TWBKRGB103475L0</t>
        </is>
      </c>
      <c r="F758" s="156" t="inlineStr">
        <is>
          <t>L</t>
        </is>
      </c>
      <c r="G758" s="156" t="inlineStr">
        <is>
          <t>L</t>
        </is>
      </c>
      <c r="H758" s="156" t="inlineStr">
        <is>
          <t>Stetson</t>
        </is>
      </c>
      <c r="I758" s="156" t="inlineStr">
        <is>
          <t>Texana Stetson Skyline / Open Road Negro</t>
        </is>
      </c>
      <c r="J758" s="156" t="inlineStr">
        <is>
          <t>Accesorios</t>
        </is>
      </c>
      <c r="K758" s="156" t="inlineStr">
        <is>
          <t>Sombreros</t>
        </is>
      </c>
      <c r="L758" s="156" t="inlineStr">
        <is>
          <t>Unisex</t>
        </is>
      </c>
      <c r="M758" s="156" t="inlineStr">
        <is>
          <t>Stetson</t>
        </is>
      </c>
      <c r="N758" s="156" t="inlineStr">
        <is>
          <t>FW26</t>
        </is>
      </c>
      <c r="O758" s="156" t="inlineStr">
        <is>
          <t>Seasonal</t>
        </is>
      </c>
      <c r="P758" s="156" t="inlineStr">
        <is>
          <t>Negro</t>
        </is>
      </c>
      <c r="Q758" s="156" t="n"/>
      <c r="R758" s="156" t="inlineStr">
        <is>
          <t>Copa Open Road</t>
        </is>
      </c>
      <c r="S758" s="156" t="inlineStr">
        <is>
          <t>Mezcla de lana</t>
        </is>
      </c>
      <c r="T758"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58" s="156" t="inlineStr">
        <is>
          <t>Estados Unidos</t>
        </is>
      </c>
      <c r="V758" s="156" t="inlineStr">
        <is>
          <t>PZS</t>
        </is>
      </c>
      <c r="W758" s="51" t="inlineStr">
        <is>
          <t>53102503</t>
        </is>
      </c>
      <c r="X758" s="156" t="n"/>
      <c r="Y758" s="54" t="n">
        <v>1496.25</v>
      </c>
      <c r="Z758" s="54" t="n">
        <v>3620.689655</v>
      </c>
      <c r="AA758" s="55">
        <f>IF(AND(A758="", B758="", E758=""), "", IF(AB758="", "Válido", IF((LEN(AB758)-LEN(SUBSTITUTE(AB758,"; ","")))/2+1&gt;(LEN(AB758)-LEN(SUBSTITUTE(AB758,"[Aviso]","")))/7, "Con Incidencias", "Válido")))</f>
        <v/>
      </c>
      <c r="AB758" s="56">
        <f>IF(AND(A758="", B758="", E758=""), "", TEXTJOIN("; ", TRUE, IF(OR(TRIM(A758&amp;"")="", ISNUMBER(SEARCH("FALTA", A758))), "UPC faltante/inválido", ""), IF(AND(A758&lt;&gt;"", IFERROR(_xlfn.XMATCH(A758,$A$2:$A$2509,0,1)&lt;&gt;_xlfn.XMATCH(A758,$A$2:$A$2509,0,-1),FALSE)), "Código de barras duplicado", ""), IF(AND(E758&lt;&gt;"", COUNTIF($E$2:$E$2509, E758)&gt;1), "SKU duplicado", ""), IF(OR(J758="", J758=""), "[Aviso] División no capturada ()", IF(ISNA(MATCH(J758, Criterios!$A$123:$A$126, 0)), "División no válida", "")), IF(OR(K758="", K758=""), "[Aviso] Categoría no capturada ()", IF(ISNA(MATCH(K758, Criterios!$A$81:$A$120, 0)), "Categoría no válida", IF(AND(J758&lt;&gt;"", J758&lt;&gt;"", J758&lt;&gt;VLOOKUP(K758, Criterios!$A$81:$B$120, 2, FALSE)), "División no coincide con Categoría", ""))), IF(OR(L758="", L758=""), "[Aviso] Género no capturado ()", IF(ISNA(MATCH(L758, Criterios!$B$123:$B$127, 0)), "Género no válido", "")), IF(OR(N758="", N758=""), "[Aviso] Temporada no capturada ()", IF(ISNA(MATCH(N758, Criterios!$C$123:$C$128, 0)), "Temporada no válida", "")), IF(OR(O758="", O758=""), "[Aviso] Ciclo de vida no capturado ()", IF(ISNA(MATCH(O758, Criterios!$D$123:$D$124, 0)), "Ciclo de vida no válido", ""))))</f>
        <v/>
      </c>
      <c r="AC758" s="56" t="n"/>
      <c r="AD758" s="51" t="n">
        <v>0</v>
      </c>
      <c r="AE758" s="156" t="inlineStr">
        <is>
          <t>STETSON AMERICAS (2)</t>
        </is>
      </c>
      <c r="AF758" s="51" t="n">
        <v>2</v>
      </c>
      <c r="AG758" s="156" t="inlineStr">
        <is>
          <t>Catálogo existente</t>
        </is>
      </c>
      <c r="AH758" s="156" t="inlineStr">
        <is>
          <t>Revisión 29/09/2026: Talla fuente L sin equivalencia exacta en Criterios para Talla Sombrero; Campos sin respaldo: X | 01/10/2026: complementado desde Shopify Stetson México (match por código de barras): WB Fit, WB Silueta</t>
        </is>
      </c>
      <c r="AI758" s="156" t="inlineStr">
        <is>
          <t>Sí</t>
        </is>
      </c>
      <c r="AJ758" s="156" t="inlineStr">
        <is>
          <t>PUNTO DE VENTA (-2)</t>
        </is>
      </c>
      <c r="AK758" s="155" t="inlineStr">
        <is>
          <t>Criterios: I [Q] | Shopify Stetson: producto 15227650343275 / variante 53791838962027</t>
        </is>
      </c>
      <c r="AL758" s="58" t="n">
        <v>1496.25</v>
      </c>
      <c r="AM758" s="58" t="n">
        <v>3620.689655</v>
      </c>
      <c r="AN758" s="155" t="inlineStr">
        <is>
          <t>Shopify Stetson México</t>
        </is>
      </c>
      <c r="AO758" s="59" t="n">
        <v>2</v>
      </c>
      <c r="AP758" s="59" t="n"/>
      <c r="AQ758" s="59" t="n"/>
      <c r="AR758" s="155" t="inlineStr">
        <is>
          <t>Shopify Stetson México › Stetson Americas: 2</t>
        </is>
      </c>
    </row>
    <row r="759">
      <c r="A759" s="50" t="inlineStr">
        <is>
          <t>195556013359</t>
        </is>
      </c>
      <c r="B759" s="51" t="inlineStr">
        <is>
          <t>117394</t>
        </is>
      </c>
      <c r="C759" s="156" t="inlineStr">
        <is>
          <t>Multimarca</t>
        </is>
      </c>
      <c r="D759" s="156" t="inlineStr">
        <is>
          <t>TWBKRGB103475</t>
        </is>
      </c>
      <c r="E759" s="156" t="inlineStr">
        <is>
          <t>TWBKRGB103475M0</t>
        </is>
      </c>
      <c r="F759" s="156" t="inlineStr">
        <is>
          <t>M</t>
        </is>
      </c>
      <c r="G759" s="156" t="inlineStr">
        <is>
          <t>M</t>
        </is>
      </c>
      <c r="H759" s="156" t="inlineStr">
        <is>
          <t>Stetson</t>
        </is>
      </c>
      <c r="I759" s="156" t="inlineStr">
        <is>
          <t>Texana Stetson Skyline / Open Road Negro</t>
        </is>
      </c>
      <c r="J759" s="156" t="inlineStr">
        <is>
          <t>Accesorios</t>
        </is>
      </c>
      <c r="K759" s="156" t="inlineStr">
        <is>
          <t>Sombreros</t>
        </is>
      </c>
      <c r="L759" s="156" t="inlineStr">
        <is>
          <t>Unisex</t>
        </is>
      </c>
      <c r="M759" s="156" t="inlineStr">
        <is>
          <t>Stetson</t>
        </is>
      </c>
      <c r="N759" s="156" t="inlineStr">
        <is>
          <t>FW26</t>
        </is>
      </c>
      <c r="O759" s="156" t="inlineStr">
        <is>
          <t>Seasonal</t>
        </is>
      </c>
      <c r="P759" s="156" t="inlineStr">
        <is>
          <t>Negro</t>
        </is>
      </c>
      <c r="Q759" s="156" t="n"/>
      <c r="R759" s="156" t="inlineStr">
        <is>
          <t>Copa Open Road</t>
        </is>
      </c>
      <c r="S759" s="156" t="inlineStr">
        <is>
          <t>Mezcla de lana</t>
        </is>
      </c>
      <c r="T759"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59" s="156" t="inlineStr">
        <is>
          <t>Estados Unidos</t>
        </is>
      </c>
      <c r="V759" s="156" t="inlineStr">
        <is>
          <t>PZS</t>
        </is>
      </c>
      <c r="W759" s="51" t="inlineStr">
        <is>
          <t>53102503</t>
        </is>
      </c>
      <c r="X759" s="156" t="n"/>
      <c r="Y759" s="54" t="n">
        <v>1496.25</v>
      </c>
      <c r="Z759" s="54" t="n">
        <v>3620.689655</v>
      </c>
      <c r="AA759" s="55">
        <f>IF(AND(A759="", B759="", E759=""), "", IF(AB759="", "Válido", IF((LEN(AB759)-LEN(SUBSTITUTE(AB759,"; ","")))/2+1&gt;(LEN(AB759)-LEN(SUBSTITUTE(AB759,"[Aviso]","")))/7, "Con Incidencias", "Válido")))</f>
        <v/>
      </c>
      <c r="AB759" s="56">
        <f>IF(AND(A759="", B759="", E759=""), "", TEXTJOIN("; ", TRUE, IF(OR(TRIM(A759&amp;"")="", ISNUMBER(SEARCH("FALTA", A759))), "UPC faltante/inválido", ""), IF(AND(A759&lt;&gt;"", IFERROR(_xlfn.XMATCH(A759,$A$2:$A$2509,0,1)&lt;&gt;_xlfn.XMATCH(A759,$A$2:$A$2509,0,-1),FALSE)), "Código de barras duplicado", ""), IF(AND(E759&lt;&gt;"", COUNTIF($E$2:$E$2509, E759)&gt;1), "SKU duplicado", ""), IF(OR(J759="", J759=""), "[Aviso] División no capturada ()", IF(ISNA(MATCH(J759, Criterios!$A$123:$A$126, 0)), "División no válida", "")), IF(OR(K759="", K759=""), "[Aviso] Categoría no capturada ()", IF(ISNA(MATCH(K759, Criterios!$A$81:$A$120, 0)), "Categoría no válida", IF(AND(J759&lt;&gt;"", J759&lt;&gt;"", J759&lt;&gt;VLOOKUP(K759, Criterios!$A$81:$B$120, 2, FALSE)), "División no coincide con Categoría", ""))), IF(OR(L759="", L759=""), "[Aviso] Género no capturado ()", IF(ISNA(MATCH(L759, Criterios!$B$123:$B$127, 0)), "Género no válido", "")), IF(OR(N759="", N759=""), "[Aviso] Temporada no capturada ()", IF(ISNA(MATCH(N759, Criterios!$C$123:$C$128, 0)), "Temporada no válida", "")), IF(OR(O759="", O759=""), "[Aviso] Ciclo de vida no capturado ()", IF(ISNA(MATCH(O759, Criterios!$D$123:$D$124, 0)), "Ciclo de vida no válido", ""))))</f>
        <v/>
      </c>
      <c r="AC759" s="56" t="n"/>
      <c r="AD759" s="51" t="n">
        <v>0</v>
      </c>
      <c r="AE759" s="156" t="inlineStr">
        <is>
          <t>STETSON AMERICAS (2)</t>
        </is>
      </c>
      <c r="AF759" s="51" t="n">
        <v>2</v>
      </c>
      <c r="AG759" s="156" t="inlineStr">
        <is>
          <t>Catálogo existente</t>
        </is>
      </c>
      <c r="AH759" s="156" t="inlineStr">
        <is>
          <t>Revisión 29/09/2026: Talla fuente M sin equivalencia exacta en Criterios para Talla Sombrero; Campos sin respaldo: X | 01/10/2026: complementado desde Shopify Stetson México (match por código de barras): WB Fit, WB Silueta</t>
        </is>
      </c>
      <c r="AI759" s="156" t="inlineStr">
        <is>
          <t>Sí</t>
        </is>
      </c>
      <c r="AJ759" s="156" t="inlineStr">
        <is>
          <t>PUNTO DE VENTA (-2)</t>
        </is>
      </c>
      <c r="AK759" s="155" t="inlineStr">
        <is>
          <t>Criterios: I [Q] | Shopify Stetson: producto 15227650343275 / variante 53791838994795</t>
        </is>
      </c>
      <c r="AL759" s="58" t="n">
        <v>1496.25</v>
      </c>
      <c r="AM759" s="58" t="n">
        <v>3620.689655</v>
      </c>
      <c r="AN759" s="155" t="inlineStr">
        <is>
          <t>Shopify Stetson México</t>
        </is>
      </c>
      <c r="AO759" s="59" t="n">
        <v>2</v>
      </c>
      <c r="AP759" s="59" t="n"/>
      <c r="AQ759" s="59" t="n"/>
      <c r="AR759" s="155" t="inlineStr">
        <is>
          <t>Shopify Stetson México › Stetson Americas: 2</t>
        </is>
      </c>
    </row>
    <row r="760">
      <c r="A760" s="50" t="inlineStr">
        <is>
          <t>195556013380</t>
        </is>
      </c>
      <c r="B760" s="51" t="inlineStr">
        <is>
          <t>117395</t>
        </is>
      </c>
      <c r="C760" s="156" t="inlineStr">
        <is>
          <t>Multimarca</t>
        </is>
      </c>
      <c r="D760" s="156" t="inlineStr">
        <is>
          <t>TWBKRGB103475</t>
        </is>
      </c>
      <c r="E760" s="156" t="inlineStr">
        <is>
          <t>TWBKRGB103475S0</t>
        </is>
      </c>
      <c r="F760" s="156" t="inlineStr">
        <is>
          <t>S</t>
        </is>
      </c>
      <c r="G760" s="156" t="inlineStr">
        <is>
          <t>S</t>
        </is>
      </c>
      <c r="H760" s="156" t="inlineStr">
        <is>
          <t>Stetson</t>
        </is>
      </c>
      <c r="I760" s="156" t="inlineStr">
        <is>
          <t>Texana Stetson Skyline / Open Road Negro</t>
        </is>
      </c>
      <c r="J760" s="156" t="inlineStr">
        <is>
          <t>Accesorios</t>
        </is>
      </c>
      <c r="K760" s="156" t="inlineStr">
        <is>
          <t>Sombreros</t>
        </is>
      </c>
      <c r="L760" s="156" t="inlineStr">
        <is>
          <t>Unisex</t>
        </is>
      </c>
      <c r="M760" s="156" t="inlineStr">
        <is>
          <t>Stetson</t>
        </is>
      </c>
      <c r="N760" s="156" t="inlineStr">
        <is>
          <t>FW26</t>
        </is>
      </c>
      <c r="O760" s="156" t="inlineStr">
        <is>
          <t>Seasonal</t>
        </is>
      </c>
      <c r="P760" s="156" t="inlineStr">
        <is>
          <t>Negro</t>
        </is>
      </c>
      <c r="Q760" s="156" t="n"/>
      <c r="R760" s="156" t="inlineStr">
        <is>
          <t>Copa Open Road</t>
        </is>
      </c>
      <c r="S760" s="156" t="inlineStr">
        <is>
          <t>Mezcla de lana</t>
        </is>
      </c>
      <c r="T760"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60" s="156" t="inlineStr">
        <is>
          <t>Estados Unidos</t>
        </is>
      </c>
      <c r="V760" s="156" t="inlineStr">
        <is>
          <t>PZS</t>
        </is>
      </c>
      <c r="W760" s="51" t="inlineStr">
        <is>
          <t>53102503</t>
        </is>
      </c>
      <c r="X760" s="156" t="n"/>
      <c r="Y760" s="54" t="n">
        <v>1496.25</v>
      </c>
      <c r="Z760" s="54" t="n">
        <v>3620.689655</v>
      </c>
      <c r="AA760" s="55">
        <f>IF(AND(A760="", B760="", E760=""), "", IF(AB760="", "Válido", IF((LEN(AB760)-LEN(SUBSTITUTE(AB760,"; ","")))/2+1&gt;(LEN(AB760)-LEN(SUBSTITUTE(AB760,"[Aviso]","")))/7, "Con Incidencias", "Válido")))</f>
        <v/>
      </c>
      <c r="AB760" s="56">
        <f>IF(AND(A760="", B760="", E760=""), "", TEXTJOIN("; ", TRUE, IF(OR(TRIM(A760&amp;"")="", ISNUMBER(SEARCH("FALTA", A760))), "UPC faltante/inválido", ""), IF(AND(A760&lt;&gt;"", IFERROR(_xlfn.XMATCH(A760,$A$2:$A$2509,0,1)&lt;&gt;_xlfn.XMATCH(A760,$A$2:$A$2509,0,-1),FALSE)), "Código de barras duplicado", ""), IF(AND(E760&lt;&gt;"", COUNTIF($E$2:$E$2509, E760)&gt;1), "SKU duplicado", ""), IF(OR(J760="", J760=""), "[Aviso] División no capturada ()", IF(ISNA(MATCH(J760, Criterios!$A$123:$A$126, 0)), "División no válida", "")), IF(OR(K760="", K760=""), "[Aviso] Categoría no capturada ()", IF(ISNA(MATCH(K760, Criterios!$A$81:$A$120, 0)), "Categoría no válida", IF(AND(J760&lt;&gt;"", J760&lt;&gt;"", J760&lt;&gt;VLOOKUP(K760, Criterios!$A$81:$B$120, 2, FALSE)), "División no coincide con Categoría", ""))), IF(OR(L760="", L760=""), "[Aviso] Género no capturado ()", IF(ISNA(MATCH(L760, Criterios!$B$123:$B$127, 0)), "Género no válido", "")), IF(OR(N760="", N760=""), "[Aviso] Temporada no capturada ()", IF(ISNA(MATCH(N760, Criterios!$C$123:$C$128, 0)), "Temporada no válida", "")), IF(OR(O760="", O760=""), "[Aviso] Ciclo de vida no capturado ()", IF(ISNA(MATCH(O760, Criterios!$D$123:$D$124, 0)), "Ciclo de vida no válido", ""))))</f>
        <v/>
      </c>
      <c r="AC760" s="56" t="n"/>
      <c r="AD760" s="51" t="n">
        <v>-1</v>
      </c>
      <c r="AE760" s="156" t="n"/>
      <c r="AF760" s="51" t="n">
        <v>0</v>
      </c>
      <c r="AG760" s="156" t="inlineStr">
        <is>
          <t>Catálogo existente</t>
        </is>
      </c>
      <c r="AH760" s="156" t="inlineStr">
        <is>
          <t>Stock negativo en sistema: revisar en conteo | Revisión 29/09/2026: Talla fuente S sin equivalencia exacta en Criterios para Talla Sombrero; Campos sin respaldo: X | 01/10/2026: complementado desde Shopify Stetson México (match por código de barras): WB Fit, WB Silueta</t>
        </is>
      </c>
      <c r="AI760" s="156" t="inlineStr">
        <is>
          <t>Sí</t>
        </is>
      </c>
      <c r="AJ760" s="156" t="inlineStr">
        <is>
          <t>PUNTO DE VENTA (-1)</t>
        </is>
      </c>
      <c r="AK760" s="155" t="inlineStr">
        <is>
          <t>Criterios: I [Q] | Shopify Stetson: producto 15227650343275 / variante 53791839027563</t>
        </is>
      </c>
      <c r="AL760" s="58" t="n">
        <v>1496.25</v>
      </c>
      <c r="AM760" s="58" t="n">
        <v>3620.689655</v>
      </c>
      <c r="AN760" s="155" t="inlineStr">
        <is>
          <t>Shopify Stetson México</t>
        </is>
      </c>
      <c r="AO760" s="59" t="n">
        <v>0</v>
      </c>
      <c r="AP760" s="59" t="n"/>
      <c r="AQ760" s="59" t="n"/>
      <c r="AR760" s="155" t="n"/>
    </row>
    <row r="761">
      <c r="A761" s="50" t="inlineStr">
        <is>
          <t>195556013410</t>
        </is>
      </c>
      <c r="B761" s="51" t="inlineStr">
        <is>
          <t>117396</t>
        </is>
      </c>
      <c r="C761" s="156" t="inlineStr">
        <is>
          <t>Multimarca</t>
        </is>
      </c>
      <c r="D761" s="156" t="inlineStr">
        <is>
          <t>TWBKRGB103475</t>
        </is>
      </c>
      <c r="E761" s="156" t="inlineStr">
        <is>
          <t>TWBKRGB103475XL</t>
        </is>
      </c>
      <c r="F761" s="156" t="inlineStr">
        <is>
          <t>XL</t>
        </is>
      </c>
      <c r="G761" s="156" t="inlineStr">
        <is>
          <t>XL</t>
        </is>
      </c>
      <c r="H761" s="156" t="inlineStr">
        <is>
          <t>Stetson</t>
        </is>
      </c>
      <c r="I761" s="156" t="inlineStr">
        <is>
          <t>Texana Stetson Skyline / Open Road Negro</t>
        </is>
      </c>
      <c r="J761" s="156" t="inlineStr">
        <is>
          <t>Accesorios</t>
        </is>
      </c>
      <c r="K761" s="156" t="inlineStr">
        <is>
          <t>Sombreros</t>
        </is>
      </c>
      <c r="L761" s="156" t="inlineStr">
        <is>
          <t>Unisex</t>
        </is>
      </c>
      <c r="M761" s="156" t="inlineStr">
        <is>
          <t>Stetson</t>
        </is>
      </c>
      <c r="N761" s="156" t="inlineStr">
        <is>
          <t>FW26</t>
        </is>
      </c>
      <c r="O761" s="156" t="inlineStr">
        <is>
          <t>Seasonal</t>
        </is>
      </c>
      <c r="P761" s="156" t="inlineStr">
        <is>
          <t>Negro</t>
        </is>
      </c>
      <c r="Q761" s="156" t="n"/>
      <c r="R761" s="156" t="inlineStr">
        <is>
          <t>Copa Open Road</t>
        </is>
      </c>
      <c r="S761" s="156" t="inlineStr">
        <is>
          <t>Mezcla de lana</t>
        </is>
      </c>
      <c r="T761"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61" s="156" t="inlineStr">
        <is>
          <t>Estados Unidos</t>
        </is>
      </c>
      <c r="V761" s="156" t="inlineStr">
        <is>
          <t>PZS</t>
        </is>
      </c>
      <c r="W761" s="51" t="inlineStr">
        <is>
          <t>53102503</t>
        </is>
      </c>
      <c r="X761" s="156" t="n"/>
      <c r="Y761" s="54" t="n">
        <v>1496.25</v>
      </c>
      <c r="Z761" s="54" t="n">
        <v>3620.689655</v>
      </c>
      <c r="AA761" s="55">
        <f>IF(AND(A761="", B761="", E761=""), "", IF(AB761="", "Válido", IF((LEN(AB761)-LEN(SUBSTITUTE(AB761,"; ","")))/2+1&gt;(LEN(AB761)-LEN(SUBSTITUTE(AB761,"[Aviso]","")))/7, "Con Incidencias", "Válido")))</f>
        <v/>
      </c>
      <c r="AB761" s="56">
        <f>IF(AND(A761="", B761="", E761=""), "", TEXTJOIN("; ", TRUE, IF(OR(TRIM(A761&amp;"")="", ISNUMBER(SEARCH("FALTA", A761))), "UPC faltante/inválido", ""), IF(AND(A761&lt;&gt;"", IFERROR(_xlfn.XMATCH(A761,$A$2:$A$2509,0,1)&lt;&gt;_xlfn.XMATCH(A761,$A$2:$A$2509,0,-1),FALSE)), "Código de barras duplicado", ""), IF(AND(E761&lt;&gt;"", COUNTIF($E$2:$E$2509, E761)&gt;1), "SKU duplicado", ""), IF(OR(J761="", J761=""), "[Aviso] División no capturada ()", IF(ISNA(MATCH(J761, Criterios!$A$123:$A$126, 0)), "División no válida", "")), IF(OR(K761="", K761=""), "[Aviso] Categoría no capturada ()", IF(ISNA(MATCH(K761, Criterios!$A$81:$A$120, 0)), "Categoría no válida", IF(AND(J761&lt;&gt;"", J761&lt;&gt;"", J761&lt;&gt;VLOOKUP(K761, Criterios!$A$81:$B$120, 2, FALSE)), "División no coincide con Categoría", ""))), IF(OR(L761="", L761=""), "[Aviso] Género no capturado ()", IF(ISNA(MATCH(L761, Criterios!$B$123:$B$127, 0)), "Género no válido", "")), IF(OR(N761="", N761=""), "[Aviso] Temporada no capturada ()", IF(ISNA(MATCH(N761, Criterios!$C$123:$C$128, 0)), "Temporada no válida", "")), IF(OR(O761="", O761=""), "[Aviso] Ciclo de vida no capturado ()", IF(ISNA(MATCH(O761, Criterios!$D$123:$D$124, 0)), "Ciclo de vida no válido", ""))))</f>
        <v/>
      </c>
      <c r="AC761" s="56" t="n"/>
      <c r="AD761" s="51" t="n">
        <v>0</v>
      </c>
      <c r="AE761" s="156" t="inlineStr">
        <is>
          <t>STETSON AMERICAS (1)</t>
        </is>
      </c>
      <c r="AF761" s="51" t="n">
        <v>1</v>
      </c>
      <c r="AG761" s="156" t="inlineStr">
        <is>
          <t>Catálogo existente</t>
        </is>
      </c>
      <c r="AH761" s="156" t="inlineStr">
        <is>
          <t>Revisión 29/09/2026: Talla fuente XL sin equivalencia exacta en Criterios para Talla Sombrero; Campos sin respaldo: X | 01/10/2026: complementado desde Shopify Stetson México (match por código de barras): WB Fit, WB Silueta</t>
        </is>
      </c>
      <c r="AI761" s="156" t="inlineStr">
        <is>
          <t>Sí</t>
        </is>
      </c>
      <c r="AJ761" s="156" t="inlineStr">
        <is>
          <t>PUNTO DE VENTA (-1)</t>
        </is>
      </c>
      <c r="AK761" s="155" t="inlineStr">
        <is>
          <t>Criterios: I [Q] | Shopify Stetson: producto 15227650343275 / variante 53791839060331</t>
        </is>
      </c>
      <c r="AL761" s="58" t="n">
        <v>1496.25</v>
      </c>
      <c r="AM761" s="58" t="n">
        <v>3620.689655</v>
      </c>
      <c r="AN761" s="155" t="inlineStr">
        <is>
          <t>Shopify Stetson México</t>
        </is>
      </c>
      <c r="AO761" s="59" t="n">
        <v>1</v>
      </c>
      <c r="AP761" s="59" t="n"/>
      <c r="AQ761" s="59" t="n"/>
      <c r="AR761" s="155" t="inlineStr">
        <is>
          <t>Shopify Stetson México › Stetson Americas: 1</t>
        </is>
      </c>
    </row>
    <row r="762">
      <c r="A762" s="50" t="inlineStr">
        <is>
          <t>195556014677</t>
        </is>
      </c>
      <c r="B762" s="51" t="inlineStr">
        <is>
          <t>110493</t>
        </is>
      </c>
      <c r="C762" s="156" t="inlineStr">
        <is>
          <t>Multimarca</t>
        </is>
      </c>
      <c r="D762" s="156" t="inlineStr">
        <is>
          <t>XWNGSKS104048</t>
        </is>
      </c>
      <c r="E762" s="156" t="inlineStr">
        <is>
          <t>XWNGSKS104048L0</t>
        </is>
      </c>
      <c r="F762" s="156" t="inlineStr">
        <is>
          <t>L</t>
        </is>
      </c>
      <c r="G762" s="156" t="inlineStr">
        <is>
          <t>L</t>
        </is>
      </c>
      <c r="H762" s="156" t="inlineStr">
        <is>
          <t>Stetson</t>
        </is>
      </c>
      <c r="I762" s="156" t="inlineStr">
        <is>
          <t>Texana Stetson Night Sky Marino</t>
        </is>
      </c>
      <c r="J762" s="156" t="inlineStr">
        <is>
          <t>Accesorios</t>
        </is>
      </c>
      <c r="K762" s="156" t="inlineStr">
        <is>
          <t>Sombreros</t>
        </is>
      </c>
      <c r="L762" s="156" t="inlineStr">
        <is>
          <t>Unisex</t>
        </is>
      </c>
      <c r="M762" s="156" t="inlineStr">
        <is>
          <t>Stetson</t>
        </is>
      </c>
      <c r="N762" s="156" t="inlineStr">
        <is>
          <t>SS26</t>
        </is>
      </c>
      <c r="O762" s="156" t="inlineStr">
        <is>
          <t>Seasonal</t>
        </is>
      </c>
      <c r="P762" s="156" t="inlineStr">
        <is>
          <t>Azul</t>
        </is>
      </c>
      <c r="Q762" s="156" t="n"/>
      <c r="R762" s="156" t="n"/>
      <c r="S762" s="156" t="inlineStr">
        <is>
          <t>100% Fieltro de lana</t>
        </is>
      </c>
      <c r="T762" s="156" t="inlineStr">
        <is>
          <t>Texana Stetson Night Sky Marino.
 Composición: 100% Fieltro de lana.
 Color: Marino.</t>
        </is>
      </c>
      <c r="U762" s="156" t="inlineStr">
        <is>
          <t>Estados Unidos</t>
        </is>
      </c>
      <c r="V762" s="156" t="inlineStr">
        <is>
          <t>PZS</t>
        </is>
      </c>
      <c r="W762" s="51" t="inlineStr">
        <is>
          <t>53102503</t>
        </is>
      </c>
      <c r="X762" s="156" t="inlineStr">
        <is>
          <t>https://cdn.shopify.com/s/files/1/0357/2432/9005/products/XWNGSKS1040-48_NAVY_1.jpg?v=1649105632</t>
        </is>
      </c>
      <c r="Y762" s="54" t="n">
        <v>1732.5</v>
      </c>
      <c r="Z762" s="54" t="n">
        <v>4224.137931</v>
      </c>
      <c r="AA762" s="55">
        <f>IF(AND(A762="", B762="", E762=""), "", IF(AB762="", "Válido", IF((LEN(AB762)-LEN(SUBSTITUTE(AB762,"; ","")))/2+1&gt;(LEN(AB762)-LEN(SUBSTITUTE(AB762,"[Aviso]","")))/7, "Con Incidencias", "Válido")))</f>
        <v/>
      </c>
      <c r="AB762" s="56">
        <f>IF(AND(A762="", B762="", E762=""), "", TEXTJOIN("; ", TRUE, IF(OR(TRIM(A762&amp;"")="", ISNUMBER(SEARCH("FALTA", A762))), "UPC faltante/inválido", ""), IF(AND(A762&lt;&gt;"", IFERROR(_xlfn.XMATCH(A762,$A$2:$A$2509,0,1)&lt;&gt;_xlfn.XMATCH(A762,$A$2:$A$2509,0,-1),FALSE)), "Código de barras duplicado", ""), IF(AND(E762&lt;&gt;"", COUNTIF($E$2:$E$2509, E762)&gt;1), "SKU duplicado", ""), IF(OR(J762="", J762=""), "[Aviso] División no capturada ()", IF(ISNA(MATCH(J762, Criterios!$A$123:$A$126, 0)), "División no válida", "")), IF(OR(K762="", K762=""), "[Aviso] Categoría no capturada ()", IF(ISNA(MATCH(K762, Criterios!$A$81:$A$120, 0)), "Categoría no válida", IF(AND(J762&lt;&gt;"", J762&lt;&gt;"", J762&lt;&gt;VLOOKUP(K762, Criterios!$A$81:$B$120, 2, FALSE)), "División no coincide con Categoría", ""))), IF(OR(L762="", L762=""), "[Aviso] Género no capturado ()", IF(ISNA(MATCH(L762, Criterios!$B$123:$B$127, 0)), "Género no válido", "")), IF(OR(N762="", N762=""), "[Aviso] Temporada no capturada ()", IF(ISNA(MATCH(N762, Criterios!$C$123:$C$128, 0)), "Temporada no válida", "")), IF(OR(O762="", O762=""), "[Aviso] Ciclo de vida no capturado ()", IF(ISNA(MATCH(O762, Criterios!$D$123:$D$124, 0)), "Ciclo de vida no válido", ""))))</f>
        <v/>
      </c>
      <c r="AC762" s="56" t="n"/>
      <c r="AD762" s="51" t="n">
        <v>1</v>
      </c>
      <c r="AE762" s="156" t="inlineStr">
        <is>
          <t>STETSON AMERICAS (2)</t>
        </is>
      </c>
      <c r="AF762" s="51" t="n">
        <v>2</v>
      </c>
      <c r="AG762" s="156" t="inlineStr">
        <is>
          <t>Catálogo existente</t>
        </is>
      </c>
      <c r="AH762"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2" s="156" t="inlineStr">
        <is>
          <t>Sí</t>
        </is>
      </c>
      <c r="AJ762" s="156" t="inlineStr">
        <is>
          <t>PUNTO DE VENTA (-1)</t>
        </is>
      </c>
      <c r="AK762" s="155" t="inlineStr">
        <is>
          <t>Criterios: I [Q] | Shopify Stetson: producto 15056329900395 / variante 53849427968363 | Odoo: producto 19395 / plantilla 23882 | Investigación en línea 06/10/2026: https://www.stetson.com/products/night-sky-s-fedora-navy</t>
        </is>
      </c>
      <c r="AL762" s="58" t="n">
        <v>1732.5</v>
      </c>
      <c r="AM762" s="58" t="n">
        <v>4224.137931</v>
      </c>
      <c r="AN762" s="155" t="inlineStr">
        <is>
          <t>Shopify Stetson México | Odoo Universal Unique Brands</t>
        </is>
      </c>
      <c r="AO762" s="59" t="n">
        <v>2</v>
      </c>
      <c r="AP762" s="59" t="n"/>
      <c r="AQ762" s="59" t="n">
        <v>2</v>
      </c>
      <c r="AR762" s="155" t="inlineStr">
        <is>
          <t>Shopify Stetson México › Stetson Americas: 2 | Odoo Universal Unique Brands › Bodega 25 › Bodega 25/General: 2</t>
        </is>
      </c>
    </row>
    <row r="763">
      <c r="A763" s="50" t="inlineStr">
        <is>
          <t>195556014684</t>
        </is>
      </c>
      <c r="B763" s="51" t="inlineStr">
        <is>
          <t>110494</t>
        </is>
      </c>
      <c r="C763" s="156" t="inlineStr">
        <is>
          <t>Multimarca</t>
        </is>
      </c>
      <c r="D763" s="156" t="inlineStr">
        <is>
          <t>XWNGSKS104048</t>
        </is>
      </c>
      <c r="E763" s="156" t="inlineStr">
        <is>
          <t>XWNGSKS104048M0</t>
        </is>
      </c>
      <c r="F763" s="156" t="inlineStr">
        <is>
          <t>M</t>
        </is>
      </c>
      <c r="G763" s="156" t="inlineStr">
        <is>
          <t>M</t>
        </is>
      </c>
      <c r="H763" s="156" t="inlineStr">
        <is>
          <t>Stetson</t>
        </is>
      </c>
      <c r="I763" s="156" t="inlineStr">
        <is>
          <t>Texana Stetson Night Sky Marino</t>
        </is>
      </c>
      <c r="J763" s="156" t="inlineStr">
        <is>
          <t>Accesorios</t>
        </is>
      </c>
      <c r="K763" s="156" t="inlineStr">
        <is>
          <t>Sombreros</t>
        </is>
      </c>
      <c r="L763" s="156" t="inlineStr">
        <is>
          <t>Unisex</t>
        </is>
      </c>
      <c r="M763" s="156" t="inlineStr">
        <is>
          <t>Stetson</t>
        </is>
      </c>
      <c r="N763" s="156" t="inlineStr">
        <is>
          <t>SS26</t>
        </is>
      </c>
      <c r="O763" s="156" t="inlineStr">
        <is>
          <t>Seasonal</t>
        </is>
      </c>
      <c r="P763" s="156" t="inlineStr">
        <is>
          <t>Azul</t>
        </is>
      </c>
      <c r="Q763" s="156" t="n"/>
      <c r="R763" s="156" t="n"/>
      <c r="S763" s="156" t="inlineStr">
        <is>
          <t>100% Fieltro de lana</t>
        </is>
      </c>
      <c r="T763" s="156" t="inlineStr">
        <is>
          <t>Texana Stetson Night Sky Marino.
 Composición: 100% Fieltro de lana.
 Color: Marino.</t>
        </is>
      </c>
      <c r="U763" s="156" t="inlineStr">
        <is>
          <t>Estados Unidos</t>
        </is>
      </c>
      <c r="V763" s="156" t="inlineStr">
        <is>
          <t>PZS</t>
        </is>
      </c>
      <c r="W763" s="51" t="inlineStr">
        <is>
          <t>53102503</t>
        </is>
      </c>
      <c r="X763" s="156" t="inlineStr">
        <is>
          <t>https://cdn.shopify.com/s/files/1/0357/2432/9005/products/XWNGSKS1040-48_NAVY_1.jpg?v=1649105632</t>
        </is>
      </c>
      <c r="Y763" s="54" t="n">
        <v>1732.5</v>
      </c>
      <c r="Z763" s="54" t="n">
        <v>4224.137931</v>
      </c>
      <c r="AA763" s="55">
        <f>IF(AND(A763="", B763="", E763=""), "", IF(AB763="", "Válido", IF((LEN(AB763)-LEN(SUBSTITUTE(AB763,"; ","")))/2+1&gt;(LEN(AB763)-LEN(SUBSTITUTE(AB763,"[Aviso]","")))/7, "Con Incidencias", "Válido")))</f>
        <v/>
      </c>
      <c r="AB763" s="56">
        <f>IF(AND(A763="", B763="", E763=""), "", TEXTJOIN("; ", TRUE, IF(OR(TRIM(A763&amp;"")="", ISNUMBER(SEARCH("FALTA", A763))), "UPC faltante/inválido", ""), IF(AND(A763&lt;&gt;"", IFERROR(_xlfn.XMATCH(A763,$A$2:$A$2509,0,1)&lt;&gt;_xlfn.XMATCH(A763,$A$2:$A$2509,0,-1),FALSE)), "Código de barras duplicado", ""), IF(AND(E763&lt;&gt;"", COUNTIF($E$2:$E$2509, E763)&gt;1), "SKU duplicado", ""), IF(OR(J763="", J763=""), "[Aviso] División no capturada ()", IF(ISNA(MATCH(J763, Criterios!$A$123:$A$126, 0)), "División no válida", "")), IF(OR(K763="", K763=""), "[Aviso] Categoría no capturada ()", IF(ISNA(MATCH(K763, Criterios!$A$81:$A$120, 0)), "Categoría no válida", IF(AND(J763&lt;&gt;"", J763&lt;&gt;"", J763&lt;&gt;VLOOKUP(K763, Criterios!$A$81:$B$120, 2, FALSE)), "División no coincide con Categoría", ""))), IF(OR(L763="", L763=""), "[Aviso] Género no capturado ()", IF(ISNA(MATCH(L763, Criterios!$B$123:$B$127, 0)), "Género no válido", "")), IF(OR(N763="", N763=""), "[Aviso] Temporada no capturada ()", IF(ISNA(MATCH(N763, Criterios!$C$123:$C$128, 0)), "Temporada no válida", "")), IF(OR(O763="", O763=""), "[Aviso] Ciclo de vida no capturado ()", IF(ISNA(MATCH(O763, Criterios!$D$123:$D$124, 0)), "Ciclo de vida no válido", ""))))</f>
        <v/>
      </c>
      <c r="AC763" s="56" t="n"/>
      <c r="AD763" s="51" t="n">
        <v>2</v>
      </c>
      <c r="AE763" s="156" t="inlineStr">
        <is>
          <t>STETSON AMERICAS (2)</t>
        </is>
      </c>
      <c r="AF763" s="51" t="n">
        <v>2</v>
      </c>
      <c r="AG763" s="156" t="inlineStr">
        <is>
          <t>Catálogo existente</t>
        </is>
      </c>
      <c r="AH763" s="156" t="inlineStr">
        <is>
          <t>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3" s="156" t="inlineStr">
        <is>
          <t>No</t>
        </is>
      </c>
      <c r="AJ763" s="156" t="n"/>
      <c r="AK763" s="155" t="inlineStr">
        <is>
          <t>Criterios: I [Q] | Shopify Stetson: producto 15056329900395 / variante 53849427935595 | Odoo: producto 19394 / plantilla 23881 | Investigación en línea 06/10/2026: https://www.stetson.com/products/night-sky-s-fedora-navy</t>
        </is>
      </c>
      <c r="AL763" s="58" t="n">
        <v>1732.5</v>
      </c>
      <c r="AM763" s="58" t="n">
        <v>4224.137931</v>
      </c>
      <c r="AN763" s="155" t="inlineStr">
        <is>
          <t>Shopify Stetson México | Odoo Universal Unique Brands</t>
        </is>
      </c>
      <c r="AO763" s="59" t="n">
        <v>2</v>
      </c>
      <c r="AP763" s="59" t="n"/>
      <c r="AQ763" s="59" t="n">
        <v>2</v>
      </c>
      <c r="AR763" s="155" t="inlineStr">
        <is>
          <t>Shopify Stetson México › Stetson Americas: 2 | Odoo Universal Unique Brands › Bodega 25 › Bodega 25/General: 2</t>
        </is>
      </c>
    </row>
    <row r="764">
      <c r="A764" s="50" t="inlineStr">
        <is>
          <t>195556014691</t>
        </is>
      </c>
      <c r="B764" s="51" t="inlineStr">
        <is>
          <t>110495</t>
        </is>
      </c>
      <c r="C764" s="156" t="inlineStr">
        <is>
          <t>Multimarca</t>
        </is>
      </c>
      <c r="D764" s="156" t="inlineStr">
        <is>
          <t>XWNGSKS104048</t>
        </is>
      </c>
      <c r="E764" s="156" t="inlineStr">
        <is>
          <t>XWNGSKS104048S0</t>
        </is>
      </c>
      <c r="F764" s="156" t="inlineStr">
        <is>
          <t>S</t>
        </is>
      </c>
      <c r="G764" s="156" t="inlineStr">
        <is>
          <t>S</t>
        </is>
      </c>
      <c r="H764" s="156" t="inlineStr">
        <is>
          <t>Stetson</t>
        </is>
      </c>
      <c r="I764" s="156" t="inlineStr">
        <is>
          <t>Texana Stetson Night Sky Marino</t>
        </is>
      </c>
      <c r="J764" s="156" t="inlineStr">
        <is>
          <t>Accesorios</t>
        </is>
      </c>
      <c r="K764" s="156" t="inlineStr">
        <is>
          <t>Sombreros</t>
        </is>
      </c>
      <c r="L764" s="156" t="inlineStr">
        <is>
          <t>Unisex</t>
        </is>
      </c>
      <c r="M764" s="156" t="inlineStr">
        <is>
          <t>Stetson</t>
        </is>
      </c>
      <c r="N764" s="156" t="inlineStr">
        <is>
          <t>SS26</t>
        </is>
      </c>
      <c r="O764" s="156" t="inlineStr">
        <is>
          <t>Seasonal</t>
        </is>
      </c>
      <c r="P764" s="156" t="inlineStr">
        <is>
          <t>Azul</t>
        </is>
      </c>
      <c r="Q764" s="156" t="n"/>
      <c r="R764" s="156" t="n"/>
      <c r="S764" s="156" t="inlineStr">
        <is>
          <t>100% Fieltro de lana</t>
        </is>
      </c>
      <c r="T764" s="156" t="inlineStr">
        <is>
          <t>Texana Stetson Night Sky Marino.
 Composición: 100% Fieltro de lana.
 Color: Marino.</t>
        </is>
      </c>
      <c r="U764" s="156" t="inlineStr">
        <is>
          <t>Estados Unidos</t>
        </is>
      </c>
      <c r="V764" s="156" t="inlineStr">
        <is>
          <t>PZS</t>
        </is>
      </c>
      <c r="W764" s="51" t="inlineStr">
        <is>
          <t>53102503</t>
        </is>
      </c>
      <c r="X764" s="156" t="inlineStr">
        <is>
          <t>https://cdn.shopify.com/s/files/1/0357/2432/9005/products/XWNGSKS1040-48_NAVY_1.jpg?v=1649105632</t>
        </is>
      </c>
      <c r="Y764" s="54" t="n">
        <v>1732.5</v>
      </c>
      <c r="Z764" s="54" t="n">
        <v>4224.137931</v>
      </c>
      <c r="AA764" s="55">
        <f>IF(AND(A764="", B764="", E764=""), "", IF(AB764="", "Válido", IF((LEN(AB764)-LEN(SUBSTITUTE(AB764,"; ","")))/2+1&gt;(LEN(AB764)-LEN(SUBSTITUTE(AB764,"[Aviso]","")))/7, "Con Incidencias", "Válido")))</f>
        <v/>
      </c>
      <c r="AB764" s="56">
        <f>IF(AND(A764="", B764="", E764=""), "", TEXTJOIN("; ", TRUE, IF(OR(TRIM(A764&amp;"")="", ISNUMBER(SEARCH("FALTA", A764))), "UPC faltante/inválido", ""), IF(AND(A764&lt;&gt;"", IFERROR(_xlfn.XMATCH(A764,$A$2:$A$2509,0,1)&lt;&gt;_xlfn.XMATCH(A764,$A$2:$A$2509,0,-1),FALSE)), "Código de barras duplicado", ""), IF(AND(E764&lt;&gt;"", COUNTIF($E$2:$E$2509, E764)&gt;1), "SKU duplicado", ""), IF(OR(J764="", J764=""), "[Aviso] División no capturada ()", IF(ISNA(MATCH(J764, Criterios!$A$123:$A$126, 0)), "División no válida", "")), IF(OR(K764="", K764=""), "[Aviso] Categoría no capturada ()", IF(ISNA(MATCH(K764, Criterios!$A$81:$A$120, 0)), "Categoría no válida", IF(AND(J764&lt;&gt;"", J764&lt;&gt;"", J764&lt;&gt;VLOOKUP(K764, Criterios!$A$81:$B$120, 2, FALSE)), "División no coincide con Categoría", ""))), IF(OR(L764="", L764=""), "[Aviso] Género no capturado ()", IF(ISNA(MATCH(L764, Criterios!$B$123:$B$127, 0)), "Género no válido", "")), IF(OR(N764="", N764=""), "[Aviso] Temporada no capturada ()", IF(ISNA(MATCH(N764, Criterios!$C$123:$C$128, 0)), "Temporada no válida", "")), IF(OR(O764="", O764=""), "[Aviso] Ciclo de vida no capturado ()", IF(ISNA(MATCH(O764, Criterios!$D$123:$D$124, 0)), "Ciclo de vida no válido", ""))))</f>
        <v/>
      </c>
      <c r="AC764" s="56" t="n"/>
      <c r="AD764" s="51" t="n">
        <v>-1</v>
      </c>
      <c r="AE764" s="156" t="n"/>
      <c r="AF764" s="51" t="n">
        <v>0</v>
      </c>
      <c r="AG764" s="156" t="inlineStr">
        <is>
          <t>Catálogo existente</t>
        </is>
      </c>
      <c r="AH764" s="156" t="inlineStr">
        <is>
          <t>Stock negativo en sistema: revisar en conteo | Revisión 29/09/2026: Talla fuente S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4" s="156" t="inlineStr">
        <is>
          <t>Sí</t>
        </is>
      </c>
      <c r="AJ764" s="156" t="inlineStr">
        <is>
          <t>STETSON AMERICAS (-1)</t>
        </is>
      </c>
      <c r="AK764" s="155" t="inlineStr">
        <is>
          <t>Criterios: I [Q] | Shopify Stetson: producto 15056329900395 / variante 53357914718571 | Investigación en línea 06/10/2026: https://www.stetson.com/products/night-sky-s-fedora-navy</t>
        </is>
      </c>
      <c r="AL764" s="58" t="n">
        <v>1732.5</v>
      </c>
      <c r="AM764" s="58" t="n">
        <v>4224.137931</v>
      </c>
      <c r="AN764" s="155" t="inlineStr">
        <is>
          <t>Shopify Stetson México</t>
        </is>
      </c>
      <c r="AO764" s="59" t="n">
        <v>0</v>
      </c>
      <c r="AP764" s="59" t="n"/>
      <c r="AQ764" s="59" t="n"/>
      <c r="AR764" s="155" t="n"/>
    </row>
    <row r="765">
      <c r="A765" s="50" t="inlineStr">
        <is>
          <t>195556014707</t>
        </is>
      </c>
      <c r="B765" s="51" t="inlineStr">
        <is>
          <t>110496</t>
        </is>
      </c>
      <c r="C765" s="156" t="inlineStr">
        <is>
          <t>Multimarca</t>
        </is>
      </c>
      <c r="D765" s="156" t="inlineStr">
        <is>
          <t>XWNGSKS104048</t>
        </is>
      </c>
      <c r="E765" s="156" t="inlineStr">
        <is>
          <t>XWNGSKS104048XL</t>
        </is>
      </c>
      <c r="F765" s="156" t="inlineStr">
        <is>
          <t>XL</t>
        </is>
      </c>
      <c r="G765" s="156" t="inlineStr">
        <is>
          <t>XL</t>
        </is>
      </c>
      <c r="H765" s="156" t="inlineStr">
        <is>
          <t>Stetson</t>
        </is>
      </c>
      <c r="I765" s="156" t="inlineStr">
        <is>
          <t>Texana Stetson Night Sky Marino</t>
        </is>
      </c>
      <c r="J765" s="156" t="inlineStr">
        <is>
          <t>Accesorios</t>
        </is>
      </c>
      <c r="K765" s="156" t="inlineStr">
        <is>
          <t>Sombreros</t>
        </is>
      </c>
      <c r="L765" s="156" t="inlineStr">
        <is>
          <t>Unisex</t>
        </is>
      </c>
      <c r="M765" s="156" t="inlineStr">
        <is>
          <t>Stetson</t>
        </is>
      </c>
      <c r="N765" s="156" t="inlineStr">
        <is>
          <t>SS26</t>
        </is>
      </c>
      <c r="O765" s="156" t="inlineStr">
        <is>
          <t>Seasonal</t>
        </is>
      </c>
      <c r="P765" s="156" t="inlineStr">
        <is>
          <t>Azul</t>
        </is>
      </c>
      <c r="Q765" s="156" t="n"/>
      <c r="R765" s="156" t="n"/>
      <c r="S765" s="156" t="inlineStr">
        <is>
          <t>100% Fieltro de lana</t>
        </is>
      </c>
      <c r="T765" s="156" t="inlineStr">
        <is>
          <t>Texana Stetson Night Sky Marino.
 Composición: 100% Fieltro de lana.
 Color: Marino.</t>
        </is>
      </c>
      <c r="U765" s="156" t="inlineStr">
        <is>
          <t>Estados Unidos</t>
        </is>
      </c>
      <c r="V765" s="156" t="inlineStr">
        <is>
          <t>PZS</t>
        </is>
      </c>
      <c r="W765" s="51" t="inlineStr">
        <is>
          <t>53102503</t>
        </is>
      </c>
      <c r="X765" s="156" t="inlineStr">
        <is>
          <t>https://cdn.shopify.com/s/files/1/0357/2432/9005/products/XWNGSKS1040-48_NAVY_1.jpg?v=1649105632</t>
        </is>
      </c>
      <c r="Y765" s="54" t="n">
        <v>1732.5</v>
      </c>
      <c r="Z765" s="54" t="n">
        <v>4224.137931</v>
      </c>
      <c r="AA765" s="55">
        <f>IF(AND(A765="", B765="", E765=""), "", IF(AB765="", "Válido", IF((LEN(AB765)-LEN(SUBSTITUTE(AB765,"; ","")))/2+1&gt;(LEN(AB765)-LEN(SUBSTITUTE(AB765,"[Aviso]","")))/7, "Con Incidencias", "Válido")))</f>
        <v/>
      </c>
      <c r="AB765" s="56">
        <f>IF(AND(A765="", B765="", E765=""), "", TEXTJOIN("; ", TRUE, IF(OR(TRIM(A765&amp;"")="", ISNUMBER(SEARCH("FALTA", A765))), "UPC faltante/inválido", ""), IF(AND(A765&lt;&gt;"", IFERROR(_xlfn.XMATCH(A765,$A$2:$A$2509,0,1)&lt;&gt;_xlfn.XMATCH(A765,$A$2:$A$2509,0,-1),FALSE)), "Código de barras duplicado", ""), IF(AND(E765&lt;&gt;"", COUNTIF($E$2:$E$2509, E765)&gt;1), "SKU duplicado", ""), IF(OR(J765="", J765=""), "[Aviso] División no capturada ()", IF(ISNA(MATCH(J765, Criterios!$A$123:$A$126, 0)), "División no válida", "")), IF(OR(K765="", K765=""), "[Aviso] Categoría no capturada ()", IF(ISNA(MATCH(K765, Criterios!$A$81:$A$120, 0)), "Categoría no válida", IF(AND(J765&lt;&gt;"", J765&lt;&gt;"", J765&lt;&gt;VLOOKUP(K765, Criterios!$A$81:$B$120, 2, FALSE)), "División no coincide con Categoría", ""))), IF(OR(L765="", L765=""), "[Aviso] Género no capturado ()", IF(ISNA(MATCH(L765, Criterios!$B$123:$B$127, 0)), "Género no válido", "")), IF(OR(N765="", N765=""), "[Aviso] Temporada no capturada ()", IF(ISNA(MATCH(N765, Criterios!$C$123:$C$128, 0)), "Temporada no válida", "")), IF(OR(O765="", O765=""), "[Aviso] Ciclo de vida no capturado ()", IF(ISNA(MATCH(O765, Criterios!$D$123:$D$124, 0)), "Ciclo de vida no válido", ""))))</f>
        <v/>
      </c>
      <c r="AC765" s="56" t="n"/>
      <c r="AD765" s="51" t="n">
        <v>0</v>
      </c>
      <c r="AE765" s="156" t="n"/>
      <c r="AF765" s="51" t="n">
        <v>0</v>
      </c>
      <c r="AG765" s="156" t="inlineStr">
        <is>
          <t>Catálogo existente</t>
        </is>
      </c>
      <c r="AH765" s="156" t="inlineStr">
        <is>
          <t>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5" s="156" t="inlineStr">
        <is>
          <t>No</t>
        </is>
      </c>
      <c r="AJ765" s="156" t="n"/>
      <c r="AK765" s="155" t="inlineStr">
        <is>
          <t>Criterios: I [Q] | Shopify Stetson: producto 15056329900395 / variante 53357914751339 | Investigación en línea 06/10/2026: https://www.stetson.com/products/night-sky-s-fedora-navy</t>
        </is>
      </c>
      <c r="AL765" s="58" t="n">
        <v>1732.5</v>
      </c>
      <c r="AM765" s="58" t="n">
        <v>4224.137931</v>
      </c>
      <c r="AN765" s="155" t="inlineStr">
        <is>
          <t>Shopify Stetson México</t>
        </is>
      </c>
      <c r="AO765" s="59" t="n">
        <v>1</v>
      </c>
      <c r="AP765" s="59" t="n"/>
      <c r="AQ765" s="59" t="n"/>
      <c r="AR765" s="155" t="inlineStr">
        <is>
          <t>Shopify Stetson México › Stetson Americas: 1</t>
        </is>
      </c>
    </row>
    <row r="766">
      <c r="A766" s="50" t="inlineStr">
        <is>
          <t>195556040355</t>
        </is>
      </c>
      <c r="B766" s="51" t="inlineStr">
        <is>
          <t>110195</t>
        </is>
      </c>
      <c r="C766" s="156" t="inlineStr">
        <is>
          <t>Multimarca</t>
        </is>
      </c>
      <c r="D766" s="156" t="inlineStr">
        <is>
          <t>SSPLAT-304281</t>
        </is>
      </c>
      <c r="E766" s="156" t="inlineStr">
        <is>
          <t>SSPLAT-30428170</t>
        </is>
      </c>
      <c r="F766" s="156" t="inlineStr">
        <is>
          <t>7</t>
        </is>
      </c>
      <c r="G766" s="156" t="inlineStr">
        <is>
          <t>7</t>
        </is>
      </c>
      <c r="H766" s="156" t="inlineStr">
        <is>
          <t>Stetson</t>
        </is>
      </c>
      <c r="I766" s="156" t="inlineStr">
        <is>
          <t>Sombrero Stetson Plait Natural</t>
        </is>
      </c>
      <c r="J766" s="156" t="inlineStr">
        <is>
          <t>Accesorios</t>
        </is>
      </c>
      <c r="K766" s="156" t="inlineStr">
        <is>
          <t>Sombreros</t>
        </is>
      </c>
      <c r="L766" s="156" t="inlineStr">
        <is>
          <t>Unisex</t>
        </is>
      </c>
      <c r="M766" s="156" t="inlineStr">
        <is>
          <t>Stetson</t>
        </is>
      </c>
      <c r="N766" s="156" t="inlineStr">
        <is>
          <t>SS26</t>
        </is>
      </c>
      <c r="O766" s="156" t="inlineStr">
        <is>
          <t>Seasonal</t>
        </is>
      </c>
      <c r="P766" s="156" t="inlineStr">
        <is>
          <t>Beige</t>
        </is>
      </c>
      <c r="Q766" s="156" t="n"/>
      <c r="R766" s="156" t="inlineStr">
        <is>
          <t>Copa Cattleman</t>
        </is>
      </c>
      <c r="S766" s="156" t="inlineStr">
        <is>
          <t>100% Paja</t>
        </is>
      </c>
      <c r="T766"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6" s="156" t="inlineStr">
        <is>
          <t>Estados Unidos</t>
        </is>
      </c>
      <c r="V766" s="156" t="inlineStr">
        <is>
          <t>PZS</t>
        </is>
      </c>
      <c r="W766" s="51" t="inlineStr">
        <is>
          <t>53102503</t>
        </is>
      </c>
      <c r="X766" s="156" t="inlineStr">
        <is>
          <t>https://cdn.shopify.com/s/files/1/0888/3250/8267/files/SSPLAT-304281-01.jpg?v=1759957688</t>
        </is>
      </c>
      <c r="Y766" s="54" t="n">
        <v>1338.75</v>
      </c>
      <c r="Z766" s="54" t="n">
        <v>3275.862069</v>
      </c>
      <c r="AA766" s="55">
        <f>IF(AND(A766="", B766="", E766=""), "", IF(AB766="", "Válido", IF((LEN(AB766)-LEN(SUBSTITUTE(AB766,"; ","")))/2+1&gt;(LEN(AB766)-LEN(SUBSTITUTE(AB766,"[Aviso]","")))/7, "Con Incidencias", "Válido")))</f>
        <v/>
      </c>
      <c r="AB766" s="56">
        <f>IF(AND(A766="", B766="", E766=""), "", TEXTJOIN("; ", TRUE, IF(OR(TRIM(A766&amp;"")="", ISNUMBER(SEARCH("FALTA", A766))), "UPC faltante/inválido", ""), IF(AND(A766&lt;&gt;"", IFERROR(_xlfn.XMATCH(A766,$A$2:$A$2509,0,1)&lt;&gt;_xlfn.XMATCH(A766,$A$2:$A$2509,0,-1),FALSE)), "Código de barras duplicado", ""), IF(AND(E766&lt;&gt;"", COUNTIF($E$2:$E$2509, E766)&gt;1), "SKU duplicado", ""), IF(OR(J766="", J766=""), "[Aviso] División no capturada ()", IF(ISNA(MATCH(J766, Criterios!$A$123:$A$126, 0)), "División no válida", "")), IF(OR(K766="", K766=""), "[Aviso] Categoría no capturada ()", IF(ISNA(MATCH(K766, Criterios!$A$81:$A$120, 0)), "Categoría no válida", IF(AND(J766&lt;&gt;"", J766&lt;&gt;"", J766&lt;&gt;VLOOKUP(K766, Criterios!$A$81:$B$120, 2, FALSE)), "División no coincide con Categoría", ""))), IF(OR(L766="", L766=""), "[Aviso] Género no capturado ()", IF(ISNA(MATCH(L766, Criterios!$B$123:$B$127, 0)), "Género no válido", "")), IF(OR(N766="", N766=""), "[Aviso] Temporada no capturada ()", IF(ISNA(MATCH(N766, Criterios!$C$123:$C$128, 0)), "Temporada no válida", "")), IF(OR(O766="", O766=""), "[Aviso] Ciclo de vida no capturado ()", IF(ISNA(MATCH(O766, Criterios!$D$123:$D$124, 0)), "Ciclo de vida no válido", ""))))</f>
        <v/>
      </c>
      <c r="AC766" s="56" t="n"/>
      <c r="AD766" s="51" t="n">
        <v>1</v>
      </c>
      <c r="AE766" s="156" t="inlineStr">
        <is>
          <t>B25 STETSON.MX (2)</t>
        </is>
      </c>
      <c r="AF766" s="51" t="n">
        <v>2</v>
      </c>
      <c r="AG766" s="156" t="inlineStr">
        <is>
          <t>Catálogo existente</t>
        </is>
      </c>
      <c r="AH766"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6" s="156" t="inlineStr">
        <is>
          <t>Sí</t>
        </is>
      </c>
      <c r="AJ766" s="156" t="inlineStr">
        <is>
          <t>STETSON AMERICAS (-1)</t>
        </is>
      </c>
      <c r="AK766" s="155" t="inlineStr">
        <is>
          <t>Criterios: I [Q] | Shopify Stetson: producto 14789246615915 / variante 53350607159659</t>
        </is>
      </c>
      <c r="AL766" s="58" t="n">
        <v>1338.75</v>
      </c>
      <c r="AM766" s="58" t="n">
        <v>3275.862069</v>
      </c>
      <c r="AN766" s="155" t="inlineStr">
        <is>
          <t>Shopify Stetson México</t>
        </is>
      </c>
      <c r="AO766" s="59" t="n">
        <v>0</v>
      </c>
      <c r="AP766" s="59" t="n"/>
      <c r="AQ766" s="59" t="n"/>
      <c r="AR766" s="155" t="n"/>
    </row>
    <row r="767">
      <c r="A767" s="50" t="inlineStr">
        <is>
          <t>195556040362</t>
        </is>
      </c>
      <c r="B767" s="51" t="inlineStr">
        <is>
          <t>110196</t>
        </is>
      </c>
      <c r="C767" s="156" t="inlineStr">
        <is>
          <t>Multimarca</t>
        </is>
      </c>
      <c r="D767" s="156" t="inlineStr">
        <is>
          <t>SSPLAT-304281</t>
        </is>
      </c>
      <c r="E767" s="156" t="inlineStr">
        <is>
          <t>SSPLAT-30428171</t>
        </is>
      </c>
      <c r="F767" s="156" t="inlineStr">
        <is>
          <t>7 1/8</t>
        </is>
      </c>
      <c r="G767" s="156" t="inlineStr">
        <is>
          <t>7 1/8</t>
        </is>
      </c>
      <c r="H767" s="156" t="inlineStr">
        <is>
          <t>Stetson</t>
        </is>
      </c>
      <c r="I767" s="156" t="inlineStr">
        <is>
          <t>Sombrero Stetson Plait Natural</t>
        </is>
      </c>
      <c r="J767" s="156" t="inlineStr">
        <is>
          <t>Accesorios</t>
        </is>
      </c>
      <c r="K767" s="156" t="inlineStr">
        <is>
          <t>Sombreros</t>
        </is>
      </c>
      <c r="L767" s="156" t="inlineStr">
        <is>
          <t>Unisex</t>
        </is>
      </c>
      <c r="M767" s="156" t="inlineStr">
        <is>
          <t>Stetson</t>
        </is>
      </c>
      <c r="N767" s="156" t="inlineStr">
        <is>
          <t>SS26</t>
        </is>
      </c>
      <c r="O767" s="156" t="inlineStr">
        <is>
          <t>Seasonal</t>
        </is>
      </c>
      <c r="P767" s="156" t="inlineStr">
        <is>
          <t>Beige</t>
        </is>
      </c>
      <c r="Q767" s="156" t="n"/>
      <c r="R767" s="156" t="inlineStr">
        <is>
          <t>Copa Cattleman</t>
        </is>
      </c>
      <c r="S767" s="156" t="inlineStr">
        <is>
          <t>100% Paja</t>
        </is>
      </c>
      <c r="T767"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7" s="156" t="inlineStr">
        <is>
          <t>Estados Unidos</t>
        </is>
      </c>
      <c r="V767" s="156" t="inlineStr">
        <is>
          <t>PZS</t>
        </is>
      </c>
      <c r="W767" s="51" t="inlineStr">
        <is>
          <t>53102503</t>
        </is>
      </c>
      <c r="X767" s="156" t="inlineStr">
        <is>
          <t>https://cdn.shopify.com/s/files/1/0888/3250/8267/files/SSPLAT-304281-02.jpg?v=1759957689</t>
        </is>
      </c>
      <c r="Y767" s="54" t="n">
        <v>1338.75</v>
      </c>
      <c r="Z767" s="54" t="n">
        <v>3275.862069</v>
      </c>
      <c r="AA767" s="55">
        <f>IF(AND(A767="", B767="", E767=""), "", IF(AB767="", "Válido", IF((LEN(AB767)-LEN(SUBSTITUTE(AB767,"; ","")))/2+1&gt;(LEN(AB767)-LEN(SUBSTITUTE(AB767,"[Aviso]","")))/7, "Con Incidencias", "Válido")))</f>
        <v/>
      </c>
      <c r="AB767" s="56">
        <f>IF(AND(A767="", B767="", E767=""), "", TEXTJOIN("; ", TRUE, IF(OR(TRIM(A767&amp;"")="", ISNUMBER(SEARCH("FALTA", A767))), "UPC faltante/inválido", ""), IF(AND(A767&lt;&gt;"", IFERROR(_xlfn.XMATCH(A767,$A$2:$A$2509,0,1)&lt;&gt;_xlfn.XMATCH(A767,$A$2:$A$2509,0,-1),FALSE)), "Código de barras duplicado", ""), IF(AND(E767&lt;&gt;"", COUNTIF($E$2:$E$2509, E767)&gt;1), "SKU duplicado", ""), IF(OR(J767="", J767=""), "[Aviso] División no capturada ()", IF(ISNA(MATCH(J767, Criterios!$A$123:$A$126, 0)), "División no válida", "")), IF(OR(K767="", K767=""), "[Aviso] Categoría no capturada ()", IF(ISNA(MATCH(K767, Criterios!$A$81:$A$120, 0)), "Categoría no válida", IF(AND(J767&lt;&gt;"", J767&lt;&gt;"", J767&lt;&gt;VLOOKUP(K767, Criterios!$A$81:$B$120, 2, FALSE)), "División no coincide con Categoría", ""))), IF(OR(L767="", L767=""), "[Aviso] Género no capturado ()", IF(ISNA(MATCH(L767, Criterios!$B$123:$B$127, 0)), "Género no válido", "")), IF(OR(N767="", N767=""), "[Aviso] Temporada no capturada ()", IF(ISNA(MATCH(N767, Criterios!$C$123:$C$128, 0)), "Temporada no válida", "")), IF(OR(O767="", O767=""), "[Aviso] Ciclo de vida no capturado ()", IF(ISNA(MATCH(O767, Criterios!$D$123:$D$124, 0)), "Ciclo de vida no válido", ""))))</f>
        <v/>
      </c>
      <c r="AC767" s="56" t="n"/>
      <c r="AD767" s="51" t="n">
        <v>-1</v>
      </c>
      <c r="AE767" s="156" t="inlineStr">
        <is>
          <t>B25 STETSON.MX (1)</t>
        </is>
      </c>
      <c r="AF767" s="51" t="n">
        <v>1</v>
      </c>
      <c r="AG767" s="156" t="inlineStr">
        <is>
          <t>Catálogo existente</t>
        </is>
      </c>
      <c r="AH76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7" s="156" t="inlineStr">
        <is>
          <t>Sí</t>
        </is>
      </c>
      <c r="AJ767" s="156" t="inlineStr">
        <is>
          <t>STETSON AMERICAS (-2)</t>
        </is>
      </c>
      <c r="AK767" s="155" t="inlineStr">
        <is>
          <t>Criterios: I [Q] | Shopify Stetson: producto 14789246615915 / variante 53350607192427</t>
        </is>
      </c>
      <c r="AL767" s="58" t="n">
        <v>1338.75</v>
      </c>
      <c r="AM767" s="58" t="n">
        <v>3275.862069</v>
      </c>
      <c r="AN767" s="155" t="inlineStr">
        <is>
          <t>Shopify Stetson México</t>
        </is>
      </c>
      <c r="AO767" s="59" t="n">
        <v>2</v>
      </c>
      <c r="AP767" s="59" t="n"/>
      <c r="AQ767" s="59" t="n"/>
      <c r="AR767" s="155" t="inlineStr">
        <is>
          <t>Shopify Stetson México › Stetson México: 2</t>
        </is>
      </c>
    </row>
    <row r="768">
      <c r="A768" s="50" t="inlineStr">
        <is>
          <t>195556040379</t>
        </is>
      </c>
      <c r="B768" s="51" t="inlineStr">
        <is>
          <t>110197</t>
        </is>
      </c>
      <c r="C768" s="156" t="inlineStr">
        <is>
          <t>Multimarca</t>
        </is>
      </c>
      <c r="D768" s="156" t="inlineStr">
        <is>
          <t>SSPLAT-304281</t>
        </is>
      </c>
      <c r="E768" s="156" t="inlineStr">
        <is>
          <t>SSPLAT-30428172</t>
        </is>
      </c>
      <c r="F768" s="156" t="inlineStr">
        <is>
          <t>7 1/4</t>
        </is>
      </c>
      <c r="G768" s="156" t="inlineStr">
        <is>
          <t>7 1/4</t>
        </is>
      </c>
      <c r="H768" s="156" t="inlineStr">
        <is>
          <t>Stetson</t>
        </is>
      </c>
      <c r="I768" s="156" t="inlineStr">
        <is>
          <t>Sombrero Stetson Plait Natural</t>
        </is>
      </c>
      <c r="J768" s="156" t="inlineStr">
        <is>
          <t>Accesorios</t>
        </is>
      </c>
      <c r="K768" s="156" t="inlineStr">
        <is>
          <t>Sombreros</t>
        </is>
      </c>
      <c r="L768" s="156" t="inlineStr">
        <is>
          <t>Unisex</t>
        </is>
      </c>
      <c r="M768" s="156" t="inlineStr">
        <is>
          <t>Stetson</t>
        </is>
      </c>
      <c r="N768" s="156" t="inlineStr">
        <is>
          <t>SS26</t>
        </is>
      </c>
      <c r="O768" s="156" t="inlineStr">
        <is>
          <t>Seasonal</t>
        </is>
      </c>
      <c r="P768" s="156" t="inlineStr">
        <is>
          <t>Beige</t>
        </is>
      </c>
      <c r="Q768" s="156" t="n"/>
      <c r="R768" s="156" t="inlineStr">
        <is>
          <t>Copa Cattleman</t>
        </is>
      </c>
      <c r="S768" s="156" t="inlineStr">
        <is>
          <t>100% Paja</t>
        </is>
      </c>
      <c r="T768"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8" s="156" t="inlineStr">
        <is>
          <t>Estados Unidos</t>
        </is>
      </c>
      <c r="V768" s="156" t="inlineStr">
        <is>
          <t>PZS</t>
        </is>
      </c>
      <c r="W768" s="51" t="inlineStr">
        <is>
          <t>53102503</t>
        </is>
      </c>
      <c r="X768" s="156" t="inlineStr">
        <is>
          <t>https://cdn.shopify.com/s/files/1/0888/3250/8267/files/SSPLAT-304281-03.jpg?v=1759957688</t>
        </is>
      </c>
      <c r="Y768" s="54" t="n">
        <v>1338.75</v>
      </c>
      <c r="Z768" s="54" t="n">
        <v>3275.862069</v>
      </c>
      <c r="AA768" s="55">
        <f>IF(AND(A768="", B768="", E768=""), "", IF(AB768="", "Válido", IF((LEN(AB768)-LEN(SUBSTITUTE(AB768,"; ","")))/2+1&gt;(LEN(AB768)-LEN(SUBSTITUTE(AB768,"[Aviso]","")))/7, "Con Incidencias", "Válido")))</f>
        <v/>
      </c>
      <c r="AB768" s="56">
        <f>IF(AND(A768="", B768="", E768=""), "", TEXTJOIN("; ", TRUE, IF(OR(TRIM(A768&amp;"")="", ISNUMBER(SEARCH("FALTA", A768))), "UPC faltante/inválido", ""), IF(AND(A768&lt;&gt;"", IFERROR(_xlfn.XMATCH(A768,$A$2:$A$2509,0,1)&lt;&gt;_xlfn.XMATCH(A768,$A$2:$A$2509,0,-1),FALSE)), "Código de barras duplicado", ""), IF(AND(E768&lt;&gt;"", COUNTIF($E$2:$E$2509, E768)&gt;1), "SKU duplicado", ""), IF(OR(J768="", J768=""), "[Aviso] División no capturada ()", IF(ISNA(MATCH(J768, Criterios!$A$123:$A$126, 0)), "División no válida", "")), IF(OR(K768="", K768=""), "[Aviso] Categoría no capturada ()", IF(ISNA(MATCH(K768, Criterios!$A$81:$A$120, 0)), "Categoría no válida", IF(AND(J768&lt;&gt;"", J768&lt;&gt;"", J768&lt;&gt;VLOOKUP(K768, Criterios!$A$81:$B$120, 2, FALSE)), "División no coincide con Categoría", ""))), IF(OR(L768="", L768=""), "[Aviso] Género no capturado ()", IF(ISNA(MATCH(L768, Criterios!$B$123:$B$127, 0)), "Género no válido", "")), IF(OR(N768="", N768=""), "[Aviso] Temporada no capturada ()", IF(ISNA(MATCH(N768, Criterios!$C$123:$C$128, 0)), "Temporada no válida", "")), IF(OR(O768="", O768=""), "[Aviso] Ciclo de vida no capturado ()", IF(ISNA(MATCH(O768, Criterios!$D$123:$D$124, 0)), "Ciclo de vida no válido", ""))))</f>
        <v/>
      </c>
      <c r="AC768" s="56" t="n"/>
      <c r="AD768" s="51" t="n">
        <v>-1</v>
      </c>
      <c r="AE768" s="156" t="inlineStr">
        <is>
          <t>B25 STETSON.MX (1)</t>
        </is>
      </c>
      <c r="AF768" s="51" t="n">
        <v>1</v>
      </c>
      <c r="AG768" s="156" t="inlineStr">
        <is>
          <t>Catálogo existente</t>
        </is>
      </c>
      <c r="AH76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8" s="156" t="inlineStr">
        <is>
          <t>Sí</t>
        </is>
      </c>
      <c r="AJ768" s="156" t="inlineStr">
        <is>
          <t>STETSON AMERICAS (-1); PUNTO DE VENTA (-1)</t>
        </is>
      </c>
      <c r="AK768" s="155" t="inlineStr">
        <is>
          <t>Criterios: I [Q] | Shopify Stetson: producto 14789246615915 / variante 53350607225195</t>
        </is>
      </c>
      <c r="AL768" s="58" t="n">
        <v>1338.75</v>
      </c>
      <c r="AM768" s="58" t="n">
        <v>3275.862069</v>
      </c>
      <c r="AN768" s="155" t="inlineStr">
        <is>
          <t>Shopify Stetson México</t>
        </is>
      </c>
      <c r="AO768" s="59" t="n">
        <v>2</v>
      </c>
      <c r="AP768" s="59" t="n"/>
      <c r="AQ768" s="59" t="n"/>
      <c r="AR768" s="155" t="inlineStr">
        <is>
          <t>Shopify Stetson México › Stetson México: 1 | Shopify Stetson México › Stetson Americas: 1</t>
        </is>
      </c>
    </row>
    <row r="769">
      <c r="A769" s="50" t="inlineStr">
        <is>
          <t>195556040386</t>
        </is>
      </c>
      <c r="B769" s="51" t="inlineStr">
        <is>
          <t>110198</t>
        </is>
      </c>
      <c r="C769" s="156" t="inlineStr">
        <is>
          <t>Multimarca</t>
        </is>
      </c>
      <c r="D769" s="156" t="inlineStr">
        <is>
          <t>SSPLAT-304281</t>
        </is>
      </c>
      <c r="E769" s="156" t="inlineStr">
        <is>
          <t>SSPLAT-30428173</t>
        </is>
      </c>
      <c r="F769" s="156" t="inlineStr">
        <is>
          <t>7 3/8</t>
        </is>
      </c>
      <c r="G769" s="156" t="inlineStr">
        <is>
          <t>7 3/8</t>
        </is>
      </c>
      <c r="H769" s="156" t="inlineStr">
        <is>
          <t>Stetson</t>
        </is>
      </c>
      <c r="I769" s="156" t="inlineStr">
        <is>
          <t>Sombrero Stetson Plait Natural</t>
        </is>
      </c>
      <c r="J769" s="156" t="inlineStr">
        <is>
          <t>Accesorios</t>
        </is>
      </c>
      <c r="K769" s="156" t="inlineStr">
        <is>
          <t>Sombreros</t>
        </is>
      </c>
      <c r="L769" s="156" t="inlineStr">
        <is>
          <t>Unisex</t>
        </is>
      </c>
      <c r="M769" s="156" t="inlineStr">
        <is>
          <t>Stetson</t>
        </is>
      </c>
      <c r="N769" s="156" t="inlineStr">
        <is>
          <t>SS26</t>
        </is>
      </c>
      <c r="O769" s="156" t="inlineStr">
        <is>
          <t>Seasonal</t>
        </is>
      </c>
      <c r="P769" s="156" t="inlineStr">
        <is>
          <t>Beige</t>
        </is>
      </c>
      <c r="Q769" s="156" t="n"/>
      <c r="R769" s="156" t="inlineStr">
        <is>
          <t>Copa Cattleman</t>
        </is>
      </c>
      <c r="S769" s="156" t="inlineStr">
        <is>
          <t>100% Paja</t>
        </is>
      </c>
      <c r="T769"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9" s="156" t="inlineStr">
        <is>
          <t>Estados Unidos</t>
        </is>
      </c>
      <c r="V769" s="156" t="inlineStr">
        <is>
          <t>PZS</t>
        </is>
      </c>
      <c r="W769" s="51" t="inlineStr">
        <is>
          <t>53102503</t>
        </is>
      </c>
      <c r="X769" s="156" t="inlineStr">
        <is>
          <t>https://cdn.shopify.com/s/files/1/0888/3250/8267/files/SSPLAT-304281-04.jpg?v=1759957689</t>
        </is>
      </c>
      <c r="Y769" s="54" t="n">
        <v>1338.75</v>
      </c>
      <c r="Z769" s="54" t="n">
        <v>3275.862069</v>
      </c>
      <c r="AA769" s="55">
        <f>IF(AND(A769="", B769="", E769=""), "", IF(AB769="", "Válido", IF((LEN(AB769)-LEN(SUBSTITUTE(AB769,"; ","")))/2+1&gt;(LEN(AB769)-LEN(SUBSTITUTE(AB769,"[Aviso]","")))/7, "Con Incidencias", "Válido")))</f>
        <v/>
      </c>
      <c r="AB769" s="56">
        <f>IF(AND(A769="", B769="", E769=""), "", TEXTJOIN("; ", TRUE, IF(OR(TRIM(A769&amp;"")="", ISNUMBER(SEARCH("FALTA", A769))), "UPC faltante/inválido", ""), IF(AND(A769&lt;&gt;"", IFERROR(_xlfn.XMATCH(A769,$A$2:$A$2509,0,1)&lt;&gt;_xlfn.XMATCH(A769,$A$2:$A$2509,0,-1),FALSE)), "Código de barras duplicado", ""), IF(AND(E769&lt;&gt;"", COUNTIF($E$2:$E$2509, E769)&gt;1), "SKU duplicado", ""), IF(OR(J769="", J769=""), "[Aviso] División no capturada ()", IF(ISNA(MATCH(J769, Criterios!$A$123:$A$126, 0)), "División no válida", "")), IF(OR(K769="", K769=""), "[Aviso] Categoría no capturada ()", IF(ISNA(MATCH(K769, Criterios!$A$81:$A$120, 0)), "Categoría no válida", IF(AND(J769&lt;&gt;"", J769&lt;&gt;"", J769&lt;&gt;VLOOKUP(K769, Criterios!$A$81:$B$120, 2, FALSE)), "División no coincide con Categoría", ""))), IF(OR(L769="", L769=""), "[Aviso] Género no capturado ()", IF(ISNA(MATCH(L769, Criterios!$B$123:$B$127, 0)), "Género no válido", "")), IF(OR(N769="", N769=""), "[Aviso] Temporada no capturada ()", IF(ISNA(MATCH(N769, Criterios!$C$123:$C$128, 0)), "Temporada no válida", "")), IF(OR(O769="", O769=""), "[Aviso] Ciclo de vida no capturado ()", IF(ISNA(MATCH(O769, Criterios!$D$123:$D$124, 0)), "Ciclo de vida no válido", ""))))</f>
        <v/>
      </c>
      <c r="AC769" s="56" t="n"/>
      <c r="AD769" s="51" t="n">
        <v>0</v>
      </c>
      <c r="AE769" s="156" t="inlineStr">
        <is>
          <t>B25 STETSON.MX (2)</t>
        </is>
      </c>
      <c r="AF769" s="51" t="n">
        <v>2</v>
      </c>
      <c r="AG769" s="156" t="inlineStr">
        <is>
          <t>Catálogo existente</t>
        </is>
      </c>
      <c r="AH769"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9" s="156" t="inlineStr">
        <is>
          <t>Sí</t>
        </is>
      </c>
      <c r="AJ769" s="156" t="inlineStr">
        <is>
          <t>STETSON AMERICAS (-2)</t>
        </is>
      </c>
      <c r="AK769" s="155" t="inlineStr">
        <is>
          <t>Criterios: I [Q] | Shopify Stetson: producto 14789246615915 / variante 53350607257963</t>
        </is>
      </c>
      <c r="AL769" s="58" t="n">
        <v>1338.75</v>
      </c>
      <c r="AM769" s="58" t="n">
        <v>3275.862069</v>
      </c>
      <c r="AN769" s="155" t="inlineStr">
        <is>
          <t>Shopify Stetson México</t>
        </is>
      </c>
      <c r="AO769" s="59" t="n">
        <v>4</v>
      </c>
      <c r="AP769" s="59" t="n"/>
      <c r="AQ769" s="59" t="n"/>
      <c r="AR769" s="155" t="inlineStr">
        <is>
          <t>Shopify Stetson México › Stetson México: 4</t>
        </is>
      </c>
    </row>
    <row r="770">
      <c r="A770" s="50" t="inlineStr">
        <is>
          <t>195556040393</t>
        </is>
      </c>
      <c r="B770" s="51" t="inlineStr">
        <is>
          <t>110199</t>
        </is>
      </c>
      <c r="C770" s="156" t="inlineStr">
        <is>
          <t>Multimarca</t>
        </is>
      </c>
      <c r="D770" s="156" t="inlineStr">
        <is>
          <t>SSPLAT-304281</t>
        </is>
      </c>
      <c r="E770" s="156" t="inlineStr">
        <is>
          <t>SSPLAT-30428174</t>
        </is>
      </c>
      <c r="F770" s="156" t="inlineStr">
        <is>
          <t>7 1/2</t>
        </is>
      </c>
      <c r="G770" s="156" t="inlineStr">
        <is>
          <t>7 1/2</t>
        </is>
      </c>
      <c r="H770" s="156" t="inlineStr">
        <is>
          <t>Stetson</t>
        </is>
      </c>
      <c r="I770" s="156" t="inlineStr">
        <is>
          <t>Sombrero Stetson Plait Natural</t>
        </is>
      </c>
      <c r="J770" s="156" t="inlineStr">
        <is>
          <t>Accesorios</t>
        </is>
      </c>
      <c r="K770" s="156" t="inlineStr">
        <is>
          <t>Sombreros</t>
        </is>
      </c>
      <c r="L770" s="156" t="inlineStr">
        <is>
          <t>Unisex</t>
        </is>
      </c>
      <c r="M770" s="156" t="inlineStr">
        <is>
          <t>Stetson</t>
        </is>
      </c>
      <c r="N770" s="156" t="inlineStr">
        <is>
          <t>SS26</t>
        </is>
      </c>
      <c r="O770" s="156" t="inlineStr">
        <is>
          <t>Seasonal</t>
        </is>
      </c>
      <c r="P770" s="156" t="inlineStr">
        <is>
          <t>Beige</t>
        </is>
      </c>
      <c r="Q770" s="156" t="n"/>
      <c r="R770" s="156" t="inlineStr">
        <is>
          <t>Copa Cattleman</t>
        </is>
      </c>
      <c r="S770" s="156" t="inlineStr">
        <is>
          <t>100% Paja</t>
        </is>
      </c>
      <c r="T770"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70" s="156" t="inlineStr">
        <is>
          <t>Estados Unidos</t>
        </is>
      </c>
      <c r="V770" s="156" t="inlineStr">
        <is>
          <t>PZS</t>
        </is>
      </c>
      <c r="W770" s="51" t="inlineStr">
        <is>
          <t>53102503</t>
        </is>
      </c>
      <c r="X770" s="156" t="inlineStr">
        <is>
          <t>https://cdn.shopify.com/s/files/1/0888/3250/8267/files/SSPLAT-304281-01.jpg?v=1759957688</t>
        </is>
      </c>
      <c r="Y770" s="54" t="n">
        <v>1338.75</v>
      </c>
      <c r="Z770" s="54" t="n">
        <v>3275.862069</v>
      </c>
      <c r="AA770" s="55">
        <f>IF(AND(A770="", B770="", E770=""), "", IF(AB770="", "Válido", IF((LEN(AB770)-LEN(SUBSTITUTE(AB770,"; ","")))/2+1&gt;(LEN(AB770)-LEN(SUBSTITUTE(AB770,"[Aviso]","")))/7, "Con Incidencias", "Válido")))</f>
        <v/>
      </c>
      <c r="AB770" s="56">
        <f>IF(AND(A770="", B770="", E770=""), "", TEXTJOIN("; ", TRUE, IF(OR(TRIM(A770&amp;"")="", ISNUMBER(SEARCH("FALTA", A770))), "UPC faltante/inválido", ""), IF(AND(A770&lt;&gt;"", IFERROR(_xlfn.XMATCH(A770,$A$2:$A$2509,0,1)&lt;&gt;_xlfn.XMATCH(A770,$A$2:$A$2509,0,-1),FALSE)), "Código de barras duplicado", ""), IF(AND(E770&lt;&gt;"", COUNTIF($E$2:$E$2509, E770)&gt;1), "SKU duplicado", ""), IF(OR(J770="", J770=""), "[Aviso] División no capturada ()", IF(ISNA(MATCH(J770, Criterios!$A$123:$A$126, 0)), "División no válida", "")), IF(OR(K770="", K770=""), "[Aviso] Categoría no capturada ()", IF(ISNA(MATCH(K770, Criterios!$A$81:$A$120, 0)), "Categoría no válida", IF(AND(J770&lt;&gt;"", J770&lt;&gt;"", J770&lt;&gt;VLOOKUP(K770, Criterios!$A$81:$B$120, 2, FALSE)), "División no coincide con Categoría", ""))), IF(OR(L770="", L770=""), "[Aviso] Género no capturado ()", IF(ISNA(MATCH(L770, Criterios!$B$123:$B$127, 0)), "Género no válido", "")), IF(OR(N770="", N770=""), "[Aviso] Temporada no capturada ()", IF(ISNA(MATCH(N770, Criterios!$C$123:$C$128, 0)), "Temporada no válida", "")), IF(OR(O770="", O770=""), "[Aviso] Ciclo de vida no capturado ()", IF(ISNA(MATCH(O770, Criterios!$D$123:$D$124, 0)), "Ciclo de vida no válido", ""))))</f>
        <v/>
      </c>
      <c r="AC770" s="56" t="n"/>
      <c r="AD770" s="51" t="n">
        <v>2</v>
      </c>
      <c r="AE770" s="156" t="inlineStr">
        <is>
          <t>B25 STETSON.MX (2)</t>
        </is>
      </c>
      <c r="AF770" s="51" t="n">
        <v>2</v>
      </c>
      <c r="AG770" s="156" t="inlineStr">
        <is>
          <t>Catálogo existente</t>
        </is>
      </c>
      <c r="AH770" s="156" t="inlineStr">
        <is>
          <t>Revisión 29/09/2026: Campos sin respaldo: X | 01/10/2026: complementado desde Shopify Stetson México (match por código de barras): WB Fit, WB Silueta, Enlace de imagen | 01/10/2026: Shopify Stetson México trae Género «Hombre», Color «Varios» — se conservó el valor de Productos</t>
        </is>
      </c>
      <c r="AI770" s="156" t="inlineStr">
        <is>
          <t>No</t>
        </is>
      </c>
      <c r="AJ770" s="156" t="n"/>
      <c r="AK770" s="155" t="inlineStr">
        <is>
          <t>Criterios: I [Q] | Shopify Stetson: producto 14789246615915 / variante 53350607290731</t>
        </is>
      </c>
      <c r="AL770" s="58" t="n">
        <v>1338.75</v>
      </c>
      <c r="AM770" s="58" t="n">
        <v>3275.862069</v>
      </c>
      <c r="AN770" s="155" t="inlineStr">
        <is>
          <t>Shopify Stetson México</t>
        </is>
      </c>
      <c r="AO770" s="59" t="n">
        <v>2</v>
      </c>
      <c r="AP770" s="59" t="n"/>
      <c r="AQ770" s="59" t="n"/>
      <c r="AR770" s="155" t="inlineStr">
        <is>
          <t>Shopify Stetson México › Stetson México: 2</t>
        </is>
      </c>
    </row>
    <row r="771">
      <c r="A771" s="50" t="inlineStr">
        <is>
          <t>195556040805</t>
        </is>
      </c>
      <c r="B771" s="51" t="inlineStr">
        <is>
          <t>110200</t>
        </is>
      </c>
      <c r="C771" s="156" t="inlineStr">
        <is>
          <t>Multimarca</t>
        </is>
      </c>
      <c r="D771" s="156" t="inlineStr">
        <is>
          <t>SSRDEO-664281</t>
        </is>
      </c>
      <c r="E771" s="156" t="inlineStr">
        <is>
          <t>SSRDEO-66428170</t>
        </is>
      </c>
      <c r="F771" s="156" t="inlineStr">
        <is>
          <t>7</t>
        </is>
      </c>
      <c r="G771" s="156" t="inlineStr">
        <is>
          <t>7</t>
        </is>
      </c>
      <c r="H771" s="156" t="inlineStr">
        <is>
          <t>Stetson</t>
        </is>
      </c>
      <c r="I771" s="156" t="inlineStr">
        <is>
          <t>Sombrero Stetson Rodeo Natural</t>
        </is>
      </c>
      <c r="J771" s="156" t="inlineStr">
        <is>
          <t>Accesorios</t>
        </is>
      </c>
      <c r="K771" s="156" t="inlineStr">
        <is>
          <t>Sombreros</t>
        </is>
      </c>
      <c r="L771" s="156" t="inlineStr">
        <is>
          <t>Unisex</t>
        </is>
      </c>
      <c r="M771" s="156" t="inlineStr">
        <is>
          <t>Stetson</t>
        </is>
      </c>
      <c r="N771" s="156" t="inlineStr">
        <is>
          <t>SS26</t>
        </is>
      </c>
      <c r="O771" s="156" t="inlineStr">
        <is>
          <t>Seasonal</t>
        </is>
      </c>
      <c r="P771" s="156" t="inlineStr">
        <is>
          <t>Beige</t>
        </is>
      </c>
      <c r="Q771" s="156" t="n"/>
      <c r="R771" s="156" t="inlineStr">
        <is>
          <t>Copa Cattleman</t>
        </is>
      </c>
      <c r="S771" s="156" t="inlineStr">
        <is>
          <t>100% Paja</t>
        </is>
      </c>
      <c r="T771"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1" s="156" t="inlineStr">
        <is>
          <t>Estados Unidos</t>
        </is>
      </c>
      <c r="V771" s="156" t="inlineStr">
        <is>
          <t>PZS</t>
        </is>
      </c>
      <c r="W771" s="51" t="inlineStr">
        <is>
          <t>53102503</t>
        </is>
      </c>
      <c r="X771" s="156" t="inlineStr">
        <is>
          <t>https://cdn.shopify.com/s/files/1/0888/3250/8267/files/SSRDEO-6642-81-66_1.png?v=1759959545</t>
        </is>
      </c>
      <c r="Y771" s="54" t="n">
        <v>1338.75</v>
      </c>
      <c r="Z771" s="54" t="n">
        <v>3275.862069</v>
      </c>
      <c r="AA771" s="55">
        <f>IF(AND(A771="", B771="", E771=""), "", IF(AB771="", "Válido", IF((LEN(AB771)-LEN(SUBSTITUTE(AB771,"; ","")))/2+1&gt;(LEN(AB771)-LEN(SUBSTITUTE(AB771,"[Aviso]","")))/7, "Con Incidencias", "Válido")))</f>
        <v/>
      </c>
      <c r="AB771" s="56">
        <f>IF(AND(A771="", B771="", E771=""), "", TEXTJOIN("; ", TRUE, IF(OR(TRIM(A771&amp;"")="", ISNUMBER(SEARCH("FALTA", A771))), "UPC faltante/inválido", ""), IF(AND(A771&lt;&gt;"", IFERROR(_xlfn.XMATCH(A771,$A$2:$A$2509,0,1)&lt;&gt;_xlfn.XMATCH(A771,$A$2:$A$2509,0,-1),FALSE)), "Código de barras duplicado", ""), IF(AND(E771&lt;&gt;"", COUNTIF($E$2:$E$2509, E771)&gt;1), "SKU duplicado", ""), IF(OR(J771="", J771=""), "[Aviso] División no capturada ()", IF(ISNA(MATCH(J771, Criterios!$A$123:$A$126, 0)), "División no válida", "")), IF(OR(K771="", K771=""), "[Aviso] Categoría no capturada ()", IF(ISNA(MATCH(K771, Criterios!$A$81:$A$120, 0)), "Categoría no válida", IF(AND(J771&lt;&gt;"", J771&lt;&gt;"", J771&lt;&gt;VLOOKUP(K771, Criterios!$A$81:$B$120, 2, FALSE)), "División no coincide con Categoría", ""))), IF(OR(L771="", L771=""), "[Aviso] Género no capturado ()", IF(ISNA(MATCH(L771, Criterios!$B$123:$B$127, 0)), "Género no válido", "")), IF(OR(N771="", N771=""), "[Aviso] Temporada no capturada ()", IF(ISNA(MATCH(N771, Criterios!$C$123:$C$128, 0)), "Temporada no válida", "")), IF(OR(O771="", O771=""), "[Aviso] Ciclo de vida no capturado ()", IF(ISNA(MATCH(O771, Criterios!$D$123:$D$124, 0)), "Ciclo de vida no válido", ""))))</f>
        <v/>
      </c>
      <c r="AC771" s="56" t="n"/>
      <c r="AD771" s="51" t="n">
        <v>-1</v>
      </c>
      <c r="AE771" s="156" t="n"/>
      <c r="AF771" s="51" t="n">
        <v>0</v>
      </c>
      <c r="AG771" s="156" t="inlineStr">
        <is>
          <t>Catálogo existente</t>
        </is>
      </c>
      <c r="AH77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1" s="156" t="inlineStr">
        <is>
          <t>Sí</t>
        </is>
      </c>
      <c r="AJ771" s="156" t="inlineStr">
        <is>
          <t>STETSON AMERICAS (-1)</t>
        </is>
      </c>
      <c r="AK771" s="155" t="inlineStr">
        <is>
          <t>Criterios: I [Q] | Shopify Stetson: producto 14789249565035 / variante 53350606995819</t>
        </is>
      </c>
      <c r="AL771" s="58" t="n">
        <v>1338.75</v>
      </c>
      <c r="AM771" s="58" t="n">
        <v>3275.862069</v>
      </c>
      <c r="AN771" s="155" t="inlineStr">
        <is>
          <t>Shopify Stetson México</t>
        </is>
      </c>
      <c r="AO771" s="59" t="n">
        <v>0</v>
      </c>
      <c r="AP771" s="59" t="n"/>
      <c r="AQ771" s="59" t="n"/>
      <c r="AR771" s="155" t="n"/>
    </row>
    <row r="772">
      <c r="A772" s="50" t="inlineStr">
        <is>
          <t>195556040812</t>
        </is>
      </c>
      <c r="B772" s="51" t="inlineStr">
        <is>
          <t>110201</t>
        </is>
      </c>
      <c r="C772" s="156" t="inlineStr">
        <is>
          <t>Multimarca</t>
        </is>
      </c>
      <c r="D772" s="156" t="inlineStr">
        <is>
          <t>SSRDEO-664281</t>
        </is>
      </c>
      <c r="E772" s="156" t="inlineStr">
        <is>
          <t>SSRDEO-66428171</t>
        </is>
      </c>
      <c r="F772" s="156" t="inlineStr">
        <is>
          <t>7 1/8</t>
        </is>
      </c>
      <c r="G772" s="156" t="inlineStr">
        <is>
          <t>7 1/8</t>
        </is>
      </c>
      <c r="H772" s="156" t="inlineStr">
        <is>
          <t>Stetson</t>
        </is>
      </c>
      <c r="I772" s="156" t="inlineStr">
        <is>
          <t>Sombrero Stetson Rodeo Natural</t>
        </is>
      </c>
      <c r="J772" s="156" t="inlineStr">
        <is>
          <t>Accesorios</t>
        </is>
      </c>
      <c r="K772" s="156" t="inlineStr">
        <is>
          <t>Sombreros</t>
        </is>
      </c>
      <c r="L772" s="156" t="inlineStr">
        <is>
          <t>Unisex</t>
        </is>
      </c>
      <c r="M772" s="156" t="inlineStr">
        <is>
          <t>Stetson</t>
        </is>
      </c>
      <c r="N772" s="156" t="inlineStr">
        <is>
          <t>SS26</t>
        </is>
      </c>
      <c r="O772" s="156" t="inlineStr">
        <is>
          <t>Seasonal</t>
        </is>
      </c>
      <c r="P772" s="156" t="inlineStr">
        <is>
          <t>Beige</t>
        </is>
      </c>
      <c r="Q772" s="156" t="n"/>
      <c r="R772" s="156" t="inlineStr">
        <is>
          <t>Copa Cattleman</t>
        </is>
      </c>
      <c r="S772" s="156" t="inlineStr">
        <is>
          <t>100% Paja</t>
        </is>
      </c>
      <c r="T772"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2" s="156" t="inlineStr">
        <is>
          <t>Estados Unidos</t>
        </is>
      </c>
      <c r="V772" s="156" t="inlineStr">
        <is>
          <t>PZS</t>
        </is>
      </c>
      <c r="W772" s="51" t="inlineStr">
        <is>
          <t>53102503</t>
        </is>
      </c>
      <c r="X772" s="156" t="inlineStr">
        <is>
          <t>https://cdn.shopify.com/s/files/1/0888/3250/8267/files/SSRDEO-6642-81-66_2.png?v=1759959546</t>
        </is>
      </c>
      <c r="Y772" s="54" t="n">
        <v>1338.75</v>
      </c>
      <c r="Z772" s="54" t="n">
        <v>3275.862069</v>
      </c>
      <c r="AA772" s="55">
        <f>IF(AND(A772="", B772="", E772=""), "", IF(AB772="", "Válido", IF((LEN(AB772)-LEN(SUBSTITUTE(AB772,"; ","")))/2+1&gt;(LEN(AB772)-LEN(SUBSTITUTE(AB772,"[Aviso]","")))/7, "Con Incidencias", "Válido")))</f>
        <v/>
      </c>
      <c r="AB772" s="56">
        <f>IF(AND(A772="", B772="", E772=""), "", TEXTJOIN("; ", TRUE, IF(OR(TRIM(A772&amp;"")="", ISNUMBER(SEARCH("FALTA", A772))), "UPC faltante/inválido", ""), IF(AND(A772&lt;&gt;"", IFERROR(_xlfn.XMATCH(A772,$A$2:$A$2509,0,1)&lt;&gt;_xlfn.XMATCH(A772,$A$2:$A$2509,0,-1),FALSE)), "Código de barras duplicado", ""), IF(AND(E772&lt;&gt;"", COUNTIF($E$2:$E$2509, E772)&gt;1), "SKU duplicado", ""), IF(OR(J772="", J772=""), "[Aviso] División no capturada ()", IF(ISNA(MATCH(J772, Criterios!$A$123:$A$126, 0)), "División no válida", "")), IF(OR(K772="", K772=""), "[Aviso] Categoría no capturada ()", IF(ISNA(MATCH(K772, Criterios!$A$81:$A$120, 0)), "Categoría no válida", IF(AND(J772&lt;&gt;"", J772&lt;&gt;"", J772&lt;&gt;VLOOKUP(K772, Criterios!$A$81:$B$120, 2, FALSE)), "División no coincide con Categoría", ""))), IF(OR(L772="", L772=""), "[Aviso] Género no capturado ()", IF(ISNA(MATCH(L772, Criterios!$B$123:$B$127, 0)), "Género no válido", "")), IF(OR(N772="", N772=""), "[Aviso] Temporada no capturada ()", IF(ISNA(MATCH(N772, Criterios!$C$123:$C$128, 0)), "Temporada no válida", "")), IF(OR(O772="", O772=""), "[Aviso] Ciclo de vida no capturado ()", IF(ISNA(MATCH(O772, Criterios!$D$123:$D$124, 0)), "Ciclo de vida no válido", ""))))</f>
        <v/>
      </c>
      <c r="AC772" s="56" t="n"/>
      <c r="AD772" s="51" t="n">
        <v>0</v>
      </c>
      <c r="AE772" s="156" t="n"/>
      <c r="AF772" s="51" t="n">
        <v>0</v>
      </c>
      <c r="AG772" s="156" t="inlineStr">
        <is>
          <t>Catálogo existente</t>
        </is>
      </c>
      <c r="AH77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2" s="156" t="inlineStr">
        <is>
          <t>No</t>
        </is>
      </c>
      <c r="AJ772" s="156" t="n"/>
      <c r="AK772" s="155" t="inlineStr">
        <is>
          <t>Criterios: I [Q] | Shopify Stetson: producto 14789249565035 / variante 53350607028587</t>
        </is>
      </c>
      <c r="AL772" s="58" t="n">
        <v>1338.75</v>
      </c>
      <c r="AM772" s="58" t="n">
        <v>3275.862069</v>
      </c>
      <c r="AN772" s="155" t="inlineStr">
        <is>
          <t>Shopify Stetson México</t>
        </is>
      </c>
      <c r="AO772" s="59" t="n">
        <v>0</v>
      </c>
      <c r="AP772" s="59" t="n"/>
      <c r="AQ772" s="59" t="n"/>
      <c r="AR772" s="155" t="n"/>
    </row>
    <row r="773">
      <c r="A773" s="50" t="inlineStr">
        <is>
          <t>195556040829</t>
        </is>
      </c>
      <c r="B773" s="51" t="inlineStr">
        <is>
          <t>110202</t>
        </is>
      </c>
      <c r="C773" s="156" t="inlineStr">
        <is>
          <t>Multimarca</t>
        </is>
      </c>
      <c r="D773" s="156" t="inlineStr">
        <is>
          <t>SSRDEO-664281</t>
        </is>
      </c>
      <c r="E773" s="156" t="inlineStr">
        <is>
          <t>SSRDEO-66428172</t>
        </is>
      </c>
      <c r="F773" s="156" t="inlineStr">
        <is>
          <t>7 1/4</t>
        </is>
      </c>
      <c r="G773" s="156" t="inlineStr">
        <is>
          <t>7 1/4</t>
        </is>
      </c>
      <c r="H773" s="156" t="inlineStr">
        <is>
          <t>Stetson</t>
        </is>
      </c>
      <c r="I773" s="156" t="inlineStr">
        <is>
          <t>Sombrero Stetson Rodeo Natural</t>
        </is>
      </c>
      <c r="J773" s="156" t="inlineStr">
        <is>
          <t>Accesorios</t>
        </is>
      </c>
      <c r="K773" s="156" t="inlineStr">
        <is>
          <t>Sombreros</t>
        </is>
      </c>
      <c r="L773" s="156" t="inlineStr">
        <is>
          <t>Unisex</t>
        </is>
      </c>
      <c r="M773" s="156" t="inlineStr">
        <is>
          <t>Stetson</t>
        </is>
      </c>
      <c r="N773" s="156" t="inlineStr">
        <is>
          <t>SS26</t>
        </is>
      </c>
      <c r="O773" s="156" t="inlineStr">
        <is>
          <t>Seasonal</t>
        </is>
      </c>
      <c r="P773" s="156" t="inlineStr">
        <is>
          <t>Beige</t>
        </is>
      </c>
      <c r="Q773" s="156" t="n"/>
      <c r="R773" s="156" t="inlineStr">
        <is>
          <t>Copa Cattleman</t>
        </is>
      </c>
      <c r="S773" s="156" t="inlineStr">
        <is>
          <t>100% Paja</t>
        </is>
      </c>
      <c r="T773"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3" s="156" t="inlineStr">
        <is>
          <t>Estados Unidos</t>
        </is>
      </c>
      <c r="V773" s="156" t="inlineStr">
        <is>
          <t>PZS</t>
        </is>
      </c>
      <c r="W773" s="51" t="inlineStr">
        <is>
          <t>53102503</t>
        </is>
      </c>
      <c r="X773" s="156" t="inlineStr">
        <is>
          <t>https://cdn.shopify.com/s/files/1/0888/3250/8267/files/SSRDEO-6642-81-66_3.png?v=1759959545</t>
        </is>
      </c>
      <c r="Y773" s="54" t="n">
        <v>1338.75</v>
      </c>
      <c r="Z773" s="54" t="n">
        <v>3275.862069</v>
      </c>
      <c r="AA773" s="55">
        <f>IF(AND(A773="", B773="", E773=""), "", IF(AB773="", "Válido", IF((LEN(AB773)-LEN(SUBSTITUTE(AB773,"; ","")))/2+1&gt;(LEN(AB773)-LEN(SUBSTITUTE(AB773,"[Aviso]","")))/7, "Con Incidencias", "Válido")))</f>
        <v/>
      </c>
      <c r="AB773" s="56">
        <f>IF(AND(A773="", B773="", E773=""), "", TEXTJOIN("; ", TRUE, IF(OR(TRIM(A773&amp;"")="", ISNUMBER(SEARCH("FALTA", A773))), "UPC faltante/inválido", ""), IF(AND(A773&lt;&gt;"", IFERROR(_xlfn.XMATCH(A773,$A$2:$A$2509,0,1)&lt;&gt;_xlfn.XMATCH(A773,$A$2:$A$2509,0,-1),FALSE)), "Código de barras duplicado", ""), IF(AND(E773&lt;&gt;"", COUNTIF($E$2:$E$2509, E773)&gt;1), "SKU duplicado", ""), IF(OR(J773="", J773=""), "[Aviso] División no capturada ()", IF(ISNA(MATCH(J773, Criterios!$A$123:$A$126, 0)), "División no válida", "")), IF(OR(K773="", K773=""), "[Aviso] Categoría no capturada ()", IF(ISNA(MATCH(K773, Criterios!$A$81:$A$120, 0)), "Categoría no válida", IF(AND(J773&lt;&gt;"", J773&lt;&gt;"", J773&lt;&gt;VLOOKUP(K773, Criterios!$A$81:$B$120, 2, FALSE)), "División no coincide con Categoría", ""))), IF(OR(L773="", L773=""), "[Aviso] Género no capturado ()", IF(ISNA(MATCH(L773, Criterios!$B$123:$B$127, 0)), "Género no válido", "")), IF(OR(N773="", N773=""), "[Aviso] Temporada no capturada ()", IF(ISNA(MATCH(N773, Criterios!$C$123:$C$128, 0)), "Temporada no válida", "")), IF(OR(O773="", O773=""), "[Aviso] Ciclo de vida no capturado ()", IF(ISNA(MATCH(O773, Criterios!$D$123:$D$124, 0)), "Ciclo de vida no válido", ""))))</f>
        <v/>
      </c>
      <c r="AC773" s="56" t="n"/>
      <c r="AD773" s="51" t="n">
        <v>0</v>
      </c>
      <c r="AE773" s="156" t="n"/>
      <c r="AF773" s="51" t="n">
        <v>0</v>
      </c>
      <c r="AG773" s="156" t="inlineStr">
        <is>
          <t>Catálogo existente</t>
        </is>
      </c>
      <c r="AH77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3" s="156" t="inlineStr">
        <is>
          <t>No</t>
        </is>
      </c>
      <c r="AJ773" s="156" t="n"/>
      <c r="AK773" s="155" t="inlineStr">
        <is>
          <t>Criterios: I [Q] | Shopify Stetson: producto 14789249565035 / variante 53350607061355</t>
        </is>
      </c>
      <c r="AL773" s="58" t="n">
        <v>1338.75</v>
      </c>
      <c r="AM773" s="58" t="n">
        <v>3275.862069</v>
      </c>
      <c r="AN773" s="155" t="inlineStr">
        <is>
          <t>Shopify Stetson México</t>
        </is>
      </c>
      <c r="AO773" s="59" t="n">
        <v>0</v>
      </c>
      <c r="AP773" s="59" t="n"/>
      <c r="AQ773" s="59" t="n"/>
      <c r="AR773" s="155" t="n"/>
    </row>
    <row r="774">
      <c r="A774" s="50" t="inlineStr">
        <is>
          <t>195556040836</t>
        </is>
      </c>
      <c r="B774" s="51" t="inlineStr">
        <is>
          <t>110203</t>
        </is>
      </c>
      <c r="C774" s="156" t="inlineStr">
        <is>
          <t>Multimarca</t>
        </is>
      </c>
      <c r="D774" s="156" t="inlineStr">
        <is>
          <t>SSRDEO-664281</t>
        </is>
      </c>
      <c r="E774" s="156" t="inlineStr">
        <is>
          <t>SSRDEO-66428173</t>
        </is>
      </c>
      <c r="F774" s="156" t="inlineStr">
        <is>
          <t>7 3/8</t>
        </is>
      </c>
      <c r="G774" s="156" t="inlineStr">
        <is>
          <t>7 3/8</t>
        </is>
      </c>
      <c r="H774" s="156" t="inlineStr">
        <is>
          <t>Stetson</t>
        </is>
      </c>
      <c r="I774" s="156" t="inlineStr">
        <is>
          <t>Sombrero Stetson Rodeo Natural</t>
        </is>
      </c>
      <c r="J774" s="156" t="inlineStr">
        <is>
          <t>Accesorios</t>
        </is>
      </c>
      <c r="K774" s="156" t="inlineStr">
        <is>
          <t>Sombreros</t>
        </is>
      </c>
      <c r="L774" s="156" t="inlineStr">
        <is>
          <t>Unisex</t>
        </is>
      </c>
      <c r="M774" s="156" t="inlineStr">
        <is>
          <t>Stetson</t>
        </is>
      </c>
      <c r="N774" s="156" t="inlineStr">
        <is>
          <t>SS26</t>
        </is>
      </c>
      <c r="O774" s="156" t="inlineStr">
        <is>
          <t>Seasonal</t>
        </is>
      </c>
      <c r="P774" s="156" t="inlineStr">
        <is>
          <t>Beige</t>
        </is>
      </c>
      <c r="Q774" s="156" t="n"/>
      <c r="R774" s="156" t="inlineStr">
        <is>
          <t>Copa Cattleman</t>
        </is>
      </c>
      <c r="S774" s="156" t="inlineStr">
        <is>
          <t>100% Paja</t>
        </is>
      </c>
      <c r="T774"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4" s="156" t="inlineStr">
        <is>
          <t>Estados Unidos</t>
        </is>
      </c>
      <c r="V774" s="156" t="inlineStr">
        <is>
          <t>PZS</t>
        </is>
      </c>
      <c r="W774" s="51" t="inlineStr">
        <is>
          <t>53102503</t>
        </is>
      </c>
      <c r="X774" s="156" t="inlineStr">
        <is>
          <t>https://cdn.shopify.com/s/files/1/0888/3250/8267/files/SSRDEO-6642-81-66_4.png?v=1759959545</t>
        </is>
      </c>
      <c r="Y774" s="54" t="n">
        <v>1338.75</v>
      </c>
      <c r="Z774" s="54" t="n">
        <v>3275.862069</v>
      </c>
      <c r="AA774" s="55">
        <f>IF(AND(A774="", B774="", E774=""), "", IF(AB774="", "Válido", IF((LEN(AB774)-LEN(SUBSTITUTE(AB774,"; ","")))/2+1&gt;(LEN(AB774)-LEN(SUBSTITUTE(AB774,"[Aviso]","")))/7, "Con Incidencias", "Válido")))</f>
        <v/>
      </c>
      <c r="AB774" s="56">
        <f>IF(AND(A774="", B774="", E774=""), "", TEXTJOIN("; ", TRUE, IF(OR(TRIM(A774&amp;"")="", ISNUMBER(SEARCH("FALTA", A774))), "UPC faltante/inválido", ""), IF(AND(A774&lt;&gt;"", IFERROR(_xlfn.XMATCH(A774,$A$2:$A$2509,0,1)&lt;&gt;_xlfn.XMATCH(A774,$A$2:$A$2509,0,-1),FALSE)), "Código de barras duplicado", ""), IF(AND(E774&lt;&gt;"", COUNTIF($E$2:$E$2509, E774)&gt;1), "SKU duplicado", ""), IF(OR(J774="", J774=""), "[Aviso] División no capturada ()", IF(ISNA(MATCH(J774, Criterios!$A$123:$A$126, 0)), "División no válida", "")), IF(OR(K774="", K774=""), "[Aviso] Categoría no capturada ()", IF(ISNA(MATCH(K774, Criterios!$A$81:$A$120, 0)), "Categoría no válida", IF(AND(J774&lt;&gt;"", J774&lt;&gt;"", J774&lt;&gt;VLOOKUP(K774, Criterios!$A$81:$B$120, 2, FALSE)), "División no coincide con Categoría", ""))), IF(OR(L774="", L774=""), "[Aviso] Género no capturado ()", IF(ISNA(MATCH(L774, Criterios!$B$123:$B$127, 0)), "Género no válido", "")), IF(OR(N774="", N774=""), "[Aviso] Temporada no capturada ()", IF(ISNA(MATCH(N774, Criterios!$C$123:$C$128, 0)), "Temporada no válida", "")), IF(OR(O774="", O774=""), "[Aviso] Ciclo de vida no capturado ()", IF(ISNA(MATCH(O774, Criterios!$D$123:$D$124, 0)), "Ciclo de vida no válido", ""))))</f>
        <v/>
      </c>
      <c r="AC774" s="56" t="n"/>
      <c r="AD774" s="51" t="n">
        <v>0</v>
      </c>
      <c r="AE774" s="156" t="inlineStr">
        <is>
          <t>B25 STETSON.MX (1)</t>
        </is>
      </c>
      <c r="AF774" s="51" t="n">
        <v>1</v>
      </c>
      <c r="AG774" s="156" t="inlineStr">
        <is>
          <t>Catálogo existente</t>
        </is>
      </c>
      <c r="AH774"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4" s="156" t="inlineStr">
        <is>
          <t>Sí</t>
        </is>
      </c>
      <c r="AJ774" s="156" t="inlineStr">
        <is>
          <t>STETSON AMERICAS (-1)</t>
        </is>
      </c>
      <c r="AK774" s="155" t="inlineStr">
        <is>
          <t>Criterios: I [Q] | Shopify Stetson: producto 14789249565035 / variante 53350607094123</t>
        </is>
      </c>
      <c r="AL774" s="58" t="n">
        <v>1338.75</v>
      </c>
      <c r="AM774" s="58" t="n">
        <v>3275.862069</v>
      </c>
      <c r="AN774" s="155" t="inlineStr">
        <is>
          <t>Shopify Stetson México</t>
        </is>
      </c>
      <c r="AO774" s="59" t="n">
        <v>1</v>
      </c>
      <c r="AP774" s="59" t="n"/>
      <c r="AQ774" s="59" t="n"/>
      <c r="AR774" s="155" t="inlineStr">
        <is>
          <t>Shopify Stetson México › Stetson México: 1</t>
        </is>
      </c>
    </row>
    <row r="775">
      <c r="A775" s="50" t="inlineStr">
        <is>
          <t>195556040843</t>
        </is>
      </c>
      <c r="B775" s="51" t="inlineStr">
        <is>
          <t>110204</t>
        </is>
      </c>
      <c r="C775" s="156" t="inlineStr">
        <is>
          <t>Multimarca</t>
        </is>
      </c>
      <c r="D775" s="156" t="inlineStr">
        <is>
          <t>SSRDEO-664281</t>
        </is>
      </c>
      <c r="E775" s="156" t="inlineStr">
        <is>
          <t>SSRDEO-66428174</t>
        </is>
      </c>
      <c r="F775" s="156" t="inlineStr">
        <is>
          <t>7 1/2</t>
        </is>
      </c>
      <c r="G775" s="156" t="inlineStr">
        <is>
          <t>7 1/2</t>
        </is>
      </c>
      <c r="H775" s="156" t="inlineStr">
        <is>
          <t>Stetson</t>
        </is>
      </c>
      <c r="I775" s="156" t="inlineStr">
        <is>
          <t>Sombrero Stetson Rodeo Natural</t>
        </is>
      </c>
      <c r="J775" s="156" t="inlineStr">
        <is>
          <t>Accesorios</t>
        </is>
      </c>
      <c r="K775" s="156" t="inlineStr">
        <is>
          <t>Sombreros</t>
        </is>
      </c>
      <c r="L775" s="156" t="inlineStr">
        <is>
          <t>Unisex</t>
        </is>
      </c>
      <c r="M775" s="156" t="inlineStr">
        <is>
          <t>Stetson</t>
        </is>
      </c>
      <c r="N775" s="156" t="inlineStr">
        <is>
          <t>SS26</t>
        </is>
      </c>
      <c r="O775" s="156" t="inlineStr">
        <is>
          <t>Seasonal</t>
        </is>
      </c>
      <c r="P775" s="156" t="inlineStr">
        <is>
          <t>Beige</t>
        </is>
      </c>
      <c r="Q775" s="156" t="n"/>
      <c r="R775" s="156" t="inlineStr">
        <is>
          <t>Copa Cattleman</t>
        </is>
      </c>
      <c r="S775" s="156" t="inlineStr">
        <is>
          <t>100% Paja</t>
        </is>
      </c>
      <c r="T775"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5" s="156" t="inlineStr">
        <is>
          <t>Estados Unidos</t>
        </is>
      </c>
      <c r="V775" s="156" t="inlineStr">
        <is>
          <t>PZS</t>
        </is>
      </c>
      <c r="W775" s="51" t="inlineStr">
        <is>
          <t>53102503</t>
        </is>
      </c>
      <c r="X775" s="156" t="inlineStr">
        <is>
          <t>https://cdn.shopify.com/s/files/1/0888/3250/8267/files/SSRDEO-6642-81-66_5.png?v=1759959547</t>
        </is>
      </c>
      <c r="Y775" s="54" t="n">
        <v>1338.75</v>
      </c>
      <c r="Z775" s="54" t="n">
        <v>3275.862069</v>
      </c>
      <c r="AA775" s="55">
        <f>IF(AND(A775="", B775="", E775=""), "", IF(AB775="", "Válido", IF((LEN(AB775)-LEN(SUBSTITUTE(AB775,"; ","")))/2+1&gt;(LEN(AB775)-LEN(SUBSTITUTE(AB775,"[Aviso]","")))/7, "Con Incidencias", "Válido")))</f>
        <v/>
      </c>
      <c r="AB775" s="56">
        <f>IF(AND(A775="", B775="", E775=""), "", TEXTJOIN("; ", TRUE, IF(OR(TRIM(A775&amp;"")="", ISNUMBER(SEARCH("FALTA", A775))), "UPC faltante/inválido", ""), IF(AND(A775&lt;&gt;"", IFERROR(_xlfn.XMATCH(A775,$A$2:$A$2509,0,1)&lt;&gt;_xlfn.XMATCH(A775,$A$2:$A$2509,0,-1),FALSE)), "Código de barras duplicado", ""), IF(AND(E775&lt;&gt;"", COUNTIF($E$2:$E$2509, E775)&gt;1), "SKU duplicado", ""), IF(OR(J775="", J775=""), "[Aviso] División no capturada ()", IF(ISNA(MATCH(J775, Criterios!$A$123:$A$126, 0)), "División no válida", "")), IF(OR(K775="", K775=""), "[Aviso] Categoría no capturada ()", IF(ISNA(MATCH(K775, Criterios!$A$81:$A$120, 0)), "Categoría no válida", IF(AND(J775&lt;&gt;"", J775&lt;&gt;"", J775&lt;&gt;VLOOKUP(K775, Criterios!$A$81:$B$120, 2, FALSE)), "División no coincide con Categoría", ""))), IF(OR(L775="", L775=""), "[Aviso] Género no capturado ()", IF(ISNA(MATCH(L775, Criterios!$B$123:$B$127, 0)), "Género no válido", "")), IF(OR(N775="", N775=""), "[Aviso] Temporada no capturada ()", IF(ISNA(MATCH(N775, Criterios!$C$123:$C$128, 0)), "Temporada no válida", "")), IF(OR(O775="", O775=""), "[Aviso] Ciclo de vida no capturado ()", IF(ISNA(MATCH(O775, Criterios!$D$123:$D$124, 0)), "Ciclo de vida no válido", ""))))</f>
        <v/>
      </c>
      <c r="AC775" s="56" t="n"/>
      <c r="AD775" s="51" t="n">
        <v>0</v>
      </c>
      <c r="AE775" s="156" t="n"/>
      <c r="AF775" s="51" t="n">
        <v>0</v>
      </c>
      <c r="AG775" s="156" t="inlineStr">
        <is>
          <t>Catálogo existente</t>
        </is>
      </c>
      <c r="AH775"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5" s="156" t="inlineStr">
        <is>
          <t>No</t>
        </is>
      </c>
      <c r="AJ775" s="156" t="n"/>
      <c r="AK775" s="155" t="inlineStr">
        <is>
          <t>Criterios: I [Q] | Shopify Stetson: producto 14789249565035 / variante 53350607126891</t>
        </is>
      </c>
      <c r="AL775" s="58" t="n">
        <v>1338.75</v>
      </c>
      <c r="AM775" s="58" t="n">
        <v>3275.862069</v>
      </c>
      <c r="AN775" s="155" t="inlineStr">
        <is>
          <t>Shopify Stetson México</t>
        </is>
      </c>
      <c r="AO775" s="59" t="n">
        <v>0</v>
      </c>
      <c r="AP775" s="59" t="n"/>
      <c r="AQ775" s="59" t="n"/>
      <c r="AR775" s="155" t="n"/>
    </row>
    <row r="776">
      <c r="A776" s="50" t="inlineStr">
        <is>
          <t>195556041246</t>
        </is>
      </c>
      <c r="B776" s="51" t="inlineStr">
        <is>
          <t>110440</t>
        </is>
      </c>
      <c r="C776" s="156" t="inlineStr">
        <is>
          <t>Multimarca</t>
        </is>
      </c>
      <c r="D776" s="156" t="inlineStr">
        <is>
          <t>TSATCM-104061</t>
        </is>
      </c>
      <c r="E776" s="156" t="inlineStr">
        <is>
          <t>TSATCM-104061L0</t>
        </is>
      </c>
      <c r="F776" s="156" t="inlineStr">
        <is>
          <t>L</t>
        </is>
      </c>
      <c r="G776" s="156" t="inlineStr">
        <is>
          <t>L</t>
        </is>
      </c>
      <c r="H776" s="156" t="inlineStr">
        <is>
          <t>Stetson</t>
        </is>
      </c>
      <c r="I776" s="156" t="inlineStr">
        <is>
          <t>Texana Stetson Atacama Plata</t>
        </is>
      </c>
      <c r="J776" s="156" t="inlineStr">
        <is>
          <t>Accesorios</t>
        </is>
      </c>
      <c r="K776" s="156" t="inlineStr">
        <is>
          <t>Sombreros</t>
        </is>
      </c>
      <c r="L776" s="156" t="inlineStr">
        <is>
          <t>Unisex</t>
        </is>
      </c>
      <c r="M776" s="156" t="inlineStr">
        <is>
          <t>Stetson</t>
        </is>
      </c>
      <c r="N776" s="156" t="inlineStr">
        <is>
          <t>SS26</t>
        </is>
      </c>
      <c r="O776" s="156" t="inlineStr">
        <is>
          <t>Seasonal</t>
        </is>
      </c>
      <c r="P776" s="156" t="inlineStr">
        <is>
          <t>Gris</t>
        </is>
      </c>
      <c r="Q776" s="156" t="n"/>
      <c r="R776" s="156" t="n"/>
      <c r="S776" s="156" t="inlineStr">
        <is>
          <t>100% Fieltro de lana</t>
        </is>
      </c>
      <c r="T776" s="156" t="inlineStr">
        <is>
          <t>Texana Stetson Atacama Plata.
 Composición: 100% Fieltro de lana.
 Color: Plata.</t>
        </is>
      </c>
      <c r="U776" s="156" t="inlineStr">
        <is>
          <t>Estados Unidos</t>
        </is>
      </c>
      <c r="V776" s="156" t="inlineStr">
        <is>
          <t>PZS</t>
        </is>
      </c>
      <c r="W776" s="51" t="inlineStr">
        <is>
          <t>53102503</t>
        </is>
      </c>
      <c r="X776" s="156" t="inlineStr">
        <is>
          <t>https://cdn.shopify.com/s/files/1/0357/2432/9005/products/TSATCM-1040-61_SILVERBELLY_1.jpg?v=1663087985</t>
        </is>
      </c>
      <c r="Y776" s="54" t="n">
        <v>1260</v>
      </c>
      <c r="Z776" s="54" t="n">
        <v>3103.448276</v>
      </c>
      <c r="AA776" s="55">
        <f>IF(AND(A776="", B776="", E776=""), "", IF(AB776="", "Válido", IF((LEN(AB776)-LEN(SUBSTITUTE(AB776,"; ","")))/2+1&gt;(LEN(AB776)-LEN(SUBSTITUTE(AB776,"[Aviso]","")))/7, "Con Incidencias", "Válido")))</f>
        <v/>
      </c>
      <c r="AB776" s="56">
        <f>IF(AND(A776="", B776="", E776=""), "", TEXTJOIN("; ", TRUE, IF(OR(TRIM(A776&amp;"")="", ISNUMBER(SEARCH("FALTA", A776))), "UPC faltante/inválido", ""), IF(AND(A776&lt;&gt;"", IFERROR(_xlfn.XMATCH(A776,$A$2:$A$2509,0,1)&lt;&gt;_xlfn.XMATCH(A776,$A$2:$A$2509,0,-1),FALSE)), "Código de barras duplicado", ""), IF(AND(E776&lt;&gt;"", COUNTIF($E$2:$E$2509, E776)&gt;1), "SKU duplicado", ""), IF(OR(J776="", J776=""), "[Aviso] División no capturada ()", IF(ISNA(MATCH(J776, Criterios!$A$123:$A$126, 0)), "División no válida", "")), IF(OR(K776="", K776=""), "[Aviso] Categoría no capturada ()", IF(ISNA(MATCH(K776, Criterios!$A$81:$A$120, 0)), "Categoría no válida", IF(AND(J776&lt;&gt;"", J776&lt;&gt;"", J776&lt;&gt;VLOOKUP(K776, Criterios!$A$81:$B$120, 2, FALSE)), "División no coincide con Categoría", ""))), IF(OR(L776="", L776=""), "[Aviso] Género no capturado ()", IF(ISNA(MATCH(L776, Criterios!$B$123:$B$127, 0)), "Género no válido", "")), IF(OR(N776="", N776=""), "[Aviso] Temporada no capturada ()", IF(ISNA(MATCH(N776, Criterios!$C$123:$C$128, 0)), "Temporada no válida", "")), IF(OR(O776="", O776=""), "[Aviso] Ciclo de vida no capturado ()", IF(ISNA(MATCH(O776, Criterios!$D$123:$D$124, 0)), "Ciclo de vida no válido", ""))))</f>
        <v/>
      </c>
      <c r="AC776" s="56" t="n"/>
      <c r="AD776" s="51" t="n">
        <v>0</v>
      </c>
      <c r="AE776" s="156" t="inlineStr">
        <is>
          <t>B25 STETSON.MX (1)</t>
        </is>
      </c>
      <c r="AF776" s="51" t="n">
        <v>1</v>
      </c>
      <c r="AG776" s="156" t="inlineStr">
        <is>
          <t>Catálogo existente</t>
        </is>
      </c>
      <c r="AH776"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76" s="156" t="inlineStr">
        <is>
          <t>Sí</t>
        </is>
      </c>
      <c r="AJ776" s="156" t="inlineStr">
        <is>
          <t>PUNTO DE VENTA (-1)</t>
        </is>
      </c>
      <c r="AK776" s="155" t="inlineStr">
        <is>
          <t>Criterios: I [Q] | Shopify Stetson: producto 15056329605483 / variante 53357913932139 | Odoo: producto 14357 / plantilla 17934 | Investigación en línea 06/10/2026: https://www.stetson.com/products/atacama-straw-fedora-silverbelly</t>
        </is>
      </c>
      <c r="AL776" s="58" t="n">
        <v>1260</v>
      </c>
      <c r="AM776" s="58" t="n">
        <v>3103.448276</v>
      </c>
      <c r="AN776" s="155" t="inlineStr">
        <is>
          <t>Shopify Stetson México | Odoo Universal Unique Brands</t>
        </is>
      </c>
      <c r="AO776" s="59" t="n">
        <v>2</v>
      </c>
      <c r="AP776" s="59" t="n"/>
      <c r="AQ776" s="59" t="n">
        <v>2</v>
      </c>
      <c r="AR776" s="155" t="inlineStr">
        <is>
          <t>Shopify Stetson México › Stetson México: 1 | Shopify Stetson México › Stetson Americas: 1 | Odoo Universal Unique Brands › Bodega 25 › Bodega 25/General: 1 | Odoo Universal Unique Brands › Stetson Americas › Stetson Americas/Stock: 1</t>
        </is>
      </c>
    </row>
    <row r="777">
      <c r="A777" s="50" t="inlineStr">
        <is>
          <t>195556041253</t>
        </is>
      </c>
      <c r="B777" s="51" t="inlineStr">
        <is>
          <t>110444</t>
        </is>
      </c>
      <c r="C777" s="156" t="inlineStr">
        <is>
          <t>Multimarca</t>
        </is>
      </c>
      <c r="D777" s="156" t="inlineStr">
        <is>
          <t>TSATCM-104081</t>
        </is>
      </c>
      <c r="E777" s="156" t="inlineStr">
        <is>
          <t>TSATCM-104081L0</t>
        </is>
      </c>
      <c r="F777" s="156" t="inlineStr">
        <is>
          <t>L</t>
        </is>
      </c>
      <c r="G777" s="156" t="inlineStr">
        <is>
          <t>L</t>
        </is>
      </c>
      <c r="H777" s="156" t="inlineStr">
        <is>
          <t>Stetson</t>
        </is>
      </c>
      <c r="I777" s="156" t="inlineStr">
        <is>
          <t>Sombrero Stetson Atacama Natural</t>
        </is>
      </c>
      <c r="J777" s="156" t="inlineStr">
        <is>
          <t>Accesorios</t>
        </is>
      </c>
      <c r="K777" s="156" t="inlineStr">
        <is>
          <t>Sombreros</t>
        </is>
      </c>
      <c r="L777" s="156" t="inlineStr">
        <is>
          <t>Unisex</t>
        </is>
      </c>
      <c r="M777" s="156" t="inlineStr">
        <is>
          <t>Stetson</t>
        </is>
      </c>
      <c r="N777" s="156" t="inlineStr">
        <is>
          <t>SS26</t>
        </is>
      </c>
      <c r="O777" s="156" t="inlineStr">
        <is>
          <t>Seasonal</t>
        </is>
      </c>
      <c r="P777" s="156" t="inlineStr">
        <is>
          <t>Beige</t>
        </is>
      </c>
      <c r="Q777" s="156" t="n"/>
      <c r="R777" s="156" t="n"/>
      <c r="S777" s="156" t="inlineStr">
        <is>
          <t>100% Fieltro de lana</t>
        </is>
      </c>
      <c r="T777"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77" s="156" t="inlineStr">
        <is>
          <t>Estados Unidos</t>
        </is>
      </c>
      <c r="V777" s="156" t="inlineStr">
        <is>
          <t>PZS</t>
        </is>
      </c>
      <c r="W777" s="51" t="inlineStr">
        <is>
          <t>53102503</t>
        </is>
      </c>
      <c r="X777" s="156" t="inlineStr">
        <is>
          <t>https://cdn.shopify.com/s/files/1/0888/3250/8267/files/TSATCM-104081L0_2.png?v=1759768241</t>
        </is>
      </c>
      <c r="Y777" s="54" t="n">
        <v>1260</v>
      </c>
      <c r="Z777" s="54" t="n">
        <v>3103.448276</v>
      </c>
      <c r="AA777" s="55">
        <f>IF(AND(A777="", B777="", E777=""), "", IF(AB777="", "Válido", IF((LEN(AB777)-LEN(SUBSTITUTE(AB777,"; ","")))/2+1&gt;(LEN(AB777)-LEN(SUBSTITUTE(AB777,"[Aviso]","")))/7, "Con Incidencias", "Válido")))</f>
        <v/>
      </c>
      <c r="AB777" s="56">
        <f>IF(AND(A777="", B777="", E777=""), "", TEXTJOIN("; ", TRUE, IF(OR(TRIM(A777&amp;"")="", ISNUMBER(SEARCH("FALTA", A777))), "UPC faltante/inválido", ""), IF(AND(A777&lt;&gt;"", IFERROR(_xlfn.XMATCH(A777,$A$2:$A$2509,0,1)&lt;&gt;_xlfn.XMATCH(A777,$A$2:$A$2509,0,-1),FALSE)), "Código de barras duplicado", ""), IF(AND(E777&lt;&gt;"", COUNTIF($E$2:$E$2509, E777)&gt;1), "SKU duplicado", ""), IF(OR(J777="", J777=""), "[Aviso] División no capturada ()", IF(ISNA(MATCH(J777, Criterios!$A$123:$A$126, 0)), "División no válida", "")), IF(OR(K777="", K777=""), "[Aviso] Categoría no capturada ()", IF(ISNA(MATCH(K777, Criterios!$A$81:$A$120, 0)), "Categoría no válida", IF(AND(J777&lt;&gt;"", J777&lt;&gt;"", J777&lt;&gt;VLOOKUP(K777, Criterios!$A$81:$B$120, 2, FALSE)), "División no coincide con Categoría", ""))), IF(OR(L777="", L777=""), "[Aviso] Género no capturado ()", IF(ISNA(MATCH(L777, Criterios!$B$123:$B$127, 0)), "Género no válido", "")), IF(OR(N777="", N777=""), "[Aviso] Temporada no capturada ()", IF(ISNA(MATCH(N777, Criterios!$C$123:$C$128, 0)), "Temporada no válida", "")), IF(OR(O777="", O777=""), "[Aviso] Ciclo de vida no capturado ()", IF(ISNA(MATCH(O777, Criterios!$D$123:$D$124, 0)), "Ciclo de vida no válido", ""))))</f>
        <v/>
      </c>
      <c r="AC777" s="56" t="n"/>
      <c r="AD777" s="51" t="n">
        <v>-1</v>
      </c>
      <c r="AE777" s="156" t="inlineStr">
        <is>
          <t>B25 STETSON.MX (1)</t>
        </is>
      </c>
      <c r="AF777" s="51" t="n">
        <v>1</v>
      </c>
      <c r="AG777" s="156" t="inlineStr">
        <is>
          <t>Catálogo existente</t>
        </is>
      </c>
      <c r="AH777" s="156" t="inlineStr">
        <is>
          <t>Stock negativo en sistema: revisar en conteo | Revisión 29/09/2026: Talla fuente L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77" s="156" t="inlineStr">
        <is>
          <t>Sí</t>
        </is>
      </c>
      <c r="AJ777" s="156" t="inlineStr">
        <is>
          <t>STETSON AMERICAS (-1); PUNTO DE VENTA (-1)</t>
        </is>
      </c>
      <c r="AK777" s="155" t="inlineStr">
        <is>
          <t>Criterios: I [Q] | Shopify Stetson: producto 14786621276523 / variante 53350610927979 | Odoo: producto 13060 / plantilla 16637</t>
        </is>
      </c>
      <c r="AL777" s="58" t="n">
        <v>1260</v>
      </c>
      <c r="AM777" s="58" t="n">
        <v>3103.448276</v>
      </c>
      <c r="AN777" s="155" t="inlineStr">
        <is>
          <t>Shopify Stetson México | Odoo Universal Unique Brands</t>
        </is>
      </c>
      <c r="AO777" s="59" t="n">
        <v>1</v>
      </c>
      <c r="AP777" s="59" t="n"/>
      <c r="AQ777" s="59" t="n">
        <v>2</v>
      </c>
      <c r="AR777" s="155" t="inlineStr">
        <is>
          <t>Shopify Stetson México › Stetson México: 1 | Odoo Universal Unique Brands › Bodega 25 › Bodega 25/General: 2</t>
        </is>
      </c>
    </row>
    <row r="778">
      <c r="A778" s="50" t="inlineStr">
        <is>
          <t>195556041277</t>
        </is>
      </c>
      <c r="B778" s="51" t="inlineStr">
        <is>
          <t>110441</t>
        </is>
      </c>
      <c r="C778" s="156" t="inlineStr">
        <is>
          <t>Multimarca</t>
        </is>
      </c>
      <c r="D778" s="156" t="inlineStr">
        <is>
          <t>TSATCM-104061</t>
        </is>
      </c>
      <c r="E778" s="156" t="inlineStr">
        <is>
          <t>TSATCM-104061M0</t>
        </is>
      </c>
      <c r="F778" s="156" t="inlineStr">
        <is>
          <t>M</t>
        </is>
      </c>
      <c r="G778" s="156" t="inlineStr">
        <is>
          <t>M</t>
        </is>
      </c>
      <c r="H778" s="156" t="inlineStr">
        <is>
          <t>Stetson</t>
        </is>
      </c>
      <c r="I778" s="156" t="inlineStr">
        <is>
          <t>Texana Stetson Atacama Plata</t>
        </is>
      </c>
      <c r="J778" s="156" t="inlineStr">
        <is>
          <t>Accesorios</t>
        </is>
      </c>
      <c r="K778" s="156" t="inlineStr">
        <is>
          <t>Sombreros</t>
        </is>
      </c>
      <c r="L778" s="156" t="inlineStr">
        <is>
          <t>Unisex</t>
        </is>
      </c>
      <c r="M778" s="156" t="inlineStr">
        <is>
          <t>Stetson</t>
        </is>
      </c>
      <c r="N778" s="156" t="inlineStr">
        <is>
          <t>SS26</t>
        </is>
      </c>
      <c r="O778" s="156" t="inlineStr">
        <is>
          <t>Seasonal</t>
        </is>
      </c>
      <c r="P778" s="156" t="inlineStr">
        <is>
          <t>Gris</t>
        </is>
      </c>
      <c r="Q778" s="156" t="n"/>
      <c r="R778" s="156" t="n"/>
      <c r="S778" s="156" t="inlineStr">
        <is>
          <t>100% Fieltro de lana</t>
        </is>
      </c>
      <c r="T778" s="156" t="inlineStr">
        <is>
          <t>Texana Stetson Atacama Plata.
 Composición: 100% Fieltro de lana.
 Color: Plata.</t>
        </is>
      </c>
      <c r="U778" s="156" t="inlineStr">
        <is>
          <t>Estados Unidos</t>
        </is>
      </c>
      <c r="V778" s="156" t="inlineStr">
        <is>
          <t>PZS</t>
        </is>
      </c>
      <c r="W778" s="51" t="inlineStr">
        <is>
          <t>53102503</t>
        </is>
      </c>
      <c r="X778" s="156" t="inlineStr">
        <is>
          <t>https://cdn.shopify.com/s/files/1/0357/2432/9005/products/TSATCM-1040-61_SILVERBELLY_1.jpg?v=1663087985</t>
        </is>
      </c>
      <c r="Y778" s="54" t="n">
        <v>1260</v>
      </c>
      <c r="Z778" s="54" t="n">
        <v>3103.448276</v>
      </c>
      <c r="AA778" s="55">
        <f>IF(AND(A778="", B778="", E778=""), "", IF(AB778="", "Válido", IF((LEN(AB778)-LEN(SUBSTITUTE(AB778,"; ","")))/2+1&gt;(LEN(AB778)-LEN(SUBSTITUTE(AB778,"[Aviso]","")))/7, "Con Incidencias", "Válido")))</f>
        <v/>
      </c>
      <c r="AB778" s="56">
        <f>IF(AND(A778="", B778="", E778=""), "", TEXTJOIN("; ", TRUE, IF(OR(TRIM(A778&amp;"")="", ISNUMBER(SEARCH("FALTA", A778))), "UPC faltante/inválido", ""), IF(AND(A778&lt;&gt;"", IFERROR(_xlfn.XMATCH(A778,$A$2:$A$2509,0,1)&lt;&gt;_xlfn.XMATCH(A778,$A$2:$A$2509,0,-1),FALSE)), "Código de barras duplicado", ""), IF(AND(E778&lt;&gt;"", COUNTIF($E$2:$E$2509, E778)&gt;1), "SKU duplicado", ""), IF(OR(J778="", J778=""), "[Aviso] División no capturada ()", IF(ISNA(MATCH(J778, Criterios!$A$123:$A$126, 0)), "División no válida", "")), IF(OR(K778="", K778=""), "[Aviso] Categoría no capturada ()", IF(ISNA(MATCH(K778, Criterios!$A$81:$A$120, 0)), "Categoría no válida", IF(AND(J778&lt;&gt;"", J778&lt;&gt;"", J778&lt;&gt;VLOOKUP(K778, Criterios!$A$81:$B$120, 2, FALSE)), "División no coincide con Categoría", ""))), IF(OR(L778="", L778=""), "[Aviso] Género no capturado ()", IF(ISNA(MATCH(L778, Criterios!$B$123:$B$127, 0)), "Género no válido", "")), IF(OR(N778="", N778=""), "[Aviso] Temporada no capturada ()", IF(ISNA(MATCH(N778, Criterios!$C$123:$C$128, 0)), "Temporada no válida", "")), IF(OR(O778="", O778=""), "[Aviso] Ciclo de vida no capturado ()", IF(ISNA(MATCH(O778, Criterios!$D$123:$D$124, 0)), "Ciclo de vida no válido", ""))))</f>
        <v/>
      </c>
      <c r="AC778" s="56" t="n"/>
      <c r="AD778" s="51" t="n">
        <v>0</v>
      </c>
      <c r="AE778" s="156" t="inlineStr">
        <is>
          <t>B25 STETSON.MX (1)</t>
        </is>
      </c>
      <c r="AF778" s="51" t="n">
        <v>1</v>
      </c>
      <c r="AG778" s="156" t="inlineStr">
        <is>
          <t>Catálogo existente</t>
        </is>
      </c>
      <c r="AH778" s="156" t="inlineStr">
        <is>
          <t>Stock negativo en sistema: revisar en conteo | 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78" s="156" t="inlineStr">
        <is>
          <t>Sí</t>
        </is>
      </c>
      <c r="AJ778" s="156" t="inlineStr">
        <is>
          <t>PUNTO DE VENTA (-1)</t>
        </is>
      </c>
      <c r="AK778" s="155" t="inlineStr">
        <is>
          <t>Criterios: I [Q] | Shopify Stetson: producto 15056329605483 / variante 53357913899371 | Odoo: producto 14356 / plantilla 17933 | Investigación en línea 06/10/2026: https://www.stetson.com/products/atacama-straw-fedora-silverbelly</t>
        </is>
      </c>
      <c r="AL778" s="58" t="n">
        <v>1260</v>
      </c>
      <c r="AM778" s="58" t="n">
        <v>3103.448276</v>
      </c>
      <c r="AN778" s="155" t="inlineStr">
        <is>
          <t>Shopify Stetson México | Odoo Universal Unique Brands</t>
        </is>
      </c>
      <c r="AO778" s="59" t="n">
        <v>2</v>
      </c>
      <c r="AP778" s="59" t="n"/>
      <c r="AQ778" s="59" t="n">
        <v>2</v>
      </c>
      <c r="AR778" s="155" t="inlineStr">
        <is>
          <t>Shopify Stetson México › Stetson México: 1 | Shopify Stetson México › Stetson Americas: 1 | Odoo Universal Unique Brands › Bodega 25 › Bodega 25/General: 1 | Odoo Universal Unique Brands › Stetson Americas › Stetson Americas/Stock: 1</t>
        </is>
      </c>
    </row>
    <row r="779">
      <c r="A779" s="50" t="inlineStr">
        <is>
          <t>195556041284</t>
        </is>
      </c>
      <c r="B779" s="51" t="inlineStr">
        <is>
          <t>110445</t>
        </is>
      </c>
      <c r="C779" s="156" t="inlineStr">
        <is>
          <t>Multimarca</t>
        </is>
      </c>
      <c r="D779" s="156" t="inlineStr">
        <is>
          <t>TSATCM-104081</t>
        </is>
      </c>
      <c r="E779" s="156" t="inlineStr">
        <is>
          <t>TSATCM-104081M0</t>
        </is>
      </c>
      <c r="F779" s="156" t="inlineStr">
        <is>
          <t>M</t>
        </is>
      </c>
      <c r="G779" s="156" t="inlineStr">
        <is>
          <t>M</t>
        </is>
      </c>
      <c r="H779" s="156" t="inlineStr">
        <is>
          <t>Stetson</t>
        </is>
      </c>
      <c r="I779" s="156" t="inlineStr">
        <is>
          <t>Sombrero Stetson Atacama Natural</t>
        </is>
      </c>
      <c r="J779" s="156" t="inlineStr">
        <is>
          <t>Accesorios</t>
        </is>
      </c>
      <c r="K779" s="156" t="inlineStr">
        <is>
          <t>Sombreros</t>
        </is>
      </c>
      <c r="L779" s="156" t="inlineStr">
        <is>
          <t>Unisex</t>
        </is>
      </c>
      <c r="M779" s="156" t="inlineStr">
        <is>
          <t>Stetson</t>
        </is>
      </c>
      <c r="N779" s="156" t="inlineStr">
        <is>
          <t>SS26</t>
        </is>
      </c>
      <c r="O779" s="156" t="inlineStr">
        <is>
          <t>Seasonal</t>
        </is>
      </c>
      <c r="P779" s="156" t="inlineStr">
        <is>
          <t>Beige</t>
        </is>
      </c>
      <c r="Q779" s="156" t="n"/>
      <c r="R779" s="156" t="n"/>
      <c r="S779" s="156" t="inlineStr">
        <is>
          <t>100% Fieltro de lana</t>
        </is>
      </c>
      <c r="T779"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79" s="156" t="inlineStr">
        <is>
          <t>Estados Unidos</t>
        </is>
      </c>
      <c r="V779" s="156" t="inlineStr">
        <is>
          <t>PZS</t>
        </is>
      </c>
      <c r="W779" s="51" t="inlineStr">
        <is>
          <t>53102503</t>
        </is>
      </c>
      <c r="X779" s="156" t="inlineStr">
        <is>
          <t>https://cdn.shopify.com/s/files/1/0888/3250/8267/files/TSATCM-104081L0_6.png?v=1759768241</t>
        </is>
      </c>
      <c r="Y779" s="54" t="n">
        <v>1260</v>
      </c>
      <c r="Z779" s="54" t="n">
        <v>3103.448276</v>
      </c>
      <c r="AA779" s="55">
        <f>IF(AND(A779="", B779="", E779=""), "", IF(AB779="", "Válido", IF((LEN(AB779)-LEN(SUBSTITUTE(AB779,"; ","")))/2+1&gt;(LEN(AB779)-LEN(SUBSTITUTE(AB779,"[Aviso]","")))/7, "Con Incidencias", "Válido")))</f>
        <v/>
      </c>
      <c r="AB779" s="56">
        <f>IF(AND(A779="", B779="", E779=""), "", TEXTJOIN("; ", TRUE, IF(OR(TRIM(A779&amp;"")="", ISNUMBER(SEARCH("FALTA", A779))), "UPC faltante/inválido", ""), IF(AND(A779&lt;&gt;"", IFERROR(_xlfn.XMATCH(A779,$A$2:$A$2509,0,1)&lt;&gt;_xlfn.XMATCH(A779,$A$2:$A$2509,0,-1),FALSE)), "Código de barras duplicado", ""), IF(AND(E779&lt;&gt;"", COUNTIF($E$2:$E$2509, E779)&gt;1), "SKU duplicado", ""), IF(OR(J779="", J779=""), "[Aviso] División no capturada ()", IF(ISNA(MATCH(J779, Criterios!$A$123:$A$126, 0)), "División no válida", "")), IF(OR(K779="", K779=""), "[Aviso] Categoría no capturada ()", IF(ISNA(MATCH(K779, Criterios!$A$81:$A$120, 0)), "Categoría no válida", IF(AND(J779&lt;&gt;"", J779&lt;&gt;"", J779&lt;&gt;VLOOKUP(K779, Criterios!$A$81:$B$120, 2, FALSE)), "División no coincide con Categoría", ""))), IF(OR(L779="", L779=""), "[Aviso] Género no capturado ()", IF(ISNA(MATCH(L779, Criterios!$B$123:$B$127, 0)), "Género no válido", "")), IF(OR(N779="", N779=""), "[Aviso] Temporada no capturada ()", IF(ISNA(MATCH(N779, Criterios!$C$123:$C$128, 0)), "Temporada no válida", "")), IF(OR(O779="", O779=""), "[Aviso] Ciclo de vida no capturado ()", IF(ISNA(MATCH(O779, Criterios!$D$123:$D$124, 0)), "Ciclo de vida no válido", ""))))</f>
        <v/>
      </c>
      <c r="AC779" s="56" t="n"/>
      <c r="AD779" s="51" t="n">
        <v>-1</v>
      </c>
      <c r="AE779" s="156" t="n"/>
      <c r="AF779" s="51" t="n">
        <v>0</v>
      </c>
      <c r="AG779" s="156" t="inlineStr">
        <is>
          <t>Catálogo existente</t>
        </is>
      </c>
      <c r="AH779" s="156" t="inlineStr">
        <is>
          <t>Stock negativo en sistema: revisar en conteo | Revisión 29/09/2026: Talla fuente M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79" s="156" t="inlineStr">
        <is>
          <t>Sí</t>
        </is>
      </c>
      <c r="AJ779" s="156" t="inlineStr">
        <is>
          <t>STETSON AMERICAS (-1)</t>
        </is>
      </c>
      <c r="AK779" s="155" t="inlineStr">
        <is>
          <t>Criterios: I [Q] | Shopify Stetson: producto 14786621276523 / variante 53357877395819 | Odoo: producto 14359 / plantilla 17936</t>
        </is>
      </c>
      <c r="AL779" s="58" t="n">
        <v>1260</v>
      </c>
      <c r="AM779" s="58" t="n">
        <v>3103.448276</v>
      </c>
      <c r="AN779" s="155" t="inlineStr">
        <is>
          <t>Shopify Stetson México | Odoo Universal Unique Brands</t>
        </is>
      </c>
      <c r="AO779" s="59" t="n">
        <v>0</v>
      </c>
      <c r="AP779" s="59" t="n"/>
      <c r="AQ779" s="59" t="n">
        <v>2</v>
      </c>
      <c r="AR779" s="155" t="inlineStr">
        <is>
          <t>Odoo Universal Unique Brands › Bodega 25 › Bodega 25/General: 1 | Odoo Universal Unique Brands › Stetson Americas › Stetson Americas/Stock: 1</t>
        </is>
      </c>
    </row>
    <row r="780">
      <c r="A780" s="50" t="inlineStr">
        <is>
          <t>195556041307</t>
        </is>
      </c>
      <c r="B780" s="51" t="inlineStr">
        <is>
          <t>110442</t>
        </is>
      </c>
      <c r="C780" s="156" t="inlineStr">
        <is>
          <t>Multimarca</t>
        </is>
      </c>
      <c r="D780" s="156" t="inlineStr">
        <is>
          <t>TSATCM-104061</t>
        </is>
      </c>
      <c r="E780" s="156" t="inlineStr">
        <is>
          <t>TSATCM-104061S0</t>
        </is>
      </c>
      <c r="F780" s="156" t="inlineStr">
        <is>
          <t>S</t>
        </is>
      </c>
      <c r="G780" s="156" t="inlineStr">
        <is>
          <t>S</t>
        </is>
      </c>
      <c r="H780" s="156" t="inlineStr">
        <is>
          <t>Stetson</t>
        </is>
      </c>
      <c r="I780" s="156" t="inlineStr">
        <is>
          <t>Texana Stetson Atacama Plata</t>
        </is>
      </c>
      <c r="J780" s="156" t="inlineStr">
        <is>
          <t>Accesorios</t>
        </is>
      </c>
      <c r="K780" s="156" t="inlineStr">
        <is>
          <t>Sombreros</t>
        </is>
      </c>
      <c r="L780" s="156" t="inlineStr">
        <is>
          <t>Unisex</t>
        </is>
      </c>
      <c r="M780" s="156" t="inlineStr">
        <is>
          <t>Stetson</t>
        </is>
      </c>
      <c r="N780" s="156" t="inlineStr">
        <is>
          <t>SS26</t>
        </is>
      </c>
      <c r="O780" s="156" t="inlineStr">
        <is>
          <t>Seasonal</t>
        </is>
      </c>
      <c r="P780" s="156" t="inlineStr">
        <is>
          <t>Gris</t>
        </is>
      </c>
      <c r="Q780" s="156" t="n"/>
      <c r="R780" s="156" t="n"/>
      <c r="S780" s="156" t="inlineStr">
        <is>
          <t>100% Fieltro de lana</t>
        </is>
      </c>
      <c r="T780" s="156" t="inlineStr">
        <is>
          <t>Texana Stetson Atacama Plata.
 Composición: 100% Fieltro de lana.
 Color: Plata.</t>
        </is>
      </c>
      <c r="U780" s="156" t="inlineStr">
        <is>
          <t>Estados Unidos</t>
        </is>
      </c>
      <c r="V780" s="156" t="inlineStr">
        <is>
          <t>PZS</t>
        </is>
      </c>
      <c r="W780" s="51" t="inlineStr">
        <is>
          <t>53102503</t>
        </is>
      </c>
      <c r="X780" s="156" t="inlineStr">
        <is>
          <t>https://cdn.shopify.com/s/files/1/0357/2432/9005/products/TSATCM-1040-61_SILVERBELLY_1.jpg?v=1663087985</t>
        </is>
      </c>
      <c r="Y780" s="54" t="n">
        <v>1260</v>
      </c>
      <c r="Z780" s="54" t="n">
        <v>3103.448276</v>
      </c>
      <c r="AA780" s="55">
        <f>IF(AND(A780="", B780="", E780=""), "", IF(AB780="", "Válido", IF((LEN(AB780)-LEN(SUBSTITUTE(AB780,"; ","")))/2+1&gt;(LEN(AB780)-LEN(SUBSTITUTE(AB780,"[Aviso]","")))/7, "Con Incidencias", "Válido")))</f>
        <v/>
      </c>
      <c r="AB780" s="56">
        <f>IF(AND(A780="", B780="", E780=""), "", TEXTJOIN("; ", TRUE, IF(OR(TRIM(A780&amp;"")="", ISNUMBER(SEARCH("FALTA", A780))), "UPC faltante/inválido", ""), IF(AND(A780&lt;&gt;"", IFERROR(_xlfn.XMATCH(A780,$A$2:$A$2509,0,1)&lt;&gt;_xlfn.XMATCH(A780,$A$2:$A$2509,0,-1),FALSE)), "Código de barras duplicado", ""), IF(AND(E780&lt;&gt;"", COUNTIF($E$2:$E$2509, E780)&gt;1), "SKU duplicado", ""), IF(OR(J780="", J780=""), "[Aviso] División no capturada ()", IF(ISNA(MATCH(J780, Criterios!$A$123:$A$126, 0)), "División no válida", "")), IF(OR(K780="", K780=""), "[Aviso] Categoría no capturada ()", IF(ISNA(MATCH(K780, Criterios!$A$81:$A$120, 0)), "Categoría no válida", IF(AND(J780&lt;&gt;"", J780&lt;&gt;"", J780&lt;&gt;VLOOKUP(K780, Criterios!$A$81:$B$120, 2, FALSE)), "División no coincide con Categoría", ""))), IF(OR(L780="", L780=""), "[Aviso] Género no capturado ()", IF(ISNA(MATCH(L780, Criterios!$B$123:$B$127, 0)), "Género no válido", "")), IF(OR(N780="", N780=""), "[Aviso] Temporada no capturada ()", IF(ISNA(MATCH(N780, Criterios!$C$123:$C$128, 0)), "Temporada no válida", "")), IF(OR(O780="", O780=""), "[Aviso] Ciclo de vida no capturado ()", IF(ISNA(MATCH(O780, Criterios!$D$123:$D$124, 0)), "Ciclo de vida no válido", ""))))</f>
        <v/>
      </c>
      <c r="AC780" s="56" t="n"/>
      <c r="AD780" s="51" t="n">
        <v>-1</v>
      </c>
      <c r="AE780" s="156" t="n"/>
      <c r="AF780" s="51" t="n">
        <v>0</v>
      </c>
      <c r="AG780" s="156" t="inlineStr">
        <is>
          <t>Catálogo existente</t>
        </is>
      </c>
      <c r="AH780" s="156" t="inlineStr">
        <is>
          <t>Stock negativo en sistema: revisar en conteo | Revisión 29/09/2026: Talla fuente S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80" s="156" t="inlineStr">
        <is>
          <t>Sí</t>
        </is>
      </c>
      <c r="AJ780" s="156" t="inlineStr">
        <is>
          <t>STETSON AMERICAS (-1)</t>
        </is>
      </c>
      <c r="AK780" s="155" t="inlineStr">
        <is>
          <t>Criterios: I [Q] | Shopify Stetson: producto 15056329605483 / variante 53357913866603 | Odoo: producto 14355 / plantilla 17932 | Investigación en línea 06/10/2026: https://www.stetson.com/products/atacama-straw-fedora-silverbelly</t>
        </is>
      </c>
      <c r="AL780" s="58" t="n">
        <v>1260</v>
      </c>
      <c r="AM780" s="58" t="n">
        <v>3103.448276</v>
      </c>
      <c r="AN780" s="155" t="inlineStr">
        <is>
          <t>Shopify Stetson México | Odoo Universal Unique Brands</t>
        </is>
      </c>
      <c r="AO780" s="59" t="n">
        <v>0</v>
      </c>
      <c r="AP780" s="59" t="n"/>
      <c r="AQ780" s="59" t="n">
        <v>1</v>
      </c>
      <c r="AR780" s="155" t="inlineStr">
        <is>
          <t>Odoo Universal Unique Brands › Stetson Americas › Stetson Americas/Stock: 1</t>
        </is>
      </c>
    </row>
    <row r="781">
      <c r="A781" s="50" t="inlineStr">
        <is>
          <t>195556041314</t>
        </is>
      </c>
      <c r="B781" s="51" t="inlineStr">
        <is>
          <t>110446</t>
        </is>
      </c>
      <c r="C781" s="156" t="inlineStr">
        <is>
          <t>Multimarca</t>
        </is>
      </c>
      <c r="D781" s="156" t="inlineStr">
        <is>
          <t>TSATCM-104081</t>
        </is>
      </c>
      <c r="E781" s="156" t="inlineStr">
        <is>
          <t>TSATCM-104081S0</t>
        </is>
      </c>
      <c r="F781" s="156" t="inlineStr">
        <is>
          <t>S</t>
        </is>
      </c>
      <c r="G781" s="156" t="inlineStr">
        <is>
          <t>S</t>
        </is>
      </c>
      <c r="H781" s="156" t="inlineStr">
        <is>
          <t>Stetson</t>
        </is>
      </c>
      <c r="I781" s="156" t="inlineStr">
        <is>
          <t>Sombrero Stetson Atacama Natural</t>
        </is>
      </c>
      <c r="J781" s="156" t="inlineStr">
        <is>
          <t>Accesorios</t>
        </is>
      </c>
      <c r="K781" s="156" t="inlineStr">
        <is>
          <t>Sombreros</t>
        </is>
      </c>
      <c r="L781" s="156" t="inlineStr">
        <is>
          <t>Unisex</t>
        </is>
      </c>
      <c r="M781" s="156" t="inlineStr">
        <is>
          <t>Stetson</t>
        </is>
      </c>
      <c r="N781" s="156" t="inlineStr">
        <is>
          <t>SS26</t>
        </is>
      </c>
      <c r="O781" s="156" t="inlineStr">
        <is>
          <t>Seasonal</t>
        </is>
      </c>
      <c r="P781" s="156" t="inlineStr">
        <is>
          <t>Beige</t>
        </is>
      </c>
      <c r="Q781" s="156" t="n"/>
      <c r="R781" s="156" t="n"/>
      <c r="S781" s="156" t="inlineStr">
        <is>
          <t>100% Fieltro de lana</t>
        </is>
      </c>
      <c r="T781"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81" s="156" t="inlineStr">
        <is>
          <t>Estados Unidos</t>
        </is>
      </c>
      <c r="V781" s="156" t="inlineStr">
        <is>
          <t>PZS</t>
        </is>
      </c>
      <c r="W781" s="51" t="inlineStr">
        <is>
          <t>53102503</t>
        </is>
      </c>
      <c r="X781" s="156" t="inlineStr">
        <is>
          <t>https://cdn.shopify.com/s/files/1/0888/3250/8267/files/TSATCM-104081L0_1.jpg?v=1759768241</t>
        </is>
      </c>
      <c r="Y781" s="54" t="n">
        <v>1260</v>
      </c>
      <c r="Z781" s="54" t="n">
        <v>3103.448276</v>
      </c>
      <c r="AA781" s="55">
        <f>IF(AND(A781="", B781="", E781=""), "", IF(AB781="", "Válido", IF((LEN(AB781)-LEN(SUBSTITUTE(AB781,"; ","")))/2+1&gt;(LEN(AB781)-LEN(SUBSTITUTE(AB781,"[Aviso]","")))/7, "Con Incidencias", "Válido")))</f>
        <v/>
      </c>
      <c r="AB781" s="56">
        <f>IF(AND(A781="", B781="", E781=""), "", TEXTJOIN("; ", TRUE, IF(OR(TRIM(A781&amp;"")="", ISNUMBER(SEARCH("FALTA", A781))), "UPC faltante/inválido", ""), IF(AND(A781&lt;&gt;"", IFERROR(_xlfn.XMATCH(A781,$A$2:$A$2509,0,1)&lt;&gt;_xlfn.XMATCH(A781,$A$2:$A$2509,0,-1),FALSE)), "Código de barras duplicado", ""), IF(AND(E781&lt;&gt;"", COUNTIF($E$2:$E$2509, E781)&gt;1), "SKU duplicado", ""), IF(OR(J781="", J781=""), "[Aviso] División no capturada ()", IF(ISNA(MATCH(J781, Criterios!$A$123:$A$126, 0)), "División no válida", "")), IF(OR(K781="", K781=""), "[Aviso] Categoría no capturada ()", IF(ISNA(MATCH(K781, Criterios!$A$81:$A$120, 0)), "Categoría no válida", IF(AND(J781&lt;&gt;"", J781&lt;&gt;"", J781&lt;&gt;VLOOKUP(K781, Criterios!$A$81:$B$120, 2, FALSE)), "División no coincide con Categoría", ""))), IF(OR(L781="", L781=""), "[Aviso] Género no capturado ()", IF(ISNA(MATCH(L781, Criterios!$B$123:$B$127, 0)), "Género no válido", "")), IF(OR(N781="", N781=""), "[Aviso] Temporada no capturada ()", IF(ISNA(MATCH(N781, Criterios!$C$123:$C$128, 0)), "Temporada no válida", "")), IF(OR(O781="", O781=""), "[Aviso] Ciclo de vida no capturado ()", IF(ISNA(MATCH(O781, Criterios!$D$123:$D$124, 0)), "Ciclo de vida no válido", ""))))</f>
        <v/>
      </c>
      <c r="AC781" s="56" t="n"/>
      <c r="AD781" s="51" t="n">
        <v>0</v>
      </c>
      <c r="AE781" s="156" t="n"/>
      <c r="AF781" s="51" t="n">
        <v>0</v>
      </c>
      <c r="AG781" s="156" t="inlineStr">
        <is>
          <t>Catálogo existente</t>
        </is>
      </c>
      <c r="AH781" s="156" t="inlineStr">
        <is>
          <t>Revisión 29/09/2026: Talla fuente S sin equivalencia exacta en Criterios para Talla Sombrero | 01/10/2026: complementado desde Shopify Stetson México (match por código de barras): WB Fit | 01/10/2026: Shopify Stetson México trae Color «Varios» — se conservó el valor de Productos</t>
        </is>
      </c>
      <c r="AI781" s="156" t="inlineStr">
        <is>
          <t>No</t>
        </is>
      </c>
      <c r="AJ781" s="156" t="n"/>
      <c r="AK781" s="155" t="inlineStr">
        <is>
          <t>Criterios: I [Q] | Shopify Stetson: producto 14786621276523 / variante 53350610895211</t>
        </is>
      </c>
      <c r="AL781" s="58" t="n">
        <v>1260</v>
      </c>
      <c r="AM781" s="58" t="n">
        <v>3103.448276</v>
      </c>
      <c r="AN781" s="155" t="inlineStr">
        <is>
          <t>Shopify Stetson México</t>
        </is>
      </c>
      <c r="AO781" s="59" t="n">
        <v>0</v>
      </c>
      <c r="AP781" s="59" t="n"/>
      <c r="AQ781" s="59" t="n"/>
      <c r="AR781" s="155" t="n"/>
    </row>
    <row r="782">
      <c r="A782" s="50" t="inlineStr">
        <is>
          <t>195556041338</t>
        </is>
      </c>
      <c r="B782" s="51" t="inlineStr">
        <is>
          <t>110443</t>
        </is>
      </c>
      <c r="C782" s="156" t="inlineStr">
        <is>
          <t>Multimarca</t>
        </is>
      </c>
      <c r="D782" s="156" t="inlineStr">
        <is>
          <t>TSATCM-104061</t>
        </is>
      </c>
      <c r="E782" s="156" t="inlineStr">
        <is>
          <t>TSATCM-104061XL</t>
        </is>
      </c>
      <c r="F782" s="156" t="inlineStr">
        <is>
          <t>XL</t>
        </is>
      </c>
      <c r="G782" s="156" t="inlineStr">
        <is>
          <t>XL</t>
        </is>
      </c>
      <c r="H782" s="156" t="inlineStr">
        <is>
          <t>Stetson</t>
        </is>
      </c>
      <c r="I782" s="156" t="inlineStr">
        <is>
          <t>Texana Stetson Atacama Plata</t>
        </is>
      </c>
      <c r="J782" s="156" t="inlineStr">
        <is>
          <t>Accesorios</t>
        </is>
      </c>
      <c r="K782" s="156" t="inlineStr">
        <is>
          <t>Sombreros</t>
        </is>
      </c>
      <c r="L782" s="156" t="inlineStr">
        <is>
          <t>Unisex</t>
        </is>
      </c>
      <c r="M782" s="156" t="inlineStr">
        <is>
          <t>Stetson</t>
        </is>
      </c>
      <c r="N782" s="156" t="inlineStr">
        <is>
          <t>SS26</t>
        </is>
      </c>
      <c r="O782" s="156" t="inlineStr">
        <is>
          <t>Seasonal</t>
        </is>
      </c>
      <c r="P782" s="156" t="inlineStr">
        <is>
          <t>Gris</t>
        </is>
      </c>
      <c r="Q782" s="156" t="n"/>
      <c r="R782" s="156" t="n"/>
      <c r="S782" s="156" t="inlineStr">
        <is>
          <t>100% Fieltro de lana</t>
        </is>
      </c>
      <c r="T782" s="156" t="inlineStr">
        <is>
          <t>Texana Stetson Atacama Plata.
 Composición: 100% Fieltro de lana.
 Color: Plata.</t>
        </is>
      </c>
      <c r="U782" s="156" t="inlineStr">
        <is>
          <t>Estados Unidos</t>
        </is>
      </c>
      <c r="V782" s="156" t="inlineStr">
        <is>
          <t>PZS</t>
        </is>
      </c>
      <c r="W782" s="51" t="inlineStr">
        <is>
          <t>53102503</t>
        </is>
      </c>
      <c r="X782" s="156" t="inlineStr">
        <is>
          <t>https://cdn.shopify.com/s/files/1/0357/2432/9005/products/TSATCM-1040-61_SILVERBELLY_1.jpg?v=1663087985</t>
        </is>
      </c>
      <c r="Y782" s="54" t="n">
        <v>1260</v>
      </c>
      <c r="Z782" s="54" t="n">
        <v>3103.448276</v>
      </c>
      <c r="AA782" s="55">
        <f>IF(AND(A782="", B782="", E782=""), "", IF(AB782="", "Válido", IF((LEN(AB782)-LEN(SUBSTITUTE(AB782,"; ","")))/2+1&gt;(LEN(AB782)-LEN(SUBSTITUTE(AB782,"[Aviso]","")))/7, "Con Incidencias", "Válido")))</f>
        <v/>
      </c>
      <c r="AB782" s="56">
        <f>IF(AND(A782="", B782="", E782=""), "", TEXTJOIN("; ", TRUE, IF(OR(TRIM(A782&amp;"")="", ISNUMBER(SEARCH("FALTA", A782))), "UPC faltante/inválido", ""), IF(AND(A782&lt;&gt;"", IFERROR(_xlfn.XMATCH(A782,$A$2:$A$2509,0,1)&lt;&gt;_xlfn.XMATCH(A782,$A$2:$A$2509,0,-1),FALSE)), "Código de barras duplicado", ""), IF(AND(E782&lt;&gt;"", COUNTIF($E$2:$E$2509, E782)&gt;1), "SKU duplicado", ""), IF(OR(J782="", J782=""), "[Aviso] División no capturada ()", IF(ISNA(MATCH(J782, Criterios!$A$123:$A$126, 0)), "División no válida", "")), IF(OR(K782="", K782=""), "[Aviso] Categoría no capturada ()", IF(ISNA(MATCH(K782, Criterios!$A$81:$A$120, 0)), "Categoría no válida", IF(AND(J782&lt;&gt;"", J782&lt;&gt;"", J782&lt;&gt;VLOOKUP(K782, Criterios!$A$81:$B$120, 2, FALSE)), "División no coincide con Categoría", ""))), IF(OR(L782="", L782=""), "[Aviso] Género no capturado ()", IF(ISNA(MATCH(L782, Criterios!$B$123:$B$127, 0)), "Género no válido", "")), IF(OR(N782="", N782=""), "[Aviso] Temporada no capturada ()", IF(ISNA(MATCH(N782, Criterios!$C$123:$C$128, 0)), "Temporada no válida", "")), IF(OR(O782="", O782=""), "[Aviso] Ciclo de vida no capturado ()", IF(ISNA(MATCH(O782, Criterios!$D$123:$D$124, 0)), "Ciclo de vida no válido", ""))))</f>
        <v/>
      </c>
      <c r="AC782" s="56" t="n"/>
      <c r="AD782" s="51" t="n">
        <v>-1</v>
      </c>
      <c r="AE782" s="156" t="n"/>
      <c r="AF782" s="51" t="n">
        <v>0</v>
      </c>
      <c r="AG782" s="156" t="inlineStr">
        <is>
          <t>Catálogo existente</t>
        </is>
      </c>
      <c r="AH782" s="156" t="inlineStr">
        <is>
          <t>Stock negativo en sistema: revisar en conteo | 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82" s="156" t="inlineStr">
        <is>
          <t>Sí</t>
        </is>
      </c>
      <c r="AJ782" s="156" t="inlineStr">
        <is>
          <t>STETSON AMERICAS (-1)</t>
        </is>
      </c>
      <c r="AK782" s="155" t="inlineStr">
        <is>
          <t>Criterios: I [Q] | Shopify Stetson: producto 15056329605483 / variante 53357913964907 | Odoo: producto 14358 / plantilla 17935 | Investigación en línea 06/10/2026: https://www.stetson.com/products/atacama-straw-fedora-silverbelly</t>
        </is>
      </c>
      <c r="AL782" s="58" t="n">
        <v>1260</v>
      </c>
      <c r="AM782" s="58" t="n">
        <v>3103.448276</v>
      </c>
      <c r="AN782" s="155" t="inlineStr">
        <is>
          <t>Shopify Stetson México | Odoo Universal Unique Brands</t>
        </is>
      </c>
      <c r="AO782" s="59" t="n">
        <v>0</v>
      </c>
      <c r="AP782" s="59" t="n"/>
      <c r="AQ782" s="59" t="n">
        <v>1</v>
      </c>
      <c r="AR782" s="155" t="inlineStr">
        <is>
          <t>Odoo Universal Unique Brands › Stetson Americas › Stetson Americas/Stock: 1</t>
        </is>
      </c>
    </row>
    <row r="783">
      <c r="A783" s="50" t="inlineStr">
        <is>
          <t>195556041345</t>
        </is>
      </c>
      <c r="B783" s="51" t="inlineStr">
        <is>
          <t>110447</t>
        </is>
      </c>
      <c r="C783" s="156" t="inlineStr">
        <is>
          <t>Multimarca</t>
        </is>
      </c>
      <c r="D783" s="156" t="inlineStr">
        <is>
          <t>TSATCM-104081</t>
        </is>
      </c>
      <c r="E783" s="156" t="inlineStr">
        <is>
          <t>TSATCM-104081XL</t>
        </is>
      </c>
      <c r="F783" s="156" t="inlineStr">
        <is>
          <t>XL</t>
        </is>
      </c>
      <c r="G783" s="156" t="inlineStr">
        <is>
          <t>XL</t>
        </is>
      </c>
      <c r="H783" s="156" t="inlineStr">
        <is>
          <t>Stetson</t>
        </is>
      </c>
      <c r="I783" s="156" t="inlineStr">
        <is>
          <t>Sombrero Stetson Atacama Natural</t>
        </is>
      </c>
      <c r="J783" s="156" t="inlineStr">
        <is>
          <t>Accesorios</t>
        </is>
      </c>
      <c r="K783" s="156" t="inlineStr">
        <is>
          <t>Sombreros</t>
        </is>
      </c>
      <c r="L783" s="156" t="inlineStr">
        <is>
          <t>Unisex</t>
        </is>
      </c>
      <c r="M783" s="156" t="inlineStr">
        <is>
          <t>Stetson</t>
        </is>
      </c>
      <c r="N783" s="156" t="inlineStr">
        <is>
          <t>SS26</t>
        </is>
      </c>
      <c r="O783" s="156" t="inlineStr">
        <is>
          <t>Seasonal</t>
        </is>
      </c>
      <c r="P783" s="156" t="inlineStr">
        <is>
          <t>Beige</t>
        </is>
      </c>
      <c r="Q783" s="156" t="n"/>
      <c r="R783" s="156" t="n"/>
      <c r="S783" s="156" t="inlineStr">
        <is>
          <t>100% Fieltro de lana</t>
        </is>
      </c>
      <c r="T783"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83" s="156" t="inlineStr">
        <is>
          <t>Estados Unidos</t>
        </is>
      </c>
      <c r="V783" s="156" t="inlineStr">
        <is>
          <t>PZS</t>
        </is>
      </c>
      <c r="W783" s="51" t="inlineStr">
        <is>
          <t>53102503</t>
        </is>
      </c>
      <c r="X783" s="156" t="inlineStr">
        <is>
          <t>https://cdn.shopify.com/s/files/1/0888/3250/8267/files/TSATCM-104081L0_3.png?v=1759768241</t>
        </is>
      </c>
      <c r="Y783" s="54" t="n">
        <v>1260</v>
      </c>
      <c r="Z783" s="54" t="n">
        <v>3103.448276</v>
      </c>
      <c r="AA783" s="55">
        <f>IF(AND(A783="", B783="", E783=""), "", IF(AB783="", "Válido", IF((LEN(AB783)-LEN(SUBSTITUTE(AB783,"; ","")))/2+1&gt;(LEN(AB783)-LEN(SUBSTITUTE(AB783,"[Aviso]","")))/7, "Con Incidencias", "Válido")))</f>
        <v/>
      </c>
      <c r="AB783" s="56">
        <f>IF(AND(A783="", B783="", E783=""), "", TEXTJOIN("; ", TRUE, IF(OR(TRIM(A783&amp;"")="", ISNUMBER(SEARCH("FALTA", A783))), "UPC faltante/inválido", ""), IF(AND(A783&lt;&gt;"", IFERROR(_xlfn.XMATCH(A783,$A$2:$A$2509,0,1)&lt;&gt;_xlfn.XMATCH(A783,$A$2:$A$2509,0,-1),FALSE)), "Código de barras duplicado", ""), IF(AND(E783&lt;&gt;"", COUNTIF($E$2:$E$2509, E783)&gt;1), "SKU duplicado", ""), IF(OR(J783="", J783=""), "[Aviso] División no capturada ()", IF(ISNA(MATCH(J783, Criterios!$A$123:$A$126, 0)), "División no válida", "")), IF(OR(K783="", K783=""), "[Aviso] Categoría no capturada ()", IF(ISNA(MATCH(K783, Criterios!$A$81:$A$120, 0)), "Categoría no válida", IF(AND(J783&lt;&gt;"", J783&lt;&gt;"", J783&lt;&gt;VLOOKUP(K783, Criterios!$A$81:$B$120, 2, FALSE)), "División no coincide con Categoría", ""))), IF(OR(L783="", L783=""), "[Aviso] Género no capturado ()", IF(ISNA(MATCH(L783, Criterios!$B$123:$B$127, 0)), "Género no válido", "")), IF(OR(N783="", N783=""), "[Aviso] Temporada no capturada ()", IF(ISNA(MATCH(N783, Criterios!$C$123:$C$128, 0)), "Temporada no válida", "")), IF(OR(O783="", O783=""), "[Aviso] Ciclo de vida no capturado ()", IF(ISNA(MATCH(O783, Criterios!$D$123:$D$124, 0)), "Ciclo de vida no válido", ""))))</f>
        <v/>
      </c>
      <c r="AC783" s="56" t="n"/>
      <c r="AD783" s="51" t="n">
        <v>0</v>
      </c>
      <c r="AE783" s="156" t="n"/>
      <c r="AF783" s="51" t="n">
        <v>0</v>
      </c>
      <c r="AG783" s="156" t="inlineStr">
        <is>
          <t>Catálogo existente</t>
        </is>
      </c>
      <c r="AH783" s="156" t="inlineStr">
        <is>
          <t>Revisión 29/09/2026: Talla fuente XL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83" s="156" t="inlineStr">
        <is>
          <t>No</t>
        </is>
      </c>
      <c r="AJ783" s="156" t="n"/>
      <c r="AK783" s="155" t="inlineStr">
        <is>
          <t>Criterios: I [Q] | Shopify Stetson: producto 14786621276523 / variante 53357877428587 | Odoo: producto 14360 / plantilla 17937</t>
        </is>
      </c>
      <c r="AL783" s="58" t="n">
        <v>1260</v>
      </c>
      <c r="AM783" s="58" t="n">
        <v>3103.448276</v>
      </c>
      <c r="AN783" s="155" t="inlineStr">
        <is>
          <t>Shopify Stetson México | Odoo Universal Unique Brands</t>
        </is>
      </c>
      <c r="AO783" s="59" t="n">
        <v>1</v>
      </c>
      <c r="AP783" s="59" t="n"/>
      <c r="AQ783" s="59" t="n">
        <v>1</v>
      </c>
      <c r="AR783" s="155" t="inlineStr">
        <is>
          <t>Shopify Stetson México › Stetson Americas: 1 | Odoo Universal Unique Brands › Stetson Americas › Stetson Americas/Stock: 1</t>
        </is>
      </c>
    </row>
    <row r="784">
      <c r="A784" s="50" t="inlineStr">
        <is>
          <t>195556043158</t>
        </is>
      </c>
      <c r="B784" s="51" t="inlineStr">
        <is>
          <t>110497</t>
        </is>
      </c>
      <c r="C784" s="156" t="inlineStr">
        <is>
          <t>Multimarca</t>
        </is>
      </c>
      <c r="D784" s="156" t="inlineStr">
        <is>
          <t>XWNGSKS104074</t>
        </is>
      </c>
      <c r="E784" s="156" t="inlineStr">
        <is>
          <t>XWNGSKS104074L0</t>
        </is>
      </c>
      <c r="F784" s="156" t="inlineStr">
        <is>
          <t>L</t>
        </is>
      </c>
      <c r="G784" s="156" t="inlineStr">
        <is>
          <t>L</t>
        </is>
      </c>
      <c r="H784" s="156" t="inlineStr">
        <is>
          <t>Stetson</t>
        </is>
      </c>
      <c r="I784" s="156" t="inlineStr">
        <is>
          <t>Texana Stetson Night Sky S Hueso</t>
        </is>
      </c>
      <c r="J784" s="156" t="inlineStr">
        <is>
          <t>Accesorios</t>
        </is>
      </c>
      <c r="K784" s="156" t="inlineStr">
        <is>
          <t>Sombreros</t>
        </is>
      </c>
      <c r="L784" s="156" t="inlineStr">
        <is>
          <t>Unisex</t>
        </is>
      </c>
      <c r="M784" s="156" t="inlineStr">
        <is>
          <t>Stetson</t>
        </is>
      </c>
      <c r="N784" s="156" t="inlineStr">
        <is>
          <t>SS26</t>
        </is>
      </c>
      <c r="O784" s="156" t="inlineStr">
        <is>
          <t>Seasonal</t>
        </is>
      </c>
      <c r="P784" s="156" t="inlineStr">
        <is>
          <t>Beige</t>
        </is>
      </c>
      <c r="Q784" s="156" t="n"/>
      <c r="R784" s="156" t="n"/>
      <c r="S784" s="156" t="inlineStr">
        <is>
          <t>100% Fieltro de lana</t>
        </is>
      </c>
      <c r="T784" s="156" t="inlineStr">
        <is>
          <t>Texana Stetson Night Sky S Hueso.
 Composición: 100% Fieltro de lana.
 Color: Hueso.</t>
        </is>
      </c>
      <c r="U784" s="156" t="inlineStr">
        <is>
          <t>Estados Unidos</t>
        </is>
      </c>
      <c r="V784" s="156" t="inlineStr">
        <is>
          <t>PZS</t>
        </is>
      </c>
      <c r="W784" s="51" t="inlineStr">
        <is>
          <t>53102503</t>
        </is>
      </c>
      <c r="X784" s="156" t="inlineStr">
        <is>
          <t>https://cdn.shopify.com/s/files/1/0357/2432/9005/files/XWNGSKS1040-74_Bone_1.jpg?v=1694027752</t>
        </is>
      </c>
      <c r="Y784" s="54" t="n">
        <v>1732.5</v>
      </c>
      <c r="Z784" s="54" t="n">
        <v>4224.137931</v>
      </c>
      <c r="AA784" s="55">
        <f>IF(AND(A784="", B784="", E784=""), "", IF(AB784="", "Válido", IF((LEN(AB784)-LEN(SUBSTITUTE(AB784,"; ","")))/2+1&gt;(LEN(AB784)-LEN(SUBSTITUTE(AB784,"[Aviso]","")))/7, "Con Incidencias", "Válido")))</f>
        <v/>
      </c>
      <c r="AB784" s="56">
        <f>IF(AND(A784="", B784="", E784=""), "", TEXTJOIN("; ", TRUE, IF(OR(TRIM(A784&amp;"")="", ISNUMBER(SEARCH("FALTA", A784))), "UPC faltante/inválido", ""), IF(AND(A784&lt;&gt;"", IFERROR(_xlfn.XMATCH(A784,$A$2:$A$2509,0,1)&lt;&gt;_xlfn.XMATCH(A784,$A$2:$A$2509,0,-1),FALSE)), "Código de barras duplicado", ""), IF(AND(E784&lt;&gt;"", COUNTIF($E$2:$E$2509, E784)&gt;1), "SKU duplicado", ""), IF(OR(J784="", J784=""), "[Aviso] División no capturada ()", IF(ISNA(MATCH(J784, Criterios!$A$123:$A$126, 0)), "División no válida", "")), IF(OR(K784="", K784=""), "[Aviso] Categoría no capturada ()", IF(ISNA(MATCH(K784, Criterios!$A$81:$A$120, 0)), "Categoría no válida", IF(AND(J784&lt;&gt;"", J784&lt;&gt;"", J784&lt;&gt;VLOOKUP(K784, Criterios!$A$81:$B$120, 2, FALSE)), "División no coincide con Categoría", ""))), IF(OR(L784="", L784=""), "[Aviso] Género no capturado ()", IF(ISNA(MATCH(L784, Criterios!$B$123:$B$127, 0)), "Género no válido", "")), IF(OR(N784="", N784=""), "[Aviso] Temporada no capturada ()", IF(ISNA(MATCH(N784, Criterios!$C$123:$C$128, 0)), "Temporada no válida", "")), IF(OR(O784="", O784=""), "[Aviso] Ciclo de vida no capturado ()", IF(ISNA(MATCH(O784, Criterios!$D$123:$D$124, 0)), "Ciclo de vida no válido", ""))))</f>
        <v/>
      </c>
      <c r="AC784" s="56" t="n"/>
      <c r="AD784" s="51" t="n">
        <v>0</v>
      </c>
      <c r="AE784" s="156" t="inlineStr">
        <is>
          <t>B25 STETSON.MX (1)</t>
        </is>
      </c>
      <c r="AF784" s="51" t="n">
        <v>1</v>
      </c>
      <c r="AG784" s="156" t="inlineStr">
        <is>
          <t>Catálogo existente</t>
        </is>
      </c>
      <c r="AH784" s="156" t="inlineStr">
        <is>
          <t>Revisión 29/09/2026: Talla fuente L sin equivalencia exacta en Criterios para Talla Sombrero; Campos sin respaldo: X | 01/10/2026: complementado desde Shopify Stetson México (match por código de barras): WB Fit | 01/10/2026: Shopify Stetson México trae Color «Blanco» — se conservó el valor de Productos | Homologación G1522 06/10/2026: Enlace de imagen: «» → «https://cdn.shopify.com/s/files/1/0357/2432/9005/files/XWNGSKS1040-74_Bone_1.jpg?v=1694027752» (Completado por investigación en línea)</t>
        </is>
      </c>
      <c r="AI784" s="156" t="inlineStr">
        <is>
          <t>Sí</t>
        </is>
      </c>
      <c r="AJ784" s="156" t="inlineStr">
        <is>
          <t>STETSON AMERICAS (-1)</t>
        </is>
      </c>
      <c r="AK784" s="155" t="inlineStr">
        <is>
          <t>Criterios: I [Q] | Shopify Stetson: producto 15056329933163 / variante 53357914849643 | Investigación en línea 06/10/2026: https://www.stetson.com/products/night-sky-bone</t>
        </is>
      </c>
      <c r="AL784" s="58" t="n">
        <v>1732.5</v>
      </c>
      <c r="AM784" s="58" t="n">
        <v>4224.137931</v>
      </c>
      <c r="AN784" s="155" t="inlineStr">
        <is>
          <t>Shopify Stetson México</t>
        </is>
      </c>
      <c r="AO784" s="59" t="n">
        <v>1</v>
      </c>
      <c r="AP784" s="59" t="n"/>
      <c r="AQ784" s="59" t="n"/>
      <c r="AR784" s="155" t="inlineStr">
        <is>
          <t>Shopify Stetson México › Stetson México: 1</t>
        </is>
      </c>
    </row>
    <row r="785">
      <c r="A785" s="50" t="inlineStr">
        <is>
          <t>195556043189</t>
        </is>
      </c>
      <c r="B785" s="51" t="inlineStr">
        <is>
          <t>110498</t>
        </is>
      </c>
      <c r="C785" s="156" t="inlineStr">
        <is>
          <t>Multimarca</t>
        </is>
      </c>
      <c r="D785" s="156" t="inlineStr">
        <is>
          <t>XWNGSKS104074</t>
        </is>
      </c>
      <c r="E785" s="156" t="inlineStr">
        <is>
          <t>XWNGSKS104074M0</t>
        </is>
      </c>
      <c r="F785" s="156" t="inlineStr">
        <is>
          <t>M</t>
        </is>
      </c>
      <c r="G785" s="156" t="inlineStr">
        <is>
          <t>M</t>
        </is>
      </c>
      <c r="H785" s="156" t="inlineStr">
        <is>
          <t>Stetson</t>
        </is>
      </c>
      <c r="I785" s="156" t="inlineStr">
        <is>
          <t>Texana Stetson Night Sky S Hueso</t>
        </is>
      </c>
      <c r="J785" s="156" t="inlineStr">
        <is>
          <t>Accesorios</t>
        </is>
      </c>
      <c r="K785" s="156" t="inlineStr">
        <is>
          <t>Sombreros</t>
        </is>
      </c>
      <c r="L785" s="156" t="inlineStr">
        <is>
          <t>Unisex</t>
        </is>
      </c>
      <c r="M785" s="156" t="inlineStr">
        <is>
          <t>Stetson</t>
        </is>
      </c>
      <c r="N785" s="156" t="inlineStr">
        <is>
          <t>SS26</t>
        </is>
      </c>
      <c r="O785" s="156" t="inlineStr">
        <is>
          <t>Seasonal</t>
        </is>
      </c>
      <c r="P785" s="156" t="inlineStr">
        <is>
          <t>Beige</t>
        </is>
      </c>
      <c r="Q785" s="156" t="n"/>
      <c r="R785" s="156" t="n"/>
      <c r="S785" s="156" t="inlineStr">
        <is>
          <t>100% Fieltro de lana</t>
        </is>
      </c>
      <c r="T785" s="156" t="inlineStr">
        <is>
          <t>Texana Stetson Night Sky S Hueso.
 Composición: 100% Fieltro de lana.
 Color: Hueso.</t>
        </is>
      </c>
      <c r="U785" s="156" t="inlineStr">
        <is>
          <t>Estados Unidos</t>
        </is>
      </c>
      <c r="V785" s="156" t="inlineStr">
        <is>
          <t>PZS</t>
        </is>
      </c>
      <c r="W785" s="51" t="inlineStr">
        <is>
          <t>53102503</t>
        </is>
      </c>
      <c r="X785" s="156" t="inlineStr">
        <is>
          <t>https://cdn.shopify.com/s/files/1/0357/2432/9005/files/XWNGSKS1040-74_Bone_1.jpg?v=1694027752</t>
        </is>
      </c>
      <c r="Y785" s="54" t="n">
        <v>1732.5</v>
      </c>
      <c r="Z785" s="54" t="n">
        <v>4224.137931</v>
      </c>
      <c r="AA785" s="55">
        <f>IF(AND(A785="", B785="", E785=""), "", IF(AB785="", "Válido", IF((LEN(AB785)-LEN(SUBSTITUTE(AB785,"; ","")))/2+1&gt;(LEN(AB785)-LEN(SUBSTITUTE(AB785,"[Aviso]","")))/7, "Con Incidencias", "Válido")))</f>
        <v/>
      </c>
      <c r="AB785" s="56">
        <f>IF(AND(A785="", B785="", E785=""), "", TEXTJOIN("; ", TRUE, IF(OR(TRIM(A785&amp;"")="", ISNUMBER(SEARCH("FALTA", A785))), "UPC faltante/inválido", ""), IF(AND(A785&lt;&gt;"", IFERROR(_xlfn.XMATCH(A785,$A$2:$A$2509,0,1)&lt;&gt;_xlfn.XMATCH(A785,$A$2:$A$2509,0,-1),FALSE)), "Código de barras duplicado", ""), IF(AND(E785&lt;&gt;"", COUNTIF($E$2:$E$2509, E785)&gt;1), "SKU duplicado", ""), IF(OR(J785="", J785=""), "[Aviso] División no capturada ()", IF(ISNA(MATCH(J785, Criterios!$A$123:$A$126, 0)), "División no válida", "")), IF(OR(K785="", K785=""), "[Aviso] Categoría no capturada ()", IF(ISNA(MATCH(K785, Criterios!$A$81:$A$120, 0)), "Categoría no válida", IF(AND(J785&lt;&gt;"", J785&lt;&gt;"", J785&lt;&gt;VLOOKUP(K785, Criterios!$A$81:$B$120, 2, FALSE)), "División no coincide con Categoría", ""))), IF(OR(L785="", L785=""), "[Aviso] Género no capturado ()", IF(ISNA(MATCH(L785, Criterios!$B$123:$B$127, 0)), "Género no válido", "")), IF(OR(N785="", N785=""), "[Aviso] Temporada no capturada ()", IF(ISNA(MATCH(N785, Criterios!$C$123:$C$128, 0)), "Temporada no válida", "")), IF(OR(O785="", O785=""), "[Aviso] Ciclo de vida no capturado ()", IF(ISNA(MATCH(O785, Criterios!$D$123:$D$124, 0)), "Ciclo de vida no válido", ""))))</f>
        <v/>
      </c>
      <c r="AC785" s="56" t="n"/>
      <c r="AD785" s="51" t="n">
        <v>0</v>
      </c>
      <c r="AE785" s="156" t="inlineStr">
        <is>
          <t>B25 STETSON.MX (1)</t>
        </is>
      </c>
      <c r="AF785" s="51" t="n">
        <v>1</v>
      </c>
      <c r="AG785" s="156" t="inlineStr">
        <is>
          <t>Catálogo existente</t>
        </is>
      </c>
      <c r="AH785" s="156" t="inlineStr">
        <is>
          <t>Revisión 29/09/2026: Talla fuente M sin equivalencia exacta en Criterios para Talla Sombrero; Campos sin respaldo: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Enlace de imagen: «» → «https://cdn.shopify.com/s/files/1/0357/2432/9005/files/XWNGSKS1040-74_Bone_1.jpg?v=1694027752» (Completado por investigación en línea)</t>
        </is>
      </c>
      <c r="AI785" s="156" t="inlineStr">
        <is>
          <t>Sí</t>
        </is>
      </c>
      <c r="AJ785" s="156" t="inlineStr">
        <is>
          <t>PUNTO DE VENTA (-1)</t>
        </is>
      </c>
      <c r="AK785" s="155" t="inlineStr">
        <is>
          <t>Criterios: I [Q] | Shopify Stetson: producto 15056329933163 / variante 53357914816875 | Odoo: producto 19397 / plantilla 23884 | Investigación en línea 06/10/2026: https://www.stetson.com/products/night-sky-bone</t>
        </is>
      </c>
      <c r="AL785" s="58" t="n">
        <v>1732.5</v>
      </c>
      <c r="AM785" s="58" t="n">
        <v>4224.137931</v>
      </c>
      <c r="AN785" s="155" t="inlineStr">
        <is>
          <t>Shopify Stetson México | Odoo Universal Unique Brands</t>
        </is>
      </c>
      <c r="AO785" s="59" t="n">
        <v>2</v>
      </c>
      <c r="AP785" s="59" t="n"/>
      <c r="AQ785" s="59" t="n">
        <v>2</v>
      </c>
      <c r="AR785" s="155" t="inlineStr">
        <is>
          <t>Shopify Stetson México › Stetson México: 1 | Shopify Stetson México › Stetson Americas: 1 | Odoo Universal Unique Brands › Bodega 25 › Bodega 25/General: 2</t>
        </is>
      </c>
    </row>
    <row r="786">
      <c r="A786" s="50" t="inlineStr">
        <is>
          <t>195556043219</t>
        </is>
      </c>
      <c r="B786" s="51" t="inlineStr">
        <is>
          <t>110499</t>
        </is>
      </c>
      <c r="C786" s="156" t="inlineStr">
        <is>
          <t>Multimarca</t>
        </is>
      </c>
      <c r="D786" s="156" t="inlineStr">
        <is>
          <t>XWNGSKS104074</t>
        </is>
      </c>
      <c r="E786" s="156" t="inlineStr">
        <is>
          <t>XWNGSKS104074S0</t>
        </is>
      </c>
      <c r="F786" s="156" t="inlineStr">
        <is>
          <t>S</t>
        </is>
      </c>
      <c r="G786" s="156" t="inlineStr">
        <is>
          <t>S</t>
        </is>
      </c>
      <c r="H786" s="156" t="inlineStr">
        <is>
          <t>Stetson</t>
        </is>
      </c>
      <c r="I786" s="156" t="inlineStr">
        <is>
          <t>Texana Stetson Night Sky S Hueso</t>
        </is>
      </c>
      <c r="J786" s="156" t="inlineStr">
        <is>
          <t>Accesorios</t>
        </is>
      </c>
      <c r="K786" s="156" t="inlineStr">
        <is>
          <t>Sombreros</t>
        </is>
      </c>
      <c r="L786" s="156" t="inlineStr">
        <is>
          <t>Unisex</t>
        </is>
      </c>
      <c r="M786" s="156" t="inlineStr">
        <is>
          <t>Stetson</t>
        </is>
      </c>
      <c r="N786" s="156" t="inlineStr">
        <is>
          <t>SS26</t>
        </is>
      </c>
      <c r="O786" s="156" t="inlineStr">
        <is>
          <t>Seasonal</t>
        </is>
      </c>
      <c r="P786" s="156" t="inlineStr">
        <is>
          <t>Beige</t>
        </is>
      </c>
      <c r="Q786" s="156" t="n"/>
      <c r="R786" s="156" t="n"/>
      <c r="S786" s="156" t="inlineStr">
        <is>
          <t>100% Fieltro de lana</t>
        </is>
      </c>
      <c r="T786" s="156" t="inlineStr">
        <is>
          <t>Texana Stetson Night Sky S Hueso.
 Composición: 100% Fieltro de lana.
 Color: Hueso.</t>
        </is>
      </c>
      <c r="U786" s="156" t="inlineStr">
        <is>
          <t>Estados Unidos</t>
        </is>
      </c>
      <c r="V786" s="156" t="inlineStr">
        <is>
          <t>PZS</t>
        </is>
      </c>
      <c r="W786" s="51" t="inlineStr">
        <is>
          <t>53102503</t>
        </is>
      </c>
      <c r="X786" s="156" t="inlineStr">
        <is>
          <t>https://cdn.shopify.com/s/files/1/0357/2432/9005/files/XWNGSKS1040-74_Bone_1.jpg?v=1694027752</t>
        </is>
      </c>
      <c r="Y786" s="54" t="n">
        <v>1732.5</v>
      </c>
      <c r="Z786" s="54" t="n">
        <v>4224.137931</v>
      </c>
      <c r="AA786" s="55">
        <f>IF(AND(A786="", B786="", E786=""), "", IF(AB786="", "Válido", IF((LEN(AB786)-LEN(SUBSTITUTE(AB786,"; ","")))/2+1&gt;(LEN(AB786)-LEN(SUBSTITUTE(AB786,"[Aviso]","")))/7, "Con Incidencias", "Válido")))</f>
        <v/>
      </c>
      <c r="AB786" s="56">
        <f>IF(AND(A786="", B786="", E786=""), "", TEXTJOIN("; ", TRUE, IF(OR(TRIM(A786&amp;"")="", ISNUMBER(SEARCH("FALTA", A786))), "UPC faltante/inválido", ""), IF(AND(A786&lt;&gt;"", IFERROR(_xlfn.XMATCH(A786,$A$2:$A$2509,0,1)&lt;&gt;_xlfn.XMATCH(A786,$A$2:$A$2509,0,-1),FALSE)), "Código de barras duplicado", ""), IF(AND(E786&lt;&gt;"", COUNTIF($E$2:$E$2509, E786)&gt;1), "SKU duplicado", ""), IF(OR(J786="", J786=""), "[Aviso] División no capturada ()", IF(ISNA(MATCH(J786, Criterios!$A$123:$A$126, 0)), "División no válida", "")), IF(OR(K786="", K786=""), "[Aviso] Categoría no capturada ()", IF(ISNA(MATCH(K786, Criterios!$A$81:$A$120, 0)), "Categoría no válida", IF(AND(J786&lt;&gt;"", J786&lt;&gt;"", J786&lt;&gt;VLOOKUP(K786, Criterios!$A$81:$B$120, 2, FALSE)), "División no coincide con Categoría", ""))), IF(OR(L786="", L786=""), "[Aviso] Género no capturado ()", IF(ISNA(MATCH(L786, Criterios!$B$123:$B$127, 0)), "Género no válido", "")), IF(OR(N786="", N786=""), "[Aviso] Temporada no capturada ()", IF(ISNA(MATCH(N786, Criterios!$C$123:$C$128, 0)), "Temporada no válida", "")), IF(OR(O786="", O786=""), "[Aviso] Ciclo de vida no capturado ()", IF(ISNA(MATCH(O786, Criterios!$D$123:$D$124, 0)), "Ciclo de vida no válido", ""))))</f>
        <v/>
      </c>
      <c r="AC786" s="56" t="n"/>
      <c r="AD786" s="51" t="n">
        <v>0</v>
      </c>
      <c r="AE786" s="156" t="n"/>
      <c r="AF786" s="51" t="n">
        <v>0</v>
      </c>
      <c r="AG786" s="156" t="inlineStr">
        <is>
          <t>Catálogo existente</t>
        </is>
      </c>
      <c r="AH786" s="156" t="inlineStr">
        <is>
          <t>Revisión 29/09/2026: Talla fuente S sin equivalencia exacta en Criterios para Talla Sombrero; Campos sin respaldo: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Enlace de imagen: «» → «https://cdn.shopify.com/s/files/1/0357/2432/9005/files/XWNGSKS1040-74_Bone_1.jpg?v=1694027752» (Completado por investigación en línea)</t>
        </is>
      </c>
      <c r="AI786" s="156" t="inlineStr">
        <is>
          <t>No</t>
        </is>
      </c>
      <c r="AJ786" s="156" t="n"/>
      <c r="AK786" s="155" t="inlineStr">
        <is>
          <t>Criterios: I [Q] | Shopify Stetson: producto 15056329933163 / variante 53357914784107 | Odoo: producto 19396 / plantilla 23883 | Investigación en línea 06/10/2026: https://www.stetson.com/products/night-sky-bone</t>
        </is>
      </c>
      <c r="AL786" s="58" t="n">
        <v>1732.5</v>
      </c>
      <c r="AM786" s="58" t="n">
        <v>4224.137931</v>
      </c>
      <c r="AN786" s="155" t="inlineStr">
        <is>
          <t>Shopify Stetson México | Odoo Universal Unique Brands</t>
        </is>
      </c>
      <c r="AO786" s="59" t="n">
        <v>1</v>
      </c>
      <c r="AP786" s="59" t="n"/>
      <c r="AQ786" s="59" t="n">
        <v>1</v>
      </c>
      <c r="AR786" s="155" t="inlineStr">
        <is>
          <t>Shopify Stetson México › Stetson Americas: 1 | Odoo Universal Unique Brands › Bodega 25 › Bodega 25/General: 1</t>
        </is>
      </c>
    </row>
    <row r="787">
      <c r="A787" s="50" t="inlineStr">
        <is>
          <t>195556043240</t>
        </is>
      </c>
      <c r="B787" s="51" t="inlineStr">
        <is>
          <t>117566</t>
        </is>
      </c>
      <c r="C787" s="156" t="inlineStr">
        <is>
          <t>Multimarca</t>
        </is>
      </c>
      <c r="D787" s="156" t="inlineStr">
        <is>
          <t>XWNGSKS104074</t>
        </is>
      </c>
      <c r="E787" s="156" t="inlineStr">
        <is>
          <t>XWNGSKS104074XL</t>
        </is>
      </c>
      <c r="F787" s="156" t="inlineStr">
        <is>
          <t>XL</t>
        </is>
      </c>
      <c r="G787" s="156" t="inlineStr">
        <is>
          <t>XL</t>
        </is>
      </c>
      <c r="H787" s="156" t="inlineStr">
        <is>
          <t>Stetson</t>
        </is>
      </c>
      <c r="I787" s="156" t="inlineStr">
        <is>
          <t>Texana Stetson Night Sky Hueso</t>
        </is>
      </c>
      <c r="J787" s="156" t="inlineStr">
        <is>
          <t>Accesorios</t>
        </is>
      </c>
      <c r="K787" s="156" t="inlineStr">
        <is>
          <t>Sombreros</t>
        </is>
      </c>
      <c r="L787" s="156" t="inlineStr">
        <is>
          <t>Unisex</t>
        </is>
      </c>
      <c r="M787" s="156" t="inlineStr">
        <is>
          <t>Stetson</t>
        </is>
      </c>
      <c r="N787" s="156" t="inlineStr">
        <is>
          <t>FW26</t>
        </is>
      </c>
      <c r="O787" s="156" t="inlineStr">
        <is>
          <t>Seasonal</t>
        </is>
      </c>
      <c r="P787" s="156" t="inlineStr">
        <is>
          <t>Beige</t>
        </is>
      </c>
      <c r="Q787" s="156" t="n"/>
      <c r="R787" s="156" t="n"/>
      <c r="S787" s="156" t="inlineStr">
        <is>
          <t>Fieltro de pelo</t>
        </is>
      </c>
      <c r="T787" s="156" t="inlineStr">
        <is>
          <t>Texana Stetson Night Sky S Hueso.
 Composición: 100% Fieltro de lana.
 Color: Hueso.</t>
        </is>
      </c>
      <c r="U787" s="156" t="inlineStr">
        <is>
          <t>Estados Unidos</t>
        </is>
      </c>
      <c r="V787" s="156" t="inlineStr">
        <is>
          <t>PZS</t>
        </is>
      </c>
      <c r="W787" s="51" t="inlineStr">
        <is>
          <t>53102516</t>
        </is>
      </c>
      <c r="X787" s="156" t="inlineStr">
        <is>
          <t>https://cdn.shopify.com/s/files/1/0357/2432/9005/files/XWNGSKS1040-74_Bone_1.jpg?v=1694027752</t>
        </is>
      </c>
      <c r="Y787" s="54" t="n">
        <v>1732.5</v>
      </c>
      <c r="Z787" s="54" t="n">
        <v>4224.137931</v>
      </c>
      <c r="AA787" s="55">
        <f>IF(AND(A787="", B787="", E787=""), "", IF(AB787="", "Válido", IF((LEN(AB787)-LEN(SUBSTITUTE(AB787,"; ","")))/2+1&gt;(LEN(AB787)-LEN(SUBSTITUTE(AB787,"[Aviso]","")))/7, "Con Incidencias", "Válido")))</f>
        <v/>
      </c>
      <c r="AB787" s="56">
        <f>IF(AND(A787="", B787="", E787=""), "", TEXTJOIN("; ", TRUE, IF(OR(TRIM(A787&amp;"")="", ISNUMBER(SEARCH("FALTA", A787))), "UPC faltante/inválido", ""), IF(AND(A787&lt;&gt;"", IFERROR(_xlfn.XMATCH(A787,$A$2:$A$2509,0,1)&lt;&gt;_xlfn.XMATCH(A787,$A$2:$A$2509,0,-1),FALSE)), "Código de barras duplicado", ""), IF(AND(E787&lt;&gt;"", COUNTIF($E$2:$E$2509, E787)&gt;1), "SKU duplicado", ""), IF(OR(J787="", J787=""), "[Aviso] División no capturada ()", IF(ISNA(MATCH(J787, Criterios!$A$123:$A$126, 0)), "División no válida", "")), IF(OR(K787="", K787=""), "[Aviso] Categoría no capturada ()", IF(ISNA(MATCH(K787, Criterios!$A$81:$A$120, 0)), "Categoría no válida", IF(AND(J787&lt;&gt;"", J787&lt;&gt;"", J787&lt;&gt;VLOOKUP(K787, Criterios!$A$81:$B$120, 2, FALSE)), "División no coincide con Categoría", ""))), IF(OR(L787="", L787=""), "[Aviso] Género no capturado ()", IF(ISNA(MATCH(L787, Criterios!$B$123:$B$127, 0)), "Género no válido", "")), IF(OR(N787="", N787=""), "[Aviso] Temporada no capturada ()", IF(ISNA(MATCH(N787, Criterios!$C$123:$C$128, 0)), "Temporada no válida", "")), IF(OR(O787="", O787=""), "[Aviso] Ciclo de vida no capturado ()", IF(ISNA(MATCH(O787, Criterios!$D$123:$D$124, 0)), "Ciclo de vida no válido", ""))))</f>
        <v/>
      </c>
      <c r="AC787" s="56" t="n"/>
      <c r="AD787" s="51" t="n">
        <v>0</v>
      </c>
      <c r="AE787" s="156" t="inlineStr">
        <is>
          <t>STETSON AMERICAS (1)</t>
        </is>
      </c>
      <c r="AF787" s="51" t="n">
        <v>1</v>
      </c>
      <c r="AG787" s="156" t="inlineStr">
        <is>
          <t>Catálogo existente</t>
        </is>
      </c>
      <c r="AH787" s="156" t="inlineStr">
        <is>
          <t>Revisión 29/09/2026: Talla fuente XL sin equivalencia exacta en Criterios para Talla Sombrero; Campos sin respaldo: X; Auditoría NetSuite 30/09/2026: Silueta NetSuite vacía | 01/10/2026: complementado desde Shopify Stetson México (match por código de barras): WB Fit | 01/10/2026: Shopify Stetson México trae Color «Blanco» — se conservó el valor de Productos | Homologación G1522 06/10/2026: Enlace de imagen: «» → «https://cdn.shopify.com/s/files/1/0357/2432/9005/files/XWNGSKS1040-74_Bone_1.jpg?v=1694027752» (Completado por investigación en línea)</t>
        </is>
      </c>
      <c r="AI787" s="156" t="inlineStr">
        <is>
          <t>Sí</t>
        </is>
      </c>
      <c r="AJ787" s="156" t="inlineStr">
        <is>
          <t>PUNTO DE VENTA (-1)</t>
        </is>
      </c>
      <c r="AK787" s="155" t="inlineStr">
        <is>
          <t>Criterios: I [Q] | Shopify Stetson: producto 15056329933163 / variante 53836804456811 | Investigación en línea 06/10/2026: https://www.stetson.com/products/night-sky-bone</t>
        </is>
      </c>
      <c r="AL787" s="58" t="n">
        <v>1732.5</v>
      </c>
      <c r="AM787" s="58" t="n">
        <v>4224.137931</v>
      </c>
      <c r="AN787" s="155" t="inlineStr">
        <is>
          <t>Shopify Stetson México</t>
        </is>
      </c>
      <c r="AO787" s="59" t="n">
        <v>1</v>
      </c>
      <c r="AP787" s="59" t="n"/>
      <c r="AQ787" s="59" t="n"/>
      <c r="AR787" s="155" t="inlineStr">
        <is>
          <t>Shopify Stetson México › Stetson Americas: 1</t>
        </is>
      </c>
    </row>
    <row r="788">
      <c r="A788" s="50" t="inlineStr">
        <is>
          <t>195556047552</t>
        </is>
      </c>
      <c r="B788" s="51" t="inlineStr">
        <is>
          <t>117567</t>
        </is>
      </c>
      <c r="C788" s="156" t="inlineStr">
        <is>
          <t>Multimarca</t>
        </is>
      </c>
      <c r="D788" s="156" t="inlineStr">
        <is>
          <t>SFACST-4442B5</t>
        </is>
      </c>
      <c r="E788" s="156" t="inlineStr">
        <is>
          <t>SFACST-4442B567</t>
        </is>
      </c>
      <c r="F788" s="156" t="inlineStr">
        <is>
          <t>6 7/8</t>
        </is>
      </c>
      <c r="G788" s="156" t="inlineStr">
        <is>
          <t>6 7/8</t>
        </is>
      </c>
      <c r="H788" s="156" t="inlineStr">
        <is>
          <t>Stetson</t>
        </is>
      </c>
      <c r="I788" s="156" t="inlineStr">
        <is>
          <t>Texana Stetson Acoustic 6X Cafe</t>
        </is>
      </c>
      <c r="J788" s="156" t="inlineStr">
        <is>
          <t>Accesorios</t>
        </is>
      </c>
      <c r="K788" s="156" t="inlineStr">
        <is>
          <t>Sombreros</t>
        </is>
      </c>
      <c r="L788" s="156" t="inlineStr">
        <is>
          <t>Unisex</t>
        </is>
      </c>
      <c r="M788" s="156" t="inlineStr">
        <is>
          <t>Stetson</t>
        </is>
      </c>
      <c r="N788" s="156" t="inlineStr">
        <is>
          <t>FW26</t>
        </is>
      </c>
      <c r="O788" s="156" t="inlineStr">
        <is>
          <t>Seasonal</t>
        </is>
      </c>
      <c r="P788" s="156" t="inlineStr">
        <is>
          <t>Cafe</t>
        </is>
      </c>
      <c r="Q788" s="156" t="n"/>
      <c r="R788" s="156" t="inlineStr">
        <is>
          <t>Copa Pinch Front</t>
        </is>
      </c>
      <c r="S788" s="156" t="inlineStr">
        <is>
          <t>100% pelo de conejo</t>
        </is>
      </c>
      <c r="T788"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88" s="156" t="inlineStr">
        <is>
          <t>Estados Unidos</t>
        </is>
      </c>
      <c r="V788" s="156" t="inlineStr">
        <is>
          <t>PZS</t>
        </is>
      </c>
      <c r="W788" s="51" t="inlineStr">
        <is>
          <t>53102503</t>
        </is>
      </c>
      <c r="X788" s="156" t="inlineStr">
        <is>
          <t>https://cdn.shopify.com/s/files/1/0357/2432/9005/files/SFACST-4442-B5_Driftwood_1.jpg?v=1723717707</t>
        </is>
      </c>
      <c r="Y788" s="54" t="n">
        <v>2992.5</v>
      </c>
      <c r="Z788" s="54" t="n">
        <v>7241.37931</v>
      </c>
      <c r="AA788" s="55">
        <f>IF(AND(A788="", B788="", E788=""), "", IF(AB788="", "Válido", IF((LEN(AB788)-LEN(SUBSTITUTE(AB788,"; ","")))/2+1&gt;(LEN(AB788)-LEN(SUBSTITUTE(AB788,"[Aviso]","")))/7, "Con Incidencias", "Válido")))</f>
        <v/>
      </c>
      <c r="AB788" s="56">
        <f>IF(AND(A788="", B788="", E788=""), "", TEXTJOIN("; ", TRUE, IF(OR(TRIM(A788&amp;"")="", ISNUMBER(SEARCH("FALTA", A788))), "UPC faltante/inválido", ""), IF(AND(A788&lt;&gt;"", IFERROR(_xlfn.XMATCH(A788,$A$2:$A$2509,0,1)&lt;&gt;_xlfn.XMATCH(A788,$A$2:$A$2509,0,-1),FALSE)), "Código de barras duplicado", ""), IF(AND(E788&lt;&gt;"", COUNTIF($E$2:$E$2509, E788)&gt;1), "SKU duplicado", ""), IF(OR(J788="", J788=""), "[Aviso] División no capturada ()", IF(ISNA(MATCH(J788, Criterios!$A$123:$A$126, 0)), "División no válida", "")), IF(OR(K788="", K788=""), "[Aviso] Categoría no capturada ()", IF(ISNA(MATCH(K788, Criterios!$A$81:$A$120, 0)), "Categoría no válida", IF(AND(J788&lt;&gt;"", J788&lt;&gt;"", J788&lt;&gt;VLOOKUP(K788, Criterios!$A$81:$B$120, 2, FALSE)), "División no coincide con Categoría", ""))), IF(OR(L788="", L788=""), "[Aviso] Género no capturado ()", IF(ISNA(MATCH(L788, Criterios!$B$123:$B$127, 0)), "Género no válido", "")), IF(OR(N788="", N788=""), "[Aviso] Temporada no capturada ()", IF(ISNA(MATCH(N788, Criterios!$C$123:$C$128, 0)), "Temporada no válida", "")), IF(OR(O788="", O788=""), "[Aviso] Ciclo de vida no capturado ()", IF(ISNA(MATCH(O788, Criterios!$D$123:$D$124, 0)), "Ciclo de vida no válido", ""))))</f>
        <v/>
      </c>
      <c r="AC788" s="56" t="n"/>
      <c r="AD788" s="51" t="n">
        <v>0</v>
      </c>
      <c r="AE788" s="156" t="n"/>
      <c r="AF788" s="51" t="n">
        <v>0</v>
      </c>
      <c r="AG788" s="156" t="inlineStr">
        <is>
          <t>Catálogo existente</t>
        </is>
      </c>
      <c r="AH788" s="156" t="inlineStr">
        <is>
          <t>Stock negativo en sistema: revisar en conteo | Revisión 29/09/2026: Campos sin respaldo: X | ID alternativo de Hoja a Revisar 117567 (UPC coincidente); se conserva ID principal; Auditoría NetSuite 30/09/2026: Vinculado por código de barras al ID NetSuite 117567 (antes en Identificador interno: '117318')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88" s="156" t="inlineStr">
        <is>
          <t>No</t>
        </is>
      </c>
      <c r="AJ788" s="156" t="n"/>
      <c r="AK788" s="155" t="inlineStr">
        <is>
          <t>Criterios: I [Q] | Hoja a Revisar: fila 363684 (ID 117567, misma clave UPC) | Shopify Stetson: producto 15227649360235 / variante 53791834603883 | Investigación en línea 06/10/2026: https://www.stetson.com/products/acoustic-6x-cowboy-hat-driftwood-pinch-front-crown</t>
        </is>
      </c>
      <c r="AL788" s="58" t="n">
        <v>2992.5</v>
      </c>
      <c r="AM788" s="58" t="n">
        <v>7241.37931</v>
      </c>
      <c r="AN788" s="155" t="inlineStr">
        <is>
          <t>Shopify Stetson México</t>
        </is>
      </c>
      <c r="AO788" s="59" t="n">
        <v>0</v>
      </c>
      <c r="AP788" s="59" t="n"/>
      <c r="AQ788" s="59" t="n"/>
      <c r="AR788" s="155" t="n"/>
    </row>
    <row r="789">
      <c r="A789" s="50" t="inlineStr">
        <is>
          <t>195556047569</t>
        </is>
      </c>
      <c r="B789" s="51" t="inlineStr">
        <is>
          <t>117570</t>
        </is>
      </c>
      <c r="C789" s="156" t="inlineStr">
        <is>
          <t>Multimarca</t>
        </is>
      </c>
      <c r="D789" s="156" t="inlineStr">
        <is>
          <t>SFACST-4442B5</t>
        </is>
      </c>
      <c r="E789" s="156" t="inlineStr">
        <is>
          <t>SFACST-4442B570</t>
        </is>
      </c>
      <c r="F789" s="156" t="inlineStr">
        <is>
          <t>7</t>
        </is>
      </c>
      <c r="G789" s="156" t="inlineStr">
        <is>
          <t>7</t>
        </is>
      </c>
      <c r="H789" s="156" t="inlineStr">
        <is>
          <t>Stetson</t>
        </is>
      </c>
      <c r="I789" s="156" t="inlineStr">
        <is>
          <t>Texana Stetson Acoustic 6X Cafe</t>
        </is>
      </c>
      <c r="J789" s="156" t="inlineStr">
        <is>
          <t>Accesorios</t>
        </is>
      </c>
      <c r="K789" s="156" t="inlineStr">
        <is>
          <t>Sombreros</t>
        </is>
      </c>
      <c r="L789" s="156" t="inlineStr">
        <is>
          <t>Unisex</t>
        </is>
      </c>
      <c r="M789" s="156" t="inlineStr">
        <is>
          <t>Stetson</t>
        </is>
      </c>
      <c r="N789" s="156" t="inlineStr">
        <is>
          <t>FW26</t>
        </is>
      </c>
      <c r="O789" s="156" t="inlineStr">
        <is>
          <t>Seasonal</t>
        </is>
      </c>
      <c r="P789" s="156" t="inlineStr">
        <is>
          <t>Cafe</t>
        </is>
      </c>
      <c r="Q789" s="156" t="n"/>
      <c r="R789" s="156" t="inlineStr">
        <is>
          <t>Copa Pinch Front</t>
        </is>
      </c>
      <c r="S789" s="156" t="inlineStr">
        <is>
          <t>100% pelo de conejo</t>
        </is>
      </c>
      <c r="T789"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89" s="156" t="inlineStr">
        <is>
          <t>Estados Unidos</t>
        </is>
      </c>
      <c r="V789" s="156" t="inlineStr">
        <is>
          <t>PZS</t>
        </is>
      </c>
      <c r="W789" s="51" t="inlineStr">
        <is>
          <t>53102503</t>
        </is>
      </c>
      <c r="X789" s="156" t="inlineStr">
        <is>
          <t>https://cdn.shopify.com/s/files/1/0357/2432/9005/files/SFACST-4442-B5_Driftwood_1.jpg?v=1723717707</t>
        </is>
      </c>
      <c r="Y789" s="54" t="n">
        <v>2992.5</v>
      </c>
      <c r="Z789" s="54" t="n">
        <v>7241.37931</v>
      </c>
      <c r="AA789" s="55">
        <f>IF(AND(A789="", B789="", E789=""), "", IF(AB789="", "Válido", IF((LEN(AB789)-LEN(SUBSTITUTE(AB789,"; ","")))/2+1&gt;(LEN(AB789)-LEN(SUBSTITUTE(AB789,"[Aviso]","")))/7, "Con Incidencias", "Válido")))</f>
        <v/>
      </c>
      <c r="AB789" s="56">
        <f>IF(AND(A789="", B789="", E789=""), "", TEXTJOIN("; ", TRUE, IF(OR(TRIM(A789&amp;"")="", ISNUMBER(SEARCH("FALTA", A789))), "UPC faltante/inválido", ""), IF(AND(A789&lt;&gt;"", IFERROR(_xlfn.XMATCH(A789,$A$2:$A$2509,0,1)&lt;&gt;_xlfn.XMATCH(A789,$A$2:$A$2509,0,-1),FALSE)), "Código de barras duplicado", ""), IF(AND(E789&lt;&gt;"", COUNTIF($E$2:$E$2509, E789)&gt;1), "SKU duplicado", ""), IF(OR(J789="", J789=""), "[Aviso] División no capturada ()", IF(ISNA(MATCH(J789, Criterios!$A$123:$A$126, 0)), "División no válida", "")), IF(OR(K789="", K789=""), "[Aviso] Categoría no capturada ()", IF(ISNA(MATCH(K789, Criterios!$A$81:$A$120, 0)), "Categoría no válida", IF(AND(J789&lt;&gt;"", J789&lt;&gt;"", J789&lt;&gt;VLOOKUP(K789, Criterios!$A$81:$B$120, 2, FALSE)), "División no coincide con Categoría", ""))), IF(OR(L789="", L789=""), "[Aviso] Género no capturado ()", IF(ISNA(MATCH(L789, Criterios!$B$123:$B$127, 0)), "Género no válido", "")), IF(OR(N789="", N789=""), "[Aviso] Temporada no capturada ()", IF(ISNA(MATCH(N789, Criterios!$C$123:$C$128, 0)), "Temporada no válida", "")), IF(OR(O789="", O789=""), "[Aviso] Ciclo de vida no capturado ()", IF(ISNA(MATCH(O789, Criterios!$D$123:$D$124, 0)), "Ciclo de vida no válido", ""))))</f>
        <v/>
      </c>
      <c r="AC789" s="56" t="n"/>
      <c r="AD789" s="51" t="n">
        <v>0</v>
      </c>
      <c r="AE789" s="156" t="n"/>
      <c r="AF789" s="51" t="n">
        <v>0</v>
      </c>
      <c r="AG789" s="156" t="inlineStr">
        <is>
          <t>Catálogo existente</t>
        </is>
      </c>
      <c r="AH789" s="156" t="inlineStr">
        <is>
          <t>Revisión 29/09/2026: Campos sin respaldo: X | ID alternativo de Hoja a Revisar 117570 (UPC coincidente); se conserva ID principal; Auditoría NetSuite 30/09/2026: Vinculado por código de barras al ID NetSuite 117570 (antes en Identificador interno: '117319')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89" s="156" t="inlineStr">
        <is>
          <t>No</t>
        </is>
      </c>
      <c r="AJ789" s="156" t="n"/>
      <c r="AK789" s="155" t="inlineStr">
        <is>
          <t>Criterios: I [Q] | Hoja a Revisar: fila 363685 (ID 117570, misma clave UPC) | Shopify Stetson: producto 15227649360235 / variante 53791834636651 | Investigación en línea 06/10/2026: https://www.stetson.com/products/acoustic-6x-cowboy-hat-driftwood-pinch-front-crown</t>
        </is>
      </c>
      <c r="AL789" s="58" t="n">
        <v>2992.5</v>
      </c>
      <c r="AM789" s="58" t="n">
        <v>7241.37931</v>
      </c>
      <c r="AN789" s="155" t="inlineStr">
        <is>
          <t>Shopify Stetson México</t>
        </is>
      </c>
      <c r="AO789" s="59" t="n">
        <v>1</v>
      </c>
      <c r="AP789" s="59" t="n"/>
      <c r="AQ789" s="59" t="n"/>
      <c r="AR789" s="155" t="inlineStr">
        <is>
          <t>Shopify Stetson México › Stetson Americas: 1</t>
        </is>
      </c>
    </row>
    <row r="790">
      <c r="A790" s="50" t="inlineStr">
        <is>
          <t>195556047576</t>
        </is>
      </c>
      <c r="B790" s="51" t="inlineStr">
        <is>
          <t>117571</t>
        </is>
      </c>
      <c r="C790" s="156" t="inlineStr">
        <is>
          <t>Multimarca</t>
        </is>
      </c>
      <c r="D790" s="156" t="inlineStr">
        <is>
          <t>SFACST-4442B5</t>
        </is>
      </c>
      <c r="E790" s="156" t="inlineStr">
        <is>
          <t>SFACST-4442B571</t>
        </is>
      </c>
      <c r="F790" s="156" t="inlineStr">
        <is>
          <t>7 1/8</t>
        </is>
      </c>
      <c r="G790" s="156" t="inlineStr">
        <is>
          <t>7 1/8</t>
        </is>
      </c>
      <c r="H790" s="156" t="inlineStr">
        <is>
          <t>Stetson</t>
        </is>
      </c>
      <c r="I790" s="156" t="inlineStr">
        <is>
          <t>Texana Stetson Acoustic 6X Cafe</t>
        </is>
      </c>
      <c r="J790" s="156" t="inlineStr">
        <is>
          <t>Accesorios</t>
        </is>
      </c>
      <c r="K790" s="156" t="inlineStr">
        <is>
          <t>Sombreros</t>
        </is>
      </c>
      <c r="L790" s="156" t="inlineStr">
        <is>
          <t>Unisex</t>
        </is>
      </c>
      <c r="M790" s="156" t="inlineStr">
        <is>
          <t>Stetson</t>
        </is>
      </c>
      <c r="N790" s="156" t="inlineStr">
        <is>
          <t>FW26</t>
        </is>
      </c>
      <c r="O790" s="156" t="inlineStr">
        <is>
          <t>Seasonal</t>
        </is>
      </c>
      <c r="P790" s="156" t="inlineStr">
        <is>
          <t>Cafe</t>
        </is>
      </c>
      <c r="Q790" s="156" t="n"/>
      <c r="R790" s="156" t="inlineStr">
        <is>
          <t>Copa Pinch Front</t>
        </is>
      </c>
      <c r="S790" s="156" t="inlineStr">
        <is>
          <t>100% pelo de conejo</t>
        </is>
      </c>
      <c r="T790"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0" s="156" t="inlineStr">
        <is>
          <t>Estados Unidos</t>
        </is>
      </c>
      <c r="V790" s="156" t="inlineStr">
        <is>
          <t>PZS</t>
        </is>
      </c>
      <c r="W790" s="51" t="inlineStr">
        <is>
          <t>53102503</t>
        </is>
      </c>
      <c r="X790" s="156" t="inlineStr">
        <is>
          <t>https://cdn.shopify.com/s/files/1/0357/2432/9005/files/SFACST-4442-B5_Driftwood_1.jpg?v=1723717707</t>
        </is>
      </c>
      <c r="Y790" s="54" t="n">
        <v>2992.5</v>
      </c>
      <c r="Z790" s="54" t="n">
        <v>7241.37931</v>
      </c>
      <c r="AA790" s="55">
        <f>IF(AND(A790="", B790="", E790=""), "", IF(AB790="", "Válido", IF((LEN(AB790)-LEN(SUBSTITUTE(AB790,"; ","")))/2+1&gt;(LEN(AB790)-LEN(SUBSTITUTE(AB790,"[Aviso]","")))/7, "Con Incidencias", "Válido")))</f>
        <v/>
      </c>
      <c r="AB790" s="56">
        <f>IF(AND(A790="", B790="", E790=""), "", TEXTJOIN("; ", TRUE, IF(OR(TRIM(A790&amp;"")="", ISNUMBER(SEARCH("FALTA", A790))), "UPC faltante/inválido", ""), IF(AND(A790&lt;&gt;"", IFERROR(_xlfn.XMATCH(A790,$A$2:$A$2509,0,1)&lt;&gt;_xlfn.XMATCH(A790,$A$2:$A$2509,0,-1),FALSE)), "Código de barras duplicado", ""), IF(AND(E790&lt;&gt;"", COUNTIF($E$2:$E$2509, E790)&gt;1), "SKU duplicado", ""), IF(OR(J790="", J790=""), "[Aviso] División no capturada ()", IF(ISNA(MATCH(J790, Criterios!$A$123:$A$126, 0)), "División no válida", "")), IF(OR(K790="", K790=""), "[Aviso] Categoría no capturada ()", IF(ISNA(MATCH(K790, Criterios!$A$81:$A$120, 0)), "Categoría no válida", IF(AND(J790&lt;&gt;"", J790&lt;&gt;"", J790&lt;&gt;VLOOKUP(K790, Criterios!$A$81:$B$120, 2, FALSE)), "División no coincide con Categoría", ""))), IF(OR(L790="", L790=""), "[Aviso] Género no capturado ()", IF(ISNA(MATCH(L790, Criterios!$B$123:$B$127, 0)), "Género no válido", "")), IF(OR(N790="", N790=""), "[Aviso] Temporada no capturada ()", IF(ISNA(MATCH(N790, Criterios!$C$123:$C$128, 0)), "Temporada no válida", "")), IF(OR(O790="", O790=""), "[Aviso] Ciclo de vida no capturado ()", IF(ISNA(MATCH(O790, Criterios!$D$123:$D$124, 0)), "Ciclo de vida no válido", ""))))</f>
        <v/>
      </c>
      <c r="AC790" s="56" t="n"/>
      <c r="AD790" s="51" t="n">
        <v>0</v>
      </c>
      <c r="AE790" s="156" t="n"/>
      <c r="AF790" s="51" t="n">
        <v>0</v>
      </c>
      <c r="AG790" s="156" t="inlineStr">
        <is>
          <t>Catálogo existente</t>
        </is>
      </c>
      <c r="AH790" s="156" t="inlineStr">
        <is>
          <t>Stock negativo en sistema: revisar en conteo | Revisión 29/09/2026: Campos sin respaldo: X | ID alternativo de Hoja a Revisar 117571 (UPC coincidente); se conserva ID principal; Auditoría NetSuite 30/09/2026: Vinculado por código de barras al ID NetSuite 117571 (antes en Identificador interno: '117320')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0" s="156" t="inlineStr">
        <is>
          <t>No</t>
        </is>
      </c>
      <c r="AJ790" s="156" t="n"/>
      <c r="AK790" s="155" t="inlineStr">
        <is>
          <t>Criterios: I [Q] | Hoja a Revisar: fila 363686 (ID 117571, misma clave UPC) | Shopify Stetson: producto 15227649360235 / variante 53791834669419 | Investigación en línea 06/10/2026: https://www.stetson.com/products/acoustic-6x-cowboy-hat-driftwood-pinch-front-crown</t>
        </is>
      </c>
      <c r="AL790" s="58" t="n">
        <v>2992.5</v>
      </c>
      <c r="AM790" s="58" t="n">
        <v>7241.37931</v>
      </c>
      <c r="AN790" s="155" t="inlineStr">
        <is>
          <t>Shopify Stetson México</t>
        </is>
      </c>
      <c r="AO790" s="59" t="n">
        <v>1</v>
      </c>
      <c r="AP790" s="59" t="n"/>
      <c r="AQ790" s="59" t="n"/>
      <c r="AR790" s="155" t="inlineStr">
        <is>
          <t>Shopify Stetson México › Stetson Americas: 1</t>
        </is>
      </c>
    </row>
    <row r="791">
      <c r="A791" s="50" t="inlineStr">
        <is>
          <t>195556047583</t>
        </is>
      </c>
      <c r="B791" s="51" t="inlineStr">
        <is>
          <t>117568</t>
        </is>
      </c>
      <c r="C791" s="156" t="inlineStr">
        <is>
          <t>Multimarca</t>
        </is>
      </c>
      <c r="D791" s="156" t="inlineStr">
        <is>
          <t>SFACST-4442B5</t>
        </is>
      </c>
      <c r="E791" s="156" t="inlineStr">
        <is>
          <t>SFACST-4442B572</t>
        </is>
      </c>
      <c r="F791" s="156" t="inlineStr">
        <is>
          <t>7 1/4</t>
        </is>
      </c>
      <c r="G791" s="156" t="inlineStr">
        <is>
          <t>7 1/4</t>
        </is>
      </c>
      <c r="H791" s="156" t="inlineStr">
        <is>
          <t>Stetson</t>
        </is>
      </c>
      <c r="I791" s="156" t="inlineStr">
        <is>
          <t>Texana Stetson Acoustic 6X Cafe</t>
        </is>
      </c>
      <c r="J791" s="156" t="inlineStr">
        <is>
          <t>Accesorios</t>
        </is>
      </c>
      <c r="K791" s="156" t="inlineStr">
        <is>
          <t>Sombreros</t>
        </is>
      </c>
      <c r="L791" s="156" t="inlineStr">
        <is>
          <t>Unisex</t>
        </is>
      </c>
      <c r="M791" s="156" t="inlineStr">
        <is>
          <t>Stetson</t>
        </is>
      </c>
      <c r="N791" s="156" t="inlineStr">
        <is>
          <t>FW26</t>
        </is>
      </c>
      <c r="O791" s="156" t="inlineStr">
        <is>
          <t>Seasonal</t>
        </is>
      </c>
      <c r="P791" s="156" t="inlineStr">
        <is>
          <t>Cafe</t>
        </is>
      </c>
      <c r="Q791" s="156" t="n"/>
      <c r="R791" s="156" t="inlineStr">
        <is>
          <t>Copa Pinch Front</t>
        </is>
      </c>
      <c r="S791" s="156" t="inlineStr">
        <is>
          <t>100% pelo de conejo</t>
        </is>
      </c>
      <c r="T791"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1" s="156" t="inlineStr">
        <is>
          <t>Estados Unidos</t>
        </is>
      </c>
      <c r="V791" s="156" t="inlineStr">
        <is>
          <t>PZS</t>
        </is>
      </c>
      <c r="W791" s="51" t="inlineStr">
        <is>
          <t>53102503</t>
        </is>
      </c>
      <c r="X791" s="156" t="inlineStr">
        <is>
          <t>https://cdn.shopify.com/s/files/1/0357/2432/9005/files/SFACST-4442-B5_Driftwood_1.jpg?v=1723717707</t>
        </is>
      </c>
      <c r="Y791" s="54" t="n">
        <v>2992.5</v>
      </c>
      <c r="Z791" s="54" t="n">
        <v>7241.37931</v>
      </c>
      <c r="AA791" s="55">
        <f>IF(AND(A791="", B791="", E791=""), "", IF(AB791="", "Válido", IF((LEN(AB791)-LEN(SUBSTITUTE(AB791,"; ","")))/2+1&gt;(LEN(AB791)-LEN(SUBSTITUTE(AB791,"[Aviso]","")))/7, "Con Incidencias", "Válido")))</f>
        <v/>
      </c>
      <c r="AB791" s="56">
        <f>IF(AND(A791="", B791="", E791=""), "", TEXTJOIN("; ", TRUE, IF(OR(TRIM(A791&amp;"")="", ISNUMBER(SEARCH("FALTA", A791))), "UPC faltante/inválido", ""), IF(AND(A791&lt;&gt;"", IFERROR(_xlfn.XMATCH(A791,$A$2:$A$2509,0,1)&lt;&gt;_xlfn.XMATCH(A791,$A$2:$A$2509,0,-1),FALSE)), "Código de barras duplicado", ""), IF(AND(E791&lt;&gt;"", COUNTIF($E$2:$E$2509, E791)&gt;1), "SKU duplicado", ""), IF(OR(J791="", J791=""), "[Aviso] División no capturada ()", IF(ISNA(MATCH(J791, Criterios!$A$123:$A$126, 0)), "División no válida", "")), IF(OR(K791="", K791=""), "[Aviso] Categoría no capturada ()", IF(ISNA(MATCH(K791, Criterios!$A$81:$A$120, 0)), "Categoría no válida", IF(AND(J791&lt;&gt;"", J791&lt;&gt;"", J791&lt;&gt;VLOOKUP(K791, Criterios!$A$81:$B$120, 2, FALSE)), "División no coincide con Categoría", ""))), IF(OR(L791="", L791=""), "[Aviso] Género no capturado ()", IF(ISNA(MATCH(L791, Criterios!$B$123:$B$127, 0)), "Género no válido", "")), IF(OR(N791="", N791=""), "[Aviso] Temporada no capturada ()", IF(ISNA(MATCH(N791, Criterios!$C$123:$C$128, 0)), "Temporada no válida", "")), IF(OR(O791="", O791=""), "[Aviso] Ciclo de vida no capturado ()", IF(ISNA(MATCH(O791, Criterios!$D$123:$D$124, 0)), "Ciclo de vida no válido", ""))))</f>
        <v/>
      </c>
      <c r="AC791" s="56" t="n"/>
      <c r="AD791" s="51" t="n">
        <v>0</v>
      </c>
      <c r="AE791" s="156" t="n"/>
      <c r="AF791" s="51" t="n">
        <v>0</v>
      </c>
      <c r="AG791" s="156" t="inlineStr">
        <is>
          <t>Catálogo existente</t>
        </is>
      </c>
      <c r="AH791" s="156" t="inlineStr">
        <is>
          <t>Stock negativo en sistema: revisar en conteo | Revisión 29/09/2026: Campos sin respaldo: X | ID alternativo de Hoja a Revisar 117568 (UPC coincidente); se conserva ID principal; Auditoría NetSuite 30/09/2026: Vinculado por código de barras al ID NetSuite 117568 (antes en Identificador interno: '117321')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1" s="156" t="inlineStr">
        <is>
          <t>No</t>
        </is>
      </c>
      <c r="AJ791" s="156" t="n"/>
      <c r="AK791" s="155" t="inlineStr">
        <is>
          <t>Criterios: I [Q] | Hoja a Revisar: fila 363687 (ID 117568, misma clave UPC) | Shopify Stetson: producto 15227649360235 / variante 53791834702187 | Investigación en línea 06/10/2026: https://www.stetson.com/products/acoustic-6x-cowboy-hat-driftwood-pinch-front-crown</t>
        </is>
      </c>
      <c r="AL791" s="58" t="n">
        <v>2992.5</v>
      </c>
      <c r="AM791" s="58" t="n">
        <v>7241.37931</v>
      </c>
      <c r="AN791" s="155" t="inlineStr">
        <is>
          <t>Shopify Stetson México</t>
        </is>
      </c>
      <c r="AO791" s="59" t="n">
        <v>0</v>
      </c>
      <c r="AP791" s="59" t="n"/>
      <c r="AQ791" s="59" t="n"/>
      <c r="AR791" s="155" t="n"/>
    </row>
    <row r="792">
      <c r="A792" s="50" t="inlineStr">
        <is>
          <t>195556047590</t>
        </is>
      </c>
      <c r="B792" s="51" t="inlineStr">
        <is>
          <t>117569</t>
        </is>
      </c>
      <c r="C792" s="156" t="inlineStr">
        <is>
          <t>Multimarca</t>
        </is>
      </c>
      <c r="D792" s="156" t="inlineStr">
        <is>
          <t>SFACST-4442B5</t>
        </is>
      </c>
      <c r="E792" s="156" t="inlineStr">
        <is>
          <t>SFACST-4442B573</t>
        </is>
      </c>
      <c r="F792" s="156" t="inlineStr">
        <is>
          <t>7 3/8</t>
        </is>
      </c>
      <c r="G792" s="156" t="inlineStr">
        <is>
          <t>7 3/8</t>
        </is>
      </c>
      <c r="H792" s="156" t="inlineStr">
        <is>
          <t>Stetson</t>
        </is>
      </c>
      <c r="I792" s="156" t="inlineStr">
        <is>
          <t>Texana Stetson Acoustic 6X Cafe</t>
        </is>
      </c>
      <c r="J792" s="156" t="inlineStr">
        <is>
          <t>Accesorios</t>
        </is>
      </c>
      <c r="K792" s="156" t="inlineStr">
        <is>
          <t>Sombreros</t>
        </is>
      </c>
      <c r="L792" s="156" t="inlineStr">
        <is>
          <t>Unisex</t>
        </is>
      </c>
      <c r="M792" s="156" t="inlineStr">
        <is>
          <t>Stetson</t>
        </is>
      </c>
      <c r="N792" s="156" t="inlineStr">
        <is>
          <t>FW26</t>
        </is>
      </c>
      <c r="O792" s="156" t="inlineStr">
        <is>
          <t>Seasonal</t>
        </is>
      </c>
      <c r="P792" s="156" t="inlineStr">
        <is>
          <t>Cafe</t>
        </is>
      </c>
      <c r="Q792" s="156" t="n"/>
      <c r="R792" s="156" t="inlineStr">
        <is>
          <t>Copa Pinch Front</t>
        </is>
      </c>
      <c r="S792" s="156" t="inlineStr">
        <is>
          <t>100% pelo de conejo</t>
        </is>
      </c>
      <c r="T792"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2" s="156" t="inlineStr">
        <is>
          <t>Estados Unidos</t>
        </is>
      </c>
      <c r="V792" s="156" t="inlineStr">
        <is>
          <t>PZS</t>
        </is>
      </c>
      <c r="W792" s="51" t="inlineStr">
        <is>
          <t>53102503</t>
        </is>
      </c>
      <c r="X792" s="156" t="inlineStr">
        <is>
          <t>https://cdn.shopify.com/s/files/1/0357/2432/9005/files/SFACST-4442-B5_Driftwood_1.jpg?v=1723717707</t>
        </is>
      </c>
      <c r="Y792" s="54" t="n">
        <v>2992.5</v>
      </c>
      <c r="Z792" s="54" t="n">
        <v>7241.37931</v>
      </c>
      <c r="AA792" s="55">
        <f>IF(AND(A792="", B792="", E792=""), "", IF(AB792="", "Válido", IF((LEN(AB792)-LEN(SUBSTITUTE(AB792,"; ","")))/2+1&gt;(LEN(AB792)-LEN(SUBSTITUTE(AB792,"[Aviso]","")))/7, "Con Incidencias", "Válido")))</f>
        <v/>
      </c>
      <c r="AB792" s="56">
        <f>IF(AND(A792="", B792="", E792=""), "", TEXTJOIN("; ", TRUE, IF(OR(TRIM(A792&amp;"")="", ISNUMBER(SEARCH("FALTA", A792))), "UPC faltante/inválido", ""), IF(AND(A792&lt;&gt;"", IFERROR(_xlfn.XMATCH(A792,$A$2:$A$2509,0,1)&lt;&gt;_xlfn.XMATCH(A792,$A$2:$A$2509,0,-1),FALSE)), "Código de barras duplicado", ""), IF(AND(E792&lt;&gt;"", COUNTIF($E$2:$E$2509, E792)&gt;1), "SKU duplicado", ""), IF(OR(J792="", J792=""), "[Aviso] División no capturada ()", IF(ISNA(MATCH(J792, Criterios!$A$123:$A$126, 0)), "División no válida", "")), IF(OR(K792="", K792=""), "[Aviso] Categoría no capturada ()", IF(ISNA(MATCH(K792, Criterios!$A$81:$A$120, 0)), "Categoría no válida", IF(AND(J792&lt;&gt;"", J792&lt;&gt;"", J792&lt;&gt;VLOOKUP(K792, Criterios!$A$81:$B$120, 2, FALSE)), "División no coincide con Categoría", ""))), IF(OR(L792="", L792=""), "[Aviso] Género no capturado ()", IF(ISNA(MATCH(L792, Criterios!$B$123:$B$127, 0)), "Género no válido", "")), IF(OR(N792="", N792=""), "[Aviso] Temporada no capturada ()", IF(ISNA(MATCH(N792, Criterios!$C$123:$C$128, 0)), "Temporada no válida", "")), IF(OR(O792="", O792=""), "[Aviso] Ciclo de vida no capturado ()", IF(ISNA(MATCH(O792, Criterios!$D$123:$D$124, 0)), "Ciclo de vida no válido", ""))))</f>
        <v/>
      </c>
      <c r="AC792" s="56" t="n"/>
      <c r="AD792" s="51" t="n">
        <v>0</v>
      </c>
      <c r="AE792" s="156" t="n"/>
      <c r="AF792" s="51" t="n">
        <v>0</v>
      </c>
      <c r="AG792" s="156" t="inlineStr">
        <is>
          <t>Catálogo existente</t>
        </is>
      </c>
      <c r="AH792" s="156" t="inlineStr">
        <is>
          <t>Revisión 29/09/2026: Campos sin respaldo: X | ID alternativo de Hoja a Revisar 117569 (UPC coincidente); se conserva ID principal; Auditoría NetSuite 30/09/2026: Vinculado por código de barras al ID NetSuite 117569 (antes en Identificador interno: '117322')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2" s="156" t="inlineStr">
        <is>
          <t>No</t>
        </is>
      </c>
      <c r="AJ792" s="156" t="n"/>
      <c r="AK792" s="155" t="inlineStr">
        <is>
          <t>Criterios: I [Q] | Hoja a Revisar: fila 363688 (ID 117569, misma clave UPC) | Shopify Stetson: producto 15227649360235 / variante 53791834734955 | Investigación en línea 06/10/2026: https://www.stetson.com/products/acoustic-6x-cowboy-hat-driftwood-pinch-front-crown</t>
        </is>
      </c>
      <c r="AL792" s="58" t="n">
        <v>2992.5</v>
      </c>
      <c r="AM792" s="58" t="n">
        <v>7241.37931</v>
      </c>
      <c r="AN792" s="155" t="inlineStr">
        <is>
          <t>Shopify Stetson México</t>
        </is>
      </c>
      <c r="AO792" s="59" t="n">
        <v>1</v>
      </c>
      <c r="AP792" s="59" t="n"/>
      <c r="AQ792" s="59" t="n"/>
      <c r="AR792" s="155" t="inlineStr">
        <is>
          <t>Shopify Stetson México › Stetson Americas: 1</t>
        </is>
      </c>
    </row>
    <row r="793">
      <c r="A793" s="50" t="inlineStr">
        <is>
          <t>195556050781</t>
        </is>
      </c>
      <c r="B793" s="51" t="inlineStr">
        <is>
          <t>110500</t>
        </is>
      </c>
      <c r="C793" s="156" t="inlineStr">
        <is>
          <t>Multimarca</t>
        </is>
      </c>
      <c r="D793" s="156" t="inlineStr">
        <is>
          <t>XWNGSKS104078</t>
        </is>
      </c>
      <c r="E793" s="156" t="inlineStr">
        <is>
          <t>XWNGSKS104078L0</t>
        </is>
      </c>
      <c r="F793" s="156" t="inlineStr">
        <is>
          <t>L</t>
        </is>
      </c>
      <c r="G793" s="156" t="inlineStr">
        <is>
          <t>L</t>
        </is>
      </c>
      <c r="H793" s="156" t="inlineStr">
        <is>
          <t>Stetson</t>
        </is>
      </c>
      <c r="I793" s="156" t="inlineStr">
        <is>
          <t>Texana Stetson Night Sky S Verde Azulado</t>
        </is>
      </c>
      <c r="J793" s="156" t="inlineStr">
        <is>
          <t>Accesorios</t>
        </is>
      </c>
      <c r="K793" s="156" t="inlineStr">
        <is>
          <t>Sombreros</t>
        </is>
      </c>
      <c r="L793" s="156" t="inlineStr">
        <is>
          <t>Unisex</t>
        </is>
      </c>
      <c r="M793" s="156" t="inlineStr">
        <is>
          <t>Stetson</t>
        </is>
      </c>
      <c r="N793" s="156" t="inlineStr">
        <is>
          <t>SS26</t>
        </is>
      </c>
      <c r="O793" s="156" t="inlineStr">
        <is>
          <t>Seasonal</t>
        </is>
      </c>
      <c r="P793" s="156" t="inlineStr">
        <is>
          <t>Azul</t>
        </is>
      </c>
      <c r="Q793" s="156" t="n"/>
      <c r="R793" s="156" t="n"/>
      <c r="S793" s="156" t="inlineStr">
        <is>
          <t>100% Fieltro de lana</t>
        </is>
      </c>
      <c r="T793" s="156" t="inlineStr">
        <is>
          <t>Texana Stetson Night Sky S Verde Azulado.
 Composición: 100% Fieltro de lana.
 Color: Verde azulado.</t>
        </is>
      </c>
      <c r="U793" s="156" t="n"/>
      <c r="V793" s="156" t="inlineStr">
        <is>
          <t>PZS</t>
        </is>
      </c>
      <c r="W793" s="51" t="inlineStr">
        <is>
          <t>53102503</t>
        </is>
      </c>
      <c r="X793" s="156" t="n"/>
      <c r="Y793" s="54" t="n">
        <v>1732.5</v>
      </c>
      <c r="Z793" s="54" t="n">
        <v>4224.137931</v>
      </c>
      <c r="AA793" s="55">
        <f>IF(AND(A793="", B793="", E793=""), "", IF(AB793="", "Válido", IF((LEN(AB793)-LEN(SUBSTITUTE(AB793,"; ","")))/2+1&gt;(LEN(AB793)-LEN(SUBSTITUTE(AB793,"[Aviso]","")))/7, "Con Incidencias", "Válido")))</f>
        <v/>
      </c>
      <c r="AB793" s="56">
        <f>IF(AND(A793="", B793="", E793=""), "", TEXTJOIN("; ", TRUE, IF(OR(TRIM(A793&amp;"")="", ISNUMBER(SEARCH("FALTA", A793))), "UPC faltante/inválido", ""), IF(AND(A793&lt;&gt;"", IFERROR(_xlfn.XMATCH(A793,$A$2:$A$2509,0,1)&lt;&gt;_xlfn.XMATCH(A793,$A$2:$A$2509,0,-1),FALSE)), "Código de barras duplicado", ""), IF(AND(E793&lt;&gt;"", COUNTIF($E$2:$E$2509, E793)&gt;1), "SKU duplicado", ""), IF(OR(J793="", J793=""), "[Aviso] División no capturada ()", IF(ISNA(MATCH(J793, Criterios!$A$123:$A$126, 0)), "División no válida", "")), IF(OR(K793="", K793=""), "[Aviso] Categoría no capturada ()", IF(ISNA(MATCH(K793, Criterios!$A$81:$A$120, 0)), "Categoría no válida", IF(AND(J793&lt;&gt;"", J793&lt;&gt;"", J793&lt;&gt;VLOOKUP(K793, Criterios!$A$81:$B$120, 2, FALSE)), "División no coincide con Categoría", ""))), IF(OR(L793="", L793=""), "[Aviso] Género no capturado ()", IF(ISNA(MATCH(L793, Criterios!$B$123:$B$127, 0)), "Género no válido", "")), IF(OR(N793="", N793=""), "[Aviso] Temporada no capturada ()", IF(ISNA(MATCH(N793, Criterios!$C$123:$C$128, 0)), "Temporada no válida", "")), IF(OR(O793="", O793=""), "[Aviso] Ciclo de vida no capturado ()", IF(ISNA(MATCH(O793, Criterios!$D$123:$D$124, 0)), "Ciclo de vida no válido", ""))))</f>
        <v/>
      </c>
      <c r="AC793" s="56" t="n"/>
      <c r="AD793" s="51" t="n">
        <v>2</v>
      </c>
      <c r="AE793" s="156" t="inlineStr">
        <is>
          <t>STETSON AMERICAS (1); B25 STETSON.MX (1)</t>
        </is>
      </c>
      <c r="AF793" s="51" t="n">
        <v>2</v>
      </c>
      <c r="AG793" s="156" t="inlineStr">
        <is>
          <t>Catálogo existente</t>
        </is>
      </c>
      <c r="AH793" s="156" t="inlineStr">
        <is>
          <t>Revisión 29/09/2026: Talla fuente L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3" s="156" t="inlineStr">
        <is>
          <t>No</t>
        </is>
      </c>
      <c r="AJ793" s="156" t="n"/>
      <c r="AK793" s="155" t="inlineStr">
        <is>
          <t>Criterios: I [Q] | Shopify Stetson: producto 15056329965931 / variante 53357914980715 | Odoo: producto 19401 / plantilla 23888</t>
        </is>
      </c>
      <c r="AL793" s="58" t="n">
        <v>1732.5</v>
      </c>
      <c r="AM793" s="58" t="n">
        <v>4224.137931</v>
      </c>
      <c r="AN793" s="155" t="inlineStr">
        <is>
          <t>Shopify Stetson México | Odoo Universal Unique Brands</t>
        </is>
      </c>
      <c r="AO793" s="59" t="n">
        <v>3</v>
      </c>
      <c r="AP793" s="59" t="n"/>
      <c r="AQ793" s="59" t="n">
        <v>2</v>
      </c>
      <c r="AR793" s="155" t="inlineStr">
        <is>
          <t>Shopify Stetson México › Stetson México: 1 | Shopify Stetson México › Stetson Americas: 2 | Odoo Universal Unique Brands › Bodega 25 › Bodega 25/General: 2</t>
        </is>
      </c>
    </row>
    <row r="794">
      <c r="A794" s="50" t="inlineStr">
        <is>
          <t>195556050798</t>
        </is>
      </c>
      <c r="B794" s="51" t="inlineStr">
        <is>
          <t>110501</t>
        </is>
      </c>
      <c r="C794" s="156" t="inlineStr">
        <is>
          <t>Multimarca</t>
        </is>
      </c>
      <c r="D794" s="156" t="inlineStr">
        <is>
          <t>XWNGSKS104078</t>
        </is>
      </c>
      <c r="E794" s="156" t="inlineStr">
        <is>
          <t>XWNGSKS104078M0</t>
        </is>
      </c>
      <c r="F794" s="156" t="inlineStr">
        <is>
          <t>M</t>
        </is>
      </c>
      <c r="G794" s="156" t="inlineStr">
        <is>
          <t>M</t>
        </is>
      </c>
      <c r="H794" s="156" t="inlineStr">
        <is>
          <t>Stetson</t>
        </is>
      </c>
      <c r="I794" s="156" t="inlineStr">
        <is>
          <t>Texana Stetson Night Sky S Verde Azulado</t>
        </is>
      </c>
      <c r="J794" s="156" t="inlineStr">
        <is>
          <t>Accesorios</t>
        </is>
      </c>
      <c r="K794" s="156" t="inlineStr">
        <is>
          <t>Sombreros</t>
        </is>
      </c>
      <c r="L794" s="156" t="inlineStr">
        <is>
          <t>Unisex</t>
        </is>
      </c>
      <c r="M794" s="156" t="inlineStr">
        <is>
          <t>Stetson</t>
        </is>
      </c>
      <c r="N794" s="156" t="inlineStr">
        <is>
          <t>SS26</t>
        </is>
      </c>
      <c r="O794" s="156" t="inlineStr">
        <is>
          <t>Seasonal</t>
        </is>
      </c>
      <c r="P794" s="156" t="inlineStr">
        <is>
          <t>Azul</t>
        </is>
      </c>
      <c r="Q794" s="156" t="n"/>
      <c r="R794" s="156" t="n"/>
      <c r="S794" s="156" t="inlineStr">
        <is>
          <t>100% Fieltro de lana</t>
        </is>
      </c>
      <c r="T794" s="156" t="inlineStr">
        <is>
          <t>Texana Stetson Night Sky S Verde Azulado.
 Composición: 100% Fieltro de lana.
 Color: Verde azulado.</t>
        </is>
      </c>
      <c r="U794" s="156" t="n"/>
      <c r="V794" s="156" t="inlineStr">
        <is>
          <t>PZS</t>
        </is>
      </c>
      <c r="W794" s="51" t="inlineStr">
        <is>
          <t>53102503</t>
        </is>
      </c>
      <c r="X794" s="156" t="n"/>
      <c r="Y794" s="54" t="n">
        <v>1732.5</v>
      </c>
      <c r="Z794" s="54" t="n">
        <v>4224.137931</v>
      </c>
      <c r="AA794" s="55">
        <f>IF(AND(A794="", B794="", E794=""), "", IF(AB794="", "Válido", IF((LEN(AB794)-LEN(SUBSTITUTE(AB794,"; ","")))/2+1&gt;(LEN(AB794)-LEN(SUBSTITUTE(AB794,"[Aviso]","")))/7, "Con Incidencias", "Válido")))</f>
        <v/>
      </c>
      <c r="AB794" s="56">
        <f>IF(AND(A794="", B794="", E794=""), "", TEXTJOIN("; ", TRUE, IF(OR(TRIM(A794&amp;"")="", ISNUMBER(SEARCH("FALTA", A794))), "UPC faltante/inválido", ""), IF(AND(A794&lt;&gt;"", IFERROR(_xlfn.XMATCH(A794,$A$2:$A$2509,0,1)&lt;&gt;_xlfn.XMATCH(A794,$A$2:$A$2509,0,-1),FALSE)), "Código de barras duplicado", ""), IF(AND(E794&lt;&gt;"", COUNTIF($E$2:$E$2509, E794)&gt;1), "SKU duplicado", ""), IF(OR(J794="", J794=""), "[Aviso] División no capturada ()", IF(ISNA(MATCH(J794, Criterios!$A$123:$A$126, 0)), "División no válida", "")), IF(OR(K794="", K794=""), "[Aviso] Categoría no capturada ()", IF(ISNA(MATCH(K794, Criterios!$A$81:$A$120, 0)), "Categoría no válida", IF(AND(J794&lt;&gt;"", J794&lt;&gt;"", J794&lt;&gt;VLOOKUP(K794, Criterios!$A$81:$B$120, 2, FALSE)), "División no coincide con Categoría", ""))), IF(OR(L794="", L794=""), "[Aviso] Género no capturado ()", IF(ISNA(MATCH(L794, Criterios!$B$123:$B$127, 0)), "Género no válido", "")), IF(OR(N794="", N794=""), "[Aviso] Temporada no capturada ()", IF(ISNA(MATCH(N794, Criterios!$C$123:$C$128, 0)), "Temporada no válida", "")), IF(OR(O794="", O794=""), "[Aviso] Ciclo de vida no capturado ()", IF(ISNA(MATCH(O794, Criterios!$D$123:$D$124, 0)), "Ciclo de vida no válido", ""))))</f>
        <v/>
      </c>
      <c r="AC794" s="56" t="n"/>
      <c r="AD794" s="51" t="n">
        <v>1</v>
      </c>
      <c r="AE794" s="156" t="inlineStr">
        <is>
          <t>B25 STETSON.MX (1)</t>
        </is>
      </c>
      <c r="AF794" s="51" t="n">
        <v>1</v>
      </c>
      <c r="AG794" s="156" t="inlineStr">
        <is>
          <t>Catálogo existente</t>
        </is>
      </c>
      <c r="AH794" s="156" t="inlineStr">
        <is>
          <t>Revisión 29/09/2026: Talla fuente M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4" s="156" t="inlineStr">
        <is>
          <t>No</t>
        </is>
      </c>
      <c r="AJ794" s="156" t="n"/>
      <c r="AK794" s="155" t="inlineStr">
        <is>
          <t>Criterios: I [Q] | Shopify Stetson: producto 15056329965931 / variante 53357914947947 | Odoo: producto 19400 / plantilla 23887</t>
        </is>
      </c>
      <c r="AL794" s="58" t="n">
        <v>1732.5</v>
      </c>
      <c r="AM794" s="58" t="n">
        <v>4224.137931</v>
      </c>
      <c r="AN794" s="155" t="inlineStr">
        <is>
          <t>Shopify Stetson México | Odoo Universal Unique Brands</t>
        </is>
      </c>
      <c r="AO794" s="59" t="n">
        <v>2</v>
      </c>
      <c r="AP794" s="59" t="n"/>
      <c r="AQ794" s="59" t="n">
        <v>2</v>
      </c>
      <c r="AR794" s="155" t="inlineStr">
        <is>
          <t>Shopify Stetson México › Stetson México: 1 | Shopify Stetson México › Stetson Americas: 1 | Odoo Universal Unique Brands › Bodega 25 › Bodega 25/General: 2</t>
        </is>
      </c>
    </row>
    <row r="795">
      <c r="A795" s="50" t="inlineStr">
        <is>
          <t>195556050804</t>
        </is>
      </c>
      <c r="B795" s="51" t="inlineStr">
        <is>
          <t>110502</t>
        </is>
      </c>
      <c r="C795" s="156" t="inlineStr">
        <is>
          <t>Multimarca</t>
        </is>
      </c>
      <c r="D795" s="156" t="inlineStr">
        <is>
          <t>XWNGSKS104078</t>
        </is>
      </c>
      <c r="E795" s="156" t="inlineStr">
        <is>
          <t>XWNGSKS104078S0</t>
        </is>
      </c>
      <c r="F795" s="156" t="inlineStr">
        <is>
          <t>S</t>
        </is>
      </c>
      <c r="G795" s="156" t="inlineStr">
        <is>
          <t>S</t>
        </is>
      </c>
      <c r="H795" s="156" t="inlineStr">
        <is>
          <t>Stetson</t>
        </is>
      </c>
      <c r="I795" s="156" t="inlineStr">
        <is>
          <t>Texana Stetson Night Sky S Verde Azulado</t>
        </is>
      </c>
      <c r="J795" s="156" t="inlineStr">
        <is>
          <t>Accesorios</t>
        </is>
      </c>
      <c r="K795" s="156" t="inlineStr">
        <is>
          <t>Sombreros</t>
        </is>
      </c>
      <c r="L795" s="156" t="inlineStr">
        <is>
          <t>Unisex</t>
        </is>
      </c>
      <c r="M795" s="156" t="inlineStr">
        <is>
          <t>Stetson</t>
        </is>
      </c>
      <c r="N795" s="156" t="inlineStr">
        <is>
          <t>SS26</t>
        </is>
      </c>
      <c r="O795" s="156" t="inlineStr">
        <is>
          <t>Seasonal</t>
        </is>
      </c>
      <c r="P795" s="156" t="inlineStr">
        <is>
          <t>Azul</t>
        </is>
      </c>
      <c r="Q795" s="156" t="n"/>
      <c r="R795" s="156" t="n"/>
      <c r="S795" s="156" t="inlineStr">
        <is>
          <t>100% Fieltro de lana</t>
        </is>
      </c>
      <c r="T795" s="156" t="inlineStr">
        <is>
          <t>Texana Stetson Night Sky S Verde Azulado.
 Composición: 100% Fieltro de lana.
 Color: Verde azulado.</t>
        </is>
      </c>
      <c r="U795" s="156" t="n"/>
      <c r="V795" s="156" t="inlineStr">
        <is>
          <t>PZS</t>
        </is>
      </c>
      <c r="W795" s="51" t="inlineStr">
        <is>
          <t>53102503</t>
        </is>
      </c>
      <c r="X795" s="156" t="n"/>
      <c r="Y795" s="54" t="n">
        <v>1732.5</v>
      </c>
      <c r="Z795" s="54" t="n">
        <v>4224.137931</v>
      </c>
      <c r="AA795" s="55">
        <f>IF(AND(A795="", B795="", E795=""), "", IF(AB795="", "Válido", IF((LEN(AB795)-LEN(SUBSTITUTE(AB795,"; ","")))/2+1&gt;(LEN(AB795)-LEN(SUBSTITUTE(AB795,"[Aviso]","")))/7, "Con Incidencias", "Válido")))</f>
        <v/>
      </c>
      <c r="AB795" s="56">
        <f>IF(AND(A795="", B795="", E795=""), "", TEXTJOIN("; ", TRUE, IF(OR(TRIM(A795&amp;"")="", ISNUMBER(SEARCH("FALTA", A795))), "UPC faltante/inválido", ""), IF(AND(A795&lt;&gt;"", IFERROR(_xlfn.XMATCH(A795,$A$2:$A$2509,0,1)&lt;&gt;_xlfn.XMATCH(A795,$A$2:$A$2509,0,-1),FALSE)), "Código de barras duplicado", ""), IF(AND(E795&lt;&gt;"", COUNTIF($E$2:$E$2509, E795)&gt;1), "SKU duplicado", ""), IF(OR(J795="", J795=""), "[Aviso] División no capturada ()", IF(ISNA(MATCH(J795, Criterios!$A$123:$A$126, 0)), "División no válida", "")), IF(OR(K795="", K795=""), "[Aviso] Categoría no capturada ()", IF(ISNA(MATCH(K795, Criterios!$A$81:$A$120, 0)), "Categoría no válida", IF(AND(J795&lt;&gt;"", J795&lt;&gt;"", J795&lt;&gt;VLOOKUP(K795, Criterios!$A$81:$B$120, 2, FALSE)), "División no coincide con Categoría", ""))), IF(OR(L795="", L795=""), "[Aviso] Género no capturado ()", IF(ISNA(MATCH(L795, Criterios!$B$123:$B$127, 0)), "Género no válido", "")), IF(OR(N795="", N795=""), "[Aviso] Temporada no capturada ()", IF(ISNA(MATCH(N795, Criterios!$C$123:$C$128, 0)), "Temporada no válida", "")), IF(OR(O795="", O795=""), "[Aviso] Ciclo de vida no capturado ()", IF(ISNA(MATCH(O795, Criterios!$D$123:$D$124, 0)), "Ciclo de vida no válido", ""))))</f>
        <v/>
      </c>
      <c r="AC795" s="56" t="n"/>
      <c r="AD795" s="51" t="n">
        <v>0</v>
      </c>
      <c r="AE795" s="156" t="n"/>
      <c r="AF795" s="51" t="n">
        <v>0</v>
      </c>
      <c r="AG795" s="156" t="inlineStr">
        <is>
          <t>Catálogo existente</t>
        </is>
      </c>
      <c r="AH795" s="156" t="inlineStr">
        <is>
          <t>Revisión 29/09/2026: Talla fuente S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5" s="156" t="inlineStr">
        <is>
          <t>No</t>
        </is>
      </c>
      <c r="AJ795" s="156" t="n"/>
      <c r="AK795" s="155" t="inlineStr">
        <is>
          <t>Criterios: I [Q] | Shopify Stetson: producto 15056329965931 / variante 53357914915179 | Odoo: producto 19399 / plantilla 23886</t>
        </is>
      </c>
      <c r="AL795" s="58" t="n">
        <v>1732.5</v>
      </c>
      <c r="AM795" s="58" t="n">
        <v>4224.137931</v>
      </c>
      <c r="AN795" s="155" t="inlineStr">
        <is>
          <t>Shopify Stetson México | Odoo Universal Unique Brands</t>
        </is>
      </c>
      <c r="AO795" s="59" t="n">
        <v>1</v>
      </c>
      <c r="AP795" s="59" t="n"/>
      <c r="AQ795" s="59" t="n">
        <v>1</v>
      </c>
      <c r="AR795" s="155" t="inlineStr">
        <is>
          <t>Shopify Stetson México › Stetson Americas: 1 | Odoo Universal Unique Brands › Bodega 25 › Bodega 25/General: 1</t>
        </is>
      </c>
    </row>
    <row r="796">
      <c r="A796" s="50" t="inlineStr">
        <is>
          <t>195556050811</t>
        </is>
      </c>
      <c r="B796" s="51" t="inlineStr">
        <is>
          <t>110503</t>
        </is>
      </c>
      <c r="C796" s="156" t="inlineStr">
        <is>
          <t>Multimarca</t>
        </is>
      </c>
      <c r="D796" s="156" t="inlineStr">
        <is>
          <t>XWNGSKS104078</t>
        </is>
      </c>
      <c r="E796" s="156" t="inlineStr">
        <is>
          <t>XWNGSKS104078XL</t>
        </is>
      </c>
      <c r="F796" s="156" t="inlineStr">
        <is>
          <t>XL</t>
        </is>
      </c>
      <c r="G796" s="156" t="inlineStr">
        <is>
          <t>XL</t>
        </is>
      </c>
      <c r="H796" s="156" t="inlineStr">
        <is>
          <t>Stetson</t>
        </is>
      </c>
      <c r="I796" s="156" t="inlineStr">
        <is>
          <t>Texana Stetson Night Sky S Verde Azulado</t>
        </is>
      </c>
      <c r="J796" s="156" t="inlineStr">
        <is>
          <t>Accesorios</t>
        </is>
      </c>
      <c r="K796" s="156" t="inlineStr">
        <is>
          <t>Sombreros</t>
        </is>
      </c>
      <c r="L796" s="156" t="inlineStr">
        <is>
          <t>Unisex</t>
        </is>
      </c>
      <c r="M796" s="156" t="inlineStr">
        <is>
          <t>Stetson</t>
        </is>
      </c>
      <c r="N796" s="156" t="inlineStr">
        <is>
          <t>SS26</t>
        </is>
      </c>
      <c r="O796" s="156" t="inlineStr">
        <is>
          <t>Seasonal</t>
        </is>
      </c>
      <c r="P796" s="156" t="inlineStr">
        <is>
          <t>Azul</t>
        </is>
      </c>
      <c r="Q796" s="156" t="n"/>
      <c r="R796" s="156" t="n"/>
      <c r="S796" s="156" t="inlineStr">
        <is>
          <t>100% Fieltro de lana</t>
        </is>
      </c>
      <c r="T796" s="156" t="inlineStr">
        <is>
          <t>Texana Stetson Night Sky S Verde Azulado.
 Composición: 100% Fieltro de lana.
 Color: Verde azulado.</t>
        </is>
      </c>
      <c r="U796" s="156" t="n"/>
      <c r="V796" s="156" t="inlineStr">
        <is>
          <t>PZS</t>
        </is>
      </c>
      <c r="W796" s="51" t="inlineStr">
        <is>
          <t>53102503</t>
        </is>
      </c>
      <c r="X796" s="156" t="n"/>
      <c r="Y796" s="54" t="n">
        <v>1732.5</v>
      </c>
      <c r="Z796" s="54" t="n">
        <v>4224.137931</v>
      </c>
      <c r="AA796" s="55">
        <f>IF(AND(A796="", B796="", E796=""), "", IF(AB796="", "Válido", IF((LEN(AB796)-LEN(SUBSTITUTE(AB796,"; ","")))/2+1&gt;(LEN(AB796)-LEN(SUBSTITUTE(AB796,"[Aviso]","")))/7, "Con Incidencias", "Válido")))</f>
        <v/>
      </c>
      <c r="AB796" s="56">
        <f>IF(AND(A796="", B796="", E796=""), "", TEXTJOIN("; ", TRUE, IF(OR(TRIM(A796&amp;"")="", ISNUMBER(SEARCH("FALTA", A796))), "UPC faltante/inválido", ""), IF(AND(A796&lt;&gt;"", IFERROR(_xlfn.XMATCH(A796,$A$2:$A$2509,0,1)&lt;&gt;_xlfn.XMATCH(A796,$A$2:$A$2509,0,-1),FALSE)), "Código de barras duplicado", ""), IF(AND(E796&lt;&gt;"", COUNTIF($E$2:$E$2509, E796)&gt;1), "SKU duplicado", ""), IF(OR(J796="", J796=""), "[Aviso] División no capturada ()", IF(ISNA(MATCH(J796, Criterios!$A$123:$A$126, 0)), "División no válida", "")), IF(OR(K796="", K796=""), "[Aviso] Categoría no capturada ()", IF(ISNA(MATCH(K796, Criterios!$A$81:$A$120, 0)), "Categoría no válida", IF(AND(J796&lt;&gt;"", J796&lt;&gt;"", J796&lt;&gt;VLOOKUP(K796, Criterios!$A$81:$B$120, 2, FALSE)), "División no coincide con Categoría", ""))), IF(OR(L796="", L796=""), "[Aviso] Género no capturado ()", IF(ISNA(MATCH(L796, Criterios!$B$123:$B$127, 0)), "Género no válido", "")), IF(OR(N796="", N796=""), "[Aviso] Temporada no capturada ()", IF(ISNA(MATCH(N796, Criterios!$C$123:$C$128, 0)), "Temporada no válida", "")), IF(OR(O796="", O796=""), "[Aviso] Ciclo de vida no capturado ()", IF(ISNA(MATCH(O796, Criterios!$D$123:$D$124, 0)), "Ciclo de vida no válido", ""))))</f>
        <v/>
      </c>
      <c r="AC796" s="56" t="n"/>
      <c r="AD796" s="51" t="n">
        <v>0</v>
      </c>
      <c r="AE796" s="156" t="n"/>
      <c r="AF796" s="51" t="n">
        <v>0</v>
      </c>
      <c r="AG796" s="156" t="inlineStr">
        <is>
          <t>Catálogo existente</t>
        </is>
      </c>
      <c r="AH796" s="156" t="inlineStr">
        <is>
          <t>Revisión 29/09/2026: Talla fuente XL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6" s="156" t="inlineStr">
        <is>
          <t>No</t>
        </is>
      </c>
      <c r="AJ796" s="156" t="n"/>
      <c r="AK796" s="155" t="inlineStr">
        <is>
          <t>Criterios: I [Q] | Shopify Stetson: producto 15056329965931 / variante 53357915013483 | Odoo: producto 19402 / plantilla 23889</t>
        </is>
      </c>
      <c r="AL796" s="58" t="n">
        <v>1732.5</v>
      </c>
      <c r="AM796" s="58" t="n">
        <v>4224.137931</v>
      </c>
      <c r="AN796" s="155" t="inlineStr">
        <is>
          <t>Shopify Stetson México | Odoo Universal Unique Brands</t>
        </is>
      </c>
      <c r="AO796" s="59" t="n">
        <v>1</v>
      </c>
      <c r="AP796" s="59" t="n"/>
      <c r="AQ796" s="59" t="n">
        <v>1</v>
      </c>
      <c r="AR796" s="155" t="inlineStr">
        <is>
          <t>Shopify Stetson México › Stetson Americas: 1 | Odoo Universal Unique Brands › Bodega 25 › Bodega 25/General: 1</t>
        </is>
      </c>
    </row>
    <row r="797">
      <c r="A797" s="50" t="inlineStr">
        <is>
          <t>195556084830</t>
        </is>
      </c>
      <c r="B797" s="51" t="inlineStr">
        <is>
          <t>117397</t>
        </is>
      </c>
      <c r="C797" s="156" t="inlineStr">
        <is>
          <t>Multimarca</t>
        </is>
      </c>
      <c r="D797" s="156" t="inlineStr">
        <is>
          <t>TWBOZE-813085</t>
        </is>
      </c>
      <c r="E797" s="156" t="inlineStr">
        <is>
          <t>TWBOZE-813085L0</t>
        </is>
      </c>
      <c r="F797" s="156" t="inlineStr">
        <is>
          <t>L</t>
        </is>
      </c>
      <c r="G797" s="156" t="inlineStr">
        <is>
          <t>L</t>
        </is>
      </c>
      <c r="H797" s="156" t="inlineStr">
        <is>
          <t>Stetson</t>
        </is>
      </c>
      <c r="I797" s="156" t="inlineStr">
        <is>
          <t>Texana Stetson Bozeman Negro</t>
        </is>
      </c>
      <c r="J797" s="156" t="inlineStr">
        <is>
          <t>Accesorios</t>
        </is>
      </c>
      <c r="K797" s="156" t="inlineStr">
        <is>
          <t>Sombreros</t>
        </is>
      </c>
      <c r="L797" s="156" t="inlineStr">
        <is>
          <t>Unisex</t>
        </is>
      </c>
      <c r="M797" s="156" t="inlineStr">
        <is>
          <t>Stetson</t>
        </is>
      </c>
      <c r="N797" s="156" t="inlineStr">
        <is>
          <t>FW26</t>
        </is>
      </c>
      <c r="O797" s="156" t="inlineStr">
        <is>
          <t>Seasonal</t>
        </is>
      </c>
      <c r="P797" s="156" t="inlineStr">
        <is>
          <t>Negro</t>
        </is>
      </c>
      <c r="Q797" s="156" t="n"/>
      <c r="R797" s="156" t="inlineStr">
        <is>
          <t>Copa Pinch Front</t>
        </is>
      </c>
      <c r="S797" s="156" t="inlineStr">
        <is>
          <t>Mezcla de lana</t>
        </is>
      </c>
      <c r="T797"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Acero (color oficial Stetson: Steel)
 Material: 100% lana repelente al agua
 Fabricación: Hecho a mano en EE. UU.</t>
        </is>
      </c>
      <c r="U797" s="156" t="inlineStr">
        <is>
          <t>Estados Unidos</t>
        </is>
      </c>
      <c r="V797" s="156" t="inlineStr">
        <is>
          <t>PZS</t>
        </is>
      </c>
      <c r="W797" s="51" t="inlineStr">
        <is>
          <t>53102503</t>
        </is>
      </c>
      <c r="X797" s="156" t="inlineStr">
        <is>
          <t>https://cdn.shopify.com/s/files/1/0357/2432/9005/files/TWBOZE-8130-85_Steel_1.jpg?v=1783508150</t>
        </is>
      </c>
      <c r="Y797" s="54" t="n">
        <v>1102.5</v>
      </c>
      <c r="Z797" s="54" t="n">
        <v>2672.413793</v>
      </c>
      <c r="AA797" s="55">
        <f>IF(AND(A797="", B797="", E797=""), "", IF(AB797="", "Válido", IF((LEN(AB797)-LEN(SUBSTITUTE(AB797,"; ","")))/2+1&gt;(LEN(AB797)-LEN(SUBSTITUTE(AB797,"[Aviso]","")))/7, "Con Incidencias", "Válido")))</f>
        <v/>
      </c>
      <c r="AB797" s="56">
        <f>IF(AND(A797="", B797="", E797=""), "", TEXTJOIN("; ", TRUE, IF(OR(TRIM(A797&amp;"")="", ISNUMBER(SEARCH("FALTA", A797))), "UPC faltante/inválido", ""), IF(AND(A797&lt;&gt;"", IFERROR(_xlfn.XMATCH(A797,$A$2:$A$2509,0,1)&lt;&gt;_xlfn.XMATCH(A797,$A$2:$A$2509,0,-1),FALSE)), "Código de barras duplicado", ""), IF(AND(E797&lt;&gt;"", COUNTIF($E$2:$E$2509, E797)&gt;1), "SKU duplicado", ""), IF(OR(J797="", J797=""), "[Aviso] División no capturada ()", IF(ISNA(MATCH(J797, Criterios!$A$123:$A$126, 0)), "División no válida", "")), IF(OR(K797="", K797=""), "[Aviso] Categoría no capturada ()", IF(ISNA(MATCH(K797, Criterios!$A$81:$A$120, 0)), "Categoría no válida", IF(AND(J797&lt;&gt;"", J797&lt;&gt;"", J797&lt;&gt;VLOOKUP(K797, Criterios!$A$81:$B$120, 2, FALSE)), "División no coincide con Categoría", ""))), IF(OR(L797="", L797=""), "[Aviso] Género no capturado ()", IF(ISNA(MATCH(L797, Criterios!$B$123:$B$127, 0)), "Género no válido", "")), IF(OR(N797="", N797=""), "[Aviso] Temporada no capturada ()", IF(ISNA(MATCH(N797, Criterios!$C$123:$C$128, 0)), "Temporada no válida", "")), IF(OR(O797="", O797=""), "[Aviso] Ciclo de vida no capturado ()", IF(ISNA(MATCH(O797, Criterios!$D$123:$D$124, 0)), "Ciclo de vida no válido", ""))))</f>
        <v/>
      </c>
      <c r="AC797" s="56" t="n"/>
      <c r="AD797" s="51" t="n">
        <v>-1</v>
      </c>
      <c r="AE797" s="156" t="inlineStr">
        <is>
          <t>STETSON AMERICAS (1)</t>
        </is>
      </c>
      <c r="AF797" s="51" t="n">
        <v>1</v>
      </c>
      <c r="AG797" s="156" t="inlineStr">
        <is>
          <t>Catálogo existente</t>
        </is>
      </c>
      <c r="AH797" s="156" t="inlineStr">
        <is>
          <t>Stock negativo en sistema: revisar en conteo | 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«https://cdn.shopify.com/s/files/1/0357/2432/9005/files/TWBOZE-8130-85_Steel_1.jpg?v=1783508150» (Completado por investigación en línea)</t>
        </is>
      </c>
      <c r="AI797" s="156" t="inlineStr">
        <is>
          <t>Sí</t>
        </is>
      </c>
      <c r="AJ797" s="156" t="inlineStr">
        <is>
          <t>B25 CEDIS (-1); PUNTO DE VENTA (-1)</t>
        </is>
      </c>
      <c r="AK797" s="155" t="inlineStr">
        <is>
          <t>Criterios: I [Q] | Shopify Stetson: producto 15227650376043 / variante 53791839093099 | Investigación en línea 06/10/2026: https://www.stetson.com/products/bozeman-outdoor-hat-steel</t>
        </is>
      </c>
      <c r="AL797" s="58" t="n">
        <v>1102.5</v>
      </c>
      <c r="AM797" s="58" t="n">
        <v>2672.413793</v>
      </c>
      <c r="AN797" s="155" t="inlineStr">
        <is>
          <t>Shopify Stetson México</t>
        </is>
      </c>
      <c r="AO797" s="59" t="n">
        <v>1</v>
      </c>
      <c r="AP797" s="59" t="n"/>
      <c r="AQ797" s="59" t="n"/>
      <c r="AR797" s="155" t="inlineStr">
        <is>
          <t>Shopify Stetson México › Stetson Americas: 1</t>
        </is>
      </c>
    </row>
    <row r="798">
      <c r="A798" s="50" t="inlineStr">
        <is>
          <t>195556084847</t>
        </is>
      </c>
      <c r="B798" s="51" t="inlineStr">
        <is>
          <t>117398</t>
        </is>
      </c>
      <c r="C798" s="156" t="inlineStr">
        <is>
          <t>Multimarca</t>
        </is>
      </c>
      <c r="D798" s="156" t="inlineStr">
        <is>
          <t>TWBOZE-813085</t>
        </is>
      </c>
      <c r="E798" s="156" t="inlineStr">
        <is>
          <t>TWBOZE-813085M0</t>
        </is>
      </c>
      <c r="F798" s="156" t="inlineStr">
        <is>
          <t>M</t>
        </is>
      </c>
      <c r="G798" s="156" t="inlineStr">
        <is>
          <t>M</t>
        </is>
      </c>
      <c r="H798" s="156" t="inlineStr">
        <is>
          <t>Stetson</t>
        </is>
      </c>
      <c r="I798" s="156" t="inlineStr">
        <is>
          <t>Texana Stetson Bozeman Negro</t>
        </is>
      </c>
      <c r="J798" s="156" t="inlineStr">
        <is>
          <t>Accesorios</t>
        </is>
      </c>
      <c r="K798" s="156" t="inlineStr">
        <is>
          <t>Sombreros</t>
        </is>
      </c>
      <c r="L798" s="156" t="inlineStr">
        <is>
          <t>Unisex</t>
        </is>
      </c>
      <c r="M798" s="156" t="inlineStr">
        <is>
          <t>Stetson</t>
        </is>
      </c>
      <c r="N798" s="156" t="inlineStr">
        <is>
          <t>FW26</t>
        </is>
      </c>
      <c r="O798" s="156" t="inlineStr">
        <is>
          <t>Seasonal</t>
        </is>
      </c>
      <c r="P798" s="156" t="inlineStr">
        <is>
          <t>Negro</t>
        </is>
      </c>
      <c r="Q798" s="156" t="n"/>
      <c r="R798" s="156" t="inlineStr">
        <is>
          <t>Copa Pinch Front</t>
        </is>
      </c>
      <c r="S798" s="156" t="inlineStr">
        <is>
          <t>Mezcla de lana</t>
        </is>
      </c>
      <c r="T798"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Acero (color oficial Stetson: Steel)
 Material: 100% lana repelente al agua
 Fabricación: Hecho a mano en EE. UU.</t>
        </is>
      </c>
      <c r="U798" s="156" t="inlineStr">
        <is>
          <t>Estados Unidos</t>
        </is>
      </c>
      <c r="V798" s="156" t="inlineStr">
        <is>
          <t>PZS</t>
        </is>
      </c>
      <c r="W798" s="51" t="inlineStr">
        <is>
          <t>53102503</t>
        </is>
      </c>
      <c r="X798" s="156" t="inlineStr">
        <is>
          <t>https://cdn.shopify.com/s/files/1/0357/2432/9005/files/TWBOZE-8130-85_Steel_1.jpg?v=1783508150</t>
        </is>
      </c>
      <c r="Y798" s="54" t="n">
        <v>1102.5</v>
      </c>
      <c r="Z798" s="54" t="n">
        <v>2672.413793</v>
      </c>
      <c r="AA798" s="55">
        <f>IF(AND(A798="", B798="", E798=""), "", IF(AB798="", "Válido", IF((LEN(AB798)-LEN(SUBSTITUTE(AB798,"; ","")))/2+1&gt;(LEN(AB798)-LEN(SUBSTITUTE(AB798,"[Aviso]","")))/7, "Con Incidencias", "Válido")))</f>
        <v/>
      </c>
      <c r="AB798" s="56">
        <f>IF(AND(A798="", B798="", E798=""), "", TEXTJOIN("; ", TRUE, IF(OR(TRIM(A798&amp;"")="", ISNUMBER(SEARCH("FALTA", A798))), "UPC faltante/inválido", ""), IF(AND(A798&lt;&gt;"", IFERROR(_xlfn.XMATCH(A798,$A$2:$A$2509,0,1)&lt;&gt;_xlfn.XMATCH(A798,$A$2:$A$2509,0,-1),FALSE)), "Código de barras duplicado", ""), IF(AND(E798&lt;&gt;"", COUNTIF($E$2:$E$2509, E798)&gt;1), "SKU duplicado", ""), IF(OR(J798="", J798=""), "[Aviso] División no capturada ()", IF(ISNA(MATCH(J798, Criterios!$A$123:$A$126, 0)), "División no válida", "")), IF(OR(K798="", K798=""), "[Aviso] Categoría no capturada ()", IF(ISNA(MATCH(K798, Criterios!$A$81:$A$120, 0)), "Categoría no válida", IF(AND(J798&lt;&gt;"", J798&lt;&gt;"", J798&lt;&gt;VLOOKUP(K798, Criterios!$A$81:$B$120, 2, FALSE)), "División no coincide con Categoría", ""))), IF(OR(L798="", L798=""), "[Aviso] Género no capturado ()", IF(ISNA(MATCH(L798, Criterios!$B$123:$B$127, 0)), "Género no válido", "")), IF(OR(N798="", N798=""), "[Aviso] Temporada no capturada ()", IF(ISNA(MATCH(N798, Criterios!$C$123:$C$128, 0)), "Temporada no válida", "")), IF(OR(O798="", O798=""), "[Aviso] Ciclo de vida no capturado ()", IF(ISNA(MATCH(O798, Criterios!$D$123:$D$124, 0)), "Ciclo de vida no válido", ""))))</f>
        <v/>
      </c>
      <c r="AC798" s="56" t="n"/>
      <c r="AD798" s="51" t="n">
        <v>-1</v>
      </c>
      <c r="AE798" s="156" t="inlineStr">
        <is>
          <t>STETSON AMERICAS (1)</t>
        </is>
      </c>
      <c r="AF798" s="51" t="n">
        <v>1</v>
      </c>
      <c r="AG798" s="156" t="inlineStr">
        <is>
          <t>Catálogo existente</t>
        </is>
      </c>
      <c r="AH798"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«https://cdn.shopify.com/s/files/1/0357/2432/9005/files/TWBOZE-8130-85_Steel_1.jpg?v=1783508150» (Completado por investigación en línea)</t>
        </is>
      </c>
      <c r="AI798" s="156" t="inlineStr">
        <is>
          <t>Sí</t>
        </is>
      </c>
      <c r="AJ798" s="156" t="inlineStr">
        <is>
          <t>B25 CEDIS (-1); PUNTO DE VENTA (-1)</t>
        </is>
      </c>
      <c r="AK798" s="155" t="inlineStr">
        <is>
          <t>Criterios: I [Q] | Shopify Stetson: producto 15227650376043 / variante 53791839125867 | Investigación en línea 06/10/2026: https://www.stetson.com/products/bozeman-outdoor-hat-steel</t>
        </is>
      </c>
      <c r="AL798" s="58" t="n">
        <v>1102.5</v>
      </c>
      <c r="AM798" s="58" t="n">
        <v>2672.413793</v>
      </c>
      <c r="AN798" s="155" t="inlineStr">
        <is>
          <t>Shopify Stetson México</t>
        </is>
      </c>
      <c r="AO798" s="59" t="n">
        <v>1</v>
      </c>
      <c r="AP798" s="59" t="n"/>
      <c r="AQ798" s="59" t="n"/>
      <c r="AR798" s="155" t="inlineStr">
        <is>
          <t>Shopify Stetson México › Stetson Americas: 1</t>
        </is>
      </c>
    </row>
    <row r="799">
      <c r="A799" s="50" t="inlineStr">
        <is>
          <t>195556103555</t>
        </is>
      </c>
      <c r="B799" s="51" t="inlineStr">
        <is>
          <t>117342</t>
        </is>
      </c>
      <c r="C799" s="156" t="inlineStr">
        <is>
          <t>Multimarca</t>
        </is>
      </c>
      <c r="D799" s="156" t="inlineStr">
        <is>
          <t>SFGRFN-9142DU</t>
        </is>
      </c>
      <c r="E799" s="156" t="inlineStr">
        <is>
          <t>SFGRFN-9142DU70</t>
        </is>
      </c>
      <c r="F799" s="156" t="inlineStr">
        <is>
          <t>7</t>
        </is>
      </c>
      <c r="G799" s="156" t="inlineStr">
        <is>
          <t>7</t>
        </is>
      </c>
      <c r="H799" s="156" t="inlineStr">
        <is>
          <t>Stetson</t>
        </is>
      </c>
      <c r="I799" s="156" t="inlineStr">
        <is>
          <t>Texana Stetson Griffin 10X Beige</t>
        </is>
      </c>
      <c r="J799" s="156" t="inlineStr">
        <is>
          <t>Accesorios</t>
        </is>
      </c>
      <c r="K799" s="156" t="inlineStr">
        <is>
          <t>Sombreros</t>
        </is>
      </c>
      <c r="L799" s="156" t="inlineStr">
        <is>
          <t>Unisex</t>
        </is>
      </c>
      <c r="M799" s="156" t="inlineStr">
        <is>
          <t>Stetson</t>
        </is>
      </c>
      <c r="N799" s="156" t="inlineStr">
        <is>
          <t>FW26</t>
        </is>
      </c>
      <c r="O799" s="156" t="inlineStr">
        <is>
          <t>Seasonal</t>
        </is>
      </c>
      <c r="P799" s="156" t="inlineStr">
        <is>
          <t>Beige</t>
        </is>
      </c>
      <c r="Q799" s="156" t="n"/>
      <c r="R799" s="156" t="inlineStr">
        <is>
          <t>Copa Cattleman</t>
        </is>
      </c>
      <c r="S799" s="156" t="inlineStr">
        <is>
          <t>100% pelo de conejo</t>
        </is>
      </c>
      <c r="T799"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799" s="156" t="inlineStr">
        <is>
          <t>Estados Unidos</t>
        </is>
      </c>
      <c r="V799" s="156" t="inlineStr">
        <is>
          <t>PZS</t>
        </is>
      </c>
      <c r="W799" s="51" t="inlineStr">
        <is>
          <t>53102503</t>
        </is>
      </c>
      <c r="X799" s="156" t="inlineStr">
        <is>
          <t>https://cdn.shopify.com/s/files/1/0357/2432/9005/files/griffin-front.jpg?v=1730737441</t>
        </is>
      </c>
      <c r="Y799" s="54" t="n">
        <v>4725</v>
      </c>
      <c r="Z799" s="54" t="n">
        <v>11206.89655</v>
      </c>
      <c r="AA799" s="55">
        <f>IF(AND(A799="", B799="", E799=""), "", IF(AB799="", "Válido", IF((LEN(AB799)-LEN(SUBSTITUTE(AB799,"; ","")))/2+1&gt;(LEN(AB799)-LEN(SUBSTITUTE(AB799,"[Aviso]","")))/7, "Con Incidencias", "Válido")))</f>
        <v/>
      </c>
      <c r="AB799" s="56">
        <f>IF(AND(A799="", B799="", E799=""), "", TEXTJOIN("; ", TRUE, IF(OR(TRIM(A799&amp;"")="", ISNUMBER(SEARCH("FALTA", A799))), "UPC faltante/inválido", ""), IF(AND(A799&lt;&gt;"", IFERROR(_xlfn.XMATCH(A799,$A$2:$A$2509,0,1)&lt;&gt;_xlfn.XMATCH(A799,$A$2:$A$2509,0,-1),FALSE)), "Código de barras duplicado", ""), IF(AND(E799&lt;&gt;"", COUNTIF($E$2:$E$2509, E799)&gt;1), "SKU duplicado", ""), IF(OR(J799="", J799=""), "[Aviso] División no capturada ()", IF(ISNA(MATCH(J799, Criterios!$A$123:$A$126, 0)), "División no válida", "")), IF(OR(K799="", K799=""), "[Aviso] Categoría no capturada ()", IF(ISNA(MATCH(K799, Criterios!$A$81:$A$120, 0)), "Categoría no válida", IF(AND(J799&lt;&gt;"", J799&lt;&gt;"", J799&lt;&gt;VLOOKUP(K799, Criterios!$A$81:$B$120, 2, FALSE)), "División no coincide con Categoría", ""))), IF(OR(L799="", L799=""), "[Aviso] Género no capturado ()", IF(ISNA(MATCH(L799, Criterios!$B$123:$B$127, 0)), "Género no válido", "")), IF(OR(N799="", N799=""), "[Aviso] Temporada no capturada ()", IF(ISNA(MATCH(N799, Criterios!$C$123:$C$128, 0)), "Temporada no válida", "")), IF(OR(O799="", O799=""), "[Aviso] Ciclo de vida no capturado ()", IF(ISNA(MATCH(O799, Criterios!$D$123:$D$124, 0)), "Ciclo de vida no válido", ""))))</f>
        <v/>
      </c>
      <c r="AC799" s="56" t="n"/>
      <c r="AD799" s="51" t="n">
        <v>-1</v>
      </c>
      <c r="AE799" s="156" t="n"/>
      <c r="AF799" s="51" t="n">
        <v>0</v>
      </c>
      <c r="AG799" s="156" t="inlineStr">
        <is>
          <t>Catálogo existente</t>
        </is>
      </c>
      <c r="AH799"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799" s="156" t="inlineStr">
        <is>
          <t>Sí</t>
        </is>
      </c>
      <c r="AJ799" s="156" t="inlineStr">
        <is>
          <t>B25 CEDIS (-1)</t>
        </is>
      </c>
      <c r="AK799" s="155" t="inlineStr">
        <is>
          <t>Criterios: I [Q] | Shopify Stetson: producto 15227649622379 / variante 53791836504427 | Investigación en línea 06/10/2026: https://www.stetson.com/products/griffin-10x-premier-cowboy-hat-dunn</t>
        </is>
      </c>
      <c r="AL799" s="58" t="n">
        <v>4725</v>
      </c>
      <c r="AM799" s="58" t="n">
        <v>11206.89655</v>
      </c>
      <c r="AN799" s="155" t="inlineStr">
        <is>
          <t>Shopify Stetson México</t>
        </is>
      </c>
      <c r="AO799" s="59" t="n">
        <v>0</v>
      </c>
      <c r="AP799" s="59" t="n"/>
      <c r="AQ799" s="59" t="n"/>
      <c r="AR799" s="155" t="n"/>
    </row>
    <row r="800">
      <c r="A800" s="50" t="inlineStr">
        <is>
          <t>195556103562</t>
        </is>
      </c>
      <c r="B800" s="51" t="inlineStr">
        <is>
          <t>117343</t>
        </is>
      </c>
      <c r="C800" s="156" t="inlineStr">
        <is>
          <t>Multimarca</t>
        </is>
      </c>
      <c r="D800" s="156" t="inlineStr">
        <is>
          <t>SFGRFN-9142DU</t>
        </is>
      </c>
      <c r="E800" s="156" t="inlineStr">
        <is>
          <t>SFGRFN-9142DU71</t>
        </is>
      </c>
      <c r="F800" s="156" t="inlineStr">
        <is>
          <t>7 1/8</t>
        </is>
      </c>
      <c r="G800" s="156" t="inlineStr">
        <is>
          <t>7 1/8</t>
        </is>
      </c>
      <c r="H800" s="156" t="inlineStr">
        <is>
          <t>Stetson</t>
        </is>
      </c>
      <c r="I800" s="156" t="inlineStr">
        <is>
          <t>Texana Stetson Griffin 10X Beige</t>
        </is>
      </c>
      <c r="J800" s="156" t="inlineStr">
        <is>
          <t>Accesorios</t>
        </is>
      </c>
      <c r="K800" s="156" t="inlineStr">
        <is>
          <t>Sombreros</t>
        </is>
      </c>
      <c r="L800" s="156" t="inlineStr">
        <is>
          <t>Unisex</t>
        </is>
      </c>
      <c r="M800" s="156" t="inlineStr">
        <is>
          <t>Stetson</t>
        </is>
      </c>
      <c r="N800" s="156" t="inlineStr">
        <is>
          <t>FW26</t>
        </is>
      </c>
      <c r="O800" s="156" t="inlineStr">
        <is>
          <t>Seasonal</t>
        </is>
      </c>
      <c r="P800" s="156" t="inlineStr">
        <is>
          <t>Beige</t>
        </is>
      </c>
      <c r="Q800" s="156" t="n"/>
      <c r="R800" s="156" t="inlineStr">
        <is>
          <t>Copa Cattleman</t>
        </is>
      </c>
      <c r="S800" s="156" t="inlineStr">
        <is>
          <t>100% pelo de conejo</t>
        </is>
      </c>
      <c r="T800"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0" s="156" t="inlineStr">
        <is>
          <t>Estados Unidos</t>
        </is>
      </c>
      <c r="V800" s="156" t="inlineStr">
        <is>
          <t>PZS</t>
        </is>
      </c>
      <c r="W800" s="51" t="inlineStr">
        <is>
          <t>53102503</t>
        </is>
      </c>
      <c r="X800" s="156" t="inlineStr">
        <is>
          <t>https://cdn.shopify.com/s/files/1/0357/2432/9005/files/griffin-front.jpg?v=1730737441</t>
        </is>
      </c>
      <c r="Y800" s="54" t="n">
        <v>4725</v>
      </c>
      <c r="Z800" s="54" t="n">
        <v>11206.89655</v>
      </c>
      <c r="AA800" s="55">
        <f>IF(AND(A800="", B800="", E800=""), "", IF(AB800="", "Válido", IF((LEN(AB800)-LEN(SUBSTITUTE(AB800,"; ","")))/2+1&gt;(LEN(AB800)-LEN(SUBSTITUTE(AB800,"[Aviso]","")))/7, "Con Incidencias", "Válido")))</f>
        <v/>
      </c>
      <c r="AB800" s="56">
        <f>IF(AND(A800="", B800="", E800=""), "", TEXTJOIN("; ", TRUE, IF(OR(TRIM(A800&amp;"")="", ISNUMBER(SEARCH("FALTA", A800))), "UPC faltante/inválido", ""), IF(AND(A800&lt;&gt;"", IFERROR(_xlfn.XMATCH(A800,$A$2:$A$2509,0,1)&lt;&gt;_xlfn.XMATCH(A800,$A$2:$A$2509,0,-1),FALSE)), "Código de barras duplicado", ""), IF(AND(E800&lt;&gt;"", COUNTIF($E$2:$E$2509, E800)&gt;1), "SKU duplicado", ""), IF(OR(J800="", J800=""), "[Aviso] División no capturada ()", IF(ISNA(MATCH(J800, Criterios!$A$123:$A$126, 0)), "División no válida", "")), IF(OR(K800="", K800=""), "[Aviso] Categoría no capturada ()", IF(ISNA(MATCH(K800, Criterios!$A$81:$A$120, 0)), "Categoría no válida", IF(AND(J800&lt;&gt;"", J800&lt;&gt;"", J800&lt;&gt;VLOOKUP(K800, Criterios!$A$81:$B$120, 2, FALSE)), "División no coincide con Categoría", ""))), IF(OR(L800="", L800=""), "[Aviso] Género no capturado ()", IF(ISNA(MATCH(L800, Criterios!$B$123:$B$127, 0)), "Género no válido", "")), IF(OR(N800="", N800=""), "[Aviso] Temporada no capturada ()", IF(ISNA(MATCH(N800, Criterios!$C$123:$C$128, 0)), "Temporada no válida", "")), IF(OR(O800="", O800=""), "[Aviso] Ciclo de vida no capturado ()", IF(ISNA(MATCH(O800, Criterios!$D$123:$D$124, 0)), "Ciclo de vida no válido", ""))))</f>
        <v/>
      </c>
      <c r="AC800" s="56" t="n"/>
      <c r="AD800" s="51" t="n">
        <v>0</v>
      </c>
      <c r="AE800" s="156" t="inlineStr">
        <is>
          <t>STETSON AMERICAS (1)</t>
        </is>
      </c>
      <c r="AF800" s="51" t="n">
        <v>1</v>
      </c>
      <c r="AG800" s="156" t="inlineStr">
        <is>
          <t>Catálogo existente</t>
        </is>
      </c>
      <c r="AH800"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0" s="156" t="inlineStr">
        <is>
          <t>Sí</t>
        </is>
      </c>
      <c r="AJ800" s="156" t="inlineStr">
        <is>
          <t>B25 CEDIS (-1)</t>
        </is>
      </c>
      <c r="AK800" s="155" t="inlineStr">
        <is>
          <t>Criterios: I [Q] | Shopify Stetson: producto 15227649622379 / variante 53791836537195 | Investigación en línea 06/10/2026: https://www.stetson.com/products/griffin-10x-premier-cowboy-hat-dunn</t>
        </is>
      </c>
      <c r="AL800" s="58" t="n">
        <v>4725</v>
      </c>
      <c r="AM800" s="58" t="n">
        <v>11206.89655</v>
      </c>
      <c r="AN800" s="155" t="inlineStr">
        <is>
          <t>Shopify Stetson México</t>
        </is>
      </c>
      <c r="AO800" s="59" t="n">
        <v>0</v>
      </c>
      <c r="AP800" s="59" t="n"/>
      <c r="AQ800" s="59" t="n"/>
      <c r="AR800" s="155" t="n"/>
    </row>
    <row r="801">
      <c r="A801" s="50" t="inlineStr">
        <is>
          <t>195556103579</t>
        </is>
      </c>
      <c r="B801" s="51" t="inlineStr">
        <is>
          <t>117344</t>
        </is>
      </c>
      <c r="C801" s="156" t="inlineStr">
        <is>
          <t>Multimarca</t>
        </is>
      </c>
      <c r="D801" s="156" t="inlineStr">
        <is>
          <t>SFGRFN-9142DU</t>
        </is>
      </c>
      <c r="E801" s="156" t="inlineStr">
        <is>
          <t>SFGRFN-9142DU72</t>
        </is>
      </c>
      <c r="F801" s="156" t="inlineStr">
        <is>
          <t>7 1/4</t>
        </is>
      </c>
      <c r="G801" s="156" t="inlineStr">
        <is>
          <t>7 1/4</t>
        </is>
      </c>
      <c r="H801" s="156" t="inlineStr">
        <is>
          <t>Stetson</t>
        </is>
      </c>
      <c r="I801" s="156" t="inlineStr">
        <is>
          <t>Texana Stetson Griffin 10X Beige</t>
        </is>
      </c>
      <c r="J801" s="156" t="inlineStr">
        <is>
          <t>Accesorios</t>
        </is>
      </c>
      <c r="K801" s="156" t="inlineStr">
        <is>
          <t>Sombreros</t>
        </is>
      </c>
      <c r="L801" s="156" t="inlineStr">
        <is>
          <t>Unisex</t>
        </is>
      </c>
      <c r="M801" s="156" t="inlineStr">
        <is>
          <t>Stetson</t>
        </is>
      </c>
      <c r="N801" s="156" t="inlineStr">
        <is>
          <t>FW26</t>
        </is>
      </c>
      <c r="O801" s="156" t="inlineStr">
        <is>
          <t>Seasonal</t>
        </is>
      </c>
      <c r="P801" s="156" t="inlineStr">
        <is>
          <t>Beige</t>
        </is>
      </c>
      <c r="Q801" s="156" t="n"/>
      <c r="R801" s="156" t="inlineStr">
        <is>
          <t>Copa Cattleman</t>
        </is>
      </c>
      <c r="S801" s="156" t="inlineStr">
        <is>
          <t>100% pelo de conejo</t>
        </is>
      </c>
      <c r="T801"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1" s="156" t="inlineStr">
        <is>
          <t>Estados Unidos</t>
        </is>
      </c>
      <c r="V801" s="156" t="inlineStr">
        <is>
          <t>PZS</t>
        </is>
      </c>
      <c r="W801" s="51" t="inlineStr">
        <is>
          <t>53102503</t>
        </is>
      </c>
      <c r="X801" s="156" t="inlineStr">
        <is>
          <t>https://cdn.shopify.com/s/files/1/0357/2432/9005/files/griffin-front.jpg?v=1730737441</t>
        </is>
      </c>
      <c r="Y801" s="54" t="n">
        <v>4725</v>
      </c>
      <c r="Z801" s="54" t="n">
        <v>11206.89655</v>
      </c>
      <c r="AA801" s="55">
        <f>IF(AND(A801="", B801="", E801=""), "", IF(AB801="", "Válido", IF((LEN(AB801)-LEN(SUBSTITUTE(AB801,"; ","")))/2+1&gt;(LEN(AB801)-LEN(SUBSTITUTE(AB801,"[Aviso]","")))/7, "Con Incidencias", "Válido")))</f>
        <v/>
      </c>
      <c r="AB801" s="56">
        <f>IF(AND(A801="", B801="", E801=""), "", TEXTJOIN("; ", TRUE, IF(OR(TRIM(A801&amp;"")="", ISNUMBER(SEARCH("FALTA", A801))), "UPC faltante/inválido", ""), IF(AND(A801&lt;&gt;"", IFERROR(_xlfn.XMATCH(A801,$A$2:$A$2509,0,1)&lt;&gt;_xlfn.XMATCH(A801,$A$2:$A$2509,0,-1),FALSE)), "Código de barras duplicado", ""), IF(AND(E801&lt;&gt;"", COUNTIF($E$2:$E$2509, E801)&gt;1), "SKU duplicado", ""), IF(OR(J801="", J801=""), "[Aviso] División no capturada ()", IF(ISNA(MATCH(J801, Criterios!$A$123:$A$126, 0)), "División no válida", "")), IF(OR(K801="", K801=""), "[Aviso] Categoría no capturada ()", IF(ISNA(MATCH(K801, Criterios!$A$81:$A$120, 0)), "Categoría no válida", IF(AND(J801&lt;&gt;"", J801&lt;&gt;"", J801&lt;&gt;VLOOKUP(K801, Criterios!$A$81:$B$120, 2, FALSE)), "División no coincide con Categoría", ""))), IF(OR(L801="", L801=""), "[Aviso] Género no capturado ()", IF(ISNA(MATCH(L801, Criterios!$B$123:$B$127, 0)), "Género no válido", "")), IF(OR(N801="", N801=""), "[Aviso] Temporada no capturada ()", IF(ISNA(MATCH(N801, Criterios!$C$123:$C$128, 0)), "Temporada no válida", "")), IF(OR(O801="", O801=""), "[Aviso] Ciclo de vida no capturado ()", IF(ISNA(MATCH(O801, Criterios!$D$123:$D$124, 0)), "Ciclo de vida no válido", ""))))</f>
        <v/>
      </c>
      <c r="AC801" s="56" t="n"/>
      <c r="AD801" s="51" t="n">
        <v>-1</v>
      </c>
      <c r="AE801" s="156" t="n"/>
      <c r="AF801" s="51" t="n">
        <v>0</v>
      </c>
      <c r="AG801" s="156" t="inlineStr">
        <is>
          <t>Catálogo existente</t>
        </is>
      </c>
      <c r="AH801"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1" s="156" t="inlineStr">
        <is>
          <t>Sí</t>
        </is>
      </c>
      <c r="AJ801" s="156" t="inlineStr">
        <is>
          <t>B25 CEDIS (-1)</t>
        </is>
      </c>
      <c r="AK801" s="155" t="inlineStr">
        <is>
          <t>Criterios: I [Q] | Shopify Stetson: producto 15227649622379 / variante 53791836569963 | Investigación en línea 06/10/2026: https://www.stetson.com/products/griffin-10x-premier-cowboy-hat-dunn</t>
        </is>
      </c>
      <c r="AL801" s="58" t="n">
        <v>4725</v>
      </c>
      <c r="AM801" s="58" t="n">
        <v>11206.89655</v>
      </c>
      <c r="AN801" s="155" t="inlineStr">
        <is>
          <t>Shopify Stetson México</t>
        </is>
      </c>
      <c r="AO801" s="59" t="n">
        <v>0</v>
      </c>
      <c r="AP801" s="59" t="n"/>
      <c r="AQ801" s="59" t="n"/>
      <c r="AR801" s="155" t="n"/>
    </row>
    <row r="802">
      <c r="A802" s="50" t="inlineStr">
        <is>
          <t>195556103586</t>
        </is>
      </c>
      <c r="B802" s="51" t="inlineStr">
        <is>
          <t>117345</t>
        </is>
      </c>
      <c r="C802" s="156" t="inlineStr">
        <is>
          <t>Multimarca</t>
        </is>
      </c>
      <c r="D802" s="156" t="inlineStr">
        <is>
          <t>SFGRFN-9142DU</t>
        </is>
      </c>
      <c r="E802" s="156" t="inlineStr">
        <is>
          <t>SFGRFN-9142DU73</t>
        </is>
      </c>
      <c r="F802" s="156" t="inlineStr">
        <is>
          <t>7 3/8</t>
        </is>
      </c>
      <c r="G802" s="156" t="inlineStr">
        <is>
          <t>7 3/8</t>
        </is>
      </c>
      <c r="H802" s="156" t="inlineStr">
        <is>
          <t>Stetson</t>
        </is>
      </c>
      <c r="I802" s="156" t="inlineStr">
        <is>
          <t>Texana Stetson Griffin 10X Beige</t>
        </is>
      </c>
      <c r="J802" s="156" t="inlineStr">
        <is>
          <t>Accesorios</t>
        </is>
      </c>
      <c r="K802" s="156" t="inlineStr">
        <is>
          <t>Sombreros</t>
        </is>
      </c>
      <c r="L802" s="156" t="inlineStr">
        <is>
          <t>Unisex</t>
        </is>
      </c>
      <c r="M802" s="156" t="inlineStr">
        <is>
          <t>Stetson</t>
        </is>
      </c>
      <c r="N802" s="156" t="inlineStr">
        <is>
          <t>FW26</t>
        </is>
      </c>
      <c r="O802" s="156" t="inlineStr">
        <is>
          <t>Seasonal</t>
        </is>
      </c>
      <c r="P802" s="156" t="inlineStr">
        <is>
          <t>Beige</t>
        </is>
      </c>
      <c r="Q802" s="156" t="n"/>
      <c r="R802" s="156" t="inlineStr">
        <is>
          <t>Copa Cattleman</t>
        </is>
      </c>
      <c r="S802" s="156" t="inlineStr">
        <is>
          <t>100% pelo de conejo</t>
        </is>
      </c>
      <c r="T802"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2" s="156" t="inlineStr">
        <is>
          <t>Estados Unidos</t>
        </is>
      </c>
      <c r="V802" s="156" t="inlineStr">
        <is>
          <t>PZS</t>
        </is>
      </c>
      <c r="W802" s="51" t="inlineStr">
        <is>
          <t>53102503</t>
        </is>
      </c>
      <c r="X802" s="156" t="inlineStr">
        <is>
          <t>https://cdn.shopify.com/s/files/1/0357/2432/9005/files/griffin-front.jpg?v=1730737441</t>
        </is>
      </c>
      <c r="Y802" s="54" t="n">
        <v>4725</v>
      </c>
      <c r="Z802" s="54" t="n">
        <v>11206.89655</v>
      </c>
      <c r="AA802" s="55">
        <f>IF(AND(A802="", B802="", E802=""), "", IF(AB802="", "Válido", IF((LEN(AB802)-LEN(SUBSTITUTE(AB802,"; ","")))/2+1&gt;(LEN(AB802)-LEN(SUBSTITUTE(AB802,"[Aviso]","")))/7, "Con Incidencias", "Válido")))</f>
        <v/>
      </c>
      <c r="AB802" s="56">
        <f>IF(AND(A802="", B802="", E802=""), "", TEXTJOIN("; ", TRUE, IF(OR(TRIM(A802&amp;"")="", ISNUMBER(SEARCH("FALTA", A802))), "UPC faltante/inválido", ""), IF(AND(A802&lt;&gt;"", IFERROR(_xlfn.XMATCH(A802,$A$2:$A$2509,0,1)&lt;&gt;_xlfn.XMATCH(A802,$A$2:$A$2509,0,-1),FALSE)), "Código de barras duplicado", ""), IF(AND(E802&lt;&gt;"", COUNTIF($E$2:$E$2509, E802)&gt;1), "SKU duplicado", ""), IF(OR(J802="", J802=""), "[Aviso] División no capturada ()", IF(ISNA(MATCH(J802, Criterios!$A$123:$A$126, 0)), "División no válida", "")), IF(OR(K802="", K802=""), "[Aviso] Categoría no capturada ()", IF(ISNA(MATCH(K802, Criterios!$A$81:$A$120, 0)), "Categoría no válida", IF(AND(J802&lt;&gt;"", J802&lt;&gt;"", J802&lt;&gt;VLOOKUP(K802, Criterios!$A$81:$B$120, 2, FALSE)), "División no coincide con Categoría", ""))), IF(OR(L802="", L802=""), "[Aviso] Género no capturado ()", IF(ISNA(MATCH(L802, Criterios!$B$123:$B$127, 0)), "Género no válido", "")), IF(OR(N802="", N802=""), "[Aviso] Temporada no capturada ()", IF(ISNA(MATCH(N802, Criterios!$C$123:$C$128, 0)), "Temporada no válida", "")), IF(OR(O802="", O802=""), "[Aviso] Ciclo de vida no capturado ()", IF(ISNA(MATCH(O802, Criterios!$D$123:$D$124, 0)), "Ciclo de vida no válido", ""))))</f>
        <v/>
      </c>
      <c r="AC802" s="56" t="n"/>
      <c r="AD802" s="51" t="n">
        <v>0</v>
      </c>
      <c r="AE802" s="156" t="inlineStr">
        <is>
          <t>STETSON AMERICAS (1)</t>
        </is>
      </c>
      <c r="AF802" s="51" t="n">
        <v>1</v>
      </c>
      <c r="AG802" s="156" t="inlineStr">
        <is>
          <t>Catálogo existente</t>
        </is>
      </c>
      <c r="AH802"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2" s="156" t="inlineStr">
        <is>
          <t>Sí</t>
        </is>
      </c>
      <c r="AJ802" s="156" t="inlineStr">
        <is>
          <t>B25 CEDIS (-1)</t>
        </is>
      </c>
      <c r="AK802" s="155" t="inlineStr">
        <is>
          <t>Criterios: I [Q] | Shopify Stetson: producto 15227649622379 / variante 53791836602731 | Investigación en línea 06/10/2026: https://www.stetson.com/products/griffin-10x-premier-cowboy-hat-dunn</t>
        </is>
      </c>
      <c r="AL802" s="58" t="n">
        <v>4725</v>
      </c>
      <c r="AM802" s="58" t="n">
        <v>11206.89655</v>
      </c>
      <c r="AN802" s="155" t="inlineStr">
        <is>
          <t>Shopify Stetson México</t>
        </is>
      </c>
      <c r="AO802" s="59" t="n">
        <v>1</v>
      </c>
      <c r="AP802" s="59" t="n"/>
      <c r="AQ802" s="59" t="n"/>
      <c r="AR802" s="155" t="inlineStr">
        <is>
          <t>Shopify Stetson México › Stetson Americas: 1</t>
        </is>
      </c>
    </row>
    <row r="803">
      <c r="A803" s="50" t="inlineStr">
        <is>
          <t>195556103746</t>
        </is>
      </c>
      <c r="B803" s="51" t="inlineStr">
        <is>
          <t>110457</t>
        </is>
      </c>
      <c r="C803" s="156" t="inlineStr">
        <is>
          <t>Multimarca</t>
        </is>
      </c>
      <c r="D803" s="156" t="inlineStr">
        <is>
          <t>TWFLKL-FT34P5</t>
        </is>
      </c>
      <c r="E803" s="156" t="inlineStr">
        <is>
          <t>TWFLKL-FT34P5L0</t>
        </is>
      </c>
      <c r="F803" s="156" t="inlineStr">
        <is>
          <t>L</t>
        </is>
      </c>
      <c r="G803" s="156" t="inlineStr">
        <is>
          <t>L</t>
        </is>
      </c>
      <c r="H803" s="156" t="inlineStr">
        <is>
          <t>Stetson</t>
        </is>
      </c>
      <c r="I803" s="156" t="inlineStr">
        <is>
          <t>Texana Stetson Folklore Pecana</t>
        </is>
      </c>
      <c r="J803" s="156" t="inlineStr">
        <is>
          <t>Accesorios</t>
        </is>
      </c>
      <c r="K803" s="156" t="inlineStr">
        <is>
          <t>Sombreros</t>
        </is>
      </c>
      <c r="L803" s="156" t="inlineStr">
        <is>
          <t>Unisex</t>
        </is>
      </c>
      <c r="M803" s="156" t="inlineStr">
        <is>
          <t>Stetson</t>
        </is>
      </c>
      <c r="N803" s="156" t="inlineStr">
        <is>
          <t>SS26</t>
        </is>
      </c>
      <c r="O803" s="156" t="inlineStr">
        <is>
          <t>Seasonal</t>
        </is>
      </c>
      <c r="P803" s="156" t="inlineStr">
        <is>
          <t>Cafe</t>
        </is>
      </c>
      <c r="Q803" s="156" t="n"/>
      <c r="R803" s="156" t="n"/>
      <c r="S803" s="156" t="inlineStr">
        <is>
          <t>100% Fieltro de lana</t>
        </is>
      </c>
      <c r="T803" s="156" t="inlineStr">
        <is>
          <t>Texana Stetson Folklore Pecana</t>
        </is>
      </c>
      <c r="U803" s="156" t="n"/>
      <c r="V803" s="156" t="inlineStr">
        <is>
          <t>PZS</t>
        </is>
      </c>
      <c r="W803" s="51" t="inlineStr">
        <is>
          <t>53102503</t>
        </is>
      </c>
      <c r="X803" s="156" t="inlineStr">
        <is>
          <t>https://cdn.shopify.com/s/files/1/0357/2432/9005/files/TWFLKL-FT34-P5_Pecan_1.jpg?v=1725354521</t>
        </is>
      </c>
      <c r="Y803" s="54" t="n">
        <v>945</v>
      </c>
      <c r="Z803" s="54" t="n">
        <v>2284.482759</v>
      </c>
      <c r="AA803" s="55">
        <f>IF(AND(A803="", B803="", E803=""), "", IF(AB803="", "Válido", IF((LEN(AB803)-LEN(SUBSTITUTE(AB803,"; ","")))/2+1&gt;(LEN(AB803)-LEN(SUBSTITUTE(AB803,"[Aviso]","")))/7, "Con Incidencias", "Válido")))</f>
        <v/>
      </c>
      <c r="AB803" s="56">
        <f>IF(AND(A803="", B803="", E803=""), "", TEXTJOIN("; ", TRUE, IF(OR(TRIM(A803&amp;"")="", ISNUMBER(SEARCH("FALTA", A803))), "UPC faltante/inválido", ""), IF(AND(A803&lt;&gt;"", IFERROR(_xlfn.XMATCH(A803,$A$2:$A$2509,0,1)&lt;&gt;_xlfn.XMATCH(A803,$A$2:$A$2509,0,-1),FALSE)), "Código de barras duplicado", ""), IF(AND(E803&lt;&gt;"", COUNTIF($E$2:$E$2509, E803)&gt;1), "SKU duplicado", ""), IF(OR(J803="", J803=""), "[Aviso] División no capturada ()", IF(ISNA(MATCH(J803, Criterios!$A$123:$A$126, 0)), "División no válida", "")), IF(OR(K803="", K803=""), "[Aviso] Categoría no capturada ()", IF(ISNA(MATCH(K803, Criterios!$A$81:$A$120, 0)), "Categoría no válida", IF(AND(J803&lt;&gt;"", J803&lt;&gt;"", J803&lt;&gt;VLOOKUP(K803, Criterios!$A$81:$B$120, 2, FALSE)), "División no coincide con Categoría", ""))), IF(OR(L803="", L803=""), "[Aviso] Género no capturado ()", IF(ISNA(MATCH(L803, Criterios!$B$123:$B$127, 0)), "Género no válido", "")), IF(OR(N803="", N803=""), "[Aviso] Temporada no capturada ()", IF(ISNA(MATCH(N803, Criterios!$C$123:$C$128, 0)), "Temporada no válida", "")), IF(OR(O803="", O803=""), "[Aviso] Ciclo de vida no capturado ()", IF(ISNA(MATCH(O803, Criterios!$D$123:$D$124, 0)), "Ciclo de vida no válido", ""))))</f>
        <v/>
      </c>
      <c r="AC803" s="56" t="n"/>
      <c r="AD803" s="51" t="n">
        <v>-2</v>
      </c>
      <c r="AE803" s="156" t="n"/>
      <c r="AF803" s="51" t="n">
        <v>0</v>
      </c>
      <c r="AG803" s="156" t="inlineStr">
        <is>
          <t>Catálogo existente</t>
        </is>
      </c>
      <c r="AH803" s="156" t="inlineStr">
        <is>
          <t>Stock negativo en sistema: revisar en conteo | Revisión 29/09/2026: Talla fuente L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3" s="156" t="inlineStr">
        <is>
          <t>Sí</t>
        </is>
      </c>
      <c r="AJ803" s="156" t="inlineStr">
        <is>
          <t>STETSON AMERICAS (-2)</t>
        </is>
      </c>
      <c r="AK803" s="155" t="inlineStr">
        <is>
          <t>Criterios: I [Q] | Descripción del registro fuente [T]; G1522_Extraccion_Articulos_NetSuite_2026-09-30.xlsx: fila 58272 [V] | Shopify Stetson: producto 15069733912939 / variante 53413008048491 | Odoo: producto 19405 / plantilla 23892 | Investigación en línea 06/10/2026: https://www.stetson.com/products/folklore-flat-brim-hat-pecan</t>
        </is>
      </c>
      <c r="AL803" s="58" t="n">
        <v>945</v>
      </c>
      <c r="AM803" s="58" t="n">
        <v>2284.482759</v>
      </c>
      <c r="AN803" s="155" t="inlineStr">
        <is>
          <t>Shopify Stetson México | Odoo Universal Unique Brands</t>
        </is>
      </c>
      <c r="AO803" s="59" t="n">
        <v>0</v>
      </c>
      <c r="AP803" s="59" t="n"/>
      <c r="AQ803" s="59" t="n">
        <v>2</v>
      </c>
      <c r="AR803" s="155" t="inlineStr">
        <is>
          <t>Odoo Universal Unique Brands › Bodega 25 › Bodega 25/General: 2</t>
        </is>
      </c>
    </row>
    <row r="804">
      <c r="A804" s="50" t="inlineStr">
        <is>
          <t>195556103753</t>
        </is>
      </c>
      <c r="B804" s="51" t="inlineStr">
        <is>
          <t>110458</t>
        </is>
      </c>
      <c r="C804" s="156" t="inlineStr">
        <is>
          <t>Multimarca</t>
        </is>
      </c>
      <c r="D804" s="156" t="inlineStr">
        <is>
          <t>TWFLKL-FT34P5</t>
        </is>
      </c>
      <c r="E804" s="156" t="inlineStr">
        <is>
          <t>TWFLKL-FT34P5M0</t>
        </is>
      </c>
      <c r="F804" s="156" t="inlineStr">
        <is>
          <t>M</t>
        </is>
      </c>
      <c r="G804" s="156" t="inlineStr">
        <is>
          <t>M</t>
        </is>
      </c>
      <c r="H804" s="156" t="inlineStr">
        <is>
          <t>Stetson</t>
        </is>
      </c>
      <c r="I804" s="156" t="inlineStr">
        <is>
          <t>Texana Stetson Folklore Pecana</t>
        </is>
      </c>
      <c r="J804" s="156" t="inlineStr">
        <is>
          <t>Accesorios</t>
        </is>
      </c>
      <c r="K804" s="156" t="inlineStr">
        <is>
          <t>Sombreros</t>
        </is>
      </c>
      <c r="L804" s="156" t="inlineStr">
        <is>
          <t>Unisex</t>
        </is>
      </c>
      <c r="M804" s="156" t="inlineStr">
        <is>
          <t>Stetson</t>
        </is>
      </c>
      <c r="N804" s="156" t="inlineStr">
        <is>
          <t>SS26</t>
        </is>
      </c>
      <c r="O804" s="156" t="inlineStr">
        <is>
          <t>Seasonal</t>
        </is>
      </c>
      <c r="P804" s="156" t="inlineStr">
        <is>
          <t>Cafe</t>
        </is>
      </c>
      <c r="Q804" s="156" t="n"/>
      <c r="R804" s="156" t="n"/>
      <c r="S804" s="156" t="inlineStr">
        <is>
          <t>100% Fieltro de lana</t>
        </is>
      </c>
      <c r="T804" s="156" t="inlineStr">
        <is>
          <t>Texana Stetson Folklore Pecana</t>
        </is>
      </c>
      <c r="U804" s="156" t="n"/>
      <c r="V804" s="156" t="inlineStr">
        <is>
          <t>PZS</t>
        </is>
      </c>
      <c r="W804" s="51" t="inlineStr">
        <is>
          <t>53102503</t>
        </is>
      </c>
      <c r="X804" s="156" t="inlineStr">
        <is>
          <t>https://cdn.shopify.com/s/files/1/0357/2432/9005/files/TWFLKL-FT34-P5_Pecan_1.jpg?v=1725354521</t>
        </is>
      </c>
      <c r="Y804" s="54" t="n">
        <v>945</v>
      </c>
      <c r="Z804" s="54" t="n">
        <v>2284.482759</v>
      </c>
      <c r="AA804" s="55">
        <f>IF(AND(A804="", B804="", E804=""), "", IF(AB804="", "Válido", IF((LEN(AB804)-LEN(SUBSTITUTE(AB804,"; ","")))/2+1&gt;(LEN(AB804)-LEN(SUBSTITUTE(AB804,"[Aviso]","")))/7, "Con Incidencias", "Válido")))</f>
        <v/>
      </c>
      <c r="AB804" s="56">
        <f>IF(AND(A804="", B804="", E804=""), "", TEXTJOIN("; ", TRUE, IF(OR(TRIM(A804&amp;"")="", ISNUMBER(SEARCH("FALTA", A804))), "UPC faltante/inválido", ""), IF(AND(A804&lt;&gt;"", IFERROR(_xlfn.XMATCH(A804,$A$2:$A$2509,0,1)&lt;&gt;_xlfn.XMATCH(A804,$A$2:$A$2509,0,-1),FALSE)), "Código de barras duplicado", ""), IF(AND(E804&lt;&gt;"", COUNTIF($E$2:$E$2509, E804)&gt;1), "SKU duplicado", ""), IF(OR(J804="", J804=""), "[Aviso] División no capturada ()", IF(ISNA(MATCH(J804, Criterios!$A$123:$A$126, 0)), "División no válida", "")), IF(OR(K804="", K804=""), "[Aviso] Categoría no capturada ()", IF(ISNA(MATCH(K804, Criterios!$A$81:$A$120, 0)), "Categoría no válida", IF(AND(J804&lt;&gt;"", J804&lt;&gt;"", J804&lt;&gt;VLOOKUP(K804, Criterios!$A$81:$B$120, 2, FALSE)), "División no coincide con Categoría", ""))), IF(OR(L804="", L804=""), "[Aviso] Género no capturado ()", IF(ISNA(MATCH(L804, Criterios!$B$123:$B$127, 0)), "Género no válido", "")), IF(OR(N804="", N804=""), "[Aviso] Temporada no capturada ()", IF(ISNA(MATCH(N804, Criterios!$C$123:$C$128, 0)), "Temporada no válida", "")), IF(OR(O804="", O804=""), "[Aviso] Ciclo de vida no capturado ()", IF(ISNA(MATCH(O804, Criterios!$D$123:$D$124, 0)), "Ciclo de vida no válido", ""))))</f>
        <v/>
      </c>
      <c r="AC804" s="56" t="n"/>
      <c r="AD804" s="51" t="n">
        <v>0</v>
      </c>
      <c r="AE804" s="156" t="inlineStr">
        <is>
          <t>B25 STETSON.MX (1)</t>
        </is>
      </c>
      <c r="AF804" s="51" t="n">
        <v>1</v>
      </c>
      <c r="AG804" s="156" t="inlineStr">
        <is>
          <t>Catálogo existente</t>
        </is>
      </c>
      <c r="AH804" s="156" t="inlineStr">
        <is>
          <t>Revisión 29/09/2026: Talla fuente M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4" s="156" t="inlineStr">
        <is>
          <t>Sí</t>
        </is>
      </c>
      <c r="AJ804" s="156" t="inlineStr">
        <is>
          <t>STETSON AMERICAS (-1)</t>
        </is>
      </c>
      <c r="AK804" s="155" t="inlineStr">
        <is>
          <t>Criterios: I [Q] | Descripción del registro fuente [T]; G1522_Extraccion_Articulos_NetSuite_2026-09-30.xlsx: fila 58273 [V] | Shopify Stetson: producto 15069733912939 / variante 53413008015723 | Odoo: producto 19404 / plantilla 23891 | Investigación en línea 06/10/2026: https://www.stetson.com/products/folklore-flat-brim-hat-pecan</t>
        </is>
      </c>
      <c r="AL804" s="58" t="n">
        <v>945</v>
      </c>
      <c r="AM804" s="58" t="n">
        <v>2284.482759</v>
      </c>
      <c r="AN804" s="155" t="inlineStr">
        <is>
          <t>Shopify Stetson México | Odoo Universal Unique Brands</t>
        </is>
      </c>
      <c r="AO804" s="59" t="n">
        <v>1</v>
      </c>
      <c r="AP804" s="59" t="n"/>
      <c r="AQ804" s="59" t="n">
        <v>2</v>
      </c>
      <c r="AR804" s="155" t="inlineStr">
        <is>
          <t>Shopify Stetson México › Stetson México: 1 | Odoo Universal Unique Brands › Bodega 25 › Bodega 25/General: 2</t>
        </is>
      </c>
    </row>
    <row r="805">
      <c r="A805" s="50" t="inlineStr">
        <is>
          <t>195556103760</t>
        </is>
      </c>
      <c r="B805" s="51" t="inlineStr">
        <is>
          <t>110459</t>
        </is>
      </c>
      <c r="C805" s="156" t="inlineStr">
        <is>
          <t>Multimarca</t>
        </is>
      </c>
      <c r="D805" s="156" t="inlineStr">
        <is>
          <t>TWFLKL-FT34P5</t>
        </is>
      </c>
      <c r="E805" s="156" t="inlineStr">
        <is>
          <t>TWFLKL-FT34P5S0</t>
        </is>
      </c>
      <c r="F805" s="156" t="inlineStr">
        <is>
          <t>S</t>
        </is>
      </c>
      <c r="G805" s="156" t="inlineStr">
        <is>
          <t>S</t>
        </is>
      </c>
      <c r="H805" s="156" t="inlineStr">
        <is>
          <t>Stetson</t>
        </is>
      </c>
      <c r="I805" s="156" t="inlineStr">
        <is>
          <t>Texana Stetson Folklore Pecana</t>
        </is>
      </c>
      <c r="J805" s="156" t="inlineStr">
        <is>
          <t>Accesorios</t>
        </is>
      </c>
      <c r="K805" s="156" t="inlineStr">
        <is>
          <t>Sombreros</t>
        </is>
      </c>
      <c r="L805" s="156" t="inlineStr">
        <is>
          <t>Unisex</t>
        </is>
      </c>
      <c r="M805" s="156" t="inlineStr">
        <is>
          <t>Stetson</t>
        </is>
      </c>
      <c r="N805" s="156" t="inlineStr">
        <is>
          <t>SS26</t>
        </is>
      </c>
      <c r="O805" s="156" t="inlineStr">
        <is>
          <t>Seasonal</t>
        </is>
      </c>
      <c r="P805" s="156" t="inlineStr">
        <is>
          <t>Cafe</t>
        </is>
      </c>
      <c r="Q805" s="156" t="n"/>
      <c r="R805" s="156" t="n"/>
      <c r="S805" s="156" t="inlineStr">
        <is>
          <t>100% Fieltro de lana</t>
        </is>
      </c>
      <c r="T805" s="156" t="inlineStr">
        <is>
          <t>Texana Stetson Folklore Pecana</t>
        </is>
      </c>
      <c r="U805" s="156" t="n"/>
      <c r="V805" s="156" t="inlineStr">
        <is>
          <t>PZS</t>
        </is>
      </c>
      <c r="W805" s="51" t="inlineStr">
        <is>
          <t>53102503</t>
        </is>
      </c>
      <c r="X805" s="156" t="inlineStr">
        <is>
          <t>https://cdn.shopify.com/s/files/1/0357/2432/9005/files/TWFLKL-FT34-P5_Pecan_1.jpg?v=1725354521</t>
        </is>
      </c>
      <c r="Y805" s="54" t="n">
        <v>945</v>
      </c>
      <c r="Z805" s="54" t="n">
        <v>2284.482759</v>
      </c>
      <c r="AA805" s="55">
        <f>IF(AND(A805="", B805="", E805=""), "", IF(AB805="", "Válido", IF((LEN(AB805)-LEN(SUBSTITUTE(AB805,"; ","")))/2+1&gt;(LEN(AB805)-LEN(SUBSTITUTE(AB805,"[Aviso]","")))/7, "Con Incidencias", "Válido")))</f>
        <v/>
      </c>
      <c r="AB805" s="56">
        <f>IF(AND(A805="", B805="", E805=""), "", TEXTJOIN("; ", TRUE, IF(OR(TRIM(A805&amp;"")="", ISNUMBER(SEARCH("FALTA", A805))), "UPC faltante/inválido", ""), IF(AND(A805&lt;&gt;"", IFERROR(_xlfn.XMATCH(A805,$A$2:$A$2509,0,1)&lt;&gt;_xlfn.XMATCH(A805,$A$2:$A$2509,0,-1),FALSE)), "Código de barras duplicado", ""), IF(AND(E805&lt;&gt;"", COUNTIF($E$2:$E$2509, E805)&gt;1), "SKU duplicado", ""), IF(OR(J805="", J805=""), "[Aviso] División no capturada ()", IF(ISNA(MATCH(J805, Criterios!$A$123:$A$126, 0)), "División no válida", "")), IF(OR(K805="", K805=""), "[Aviso] Categoría no capturada ()", IF(ISNA(MATCH(K805, Criterios!$A$81:$A$120, 0)), "Categoría no válida", IF(AND(J805&lt;&gt;"", J805&lt;&gt;"", J805&lt;&gt;VLOOKUP(K805, Criterios!$A$81:$B$120, 2, FALSE)), "División no coincide con Categoría", ""))), IF(OR(L805="", L805=""), "[Aviso] Género no capturado ()", IF(ISNA(MATCH(L805, Criterios!$B$123:$B$127, 0)), "Género no válido", "")), IF(OR(N805="", N805=""), "[Aviso] Temporada no capturada ()", IF(ISNA(MATCH(N805, Criterios!$C$123:$C$128, 0)), "Temporada no válida", "")), IF(OR(O805="", O805=""), "[Aviso] Ciclo de vida no capturado ()", IF(ISNA(MATCH(O805, Criterios!$D$123:$D$124, 0)), "Ciclo de vida no válido", ""))))</f>
        <v/>
      </c>
      <c r="AC805" s="56" t="n"/>
      <c r="AD805" s="51" t="n">
        <v>0</v>
      </c>
      <c r="AE805" s="156" t="n"/>
      <c r="AF805" s="51" t="n">
        <v>0</v>
      </c>
      <c r="AG805" s="156" t="inlineStr">
        <is>
          <t>Catálogo existente</t>
        </is>
      </c>
      <c r="AH805" s="156" t="inlineStr">
        <is>
          <t>Revisión 29/09/2026: Talla fuente S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5" s="156" t="inlineStr">
        <is>
          <t>No</t>
        </is>
      </c>
      <c r="AJ805" s="156" t="n"/>
      <c r="AK805" s="155" t="inlineStr">
        <is>
          <t>Criterios: I [Q] | Descripción del registro fuente [T]; G1522_Extraccion_Articulos_NetSuite_2026-09-30.xlsx: fila 58274 [V] | Shopify Stetson: producto 15069733912939 / variante 53413007982955 | Investigación en línea 06/10/2026: https://www.stetson.com/products/folklore-flat-brim-hat-pecan</t>
        </is>
      </c>
      <c r="AL805" s="58" t="n">
        <v>945</v>
      </c>
      <c r="AM805" s="58" t="n">
        <v>2284.482759</v>
      </c>
      <c r="AN805" s="155" t="inlineStr">
        <is>
          <t>Shopify Stetson México</t>
        </is>
      </c>
      <c r="AO805" s="59" t="n">
        <v>0</v>
      </c>
      <c r="AP805" s="59" t="n"/>
      <c r="AQ805" s="59" t="n"/>
      <c r="AR805" s="155" t="n"/>
    </row>
    <row r="806">
      <c r="A806" s="50" t="inlineStr">
        <is>
          <t>195556103777</t>
        </is>
      </c>
      <c r="B806" s="51" t="inlineStr">
        <is>
          <t>110460</t>
        </is>
      </c>
      <c r="C806" s="156" t="inlineStr">
        <is>
          <t>Multimarca</t>
        </is>
      </c>
      <c r="D806" s="156" t="inlineStr">
        <is>
          <t>TWFLKL-FT34P5</t>
        </is>
      </c>
      <c r="E806" s="156" t="inlineStr">
        <is>
          <t>TWFLKL-FT34P5XL</t>
        </is>
      </c>
      <c r="F806" s="156" t="inlineStr">
        <is>
          <t>XL</t>
        </is>
      </c>
      <c r="G806" s="156" t="inlineStr">
        <is>
          <t>XL</t>
        </is>
      </c>
      <c r="H806" s="156" t="inlineStr">
        <is>
          <t>Stetson</t>
        </is>
      </c>
      <c r="I806" s="156" t="inlineStr">
        <is>
          <t>Texana Stetson Folklore Pecana</t>
        </is>
      </c>
      <c r="J806" s="156" t="inlineStr">
        <is>
          <t>Accesorios</t>
        </is>
      </c>
      <c r="K806" s="156" t="inlineStr">
        <is>
          <t>Sombreros</t>
        </is>
      </c>
      <c r="L806" s="156" t="inlineStr">
        <is>
          <t>Unisex</t>
        </is>
      </c>
      <c r="M806" s="156" t="inlineStr">
        <is>
          <t>Stetson</t>
        </is>
      </c>
      <c r="N806" s="156" t="inlineStr">
        <is>
          <t>SS26</t>
        </is>
      </c>
      <c r="O806" s="156" t="inlineStr">
        <is>
          <t>Seasonal</t>
        </is>
      </c>
      <c r="P806" s="156" t="inlineStr">
        <is>
          <t>Cafe</t>
        </is>
      </c>
      <c r="Q806" s="156" t="n"/>
      <c r="R806" s="156" t="n"/>
      <c r="S806" s="156" t="inlineStr">
        <is>
          <t>100% Fieltro de lana</t>
        </is>
      </c>
      <c r="T806" s="156" t="inlineStr">
        <is>
          <t>Texana Stetson Folklore Pecana</t>
        </is>
      </c>
      <c r="U806" s="156" t="n"/>
      <c r="V806" s="156" t="inlineStr">
        <is>
          <t>PZS</t>
        </is>
      </c>
      <c r="W806" s="51" t="inlineStr">
        <is>
          <t>53102503</t>
        </is>
      </c>
      <c r="X806" s="156" t="inlineStr">
        <is>
          <t>https://cdn.shopify.com/s/files/1/0357/2432/9005/files/TWFLKL-FT34-P5_Pecan_1.jpg?v=1725354521</t>
        </is>
      </c>
      <c r="Y806" s="54" t="n">
        <v>945</v>
      </c>
      <c r="Z806" s="54" t="n">
        <v>2284.482759</v>
      </c>
      <c r="AA806" s="55">
        <f>IF(AND(A806="", B806="", E806=""), "", IF(AB806="", "Válido", IF((LEN(AB806)-LEN(SUBSTITUTE(AB806,"; ","")))/2+1&gt;(LEN(AB806)-LEN(SUBSTITUTE(AB806,"[Aviso]","")))/7, "Con Incidencias", "Válido")))</f>
        <v/>
      </c>
      <c r="AB806" s="56">
        <f>IF(AND(A806="", B806="", E806=""), "", TEXTJOIN("; ", TRUE, IF(OR(TRIM(A806&amp;"")="", ISNUMBER(SEARCH("FALTA", A806))), "UPC faltante/inválido", ""), IF(AND(A806&lt;&gt;"", IFERROR(_xlfn.XMATCH(A806,$A$2:$A$2509,0,1)&lt;&gt;_xlfn.XMATCH(A806,$A$2:$A$2509,0,-1),FALSE)), "Código de barras duplicado", ""), IF(AND(E806&lt;&gt;"", COUNTIF($E$2:$E$2509, E806)&gt;1), "SKU duplicado", ""), IF(OR(J806="", J806=""), "[Aviso] División no capturada ()", IF(ISNA(MATCH(J806, Criterios!$A$123:$A$126, 0)), "División no válida", "")), IF(OR(K806="", K806=""), "[Aviso] Categoría no capturada ()", IF(ISNA(MATCH(K806, Criterios!$A$81:$A$120, 0)), "Categoría no válida", IF(AND(J806&lt;&gt;"", J806&lt;&gt;"", J806&lt;&gt;VLOOKUP(K806, Criterios!$A$81:$B$120, 2, FALSE)), "División no coincide con Categoría", ""))), IF(OR(L806="", L806=""), "[Aviso] Género no capturado ()", IF(ISNA(MATCH(L806, Criterios!$B$123:$B$127, 0)), "Género no válido", "")), IF(OR(N806="", N806=""), "[Aviso] Temporada no capturada ()", IF(ISNA(MATCH(N806, Criterios!$C$123:$C$128, 0)), "Temporada no válida", "")), IF(OR(O806="", O806=""), "[Aviso] Ciclo de vida no capturado ()", IF(ISNA(MATCH(O806, Criterios!$D$123:$D$124, 0)), "Ciclo de vida no válido", ""))))</f>
        <v/>
      </c>
      <c r="AC806" s="56" t="n"/>
      <c r="AD806" s="51" t="n">
        <v>0</v>
      </c>
      <c r="AE806" s="156" t="n"/>
      <c r="AF806" s="51" t="n">
        <v>0</v>
      </c>
      <c r="AG806" s="156" t="inlineStr">
        <is>
          <t>Catálogo existente</t>
        </is>
      </c>
      <c r="AH806" s="156" t="inlineStr">
        <is>
          <t>Revisión 29/09/2026: Talla fuente XL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6" s="156" t="inlineStr">
        <is>
          <t>No</t>
        </is>
      </c>
      <c r="AJ806" s="156" t="n"/>
      <c r="AK806" s="155" t="inlineStr">
        <is>
          <t>Criterios: I [Q] | Descripción del registro fuente [T]; G1522_Extraccion_Articulos_NetSuite_2026-09-30.xlsx: fila 58275 [V] | Shopify Stetson: producto 15069733912939 / variante 53413008081259 | Odoo: producto 19406 / plantilla 23893 | Investigación en línea 06/10/2026: https://www.stetson.com/products/folklore-flat-brim-hat-pecan</t>
        </is>
      </c>
      <c r="AL806" s="58" t="n">
        <v>945</v>
      </c>
      <c r="AM806" s="58" t="n">
        <v>2284.482759</v>
      </c>
      <c r="AN806" s="155" t="inlineStr">
        <is>
          <t>Shopify Stetson México | Odoo Universal Unique Brands</t>
        </is>
      </c>
      <c r="AO806" s="59" t="n">
        <v>1</v>
      </c>
      <c r="AP806" s="59" t="n"/>
      <c r="AQ806" s="59" t="n">
        <v>1</v>
      </c>
      <c r="AR806" s="155" t="inlineStr">
        <is>
          <t>Shopify Stetson México › Stetson Americas: 1 | Odoo Universal Unique Brands › Bodega 25 › Bodega 25/General: 1</t>
        </is>
      </c>
    </row>
    <row r="807">
      <c r="A807" s="50" t="inlineStr">
        <is>
          <t>195556105740</t>
        </is>
      </c>
      <c r="B807" s="51" t="inlineStr">
        <is>
          <t>117407</t>
        </is>
      </c>
      <c r="C807" s="156" t="inlineStr">
        <is>
          <t>Multimarca</t>
        </is>
      </c>
      <c r="D807" s="156" t="inlineStr">
        <is>
          <t>XWLRLH-0336S9</t>
        </is>
      </c>
      <c r="E807" s="156" t="inlineStr">
        <is>
          <t>XWLRLH-0336S9L0</t>
        </is>
      </c>
      <c r="F807" s="156" t="inlineStr">
        <is>
          <t>L</t>
        </is>
      </c>
      <c r="G807" s="156" t="inlineStr">
        <is>
          <t>L</t>
        </is>
      </c>
      <c r="H807" s="156" t="inlineStr">
        <is>
          <t>Stetson</t>
        </is>
      </c>
      <c r="I807" s="156" t="inlineStr">
        <is>
          <t>Texana Stetson Lincoln Road Gris</t>
        </is>
      </c>
      <c r="J807" s="156" t="inlineStr">
        <is>
          <t>Accesorios</t>
        </is>
      </c>
      <c r="K807" s="156" t="inlineStr">
        <is>
          <t>Sombreros</t>
        </is>
      </c>
      <c r="L807" s="156" t="inlineStr">
        <is>
          <t>Unisex</t>
        </is>
      </c>
      <c r="M807" s="156" t="inlineStr">
        <is>
          <t>Stetson</t>
        </is>
      </c>
      <c r="N807" s="156" t="inlineStr">
        <is>
          <t>FW26</t>
        </is>
      </c>
      <c r="O807" s="156" t="inlineStr">
        <is>
          <t>Seasonal</t>
        </is>
      </c>
      <c r="P807" s="156" t="inlineStr">
        <is>
          <t>Gris</t>
        </is>
      </c>
      <c r="Q807" s="156" t="n"/>
      <c r="R807" s="156" t="inlineStr">
        <is>
          <t>Copa Pinch Front</t>
        </is>
      </c>
      <c r="S807" s="156" t="inlineStr">
        <is>
          <t>Mezcla de lana</t>
        </is>
      </c>
      <c r="T807"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7" s="156" t="inlineStr">
        <is>
          <t>Estados Unidos</t>
        </is>
      </c>
      <c r="V807" s="156" t="inlineStr">
        <is>
          <t>PZS</t>
        </is>
      </c>
      <c r="W807" s="51" t="inlineStr">
        <is>
          <t>53102503</t>
        </is>
      </c>
      <c r="X807" s="156" t="inlineStr">
        <is>
          <t>https://cdn.shopify.com/s/files/1/0357/2432/9005/files/XWLRLH-0336-S9_Stone-Wash_1.jpg?v=1725355745</t>
        </is>
      </c>
      <c r="Y807" s="54" t="n">
        <v>1260</v>
      </c>
      <c r="Z807" s="54" t="n">
        <v>3103.448276</v>
      </c>
      <c r="AA807" s="55">
        <f>IF(AND(A807="", B807="", E807=""), "", IF(AB807="", "Válido", IF((LEN(AB807)-LEN(SUBSTITUTE(AB807,"; ","")))/2+1&gt;(LEN(AB807)-LEN(SUBSTITUTE(AB807,"[Aviso]","")))/7, "Con Incidencias", "Válido")))</f>
        <v/>
      </c>
      <c r="AB807" s="56">
        <f>IF(AND(A807="", B807="", E807=""), "", TEXTJOIN("; ", TRUE, IF(OR(TRIM(A807&amp;"")="", ISNUMBER(SEARCH("FALTA", A807))), "UPC faltante/inválido", ""), IF(AND(A807&lt;&gt;"", IFERROR(_xlfn.XMATCH(A807,$A$2:$A$2509,0,1)&lt;&gt;_xlfn.XMATCH(A807,$A$2:$A$2509,0,-1),FALSE)), "Código de barras duplicado", ""), IF(AND(E807&lt;&gt;"", COUNTIF($E$2:$E$2509, E807)&gt;1), "SKU duplicado", ""), IF(OR(J807="", J807=""), "[Aviso] División no capturada ()", IF(ISNA(MATCH(J807, Criterios!$A$123:$A$126, 0)), "División no válida", "")), IF(OR(K807="", K807=""), "[Aviso] Categoría no capturada ()", IF(ISNA(MATCH(K807, Criterios!$A$81:$A$120, 0)), "Categoría no válida", IF(AND(J807&lt;&gt;"", J807&lt;&gt;"", J807&lt;&gt;VLOOKUP(K807, Criterios!$A$81:$B$120, 2, FALSE)), "División no coincide con Categoría", ""))), IF(OR(L807="", L807=""), "[Aviso] Género no capturado ()", IF(ISNA(MATCH(L807, Criterios!$B$123:$B$127, 0)), "Género no válido", "")), IF(OR(N807="", N807=""), "[Aviso] Temporada no capturada ()", IF(ISNA(MATCH(N807, Criterios!$C$123:$C$128, 0)), "Temporada no válida", "")), IF(OR(O807="", O807=""), "[Aviso] Ciclo de vida no capturado ()", IF(ISNA(MATCH(O807, Criterios!$D$123:$D$124, 0)), "Ciclo de vida no válido", ""))))</f>
        <v/>
      </c>
      <c r="AC807" s="56" t="n"/>
      <c r="AD807" s="51" t="n">
        <v>0</v>
      </c>
      <c r="AE807" s="156" t="inlineStr">
        <is>
          <t>STETSON AMERICAS (1)</t>
        </is>
      </c>
      <c r="AF807" s="51" t="n">
        <v>1</v>
      </c>
      <c r="AG807" s="156" t="inlineStr">
        <is>
          <t>Catálogo existente</t>
        </is>
      </c>
      <c r="AH807"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7" s="156" t="inlineStr">
        <is>
          <t>Sí</t>
        </is>
      </c>
      <c r="AJ807" s="156" t="inlineStr">
        <is>
          <t>B25 CEDIS (-1)</t>
        </is>
      </c>
      <c r="AK807" s="155" t="inlineStr">
        <is>
          <t>Criterios: I [Q] | Shopify Stetson: producto 15227650572651 / variante 53791839748459 | Investigación en línea 06/10/2026: https://www.stetson.com/products/laurel-hill-cowboy-hat-stone-wash</t>
        </is>
      </c>
      <c r="AL807" s="58" t="n">
        <v>1260</v>
      </c>
      <c r="AM807" s="58" t="n">
        <v>3103.448276</v>
      </c>
      <c r="AN807" s="155" t="inlineStr">
        <is>
          <t>Shopify Stetson México</t>
        </is>
      </c>
      <c r="AO807" s="59" t="n">
        <v>1</v>
      </c>
      <c r="AP807" s="59" t="n"/>
      <c r="AQ807" s="59" t="n"/>
      <c r="AR807" s="155" t="inlineStr">
        <is>
          <t>Shopify Stetson México › Stetson Americas: 1</t>
        </is>
      </c>
    </row>
    <row r="808">
      <c r="A808" s="50" t="inlineStr">
        <is>
          <t>195556105764</t>
        </is>
      </c>
      <c r="B808" s="51" t="inlineStr">
        <is>
          <t>117408</t>
        </is>
      </c>
      <c r="C808" s="156" t="inlineStr">
        <is>
          <t>Multimarca</t>
        </is>
      </c>
      <c r="D808" s="156" t="inlineStr">
        <is>
          <t>XWLRLH-0336S9</t>
        </is>
      </c>
      <c r="E808" s="156" t="inlineStr">
        <is>
          <t>XWLRLH-0336S9M0</t>
        </is>
      </c>
      <c r="F808" s="156" t="inlineStr">
        <is>
          <t>M</t>
        </is>
      </c>
      <c r="G808" s="156" t="inlineStr">
        <is>
          <t>M</t>
        </is>
      </c>
      <c r="H808" s="156" t="inlineStr">
        <is>
          <t>Stetson</t>
        </is>
      </c>
      <c r="I808" s="156" t="inlineStr">
        <is>
          <t>Texana Stetson Lincoln Road Gris</t>
        </is>
      </c>
      <c r="J808" s="156" t="inlineStr">
        <is>
          <t>Accesorios</t>
        </is>
      </c>
      <c r="K808" s="156" t="inlineStr">
        <is>
          <t>Sombreros</t>
        </is>
      </c>
      <c r="L808" s="156" t="inlineStr">
        <is>
          <t>Unisex</t>
        </is>
      </c>
      <c r="M808" s="156" t="inlineStr">
        <is>
          <t>Stetson</t>
        </is>
      </c>
      <c r="N808" s="156" t="inlineStr">
        <is>
          <t>FW26</t>
        </is>
      </c>
      <c r="O808" s="156" t="inlineStr">
        <is>
          <t>Seasonal</t>
        </is>
      </c>
      <c r="P808" s="156" t="inlineStr">
        <is>
          <t>Gris</t>
        </is>
      </c>
      <c r="Q808" s="156" t="n"/>
      <c r="R808" s="156" t="inlineStr">
        <is>
          <t>Copa Pinch Front</t>
        </is>
      </c>
      <c r="S808" s="156" t="inlineStr">
        <is>
          <t>Mezcla de lana</t>
        </is>
      </c>
      <c r="T808"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8" s="156" t="inlineStr">
        <is>
          <t>Estados Unidos</t>
        </is>
      </c>
      <c r="V808" s="156" t="inlineStr">
        <is>
          <t>PZS</t>
        </is>
      </c>
      <c r="W808" s="51" t="inlineStr">
        <is>
          <t>53102503</t>
        </is>
      </c>
      <c r="X808" s="156" t="inlineStr">
        <is>
          <t>https://cdn.shopify.com/s/files/1/0357/2432/9005/files/XWLRLH-0336-S9_Stone-Wash_1.jpg?v=1725355745</t>
        </is>
      </c>
      <c r="Y808" s="54" t="n">
        <v>1260</v>
      </c>
      <c r="Z808" s="54" t="n">
        <v>3103.448276</v>
      </c>
      <c r="AA808" s="55">
        <f>IF(AND(A808="", B808="", E808=""), "", IF(AB808="", "Válido", IF((LEN(AB808)-LEN(SUBSTITUTE(AB808,"; ","")))/2+1&gt;(LEN(AB808)-LEN(SUBSTITUTE(AB808,"[Aviso]","")))/7, "Con Incidencias", "Válido")))</f>
        <v/>
      </c>
      <c r="AB808" s="56">
        <f>IF(AND(A808="", B808="", E808=""), "", TEXTJOIN("; ", TRUE, IF(OR(TRIM(A808&amp;"")="", ISNUMBER(SEARCH("FALTA", A808))), "UPC faltante/inválido", ""), IF(AND(A808&lt;&gt;"", IFERROR(_xlfn.XMATCH(A808,$A$2:$A$2509,0,1)&lt;&gt;_xlfn.XMATCH(A808,$A$2:$A$2509,0,-1),FALSE)), "Código de barras duplicado", ""), IF(AND(E808&lt;&gt;"", COUNTIF($E$2:$E$2509, E808)&gt;1), "SKU duplicado", ""), IF(OR(J808="", J808=""), "[Aviso] División no capturada ()", IF(ISNA(MATCH(J808, Criterios!$A$123:$A$126, 0)), "División no válida", "")), IF(OR(K808="", K808=""), "[Aviso] Categoría no capturada ()", IF(ISNA(MATCH(K808, Criterios!$A$81:$A$120, 0)), "Categoría no válida", IF(AND(J808&lt;&gt;"", J808&lt;&gt;"", J808&lt;&gt;VLOOKUP(K808, Criterios!$A$81:$B$120, 2, FALSE)), "División no coincide con Categoría", ""))), IF(OR(L808="", L808=""), "[Aviso] Género no capturado ()", IF(ISNA(MATCH(L808, Criterios!$B$123:$B$127, 0)), "Género no válido", "")), IF(OR(N808="", N808=""), "[Aviso] Temporada no capturada ()", IF(ISNA(MATCH(N808, Criterios!$C$123:$C$128, 0)), "Temporada no válida", "")), IF(OR(O808="", O808=""), "[Aviso] Ciclo de vida no capturado ()", IF(ISNA(MATCH(O808, Criterios!$D$123:$D$124, 0)), "Ciclo de vida no válido", ""))))</f>
        <v/>
      </c>
      <c r="AC808" s="56" t="n"/>
      <c r="AD808" s="51" t="n">
        <v>0</v>
      </c>
      <c r="AE808" s="156" t="inlineStr">
        <is>
          <t>STETSON AMERICAS (1)</t>
        </is>
      </c>
      <c r="AF808" s="51" t="n">
        <v>1</v>
      </c>
      <c r="AG808" s="156" t="inlineStr">
        <is>
          <t>Catálogo existente</t>
        </is>
      </c>
      <c r="AH808" s="156" t="inlineStr">
        <is>
          <t>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8" s="156" t="inlineStr">
        <is>
          <t>Sí</t>
        </is>
      </c>
      <c r="AJ808" s="156" t="inlineStr">
        <is>
          <t>B25 CEDIS (-1)</t>
        </is>
      </c>
      <c r="AK808" s="155" t="inlineStr">
        <is>
          <t>Criterios: I [Q] | Shopify Stetson: producto 15227650572651 / variante 53791839781227 | Investigación en línea 06/10/2026: https://www.stetson.com/products/laurel-hill-cowboy-hat-stone-wash</t>
        </is>
      </c>
      <c r="AL808" s="58" t="n">
        <v>1260</v>
      </c>
      <c r="AM808" s="58" t="n">
        <v>3103.448276</v>
      </c>
      <c r="AN808" s="155" t="inlineStr">
        <is>
          <t>Shopify Stetson México</t>
        </is>
      </c>
      <c r="AO808" s="59" t="n">
        <v>1</v>
      </c>
      <c r="AP808" s="59" t="n"/>
      <c r="AQ808" s="59" t="n"/>
      <c r="AR808" s="155" t="inlineStr">
        <is>
          <t>Shopify Stetson México › Stetson Americas: 1</t>
        </is>
      </c>
    </row>
    <row r="809">
      <c r="A809" s="50" t="inlineStr">
        <is>
          <t>195556105788</t>
        </is>
      </c>
      <c r="B809" s="51" t="inlineStr">
        <is>
          <t>117409</t>
        </is>
      </c>
      <c r="C809" s="156" t="inlineStr">
        <is>
          <t>Multimarca</t>
        </is>
      </c>
      <c r="D809" s="156" t="inlineStr">
        <is>
          <t>XWLRLH-0336S9</t>
        </is>
      </c>
      <c r="E809" s="156" t="inlineStr">
        <is>
          <t>XWLRLH-0336S9S0</t>
        </is>
      </c>
      <c r="F809" s="156" t="inlineStr">
        <is>
          <t>S</t>
        </is>
      </c>
      <c r="G809" s="156" t="inlineStr">
        <is>
          <t>S</t>
        </is>
      </c>
      <c r="H809" s="156" t="inlineStr">
        <is>
          <t>Stetson</t>
        </is>
      </c>
      <c r="I809" s="156" t="inlineStr">
        <is>
          <t>Texana Stetson Lincoln Road Gris</t>
        </is>
      </c>
      <c r="J809" s="156" t="inlineStr">
        <is>
          <t>Accesorios</t>
        </is>
      </c>
      <c r="K809" s="156" t="inlineStr">
        <is>
          <t>Sombreros</t>
        </is>
      </c>
      <c r="L809" s="156" t="inlineStr">
        <is>
          <t>Unisex</t>
        </is>
      </c>
      <c r="M809" s="156" t="inlineStr">
        <is>
          <t>Stetson</t>
        </is>
      </c>
      <c r="N809" s="156" t="inlineStr">
        <is>
          <t>FW26</t>
        </is>
      </c>
      <c r="O809" s="156" t="inlineStr">
        <is>
          <t>Seasonal</t>
        </is>
      </c>
      <c r="P809" s="156" t="inlineStr">
        <is>
          <t>Gris</t>
        </is>
      </c>
      <c r="Q809" s="156" t="n"/>
      <c r="R809" s="156" t="inlineStr">
        <is>
          <t>Copa Pinch Front</t>
        </is>
      </c>
      <c r="S809" s="156" t="inlineStr">
        <is>
          <t>Mezcla de lana</t>
        </is>
      </c>
      <c r="T809"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9" s="156" t="inlineStr">
        <is>
          <t>Estados Unidos</t>
        </is>
      </c>
      <c r="V809" s="156" t="inlineStr">
        <is>
          <t>PZS</t>
        </is>
      </c>
      <c r="W809" s="51" t="inlineStr">
        <is>
          <t>53102503</t>
        </is>
      </c>
      <c r="X809" s="156" t="inlineStr">
        <is>
          <t>https://cdn.shopify.com/s/files/1/0357/2432/9005/files/XWLRLH-0336-S9_Stone-Wash_1.jpg?v=1725355745</t>
        </is>
      </c>
      <c r="Y809" s="54" t="n">
        <v>1260</v>
      </c>
      <c r="Z809" s="54" t="n">
        <v>3103.448276</v>
      </c>
      <c r="AA809" s="55">
        <f>IF(AND(A809="", B809="", E809=""), "", IF(AB809="", "Válido", IF((LEN(AB809)-LEN(SUBSTITUTE(AB809,"; ","")))/2+1&gt;(LEN(AB809)-LEN(SUBSTITUTE(AB809,"[Aviso]","")))/7, "Con Incidencias", "Válido")))</f>
        <v/>
      </c>
      <c r="AB809" s="56">
        <f>IF(AND(A809="", B809="", E809=""), "", TEXTJOIN("; ", TRUE, IF(OR(TRIM(A809&amp;"")="", ISNUMBER(SEARCH("FALTA", A809))), "UPC faltante/inválido", ""), IF(AND(A809&lt;&gt;"", IFERROR(_xlfn.XMATCH(A809,$A$2:$A$2509,0,1)&lt;&gt;_xlfn.XMATCH(A809,$A$2:$A$2509,0,-1),FALSE)), "Código de barras duplicado", ""), IF(AND(E809&lt;&gt;"", COUNTIF($E$2:$E$2509, E809)&gt;1), "SKU duplicado", ""), IF(OR(J809="", J809=""), "[Aviso] División no capturada ()", IF(ISNA(MATCH(J809, Criterios!$A$123:$A$126, 0)), "División no válida", "")), IF(OR(K809="", K809=""), "[Aviso] Categoría no capturada ()", IF(ISNA(MATCH(K809, Criterios!$A$81:$A$120, 0)), "Categoría no válida", IF(AND(J809&lt;&gt;"", J809&lt;&gt;"", J809&lt;&gt;VLOOKUP(K809, Criterios!$A$81:$B$120, 2, FALSE)), "División no coincide con Categoría", ""))), IF(OR(L809="", L809=""), "[Aviso] Género no capturado ()", IF(ISNA(MATCH(L809, Criterios!$B$123:$B$127, 0)), "Género no válido", "")), IF(OR(N809="", N809=""), "[Aviso] Temporada no capturada ()", IF(ISNA(MATCH(N809, Criterios!$C$123:$C$128, 0)), "Temporada no válida", "")), IF(OR(O809="", O809=""), "[Aviso] Ciclo de vida no capturado ()", IF(ISNA(MATCH(O809, Criterios!$D$123:$D$124, 0)), "Ciclo de vida no válido", ""))))</f>
        <v/>
      </c>
      <c r="AC809" s="56" t="n"/>
      <c r="AD809" s="51" t="n">
        <v>-1</v>
      </c>
      <c r="AE809" s="156" t="n"/>
      <c r="AF809" s="51" t="n">
        <v>0</v>
      </c>
      <c r="AG809" s="156" t="inlineStr">
        <is>
          <t>Catálogo existente</t>
        </is>
      </c>
      <c r="AH809" s="156" t="inlineStr">
        <is>
          <t>Stock negativo en sistema: revisar en conteo | Revisión 29/09/2026: Talla fuente S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9" s="156" t="inlineStr">
        <is>
          <t>Sí</t>
        </is>
      </c>
      <c r="AJ809" s="156" t="inlineStr">
        <is>
          <t>B25 CEDIS (-1)</t>
        </is>
      </c>
      <c r="AK809" s="155" t="inlineStr">
        <is>
          <t>Criterios: I [Q] | Shopify Stetson: producto 15227650572651 / variante 53791839813995 | Investigación en línea 06/10/2026: https://www.stetson.com/products/laurel-hill-cowboy-hat-stone-wash</t>
        </is>
      </c>
      <c r="AL809" s="58" t="n">
        <v>1260</v>
      </c>
      <c r="AM809" s="58" t="n">
        <v>3103.448276</v>
      </c>
      <c r="AN809" s="155" t="inlineStr">
        <is>
          <t>Shopify Stetson México</t>
        </is>
      </c>
      <c r="AO809" s="59" t="n">
        <v>0</v>
      </c>
      <c r="AP809" s="59" t="n"/>
      <c r="AQ809" s="59" t="n"/>
      <c r="AR809" s="155" t="n"/>
    </row>
    <row r="810">
      <c r="A810" s="50" t="inlineStr">
        <is>
          <t>195556105801</t>
        </is>
      </c>
      <c r="B810" s="51" t="inlineStr">
        <is>
          <t>117410</t>
        </is>
      </c>
      <c r="C810" s="156" t="inlineStr">
        <is>
          <t>Multimarca</t>
        </is>
      </c>
      <c r="D810" s="156" t="inlineStr">
        <is>
          <t>XWLRLH-0336S9</t>
        </is>
      </c>
      <c r="E810" s="156" t="inlineStr">
        <is>
          <t>XWLRLH-0336S9XL</t>
        </is>
      </c>
      <c r="F810" s="156" t="inlineStr">
        <is>
          <t>XL</t>
        </is>
      </c>
      <c r="G810" s="156" t="inlineStr">
        <is>
          <t>XL</t>
        </is>
      </c>
      <c r="H810" s="156" t="inlineStr">
        <is>
          <t>Stetson</t>
        </is>
      </c>
      <c r="I810" s="156" t="inlineStr">
        <is>
          <t>Texana Stetson Lincoln Road Gris</t>
        </is>
      </c>
      <c r="J810" s="156" t="inlineStr">
        <is>
          <t>Accesorios</t>
        </is>
      </c>
      <c r="K810" s="156" t="inlineStr">
        <is>
          <t>Sombreros</t>
        </is>
      </c>
      <c r="L810" s="156" t="inlineStr">
        <is>
          <t>Unisex</t>
        </is>
      </c>
      <c r="M810" s="156" t="inlineStr">
        <is>
          <t>Stetson</t>
        </is>
      </c>
      <c r="N810" s="156" t="inlineStr">
        <is>
          <t>FW26</t>
        </is>
      </c>
      <c r="O810" s="156" t="inlineStr">
        <is>
          <t>Seasonal</t>
        </is>
      </c>
      <c r="P810" s="156" t="inlineStr">
        <is>
          <t>Gris</t>
        </is>
      </c>
      <c r="Q810" s="156" t="n"/>
      <c r="R810" s="156" t="inlineStr">
        <is>
          <t>Copa Pinch Front</t>
        </is>
      </c>
      <c r="S810" s="156" t="inlineStr">
        <is>
          <t>Mezcla de lana</t>
        </is>
      </c>
      <c r="T810"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10" s="156" t="inlineStr">
        <is>
          <t>Estados Unidos</t>
        </is>
      </c>
      <c r="V810" s="156" t="inlineStr">
        <is>
          <t>PZS</t>
        </is>
      </c>
      <c r="W810" s="51" t="inlineStr">
        <is>
          <t>53102503</t>
        </is>
      </c>
      <c r="X810" s="156" t="inlineStr">
        <is>
          <t>https://cdn.shopify.com/s/files/1/0357/2432/9005/files/XWLRLH-0336-S9_Stone-Wash_1.jpg?v=1725355745</t>
        </is>
      </c>
      <c r="Y810" s="54" t="n">
        <v>1260</v>
      </c>
      <c r="Z810" s="54" t="n">
        <v>3103.448276</v>
      </c>
      <c r="AA810" s="55">
        <f>IF(AND(A810="", B810="", E810=""), "", IF(AB810="", "Válido", IF((LEN(AB810)-LEN(SUBSTITUTE(AB810,"; ","")))/2+1&gt;(LEN(AB810)-LEN(SUBSTITUTE(AB810,"[Aviso]","")))/7, "Con Incidencias", "Válido")))</f>
        <v/>
      </c>
      <c r="AB810" s="56">
        <f>IF(AND(A810="", B810="", E810=""), "", TEXTJOIN("; ", TRUE, IF(OR(TRIM(A810&amp;"")="", ISNUMBER(SEARCH("FALTA", A810))), "UPC faltante/inválido", ""), IF(AND(A810&lt;&gt;"", IFERROR(_xlfn.XMATCH(A810,$A$2:$A$2509,0,1)&lt;&gt;_xlfn.XMATCH(A810,$A$2:$A$2509,0,-1),FALSE)), "Código de barras duplicado", ""), IF(AND(E810&lt;&gt;"", COUNTIF($E$2:$E$2509, E810)&gt;1), "SKU duplicado", ""), IF(OR(J810="", J810=""), "[Aviso] División no capturada ()", IF(ISNA(MATCH(J810, Criterios!$A$123:$A$126, 0)), "División no válida", "")), IF(OR(K810="", K810=""), "[Aviso] Categoría no capturada ()", IF(ISNA(MATCH(K810, Criterios!$A$81:$A$120, 0)), "Categoría no válida", IF(AND(J810&lt;&gt;"", J810&lt;&gt;"", J810&lt;&gt;VLOOKUP(K810, Criterios!$A$81:$B$120, 2, FALSE)), "División no coincide con Categoría", ""))), IF(OR(L810="", L810=""), "[Aviso] Género no capturado ()", IF(ISNA(MATCH(L810, Criterios!$B$123:$B$127, 0)), "Género no válido", "")), IF(OR(N810="", N810=""), "[Aviso] Temporada no capturada ()", IF(ISNA(MATCH(N810, Criterios!$C$123:$C$128, 0)), "Temporada no válida", "")), IF(OR(O810="", O810=""), "[Aviso] Ciclo de vida no capturado ()", IF(ISNA(MATCH(O810, Criterios!$D$123:$D$124, 0)), "Ciclo de vida no válido", ""))))</f>
        <v/>
      </c>
      <c r="AC810" s="56" t="n"/>
      <c r="AD810" s="51" t="n">
        <v>0</v>
      </c>
      <c r="AE810" s="156" t="inlineStr">
        <is>
          <t>STETSON AMERICAS (1)</t>
        </is>
      </c>
      <c r="AF810" s="51" t="n">
        <v>1</v>
      </c>
      <c r="AG810" s="156" t="inlineStr">
        <is>
          <t>Catálogo existente</t>
        </is>
      </c>
      <c r="AH810" s="156" t="inlineStr">
        <is>
          <t>Revisión 29/09/2026: Talla fuente XL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10" s="156" t="inlineStr">
        <is>
          <t>Sí</t>
        </is>
      </c>
      <c r="AJ810" s="156" t="inlineStr">
        <is>
          <t>B25 CEDIS (-1)</t>
        </is>
      </c>
      <c r="AK810" s="155" t="inlineStr">
        <is>
          <t>Criterios: I [Q] | Shopify Stetson: producto 15227650572651 / variante 53791839846763 | Investigación en línea 06/10/2026: https://www.stetson.com/products/laurel-hill-cowboy-hat-stone-wash</t>
        </is>
      </c>
      <c r="AL810" s="58" t="n">
        <v>1260</v>
      </c>
      <c r="AM810" s="58" t="n">
        <v>3103.448276</v>
      </c>
      <c r="AN810" s="155" t="inlineStr">
        <is>
          <t>Shopify Stetson México</t>
        </is>
      </c>
      <c r="AO810" s="59" t="n">
        <v>1</v>
      </c>
      <c r="AP810" s="59" t="n"/>
      <c r="AQ810" s="59" t="n"/>
      <c r="AR810" s="155" t="inlineStr">
        <is>
          <t>Shopify Stetson México › Stetson Americas: 1</t>
        </is>
      </c>
    </row>
    <row r="811">
      <c r="A811" s="50" t="inlineStr">
        <is>
          <t>195556108048</t>
        </is>
      </c>
      <c r="B811" s="51" t="inlineStr">
        <is>
          <t>109960</t>
        </is>
      </c>
      <c r="C811" s="156" t="inlineStr">
        <is>
          <t>Multimarca</t>
        </is>
      </c>
      <c r="D811" s="156" t="inlineStr">
        <is>
          <t>SFMZCL-014048</t>
        </is>
      </c>
      <c r="E811" s="156" t="inlineStr">
        <is>
          <t>SFMZCL-01404867</t>
        </is>
      </c>
      <c r="F811" s="156" t="inlineStr">
        <is>
          <t>6 7/8</t>
        </is>
      </c>
      <c r="G811" s="156" t="inlineStr">
        <is>
          <t>6 7/8</t>
        </is>
      </c>
      <c r="H811" s="156" t="inlineStr">
        <is>
          <t>Stetson</t>
        </is>
      </c>
      <c r="I811" s="156" t="inlineStr">
        <is>
          <t>Texana Stetson Mezcal Marino</t>
        </is>
      </c>
      <c r="J811" s="156" t="inlineStr">
        <is>
          <t>Accesorios</t>
        </is>
      </c>
      <c r="K811" s="156" t="inlineStr">
        <is>
          <t>Sombreros</t>
        </is>
      </c>
      <c r="L811" s="156" t="inlineStr">
        <is>
          <t>Unisex</t>
        </is>
      </c>
      <c r="M811" s="156" t="inlineStr">
        <is>
          <t>Stetson</t>
        </is>
      </c>
      <c r="N811" s="156" t="inlineStr">
        <is>
          <t>SS26</t>
        </is>
      </c>
      <c r="O811" s="156" t="inlineStr">
        <is>
          <t>Seasonal</t>
        </is>
      </c>
      <c r="P811" s="156" t="inlineStr">
        <is>
          <t>Azul</t>
        </is>
      </c>
      <c r="Q811" s="156" t="n"/>
      <c r="R811" s="156" t="inlineStr">
        <is>
          <t>Copa Cattleman</t>
        </is>
      </c>
      <c r="S811" s="156" t="inlineStr">
        <is>
          <t>100% Fieltro de lana</t>
        </is>
      </c>
      <c r="T811"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1" s="156" t="inlineStr">
        <is>
          <t>Estados Unidos</t>
        </is>
      </c>
      <c r="V811" s="156" t="inlineStr">
        <is>
          <t>PZS</t>
        </is>
      </c>
      <c r="W811" s="51" t="inlineStr">
        <is>
          <t>53102503</t>
        </is>
      </c>
      <c r="X811" s="156" t="inlineStr">
        <is>
          <t>https://cdn.shopify.com/s/files/1/0888/3250/8267/files/SFMZCL-014048-01.jpg?v=1760390754</t>
        </is>
      </c>
      <c r="Y811" s="54" t="n">
        <v>2756.25</v>
      </c>
      <c r="Z811" s="54" t="n">
        <v>6724.137931</v>
      </c>
      <c r="AA811" s="55">
        <f>IF(AND(A811="", B811="", E811=""), "", IF(AB811="", "Válido", IF((LEN(AB811)-LEN(SUBSTITUTE(AB811,"; ","")))/2+1&gt;(LEN(AB811)-LEN(SUBSTITUTE(AB811,"[Aviso]","")))/7, "Con Incidencias", "Válido")))</f>
        <v/>
      </c>
      <c r="AB811" s="56">
        <f>IF(AND(A811="", B811="", E811=""), "", TEXTJOIN("; ", TRUE, IF(OR(TRIM(A811&amp;"")="", ISNUMBER(SEARCH("FALTA", A811))), "UPC faltante/inválido", ""), IF(AND(A811&lt;&gt;"", IFERROR(_xlfn.XMATCH(A811,$A$2:$A$2509,0,1)&lt;&gt;_xlfn.XMATCH(A811,$A$2:$A$2509,0,-1),FALSE)), "Código de barras duplicado", ""), IF(AND(E811&lt;&gt;"", COUNTIF($E$2:$E$2509, E811)&gt;1), "SKU duplicado", ""), IF(OR(J811="", J811=""), "[Aviso] División no capturada ()", IF(ISNA(MATCH(J811, Criterios!$A$123:$A$126, 0)), "División no válida", "")), IF(OR(K811="", K811=""), "[Aviso] Categoría no capturada ()", IF(ISNA(MATCH(K811, Criterios!$A$81:$A$120, 0)), "Categoría no válida", IF(AND(J811&lt;&gt;"", J811&lt;&gt;"", J811&lt;&gt;VLOOKUP(K811, Criterios!$A$81:$B$120, 2, FALSE)), "División no coincide con Categoría", ""))), IF(OR(L811="", L811=""), "[Aviso] Género no capturado ()", IF(ISNA(MATCH(L811, Criterios!$B$123:$B$127, 0)), "Género no válido", "")), IF(OR(N811="", N811=""), "[Aviso] Temporada no capturada ()", IF(ISNA(MATCH(N811, Criterios!$C$123:$C$128, 0)), "Temporada no válida", "")), IF(OR(O811="", O811=""), "[Aviso] Ciclo de vida no capturado ()", IF(ISNA(MATCH(O811, Criterios!$D$123:$D$124, 0)), "Ciclo de vida no válido", ""))))</f>
        <v/>
      </c>
      <c r="AC811" s="56" t="n"/>
      <c r="AD811" s="51" t="n">
        <v>2</v>
      </c>
      <c r="AE811" s="156" t="inlineStr">
        <is>
          <t>B25 STETSON.MX (2)</t>
        </is>
      </c>
      <c r="AF811" s="51" t="n">
        <v>2</v>
      </c>
      <c r="AG811" s="156" t="inlineStr">
        <is>
          <t>Catálogo existente</t>
        </is>
      </c>
      <c r="AH811" s="156" t="inlineStr">
        <is>
          <t>Revisión 29/09/2026: Cruce de catálogo y criterios sin pendientes detectados | 01/10/2026: complementado desde Shopify Stetson México (match por código de barras): WB Fit, WB Silueta</t>
        </is>
      </c>
      <c r="AI811" s="156" t="inlineStr">
        <is>
          <t>No</t>
        </is>
      </c>
      <c r="AJ811" s="156" t="n"/>
      <c r="AK811" s="155" t="inlineStr">
        <is>
          <t>Criterios: I [Q] | Shopify Stetson: producto 14791404290411 / variante 53350602834283</t>
        </is>
      </c>
      <c r="AL811" s="58" t="n">
        <v>2756.25</v>
      </c>
      <c r="AM811" s="58" t="n">
        <v>6724.137931</v>
      </c>
      <c r="AN811" s="155" t="inlineStr">
        <is>
          <t>Shopify Stetson México</t>
        </is>
      </c>
      <c r="AO811" s="59" t="n">
        <v>3</v>
      </c>
      <c r="AP811" s="59" t="n"/>
      <c r="AQ811" s="59" t="n"/>
      <c r="AR811" s="155" t="inlineStr">
        <is>
          <t>Shopify Stetson México › Stetson México: 2 | Shopify Stetson México › Stetson Americas: 1</t>
        </is>
      </c>
    </row>
    <row r="812">
      <c r="A812" s="50" t="inlineStr">
        <is>
          <t>195556108086</t>
        </is>
      </c>
      <c r="B812" s="51" t="inlineStr">
        <is>
          <t>109961</t>
        </is>
      </c>
      <c r="C812" s="156" t="inlineStr">
        <is>
          <t>Multimarca</t>
        </is>
      </c>
      <c r="D812" s="156" t="inlineStr">
        <is>
          <t>SFMZCL-014048</t>
        </is>
      </c>
      <c r="E812" s="156" t="inlineStr">
        <is>
          <t>SFMZCL-01404870</t>
        </is>
      </c>
      <c r="F812" s="156" t="inlineStr">
        <is>
          <t>7</t>
        </is>
      </c>
      <c r="G812" s="156" t="inlineStr">
        <is>
          <t>7</t>
        </is>
      </c>
      <c r="H812" s="156" t="inlineStr">
        <is>
          <t>Stetson</t>
        </is>
      </c>
      <c r="I812" s="156" t="inlineStr">
        <is>
          <t>Texana Stetson Mezcal Marino</t>
        </is>
      </c>
      <c r="J812" s="156" t="inlineStr">
        <is>
          <t>Accesorios</t>
        </is>
      </c>
      <c r="K812" s="156" t="inlineStr">
        <is>
          <t>Sombreros</t>
        </is>
      </c>
      <c r="L812" s="156" t="inlineStr">
        <is>
          <t>Unisex</t>
        </is>
      </c>
      <c r="M812" s="156" t="inlineStr">
        <is>
          <t>Stetson</t>
        </is>
      </c>
      <c r="N812" s="156" t="inlineStr">
        <is>
          <t>SS26</t>
        </is>
      </c>
      <c r="O812" s="156" t="inlineStr">
        <is>
          <t>Seasonal</t>
        </is>
      </c>
      <c r="P812" s="156" t="inlineStr">
        <is>
          <t>Azul</t>
        </is>
      </c>
      <c r="Q812" s="156" t="n"/>
      <c r="R812" s="156" t="inlineStr">
        <is>
          <t>Copa Cattleman</t>
        </is>
      </c>
      <c r="S812" s="156" t="inlineStr">
        <is>
          <t>100% Fieltro de lana</t>
        </is>
      </c>
      <c r="T812"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2" s="156" t="inlineStr">
        <is>
          <t>Estados Unidos</t>
        </is>
      </c>
      <c r="V812" s="156" t="inlineStr">
        <is>
          <t>PZS</t>
        </is>
      </c>
      <c r="W812" s="51" t="inlineStr">
        <is>
          <t>53102503</t>
        </is>
      </c>
      <c r="X812" s="156" t="inlineStr">
        <is>
          <t>https://cdn.shopify.com/s/files/1/0888/3250/8267/files/SFMZCL-014048-02.jpg?v=1760390754</t>
        </is>
      </c>
      <c r="Y812" s="54" t="n">
        <v>2756.25</v>
      </c>
      <c r="Z812" s="54" t="n">
        <v>6724.137931</v>
      </c>
      <c r="AA812" s="55">
        <f>IF(AND(A812="", B812="", E812=""), "", IF(AB812="", "Válido", IF((LEN(AB812)-LEN(SUBSTITUTE(AB812,"; ","")))/2+1&gt;(LEN(AB812)-LEN(SUBSTITUTE(AB812,"[Aviso]","")))/7, "Con Incidencias", "Válido")))</f>
        <v/>
      </c>
      <c r="AB812" s="56">
        <f>IF(AND(A812="", B812="", E812=""), "", TEXTJOIN("; ", TRUE, IF(OR(TRIM(A812&amp;"")="", ISNUMBER(SEARCH("FALTA", A812))), "UPC faltante/inválido", ""), IF(AND(A812&lt;&gt;"", IFERROR(_xlfn.XMATCH(A812,$A$2:$A$2509,0,1)&lt;&gt;_xlfn.XMATCH(A812,$A$2:$A$2509,0,-1),FALSE)), "Código de barras duplicado", ""), IF(AND(E812&lt;&gt;"", COUNTIF($E$2:$E$2509, E812)&gt;1), "SKU duplicado", ""), IF(OR(J812="", J812=""), "[Aviso] División no capturada ()", IF(ISNA(MATCH(J812, Criterios!$A$123:$A$126, 0)), "División no válida", "")), IF(OR(K812="", K812=""), "[Aviso] Categoría no capturada ()", IF(ISNA(MATCH(K812, Criterios!$A$81:$A$120, 0)), "Categoría no válida", IF(AND(J812&lt;&gt;"", J812&lt;&gt;"", J812&lt;&gt;VLOOKUP(K812, Criterios!$A$81:$B$120, 2, FALSE)), "División no coincide con Categoría", ""))), IF(OR(L812="", L812=""), "[Aviso] Género no capturado ()", IF(ISNA(MATCH(L812, Criterios!$B$123:$B$127, 0)), "Género no válido", "")), IF(OR(N812="", N812=""), "[Aviso] Temporada no capturada ()", IF(ISNA(MATCH(N812, Criterios!$C$123:$C$128, 0)), "Temporada no válida", "")), IF(OR(O812="", O812=""), "[Aviso] Ciclo de vida no capturado ()", IF(ISNA(MATCH(O812, Criterios!$D$123:$D$124, 0)), "Ciclo de vida no válido", ""))))</f>
        <v/>
      </c>
      <c r="AC812" s="56" t="n"/>
      <c r="AD812" s="51" t="n">
        <v>2</v>
      </c>
      <c r="AE812" s="156" t="inlineStr">
        <is>
          <t>B25 STETSON.MX (3)</t>
        </is>
      </c>
      <c r="AF812" s="51" t="n">
        <v>3</v>
      </c>
      <c r="AG812" s="156" t="inlineStr">
        <is>
          <t>Catálogo existente</t>
        </is>
      </c>
      <c r="AH812" s="156" t="inlineStr">
        <is>
          <t>Revisión 29/09/2026: Cruce de catálogo y criterios sin pendientes detectados | 01/10/2026: complementado desde Shopify Stetson México (match por código de barras): WB Fit, WB Silueta</t>
        </is>
      </c>
      <c r="AI812" s="156" t="inlineStr">
        <is>
          <t>Sí</t>
        </is>
      </c>
      <c r="AJ812" s="156" t="inlineStr">
        <is>
          <t>STETSON AMERICAS (-1)</t>
        </is>
      </c>
      <c r="AK812" s="155" t="inlineStr">
        <is>
          <t>Criterios: I [Q] | Shopify Stetson: producto 14791404290411 / variante 53350602867051</t>
        </is>
      </c>
      <c r="AL812" s="58" t="n">
        <v>2756.25</v>
      </c>
      <c r="AM812" s="58" t="n">
        <v>6724.137931</v>
      </c>
      <c r="AN812" s="155" t="inlineStr">
        <is>
          <t>Shopify Stetson México</t>
        </is>
      </c>
      <c r="AO812" s="59" t="n">
        <v>4</v>
      </c>
      <c r="AP812" s="59" t="n"/>
      <c r="AQ812" s="59" t="n"/>
      <c r="AR812" s="155" t="inlineStr">
        <is>
          <t>Shopify Stetson México › Stetson México: 3 | Shopify Stetson México › Stetson Americas: 1</t>
        </is>
      </c>
    </row>
    <row r="813">
      <c r="A813" s="50" t="inlineStr">
        <is>
          <t>195556108123</t>
        </is>
      </c>
      <c r="B813" s="51" t="inlineStr">
        <is>
          <t>109962</t>
        </is>
      </c>
      <c r="C813" s="156" t="inlineStr">
        <is>
          <t>Multimarca</t>
        </is>
      </c>
      <c r="D813" s="156" t="inlineStr">
        <is>
          <t>SFMZCL-014048</t>
        </is>
      </c>
      <c r="E813" s="156" t="inlineStr">
        <is>
          <t>SFMZCL-01404871</t>
        </is>
      </c>
      <c r="F813" s="156" t="inlineStr">
        <is>
          <t>7 1/8</t>
        </is>
      </c>
      <c r="G813" s="156" t="inlineStr">
        <is>
          <t>7 1/8</t>
        </is>
      </c>
      <c r="H813" s="156" t="inlineStr">
        <is>
          <t>Stetson</t>
        </is>
      </c>
      <c r="I813" s="156" t="inlineStr">
        <is>
          <t>Texana Stetson Mezcal Marino</t>
        </is>
      </c>
      <c r="J813" s="156" t="inlineStr">
        <is>
          <t>Accesorios</t>
        </is>
      </c>
      <c r="K813" s="156" t="inlineStr">
        <is>
          <t>Sombreros</t>
        </is>
      </c>
      <c r="L813" s="156" t="inlineStr">
        <is>
          <t>Unisex</t>
        </is>
      </c>
      <c r="M813" s="156" t="inlineStr">
        <is>
          <t>Stetson</t>
        </is>
      </c>
      <c r="N813" s="156" t="inlineStr">
        <is>
          <t>SS26</t>
        </is>
      </c>
      <c r="O813" s="156" t="inlineStr">
        <is>
          <t>Seasonal</t>
        </is>
      </c>
      <c r="P813" s="156" t="inlineStr">
        <is>
          <t>Azul</t>
        </is>
      </c>
      <c r="Q813" s="156" t="n"/>
      <c r="R813" s="156" t="inlineStr">
        <is>
          <t>Copa Cattleman</t>
        </is>
      </c>
      <c r="S813" s="156" t="inlineStr">
        <is>
          <t>100% Fieltro de lana</t>
        </is>
      </c>
      <c r="T813"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3" s="156" t="inlineStr">
        <is>
          <t>Estados Unidos</t>
        </is>
      </c>
      <c r="V813" s="156" t="inlineStr">
        <is>
          <t>PZS</t>
        </is>
      </c>
      <c r="W813" s="51" t="inlineStr">
        <is>
          <t>53102503</t>
        </is>
      </c>
      <c r="X813" s="156" t="inlineStr">
        <is>
          <t>https://cdn.shopify.com/s/files/1/0888/3250/8267/files/SFMZCL-014048-03.jpg?v=1760390754</t>
        </is>
      </c>
      <c r="Y813" s="54" t="n">
        <v>2756.25</v>
      </c>
      <c r="Z813" s="54" t="n">
        <v>6724.137931</v>
      </c>
      <c r="AA813" s="55">
        <f>IF(AND(A813="", B813="", E813=""), "", IF(AB813="", "Válido", IF((LEN(AB813)-LEN(SUBSTITUTE(AB813,"; ","")))/2+1&gt;(LEN(AB813)-LEN(SUBSTITUTE(AB813,"[Aviso]","")))/7, "Con Incidencias", "Válido")))</f>
        <v/>
      </c>
      <c r="AB813" s="56">
        <f>IF(AND(A813="", B813="", E813=""), "", TEXTJOIN("; ", TRUE, IF(OR(TRIM(A813&amp;"")="", ISNUMBER(SEARCH("FALTA", A813))), "UPC faltante/inválido", ""), IF(AND(A813&lt;&gt;"", IFERROR(_xlfn.XMATCH(A813,$A$2:$A$2509,0,1)&lt;&gt;_xlfn.XMATCH(A813,$A$2:$A$2509,0,-1),FALSE)), "Código de barras duplicado", ""), IF(AND(E813&lt;&gt;"", COUNTIF($E$2:$E$2509, E813)&gt;1), "SKU duplicado", ""), IF(OR(J813="", J813=""), "[Aviso] División no capturada ()", IF(ISNA(MATCH(J813, Criterios!$A$123:$A$126, 0)), "División no válida", "")), IF(OR(K813="", K813=""), "[Aviso] Categoría no capturada ()", IF(ISNA(MATCH(K813, Criterios!$A$81:$A$120, 0)), "Categoría no válida", IF(AND(J813&lt;&gt;"", J813&lt;&gt;"", J813&lt;&gt;VLOOKUP(K813, Criterios!$A$81:$B$120, 2, FALSE)), "División no coincide con Categoría", ""))), IF(OR(L813="", L813=""), "[Aviso] Género no capturado ()", IF(ISNA(MATCH(L813, Criterios!$B$123:$B$127, 0)), "Género no válido", "")), IF(OR(N813="", N813=""), "[Aviso] Temporada no capturada ()", IF(ISNA(MATCH(N813, Criterios!$C$123:$C$128, 0)), "Temporada no válida", "")), IF(OR(O813="", O813=""), "[Aviso] Ciclo de vida no capturado ()", IF(ISNA(MATCH(O813, Criterios!$D$123:$D$124, 0)), "Ciclo de vida no válido", ""))))</f>
        <v/>
      </c>
      <c r="AC813" s="56" t="n"/>
      <c r="AD813" s="51" t="n">
        <v>1</v>
      </c>
      <c r="AE813" s="156" t="inlineStr">
        <is>
          <t>B25 STETSON.MX (3)</t>
        </is>
      </c>
      <c r="AF813" s="51" t="n">
        <v>3</v>
      </c>
      <c r="AG813" s="156" t="inlineStr">
        <is>
          <t>Catálogo existente</t>
        </is>
      </c>
      <c r="AH813" s="156" t="inlineStr">
        <is>
          <t>Revisión 29/09/2026: Cruce de catálogo y criterios sin pendientes detectados | 01/10/2026: complementado desde Shopify Stetson México (match por código de barras): WB Fit, WB Silueta</t>
        </is>
      </c>
      <c r="AI813" s="156" t="inlineStr">
        <is>
          <t>Sí</t>
        </is>
      </c>
      <c r="AJ813" s="156" t="inlineStr">
        <is>
          <t>STETSON AMERICAS (-2)</t>
        </is>
      </c>
      <c r="AK813" s="155" t="inlineStr">
        <is>
          <t>Criterios: I [Q] | Shopify Stetson: producto 14791404290411 / variante 53350602899819</t>
        </is>
      </c>
      <c r="AL813" s="58" t="n">
        <v>2756.25</v>
      </c>
      <c r="AM813" s="58" t="n">
        <v>6724.137931</v>
      </c>
      <c r="AN813" s="155" t="inlineStr">
        <is>
          <t>Shopify Stetson México</t>
        </is>
      </c>
      <c r="AO813" s="59" t="n">
        <v>3</v>
      </c>
      <c r="AP813" s="59" t="n"/>
      <c r="AQ813" s="59" t="n"/>
      <c r="AR813" s="155" t="inlineStr">
        <is>
          <t>Shopify Stetson México › Stetson México: 3</t>
        </is>
      </c>
    </row>
    <row r="814">
      <c r="A814" s="50" t="inlineStr">
        <is>
          <t>195556108161</t>
        </is>
      </c>
      <c r="B814" s="51" t="inlineStr">
        <is>
          <t>109963</t>
        </is>
      </c>
      <c r="C814" s="156" t="inlineStr">
        <is>
          <t>Multimarca</t>
        </is>
      </c>
      <c r="D814" s="156" t="inlineStr">
        <is>
          <t>SFMZCL-014048</t>
        </is>
      </c>
      <c r="E814" s="156" t="inlineStr">
        <is>
          <t>SFMZCL-01404872</t>
        </is>
      </c>
      <c r="F814" s="156" t="inlineStr">
        <is>
          <t>7 1/4</t>
        </is>
      </c>
      <c r="G814" s="156" t="inlineStr">
        <is>
          <t>7 1/4</t>
        </is>
      </c>
      <c r="H814" s="156" t="inlineStr">
        <is>
          <t>Stetson</t>
        </is>
      </c>
      <c r="I814" s="156" t="inlineStr">
        <is>
          <t>Texana Stetson Mezcal Marino</t>
        </is>
      </c>
      <c r="J814" s="156" t="inlineStr">
        <is>
          <t>Accesorios</t>
        </is>
      </c>
      <c r="K814" s="156" t="inlineStr">
        <is>
          <t>Sombreros</t>
        </is>
      </c>
      <c r="L814" s="156" t="inlineStr">
        <is>
          <t>Unisex</t>
        </is>
      </c>
      <c r="M814" s="156" t="inlineStr">
        <is>
          <t>Stetson</t>
        </is>
      </c>
      <c r="N814" s="156" t="inlineStr">
        <is>
          <t>SS26</t>
        </is>
      </c>
      <c r="O814" s="156" t="inlineStr">
        <is>
          <t>Seasonal</t>
        </is>
      </c>
      <c r="P814" s="156" t="inlineStr">
        <is>
          <t>Azul</t>
        </is>
      </c>
      <c r="Q814" s="156" t="n"/>
      <c r="R814" s="156" t="inlineStr">
        <is>
          <t>Copa Cattleman</t>
        </is>
      </c>
      <c r="S814" s="156" t="inlineStr">
        <is>
          <t>100% Fieltro de lana</t>
        </is>
      </c>
      <c r="T814"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4" s="156" t="inlineStr">
        <is>
          <t>Estados Unidos</t>
        </is>
      </c>
      <c r="V814" s="156" t="inlineStr">
        <is>
          <t>PZS</t>
        </is>
      </c>
      <c r="W814" s="51" t="inlineStr">
        <is>
          <t>53102503</t>
        </is>
      </c>
      <c r="X814" s="156" t="inlineStr">
        <is>
          <t>https://cdn.shopify.com/s/files/1/0888/3250/8267/files/SFMZCL-014048-04.jpg?v=1760390754</t>
        </is>
      </c>
      <c r="Y814" s="54" t="n">
        <v>2756.25</v>
      </c>
      <c r="Z814" s="54" t="n">
        <v>6724.137931</v>
      </c>
      <c r="AA814" s="55">
        <f>IF(AND(A814="", B814="", E814=""), "", IF(AB814="", "Válido", IF((LEN(AB814)-LEN(SUBSTITUTE(AB814,"; ","")))/2+1&gt;(LEN(AB814)-LEN(SUBSTITUTE(AB814,"[Aviso]","")))/7, "Con Incidencias", "Válido")))</f>
        <v/>
      </c>
      <c r="AB814" s="56">
        <f>IF(AND(A814="", B814="", E814=""), "", TEXTJOIN("; ", TRUE, IF(OR(TRIM(A814&amp;"")="", ISNUMBER(SEARCH("FALTA", A814))), "UPC faltante/inválido", ""), IF(AND(A814&lt;&gt;"", IFERROR(_xlfn.XMATCH(A814,$A$2:$A$2509,0,1)&lt;&gt;_xlfn.XMATCH(A814,$A$2:$A$2509,0,-1),FALSE)), "Código de barras duplicado", ""), IF(AND(E814&lt;&gt;"", COUNTIF($E$2:$E$2509, E814)&gt;1), "SKU duplicado", ""), IF(OR(J814="", J814=""), "[Aviso] División no capturada ()", IF(ISNA(MATCH(J814, Criterios!$A$123:$A$126, 0)), "División no válida", "")), IF(OR(K814="", K814=""), "[Aviso] Categoría no capturada ()", IF(ISNA(MATCH(K814, Criterios!$A$81:$A$120, 0)), "Categoría no válida", IF(AND(J814&lt;&gt;"", J814&lt;&gt;"", J814&lt;&gt;VLOOKUP(K814, Criterios!$A$81:$B$120, 2, FALSE)), "División no coincide con Categoría", ""))), IF(OR(L814="", L814=""), "[Aviso] Género no capturado ()", IF(ISNA(MATCH(L814, Criterios!$B$123:$B$127, 0)), "Género no válido", "")), IF(OR(N814="", N814=""), "[Aviso] Temporada no capturada ()", IF(ISNA(MATCH(N814, Criterios!$C$123:$C$128, 0)), "Temporada no válida", "")), IF(OR(O814="", O814=""), "[Aviso] Ciclo de vida no capturado ()", IF(ISNA(MATCH(O814, Criterios!$D$123:$D$124, 0)), "Ciclo de vida no válido", ""))))</f>
        <v/>
      </c>
      <c r="AC814" s="56" t="n"/>
      <c r="AD814" s="51" t="n">
        <v>0</v>
      </c>
      <c r="AE814" s="156" t="inlineStr">
        <is>
          <t>STETSON AMERICAS (1)</t>
        </is>
      </c>
      <c r="AF814" s="51" t="n">
        <v>1</v>
      </c>
      <c r="AG814" s="156" t="inlineStr">
        <is>
          <t>Catálogo existente</t>
        </is>
      </c>
      <c r="AH814" s="156" t="inlineStr">
        <is>
          <t>Revisión 29/09/2026: Cruce de catálogo y criterios sin pendientes detectados | 01/10/2026: complementado desde Shopify Stetson México (match por código de barras): WB Fit, WB Silueta</t>
        </is>
      </c>
      <c r="AI814" s="156" t="inlineStr">
        <is>
          <t>Sí</t>
        </is>
      </c>
      <c r="AJ814" s="156" t="inlineStr">
        <is>
          <t>PUNTO DE VENTA (-1)</t>
        </is>
      </c>
      <c r="AK814" s="155" t="inlineStr">
        <is>
          <t>Criterios: I [Q] | Shopify Stetson: producto 14791404290411 / variante 53350602932587</t>
        </is>
      </c>
      <c r="AL814" s="58" t="n">
        <v>2756.25</v>
      </c>
      <c r="AM814" s="58" t="n">
        <v>6724.137931</v>
      </c>
      <c r="AN814" s="155" t="inlineStr">
        <is>
          <t>Shopify Stetson México</t>
        </is>
      </c>
      <c r="AO814" s="59" t="n">
        <v>1</v>
      </c>
      <c r="AP814" s="59" t="n"/>
      <c r="AQ814" s="59" t="n"/>
      <c r="AR814" s="155" t="inlineStr">
        <is>
          <t>Shopify Stetson México › Stetson Americas: 1</t>
        </is>
      </c>
    </row>
    <row r="815">
      <c r="A815" s="50" t="inlineStr">
        <is>
          <t>195556108208</t>
        </is>
      </c>
      <c r="B815" s="51" t="inlineStr">
        <is>
          <t>109964</t>
        </is>
      </c>
      <c r="C815" s="156" t="inlineStr">
        <is>
          <t>Multimarca</t>
        </is>
      </c>
      <c r="D815" s="156" t="inlineStr">
        <is>
          <t>SFMZCL-014048</t>
        </is>
      </c>
      <c r="E815" s="156" t="inlineStr">
        <is>
          <t>SFMZCL-01404873</t>
        </is>
      </c>
      <c r="F815" s="156" t="inlineStr">
        <is>
          <t>7 3/8</t>
        </is>
      </c>
      <c r="G815" s="156" t="inlineStr">
        <is>
          <t>7 3/8</t>
        </is>
      </c>
      <c r="H815" s="156" t="inlineStr">
        <is>
          <t>Stetson</t>
        </is>
      </c>
      <c r="I815" s="156" t="inlineStr">
        <is>
          <t>Texana Stetson Mezcal Marino</t>
        </is>
      </c>
      <c r="J815" s="156" t="inlineStr">
        <is>
          <t>Accesorios</t>
        </is>
      </c>
      <c r="K815" s="156" t="inlineStr">
        <is>
          <t>Sombreros</t>
        </is>
      </c>
      <c r="L815" s="156" t="inlineStr">
        <is>
          <t>Unisex</t>
        </is>
      </c>
      <c r="M815" s="156" t="inlineStr">
        <is>
          <t>Stetson</t>
        </is>
      </c>
      <c r="N815" s="156" t="inlineStr">
        <is>
          <t>SS26</t>
        </is>
      </c>
      <c r="O815" s="156" t="inlineStr">
        <is>
          <t>Seasonal</t>
        </is>
      </c>
      <c r="P815" s="156" t="inlineStr">
        <is>
          <t>Azul</t>
        </is>
      </c>
      <c r="Q815" s="156" t="n"/>
      <c r="R815" s="156" t="inlineStr">
        <is>
          <t>Copa Cattleman</t>
        </is>
      </c>
      <c r="S815" s="156" t="inlineStr">
        <is>
          <t>100% Fieltro de lana</t>
        </is>
      </c>
      <c r="T815"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5" s="156" t="inlineStr">
        <is>
          <t>Estados Unidos</t>
        </is>
      </c>
      <c r="V815" s="156" t="inlineStr">
        <is>
          <t>PZS</t>
        </is>
      </c>
      <c r="W815" s="51" t="inlineStr">
        <is>
          <t>53102503</t>
        </is>
      </c>
      <c r="X815" s="156" t="inlineStr">
        <is>
          <t>https://cdn.shopify.com/s/files/1/0888/3250/8267/files/SFMZCL-014048-05.jpg?v=1760390754</t>
        </is>
      </c>
      <c r="Y815" s="54" t="n">
        <v>2756.25</v>
      </c>
      <c r="Z815" s="54" t="n">
        <v>6724.137931</v>
      </c>
      <c r="AA815" s="55">
        <f>IF(AND(A815="", B815="", E815=""), "", IF(AB815="", "Válido", IF((LEN(AB815)-LEN(SUBSTITUTE(AB815,"; ","")))/2+1&gt;(LEN(AB815)-LEN(SUBSTITUTE(AB815,"[Aviso]","")))/7, "Con Incidencias", "Válido")))</f>
        <v/>
      </c>
      <c r="AB815" s="56">
        <f>IF(AND(A815="", B815="", E815=""), "", TEXTJOIN("; ", TRUE, IF(OR(TRIM(A815&amp;"")="", ISNUMBER(SEARCH("FALTA", A815))), "UPC faltante/inválido", ""), IF(AND(A815&lt;&gt;"", IFERROR(_xlfn.XMATCH(A815,$A$2:$A$2509,0,1)&lt;&gt;_xlfn.XMATCH(A815,$A$2:$A$2509,0,-1),FALSE)), "Código de barras duplicado", ""), IF(AND(E815&lt;&gt;"", COUNTIF($E$2:$E$2509, E815)&gt;1), "SKU duplicado", ""), IF(OR(J815="", J815=""), "[Aviso] División no capturada ()", IF(ISNA(MATCH(J815, Criterios!$A$123:$A$126, 0)), "División no válida", "")), IF(OR(K815="", K815=""), "[Aviso] Categoría no capturada ()", IF(ISNA(MATCH(K815, Criterios!$A$81:$A$120, 0)), "Categoría no válida", IF(AND(J815&lt;&gt;"", J815&lt;&gt;"", J815&lt;&gt;VLOOKUP(K815, Criterios!$A$81:$B$120, 2, FALSE)), "División no coincide con Categoría", ""))), IF(OR(L815="", L815=""), "[Aviso] Género no capturado ()", IF(ISNA(MATCH(L815, Criterios!$B$123:$B$127, 0)), "Género no válido", "")), IF(OR(N815="", N815=""), "[Aviso] Temporada no capturada ()", IF(ISNA(MATCH(N815, Criterios!$C$123:$C$128, 0)), "Temporada no válida", "")), IF(OR(O815="", O815=""), "[Aviso] Ciclo de vida no capturado ()", IF(ISNA(MATCH(O815, Criterios!$D$123:$D$124, 0)), "Ciclo de vida no válido", ""))))</f>
        <v/>
      </c>
      <c r="AC815" s="56" t="n"/>
      <c r="AD815" s="51" t="n">
        <v>0</v>
      </c>
      <c r="AE815" s="156" t="inlineStr">
        <is>
          <t>STETSON AMERICAS (1)</t>
        </is>
      </c>
      <c r="AF815" s="51" t="n">
        <v>1</v>
      </c>
      <c r="AG815" s="156" t="inlineStr">
        <is>
          <t>Catálogo existente</t>
        </is>
      </c>
      <c r="AH815" s="156" t="inlineStr">
        <is>
          <t>Revisión 29/09/2026: Cruce de catálogo y criterios sin pendientes detectados | 01/10/2026: complementado desde Shopify Stetson México (match por código de barras): WB Fit, WB Silueta</t>
        </is>
      </c>
      <c r="AI815" s="156" t="inlineStr">
        <is>
          <t>Sí</t>
        </is>
      </c>
      <c r="AJ815" s="156" t="inlineStr">
        <is>
          <t>PUNTO DE VENTA (-1)</t>
        </is>
      </c>
      <c r="AK815" s="155" t="inlineStr">
        <is>
          <t>Criterios: I [Q] | Shopify Stetson: producto 14791404290411 / variante 53350602965355 | Odoo: producto 14333 / plantilla 17910</t>
        </is>
      </c>
      <c r="AL815" s="58" t="n">
        <v>2756.25</v>
      </c>
      <c r="AM815" s="58" t="n">
        <v>6724.137931</v>
      </c>
      <c r="AN815" s="155" t="inlineStr">
        <is>
          <t>Shopify Stetson México | Odoo Universal Unique Brands</t>
        </is>
      </c>
      <c r="AO815" s="59" t="n">
        <v>0</v>
      </c>
      <c r="AP815" s="59" t="n"/>
      <c r="AQ815" s="59" t="n">
        <v>1</v>
      </c>
      <c r="AR815" s="155" t="inlineStr">
        <is>
          <t>Odoo Universal Unique Brands › Bodega 25 › Bodega 25/General: 1</t>
        </is>
      </c>
    </row>
    <row r="816">
      <c r="A816" s="50" t="inlineStr">
        <is>
          <t>195556116500</t>
        </is>
      </c>
      <c r="B816" s="51" t="inlineStr">
        <is>
          <t>110469</t>
        </is>
      </c>
      <c r="C816" s="156" t="inlineStr">
        <is>
          <t>Multimarca</t>
        </is>
      </c>
      <c r="D816" s="156" t="inlineStr">
        <is>
          <t>XSOSIS-254081</t>
        </is>
      </c>
      <c r="E816" s="156" t="inlineStr">
        <is>
          <t>XSOSIS-254081L0</t>
        </is>
      </c>
      <c r="F816" s="156" t="inlineStr">
        <is>
          <t>L</t>
        </is>
      </c>
      <c r="G816" s="156" t="inlineStr">
        <is>
          <t>L</t>
        </is>
      </c>
      <c r="H816" s="156" t="inlineStr">
        <is>
          <t>Stetson</t>
        </is>
      </c>
      <c r="I816" s="156" t="inlineStr">
        <is>
          <t>Texana Stetson Oasis Natural</t>
        </is>
      </c>
      <c r="J816" s="156" t="inlineStr">
        <is>
          <t>Accesorios</t>
        </is>
      </c>
      <c r="K816" s="156" t="inlineStr">
        <is>
          <t>Sombreros</t>
        </is>
      </c>
      <c r="L816" s="156" t="inlineStr">
        <is>
          <t>Unisex</t>
        </is>
      </c>
      <c r="M816" s="156" t="inlineStr">
        <is>
          <t>Stetson</t>
        </is>
      </c>
      <c r="N816" s="156" t="inlineStr">
        <is>
          <t>SS26</t>
        </is>
      </c>
      <c r="O816" s="156" t="inlineStr">
        <is>
          <t>Seasonal</t>
        </is>
      </c>
      <c r="P816" s="156" t="inlineStr">
        <is>
          <t>Beige</t>
        </is>
      </c>
      <c r="Q816" s="156" t="n"/>
      <c r="R816" s="156" t="inlineStr">
        <is>
          <t>Copa Rancher</t>
        </is>
      </c>
      <c r="S816" s="156" t="inlineStr">
        <is>
          <t>100 % paja Shantung</t>
        </is>
      </c>
      <c r="T816"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6" s="156" t="inlineStr">
        <is>
          <t>México</t>
        </is>
      </c>
      <c r="V816" s="156" t="inlineStr">
        <is>
          <t>PZS</t>
        </is>
      </c>
      <c r="W816" s="51" t="inlineStr">
        <is>
          <t>53102503</t>
        </is>
      </c>
      <c r="X816" s="156" t="inlineStr">
        <is>
          <t>https://cdn.shopify.com/s/files/1/0888/3250/8267/files/XSOSIS-254081-03.jpg?v=1760394503</t>
        </is>
      </c>
      <c r="Y816" s="54" t="n">
        <v>945</v>
      </c>
      <c r="Z816" s="54" t="n">
        <v>2284.482759</v>
      </c>
      <c r="AA816" s="55">
        <f>IF(AND(A816="", B816="", E816=""), "", IF(AB816="", "Válido", IF((LEN(AB816)-LEN(SUBSTITUTE(AB816,"; ","")))/2+1&gt;(LEN(AB816)-LEN(SUBSTITUTE(AB816,"[Aviso]","")))/7, "Con Incidencias", "Válido")))</f>
        <v/>
      </c>
      <c r="AB816" s="56">
        <f>IF(AND(A816="", B816="", E816=""), "", TEXTJOIN("; ", TRUE, IF(OR(TRIM(A816&amp;"")="", ISNUMBER(SEARCH("FALTA", A816))), "UPC faltante/inválido", ""), IF(AND(A816&lt;&gt;"", IFERROR(_xlfn.XMATCH(A816,$A$2:$A$2509,0,1)&lt;&gt;_xlfn.XMATCH(A816,$A$2:$A$2509,0,-1),FALSE)), "Código de barras duplicado", ""), IF(AND(E816&lt;&gt;"", COUNTIF($E$2:$E$2509, E816)&gt;1), "SKU duplicado", ""), IF(OR(J816="", J816=""), "[Aviso] División no capturada ()", IF(ISNA(MATCH(J816, Criterios!$A$123:$A$126, 0)), "División no válida", "")), IF(OR(K816="", K816=""), "[Aviso] Categoría no capturada ()", IF(ISNA(MATCH(K816, Criterios!$A$81:$A$120, 0)), "Categoría no válida", IF(AND(J816&lt;&gt;"", J816&lt;&gt;"", J816&lt;&gt;VLOOKUP(K816, Criterios!$A$81:$B$120, 2, FALSE)), "División no coincide con Categoría", ""))), IF(OR(L816="", L816=""), "[Aviso] Género no capturado ()", IF(ISNA(MATCH(L816, Criterios!$B$123:$B$127, 0)), "Género no válido", "")), IF(OR(N816="", N816=""), "[Aviso] Temporada no capturada ()", IF(ISNA(MATCH(N816, Criterios!$C$123:$C$128, 0)), "Temporada no válida", "")), IF(OR(O816="", O816=""), "[Aviso] Ciclo de vida no capturado ()", IF(ISNA(MATCH(O816, Criterios!$D$123:$D$124, 0)), "Ciclo de vida no válido", ""))))</f>
        <v/>
      </c>
      <c r="AC816" s="56" t="n"/>
      <c r="AD816" s="51" t="n">
        <v>-1</v>
      </c>
      <c r="AE816" s="156" t="inlineStr">
        <is>
          <t>B25 STETSON.MX (1)</t>
        </is>
      </c>
      <c r="AF816" s="51" t="n">
        <v>1</v>
      </c>
      <c r="AG816" s="156" t="inlineStr">
        <is>
          <t>Catálogo existente</t>
        </is>
      </c>
      <c r="AH816" s="156" t="inlineStr">
        <is>
          <t>Stock negativo en sistema: revisar en conteo | Revisión 29/09/2026: Talla fuente L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6" s="156" t="inlineStr">
        <is>
          <t>Sí</t>
        </is>
      </c>
      <c r="AJ816" s="156" t="inlineStr">
        <is>
          <t>PUNTO DE VENTA (-1); STETSON AMERICAS (-1)</t>
        </is>
      </c>
      <c r="AK816" s="155" t="inlineStr">
        <is>
          <t>Criterios: I [Q] | Shopify Stetson: producto 14791414088043 / variante 53350602735979 | Investigación en línea 06/10/2026: https://www.stetson.com/products/oasis-straw-hat-natural</t>
        </is>
      </c>
      <c r="AL816" s="58" t="n">
        <v>945</v>
      </c>
      <c r="AM816" s="58" t="n">
        <v>2284.482759</v>
      </c>
      <c r="AN816" s="155" t="inlineStr">
        <is>
          <t>Shopify Stetson México</t>
        </is>
      </c>
      <c r="AO816" s="59" t="n">
        <v>2</v>
      </c>
      <c r="AP816" s="59" t="n"/>
      <c r="AQ816" s="59" t="n"/>
      <c r="AR816" s="155" t="inlineStr">
        <is>
          <t>Shopify Stetson México › Stetson México: 1 | Shopify Stetson México › Stetson Americas: 1</t>
        </is>
      </c>
    </row>
    <row r="817">
      <c r="A817" s="50" t="inlineStr">
        <is>
          <t>195556116517</t>
        </is>
      </c>
      <c r="B817" s="51" t="inlineStr">
        <is>
          <t>110470</t>
        </is>
      </c>
      <c r="C817" s="156" t="inlineStr">
        <is>
          <t>Multimarca</t>
        </is>
      </c>
      <c r="D817" s="156" t="inlineStr">
        <is>
          <t>XSOSIS-254081</t>
        </is>
      </c>
      <c r="E817" s="156" t="inlineStr">
        <is>
          <t>XSOSIS-254081M0</t>
        </is>
      </c>
      <c r="F817" s="156" t="inlineStr">
        <is>
          <t>M</t>
        </is>
      </c>
      <c r="G817" s="156" t="inlineStr">
        <is>
          <t>M</t>
        </is>
      </c>
      <c r="H817" s="156" t="inlineStr">
        <is>
          <t>Stetson</t>
        </is>
      </c>
      <c r="I817" s="156" t="inlineStr">
        <is>
          <t>Texana Stetson Oasis Natural</t>
        </is>
      </c>
      <c r="J817" s="156" t="inlineStr">
        <is>
          <t>Accesorios</t>
        </is>
      </c>
      <c r="K817" s="156" t="inlineStr">
        <is>
          <t>Sombreros</t>
        </is>
      </c>
      <c r="L817" s="156" t="inlineStr">
        <is>
          <t>Unisex</t>
        </is>
      </c>
      <c r="M817" s="156" t="inlineStr">
        <is>
          <t>Stetson</t>
        </is>
      </c>
      <c r="N817" s="156" t="inlineStr">
        <is>
          <t>SS26</t>
        </is>
      </c>
      <c r="O817" s="156" t="inlineStr">
        <is>
          <t>Seasonal</t>
        </is>
      </c>
      <c r="P817" s="156" t="inlineStr">
        <is>
          <t>Beige</t>
        </is>
      </c>
      <c r="Q817" s="156" t="n"/>
      <c r="R817" s="156" t="inlineStr">
        <is>
          <t>Copa Rancher</t>
        </is>
      </c>
      <c r="S817" s="156" t="inlineStr">
        <is>
          <t>100 % paja Shantung</t>
        </is>
      </c>
      <c r="T817"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7" s="156" t="inlineStr">
        <is>
          <t>México</t>
        </is>
      </c>
      <c r="V817" s="156" t="inlineStr">
        <is>
          <t>PZS</t>
        </is>
      </c>
      <c r="W817" s="51" t="inlineStr">
        <is>
          <t>53102503</t>
        </is>
      </c>
      <c r="X817" s="156" t="inlineStr">
        <is>
          <t>https://cdn.shopify.com/s/files/1/0888/3250/8267/files/XSOSIS-254081-02.jpg?v=1760394503</t>
        </is>
      </c>
      <c r="Y817" s="54" t="n">
        <v>945</v>
      </c>
      <c r="Z817" s="54" t="n">
        <v>2284.482759</v>
      </c>
      <c r="AA817" s="55">
        <f>IF(AND(A817="", B817="", E817=""), "", IF(AB817="", "Válido", IF((LEN(AB817)-LEN(SUBSTITUTE(AB817,"; ","")))/2+1&gt;(LEN(AB817)-LEN(SUBSTITUTE(AB817,"[Aviso]","")))/7, "Con Incidencias", "Válido")))</f>
        <v/>
      </c>
      <c r="AB817" s="56">
        <f>IF(AND(A817="", B817="", E817=""), "", TEXTJOIN("; ", TRUE, IF(OR(TRIM(A817&amp;"")="", ISNUMBER(SEARCH("FALTA", A817))), "UPC faltante/inválido", ""), IF(AND(A817&lt;&gt;"", IFERROR(_xlfn.XMATCH(A817,$A$2:$A$2509,0,1)&lt;&gt;_xlfn.XMATCH(A817,$A$2:$A$2509,0,-1),FALSE)), "Código de barras duplicado", ""), IF(AND(E817&lt;&gt;"", COUNTIF($E$2:$E$2509, E817)&gt;1), "SKU duplicado", ""), IF(OR(J817="", J817=""), "[Aviso] División no capturada ()", IF(ISNA(MATCH(J817, Criterios!$A$123:$A$126, 0)), "División no válida", "")), IF(OR(K817="", K817=""), "[Aviso] Categoría no capturada ()", IF(ISNA(MATCH(K817, Criterios!$A$81:$A$120, 0)), "Categoría no válida", IF(AND(J817&lt;&gt;"", J817&lt;&gt;"", J817&lt;&gt;VLOOKUP(K817, Criterios!$A$81:$B$120, 2, FALSE)), "División no coincide con Categoría", ""))), IF(OR(L817="", L817=""), "[Aviso] Género no capturado ()", IF(ISNA(MATCH(L817, Criterios!$B$123:$B$127, 0)), "Género no válido", "")), IF(OR(N817="", N817=""), "[Aviso] Temporada no capturada ()", IF(ISNA(MATCH(N817, Criterios!$C$123:$C$128, 0)), "Temporada no válida", "")), IF(OR(O817="", O817=""), "[Aviso] Ciclo de vida no capturado ()", IF(ISNA(MATCH(O817, Criterios!$D$123:$D$124, 0)), "Ciclo de vida no válido", ""))))</f>
        <v/>
      </c>
      <c r="AC817" s="56" t="n"/>
      <c r="AD817" s="51" t="n">
        <v>-2</v>
      </c>
      <c r="AE817" s="156" t="inlineStr">
        <is>
          <t>B25 STETSON.MX (2)</t>
        </is>
      </c>
      <c r="AF817" s="51" t="n">
        <v>2</v>
      </c>
      <c r="AG817" s="156" t="inlineStr">
        <is>
          <t>Catálogo existente</t>
        </is>
      </c>
      <c r="AH817" s="156" t="inlineStr">
        <is>
          <t>Stock negativo en sistema: revisar en conteo | Revisión 29/09/2026: Talla fuente M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7" s="156" t="inlineStr">
        <is>
          <t>Sí</t>
        </is>
      </c>
      <c r="AJ817" s="156" t="inlineStr">
        <is>
          <t>STETSON AMERICAS (-2); PUNTO DE VENTA (-2)</t>
        </is>
      </c>
      <c r="AK817" s="155" t="inlineStr">
        <is>
          <t>Criterios: I [Q] | Shopify Stetson: producto 14791414088043 / variante 53350602703211 | Investigación en línea 06/10/2026: https://www.stetson.com/products/oasis-straw-hat-natural</t>
        </is>
      </c>
      <c r="AL817" s="58" t="n">
        <v>945</v>
      </c>
      <c r="AM817" s="58" t="n">
        <v>2284.482759</v>
      </c>
      <c r="AN817" s="155" t="inlineStr">
        <is>
          <t>Shopify Stetson México</t>
        </is>
      </c>
      <c r="AO817" s="59" t="n">
        <v>1</v>
      </c>
      <c r="AP817" s="59" t="n"/>
      <c r="AQ817" s="59" t="n"/>
      <c r="AR817" s="155" t="inlineStr">
        <is>
          <t>Shopify Stetson México › Stetson México: 1</t>
        </is>
      </c>
    </row>
    <row r="818">
      <c r="A818" s="50" t="inlineStr">
        <is>
          <t>195556116524</t>
        </is>
      </c>
      <c r="B818" s="51" t="inlineStr">
        <is>
          <t>110471</t>
        </is>
      </c>
      <c r="C818" s="156" t="inlineStr">
        <is>
          <t>Multimarca</t>
        </is>
      </c>
      <c r="D818" s="156" t="inlineStr">
        <is>
          <t>XSOSIS-254081</t>
        </is>
      </c>
      <c r="E818" s="156" t="inlineStr">
        <is>
          <t>XSOSIS-254081S0</t>
        </is>
      </c>
      <c r="F818" s="156" t="inlineStr">
        <is>
          <t>S</t>
        </is>
      </c>
      <c r="G818" s="156" t="inlineStr">
        <is>
          <t>S</t>
        </is>
      </c>
      <c r="H818" s="156" t="inlineStr">
        <is>
          <t>Stetson</t>
        </is>
      </c>
      <c r="I818" s="156" t="inlineStr">
        <is>
          <t>Texana Stetson Oasis Natural</t>
        </is>
      </c>
      <c r="J818" s="156" t="inlineStr">
        <is>
          <t>Accesorios</t>
        </is>
      </c>
      <c r="K818" s="156" t="inlineStr">
        <is>
          <t>Sombreros</t>
        </is>
      </c>
      <c r="L818" s="156" t="inlineStr">
        <is>
          <t>Unisex</t>
        </is>
      </c>
      <c r="M818" s="156" t="inlineStr">
        <is>
          <t>Stetson</t>
        </is>
      </c>
      <c r="N818" s="156" t="inlineStr">
        <is>
          <t>SS26</t>
        </is>
      </c>
      <c r="O818" s="156" t="inlineStr">
        <is>
          <t>Seasonal</t>
        </is>
      </c>
      <c r="P818" s="156" t="inlineStr">
        <is>
          <t>Beige</t>
        </is>
      </c>
      <c r="Q818" s="156" t="n"/>
      <c r="R818" s="156" t="inlineStr">
        <is>
          <t>Copa Rancher</t>
        </is>
      </c>
      <c r="S818" s="156" t="inlineStr">
        <is>
          <t>100 % paja Shantung</t>
        </is>
      </c>
      <c r="T818"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8" s="156" t="inlineStr">
        <is>
          <t>México</t>
        </is>
      </c>
      <c r="V818" s="156" t="inlineStr">
        <is>
          <t>PZS</t>
        </is>
      </c>
      <c r="W818" s="51" t="inlineStr">
        <is>
          <t>53102503</t>
        </is>
      </c>
      <c r="X818" s="156" t="inlineStr">
        <is>
          <t>https://cdn.shopify.com/s/files/1/0888/3250/8267/files/XSOSIS-254081-01.jpg?v=1760394503</t>
        </is>
      </c>
      <c r="Y818" s="54" t="n">
        <v>945</v>
      </c>
      <c r="Z818" s="54" t="n">
        <v>2284.482759</v>
      </c>
      <c r="AA818" s="55">
        <f>IF(AND(A818="", B818="", E818=""), "", IF(AB818="", "Válido", IF((LEN(AB818)-LEN(SUBSTITUTE(AB818,"; ","")))/2+1&gt;(LEN(AB818)-LEN(SUBSTITUTE(AB818,"[Aviso]","")))/7, "Con Incidencias", "Válido")))</f>
        <v/>
      </c>
      <c r="AB818" s="56">
        <f>IF(AND(A818="", B818="", E818=""), "", TEXTJOIN("; ", TRUE, IF(OR(TRIM(A818&amp;"")="", ISNUMBER(SEARCH("FALTA", A818))), "UPC faltante/inválido", ""), IF(AND(A818&lt;&gt;"", IFERROR(_xlfn.XMATCH(A818,$A$2:$A$2509,0,1)&lt;&gt;_xlfn.XMATCH(A818,$A$2:$A$2509,0,-1),FALSE)), "Código de barras duplicado", ""), IF(AND(E818&lt;&gt;"", COUNTIF($E$2:$E$2509, E818)&gt;1), "SKU duplicado", ""), IF(OR(J818="", J818=""), "[Aviso] División no capturada ()", IF(ISNA(MATCH(J818, Criterios!$A$123:$A$126, 0)), "División no válida", "")), IF(OR(K818="", K818=""), "[Aviso] Categoría no capturada ()", IF(ISNA(MATCH(K818, Criterios!$A$81:$A$120, 0)), "Categoría no válida", IF(AND(J818&lt;&gt;"", J818&lt;&gt;"", J818&lt;&gt;VLOOKUP(K818, Criterios!$A$81:$B$120, 2, FALSE)), "División no coincide con Categoría", ""))), IF(OR(L818="", L818=""), "[Aviso] Género no capturado ()", IF(ISNA(MATCH(L818, Criterios!$B$123:$B$127, 0)), "Género no válido", "")), IF(OR(N818="", N818=""), "[Aviso] Temporada no capturada ()", IF(ISNA(MATCH(N818, Criterios!$C$123:$C$128, 0)), "Temporada no válida", "")), IF(OR(O818="", O818=""), "[Aviso] Ciclo de vida no capturado ()", IF(ISNA(MATCH(O818, Criterios!$D$123:$D$124, 0)), "Ciclo de vida no válido", ""))))</f>
        <v/>
      </c>
      <c r="AC818" s="56" t="n"/>
      <c r="AD818" s="51" t="n">
        <v>-1</v>
      </c>
      <c r="AE818" s="156" t="inlineStr">
        <is>
          <t>B25 STETSON.MX (1)</t>
        </is>
      </c>
      <c r="AF818" s="51" t="n">
        <v>1</v>
      </c>
      <c r="AG818" s="156" t="inlineStr">
        <is>
          <t>Catálogo existente</t>
        </is>
      </c>
      <c r="AH818" s="156" t="inlineStr">
        <is>
          <t>Stock negativo en sistema: revisar en conteo | Revisión 29/09/2026: Talla fuente S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8" s="156" t="inlineStr">
        <is>
          <t>Sí</t>
        </is>
      </c>
      <c r="AJ818" s="156" t="inlineStr">
        <is>
          <t>STETSON AMERICAS (-2)</t>
        </is>
      </c>
      <c r="AK818" s="155" t="inlineStr">
        <is>
          <t>Criterios: I [Q] | Shopify Stetson: producto 14791414088043 / variante 53350602670443 | Investigación en línea 06/10/2026: https://www.stetson.com/products/oasis-straw-hat-natural</t>
        </is>
      </c>
      <c r="AL818" s="58" t="n">
        <v>945</v>
      </c>
      <c r="AM818" s="58" t="n">
        <v>2284.482759</v>
      </c>
      <c r="AN818" s="155" t="inlineStr">
        <is>
          <t>Shopify Stetson México</t>
        </is>
      </c>
      <c r="AO818" s="59" t="n">
        <v>1</v>
      </c>
      <c r="AP818" s="59" t="n"/>
      <c r="AQ818" s="59" t="n"/>
      <c r="AR818" s="155" t="inlineStr">
        <is>
          <t>Shopify Stetson México › Stetson México: 1</t>
        </is>
      </c>
    </row>
    <row r="819">
      <c r="A819" s="50" t="inlineStr">
        <is>
          <t>195556116531</t>
        </is>
      </c>
      <c r="B819" s="51" t="inlineStr">
        <is>
          <t>110472</t>
        </is>
      </c>
      <c r="C819" s="156" t="inlineStr">
        <is>
          <t>Multimarca</t>
        </is>
      </c>
      <c r="D819" s="156" t="inlineStr">
        <is>
          <t>XSOSIS-254081</t>
        </is>
      </c>
      <c r="E819" s="156" t="inlineStr">
        <is>
          <t>XSOSIS-254081XL</t>
        </is>
      </c>
      <c r="F819" s="156" t="inlineStr">
        <is>
          <t>XL</t>
        </is>
      </c>
      <c r="G819" s="156" t="inlineStr">
        <is>
          <t>XL</t>
        </is>
      </c>
      <c r="H819" s="156" t="inlineStr">
        <is>
          <t>Stetson</t>
        </is>
      </c>
      <c r="I819" s="156" t="inlineStr">
        <is>
          <t>Texana Stetson Oasis Natural</t>
        </is>
      </c>
      <c r="J819" s="156" t="inlineStr">
        <is>
          <t>Accesorios</t>
        </is>
      </c>
      <c r="K819" s="156" t="inlineStr">
        <is>
          <t>Sombreros</t>
        </is>
      </c>
      <c r="L819" s="156" t="inlineStr">
        <is>
          <t>Unisex</t>
        </is>
      </c>
      <c r="M819" s="156" t="inlineStr">
        <is>
          <t>Stetson</t>
        </is>
      </c>
      <c r="N819" s="156" t="inlineStr">
        <is>
          <t>SS26</t>
        </is>
      </c>
      <c r="O819" s="156" t="inlineStr">
        <is>
          <t>Seasonal</t>
        </is>
      </c>
      <c r="P819" s="156" t="inlineStr">
        <is>
          <t>Beige</t>
        </is>
      </c>
      <c r="Q819" s="156" t="n"/>
      <c r="R819" s="156" t="inlineStr">
        <is>
          <t>Copa Rancher</t>
        </is>
      </c>
      <c r="S819" s="156" t="inlineStr">
        <is>
          <t>100 % paja Shantung</t>
        </is>
      </c>
      <c r="T819"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9" s="156" t="inlineStr">
        <is>
          <t>México</t>
        </is>
      </c>
      <c r="V819" s="156" t="inlineStr">
        <is>
          <t>PZS</t>
        </is>
      </c>
      <c r="W819" s="51" t="inlineStr">
        <is>
          <t>53102503</t>
        </is>
      </c>
      <c r="X819" s="156" t="inlineStr">
        <is>
          <t>https://cdn.shopify.com/s/files/1/0888/3250/8267/files/XSOSIS-254081-04.jpg?v=1760394503</t>
        </is>
      </c>
      <c r="Y819" s="54" t="n">
        <v>945</v>
      </c>
      <c r="Z819" s="54" t="n">
        <v>2284.482759</v>
      </c>
      <c r="AA819" s="55">
        <f>IF(AND(A819="", B819="", E819=""), "", IF(AB819="", "Válido", IF((LEN(AB819)-LEN(SUBSTITUTE(AB819,"; ","")))/2+1&gt;(LEN(AB819)-LEN(SUBSTITUTE(AB819,"[Aviso]","")))/7, "Con Incidencias", "Válido")))</f>
        <v/>
      </c>
      <c r="AB819" s="56">
        <f>IF(AND(A819="", B819="", E819=""), "", TEXTJOIN("; ", TRUE, IF(OR(TRIM(A819&amp;"")="", ISNUMBER(SEARCH("FALTA", A819))), "UPC faltante/inválido", ""), IF(AND(A819&lt;&gt;"", IFERROR(_xlfn.XMATCH(A819,$A$2:$A$2509,0,1)&lt;&gt;_xlfn.XMATCH(A819,$A$2:$A$2509,0,-1),FALSE)), "Código de barras duplicado", ""), IF(AND(E819&lt;&gt;"", COUNTIF($E$2:$E$2509, E819)&gt;1), "SKU duplicado", ""), IF(OR(J819="", J819=""), "[Aviso] División no capturada ()", IF(ISNA(MATCH(J819, Criterios!$A$123:$A$126, 0)), "División no válida", "")), IF(OR(K819="", K819=""), "[Aviso] Categoría no capturada ()", IF(ISNA(MATCH(K819, Criterios!$A$81:$A$120, 0)), "Categoría no válida", IF(AND(J819&lt;&gt;"", J819&lt;&gt;"", J819&lt;&gt;VLOOKUP(K819, Criterios!$A$81:$B$120, 2, FALSE)), "División no coincide con Categoría", ""))), IF(OR(L819="", L819=""), "[Aviso] Género no capturado ()", IF(ISNA(MATCH(L819, Criterios!$B$123:$B$127, 0)), "Género no válido", "")), IF(OR(N819="", N819=""), "[Aviso] Temporada no capturada ()", IF(ISNA(MATCH(N819, Criterios!$C$123:$C$128, 0)), "Temporada no válida", "")), IF(OR(O819="", O819=""), "[Aviso] Ciclo de vida no capturado ()", IF(ISNA(MATCH(O819, Criterios!$D$123:$D$124, 0)), "Ciclo de vida no válido", ""))))</f>
        <v/>
      </c>
      <c r="AC819" s="56" t="n"/>
      <c r="AD819" s="51" t="n">
        <v>0</v>
      </c>
      <c r="AE819" s="156" t="inlineStr">
        <is>
          <t>B25 STETSON.MX (1)</t>
        </is>
      </c>
      <c r="AF819" s="51" t="n">
        <v>1</v>
      </c>
      <c r="AG819" s="156" t="inlineStr">
        <is>
          <t>Catálogo existente</t>
        </is>
      </c>
      <c r="AH819" s="156" t="inlineStr">
        <is>
          <t>Revisión 29/09/2026: Talla fuente XL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9" s="156" t="inlineStr">
        <is>
          <t>Sí</t>
        </is>
      </c>
      <c r="AJ819" s="156" t="inlineStr">
        <is>
          <t>STETSON AMERICAS (-1)</t>
        </is>
      </c>
      <c r="AK819" s="155" t="inlineStr">
        <is>
          <t>Criterios: I [Q] | Shopify Stetson: producto 14791414088043 / variante 53350602768747 | Investigación en línea 06/10/2026: https://www.stetson.com/products/oasis-straw-hat-natural</t>
        </is>
      </c>
      <c r="AL819" s="58" t="n">
        <v>945</v>
      </c>
      <c r="AM819" s="58" t="n">
        <v>2284.482759</v>
      </c>
      <c r="AN819" s="155" t="inlineStr">
        <is>
          <t>Shopify Stetson México</t>
        </is>
      </c>
      <c r="AO819" s="59" t="n">
        <v>2</v>
      </c>
      <c r="AP819" s="59" t="n"/>
      <c r="AQ819" s="59" t="n"/>
      <c r="AR819" s="155" t="inlineStr">
        <is>
          <t>Shopify Stetson México › Stetson México: 1 | Shopify Stetson México › Stetson Americas: 1</t>
        </is>
      </c>
    </row>
    <row r="820">
      <c r="A820" s="50" t="inlineStr">
        <is>
          <t>195556118375</t>
        </is>
      </c>
      <c r="B820" s="51" t="inlineStr">
        <is>
          <t>110465</t>
        </is>
      </c>
      <c r="C820" s="156" t="inlineStr">
        <is>
          <t>Multimarca</t>
        </is>
      </c>
      <c r="D820" s="156" t="inlineStr">
        <is>
          <t>XSLRLH-093681</t>
        </is>
      </c>
      <c r="E820" s="156" t="inlineStr">
        <is>
          <t>XSLRLH-093681L0</t>
        </is>
      </c>
      <c r="F820" s="156" t="inlineStr">
        <is>
          <t>L</t>
        </is>
      </c>
      <c r="G820" s="156" t="inlineStr">
        <is>
          <t>L</t>
        </is>
      </c>
      <c r="H820" s="156" t="inlineStr">
        <is>
          <t>Stetson</t>
        </is>
      </c>
      <c r="I820" s="156" t="inlineStr">
        <is>
          <t>Sombrero Stetson Laurel Hill Natural</t>
        </is>
      </c>
      <c r="J820" s="156" t="inlineStr">
        <is>
          <t>Accesorios</t>
        </is>
      </c>
      <c r="K820" s="156" t="inlineStr">
        <is>
          <t>Sombreros</t>
        </is>
      </c>
      <c r="L820" s="156" t="inlineStr">
        <is>
          <t>Unisex</t>
        </is>
      </c>
      <c r="M820" s="156" t="inlineStr">
        <is>
          <t>Stetson</t>
        </is>
      </c>
      <c r="N820" s="156" t="inlineStr">
        <is>
          <t>SS26</t>
        </is>
      </c>
      <c r="O820" s="156" t="inlineStr">
        <is>
          <t>Seasonal</t>
        </is>
      </c>
      <c r="P820" s="156" t="inlineStr">
        <is>
          <t>Beige</t>
        </is>
      </c>
      <c r="Q820" s="156" t="n"/>
      <c r="R820" s="156" t="inlineStr">
        <is>
          <t>Copa Rancher</t>
        </is>
      </c>
      <c r="S820" s="156" t="inlineStr">
        <is>
          <t>100% Paja</t>
        </is>
      </c>
      <c r="T820"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0" s="156" t="inlineStr">
        <is>
          <t>Estados Unidos</t>
        </is>
      </c>
      <c r="V820" s="156" t="inlineStr">
        <is>
          <t>PZS</t>
        </is>
      </c>
      <c r="W820" s="51" t="inlineStr">
        <is>
          <t>53102503</t>
        </is>
      </c>
      <c r="X820" s="156" t="inlineStr">
        <is>
          <t>https://cdn.shopify.com/s/files/1/0888/3250/8267/files/XSLRLH-0936-81-L0-03.png?v=1760017892</t>
        </is>
      </c>
      <c r="Y820" s="54" t="n">
        <v>1575</v>
      </c>
      <c r="Z820" s="54" t="n">
        <v>3793.103448</v>
      </c>
      <c r="AA820" s="55">
        <f>IF(AND(A820="", B820="", E820=""), "", IF(AB820="", "Válido", IF((LEN(AB820)-LEN(SUBSTITUTE(AB820,"; ","")))/2+1&gt;(LEN(AB820)-LEN(SUBSTITUTE(AB820,"[Aviso]","")))/7, "Con Incidencias", "Válido")))</f>
        <v/>
      </c>
      <c r="AB820" s="56">
        <f>IF(AND(A820="", B820="", E820=""), "", TEXTJOIN("; ", TRUE, IF(OR(TRIM(A820&amp;"")="", ISNUMBER(SEARCH("FALTA", A820))), "UPC faltante/inválido", ""), IF(AND(A820&lt;&gt;"", IFERROR(_xlfn.XMATCH(A820,$A$2:$A$2509,0,1)&lt;&gt;_xlfn.XMATCH(A820,$A$2:$A$2509,0,-1),FALSE)), "Código de barras duplicado", ""), IF(AND(E820&lt;&gt;"", COUNTIF($E$2:$E$2509, E820)&gt;1), "SKU duplicado", ""), IF(OR(J820="", J820=""), "[Aviso] División no capturada ()", IF(ISNA(MATCH(J820, Criterios!$A$123:$A$126, 0)), "División no válida", "")), IF(OR(K820="", K820=""), "[Aviso] Categoría no capturada ()", IF(ISNA(MATCH(K820, Criterios!$A$81:$A$120, 0)), "Categoría no válida", IF(AND(J820&lt;&gt;"", J820&lt;&gt;"", J820&lt;&gt;VLOOKUP(K820, Criterios!$A$81:$B$120, 2, FALSE)), "División no coincide con Categoría", ""))), IF(OR(L820="", L820=""), "[Aviso] Género no capturado ()", IF(ISNA(MATCH(L820, Criterios!$B$123:$B$127, 0)), "Género no válido", "")), IF(OR(N820="", N820=""), "[Aviso] Temporada no capturada ()", IF(ISNA(MATCH(N820, Criterios!$C$123:$C$128, 0)), "Temporada no válida", "")), IF(OR(O820="", O820=""), "[Aviso] Ciclo de vida no capturado ()", IF(ISNA(MATCH(O820, Criterios!$D$123:$D$124, 0)), "Ciclo de vida no válido", ""))))</f>
        <v/>
      </c>
      <c r="AC820" s="56" t="n"/>
      <c r="AD820" s="51" t="n">
        <v>-1</v>
      </c>
      <c r="AE820" s="156" t="n"/>
      <c r="AF820" s="51" t="n">
        <v>0</v>
      </c>
      <c r="AG820" s="156" t="inlineStr">
        <is>
          <t>Catálogo existente</t>
        </is>
      </c>
      <c r="AH820" s="156" t="inlineStr">
        <is>
          <t>Stock negativo en sistema: revisar en conteo | Revisión 29/09/2026: Talla fuente L sin equivalencia exacta en Criterios para Talla Sombrero | 01/10/2026: complementado desde Shopify Stetson México (match por código de barras): WB Fit, WB Silueta | 01/10/2026: Shopify Stetson México trae Color «Varios» — se conservó el valor de Productos</t>
        </is>
      </c>
      <c r="AI820" s="156" t="inlineStr">
        <is>
          <t>Sí</t>
        </is>
      </c>
      <c r="AJ820" s="156" t="inlineStr">
        <is>
          <t>STETSON AMERICAS (-1)</t>
        </is>
      </c>
      <c r="AK820" s="155" t="inlineStr">
        <is>
          <t>Criterios: I [Q] | Shopify Stetson: producto 14789673419115 / variante 53350605750635</t>
        </is>
      </c>
      <c r="AL820" s="58" t="n">
        <v>1575</v>
      </c>
      <c r="AM820" s="58" t="n">
        <v>3793.103448</v>
      </c>
      <c r="AN820" s="155" t="inlineStr">
        <is>
          <t>Shopify Stetson México</t>
        </is>
      </c>
      <c r="AO820" s="59" t="n">
        <v>0</v>
      </c>
      <c r="AP820" s="59" t="n"/>
      <c r="AQ820" s="59" t="n"/>
      <c r="AR820" s="155" t="n"/>
    </row>
    <row r="821">
      <c r="A821" s="50" t="inlineStr">
        <is>
          <t>195556118382</t>
        </is>
      </c>
      <c r="B821" s="51" t="inlineStr">
        <is>
          <t>110466</t>
        </is>
      </c>
      <c r="C821" s="156" t="inlineStr">
        <is>
          <t>Multimarca</t>
        </is>
      </c>
      <c r="D821" s="156" t="inlineStr">
        <is>
          <t>XSLRLH-093681</t>
        </is>
      </c>
      <c r="E821" s="156" t="inlineStr">
        <is>
          <t>XSLRLH-093681M0</t>
        </is>
      </c>
      <c r="F821" s="156" t="inlineStr">
        <is>
          <t>M</t>
        </is>
      </c>
      <c r="G821" s="156" t="inlineStr">
        <is>
          <t>M</t>
        </is>
      </c>
      <c r="H821" s="156" t="inlineStr">
        <is>
          <t>Stetson</t>
        </is>
      </c>
      <c r="I821" s="156" t="inlineStr">
        <is>
          <t>Sombrero Stetson Laurel Hill Natural</t>
        </is>
      </c>
      <c r="J821" s="156" t="inlineStr">
        <is>
          <t>Accesorios</t>
        </is>
      </c>
      <c r="K821" s="156" t="inlineStr">
        <is>
          <t>Sombreros</t>
        </is>
      </c>
      <c r="L821" s="156" t="inlineStr">
        <is>
          <t>Unisex</t>
        </is>
      </c>
      <c r="M821" s="156" t="inlineStr">
        <is>
          <t>Stetson</t>
        </is>
      </c>
      <c r="N821" s="156" t="inlineStr">
        <is>
          <t>SS26</t>
        </is>
      </c>
      <c r="O821" s="156" t="inlineStr">
        <is>
          <t>Seasonal</t>
        </is>
      </c>
      <c r="P821" s="156" t="inlineStr">
        <is>
          <t>Beige</t>
        </is>
      </c>
      <c r="Q821" s="156" t="n"/>
      <c r="R821" s="156" t="inlineStr">
        <is>
          <t>Copa Rancher</t>
        </is>
      </c>
      <c r="S821" s="156" t="inlineStr">
        <is>
          <t>100% Paja</t>
        </is>
      </c>
      <c r="T821"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1" s="156" t="inlineStr">
        <is>
          <t>Estados Unidos</t>
        </is>
      </c>
      <c r="V821" s="156" t="inlineStr">
        <is>
          <t>PZS</t>
        </is>
      </c>
      <c r="W821" s="51" t="inlineStr">
        <is>
          <t>53102503</t>
        </is>
      </c>
      <c r="X821" s="156" t="inlineStr">
        <is>
          <t>https://cdn.shopify.com/s/files/1/0888/3250/8267/files/XSLRLH-0936-81-L0-02.png?v=1760017892</t>
        </is>
      </c>
      <c r="Y821" s="54" t="n">
        <v>1575</v>
      </c>
      <c r="Z821" s="54" t="n">
        <v>3793.103448</v>
      </c>
      <c r="AA821" s="55">
        <f>IF(AND(A821="", B821="", E821=""), "", IF(AB821="", "Válido", IF((LEN(AB821)-LEN(SUBSTITUTE(AB821,"; ","")))/2+1&gt;(LEN(AB821)-LEN(SUBSTITUTE(AB821,"[Aviso]","")))/7, "Con Incidencias", "Válido")))</f>
        <v/>
      </c>
      <c r="AB821" s="56">
        <f>IF(AND(A821="", B821="", E821=""), "", TEXTJOIN("; ", TRUE, IF(OR(TRIM(A821&amp;"")="", ISNUMBER(SEARCH("FALTA", A821))), "UPC faltante/inválido", ""), IF(AND(A821&lt;&gt;"", IFERROR(_xlfn.XMATCH(A821,$A$2:$A$2509,0,1)&lt;&gt;_xlfn.XMATCH(A821,$A$2:$A$2509,0,-1),FALSE)), "Código de barras duplicado", ""), IF(AND(E821&lt;&gt;"", COUNTIF($E$2:$E$2509, E821)&gt;1), "SKU duplicado", ""), IF(OR(J821="", J821=""), "[Aviso] División no capturada ()", IF(ISNA(MATCH(J821, Criterios!$A$123:$A$126, 0)), "División no válida", "")), IF(OR(K821="", K821=""), "[Aviso] Categoría no capturada ()", IF(ISNA(MATCH(K821, Criterios!$A$81:$A$120, 0)), "Categoría no válida", IF(AND(J821&lt;&gt;"", J821&lt;&gt;"", J821&lt;&gt;VLOOKUP(K821, Criterios!$A$81:$B$120, 2, FALSE)), "División no coincide con Categoría", ""))), IF(OR(L821="", L821=""), "[Aviso] Género no capturado ()", IF(ISNA(MATCH(L821, Criterios!$B$123:$B$127, 0)), "Género no válido", "")), IF(OR(N821="", N821=""), "[Aviso] Temporada no capturada ()", IF(ISNA(MATCH(N821, Criterios!$C$123:$C$128, 0)), "Temporada no válida", "")), IF(OR(O821="", O821=""), "[Aviso] Ciclo de vida no capturado ()", IF(ISNA(MATCH(O821, Criterios!$D$123:$D$124, 0)), "Ciclo de vida no válido", ""))))</f>
        <v/>
      </c>
      <c r="AC821" s="56" t="n"/>
      <c r="AD821" s="51" t="n">
        <v>0</v>
      </c>
      <c r="AE821" s="156" t="n"/>
      <c r="AF821" s="51" t="n">
        <v>0</v>
      </c>
      <c r="AG821" s="156" t="inlineStr">
        <is>
          <t>Catálogo existente</t>
        </is>
      </c>
      <c r="AH821" s="156" t="inlineStr">
        <is>
          <t>Revisión 29/09/2026: Talla fuente M sin equivalencia exacta en Criterios para Talla Sombrero | 01/10/2026: complementado desde Shopify Stetson México (match por código de barras): WB Fit, WB Silueta | 01/10/2026: Shopify Stetson México trae Color «Varios» — se conservó el valor de Productos</t>
        </is>
      </c>
      <c r="AI821" s="156" t="inlineStr">
        <is>
          <t>No</t>
        </is>
      </c>
      <c r="AJ821" s="156" t="n"/>
      <c r="AK821" s="155" t="inlineStr">
        <is>
          <t>Criterios: I [Q] | Shopify Stetson: producto 14789673419115 / variante 53350605717867</t>
        </is>
      </c>
      <c r="AL821" s="58" t="n">
        <v>1575</v>
      </c>
      <c r="AM821" s="58" t="n">
        <v>3793.103448</v>
      </c>
      <c r="AN821" s="155" t="inlineStr">
        <is>
          <t>Shopify Stetson México</t>
        </is>
      </c>
      <c r="AO821" s="59" t="n">
        <v>0</v>
      </c>
      <c r="AP821" s="59" t="n"/>
      <c r="AQ821" s="59" t="n"/>
      <c r="AR821" s="155" t="n"/>
    </row>
    <row r="822">
      <c r="A822" s="50" t="inlineStr">
        <is>
          <t>195556118399</t>
        </is>
      </c>
      <c r="B822" s="51" t="inlineStr">
        <is>
          <t>110467</t>
        </is>
      </c>
      <c r="C822" s="156" t="inlineStr">
        <is>
          <t>Multimarca</t>
        </is>
      </c>
      <c r="D822" s="156" t="inlineStr">
        <is>
          <t>XSLRLH-093681</t>
        </is>
      </c>
      <c r="E822" s="156" t="inlineStr">
        <is>
          <t>XSLRLH-093681S0</t>
        </is>
      </c>
      <c r="F822" s="156" t="inlineStr">
        <is>
          <t>S</t>
        </is>
      </c>
      <c r="G822" s="156" t="inlineStr">
        <is>
          <t>S</t>
        </is>
      </c>
      <c r="H822" s="156" t="inlineStr">
        <is>
          <t>Stetson</t>
        </is>
      </c>
      <c r="I822" s="156" t="inlineStr">
        <is>
          <t>Sombrero Stetson Laurel Hill Natural</t>
        </is>
      </c>
      <c r="J822" s="156" t="inlineStr">
        <is>
          <t>Accesorios</t>
        </is>
      </c>
      <c r="K822" s="156" t="inlineStr">
        <is>
          <t>Sombreros</t>
        </is>
      </c>
      <c r="L822" s="156" t="inlineStr">
        <is>
          <t>Unisex</t>
        </is>
      </c>
      <c r="M822" s="156" t="inlineStr">
        <is>
          <t>Stetson</t>
        </is>
      </c>
      <c r="N822" s="156" t="inlineStr">
        <is>
          <t>SS26</t>
        </is>
      </c>
      <c r="O822" s="156" t="inlineStr">
        <is>
          <t>Seasonal</t>
        </is>
      </c>
      <c r="P822" s="156" t="inlineStr">
        <is>
          <t>Beige</t>
        </is>
      </c>
      <c r="Q822" s="156" t="n"/>
      <c r="R822" s="156" t="inlineStr">
        <is>
          <t>Copa Rancher</t>
        </is>
      </c>
      <c r="S822" s="156" t="inlineStr">
        <is>
          <t>100% Paja</t>
        </is>
      </c>
      <c r="T822"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2" s="156" t="inlineStr">
        <is>
          <t>Estados Unidos</t>
        </is>
      </c>
      <c r="V822" s="156" t="inlineStr">
        <is>
          <t>PZS</t>
        </is>
      </c>
      <c r="W822" s="51" t="inlineStr">
        <is>
          <t>53102503</t>
        </is>
      </c>
      <c r="X822" s="156" t="inlineStr">
        <is>
          <t>https://cdn.shopify.com/s/files/1/0888/3250/8267/files/XSLRLH-0936-81-L0-01.png?v=1760017893</t>
        </is>
      </c>
      <c r="Y822" s="54" t="n">
        <v>1575</v>
      </c>
      <c r="Z822" s="54" t="n">
        <v>3793.103448</v>
      </c>
      <c r="AA822" s="55">
        <f>IF(AND(A822="", B822="", E822=""), "", IF(AB822="", "Válido", IF((LEN(AB822)-LEN(SUBSTITUTE(AB822,"; ","")))/2+1&gt;(LEN(AB822)-LEN(SUBSTITUTE(AB822,"[Aviso]","")))/7, "Con Incidencias", "Válido")))</f>
        <v/>
      </c>
      <c r="AB822" s="56">
        <f>IF(AND(A822="", B822="", E822=""), "", TEXTJOIN("; ", TRUE, IF(OR(TRIM(A822&amp;"")="", ISNUMBER(SEARCH("FALTA", A822))), "UPC faltante/inválido", ""), IF(AND(A822&lt;&gt;"", IFERROR(_xlfn.XMATCH(A822,$A$2:$A$2509,0,1)&lt;&gt;_xlfn.XMATCH(A822,$A$2:$A$2509,0,-1),FALSE)), "Código de barras duplicado", ""), IF(AND(E822&lt;&gt;"", COUNTIF($E$2:$E$2509, E822)&gt;1), "SKU duplicado", ""), IF(OR(J822="", J822=""), "[Aviso] División no capturada ()", IF(ISNA(MATCH(J822, Criterios!$A$123:$A$126, 0)), "División no válida", "")), IF(OR(K822="", K822=""), "[Aviso] Categoría no capturada ()", IF(ISNA(MATCH(K822, Criterios!$A$81:$A$120, 0)), "Categoría no válida", IF(AND(J822&lt;&gt;"", J822&lt;&gt;"", J822&lt;&gt;VLOOKUP(K822, Criterios!$A$81:$B$120, 2, FALSE)), "División no coincide con Categoría", ""))), IF(OR(L822="", L822=""), "[Aviso] Género no capturado ()", IF(ISNA(MATCH(L822, Criterios!$B$123:$B$127, 0)), "Género no válido", "")), IF(OR(N822="", N822=""), "[Aviso] Temporada no capturada ()", IF(ISNA(MATCH(N822, Criterios!$C$123:$C$128, 0)), "Temporada no válida", "")), IF(OR(O822="", O822=""), "[Aviso] Ciclo de vida no capturado ()", IF(ISNA(MATCH(O822, Criterios!$D$123:$D$124, 0)), "Ciclo de vida no válido", ""))))</f>
        <v/>
      </c>
      <c r="AC822" s="56" t="n"/>
      <c r="AD822" s="51" t="n">
        <v>0</v>
      </c>
      <c r="AE822" s="156" t="n"/>
      <c r="AF822" s="51" t="n">
        <v>0</v>
      </c>
      <c r="AG822" s="156" t="inlineStr">
        <is>
          <t>Catálogo existente</t>
        </is>
      </c>
      <c r="AH822" s="156" t="inlineStr">
        <is>
          <t>Revisión 29/09/2026: Talla fuente S sin equivalencia exacta en Criterios para Talla Sombrero | 01/10/2026: complementado desde Shopify Stetson México (match por código de barras): WB Fit, WB Silueta | 01/10/2026: Shopify Stetson México trae Color «Varios» — se conservó el valor de Productos</t>
        </is>
      </c>
      <c r="AI822" s="156" t="inlineStr">
        <is>
          <t>No</t>
        </is>
      </c>
      <c r="AJ822" s="156" t="n"/>
      <c r="AK822" s="155" t="inlineStr">
        <is>
          <t>Criterios: I [Q] | Shopify Stetson: producto 14789673419115 / variante 53350605685099</t>
        </is>
      </c>
      <c r="AL822" s="58" t="n">
        <v>1575</v>
      </c>
      <c r="AM822" s="58" t="n">
        <v>3793.103448</v>
      </c>
      <c r="AN822" s="155" t="inlineStr">
        <is>
          <t>Shopify Stetson México</t>
        </is>
      </c>
      <c r="AO822" s="59" t="n">
        <v>1</v>
      </c>
      <c r="AP822" s="59" t="n"/>
      <c r="AQ822" s="59" t="n"/>
      <c r="AR822" s="155" t="inlineStr">
        <is>
          <t>Shopify Stetson México › Stetson Americas: 1</t>
        </is>
      </c>
    </row>
    <row r="823">
      <c r="A823" s="50" t="inlineStr">
        <is>
          <t>195556118405</t>
        </is>
      </c>
      <c r="B823" s="51" t="inlineStr">
        <is>
          <t>110468</t>
        </is>
      </c>
      <c r="C823" s="156" t="inlineStr">
        <is>
          <t>Multimarca</t>
        </is>
      </c>
      <c r="D823" s="156" t="inlineStr">
        <is>
          <t>XSLRLH-093681</t>
        </is>
      </c>
      <c r="E823" s="156" t="inlineStr">
        <is>
          <t>XSLRLH-093681XL</t>
        </is>
      </c>
      <c r="F823" s="156" t="inlineStr">
        <is>
          <t>XL</t>
        </is>
      </c>
      <c r="G823" s="156" t="inlineStr">
        <is>
          <t>XL</t>
        </is>
      </c>
      <c r="H823" s="156" t="inlineStr">
        <is>
          <t>Stetson</t>
        </is>
      </c>
      <c r="I823" s="156" t="inlineStr">
        <is>
          <t>Sombrero Stetson Laurel Hill Natural</t>
        </is>
      </c>
      <c r="J823" s="156" t="inlineStr">
        <is>
          <t>Accesorios</t>
        </is>
      </c>
      <c r="K823" s="156" t="inlineStr">
        <is>
          <t>Sombreros</t>
        </is>
      </c>
      <c r="L823" s="156" t="inlineStr">
        <is>
          <t>Unisex</t>
        </is>
      </c>
      <c r="M823" s="156" t="inlineStr">
        <is>
          <t>Stetson</t>
        </is>
      </c>
      <c r="N823" s="156" t="inlineStr">
        <is>
          <t>SS26</t>
        </is>
      </c>
      <c r="O823" s="156" t="inlineStr">
        <is>
          <t>Seasonal</t>
        </is>
      </c>
      <c r="P823" s="156" t="inlineStr">
        <is>
          <t>Beige</t>
        </is>
      </c>
      <c r="Q823" s="156" t="n"/>
      <c r="R823" s="156" t="inlineStr">
        <is>
          <t>Copa Rancher</t>
        </is>
      </c>
      <c r="S823" s="156" t="inlineStr">
        <is>
          <t>100% Paja</t>
        </is>
      </c>
      <c r="T823"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3" s="156" t="inlineStr">
        <is>
          <t>Estados Unidos</t>
        </is>
      </c>
      <c r="V823" s="156" t="inlineStr">
        <is>
          <t>PZS</t>
        </is>
      </c>
      <c r="W823" s="51" t="inlineStr">
        <is>
          <t>53102503</t>
        </is>
      </c>
      <c r="X823" s="156" t="inlineStr">
        <is>
          <t>https://cdn.shopify.com/s/files/1/0888/3250/8267/files/XSLRLH-0936-81-L0-04.png?v=1760017892</t>
        </is>
      </c>
      <c r="Y823" s="54" t="n">
        <v>1575</v>
      </c>
      <c r="Z823" s="54" t="n">
        <v>3793.103448</v>
      </c>
      <c r="AA823" s="55">
        <f>IF(AND(A823="", B823="", E823=""), "", IF(AB823="", "Válido", IF((LEN(AB823)-LEN(SUBSTITUTE(AB823,"; ","")))/2+1&gt;(LEN(AB823)-LEN(SUBSTITUTE(AB823,"[Aviso]","")))/7, "Con Incidencias", "Válido")))</f>
        <v/>
      </c>
      <c r="AB823" s="56">
        <f>IF(AND(A823="", B823="", E823=""), "", TEXTJOIN("; ", TRUE, IF(OR(TRIM(A823&amp;"")="", ISNUMBER(SEARCH("FALTA", A823))), "UPC faltante/inválido", ""), IF(AND(A823&lt;&gt;"", IFERROR(_xlfn.XMATCH(A823,$A$2:$A$2509,0,1)&lt;&gt;_xlfn.XMATCH(A823,$A$2:$A$2509,0,-1),FALSE)), "Código de barras duplicado", ""), IF(AND(E823&lt;&gt;"", COUNTIF($E$2:$E$2509, E823)&gt;1), "SKU duplicado", ""), IF(OR(J823="", J823=""), "[Aviso] División no capturada ()", IF(ISNA(MATCH(J823, Criterios!$A$123:$A$126, 0)), "División no válida", "")), IF(OR(K823="", K823=""), "[Aviso] Categoría no capturada ()", IF(ISNA(MATCH(K823, Criterios!$A$81:$A$120, 0)), "Categoría no válida", IF(AND(J823&lt;&gt;"", J823&lt;&gt;"", J823&lt;&gt;VLOOKUP(K823, Criterios!$A$81:$B$120, 2, FALSE)), "División no coincide con Categoría", ""))), IF(OR(L823="", L823=""), "[Aviso] Género no capturado ()", IF(ISNA(MATCH(L823, Criterios!$B$123:$B$127, 0)), "Género no válido", "")), IF(OR(N823="", N823=""), "[Aviso] Temporada no capturada ()", IF(ISNA(MATCH(N823, Criterios!$C$123:$C$128, 0)), "Temporada no válida", "")), IF(OR(O823="", O823=""), "[Aviso] Ciclo de vida no capturado ()", IF(ISNA(MATCH(O823, Criterios!$D$123:$D$124, 0)), "Ciclo de vida no válido", ""))))</f>
        <v/>
      </c>
      <c r="AC823" s="56" t="n"/>
      <c r="AD823" s="51" t="n">
        <v>0</v>
      </c>
      <c r="AE823" s="156" t="n"/>
      <c r="AF823" s="51" t="n">
        <v>0</v>
      </c>
      <c r="AG823" s="156" t="inlineStr">
        <is>
          <t>Catálogo existente</t>
        </is>
      </c>
      <c r="AH823" s="156" t="inlineStr">
        <is>
          <t>Revisión 29/09/2026: Talla fuente XL sin equivalencia exacta en Criterios para Talla Sombrero | 01/10/2026: complementado desde Shopify Stetson México (match por código de barras): WB Fit, WB Silueta | 01/10/2026: Shopify Stetson México trae Color «Varios» — se conservó el valor de Productos</t>
        </is>
      </c>
      <c r="AI823" s="156" t="inlineStr">
        <is>
          <t>No</t>
        </is>
      </c>
      <c r="AJ823" s="156" t="n"/>
      <c r="AK823" s="155" t="inlineStr">
        <is>
          <t>Criterios: I [Q] | Shopify Stetson: producto 14789673419115 / variante 53350605783403</t>
        </is>
      </c>
      <c r="AL823" s="58" t="n">
        <v>1575</v>
      </c>
      <c r="AM823" s="58" t="n">
        <v>3793.103448</v>
      </c>
      <c r="AN823" s="155" t="inlineStr">
        <is>
          <t>Shopify Stetson México</t>
        </is>
      </c>
      <c r="AO823" s="59" t="n">
        <v>0</v>
      </c>
      <c r="AP823" s="59" t="n"/>
      <c r="AQ823" s="59" t="n"/>
      <c r="AR823" s="155" t="n"/>
    </row>
    <row r="824">
      <c r="A824" s="50" t="inlineStr">
        <is>
          <t>195556119082</t>
        </is>
      </c>
      <c r="B824" s="51" t="inlineStr">
        <is>
          <t>110226</t>
        </is>
      </c>
      <c r="C824" s="156" t="inlineStr">
        <is>
          <t>Multimarca</t>
        </is>
      </c>
      <c r="D824" s="156" t="inlineStr">
        <is>
          <t>SSTHDR-WR42P1</t>
        </is>
      </c>
      <c r="E824" s="156" t="inlineStr">
        <is>
          <t>SSTHDR-WR42P170</t>
        </is>
      </c>
      <c r="F824" s="156" t="inlineStr">
        <is>
          <t>7</t>
        </is>
      </c>
      <c r="G824" s="156" t="inlineStr">
        <is>
          <t>7</t>
        </is>
      </c>
      <c r="H824" s="156" t="inlineStr">
        <is>
          <t>Stetson</t>
        </is>
      </c>
      <c r="I824" s="156" t="inlineStr">
        <is>
          <t>Texana Stetson Thunder Natural</t>
        </is>
      </c>
      <c r="J824" s="156" t="inlineStr">
        <is>
          <t>Accesorios</t>
        </is>
      </c>
      <c r="K824" s="156" t="inlineStr">
        <is>
          <t>Sombreros</t>
        </is>
      </c>
      <c r="L824" s="156" t="inlineStr">
        <is>
          <t>Unisex</t>
        </is>
      </c>
      <c r="M824" s="156" t="inlineStr">
        <is>
          <t>Stetson</t>
        </is>
      </c>
      <c r="N824" s="156" t="inlineStr">
        <is>
          <t>SS26</t>
        </is>
      </c>
      <c r="O824" s="156" t="inlineStr">
        <is>
          <t>Seasonal</t>
        </is>
      </c>
      <c r="P824" s="156" t="inlineStr">
        <is>
          <t>Beige</t>
        </is>
      </c>
      <c r="Q824" s="156" t="n"/>
      <c r="R824" s="156" t="inlineStr">
        <is>
          <t>Copa Rancher</t>
        </is>
      </c>
      <c r="S824" s="156" t="inlineStr">
        <is>
          <t>100% Fieltro de lana</t>
        </is>
      </c>
      <c r="T824"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4" s="156" t="inlineStr">
        <is>
          <t>Estados Unidos</t>
        </is>
      </c>
      <c r="V824" s="156" t="inlineStr">
        <is>
          <t>PZS</t>
        </is>
      </c>
      <c r="W824" s="51" t="inlineStr">
        <is>
          <t>53102503</t>
        </is>
      </c>
      <c r="X824" s="156" t="inlineStr">
        <is>
          <t>https://cdn.shopify.com/s/files/1/0888/3250/8267/files/SSTHDR-WR42P1-01.jpg?v=1760016546</t>
        </is>
      </c>
      <c r="Y824" s="54" t="n">
        <v>1575</v>
      </c>
      <c r="Z824" s="54" t="n">
        <v>3793.103448</v>
      </c>
      <c r="AA824" s="55">
        <f>IF(AND(A824="", B824="", E824=""), "", IF(AB824="", "Válido", IF((LEN(AB824)-LEN(SUBSTITUTE(AB824,"; ","")))/2+1&gt;(LEN(AB824)-LEN(SUBSTITUTE(AB824,"[Aviso]","")))/7, "Con Incidencias", "Válido")))</f>
        <v/>
      </c>
      <c r="AB824" s="56">
        <f>IF(AND(A824="", B824="", E824=""), "", TEXTJOIN("; ", TRUE, IF(OR(TRIM(A824&amp;"")="", ISNUMBER(SEARCH("FALTA", A824))), "UPC faltante/inválido", ""), IF(AND(A824&lt;&gt;"", IFERROR(_xlfn.XMATCH(A824,$A$2:$A$2509,0,1)&lt;&gt;_xlfn.XMATCH(A824,$A$2:$A$2509,0,-1),FALSE)), "Código de barras duplicado", ""), IF(AND(E824&lt;&gt;"", COUNTIF($E$2:$E$2509, E824)&gt;1), "SKU duplicado", ""), IF(OR(J824="", J824=""), "[Aviso] División no capturada ()", IF(ISNA(MATCH(J824, Criterios!$A$123:$A$126, 0)), "División no válida", "")), IF(OR(K824="", K824=""), "[Aviso] Categoría no capturada ()", IF(ISNA(MATCH(K824, Criterios!$A$81:$A$120, 0)), "Categoría no válida", IF(AND(J824&lt;&gt;"", J824&lt;&gt;"", J824&lt;&gt;VLOOKUP(K824, Criterios!$A$81:$B$120, 2, FALSE)), "División no coincide con Categoría", ""))), IF(OR(L824="", L824=""), "[Aviso] Género no capturado ()", IF(ISNA(MATCH(L824, Criterios!$B$123:$B$127, 0)), "Género no válido", "")), IF(OR(N824="", N824=""), "[Aviso] Temporada no capturada ()", IF(ISNA(MATCH(N824, Criterios!$C$123:$C$128, 0)), "Temporada no válida", "")), IF(OR(O824="", O824=""), "[Aviso] Ciclo de vida no capturado ()", IF(ISNA(MATCH(O824, Criterios!$D$123:$D$124, 0)), "Ciclo de vida no válido", ""))))</f>
        <v/>
      </c>
      <c r="AC824" s="56" t="n"/>
      <c r="AD824" s="51" t="n">
        <v>0</v>
      </c>
      <c r="AE824" s="156" t="n"/>
      <c r="AF824" s="51" t="n">
        <v>0</v>
      </c>
      <c r="AG824" s="156" t="inlineStr">
        <is>
          <t>Catálogo existente</t>
        </is>
      </c>
      <c r="AH824"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4" s="156" t="inlineStr">
        <is>
          <t>No</t>
        </is>
      </c>
      <c r="AJ824" s="156" t="n"/>
      <c r="AK824" s="155" t="inlineStr">
        <is>
          <t>Criterios: I [Q] | Shopify Stetson: producto 14789641830763 / variante 53350605816171</t>
        </is>
      </c>
      <c r="AL824" s="58" t="n">
        <v>1575</v>
      </c>
      <c r="AM824" s="58" t="n">
        <v>3793.103448</v>
      </c>
      <c r="AN824" s="155" t="inlineStr">
        <is>
          <t>Shopify Stetson México</t>
        </is>
      </c>
      <c r="AO824" s="59" t="n">
        <v>1</v>
      </c>
      <c r="AP824" s="59" t="n"/>
      <c r="AQ824" s="59" t="n"/>
      <c r="AR824" s="155" t="inlineStr">
        <is>
          <t>Shopify Stetson México › Stetson Americas: 1</t>
        </is>
      </c>
    </row>
    <row r="825">
      <c r="A825" s="50" t="inlineStr">
        <is>
          <t>195556119099</t>
        </is>
      </c>
      <c r="B825" s="51" t="inlineStr">
        <is>
          <t>110227</t>
        </is>
      </c>
      <c r="C825" s="156" t="inlineStr">
        <is>
          <t>Multimarca</t>
        </is>
      </c>
      <c r="D825" s="156" t="inlineStr">
        <is>
          <t>SSTHDR-WR42P1</t>
        </is>
      </c>
      <c r="E825" s="156" t="inlineStr">
        <is>
          <t>SSTHDR-WR42P171</t>
        </is>
      </c>
      <c r="F825" s="156" t="inlineStr">
        <is>
          <t>7 1/8</t>
        </is>
      </c>
      <c r="G825" s="156" t="inlineStr">
        <is>
          <t>7 1/8</t>
        </is>
      </c>
      <c r="H825" s="156" t="inlineStr">
        <is>
          <t>Stetson</t>
        </is>
      </c>
      <c r="I825" s="156" t="inlineStr">
        <is>
          <t>Texana Stetson Thunder Natural</t>
        </is>
      </c>
      <c r="J825" s="156" t="inlineStr">
        <is>
          <t>Accesorios</t>
        </is>
      </c>
      <c r="K825" s="156" t="inlineStr">
        <is>
          <t>Sombreros</t>
        </is>
      </c>
      <c r="L825" s="156" t="inlineStr">
        <is>
          <t>Unisex</t>
        </is>
      </c>
      <c r="M825" s="156" t="inlineStr">
        <is>
          <t>Stetson</t>
        </is>
      </c>
      <c r="N825" s="156" t="inlineStr">
        <is>
          <t>SS26</t>
        </is>
      </c>
      <c r="O825" s="156" t="inlineStr">
        <is>
          <t>Seasonal</t>
        </is>
      </c>
      <c r="P825" s="156" t="inlineStr">
        <is>
          <t>Beige</t>
        </is>
      </c>
      <c r="Q825" s="156" t="n"/>
      <c r="R825" s="156" t="inlineStr">
        <is>
          <t>Copa Rancher</t>
        </is>
      </c>
      <c r="S825" s="156" t="inlineStr">
        <is>
          <t>100% Fieltro de lana</t>
        </is>
      </c>
      <c r="T825"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5" s="156" t="inlineStr">
        <is>
          <t>Estados Unidos</t>
        </is>
      </c>
      <c r="V825" s="156" t="inlineStr">
        <is>
          <t>PZS</t>
        </is>
      </c>
      <c r="W825" s="51" t="inlineStr">
        <is>
          <t>53102503</t>
        </is>
      </c>
      <c r="X825" s="156" t="inlineStr">
        <is>
          <t>https://cdn.shopify.com/s/files/1/0888/3250/8267/files/SSTHDR-WR42P1-02.jpg?v=1760016546</t>
        </is>
      </c>
      <c r="Y825" s="54" t="n">
        <v>1575</v>
      </c>
      <c r="Z825" s="54" t="n">
        <v>3793.103448</v>
      </c>
      <c r="AA825" s="55">
        <f>IF(AND(A825="", B825="", E825=""), "", IF(AB825="", "Válido", IF((LEN(AB825)-LEN(SUBSTITUTE(AB825,"; ","")))/2+1&gt;(LEN(AB825)-LEN(SUBSTITUTE(AB825,"[Aviso]","")))/7, "Con Incidencias", "Válido")))</f>
        <v/>
      </c>
      <c r="AB825" s="56">
        <f>IF(AND(A825="", B825="", E825=""), "", TEXTJOIN("; ", TRUE, IF(OR(TRIM(A825&amp;"")="", ISNUMBER(SEARCH("FALTA", A825))), "UPC faltante/inválido", ""), IF(AND(A825&lt;&gt;"", IFERROR(_xlfn.XMATCH(A825,$A$2:$A$2509,0,1)&lt;&gt;_xlfn.XMATCH(A825,$A$2:$A$2509,0,-1),FALSE)), "Código de barras duplicado", ""), IF(AND(E825&lt;&gt;"", COUNTIF($E$2:$E$2509, E825)&gt;1), "SKU duplicado", ""), IF(OR(J825="", J825=""), "[Aviso] División no capturada ()", IF(ISNA(MATCH(J825, Criterios!$A$123:$A$126, 0)), "División no válida", "")), IF(OR(K825="", K825=""), "[Aviso] Categoría no capturada ()", IF(ISNA(MATCH(K825, Criterios!$A$81:$A$120, 0)), "Categoría no válida", IF(AND(J825&lt;&gt;"", J825&lt;&gt;"", J825&lt;&gt;VLOOKUP(K825, Criterios!$A$81:$B$120, 2, FALSE)), "División no coincide con Categoría", ""))), IF(OR(L825="", L825=""), "[Aviso] Género no capturado ()", IF(ISNA(MATCH(L825, Criterios!$B$123:$B$127, 0)), "Género no válido", "")), IF(OR(N825="", N825=""), "[Aviso] Temporada no capturada ()", IF(ISNA(MATCH(N825, Criterios!$C$123:$C$128, 0)), "Temporada no válida", "")), IF(OR(O825="", O825=""), "[Aviso] Ciclo de vida no capturado ()", IF(ISNA(MATCH(O825, Criterios!$D$123:$D$124, 0)), "Ciclo de vida no válido", ""))))</f>
        <v/>
      </c>
      <c r="AC825" s="56" t="n"/>
      <c r="AD825" s="51" t="n">
        <v>-1</v>
      </c>
      <c r="AE825" s="156" t="n"/>
      <c r="AF825" s="51" t="n">
        <v>0</v>
      </c>
      <c r="AG825" s="156" t="inlineStr">
        <is>
          <t>Catálogo existente</t>
        </is>
      </c>
      <c r="AH82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«Gris» — se conservó el valor de Productos</t>
        </is>
      </c>
      <c r="AI825" s="156" t="inlineStr">
        <is>
          <t>Sí</t>
        </is>
      </c>
      <c r="AJ825" s="156" t="inlineStr">
        <is>
          <t>STETSON AMERICAS (-1)</t>
        </is>
      </c>
      <c r="AK825" s="155" t="inlineStr">
        <is>
          <t>Criterios: I [Q] | Shopify Stetson: producto 14789641830763 / variante 53350605848939</t>
        </is>
      </c>
      <c r="AL825" s="58" t="n">
        <v>1575</v>
      </c>
      <c r="AM825" s="58" t="n">
        <v>3793.103448</v>
      </c>
      <c r="AN825" s="155" t="inlineStr">
        <is>
          <t>Shopify Stetson México</t>
        </is>
      </c>
      <c r="AO825" s="59" t="n">
        <v>0</v>
      </c>
      <c r="AP825" s="59" t="n"/>
      <c r="AQ825" s="59" t="n"/>
      <c r="AR825" s="155" t="n"/>
    </row>
    <row r="826">
      <c r="A826" s="50" t="inlineStr">
        <is>
          <t>195556119105</t>
        </is>
      </c>
      <c r="B826" s="51" t="inlineStr">
        <is>
          <t>110228</t>
        </is>
      </c>
      <c r="C826" s="156" t="inlineStr">
        <is>
          <t>Multimarca</t>
        </is>
      </c>
      <c r="D826" s="156" t="inlineStr">
        <is>
          <t>SSTHDR-WR42P1</t>
        </is>
      </c>
      <c r="E826" s="156" t="inlineStr">
        <is>
          <t>SSTHDR-WR42P172</t>
        </is>
      </c>
      <c r="F826" s="156" t="inlineStr">
        <is>
          <t>7 1/4</t>
        </is>
      </c>
      <c r="G826" s="156" t="inlineStr">
        <is>
          <t>7 1/4</t>
        </is>
      </c>
      <c r="H826" s="156" t="inlineStr">
        <is>
          <t>Stetson</t>
        </is>
      </c>
      <c r="I826" s="156" t="inlineStr">
        <is>
          <t>Texana Stetson Thunder Natural</t>
        </is>
      </c>
      <c r="J826" s="156" t="inlineStr">
        <is>
          <t>Accesorios</t>
        </is>
      </c>
      <c r="K826" s="156" t="inlineStr">
        <is>
          <t>Sombreros</t>
        </is>
      </c>
      <c r="L826" s="156" t="inlineStr">
        <is>
          <t>Unisex</t>
        </is>
      </c>
      <c r="M826" s="156" t="inlineStr">
        <is>
          <t>Stetson</t>
        </is>
      </c>
      <c r="N826" s="156" t="inlineStr">
        <is>
          <t>SS26</t>
        </is>
      </c>
      <c r="O826" s="156" t="inlineStr">
        <is>
          <t>Seasonal</t>
        </is>
      </c>
      <c r="P826" s="156" t="inlineStr">
        <is>
          <t>Beige</t>
        </is>
      </c>
      <c r="Q826" s="156" t="n"/>
      <c r="R826" s="156" t="inlineStr">
        <is>
          <t>Copa Rancher</t>
        </is>
      </c>
      <c r="S826" s="156" t="inlineStr">
        <is>
          <t>100% Fieltro de lana</t>
        </is>
      </c>
      <c r="T826"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6" s="156" t="inlineStr">
        <is>
          <t>Estados Unidos</t>
        </is>
      </c>
      <c r="V826" s="156" t="inlineStr">
        <is>
          <t>PZS</t>
        </is>
      </c>
      <c r="W826" s="51" t="inlineStr">
        <is>
          <t>53102503</t>
        </is>
      </c>
      <c r="X826" s="156" t="inlineStr">
        <is>
          <t>https://cdn.shopify.com/s/files/1/0888/3250/8267/files/SSTHDR-WR42P1-03.jpg?v=1760016546</t>
        </is>
      </c>
      <c r="Y826" s="54" t="n">
        <v>1575</v>
      </c>
      <c r="Z826" s="54" t="n">
        <v>3793.103448</v>
      </c>
      <c r="AA826" s="55">
        <f>IF(AND(A826="", B826="", E826=""), "", IF(AB826="", "Válido", IF((LEN(AB826)-LEN(SUBSTITUTE(AB826,"; ","")))/2+1&gt;(LEN(AB826)-LEN(SUBSTITUTE(AB826,"[Aviso]","")))/7, "Con Incidencias", "Válido")))</f>
        <v/>
      </c>
      <c r="AB826" s="56">
        <f>IF(AND(A826="", B826="", E826=""), "", TEXTJOIN("; ", TRUE, IF(OR(TRIM(A826&amp;"")="", ISNUMBER(SEARCH("FALTA", A826))), "UPC faltante/inválido", ""), IF(AND(A826&lt;&gt;"", IFERROR(_xlfn.XMATCH(A826,$A$2:$A$2509,0,1)&lt;&gt;_xlfn.XMATCH(A826,$A$2:$A$2509,0,-1),FALSE)), "Código de barras duplicado", ""), IF(AND(E826&lt;&gt;"", COUNTIF($E$2:$E$2509, E826)&gt;1), "SKU duplicado", ""), IF(OR(J826="", J826=""), "[Aviso] División no capturada ()", IF(ISNA(MATCH(J826, Criterios!$A$123:$A$126, 0)), "División no válida", "")), IF(OR(K826="", K826=""), "[Aviso] Categoría no capturada ()", IF(ISNA(MATCH(K826, Criterios!$A$81:$A$120, 0)), "Categoría no válida", IF(AND(J826&lt;&gt;"", J826&lt;&gt;"", J826&lt;&gt;VLOOKUP(K826, Criterios!$A$81:$B$120, 2, FALSE)), "División no coincide con Categoría", ""))), IF(OR(L826="", L826=""), "[Aviso] Género no capturado ()", IF(ISNA(MATCH(L826, Criterios!$B$123:$B$127, 0)), "Género no válido", "")), IF(OR(N826="", N826=""), "[Aviso] Temporada no capturada ()", IF(ISNA(MATCH(N826, Criterios!$C$123:$C$128, 0)), "Temporada no válida", "")), IF(OR(O826="", O826=""), "[Aviso] Ciclo de vida no capturado ()", IF(ISNA(MATCH(O826, Criterios!$D$123:$D$124, 0)), "Ciclo de vida no válido", ""))))</f>
        <v/>
      </c>
      <c r="AC826" s="56" t="n"/>
      <c r="AD826" s="51" t="n">
        <v>-1</v>
      </c>
      <c r="AE826" s="156" t="n"/>
      <c r="AF826" s="51" t="n">
        <v>0</v>
      </c>
      <c r="AG826" s="156" t="inlineStr">
        <is>
          <t>Catálogo existente</t>
        </is>
      </c>
      <c r="AH82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«Gris» — se conservó el valor de Productos</t>
        </is>
      </c>
      <c r="AI826" s="156" t="inlineStr">
        <is>
          <t>Sí</t>
        </is>
      </c>
      <c r="AJ826" s="156" t="inlineStr">
        <is>
          <t>STETSON AMERICAS (-1)</t>
        </is>
      </c>
      <c r="AK826" s="155" t="inlineStr">
        <is>
          <t>Criterios: I [Q] | Shopify Stetson: producto 14789641830763 / variante 53350605881707</t>
        </is>
      </c>
      <c r="AL826" s="58" t="n">
        <v>1575</v>
      </c>
      <c r="AM826" s="58" t="n">
        <v>3793.103448</v>
      </c>
      <c r="AN826" s="155" t="inlineStr">
        <is>
          <t>Shopify Stetson México</t>
        </is>
      </c>
      <c r="AO826" s="59" t="n">
        <v>0</v>
      </c>
      <c r="AP826" s="59" t="n"/>
      <c r="AQ826" s="59" t="n"/>
      <c r="AR826" s="155" t="n"/>
    </row>
    <row r="827">
      <c r="A827" s="50" t="inlineStr">
        <is>
          <t>195556119112</t>
        </is>
      </c>
      <c r="B827" s="51" t="inlineStr">
        <is>
          <t>110229</t>
        </is>
      </c>
      <c r="C827" s="156" t="inlineStr">
        <is>
          <t>Multimarca</t>
        </is>
      </c>
      <c r="D827" s="156" t="inlineStr">
        <is>
          <t>SSTHDR-WR42P1</t>
        </is>
      </c>
      <c r="E827" s="156" t="inlineStr">
        <is>
          <t>SSTHDR-WR42P173</t>
        </is>
      </c>
      <c r="F827" s="156" t="inlineStr">
        <is>
          <t>7 3/8</t>
        </is>
      </c>
      <c r="G827" s="156" t="inlineStr">
        <is>
          <t>7 3/8</t>
        </is>
      </c>
      <c r="H827" s="156" t="inlineStr">
        <is>
          <t>Stetson</t>
        </is>
      </c>
      <c r="I827" s="156" t="inlineStr">
        <is>
          <t>Texana Stetson Thunder Natural</t>
        </is>
      </c>
      <c r="J827" s="156" t="inlineStr">
        <is>
          <t>Accesorios</t>
        </is>
      </c>
      <c r="K827" s="156" t="inlineStr">
        <is>
          <t>Sombreros</t>
        </is>
      </c>
      <c r="L827" s="156" t="inlineStr">
        <is>
          <t>Unisex</t>
        </is>
      </c>
      <c r="M827" s="156" t="inlineStr">
        <is>
          <t>Stetson</t>
        </is>
      </c>
      <c r="N827" s="156" t="inlineStr">
        <is>
          <t>SS26</t>
        </is>
      </c>
      <c r="O827" s="156" t="inlineStr">
        <is>
          <t>Seasonal</t>
        </is>
      </c>
      <c r="P827" s="156" t="inlineStr">
        <is>
          <t>Beige</t>
        </is>
      </c>
      <c r="Q827" s="156" t="n"/>
      <c r="R827" s="156" t="inlineStr">
        <is>
          <t>Copa Rancher</t>
        </is>
      </c>
      <c r="S827" s="156" t="inlineStr">
        <is>
          <t>100% Fieltro de lana</t>
        </is>
      </c>
      <c r="T827"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7" s="156" t="inlineStr">
        <is>
          <t>Estados Unidos</t>
        </is>
      </c>
      <c r="V827" s="156" t="inlineStr">
        <is>
          <t>PZS</t>
        </is>
      </c>
      <c r="W827" s="51" t="inlineStr">
        <is>
          <t>53102503</t>
        </is>
      </c>
      <c r="X827" s="156" t="inlineStr">
        <is>
          <t>https://cdn.shopify.com/s/files/1/0888/3250/8267/files/SSTHDR-WR42P1-04.jpg?v=1760016546</t>
        </is>
      </c>
      <c r="Y827" s="54" t="n">
        <v>1575</v>
      </c>
      <c r="Z827" s="54" t="n">
        <v>3793.103448</v>
      </c>
      <c r="AA827" s="55">
        <f>IF(AND(A827="", B827="", E827=""), "", IF(AB827="", "Válido", IF((LEN(AB827)-LEN(SUBSTITUTE(AB827,"; ","")))/2+1&gt;(LEN(AB827)-LEN(SUBSTITUTE(AB827,"[Aviso]","")))/7, "Con Incidencias", "Válido")))</f>
        <v/>
      </c>
      <c r="AB827" s="56">
        <f>IF(AND(A827="", B827="", E827=""), "", TEXTJOIN("; ", TRUE, IF(OR(TRIM(A827&amp;"")="", ISNUMBER(SEARCH("FALTA", A827))), "UPC faltante/inválido", ""), IF(AND(A827&lt;&gt;"", IFERROR(_xlfn.XMATCH(A827,$A$2:$A$2509,0,1)&lt;&gt;_xlfn.XMATCH(A827,$A$2:$A$2509,0,-1),FALSE)), "Código de barras duplicado", ""), IF(AND(E827&lt;&gt;"", COUNTIF($E$2:$E$2509, E827)&gt;1), "SKU duplicado", ""), IF(OR(J827="", J827=""), "[Aviso] División no capturada ()", IF(ISNA(MATCH(J827, Criterios!$A$123:$A$126, 0)), "División no válida", "")), IF(OR(K827="", K827=""), "[Aviso] Categoría no capturada ()", IF(ISNA(MATCH(K827, Criterios!$A$81:$A$120, 0)), "Categoría no válida", IF(AND(J827&lt;&gt;"", J827&lt;&gt;"", J827&lt;&gt;VLOOKUP(K827, Criterios!$A$81:$B$120, 2, FALSE)), "División no coincide con Categoría", ""))), IF(OR(L827="", L827=""), "[Aviso] Género no capturado ()", IF(ISNA(MATCH(L827, Criterios!$B$123:$B$127, 0)), "Género no válido", "")), IF(OR(N827="", N827=""), "[Aviso] Temporada no capturada ()", IF(ISNA(MATCH(N827, Criterios!$C$123:$C$128, 0)), "Temporada no válida", "")), IF(OR(O827="", O827=""), "[Aviso] Ciclo de vida no capturado ()", IF(ISNA(MATCH(O827, Criterios!$D$123:$D$124, 0)), "Ciclo de vida no válido", ""))))</f>
        <v/>
      </c>
      <c r="AC827" s="56" t="n"/>
      <c r="AD827" s="51" t="n">
        <v>0</v>
      </c>
      <c r="AE827" s="156" t="n"/>
      <c r="AF827" s="51" t="n">
        <v>0</v>
      </c>
      <c r="AG827" s="156" t="inlineStr">
        <is>
          <t>Catálogo existente</t>
        </is>
      </c>
      <c r="AH827"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7" s="156" t="inlineStr">
        <is>
          <t>No</t>
        </is>
      </c>
      <c r="AJ827" s="156" t="n"/>
      <c r="AK827" s="155" t="inlineStr">
        <is>
          <t>Criterios: I [Q] | Shopify Stetson: producto 14789641830763 / variante 53350605914475</t>
        </is>
      </c>
      <c r="AL827" s="58" t="n">
        <v>1575</v>
      </c>
      <c r="AM827" s="58" t="n">
        <v>3793.103448</v>
      </c>
      <c r="AN827" s="155" t="inlineStr">
        <is>
          <t>Shopify Stetson México</t>
        </is>
      </c>
      <c r="AO827" s="59" t="n">
        <v>1</v>
      </c>
      <c r="AP827" s="59" t="n"/>
      <c r="AQ827" s="59" t="n"/>
      <c r="AR827" s="155" t="inlineStr">
        <is>
          <t>Shopify Stetson México › Stetson Americas: 1</t>
        </is>
      </c>
    </row>
    <row r="828">
      <c r="A828" s="50" t="inlineStr">
        <is>
          <t>195556119129</t>
        </is>
      </c>
      <c r="B828" s="51" t="inlineStr">
        <is>
          <t>110230</t>
        </is>
      </c>
      <c r="C828" s="156" t="inlineStr">
        <is>
          <t>Multimarca</t>
        </is>
      </c>
      <c r="D828" s="156" t="inlineStr">
        <is>
          <t>SSTHDR-WR42P1</t>
        </is>
      </c>
      <c r="E828" s="156" t="inlineStr">
        <is>
          <t>SSTHDR-WR42P174</t>
        </is>
      </c>
      <c r="F828" s="156" t="inlineStr">
        <is>
          <t>7 1/2</t>
        </is>
      </c>
      <c r="G828" s="156" t="inlineStr">
        <is>
          <t>7 1/2</t>
        </is>
      </c>
      <c r="H828" s="156" t="inlineStr">
        <is>
          <t>Stetson</t>
        </is>
      </c>
      <c r="I828" s="156" t="inlineStr">
        <is>
          <t>Texana Stetson Thunder Natural</t>
        </is>
      </c>
      <c r="J828" s="156" t="inlineStr">
        <is>
          <t>Accesorios</t>
        </is>
      </c>
      <c r="K828" s="156" t="inlineStr">
        <is>
          <t>Sombreros</t>
        </is>
      </c>
      <c r="L828" s="156" t="inlineStr">
        <is>
          <t>Unisex</t>
        </is>
      </c>
      <c r="M828" s="156" t="inlineStr">
        <is>
          <t>Stetson</t>
        </is>
      </c>
      <c r="N828" s="156" t="inlineStr">
        <is>
          <t>SS26</t>
        </is>
      </c>
      <c r="O828" s="156" t="inlineStr">
        <is>
          <t>Seasonal</t>
        </is>
      </c>
      <c r="P828" s="156" t="inlineStr">
        <is>
          <t>Beige</t>
        </is>
      </c>
      <c r="Q828" s="156" t="n"/>
      <c r="R828" s="156" t="inlineStr">
        <is>
          <t>Copa Rancher</t>
        </is>
      </c>
      <c r="S828" s="156" t="inlineStr">
        <is>
          <t>100% Fieltro de lana</t>
        </is>
      </c>
      <c r="T828"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8" s="156" t="inlineStr">
        <is>
          <t>Estados Unidos</t>
        </is>
      </c>
      <c r="V828" s="156" t="inlineStr">
        <is>
          <t>PZS</t>
        </is>
      </c>
      <c r="W828" s="51" t="inlineStr">
        <is>
          <t>53102503</t>
        </is>
      </c>
      <c r="X828" s="156" t="inlineStr">
        <is>
          <t>https://cdn.shopify.com/s/files/1/0888/3250/8267/files/SSTHDR-WR42P1-05.jpg?v=1760016546</t>
        </is>
      </c>
      <c r="Y828" s="54" t="n">
        <v>1575</v>
      </c>
      <c r="Z828" s="54" t="n">
        <v>3793.103448</v>
      </c>
      <c r="AA828" s="55">
        <f>IF(AND(A828="", B828="", E828=""), "", IF(AB828="", "Válido", IF((LEN(AB828)-LEN(SUBSTITUTE(AB828,"; ","")))/2+1&gt;(LEN(AB828)-LEN(SUBSTITUTE(AB828,"[Aviso]","")))/7, "Con Incidencias", "Válido")))</f>
        <v/>
      </c>
      <c r="AB828" s="56">
        <f>IF(AND(A828="", B828="", E828=""), "", TEXTJOIN("; ", TRUE, IF(OR(TRIM(A828&amp;"")="", ISNUMBER(SEARCH("FALTA", A828))), "UPC faltante/inválido", ""), IF(AND(A828&lt;&gt;"", IFERROR(_xlfn.XMATCH(A828,$A$2:$A$2509,0,1)&lt;&gt;_xlfn.XMATCH(A828,$A$2:$A$2509,0,-1),FALSE)), "Código de barras duplicado", ""), IF(AND(E828&lt;&gt;"", COUNTIF($E$2:$E$2509, E828)&gt;1), "SKU duplicado", ""), IF(OR(J828="", J828=""), "[Aviso] División no capturada ()", IF(ISNA(MATCH(J828, Criterios!$A$123:$A$126, 0)), "División no válida", "")), IF(OR(K828="", K828=""), "[Aviso] Categoría no capturada ()", IF(ISNA(MATCH(K828, Criterios!$A$81:$A$120, 0)), "Categoría no válida", IF(AND(J828&lt;&gt;"", J828&lt;&gt;"", J828&lt;&gt;VLOOKUP(K828, Criterios!$A$81:$B$120, 2, FALSE)), "División no coincide con Categoría", ""))), IF(OR(L828="", L828=""), "[Aviso] Género no capturado ()", IF(ISNA(MATCH(L828, Criterios!$B$123:$B$127, 0)), "Género no válido", "")), IF(OR(N828="", N828=""), "[Aviso] Temporada no capturada ()", IF(ISNA(MATCH(N828, Criterios!$C$123:$C$128, 0)), "Temporada no válida", "")), IF(OR(O828="", O828=""), "[Aviso] Ciclo de vida no capturado ()", IF(ISNA(MATCH(O828, Criterios!$D$123:$D$124, 0)), "Ciclo de vida no válido", ""))))</f>
        <v/>
      </c>
      <c r="AC828" s="56" t="n"/>
      <c r="AD828" s="51" t="n">
        <v>0</v>
      </c>
      <c r="AE828" s="156" t="inlineStr">
        <is>
          <t>B25 STETSON.MX (1)</t>
        </is>
      </c>
      <c r="AF828" s="51" t="n">
        <v>1</v>
      </c>
      <c r="AG828" s="156" t="inlineStr">
        <is>
          <t>Catálogo existente</t>
        </is>
      </c>
      <c r="AH828"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8" s="156" t="inlineStr">
        <is>
          <t>Sí</t>
        </is>
      </c>
      <c r="AJ828" s="156" t="inlineStr">
        <is>
          <t>STETSON AMERICAS (-1)</t>
        </is>
      </c>
      <c r="AK828" s="155" t="inlineStr">
        <is>
          <t>Criterios: I [Q] | Shopify Stetson: producto 14789641830763 / variante 53350605947243</t>
        </is>
      </c>
      <c r="AL828" s="58" t="n">
        <v>1575</v>
      </c>
      <c r="AM828" s="58" t="n">
        <v>3793.103448</v>
      </c>
      <c r="AN828" s="155" t="inlineStr">
        <is>
          <t>Shopify Stetson México</t>
        </is>
      </c>
      <c r="AO828" s="59" t="n">
        <v>1</v>
      </c>
      <c r="AP828" s="59" t="n"/>
      <c r="AQ828" s="59" t="n"/>
      <c r="AR828" s="155" t="inlineStr">
        <is>
          <t>Shopify Stetson México › Stetson México: 1</t>
        </is>
      </c>
    </row>
    <row r="829">
      <c r="A829" s="50" t="inlineStr">
        <is>
          <t>195556119440</t>
        </is>
      </c>
      <c r="B829" s="51" t="inlineStr">
        <is>
          <t>110147</t>
        </is>
      </c>
      <c r="C829" s="156" t="inlineStr">
        <is>
          <t>Multimarca</t>
        </is>
      </c>
      <c r="D829" s="156" t="inlineStr">
        <is>
          <t>SSBKWD-WR4281</t>
        </is>
      </c>
      <c r="E829" s="156" t="inlineStr">
        <is>
          <t>SSBKWD-WR428170</t>
        </is>
      </c>
      <c r="F829" s="156" t="inlineStr">
        <is>
          <t>7</t>
        </is>
      </c>
      <c r="G829" s="156" t="inlineStr">
        <is>
          <t>7</t>
        </is>
      </c>
      <c r="H829" s="156" t="inlineStr">
        <is>
          <t>Stetson</t>
        </is>
      </c>
      <c r="I829" s="156" t="inlineStr">
        <is>
          <t>Sombrero Stetson Brookwood Natural</t>
        </is>
      </c>
      <c r="J829" s="156" t="inlineStr">
        <is>
          <t>Accesorios</t>
        </is>
      </c>
      <c r="K829" s="156" t="inlineStr">
        <is>
          <t>Sombreros</t>
        </is>
      </c>
      <c r="L829" s="156" t="inlineStr">
        <is>
          <t>Unisex</t>
        </is>
      </c>
      <c r="M829" s="156" t="inlineStr">
        <is>
          <t>Stetson</t>
        </is>
      </c>
      <c r="N829" s="156" t="inlineStr">
        <is>
          <t>SS26</t>
        </is>
      </c>
      <c r="O829" s="156" t="inlineStr">
        <is>
          <t>Seasonal</t>
        </is>
      </c>
      <c r="P829" s="156" t="inlineStr">
        <is>
          <t>Beige</t>
        </is>
      </c>
      <c r="Q829" s="156" t="n"/>
      <c r="R829" s="156" t="inlineStr">
        <is>
          <t>Copa Cattleman</t>
        </is>
      </c>
      <c r="S829" s="156" t="inlineStr">
        <is>
          <t>100% Paja</t>
        </is>
      </c>
      <c r="T829"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29" s="156" t="inlineStr">
        <is>
          <t>Estados Unidos</t>
        </is>
      </c>
      <c r="V829" s="156" t="inlineStr">
        <is>
          <t>PZS</t>
        </is>
      </c>
      <c r="W829" s="51" t="inlineStr">
        <is>
          <t>53102503</t>
        </is>
      </c>
      <c r="X829" s="156" t="inlineStr">
        <is>
          <t>https://cdn.shopify.com/s/files/1/0888/3250/8267/files/SSBKWD-WR428173_1.png?v=1759963724</t>
        </is>
      </c>
      <c r="Y829" s="54" t="n">
        <v>1575</v>
      </c>
      <c r="Z829" s="54" t="n">
        <v>3793.103448</v>
      </c>
      <c r="AA829" s="55">
        <f>IF(AND(A829="", B829="", E829=""), "", IF(AB829="", "Válido", IF((LEN(AB829)-LEN(SUBSTITUTE(AB829,"; ","")))/2+1&gt;(LEN(AB829)-LEN(SUBSTITUTE(AB829,"[Aviso]","")))/7, "Con Incidencias", "Válido")))</f>
        <v/>
      </c>
      <c r="AB829" s="56">
        <f>IF(AND(A829="", B829="", E829=""), "", TEXTJOIN("; ", TRUE, IF(OR(TRIM(A829&amp;"")="", ISNUMBER(SEARCH("FALTA", A829))), "UPC faltante/inválido", ""), IF(AND(A829&lt;&gt;"", IFERROR(_xlfn.XMATCH(A829,$A$2:$A$2509,0,1)&lt;&gt;_xlfn.XMATCH(A829,$A$2:$A$2509,0,-1),FALSE)), "Código de barras duplicado", ""), IF(AND(E829&lt;&gt;"", COUNTIF($E$2:$E$2509, E829)&gt;1), "SKU duplicado", ""), IF(OR(J829="", J829=""), "[Aviso] División no capturada ()", IF(ISNA(MATCH(J829, Criterios!$A$123:$A$126, 0)), "División no válida", "")), IF(OR(K829="", K829=""), "[Aviso] Categoría no capturada ()", IF(ISNA(MATCH(K829, Criterios!$A$81:$A$120, 0)), "Categoría no válida", IF(AND(J829&lt;&gt;"", J829&lt;&gt;"", J829&lt;&gt;VLOOKUP(K829, Criterios!$A$81:$B$120, 2, FALSE)), "División no coincide con Categoría", ""))), IF(OR(L829="", L829=""), "[Aviso] Género no capturado ()", IF(ISNA(MATCH(L829, Criterios!$B$123:$B$127, 0)), "Género no válido", "")), IF(OR(N829="", N829=""), "[Aviso] Temporada no capturada ()", IF(ISNA(MATCH(N829, Criterios!$C$123:$C$128, 0)), "Temporada no válida", "")), IF(OR(O829="", O829=""), "[Aviso] Ciclo de vida no capturado ()", IF(ISNA(MATCH(O829, Criterios!$D$123:$D$124, 0)), "Ciclo de vida no válido", ""))))</f>
        <v/>
      </c>
      <c r="AC829" s="56" t="n"/>
      <c r="AD829" s="51" t="n">
        <v>0</v>
      </c>
      <c r="AE829" s="156" t="inlineStr">
        <is>
          <t>B25 STETSON.MX (1)</t>
        </is>
      </c>
      <c r="AF829" s="51" t="n">
        <v>1</v>
      </c>
      <c r="AG829" s="156" t="inlineStr">
        <is>
          <t>Catálogo existente</t>
        </is>
      </c>
      <c r="AH829"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29" s="156" t="inlineStr">
        <is>
          <t>Sí</t>
        </is>
      </c>
      <c r="AJ829" s="156" t="inlineStr">
        <is>
          <t>STETSON AMERICAS (-1)</t>
        </is>
      </c>
      <c r="AK829" s="155" t="inlineStr">
        <is>
          <t>Criterios: I [Q] | Shopify Stetson: producto 14789268734315 / variante 53350606307691</t>
        </is>
      </c>
      <c r="AL829" s="58" t="n">
        <v>1575</v>
      </c>
      <c r="AM829" s="58" t="n">
        <v>3793.103448</v>
      </c>
      <c r="AN829" s="155" t="inlineStr">
        <is>
          <t>Shopify Stetson México</t>
        </is>
      </c>
      <c r="AO829" s="59" t="n">
        <v>2</v>
      </c>
      <c r="AP829" s="59" t="n"/>
      <c r="AQ829" s="59" t="n"/>
      <c r="AR829" s="155" t="inlineStr">
        <is>
          <t>Shopify Stetson México › Stetson México: 1 | Shopify Stetson México › Stetson Americas: 1</t>
        </is>
      </c>
    </row>
    <row r="830">
      <c r="A830" s="50" t="inlineStr">
        <is>
          <t>195556119457</t>
        </is>
      </c>
      <c r="B830" s="51" t="inlineStr">
        <is>
          <t>110148</t>
        </is>
      </c>
      <c r="C830" s="156" t="inlineStr">
        <is>
          <t>Multimarca</t>
        </is>
      </c>
      <c r="D830" s="156" t="inlineStr">
        <is>
          <t>SSBKWD-WR4281</t>
        </is>
      </c>
      <c r="E830" s="156" t="inlineStr">
        <is>
          <t>SSBKWD-WR428171</t>
        </is>
      </c>
      <c r="F830" s="156" t="inlineStr">
        <is>
          <t>7 1/8</t>
        </is>
      </c>
      <c r="G830" s="156" t="inlineStr">
        <is>
          <t>7 1/8</t>
        </is>
      </c>
      <c r="H830" s="156" t="inlineStr">
        <is>
          <t>Stetson</t>
        </is>
      </c>
      <c r="I830" s="156" t="inlineStr">
        <is>
          <t>Sombrero Stetson Brookwood Natural</t>
        </is>
      </c>
      <c r="J830" s="156" t="inlineStr">
        <is>
          <t>Accesorios</t>
        </is>
      </c>
      <c r="K830" s="156" t="inlineStr">
        <is>
          <t>Sombreros</t>
        </is>
      </c>
      <c r="L830" s="156" t="inlineStr">
        <is>
          <t>Unisex</t>
        </is>
      </c>
      <c r="M830" s="156" t="inlineStr">
        <is>
          <t>Stetson</t>
        </is>
      </c>
      <c r="N830" s="156" t="inlineStr">
        <is>
          <t>SS26</t>
        </is>
      </c>
      <c r="O830" s="156" t="inlineStr">
        <is>
          <t>Seasonal</t>
        </is>
      </c>
      <c r="P830" s="156" t="inlineStr">
        <is>
          <t>Beige</t>
        </is>
      </c>
      <c r="Q830" s="156" t="n"/>
      <c r="R830" s="156" t="inlineStr">
        <is>
          <t>Copa Cattleman</t>
        </is>
      </c>
      <c r="S830" s="156" t="inlineStr">
        <is>
          <t>100% Paja</t>
        </is>
      </c>
      <c r="T830"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0" s="156" t="inlineStr">
        <is>
          <t>Estados Unidos</t>
        </is>
      </c>
      <c r="V830" s="156" t="inlineStr">
        <is>
          <t>PZS</t>
        </is>
      </c>
      <c r="W830" s="51" t="inlineStr">
        <is>
          <t>53102503</t>
        </is>
      </c>
      <c r="X830" s="156" t="inlineStr">
        <is>
          <t>https://cdn.shopify.com/s/files/1/0888/3250/8267/files/SSBKWD-WR428173_2.png?v=1759963724</t>
        </is>
      </c>
      <c r="Y830" s="54" t="n">
        <v>1575</v>
      </c>
      <c r="Z830" s="54" t="n">
        <v>3793.103448</v>
      </c>
      <c r="AA830" s="55">
        <f>IF(AND(A830="", B830="", E830=""), "", IF(AB830="", "Válido", IF((LEN(AB830)-LEN(SUBSTITUTE(AB830,"; ","")))/2+1&gt;(LEN(AB830)-LEN(SUBSTITUTE(AB830,"[Aviso]","")))/7, "Con Incidencias", "Válido")))</f>
        <v/>
      </c>
      <c r="AB830" s="56">
        <f>IF(AND(A830="", B830="", E830=""), "", TEXTJOIN("; ", TRUE, IF(OR(TRIM(A830&amp;"")="", ISNUMBER(SEARCH("FALTA", A830))), "UPC faltante/inválido", ""), IF(AND(A830&lt;&gt;"", IFERROR(_xlfn.XMATCH(A830,$A$2:$A$2509,0,1)&lt;&gt;_xlfn.XMATCH(A830,$A$2:$A$2509,0,-1),FALSE)), "Código de barras duplicado", ""), IF(AND(E830&lt;&gt;"", COUNTIF($E$2:$E$2509, E830)&gt;1), "SKU duplicado", ""), IF(OR(J830="", J830=""), "[Aviso] División no capturada ()", IF(ISNA(MATCH(J830, Criterios!$A$123:$A$126, 0)), "División no válida", "")), IF(OR(K830="", K830=""), "[Aviso] Categoría no capturada ()", IF(ISNA(MATCH(K830, Criterios!$A$81:$A$120, 0)), "Categoría no válida", IF(AND(J830&lt;&gt;"", J830&lt;&gt;"", J830&lt;&gt;VLOOKUP(K830, Criterios!$A$81:$B$120, 2, FALSE)), "División no coincide con Categoría", ""))), IF(OR(L830="", L830=""), "[Aviso] Género no capturado ()", IF(ISNA(MATCH(L830, Criterios!$B$123:$B$127, 0)), "Género no válido", "")), IF(OR(N830="", N830=""), "[Aviso] Temporada no capturada ()", IF(ISNA(MATCH(N830, Criterios!$C$123:$C$128, 0)), "Temporada no válida", "")), IF(OR(O830="", O830=""), "[Aviso] Ciclo de vida no capturado ()", IF(ISNA(MATCH(O830, Criterios!$D$123:$D$124, 0)), "Ciclo de vida no válido", ""))))</f>
        <v/>
      </c>
      <c r="AC830" s="56" t="n"/>
      <c r="AD830" s="51" t="n">
        <v>-3</v>
      </c>
      <c r="AE830" s="156" t="inlineStr">
        <is>
          <t>B25 STETSON.MX (1)</t>
        </is>
      </c>
      <c r="AF830" s="51" t="n">
        <v>1</v>
      </c>
      <c r="AG830" s="156" t="inlineStr">
        <is>
          <t>Catálogo existente</t>
        </is>
      </c>
      <c r="AH83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0" s="156" t="inlineStr">
        <is>
          <t>Sí</t>
        </is>
      </c>
      <c r="AJ830" s="156" t="inlineStr">
        <is>
          <t>STETSON AMERICAS (-4)</t>
        </is>
      </c>
      <c r="AK830" s="155" t="inlineStr">
        <is>
          <t>Criterios: I [Q] | Shopify Stetson: producto 14789268734315 / variante 53350606340459</t>
        </is>
      </c>
      <c r="AL830" s="58" t="n">
        <v>1575</v>
      </c>
      <c r="AM830" s="58" t="n">
        <v>3793.103448</v>
      </c>
      <c r="AN830" s="155" t="inlineStr">
        <is>
          <t>Shopify Stetson México</t>
        </is>
      </c>
      <c r="AO830" s="59" t="n">
        <v>3</v>
      </c>
      <c r="AP830" s="59" t="n"/>
      <c r="AQ830" s="59" t="n"/>
      <c r="AR830" s="155" t="inlineStr">
        <is>
          <t>Shopify Stetson México › Stetson México: 1 | Shopify Stetson México › Stetson Americas: 2</t>
        </is>
      </c>
    </row>
    <row r="831">
      <c r="A831" s="50" t="inlineStr">
        <is>
          <t>195556119464</t>
        </is>
      </c>
      <c r="B831" s="51" t="inlineStr">
        <is>
          <t>110149</t>
        </is>
      </c>
      <c r="C831" s="156" t="inlineStr">
        <is>
          <t>Multimarca</t>
        </is>
      </c>
      <c r="D831" s="156" t="inlineStr">
        <is>
          <t>SSBKWD-WR4281</t>
        </is>
      </c>
      <c r="E831" s="156" t="inlineStr">
        <is>
          <t>SSBKWD-WR428172</t>
        </is>
      </c>
      <c r="F831" s="156" t="inlineStr">
        <is>
          <t>7 1/4</t>
        </is>
      </c>
      <c r="G831" s="156" t="inlineStr">
        <is>
          <t>7 1/4</t>
        </is>
      </c>
      <c r="H831" s="156" t="inlineStr">
        <is>
          <t>Stetson</t>
        </is>
      </c>
      <c r="I831" s="156" t="inlineStr">
        <is>
          <t>Sombrero Stetson Brookwood Natural</t>
        </is>
      </c>
      <c r="J831" s="156" t="inlineStr">
        <is>
          <t>Accesorios</t>
        </is>
      </c>
      <c r="K831" s="156" t="inlineStr">
        <is>
          <t>Sombreros</t>
        </is>
      </c>
      <c r="L831" s="156" t="inlineStr">
        <is>
          <t>Unisex</t>
        </is>
      </c>
      <c r="M831" s="156" t="inlineStr">
        <is>
          <t>Stetson</t>
        </is>
      </c>
      <c r="N831" s="156" t="inlineStr">
        <is>
          <t>SS26</t>
        </is>
      </c>
      <c r="O831" s="156" t="inlineStr">
        <is>
          <t>Seasonal</t>
        </is>
      </c>
      <c r="P831" s="156" t="inlineStr">
        <is>
          <t>Beige</t>
        </is>
      </c>
      <c r="Q831" s="156" t="n"/>
      <c r="R831" s="156" t="inlineStr">
        <is>
          <t>Copa Cattleman</t>
        </is>
      </c>
      <c r="S831" s="156" t="inlineStr">
        <is>
          <t>100% Paja</t>
        </is>
      </c>
      <c r="T831"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1" s="156" t="inlineStr">
        <is>
          <t>Estados Unidos</t>
        </is>
      </c>
      <c r="V831" s="156" t="inlineStr">
        <is>
          <t>PZS</t>
        </is>
      </c>
      <c r="W831" s="51" t="inlineStr">
        <is>
          <t>53102503</t>
        </is>
      </c>
      <c r="X831" s="156" t="inlineStr">
        <is>
          <t>https://cdn.shopify.com/s/files/1/0888/3250/8267/files/SSBKWD-WR428173_3.png?v=1759963724</t>
        </is>
      </c>
      <c r="Y831" s="54" t="n">
        <v>1575</v>
      </c>
      <c r="Z831" s="54" t="n">
        <v>3793.103448</v>
      </c>
      <c r="AA831" s="55">
        <f>IF(AND(A831="", B831="", E831=""), "", IF(AB831="", "Válido", IF((LEN(AB831)-LEN(SUBSTITUTE(AB831,"; ","")))/2+1&gt;(LEN(AB831)-LEN(SUBSTITUTE(AB831,"[Aviso]","")))/7, "Con Incidencias", "Válido")))</f>
        <v/>
      </c>
      <c r="AB831" s="56">
        <f>IF(AND(A831="", B831="", E831=""), "", TEXTJOIN("; ", TRUE, IF(OR(TRIM(A831&amp;"")="", ISNUMBER(SEARCH("FALTA", A831))), "UPC faltante/inválido", ""), IF(AND(A831&lt;&gt;"", IFERROR(_xlfn.XMATCH(A831,$A$2:$A$2509,0,1)&lt;&gt;_xlfn.XMATCH(A831,$A$2:$A$2509,0,-1),FALSE)), "Código de barras duplicado", ""), IF(AND(E831&lt;&gt;"", COUNTIF($E$2:$E$2509, E831)&gt;1), "SKU duplicado", ""), IF(OR(J831="", J831=""), "[Aviso] División no capturada ()", IF(ISNA(MATCH(J831, Criterios!$A$123:$A$126, 0)), "División no válida", "")), IF(OR(K831="", K831=""), "[Aviso] Categoría no capturada ()", IF(ISNA(MATCH(K831, Criterios!$A$81:$A$120, 0)), "Categoría no válida", IF(AND(J831&lt;&gt;"", J831&lt;&gt;"", J831&lt;&gt;VLOOKUP(K831, Criterios!$A$81:$B$120, 2, FALSE)), "División no coincide con Categoría", ""))), IF(OR(L831="", L831=""), "[Aviso] Género no capturado ()", IF(ISNA(MATCH(L831, Criterios!$B$123:$B$127, 0)), "Género no válido", "")), IF(OR(N831="", N831=""), "[Aviso] Temporada no capturada ()", IF(ISNA(MATCH(N831, Criterios!$C$123:$C$128, 0)), "Temporada no válida", "")), IF(OR(O831="", O831=""), "[Aviso] Ciclo de vida no capturado ()", IF(ISNA(MATCH(O831, Criterios!$D$123:$D$124, 0)), "Ciclo de vida no válido", ""))))</f>
        <v/>
      </c>
      <c r="AC831" s="56" t="n"/>
      <c r="AD831" s="51" t="n">
        <v>1</v>
      </c>
      <c r="AE831" s="156" t="inlineStr">
        <is>
          <t>B25 STETSON.MX (2)</t>
        </is>
      </c>
      <c r="AF831" s="51" t="n">
        <v>2</v>
      </c>
      <c r="AG831" s="156" t="inlineStr">
        <is>
          <t>Catálogo existente</t>
        </is>
      </c>
      <c r="AH831"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1" s="156" t="inlineStr">
        <is>
          <t>Sí</t>
        </is>
      </c>
      <c r="AJ831" s="156" t="inlineStr">
        <is>
          <t>STETSON AMERICAS (-1)</t>
        </is>
      </c>
      <c r="AK831" s="155" t="inlineStr">
        <is>
          <t>Criterios: I [Q] | Shopify Stetson: producto 14789268734315 / variante 53350606373227</t>
        </is>
      </c>
      <c r="AL831" s="58" t="n">
        <v>1575</v>
      </c>
      <c r="AM831" s="58" t="n">
        <v>3793.103448</v>
      </c>
      <c r="AN831" s="155" t="inlineStr">
        <is>
          <t>Shopify Stetson México</t>
        </is>
      </c>
      <c r="AO831" s="59" t="n">
        <v>4</v>
      </c>
      <c r="AP831" s="59" t="n"/>
      <c r="AQ831" s="59" t="n"/>
      <c r="AR831" s="155" t="inlineStr">
        <is>
          <t>Shopify Stetson México › Stetson México: 2 | Shopify Stetson México › Stetson Americas: 2</t>
        </is>
      </c>
    </row>
    <row r="832">
      <c r="A832" s="50" t="inlineStr">
        <is>
          <t>195556119471</t>
        </is>
      </c>
      <c r="B832" s="51" t="inlineStr">
        <is>
          <t>110150</t>
        </is>
      </c>
      <c r="C832" s="156" t="inlineStr">
        <is>
          <t>Multimarca</t>
        </is>
      </c>
      <c r="D832" s="156" t="inlineStr">
        <is>
          <t>SSBKWD-WR4281</t>
        </is>
      </c>
      <c r="E832" s="156" t="inlineStr">
        <is>
          <t>SSBKWD-WR428173</t>
        </is>
      </c>
      <c r="F832" s="156" t="inlineStr">
        <is>
          <t>7 3/8</t>
        </is>
      </c>
      <c r="G832" s="156" t="inlineStr">
        <is>
          <t>7 3/8</t>
        </is>
      </c>
      <c r="H832" s="156" t="inlineStr">
        <is>
          <t>Stetson</t>
        </is>
      </c>
      <c r="I832" s="156" t="inlineStr">
        <is>
          <t>Sombrero Stetson Brookwood Natural</t>
        </is>
      </c>
      <c r="J832" s="156" t="inlineStr">
        <is>
          <t>Accesorios</t>
        </is>
      </c>
      <c r="K832" s="156" t="inlineStr">
        <is>
          <t>Sombreros</t>
        </is>
      </c>
      <c r="L832" s="156" t="inlineStr">
        <is>
          <t>Unisex</t>
        </is>
      </c>
      <c r="M832" s="156" t="inlineStr">
        <is>
          <t>Stetson</t>
        </is>
      </c>
      <c r="N832" s="156" t="inlineStr">
        <is>
          <t>SS26</t>
        </is>
      </c>
      <c r="O832" s="156" t="inlineStr">
        <is>
          <t>Seasonal</t>
        </is>
      </c>
      <c r="P832" s="156" t="inlineStr">
        <is>
          <t>Beige</t>
        </is>
      </c>
      <c r="Q832" s="156" t="n"/>
      <c r="R832" s="156" t="inlineStr">
        <is>
          <t>Copa Cattleman</t>
        </is>
      </c>
      <c r="S832" s="156" t="inlineStr">
        <is>
          <t>100% Paja</t>
        </is>
      </c>
      <c r="T832"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2" s="156" t="inlineStr">
        <is>
          <t>Estados Unidos</t>
        </is>
      </c>
      <c r="V832" s="156" t="inlineStr">
        <is>
          <t>PZS</t>
        </is>
      </c>
      <c r="W832" s="51" t="inlineStr">
        <is>
          <t>53102503</t>
        </is>
      </c>
      <c r="X832" s="156" t="inlineStr">
        <is>
          <t>https://cdn.shopify.com/s/files/1/0888/3250/8267/files/SSBKWD-WR428173_4.png?v=1759963724</t>
        </is>
      </c>
      <c r="Y832" s="54" t="n">
        <v>1575</v>
      </c>
      <c r="Z832" s="54" t="n">
        <v>3793.103448</v>
      </c>
      <c r="AA832" s="55">
        <f>IF(AND(A832="", B832="", E832=""), "", IF(AB832="", "Válido", IF((LEN(AB832)-LEN(SUBSTITUTE(AB832,"; ","")))/2+1&gt;(LEN(AB832)-LEN(SUBSTITUTE(AB832,"[Aviso]","")))/7, "Con Incidencias", "Válido")))</f>
        <v/>
      </c>
      <c r="AB832" s="56">
        <f>IF(AND(A832="", B832="", E832=""), "", TEXTJOIN("; ", TRUE, IF(OR(TRIM(A832&amp;"")="", ISNUMBER(SEARCH("FALTA", A832))), "UPC faltante/inválido", ""), IF(AND(A832&lt;&gt;"", IFERROR(_xlfn.XMATCH(A832,$A$2:$A$2509,0,1)&lt;&gt;_xlfn.XMATCH(A832,$A$2:$A$2509,0,-1),FALSE)), "Código de barras duplicado", ""), IF(AND(E832&lt;&gt;"", COUNTIF($E$2:$E$2509, E832)&gt;1), "SKU duplicado", ""), IF(OR(J832="", J832=""), "[Aviso] División no capturada ()", IF(ISNA(MATCH(J832, Criterios!$A$123:$A$126, 0)), "División no válida", "")), IF(OR(K832="", K832=""), "[Aviso] Categoría no capturada ()", IF(ISNA(MATCH(K832, Criterios!$A$81:$A$120, 0)), "Categoría no válida", IF(AND(J832&lt;&gt;"", J832&lt;&gt;"", J832&lt;&gt;VLOOKUP(K832, Criterios!$A$81:$B$120, 2, FALSE)), "División no coincide con Categoría", ""))), IF(OR(L832="", L832=""), "[Aviso] Género no capturado ()", IF(ISNA(MATCH(L832, Criterios!$B$123:$B$127, 0)), "Género no válido", "")), IF(OR(N832="", N832=""), "[Aviso] Temporada no capturada ()", IF(ISNA(MATCH(N832, Criterios!$C$123:$C$128, 0)), "Temporada no válida", "")), IF(OR(O832="", O832=""), "[Aviso] Ciclo de vida no capturado ()", IF(ISNA(MATCH(O832, Criterios!$D$123:$D$124, 0)), "Ciclo de vida no válido", ""))))</f>
        <v/>
      </c>
      <c r="AC832" s="56" t="n"/>
      <c r="AD832" s="51" t="n">
        <v>2</v>
      </c>
      <c r="AE832" s="156" t="inlineStr">
        <is>
          <t>B25 STETSON.MX (4)</t>
        </is>
      </c>
      <c r="AF832" s="51" t="n">
        <v>4</v>
      </c>
      <c r="AG832" s="156" t="inlineStr">
        <is>
          <t>Catálogo existente</t>
        </is>
      </c>
      <c r="AH83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2" s="156" t="inlineStr">
        <is>
          <t>Sí</t>
        </is>
      </c>
      <c r="AJ832" s="156" t="inlineStr">
        <is>
          <t>STETSON AMERICAS (-2)</t>
        </is>
      </c>
      <c r="AK832" s="155" t="inlineStr">
        <is>
          <t>Criterios: I [Q] | Shopify Stetson: producto 14789268734315 / variante 53350606405995</t>
        </is>
      </c>
      <c r="AL832" s="58" t="n">
        <v>1575</v>
      </c>
      <c r="AM832" s="58" t="n">
        <v>3793.103448</v>
      </c>
      <c r="AN832" s="155" t="inlineStr">
        <is>
          <t>Shopify Stetson México</t>
        </is>
      </c>
      <c r="AO832" s="59" t="n">
        <v>5</v>
      </c>
      <c r="AP832" s="59" t="n"/>
      <c r="AQ832" s="59" t="n"/>
      <c r="AR832" s="155" t="inlineStr">
        <is>
          <t>Shopify Stetson México › Stetson México: 4 | Shopify Stetson México › Stetson Americas: 1</t>
        </is>
      </c>
    </row>
    <row r="833">
      <c r="A833" s="50" t="inlineStr">
        <is>
          <t>195556119488</t>
        </is>
      </c>
      <c r="B833" s="51" t="inlineStr">
        <is>
          <t>110151</t>
        </is>
      </c>
      <c r="C833" s="156" t="inlineStr">
        <is>
          <t>Multimarca</t>
        </is>
      </c>
      <c r="D833" s="156" t="inlineStr">
        <is>
          <t>SSBKWD-WR4281</t>
        </is>
      </c>
      <c r="E833" s="156" t="inlineStr">
        <is>
          <t>SSBKWD-WR428174</t>
        </is>
      </c>
      <c r="F833" s="156" t="inlineStr">
        <is>
          <t>7 1/2</t>
        </is>
      </c>
      <c r="G833" s="156" t="inlineStr">
        <is>
          <t>7 1/2</t>
        </is>
      </c>
      <c r="H833" s="156" t="inlineStr">
        <is>
          <t>Stetson</t>
        </is>
      </c>
      <c r="I833" s="156" t="inlineStr">
        <is>
          <t>Sombrero Stetson Brookwood Natural</t>
        </is>
      </c>
      <c r="J833" s="156" t="inlineStr">
        <is>
          <t>Accesorios</t>
        </is>
      </c>
      <c r="K833" s="156" t="inlineStr">
        <is>
          <t>Sombreros</t>
        </is>
      </c>
      <c r="L833" s="156" t="inlineStr">
        <is>
          <t>Unisex</t>
        </is>
      </c>
      <c r="M833" s="156" t="inlineStr">
        <is>
          <t>Stetson</t>
        </is>
      </c>
      <c r="N833" s="156" t="inlineStr">
        <is>
          <t>SS26</t>
        </is>
      </c>
      <c r="O833" s="156" t="inlineStr">
        <is>
          <t>Seasonal</t>
        </is>
      </c>
      <c r="P833" s="156" t="inlineStr">
        <is>
          <t>Beige</t>
        </is>
      </c>
      <c r="Q833" s="156" t="n"/>
      <c r="R833" s="156" t="inlineStr">
        <is>
          <t>Copa Cattleman</t>
        </is>
      </c>
      <c r="S833" s="156" t="inlineStr">
        <is>
          <t>100% Paja</t>
        </is>
      </c>
      <c r="T833"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3" s="156" t="inlineStr">
        <is>
          <t>Estados Unidos</t>
        </is>
      </c>
      <c r="V833" s="156" t="inlineStr">
        <is>
          <t>PZS</t>
        </is>
      </c>
      <c r="W833" s="51" t="inlineStr">
        <is>
          <t>53102503</t>
        </is>
      </c>
      <c r="X833" s="156" t="inlineStr">
        <is>
          <t>https://cdn.shopify.com/s/files/1/0888/3250/8267/files/SSBKWD-WR428173_5.png?v=1759963724</t>
        </is>
      </c>
      <c r="Y833" s="54" t="n">
        <v>1575</v>
      </c>
      <c r="Z833" s="54" t="n">
        <v>3793.103448</v>
      </c>
      <c r="AA833" s="55">
        <f>IF(AND(A833="", B833="", E833=""), "", IF(AB833="", "Válido", IF((LEN(AB833)-LEN(SUBSTITUTE(AB833,"; ","")))/2+1&gt;(LEN(AB833)-LEN(SUBSTITUTE(AB833,"[Aviso]","")))/7, "Con Incidencias", "Válido")))</f>
        <v/>
      </c>
      <c r="AB833" s="56">
        <f>IF(AND(A833="", B833="", E833=""), "", TEXTJOIN("; ", TRUE, IF(OR(TRIM(A833&amp;"")="", ISNUMBER(SEARCH("FALTA", A833))), "UPC faltante/inválido", ""), IF(AND(A833&lt;&gt;"", IFERROR(_xlfn.XMATCH(A833,$A$2:$A$2509,0,1)&lt;&gt;_xlfn.XMATCH(A833,$A$2:$A$2509,0,-1),FALSE)), "Código de barras duplicado", ""), IF(AND(E833&lt;&gt;"", COUNTIF($E$2:$E$2509, E833)&gt;1), "SKU duplicado", ""), IF(OR(J833="", J833=""), "[Aviso] División no capturada ()", IF(ISNA(MATCH(J833, Criterios!$A$123:$A$126, 0)), "División no válida", "")), IF(OR(K833="", K833=""), "[Aviso] Categoría no capturada ()", IF(ISNA(MATCH(K833, Criterios!$A$81:$A$120, 0)), "Categoría no válida", IF(AND(J833&lt;&gt;"", J833&lt;&gt;"", J833&lt;&gt;VLOOKUP(K833, Criterios!$A$81:$B$120, 2, FALSE)), "División no coincide con Categoría", ""))), IF(OR(L833="", L833=""), "[Aviso] Género no capturado ()", IF(ISNA(MATCH(L833, Criterios!$B$123:$B$127, 0)), "Género no válido", "")), IF(OR(N833="", N833=""), "[Aviso] Temporada no capturada ()", IF(ISNA(MATCH(N833, Criterios!$C$123:$C$128, 0)), "Temporada no válida", "")), IF(OR(O833="", O833=""), "[Aviso] Ciclo de vida no capturado ()", IF(ISNA(MATCH(O833, Criterios!$D$123:$D$124, 0)), "Ciclo de vida no válido", ""))))</f>
        <v/>
      </c>
      <c r="AC833" s="56" t="n"/>
      <c r="AD833" s="51" t="n">
        <v>0</v>
      </c>
      <c r="AE833" s="156" t="inlineStr">
        <is>
          <t>B25 STETSON.MX (2)</t>
        </is>
      </c>
      <c r="AF833" s="51" t="n">
        <v>2</v>
      </c>
      <c r="AG833" s="156" t="inlineStr">
        <is>
          <t>Catálogo existente</t>
        </is>
      </c>
      <c r="AH83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3" s="156" t="inlineStr">
        <is>
          <t>Sí</t>
        </is>
      </c>
      <c r="AJ833" s="156" t="inlineStr">
        <is>
          <t>STETSON AMERICAS (-2)</t>
        </is>
      </c>
      <c r="AK833" s="155" t="inlineStr">
        <is>
          <t>Criterios: I [Q] | Shopify Stetson: producto 14789268734315 / variante 53350606438763</t>
        </is>
      </c>
      <c r="AL833" s="58" t="n">
        <v>1575</v>
      </c>
      <c r="AM833" s="58" t="n">
        <v>3793.103448</v>
      </c>
      <c r="AN833" s="155" t="inlineStr">
        <is>
          <t>Shopify Stetson México</t>
        </is>
      </c>
      <c r="AO833" s="59" t="n">
        <v>2</v>
      </c>
      <c r="AP833" s="59" t="n"/>
      <c r="AQ833" s="59" t="n"/>
      <c r="AR833" s="155" t="inlineStr">
        <is>
          <t>Shopify Stetson México › Stetson México: 2</t>
        </is>
      </c>
    </row>
    <row r="834">
      <c r="A834" s="50" t="inlineStr">
        <is>
          <t>195556122396</t>
        </is>
      </c>
      <c r="B834" s="51" t="inlineStr">
        <is>
          <t>110485</t>
        </is>
      </c>
      <c r="C834" s="156" t="inlineStr">
        <is>
          <t>Multimarca</t>
        </is>
      </c>
      <c r="D834" s="156" t="inlineStr">
        <is>
          <t>XWGDCR-9142DM</t>
        </is>
      </c>
      <c r="E834" s="156" t="inlineStr">
        <is>
          <t>XWGDCR-9142DML0</t>
        </is>
      </c>
      <c r="F834" s="156" t="inlineStr">
        <is>
          <t>L</t>
        </is>
      </c>
      <c r="G834" s="156" t="inlineStr">
        <is>
          <t>L</t>
        </is>
      </c>
      <c r="H834" s="156" t="inlineStr">
        <is>
          <t>Stetson</t>
        </is>
      </c>
      <c r="I834" s="156" t="inlineStr">
        <is>
          <t>Texana Stetson Gold Creek Mezclilla</t>
        </is>
      </c>
      <c r="J834" s="156" t="inlineStr">
        <is>
          <t>Accesorios</t>
        </is>
      </c>
      <c r="K834" s="156" t="inlineStr">
        <is>
          <t>Sombreros</t>
        </is>
      </c>
      <c r="L834" s="156" t="inlineStr">
        <is>
          <t>Unisex</t>
        </is>
      </c>
      <c r="M834" s="156" t="inlineStr">
        <is>
          <t>Stetson</t>
        </is>
      </c>
      <c r="N834" s="156" t="inlineStr">
        <is>
          <t>SS26</t>
        </is>
      </c>
      <c r="O834" s="156" t="inlineStr">
        <is>
          <t>Seasonal</t>
        </is>
      </c>
      <c r="P834" s="156" t="inlineStr">
        <is>
          <t>Azul</t>
        </is>
      </c>
      <c r="Q834" s="156" t="n"/>
      <c r="R834" s="156" t="inlineStr">
        <is>
          <t>Copa Cattleman</t>
        </is>
      </c>
      <c r="S834" s="156" t="inlineStr">
        <is>
          <t>100% Fieltro de lana</t>
        </is>
      </c>
      <c r="T834" s="156" t="inlineStr">
        <is>
          <t>Texana Stetson Gold Creek Mezclilla.
 Composición: 100% Fieltro de lana.
 Color: Mezclilla.</t>
        </is>
      </c>
      <c r="U834" s="156" t="inlineStr">
        <is>
          <t>Estados Unidos</t>
        </is>
      </c>
      <c r="V834" s="156" t="inlineStr">
        <is>
          <t>PZS</t>
        </is>
      </c>
      <c r="W834" s="51" t="inlineStr">
        <is>
          <t>53102503</t>
        </is>
      </c>
      <c r="X834" s="156" t="inlineStr">
        <is>
          <t>https://cdn.shopify.com/s/files/1/0357/2432/9005/files/XWGDCR-9142-DM_Denim-Mix_1.jpg?v=1754386152</t>
        </is>
      </c>
      <c r="Y834" s="54" t="n">
        <v>1102.5</v>
      </c>
      <c r="Z834" s="54" t="n">
        <v>2672.413793</v>
      </c>
      <c r="AA834" s="55">
        <f>IF(AND(A834="", B834="", E834=""), "", IF(AB834="", "Válido", IF((LEN(AB834)-LEN(SUBSTITUTE(AB834,"; ","")))/2+1&gt;(LEN(AB834)-LEN(SUBSTITUTE(AB834,"[Aviso]","")))/7, "Con Incidencias", "Válido")))</f>
        <v/>
      </c>
      <c r="AB834" s="56">
        <f>IF(AND(A834="", B834="", E834=""), "", TEXTJOIN("; ", TRUE, IF(OR(TRIM(A834&amp;"")="", ISNUMBER(SEARCH("FALTA", A834))), "UPC faltante/inválido", ""), IF(AND(A834&lt;&gt;"", IFERROR(_xlfn.XMATCH(A834,$A$2:$A$2509,0,1)&lt;&gt;_xlfn.XMATCH(A834,$A$2:$A$2509,0,-1),FALSE)), "Código de barras duplicado", ""), IF(AND(E834&lt;&gt;"", COUNTIF($E$2:$E$2509, E834)&gt;1), "SKU duplicado", ""), IF(OR(J834="", J834=""), "[Aviso] División no capturada ()", IF(ISNA(MATCH(J834, Criterios!$A$123:$A$126, 0)), "División no válida", "")), IF(OR(K834="", K834=""), "[Aviso] Categoría no capturada ()", IF(ISNA(MATCH(K834, Criterios!$A$81:$A$120, 0)), "Categoría no válida", IF(AND(J834&lt;&gt;"", J834&lt;&gt;"", J834&lt;&gt;VLOOKUP(K834, Criterios!$A$81:$B$120, 2, FALSE)), "División no coincide con Categoría", ""))), IF(OR(L834="", L834=""), "[Aviso] Género no capturado ()", IF(ISNA(MATCH(L834, Criterios!$B$123:$B$127, 0)), "Género no válido", "")), IF(OR(N834="", N834=""), "[Aviso] Temporada no capturada ()", IF(ISNA(MATCH(N834, Criterios!$C$123:$C$128, 0)), "Temporada no válida", "")), IF(OR(O834="", O834=""), "[Aviso] Ciclo de vida no capturado ()", IF(ISNA(MATCH(O834, Criterios!$D$123:$D$124, 0)), "Ciclo de vida no válido", ""))))</f>
        <v/>
      </c>
      <c r="AC834" s="56" t="n"/>
      <c r="AD834" s="51" t="n">
        <v>1</v>
      </c>
      <c r="AE834" s="156" t="inlineStr">
        <is>
          <t>B25 STETSON.MX (1)</t>
        </is>
      </c>
      <c r="AF834" s="51" t="n">
        <v>1</v>
      </c>
      <c r="AG834" s="156" t="inlineStr">
        <is>
          <t>Catálogo existente</t>
        </is>
      </c>
      <c r="AH834"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4" s="156" t="inlineStr">
        <is>
          <t>No</t>
        </is>
      </c>
      <c r="AJ834" s="156" t="n"/>
      <c r="AK834" s="155" t="inlineStr">
        <is>
          <t>Criterios: I [Q] | Shopify Stetson: producto 15056329834859 / variante 53357914587499 | Investigación en línea 06/10/2026: https://www.stetson.com/products/gold-creek-denim-mix</t>
        </is>
      </c>
      <c r="AL834" s="58" t="n">
        <v>1102.5</v>
      </c>
      <c r="AM834" s="58" t="n">
        <v>2672.413793</v>
      </c>
      <c r="AN834" s="155" t="inlineStr">
        <is>
          <t>Shopify Stetson México</t>
        </is>
      </c>
      <c r="AO834" s="59" t="n">
        <v>2</v>
      </c>
      <c r="AP834" s="59" t="n"/>
      <c r="AQ834" s="59" t="n"/>
      <c r="AR834" s="155" t="inlineStr">
        <is>
          <t>Shopify Stetson México › Stetson México: 1 | Shopify Stetson México › Stetson Americas: 1</t>
        </is>
      </c>
    </row>
    <row r="835">
      <c r="A835" s="50" t="inlineStr">
        <is>
          <t>195556122402</t>
        </is>
      </c>
      <c r="B835" s="51" t="inlineStr">
        <is>
          <t>110489</t>
        </is>
      </c>
      <c r="C835" s="156" t="inlineStr">
        <is>
          <t>Multimarca</t>
        </is>
      </c>
      <c r="D835" s="156" t="inlineStr">
        <is>
          <t>XWGDCR-9142EU</t>
        </is>
      </c>
      <c r="E835" s="156" t="inlineStr">
        <is>
          <t>XWGDCR-9142EUL0</t>
        </is>
      </c>
      <c r="F835" s="156" t="inlineStr">
        <is>
          <t>L</t>
        </is>
      </c>
      <c r="G835" s="156" t="inlineStr">
        <is>
          <t>L</t>
        </is>
      </c>
      <c r="H835" s="156" t="inlineStr">
        <is>
          <t>Stetson</t>
        </is>
      </c>
      <c r="I835" s="156" t="inlineStr">
        <is>
          <t>Texana Stetson Gold Creek Eucalipto</t>
        </is>
      </c>
      <c r="J835" s="156" t="inlineStr">
        <is>
          <t>Accesorios</t>
        </is>
      </c>
      <c r="K835" s="156" t="inlineStr">
        <is>
          <t>Sombreros</t>
        </is>
      </c>
      <c r="L835" s="156" t="inlineStr">
        <is>
          <t>Unisex</t>
        </is>
      </c>
      <c r="M835" s="156" t="inlineStr">
        <is>
          <t>Stetson</t>
        </is>
      </c>
      <c r="N835" s="156" t="inlineStr">
        <is>
          <t>SS26</t>
        </is>
      </c>
      <c r="O835" s="156" t="inlineStr">
        <is>
          <t>Seasonal</t>
        </is>
      </c>
      <c r="P835" s="156" t="inlineStr">
        <is>
          <t>Verde</t>
        </is>
      </c>
      <c r="Q835" s="156" t="n"/>
      <c r="R835" s="156" t="n"/>
      <c r="S835" s="156" t="inlineStr">
        <is>
          <t>100% Fieltro de lana</t>
        </is>
      </c>
      <c r="T835" s="156" t="inlineStr">
        <is>
          <t>Texana Stetson Gold Creek Eucalipto.
 Composición: 100% Fieltro de lana.
 Color: Eucalipto.</t>
        </is>
      </c>
      <c r="U835" s="156" t="n"/>
      <c r="V835" s="156" t="inlineStr">
        <is>
          <t>PZS</t>
        </is>
      </c>
      <c r="W835" s="51" t="inlineStr">
        <is>
          <t>53102503</t>
        </is>
      </c>
      <c r="X835" s="156" t="n"/>
      <c r="Y835" s="54" t="n">
        <v>1102.5</v>
      </c>
      <c r="Z835" s="54" t="n">
        <v>2672.413793</v>
      </c>
      <c r="AA835" s="55">
        <f>IF(AND(A835="", B835="", E835=""), "", IF(AB835="", "Válido", IF((LEN(AB835)-LEN(SUBSTITUTE(AB835,"; ","")))/2+1&gt;(LEN(AB835)-LEN(SUBSTITUTE(AB835,"[Aviso]","")))/7, "Con Incidencias", "Válido")))</f>
        <v/>
      </c>
      <c r="AB835" s="56">
        <f>IF(AND(A835="", B835="", E835=""), "", TEXTJOIN("; ", TRUE, IF(OR(TRIM(A835&amp;"")="", ISNUMBER(SEARCH("FALTA", A835))), "UPC faltante/inválido", ""), IF(AND(A835&lt;&gt;"", IFERROR(_xlfn.XMATCH(A835,$A$2:$A$2509,0,1)&lt;&gt;_xlfn.XMATCH(A835,$A$2:$A$2509,0,-1),FALSE)), "Código de barras duplicado", ""), IF(AND(E835&lt;&gt;"", COUNTIF($E$2:$E$2509, E835)&gt;1), "SKU duplicado", ""), IF(OR(J835="", J835=""), "[Aviso] División no capturada ()", IF(ISNA(MATCH(J835, Criterios!$A$123:$A$126, 0)), "División no válida", "")), IF(OR(K835="", K835=""), "[Aviso] Categoría no capturada ()", IF(ISNA(MATCH(K835, Criterios!$A$81:$A$120, 0)), "Categoría no válida", IF(AND(J835&lt;&gt;"", J835&lt;&gt;"", J835&lt;&gt;VLOOKUP(K835, Criterios!$A$81:$B$120, 2, FALSE)), "División no coincide con Categoría", ""))), IF(OR(L835="", L835=""), "[Aviso] Género no capturado ()", IF(ISNA(MATCH(L835, Criterios!$B$123:$B$127, 0)), "Género no válido", "")), IF(OR(N835="", N835=""), "[Aviso] Temporada no capturada ()", IF(ISNA(MATCH(N835, Criterios!$C$123:$C$128, 0)), "Temporada no válida", "")), IF(OR(O835="", O835=""), "[Aviso] Ciclo de vida no capturado ()", IF(ISNA(MATCH(O835, Criterios!$D$123:$D$124, 0)), "Ciclo de vida no válido", ""))))</f>
        <v/>
      </c>
      <c r="AC835" s="56" t="n"/>
      <c r="AD835" s="51" t="n">
        <v>0</v>
      </c>
      <c r="AE835" s="156" t="n"/>
      <c r="AF835" s="51" t="n">
        <v>0</v>
      </c>
      <c r="AG835" s="156" t="inlineStr">
        <is>
          <t>Catálogo existente</t>
        </is>
      </c>
      <c r="AH835" s="156" t="inlineStr">
        <is>
          <t>Revisión 29/09/2026: Talla fuente L sin equivalencia exacta en Criterios para Talla Sombrero; Campos sin respaldo: U, X | 01/10/2026: complementado desde Shopify Stetson México (match por código de barras): WB Fit</t>
        </is>
      </c>
      <c r="AI835" s="156" t="inlineStr">
        <is>
          <t>No</t>
        </is>
      </c>
      <c r="AJ835" s="156" t="n"/>
      <c r="AK835" s="155" t="inlineStr">
        <is>
          <t>Criterios: I [Q] | Shopify Stetson: producto 15056329867627 / variante 53357914653035</t>
        </is>
      </c>
      <c r="AL835" s="58" t="n">
        <v>1102.5</v>
      </c>
      <c r="AM835" s="58" t="n">
        <v>2672.413793</v>
      </c>
      <c r="AN835" s="155" t="inlineStr">
        <is>
          <t>Shopify Stetson México</t>
        </is>
      </c>
      <c r="AO835" s="59" t="n">
        <v>1</v>
      </c>
      <c r="AP835" s="59" t="n"/>
      <c r="AQ835" s="59" t="n"/>
      <c r="AR835" s="155" t="inlineStr">
        <is>
          <t>Shopify Stetson México › Stetson Americas: 1</t>
        </is>
      </c>
    </row>
    <row r="836">
      <c r="A836" s="50" t="inlineStr">
        <is>
          <t>195556122419</t>
        </is>
      </c>
      <c r="B836" s="51" t="inlineStr">
        <is>
          <t>110486</t>
        </is>
      </c>
      <c r="C836" s="156" t="inlineStr">
        <is>
          <t>Multimarca</t>
        </is>
      </c>
      <c r="D836" s="156" t="inlineStr">
        <is>
          <t>XWGDCR-9142DM</t>
        </is>
      </c>
      <c r="E836" s="156" t="inlineStr">
        <is>
          <t>XWGDCR-9142DMM0</t>
        </is>
      </c>
      <c r="F836" s="156" t="inlineStr">
        <is>
          <t>M</t>
        </is>
      </c>
      <c r="G836" s="156" t="inlineStr">
        <is>
          <t>M</t>
        </is>
      </c>
      <c r="H836" s="156" t="inlineStr">
        <is>
          <t>Stetson</t>
        </is>
      </c>
      <c r="I836" s="156" t="inlineStr">
        <is>
          <t>Texana Stetson Gold Creek Mezclilla</t>
        </is>
      </c>
      <c r="J836" s="156" t="inlineStr">
        <is>
          <t>Accesorios</t>
        </is>
      </c>
      <c r="K836" s="156" t="inlineStr">
        <is>
          <t>Sombreros</t>
        </is>
      </c>
      <c r="L836" s="156" t="inlineStr">
        <is>
          <t>Unisex</t>
        </is>
      </c>
      <c r="M836" s="156" t="inlineStr">
        <is>
          <t>Stetson</t>
        </is>
      </c>
      <c r="N836" s="156" t="inlineStr">
        <is>
          <t>SS26</t>
        </is>
      </c>
      <c r="O836" s="156" t="inlineStr">
        <is>
          <t>Seasonal</t>
        </is>
      </c>
      <c r="P836" s="156" t="inlineStr">
        <is>
          <t>Azul</t>
        </is>
      </c>
      <c r="Q836" s="156" t="n"/>
      <c r="R836" s="156" t="inlineStr">
        <is>
          <t>Copa Cattleman</t>
        </is>
      </c>
      <c r="S836" s="156" t="inlineStr">
        <is>
          <t>100% Fieltro de lana</t>
        </is>
      </c>
      <c r="T836" s="156" t="inlineStr">
        <is>
          <t>Texana Stetson Gold Creek Mezclilla.
 Composición: 100% Fieltro de lana.
 Color: Mezclilla.</t>
        </is>
      </c>
      <c r="U836" s="156" t="inlineStr">
        <is>
          <t>Estados Unidos</t>
        </is>
      </c>
      <c r="V836" s="156" t="inlineStr">
        <is>
          <t>PZS</t>
        </is>
      </c>
      <c r="W836" s="51" t="inlineStr">
        <is>
          <t>53102503</t>
        </is>
      </c>
      <c r="X836" s="156" t="inlineStr">
        <is>
          <t>https://cdn.shopify.com/s/files/1/0357/2432/9005/files/XWGDCR-9142-DM_Denim-Mix_1.jpg?v=1754386152</t>
        </is>
      </c>
      <c r="Y836" s="54" t="n">
        <v>1102.5</v>
      </c>
      <c r="Z836" s="54" t="n">
        <v>2672.413793</v>
      </c>
      <c r="AA836" s="55">
        <f>IF(AND(A836="", B836="", E836=""), "", IF(AB836="", "Válido", IF((LEN(AB836)-LEN(SUBSTITUTE(AB836,"; ","")))/2+1&gt;(LEN(AB836)-LEN(SUBSTITUTE(AB836,"[Aviso]","")))/7, "Con Incidencias", "Válido")))</f>
        <v/>
      </c>
      <c r="AB836" s="56">
        <f>IF(AND(A836="", B836="", E836=""), "", TEXTJOIN("; ", TRUE, IF(OR(TRIM(A836&amp;"")="", ISNUMBER(SEARCH("FALTA", A836))), "UPC faltante/inválido", ""), IF(AND(A836&lt;&gt;"", IFERROR(_xlfn.XMATCH(A836,$A$2:$A$2509,0,1)&lt;&gt;_xlfn.XMATCH(A836,$A$2:$A$2509,0,-1),FALSE)), "Código de barras duplicado", ""), IF(AND(E836&lt;&gt;"", COUNTIF($E$2:$E$2509, E836)&gt;1), "SKU duplicado", ""), IF(OR(J836="", J836=""), "[Aviso] División no capturada ()", IF(ISNA(MATCH(J836, Criterios!$A$123:$A$126, 0)), "División no válida", "")), IF(OR(K836="", K836=""), "[Aviso] Categoría no capturada ()", IF(ISNA(MATCH(K836, Criterios!$A$81:$A$120, 0)), "Categoría no válida", IF(AND(J836&lt;&gt;"", J836&lt;&gt;"", J836&lt;&gt;VLOOKUP(K836, Criterios!$A$81:$B$120, 2, FALSE)), "División no coincide con Categoría", ""))), IF(OR(L836="", L836=""), "[Aviso] Género no capturado ()", IF(ISNA(MATCH(L836, Criterios!$B$123:$B$127, 0)), "Género no válido", "")), IF(OR(N836="", N836=""), "[Aviso] Temporada no capturada ()", IF(ISNA(MATCH(N836, Criterios!$C$123:$C$128, 0)), "Temporada no válida", "")), IF(OR(O836="", O836=""), "[Aviso] Ciclo de vida no capturado ()", IF(ISNA(MATCH(O836, Criterios!$D$123:$D$124, 0)), "Ciclo de vida no válido", ""))))</f>
        <v/>
      </c>
      <c r="AC836" s="56" t="n"/>
      <c r="AD836" s="51" t="n">
        <v>-2</v>
      </c>
      <c r="AE836" s="156" t="n"/>
      <c r="AF836" s="51" t="n">
        <v>0</v>
      </c>
      <c r="AG836" s="156" t="inlineStr">
        <is>
          <t>Catálogo existente</t>
        </is>
      </c>
      <c r="AH836" s="156" t="inlineStr">
        <is>
          <t>Stock negativo en sistema: revisar en conteo | 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6" s="156" t="inlineStr">
        <is>
          <t>Sí</t>
        </is>
      </c>
      <c r="AJ836" s="156" t="inlineStr">
        <is>
          <t>STETSON AMERICAS (-2)</t>
        </is>
      </c>
      <c r="AK836" s="155" t="inlineStr">
        <is>
          <t>Criterios: I [Q] | Shopify Stetson: producto 15056329834859 / variante 53357914554731 | Investigación en línea 06/10/2026: https://www.stetson.com/products/gold-creek-denim-mix</t>
        </is>
      </c>
      <c r="AL836" s="58" t="n">
        <v>1102.5</v>
      </c>
      <c r="AM836" s="58" t="n">
        <v>2672.413793</v>
      </c>
      <c r="AN836" s="155" t="inlineStr">
        <is>
          <t>Shopify Stetson México</t>
        </is>
      </c>
      <c r="AO836" s="59" t="n">
        <v>0</v>
      </c>
      <c r="AP836" s="59" t="n"/>
      <c r="AQ836" s="59" t="n"/>
      <c r="AR836" s="155" t="n"/>
    </row>
    <row r="837">
      <c r="A837" s="50" t="inlineStr">
        <is>
          <t>195556122426</t>
        </is>
      </c>
      <c r="B837" s="51" t="inlineStr">
        <is>
          <t>110490</t>
        </is>
      </c>
      <c r="C837" s="156" t="inlineStr">
        <is>
          <t>Multimarca</t>
        </is>
      </c>
      <c r="D837" s="156" t="inlineStr">
        <is>
          <t>XWGDCR-9142EU</t>
        </is>
      </c>
      <c r="E837" s="156" t="inlineStr">
        <is>
          <t>XWGDCR-9142EUM0</t>
        </is>
      </c>
      <c r="F837" s="156" t="inlineStr">
        <is>
          <t>M</t>
        </is>
      </c>
      <c r="G837" s="156" t="inlineStr">
        <is>
          <t>M</t>
        </is>
      </c>
      <c r="H837" s="156" t="inlineStr">
        <is>
          <t>Stetson</t>
        </is>
      </c>
      <c r="I837" s="156" t="inlineStr">
        <is>
          <t>Texana Stetson Gold Creek Eucalipto</t>
        </is>
      </c>
      <c r="J837" s="156" t="inlineStr">
        <is>
          <t>Accesorios</t>
        </is>
      </c>
      <c r="K837" s="156" t="inlineStr">
        <is>
          <t>Sombreros</t>
        </is>
      </c>
      <c r="L837" s="156" t="inlineStr">
        <is>
          <t>Unisex</t>
        </is>
      </c>
      <c r="M837" s="156" t="inlineStr">
        <is>
          <t>Stetson</t>
        </is>
      </c>
      <c r="N837" s="156" t="inlineStr">
        <is>
          <t>SS26</t>
        </is>
      </c>
      <c r="O837" s="156" t="inlineStr">
        <is>
          <t>Seasonal</t>
        </is>
      </c>
      <c r="P837" s="156" t="inlineStr">
        <is>
          <t>Verde</t>
        </is>
      </c>
      <c r="Q837" s="156" t="n"/>
      <c r="R837" s="156" t="n"/>
      <c r="S837" s="156" t="inlineStr">
        <is>
          <t>100% Fieltro de lana</t>
        </is>
      </c>
      <c r="T837" s="156" t="inlineStr">
        <is>
          <t>Texana Stetson Gold Creek Eucalipto.
 Composición: 100% Fieltro de lana.
 Color: Eucalipto.</t>
        </is>
      </c>
      <c r="U837" s="156" t="n"/>
      <c r="V837" s="156" t="inlineStr">
        <is>
          <t>PZS</t>
        </is>
      </c>
      <c r="W837" s="51" t="inlineStr">
        <is>
          <t>53102503</t>
        </is>
      </c>
      <c r="X837" s="156" t="n"/>
      <c r="Y837" s="54" t="n">
        <v>1102.5</v>
      </c>
      <c r="Z837" s="54" t="n">
        <v>2672.413793</v>
      </c>
      <c r="AA837" s="55">
        <f>IF(AND(A837="", B837="", E837=""), "", IF(AB837="", "Válido", IF((LEN(AB837)-LEN(SUBSTITUTE(AB837,"; ","")))/2+1&gt;(LEN(AB837)-LEN(SUBSTITUTE(AB837,"[Aviso]","")))/7, "Con Incidencias", "Válido")))</f>
        <v/>
      </c>
      <c r="AB837" s="56">
        <f>IF(AND(A837="", B837="", E837=""), "", TEXTJOIN("; ", TRUE, IF(OR(TRIM(A837&amp;"")="", ISNUMBER(SEARCH("FALTA", A837))), "UPC faltante/inválido", ""), IF(AND(A837&lt;&gt;"", IFERROR(_xlfn.XMATCH(A837,$A$2:$A$2509,0,1)&lt;&gt;_xlfn.XMATCH(A837,$A$2:$A$2509,0,-1),FALSE)), "Código de barras duplicado", ""), IF(AND(E837&lt;&gt;"", COUNTIF($E$2:$E$2509, E837)&gt;1), "SKU duplicado", ""), IF(OR(J837="", J837=""), "[Aviso] División no capturada ()", IF(ISNA(MATCH(J837, Criterios!$A$123:$A$126, 0)), "División no válida", "")), IF(OR(K837="", K837=""), "[Aviso] Categoría no capturada ()", IF(ISNA(MATCH(K837, Criterios!$A$81:$A$120, 0)), "Categoría no válida", IF(AND(J837&lt;&gt;"", J837&lt;&gt;"", J837&lt;&gt;VLOOKUP(K837, Criterios!$A$81:$B$120, 2, FALSE)), "División no coincide con Categoría", ""))), IF(OR(L837="", L837=""), "[Aviso] Género no capturado ()", IF(ISNA(MATCH(L837, Criterios!$B$123:$B$127, 0)), "Género no válido", "")), IF(OR(N837="", N837=""), "[Aviso] Temporada no capturada ()", IF(ISNA(MATCH(N837, Criterios!$C$123:$C$128, 0)), "Temporada no válida", "")), IF(OR(O837="", O837=""), "[Aviso] Ciclo de vida no capturado ()", IF(ISNA(MATCH(O837, Criterios!$D$123:$D$124, 0)), "Ciclo de vida no válido", ""))))</f>
        <v/>
      </c>
      <c r="AC837" s="56" t="n"/>
      <c r="AD837" s="51" t="n">
        <v>0</v>
      </c>
      <c r="AE837" s="156" t="n"/>
      <c r="AF837" s="51" t="n">
        <v>0</v>
      </c>
      <c r="AG837" s="156" t="inlineStr">
        <is>
          <t>Catálogo existente</t>
        </is>
      </c>
      <c r="AH837" s="156" t="inlineStr">
        <is>
          <t>Revisión 29/09/2026: Talla fuente M sin equivalencia exacta en Criterios para Talla Sombrero; Campos sin respaldo: U, X</t>
        </is>
      </c>
      <c r="AI837" s="156" t="inlineStr">
        <is>
          <t>No</t>
        </is>
      </c>
      <c r="AJ837" s="156" t="n"/>
      <c r="AK837" s="155" t="inlineStr">
        <is>
          <t>Criterios: I [Q]</t>
        </is>
      </c>
      <c r="AL837" s="58" t="n">
        <v>1102.5</v>
      </c>
      <c r="AM837" s="58" t="n">
        <v>2672.413793</v>
      </c>
      <c r="AN837" s="155" t="n"/>
      <c r="AO837" s="59" t="n"/>
      <c r="AP837" s="59" t="n"/>
      <c r="AQ837" s="59" t="n"/>
      <c r="AR837" s="155" t="n"/>
    </row>
    <row r="838">
      <c r="A838" s="50" t="inlineStr">
        <is>
          <t>195556122433</t>
        </is>
      </c>
      <c r="B838" s="51" t="inlineStr">
        <is>
          <t>110487</t>
        </is>
      </c>
      <c r="C838" s="156" t="inlineStr">
        <is>
          <t>Multimarca</t>
        </is>
      </c>
      <c r="D838" s="156" t="inlineStr">
        <is>
          <t>XWGDCR-9142DM</t>
        </is>
      </c>
      <c r="E838" s="156" t="inlineStr">
        <is>
          <t>XWGDCR-9142DMS0</t>
        </is>
      </c>
      <c r="F838" s="156" t="inlineStr">
        <is>
          <t>S</t>
        </is>
      </c>
      <c r="G838" s="156" t="inlineStr">
        <is>
          <t>S</t>
        </is>
      </c>
      <c r="H838" s="156" t="inlineStr">
        <is>
          <t>Stetson</t>
        </is>
      </c>
      <c r="I838" s="156" t="inlineStr">
        <is>
          <t>Texana Stetson Gold Creek Mezclilla</t>
        </is>
      </c>
      <c r="J838" s="156" t="inlineStr">
        <is>
          <t>Accesorios</t>
        </is>
      </c>
      <c r="K838" s="156" t="inlineStr">
        <is>
          <t>Sombreros</t>
        </is>
      </c>
      <c r="L838" s="156" t="inlineStr">
        <is>
          <t>Unisex</t>
        </is>
      </c>
      <c r="M838" s="156" t="inlineStr">
        <is>
          <t>Stetson</t>
        </is>
      </c>
      <c r="N838" s="156" t="inlineStr">
        <is>
          <t>SS26</t>
        </is>
      </c>
      <c r="O838" s="156" t="inlineStr">
        <is>
          <t>Seasonal</t>
        </is>
      </c>
      <c r="P838" s="156" t="inlineStr">
        <is>
          <t>Azul</t>
        </is>
      </c>
      <c r="Q838" s="156" t="n"/>
      <c r="R838" s="156" t="inlineStr">
        <is>
          <t>Copa Cattleman</t>
        </is>
      </c>
      <c r="S838" s="156" t="inlineStr">
        <is>
          <t>100% Fieltro de lana</t>
        </is>
      </c>
      <c r="T838" s="156" t="inlineStr">
        <is>
          <t>Texana Stetson Gold Creek Mezclilla.
 Composición: 100% Fieltro de lana.
 Color: Mezclilla.</t>
        </is>
      </c>
      <c r="U838" s="156" t="inlineStr">
        <is>
          <t>Estados Unidos</t>
        </is>
      </c>
      <c r="V838" s="156" t="inlineStr">
        <is>
          <t>PZS</t>
        </is>
      </c>
      <c r="W838" s="51" t="inlineStr">
        <is>
          <t>53102503</t>
        </is>
      </c>
      <c r="X838" s="156" t="inlineStr">
        <is>
          <t>https://cdn.shopify.com/s/files/1/0357/2432/9005/files/XWGDCR-9142-DM_Denim-Mix_1.jpg?v=1754386152</t>
        </is>
      </c>
      <c r="Y838" s="54" t="n">
        <v>1102.5</v>
      </c>
      <c r="Z838" s="54" t="n">
        <v>2672.413793</v>
      </c>
      <c r="AA838" s="55">
        <f>IF(AND(A838="", B838="", E838=""), "", IF(AB838="", "Válido", IF((LEN(AB838)-LEN(SUBSTITUTE(AB838,"; ","")))/2+1&gt;(LEN(AB838)-LEN(SUBSTITUTE(AB838,"[Aviso]","")))/7, "Con Incidencias", "Válido")))</f>
        <v/>
      </c>
      <c r="AB838" s="56">
        <f>IF(AND(A838="", B838="", E838=""), "", TEXTJOIN("; ", TRUE, IF(OR(TRIM(A838&amp;"")="", ISNUMBER(SEARCH("FALTA", A838))), "UPC faltante/inválido", ""), IF(AND(A838&lt;&gt;"", IFERROR(_xlfn.XMATCH(A838,$A$2:$A$2509,0,1)&lt;&gt;_xlfn.XMATCH(A838,$A$2:$A$2509,0,-1),FALSE)), "Código de barras duplicado", ""), IF(AND(E838&lt;&gt;"", COUNTIF($E$2:$E$2509, E838)&gt;1), "SKU duplicado", ""), IF(OR(J838="", J838=""), "[Aviso] División no capturada ()", IF(ISNA(MATCH(J838, Criterios!$A$123:$A$126, 0)), "División no válida", "")), IF(OR(K838="", K838=""), "[Aviso] Categoría no capturada ()", IF(ISNA(MATCH(K838, Criterios!$A$81:$A$120, 0)), "Categoría no válida", IF(AND(J838&lt;&gt;"", J838&lt;&gt;"", J838&lt;&gt;VLOOKUP(K838, Criterios!$A$81:$B$120, 2, FALSE)), "División no coincide con Categoría", ""))), IF(OR(L838="", L838=""), "[Aviso] Género no capturado ()", IF(ISNA(MATCH(L838, Criterios!$B$123:$B$127, 0)), "Género no válido", "")), IF(OR(N838="", N838=""), "[Aviso] Temporada no capturada ()", IF(ISNA(MATCH(N838, Criterios!$C$123:$C$128, 0)), "Temporada no válida", "")), IF(OR(O838="", O838=""), "[Aviso] Ciclo de vida no capturado ()", IF(ISNA(MATCH(O838, Criterios!$D$123:$D$124, 0)), "Ciclo de vida no válido", ""))))</f>
        <v/>
      </c>
      <c r="AC838" s="56" t="n"/>
      <c r="AD838" s="51" t="n">
        <v>0</v>
      </c>
      <c r="AE838" s="156" t="n"/>
      <c r="AF838" s="51" t="n">
        <v>0</v>
      </c>
      <c r="AG838" s="156" t="inlineStr">
        <is>
          <t>Catálogo existente</t>
        </is>
      </c>
      <c r="AH838" s="156" t="inlineStr">
        <is>
          <t>Revisión 29/09/2026: Talla fuente S sin equivalencia exacta en Criterios para Talla Sombrero; Campos sin respaldo: U, X | 01/10/2026: complementado desde Odoo Universal Unique Brands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8" s="156" t="inlineStr">
        <is>
          <t>No</t>
        </is>
      </c>
      <c r="AJ838" s="156" t="n"/>
      <c r="AK838" s="155" t="inlineStr">
        <is>
          <t>Criterios: I [Q] | Odoo: producto 19385 / plantilla 23872 | Investigación en línea 06/10/2026: https://www.stetson.com/products/gold-creek-denim-mix</t>
        </is>
      </c>
      <c r="AL838" s="58" t="n">
        <v>1102.5</v>
      </c>
      <c r="AM838" s="58" t="n">
        <v>2672.413793</v>
      </c>
      <c r="AN838" s="155" t="inlineStr">
        <is>
          <t>Odoo Universal Unique Brands</t>
        </is>
      </c>
      <c r="AO838" s="59" t="n"/>
      <c r="AP838" s="59" t="n"/>
      <c r="AQ838" s="59" t="n">
        <v>1</v>
      </c>
      <c r="AR838" s="155" t="inlineStr">
        <is>
          <t>Odoo Universal Unique Brands › Bodega 25 › Bodega 25/General: 1</t>
        </is>
      </c>
    </row>
    <row r="839">
      <c r="A839" s="50" t="inlineStr">
        <is>
          <t>195556122440</t>
        </is>
      </c>
      <c r="B839" s="51" t="inlineStr">
        <is>
          <t>110491</t>
        </is>
      </c>
      <c r="C839" s="156" t="inlineStr">
        <is>
          <t>Multimarca</t>
        </is>
      </c>
      <c r="D839" s="156" t="inlineStr">
        <is>
          <t>XWGDCR-9142EU</t>
        </is>
      </c>
      <c r="E839" s="156" t="inlineStr">
        <is>
          <t>XWGDCR-9142EUS0</t>
        </is>
      </c>
      <c r="F839" s="156" t="inlineStr">
        <is>
          <t>S</t>
        </is>
      </c>
      <c r="G839" s="156" t="inlineStr">
        <is>
          <t>S</t>
        </is>
      </c>
      <c r="H839" s="156" t="inlineStr">
        <is>
          <t>Stetson</t>
        </is>
      </c>
      <c r="I839" s="156" t="inlineStr">
        <is>
          <t>Texana Stetson Gold Creek Eucalipto</t>
        </is>
      </c>
      <c r="J839" s="156" t="inlineStr">
        <is>
          <t>Accesorios</t>
        </is>
      </c>
      <c r="K839" s="156" t="inlineStr">
        <is>
          <t>Sombreros</t>
        </is>
      </c>
      <c r="L839" s="156" t="inlineStr">
        <is>
          <t>Unisex</t>
        </is>
      </c>
      <c r="M839" s="156" t="inlineStr">
        <is>
          <t>Stetson</t>
        </is>
      </c>
      <c r="N839" s="156" t="inlineStr">
        <is>
          <t>SS26</t>
        </is>
      </c>
      <c r="O839" s="156" t="inlineStr">
        <is>
          <t>Seasonal</t>
        </is>
      </c>
      <c r="P839" s="156" t="inlineStr">
        <is>
          <t>Verde</t>
        </is>
      </c>
      <c r="Q839" s="156" t="n"/>
      <c r="R839" s="156" t="n"/>
      <c r="S839" s="156" t="inlineStr">
        <is>
          <t>100% Fieltro de lana</t>
        </is>
      </c>
      <c r="T839" s="156" t="inlineStr">
        <is>
          <t>Texana Stetson Gold Creek Eucalipto.
 Composición: 100% Fieltro de lana.
 Color: Eucalipto.</t>
        </is>
      </c>
      <c r="U839" s="156" t="n"/>
      <c r="V839" s="156" t="inlineStr">
        <is>
          <t>PZS</t>
        </is>
      </c>
      <c r="W839" s="51" t="inlineStr">
        <is>
          <t>53102503</t>
        </is>
      </c>
      <c r="X839" s="156" t="n"/>
      <c r="Y839" s="54" t="n">
        <v>1102.5</v>
      </c>
      <c r="Z839" s="54" t="n">
        <v>2672.413793</v>
      </c>
      <c r="AA839" s="55">
        <f>IF(AND(A839="", B839="", E839=""), "", IF(AB839="", "Válido", IF((LEN(AB839)-LEN(SUBSTITUTE(AB839,"; ","")))/2+1&gt;(LEN(AB839)-LEN(SUBSTITUTE(AB839,"[Aviso]","")))/7, "Con Incidencias", "Válido")))</f>
        <v/>
      </c>
      <c r="AB839" s="56">
        <f>IF(AND(A839="", B839="", E839=""), "", TEXTJOIN("; ", TRUE, IF(OR(TRIM(A839&amp;"")="", ISNUMBER(SEARCH("FALTA", A839))), "UPC faltante/inválido", ""), IF(AND(A839&lt;&gt;"", IFERROR(_xlfn.XMATCH(A839,$A$2:$A$2509,0,1)&lt;&gt;_xlfn.XMATCH(A839,$A$2:$A$2509,0,-1),FALSE)), "Código de barras duplicado", ""), IF(AND(E839&lt;&gt;"", COUNTIF($E$2:$E$2509, E839)&gt;1), "SKU duplicado", ""), IF(OR(J839="", J839=""), "[Aviso] División no capturada ()", IF(ISNA(MATCH(J839, Criterios!$A$123:$A$126, 0)), "División no válida", "")), IF(OR(K839="", K839=""), "[Aviso] Categoría no capturada ()", IF(ISNA(MATCH(K839, Criterios!$A$81:$A$120, 0)), "Categoría no válida", IF(AND(J839&lt;&gt;"", J839&lt;&gt;"", J839&lt;&gt;VLOOKUP(K839, Criterios!$A$81:$B$120, 2, FALSE)), "División no coincide con Categoría", ""))), IF(OR(L839="", L839=""), "[Aviso] Género no capturado ()", IF(ISNA(MATCH(L839, Criterios!$B$123:$B$127, 0)), "Género no válido", "")), IF(OR(N839="", N839=""), "[Aviso] Temporada no capturada ()", IF(ISNA(MATCH(N839, Criterios!$C$123:$C$128, 0)), "Temporada no válida", "")), IF(OR(O839="", O839=""), "[Aviso] Ciclo de vida no capturado ()", IF(ISNA(MATCH(O839, Criterios!$D$123:$D$124, 0)), "Ciclo de vida no válido", ""))))</f>
        <v/>
      </c>
      <c r="AC839" s="56" t="n"/>
      <c r="AD839" s="51" t="n">
        <v>0</v>
      </c>
      <c r="AE839" s="156" t="n"/>
      <c r="AF839" s="51" t="n">
        <v>0</v>
      </c>
      <c r="AG839" s="156" t="inlineStr">
        <is>
          <t>Catálogo existente</t>
        </is>
      </c>
      <c r="AH839" s="156" t="inlineStr">
        <is>
          <t>Revisión 29/09/2026: Talla fuente S sin equivalencia exacta en Criterios para Talla Sombrero; Campos sin respaldo: U, X</t>
        </is>
      </c>
      <c r="AI839" s="156" t="inlineStr">
        <is>
          <t>No</t>
        </is>
      </c>
      <c r="AJ839" s="156" t="n"/>
      <c r="AK839" s="155" t="inlineStr">
        <is>
          <t>Criterios: I [Q]</t>
        </is>
      </c>
      <c r="AL839" s="58" t="n">
        <v>1102.5</v>
      </c>
      <c r="AM839" s="58" t="n">
        <v>2672.413793</v>
      </c>
      <c r="AN839" s="155" t="n"/>
      <c r="AO839" s="59" t="n"/>
      <c r="AP839" s="59" t="n"/>
      <c r="AQ839" s="59" t="n"/>
      <c r="AR839" s="155" t="n"/>
    </row>
    <row r="840">
      <c r="A840" s="50" t="inlineStr">
        <is>
          <t>195556122457</t>
        </is>
      </c>
      <c r="B840" s="51" t="inlineStr">
        <is>
          <t>110488</t>
        </is>
      </c>
      <c r="C840" s="156" t="inlineStr">
        <is>
          <t>Multimarca</t>
        </is>
      </c>
      <c r="D840" s="156" t="inlineStr">
        <is>
          <t>XWGDCR-9142DM</t>
        </is>
      </c>
      <c r="E840" s="156" t="inlineStr">
        <is>
          <t>XWGDCR-9142DMXL</t>
        </is>
      </c>
      <c r="F840" s="156" t="inlineStr">
        <is>
          <t>XL</t>
        </is>
      </c>
      <c r="G840" s="156" t="inlineStr">
        <is>
          <t>XL</t>
        </is>
      </c>
      <c r="H840" s="156" t="inlineStr">
        <is>
          <t>Stetson</t>
        </is>
      </c>
      <c r="I840" s="156" t="inlineStr">
        <is>
          <t>Texana Stetson Gold Creek Mezclilla</t>
        </is>
      </c>
      <c r="J840" s="156" t="inlineStr">
        <is>
          <t>Accesorios</t>
        </is>
      </c>
      <c r="K840" s="156" t="inlineStr">
        <is>
          <t>Sombreros</t>
        </is>
      </c>
      <c r="L840" s="156" t="inlineStr">
        <is>
          <t>Unisex</t>
        </is>
      </c>
      <c r="M840" s="156" t="inlineStr">
        <is>
          <t>Stetson</t>
        </is>
      </c>
      <c r="N840" s="156" t="inlineStr">
        <is>
          <t>SS26</t>
        </is>
      </c>
      <c r="O840" s="156" t="inlineStr">
        <is>
          <t>Seasonal</t>
        </is>
      </c>
      <c r="P840" s="156" t="inlineStr">
        <is>
          <t>Azul</t>
        </is>
      </c>
      <c r="Q840" s="156" t="n"/>
      <c r="R840" s="156" t="inlineStr">
        <is>
          <t>Copa Cattleman</t>
        </is>
      </c>
      <c r="S840" s="156" t="inlineStr">
        <is>
          <t>100% Fieltro de lana</t>
        </is>
      </c>
      <c r="T840" s="156" t="inlineStr">
        <is>
          <t>Texana Stetson Gold Creek Mezclilla.
 Composición: 100% Fieltro de lana.
 Color: Mezclilla.</t>
        </is>
      </c>
      <c r="U840" s="156" t="inlineStr">
        <is>
          <t>Estados Unidos</t>
        </is>
      </c>
      <c r="V840" s="156" t="inlineStr">
        <is>
          <t>PZS</t>
        </is>
      </c>
      <c r="W840" s="51" t="inlineStr">
        <is>
          <t>53102503</t>
        </is>
      </c>
      <c r="X840" s="156" t="inlineStr">
        <is>
          <t>https://cdn.shopify.com/s/files/1/0357/2432/9005/files/XWGDCR-9142-DM_Denim-Mix_1.jpg?v=1754386152</t>
        </is>
      </c>
      <c r="Y840" s="54" t="n">
        <v>1102.5</v>
      </c>
      <c r="Z840" s="54" t="n">
        <v>2672.413793</v>
      </c>
      <c r="AA840" s="55">
        <f>IF(AND(A840="", B840="", E840=""), "", IF(AB840="", "Válido", IF((LEN(AB840)-LEN(SUBSTITUTE(AB840,"; ","")))/2+1&gt;(LEN(AB840)-LEN(SUBSTITUTE(AB840,"[Aviso]","")))/7, "Con Incidencias", "Válido")))</f>
        <v/>
      </c>
      <c r="AB840" s="56">
        <f>IF(AND(A840="", B840="", E840=""), "", TEXTJOIN("; ", TRUE, IF(OR(TRIM(A840&amp;"")="", ISNUMBER(SEARCH("FALTA", A840))), "UPC faltante/inválido", ""), IF(AND(A840&lt;&gt;"", IFERROR(_xlfn.XMATCH(A840,$A$2:$A$2509,0,1)&lt;&gt;_xlfn.XMATCH(A840,$A$2:$A$2509,0,-1),FALSE)), "Código de barras duplicado", ""), IF(AND(E840&lt;&gt;"", COUNTIF($E$2:$E$2509, E840)&gt;1), "SKU duplicado", ""), IF(OR(J840="", J840=""), "[Aviso] División no capturada ()", IF(ISNA(MATCH(J840, Criterios!$A$123:$A$126, 0)), "División no válida", "")), IF(OR(K840="", K840=""), "[Aviso] Categoría no capturada ()", IF(ISNA(MATCH(K840, Criterios!$A$81:$A$120, 0)), "Categoría no válida", IF(AND(J840&lt;&gt;"", J840&lt;&gt;"", J840&lt;&gt;VLOOKUP(K840, Criterios!$A$81:$B$120, 2, FALSE)), "División no coincide con Categoría", ""))), IF(OR(L840="", L840=""), "[Aviso] Género no capturado ()", IF(ISNA(MATCH(L840, Criterios!$B$123:$B$127, 0)), "Género no válido", "")), IF(OR(N840="", N840=""), "[Aviso] Temporada no capturada ()", IF(ISNA(MATCH(N840, Criterios!$C$123:$C$128, 0)), "Temporada no válida", "")), IF(OR(O840="", O840=""), "[Aviso] Ciclo de vida no capturado ()", IF(ISNA(MATCH(O840, Criterios!$D$123:$D$124, 0)), "Ciclo de vida no válido", ""))))</f>
        <v/>
      </c>
      <c r="AC840" s="56" t="n"/>
      <c r="AD840" s="51" t="n">
        <v>0</v>
      </c>
      <c r="AE840" s="156" t="n"/>
      <c r="AF840" s="51" t="n">
        <v>0</v>
      </c>
      <c r="AG840" s="156" t="inlineStr">
        <is>
          <t>Catálogo existente</t>
        </is>
      </c>
      <c r="AH840" s="156" t="inlineStr">
        <is>
          <t>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40" s="156" t="inlineStr">
        <is>
          <t>No</t>
        </is>
      </c>
      <c r="AJ840" s="156" t="n"/>
      <c r="AK840" s="155" t="inlineStr">
        <is>
          <t>Criterios: I [Q] | Shopify Stetson: producto 15056329834859 / variante 53357914620267 | Investigación en línea 06/10/2026: https://www.stetson.com/products/gold-creek-denim-mix</t>
        </is>
      </c>
      <c r="AL840" s="58" t="n">
        <v>1102.5</v>
      </c>
      <c r="AM840" s="58" t="n">
        <v>2672.413793</v>
      </c>
      <c r="AN840" s="155" t="inlineStr">
        <is>
          <t>Shopify Stetson México</t>
        </is>
      </c>
      <c r="AO840" s="59" t="n">
        <v>1</v>
      </c>
      <c r="AP840" s="59" t="n"/>
      <c r="AQ840" s="59" t="n"/>
      <c r="AR840" s="155" t="inlineStr">
        <is>
          <t>Shopify Stetson México › Stetson Americas: 1</t>
        </is>
      </c>
    </row>
    <row r="841">
      <c r="A841" s="50" t="inlineStr">
        <is>
          <t>195556122464</t>
        </is>
      </c>
      <c r="B841" s="51" t="inlineStr">
        <is>
          <t>110492</t>
        </is>
      </c>
      <c r="C841" s="156" t="inlineStr">
        <is>
          <t>Multimarca</t>
        </is>
      </c>
      <c r="D841" s="156" t="inlineStr">
        <is>
          <t>XWGDCR-9142EU</t>
        </is>
      </c>
      <c r="E841" s="156" t="inlineStr">
        <is>
          <t>XWGDCR-9142EUXL</t>
        </is>
      </c>
      <c r="F841" s="156" t="inlineStr">
        <is>
          <t>XL</t>
        </is>
      </c>
      <c r="G841" s="156" t="inlineStr">
        <is>
          <t>XL</t>
        </is>
      </c>
      <c r="H841" s="156" t="inlineStr">
        <is>
          <t>Stetson</t>
        </is>
      </c>
      <c r="I841" s="156" t="inlineStr">
        <is>
          <t>Texana Stetson Gold Creek Eucalipto</t>
        </is>
      </c>
      <c r="J841" s="156" t="inlineStr">
        <is>
          <t>Accesorios</t>
        </is>
      </c>
      <c r="K841" s="156" t="inlineStr">
        <is>
          <t>Sombreros</t>
        </is>
      </c>
      <c r="L841" s="156" t="inlineStr">
        <is>
          <t>Unisex</t>
        </is>
      </c>
      <c r="M841" s="156" t="inlineStr">
        <is>
          <t>Stetson</t>
        </is>
      </c>
      <c r="N841" s="156" t="inlineStr">
        <is>
          <t>SS26</t>
        </is>
      </c>
      <c r="O841" s="156" t="inlineStr">
        <is>
          <t>Seasonal</t>
        </is>
      </c>
      <c r="P841" s="156" t="inlineStr">
        <is>
          <t>Verde</t>
        </is>
      </c>
      <c r="Q841" s="156" t="n"/>
      <c r="R841" s="156" t="n"/>
      <c r="S841" s="156" t="inlineStr">
        <is>
          <t>100% Fieltro de lana</t>
        </is>
      </c>
      <c r="T841" s="156" t="inlineStr">
        <is>
          <t>Texana Stetson Gold Creek Eucalipto.
 Composición: 100% Fieltro de lana.
 Color: Eucalipto.</t>
        </is>
      </c>
      <c r="U841" s="156" t="n"/>
      <c r="V841" s="156" t="inlineStr">
        <is>
          <t>PZS</t>
        </is>
      </c>
      <c r="W841" s="51" t="inlineStr">
        <is>
          <t>53102503</t>
        </is>
      </c>
      <c r="X841" s="156" t="n"/>
      <c r="Y841" s="54" t="n">
        <v>1102.5</v>
      </c>
      <c r="Z841" s="54" t="n">
        <v>2672.413793</v>
      </c>
      <c r="AA841" s="55">
        <f>IF(AND(A841="", B841="", E841=""), "", IF(AB841="", "Válido", IF((LEN(AB841)-LEN(SUBSTITUTE(AB841,"; ","")))/2+1&gt;(LEN(AB841)-LEN(SUBSTITUTE(AB841,"[Aviso]","")))/7, "Con Incidencias", "Válido")))</f>
        <v/>
      </c>
      <c r="AB841" s="56">
        <f>IF(AND(A841="", B841="", E841=""), "", TEXTJOIN("; ", TRUE, IF(OR(TRIM(A841&amp;"")="", ISNUMBER(SEARCH("FALTA", A841))), "UPC faltante/inválido", ""), IF(AND(A841&lt;&gt;"", IFERROR(_xlfn.XMATCH(A841,$A$2:$A$2509,0,1)&lt;&gt;_xlfn.XMATCH(A841,$A$2:$A$2509,0,-1),FALSE)), "Código de barras duplicado", ""), IF(AND(E841&lt;&gt;"", COUNTIF($E$2:$E$2509, E841)&gt;1), "SKU duplicado", ""), IF(OR(J841="", J841=""), "[Aviso] División no capturada ()", IF(ISNA(MATCH(J841, Criterios!$A$123:$A$126, 0)), "División no válida", "")), IF(OR(K841="", K841=""), "[Aviso] Categoría no capturada ()", IF(ISNA(MATCH(K841, Criterios!$A$81:$A$120, 0)), "Categoría no válida", IF(AND(J841&lt;&gt;"", J841&lt;&gt;"", J841&lt;&gt;VLOOKUP(K841, Criterios!$A$81:$B$120, 2, FALSE)), "División no coincide con Categoría", ""))), IF(OR(L841="", L841=""), "[Aviso] Género no capturado ()", IF(ISNA(MATCH(L841, Criterios!$B$123:$B$127, 0)), "Género no válido", "")), IF(OR(N841="", N841=""), "[Aviso] Temporada no capturada ()", IF(ISNA(MATCH(N841, Criterios!$C$123:$C$128, 0)), "Temporada no válida", "")), IF(OR(O841="", O841=""), "[Aviso] Ciclo de vida no capturado ()", IF(ISNA(MATCH(O841, Criterios!$D$123:$D$124, 0)), "Ciclo de vida no válido", ""))))</f>
        <v/>
      </c>
      <c r="AC841" s="56" t="n"/>
      <c r="AD841" s="51" t="n">
        <v>-1</v>
      </c>
      <c r="AE841" s="156" t="n"/>
      <c r="AF841" s="51" t="n">
        <v>0</v>
      </c>
      <c r="AG841" s="156" t="inlineStr">
        <is>
          <t>Catálogo existente</t>
        </is>
      </c>
      <c r="AH841" s="156" t="inlineStr">
        <is>
          <t>Stock negativo en sistema: revisar en conteo | Revisión 29/09/2026: Talla fuente XL sin equivalencia exacta en Criterios para Talla Sombrero; Campos sin respaldo: U, X | 01/10/2026: complementado desde Shopify Stetson México (match por código de barras): WB Fit</t>
        </is>
      </c>
      <c r="AI841" s="156" t="inlineStr">
        <is>
          <t>Sí</t>
        </is>
      </c>
      <c r="AJ841" s="156" t="inlineStr">
        <is>
          <t>STETSON AMERICAS (-1)</t>
        </is>
      </c>
      <c r="AK841" s="155" t="inlineStr">
        <is>
          <t>Criterios: I [Q] | Shopify Stetson: producto 15056329867627 / variante 53357914685803</t>
        </is>
      </c>
      <c r="AL841" s="58" t="n">
        <v>1102.5</v>
      </c>
      <c r="AM841" s="58" t="n">
        <v>2672.413793</v>
      </c>
      <c r="AN841" s="155" t="inlineStr">
        <is>
          <t>Shopify Stetson México</t>
        </is>
      </c>
      <c r="AO841" s="59" t="n">
        <v>0</v>
      </c>
      <c r="AP841" s="59" t="n"/>
      <c r="AQ841" s="59" t="n"/>
      <c r="AR841" s="155" t="n"/>
    </row>
    <row r="842">
      <c r="A842" s="50" t="inlineStr">
        <is>
          <t>195556122471</t>
        </is>
      </c>
      <c r="B842" s="51" t="inlineStr">
        <is>
          <t>110473</t>
        </is>
      </c>
      <c r="C842" s="156" t="inlineStr">
        <is>
          <t>Multimarca</t>
        </is>
      </c>
      <c r="D842" s="156" t="inlineStr">
        <is>
          <t>XWESWD-974048</t>
        </is>
      </c>
      <c r="E842" s="156" t="inlineStr">
        <is>
          <t>XWESWD-974048L0</t>
        </is>
      </c>
      <c r="F842" s="156" t="inlineStr">
        <is>
          <t>L</t>
        </is>
      </c>
      <c r="G842" s="156" t="inlineStr">
        <is>
          <t>L</t>
        </is>
      </c>
      <c r="H842" s="156" t="inlineStr">
        <is>
          <t>Stetson</t>
        </is>
      </c>
      <c r="I842" s="156" t="inlineStr">
        <is>
          <t>Texana Stetson Eastwood Marino</t>
        </is>
      </c>
      <c r="J842" s="156" t="inlineStr">
        <is>
          <t>Accesorios</t>
        </is>
      </c>
      <c r="K842" s="156" t="inlineStr">
        <is>
          <t>Sombreros</t>
        </is>
      </c>
      <c r="L842" s="156" t="inlineStr">
        <is>
          <t>Unisex</t>
        </is>
      </c>
      <c r="M842" s="156" t="inlineStr">
        <is>
          <t>Stetson</t>
        </is>
      </c>
      <c r="N842" s="156" t="inlineStr">
        <is>
          <t>SS26</t>
        </is>
      </c>
      <c r="O842" s="156" t="inlineStr">
        <is>
          <t>Seasonal</t>
        </is>
      </c>
      <c r="P842" s="156" t="inlineStr">
        <is>
          <t>Azul</t>
        </is>
      </c>
      <c r="Q842" s="156" t="n"/>
      <c r="R842" s="156" t="inlineStr">
        <is>
          <t>Copa Cattleman</t>
        </is>
      </c>
      <c r="S842" s="156" t="inlineStr">
        <is>
          <t>100% Fieltro de lana</t>
        </is>
      </c>
      <c r="T842" s="156" t="inlineStr">
        <is>
          <t>Texana Stetson Eastwood Marino</t>
        </is>
      </c>
      <c r="U842" s="156" t="inlineStr">
        <is>
          <t>Estados Unidos</t>
        </is>
      </c>
      <c r="V842" s="156" t="inlineStr">
        <is>
          <t>PZS</t>
        </is>
      </c>
      <c r="W842" s="51" t="inlineStr">
        <is>
          <t>53102503</t>
        </is>
      </c>
      <c r="X842" s="156" t="inlineStr">
        <is>
          <t>https://cdn.shopify.com/s/files/1/0357/2432/9005/files/XWESWD-9740-48_Navy_1_d95ec647-7154-4393-8b97-fc77c41194f9.jpg?v=1755199826</t>
        </is>
      </c>
      <c r="Y842" s="54" t="n">
        <v>1338.75</v>
      </c>
      <c r="Z842" s="54" t="n">
        <v>3275.862069</v>
      </c>
      <c r="AA842" s="55">
        <f>IF(AND(A842="", B842="", E842=""), "", IF(AB842="", "Válido", IF((LEN(AB842)-LEN(SUBSTITUTE(AB842,"; ","")))/2+1&gt;(LEN(AB842)-LEN(SUBSTITUTE(AB842,"[Aviso]","")))/7, "Con Incidencias", "Válido")))</f>
        <v/>
      </c>
      <c r="AB842" s="56">
        <f>IF(AND(A842="", B842="", E842=""), "", TEXTJOIN("; ", TRUE, IF(OR(TRIM(A842&amp;"")="", ISNUMBER(SEARCH("FALTA", A842))), "UPC faltante/inválido", ""), IF(AND(A842&lt;&gt;"", IFERROR(_xlfn.XMATCH(A842,$A$2:$A$2509,0,1)&lt;&gt;_xlfn.XMATCH(A842,$A$2:$A$2509,0,-1),FALSE)), "Código de barras duplicado", ""), IF(AND(E842&lt;&gt;"", COUNTIF($E$2:$E$2509, E842)&gt;1), "SKU duplicado", ""), IF(OR(J842="", J842=""), "[Aviso] División no capturada ()", IF(ISNA(MATCH(J842, Criterios!$A$123:$A$126, 0)), "División no válida", "")), IF(OR(K842="", K842=""), "[Aviso] Categoría no capturada ()", IF(ISNA(MATCH(K842, Criterios!$A$81:$A$120, 0)), "Categoría no válida", IF(AND(J842&lt;&gt;"", J842&lt;&gt;"", J842&lt;&gt;VLOOKUP(K842, Criterios!$A$81:$B$120, 2, FALSE)), "División no coincide con Categoría", ""))), IF(OR(L842="", L842=""), "[Aviso] Género no capturado ()", IF(ISNA(MATCH(L842, Criterios!$B$123:$B$127, 0)), "Género no válido", "")), IF(OR(N842="", N842=""), "[Aviso] Temporada no capturada ()", IF(ISNA(MATCH(N842, Criterios!$C$123:$C$128, 0)), "Temporada no válida", "")), IF(OR(O842="", O842=""), "[Aviso] Ciclo de vida no capturado ()", IF(ISNA(MATCH(O842, Criterios!$D$123:$D$124, 0)), "Ciclo de vida no válido", ""))))</f>
        <v/>
      </c>
      <c r="AC842" s="56" t="n"/>
      <c r="AD842" s="51" t="n">
        <v>0</v>
      </c>
      <c r="AE842" s="156" t="inlineStr">
        <is>
          <t>B25 STETSON.MX (1)</t>
        </is>
      </c>
      <c r="AF842" s="51" t="n">
        <v>1</v>
      </c>
      <c r="AG842" s="156" t="inlineStr">
        <is>
          <t>Catálogo existente</t>
        </is>
      </c>
      <c r="AH842" s="156" t="inlineStr">
        <is>
          <t>Revisión 29/09/2026: Talla fuente L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2" s="156" t="inlineStr">
        <is>
          <t>Sí</t>
        </is>
      </c>
      <c r="AJ842" s="156" t="inlineStr">
        <is>
          <t>B25 CEDIS (-1)</t>
        </is>
      </c>
      <c r="AK842" s="155" t="inlineStr">
        <is>
          <t>Criterios: I [Q] | Descripción del registro fuente [T]; G1522_Extraccion_Articulos_NetSuite_2026-09-30.xlsx: fila 58288 [V] | Shopify Stetson: producto 15056329736555 / variante 53357914227051 | Odoo: producto 19388 / plantilla 23875 | Investigación en línea 06/10/2026: https://www.stetson.com/products/eastwood-navy</t>
        </is>
      </c>
      <c r="AL842" s="58" t="n">
        <v>1338.75</v>
      </c>
      <c r="AM842" s="58" t="n">
        <v>3275.862069</v>
      </c>
      <c r="AN842" s="155" t="inlineStr">
        <is>
          <t>Shopify Stetson México | Odoo Universal Unique Brands</t>
        </is>
      </c>
      <c r="AO842" s="59" t="n">
        <v>3</v>
      </c>
      <c r="AP842" s="59" t="n"/>
      <c r="AQ842" s="59" t="n">
        <v>3</v>
      </c>
      <c r="AR842" s="155" t="inlineStr">
        <is>
          <t>Shopify Stetson México › Stetson México: 1 | Shopify Stetson México › Stetson Americas: 2 | Odoo Universal Unique Brands › Bodega 25 › Bodega 25/General: 2 | Odoo Universal Unique Brands › Stetson Americas › Stetson Americas/Stock: 1</t>
        </is>
      </c>
    </row>
    <row r="843">
      <c r="A843" s="50" t="inlineStr">
        <is>
          <t>195556122488</t>
        </is>
      </c>
      <c r="B843" s="51" t="inlineStr">
        <is>
          <t>110477</t>
        </is>
      </c>
      <c r="C843" s="156" t="inlineStr">
        <is>
          <t>Multimarca</t>
        </is>
      </c>
      <c r="D843" s="156" t="inlineStr">
        <is>
          <t>XWESWD-97405M</t>
        </is>
      </c>
      <c r="E843" s="156" t="inlineStr">
        <is>
          <t>XWESWD-97405ML0</t>
        </is>
      </c>
      <c r="F843" s="156" t="inlineStr">
        <is>
          <t>L</t>
        </is>
      </c>
      <c r="G843" s="156" t="inlineStr">
        <is>
          <t>L</t>
        </is>
      </c>
      <c r="H843" s="156" t="inlineStr">
        <is>
          <t>Stetson</t>
        </is>
      </c>
      <c r="I843" s="156" t="inlineStr">
        <is>
          <t>Texana Stetson Eastwood Café</t>
        </is>
      </c>
      <c r="J843" s="156" t="inlineStr">
        <is>
          <t>Accesorios</t>
        </is>
      </c>
      <c r="K843" s="156" t="inlineStr">
        <is>
          <t>Sombreros</t>
        </is>
      </c>
      <c r="L843" s="156" t="inlineStr">
        <is>
          <t>Unisex</t>
        </is>
      </c>
      <c r="M843" s="156" t="inlineStr">
        <is>
          <t>Stetson</t>
        </is>
      </c>
      <c r="N843" s="156" t="inlineStr">
        <is>
          <t>SS26</t>
        </is>
      </c>
      <c r="O843" s="156" t="inlineStr">
        <is>
          <t>Seasonal</t>
        </is>
      </c>
      <c r="P843" s="156" t="inlineStr">
        <is>
          <t>Cafe</t>
        </is>
      </c>
      <c r="Q843" s="156" t="n"/>
      <c r="R843" s="156" t="n"/>
      <c r="S843" s="156" t="inlineStr">
        <is>
          <t>100% Fieltro de lana</t>
        </is>
      </c>
      <c r="T843" s="156" t="inlineStr">
        <is>
          <t>Texana Stetson Eastwood Café.
 Composición: 100% Fieltro de lana.
 Color: Café.</t>
        </is>
      </c>
      <c r="U843" s="156" t="n"/>
      <c r="V843" s="156" t="inlineStr">
        <is>
          <t>PZS</t>
        </is>
      </c>
      <c r="W843" s="51" t="inlineStr">
        <is>
          <t>53102503</t>
        </is>
      </c>
      <c r="X843" s="156" t="n"/>
      <c r="Y843" s="54" t="n">
        <v>1338.75</v>
      </c>
      <c r="Z843" s="54" t="n">
        <v>3275.862069</v>
      </c>
      <c r="AA843" s="55">
        <f>IF(AND(A843="", B843="", E843=""), "", IF(AB843="", "Válido", IF((LEN(AB843)-LEN(SUBSTITUTE(AB843,"; ","")))/2+1&gt;(LEN(AB843)-LEN(SUBSTITUTE(AB843,"[Aviso]","")))/7, "Con Incidencias", "Válido")))</f>
        <v/>
      </c>
      <c r="AB843" s="56">
        <f>IF(AND(A843="", B843="", E843=""), "", TEXTJOIN("; ", TRUE, IF(OR(TRIM(A843&amp;"")="", ISNUMBER(SEARCH("FALTA", A843))), "UPC faltante/inválido", ""), IF(AND(A843&lt;&gt;"", IFERROR(_xlfn.XMATCH(A843,$A$2:$A$2509,0,1)&lt;&gt;_xlfn.XMATCH(A843,$A$2:$A$2509,0,-1),FALSE)), "Código de barras duplicado", ""), IF(AND(E843&lt;&gt;"", COUNTIF($E$2:$E$2509, E843)&gt;1), "SKU duplicado", ""), IF(OR(J843="", J843=""), "[Aviso] División no capturada ()", IF(ISNA(MATCH(J843, Criterios!$A$123:$A$126, 0)), "División no válida", "")), IF(OR(K843="", K843=""), "[Aviso] Categoría no capturada ()", IF(ISNA(MATCH(K843, Criterios!$A$81:$A$120, 0)), "Categoría no válida", IF(AND(J843&lt;&gt;"", J843&lt;&gt;"", J843&lt;&gt;VLOOKUP(K843, Criterios!$A$81:$B$120, 2, FALSE)), "División no coincide con Categoría", ""))), IF(OR(L843="", L843=""), "[Aviso] Género no capturado ()", IF(ISNA(MATCH(L843, Criterios!$B$123:$B$127, 0)), "Género no válido", "")), IF(OR(N843="", N843=""), "[Aviso] Temporada no capturada ()", IF(ISNA(MATCH(N843, Criterios!$C$123:$C$128, 0)), "Temporada no válida", "")), IF(OR(O843="", O843=""), "[Aviso] Ciclo de vida no capturado ()", IF(ISNA(MATCH(O843, Criterios!$D$123:$D$124, 0)), "Ciclo de vida no válido", ""))))</f>
        <v/>
      </c>
      <c r="AC843" s="56" t="n"/>
      <c r="AD843" s="51" t="n">
        <v>1</v>
      </c>
      <c r="AE843" s="156" t="inlineStr">
        <is>
          <t>B25 STETSON.MX (2)</t>
        </is>
      </c>
      <c r="AF843" s="51" t="n">
        <v>2</v>
      </c>
      <c r="AG843" s="156" t="inlineStr">
        <is>
          <t>Catálogo existente</t>
        </is>
      </c>
      <c r="AH843" s="156" t="inlineStr">
        <is>
          <t>Revisión 29/09/2026: Talla fuente L sin equivalencia exacta en Criterios para Talla Sombrero; Campos sin respaldo: U, X | 01/10/2026: complementado desde Shopify Stetson México (match por código de barras): WB Fit</t>
        </is>
      </c>
      <c r="AI843" s="156" t="inlineStr">
        <is>
          <t>Sí</t>
        </is>
      </c>
      <c r="AJ843" s="156" t="inlineStr">
        <is>
          <t>STETSON AMERICAS (-1)</t>
        </is>
      </c>
      <c r="AK843" s="155" t="inlineStr">
        <is>
          <t>Criterios: I [Q] | Shopify Stetson: producto 15056329769323 / variante 53357914358123</t>
        </is>
      </c>
      <c r="AL843" s="58" t="n">
        <v>1338.75</v>
      </c>
      <c r="AM843" s="58" t="n">
        <v>3275.862069</v>
      </c>
      <c r="AN843" s="155" t="inlineStr">
        <is>
          <t>Shopify Stetson México</t>
        </is>
      </c>
      <c r="AO843" s="59" t="n">
        <v>0</v>
      </c>
      <c r="AP843" s="59" t="n"/>
      <c r="AQ843" s="59" t="n"/>
      <c r="AR843" s="155" t="n"/>
    </row>
    <row r="844">
      <c r="A844" s="50" t="inlineStr">
        <is>
          <t>195556122495</t>
        </is>
      </c>
      <c r="B844" s="51" t="inlineStr">
        <is>
          <t>110481</t>
        </is>
      </c>
      <c r="C844" s="156" t="inlineStr">
        <is>
          <t>Multimarca</t>
        </is>
      </c>
      <c r="D844" s="156" t="inlineStr">
        <is>
          <t>XWESWD-974074</t>
        </is>
      </c>
      <c r="E844" s="156" t="inlineStr">
        <is>
          <t>XWESWD-974074L0</t>
        </is>
      </c>
      <c r="F844" s="156" t="inlineStr">
        <is>
          <t>L</t>
        </is>
      </c>
      <c r="G844" s="156" t="inlineStr">
        <is>
          <t>L</t>
        </is>
      </c>
      <c r="H844" s="156" t="inlineStr">
        <is>
          <t>Stetson</t>
        </is>
      </c>
      <c r="I844" s="156" t="inlineStr">
        <is>
          <t>Texana Stetson Eastwood Hueso</t>
        </is>
      </c>
      <c r="J844" s="156" t="inlineStr">
        <is>
          <t>Accesorios</t>
        </is>
      </c>
      <c r="K844" s="156" t="inlineStr">
        <is>
          <t>Sombreros</t>
        </is>
      </c>
      <c r="L844" s="156" t="inlineStr">
        <is>
          <t>Unisex</t>
        </is>
      </c>
      <c r="M844" s="156" t="inlineStr">
        <is>
          <t>Stetson</t>
        </is>
      </c>
      <c r="N844" s="156" t="inlineStr">
        <is>
          <t>SS26</t>
        </is>
      </c>
      <c r="O844" s="156" t="inlineStr">
        <is>
          <t>Seasonal</t>
        </is>
      </c>
      <c r="P844" s="156" t="inlineStr">
        <is>
          <t>Beige</t>
        </is>
      </c>
      <c r="Q844" s="156" t="n"/>
      <c r="R844" s="156" t="n"/>
      <c r="S844" s="156" t="inlineStr">
        <is>
          <t>100% Fieltro de lana</t>
        </is>
      </c>
      <c r="T844" s="156" t="inlineStr">
        <is>
          <t>Texana Stetson Eastwood Hueso.
 Composición: 100% Fieltro de lana.
 Color: Hueso.</t>
        </is>
      </c>
      <c r="U844" s="156" t="n"/>
      <c r="V844" s="156" t="inlineStr">
        <is>
          <t>PZS</t>
        </is>
      </c>
      <c r="W844" s="51" t="inlineStr">
        <is>
          <t>53102503</t>
        </is>
      </c>
      <c r="X844" s="156" t="n"/>
      <c r="Y844" s="54" t="n">
        <v>1338.75</v>
      </c>
      <c r="Z844" s="54" t="n">
        <v>3275.862069</v>
      </c>
      <c r="AA844" s="55">
        <f>IF(AND(A844="", B844="", E844=""), "", IF(AB844="", "Válido", IF((LEN(AB844)-LEN(SUBSTITUTE(AB844,"; ","")))/2+1&gt;(LEN(AB844)-LEN(SUBSTITUTE(AB844,"[Aviso]","")))/7, "Con Incidencias", "Válido")))</f>
        <v/>
      </c>
      <c r="AB844" s="56">
        <f>IF(AND(A844="", B844="", E844=""), "", TEXTJOIN("; ", TRUE, IF(OR(TRIM(A844&amp;"")="", ISNUMBER(SEARCH("FALTA", A844))), "UPC faltante/inválido", ""), IF(AND(A844&lt;&gt;"", IFERROR(_xlfn.XMATCH(A844,$A$2:$A$2509,0,1)&lt;&gt;_xlfn.XMATCH(A844,$A$2:$A$2509,0,-1),FALSE)), "Código de barras duplicado", ""), IF(AND(E844&lt;&gt;"", COUNTIF($E$2:$E$2509, E844)&gt;1), "SKU duplicado", ""), IF(OR(J844="", J844=""), "[Aviso] División no capturada ()", IF(ISNA(MATCH(J844, Criterios!$A$123:$A$126, 0)), "División no válida", "")), IF(OR(K844="", K844=""), "[Aviso] Categoría no capturada ()", IF(ISNA(MATCH(K844, Criterios!$A$81:$A$120, 0)), "Categoría no válida", IF(AND(J844&lt;&gt;"", J844&lt;&gt;"", J844&lt;&gt;VLOOKUP(K844, Criterios!$A$81:$B$120, 2, FALSE)), "División no coincide con Categoría", ""))), IF(OR(L844="", L844=""), "[Aviso] Género no capturado ()", IF(ISNA(MATCH(L844, Criterios!$B$123:$B$127, 0)), "Género no válido", "")), IF(OR(N844="", N844=""), "[Aviso] Temporada no capturada ()", IF(ISNA(MATCH(N844, Criterios!$C$123:$C$128, 0)), "Temporada no válida", "")), IF(OR(O844="", O844=""), "[Aviso] Ciclo de vida no capturado ()", IF(ISNA(MATCH(O844, Criterios!$D$123:$D$124, 0)), "Ciclo de vida no válido", ""))))</f>
        <v/>
      </c>
      <c r="AC844" s="56" t="n"/>
      <c r="AD844" s="51" t="n">
        <v>1</v>
      </c>
      <c r="AE844" s="156" t="inlineStr">
        <is>
          <t>B25 STETSON.MX (2)</t>
        </is>
      </c>
      <c r="AF844" s="51" t="n">
        <v>2</v>
      </c>
      <c r="AG844" s="156" t="inlineStr">
        <is>
          <t>Catálogo existente</t>
        </is>
      </c>
      <c r="AH844" s="156" t="inlineStr">
        <is>
          <t>Revisión 29/09/2026: Talla fuente 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44" s="156" t="inlineStr">
        <is>
          <t>Sí</t>
        </is>
      </c>
      <c r="AJ844" s="156" t="inlineStr">
        <is>
          <t>STETSON AMERICAS (-1)</t>
        </is>
      </c>
      <c r="AK844" s="155" t="inlineStr">
        <is>
          <t>Criterios: I [Q] | Shopify Stetson: producto 15056329802091 / variante 53357914489195 | Odoo: producto 19392 / plantilla 23879</t>
        </is>
      </c>
      <c r="AL844" s="58" t="n">
        <v>1338.75</v>
      </c>
      <c r="AM844" s="58" t="n">
        <v>3275.862069</v>
      </c>
      <c r="AN844" s="155" t="inlineStr">
        <is>
          <t>Shopify Stetson México | Odoo Universal Unique Brands</t>
        </is>
      </c>
      <c r="AO844" s="59" t="n">
        <v>2</v>
      </c>
      <c r="AP844" s="59" t="n"/>
      <c r="AQ844" s="59" t="n">
        <v>3</v>
      </c>
      <c r="AR844" s="155" t="inlineStr">
        <is>
          <t>Shopify Stetson México › Stetson México: 2 | Odoo Universal Unique Brands › Bodega 25 › Bodega 25/General: 2 | Odoo Universal Unique Brands › Stetson Americas › Stetson Americas/Stock: 1</t>
        </is>
      </c>
    </row>
    <row r="845">
      <c r="A845" s="50" t="inlineStr">
        <is>
          <t>195556122501</t>
        </is>
      </c>
      <c r="B845" s="51" t="inlineStr">
        <is>
          <t>110474</t>
        </is>
      </c>
      <c r="C845" s="156" t="inlineStr">
        <is>
          <t>Multimarca</t>
        </is>
      </c>
      <c r="D845" s="156" t="inlineStr">
        <is>
          <t>XWESWD-974048</t>
        </is>
      </c>
      <c r="E845" s="156" t="inlineStr">
        <is>
          <t>XWESWD-974048M0</t>
        </is>
      </c>
      <c r="F845" s="156" t="inlineStr">
        <is>
          <t>M</t>
        </is>
      </c>
      <c r="G845" s="156" t="inlineStr">
        <is>
          <t>M</t>
        </is>
      </c>
      <c r="H845" s="156" t="inlineStr">
        <is>
          <t>Stetson</t>
        </is>
      </c>
      <c r="I845" s="156" t="inlineStr">
        <is>
          <t>Texana Stetson Eastwood Marino</t>
        </is>
      </c>
      <c r="J845" s="156" t="inlineStr">
        <is>
          <t>Accesorios</t>
        </is>
      </c>
      <c r="K845" s="156" t="inlineStr">
        <is>
          <t>Sombreros</t>
        </is>
      </c>
      <c r="L845" s="156" t="inlineStr">
        <is>
          <t>Unisex</t>
        </is>
      </c>
      <c r="M845" s="156" t="inlineStr">
        <is>
          <t>Stetson</t>
        </is>
      </c>
      <c r="N845" s="156" t="inlineStr">
        <is>
          <t>SS26</t>
        </is>
      </c>
      <c r="O845" s="156" t="inlineStr">
        <is>
          <t>Seasonal</t>
        </is>
      </c>
      <c r="P845" s="156" t="inlineStr">
        <is>
          <t>Azul</t>
        </is>
      </c>
      <c r="Q845" s="156" t="n"/>
      <c r="R845" s="156" t="inlineStr">
        <is>
          <t>Copa Cattleman</t>
        </is>
      </c>
      <c r="S845" s="156" t="inlineStr">
        <is>
          <t>100% Fieltro de lana</t>
        </is>
      </c>
      <c r="T845" s="156" t="inlineStr">
        <is>
          <t>Texana Stetson Eastwood Marino</t>
        </is>
      </c>
      <c r="U845" s="156" t="inlineStr">
        <is>
          <t>Estados Unidos</t>
        </is>
      </c>
      <c r="V845" s="156" t="inlineStr">
        <is>
          <t>PZS</t>
        </is>
      </c>
      <c r="W845" s="51" t="inlineStr">
        <is>
          <t>53102503</t>
        </is>
      </c>
      <c r="X845" s="156" t="inlineStr">
        <is>
          <t>https://cdn.shopify.com/s/files/1/0357/2432/9005/files/XWESWD-9740-48_Navy_1_d95ec647-7154-4393-8b97-fc77c41194f9.jpg?v=1755199826</t>
        </is>
      </c>
      <c r="Y845" s="54" t="n">
        <v>1338.75</v>
      </c>
      <c r="Z845" s="54" t="n">
        <v>3275.862069</v>
      </c>
      <c r="AA845" s="55">
        <f>IF(AND(A845="", B845="", E845=""), "", IF(AB845="", "Válido", IF((LEN(AB845)-LEN(SUBSTITUTE(AB845,"; ","")))/2+1&gt;(LEN(AB845)-LEN(SUBSTITUTE(AB845,"[Aviso]","")))/7, "Con Incidencias", "Válido")))</f>
        <v/>
      </c>
      <c r="AB845" s="56">
        <f>IF(AND(A845="", B845="", E845=""), "", TEXTJOIN("; ", TRUE, IF(OR(TRIM(A845&amp;"")="", ISNUMBER(SEARCH("FALTA", A845))), "UPC faltante/inválido", ""), IF(AND(A845&lt;&gt;"", IFERROR(_xlfn.XMATCH(A845,$A$2:$A$2509,0,1)&lt;&gt;_xlfn.XMATCH(A845,$A$2:$A$2509,0,-1),FALSE)), "Código de barras duplicado", ""), IF(AND(E845&lt;&gt;"", COUNTIF($E$2:$E$2509, E845)&gt;1), "SKU duplicado", ""), IF(OR(J845="", J845=""), "[Aviso] División no capturada ()", IF(ISNA(MATCH(J845, Criterios!$A$123:$A$126, 0)), "División no válida", "")), IF(OR(K845="", K845=""), "[Aviso] Categoría no capturada ()", IF(ISNA(MATCH(K845, Criterios!$A$81:$A$120, 0)), "Categoría no válida", IF(AND(J845&lt;&gt;"", J845&lt;&gt;"", J845&lt;&gt;VLOOKUP(K845, Criterios!$A$81:$B$120, 2, FALSE)), "División no coincide con Categoría", ""))), IF(OR(L845="", L845=""), "[Aviso] Género no capturado ()", IF(ISNA(MATCH(L845, Criterios!$B$123:$B$127, 0)), "Género no válido", "")), IF(OR(N845="", N845=""), "[Aviso] Temporada no capturada ()", IF(ISNA(MATCH(N845, Criterios!$C$123:$C$128, 0)), "Temporada no válida", "")), IF(OR(O845="", O845=""), "[Aviso] Ciclo de vida no capturado ()", IF(ISNA(MATCH(O845, Criterios!$D$123:$D$124, 0)), "Ciclo de vida no válido", ""))))</f>
        <v/>
      </c>
      <c r="AC845" s="56" t="n"/>
      <c r="AD845" s="51" t="n">
        <v>0</v>
      </c>
      <c r="AE845" s="156" t="inlineStr">
        <is>
          <t>STETSON AMERICAS (1)</t>
        </is>
      </c>
      <c r="AF845" s="51" t="n">
        <v>1</v>
      </c>
      <c r="AG845" s="156" t="inlineStr">
        <is>
          <t>Catálogo existente</t>
        </is>
      </c>
      <c r="AH845" s="156" t="inlineStr">
        <is>
          <t>Revisión 29/09/2026: Talla fuente M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5" s="156" t="inlineStr">
        <is>
          <t>Sí</t>
        </is>
      </c>
      <c r="AJ845" s="156" t="inlineStr">
        <is>
          <t>B25 CEDIS (-1)</t>
        </is>
      </c>
      <c r="AK845" s="155" t="inlineStr">
        <is>
          <t>Criterios: I [Q] | Descripción del registro fuente [T]; G1522_Extraccion_Articulos_NetSuite_2026-09-30.xlsx: fila 58289 [V] | Shopify Stetson: producto 15056329736555 / variante 53791839682923 | Odoo: producto 19387 / plantilla 23874 | Investigación en línea 06/10/2026: https://www.stetson.com/products/eastwood-navy</t>
        </is>
      </c>
      <c r="AL845" s="58" t="n">
        <v>1338.75</v>
      </c>
      <c r="AM845" s="58" t="n">
        <v>3275.862069</v>
      </c>
      <c r="AN845" s="155" t="inlineStr">
        <is>
          <t>Shopify Stetson México | Odoo Universal Unique Brands</t>
        </is>
      </c>
      <c r="AO845" s="59" t="n">
        <v>1</v>
      </c>
      <c r="AP845" s="59" t="n"/>
      <c r="AQ845" s="59" t="n">
        <v>3</v>
      </c>
      <c r="AR845" s="155" t="inlineStr">
        <is>
          <t>Shopify Stetson México › Stetson Americas: 1 | Odoo Universal Unique Brands › Bodega 25 › Bodega 25/General: 2 | Odoo Universal Unique Brands › Stetson Americas › Stetson Americas/Stock: 1</t>
        </is>
      </c>
    </row>
    <row r="846">
      <c r="A846" s="50" t="inlineStr">
        <is>
          <t>195556122518</t>
        </is>
      </c>
      <c r="B846" s="51" t="inlineStr">
        <is>
          <t>110478</t>
        </is>
      </c>
      <c r="C846" s="156" t="inlineStr">
        <is>
          <t>Multimarca</t>
        </is>
      </c>
      <c r="D846" s="156" t="inlineStr">
        <is>
          <t>XWESWD-97405M</t>
        </is>
      </c>
      <c r="E846" s="156" t="inlineStr">
        <is>
          <t>XWESWD-97405MM0</t>
        </is>
      </c>
      <c r="F846" s="156" t="inlineStr">
        <is>
          <t>M</t>
        </is>
      </c>
      <c r="G846" s="156" t="inlineStr">
        <is>
          <t>M</t>
        </is>
      </c>
      <c r="H846" s="156" t="inlineStr">
        <is>
          <t>Stetson</t>
        </is>
      </c>
      <c r="I846" s="156" t="inlineStr">
        <is>
          <t>Texana Stetson Eastwood Café</t>
        </is>
      </c>
      <c r="J846" s="156" t="inlineStr">
        <is>
          <t>Accesorios</t>
        </is>
      </c>
      <c r="K846" s="156" t="inlineStr">
        <is>
          <t>Sombreros</t>
        </is>
      </c>
      <c r="L846" s="156" t="inlineStr">
        <is>
          <t>Unisex</t>
        </is>
      </c>
      <c r="M846" s="156" t="inlineStr">
        <is>
          <t>Stetson</t>
        </is>
      </c>
      <c r="N846" s="156" t="inlineStr">
        <is>
          <t>SS26</t>
        </is>
      </c>
      <c r="O846" s="156" t="inlineStr">
        <is>
          <t>Seasonal</t>
        </is>
      </c>
      <c r="P846" s="156" t="inlineStr">
        <is>
          <t>Cafe</t>
        </is>
      </c>
      <c r="Q846" s="156" t="n"/>
      <c r="R846" s="156" t="n"/>
      <c r="S846" s="156" t="inlineStr">
        <is>
          <t>100% Fieltro de lana</t>
        </is>
      </c>
      <c r="T846" s="156" t="inlineStr">
        <is>
          <t>Texana Stetson Eastwood Café.
 Composición: 100% Fieltro de lana.
 Color: Café.</t>
        </is>
      </c>
      <c r="U846" s="156" t="n"/>
      <c r="V846" s="156" t="inlineStr">
        <is>
          <t>PZS</t>
        </is>
      </c>
      <c r="W846" s="51" t="inlineStr">
        <is>
          <t>53102503</t>
        </is>
      </c>
      <c r="X846" s="156" t="n"/>
      <c r="Y846" s="54" t="n">
        <v>1338.75</v>
      </c>
      <c r="Z846" s="54" t="n">
        <v>3275.862069</v>
      </c>
      <c r="AA846" s="55">
        <f>IF(AND(A846="", B846="", E846=""), "", IF(AB846="", "Válido", IF((LEN(AB846)-LEN(SUBSTITUTE(AB846,"; ","")))/2+1&gt;(LEN(AB846)-LEN(SUBSTITUTE(AB846,"[Aviso]","")))/7, "Con Incidencias", "Válido")))</f>
        <v/>
      </c>
      <c r="AB846" s="56">
        <f>IF(AND(A846="", B846="", E846=""), "", TEXTJOIN("; ", TRUE, IF(OR(TRIM(A846&amp;"")="", ISNUMBER(SEARCH("FALTA", A846))), "UPC faltante/inválido", ""), IF(AND(A846&lt;&gt;"", IFERROR(_xlfn.XMATCH(A846,$A$2:$A$2509,0,1)&lt;&gt;_xlfn.XMATCH(A846,$A$2:$A$2509,0,-1),FALSE)), "Código de barras duplicado", ""), IF(AND(E846&lt;&gt;"", COUNTIF($E$2:$E$2509, E846)&gt;1), "SKU duplicado", ""), IF(OR(J846="", J846=""), "[Aviso] División no capturada ()", IF(ISNA(MATCH(J846, Criterios!$A$123:$A$126, 0)), "División no válida", "")), IF(OR(K846="", K846=""), "[Aviso] Categoría no capturada ()", IF(ISNA(MATCH(K846, Criterios!$A$81:$A$120, 0)), "Categoría no válida", IF(AND(J846&lt;&gt;"", J846&lt;&gt;"", J846&lt;&gt;VLOOKUP(K846, Criterios!$A$81:$B$120, 2, FALSE)), "División no coincide con Categoría", ""))), IF(OR(L846="", L846=""), "[Aviso] Género no capturado ()", IF(ISNA(MATCH(L846, Criterios!$B$123:$B$127, 0)), "Género no válido", "")), IF(OR(N846="", N846=""), "[Aviso] Temporada no capturada ()", IF(ISNA(MATCH(N846, Criterios!$C$123:$C$128, 0)), "Temporada no válida", "")), IF(OR(O846="", O846=""), "[Aviso] Ciclo de vida no capturado ()", IF(ISNA(MATCH(O846, Criterios!$D$123:$D$124, 0)), "Ciclo de vida no válido", ""))))</f>
        <v/>
      </c>
      <c r="AC846" s="56" t="n"/>
      <c r="AD846" s="51" t="n">
        <v>0</v>
      </c>
      <c r="AE846" s="156" t="inlineStr">
        <is>
          <t>B25 STETSON.MX (1)</t>
        </is>
      </c>
      <c r="AF846" s="51" t="n">
        <v>1</v>
      </c>
      <c r="AG846" s="156" t="inlineStr">
        <is>
          <t>Catálogo existente</t>
        </is>
      </c>
      <c r="AH846" s="156" t="inlineStr">
        <is>
          <t>Revisión 29/09/2026: Talla fuente M sin equivalencia exacta en Criterios para Talla Sombrero; Campos sin respaldo: U, X | 01/10/2026: complementado desde Shopify Stetson México (match por código de barras): WB Fit</t>
        </is>
      </c>
      <c r="AI846" s="156" t="inlineStr">
        <is>
          <t>Sí</t>
        </is>
      </c>
      <c r="AJ846" s="156" t="inlineStr">
        <is>
          <t>STETSON AMERICAS (-1)</t>
        </is>
      </c>
      <c r="AK846" s="155" t="inlineStr">
        <is>
          <t>Criterios: I [Q] | Shopify Stetson: producto 15056329769323 / variante 53357914325355</t>
        </is>
      </c>
      <c r="AL846" s="58" t="n">
        <v>1338.75</v>
      </c>
      <c r="AM846" s="58" t="n">
        <v>3275.862069</v>
      </c>
      <c r="AN846" s="155" t="inlineStr">
        <is>
          <t>Shopify Stetson México</t>
        </is>
      </c>
      <c r="AO846" s="59" t="n">
        <v>0</v>
      </c>
      <c r="AP846" s="59" t="n"/>
      <c r="AQ846" s="59" t="n"/>
      <c r="AR846" s="155" t="n"/>
    </row>
    <row r="847">
      <c r="A847" s="50" t="inlineStr">
        <is>
          <t>195556122525</t>
        </is>
      </c>
      <c r="B847" s="51" t="inlineStr">
        <is>
          <t>110482</t>
        </is>
      </c>
      <c r="C847" s="156" t="inlineStr">
        <is>
          <t>Multimarca</t>
        </is>
      </c>
      <c r="D847" s="156" t="inlineStr">
        <is>
          <t>XWESWD-974074</t>
        </is>
      </c>
      <c r="E847" s="156" t="inlineStr">
        <is>
          <t>XWESWD-974074M0</t>
        </is>
      </c>
      <c r="F847" s="156" t="inlineStr">
        <is>
          <t>M</t>
        </is>
      </c>
      <c r="G847" s="156" t="inlineStr">
        <is>
          <t>M</t>
        </is>
      </c>
      <c r="H847" s="156" t="inlineStr">
        <is>
          <t>Stetson</t>
        </is>
      </c>
      <c r="I847" s="156" t="inlineStr">
        <is>
          <t>Texana Stetson Eastwood Hueso</t>
        </is>
      </c>
      <c r="J847" s="156" t="inlineStr">
        <is>
          <t>Accesorios</t>
        </is>
      </c>
      <c r="K847" s="156" t="inlineStr">
        <is>
          <t>Sombreros</t>
        </is>
      </c>
      <c r="L847" s="156" t="inlineStr">
        <is>
          <t>Unisex</t>
        </is>
      </c>
      <c r="M847" s="156" t="inlineStr">
        <is>
          <t>Stetson</t>
        </is>
      </c>
      <c r="N847" s="156" t="inlineStr">
        <is>
          <t>SS26</t>
        </is>
      </c>
      <c r="O847" s="156" t="inlineStr">
        <is>
          <t>Seasonal</t>
        </is>
      </c>
      <c r="P847" s="156" t="inlineStr">
        <is>
          <t>Beige</t>
        </is>
      </c>
      <c r="Q847" s="156" t="n"/>
      <c r="R847" s="156" t="n"/>
      <c r="S847" s="156" t="inlineStr">
        <is>
          <t>100% Fieltro de lana</t>
        </is>
      </c>
      <c r="T847" s="156" t="inlineStr">
        <is>
          <t>Texana Stetson Eastwood Hueso.
 Composición: 100% Fieltro de lana.
 Color: Hueso.</t>
        </is>
      </c>
      <c r="U847" s="156" t="n"/>
      <c r="V847" s="156" t="inlineStr">
        <is>
          <t>PZS</t>
        </is>
      </c>
      <c r="W847" s="51" t="inlineStr">
        <is>
          <t>53102503</t>
        </is>
      </c>
      <c r="X847" s="156" t="n"/>
      <c r="Y847" s="54" t="n">
        <v>1338.75</v>
      </c>
      <c r="Z847" s="54" t="n">
        <v>3275.862069</v>
      </c>
      <c r="AA847" s="55">
        <f>IF(AND(A847="", B847="", E847=""), "", IF(AB847="", "Válido", IF((LEN(AB847)-LEN(SUBSTITUTE(AB847,"; ","")))/2+1&gt;(LEN(AB847)-LEN(SUBSTITUTE(AB847,"[Aviso]","")))/7, "Con Incidencias", "Válido")))</f>
        <v/>
      </c>
      <c r="AB847" s="56">
        <f>IF(AND(A847="", B847="", E847=""), "", TEXTJOIN("; ", TRUE, IF(OR(TRIM(A847&amp;"")="", ISNUMBER(SEARCH("FALTA", A847))), "UPC faltante/inválido", ""), IF(AND(A847&lt;&gt;"", IFERROR(_xlfn.XMATCH(A847,$A$2:$A$2509,0,1)&lt;&gt;_xlfn.XMATCH(A847,$A$2:$A$2509,0,-1),FALSE)), "Código de barras duplicado", ""), IF(AND(E847&lt;&gt;"", COUNTIF($E$2:$E$2509, E847)&gt;1), "SKU duplicado", ""), IF(OR(J847="", J847=""), "[Aviso] División no capturada ()", IF(ISNA(MATCH(J847, Criterios!$A$123:$A$126, 0)), "División no válida", "")), IF(OR(K847="", K847=""), "[Aviso] Categoría no capturada ()", IF(ISNA(MATCH(K847, Criterios!$A$81:$A$120, 0)), "Categoría no válida", IF(AND(J847&lt;&gt;"", J847&lt;&gt;"", J847&lt;&gt;VLOOKUP(K847, Criterios!$A$81:$B$120, 2, FALSE)), "División no coincide con Categoría", ""))), IF(OR(L847="", L847=""), "[Aviso] Género no capturado ()", IF(ISNA(MATCH(L847, Criterios!$B$123:$B$127, 0)), "Género no válido", "")), IF(OR(N847="", N847=""), "[Aviso] Temporada no capturada ()", IF(ISNA(MATCH(N847, Criterios!$C$123:$C$128, 0)), "Temporada no válida", "")), IF(OR(O847="", O847=""), "[Aviso] Ciclo de vida no capturado ()", IF(ISNA(MATCH(O847, Criterios!$D$123:$D$124, 0)), "Ciclo de vida no válido", ""))))</f>
        <v/>
      </c>
      <c r="AC847" s="56" t="n"/>
      <c r="AD847" s="51" t="n">
        <v>0</v>
      </c>
      <c r="AE847" s="156" t="inlineStr">
        <is>
          <t>B25 STETSON.MX (1)</t>
        </is>
      </c>
      <c r="AF847" s="51" t="n">
        <v>1</v>
      </c>
      <c r="AG847" s="156" t="inlineStr">
        <is>
          <t>Catálogo existente</t>
        </is>
      </c>
      <c r="AH847" s="156" t="inlineStr">
        <is>
          <t>Revisión 29/09/2026: Talla fuente M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47" s="156" t="inlineStr">
        <is>
          <t>Sí</t>
        </is>
      </c>
      <c r="AJ847" s="156" t="inlineStr">
        <is>
          <t>STETSON AMERICAS (-1)</t>
        </is>
      </c>
      <c r="AK847" s="155" t="inlineStr">
        <is>
          <t>Criterios: I [Q] | Shopify Stetson: producto 15056329802091 / variante 53357914456427 | Odoo: producto 19391 / plantilla 23878</t>
        </is>
      </c>
      <c r="AL847" s="58" t="n">
        <v>1338.75</v>
      </c>
      <c r="AM847" s="58" t="n">
        <v>3275.862069</v>
      </c>
      <c r="AN847" s="155" t="inlineStr">
        <is>
          <t>Shopify Stetson México | Odoo Universal Unique Brands</t>
        </is>
      </c>
      <c r="AO847" s="59" t="n">
        <v>1</v>
      </c>
      <c r="AP847" s="59" t="n"/>
      <c r="AQ847" s="59" t="n">
        <v>3</v>
      </c>
      <c r="AR847" s="155" t="inlineStr">
        <is>
          <t>Shopify Stetson México › Stetson México: 1 | Odoo Universal Unique Brands › Bodega 25 › Bodega 25/General: 2 | Odoo Universal Unique Brands › Stetson Americas › Stetson Americas/Stock: 1</t>
        </is>
      </c>
    </row>
    <row r="848">
      <c r="A848" s="50" t="inlineStr">
        <is>
          <t>195556122532</t>
        </is>
      </c>
      <c r="B848" s="51" t="inlineStr">
        <is>
          <t>110475</t>
        </is>
      </c>
      <c r="C848" s="156" t="inlineStr">
        <is>
          <t>Multimarca</t>
        </is>
      </c>
      <c r="D848" s="156" t="inlineStr">
        <is>
          <t>XWESWD-974048</t>
        </is>
      </c>
      <c r="E848" s="156" t="inlineStr">
        <is>
          <t>XWESWD-974048S0</t>
        </is>
      </c>
      <c r="F848" s="156" t="inlineStr">
        <is>
          <t>S</t>
        </is>
      </c>
      <c r="G848" s="156" t="inlineStr">
        <is>
          <t>S</t>
        </is>
      </c>
      <c r="H848" s="156" t="inlineStr">
        <is>
          <t>Stetson</t>
        </is>
      </c>
      <c r="I848" s="156" t="inlineStr">
        <is>
          <t>Texana Stetson Eastwood Marino</t>
        </is>
      </c>
      <c r="J848" s="156" t="inlineStr">
        <is>
          <t>Accesorios</t>
        </is>
      </c>
      <c r="K848" s="156" t="inlineStr">
        <is>
          <t>Sombreros</t>
        </is>
      </c>
      <c r="L848" s="156" t="inlineStr">
        <is>
          <t>Unisex</t>
        </is>
      </c>
      <c r="M848" s="156" t="inlineStr">
        <is>
          <t>Stetson</t>
        </is>
      </c>
      <c r="N848" s="156" t="inlineStr">
        <is>
          <t>SS26</t>
        </is>
      </c>
      <c r="O848" s="156" t="inlineStr">
        <is>
          <t>Seasonal</t>
        </is>
      </c>
      <c r="P848" s="156" t="inlineStr">
        <is>
          <t>Azul</t>
        </is>
      </c>
      <c r="Q848" s="156" t="n"/>
      <c r="R848" s="156" t="inlineStr">
        <is>
          <t>Copa Cattleman</t>
        </is>
      </c>
      <c r="S848" s="156" t="inlineStr">
        <is>
          <t>100% Fieltro de lana</t>
        </is>
      </c>
      <c r="T848" s="156" t="inlineStr">
        <is>
          <t>Texana Stetson Eastwood Marino</t>
        </is>
      </c>
      <c r="U848" s="156" t="inlineStr">
        <is>
          <t>Estados Unidos</t>
        </is>
      </c>
      <c r="V848" s="156" t="inlineStr">
        <is>
          <t>PZS</t>
        </is>
      </c>
      <c r="W848" s="51" t="inlineStr">
        <is>
          <t>53102503</t>
        </is>
      </c>
      <c r="X848" s="156" t="inlineStr">
        <is>
          <t>https://cdn.shopify.com/s/files/1/0357/2432/9005/files/XWESWD-9740-48_Navy_1_d95ec647-7154-4393-8b97-fc77c41194f9.jpg?v=1755199826</t>
        </is>
      </c>
      <c r="Y848" s="54" t="n">
        <v>1338.75</v>
      </c>
      <c r="Z848" s="54" t="n">
        <v>3275.862069</v>
      </c>
      <c r="AA848" s="55">
        <f>IF(AND(A848="", B848="", E848=""), "", IF(AB848="", "Válido", IF((LEN(AB848)-LEN(SUBSTITUTE(AB848,"; ","")))/2+1&gt;(LEN(AB848)-LEN(SUBSTITUTE(AB848,"[Aviso]","")))/7, "Con Incidencias", "Válido")))</f>
        <v/>
      </c>
      <c r="AB848" s="56">
        <f>IF(AND(A848="", B848="", E848=""), "", TEXTJOIN("; ", TRUE, IF(OR(TRIM(A848&amp;"")="", ISNUMBER(SEARCH("FALTA", A848))), "UPC faltante/inválido", ""), IF(AND(A848&lt;&gt;"", IFERROR(_xlfn.XMATCH(A848,$A$2:$A$2509,0,1)&lt;&gt;_xlfn.XMATCH(A848,$A$2:$A$2509,0,-1),FALSE)), "Código de barras duplicado", ""), IF(AND(E848&lt;&gt;"", COUNTIF($E$2:$E$2509, E848)&gt;1), "SKU duplicado", ""), IF(OR(J848="", J848=""), "[Aviso] División no capturada ()", IF(ISNA(MATCH(J848, Criterios!$A$123:$A$126, 0)), "División no válida", "")), IF(OR(K848="", K848=""), "[Aviso] Categoría no capturada ()", IF(ISNA(MATCH(K848, Criterios!$A$81:$A$120, 0)), "Categoría no válida", IF(AND(J848&lt;&gt;"", J848&lt;&gt;"", J848&lt;&gt;VLOOKUP(K848, Criterios!$A$81:$B$120, 2, FALSE)), "División no coincide con Categoría", ""))), IF(OR(L848="", L848=""), "[Aviso] Género no capturado ()", IF(ISNA(MATCH(L848, Criterios!$B$123:$B$127, 0)), "Género no válido", "")), IF(OR(N848="", N848=""), "[Aviso] Temporada no capturada ()", IF(ISNA(MATCH(N848, Criterios!$C$123:$C$128, 0)), "Temporada no válida", "")), IF(OR(O848="", O848=""), "[Aviso] Ciclo de vida no capturado ()", IF(ISNA(MATCH(O848, Criterios!$D$123:$D$124, 0)), "Ciclo de vida no válido", ""))))</f>
        <v/>
      </c>
      <c r="AC848" s="56" t="n"/>
      <c r="AD848" s="51" t="n">
        <v>-1</v>
      </c>
      <c r="AE848" s="156" t="n"/>
      <c r="AF848" s="51" t="n">
        <v>0</v>
      </c>
      <c r="AG848" s="156" t="inlineStr">
        <is>
          <t>Catálogo existente</t>
        </is>
      </c>
      <c r="AH848" s="156" t="inlineStr">
        <is>
          <t>Stock negativo en sistema: revisar en conteo | Revisión 29/09/2026: Talla fuente S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8" s="156" t="inlineStr">
        <is>
          <t>Sí</t>
        </is>
      </c>
      <c r="AJ848" s="156" t="inlineStr">
        <is>
          <t>B25 CEDIS (-1)</t>
        </is>
      </c>
      <c r="AK848" s="155" t="inlineStr">
        <is>
          <t>Criterios: I [Q] | Descripción del registro fuente [T]; G1522_Extraccion_Articulos_NetSuite_2026-09-30.xlsx: fila 58290 [V] | Shopify Stetson: producto 15056329736555 / variante 53791839715691 | Odoo: producto 19386 / plantilla 23873 | Investigación en línea 06/10/2026: https://www.stetson.com/products/eastwood-navy</t>
        </is>
      </c>
      <c r="AL848" s="58" t="n">
        <v>1338.75</v>
      </c>
      <c r="AM848" s="58" t="n">
        <v>3275.862069</v>
      </c>
      <c r="AN848" s="155" t="inlineStr">
        <is>
          <t>Shopify Stetson México | Odoo Universal Unique Brands</t>
        </is>
      </c>
      <c r="AO848" s="59" t="n">
        <v>0</v>
      </c>
      <c r="AP848" s="59" t="n"/>
      <c r="AQ848" s="59" t="n">
        <v>2</v>
      </c>
      <c r="AR848" s="155" t="inlineStr">
        <is>
          <t>Odoo Universal Unique Brands › Bodega 25 › Bodega 25/General: 1 | Odoo Universal Unique Brands › Stetson Americas › Stetson Americas/Stock: 1</t>
        </is>
      </c>
    </row>
    <row r="849">
      <c r="A849" s="50" t="inlineStr">
        <is>
          <t>195556122549</t>
        </is>
      </c>
      <c r="B849" s="51" t="inlineStr">
        <is>
          <t>110479</t>
        </is>
      </c>
      <c r="C849" s="156" t="inlineStr">
        <is>
          <t>Multimarca</t>
        </is>
      </c>
      <c r="D849" s="156" t="inlineStr">
        <is>
          <t>XWESWD-97405M</t>
        </is>
      </c>
      <c r="E849" s="156" t="inlineStr">
        <is>
          <t>XWESWD-97405MS0</t>
        </is>
      </c>
      <c r="F849" s="156" t="inlineStr">
        <is>
          <t>S</t>
        </is>
      </c>
      <c r="G849" s="156" t="inlineStr">
        <is>
          <t>S</t>
        </is>
      </c>
      <c r="H849" s="156" t="inlineStr">
        <is>
          <t>Stetson</t>
        </is>
      </c>
      <c r="I849" s="156" t="inlineStr">
        <is>
          <t>Texana Stetson Eastwood Café</t>
        </is>
      </c>
      <c r="J849" s="156" t="inlineStr">
        <is>
          <t>Accesorios</t>
        </is>
      </c>
      <c r="K849" s="156" t="inlineStr">
        <is>
          <t>Sombreros</t>
        </is>
      </c>
      <c r="L849" s="156" t="inlineStr">
        <is>
          <t>Unisex</t>
        </is>
      </c>
      <c r="M849" s="156" t="inlineStr">
        <is>
          <t>Stetson</t>
        </is>
      </c>
      <c r="N849" s="156" t="inlineStr">
        <is>
          <t>SS26</t>
        </is>
      </c>
      <c r="O849" s="156" t="inlineStr">
        <is>
          <t>Seasonal</t>
        </is>
      </c>
      <c r="P849" s="156" t="inlineStr">
        <is>
          <t>Cafe</t>
        </is>
      </c>
      <c r="Q849" s="156" t="n"/>
      <c r="R849" s="156" t="n"/>
      <c r="S849" s="156" t="inlineStr">
        <is>
          <t>100% Fieltro de lana</t>
        </is>
      </c>
      <c r="T849" s="156" t="inlineStr">
        <is>
          <t>Texana Stetson Eastwood Café.
 Composición: 100% Fieltro de lana.
 Color: Café.</t>
        </is>
      </c>
      <c r="U849" s="156" t="n"/>
      <c r="V849" s="156" t="inlineStr">
        <is>
          <t>PZS</t>
        </is>
      </c>
      <c r="W849" s="51" t="inlineStr">
        <is>
          <t>53102503</t>
        </is>
      </c>
      <c r="X849" s="156" t="n"/>
      <c r="Y849" s="54" t="n">
        <v>1338.75</v>
      </c>
      <c r="Z849" s="54" t="n">
        <v>3275.862069</v>
      </c>
      <c r="AA849" s="55">
        <f>IF(AND(A849="", B849="", E849=""), "", IF(AB849="", "Válido", IF((LEN(AB849)-LEN(SUBSTITUTE(AB849,"; ","")))/2+1&gt;(LEN(AB849)-LEN(SUBSTITUTE(AB849,"[Aviso]","")))/7, "Con Incidencias", "Válido")))</f>
        <v/>
      </c>
      <c r="AB849" s="56">
        <f>IF(AND(A849="", B849="", E849=""), "", TEXTJOIN("; ", TRUE, IF(OR(TRIM(A849&amp;"")="", ISNUMBER(SEARCH("FALTA", A849))), "UPC faltante/inválido", ""), IF(AND(A849&lt;&gt;"", IFERROR(_xlfn.XMATCH(A849,$A$2:$A$2509,0,1)&lt;&gt;_xlfn.XMATCH(A849,$A$2:$A$2509,0,-1),FALSE)), "Código de barras duplicado", ""), IF(AND(E849&lt;&gt;"", COUNTIF($E$2:$E$2509, E849)&gt;1), "SKU duplicado", ""), IF(OR(J849="", J849=""), "[Aviso] División no capturada ()", IF(ISNA(MATCH(J849, Criterios!$A$123:$A$126, 0)), "División no válida", "")), IF(OR(K849="", K849=""), "[Aviso] Categoría no capturada ()", IF(ISNA(MATCH(K849, Criterios!$A$81:$A$120, 0)), "Categoría no válida", IF(AND(J849&lt;&gt;"", J849&lt;&gt;"", J849&lt;&gt;VLOOKUP(K849, Criterios!$A$81:$B$120, 2, FALSE)), "División no coincide con Categoría", ""))), IF(OR(L849="", L849=""), "[Aviso] Género no capturado ()", IF(ISNA(MATCH(L849, Criterios!$B$123:$B$127, 0)), "Género no válido", "")), IF(OR(N849="", N849=""), "[Aviso] Temporada no capturada ()", IF(ISNA(MATCH(N849, Criterios!$C$123:$C$128, 0)), "Temporada no válida", "")), IF(OR(O849="", O849=""), "[Aviso] Ciclo de vida no capturado ()", IF(ISNA(MATCH(O849, Criterios!$D$123:$D$124, 0)), "Ciclo de vida no válido", ""))))</f>
        <v/>
      </c>
      <c r="AC849" s="56" t="n"/>
      <c r="AD849" s="51" t="n">
        <v>0</v>
      </c>
      <c r="AE849" s="156" t="inlineStr">
        <is>
          <t>B25 STETSON.MX (1)</t>
        </is>
      </c>
      <c r="AF849" s="51" t="n">
        <v>1</v>
      </c>
      <c r="AG849" s="156" t="inlineStr">
        <is>
          <t>Catálogo existente</t>
        </is>
      </c>
      <c r="AH849" s="156" t="inlineStr">
        <is>
          <t>Revisión 29/09/2026: Talla fuente S sin equivalencia exacta en Criterios para Talla Sombrero; Campos sin respaldo: U, X | 01/10/2026: complementado desde Shopify Stetson México (match por código de barras): WB Fit</t>
        </is>
      </c>
      <c r="AI849" s="156" t="inlineStr">
        <is>
          <t>Sí</t>
        </is>
      </c>
      <c r="AJ849" s="156" t="inlineStr">
        <is>
          <t>STETSON AMERICAS (-1)</t>
        </is>
      </c>
      <c r="AK849" s="155" t="inlineStr">
        <is>
          <t>Criterios: I [Q] | Shopify Stetson: producto 15056329769323 / variante 53357914292587</t>
        </is>
      </c>
      <c r="AL849" s="58" t="n">
        <v>1338.75</v>
      </c>
      <c r="AM849" s="58" t="n">
        <v>3275.862069</v>
      </c>
      <c r="AN849" s="155" t="inlineStr">
        <is>
          <t>Shopify Stetson México</t>
        </is>
      </c>
      <c r="AO849" s="59" t="n">
        <v>0</v>
      </c>
      <c r="AP849" s="59" t="n"/>
      <c r="AQ849" s="59" t="n"/>
      <c r="AR849" s="155" t="n"/>
    </row>
    <row r="850">
      <c r="A850" s="50" t="inlineStr">
        <is>
          <t>195556122556</t>
        </is>
      </c>
      <c r="B850" s="51" t="inlineStr">
        <is>
          <t>110483</t>
        </is>
      </c>
      <c r="C850" s="156" t="inlineStr">
        <is>
          <t>Multimarca</t>
        </is>
      </c>
      <c r="D850" s="156" t="inlineStr">
        <is>
          <t>XWESWD-974074</t>
        </is>
      </c>
      <c r="E850" s="156" t="inlineStr">
        <is>
          <t>XWESWD-974074S0</t>
        </is>
      </c>
      <c r="F850" s="156" t="inlineStr">
        <is>
          <t>S</t>
        </is>
      </c>
      <c r="G850" s="156" t="inlineStr">
        <is>
          <t>S</t>
        </is>
      </c>
      <c r="H850" s="156" t="inlineStr">
        <is>
          <t>Stetson</t>
        </is>
      </c>
      <c r="I850" s="156" t="inlineStr">
        <is>
          <t>Texana Stetson Eastwood Hueso</t>
        </is>
      </c>
      <c r="J850" s="156" t="inlineStr">
        <is>
          <t>Accesorios</t>
        </is>
      </c>
      <c r="K850" s="156" t="inlineStr">
        <is>
          <t>Sombreros</t>
        </is>
      </c>
      <c r="L850" s="156" t="inlineStr">
        <is>
          <t>Unisex</t>
        </is>
      </c>
      <c r="M850" s="156" t="inlineStr">
        <is>
          <t>Stetson</t>
        </is>
      </c>
      <c r="N850" s="156" t="inlineStr">
        <is>
          <t>SS26</t>
        </is>
      </c>
      <c r="O850" s="156" t="inlineStr">
        <is>
          <t>Seasonal</t>
        </is>
      </c>
      <c r="P850" s="156" t="inlineStr">
        <is>
          <t>Beige</t>
        </is>
      </c>
      <c r="Q850" s="156" t="n"/>
      <c r="R850" s="156" t="n"/>
      <c r="S850" s="156" t="inlineStr">
        <is>
          <t>100% Fieltro de lana</t>
        </is>
      </c>
      <c r="T850" s="156" t="inlineStr">
        <is>
          <t>Texana Stetson Eastwood Hueso.
 Composición: 100% Fieltro de lana.
 Color: Hueso.</t>
        </is>
      </c>
      <c r="U850" s="156" t="n"/>
      <c r="V850" s="156" t="inlineStr">
        <is>
          <t>PZS</t>
        </is>
      </c>
      <c r="W850" s="51" t="inlineStr">
        <is>
          <t>53102503</t>
        </is>
      </c>
      <c r="X850" s="156" t="n"/>
      <c r="Y850" s="54" t="n">
        <v>1338.75</v>
      </c>
      <c r="Z850" s="54" t="n">
        <v>3275.862069</v>
      </c>
      <c r="AA850" s="55">
        <f>IF(AND(A850="", B850="", E850=""), "", IF(AB850="", "Válido", IF((LEN(AB850)-LEN(SUBSTITUTE(AB850,"; ","")))/2+1&gt;(LEN(AB850)-LEN(SUBSTITUTE(AB850,"[Aviso]","")))/7, "Con Incidencias", "Válido")))</f>
        <v/>
      </c>
      <c r="AB850" s="56">
        <f>IF(AND(A850="", B850="", E850=""), "", TEXTJOIN("; ", TRUE, IF(OR(TRIM(A850&amp;"")="", ISNUMBER(SEARCH("FALTA", A850))), "UPC faltante/inválido", ""), IF(AND(A850&lt;&gt;"", IFERROR(_xlfn.XMATCH(A850,$A$2:$A$2509,0,1)&lt;&gt;_xlfn.XMATCH(A850,$A$2:$A$2509,0,-1),FALSE)), "Código de barras duplicado", ""), IF(AND(E850&lt;&gt;"", COUNTIF($E$2:$E$2509, E850)&gt;1), "SKU duplicado", ""), IF(OR(J850="", J850=""), "[Aviso] División no capturada ()", IF(ISNA(MATCH(J850, Criterios!$A$123:$A$126, 0)), "División no válida", "")), IF(OR(K850="", K850=""), "[Aviso] Categoría no capturada ()", IF(ISNA(MATCH(K850, Criterios!$A$81:$A$120, 0)), "Categoría no válida", IF(AND(J850&lt;&gt;"", J850&lt;&gt;"", J850&lt;&gt;VLOOKUP(K850, Criterios!$A$81:$B$120, 2, FALSE)), "División no coincide con Categoría", ""))), IF(OR(L850="", L850=""), "[Aviso] Género no capturado ()", IF(ISNA(MATCH(L850, Criterios!$B$123:$B$127, 0)), "Género no válido", "")), IF(OR(N850="", N850=""), "[Aviso] Temporada no capturada ()", IF(ISNA(MATCH(N850, Criterios!$C$123:$C$128, 0)), "Temporada no válida", "")), IF(OR(O850="", O850=""), "[Aviso] Ciclo de vida no capturado ()", IF(ISNA(MATCH(O850, Criterios!$D$123:$D$124, 0)), "Ciclo de vida no válido", ""))))</f>
        <v/>
      </c>
      <c r="AC850" s="56" t="n"/>
      <c r="AD850" s="51" t="n">
        <v>0</v>
      </c>
      <c r="AE850" s="156" t="inlineStr">
        <is>
          <t>B25 STETSON.MX (1)</t>
        </is>
      </c>
      <c r="AF850" s="51" t="n">
        <v>1</v>
      </c>
      <c r="AG850" s="156" t="inlineStr">
        <is>
          <t>Catálogo existente</t>
        </is>
      </c>
      <c r="AH850" s="156" t="inlineStr">
        <is>
          <t>Revisión 29/09/2026: Talla fuente S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50" s="156" t="inlineStr">
        <is>
          <t>Sí</t>
        </is>
      </c>
      <c r="AJ850" s="156" t="inlineStr">
        <is>
          <t>STETSON AMERICAS (-1)</t>
        </is>
      </c>
      <c r="AK850" s="155" t="inlineStr">
        <is>
          <t>Criterios: I [Q] | Shopify Stetson: producto 15056329802091 / variante 53357914423659 | Odoo: producto 19390 / plantilla 23877</t>
        </is>
      </c>
      <c r="AL850" s="58" t="n">
        <v>1338.75</v>
      </c>
      <c r="AM850" s="58" t="n">
        <v>3275.862069</v>
      </c>
      <c r="AN850" s="155" t="inlineStr">
        <is>
          <t>Shopify Stetson México | Odoo Universal Unique Brands</t>
        </is>
      </c>
      <c r="AO850" s="59" t="n">
        <v>1</v>
      </c>
      <c r="AP850" s="59" t="n"/>
      <c r="AQ850" s="59" t="n">
        <v>2</v>
      </c>
      <c r="AR850" s="155" t="inlineStr">
        <is>
          <t>Shopify Stetson México › Stetson México: 1 | Odoo Universal Unique Brands › Bodega 25 › Bodega 25/General: 1 | Odoo Universal Unique Brands › Stetson Americas › Stetson Americas/Stock: 1</t>
        </is>
      </c>
    </row>
    <row r="851">
      <c r="A851" s="50" t="inlineStr">
        <is>
          <t>195556122563</t>
        </is>
      </c>
      <c r="B851" s="51" t="inlineStr">
        <is>
          <t>110476</t>
        </is>
      </c>
      <c r="C851" s="156" t="inlineStr">
        <is>
          <t>Multimarca</t>
        </is>
      </c>
      <c r="D851" s="156" t="inlineStr">
        <is>
          <t>XWESWD-974048</t>
        </is>
      </c>
      <c r="E851" s="156" t="inlineStr">
        <is>
          <t>XWESWD-974048XL</t>
        </is>
      </c>
      <c r="F851" s="156" t="inlineStr">
        <is>
          <t>XL</t>
        </is>
      </c>
      <c r="G851" s="156" t="inlineStr">
        <is>
          <t>XL</t>
        </is>
      </c>
      <c r="H851" s="156" t="inlineStr">
        <is>
          <t>Stetson</t>
        </is>
      </c>
      <c r="I851" s="156" t="inlineStr">
        <is>
          <t>Texana Stetson Eastwood Marino</t>
        </is>
      </c>
      <c r="J851" s="156" t="inlineStr">
        <is>
          <t>Accesorios</t>
        </is>
      </c>
      <c r="K851" s="156" t="inlineStr">
        <is>
          <t>Sombreros</t>
        </is>
      </c>
      <c r="L851" s="156" t="inlineStr">
        <is>
          <t>Unisex</t>
        </is>
      </c>
      <c r="M851" s="156" t="inlineStr">
        <is>
          <t>Stetson</t>
        </is>
      </c>
      <c r="N851" s="156" t="inlineStr">
        <is>
          <t>SS26</t>
        </is>
      </c>
      <c r="O851" s="156" t="inlineStr">
        <is>
          <t>Seasonal</t>
        </is>
      </c>
      <c r="P851" s="156" t="inlineStr">
        <is>
          <t>Azul</t>
        </is>
      </c>
      <c r="Q851" s="156" t="n"/>
      <c r="R851" s="156" t="inlineStr">
        <is>
          <t>Copa Cattleman</t>
        </is>
      </c>
      <c r="S851" s="156" t="inlineStr">
        <is>
          <t>100% Fieltro de lana</t>
        </is>
      </c>
      <c r="T851" s="156" t="inlineStr">
        <is>
          <t>Texana Stetson Eastwood Marino</t>
        </is>
      </c>
      <c r="U851" s="156" t="inlineStr">
        <is>
          <t>Estados Unidos</t>
        </is>
      </c>
      <c r="V851" s="156" t="inlineStr">
        <is>
          <t>PZS</t>
        </is>
      </c>
      <c r="W851" s="51" t="inlineStr">
        <is>
          <t>53102503</t>
        </is>
      </c>
      <c r="X851" s="156" t="inlineStr">
        <is>
          <t>https://cdn.shopify.com/s/files/1/0357/2432/9005/files/XWESWD-9740-48_Navy_1_d95ec647-7154-4393-8b97-fc77c41194f9.jpg?v=1755199826</t>
        </is>
      </c>
      <c r="Y851" s="54" t="n">
        <v>1338.75</v>
      </c>
      <c r="Z851" s="54" t="n">
        <v>3275.862069</v>
      </c>
      <c r="AA851" s="55">
        <f>IF(AND(A851="", B851="", E851=""), "", IF(AB851="", "Válido", IF((LEN(AB851)-LEN(SUBSTITUTE(AB851,"; ","")))/2+1&gt;(LEN(AB851)-LEN(SUBSTITUTE(AB851,"[Aviso]","")))/7, "Con Incidencias", "Válido")))</f>
        <v/>
      </c>
      <c r="AB851" s="56">
        <f>IF(AND(A851="", B851="", E851=""), "", TEXTJOIN("; ", TRUE, IF(OR(TRIM(A851&amp;"")="", ISNUMBER(SEARCH("FALTA", A851))), "UPC faltante/inválido", ""), IF(AND(A851&lt;&gt;"", IFERROR(_xlfn.XMATCH(A851,$A$2:$A$2509,0,1)&lt;&gt;_xlfn.XMATCH(A851,$A$2:$A$2509,0,-1),FALSE)), "Código de barras duplicado", ""), IF(AND(E851&lt;&gt;"", COUNTIF($E$2:$E$2509, E851)&gt;1), "SKU duplicado", ""), IF(OR(J851="", J851=""), "[Aviso] División no capturada ()", IF(ISNA(MATCH(J851, Criterios!$A$123:$A$126, 0)), "División no válida", "")), IF(OR(K851="", K851=""), "[Aviso] Categoría no capturada ()", IF(ISNA(MATCH(K851, Criterios!$A$81:$A$120, 0)), "Categoría no válida", IF(AND(J851&lt;&gt;"", J851&lt;&gt;"", J851&lt;&gt;VLOOKUP(K851, Criterios!$A$81:$B$120, 2, FALSE)), "División no coincide con Categoría", ""))), IF(OR(L851="", L851=""), "[Aviso] Género no capturado ()", IF(ISNA(MATCH(L851, Criterios!$B$123:$B$127, 0)), "Género no válido", "")), IF(OR(N851="", N851=""), "[Aviso] Temporada no capturada ()", IF(ISNA(MATCH(N851, Criterios!$C$123:$C$128, 0)), "Temporada no válida", "")), IF(OR(O851="", O851=""), "[Aviso] Ciclo de vida no capturado ()", IF(ISNA(MATCH(O851, Criterios!$D$123:$D$124, 0)), "Ciclo de vida no válido", ""))))</f>
        <v/>
      </c>
      <c r="AC851" s="56" t="n"/>
      <c r="AD851" s="51" t="n">
        <v>1</v>
      </c>
      <c r="AE851" s="156" t="inlineStr">
        <is>
          <t>B25 STETSON.MX (1); STETSON AMERICAS (1)</t>
        </is>
      </c>
      <c r="AF851" s="51" t="n">
        <v>2</v>
      </c>
      <c r="AG851" s="156" t="inlineStr">
        <is>
          <t>Catálogo existente</t>
        </is>
      </c>
      <c r="AH851" s="156" t="inlineStr">
        <is>
          <t>Revisión 29/09/2026: Talla fuente XL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51" s="156" t="inlineStr">
        <is>
          <t>Sí</t>
        </is>
      </c>
      <c r="AJ851" s="156" t="inlineStr">
        <is>
          <t>B25 CEDIS (-1)</t>
        </is>
      </c>
      <c r="AK851" s="155" t="inlineStr">
        <is>
          <t>Criterios: I [Q] | Descripción del registro fuente [T]; G1522_Extraccion_Articulos_NetSuite_2026-09-30.xlsx: fila 58291 [V] | Shopify Stetson: producto 15056329736555 / variante 53357914259819 | Odoo: producto 19389 / plantilla 23876 | Investigación en línea 06/10/2026: https://www.stetson.com/products/eastwood-navy</t>
        </is>
      </c>
      <c r="AL851" s="58" t="n">
        <v>1338.75</v>
      </c>
      <c r="AM851" s="58" t="n">
        <v>3275.862069</v>
      </c>
      <c r="AN851" s="155" t="inlineStr">
        <is>
          <t>Shopify Stetson México | Odoo Universal Unique Brands</t>
        </is>
      </c>
      <c r="AO851" s="59" t="n">
        <v>3</v>
      </c>
      <c r="AP851" s="59" t="n"/>
      <c r="AQ851" s="59" t="n">
        <v>2</v>
      </c>
      <c r="AR851" s="155" t="inlineStr">
        <is>
          <t>Shopify Stetson México › Stetson México: 1 | Shopify Stetson México › Stetson Americas: 2 | Odoo Universal Unique Brands › Bodega 25 › Bodega 25/General: 1 | Odoo Universal Unique Brands › Stetson Americas › Stetson Americas/Stock: 1</t>
        </is>
      </c>
    </row>
    <row r="852">
      <c r="A852" s="50" t="inlineStr">
        <is>
          <t>195556122570</t>
        </is>
      </c>
      <c r="B852" s="51" t="inlineStr">
        <is>
          <t>110480</t>
        </is>
      </c>
      <c r="C852" s="156" t="inlineStr">
        <is>
          <t>Multimarca</t>
        </is>
      </c>
      <c r="D852" s="156" t="inlineStr">
        <is>
          <t>XWESWD-97405M</t>
        </is>
      </c>
      <c r="E852" s="156" t="inlineStr">
        <is>
          <t>XWESWD-97405MXL</t>
        </is>
      </c>
      <c r="F852" s="156" t="inlineStr">
        <is>
          <t>XL</t>
        </is>
      </c>
      <c r="G852" s="156" t="inlineStr">
        <is>
          <t>XL</t>
        </is>
      </c>
      <c r="H852" s="156" t="inlineStr">
        <is>
          <t>Stetson</t>
        </is>
      </c>
      <c r="I852" s="156" t="inlineStr">
        <is>
          <t>Texana Stetson Eastwood Café</t>
        </is>
      </c>
      <c r="J852" s="156" t="inlineStr">
        <is>
          <t>Accesorios</t>
        </is>
      </c>
      <c r="K852" s="156" t="inlineStr">
        <is>
          <t>Sombreros</t>
        </is>
      </c>
      <c r="L852" s="156" t="inlineStr">
        <is>
          <t>Unisex</t>
        </is>
      </c>
      <c r="M852" s="156" t="inlineStr">
        <is>
          <t>Stetson</t>
        </is>
      </c>
      <c r="N852" s="156" t="inlineStr">
        <is>
          <t>SS26</t>
        </is>
      </c>
      <c r="O852" s="156" t="inlineStr">
        <is>
          <t>Seasonal</t>
        </is>
      </c>
      <c r="P852" s="156" t="inlineStr">
        <is>
          <t>Cafe</t>
        </is>
      </c>
      <c r="Q852" s="156" t="n"/>
      <c r="R852" s="156" t="n"/>
      <c r="S852" s="156" t="inlineStr">
        <is>
          <t>100% Fieltro de lana</t>
        </is>
      </c>
      <c r="T852" s="156" t="inlineStr">
        <is>
          <t>Texana Stetson Eastwood Café.
 Composición: 100% Fieltro de lana.
 Color: Café.</t>
        </is>
      </c>
      <c r="U852" s="156" t="n"/>
      <c r="V852" s="156" t="inlineStr">
        <is>
          <t>PZS</t>
        </is>
      </c>
      <c r="W852" s="51" t="inlineStr">
        <is>
          <t>53102503</t>
        </is>
      </c>
      <c r="X852" s="156" t="n"/>
      <c r="Y852" s="54" t="n">
        <v>1338.75</v>
      </c>
      <c r="Z852" s="54" t="n">
        <v>3275.862069</v>
      </c>
      <c r="AA852" s="55">
        <f>IF(AND(A852="", B852="", E852=""), "", IF(AB852="", "Válido", IF((LEN(AB852)-LEN(SUBSTITUTE(AB852,"; ","")))/2+1&gt;(LEN(AB852)-LEN(SUBSTITUTE(AB852,"[Aviso]","")))/7, "Con Incidencias", "Válido")))</f>
        <v/>
      </c>
      <c r="AB852" s="56">
        <f>IF(AND(A852="", B852="", E852=""), "", TEXTJOIN("; ", TRUE, IF(OR(TRIM(A852&amp;"")="", ISNUMBER(SEARCH("FALTA", A852))), "UPC faltante/inválido", ""), IF(AND(A852&lt;&gt;"", IFERROR(_xlfn.XMATCH(A852,$A$2:$A$2509,0,1)&lt;&gt;_xlfn.XMATCH(A852,$A$2:$A$2509,0,-1),FALSE)), "Código de barras duplicado", ""), IF(AND(E852&lt;&gt;"", COUNTIF($E$2:$E$2509, E852)&gt;1), "SKU duplicado", ""), IF(OR(J852="", J852=""), "[Aviso] División no capturada ()", IF(ISNA(MATCH(J852, Criterios!$A$123:$A$126, 0)), "División no válida", "")), IF(OR(K852="", K852=""), "[Aviso] Categoría no capturada ()", IF(ISNA(MATCH(K852, Criterios!$A$81:$A$120, 0)), "Categoría no válida", IF(AND(J852&lt;&gt;"", J852&lt;&gt;"", J852&lt;&gt;VLOOKUP(K852, Criterios!$A$81:$B$120, 2, FALSE)), "División no coincide con Categoría", ""))), IF(OR(L852="", L852=""), "[Aviso] Género no capturado ()", IF(ISNA(MATCH(L852, Criterios!$B$123:$B$127, 0)), "Género no válido", "")), IF(OR(N852="", N852=""), "[Aviso] Temporada no capturada ()", IF(ISNA(MATCH(N852, Criterios!$C$123:$C$128, 0)), "Temporada no válida", "")), IF(OR(O852="", O852=""), "[Aviso] Ciclo de vida no capturado ()", IF(ISNA(MATCH(O852, Criterios!$D$123:$D$124, 0)), "Ciclo de vida no válido", ""))))</f>
        <v/>
      </c>
      <c r="AC852" s="56" t="n"/>
      <c r="AD852" s="51" t="n">
        <v>0</v>
      </c>
      <c r="AE852" s="156" t="inlineStr">
        <is>
          <t>B25 STETSON.MX (1)</t>
        </is>
      </c>
      <c r="AF852" s="51" t="n">
        <v>1</v>
      </c>
      <c r="AG852" s="156" t="inlineStr">
        <is>
          <t>Catálogo existente</t>
        </is>
      </c>
      <c r="AH852" s="156" t="inlineStr">
        <is>
          <t>Revisión 29/09/2026: Talla fuente XL sin equivalencia exacta en Criterios para Talla Sombrero; Campos sin respaldo: U, X | 01/10/2026: complementado desde Shopify Stetson México (match por código de barras): WB Fit</t>
        </is>
      </c>
      <c r="AI852" s="156" t="inlineStr">
        <is>
          <t>Sí</t>
        </is>
      </c>
      <c r="AJ852" s="156" t="inlineStr">
        <is>
          <t>STETSON AMERICAS (-1)</t>
        </is>
      </c>
      <c r="AK852" s="155" t="inlineStr">
        <is>
          <t>Criterios: I [Q] | Shopify Stetson: producto 15056329769323 / variante 53357914390891</t>
        </is>
      </c>
      <c r="AL852" s="58" t="n">
        <v>1338.75</v>
      </c>
      <c r="AM852" s="58" t="n">
        <v>3275.862069</v>
      </c>
      <c r="AN852" s="155" t="inlineStr">
        <is>
          <t>Shopify Stetson México</t>
        </is>
      </c>
      <c r="AO852" s="59" t="n">
        <v>1</v>
      </c>
      <c r="AP852" s="59" t="n"/>
      <c r="AQ852" s="59" t="n"/>
      <c r="AR852" s="155" t="inlineStr">
        <is>
          <t>Shopify Stetson México › Stetson México: 1</t>
        </is>
      </c>
    </row>
    <row r="853">
      <c r="A853" s="50" t="inlineStr">
        <is>
          <t>195556122587</t>
        </is>
      </c>
      <c r="B853" s="51" t="inlineStr">
        <is>
          <t>110484</t>
        </is>
      </c>
      <c r="C853" s="156" t="inlineStr">
        <is>
          <t>Multimarca</t>
        </is>
      </c>
      <c r="D853" s="156" t="inlineStr">
        <is>
          <t>XWESWD-974074</t>
        </is>
      </c>
      <c r="E853" s="156" t="inlineStr">
        <is>
          <t>XWESWD-974074XL</t>
        </is>
      </c>
      <c r="F853" s="156" t="inlineStr">
        <is>
          <t>XL</t>
        </is>
      </c>
      <c r="G853" s="156" t="inlineStr">
        <is>
          <t>XL</t>
        </is>
      </c>
      <c r="H853" s="156" t="inlineStr">
        <is>
          <t>Stetson</t>
        </is>
      </c>
      <c r="I853" s="156" t="inlineStr">
        <is>
          <t>Texana Stetson Eastwood Hueso</t>
        </is>
      </c>
      <c r="J853" s="156" t="inlineStr">
        <is>
          <t>Accesorios</t>
        </is>
      </c>
      <c r="K853" s="156" t="inlineStr">
        <is>
          <t>Sombreros</t>
        </is>
      </c>
      <c r="L853" s="156" t="inlineStr">
        <is>
          <t>Unisex</t>
        </is>
      </c>
      <c r="M853" s="156" t="inlineStr">
        <is>
          <t>Stetson</t>
        </is>
      </c>
      <c r="N853" s="156" t="inlineStr">
        <is>
          <t>SS26</t>
        </is>
      </c>
      <c r="O853" s="156" t="inlineStr">
        <is>
          <t>Seasonal</t>
        </is>
      </c>
      <c r="P853" s="156" t="inlineStr">
        <is>
          <t>Beige</t>
        </is>
      </c>
      <c r="Q853" s="156" t="n"/>
      <c r="R853" s="156" t="n"/>
      <c r="S853" s="156" t="inlineStr">
        <is>
          <t>100% Fieltro de lana</t>
        </is>
      </c>
      <c r="T853" s="156" t="inlineStr">
        <is>
          <t>Texana Stetson Eastwood Hueso.
 Composición: 100% Fieltro de lana.
 Color: Hueso.</t>
        </is>
      </c>
      <c r="U853" s="156" t="n"/>
      <c r="V853" s="156" t="inlineStr">
        <is>
          <t>PZS</t>
        </is>
      </c>
      <c r="W853" s="51" t="inlineStr">
        <is>
          <t>53102503</t>
        </is>
      </c>
      <c r="X853" s="156" t="n"/>
      <c r="Y853" s="54" t="n">
        <v>1338.75</v>
      </c>
      <c r="Z853" s="54" t="n">
        <v>3275.862069</v>
      </c>
      <c r="AA853" s="55">
        <f>IF(AND(A853="", B853="", E853=""), "", IF(AB853="", "Válido", IF((LEN(AB853)-LEN(SUBSTITUTE(AB853,"; ","")))/2+1&gt;(LEN(AB853)-LEN(SUBSTITUTE(AB853,"[Aviso]","")))/7, "Con Incidencias", "Válido")))</f>
        <v/>
      </c>
      <c r="AB853" s="56">
        <f>IF(AND(A853="", B853="", E853=""), "", TEXTJOIN("; ", TRUE, IF(OR(TRIM(A853&amp;"")="", ISNUMBER(SEARCH("FALTA", A853))), "UPC faltante/inválido", ""), IF(AND(A853&lt;&gt;"", IFERROR(_xlfn.XMATCH(A853,$A$2:$A$2509,0,1)&lt;&gt;_xlfn.XMATCH(A853,$A$2:$A$2509,0,-1),FALSE)), "Código de barras duplicado", ""), IF(AND(E853&lt;&gt;"", COUNTIF($E$2:$E$2509, E853)&gt;1), "SKU duplicado", ""), IF(OR(J853="", J853=""), "[Aviso] División no capturada ()", IF(ISNA(MATCH(J853, Criterios!$A$123:$A$126, 0)), "División no válida", "")), IF(OR(K853="", K853=""), "[Aviso] Categoría no capturada ()", IF(ISNA(MATCH(K853, Criterios!$A$81:$A$120, 0)), "Categoría no válida", IF(AND(J853&lt;&gt;"", J853&lt;&gt;"", J853&lt;&gt;VLOOKUP(K853, Criterios!$A$81:$B$120, 2, FALSE)), "División no coincide con Categoría", ""))), IF(OR(L853="", L853=""), "[Aviso] Género no capturado ()", IF(ISNA(MATCH(L853, Criterios!$B$123:$B$127, 0)), "Género no válido", "")), IF(OR(N853="", N853=""), "[Aviso] Temporada no capturada ()", IF(ISNA(MATCH(N853, Criterios!$C$123:$C$128, 0)), "Temporada no válida", "")), IF(OR(O853="", O853=""), "[Aviso] Ciclo de vida no capturado ()", IF(ISNA(MATCH(O853, Criterios!$D$123:$D$124, 0)), "Ciclo de vida no válido", ""))))</f>
        <v/>
      </c>
      <c r="AC853" s="56" t="n"/>
      <c r="AD853" s="51" t="n">
        <v>1</v>
      </c>
      <c r="AE853" s="156" t="inlineStr">
        <is>
          <t>B25 STETSON.MX (1)</t>
        </is>
      </c>
      <c r="AF853" s="51" t="n">
        <v>1</v>
      </c>
      <c r="AG853" s="156" t="inlineStr">
        <is>
          <t>Catálogo existente</t>
        </is>
      </c>
      <c r="AH853" s="156" t="inlineStr">
        <is>
          <t>Revisión 29/09/2026: Talla fuente XL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53" s="156" t="inlineStr">
        <is>
          <t>No</t>
        </is>
      </c>
      <c r="AJ853" s="156" t="n"/>
      <c r="AK853" s="155" t="inlineStr">
        <is>
          <t>Criterios: I [Q] | Shopify Stetson: producto 15056329802091 / variante 53357914521963 | Odoo: producto 19393 / plantilla 23880</t>
        </is>
      </c>
      <c r="AL853" s="58" t="n">
        <v>1338.75</v>
      </c>
      <c r="AM853" s="58" t="n">
        <v>3275.862069</v>
      </c>
      <c r="AN853" s="155" t="inlineStr">
        <is>
          <t>Shopify Stetson México | Odoo Universal Unique Brands</t>
        </is>
      </c>
      <c r="AO853" s="59" t="n">
        <v>2</v>
      </c>
      <c r="AP853" s="59" t="n"/>
      <c r="AQ853" s="59" t="n">
        <v>2</v>
      </c>
      <c r="AR853" s="155" t="inlineStr">
        <is>
          <t>Shopify Stetson México › Stetson México: 1 | Shopify Stetson México › Stetson Americas: 1 | Odoo Universal Unique Brands › Bodega 25 › Bodega 25/General: 1 | Odoo Universal Unique Brands › Stetson Americas › Stetson Americas/Stock: 1</t>
        </is>
      </c>
    </row>
    <row r="854">
      <c r="A854" s="50" t="inlineStr">
        <is>
          <t>195556124963</t>
        </is>
      </c>
      <c r="B854" s="51" t="inlineStr">
        <is>
          <t>109999</t>
        </is>
      </c>
      <c r="C854" s="156" t="inlineStr">
        <is>
          <t>Multimarca</t>
        </is>
      </c>
      <c r="D854" s="156" t="inlineStr">
        <is>
          <t>SFR160-014007</t>
        </is>
      </c>
      <c r="E854" s="156" t="inlineStr">
        <is>
          <t>SFR160-01400770</t>
        </is>
      </c>
      <c r="F854" s="156" t="inlineStr">
        <is>
          <t>7</t>
        </is>
      </c>
      <c r="G854" s="156" t="inlineStr">
        <is>
          <t>7</t>
        </is>
      </c>
      <c r="H854" s="156" t="inlineStr">
        <is>
          <t>Stetson</t>
        </is>
      </c>
      <c r="I854" s="156" t="inlineStr">
        <is>
          <t>Texana Stetson Rancher 160th Edition Negro</t>
        </is>
      </c>
      <c r="J854" s="156" t="inlineStr">
        <is>
          <t>Accesorios</t>
        </is>
      </c>
      <c r="K854" s="156" t="inlineStr">
        <is>
          <t>Sombreros</t>
        </is>
      </c>
      <c r="L854" s="156" t="inlineStr">
        <is>
          <t>Unisex</t>
        </is>
      </c>
      <c r="M854" s="156" t="inlineStr">
        <is>
          <t>Stetson</t>
        </is>
      </c>
      <c r="N854" s="156" t="inlineStr">
        <is>
          <t>SS26</t>
        </is>
      </c>
      <c r="O854" s="156" t="inlineStr">
        <is>
          <t>Seasonal</t>
        </is>
      </c>
      <c r="P854" s="156" t="inlineStr">
        <is>
          <t>Negro</t>
        </is>
      </c>
      <c r="Q854" s="156" t="n"/>
      <c r="R854" s="156" t="inlineStr">
        <is>
          <t>Copa Rancher</t>
        </is>
      </c>
      <c r="S854" s="156" t="inlineStr">
        <is>
          <t>100% Fieltro de lana</t>
        </is>
      </c>
      <c r="T854"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4" s="156" t="n"/>
      <c r="V854" s="156" t="inlineStr">
        <is>
          <t>PZS</t>
        </is>
      </c>
      <c r="W854" s="51" t="inlineStr">
        <is>
          <t>53102503</t>
        </is>
      </c>
      <c r="X854" s="156" t="inlineStr">
        <is>
          <t>https://cdn.shopify.com/s/files/1/0888/3250/8267/files/SFR160-014007-01.jpg?v=1759786729</t>
        </is>
      </c>
      <c r="Y854" s="54" t="n">
        <v>2835</v>
      </c>
      <c r="Z854" s="54" t="n">
        <v>6810.344828</v>
      </c>
      <c r="AA854" s="55">
        <f>IF(AND(A854="", B854="", E854=""), "", IF(AB854="", "Válido", IF((LEN(AB854)-LEN(SUBSTITUTE(AB854,"; ","")))/2+1&gt;(LEN(AB854)-LEN(SUBSTITUTE(AB854,"[Aviso]","")))/7, "Con Incidencias", "Válido")))</f>
        <v/>
      </c>
      <c r="AB854" s="56">
        <f>IF(AND(A854="", B854="", E854=""), "", TEXTJOIN("; ", TRUE, IF(OR(TRIM(A854&amp;"")="", ISNUMBER(SEARCH("FALTA", A854))), "UPC faltante/inválido", ""), IF(AND(A854&lt;&gt;"", IFERROR(_xlfn.XMATCH(A854,$A$2:$A$2509,0,1)&lt;&gt;_xlfn.XMATCH(A854,$A$2:$A$2509,0,-1),FALSE)), "Código de barras duplicado", ""), IF(AND(E854&lt;&gt;"", COUNTIF($E$2:$E$2509, E854)&gt;1), "SKU duplicado", ""), IF(OR(J854="", J854=""), "[Aviso] División no capturada ()", IF(ISNA(MATCH(J854, Criterios!$A$123:$A$126, 0)), "División no válida", "")), IF(OR(K854="", K854=""), "[Aviso] Categoría no capturada ()", IF(ISNA(MATCH(K854, Criterios!$A$81:$A$120, 0)), "Categoría no válida", IF(AND(J854&lt;&gt;"", J854&lt;&gt;"", J854&lt;&gt;VLOOKUP(K854, Criterios!$A$81:$B$120, 2, FALSE)), "División no coincide con Categoría", ""))), IF(OR(L854="", L854=""), "[Aviso] Género no capturado ()", IF(ISNA(MATCH(L854, Criterios!$B$123:$B$127, 0)), "Género no válido", "")), IF(OR(N854="", N854=""), "[Aviso] Temporada no capturada ()", IF(ISNA(MATCH(N854, Criterios!$C$123:$C$128, 0)), "Temporada no válida", "")), IF(OR(O854="", O854=""), "[Aviso] Ciclo de vida no capturado ()", IF(ISNA(MATCH(O854, Criterios!$D$123:$D$124, 0)), "Ciclo de vida no válido", ""))))</f>
        <v/>
      </c>
      <c r="AC854" s="56" t="n"/>
      <c r="AD854" s="51" t="n">
        <v>1</v>
      </c>
      <c r="AE854" s="156" t="inlineStr">
        <is>
          <t>STETSON AMERICAS (1); B25 STETSON.MX (1)</t>
        </is>
      </c>
      <c r="AF854" s="51" t="n">
        <v>2</v>
      </c>
      <c r="AG854" s="156" t="inlineStr">
        <is>
          <t>Catálogo existente</t>
        </is>
      </c>
      <c r="AH854" s="156" t="inlineStr">
        <is>
          <t>Revisión 29/09/2026: Campos sin respaldo: U | 01/10/2026: complementado desde Shopify Stetson México (match por código de barras): WB Fit, WB Silueta</t>
        </is>
      </c>
      <c r="AI854" s="156" t="inlineStr">
        <is>
          <t>Sí</t>
        </is>
      </c>
      <c r="AJ854" s="156" t="inlineStr">
        <is>
          <t>PUNTO DE VENTA (-1)</t>
        </is>
      </c>
      <c r="AK854" s="155" t="inlineStr">
        <is>
          <t>Criterios: I [Q] | Shopify Stetson: producto 14788288512363 / variante 53350609125739</t>
        </is>
      </c>
      <c r="AL854" s="58" t="n">
        <v>2835</v>
      </c>
      <c r="AM854" s="58" t="n">
        <v>6810.344828</v>
      </c>
      <c r="AN854" s="155" t="inlineStr">
        <is>
          <t>Shopify Stetson México</t>
        </is>
      </c>
      <c r="AO854" s="59" t="n">
        <v>2</v>
      </c>
      <c r="AP854" s="59" t="n"/>
      <c r="AQ854" s="59" t="n"/>
      <c r="AR854" s="155" t="inlineStr">
        <is>
          <t>Shopify Stetson México › Stetson México: 1 | Shopify Stetson México › Stetson Americas: 1</t>
        </is>
      </c>
    </row>
    <row r="855">
      <c r="A855" s="50" t="inlineStr">
        <is>
          <t>195556124970</t>
        </is>
      </c>
      <c r="B855" s="51" t="inlineStr">
        <is>
          <t>110004</t>
        </is>
      </c>
      <c r="C855" s="156" t="inlineStr">
        <is>
          <t>Multimarca</t>
        </is>
      </c>
      <c r="D855" s="156" t="inlineStr">
        <is>
          <t>SFR160-014022</t>
        </is>
      </c>
      <c r="E855" s="156" t="inlineStr">
        <is>
          <t>SFR160-01402270</t>
        </is>
      </c>
      <c r="F855" s="156" t="inlineStr">
        <is>
          <t>7</t>
        </is>
      </c>
      <c r="G855" s="156" t="inlineStr">
        <is>
          <t>7</t>
        </is>
      </c>
      <c r="H855" s="156" t="inlineStr">
        <is>
          <t>Stetson</t>
        </is>
      </c>
      <c r="I855" s="156" t="inlineStr">
        <is>
          <t>Texana Stetson Rancher 160th Edition Chocolate</t>
        </is>
      </c>
      <c r="J855" s="156" t="inlineStr">
        <is>
          <t>Accesorios</t>
        </is>
      </c>
      <c r="K855" s="156" t="inlineStr">
        <is>
          <t>Sombreros</t>
        </is>
      </c>
      <c r="L855" s="156" t="inlineStr">
        <is>
          <t>Unisex</t>
        </is>
      </c>
      <c r="M855" s="156" t="inlineStr">
        <is>
          <t>Stetson</t>
        </is>
      </c>
      <c r="N855" s="156" t="inlineStr">
        <is>
          <t>SS26</t>
        </is>
      </c>
      <c r="O855" s="156" t="inlineStr">
        <is>
          <t>Seasonal</t>
        </is>
      </c>
      <c r="P855" s="156" t="inlineStr">
        <is>
          <t>Cafe</t>
        </is>
      </c>
      <c r="Q855" s="156" t="n"/>
      <c r="R855" s="156" t="inlineStr">
        <is>
          <t>Copa Rancher</t>
        </is>
      </c>
      <c r="S855" s="156" t="inlineStr">
        <is>
          <t>100% Fieltro de lana</t>
        </is>
      </c>
      <c r="T855"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5" s="156" t="n"/>
      <c r="V855" s="156" t="inlineStr">
        <is>
          <t>PZS</t>
        </is>
      </c>
      <c r="W855" s="51" t="inlineStr">
        <is>
          <t>53102503</t>
        </is>
      </c>
      <c r="X855" s="156" t="inlineStr">
        <is>
          <t>https://cdn.shopify.com/s/files/1/0888/3250/8267/files/SFR160-014007-06.jpg?v=1759786729</t>
        </is>
      </c>
      <c r="Y855" s="54" t="n">
        <v>2835</v>
      </c>
      <c r="Z855" s="54" t="n">
        <v>6810.344828</v>
      </c>
      <c r="AA855" s="55">
        <f>IF(AND(A855="", B855="", E855=""), "", IF(AB855="", "Válido", IF((LEN(AB855)-LEN(SUBSTITUTE(AB855,"; ","")))/2+1&gt;(LEN(AB855)-LEN(SUBSTITUTE(AB855,"[Aviso]","")))/7, "Con Incidencias", "Válido")))</f>
        <v/>
      </c>
      <c r="AB855" s="56">
        <f>IF(AND(A855="", B855="", E855=""), "", TEXTJOIN("; ", TRUE, IF(OR(TRIM(A855&amp;"")="", ISNUMBER(SEARCH("FALTA", A855))), "UPC faltante/inválido", ""), IF(AND(A855&lt;&gt;"", IFERROR(_xlfn.XMATCH(A855,$A$2:$A$2509,0,1)&lt;&gt;_xlfn.XMATCH(A855,$A$2:$A$2509,0,-1),FALSE)), "Código de barras duplicado", ""), IF(AND(E855&lt;&gt;"", COUNTIF($E$2:$E$2509, E855)&gt;1), "SKU duplicado", ""), IF(OR(J855="", J855=""), "[Aviso] División no capturada ()", IF(ISNA(MATCH(J855, Criterios!$A$123:$A$126, 0)), "División no válida", "")), IF(OR(K855="", K855=""), "[Aviso] Categoría no capturada ()", IF(ISNA(MATCH(K855, Criterios!$A$81:$A$120, 0)), "Categoría no válida", IF(AND(J855&lt;&gt;"", J855&lt;&gt;"", J855&lt;&gt;VLOOKUP(K855, Criterios!$A$81:$B$120, 2, FALSE)), "División no coincide con Categoría", ""))), IF(OR(L855="", L855=""), "[Aviso] Género no capturado ()", IF(ISNA(MATCH(L855, Criterios!$B$123:$B$127, 0)), "Género no válido", "")), IF(OR(N855="", N855=""), "[Aviso] Temporada no capturada ()", IF(ISNA(MATCH(N855, Criterios!$C$123:$C$128, 0)), "Temporada no válida", "")), IF(OR(O855="", O855=""), "[Aviso] Ciclo de vida no capturado ()", IF(ISNA(MATCH(O855, Criterios!$D$123:$D$124, 0)), "Ciclo de vida no válido", ""))))</f>
        <v/>
      </c>
      <c r="AC855" s="56" t="n"/>
      <c r="AD855" s="51" t="n">
        <v>-2</v>
      </c>
      <c r="AE855" s="156" t="n"/>
      <c r="AF855" s="51" t="n">
        <v>0</v>
      </c>
      <c r="AG855" s="156" t="inlineStr">
        <is>
          <t>Catálogo existente</t>
        </is>
      </c>
      <c r="AH855" s="156" t="inlineStr">
        <is>
          <t>Stock negativo en sistema: revisar en conteo | Revisión 29/09/2026: Campos sin respaldo: U | 01/10/2026: complementado desde Shopify Stetson México (match por código de barras): WB Fit, WB Silueta</t>
        </is>
      </c>
      <c r="AI855" s="156" t="inlineStr">
        <is>
          <t>Sí</t>
        </is>
      </c>
      <c r="AJ855" s="156" t="inlineStr">
        <is>
          <t>PUNTO DE VENTA (-1); STETSON AMERICAS (-1)</t>
        </is>
      </c>
      <c r="AK855" s="155" t="inlineStr">
        <is>
          <t>Criterios: I [Q] | Shopify Stetson: producto 14788288512363 / variante 53350609289579</t>
        </is>
      </c>
      <c r="AL855" s="58" t="n">
        <v>2835</v>
      </c>
      <c r="AM855" s="58" t="n">
        <v>6810.344828</v>
      </c>
      <c r="AN855" s="155" t="inlineStr">
        <is>
          <t>Shopify Stetson México</t>
        </is>
      </c>
      <c r="AO855" s="59" t="n">
        <v>0</v>
      </c>
      <c r="AP855" s="59" t="n"/>
      <c r="AQ855" s="59" t="n"/>
      <c r="AR855" s="155" t="n"/>
    </row>
    <row r="856">
      <c r="A856" s="50" t="inlineStr">
        <is>
          <t>195556124987</t>
        </is>
      </c>
      <c r="B856" s="51" t="inlineStr">
        <is>
          <t>110009</t>
        </is>
      </c>
      <c r="C856" s="156" t="inlineStr">
        <is>
          <t>Multimarca</t>
        </is>
      </c>
      <c r="D856" s="156" t="inlineStr">
        <is>
          <t>SFR160-014035</t>
        </is>
      </c>
      <c r="E856" s="156" t="inlineStr">
        <is>
          <t>SFR160-01403570</t>
        </is>
      </c>
      <c r="F856" s="156" t="inlineStr">
        <is>
          <t>7</t>
        </is>
      </c>
      <c r="G856" s="156" t="inlineStr">
        <is>
          <t>7</t>
        </is>
      </c>
      <c r="H856" s="156" t="inlineStr">
        <is>
          <t>Stetson</t>
        </is>
      </c>
      <c r="I856" s="156" t="inlineStr">
        <is>
          <t>Texana Stetson Rancher 160th Edition Plomo</t>
        </is>
      </c>
      <c r="J856" s="156" t="inlineStr">
        <is>
          <t>Accesorios</t>
        </is>
      </c>
      <c r="K856" s="156" t="inlineStr">
        <is>
          <t>Sombreros</t>
        </is>
      </c>
      <c r="L856" s="156" t="inlineStr">
        <is>
          <t>Unisex</t>
        </is>
      </c>
      <c r="M856" s="156" t="inlineStr">
        <is>
          <t>Stetson</t>
        </is>
      </c>
      <c r="N856" s="156" t="inlineStr">
        <is>
          <t>SS26</t>
        </is>
      </c>
      <c r="O856" s="156" t="inlineStr">
        <is>
          <t>Seasonal</t>
        </is>
      </c>
      <c r="P856" s="156" t="inlineStr">
        <is>
          <t>Gris</t>
        </is>
      </c>
      <c r="Q856" s="156" t="n"/>
      <c r="R856" s="156" t="inlineStr">
        <is>
          <t>Copa Rancher</t>
        </is>
      </c>
      <c r="S856" s="156" t="inlineStr">
        <is>
          <t>100% Fieltro de lana</t>
        </is>
      </c>
      <c r="T856"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6" s="156" t="n"/>
      <c r="V856" s="156" t="inlineStr">
        <is>
          <t>PZS</t>
        </is>
      </c>
      <c r="W856" s="51" t="inlineStr">
        <is>
          <t>53102503</t>
        </is>
      </c>
      <c r="X856" s="156" t="inlineStr">
        <is>
          <t>https://cdn.shopify.com/s/files/1/0888/3250/8267/files/SFR160-014022-02.jpg?v=1759786757</t>
        </is>
      </c>
      <c r="Y856" s="54" t="n">
        <v>2835</v>
      </c>
      <c r="Z856" s="54" t="n">
        <v>6810.344828</v>
      </c>
      <c r="AA856" s="55">
        <f>IF(AND(A856="", B856="", E856=""), "", IF(AB856="", "Válido", IF((LEN(AB856)-LEN(SUBSTITUTE(AB856,"; ","")))/2+1&gt;(LEN(AB856)-LEN(SUBSTITUTE(AB856,"[Aviso]","")))/7, "Con Incidencias", "Válido")))</f>
        <v/>
      </c>
      <c r="AB856" s="56">
        <f>IF(AND(A856="", B856="", E856=""), "", TEXTJOIN("; ", TRUE, IF(OR(TRIM(A856&amp;"")="", ISNUMBER(SEARCH("FALTA", A856))), "UPC faltante/inválido", ""), IF(AND(A856&lt;&gt;"", IFERROR(_xlfn.XMATCH(A856,$A$2:$A$2509,0,1)&lt;&gt;_xlfn.XMATCH(A856,$A$2:$A$2509,0,-1),FALSE)), "Código de barras duplicado", ""), IF(AND(E856&lt;&gt;"", COUNTIF($E$2:$E$2509, E856)&gt;1), "SKU duplicado", ""), IF(OR(J856="", J856=""), "[Aviso] División no capturada ()", IF(ISNA(MATCH(J856, Criterios!$A$123:$A$126, 0)), "División no válida", "")), IF(OR(K856="", K856=""), "[Aviso] Categoría no capturada ()", IF(ISNA(MATCH(K856, Criterios!$A$81:$A$120, 0)), "Categoría no válida", IF(AND(J856&lt;&gt;"", J856&lt;&gt;"", J856&lt;&gt;VLOOKUP(K856, Criterios!$A$81:$B$120, 2, FALSE)), "División no coincide con Categoría", ""))), IF(OR(L856="", L856=""), "[Aviso] Género no capturado ()", IF(ISNA(MATCH(L856, Criterios!$B$123:$B$127, 0)), "Género no válido", "")), IF(OR(N856="", N856=""), "[Aviso] Temporada no capturada ()", IF(ISNA(MATCH(N856, Criterios!$C$123:$C$128, 0)), "Temporada no válida", "")), IF(OR(O856="", O856=""), "[Aviso] Ciclo de vida no capturado ()", IF(ISNA(MATCH(O856, Criterios!$D$123:$D$124, 0)), "Ciclo de vida no válido", ""))))</f>
        <v/>
      </c>
      <c r="AC856" s="56" t="n"/>
      <c r="AD856" s="51" t="n">
        <v>-1</v>
      </c>
      <c r="AE856" s="156" t="n"/>
      <c r="AF856" s="51" t="n">
        <v>0</v>
      </c>
      <c r="AG856" s="156" t="inlineStr">
        <is>
          <t>Catálogo existente</t>
        </is>
      </c>
      <c r="AH85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56" s="156" t="inlineStr">
        <is>
          <t>Sí</t>
        </is>
      </c>
      <c r="AJ856" s="156" t="inlineStr">
        <is>
          <t>STETSON AMERICAS (-1)</t>
        </is>
      </c>
      <c r="AK856" s="155" t="inlineStr">
        <is>
          <t>Criterios: I [Q] | Shopify Stetson: producto 14788288512363 / variante 53350609453419</t>
        </is>
      </c>
      <c r="AL856" s="58" t="n">
        <v>2835</v>
      </c>
      <c r="AM856" s="58" t="n">
        <v>6810.344828</v>
      </c>
      <c r="AN856" s="155" t="inlineStr">
        <is>
          <t>Shopify Stetson México</t>
        </is>
      </c>
      <c r="AO856" s="59" t="n">
        <v>0</v>
      </c>
      <c r="AP856" s="59" t="n"/>
      <c r="AQ856" s="59" t="n"/>
      <c r="AR856" s="155" t="n"/>
    </row>
    <row r="857">
      <c r="A857" s="50" t="inlineStr">
        <is>
          <t>195556124994</t>
        </is>
      </c>
      <c r="B857" s="51" t="inlineStr">
        <is>
          <t>110014</t>
        </is>
      </c>
      <c r="C857" s="156" t="inlineStr">
        <is>
          <t>Multimarca</t>
        </is>
      </c>
      <c r="D857" s="156" t="inlineStr">
        <is>
          <t>SFR160-014061</t>
        </is>
      </c>
      <c r="E857" s="156" t="inlineStr">
        <is>
          <t>SFR160-01406170</t>
        </is>
      </c>
      <c r="F857" s="156" t="inlineStr">
        <is>
          <t>7</t>
        </is>
      </c>
      <c r="G857" s="156" t="inlineStr">
        <is>
          <t>7</t>
        </is>
      </c>
      <c r="H857" s="156" t="inlineStr">
        <is>
          <t>Stetson</t>
        </is>
      </c>
      <c r="I857" s="156" t="inlineStr">
        <is>
          <t>Texana Stetson Rancher 160th Edition Plata</t>
        </is>
      </c>
      <c r="J857" s="156" t="inlineStr">
        <is>
          <t>Accesorios</t>
        </is>
      </c>
      <c r="K857" s="156" t="inlineStr">
        <is>
          <t>Sombreros</t>
        </is>
      </c>
      <c r="L857" s="156" t="inlineStr">
        <is>
          <t>Unisex</t>
        </is>
      </c>
      <c r="M857" s="156" t="inlineStr">
        <is>
          <t>Stetson</t>
        </is>
      </c>
      <c r="N857" s="156" t="inlineStr">
        <is>
          <t>SS26</t>
        </is>
      </c>
      <c r="O857" s="156" t="inlineStr">
        <is>
          <t>Seasonal</t>
        </is>
      </c>
      <c r="P857" s="156" t="inlineStr">
        <is>
          <t>Gris</t>
        </is>
      </c>
      <c r="Q857" s="156" t="n"/>
      <c r="R857" s="156" t="inlineStr">
        <is>
          <t>Copa Rancher</t>
        </is>
      </c>
      <c r="S857" s="156" t="inlineStr">
        <is>
          <t>100% Fieltro de lana</t>
        </is>
      </c>
      <c r="T857"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7" s="156" t="n"/>
      <c r="V857" s="156" t="inlineStr">
        <is>
          <t>PZS</t>
        </is>
      </c>
      <c r="W857" s="51" t="inlineStr">
        <is>
          <t>53102503</t>
        </is>
      </c>
      <c r="X857" s="156" t="inlineStr">
        <is>
          <t>https://cdn.shopify.com/s/files/1/0888/3250/8267/files/SFR160-014022-07.jpg?v=1759786757</t>
        </is>
      </c>
      <c r="Y857" s="54" t="n">
        <v>2835</v>
      </c>
      <c r="Z857" s="54" t="n">
        <v>6810.344828</v>
      </c>
      <c r="AA857" s="55">
        <f>IF(AND(A857="", B857="", E857=""), "", IF(AB857="", "Válido", IF((LEN(AB857)-LEN(SUBSTITUTE(AB857,"; ","")))/2+1&gt;(LEN(AB857)-LEN(SUBSTITUTE(AB857,"[Aviso]","")))/7, "Con Incidencias", "Válido")))</f>
        <v/>
      </c>
      <c r="AB857" s="56">
        <f>IF(AND(A857="", B857="", E857=""), "", TEXTJOIN("; ", TRUE, IF(OR(TRIM(A857&amp;"")="", ISNUMBER(SEARCH("FALTA", A857))), "UPC faltante/inválido", ""), IF(AND(A857&lt;&gt;"", IFERROR(_xlfn.XMATCH(A857,$A$2:$A$2509,0,1)&lt;&gt;_xlfn.XMATCH(A857,$A$2:$A$2509,0,-1),FALSE)), "Código de barras duplicado", ""), IF(AND(E857&lt;&gt;"", COUNTIF($E$2:$E$2509, E857)&gt;1), "SKU duplicado", ""), IF(OR(J857="", J857=""), "[Aviso] División no capturada ()", IF(ISNA(MATCH(J857, Criterios!$A$123:$A$126, 0)), "División no válida", "")), IF(OR(K857="", K857=""), "[Aviso] Categoría no capturada ()", IF(ISNA(MATCH(K857, Criterios!$A$81:$A$120, 0)), "Categoría no válida", IF(AND(J857&lt;&gt;"", J857&lt;&gt;"", J857&lt;&gt;VLOOKUP(K857, Criterios!$A$81:$B$120, 2, FALSE)), "División no coincide con Categoría", ""))), IF(OR(L857="", L857=""), "[Aviso] Género no capturado ()", IF(ISNA(MATCH(L857, Criterios!$B$123:$B$127, 0)), "Género no válido", "")), IF(OR(N857="", N857=""), "[Aviso] Temporada no capturada ()", IF(ISNA(MATCH(N857, Criterios!$C$123:$C$128, 0)), "Temporada no válida", "")), IF(OR(O857="", O857=""), "[Aviso] Ciclo de vida no capturado ()", IF(ISNA(MATCH(O857, Criterios!$D$123:$D$124, 0)), "Ciclo de vida no válido", ""))))</f>
        <v/>
      </c>
      <c r="AC857" s="56" t="n"/>
      <c r="AD857" s="51" t="n">
        <v>0</v>
      </c>
      <c r="AE857" s="156" t="n"/>
      <c r="AF857" s="51" t="n">
        <v>0</v>
      </c>
      <c r="AG857" s="156" t="inlineStr">
        <is>
          <t>Catálogo existente</t>
        </is>
      </c>
      <c r="AH857" s="156" t="inlineStr">
        <is>
          <t>Revisión 29/09/2026: Campos sin respaldo: U | 01/10/2026: complementado desde Shopify Stetson México (match por código de barras): WB Fit, WB Silueta | 01/10/2026: Shopify Stetson México trae Color «Varios» — se conservó el valor de Productos</t>
        </is>
      </c>
      <c r="AI857" s="156" t="inlineStr">
        <is>
          <t>No</t>
        </is>
      </c>
      <c r="AJ857" s="156" t="n"/>
      <c r="AK857" s="155" t="inlineStr">
        <is>
          <t>Criterios: I [Q] | Shopify Stetson: producto 14788288512363 / variante 53350609617259</t>
        </is>
      </c>
      <c r="AL857" s="58" t="n">
        <v>2835</v>
      </c>
      <c r="AM857" s="58" t="n">
        <v>6810.344828</v>
      </c>
      <c r="AN857" s="155" t="inlineStr">
        <is>
          <t>Shopify Stetson México</t>
        </is>
      </c>
      <c r="AO857" s="59" t="n">
        <v>2</v>
      </c>
      <c r="AP857" s="59" t="n"/>
      <c r="AQ857" s="59" t="n"/>
      <c r="AR857" s="155" t="inlineStr">
        <is>
          <t>Shopify Stetson México › Stetson Americas: 1 | Shopify Stetson México › Eventos: 1</t>
        </is>
      </c>
    </row>
    <row r="858">
      <c r="A858" s="50" t="inlineStr">
        <is>
          <t>195556125007</t>
        </is>
      </c>
      <c r="B858" s="51" t="inlineStr">
        <is>
          <t>110000</t>
        </is>
      </c>
      <c r="C858" s="156" t="inlineStr">
        <is>
          <t>Multimarca</t>
        </is>
      </c>
      <c r="D858" s="156" t="inlineStr">
        <is>
          <t>SFR160-014007</t>
        </is>
      </c>
      <c r="E858" s="156" t="inlineStr">
        <is>
          <t>SFR160-01400771</t>
        </is>
      </c>
      <c r="F858" s="156" t="inlineStr">
        <is>
          <t>7 1/8</t>
        </is>
      </c>
      <c r="G858" s="156" t="inlineStr">
        <is>
          <t>7 1/8</t>
        </is>
      </c>
      <c r="H858" s="156" t="inlineStr">
        <is>
          <t>Stetson</t>
        </is>
      </c>
      <c r="I858" s="156" t="inlineStr">
        <is>
          <t>Texana Stetson Rancher 160th Edition Negro</t>
        </is>
      </c>
      <c r="J858" s="156" t="inlineStr">
        <is>
          <t>Accesorios</t>
        </is>
      </c>
      <c r="K858" s="156" t="inlineStr">
        <is>
          <t>Sombreros</t>
        </is>
      </c>
      <c r="L858" s="156" t="inlineStr">
        <is>
          <t>Unisex</t>
        </is>
      </c>
      <c r="M858" s="156" t="inlineStr">
        <is>
          <t>Stetson</t>
        </is>
      </c>
      <c r="N858" s="156" t="inlineStr">
        <is>
          <t>SS26</t>
        </is>
      </c>
      <c r="O858" s="156" t="inlineStr">
        <is>
          <t>Seasonal</t>
        </is>
      </c>
      <c r="P858" s="156" t="inlineStr">
        <is>
          <t>Negro</t>
        </is>
      </c>
      <c r="Q858" s="156" t="n"/>
      <c r="R858" s="156" t="inlineStr">
        <is>
          <t>Copa Rancher</t>
        </is>
      </c>
      <c r="S858" s="156" t="inlineStr">
        <is>
          <t>100% Fieltro de lana</t>
        </is>
      </c>
      <c r="T858"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8" s="156" t="n"/>
      <c r="V858" s="156" t="inlineStr">
        <is>
          <t>PZS</t>
        </is>
      </c>
      <c r="W858" s="51" t="inlineStr">
        <is>
          <t>53102503</t>
        </is>
      </c>
      <c r="X858" s="156" t="inlineStr">
        <is>
          <t>https://cdn.shopify.com/s/files/1/0888/3250/8267/files/SFR160-014007-02.jpg?v=1759786729</t>
        </is>
      </c>
      <c r="Y858" s="54" t="n">
        <v>2835</v>
      </c>
      <c r="Z858" s="54" t="n">
        <v>6810.344828</v>
      </c>
      <c r="AA858" s="55">
        <f>IF(AND(A858="", B858="", E858=""), "", IF(AB858="", "Válido", IF((LEN(AB858)-LEN(SUBSTITUTE(AB858,"; ","")))/2+1&gt;(LEN(AB858)-LEN(SUBSTITUTE(AB858,"[Aviso]","")))/7, "Con Incidencias", "Válido")))</f>
        <v/>
      </c>
      <c r="AB858" s="56">
        <f>IF(AND(A858="", B858="", E858=""), "", TEXTJOIN("; ", TRUE, IF(OR(TRIM(A858&amp;"")="", ISNUMBER(SEARCH("FALTA", A858))), "UPC faltante/inválido", ""), IF(AND(A858&lt;&gt;"", IFERROR(_xlfn.XMATCH(A858,$A$2:$A$2509,0,1)&lt;&gt;_xlfn.XMATCH(A858,$A$2:$A$2509,0,-1),FALSE)), "Código de barras duplicado", ""), IF(AND(E858&lt;&gt;"", COUNTIF($E$2:$E$2509, E858)&gt;1), "SKU duplicado", ""), IF(OR(J858="", J858=""), "[Aviso] División no capturada ()", IF(ISNA(MATCH(J858, Criterios!$A$123:$A$126, 0)), "División no válida", "")), IF(OR(K858="", K858=""), "[Aviso] Categoría no capturada ()", IF(ISNA(MATCH(K858, Criterios!$A$81:$A$120, 0)), "Categoría no válida", IF(AND(J858&lt;&gt;"", J858&lt;&gt;"", J858&lt;&gt;VLOOKUP(K858, Criterios!$A$81:$B$120, 2, FALSE)), "División no coincide con Categoría", ""))), IF(OR(L858="", L858=""), "[Aviso] Género no capturado ()", IF(ISNA(MATCH(L858, Criterios!$B$123:$B$127, 0)), "Género no válido", "")), IF(OR(N858="", N858=""), "[Aviso] Temporada no capturada ()", IF(ISNA(MATCH(N858, Criterios!$C$123:$C$128, 0)), "Temporada no válida", "")), IF(OR(O858="", O858=""), "[Aviso] Ciclo de vida no capturado ()", IF(ISNA(MATCH(O858, Criterios!$D$123:$D$124, 0)), "Ciclo de vida no válido", ""))))</f>
        <v/>
      </c>
      <c r="AC858" s="56" t="n"/>
      <c r="AD858" s="51" t="n">
        <v>2</v>
      </c>
      <c r="AE858" s="156" t="inlineStr">
        <is>
          <t>B25 STETSON.MX (3)</t>
        </is>
      </c>
      <c r="AF858" s="51" t="n">
        <v>3</v>
      </c>
      <c r="AG858" s="156" t="inlineStr">
        <is>
          <t>Catálogo existente</t>
        </is>
      </c>
      <c r="AH858" s="156" t="inlineStr">
        <is>
          <t>Revisión 29/09/2026: Campos sin respaldo: U | 01/10/2026: complementado desde Shopify Stetson México (match por código de barras): WB Fit, WB Silueta</t>
        </is>
      </c>
      <c r="AI858" s="156" t="inlineStr">
        <is>
          <t>Sí</t>
        </is>
      </c>
      <c r="AJ858" s="156" t="inlineStr">
        <is>
          <t>STETSON AMERICAS (-1)</t>
        </is>
      </c>
      <c r="AK858" s="155" t="inlineStr">
        <is>
          <t>Criterios: I [Q] | Shopify Stetson: producto 14788288512363 / variante 53350609158507</t>
        </is>
      </c>
      <c r="AL858" s="58" t="n">
        <v>2835</v>
      </c>
      <c r="AM858" s="58" t="n">
        <v>6810.344828</v>
      </c>
      <c r="AN858" s="155" t="inlineStr">
        <is>
          <t>Shopify Stetson México</t>
        </is>
      </c>
      <c r="AO858" s="59" t="n">
        <v>6</v>
      </c>
      <c r="AP858" s="59" t="n"/>
      <c r="AQ858" s="59" t="n"/>
      <c r="AR858" s="155" t="inlineStr">
        <is>
          <t>Shopify Stetson México › Stetson México: 4 | Shopify Stetson México › Stetson Americas: 1 | Shopify Stetson México › Eventos: 1</t>
        </is>
      </c>
    </row>
    <row r="859">
      <c r="A859" s="50" t="inlineStr">
        <is>
          <t>195556125014</t>
        </is>
      </c>
      <c r="B859" s="51" t="inlineStr">
        <is>
          <t>110005</t>
        </is>
      </c>
      <c r="C859" s="156" t="inlineStr">
        <is>
          <t>Multimarca</t>
        </is>
      </c>
      <c r="D859" s="156" t="inlineStr">
        <is>
          <t>SFR160-014022</t>
        </is>
      </c>
      <c r="E859" s="156" t="inlineStr">
        <is>
          <t>SFR160-01402271</t>
        </is>
      </c>
      <c r="F859" s="156" t="inlineStr">
        <is>
          <t>7 1/8</t>
        </is>
      </c>
      <c r="G859" s="156" t="inlineStr">
        <is>
          <t>7 1/8</t>
        </is>
      </c>
      <c r="H859" s="156" t="inlineStr">
        <is>
          <t>Stetson</t>
        </is>
      </c>
      <c r="I859" s="156" t="inlineStr">
        <is>
          <t>Texana Stetson Rancher 160th Edition Chocolate</t>
        </is>
      </c>
      <c r="J859" s="156" t="inlineStr">
        <is>
          <t>Accesorios</t>
        </is>
      </c>
      <c r="K859" s="156" t="inlineStr">
        <is>
          <t>Sombreros</t>
        </is>
      </c>
      <c r="L859" s="156" t="inlineStr">
        <is>
          <t>Unisex</t>
        </is>
      </c>
      <c r="M859" s="156" t="inlineStr">
        <is>
          <t>Stetson</t>
        </is>
      </c>
      <c r="N859" s="156" t="inlineStr">
        <is>
          <t>SS26</t>
        </is>
      </c>
      <c r="O859" s="156" t="inlineStr">
        <is>
          <t>Seasonal</t>
        </is>
      </c>
      <c r="P859" s="156" t="inlineStr">
        <is>
          <t>Cafe</t>
        </is>
      </c>
      <c r="Q859" s="156" t="n"/>
      <c r="R859" s="156" t="inlineStr">
        <is>
          <t>Copa Rancher</t>
        </is>
      </c>
      <c r="S859" s="156" t="inlineStr">
        <is>
          <t>100% Fieltro de lana</t>
        </is>
      </c>
      <c r="T859"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9" s="156" t="n"/>
      <c r="V859" s="156" t="inlineStr">
        <is>
          <t>PZS</t>
        </is>
      </c>
      <c r="W859" s="51" t="inlineStr">
        <is>
          <t>53102503</t>
        </is>
      </c>
      <c r="X859" s="156" t="inlineStr">
        <is>
          <t>https://cdn.shopify.com/s/files/1/0888/3250/8267/files/SFR160-014007-07.jpg?v=1759786730</t>
        </is>
      </c>
      <c r="Y859" s="54" t="n">
        <v>2835</v>
      </c>
      <c r="Z859" s="54" t="n">
        <v>6810.344828</v>
      </c>
      <c r="AA859" s="55">
        <f>IF(AND(A859="", B859="", E859=""), "", IF(AB859="", "Válido", IF((LEN(AB859)-LEN(SUBSTITUTE(AB859,"; ","")))/2+1&gt;(LEN(AB859)-LEN(SUBSTITUTE(AB859,"[Aviso]","")))/7, "Con Incidencias", "Válido")))</f>
        <v/>
      </c>
      <c r="AB859" s="56">
        <f>IF(AND(A859="", B859="", E859=""), "", TEXTJOIN("; ", TRUE, IF(OR(TRIM(A859&amp;"")="", ISNUMBER(SEARCH("FALTA", A859))), "UPC faltante/inválido", ""), IF(AND(A859&lt;&gt;"", IFERROR(_xlfn.XMATCH(A859,$A$2:$A$2509,0,1)&lt;&gt;_xlfn.XMATCH(A859,$A$2:$A$2509,0,-1),FALSE)), "Código de barras duplicado", ""), IF(AND(E859&lt;&gt;"", COUNTIF($E$2:$E$2509, E859)&gt;1), "SKU duplicado", ""), IF(OR(J859="", J859=""), "[Aviso] División no capturada ()", IF(ISNA(MATCH(J859, Criterios!$A$123:$A$126, 0)), "División no válida", "")), IF(OR(K859="", K859=""), "[Aviso] Categoría no capturada ()", IF(ISNA(MATCH(K859, Criterios!$A$81:$A$120, 0)), "Categoría no válida", IF(AND(J859&lt;&gt;"", J859&lt;&gt;"", J859&lt;&gt;VLOOKUP(K859, Criterios!$A$81:$B$120, 2, FALSE)), "División no coincide con Categoría", ""))), IF(OR(L859="", L859=""), "[Aviso] Género no capturado ()", IF(ISNA(MATCH(L859, Criterios!$B$123:$B$127, 0)), "Género no válido", "")), IF(OR(N859="", N859=""), "[Aviso] Temporada no capturada ()", IF(ISNA(MATCH(N859, Criterios!$C$123:$C$128, 0)), "Temporada no válida", "")), IF(OR(O859="", O859=""), "[Aviso] Ciclo de vida no capturado ()", IF(ISNA(MATCH(O859, Criterios!$D$123:$D$124, 0)), "Ciclo de vida no válido", ""))))</f>
        <v/>
      </c>
      <c r="AC859" s="56" t="n"/>
      <c r="AD859" s="51" t="n">
        <v>0</v>
      </c>
      <c r="AE859" s="156" t="n"/>
      <c r="AF859" s="51" t="n">
        <v>0</v>
      </c>
      <c r="AG859" s="156" t="inlineStr">
        <is>
          <t>Catálogo existente</t>
        </is>
      </c>
      <c r="AH859" s="156" t="inlineStr">
        <is>
          <t>Revisión 29/09/2026: Campos sin respaldo: U | 01/10/2026: complementado desde Shopify Stetson México (match por código de barras): WB Fit, WB Silueta</t>
        </is>
      </c>
      <c r="AI859" s="156" t="inlineStr">
        <is>
          <t>No</t>
        </is>
      </c>
      <c r="AJ859" s="156" t="n"/>
      <c r="AK859" s="155" t="inlineStr">
        <is>
          <t>Criterios: I [Q] | Shopify Stetson: producto 14788288512363 / variante 53350609322347</t>
        </is>
      </c>
      <c r="AL859" s="58" t="n">
        <v>2835</v>
      </c>
      <c r="AM859" s="58" t="n">
        <v>6810.344828</v>
      </c>
      <c r="AN859" s="155" t="inlineStr">
        <is>
          <t>Shopify Stetson México</t>
        </is>
      </c>
      <c r="AO859" s="59" t="n">
        <v>1</v>
      </c>
      <c r="AP859" s="59" t="n"/>
      <c r="AQ859" s="59" t="n"/>
      <c r="AR859" s="155" t="inlineStr">
        <is>
          <t>Shopify Stetson México › Stetson Americas: 1</t>
        </is>
      </c>
    </row>
    <row r="860">
      <c r="A860" s="50" t="inlineStr">
        <is>
          <t>195556125021</t>
        </is>
      </c>
      <c r="B860" s="51" t="inlineStr">
        <is>
          <t>110010</t>
        </is>
      </c>
      <c r="C860" s="156" t="inlineStr">
        <is>
          <t>Multimarca</t>
        </is>
      </c>
      <c r="D860" s="156" t="inlineStr">
        <is>
          <t>SFR160-014035</t>
        </is>
      </c>
      <c r="E860" s="156" t="inlineStr">
        <is>
          <t>SFR160-01403571</t>
        </is>
      </c>
      <c r="F860" s="156" t="inlineStr">
        <is>
          <t>7 1/8</t>
        </is>
      </c>
      <c r="G860" s="156" t="inlineStr">
        <is>
          <t>7 1/8</t>
        </is>
      </c>
      <c r="H860" s="156" t="inlineStr">
        <is>
          <t>Stetson</t>
        </is>
      </c>
      <c r="I860" s="156" t="inlineStr">
        <is>
          <t>Texana Stetson Rancher 160th Edition Plomo</t>
        </is>
      </c>
      <c r="J860" s="156" t="inlineStr">
        <is>
          <t>Accesorios</t>
        </is>
      </c>
      <c r="K860" s="156" t="inlineStr">
        <is>
          <t>Sombreros</t>
        </is>
      </c>
      <c r="L860" s="156" t="inlineStr">
        <is>
          <t>Unisex</t>
        </is>
      </c>
      <c r="M860" s="156" t="inlineStr">
        <is>
          <t>Stetson</t>
        </is>
      </c>
      <c r="N860" s="156" t="inlineStr">
        <is>
          <t>SS26</t>
        </is>
      </c>
      <c r="O860" s="156" t="inlineStr">
        <is>
          <t>Seasonal</t>
        </is>
      </c>
      <c r="P860" s="156" t="inlineStr">
        <is>
          <t>Gris</t>
        </is>
      </c>
      <c r="Q860" s="156" t="n"/>
      <c r="R860" s="156" t="inlineStr">
        <is>
          <t>Copa Rancher</t>
        </is>
      </c>
      <c r="S860" s="156" t="inlineStr">
        <is>
          <t>100% Fieltro de lana</t>
        </is>
      </c>
      <c r="T860"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0" s="156" t="n"/>
      <c r="V860" s="156" t="inlineStr">
        <is>
          <t>PZS</t>
        </is>
      </c>
      <c r="W860" s="51" t="inlineStr">
        <is>
          <t>53102503</t>
        </is>
      </c>
      <c r="X860" s="156" t="inlineStr">
        <is>
          <t>https://cdn.shopify.com/s/files/1/0888/3250/8267/files/SFR160-014022-03.jpg?v=1759786757</t>
        </is>
      </c>
      <c r="Y860" s="54" t="n">
        <v>2835</v>
      </c>
      <c r="Z860" s="54" t="n">
        <v>6810.344828</v>
      </c>
      <c r="AA860" s="55">
        <f>IF(AND(A860="", B860="", E860=""), "", IF(AB860="", "Válido", IF((LEN(AB860)-LEN(SUBSTITUTE(AB860,"; ","")))/2+1&gt;(LEN(AB860)-LEN(SUBSTITUTE(AB860,"[Aviso]","")))/7, "Con Incidencias", "Válido")))</f>
        <v/>
      </c>
      <c r="AB860" s="56">
        <f>IF(AND(A860="", B860="", E860=""), "", TEXTJOIN("; ", TRUE, IF(OR(TRIM(A860&amp;"")="", ISNUMBER(SEARCH("FALTA", A860))), "UPC faltante/inválido", ""), IF(AND(A860&lt;&gt;"", IFERROR(_xlfn.XMATCH(A860,$A$2:$A$2509,0,1)&lt;&gt;_xlfn.XMATCH(A860,$A$2:$A$2509,0,-1),FALSE)), "Código de barras duplicado", ""), IF(AND(E860&lt;&gt;"", COUNTIF($E$2:$E$2509, E860)&gt;1), "SKU duplicado", ""), IF(OR(J860="", J860=""), "[Aviso] División no capturada ()", IF(ISNA(MATCH(J860, Criterios!$A$123:$A$126, 0)), "División no válida", "")), IF(OR(K860="", K860=""), "[Aviso] Categoría no capturada ()", IF(ISNA(MATCH(K860, Criterios!$A$81:$A$120, 0)), "Categoría no válida", IF(AND(J860&lt;&gt;"", J860&lt;&gt;"", J860&lt;&gt;VLOOKUP(K860, Criterios!$A$81:$B$120, 2, FALSE)), "División no coincide con Categoría", ""))), IF(OR(L860="", L860=""), "[Aviso] Género no capturado ()", IF(ISNA(MATCH(L860, Criterios!$B$123:$B$127, 0)), "Género no válido", "")), IF(OR(N860="", N860=""), "[Aviso] Temporada no capturada ()", IF(ISNA(MATCH(N860, Criterios!$C$123:$C$128, 0)), "Temporada no válida", "")), IF(OR(O860="", O860=""), "[Aviso] Ciclo de vida no capturado ()", IF(ISNA(MATCH(O860, Criterios!$D$123:$D$124, 0)), "Ciclo de vida no válido", ""))))</f>
        <v/>
      </c>
      <c r="AC860" s="56" t="n"/>
      <c r="AD860" s="51" t="n">
        <v>-1</v>
      </c>
      <c r="AE860" s="156" t="n"/>
      <c r="AF860" s="51" t="n">
        <v>0</v>
      </c>
      <c r="AG860" s="156" t="inlineStr">
        <is>
          <t>Catálogo existente</t>
        </is>
      </c>
      <c r="AH860"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0" s="156" t="inlineStr">
        <is>
          <t>Sí</t>
        </is>
      </c>
      <c r="AJ860" s="156" t="inlineStr">
        <is>
          <t>STETSON AMERICAS (-1)</t>
        </is>
      </c>
      <c r="AK860" s="155" t="inlineStr">
        <is>
          <t>Criterios: I [Q] | Shopify Stetson: producto 14788288512363 / variante 53350609486187</t>
        </is>
      </c>
      <c r="AL860" s="58" t="n">
        <v>2835</v>
      </c>
      <c r="AM860" s="58" t="n">
        <v>6810.344828</v>
      </c>
      <c r="AN860" s="155" t="inlineStr">
        <is>
          <t>Shopify Stetson México</t>
        </is>
      </c>
      <c r="AO860" s="59" t="n">
        <v>2</v>
      </c>
      <c r="AP860" s="59" t="n"/>
      <c r="AQ860" s="59" t="n"/>
      <c r="AR860" s="155" t="inlineStr">
        <is>
          <t>Shopify Stetson México › Stetson Americas: 1 | Shopify Stetson México › Eventos: 1</t>
        </is>
      </c>
    </row>
    <row r="861">
      <c r="A861" s="50" t="inlineStr">
        <is>
          <t>195556125038</t>
        </is>
      </c>
      <c r="B861" s="51" t="inlineStr">
        <is>
          <t>110015</t>
        </is>
      </c>
      <c r="C861" s="156" t="inlineStr">
        <is>
          <t>Multimarca</t>
        </is>
      </c>
      <c r="D861" s="156" t="inlineStr">
        <is>
          <t>SFR160-014061</t>
        </is>
      </c>
      <c r="E861" s="156" t="inlineStr">
        <is>
          <t>SFR160-01406171</t>
        </is>
      </c>
      <c r="F861" s="156" t="inlineStr">
        <is>
          <t>7 1/8</t>
        </is>
      </c>
      <c r="G861" s="156" t="inlineStr">
        <is>
          <t>7 1/8</t>
        </is>
      </c>
      <c r="H861" s="156" t="inlineStr">
        <is>
          <t>Stetson</t>
        </is>
      </c>
      <c r="I861" s="156" t="inlineStr">
        <is>
          <t>Texana Stetson Rancher 160th Edition Plata</t>
        </is>
      </c>
      <c r="J861" s="156" t="inlineStr">
        <is>
          <t>Accesorios</t>
        </is>
      </c>
      <c r="K861" s="156" t="inlineStr">
        <is>
          <t>Sombreros</t>
        </is>
      </c>
      <c r="L861" s="156" t="inlineStr">
        <is>
          <t>Unisex</t>
        </is>
      </c>
      <c r="M861" s="156" t="inlineStr">
        <is>
          <t>Stetson</t>
        </is>
      </c>
      <c r="N861" s="156" t="inlineStr">
        <is>
          <t>SS26</t>
        </is>
      </c>
      <c r="O861" s="156" t="inlineStr">
        <is>
          <t>Seasonal</t>
        </is>
      </c>
      <c r="P861" s="156" t="inlineStr">
        <is>
          <t>Gris</t>
        </is>
      </c>
      <c r="Q861" s="156" t="n"/>
      <c r="R861" s="156" t="inlineStr">
        <is>
          <t>Copa Rancher</t>
        </is>
      </c>
      <c r="S861" s="156" t="inlineStr">
        <is>
          <t>100% Fieltro de lana</t>
        </is>
      </c>
      <c r="T861"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1" s="156" t="n"/>
      <c r="V861" s="156" t="inlineStr">
        <is>
          <t>PZS</t>
        </is>
      </c>
      <c r="W861" s="51" t="inlineStr">
        <is>
          <t>53102503</t>
        </is>
      </c>
      <c r="X861" s="156" t="inlineStr">
        <is>
          <t>https://cdn.shopify.com/s/files/1/0888/3250/8267/files/SFR160-014022-08.jpg?v=1759786757</t>
        </is>
      </c>
      <c r="Y861" s="54" t="n">
        <v>2835</v>
      </c>
      <c r="Z861" s="54" t="n">
        <v>6810.344828</v>
      </c>
      <c r="AA861" s="55">
        <f>IF(AND(A861="", B861="", E861=""), "", IF(AB861="", "Válido", IF((LEN(AB861)-LEN(SUBSTITUTE(AB861,"; ","")))/2+1&gt;(LEN(AB861)-LEN(SUBSTITUTE(AB861,"[Aviso]","")))/7, "Con Incidencias", "Válido")))</f>
        <v/>
      </c>
      <c r="AB861" s="56">
        <f>IF(AND(A861="", B861="", E861=""), "", TEXTJOIN("; ", TRUE, IF(OR(TRIM(A861&amp;"")="", ISNUMBER(SEARCH("FALTA", A861))), "UPC faltante/inválido", ""), IF(AND(A861&lt;&gt;"", IFERROR(_xlfn.XMATCH(A861,$A$2:$A$2509,0,1)&lt;&gt;_xlfn.XMATCH(A861,$A$2:$A$2509,0,-1),FALSE)), "Código de barras duplicado", ""), IF(AND(E861&lt;&gt;"", COUNTIF($E$2:$E$2509, E861)&gt;1), "SKU duplicado", ""), IF(OR(J861="", J861=""), "[Aviso] División no capturada ()", IF(ISNA(MATCH(J861, Criterios!$A$123:$A$126, 0)), "División no válida", "")), IF(OR(K861="", K861=""), "[Aviso] Categoría no capturada ()", IF(ISNA(MATCH(K861, Criterios!$A$81:$A$120, 0)), "Categoría no válida", IF(AND(J861&lt;&gt;"", J861&lt;&gt;"", J861&lt;&gt;VLOOKUP(K861, Criterios!$A$81:$B$120, 2, FALSE)), "División no coincide con Categoría", ""))), IF(OR(L861="", L861=""), "[Aviso] Género no capturado ()", IF(ISNA(MATCH(L861, Criterios!$B$123:$B$127, 0)), "Género no válido", "")), IF(OR(N861="", N861=""), "[Aviso] Temporada no capturada ()", IF(ISNA(MATCH(N861, Criterios!$C$123:$C$128, 0)), "Temporada no válida", "")), IF(OR(O861="", O861=""), "[Aviso] Ciclo de vida no capturado ()", IF(ISNA(MATCH(O861, Criterios!$D$123:$D$124, 0)), "Ciclo de vida no válido", ""))))</f>
        <v/>
      </c>
      <c r="AC861" s="56" t="n"/>
      <c r="AD861" s="51" t="n">
        <v>0</v>
      </c>
      <c r="AE861" s="156" t="inlineStr">
        <is>
          <t>PUNTO DE VENTA (1)</t>
        </is>
      </c>
      <c r="AF861" s="51" t="n">
        <v>1</v>
      </c>
      <c r="AG861" s="156" t="inlineStr">
        <is>
          <t>Catálogo existente</t>
        </is>
      </c>
      <c r="AH861" s="156" t="inlineStr">
        <is>
          <t>Revisión 29/09/2026: Campos sin respaldo: U | 01/10/2026: complementado desde Shopify Stetson México (match por código de barras): WB Fit, WB Silueta | 01/10/2026: Shopify Stetson México trae Color «Varios» — se conservó el valor de Productos</t>
        </is>
      </c>
      <c r="AI861" s="156" t="inlineStr">
        <is>
          <t>Sí</t>
        </is>
      </c>
      <c r="AJ861" s="156" t="inlineStr">
        <is>
          <t>STETSON AMERICAS (-1)</t>
        </is>
      </c>
      <c r="AK861" s="155" t="inlineStr">
        <is>
          <t>Criterios: I [Q] | Shopify Stetson: producto 14788288512363 / variante 53350609650027</t>
        </is>
      </c>
      <c r="AL861" s="58" t="n">
        <v>2835</v>
      </c>
      <c r="AM861" s="58" t="n">
        <v>6810.344828</v>
      </c>
      <c r="AN861" s="155" t="inlineStr">
        <is>
          <t>Shopify Stetson México</t>
        </is>
      </c>
      <c r="AO861" s="59" t="n">
        <v>2</v>
      </c>
      <c r="AP861" s="59" t="n"/>
      <c r="AQ861" s="59" t="n"/>
      <c r="AR861" s="155" t="inlineStr">
        <is>
          <t>Shopify Stetson México › Stetson Americas: 1 | Shopify Stetson México › Eventos: 1</t>
        </is>
      </c>
    </row>
    <row r="862">
      <c r="A862" s="50" t="inlineStr">
        <is>
          <t>195556125045</t>
        </is>
      </c>
      <c r="B862" s="51" t="inlineStr">
        <is>
          <t>110001</t>
        </is>
      </c>
      <c r="C862" s="156" t="inlineStr">
        <is>
          <t>Multimarca</t>
        </is>
      </c>
      <c r="D862" s="156" t="inlineStr">
        <is>
          <t>SFR160-014007</t>
        </is>
      </c>
      <c r="E862" s="156" t="inlineStr">
        <is>
          <t>SFR160-01400772</t>
        </is>
      </c>
      <c r="F862" s="156" t="inlineStr">
        <is>
          <t>7 1/4</t>
        </is>
      </c>
      <c r="G862" s="156" t="inlineStr">
        <is>
          <t>7 1/4</t>
        </is>
      </c>
      <c r="H862" s="156" t="inlineStr">
        <is>
          <t>Stetson</t>
        </is>
      </c>
      <c r="I862" s="156" t="inlineStr">
        <is>
          <t>Texana Stetson Rancher 160th Edition Negro</t>
        </is>
      </c>
      <c r="J862" s="156" t="inlineStr">
        <is>
          <t>Accesorios</t>
        </is>
      </c>
      <c r="K862" s="156" t="inlineStr">
        <is>
          <t>Sombreros</t>
        </is>
      </c>
      <c r="L862" s="156" t="inlineStr">
        <is>
          <t>Unisex</t>
        </is>
      </c>
      <c r="M862" s="156" t="inlineStr">
        <is>
          <t>Stetson</t>
        </is>
      </c>
      <c r="N862" s="156" t="inlineStr">
        <is>
          <t>SS26</t>
        </is>
      </c>
      <c r="O862" s="156" t="inlineStr">
        <is>
          <t>Seasonal</t>
        </is>
      </c>
      <c r="P862" s="156" t="inlineStr">
        <is>
          <t>Negro</t>
        </is>
      </c>
      <c r="Q862" s="156" t="n"/>
      <c r="R862" s="156" t="inlineStr">
        <is>
          <t>Copa Rancher</t>
        </is>
      </c>
      <c r="S862" s="156" t="inlineStr">
        <is>
          <t>100% Fieltro de lana</t>
        </is>
      </c>
      <c r="T862"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2" s="156" t="n"/>
      <c r="V862" s="156" t="inlineStr">
        <is>
          <t>PZS</t>
        </is>
      </c>
      <c r="W862" s="51" t="inlineStr">
        <is>
          <t>53102503</t>
        </is>
      </c>
      <c r="X862" s="156" t="inlineStr">
        <is>
          <t>https://cdn.shopify.com/s/files/1/0888/3250/8267/files/SFR160-014007-03.jpg?v=1759786730</t>
        </is>
      </c>
      <c r="Y862" s="54" t="n">
        <v>2835</v>
      </c>
      <c r="Z862" s="54" t="n">
        <v>6810.344828</v>
      </c>
      <c r="AA862" s="55">
        <f>IF(AND(A862="", B862="", E862=""), "", IF(AB862="", "Válido", IF((LEN(AB862)-LEN(SUBSTITUTE(AB862,"; ","")))/2+1&gt;(LEN(AB862)-LEN(SUBSTITUTE(AB862,"[Aviso]","")))/7, "Con Incidencias", "Válido")))</f>
        <v/>
      </c>
      <c r="AB862" s="56">
        <f>IF(AND(A862="", B862="", E862=""), "", TEXTJOIN("; ", TRUE, IF(OR(TRIM(A862&amp;"")="", ISNUMBER(SEARCH("FALTA", A862))), "UPC faltante/inválido", ""), IF(AND(A862&lt;&gt;"", IFERROR(_xlfn.XMATCH(A862,$A$2:$A$2509,0,1)&lt;&gt;_xlfn.XMATCH(A862,$A$2:$A$2509,0,-1),FALSE)), "Código de barras duplicado", ""), IF(AND(E862&lt;&gt;"", COUNTIF($E$2:$E$2509, E862)&gt;1), "SKU duplicado", ""), IF(OR(J862="", J862=""), "[Aviso] División no capturada ()", IF(ISNA(MATCH(J862, Criterios!$A$123:$A$126, 0)), "División no válida", "")), IF(OR(K862="", K862=""), "[Aviso] Categoría no capturada ()", IF(ISNA(MATCH(K862, Criterios!$A$81:$A$120, 0)), "Categoría no válida", IF(AND(J862&lt;&gt;"", J862&lt;&gt;"", J862&lt;&gt;VLOOKUP(K862, Criterios!$A$81:$B$120, 2, FALSE)), "División no coincide con Categoría", ""))), IF(OR(L862="", L862=""), "[Aviso] Género no capturado ()", IF(ISNA(MATCH(L862, Criterios!$B$123:$B$127, 0)), "Género no válido", "")), IF(OR(N862="", N862=""), "[Aviso] Temporada no capturada ()", IF(ISNA(MATCH(N862, Criterios!$C$123:$C$128, 0)), "Temporada no válida", "")), IF(OR(O862="", O862=""), "[Aviso] Ciclo de vida no capturado ()", IF(ISNA(MATCH(O862, Criterios!$D$123:$D$124, 0)), "Ciclo de vida no válido", ""))))</f>
        <v/>
      </c>
      <c r="AC862" s="56" t="n"/>
      <c r="AD862" s="51" t="n">
        <v>-1</v>
      </c>
      <c r="AE862" s="156" t="n"/>
      <c r="AF862" s="51" t="n">
        <v>0</v>
      </c>
      <c r="AG862" s="156" t="inlineStr">
        <is>
          <t>Catálogo existente</t>
        </is>
      </c>
      <c r="AH862" s="156" t="inlineStr">
        <is>
          <t>Stock negativo en sistema: revisar en conteo | Revisión 29/09/2026: Campos sin respaldo: U | 01/10/2026: complementado desde Shopify Stetson México (match por código de barras): WB Fit, WB Silueta</t>
        </is>
      </c>
      <c r="AI862" s="156" t="inlineStr">
        <is>
          <t>Sí</t>
        </is>
      </c>
      <c r="AJ862" s="156" t="inlineStr">
        <is>
          <t>STETSON AMERICAS (-1)</t>
        </is>
      </c>
      <c r="AK862" s="155" t="inlineStr">
        <is>
          <t>Criterios: I [Q] | Shopify Stetson: producto 14788288512363 / variante 53350609191275</t>
        </is>
      </c>
      <c r="AL862" s="58" t="n">
        <v>2835</v>
      </c>
      <c r="AM862" s="58" t="n">
        <v>6810.344828</v>
      </c>
      <c r="AN862" s="155" t="inlineStr">
        <is>
          <t>Shopify Stetson México</t>
        </is>
      </c>
      <c r="AO862" s="59" t="n">
        <v>1</v>
      </c>
      <c r="AP862" s="59" t="n"/>
      <c r="AQ862" s="59" t="n"/>
      <c r="AR862" s="155" t="inlineStr">
        <is>
          <t>Shopify Stetson México › Stetson México: 1</t>
        </is>
      </c>
    </row>
    <row r="863">
      <c r="A863" s="50" t="inlineStr">
        <is>
          <t>195556125052</t>
        </is>
      </c>
      <c r="B863" s="51" t="inlineStr">
        <is>
          <t>110006</t>
        </is>
      </c>
      <c r="C863" s="156" t="inlineStr">
        <is>
          <t>Multimarca</t>
        </is>
      </c>
      <c r="D863" s="156" t="inlineStr">
        <is>
          <t>SFR160-014022</t>
        </is>
      </c>
      <c r="E863" s="156" t="inlineStr">
        <is>
          <t>SFR160-01402272</t>
        </is>
      </c>
      <c r="F863" s="156" t="inlineStr">
        <is>
          <t>7 1/4</t>
        </is>
      </c>
      <c r="G863" s="156" t="inlineStr">
        <is>
          <t>7 1/4</t>
        </is>
      </c>
      <c r="H863" s="156" t="inlineStr">
        <is>
          <t>Stetson</t>
        </is>
      </c>
      <c r="I863" s="156" t="inlineStr">
        <is>
          <t>Texana Stetson Rancher 160th Edition Chocolate</t>
        </is>
      </c>
      <c r="J863" s="156" t="inlineStr">
        <is>
          <t>Accesorios</t>
        </is>
      </c>
      <c r="K863" s="156" t="inlineStr">
        <is>
          <t>Sombreros</t>
        </is>
      </c>
      <c r="L863" s="156" t="inlineStr">
        <is>
          <t>Unisex</t>
        </is>
      </c>
      <c r="M863" s="156" t="inlineStr">
        <is>
          <t>Stetson</t>
        </is>
      </c>
      <c r="N863" s="156" t="inlineStr">
        <is>
          <t>SS26</t>
        </is>
      </c>
      <c r="O863" s="156" t="inlineStr">
        <is>
          <t>Seasonal</t>
        </is>
      </c>
      <c r="P863" s="156" t="inlineStr">
        <is>
          <t>Cafe</t>
        </is>
      </c>
      <c r="Q863" s="156" t="n"/>
      <c r="R863" s="156" t="inlineStr">
        <is>
          <t>Copa Rancher</t>
        </is>
      </c>
      <c r="S863" s="156" t="inlineStr">
        <is>
          <t>100% Fieltro de lana</t>
        </is>
      </c>
      <c r="T863"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3" s="156" t="n"/>
      <c r="V863" s="156" t="inlineStr">
        <is>
          <t>PZS</t>
        </is>
      </c>
      <c r="W863" s="51" t="inlineStr">
        <is>
          <t>53102503</t>
        </is>
      </c>
      <c r="X863" s="156" t="inlineStr">
        <is>
          <t>https://cdn.shopify.com/s/files/1/0888/3250/8267/files/SFR160-014007-08.jpg?v=1759786729</t>
        </is>
      </c>
      <c r="Y863" s="54" t="n">
        <v>2835</v>
      </c>
      <c r="Z863" s="54" t="n">
        <v>6810.344828</v>
      </c>
      <c r="AA863" s="55">
        <f>IF(AND(A863="", B863="", E863=""), "", IF(AB863="", "Válido", IF((LEN(AB863)-LEN(SUBSTITUTE(AB863,"; ","")))/2+1&gt;(LEN(AB863)-LEN(SUBSTITUTE(AB863,"[Aviso]","")))/7, "Con Incidencias", "Válido")))</f>
        <v/>
      </c>
      <c r="AB863" s="56">
        <f>IF(AND(A863="", B863="", E863=""), "", TEXTJOIN("; ", TRUE, IF(OR(TRIM(A863&amp;"")="", ISNUMBER(SEARCH("FALTA", A863))), "UPC faltante/inválido", ""), IF(AND(A863&lt;&gt;"", IFERROR(_xlfn.XMATCH(A863,$A$2:$A$2509,0,1)&lt;&gt;_xlfn.XMATCH(A863,$A$2:$A$2509,0,-1),FALSE)), "Código de barras duplicado", ""), IF(AND(E863&lt;&gt;"", COUNTIF($E$2:$E$2509, E863)&gt;1), "SKU duplicado", ""), IF(OR(J863="", J863=""), "[Aviso] División no capturada ()", IF(ISNA(MATCH(J863, Criterios!$A$123:$A$126, 0)), "División no válida", "")), IF(OR(K863="", K863=""), "[Aviso] Categoría no capturada ()", IF(ISNA(MATCH(K863, Criterios!$A$81:$A$120, 0)), "Categoría no válida", IF(AND(J863&lt;&gt;"", J863&lt;&gt;"", J863&lt;&gt;VLOOKUP(K863, Criterios!$A$81:$B$120, 2, FALSE)), "División no coincide con Categoría", ""))), IF(OR(L863="", L863=""), "[Aviso] Género no capturado ()", IF(ISNA(MATCH(L863, Criterios!$B$123:$B$127, 0)), "Género no válido", "")), IF(OR(N863="", N863=""), "[Aviso] Temporada no capturada ()", IF(ISNA(MATCH(N863, Criterios!$C$123:$C$128, 0)), "Temporada no válida", "")), IF(OR(O863="", O863=""), "[Aviso] Ciclo de vida no capturado ()", IF(ISNA(MATCH(O863, Criterios!$D$123:$D$124, 0)), "Ciclo de vida no válido", ""))))</f>
        <v/>
      </c>
      <c r="AC863" s="56" t="n"/>
      <c r="AD863" s="51" t="n">
        <v>-1</v>
      </c>
      <c r="AE863" s="156" t="n"/>
      <c r="AF863" s="51" t="n">
        <v>0</v>
      </c>
      <c r="AG863" s="156" t="inlineStr">
        <is>
          <t>Catálogo existente</t>
        </is>
      </c>
      <c r="AH863" s="156" t="inlineStr">
        <is>
          <t>Stock negativo en sistema: revisar en conteo | Revisión 29/09/2026: Campos sin respaldo: U | 01/10/2026: complementado desde Shopify Stetson México (match por código de barras): WB Fit, WB Silueta</t>
        </is>
      </c>
      <c r="AI863" s="156" t="inlineStr">
        <is>
          <t>Sí</t>
        </is>
      </c>
      <c r="AJ863" s="156" t="inlineStr">
        <is>
          <t>STETSON AMERICAS (-1)</t>
        </is>
      </c>
      <c r="AK863" s="155" t="inlineStr">
        <is>
          <t>Criterios: I [Q] | Shopify Stetson: producto 14788288512363 / variante 53350609355115</t>
        </is>
      </c>
      <c r="AL863" s="58" t="n">
        <v>2835</v>
      </c>
      <c r="AM863" s="58" t="n">
        <v>6810.344828</v>
      </c>
      <c r="AN863" s="155" t="inlineStr">
        <is>
          <t>Shopify Stetson México</t>
        </is>
      </c>
      <c r="AO863" s="59" t="n">
        <v>0</v>
      </c>
      <c r="AP863" s="59" t="n"/>
      <c r="AQ863" s="59" t="n"/>
      <c r="AR863" s="155" t="n"/>
    </row>
    <row r="864">
      <c r="A864" s="50" t="inlineStr">
        <is>
          <t>195556125069</t>
        </is>
      </c>
      <c r="B864" s="51" t="inlineStr">
        <is>
          <t>110011</t>
        </is>
      </c>
      <c r="C864" s="156" t="inlineStr">
        <is>
          <t>Multimarca</t>
        </is>
      </c>
      <c r="D864" s="156" t="inlineStr">
        <is>
          <t>SFR160-014035</t>
        </is>
      </c>
      <c r="E864" s="156" t="inlineStr">
        <is>
          <t>SFR160-01403572</t>
        </is>
      </c>
      <c r="F864" s="156" t="inlineStr">
        <is>
          <t>7 1/4</t>
        </is>
      </c>
      <c r="G864" s="156" t="inlineStr">
        <is>
          <t>7 1/4</t>
        </is>
      </c>
      <c r="H864" s="156" t="inlineStr">
        <is>
          <t>Stetson</t>
        </is>
      </c>
      <c r="I864" s="156" t="inlineStr">
        <is>
          <t>Texana Stetson Rancher 160th Edition Plomo</t>
        </is>
      </c>
      <c r="J864" s="156" t="inlineStr">
        <is>
          <t>Accesorios</t>
        </is>
      </c>
      <c r="K864" s="156" t="inlineStr">
        <is>
          <t>Sombreros</t>
        </is>
      </c>
      <c r="L864" s="156" t="inlineStr">
        <is>
          <t>Unisex</t>
        </is>
      </c>
      <c r="M864" s="156" t="inlineStr">
        <is>
          <t>Stetson</t>
        </is>
      </c>
      <c r="N864" s="156" t="inlineStr">
        <is>
          <t>SS26</t>
        </is>
      </c>
      <c r="O864" s="156" t="inlineStr">
        <is>
          <t>Seasonal</t>
        </is>
      </c>
      <c r="P864" s="156" t="inlineStr">
        <is>
          <t>Gris</t>
        </is>
      </c>
      <c r="Q864" s="156" t="n"/>
      <c r="R864" s="156" t="inlineStr">
        <is>
          <t>Copa Rancher</t>
        </is>
      </c>
      <c r="S864" s="156" t="inlineStr">
        <is>
          <t>100% Fieltro de lana</t>
        </is>
      </c>
      <c r="T864"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4" s="156" t="n"/>
      <c r="V864" s="156" t="inlineStr">
        <is>
          <t>PZS</t>
        </is>
      </c>
      <c r="W864" s="51" t="inlineStr">
        <is>
          <t>53102503</t>
        </is>
      </c>
      <c r="X864" s="156" t="inlineStr">
        <is>
          <t>https://cdn.shopify.com/s/files/1/0888/3250/8267/files/SFR160-014022-04.jpg?v=1759786757</t>
        </is>
      </c>
      <c r="Y864" s="54" t="n">
        <v>2835</v>
      </c>
      <c r="Z864" s="54" t="n">
        <v>6810.344828</v>
      </c>
      <c r="AA864" s="55">
        <f>IF(AND(A864="", B864="", E864=""), "", IF(AB864="", "Válido", IF((LEN(AB864)-LEN(SUBSTITUTE(AB864,"; ","")))/2+1&gt;(LEN(AB864)-LEN(SUBSTITUTE(AB864,"[Aviso]","")))/7, "Con Incidencias", "Válido")))</f>
        <v/>
      </c>
      <c r="AB864" s="56">
        <f>IF(AND(A864="", B864="", E864=""), "", TEXTJOIN("; ", TRUE, IF(OR(TRIM(A864&amp;"")="", ISNUMBER(SEARCH("FALTA", A864))), "UPC faltante/inválido", ""), IF(AND(A864&lt;&gt;"", IFERROR(_xlfn.XMATCH(A864,$A$2:$A$2509,0,1)&lt;&gt;_xlfn.XMATCH(A864,$A$2:$A$2509,0,-1),FALSE)), "Código de barras duplicado", ""), IF(AND(E864&lt;&gt;"", COUNTIF($E$2:$E$2509, E864)&gt;1), "SKU duplicado", ""), IF(OR(J864="", J864=""), "[Aviso] División no capturada ()", IF(ISNA(MATCH(J864, Criterios!$A$123:$A$126, 0)), "División no válida", "")), IF(OR(K864="", K864=""), "[Aviso] Categoría no capturada ()", IF(ISNA(MATCH(K864, Criterios!$A$81:$A$120, 0)), "Categoría no válida", IF(AND(J864&lt;&gt;"", J864&lt;&gt;"", J864&lt;&gt;VLOOKUP(K864, Criterios!$A$81:$B$120, 2, FALSE)), "División no coincide con Categoría", ""))), IF(OR(L864="", L864=""), "[Aviso] Género no capturado ()", IF(ISNA(MATCH(L864, Criterios!$B$123:$B$127, 0)), "Género no válido", "")), IF(OR(N864="", N864=""), "[Aviso] Temporada no capturada ()", IF(ISNA(MATCH(N864, Criterios!$C$123:$C$128, 0)), "Temporada no válida", "")), IF(OR(O864="", O864=""), "[Aviso] Ciclo de vida no capturado ()", IF(ISNA(MATCH(O864, Criterios!$D$123:$D$124, 0)), "Ciclo de vida no válido", ""))))</f>
        <v/>
      </c>
      <c r="AC864" s="56" t="n"/>
      <c r="AD864" s="51" t="n">
        <v>-1</v>
      </c>
      <c r="AE864" s="156" t="n"/>
      <c r="AF864" s="51" t="n">
        <v>0</v>
      </c>
      <c r="AG864" s="156" t="inlineStr">
        <is>
          <t>Catálogo existente</t>
        </is>
      </c>
      <c r="AH864"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4" s="156" t="inlineStr">
        <is>
          <t>Sí</t>
        </is>
      </c>
      <c r="AJ864" s="156" t="inlineStr">
        <is>
          <t>STETSON AMERICAS (-1)</t>
        </is>
      </c>
      <c r="AK864" s="155" t="inlineStr">
        <is>
          <t>Criterios: I [Q] | Shopify Stetson: producto 14788288512363 / variante 53350609518955</t>
        </is>
      </c>
      <c r="AL864" s="58" t="n">
        <v>2835</v>
      </c>
      <c r="AM864" s="58" t="n">
        <v>6810.344828</v>
      </c>
      <c r="AN864" s="155" t="inlineStr">
        <is>
          <t>Shopify Stetson México</t>
        </is>
      </c>
      <c r="AO864" s="59" t="n">
        <v>0</v>
      </c>
      <c r="AP864" s="59" t="n"/>
      <c r="AQ864" s="59" t="n"/>
      <c r="AR864" s="155" t="n"/>
    </row>
    <row r="865">
      <c r="A865" s="50" t="inlineStr">
        <is>
          <t>195556125076</t>
        </is>
      </c>
      <c r="B865" s="51" t="inlineStr">
        <is>
          <t>110016</t>
        </is>
      </c>
      <c r="C865" s="156" t="inlineStr">
        <is>
          <t>Multimarca</t>
        </is>
      </c>
      <c r="D865" s="156" t="inlineStr">
        <is>
          <t>SFR160-014061</t>
        </is>
      </c>
      <c r="E865" s="156" t="inlineStr">
        <is>
          <t>SFR160-01406172</t>
        </is>
      </c>
      <c r="F865" s="156" t="inlineStr">
        <is>
          <t>7 1/4</t>
        </is>
      </c>
      <c r="G865" s="156" t="inlineStr">
        <is>
          <t>7 1/4</t>
        </is>
      </c>
      <c r="H865" s="156" t="inlineStr">
        <is>
          <t>Stetson</t>
        </is>
      </c>
      <c r="I865" s="156" t="inlineStr">
        <is>
          <t>Texana Stetson Rancher 160th Edition Plata</t>
        </is>
      </c>
      <c r="J865" s="156" t="inlineStr">
        <is>
          <t>Accesorios</t>
        </is>
      </c>
      <c r="K865" s="156" t="inlineStr">
        <is>
          <t>Sombreros</t>
        </is>
      </c>
      <c r="L865" s="156" t="inlineStr">
        <is>
          <t>Unisex</t>
        </is>
      </c>
      <c r="M865" s="156" t="inlineStr">
        <is>
          <t>Stetson</t>
        </is>
      </c>
      <c r="N865" s="156" t="inlineStr">
        <is>
          <t>SS26</t>
        </is>
      </c>
      <c r="O865" s="156" t="inlineStr">
        <is>
          <t>Seasonal</t>
        </is>
      </c>
      <c r="P865" s="156" t="inlineStr">
        <is>
          <t>Gris</t>
        </is>
      </c>
      <c r="Q865" s="156" t="n"/>
      <c r="R865" s="156" t="inlineStr">
        <is>
          <t>Copa Rancher</t>
        </is>
      </c>
      <c r="S865" s="156" t="inlineStr">
        <is>
          <t>100% Fieltro de lana</t>
        </is>
      </c>
      <c r="T865"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5" s="156" t="n"/>
      <c r="V865" s="156" t="inlineStr">
        <is>
          <t>PZS</t>
        </is>
      </c>
      <c r="W865" s="51" t="inlineStr">
        <is>
          <t>53102503</t>
        </is>
      </c>
      <c r="X865" s="156" t="inlineStr">
        <is>
          <t>https://cdn.shopify.com/s/files/1/0888/3250/8267/files/SFR160-014022-09.jpg?v=1759786757</t>
        </is>
      </c>
      <c r="Y865" s="54" t="n">
        <v>2835</v>
      </c>
      <c r="Z865" s="54" t="n">
        <v>6810.344828</v>
      </c>
      <c r="AA865" s="55">
        <f>IF(AND(A865="", B865="", E865=""), "", IF(AB865="", "Válido", IF((LEN(AB865)-LEN(SUBSTITUTE(AB865,"; ","")))/2+1&gt;(LEN(AB865)-LEN(SUBSTITUTE(AB865,"[Aviso]","")))/7, "Con Incidencias", "Válido")))</f>
        <v/>
      </c>
      <c r="AB865" s="56">
        <f>IF(AND(A865="", B865="", E865=""), "", TEXTJOIN("; ", TRUE, IF(OR(TRIM(A865&amp;"")="", ISNUMBER(SEARCH("FALTA", A865))), "UPC faltante/inválido", ""), IF(AND(A865&lt;&gt;"", IFERROR(_xlfn.XMATCH(A865,$A$2:$A$2509,0,1)&lt;&gt;_xlfn.XMATCH(A865,$A$2:$A$2509,0,-1),FALSE)), "Código de barras duplicado", ""), IF(AND(E865&lt;&gt;"", COUNTIF($E$2:$E$2509, E865)&gt;1), "SKU duplicado", ""), IF(OR(J865="", J865=""), "[Aviso] División no capturada ()", IF(ISNA(MATCH(J865, Criterios!$A$123:$A$126, 0)), "División no válida", "")), IF(OR(K865="", K865=""), "[Aviso] Categoría no capturada ()", IF(ISNA(MATCH(K865, Criterios!$A$81:$A$120, 0)), "Categoría no válida", IF(AND(J865&lt;&gt;"", J865&lt;&gt;"", J865&lt;&gt;VLOOKUP(K865, Criterios!$A$81:$B$120, 2, FALSE)), "División no coincide con Categoría", ""))), IF(OR(L865="", L865=""), "[Aviso] Género no capturado ()", IF(ISNA(MATCH(L865, Criterios!$B$123:$B$127, 0)), "Género no válido", "")), IF(OR(N865="", N865=""), "[Aviso] Temporada no capturada ()", IF(ISNA(MATCH(N865, Criterios!$C$123:$C$128, 0)), "Temporada no válida", "")), IF(OR(O865="", O865=""), "[Aviso] Ciclo de vida no capturado ()", IF(ISNA(MATCH(O865, Criterios!$D$123:$D$124, 0)), "Ciclo de vida no válido", ""))))</f>
        <v/>
      </c>
      <c r="AC865" s="56" t="n"/>
      <c r="AD865" s="51" t="n">
        <v>1</v>
      </c>
      <c r="AE865" s="156" t="inlineStr">
        <is>
          <t>B25 STETSON.MX (2)</t>
        </is>
      </c>
      <c r="AF865" s="51" t="n">
        <v>2</v>
      </c>
      <c r="AG865" s="156" t="inlineStr">
        <is>
          <t>Catálogo existente</t>
        </is>
      </c>
      <c r="AH865" s="156" t="inlineStr">
        <is>
          <t>Revisión 29/09/2026: Campos sin respaldo: U | 01/10/2026: complementado desde Shopify Stetson México (match por código de barras): WB Fit, WB Silueta | 01/10/2026: Shopify Stetson México trae Color «Varios» — se conservó el valor de Productos</t>
        </is>
      </c>
      <c r="AI865" s="156" t="inlineStr">
        <is>
          <t>Sí</t>
        </is>
      </c>
      <c r="AJ865" s="156" t="inlineStr">
        <is>
          <t>STETSON AMERICAS (-1)</t>
        </is>
      </c>
      <c r="AK865" s="155" t="inlineStr">
        <is>
          <t>Criterios: I [Q] | Shopify Stetson: producto 14788288512363 / variante 53350609682795</t>
        </is>
      </c>
      <c r="AL865" s="58" t="n">
        <v>2835</v>
      </c>
      <c r="AM865" s="58" t="n">
        <v>6810.344828</v>
      </c>
      <c r="AN865" s="155" t="inlineStr">
        <is>
          <t>Shopify Stetson México</t>
        </is>
      </c>
      <c r="AO865" s="59" t="n">
        <v>1</v>
      </c>
      <c r="AP865" s="59" t="n"/>
      <c r="AQ865" s="59" t="n"/>
      <c r="AR865" s="155" t="inlineStr">
        <is>
          <t>Shopify Stetson México › Stetson México: 1</t>
        </is>
      </c>
    </row>
    <row r="866">
      <c r="A866" s="50" t="inlineStr">
        <is>
          <t>195556125083</t>
        </is>
      </c>
      <c r="B866" s="51" t="inlineStr">
        <is>
          <t>110002</t>
        </is>
      </c>
      <c r="C866" s="156" t="inlineStr">
        <is>
          <t>Multimarca</t>
        </is>
      </c>
      <c r="D866" s="156" t="inlineStr">
        <is>
          <t>SFR160-014007</t>
        </is>
      </c>
      <c r="E866" s="156" t="inlineStr">
        <is>
          <t>SFR160-01400773</t>
        </is>
      </c>
      <c r="F866" s="156" t="inlineStr">
        <is>
          <t>7 3/8</t>
        </is>
      </c>
      <c r="G866" s="156" t="inlineStr">
        <is>
          <t>7 3/8</t>
        </is>
      </c>
      <c r="H866" s="156" t="inlineStr">
        <is>
          <t>Stetson</t>
        </is>
      </c>
      <c r="I866" s="156" t="inlineStr">
        <is>
          <t>Texana Stetson Rancher 160th Edition Negro</t>
        </is>
      </c>
      <c r="J866" s="156" t="inlineStr">
        <is>
          <t>Accesorios</t>
        </is>
      </c>
      <c r="K866" s="156" t="inlineStr">
        <is>
          <t>Sombreros</t>
        </is>
      </c>
      <c r="L866" s="156" t="inlineStr">
        <is>
          <t>Unisex</t>
        </is>
      </c>
      <c r="M866" s="156" t="inlineStr">
        <is>
          <t>Stetson</t>
        </is>
      </c>
      <c r="N866" s="156" t="inlineStr">
        <is>
          <t>SS26</t>
        </is>
      </c>
      <c r="O866" s="156" t="inlineStr">
        <is>
          <t>Seasonal</t>
        </is>
      </c>
      <c r="P866" s="156" t="inlineStr">
        <is>
          <t>Negro</t>
        </is>
      </c>
      <c r="Q866" s="156" t="n"/>
      <c r="R866" s="156" t="inlineStr">
        <is>
          <t>Copa Rancher</t>
        </is>
      </c>
      <c r="S866" s="156" t="inlineStr">
        <is>
          <t>100% Fieltro de lana</t>
        </is>
      </c>
      <c r="T866"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6" s="156" t="n"/>
      <c r="V866" s="156" t="inlineStr">
        <is>
          <t>PZS</t>
        </is>
      </c>
      <c r="W866" s="51" t="inlineStr">
        <is>
          <t>53102503</t>
        </is>
      </c>
      <c r="X866" s="156" t="inlineStr">
        <is>
          <t>https://cdn.shopify.com/s/files/1/0888/3250/8267/files/SFR160-014007-04.jpg?v=1759786730</t>
        </is>
      </c>
      <c r="Y866" s="54" t="n">
        <v>2835</v>
      </c>
      <c r="Z866" s="54" t="n">
        <v>6810.344828</v>
      </c>
      <c r="AA866" s="55">
        <f>IF(AND(A866="", B866="", E866=""), "", IF(AB866="", "Válido", IF((LEN(AB866)-LEN(SUBSTITUTE(AB866,"; ","")))/2+1&gt;(LEN(AB866)-LEN(SUBSTITUTE(AB866,"[Aviso]","")))/7, "Con Incidencias", "Válido")))</f>
        <v/>
      </c>
      <c r="AB866" s="56">
        <f>IF(AND(A866="", B866="", E866=""), "", TEXTJOIN("; ", TRUE, IF(OR(TRIM(A866&amp;"")="", ISNUMBER(SEARCH("FALTA", A866))), "UPC faltante/inválido", ""), IF(AND(A866&lt;&gt;"", IFERROR(_xlfn.XMATCH(A866,$A$2:$A$2509,0,1)&lt;&gt;_xlfn.XMATCH(A866,$A$2:$A$2509,0,-1),FALSE)), "Código de barras duplicado", ""), IF(AND(E866&lt;&gt;"", COUNTIF($E$2:$E$2509, E866)&gt;1), "SKU duplicado", ""), IF(OR(J866="", J866=""), "[Aviso] División no capturada ()", IF(ISNA(MATCH(J866, Criterios!$A$123:$A$126, 0)), "División no válida", "")), IF(OR(K866="", K866=""), "[Aviso] Categoría no capturada ()", IF(ISNA(MATCH(K866, Criterios!$A$81:$A$120, 0)), "Categoría no válida", IF(AND(J866&lt;&gt;"", J866&lt;&gt;"", J866&lt;&gt;VLOOKUP(K866, Criterios!$A$81:$B$120, 2, FALSE)), "División no coincide con Categoría", ""))), IF(OR(L866="", L866=""), "[Aviso] Género no capturado ()", IF(ISNA(MATCH(L866, Criterios!$B$123:$B$127, 0)), "Género no válido", "")), IF(OR(N866="", N866=""), "[Aviso] Temporada no capturada ()", IF(ISNA(MATCH(N866, Criterios!$C$123:$C$128, 0)), "Temporada no válida", "")), IF(OR(O866="", O866=""), "[Aviso] Ciclo de vida no capturado ()", IF(ISNA(MATCH(O866, Criterios!$D$123:$D$124, 0)), "Ciclo de vida no válido", ""))))</f>
        <v/>
      </c>
      <c r="AC866" s="56" t="n"/>
      <c r="AD866" s="51" t="n">
        <v>2</v>
      </c>
      <c r="AE866" s="156" t="inlineStr">
        <is>
          <t>B25 STETSON.MX (3)</t>
        </is>
      </c>
      <c r="AF866" s="51" t="n">
        <v>3</v>
      </c>
      <c r="AG866" s="156" t="inlineStr">
        <is>
          <t>Catálogo existente</t>
        </is>
      </c>
      <c r="AH866" s="156" t="inlineStr">
        <is>
          <t>Revisión 29/09/2026: Campos sin respaldo: U | 01/10/2026: complementado desde Shopify Stetson México (match por código de barras): WB Fit, WB Silueta</t>
        </is>
      </c>
      <c r="AI866" s="156" t="inlineStr">
        <is>
          <t>Sí</t>
        </is>
      </c>
      <c r="AJ866" s="156" t="inlineStr">
        <is>
          <t>STETSON AMERICAS (-1)</t>
        </is>
      </c>
      <c r="AK866" s="155" t="inlineStr">
        <is>
          <t>Criterios: I [Q] | Shopify Stetson: producto 14788288512363 / variante 53350609224043</t>
        </is>
      </c>
      <c r="AL866" s="58" t="n">
        <v>2835</v>
      </c>
      <c r="AM866" s="58" t="n">
        <v>6810.344828</v>
      </c>
      <c r="AN866" s="155" t="inlineStr">
        <is>
          <t>Shopify Stetson México</t>
        </is>
      </c>
      <c r="AO866" s="59" t="n">
        <v>6</v>
      </c>
      <c r="AP866" s="59" t="n"/>
      <c r="AQ866" s="59" t="n"/>
      <c r="AR866" s="155" t="inlineStr">
        <is>
          <t>Shopify Stetson México › Stetson México: 5 | Shopify Stetson México › Eventos: 1</t>
        </is>
      </c>
    </row>
    <row r="867">
      <c r="A867" s="50" t="inlineStr">
        <is>
          <t>195556125090</t>
        </is>
      </c>
      <c r="B867" s="51" t="inlineStr">
        <is>
          <t>110007</t>
        </is>
      </c>
      <c r="C867" s="156" t="inlineStr">
        <is>
          <t>Multimarca</t>
        </is>
      </c>
      <c r="D867" s="156" t="inlineStr">
        <is>
          <t>SFR160-014022</t>
        </is>
      </c>
      <c r="E867" s="156" t="inlineStr">
        <is>
          <t>SFR160-01402273</t>
        </is>
      </c>
      <c r="F867" s="156" t="inlineStr">
        <is>
          <t>7 3/8</t>
        </is>
      </c>
      <c r="G867" s="156" t="inlineStr">
        <is>
          <t>7 3/8</t>
        </is>
      </c>
      <c r="H867" s="156" t="inlineStr">
        <is>
          <t>Stetson</t>
        </is>
      </c>
      <c r="I867" s="156" t="inlineStr">
        <is>
          <t>Texana Stetson Rancher 160th Edition Chocolate</t>
        </is>
      </c>
      <c r="J867" s="156" t="inlineStr">
        <is>
          <t>Accesorios</t>
        </is>
      </c>
      <c r="K867" s="156" t="inlineStr">
        <is>
          <t>Sombreros</t>
        </is>
      </c>
      <c r="L867" s="156" t="inlineStr">
        <is>
          <t>Unisex</t>
        </is>
      </c>
      <c r="M867" s="156" t="inlineStr">
        <is>
          <t>Stetson</t>
        </is>
      </c>
      <c r="N867" s="156" t="inlineStr">
        <is>
          <t>SS26</t>
        </is>
      </c>
      <c r="O867" s="156" t="inlineStr">
        <is>
          <t>Seasonal</t>
        </is>
      </c>
      <c r="P867" s="156" t="inlineStr">
        <is>
          <t>Cafe</t>
        </is>
      </c>
      <c r="Q867" s="156" t="n"/>
      <c r="R867" s="156" t="inlineStr">
        <is>
          <t>Copa Rancher</t>
        </is>
      </c>
      <c r="S867" s="156" t="inlineStr">
        <is>
          <t>100% Fieltro de lana</t>
        </is>
      </c>
      <c r="T867"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7" s="156" t="n"/>
      <c r="V867" s="156" t="inlineStr">
        <is>
          <t>PZS</t>
        </is>
      </c>
      <c r="W867" s="51" t="inlineStr">
        <is>
          <t>53102503</t>
        </is>
      </c>
      <c r="X867" s="156" t="inlineStr">
        <is>
          <t>https://cdn.shopify.com/s/files/1/0888/3250/8267/files/SFR160-014007-09.jpg?v=1759786729</t>
        </is>
      </c>
      <c r="Y867" s="54" t="n">
        <v>2835</v>
      </c>
      <c r="Z867" s="54" t="n">
        <v>6810.344828</v>
      </c>
      <c r="AA867" s="55">
        <f>IF(AND(A867="", B867="", E867=""), "", IF(AB867="", "Válido", IF((LEN(AB867)-LEN(SUBSTITUTE(AB867,"; ","")))/2+1&gt;(LEN(AB867)-LEN(SUBSTITUTE(AB867,"[Aviso]","")))/7, "Con Incidencias", "Válido")))</f>
        <v/>
      </c>
      <c r="AB867" s="56">
        <f>IF(AND(A867="", B867="", E867=""), "", TEXTJOIN("; ", TRUE, IF(OR(TRIM(A867&amp;"")="", ISNUMBER(SEARCH("FALTA", A867))), "UPC faltante/inválido", ""), IF(AND(A867&lt;&gt;"", IFERROR(_xlfn.XMATCH(A867,$A$2:$A$2509,0,1)&lt;&gt;_xlfn.XMATCH(A867,$A$2:$A$2509,0,-1),FALSE)), "Código de barras duplicado", ""), IF(AND(E867&lt;&gt;"", COUNTIF($E$2:$E$2509, E867)&gt;1), "SKU duplicado", ""), IF(OR(J867="", J867=""), "[Aviso] División no capturada ()", IF(ISNA(MATCH(J867, Criterios!$A$123:$A$126, 0)), "División no válida", "")), IF(OR(K867="", K867=""), "[Aviso] Categoría no capturada ()", IF(ISNA(MATCH(K867, Criterios!$A$81:$A$120, 0)), "Categoría no válida", IF(AND(J867&lt;&gt;"", J867&lt;&gt;"", J867&lt;&gt;VLOOKUP(K867, Criterios!$A$81:$B$120, 2, FALSE)), "División no coincide con Categoría", ""))), IF(OR(L867="", L867=""), "[Aviso] Género no capturado ()", IF(ISNA(MATCH(L867, Criterios!$B$123:$B$127, 0)), "Género no válido", "")), IF(OR(N867="", N867=""), "[Aviso] Temporada no capturada ()", IF(ISNA(MATCH(N867, Criterios!$C$123:$C$128, 0)), "Temporada no válida", "")), IF(OR(O867="", O867=""), "[Aviso] Ciclo de vida no capturado ()", IF(ISNA(MATCH(O867, Criterios!$D$123:$D$124, 0)), "Ciclo de vida no válido", ""))))</f>
        <v/>
      </c>
      <c r="AC867" s="56" t="n"/>
      <c r="AD867" s="51" t="n">
        <v>-1</v>
      </c>
      <c r="AE867" s="156" t="n"/>
      <c r="AF867" s="51" t="n">
        <v>0</v>
      </c>
      <c r="AG867" s="156" t="inlineStr">
        <is>
          <t>Catálogo existente</t>
        </is>
      </c>
      <c r="AH867" s="156" t="inlineStr">
        <is>
          <t>Stock negativo en sistema: revisar en conteo | Revisión 29/09/2026: Campos sin respaldo: U | 01/10/2026: complementado desde Shopify Stetson México (match por código de barras): WB Fit, WB Silueta</t>
        </is>
      </c>
      <c r="AI867" s="156" t="inlineStr">
        <is>
          <t>Sí</t>
        </is>
      </c>
      <c r="AJ867" s="156" t="inlineStr">
        <is>
          <t>STETSON AMERICAS (-1)</t>
        </is>
      </c>
      <c r="AK867" s="155" t="inlineStr">
        <is>
          <t>Criterios: I [Q] | Shopify Stetson: producto 14788288512363 / variante 53350609387883</t>
        </is>
      </c>
      <c r="AL867" s="58" t="n">
        <v>2835</v>
      </c>
      <c r="AM867" s="58" t="n">
        <v>6810.344828</v>
      </c>
      <c r="AN867" s="155" t="inlineStr">
        <is>
          <t>Shopify Stetson México</t>
        </is>
      </c>
      <c r="AO867" s="59" t="n">
        <v>0</v>
      </c>
      <c r="AP867" s="59" t="n"/>
      <c r="AQ867" s="59" t="n"/>
      <c r="AR867" s="155" t="n"/>
    </row>
    <row r="868">
      <c r="A868" s="50" t="inlineStr">
        <is>
          <t>195556125106</t>
        </is>
      </c>
      <c r="B868" s="51" t="inlineStr">
        <is>
          <t>110012</t>
        </is>
      </c>
      <c r="C868" s="156" t="inlineStr">
        <is>
          <t>Multimarca</t>
        </is>
      </c>
      <c r="D868" s="156" t="inlineStr">
        <is>
          <t>SFR160-014035</t>
        </is>
      </c>
      <c r="E868" s="156" t="inlineStr">
        <is>
          <t>SFR160-01403573</t>
        </is>
      </c>
      <c r="F868" s="156" t="inlineStr">
        <is>
          <t>7 3/8</t>
        </is>
      </c>
      <c r="G868" s="156" t="inlineStr">
        <is>
          <t>7 3/8</t>
        </is>
      </c>
      <c r="H868" s="156" t="inlineStr">
        <is>
          <t>Stetson</t>
        </is>
      </c>
      <c r="I868" s="156" t="inlineStr">
        <is>
          <t>Texana Stetson Rancher 160th Edition Plomo</t>
        </is>
      </c>
      <c r="J868" s="156" t="inlineStr">
        <is>
          <t>Accesorios</t>
        </is>
      </c>
      <c r="K868" s="156" t="inlineStr">
        <is>
          <t>Sombreros</t>
        </is>
      </c>
      <c r="L868" s="156" t="inlineStr">
        <is>
          <t>Unisex</t>
        </is>
      </c>
      <c r="M868" s="156" t="inlineStr">
        <is>
          <t>Stetson</t>
        </is>
      </c>
      <c r="N868" s="156" t="inlineStr">
        <is>
          <t>SS26</t>
        </is>
      </c>
      <c r="O868" s="156" t="inlineStr">
        <is>
          <t>Seasonal</t>
        </is>
      </c>
      <c r="P868" s="156" t="inlineStr">
        <is>
          <t>Gris</t>
        </is>
      </c>
      <c r="Q868" s="156" t="n"/>
      <c r="R868" s="156" t="inlineStr">
        <is>
          <t>Copa Rancher</t>
        </is>
      </c>
      <c r="S868" s="156" t="inlineStr">
        <is>
          <t>100% Fieltro de lana</t>
        </is>
      </c>
      <c r="T868"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8" s="156" t="n"/>
      <c r="V868" s="156" t="inlineStr">
        <is>
          <t>PZS</t>
        </is>
      </c>
      <c r="W868" s="51" t="inlineStr">
        <is>
          <t>53102503</t>
        </is>
      </c>
      <c r="X868" s="156" t="inlineStr">
        <is>
          <t>https://cdn.shopify.com/s/files/1/0888/3250/8267/files/SFR160-014022-05.jpg?v=1759786757</t>
        </is>
      </c>
      <c r="Y868" s="54" t="n">
        <v>2835</v>
      </c>
      <c r="Z868" s="54" t="n">
        <v>6810.344828</v>
      </c>
      <c r="AA868" s="55">
        <f>IF(AND(A868="", B868="", E868=""), "", IF(AB868="", "Válido", IF((LEN(AB868)-LEN(SUBSTITUTE(AB868,"; ","")))/2+1&gt;(LEN(AB868)-LEN(SUBSTITUTE(AB868,"[Aviso]","")))/7, "Con Incidencias", "Válido")))</f>
        <v/>
      </c>
      <c r="AB868" s="56">
        <f>IF(AND(A868="", B868="", E868=""), "", TEXTJOIN("; ", TRUE, IF(OR(TRIM(A868&amp;"")="", ISNUMBER(SEARCH("FALTA", A868))), "UPC faltante/inválido", ""), IF(AND(A868&lt;&gt;"", IFERROR(_xlfn.XMATCH(A868,$A$2:$A$2509,0,1)&lt;&gt;_xlfn.XMATCH(A868,$A$2:$A$2509,0,-1),FALSE)), "Código de barras duplicado", ""), IF(AND(E868&lt;&gt;"", COUNTIF($E$2:$E$2509, E868)&gt;1), "SKU duplicado", ""), IF(OR(J868="", J868=""), "[Aviso] División no capturada ()", IF(ISNA(MATCH(J868, Criterios!$A$123:$A$126, 0)), "División no válida", "")), IF(OR(K868="", K868=""), "[Aviso] Categoría no capturada ()", IF(ISNA(MATCH(K868, Criterios!$A$81:$A$120, 0)), "Categoría no válida", IF(AND(J868&lt;&gt;"", J868&lt;&gt;"", J868&lt;&gt;VLOOKUP(K868, Criterios!$A$81:$B$120, 2, FALSE)), "División no coincide con Categoría", ""))), IF(OR(L868="", L868=""), "[Aviso] Género no capturado ()", IF(ISNA(MATCH(L868, Criterios!$B$123:$B$127, 0)), "Género no válido", "")), IF(OR(N868="", N868=""), "[Aviso] Temporada no capturada ()", IF(ISNA(MATCH(N868, Criterios!$C$123:$C$128, 0)), "Temporada no válida", "")), IF(OR(O868="", O868=""), "[Aviso] Ciclo de vida no capturado ()", IF(ISNA(MATCH(O868, Criterios!$D$123:$D$124, 0)), "Ciclo de vida no válido", ""))))</f>
        <v/>
      </c>
      <c r="AC868" s="56" t="n"/>
      <c r="AD868" s="51" t="n">
        <v>-1</v>
      </c>
      <c r="AE868" s="156" t="n"/>
      <c r="AF868" s="51" t="n">
        <v>0</v>
      </c>
      <c r="AG868" s="156" t="inlineStr">
        <is>
          <t>Catálogo existente</t>
        </is>
      </c>
      <c r="AH868"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8" s="156" t="inlineStr">
        <is>
          <t>Sí</t>
        </is>
      </c>
      <c r="AJ868" s="156" t="inlineStr">
        <is>
          <t>STETSON AMERICAS (-1)</t>
        </is>
      </c>
      <c r="AK868" s="155" t="inlineStr">
        <is>
          <t>Criterios: I [Q] | Shopify Stetson: producto 14788288512363 / variante 53350609551723</t>
        </is>
      </c>
      <c r="AL868" s="58" t="n">
        <v>2835</v>
      </c>
      <c r="AM868" s="58" t="n">
        <v>6810.344828</v>
      </c>
      <c r="AN868" s="155" t="inlineStr">
        <is>
          <t>Shopify Stetson México</t>
        </is>
      </c>
      <c r="AO868" s="59" t="n">
        <v>1</v>
      </c>
      <c r="AP868" s="59" t="n"/>
      <c r="AQ868" s="59" t="n"/>
      <c r="AR868" s="155" t="inlineStr">
        <is>
          <t>Shopify Stetson México › Eventos: 1</t>
        </is>
      </c>
    </row>
    <row r="869">
      <c r="A869" s="50" t="inlineStr">
        <is>
          <t>195556125113</t>
        </is>
      </c>
      <c r="B869" s="51" t="inlineStr">
        <is>
          <t>110017</t>
        </is>
      </c>
      <c r="C869" s="156" t="inlineStr">
        <is>
          <t>Multimarca</t>
        </is>
      </c>
      <c r="D869" s="156" t="inlineStr">
        <is>
          <t>SFR160-014061</t>
        </is>
      </c>
      <c r="E869" s="156" t="inlineStr">
        <is>
          <t>SFR160-01406173</t>
        </is>
      </c>
      <c r="F869" s="156" t="inlineStr">
        <is>
          <t>7 3/8</t>
        </is>
      </c>
      <c r="G869" s="156" t="inlineStr">
        <is>
          <t>7 3/8</t>
        </is>
      </c>
      <c r="H869" s="156" t="inlineStr">
        <is>
          <t>Stetson</t>
        </is>
      </c>
      <c r="I869" s="156" t="inlineStr">
        <is>
          <t>Texana Stetson Rancher 160th Edition Plata</t>
        </is>
      </c>
      <c r="J869" s="156" t="inlineStr">
        <is>
          <t>Accesorios</t>
        </is>
      </c>
      <c r="K869" s="156" t="inlineStr">
        <is>
          <t>Sombreros</t>
        </is>
      </c>
      <c r="L869" s="156" t="inlineStr">
        <is>
          <t>Unisex</t>
        </is>
      </c>
      <c r="M869" s="156" t="inlineStr">
        <is>
          <t>Stetson</t>
        </is>
      </c>
      <c r="N869" s="156" t="inlineStr">
        <is>
          <t>SS26</t>
        </is>
      </c>
      <c r="O869" s="156" t="inlineStr">
        <is>
          <t>Seasonal</t>
        </is>
      </c>
      <c r="P869" s="156" t="inlineStr">
        <is>
          <t>Gris</t>
        </is>
      </c>
      <c r="Q869" s="156" t="n"/>
      <c r="R869" s="156" t="inlineStr">
        <is>
          <t>Copa Rancher</t>
        </is>
      </c>
      <c r="S869" s="156" t="inlineStr">
        <is>
          <t>100% Fieltro de lana</t>
        </is>
      </c>
      <c r="T869"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9" s="156" t="n"/>
      <c r="V869" s="156" t="inlineStr">
        <is>
          <t>PZS</t>
        </is>
      </c>
      <c r="W869" s="51" t="inlineStr">
        <is>
          <t>53102503</t>
        </is>
      </c>
      <c r="X869" s="156" t="inlineStr">
        <is>
          <t>https://cdn.shopify.com/s/files/1/0888/3250/8267/files/SFR160-014035-01.jpg?v=1759786768</t>
        </is>
      </c>
      <c r="Y869" s="54" t="n">
        <v>2835</v>
      </c>
      <c r="Z869" s="54" t="n">
        <v>6810.344828</v>
      </c>
      <c r="AA869" s="55">
        <f>IF(AND(A869="", B869="", E869=""), "", IF(AB869="", "Válido", IF((LEN(AB869)-LEN(SUBSTITUTE(AB869,"; ","")))/2+1&gt;(LEN(AB869)-LEN(SUBSTITUTE(AB869,"[Aviso]","")))/7, "Con Incidencias", "Válido")))</f>
        <v/>
      </c>
      <c r="AB869" s="56">
        <f>IF(AND(A869="", B869="", E869=""), "", TEXTJOIN("; ", TRUE, IF(OR(TRIM(A869&amp;"")="", ISNUMBER(SEARCH("FALTA", A869))), "UPC faltante/inválido", ""), IF(AND(A869&lt;&gt;"", IFERROR(_xlfn.XMATCH(A869,$A$2:$A$2509,0,1)&lt;&gt;_xlfn.XMATCH(A869,$A$2:$A$2509,0,-1),FALSE)), "Código de barras duplicado", ""), IF(AND(E869&lt;&gt;"", COUNTIF($E$2:$E$2509, E869)&gt;1), "SKU duplicado", ""), IF(OR(J869="", J869=""), "[Aviso] División no capturada ()", IF(ISNA(MATCH(J869, Criterios!$A$123:$A$126, 0)), "División no válida", "")), IF(OR(K869="", K869=""), "[Aviso] Categoría no capturada ()", IF(ISNA(MATCH(K869, Criterios!$A$81:$A$120, 0)), "Categoría no válida", IF(AND(J869&lt;&gt;"", J869&lt;&gt;"", J869&lt;&gt;VLOOKUP(K869, Criterios!$A$81:$B$120, 2, FALSE)), "División no coincide con Categoría", ""))), IF(OR(L869="", L869=""), "[Aviso] Género no capturado ()", IF(ISNA(MATCH(L869, Criterios!$B$123:$B$127, 0)), "Género no válido", "")), IF(OR(N869="", N869=""), "[Aviso] Temporada no capturada ()", IF(ISNA(MATCH(N869, Criterios!$C$123:$C$128, 0)), "Temporada no válida", "")), IF(OR(O869="", O869=""), "[Aviso] Ciclo de vida no capturado ()", IF(ISNA(MATCH(O869, Criterios!$D$123:$D$124, 0)), "Ciclo de vida no válido", ""))))</f>
        <v/>
      </c>
      <c r="AC869" s="56" t="n"/>
      <c r="AD869" s="51" t="n">
        <v>2</v>
      </c>
      <c r="AE869" s="156" t="inlineStr">
        <is>
          <t>STETSON AMERICAS (1); B25 STETSON.MX (1)</t>
        </is>
      </c>
      <c r="AF869" s="51" t="n">
        <v>2</v>
      </c>
      <c r="AG869" s="156" t="inlineStr">
        <is>
          <t>Catálogo existente</t>
        </is>
      </c>
      <c r="AH869" s="156" t="inlineStr">
        <is>
          <t>Revisión 29/09/2026: Campos sin respaldo: U | 01/10/2026: complementado desde Shopify Stetson México (match por código de barras): WB Fit, WB Silueta | 01/10/2026: Shopify Stetson México trae Color «Varios» — se conservó el valor de Productos</t>
        </is>
      </c>
      <c r="AI869" s="156" t="inlineStr">
        <is>
          <t>No</t>
        </is>
      </c>
      <c r="AJ869" s="156" t="n"/>
      <c r="AK869" s="155" t="inlineStr">
        <is>
          <t>Criterios: I [Q] | Shopify Stetson: producto 14788288512363 / variante 53350609715563</t>
        </is>
      </c>
      <c r="AL869" s="58" t="n">
        <v>2835</v>
      </c>
      <c r="AM869" s="58" t="n">
        <v>6810.344828</v>
      </c>
      <c r="AN869" s="155" t="inlineStr">
        <is>
          <t>Shopify Stetson México</t>
        </is>
      </c>
      <c r="AO869" s="59" t="n">
        <v>2</v>
      </c>
      <c r="AP869" s="59" t="n"/>
      <c r="AQ869" s="59" t="n"/>
      <c r="AR869" s="155" t="inlineStr">
        <is>
          <t>Shopify Stetson México › Stetson Americas: 2</t>
        </is>
      </c>
    </row>
    <row r="870">
      <c r="A870" s="50" t="inlineStr">
        <is>
          <t>195556125120</t>
        </is>
      </c>
      <c r="B870" s="51" t="inlineStr">
        <is>
          <t>110003</t>
        </is>
      </c>
      <c r="C870" s="156" t="inlineStr">
        <is>
          <t>Multimarca</t>
        </is>
      </c>
      <c r="D870" s="156" t="inlineStr">
        <is>
          <t>SFR160-014007</t>
        </is>
      </c>
      <c r="E870" s="156" t="inlineStr">
        <is>
          <t>SFR160-01400774</t>
        </is>
      </c>
      <c r="F870" s="156" t="inlineStr">
        <is>
          <t>7 1/2</t>
        </is>
      </c>
      <c r="G870" s="156" t="inlineStr">
        <is>
          <t>7 1/2</t>
        </is>
      </c>
      <c r="H870" s="156" t="inlineStr">
        <is>
          <t>Stetson</t>
        </is>
      </c>
      <c r="I870" s="156" t="inlineStr">
        <is>
          <t>Texana Stetson Rancher 160th Edition Negro</t>
        </is>
      </c>
      <c r="J870" s="156" t="inlineStr">
        <is>
          <t>Accesorios</t>
        </is>
      </c>
      <c r="K870" s="156" t="inlineStr">
        <is>
          <t>Sombreros</t>
        </is>
      </c>
      <c r="L870" s="156" t="inlineStr">
        <is>
          <t>Unisex</t>
        </is>
      </c>
      <c r="M870" s="156" t="inlineStr">
        <is>
          <t>Stetson</t>
        </is>
      </c>
      <c r="N870" s="156" t="inlineStr">
        <is>
          <t>SS26</t>
        </is>
      </c>
      <c r="O870" s="156" t="inlineStr">
        <is>
          <t>Seasonal</t>
        </is>
      </c>
      <c r="P870" s="156" t="inlineStr">
        <is>
          <t>Negro</t>
        </is>
      </c>
      <c r="Q870" s="156" t="n"/>
      <c r="R870" s="156" t="inlineStr">
        <is>
          <t>Copa Rancher</t>
        </is>
      </c>
      <c r="S870" s="156" t="inlineStr">
        <is>
          <t>100% Fieltro de lana</t>
        </is>
      </c>
      <c r="T870"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0" s="156" t="n"/>
      <c r="V870" s="156" t="inlineStr">
        <is>
          <t>PZS</t>
        </is>
      </c>
      <c r="W870" s="51" t="inlineStr">
        <is>
          <t>53102503</t>
        </is>
      </c>
      <c r="X870" s="156" t="inlineStr">
        <is>
          <t>https://cdn.shopify.com/s/files/1/0888/3250/8267/files/SFR160-014007-05.jpg?v=1759786730</t>
        </is>
      </c>
      <c r="Y870" s="54" t="n">
        <v>2835</v>
      </c>
      <c r="Z870" s="54" t="n">
        <v>6810.344828</v>
      </c>
      <c r="AA870" s="55">
        <f>IF(AND(A870="", B870="", E870=""), "", IF(AB870="", "Válido", IF((LEN(AB870)-LEN(SUBSTITUTE(AB870,"; ","")))/2+1&gt;(LEN(AB870)-LEN(SUBSTITUTE(AB870,"[Aviso]","")))/7, "Con Incidencias", "Válido")))</f>
        <v/>
      </c>
      <c r="AB870" s="56">
        <f>IF(AND(A870="", B870="", E870=""), "", TEXTJOIN("; ", TRUE, IF(OR(TRIM(A870&amp;"")="", ISNUMBER(SEARCH("FALTA", A870))), "UPC faltante/inválido", ""), IF(AND(A870&lt;&gt;"", IFERROR(_xlfn.XMATCH(A870,$A$2:$A$2509,0,1)&lt;&gt;_xlfn.XMATCH(A870,$A$2:$A$2509,0,-1),FALSE)), "Código de barras duplicado", ""), IF(AND(E870&lt;&gt;"", COUNTIF($E$2:$E$2509, E870)&gt;1), "SKU duplicado", ""), IF(OR(J870="", J870=""), "[Aviso] División no capturada ()", IF(ISNA(MATCH(J870, Criterios!$A$123:$A$126, 0)), "División no válida", "")), IF(OR(K870="", K870=""), "[Aviso] Categoría no capturada ()", IF(ISNA(MATCH(K870, Criterios!$A$81:$A$120, 0)), "Categoría no válida", IF(AND(J870&lt;&gt;"", J870&lt;&gt;"", J870&lt;&gt;VLOOKUP(K870, Criterios!$A$81:$B$120, 2, FALSE)), "División no coincide con Categoría", ""))), IF(OR(L870="", L870=""), "[Aviso] Género no capturado ()", IF(ISNA(MATCH(L870, Criterios!$B$123:$B$127, 0)), "Género no válido", "")), IF(OR(N870="", N870=""), "[Aviso] Temporada no capturada ()", IF(ISNA(MATCH(N870, Criterios!$C$123:$C$128, 0)), "Temporada no válida", "")), IF(OR(O870="", O870=""), "[Aviso] Ciclo de vida no capturado ()", IF(ISNA(MATCH(O870, Criterios!$D$123:$D$124, 0)), "Ciclo de vida no válido", ""))))</f>
        <v/>
      </c>
      <c r="AC870" s="56" t="n"/>
      <c r="AD870" s="51" t="n">
        <v>1</v>
      </c>
      <c r="AE870" s="156" t="inlineStr">
        <is>
          <t>STETSON AMERICAS (2)</t>
        </is>
      </c>
      <c r="AF870" s="51" t="n">
        <v>2</v>
      </c>
      <c r="AG870" s="156" t="inlineStr">
        <is>
          <t>Catálogo existente</t>
        </is>
      </c>
      <c r="AH870" s="156" t="inlineStr">
        <is>
          <t>Revisión 29/09/2026: Campos sin respaldo: U | 01/10/2026: complementado desde Shopify Stetson México (match por código de barras): WB Fit, WB Silueta</t>
        </is>
      </c>
      <c r="AI870" s="156" t="inlineStr">
        <is>
          <t>Sí</t>
        </is>
      </c>
      <c r="AJ870" s="156" t="inlineStr">
        <is>
          <t>PUNTO DE VENTA (-1)</t>
        </is>
      </c>
      <c r="AK870" s="155" t="inlineStr">
        <is>
          <t>Criterios: I [Q] | Shopify Stetson: producto 14788288512363 / variante 53350609256811</t>
        </is>
      </c>
      <c r="AL870" s="58" t="n">
        <v>2835</v>
      </c>
      <c r="AM870" s="58" t="n">
        <v>6810.344828</v>
      </c>
      <c r="AN870" s="155" t="inlineStr">
        <is>
          <t>Shopify Stetson México</t>
        </is>
      </c>
      <c r="AO870" s="59" t="n">
        <v>3</v>
      </c>
      <c r="AP870" s="59" t="n"/>
      <c r="AQ870" s="59" t="n"/>
      <c r="AR870" s="155" t="inlineStr">
        <is>
          <t>Shopify Stetson México › Stetson Americas: 2 | Shopify Stetson México › Eventos: 1</t>
        </is>
      </c>
    </row>
    <row r="871">
      <c r="A871" s="50" t="inlineStr">
        <is>
          <t>195556125137</t>
        </is>
      </c>
      <c r="B871" s="51" t="inlineStr">
        <is>
          <t>110008</t>
        </is>
      </c>
      <c r="C871" s="156" t="inlineStr">
        <is>
          <t>Multimarca</t>
        </is>
      </c>
      <c r="D871" s="156" t="inlineStr">
        <is>
          <t>SFR160-014022</t>
        </is>
      </c>
      <c r="E871" s="156" t="inlineStr">
        <is>
          <t>SFR160-01402274</t>
        </is>
      </c>
      <c r="F871" s="156" t="inlineStr">
        <is>
          <t>7 1/2</t>
        </is>
      </c>
      <c r="G871" s="156" t="inlineStr">
        <is>
          <t>7 1/2</t>
        </is>
      </c>
      <c r="H871" s="156" t="inlineStr">
        <is>
          <t>Stetson</t>
        </is>
      </c>
      <c r="I871" s="156" t="inlineStr">
        <is>
          <t>Texana Stetson Rancher 160th Edition Chocolate</t>
        </is>
      </c>
      <c r="J871" s="156" t="inlineStr">
        <is>
          <t>Accesorios</t>
        </is>
      </c>
      <c r="K871" s="156" t="inlineStr">
        <is>
          <t>Sombreros</t>
        </is>
      </c>
      <c r="L871" s="156" t="inlineStr">
        <is>
          <t>Unisex</t>
        </is>
      </c>
      <c r="M871" s="156" t="inlineStr">
        <is>
          <t>Stetson</t>
        </is>
      </c>
      <c r="N871" s="156" t="inlineStr">
        <is>
          <t>SS26</t>
        </is>
      </c>
      <c r="O871" s="156" t="inlineStr">
        <is>
          <t>Seasonal</t>
        </is>
      </c>
      <c r="P871" s="156" t="inlineStr">
        <is>
          <t>Cafe</t>
        </is>
      </c>
      <c r="Q871" s="156" t="n"/>
      <c r="R871" s="156" t="inlineStr">
        <is>
          <t>Copa Rancher</t>
        </is>
      </c>
      <c r="S871" s="156" t="inlineStr">
        <is>
          <t>100% Fieltro de lana</t>
        </is>
      </c>
      <c r="T871"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1" s="156" t="n"/>
      <c r="V871" s="156" t="inlineStr">
        <is>
          <t>PZS</t>
        </is>
      </c>
      <c r="W871" s="51" t="inlineStr">
        <is>
          <t>53102503</t>
        </is>
      </c>
      <c r="X871" s="156" t="inlineStr">
        <is>
          <t>https://cdn.shopify.com/s/files/1/0888/3250/8267/files/SFR160-014022-01.jpg?v=1759786757</t>
        </is>
      </c>
      <c r="Y871" s="54" t="n">
        <v>2835</v>
      </c>
      <c r="Z871" s="54" t="n">
        <v>6810.344828</v>
      </c>
      <c r="AA871" s="55">
        <f>IF(AND(A871="", B871="", E871=""), "", IF(AB871="", "Válido", IF((LEN(AB871)-LEN(SUBSTITUTE(AB871,"; ","")))/2+1&gt;(LEN(AB871)-LEN(SUBSTITUTE(AB871,"[Aviso]","")))/7, "Con Incidencias", "Válido")))</f>
        <v/>
      </c>
      <c r="AB871" s="56">
        <f>IF(AND(A871="", B871="", E871=""), "", TEXTJOIN("; ", TRUE, IF(OR(TRIM(A871&amp;"")="", ISNUMBER(SEARCH("FALTA", A871))), "UPC faltante/inválido", ""), IF(AND(A871&lt;&gt;"", IFERROR(_xlfn.XMATCH(A871,$A$2:$A$2509,0,1)&lt;&gt;_xlfn.XMATCH(A871,$A$2:$A$2509,0,-1),FALSE)), "Código de barras duplicado", ""), IF(AND(E871&lt;&gt;"", COUNTIF($E$2:$E$2509, E871)&gt;1), "SKU duplicado", ""), IF(OR(J871="", J871=""), "[Aviso] División no capturada ()", IF(ISNA(MATCH(J871, Criterios!$A$123:$A$126, 0)), "División no válida", "")), IF(OR(K871="", K871=""), "[Aviso] Categoría no capturada ()", IF(ISNA(MATCH(K871, Criterios!$A$81:$A$120, 0)), "Categoría no válida", IF(AND(J871&lt;&gt;"", J871&lt;&gt;"", J871&lt;&gt;VLOOKUP(K871, Criterios!$A$81:$B$120, 2, FALSE)), "División no coincide con Categoría", ""))), IF(OR(L871="", L871=""), "[Aviso] Género no capturado ()", IF(ISNA(MATCH(L871, Criterios!$B$123:$B$127, 0)), "Género no válido", "")), IF(OR(N871="", N871=""), "[Aviso] Temporada no capturada ()", IF(ISNA(MATCH(N871, Criterios!$C$123:$C$128, 0)), "Temporada no válida", "")), IF(OR(O871="", O871=""), "[Aviso] Ciclo de vida no capturado ()", IF(ISNA(MATCH(O871, Criterios!$D$123:$D$124, 0)), "Ciclo de vida no válido", ""))))</f>
        <v/>
      </c>
      <c r="AC871" s="56" t="n"/>
      <c r="AD871" s="51" t="n">
        <v>-1</v>
      </c>
      <c r="AE871" s="156" t="n"/>
      <c r="AF871" s="51" t="n">
        <v>0</v>
      </c>
      <c r="AG871" s="156" t="inlineStr">
        <is>
          <t>Catálogo existente</t>
        </is>
      </c>
      <c r="AH871" s="156" t="inlineStr">
        <is>
          <t>Stock negativo en sistema: revisar en conteo | Revisión 29/09/2026: Campos sin respaldo: U | 01/10/2026: complementado desde Shopify Stetson México (match por código de barras): WB Fit, WB Silueta</t>
        </is>
      </c>
      <c r="AI871" s="156" t="inlineStr">
        <is>
          <t>Sí</t>
        </is>
      </c>
      <c r="AJ871" s="156" t="inlineStr">
        <is>
          <t>STETSON AMERICAS (-1)</t>
        </is>
      </c>
      <c r="AK871" s="155" t="inlineStr">
        <is>
          <t>Criterios: I [Q] | Shopify Stetson: producto 14788288512363 / variante 53350609420651</t>
        </is>
      </c>
      <c r="AL871" s="58" t="n">
        <v>2835</v>
      </c>
      <c r="AM871" s="58" t="n">
        <v>6810.344828</v>
      </c>
      <c r="AN871" s="155" t="inlineStr">
        <is>
          <t>Shopify Stetson México</t>
        </is>
      </c>
      <c r="AO871" s="59" t="n">
        <v>0</v>
      </c>
      <c r="AP871" s="59" t="n"/>
      <c r="AQ871" s="59" t="n"/>
      <c r="AR871" s="155" t="n"/>
    </row>
    <row r="872">
      <c r="A872" s="50" t="inlineStr">
        <is>
          <t>195556125144</t>
        </is>
      </c>
      <c r="B872" s="51" t="inlineStr">
        <is>
          <t>110013</t>
        </is>
      </c>
      <c r="C872" s="156" t="inlineStr">
        <is>
          <t>Multimarca</t>
        </is>
      </c>
      <c r="D872" s="156" t="inlineStr">
        <is>
          <t>SFR160-014035</t>
        </is>
      </c>
      <c r="E872" s="156" t="inlineStr">
        <is>
          <t>SFR160-01403574</t>
        </is>
      </c>
      <c r="F872" s="156" t="inlineStr">
        <is>
          <t>7 1/2</t>
        </is>
      </c>
      <c r="G872" s="156" t="inlineStr">
        <is>
          <t>7 1/2</t>
        </is>
      </c>
      <c r="H872" s="156" t="inlineStr">
        <is>
          <t>Stetson</t>
        </is>
      </c>
      <c r="I872" s="156" t="inlineStr">
        <is>
          <t>Texana Stetson Rancher 160th Edition Plomo</t>
        </is>
      </c>
      <c r="J872" s="156" t="inlineStr">
        <is>
          <t>Accesorios</t>
        </is>
      </c>
      <c r="K872" s="156" t="inlineStr">
        <is>
          <t>Sombreros</t>
        </is>
      </c>
      <c r="L872" s="156" t="inlineStr">
        <is>
          <t>Unisex</t>
        </is>
      </c>
      <c r="M872" s="156" t="inlineStr">
        <is>
          <t>Stetson</t>
        </is>
      </c>
      <c r="N872" s="156" t="inlineStr">
        <is>
          <t>SS26</t>
        </is>
      </c>
      <c r="O872" s="156" t="inlineStr">
        <is>
          <t>Seasonal</t>
        </is>
      </c>
      <c r="P872" s="156" t="inlineStr">
        <is>
          <t>Gris</t>
        </is>
      </c>
      <c r="Q872" s="156" t="n"/>
      <c r="R872" s="156" t="inlineStr">
        <is>
          <t>Copa Rancher</t>
        </is>
      </c>
      <c r="S872" s="156" t="inlineStr">
        <is>
          <t>100% Fieltro de lana</t>
        </is>
      </c>
      <c r="T872"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2" s="156" t="n"/>
      <c r="V872" s="156" t="inlineStr">
        <is>
          <t>PZS</t>
        </is>
      </c>
      <c r="W872" s="51" t="inlineStr">
        <is>
          <t>53102503</t>
        </is>
      </c>
      <c r="X872" s="156" t="inlineStr">
        <is>
          <t>https://cdn.shopify.com/s/files/1/0888/3250/8267/files/SFR160-014022-06.jpg?v=1759786757</t>
        </is>
      </c>
      <c r="Y872" s="54" t="n">
        <v>2835</v>
      </c>
      <c r="Z872" s="54" t="n">
        <v>6810.344828</v>
      </c>
      <c r="AA872" s="55">
        <f>IF(AND(A872="", B872="", E872=""), "", IF(AB872="", "Válido", IF((LEN(AB872)-LEN(SUBSTITUTE(AB872,"; ","")))/2+1&gt;(LEN(AB872)-LEN(SUBSTITUTE(AB872,"[Aviso]","")))/7, "Con Incidencias", "Válido")))</f>
        <v/>
      </c>
      <c r="AB872" s="56">
        <f>IF(AND(A872="", B872="", E872=""), "", TEXTJOIN("; ", TRUE, IF(OR(TRIM(A872&amp;"")="", ISNUMBER(SEARCH("FALTA", A872))), "UPC faltante/inválido", ""), IF(AND(A872&lt;&gt;"", IFERROR(_xlfn.XMATCH(A872,$A$2:$A$2509,0,1)&lt;&gt;_xlfn.XMATCH(A872,$A$2:$A$2509,0,-1),FALSE)), "Código de barras duplicado", ""), IF(AND(E872&lt;&gt;"", COUNTIF($E$2:$E$2509, E872)&gt;1), "SKU duplicado", ""), IF(OR(J872="", J872=""), "[Aviso] División no capturada ()", IF(ISNA(MATCH(J872, Criterios!$A$123:$A$126, 0)), "División no válida", "")), IF(OR(K872="", K872=""), "[Aviso] Categoría no capturada ()", IF(ISNA(MATCH(K872, Criterios!$A$81:$A$120, 0)), "Categoría no válida", IF(AND(J872&lt;&gt;"", J872&lt;&gt;"", J872&lt;&gt;VLOOKUP(K872, Criterios!$A$81:$B$120, 2, FALSE)), "División no coincide con Categoría", ""))), IF(OR(L872="", L872=""), "[Aviso] Género no capturado ()", IF(ISNA(MATCH(L872, Criterios!$B$123:$B$127, 0)), "Género no válido", "")), IF(OR(N872="", N872=""), "[Aviso] Temporada no capturada ()", IF(ISNA(MATCH(N872, Criterios!$C$123:$C$128, 0)), "Temporada no válida", "")), IF(OR(O872="", O872=""), "[Aviso] Ciclo de vida no capturado ()", IF(ISNA(MATCH(O872, Criterios!$D$123:$D$124, 0)), "Ciclo de vida no válido", ""))))</f>
        <v/>
      </c>
      <c r="AC872" s="56" t="n"/>
      <c r="AD872" s="51" t="n">
        <v>-1</v>
      </c>
      <c r="AE872" s="156" t="n"/>
      <c r="AF872" s="51" t="n">
        <v>0</v>
      </c>
      <c r="AG872" s="156" t="inlineStr">
        <is>
          <t>Catálogo existente</t>
        </is>
      </c>
      <c r="AH872"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72" s="156" t="inlineStr">
        <is>
          <t>Sí</t>
        </is>
      </c>
      <c r="AJ872" s="156" t="inlineStr">
        <is>
          <t>STETSON AMERICAS (-1)</t>
        </is>
      </c>
      <c r="AK872" s="155" t="inlineStr">
        <is>
          <t>Criterios: I [Q] | Shopify Stetson: producto 14788288512363 / variante 53350609584491</t>
        </is>
      </c>
      <c r="AL872" s="58" t="n">
        <v>2835</v>
      </c>
      <c r="AM872" s="58" t="n">
        <v>6810.344828</v>
      </c>
      <c r="AN872" s="155" t="inlineStr">
        <is>
          <t>Shopify Stetson México</t>
        </is>
      </c>
      <c r="AO872" s="59" t="n">
        <v>0</v>
      </c>
      <c r="AP872" s="59" t="n"/>
      <c r="AQ872" s="59" t="n"/>
      <c r="AR872" s="155" t="n"/>
    </row>
    <row r="873">
      <c r="A873" s="50" t="inlineStr">
        <is>
          <t>195556125151</t>
        </is>
      </c>
      <c r="B873" s="51" t="inlineStr">
        <is>
          <t>110018</t>
        </is>
      </c>
      <c r="C873" s="156" t="inlineStr">
        <is>
          <t>Multimarca</t>
        </is>
      </c>
      <c r="D873" s="156" t="inlineStr">
        <is>
          <t>SFR160-014061</t>
        </is>
      </c>
      <c r="E873" s="156" t="inlineStr">
        <is>
          <t>SFR160-01406174</t>
        </is>
      </c>
      <c r="F873" s="156" t="inlineStr">
        <is>
          <t>7 1/2</t>
        </is>
      </c>
      <c r="G873" s="156" t="inlineStr">
        <is>
          <t>7 1/2</t>
        </is>
      </c>
      <c r="H873" s="156" t="inlineStr">
        <is>
          <t>Stetson</t>
        </is>
      </c>
      <c r="I873" s="156" t="inlineStr">
        <is>
          <t>Texana Stetson Rancher 160th Edition Plata</t>
        </is>
      </c>
      <c r="J873" s="156" t="inlineStr">
        <is>
          <t>Accesorios</t>
        </is>
      </c>
      <c r="K873" s="156" t="inlineStr">
        <is>
          <t>Sombreros</t>
        </is>
      </c>
      <c r="L873" s="156" t="inlineStr">
        <is>
          <t>Unisex</t>
        </is>
      </c>
      <c r="M873" s="156" t="inlineStr">
        <is>
          <t>Stetson</t>
        </is>
      </c>
      <c r="N873" s="156" t="inlineStr">
        <is>
          <t>SS26</t>
        </is>
      </c>
      <c r="O873" s="156" t="inlineStr">
        <is>
          <t>Seasonal</t>
        </is>
      </c>
      <c r="P873" s="156" t="inlineStr">
        <is>
          <t>Gris</t>
        </is>
      </c>
      <c r="Q873" s="156" t="n"/>
      <c r="R873" s="156" t="inlineStr">
        <is>
          <t>Copa Rancher</t>
        </is>
      </c>
      <c r="S873" s="156" t="inlineStr">
        <is>
          <t>100% Fieltro de lana</t>
        </is>
      </c>
      <c r="T873"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3" s="156" t="n"/>
      <c r="V873" s="156" t="inlineStr">
        <is>
          <t>PZS</t>
        </is>
      </c>
      <c r="W873" s="51" t="inlineStr">
        <is>
          <t>53102503</t>
        </is>
      </c>
      <c r="X873" s="156" t="inlineStr">
        <is>
          <t>https://cdn.shopify.com/s/files/1/0888/3250/8267/files/SFR160-014035-02.jpg?v=1759786768</t>
        </is>
      </c>
      <c r="Y873" s="54" t="n">
        <v>2835</v>
      </c>
      <c r="Z873" s="54" t="n">
        <v>6810.344828</v>
      </c>
      <c r="AA873" s="55">
        <f>IF(AND(A873="", B873="", E873=""), "", IF(AB873="", "Válido", IF((LEN(AB873)-LEN(SUBSTITUTE(AB873,"; ","")))/2+1&gt;(LEN(AB873)-LEN(SUBSTITUTE(AB873,"[Aviso]","")))/7, "Con Incidencias", "Válido")))</f>
        <v/>
      </c>
      <c r="AB873" s="56">
        <f>IF(AND(A873="", B873="", E873=""), "", TEXTJOIN("; ", TRUE, IF(OR(TRIM(A873&amp;"")="", ISNUMBER(SEARCH("FALTA", A873))), "UPC faltante/inválido", ""), IF(AND(A873&lt;&gt;"", IFERROR(_xlfn.XMATCH(A873,$A$2:$A$2509,0,1)&lt;&gt;_xlfn.XMATCH(A873,$A$2:$A$2509,0,-1),FALSE)), "Código de barras duplicado", ""), IF(AND(E873&lt;&gt;"", COUNTIF($E$2:$E$2509, E873)&gt;1), "SKU duplicado", ""), IF(OR(J873="", J873=""), "[Aviso] División no capturada ()", IF(ISNA(MATCH(J873, Criterios!$A$123:$A$126, 0)), "División no válida", "")), IF(OR(K873="", K873=""), "[Aviso] Categoría no capturada ()", IF(ISNA(MATCH(K873, Criterios!$A$81:$A$120, 0)), "Categoría no válida", IF(AND(J873&lt;&gt;"", J873&lt;&gt;"", J873&lt;&gt;VLOOKUP(K873, Criterios!$A$81:$B$120, 2, FALSE)), "División no coincide con Categoría", ""))), IF(OR(L873="", L873=""), "[Aviso] Género no capturado ()", IF(ISNA(MATCH(L873, Criterios!$B$123:$B$127, 0)), "Género no válido", "")), IF(OR(N873="", N873=""), "[Aviso] Temporada no capturada ()", IF(ISNA(MATCH(N873, Criterios!$C$123:$C$128, 0)), "Temporada no válida", "")), IF(OR(O873="", O873=""), "[Aviso] Ciclo de vida no capturado ()", IF(ISNA(MATCH(O873, Criterios!$D$123:$D$124, 0)), "Ciclo de vida no válido", ""))))</f>
        <v/>
      </c>
      <c r="AC873" s="56" t="n"/>
      <c r="AD873" s="51" t="n">
        <v>-1</v>
      </c>
      <c r="AE873" s="156" t="n"/>
      <c r="AF873" s="51" t="n">
        <v>0</v>
      </c>
      <c r="AG873" s="156" t="inlineStr">
        <is>
          <t>Catálogo existente</t>
        </is>
      </c>
      <c r="AH873"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73" s="156" t="inlineStr">
        <is>
          <t>Sí</t>
        </is>
      </c>
      <c r="AJ873" s="156" t="inlineStr">
        <is>
          <t>STETSON AMERICAS (-1)</t>
        </is>
      </c>
      <c r="AK873" s="155" t="inlineStr">
        <is>
          <t>Criterios: I [Q] | Shopify Stetson: producto 14788288512363 / variante 53350609748331</t>
        </is>
      </c>
      <c r="AL873" s="58" t="n">
        <v>2835</v>
      </c>
      <c r="AM873" s="58" t="n">
        <v>6810.344828</v>
      </c>
      <c r="AN873" s="155" t="inlineStr">
        <is>
          <t>Shopify Stetson México</t>
        </is>
      </c>
      <c r="AO873" s="59" t="n">
        <v>0</v>
      </c>
      <c r="AP873" s="59" t="n"/>
      <c r="AQ873" s="59" t="n"/>
      <c r="AR873" s="155" t="n"/>
    </row>
    <row r="874">
      <c r="A874" s="50" t="inlineStr">
        <is>
          <t>195556125823</t>
        </is>
      </c>
      <c r="B874" s="51" t="inlineStr">
        <is>
          <t>109926</t>
        </is>
      </c>
      <c r="C874" s="156" t="inlineStr">
        <is>
          <t>Multimarca</t>
        </is>
      </c>
      <c r="D874" s="156" t="inlineStr">
        <is>
          <t>SFG160-014007</t>
        </is>
      </c>
      <c r="E874" s="156" t="inlineStr">
        <is>
          <t>SFG160-01400770</t>
        </is>
      </c>
      <c r="F874" s="156" t="inlineStr">
        <is>
          <t>7</t>
        </is>
      </c>
      <c r="G874" s="156" t="inlineStr">
        <is>
          <t>7</t>
        </is>
      </c>
      <c r="H874" s="156" t="inlineStr">
        <is>
          <t>Stetson</t>
        </is>
      </c>
      <c r="I874" s="156" t="inlineStr">
        <is>
          <t>Texana Stetson The Golden Eagle Negro</t>
        </is>
      </c>
      <c r="J874" s="156" t="inlineStr">
        <is>
          <t>Accesorios</t>
        </is>
      </c>
      <c r="K874" s="156" t="inlineStr">
        <is>
          <t>Sombreros</t>
        </is>
      </c>
      <c r="L874" s="156" t="inlineStr">
        <is>
          <t>Unisex</t>
        </is>
      </c>
      <c r="M874" s="156" t="inlineStr">
        <is>
          <t>Stetson</t>
        </is>
      </c>
      <c r="N874" s="156" t="inlineStr">
        <is>
          <t>SS26</t>
        </is>
      </c>
      <c r="O874" s="156" t="inlineStr">
        <is>
          <t>Seasonal</t>
        </is>
      </c>
      <c r="P874" s="156" t="inlineStr">
        <is>
          <t>Negro</t>
        </is>
      </c>
      <c r="Q874" s="156" t="n"/>
      <c r="R874" s="156" t="inlineStr">
        <is>
          <t>Copa Rancher</t>
        </is>
      </c>
      <c r="S874" s="156" t="inlineStr">
        <is>
          <t>100% Fieltro de lana</t>
        </is>
      </c>
      <c r="T874"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4" s="156" t="inlineStr">
        <is>
          <t>Estados Unidos</t>
        </is>
      </c>
      <c r="V874" s="156" t="inlineStr">
        <is>
          <t>PZS</t>
        </is>
      </c>
      <c r="W874" s="51" t="inlineStr">
        <is>
          <t>53102503</t>
        </is>
      </c>
      <c r="X874" s="156" t="inlineStr">
        <is>
          <t>https://cdn.shopify.com/s/files/1/0888/3250/8267/files/SFG160-01400770-01.jpg?v=1760372972</t>
        </is>
      </c>
      <c r="Y874" s="54" t="n">
        <v>10631.25</v>
      </c>
      <c r="Z874" s="54" t="n">
        <v>25431.03448</v>
      </c>
      <c r="AA874" s="55">
        <f>IF(AND(A874="", B874="", E874=""), "", IF(AB874="", "Válido", IF((LEN(AB874)-LEN(SUBSTITUTE(AB874,"; ","")))/2+1&gt;(LEN(AB874)-LEN(SUBSTITUTE(AB874,"[Aviso]","")))/7, "Con Incidencias", "Válido")))</f>
        <v/>
      </c>
      <c r="AB874" s="56">
        <f>IF(AND(A874="", B874="", E874=""), "", TEXTJOIN("; ", TRUE, IF(OR(TRIM(A874&amp;"")="", ISNUMBER(SEARCH("FALTA", A874))), "UPC faltante/inválido", ""), IF(AND(A874&lt;&gt;"", IFERROR(_xlfn.XMATCH(A874,$A$2:$A$2509,0,1)&lt;&gt;_xlfn.XMATCH(A874,$A$2:$A$2509,0,-1),FALSE)), "Código de barras duplicado", ""), IF(AND(E874&lt;&gt;"", COUNTIF($E$2:$E$2509, E874)&gt;1), "SKU duplicado", ""), IF(OR(J874="", J874=""), "[Aviso] División no capturada ()", IF(ISNA(MATCH(J874, Criterios!$A$123:$A$126, 0)), "División no válida", "")), IF(OR(K874="", K874=""), "[Aviso] Categoría no capturada ()", IF(ISNA(MATCH(K874, Criterios!$A$81:$A$120, 0)), "Categoría no válida", IF(AND(J874&lt;&gt;"", J874&lt;&gt;"", J874&lt;&gt;VLOOKUP(K874, Criterios!$A$81:$B$120, 2, FALSE)), "División no coincide con Categoría", ""))), IF(OR(L874="", L874=""), "[Aviso] Género no capturado ()", IF(ISNA(MATCH(L874, Criterios!$B$123:$B$127, 0)), "Género no válido", "")), IF(OR(N874="", N874=""), "[Aviso] Temporada no capturada ()", IF(ISNA(MATCH(N874, Criterios!$C$123:$C$128, 0)), "Temporada no válida", "")), IF(OR(O874="", O874=""), "[Aviso] Ciclo de vida no capturado ()", IF(ISNA(MATCH(O874, Criterios!$D$123:$D$124, 0)), "Ciclo de vida no válido", ""))))</f>
        <v/>
      </c>
      <c r="AC874" s="56" t="n"/>
      <c r="AD874" s="51" t="n">
        <v>0</v>
      </c>
      <c r="AE874" s="156" t="inlineStr">
        <is>
          <t>B25 STETSON.MX (1)</t>
        </is>
      </c>
      <c r="AF874" s="51" t="n">
        <v>1</v>
      </c>
      <c r="AG874" s="156" t="inlineStr">
        <is>
          <t>Catálogo existente</t>
        </is>
      </c>
      <c r="AH874" s="156" t="inlineStr">
        <is>
          <t>Revisión 29/09/2026: Cruce de catálogo y criterios sin pendientes detectados | 01/10/2026: complementado desde Shopify Stetson México (match por código de barras): WB Fit, WB Silueta</t>
        </is>
      </c>
      <c r="AI874" s="156" t="inlineStr">
        <is>
          <t>Sí</t>
        </is>
      </c>
      <c r="AJ874" s="156" t="inlineStr">
        <is>
          <t>STETSON AMERICAS (-1)</t>
        </is>
      </c>
      <c r="AK874" s="155" t="inlineStr">
        <is>
          <t>Criterios: I [Q] | Shopify Stetson: producto 14791353565547 / variante 53350604145003 | Odoo: producto 14264 / plantilla 17841</t>
        </is>
      </c>
      <c r="AL874" s="58" t="n">
        <v>10631.25</v>
      </c>
      <c r="AM874" s="58" t="n">
        <v>25431.03448</v>
      </c>
      <c r="AN874" s="155" t="inlineStr">
        <is>
          <t>Shopify Stetson México | Odoo Universal Unique Brands</t>
        </is>
      </c>
      <c r="AO874" s="59" t="n">
        <v>1</v>
      </c>
      <c r="AP874" s="59" t="n"/>
      <c r="AQ874" s="59" t="n">
        <v>3</v>
      </c>
      <c r="AR874" s="155" t="inlineStr">
        <is>
          <t>Shopify Stetson México › Stetson Americas: 1 | Odoo Universal Unique Brands › Bodega 25 › Bodega 25/General: 3</t>
        </is>
      </c>
    </row>
    <row r="875">
      <c r="A875" s="50" t="inlineStr">
        <is>
          <t>195556125830</t>
        </is>
      </c>
      <c r="B875" s="51" t="inlineStr">
        <is>
          <t>109931</t>
        </is>
      </c>
      <c r="C875" s="156" t="inlineStr">
        <is>
          <t>Multimarca</t>
        </is>
      </c>
      <c r="D875" s="156" t="inlineStr">
        <is>
          <t>SFG160-014022</t>
        </is>
      </c>
      <c r="E875" s="156" t="inlineStr">
        <is>
          <t>SFG160-01402270</t>
        </is>
      </c>
      <c r="F875" s="156" t="inlineStr">
        <is>
          <t>7</t>
        </is>
      </c>
      <c r="G875" s="156" t="inlineStr">
        <is>
          <t>7</t>
        </is>
      </c>
      <c r="H875" s="156" t="inlineStr">
        <is>
          <t>Stetson</t>
        </is>
      </c>
      <c r="I875" s="156" t="inlineStr">
        <is>
          <t>Texana Stetson The Golden Eagle Chocolate</t>
        </is>
      </c>
      <c r="J875" s="156" t="inlineStr">
        <is>
          <t>Accesorios</t>
        </is>
      </c>
      <c r="K875" s="156" t="inlineStr">
        <is>
          <t>Sombreros</t>
        </is>
      </c>
      <c r="L875" s="156" t="inlineStr">
        <is>
          <t>Unisex</t>
        </is>
      </c>
      <c r="M875" s="156" t="inlineStr">
        <is>
          <t>Stetson</t>
        </is>
      </c>
      <c r="N875" s="156" t="inlineStr">
        <is>
          <t>SS26</t>
        </is>
      </c>
      <c r="O875" s="156" t="inlineStr">
        <is>
          <t>Seasonal</t>
        </is>
      </c>
      <c r="P875" s="156" t="inlineStr">
        <is>
          <t>Cafe</t>
        </is>
      </c>
      <c r="Q875" s="156" t="n"/>
      <c r="R875" s="156" t="inlineStr">
        <is>
          <t>Copa Rancher</t>
        </is>
      </c>
      <c r="S875" s="156" t="inlineStr">
        <is>
          <t>100% Fieltro de lana</t>
        </is>
      </c>
      <c r="T875"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5" s="156" t="inlineStr">
        <is>
          <t>Estados Unidos</t>
        </is>
      </c>
      <c r="V875" s="156" t="inlineStr">
        <is>
          <t>PZS</t>
        </is>
      </c>
      <c r="W875" s="51" t="inlineStr">
        <is>
          <t>53102503</t>
        </is>
      </c>
      <c r="X875" s="156" t="inlineStr">
        <is>
          <t>https://cdn.shopify.com/s/files/1/0888/3250/8267/files/SFG160-01400770-10.jpg?v=1760375847</t>
        </is>
      </c>
      <c r="Y875" s="54" t="n">
        <v>10631.25</v>
      </c>
      <c r="Z875" s="54" t="n">
        <v>25431.03448</v>
      </c>
      <c r="AA875" s="55">
        <f>IF(AND(A875="", B875="", E875=""), "", IF(AB875="", "Válido", IF((LEN(AB875)-LEN(SUBSTITUTE(AB875,"; ","")))/2+1&gt;(LEN(AB875)-LEN(SUBSTITUTE(AB875,"[Aviso]","")))/7, "Con Incidencias", "Válido")))</f>
        <v/>
      </c>
      <c r="AB875" s="56">
        <f>IF(AND(A875="", B875="", E875=""), "", TEXTJOIN("; ", TRUE, IF(OR(TRIM(A875&amp;"")="", ISNUMBER(SEARCH("FALTA", A875))), "UPC faltante/inválido", ""), IF(AND(A875&lt;&gt;"", IFERROR(_xlfn.XMATCH(A875,$A$2:$A$2509,0,1)&lt;&gt;_xlfn.XMATCH(A875,$A$2:$A$2509,0,-1),FALSE)), "Código de barras duplicado", ""), IF(AND(E875&lt;&gt;"", COUNTIF($E$2:$E$2509, E875)&gt;1), "SKU duplicado", ""), IF(OR(J875="", J875=""), "[Aviso] División no capturada ()", IF(ISNA(MATCH(J875, Criterios!$A$123:$A$126, 0)), "División no válida", "")), IF(OR(K875="", K875=""), "[Aviso] Categoría no capturada ()", IF(ISNA(MATCH(K875, Criterios!$A$81:$A$120, 0)), "Categoría no válida", IF(AND(J875&lt;&gt;"", J875&lt;&gt;"", J875&lt;&gt;VLOOKUP(K875, Criterios!$A$81:$B$120, 2, FALSE)), "División no coincide con Categoría", ""))), IF(OR(L875="", L875=""), "[Aviso] Género no capturado ()", IF(ISNA(MATCH(L875, Criterios!$B$123:$B$127, 0)), "Género no válido", "")), IF(OR(N875="", N875=""), "[Aviso] Temporada no capturada ()", IF(ISNA(MATCH(N875, Criterios!$C$123:$C$128, 0)), "Temporada no válida", "")), IF(OR(O875="", O875=""), "[Aviso] Ciclo de vida no capturado ()", IF(ISNA(MATCH(O875, Criterios!$D$123:$D$124, 0)), "Ciclo de vida no válido", ""))))</f>
        <v/>
      </c>
      <c r="AC875" s="56" t="n"/>
      <c r="AD875" s="51" t="n">
        <v>-1</v>
      </c>
      <c r="AE875" s="156" t="n"/>
      <c r="AF875" s="51" t="n">
        <v>0</v>
      </c>
      <c r="AG875" s="156" t="inlineStr">
        <is>
          <t>Catálogo existente</t>
        </is>
      </c>
      <c r="AH875" s="156" t="inlineStr">
        <is>
          <t>Stock negativo en sistema: revisar en conteo | Revisión 29/09/2026: Cruce de catálogo y criterios sin pendientes detectados | 01/10/2026: complementado desde Shopify Stetson México (match por código de barras): WB Fit, WB Silueta</t>
        </is>
      </c>
      <c r="AI875" s="156" t="inlineStr">
        <is>
          <t>Sí</t>
        </is>
      </c>
      <c r="AJ875" s="156" t="inlineStr">
        <is>
          <t>STETSON AMERICAS (-1)</t>
        </is>
      </c>
      <c r="AK875" s="155" t="inlineStr">
        <is>
          <t>Criterios: I [Q] | Shopify Stetson: producto 14791353565547 / variante 53350604308843 | Odoo: producto 14273 / plantilla 17850</t>
        </is>
      </c>
      <c r="AL875" s="58" t="n">
        <v>10631.25</v>
      </c>
      <c r="AM875" s="58" t="n">
        <v>25431.03448</v>
      </c>
      <c r="AN875" s="155" t="inlineStr">
        <is>
          <t>Shopify Stetson México | Odoo Universal Unique Brands</t>
        </is>
      </c>
      <c r="AO875" s="59" t="n">
        <v>0</v>
      </c>
      <c r="AP875" s="59" t="n"/>
      <c r="AQ875" s="59" t="n">
        <v>1</v>
      </c>
      <c r="AR875" s="155" t="inlineStr">
        <is>
          <t>Odoo Universal Unique Brands › Bodega 25 › Bodega 25/General: 1</t>
        </is>
      </c>
    </row>
    <row r="876">
      <c r="A876" s="50" t="inlineStr">
        <is>
          <t>195556125847</t>
        </is>
      </c>
      <c r="B876" s="51" t="inlineStr">
        <is>
          <t>109936</t>
        </is>
      </c>
      <c r="C876" s="156" t="inlineStr">
        <is>
          <t>Multimarca</t>
        </is>
      </c>
      <c r="D876" s="156" t="inlineStr">
        <is>
          <t>SFG160-014061</t>
        </is>
      </c>
      <c r="E876" s="156" t="inlineStr">
        <is>
          <t>SFG160-01406170</t>
        </is>
      </c>
      <c r="F876" s="156" t="inlineStr">
        <is>
          <t>7</t>
        </is>
      </c>
      <c r="G876" s="156" t="inlineStr">
        <is>
          <t>7</t>
        </is>
      </c>
      <c r="H876" s="156" t="inlineStr">
        <is>
          <t>Stetson</t>
        </is>
      </c>
      <c r="I876" s="156" t="inlineStr">
        <is>
          <t>Texana Stetson The Golden Eagle Plata</t>
        </is>
      </c>
      <c r="J876" s="156" t="inlineStr">
        <is>
          <t>Accesorios</t>
        </is>
      </c>
      <c r="K876" s="156" t="inlineStr">
        <is>
          <t>Sombreros</t>
        </is>
      </c>
      <c r="L876" s="156" t="inlineStr">
        <is>
          <t>Unisex</t>
        </is>
      </c>
      <c r="M876" s="156" t="inlineStr">
        <is>
          <t>Stetson</t>
        </is>
      </c>
      <c r="N876" s="156" t="inlineStr">
        <is>
          <t>SS26</t>
        </is>
      </c>
      <c r="O876" s="156" t="inlineStr">
        <is>
          <t>Seasonal</t>
        </is>
      </c>
      <c r="P876" s="156" t="inlineStr">
        <is>
          <t>Gris</t>
        </is>
      </c>
      <c r="Q876" s="156" t="n"/>
      <c r="R876" s="156" t="inlineStr">
        <is>
          <t>Copa Rancher</t>
        </is>
      </c>
      <c r="S876" s="156" t="inlineStr">
        <is>
          <t>100% Fieltro de lana</t>
        </is>
      </c>
      <c r="T876"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6" s="156" t="inlineStr">
        <is>
          <t>Estados Unidos</t>
        </is>
      </c>
      <c r="V876" s="156" t="inlineStr">
        <is>
          <t>PZS</t>
        </is>
      </c>
      <c r="W876" s="51" t="inlineStr">
        <is>
          <t>53102503</t>
        </is>
      </c>
      <c r="X876" s="156" t="inlineStr">
        <is>
          <t>https://cdn.shopify.com/s/files/1/0888/3250/8267/files/SFG160-014022-02.jpg?v=1760374124</t>
        </is>
      </c>
      <c r="Y876" s="54" t="n">
        <v>10631.25</v>
      </c>
      <c r="Z876" s="54" t="n">
        <v>25431.03448</v>
      </c>
      <c r="AA876" s="55">
        <f>IF(AND(A876="", B876="", E876=""), "", IF(AB876="", "Válido", IF((LEN(AB876)-LEN(SUBSTITUTE(AB876,"; ","")))/2+1&gt;(LEN(AB876)-LEN(SUBSTITUTE(AB876,"[Aviso]","")))/7, "Con Incidencias", "Válido")))</f>
        <v/>
      </c>
      <c r="AB876" s="56">
        <f>IF(AND(A876="", B876="", E876=""), "", TEXTJOIN("; ", TRUE, IF(OR(TRIM(A876&amp;"")="", ISNUMBER(SEARCH("FALTA", A876))), "UPC faltante/inválido", ""), IF(AND(A876&lt;&gt;"", IFERROR(_xlfn.XMATCH(A876,$A$2:$A$2509,0,1)&lt;&gt;_xlfn.XMATCH(A876,$A$2:$A$2509,0,-1),FALSE)), "Código de barras duplicado", ""), IF(AND(E876&lt;&gt;"", COUNTIF($E$2:$E$2509, E876)&gt;1), "SKU duplicado", ""), IF(OR(J876="", J876=""), "[Aviso] División no capturada ()", IF(ISNA(MATCH(J876, Criterios!$A$123:$A$126, 0)), "División no válida", "")), IF(OR(K876="", K876=""), "[Aviso] Categoría no capturada ()", IF(ISNA(MATCH(K876, Criterios!$A$81:$A$120, 0)), "Categoría no válida", IF(AND(J876&lt;&gt;"", J876&lt;&gt;"", J876&lt;&gt;VLOOKUP(K876, Criterios!$A$81:$B$120, 2, FALSE)), "División no coincide con Categoría", ""))), IF(OR(L876="", L876=""), "[Aviso] Género no capturado ()", IF(ISNA(MATCH(L876, Criterios!$B$123:$B$127, 0)), "Género no válido", "")), IF(OR(N876="", N876=""), "[Aviso] Temporada no capturada ()", IF(ISNA(MATCH(N876, Criterios!$C$123:$C$128, 0)), "Temporada no válida", "")), IF(OR(O876="", O876=""), "[Aviso] Ciclo de vida no capturado ()", IF(ISNA(MATCH(O876, Criterios!$D$123:$D$124, 0)), "Ciclo de vida no válido", ""))))</f>
        <v/>
      </c>
      <c r="AC876" s="56" t="n"/>
      <c r="AD876" s="51" t="n">
        <v>0</v>
      </c>
      <c r="AE876" s="156" t="n"/>
      <c r="AF876" s="51" t="n">
        <v>0</v>
      </c>
      <c r="AG876" s="156" t="inlineStr">
        <is>
          <t>Catálogo existente</t>
        </is>
      </c>
      <c r="AH87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876" s="156" t="inlineStr">
        <is>
          <t>No</t>
        </is>
      </c>
      <c r="AJ876" s="156" t="n"/>
      <c r="AK876" s="155" t="inlineStr">
        <is>
          <t>Criterios: I [Q] | Shopify Stetson: producto 14791353565547 / variante 53350604472683</t>
        </is>
      </c>
      <c r="AL876" s="58" t="n">
        <v>10631.25</v>
      </c>
      <c r="AM876" s="58" t="n">
        <v>25431.03448</v>
      </c>
      <c r="AN876" s="155" t="inlineStr">
        <is>
          <t>Shopify Stetson México</t>
        </is>
      </c>
      <c r="AO876" s="59" t="n">
        <v>0</v>
      </c>
      <c r="AP876" s="59" t="n"/>
      <c r="AQ876" s="59" t="n"/>
      <c r="AR876" s="155" t="n"/>
    </row>
    <row r="877">
      <c r="A877" s="50" t="inlineStr">
        <is>
          <t>195556125854</t>
        </is>
      </c>
      <c r="B877" s="51" t="inlineStr">
        <is>
          <t>109927</t>
        </is>
      </c>
      <c r="C877" s="156" t="inlineStr">
        <is>
          <t>Multimarca</t>
        </is>
      </c>
      <c r="D877" s="156" t="inlineStr">
        <is>
          <t>SFG160-014007</t>
        </is>
      </c>
      <c r="E877" s="156" t="inlineStr">
        <is>
          <t>SFG160-01400771</t>
        </is>
      </c>
      <c r="F877" s="156" t="inlineStr">
        <is>
          <t>7 1/8</t>
        </is>
      </c>
      <c r="G877" s="156" t="inlineStr">
        <is>
          <t>7 1/8</t>
        </is>
      </c>
      <c r="H877" s="156" t="inlineStr">
        <is>
          <t>Stetson</t>
        </is>
      </c>
      <c r="I877" s="156" t="inlineStr">
        <is>
          <t>Texana Stetson The Golden Eagle Negro</t>
        </is>
      </c>
      <c r="J877" s="156" t="inlineStr">
        <is>
          <t>Accesorios</t>
        </is>
      </c>
      <c r="K877" s="156" t="inlineStr">
        <is>
          <t>Sombreros</t>
        </is>
      </c>
      <c r="L877" s="156" t="inlineStr">
        <is>
          <t>Unisex</t>
        </is>
      </c>
      <c r="M877" s="156" t="inlineStr">
        <is>
          <t>Stetson</t>
        </is>
      </c>
      <c r="N877" s="156" t="inlineStr">
        <is>
          <t>SS26</t>
        </is>
      </c>
      <c r="O877" s="156" t="inlineStr">
        <is>
          <t>Seasonal</t>
        </is>
      </c>
      <c r="P877" s="156" t="inlineStr">
        <is>
          <t>Negro</t>
        </is>
      </c>
      <c r="Q877" s="156" t="n"/>
      <c r="R877" s="156" t="inlineStr">
        <is>
          <t>Copa Rancher</t>
        </is>
      </c>
      <c r="S877" s="156" t="inlineStr">
        <is>
          <t>100% Fieltro de lana</t>
        </is>
      </c>
      <c r="T877"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7" s="156" t="inlineStr">
        <is>
          <t>Estados Unidos</t>
        </is>
      </c>
      <c r="V877" s="156" t="inlineStr">
        <is>
          <t>PZS</t>
        </is>
      </c>
      <c r="W877" s="51" t="inlineStr">
        <is>
          <t>53102503</t>
        </is>
      </c>
      <c r="X877" s="156" t="inlineStr">
        <is>
          <t>https://cdn.shopify.com/s/files/1/0888/3250/8267/files/SFG160-01400770-03.jpg?v=1760375847</t>
        </is>
      </c>
      <c r="Y877" s="54" t="n">
        <v>10631.25</v>
      </c>
      <c r="Z877" s="54" t="n">
        <v>25431.03448</v>
      </c>
      <c r="AA877" s="55">
        <f>IF(AND(A877="", B877="", E877=""), "", IF(AB877="", "Válido", IF((LEN(AB877)-LEN(SUBSTITUTE(AB877,"; ","")))/2+1&gt;(LEN(AB877)-LEN(SUBSTITUTE(AB877,"[Aviso]","")))/7, "Con Incidencias", "Válido")))</f>
        <v/>
      </c>
      <c r="AB877" s="56">
        <f>IF(AND(A877="", B877="", E877=""), "", TEXTJOIN("; ", TRUE, IF(OR(TRIM(A877&amp;"")="", ISNUMBER(SEARCH("FALTA", A877))), "UPC faltante/inválido", ""), IF(AND(A877&lt;&gt;"", IFERROR(_xlfn.XMATCH(A877,$A$2:$A$2509,0,1)&lt;&gt;_xlfn.XMATCH(A877,$A$2:$A$2509,0,-1),FALSE)), "Código de barras duplicado", ""), IF(AND(E877&lt;&gt;"", COUNTIF($E$2:$E$2509, E877)&gt;1), "SKU duplicado", ""), IF(OR(J877="", J877=""), "[Aviso] División no capturada ()", IF(ISNA(MATCH(J877, Criterios!$A$123:$A$126, 0)), "División no válida", "")), IF(OR(K877="", K877=""), "[Aviso] Categoría no capturada ()", IF(ISNA(MATCH(K877, Criterios!$A$81:$A$120, 0)), "Categoría no válida", IF(AND(J877&lt;&gt;"", J877&lt;&gt;"", J877&lt;&gt;VLOOKUP(K877, Criterios!$A$81:$B$120, 2, FALSE)), "División no coincide con Categoría", ""))), IF(OR(L877="", L877=""), "[Aviso] Género no capturado ()", IF(ISNA(MATCH(L877, Criterios!$B$123:$B$127, 0)), "Género no válido", "")), IF(OR(N877="", N877=""), "[Aviso] Temporada no capturada ()", IF(ISNA(MATCH(N877, Criterios!$C$123:$C$128, 0)), "Temporada no válida", "")), IF(OR(O877="", O877=""), "[Aviso] Ciclo de vida no capturado ()", IF(ISNA(MATCH(O877, Criterios!$D$123:$D$124, 0)), "Ciclo de vida no válido", ""))))</f>
        <v/>
      </c>
      <c r="AC877" s="56" t="n"/>
      <c r="AD877" s="51" t="n">
        <v>3</v>
      </c>
      <c r="AE877" s="156" t="inlineStr">
        <is>
          <t>B25 STETSON.MX (4)</t>
        </is>
      </c>
      <c r="AF877" s="51" t="n">
        <v>4</v>
      </c>
      <c r="AG877" s="156" t="inlineStr">
        <is>
          <t>Catálogo existente</t>
        </is>
      </c>
      <c r="AH877" s="156" t="inlineStr">
        <is>
          <t>Revisión 29/09/2026: Cruce de catálogo y criterios sin pendientes detectados | 01/10/2026: complementado desde Shopify Stetson México (match por código de barras): WB Fit, WB Silueta</t>
        </is>
      </c>
      <c r="AI877" s="156" t="inlineStr">
        <is>
          <t>Sí</t>
        </is>
      </c>
      <c r="AJ877" s="156" t="inlineStr">
        <is>
          <t>STETSON AMERICAS (-1)</t>
        </is>
      </c>
      <c r="AK877" s="155" t="inlineStr">
        <is>
          <t>Criterios: I [Q] | Shopify Stetson: producto 14791353565547 / variante 53350604177771 | Odoo: producto 14265 / plantilla 17842</t>
        </is>
      </c>
      <c r="AL877" s="58" t="n">
        <v>10631.25</v>
      </c>
      <c r="AM877" s="58" t="n">
        <v>25431.03448</v>
      </c>
      <c r="AN877" s="155" t="inlineStr">
        <is>
          <t>Shopify Stetson México | Odoo Universal Unique Brands</t>
        </is>
      </c>
      <c r="AO877" s="59" t="n">
        <v>4</v>
      </c>
      <c r="AP877" s="59" t="n"/>
      <c r="AQ877" s="59" t="n">
        <v>6</v>
      </c>
      <c r="AR877" s="155" t="inlineStr">
        <is>
          <t>Shopify Stetson México › Stetson México: 3 | Shopify Stetson México › Stetson Americas: 1 | Odoo Universal Unique Brands › Bodega 25 › Bodega 25/General: 6</t>
        </is>
      </c>
    </row>
    <row r="878">
      <c r="A878" s="50" t="inlineStr">
        <is>
          <t>195556125861</t>
        </is>
      </c>
      <c r="B878" s="51" t="inlineStr">
        <is>
          <t>109932</t>
        </is>
      </c>
      <c r="C878" s="156" t="inlineStr">
        <is>
          <t>Multimarca</t>
        </is>
      </c>
      <c r="D878" s="156" t="inlineStr">
        <is>
          <t>SFG160-014022</t>
        </is>
      </c>
      <c r="E878" s="156" t="inlineStr">
        <is>
          <t>SFG160-01402271</t>
        </is>
      </c>
      <c r="F878" s="156" t="inlineStr">
        <is>
          <t>7 1/8</t>
        </is>
      </c>
      <c r="G878" s="156" t="inlineStr">
        <is>
          <t>7 1/8</t>
        </is>
      </c>
      <c r="H878" s="156" t="inlineStr">
        <is>
          <t>Stetson</t>
        </is>
      </c>
      <c r="I878" s="156" t="inlineStr">
        <is>
          <t>Texana Stetson The Golden Eagle Chocolate</t>
        </is>
      </c>
      <c r="J878" s="156" t="inlineStr">
        <is>
          <t>Accesorios</t>
        </is>
      </c>
      <c r="K878" s="156" t="inlineStr">
        <is>
          <t>Sombreros</t>
        </is>
      </c>
      <c r="L878" s="156" t="inlineStr">
        <is>
          <t>Unisex</t>
        </is>
      </c>
      <c r="M878" s="156" t="inlineStr">
        <is>
          <t>Stetson</t>
        </is>
      </c>
      <c r="N878" s="156" t="inlineStr">
        <is>
          <t>SS26</t>
        </is>
      </c>
      <c r="O878" s="156" t="inlineStr">
        <is>
          <t>Seasonal</t>
        </is>
      </c>
      <c r="P878" s="156" t="inlineStr">
        <is>
          <t>Cafe</t>
        </is>
      </c>
      <c r="Q878" s="156" t="n"/>
      <c r="R878" s="156" t="inlineStr">
        <is>
          <t>Copa Rancher</t>
        </is>
      </c>
      <c r="S878" s="156" t="inlineStr">
        <is>
          <t>100% Fieltro de lana</t>
        </is>
      </c>
      <c r="T878"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8" s="156" t="inlineStr">
        <is>
          <t>Estados Unidos</t>
        </is>
      </c>
      <c r="V878" s="156" t="inlineStr">
        <is>
          <t>PZS</t>
        </is>
      </c>
      <c r="W878" s="51" t="inlineStr">
        <is>
          <t>53102503</t>
        </is>
      </c>
      <c r="X878" s="156" t="inlineStr">
        <is>
          <t>https://cdn.shopify.com/s/files/1/0888/3250/8267/files/SFG160-01400770-07.jpg?v=1760375847</t>
        </is>
      </c>
      <c r="Y878" s="54" t="n">
        <v>10631.25</v>
      </c>
      <c r="Z878" s="54" t="n">
        <v>25431.03448</v>
      </c>
      <c r="AA878" s="55">
        <f>IF(AND(A878="", B878="", E878=""), "", IF(AB878="", "Válido", IF((LEN(AB878)-LEN(SUBSTITUTE(AB878,"; ","")))/2+1&gt;(LEN(AB878)-LEN(SUBSTITUTE(AB878,"[Aviso]","")))/7, "Con Incidencias", "Válido")))</f>
        <v/>
      </c>
      <c r="AB878" s="56">
        <f>IF(AND(A878="", B878="", E878=""), "", TEXTJOIN("; ", TRUE, IF(OR(TRIM(A878&amp;"")="", ISNUMBER(SEARCH("FALTA", A878))), "UPC faltante/inválido", ""), IF(AND(A878&lt;&gt;"", IFERROR(_xlfn.XMATCH(A878,$A$2:$A$2509,0,1)&lt;&gt;_xlfn.XMATCH(A878,$A$2:$A$2509,0,-1),FALSE)), "Código de barras duplicado", ""), IF(AND(E878&lt;&gt;"", COUNTIF($E$2:$E$2509, E878)&gt;1), "SKU duplicado", ""), IF(OR(J878="", J878=""), "[Aviso] División no capturada ()", IF(ISNA(MATCH(J878, Criterios!$A$123:$A$126, 0)), "División no válida", "")), IF(OR(K878="", K878=""), "[Aviso] Categoría no capturada ()", IF(ISNA(MATCH(K878, Criterios!$A$81:$A$120, 0)), "Categoría no válida", IF(AND(J878&lt;&gt;"", J878&lt;&gt;"", J878&lt;&gt;VLOOKUP(K878, Criterios!$A$81:$B$120, 2, FALSE)), "División no coincide con Categoría", ""))), IF(OR(L878="", L878=""), "[Aviso] Género no capturado ()", IF(ISNA(MATCH(L878, Criterios!$B$123:$B$127, 0)), "Género no válido", "")), IF(OR(N878="", N878=""), "[Aviso] Temporada no capturada ()", IF(ISNA(MATCH(N878, Criterios!$C$123:$C$128, 0)), "Temporada no válida", "")), IF(OR(O878="", O878=""), "[Aviso] Ciclo de vida no capturado ()", IF(ISNA(MATCH(O878, Criterios!$D$123:$D$124, 0)), "Ciclo de vida no válido", ""))))</f>
        <v/>
      </c>
      <c r="AC878" s="56" t="n"/>
      <c r="AD878" s="51" t="n">
        <v>1</v>
      </c>
      <c r="AE878" s="156" t="inlineStr">
        <is>
          <t>B25 STETSON.MX (1)</t>
        </is>
      </c>
      <c r="AF878" s="51" t="n">
        <v>1</v>
      </c>
      <c r="AG878" s="156" t="inlineStr">
        <is>
          <t>Catálogo existente</t>
        </is>
      </c>
      <c r="AH878" s="156" t="inlineStr">
        <is>
          <t>Revisión 29/09/2026: Cruce de catálogo y criterios sin pendientes detectados | 01/10/2026: complementado desde Shopify Stetson México (match por código de barras): WB Fit, WB Silueta</t>
        </is>
      </c>
      <c r="AI878" s="156" t="inlineStr">
        <is>
          <t>No</t>
        </is>
      </c>
      <c r="AJ878" s="156" t="n"/>
      <c r="AK878" s="155" t="inlineStr">
        <is>
          <t>Criterios: I [Q] | Shopify Stetson: producto 14791353565547 / variante 53350604341611 | Odoo: producto 14274 / plantilla 17851</t>
        </is>
      </c>
      <c r="AL878" s="58" t="n">
        <v>10631.25</v>
      </c>
      <c r="AM878" s="58" t="n">
        <v>25431.03448</v>
      </c>
      <c r="AN878" s="155" t="inlineStr">
        <is>
          <t>Shopify Stetson México | Odoo Universal Unique Brands</t>
        </is>
      </c>
      <c r="AO878" s="59" t="n">
        <v>2</v>
      </c>
      <c r="AP878" s="59" t="n"/>
      <c r="AQ878" s="59" t="n">
        <v>3</v>
      </c>
      <c r="AR878" s="155" t="inlineStr">
        <is>
          <t>Shopify Stetson México › Stetson México: 2 | Odoo Universal Unique Brands › Bodega 25 › Bodega 25/General: 3</t>
        </is>
      </c>
    </row>
    <row r="879">
      <c r="A879" s="50" t="inlineStr">
        <is>
          <t>195556125878</t>
        </is>
      </c>
      <c r="B879" s="51" t="inlineStr">
        <is>
          <t>109937</t>
        </is>
      </c>
      <c r="C879" s="156" t="inlineStr">
        <is>
          <t>Multimarca</t>
        </is>
      </c>
      <c r="D879" s="156" t="inlineStr">
        <is>
          <t>SFG160-014061</t>
        </is>
      </c>
      <c r="E879" s="156" t="inlineStr">
        <is>
          <t>SFG160-01406171</t>
        </is>
      </c>
      <c r="F879" s="156" t="inlineStr">
        <is>
          <t>7 1/8</t>
        </is>
      </c>
      <c r="G879" s="156" t="inlineStr">
        <is>
          <t>7 1/8</t>
        </is>
      </c>
      <c r="H879" s="156" t="inlineStr">
        <is>
          <t>Stetson</t>
        </is>
      </c>
      <c r="I879" s="156" t="inlineStr">
        <is>
          <t>Texana Stetson The Golden Eagle Plata</t>
        </is>
      </c>
      <c r="J879" s="156" t="inlineStr">
        <is>
          <t>Accesorios</t>
        </is>
      </c>
      <c r="K879" s="156" t="inlineStr">
        <is>
          <t>Sombreros</t>
        </is>
      </c>
      <c r="L879" s="156" t="inlineStr">
        <is>
          <t>Unisex</t>
        </is>
      </c>
      <c r="M879" s="156" t="inlineStr">
        <is>
          <t>Stetson</t>
        </is>
      </c>
      <c r="N879" s="156" t="inlineStr">
        <is>
          <t>SS26</t>
        </is>
      </c>
      <c r="O879" s="156" t="inlineStr">
        <is>
          <t>Seasonal</t>
        </is>
      </c>
      <c r="P879" s="156" t="inlineStr">
        <is>
          <t>Gris</t>
        </is>
      </c>
      <c r="Q879" s="156" t="n"/>
      <c r="R879" s="156" t="inlineStr">
        <is>
          <t>Copa Rancher</t>
        </is>
      </c>
      <c r="S879" s="156" t="inlineStr">
        <is>
          <t>100% Fieltro de lana</t>
        </is>
      </c>
      <c r="T879"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9" s="156" t="inlineStr">
        <is>
          <t>Estados Unidos</t>
        </is>
      </c>
      <c r="V879" s="156" t="inlineStr">
        <is>
          <t>PZS</t>
        </is>
      </c>
      <c r="W879" s="51" t="inlineStr">
        <is>
          <t>53102503</t>
        </is>
      </c>
      <c r="X879" s="156" t="inlineStr">
        <is>
          <t>https://cdn.shopify.com/s/files/1/0888/3250/8267/files/SFG160-014022-03.jpg?v=1760374124</t>
        </is>
      </c>
      <c r="Y879" s="54" t="n">
        <v>10631.25</v>
      </c>
      <c r="Z879" s="54" t="n">
        <v>25431.03448</v>
      </c>
      <c r="AA879" s="55">
        <f>IF(AND(A879="", B879="", E879=""), "", IF(AB879="", "Válido", IF((LEN(AB879)-LEN(SUBSTITUTE(AB879,"; ","")))/2+1&gt;(LEN(AB879)-LEN(SUBSTITUTE(AB879,"[Aviso]","")))/7, "Con Incidencias", "Válido")))</f>
        <v/>
      </c>
      <c r="AB879" s="56">
        <f>IF(AND(A879="", B879="", E879=""), "", TEXTJOIN("; ", TRUE, IF(OR(TRIM(A879&amp;"")="", ISNUMBER(SEARCH("FALTA", A879))), "UPC faltante/inválido", ""), IF(AND(A879&lt;&gt;"", IFERROR(_xlfn.XMATCH(A879,$A$2:$A$2509,0,1)&lt;&gt;_xlfn.XMATCH(A879,$A$2:$A$2509,0,-1),FALSE)), "Código de barras duplicado", ""), IF(AND(E879&lt;&gt;"", COUNTIF($E$2:$E$2509, E879)&gt;1), "SKU duplicado", ""), IF(OR(J879="", J879=""), "[Aviso] División no capturada ()", IF(ISNA(MATCH(J879, Criterios!$A$123:$A$126, 0)), "División no válida", "")), IF(OR(K879="", K879=""), "[Aviso] Categoría no capturada ()", IF(ISNA(MATCH(K879, Criterios!$A$81:$A$120, 0)), "Categoría no válida", IF(AND(J879&lt;&gt;"", J879&lt;&gt;"", J879&lt;&gt;VLOOKUP(K879, Criterios!$A$81:$B$120, 2, FALSE)), "División no coincide con Categoría", ""))), IF(OR(L879="", L879=""), "[Aviso] Género no capturado ()", IF(ISNA(MATCH(L879, Criterios!$B$123:$B$127, 0)), "Género no válido", "")), IF(OR(N879="", N879=""), "[Aviso] Temporada no capturada ()", IF(ISNA(MATCH(N879, Criterios!$C$123:$C$128, 0)), "Temporada no válida", "")), IF(OR(O879="", O879=""), "[Aviso] Ciclo de vida no capturado ()", IF(ISNA(MATCH(O879, Criterios!$D$123:$D$124, 0)), "Ciclo de vida no válido", ""))))</f>
        <v/>
      </c>
      <c r="AC879" s="56" t="n"/>
      <c r="AD879" s="51" t="n">
        <v>0</v>
      </c>
      <c r="AE879" s="156" t="n"/>
      <c r="AF879" s="51" t="n">
        <v>0</v>
      </c>
      <c r="AG879" s="156" t="inlineStr">
        <is>
          <t>Catálogo existente</t>
        </is>
      </c>
      <c r="AH87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879" s="156" t="inlineStr">
        <is>
          <t>No</t>
        </is>
      </c>
      <c r="AJ879" s="156" t="n"/>
      <c r="AK879" s="155" t="inlineStr">
        <is>
          <t>Criterios: I [Q] | Shopify Stetson: producto 14791353565547 / variante 53350604505451 | Odoo: producto 14270 / plantilla 17847</t>
        </is>
      </c>
      <c r="AL879" s="58" t="n">
        <v>10631.25</v>
      </c>
      <c r="AM879" s="58" t="n">
        <v>25431.03448</v>
      </c>
      <c r="AN879" s="155" t="inlineStr">
        <is>
          <t>Shopify Stetson México | Odoo Universal Unique Brands</t>
        </is>
      </c>
      <c r="AO879" s="59" t="n">
        <v>1</v>
      </c>
      <c r="AP879" s="59" t="n"/>
      <c r="AQ879" s="59" t="n">
        <v>1</v>
      </c>
      <c r="AR879" s="155" t="inlineStr">
        <is>
          <t>Shopify Stetson México › Stetson Americas: 1 | Odoo Universal Unique Brands › Bodega 25 › Bodega 25/General: 1</t>
        </is>
      </c>
    </row>
    <row r="880">
      <c r="A880" s="50" t="inlineStr">
        <is>
          <t>195556125885</t>
        </is>
      </c>
      <c r="B880" s="51" t="inlineStr">
        <is>
          <t>109928</t>
        </is>
      </c>
      <c r="C880" s="156" t="inlineStr">
        <is>
          <t>Multimarca</t>
        </is>
      </c>
      <c r="D880" s="156" t="inlineStr">
        <is>
          <t>SFG160-014007</t>
        </is>
      </c>
      <c r="E880" s="156" t="inlineStr">
        <is>
          <t>SFG160-01400772</t>
        </is>
      </c>
      <c r="F880" s="156" t="inlineStr">
        <is>
          <t>7 1/4</t>
        </is>
      </c>
      <c r="G880" s="156" t="inlineStr">
        <is>
          <t>7 1/4</t>
        </is>
      </c>
      <c r="H880" s="156" t="inlineStr">
        <is>
          <t>Stetson</t>
        </is>
      </c>
      <c r="I880" s="156" t="inlineStr">
        <is>
          <t>Texana Stetson The Golden Eagle Negro</t>
        </is>
      </c>
      <c r="J880" s="156" t="inlineStr">
        <is>
          <t>Accesorios</t>
        </is>
      </c>
      <c r="K880" s="156" t="inlineStr">
        <is>
          <t>Sombreros</t>
        </is>
      </c>
      <c r="L880" s="156" t="inlineStr">
        <is>
          <t>Unisex</t>
        </is>
      </c>
      <c r="M880" s="156" t="inlineStr">
        <is>
          <t>Stetson</t>
        </is>
      </c>
      <c r="N880" s="156" t="inlineStr">
        <is>
          <t>SS26</t>
        </is>
      </c>
      <c r="O880" s="156" t="inlineStr">
        <is>
          <t>Seasonal</t>
        </is>
      </c>
      <c r="P880" s="156" t="inlineStr">
        <is>
          <t>Negro</t>
        </is>
      </c>
      <c r="Q880" s="156" t="n"/>
      <c r="R880" s="156" t="inlineStr">
        <is>
          <t>Copa Rancher</t>
        </is>
      </c>
      <c r="S880" s="156" t="inlineStr">
        <is>
          <t>100% Fieltro de lana</t>
        </is>
      </c>
      <c r="T880"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0" s="156" t="inlineStr">
        <is>
          <t>Estados Unidos</t>
        </is>
      </c>
      <c r="V880" s="156" t="inlineStr">
        <is>
          <t>PZS</t>
        </is>
      </c>
      <c r="W880" s="51" t="inlineStr">
        <is>
          <t>53102503</t>
        </is>
      </c>
      <c r="X880" s="156" t="inlineStr">
        <is>
          <t>https://cdn.shopify.com/s/files/1/0888/3250/8267/files/SFG160-01400770-02.jpg?v=1760375847</t>
        </is>
      </c>
      <c r="Y880" s="54" t="n">
        <v>10631.25</v>
      </c>
      <c r="Z880" s="54" t="n">
        <v>25431.03448</v>
      </c>
      <c r="AA880" s="55">
        <f>IF(AND(A880="", B880="", E880=""), "", IF(AB880="", "Válido", IF((LEN(AB880)-LEN(SUBSTITUTE(AB880,"; ","")))/2+1&gt;(LEN(AB880)-LEN(SUBSTITUTE(AB880,"[Aviso]","")))/7, "Con Incidencias", "Válido")))</f>
        <v/>
      </c>
      <c r="AB880" s="56">
        <f>IF(AND(A880="", B880="", E880=""), "", TEXTJOIN("; ", TRUE, IF(OR(TRIM(A880&amp;"")="", ISNUMBER(SEARCH("FALTA", A880))), "UPC faltante/inválido", ""), IF(AND(A880&lt;&gt;"", IFERROR(_xlfn.XMATCH(A880,$A$2:$A$2509,0,1)&lt;&gt;_xlfn.XMATCH(A880,$A$2:$A$2509,0,-1),FALSE)), "Código de barras duplicado", ""), IF(AND(E880&lt;&gt;"", COUNTIF($E$2:$E$2509, E880)&gt;1), "SKU duplicado", ""), IF(OR(J880="", J880=""), "[Aviso] División no capturada ()", IF(ISNA(MATCH(J880, Criterios!$A$123:$A$126, 0)), "División no válida", "")), IF(OR(K880="", K880=""), "[Aviso] Categoría no capturada ()", IF(ISNA(MATCH(K880, Criterios!$A$81:$A$120, 0)), "Categoría no válida", IF(AND(J880&lt;&gt;"", J880&lt;&gt;"", J880&lt;&gt;VLOOKUP(K880, Criterios!$A$81:$B$120, 2, FALSE)), "División no coincide con Categoría", ""))), IF(OR(L880="", L880=""), "[Aviso] Género no capturado ()", IF(ISNA(MATCH(L880, Criterios!$B$123:$B$127, 0)), "Género no válido", "")), IF(OR(N880="", N880=""), "[Aviso] Temporada no capturada ()", IF(ISNA(MATCH(N880, Criterios!$C$123:$C$128, 0)), "Temporada no válida", "")), IF(OR(O880="", O880=""), "[Aviso] Ciclo de vida no capturado ()", IF(ISNA(MATCH(O880, Criterios!$D$123:$D$124, 0)), "Ciclo de vida no válido", ""))))</f>
        <v/>
      </c>
      <c r="AC880" s="56" t="n"/>
      <c r="AD880" s="51" t="n">
        <v>1</v>
      </c>
      <c r="AE880" s="156" t="inlineStr">
        <is>
          <t>B25 STETSON.MX (2)</t>
        </is>
      </c>
      <c r="AF880" s="51" t="n">
        <v>2</v>
      </c>
      <c r="AG880" s="156" t="inlineStr">
        <is>
          <t>Catálogo existente</t>
        </is>
      </c>
      <c r="AH880" s="156" t="inlineStr">
        <is>
          <t>Revisión 29/09/2026: Cruce de catálogo y criterios sin pendientes detectados | 01/10/2026: complementado desde Shopify Stetson México (match por código de barras): WB Fit, WB Silueta</t>
        </is>
      </c>
      <c r="AI880" s="156" t="inlineStr">
        <is>
          <t>Sí</t>
        </is>
      </c>
      <c r="AJ880" s="156" t="inlineStr">
        <is>
          <t>STETSON AMERICAS (-1)</t>
        </is>
      </c>
      <c r="AK880" s="155" t="inlineStr">
        <is>
          <t>Criterios: I [Q] | Shopify Stetson: producto 14791353565547 / variante 53350604210539 | Odoo: producto 14266 / plantilla 17843</t>
        </is>
      </c>
      <c r="AL880" s="58" t="n">
        <v>10631.25</v>
      </c>
      <c r="AM880" s="58" t="n">
        <v>25431.03448</v>
      </c>
      <c r="AN880" s="155" t="inlineStr">
        <is>
          <t>Shopify Stetson México | Odoo Universal Unique Brands</t>
        </is>
      </c>
      <c r="AO880" s="59" t="n">
        <v>3</v>
      </c>
      <c r="AP880" s="59" t="n"/>
      <c r="AQ880" s="59" t="n">
        <v>5</v>
      </c>
      <c r="AR880" s="155" t="inlineStr">
        <is>
          <t>Shopify Stetson México › Stetson México: 1 | Shopify Stetson México › Stetson Americas: 2 | Odoo Universal Unique Brands › Bodega 25 › Bodega 25/General: 5</t>
        </is>
      </c>
    </row>
    <row r="881">
      <c r="A881" s="50" t="inlineStr">
        <is>
          <t>195556125892</t>
        </is>
      </c>
      <c r="B881" s="51" t="inlineStr">
        <is>
          <t>109933</t>
        </is>
      </c>
      <c r="C881" s="156" t="inlineStr">
        <is>
          <t>Multimarca</t>
        </is>
      </c>
      <c r="D881" s="156" t="inlineStr">
        <is>
          <t>SFG160-014022</t>
        </is>
      </c>
      <c r="E881" s="156" t="inlineStr">
        <is>
          <t>SFG160-01402272</t>
        </is>
      </c>
      <c r="F881" s="156" t="inlineStr">
        <is>
          <t>7 1/4</t>
        </is>
      </c>
      <c r="G881" s="156" t="inlineStr">
        <is>
          <t>7 1/4</t>
        </is>
      </c>
      <c r="H881" s="156" t="inlineStr">
        <is>
          <t>Stetson</t>
        </is>
      </c>
      <c r="I881" s="156" t="inlineStr">
        <is>
          <t>Texana Stetson The Golden Eagle Chocolate</t>
        </is>
      </c>
      <c r="J881" s="156" t="inlineStr">
        <is>
          <t>Accesorios</t>
        </is>
      </c>
      <c r="K881" s="156" t="inlineStr">
        <is>
          <t>Sombreros</t>
        </is>
      </c>
      <c r="L881" s="156" t="inlineStr">
        <is>
          <t>Unisex</t>
        </is>
      </c>
      <c r="M881" s="156" t="inlineStr">
        <is>
          <t>Stetson</t>
        </is>
      </c>
      <c r="N881" s="156" t="inlineStr">
        <is>
          <t>SS26</t>
        </is>
      </c>
      <c r="O881" s="156" t="inlineStr">
        <is>
          <t>Seasonal</t>
        </is>
      </c>
      <c r="P881" s="156" t="inlineStr">
        <is>
          <t>Cafe</t>
        </is>
      </c>
      <c r="Q881" s="156" t="n"/>
      <c r="R881" s="156" t="inlineStr">
        <is>
          <t>Copa Rancher</t>
        </is>
      </c>
      <c r="S881" s="156" t="inlineStr">
        <is>
          <t>100% Fieltro de lana</t>
        </is>
      </c>
      <c r="T881"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1" s="156" t="inlineStr">
        <is>
          <t>Estados Unidos</t>
        </is>
      </c>
      <c r="V881" s="156" t="inlineStr">
        <is>
          <t>PZS</t>
        </is>
      </c>
      <c r="W881" s="51" t="inlineStr">
        <is>
          <t>53102503</t>
        </is>
      </c>
      <c r="X881" s="156" t="inlineStr">
        <is>
          <t>https://cdn.shopify.com/s/files/1/0888/3250/8267/files/SFG160-01400770-09.jpg?v=1760375847</t>
        </is>
      </c>
      <c r="Y881" s="54" t="n">
        <v>10631.25</v>
      </c>
      <c r="Z881" s="54" t="n">
        <v>25431.03448</v>
      </c>
      <c r="AA881" s="55">
        <f>IF(AND(A881="", B881="", E881=""), "", IF(AB881="", "Válido", IF((LEN(AB881)-LEN(SUBSTITUTE(AB881,"; ","")))/2+1&gt;(LEN(AB881)-LEN(SUBSTITUTE(AB881,"[Aviso]","")))/7, "Con Incidencias", "Válido")))</f>
        <v/>
      </c>
      <c r="AB881" s="56">
        <f>IF(AND(A881="", B881="", E881=""), "", TEXTJOIN("; ", TRUE, IF(OR(TRIM(A881&amp;"")="", ISNUMBER(SEARCH("FALTA", A881))), "UPC faltante/inválido", ""), IF(AND(A881&lt;&gt;"", IFERROR(_xlfn.XMATCH(A881,$A$2:$A$2509,0,1)&lt;&gt;_xlfn.XMATCH(A881,$A$2:$A$2509,0,-1),FALSE)), "Código de barras duplicado", ""), IF(AND(E881&lt;&gt;"", COUNTIF($E$2:$E$2509, E881)&gt;1), "SKU duplicado", ""), IF(OR(J881="", J881=""), "[Aviso] División no capturada ()", IF(ISNA(MATCH(J881, Criterios!$A$123:$A$126, 0)), "División no válida", "")), IF(OR(K881="", K881=""), "[Aviso] Categoría no capturada ()", IF(ISNA(MATCH(K881, Criterios!$A$81:$A$120, 0)), "Categoría no válida", IF(AND(J881&lt;&gt;"", J881&lt;&gt;"", J881&lt;&gt;VLOOKUP(K881, Criterios!$A$81:$B$120, 2, FALSE)), "División no coincide con Categoría", ""))), IF(OR(L881="", L881=""), "[Aviso] Género no capturado ()", IF(ISNA(MATCH(L881, Criterios!$B$123:$B$127, 0)), "Género no válido", "")), IF(OR(N881="", N881=""), "[Aviso] Temporada no capturada ()", IF(ISNA(MATCH(N881, Criterios!$C$123:$C$128, 0)), "Temporada no válida", "")), IF(OR(O881="", O881=""), "[Aviso] Ciclo de vida no capturado ()", IF(ISNA(MATCH(O881, Criterios!$D$123:$D$124, 0)), "Ciclo de vida no válido", ""))))</f>
        <v/>
      </c>
      <c r="AC881" s="56" t="n"/>
      <c r="AD881" s="51" t="n">
        <v>-1</v>
      </c>
      <c r="AE881" s="156" t="n"/>
      <c r="AF881" s="51" t="n">
        <v>0</v>
      </c>
      <c r="AG881" s="156" t="inlineStr">
        <is>
          <t>Catálogo existente</t>
        </is>
      </c>
      <c r="AH881" s="156" t="inlineStr">
        <is>
          <t>Stock negativo en sistema: revisar en conteo | Revisión 29/09/2026: Cruce de catálogo y criterios sin pendientes detectados | 01/10/2026: complementado desde Shopify Stetson México (match por código de barras): WB Fit, WB Silueta</t>
        </is>
      </c>
      <c r="AI881" s="156" t="inlineStr">
        <is>
          <t>Sí</t>
        </is>
      </c>
      <c r="AJ881" s="156" t="inlineStr">
        <is>
          <t>STETSON AMERICAS (-1)</t>
        </is>
      </c>
      <c r="AK881" s="155" t="inlineStr">
        <is>
          <t>Criterios: I [Q] | Shopify Stetson: producto 14791353565547 / variante 53350604374379 | Odoo: producto 14275 / plantilla 17852</t>
        </is>
      </c>
      <c r="AL881" s="58" t="n">
        <v>10631.25</v>
      </c>
      <c r="AM881" s="58" t="n">
        <v>25431.03448</v>
      </c>
      <c r="AN881" s="155" t="inlineStr">
        <is>
          <t>Shopify Stetson México | Odoo Universal Unique Brands</t>
        </is>
      </c>
      <c r="AO881" s="59" t="n">
        <v>0</v>
      </c>
      <c r="AP881" s="59" t="n"/>
      <c r="AQ881" s="59" t="n">
        <v>3</v>
      </c>
      <c r="AR881" s="155" t="inlineStr">
        <is>
          <t>Odoo Universal Unique Brands › Bodega 25 › Bodega 25/General: 3</t>
        </is>
      </c>
    </row>
    <row r="882">
      <c r="A882" s="50" t="inlineStr">
        <is>
          <t>195556125908</t>
        </is>
      </c>
      <c r="B882" s="51" t="inlineStr">
        <is>
          <t>109938</t>
        </is>
      </c>
      <c r="C882" s="156" t="inlineStr">
        <is>
          <t>Multimarca</t>
        </is>
      </c>
      <c r="D882" s="156" t="inlineStr">
        <is>
          <t>SFG160-014061</t>
        </is>
      </c>
      <c r="E882" s="156" t="inlineStr">
        <is>
          <t>SFG160-01406172</t>
        </is>
      </c>
      <c r="F882" s="156" t="inlineStr">
        <is>
          <t>7 1/4</t>
        </is>
      </c>
      <c r="G882" s="156" t="inlineStr">
        <is>
          <t>7 1/4</t>
        </is>
      </c>
      <c r="H882" s="156" t="inlineStr">
        <is>
          <t>Stetson</t>
        </is>
      </c>
      <c r="I882" s="156" t="inlineStr">
        <is>
          <t>Texana Stetson The Golden Eagle Plata</t>
        </is>
      </c>
      <c r="J882" s="156" t="inlineStr">
        <is>
          <t>Accesorios</t>
        </is>
      </c>
      <c r="K882" s="156" t="inlineStr">
        <is>
          <t>Sombreros</t>
        </is>
      </c>
      <c r="L882" s="156" t="inlineStr">
        <is>
          <t>Unisex</t>
        </is>
      </c>
      <c r="M882" s="156" t="inlineStr">
        <is>
          <t>Stetson</t>
        </is>
      </c>
      <c r="N882" s="156" t="inlineStr">
        <is>
          <t>SS26</t>
        </is>
      </c>
      <c r="O882" s="156" t="inlineStr">
        <is>
          <t>Seasonal</t>
        </is>
      </c>
      <c r="P882" s="156" t="inlineStr">
        <is>
          <t>Gris</t>
        </is>
      </c>
      <c r="Q882" s="156" t="n"/>
      <c r="R882" s="156" t="inlineStr">
        <is>
          <t>Copa Rancher</t>
        </is>
      </c>
      <c r="S882" s="156" t="inlineStr">
        <is>
          <t>100% Fieltro de lana</t>
        </is>
      </c>
      <c r="T882"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2" s="156" t="inlineStr">
        <is>
          <t>Estados Unidos</t>
        </is>
      </c>
      <c r="V882" s="156" t="inlineStr">
        <is>
          <t>PZS</t>
        </is>
      </c>
      <c r="W882" s="51" t="inlineStr">
        <is>
          <t>53102503</t>
        </is>
      </c>
      <c r="X882" s="156" t="inlineStr">
        <is>
          <t>https://cdn.shopify.com/s/files/1/0888/3250/8267/files/SFG160-014022-04.jpg?v=1760374124</t>
        </is>
      </c>
      <c r="Y882" s="54" t="n">
        <v>10631.25</v>
      </c>
      <c r="Z882" s="54" t="n">
        <v>25431.03448</v>
      </c>
      <c r="AA882" s="55">
        <f>IF(AND(A882="", B882="", E882=""), "", IF(AB882="", "Válido", IF((LEN(AB882)-LEN(SUBSTITUTE(AB882,"; ","")))/2+1&gt;(LEN(AB882)-LEN(SUBSTITUTE(AB882,"[Aviso]","")))/7, "Con Incidencias", "Válido")))</f>
        <v/>
      </c>
      <c r="AB882" s="56">
        <f>IF(AND(A882="", B882="", E882=""), "", TEXTJOIN("; ", TRUE, IF(OR(TRIM(A882&amp;"")="", ISNUMBER(SEARCH("FALTA", A882))), "UPC faltante/inválido", ""), IF(AND(A882&lt;&gt;"", IFERROR(_xlfn.XMATCH(A882,$A$2:$A$2509,0,1)&lt;&gt;_xlfn.XMATCH(A882,$A$2:$A$2509,0,-1),FALSE)), "Código de barras duplicado", ""), IF(AND(E882&lt;&gt;"", COUNTIF($E$2:$E$2509, E882)&gt;1), "SKU duplicado", ""), IF(OR(J882="", J882=""), "[Aviso] División no capturada ()", IF(ISNA(MATCH(J882, Criterios!$A$123:$A$126, 0)), "División no válida", "")), IF(OR(K882="", K882=""), "[Aviso] Categoría no capturada ()", IF(ISNA(MATCH(K882, Criterios!$A$81:$A$120, 0)), "Categoría no válida", IF(AND(J882&lt;&gt;"", J882&lt;&gt;"", J882&lt;&gt;VLOOKUP(K882, Criterios!$A$81:$B$120, 2, FALSE)), "División no coincide con Categoría", ""))), IF(OR(L882="", L882=""), "[Aviso] Género no capturado ()", IF(ISNA(MATCH(L882, Criterios!$B$123:$B$127, 0)), "Género no válido", "")), IF(OR(N882="", N882=""), "[Aviso] Temporada no capturada ()", IF(ISNA(MATCH(N882, Criterios!$C$123:$C$128, 0)), "Temporada no válida", "")), IF(OR(O882="", O882=""), "[Aviso] Ciclo de vida no capturado ()", IF(ISNA(MATCH(O882, Criterios!$D$123:$D$124, 0)), "Ciclo de vida no válido", ""))))</f>
        <v/>
      </c>
      <c r="AC882" s="56" t="n"/>
      <c r="AD882" s="51" t="n">
        <v>0</v>
      </c>
      <c r="AE882" s="156" t="n"/>
      <c r="AF882" s="51" t="n">
        <v>0</v>
      </c>
      <c r="AG882" s="156" t="inlineStr">
        <is>
          <t>Catálogo existente</t>
        </is>
      </c>
      <c r="AH8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882" s="156" t="inlineStr">
        <is>
          <t>No</t>
        </is>
      </c>
      <c r="AJ882" s="156" t="n"/>
      <c r="AK882" s="155" t="inlineStr">
        <is>
          <t>Criterios: I [Q] | Shopify Stetson: producto 14791353565547 / variante 53350604538219</t>
        </is>
      </c>
      <c r="AL882" s="58" t="n">
        <v>10631.25</v>
      </c>
      <c r="AM882" s="58" t="n">
        <v>25431.03448</v>
      </c>
      <c r="AN882" s="155" t="inlineStr">
        <is>
          <t>Shopify Stetson México</t>
        </is>
      </c>
      <c r="AO882" s="59" t="n">
        <v>0</v>
      </c>
      <c r="AP882" s="59" t="n"/>
      <c r="AQ882" s="59" t="n"/>
      <c r="AR882" s="155" t="n"/>
    </row>
    <row r="883">
      <c r="A883" s="50" t="inlineStr">
        <is>
          <t>195556125915</t>
        </is>
      </c>
      <c r="B883" s="51" t="inlineStr">
        <is>
          <t>109929</t>
        </is>
      </c>
      <c r="C883" s="156" t="inlineStr">
        <is>
          <t>Multimarca</t>
        </is>
      </c>
      <c r="D883" s="156" t="inlineStr">
        <is>
          <t>SFG160-014007</t>
        </is>
      </c>
      <c r="E883" s="156" t="inlineStr">
        <is>
          <t>SFG160-01400773</t>
        </is>
      </c>
      <c r="F883" s="156" t="inlineStr">
        <is>
          <t>7 3/8</t>
        </is>
      </c>
      <c r="G883" s="156" t="inlineStr">
        <is>
          <t>7 3/8</t>
        </is>
      </c>
      <c r="H883" s="156" t="inlineStr">
        <is>
          <t>Stetson</t>
        </is>
      </c>
      <c r="I883" s="156" t="inlineStr">
        <is>
          <t>Texana Stetson The Golden Eagle Negro</t>
        </is>
      </c>
      <c r="J883" s="156" t="inlineStr">
        <is>
          <t>Accesorios</t>
        </is>
      </c>
      <c r="K883" s="156" t="inlineStr">
        <is>
          <t>Sombreros</t>
        </is>
      </c>
      <c r="L883" s="156" t="inlineStr">
        <is>
          <t>Unisex</t>
        </is>
      </c>
      <c r="M883" s="156" t="inlineStr">
        <is>
          <t>Stetson</t>
        </is>
      </c>
      <c r="N883" s="156" t="inlineStr">
        <is>
          <t>SS26</t>
        </is>
      </c>
      <c r="O883" s="156" t="inlineStr">
        <is>
          <t>Seasonal</t>
        </is>
      </c>
      <c r="P883" s="156" t="inlineStr">
        <is>
          <t>Negro</t>
        </is>
      </c>
      <c r="Q883" s="156" t="n"/>
      <c r="R883" s="156" t="inlineStr">
        <is>
          <t>Copa Rancher</t>
        </is>
      </c>
      <c r="S883" s="156" t="inlineStr">
        <is>
          <t>100% Fieltro de lana</t>
        </is>
      </c>
      <c r="T883"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3" s="156" t="inlineStr">
        <is>
          <t>Estados Unidos</t>
        </is>
      </c>
      <c r="V883" s="156" t="inlineStr">
        <is>
          <t>PZS</t>
        </is>
      </c>
      <c r="W883" s="51" t="inlineStr">
        <is>
          <t>53102503</t>
        </is>
      </c>
      <c r="X883" s="156" t="inlineStr">
        <is>
          <t>https://cdn.shopify.com/s/files/1/0888/3250/8267/files/SFG160-01400770-04.jpg?v=1760375847</t>
        </is>
      </c>
      <c r="Y883" s="54" t="n">
        <v>10631.25</v>
      </c>
      <c r="Z883" s="54" t="n">
        <v>25431.03448</v>
      </c>
      <c r="AA883" s="55">
        <f>IF(AND(A883="", B883="", E883=""), "", IF(AB883="", "Válido", IF((LEN(AB883)-LEN(SUBSTITUTE(AB883,"; ","")))/2+1&gt;(LEN(AB883)-LEN(SUBSTITUTE(AB883,"[Aviso]","")))/7, "Con Incidencias", "Válido")))</f>
        <v/>
      </c>
      <c r="AB883" s="56">
        <f>IF(AND(A883="", B883="", E883=""), "", TEXTJOIN("; ", TRUE, IF(OR(TRIM(A883&amp;"")="", ISNUMBER(SEARCH("FALTA", A883))), "UPC faltante/inválido", ""), IF(AND(A883&lt;&gt;"", IFERROR(_xlfn.XMATCH(A883,$A$2:$A$2509,0,1)&lt;&gt;_xlfn.XMATCH(A883,$A$2:$A$2509,0,-1),FALSE)), "Código de barras duplicado", ""), IF(AND(E883&lt;&gt;"", COUNTIF($E$2:$E$2509, E883)&gt;1), "SKU duplicado", ""), IF(OR(J883="", J883=""), "[Aviso] División no capturada ()", IF(ISNA(MATCH(J883, Criterios!$A$123:$A$126, 0)), "División no válida", "")), IF(OR(K883="", K883=""), "[Aviso] Categoría no capturada ()", IF(ISNA(MATCH(K883, Criterios!$A$81:$A$120, 0)), "Categoría no válida", IF(AND(J883&lt;&gt;"", J883&lt;&gt;"", J883&lt;&gt;VLOOKUP(K883, Criterios!$A$81:$B$120, 2, FALSE)), "División no coincide con Categoría", ""))), IF(OR(L883="", L883=""), "[Aviso] Género no capturado ()", IF(ISNA(MATCH(L883, Criterios!$B$123:$B$127, 0)), "Género no válido", "")), IF(OR(N883="", N883=""), "[Aviso] Temporada no capturada ()", IF(ISNA(MATCH(N883, Criterios!$C$123:$C$128, 0)), "Temporada no válida", "")), IF(OR(O883="", O883=""), "[Aviso] Ciclo de vida no capturado ()", IF(ISNA(MATCH(O883, Criterios!$D$123:$D$124, 0)), "Ciclo de vida no válido", ""))))</f>
        <v/>
      </c>
      <c r="AC883" s="56" t="n"/>
      <c r="AD883" s="51" t="n">
        <v>1</v>
      </c>
      <c r="AE883" s="156" t="inlineStr">
        <is>
          <t>B25 STETSON.MX (1); STETSON AMERICAS (1)</t>
        </is>
      </c>
      <c r="AF883" s="51" t="n">
        <v>2</v>
      </c>
      <c r="AG883" s="156" t="inlineStr">
        <is>
          <t>Catálogo existente</t>
        </is>
      </c>
      <c r="AH883" s="156" t="inlineStr">
        <is>
          <t>Revisión 29/09/2026: Cruce de catálogo y criterios sin pendientes detectados | 01/10/2026: complementado desde Shopify Stetson México (match por código de barras): WB Fit, WB Silueta</t>
        </is>
      </c>
      <c r="AI883" s="156" t="inlineStr">
        <is>
          <t>Sí</t>
        </is>
      </c>
      <c r="AJ883" s="156" t="inlineStr">
        <is>
          <t>PUNTO DE VENTA (-1)</t>
        </is>
      </c>
      <c r="AK883" s="155" t="inlineStr">
        <is>
          <t>Criterios: I [Q] | Shopify Stetson: producto 14791353565547 / variante 53350604243307 | Odoo: producto 14267 / plantilla 17844</t>
        </is>
      </c>
      <c r="AL883" s="58" t="n">
        <v>10631.25</v>
      </c>
      <c r="AM883" s="58" t="n">
        <v>25431.03448</v>
      </c>
      <c r="AN883" s="155" t="inlineStr">
        <is>
          <t>Shopify Stetson México | Odoo Universal Unique Brands</t>
        </is>
      </c>
      <c r="AO883" s="59" t="n">
        <v>3</v>
      </c>
      <c r="AP883" s="59" t="n"/>
      <c r="AQ883" s="59" t="n">
        <v>5</v>
      </c>
      <c r="AR883" s="155" t="inlineStr">
        <is>
          <t>Shopify Stetson México › Stetson México: 2 | Shopify Stetson México › Stetson Americas: 1 | Odoo Universal Unique Brands › Bodega 25 › Bodega 25/General: 5</t>
        </is>
      </c>
    </row>
    <row r="884">
      <c r="A884" s="50" t="inlineStr">
        <is>
          <t>195556125922</t>
        </is>
      </c>
      <c r="B884" s="51" t="inlineStr">
        <is>
          <t>109934</t>
        </is>
      </c>
      <c r="C884" s="156" t="inlineStr">
        <is>
          <t>Multimarca</t>
        </is>
      </c>
      <c r="D884" s="156" t="inlineStr">
        <is>
          <t>SFG160-014022</t>
        </is>
      </c>
      <c r="E884" s="156" t="inlineStr">
        <is>
          <t>SFG160-01402273</t>
        </is>
      </c>
      <c r="F884" s="156" t="inlineStr">
        <is>
          <t>7 3/8</t>
        </is>
      </c>
      <c r="G884" s="156" t="inlineStr">
        <is>
          <t>7 3/8</t>
        </is>
      </c>
      <c r="H884" s="156" t="inlineStr">
        <is>
          <t>Stetson</t>
        </is>
      </c>
      <c r="I884" s="156" t="inlineStr">
        <is>
          <t>Texana Stetson The Golden Eagle Chocolate</t>
        </is>
      </c>
      <c r="J884" s="156" t="inlineStr">
        <is>
          <t>Accesorios</t>
        </is>
      </c>
      <c r="K884" s="156" t="inlineStr">
        <is>
          <t>Sombreros</t>
        </is>
      </c>
      <c r="L884" s="156" t="inlineStr">
        <is>
          <t>Unisex</t>
        </is>
      </c>
      <c r="M884" s="156" t="inlineStr">
        <is>
          <t>Stetson</t>
        </is>
      </c>
      <c r="N884" s="156" t="inlineStr">
        <is>
          <t>SS26</t>
        </is>
      </c>
      <c r="O884" s="156" t="inlineStr">
        <is>
          <t>Seasonal</t>
        </is>
      </c>
      <c r="P884" s="156" t="inlineStr">
        <is>
          <t>Cafe</t>
        </is>
      </c>
      <c r="Q884" s="156" t="n"/>
      <c r="R884" s="156" t="inlineStr">
        <is>
          <t>Copa Rancher</t>
        </is>
      </c>
      <c r="S884" s="156" t="inlineStr">
        <is>
          <t>100% Fieltro de lana</t>
        </is>
      </c>
      <c r="T884"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4" s="156" t="inlineStr">
        <is>
          <t>Estados Unidos</t>
        </is>
      </c>
      <c r="V884" s="156" t="inlineStr">
        <is>
          <t>PZS</t>
        </is>
      </c>
      <c r="W884" s="51" t="inlineStr">
        <is>
          <t>53102503</t>
        </is>
      </c>
      <c r="X884" s="156" t="inlineStr">
        <is>
          <t>https://cdn.shopify.com/s/files/1/0888/3250/8267/files/SFG160-01400770-11.jpg?v=1760372972</t>
        </is>
      </c>
      <c r="Y884" s="54" t="n">
        <v>10631.25</v>
      </c>
      <c r="Z884" s="54" t="n">
        <v>25431.03448</v>
      </c>
      <c r="AA884" s="55">
        <f>IF(AND(A884="", B884="", E884=""), "", IF(AB884="", "Válido", IF((LEN(AB884)-LEN(SUBSTITUTE(AB884,"; ","")))/2+1&gt;(LEN(AB884)-LEN(SUBSTITUTE(AB884,"[Aviso]","")))/7, "Con Incidencias", "Válido")))</f>
        <v/>
      </c>
      <c r="AB884" s="56">
        <f>IF(AND(A884="", B884="", E884=""), "", TEXTJOIN("; ", TRUE, IF(OR(TRIM(A884&amp;"")="", ISNUMBER(SEARCH("FALTA", A884))), "UPC faltante/inválido", ""), IF(AND(A884&lt;&gt;"", IFERROR(_xlfn.XMATCH(A884,$A$2:$A$2509,0,1)&lt;&gt;_xlfn.XMATCH(A884,$A$2:$A$2509,0,-1),FALSE)), "Código de barras duplicado", ""), IF(AND(E884&lt;&gt;"", COUNTIF($E$2:$E$2509, E884)&gt;1), "SKU duplicado", ""), IF(OR(J884="", J884=""), "[Aviso] División no capturada ()", IF(ISNA(MATCH(J884, Criterios!$A$123:$A$126, 0)), "División no válida", "")), IF(OR(K884="", K884=""), "[Aviso] Categoría no capturada ()", IF(ISNA(MATCH(K884, Criterios!$A$81:$A$120, 0)), "Categoría no válida", IF(AND(J884&lt;&gt;"", J884&lt;&gt;"", J884&lt;&gt;VLOOKUP(K884, Criterios!$A$81:$B$120, 2, FALSE)), "División no coincide con Categoría", ""))), IF(OR(L884="", L884=""), "[Aviso] Género no capturado ()", IF(ISNA(MATCH(L884, Criterios!$B$123:$B$127, 0)), "Género no válido", "")), IF(OR(N884="", N884=""), "[Aviso] Temporada no capturada ()", IF(ISNA(MATCH(N884, Criterios!$C$123:$C$128, 0)), "Temporada no válida", "")), IF(OR(O884="", O884=""), "[Aviso] Ciclo de vida no capturado ()", IF(ISNA(MATCH(O884, Criterios!$D$123:$D$124, 0)), "Ciclo de vida no válido", ""))))</f>
        <v/>
      </c>
      <c r="AC884" s="56" t="n"/>
      <c r="AD884" s="51" t="n">
        <v>1</v>
      </c>
      <c r="AE884" s="156" t="inlineStr">
        <is>
          <t>B25 STETSON.MX (1)</t>
        </is>
      </c>
      <c r="AF884" s="51" t="n">
        <v>1</v>
      </c>
      <c r="AG884" s="156" t="inlineStr">
        <is>
          <t>Catálogo existente</t>
        </is>
      </c>
      <c r="AH884" s="156" t="inlineStr">
        <is>
          <t>Revisión 29/09/2026: Cruce de catálogo y criterios sin pendientes detectados | 01/10/2026: complementado desde Shopify Stetson México (match por código de barras): WB Fit, WB Silueta</t>
        </is>
      </c>
      <c r="AI884" s="156" t="inlineStr">
        <is>
          <t>No</t>
        </is>
      </c>
      <c r="AJ884" s="156" t="n"/>
      <c r="AK884" s="155" t="inlineStr">
        <is>
          <t>Criterios: I [Q] | Shopify Stetson: producto 14791353565547 / variante 53350604407147 | Odoo: producto 14276 / plantilla 17853</t>
        </is>
      </c>
      <c r="AL884" s="58" t="n">
        <v>10631.25</v>
      </c>
      <c r="AM884" s="58" t="n">
        <v>25431.03448</v>
      </c>
      <c r="AN884" s="155" t="inlineStr">
        <is>
          <t>Shopify Stetson México | Odoo Universal Unique Brands</t>
        </is>
      </c>
      <c r="AO884" s="59" t="n">
        <v>2</v>
      </c>
      <c r="AP884" s="59" t="n"/>
      <c r="AQ884" s="59" t="n">
        <v>3</v>
      </c>
      <c r="AR884" s="155" t="inlineStr">
        <is>
          <t>Shopify Stetson México › Stetson México: 1 | Shopify Stetson México › Stetson Americas: 1 | Odoo Universal Unique Brands › Bodega 25 › Bodega 25/General: 3</t>
        </is>
      </c>
    </row>
    <row r="885">
      <c r="A885" s="50" t="inlineStr">
        <is>
          <t>195556125939</t>
        </is>
      </c>
      <c r="B885" s="51" t="inlineStr">
        <is>
          <t>109939</t>
        </is>
      </c>
      <c r="C885" s="156" t="inlineStr">
        <is>
          <t>Multimarca</t>
        </is>
      </c>
      <c r="D885" s="156" t="inlineStr">
        <is>
          <t>SFG160-014061</t>
        </is>
      </c>
      <c r="E885" s="156" t="inlineStr">
        <is>
          <t>SFG160-01406173</t>
        </is>
      </c>
      <c r="F885" s="156" t="inlineStr">
        <is>
          <t>7 3/8</t>
        </is>
      </c>
      <c r="G885" s="156" t="inlineStr">
        <is>
          <t>7 3/8</t>
        </is>
      </c>
      <c r="H885" s="156" t="inlineStr">
        <is>
          <t>Stetson</t>
        </is>
      </c>
      <c r="I885" s="156" t="inlineStr">
        <is>
          <t>Texana Stetson The Golden Eagle Plata</t>
        </is>
      </c>
      <c r="J885" s="156" t="inlineStr">
        <is>
          <t>Accesorios</t>
        </is>
      </c>
      <c r="K885" s="156" t="inlineStr">
        <is>
          <t>Sombreros</t>
        </is>
      </c>
      <c r="L885" s="156" t="inlineStr">
        <is>
          <t>Unisex</t>
        </is>
      </c>
      <c r="M885" s="156" t="inlineStr">
        <is>
          <t>Stetson</t>
        </is>
      </c>
      <c r="N885" s="156" t="inlineStr">
        <is>
          <t>SS26</t>
        </is>
      </c>
      <c r="O885" s="156" t="inlineStr">
        <is>
          <t>Seasonal</t>
        </is>
      </c>
      <c r="P885" s="156" t="inlineStr">
        <is>
          <t>Gris</t>
        </is>
      </c>
      <c r="Q885" s="156" t="n"/>
      <c r="R885" s="156" t="inlineStr">
        <is>
          <t>Copa Rancher</t>
        </is>
      </c>
      <c r="S885" s="156" t="inlineStr">
        <is>
          <t>100% Fieltro de lana</t>
        </is>
      </c>
      <c r="T885"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5" s="156" t="inlineStr">
        <is>
          <t>Estados Unidos</t>
        </is>
      </c>
      <c r="V885" s="156" t="inlineStr">
        <is>
          <t>PZS</t>
        </is>
      </c>
      <c r="W885" s="51" t="inlineStr">
        <is>
          <t>53102503</t>
        </is>
      </c>
      <c r="X885" s="156" t="inlineStr">
        <is>
          <t>https://cdn.shopify.com/s/files/1/0888/3250/8267/files/SFG160-014022-05.jpg?v=1760374124</t>
        </is>
      </c>
      <c r="Y885" s="54" t="n">
        <v>10631.25</v>
      </c>
      <c r="Z885" s="54" t="n">
        <v>25431.03448</v>
      </c>
      <c r="AA885" s="55">
        <f>IF(AND(A885="", B885="", E885=""), "", IF(AB885="", "Válido", IF((LEN(AB885)-LEN(SUBSTITUTE(AB885,"; ","")))/2+1&gt;(LEN(AB885)-LEN(SUBSTITUTE(AB885,"[Aviso]","")))/7, "Con Incidencias", "Válido")))</f>
        <v/>
      </c>
      <c r="AB885" s="56">
        <f>IF(AND(A885="", B885="", E885=""), "", TEXTJOIN("; ", TRUE, IF(OR(TRIM(A885&amp;"")="", ISNUMBER(SEARCH("FALTA", A885))), "UPC faltante/inválido", ""), IF(AND(A885&lt;&gt;"", IFERROR(_xlfn.XMATCH(A885,$A$2:$A$2509,0,1)&lt;&gt;_xlfn.XMATCH(A885,$A$2:$A$2509,0,-1),FALSE)), "Código de barras duplicado", ""), IF(AND(E885&lt;&gt;"", COUNTIF($E$2:$E$2509, E885)&gt;1), "SKU duplicado", ""), IF(OR(J885="", J885=""), "[Aviso] División no capturada ()", IF(ISNA(MATCH(J885, Criterios!$A$123:$A$126, 0)), "División no válida", "")), IF(OR(K885="", K885=""), "[Aviso] Categoría no capturada ()", IF(ISNA(MATCH(K885, Criterios!$A$81:$A$120, 0)), "Categoría no válida", IF(AND(J885&lt;&gt;"", J885&lt;&gt;"", J885&lt;&gt;VLOOKUP(K885, Criterios!$A$81:$B$120, 2, FALSE)), "División no coincide con Categoría", ""))), IF(OR(L885="", L885=""), "[Aviso] Género no capturado ()", IF(ISNA(MATCH(L885, Criterios!$B$123:$B$127, 0)), "Género no válido", "")), IF(OR(N885="", N885=""), "[Aviso] Temporada no capturada ()", IF(ISNA(MATCH(N885, Criterios!$C$123:$C$128, 0)), "Temporada no válida", "")), IF(OR(O885="", O885=""), "[Aviso] Ciclo de vida no capturado ()", IF(ISNA(MATCH(O885, Criterios!$D$123:$D$124, 0)), "Ciclo de vida no válido", ""))))</f>
        <v/>
      </c>
      <c r="AC885" s="56" t="n"/>
      <c r="AD885" s="51" t="n">
        <v>-1</v>
      </c>
      <c r="AE885" s="156" t="n"/>
      <c r="AF885" s="51" t="n">
        <v>0</v>
      </c>
      <c r="AG885" s="156" t="inlineStr">
        <is>
          <t>Catálogo existente</t>
        </is>
      </c>
      <c r="AH88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885" s="156" t="inlineStr">
        <is>
          <t>Sí</t>
        </is>
      </c>
      <c r="AJ885" s="156" t="inlineStr">
        <is>
          <t>STETSON AMERICAS (-1)</t>
        </is>
      </c>
      <c r="AK885" s="155" t="inlineStr">
        <is>
          <t>Criterios: I [Q] | Shopify Stetson: producto 14791353565547 / variante 53350604570987 | Odoo: producto 14272 / plantilla 17849</t>
        </is>
      </c>
      <c r="AL885" s="58" t="n">
        <v>10631.25</v>
      </c>
      <c r="AM885" s="58" t="n">
        <v>25431.03448</v>
      </c>
      <c r="AN885" s="155" t="inlineStr">
        <is>
          <t>Shopify Stetson México | Odoo Universal Unique Brands</t>
        </is>
      </c>
      <c r="AO885" s="59" t="n">
        <v>0</v>
      </c>
      <c r="AP885" s="59" t="n"/>
      <c r="AQ885" s="59" t="n">
        <v>1</v>
      </c>
      <c r="AR885" s="155" t="inlineStr">
        <is>
          <t>Odoo Universal Unique Brands › Bodega 25 › Bodega 25/General: 1</t>
        </is>
      </c>
    </row>
    <row r="886">
      <c r="A886" s="50" t="inlineStr">
        <is>
          <t>195556125946</t>
        </is>
      </c>
      <c r="B886" s="51" t="inlineStr">
        <is>
          <t>109930</t>
        </is>
      </c>
      <c r="C886" s="156" t="inlineStr">
        <is>
          <t>Multimarca</t>
        </is>
      </c>
      <c r="D886" s="156" t="inlineStr">
        <is>
          <t>SFG160-014007</t>
        </is>
      </c>
      <c r="E886" s="156" t="inlineStr">
        <is>
          <t>SFG160-01400774</t>
        </is>
      </c>
      <c r="F886" s="156" t="inlineStr">
        <is>
          <t>7 1/2</t>
        </is>
      </c>
      <c r="G886" s="156" t="inlineStr">
        <is>
          <t>7 1/2</t>
        </is>
      </c>
      <c r="H886" s="156" t="inlineStr">
        <is>
          <t>Stetson</t>
        </is>
      </c>
      <c r="I886" s="156" t="inlineStr">
        <is>
          <t>Texana Stetson The Golden Eagle Negro</t>
        </is>
      </c>
      <c r="J886" s="156" t="inlineStr">
        <is>
          <t>Accesorios</t>
        </is>
      </c>
      <c r="K886" s="156" t="inlineStr">
        <is>
          <t>Sombreros</t>
        </is>
      </c>
      <c r="L886" s="156" t="inlineStr">
        <is>
          <t>Unisex</t>
        </is>
      </c>
      <c r="M886" s="156" t="inlineStr">
        <is>
          <t>Stetson</t>
        </is>
      </c>
      <c r="N886" s="156" t="inlineStr">
        <is>
          <t>SS26</t>
        </is>
      </c>
      <c r="O886" s="156" t="inlineStr">
        <is>
          <t>Seasonal</t>
        </is>
      </c>
      <c r="P886" s="156" t="inlineStr">
        <is>
          <t>Negro</t>
        </is>
      </c>
      <c r="Q886" s="156" t="n"/>
      <c r="R886" s="156" t="inlineStr">
        <is>
          <t>Copa Rancher</t>
        </is>
      </c>
      <c r="S886" s="156" t="inlineStr">
        <is>
          <t>100% Fieltro de lana</t>
        </is>
      </c>
      <c r="T886"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6" s="156" t="inlineStr">
        <is>
          <t>Estados Unidos</t>
        </is>
      </c>
      <c r="V886" s="156" t="inlineStr">
        <is>
          <t>PZS</t>
        </is>
      </c>
      <c r="W886" s="51" t="inlineStr">
        <is>
          <t>53102503</t>
        </is>
      </c>
      <c r="X886" s="156" t="inlineStr">
        <is>
          <t>https://cdn.shopify.com/s/files/1/0888/3250/8267/files/SFG160-01400770-05.jpg?v=1760375847</t>
        </is>
      </c>
      <c r="Y886" s="54" t="n">
        <v>10631.25</v>
      </c>
      <c r="Z886" s="54" t="n">
        <v>25431.03448</v>
      </c>
      <c r="AA886" s="55">
        <f>IF(AND(A886="", B886="", E886=""), "", IF(AB886="", "Válido", IF((LEN(AB886)-LEN(SUBSTITUTE(AB886,"; ","")))/2+1&gt;(LEN(AB886)-LEN(SUBSTITUTE(AB886,"[Aviso]","")))/7, "Con Incidencias", "Válido")))</f>
        <v/>
      </c>
      <c r="AB886" s="56">
        <f>IF(AND(A886="", B886="", E886=""), "", TEXTJOIN("; ", TRUE, IF(OR(TRIM(A886&amp;"")="", ISNUMBER(SEARCH("FALTA", A886))), "UPC faltante/inválido", ""), IF(AND(A886&lt;&gt;"", IFERROR(_xlfn.XMATCH(A886,$A$2:$A$2509,0,1)&lt;&gt;_xlfn.XMATCH(A886,$A$2:$A$2509,0,-1),FALSE)), "Código de barras duplicado", ""), IF(AND(E886&lt;&gt;"", COUNTIF($E$2:$E$2509, E886)&gt;1), "SKU duplicado", ""), IF(OR(J886="", J886=""), "[Aviso] División no capturada ()", IF(ISNA(MATCH(J886, Criterios!$A$123:$A$126, 0)), "División no válida", "")), IF(OR(K886="", K886=""), "[Aviso] Categoría no capturada ()", IF(ISNA(MATCH(K886, Criterios!$A$81:$A$120, 0)), "Categoría no válida", IF(AND(J886&lt;&gt;"", J886&lt;&gt;"", J886&lt;&gt;VLOOKUP(K886, Criterios!$A$81:$B$120, 2, FALSE)), "División no coincide con Categoría", ""))), IF(OR(L886="", L886=""), "[Aviso] Género no capturado ()", IF(ISNA(MATCH(L886, Criterios!$B$123:$B$127, 0)), "Género no válido", "")), IF(OR(N886="", N886=""), "[Aviso] Temporada no capturada ()", IF(ISNA(MATCH(N886, Criterios!$C$123:$C$128, 0)), "Temporada no válida", "")), IF(OR(O886="", O886=""), "[Aviso] Ciclo de vida no capturado ()", IF(ISNA(MATCH(O886, Criterios!$D$123:$D$124, 0)), "Ciclo de vida no válido", ""))))</f>
        <v/>
      </c>
      <c r="AC886" s="56" t="n"/>
      <c r="AD886" s="51" t="n">
        <v>-1</v>
      </c>
      <c r="AE886" s="156" t="n"/>
      <c r="AF886" s="51" t="n">
        <v>0</v>
      </c>
      <c r="AG886" s="156" t="inlineStr">
        <is>
          <t>Catálogo existente</t>
        </is>
      </c>
      <c r="AH886" s="156" t="inlineStr">
        <is>
          <t>Stock negativo en sistema: revisar en conteo | Revisión 29/09/2026: Cruce de catálogo y criterios sin pendientes detectados | 01/10/2026: complementado desde Shopify Stetson México (match por código de barras): WB Fit, WB Silueta</t>
        </is>
      </c>
      <c r="AI886" s="156" t="inlineStr">
        <is>
          <t>Sí</t>
        </is>
      </c>
      <c r="AJ886" s="156" t="inlineStr">
        <is>
          <t>STETSON AMERICAS (-1)</t>
        </is>
      </c>
      <c r="AK886" s="155" t="inlineStr">
        <is>
          <t>Criterios: I [Q] | Shopify Stetson: producto 14791353565547 / variante 53350604276075 | Odoo: producto 14268 / plantilla 17845</t>
        </is>
      </c>
      <c r="AL886" s="58" t="n">
        <v>10631.25</v>
      </c>
      <c r="AM886" s="58" t="n">
        <v>25431.03448</v>
      </c>
      <c r="AN886" s="155" t="inlineStr">
        <is>
          <t>Shopify Stetson México | Odoo Universal Unique Brands</t>
        </is>
      </c>
      <c r="AO886" s="59" t="n">
        <v>0</v>
      </c>
      <c r="AP886" s="59" t="n"/>
      <c r="AQ886" s="59" t="n">
        <v>1</v>
      </c>
      <c r="AR886" s="155" t="inlineStr">
        <is>
          <t>Odoo Universal Unique Brands › Bodega 25 › Bodega 25/General: 1</t>
        </is>
      </c>
    </row>
    <row r="887">
      <c r="A887" s="50" t="inlineStr">
        <is>
          <t>195556125953</t>
        </is>
      </c>
      <c r="B887" s="51" t="inlineStr">
        <is>
          <t>109935</t>
        </is>
      </c>
      <c r="C887" s="156" t="inlineStr">
        <is>
          <t>Multimarca</t>
        </is>
      </c>
      <c r="D887" s="156" t="inlineStr">
        <is>
          <t>SFG160-014022</t>
        </is>
      </c>
      <c r="E887" s="156" t="inlineStr">
        <is>
          <t>SFG160-01402274</t>
        </is>
      </c>
      <c r="F887" s="156" t="inlineStr">
        <is>
          <t>7 1/2</t>
        </is>
      </c>
      <c r="G887" s="156" t="inlineStr">
        <is>
          <t>7 1/2</t>
        </is>
      </c>
      <c r="H887" s="156" t="inlineStr">
        <is>
          <t>Stetson</t>
        </is>
      </c>
      <c r="I887" s="156" t="inlineStr">
        <is>
          <t>Texana Stetson The Golden Eagle Chocolate</t>
        </is>
      </c>
      <c r="J887" s="156" t="inlineStr">
        <is>
          <t>Accesorios</t>
        </is>
      </c>
      <c r="K887" s="156" t="inlineStr">
        <is>
          <t>Sombreros</t>
        </is>
      </c>
      <c r="L887" s="156" t="inlineStr">
        <is>
          <t>Unisex</t>
        </is>
      </c>
      <c r="M887" s="156" t="inlineStr">
        <is>
          <t>Stetson</t>
        </is>
      </c>
      <c r="N887" s="156" t="inlineStr">
        <is>
          <t>SS26</t>
        </is>
      </c>
      <c r="O887" s="156" t="inlineStr">
        <is>
          <t>Seasonal</t>
        </is>
      </c>
      <c r="P887" s="156" t="inlineStr">
        <is>
          <t>Cafe</t>
        </is>
      </c>
      <c r="Q887" s="156" t="n"/>
      <c r="R887" s="156" t="inlineStr">
        <is>
          <t>Copa Rancher</t>
        </is>
      </c>
      <c r="S887" s="156" t="inlineStr">
        <is>
          <t>100% Fieltro de lana</t>
        </is>
      </c>
      <c r="T887"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7" s="156" t="inlineStr">
        <is>
          <t>Estados Unidos</t>
        </is>
      </c>
      <c r="V887" s="156" t="inlineStr">
        <is>
          <t>PZS</t>
        </is>
      </c>
      <c r="W887" s="51" t="inlineStr">
        <is>
          <t>53102503</t>
        </is>
      </c>
      <c r="X887" s="156" t="inlineStr">
        <is>
          <t>https://cdn.shopify.com/s/files/1/0888/3250/8267/files/SFG160-014022-01.jpg?v=1760374124</t>
        </is>
      </c>
      <c r="Y887" s="54" t="n">
        <v>10631.25</v>
      </c>
      <c r="Z887" s="54" t="n">
        <v>25431.03448</v>
      </c>
      <c r="AA887" s="55">
        <f>IF(AND(A887="", B887="", E887=""), "", IF(AB887="", "Válido", IF((LEN(AB887)-LEN(SUBSTITUTE(AB887,"; ","")))/2+1&gt;(LEN(AB887)-LEN(SUBSTITUTE(AB887,"[Aviso]","")))/7, "Con Incidencias", "Válido")))</f>
        <v/>
      </c>
      <c r="AB887" s="56">
        <f>IF(AND(A887="", B887="", E887=""), "", TEXTJOIN("; ", TRUE, IF(OR(TRIM(A887&amp;"")="", ISNUMBER(SEARCH("FALTA", A887))), "UPC faltante/inválido", ""), IF(AND(A887&lt;&gt;"", IFERROR(_xlfn.XMATCH(A887,$A$2:$A$2509,0,1)&lt;&gt;_xlfn.XMATCH(A887,$A$2:$A$2509,0,-1),FALSE)), "Código de barras duplicado", ""), IF(AND(E887&lt;&gt;"", COUNTIF($E$2:$E$2509, E887)&gt;1), "SKU duplicado", ""), IF(OR(J887="", J887=""), "[Aviso] División no capturada ()", IF(ISNA(MATCH(J887, Criterios!$A$123:$A$126, 0)), "División no válida", "")), IF(OR(K887="", K887=""), "[Aviso] Categoría no capturada ()", IF(ISNA(MATCH(K887, Criterios!$A$81:$A$120, 0)), "Categoría no válida", IF(AND(J887&lt;&gt;"", J887&lt;&gt;"", J887&lt;&gt;VLOOKUP(K887, Criterios!$A$81:$B$120, 2, FALSE)), "División no coincide con Categoría", ""))), IF(OR(L887="", L887=""), "[Aviso] Género no capturado ()", IF(ISNA(MATCH(L887, Criterios!$B$123:$B$127, 0)), "Género no válido", "")), IF(OR(N887="", N887=""), "[Aviso] Temporada no capturada ()", IF(ISNA(MATCH(N887, Criterios!$C$123:$C$128, 0)), "Temporada no válida", "")), IF(OR(O887="", O887=""), "[Aviso] Ciclo de vida no capturado ()", IF(ISNA(MATCH(O887, Criterios!$D$123:$D$124, 0)), "Ciclo de vida no válido", ""))))</f>
        <v/>
      </c>
      <c r="AC887" s="56" t="n"/>
      <c r="AD887" s="51" t="n">
        <v>0</v>
      </c>
      <c r="AE887" s="156" t="n"/>
      <c r="AF887" s="51" t="n">
        <v>0</v>
      </c>
      <c r="AG887" s="156" t="inlineStr">
        <is>
          <t>Catálogo existente</t>
        </is>
      </c>
      <c r="AH887" s="156" t="inlineStr">
        <is>
          <t>Revisión 29/09/2026: Cruce de catálogo y criterios sin pendientes detectados | 01/10/2026: complementado desde Shopify Stetson México (match por código de barras): WB Fit, WB Silueta</t>
        </is>
      </c>
      <c r="AI887" s="156" t="inlineStr">
        <is>
          <t>No</t>
        </is>
      </c>
      <c r="AJ887" s="156" t="n"/>
      <c r="AK887" s="155" t="inlineStr">
        <is>
          <t>Criterios: I [Q] | Shopify Stetson: producto 14791353565547 / variante 53350604439915</t>
        </is>
      </c>
      <c r="AL887" s="58" t="n">
        <v>10631.25</v>
      </c>
      <c r="AM887" s="58" t="n">
        <v>25431.03448</v>
      </c>
      <c r="AN887" s="155" t="inlineStr">
        <is>
          <t>Shopify Stetson México</t>
        </is>
      </c>
      <c r="AO887" s="59" t="n">
        <v>0</v>
      </c>
      <c r="AP887" s="59" t="n"/>
      <c r="AQ887" s="59" t="n"/>
      <c r="AR887" s="155" t="n"/>
    </row>
    <row r="888">
      <c r="A888" s="50" t="inlineStr">
        <is>
          <t>195556157077</t>
        </is>
      </c>
      <c r="B888" s="51" t="inlineStr">
        <is>
          <t>117372</t>
        </is>
      </c>
      <c r="C888" s="156" t="inlineStr">
        <is>
          <t>Multimarca</t>
        </is>
      </c>
      <c r="D888" s="156" t="inlineStr">
        <is>
          <t>SFRN30-014022</t>
        </is>
      </c>
      <c r="E888" s="156" t="inlineStr">
        <is>
          <t>SFRN30-01402270</t>
        </is>
      </c>
      <c r="F888" s="156" t="inlineStr">
        <is>
          <t>7</t>
        </is>
      </c>
      <c r="G888" s="156" t="inlineStr">
        <is>
          <t>7</t>
        </is>
      </c>
      <c r="H888" s="156" t="inlineStr">
        <is>
          <t>Stetson</t>
        </is>
      </c>
      <c r="I888" s="156" t="inlineStr">
        <is>
          <t>Texana Stetson Rancher 30X Cafe</t>
        </is>
      </c>
      <c r="J888" s="156" t="inlineStr">
        <is>
          <t>Accesorios</t>
        </is>
      </c>
      <c r="K888" s="156" t="inlineStr">
        <is>
          <t>Sombreros</t>
        </is>
      </c>
      <c r="L888" s="156" t="inlineStr">
        <is>
          <t>Unisex</t>
        </is>
      </c>
      <c r="M888" s="156" t="inlineStr">
        <is>
          <t>Stetson</t>
        </is>
      </c>
      <c r="N888" s="156" t="inlineStr">
        <is>
          <t>FW26</t>
        </is>
      </c>
      <c r="O888" s="156" t="inlineStr">
        <is>
          <t>Seasonal</t>
        </is>
      </c>
      <c r="P888" s="156" t="inlineStr">
        <is>
          <t>Cafe</t>
        </is>
      </c>
      <c r="Q888" s="156" t="n"/>
      <c r="R888" s="156" t="inlineStr">
        <is>
          <t>Copa Rancher</t>
        </is>
      </c>
      <c r="S888" s="156" t="inlineStr">
        <is>
          <t>100% pelo de conejo</t>
        </is>
      </c>
      <c r="T888"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88" s="156" t="inlineStr">
        <is>
          <t>Estados Unidos</t>
        </is>
      </c>
      <c r="V888" s="156" t="inlineStr">
        <is>
          <t>PZS</t>
        </is>
      </c>
      <c r="W888" s="51" t="inlineStr">
        <is>
          <t>53102503</t>
        </is>
      </c>
      <c r="X888" s="156" t="inlineStr">
        <is>
          <t>https://cdn.shopify.com/s/files/1/0357/2432/9005/files/SFRN30-0140-22_Chocolate_1.jpg?v=1783500677</t>
        </is>
      </c>
      <c r="Y888" s="54" t="n">
        <v>6300</v>
      </c>
      <c r="Z888" s="54" t="n">
        <v>15086.2069</v>
      </c>
      <c r="AA888" s="55">
        <f>IF(AND(A888="", B888="", E888=""), "", IF(AB888="", "Válido", IF((LEN(AB888)-LEN(SUBSTITUTE(AB888,"; ","")))/2+1&gt;(LEN(AB888)-LEN(SUBSTITUTE(AB888,"[Aviso]","")))/7, "Con Incidencias", "Válido")))</f>
        <v/>
      </c>
      <c r="AB888" s="56">
        <f>IF(AND(A888="", B888="", E888=""), "", TEXTJOIN("; ", TRUE, IF(OR(TRIM(A888&amp;"")="", ISNUMBER(SEARCH("FALTA", A888))), "UPC faltante/inválido", ""), IF(AND(A888&lt;&gt;"", IFERROR(_xlfn.XMATCH(A888,$A$2:$A$2509,0,1)&lt;&gt;_xlfn.XMATCH(A888,$A$2:$A$2509,0,-1),FALSE)), "Código de barras duplicado", ""), IF(AND(E888&lt;&gt;"", COUNTIF($E$2:$E$2509, E888)&gt;1), "SKU duplicado", ""), IF(OR(J888="", J888=""), "[Aviso] División no capturada ()", IF(ISNA(MATCH(J888, Criterios!$A$123:$A$126, 0)), "División no válida", "")), IF(OR(K888="", K888=""), "[Aviso] Categoría no capturada ()", IF(ISNA(MATCH(K888, Criterios!$A$81:$A$120, 0)), "Categoría no válida", IF(AND(J888&lt;&gt;"", J888&lt;&gt;"", J888&lt;&gt;VLOOKUP(K888, Criterios!$A$81:$B$120, 2, FALSE)), "División no coincide con Categoría", ""))), IF(OR(L888="", L888=""), "[Aviso] Género no capturado ()", IF(ISNA(MATCH(L888, Criterios!$B$123:$B$127, 0)), "Género no válido", "")), IF(OR(N888="", N888=""), "[Aviso] Temporada no capturada ()", IF(ISNA(MATCH(N888, Criterios!$C$123:$C$128, 0)), "Temporada no válida", "")), IF(OR(O888="", O888=""), "[Aviso] Ciclo de vida no capturado ()", IF(ISNA(MATCH(O888, Criterios!$D$123:$D$124, 0)), "Ciclo de vida no válido", ""))))</f>
        <v/>
      </c>
      <c r="AC888" s="56" t="n"/>
      <c r="AD888" s="51" t="n">
        <v>0</v>
      </c>
      <c r="AE888" s="156" t="inlineStr">
        <is>
          <t>STETSON AMERICAS (2)</t>
        </is>
      </c>
      <c r="AF888" s="51" t="n">
        <v>2</v>
      </c>
      <c r="AG888" s="156" t="inlineStr">
        <is>
          <t>Catálogo existente</t>
        </is>
      </c>
      <c r="AH888"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88" s="156" t="inlineStr">
        <is>
          <t>Sí</t>
        </is>
      </c>
      <c r="AJ888" s="156" t="inlineStr">
        <is>
          <t>B25 CEDIS (-1); PUNTO DE VENTA (-1)</t>
        </is>
      </c>
      <c r="AK888" s="155" t="inlineStr">
        <is>
          <t>Criterios: I [Q] | Shopify Stetson: producto 15227650081131 / variante 53791837880683 | Investigación en línea 06/10/2026: https://www.stetson.com/products/rancher-30x-cowboy-hat-chocolate</t>
        </is>
      </c>
      <c r="AL888" s="58" t="n">
        <v>6300</v>
      </c>
      <c r="AM888" s="58" t="n">
        <v>15086.2069</v>
      </c>
      <c r="AN888" s="155" t="inlineStr">
        <is>
          <t>Shopify Stetson México</t>
        </is>
      </c>
      <c r="AO888" s="59" t="n">
        <v>2</v>
      </c>
      <c r="AP888" s="59" t="n"/>
      <c r="AQ888" s="59" t="n"/>
      <c r="AR888" s="155" t="inlineStr">
        <is>
          <t>Shopify Stetson México › Stetson Americas: 2</t>
        </is>
      </c>
    </row>
    <row r="889">
      <c r="A889" s="50" t="inlineStr">
        <is>
          <t>195556157107</t>
        </is>
      </c>
      <c r="B889" s="51" t="inlineStr">
        <is>
          <t>117373</t>
        </is>
      </c>
      <c r="C889" s="156" t="inlineStr">
        <is>
          <t>Multimarca</t>
        </is>
      </c>
      <c r="D889" s="156" t="inlineStr">
        <is>
          <t>SFRN30-014022</t>
        </is>
      </c>
      <c r="E889" s="156" t="inlineStr">
        <is>
          <t>SFRN30-01402271</t>
        </is>
      </c>
      <c r="F889" s="156" t="inlineStr">
        <is>
          <t>7 1/8</t>
        </is>
      </c>
      <c r="G889" s="156" t="inlineStr">
        <is>
          <t>7 1/8</t>
        </is>
      </c>
      <c r="H889" s="156" t="inlineStr">
        <is>
          <t>Stetson</t>
        </is>
      </c>
      <c r="I889" s="156" t="inlineStr">
        <is>
          <t>Texana Stetson Rancher 30X Cafe</t>
        </is>
      </c>
      <c r="J889" s="156" t="inlineStr">
        <is>
          <t>Accesorios</t>
        </is>
      </c>
      <c r="K889" s="156" t="inlineStr">
        <is>
          <t>Sombreros</t>
        </is>
      </c>
      <c r="L889" s="156" t="inlineStr">
        <is>
          <t>Unisex</t>
        </is>
      </c>
      <c r="M889" s="156" t="inlineStr">
        <is>
          <t>Stetson</t>
        </is>
      </c>
      <c r="N889" s="156" t="inlineStr">
        <is>
          <t>FW26</t>
        </is>
      </c>
      <c r="O889" s="156" t="inlineStr">
        <is>
          <t>Seasonal</t>
        </is>
      </c>
      <c r="P889" s="156" t="inlineStr">
        <is>
          <t>Cafe</t>
        </is>
      </c>
      <c r="Q889" s="156" t="n"/>
      <c r="R889" s="156" t="inlineStr">
        <is>
          <t>Copa Rancher</t>
        </is>
      </c>
      <c r="S889" s="156" t="inlineStr">
        <is>
          <t>100% pelo de conejo</t>
        </is>
      </c>
      <c r="T889"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89" s="156" t="inlineStr">
        <is>
          <t>Estados Unidos</t>
        </is>
      </c>
      <c r="V889" s="156" t="inlineStr">
        <is>
          <t>PZS</t>
        </is>
      </c>
      <c r="W889" s="51" t="inlineStr">
        <is>
          <t>53102503</t>
        </is>
      </c>
      <c r="X889" s="156" t="inlineStr">
        <is>
          <t>https://cdn.shopify.com/s/files/1/0357/2432/9005/files/SFRN30-0140-22_Chocolate_1.jpg?v=1783500677</t>
        </is>
      </c>
      <c r="Y889" s="54" t="n">
        <v>6300</v>
      </c>
      <c r="Z889" s="54" t="n">
        <v>15086.2069</v>
      </c>
      <c r="AA889" s="55">
        <f>IF(AND(A889="", B889="", E889=""), "", IF(AB889="", "Válido", IF((LEN(AB889)-LEN(SUBSTITUTE(AB889,"; ","")))/2+1&gt;(LEN(AB889)-LEN(SUBSTITUTE(AB889,"[Aviso]","")))/7, "Con Incidencias", "Válido")))</f>
        <v/>
      </c>
      <c r="AB889" s="56">
        <f>IF(AND(A889="", B889="", E889=""), "", TEXTJOIN("; ", TRUE, IF(OR(TRIM(A889&amp;"")="", ISNUMBER(SEARCH("FALTA", A889))), "UPC faltante/inválido", ""), IF(AND(A889&lt;&gt;"", IFERROR(_xlfn.XMATCH(A889,$A$2:$A$2509,0,1)&lt;&gt;_xlfn.XMATCH(A889,$A$2:$A$2509,0,-1),FALSE)), "Código de barras duplicado", ""), IF(AND(E889&lt;&gt;"", COUNTIF($E$2:$E$2509, E889)&gt;1), "SKU duplicado", ""), IF(OR(J889="", J889=""), "[Aviso] División no capturada ()", IF(ISNA(MATCH(J889, Criterios!$A$123:$A$126, 0)), "División no válida", "")), IF(OR(K889="", K889=""), "[Aviso] Categoría no capturada ()", IF(ISNA(MATCH(K889, Criterios!$A$81:$A$120, 0)), "Categoría no válida", IF(AND(J889&lt;&gt;"", J889&lt;&gt;"", J889&lt;&gt;VLOOKUP(K889, Criterios!$A$81:$B$120, 2, FALSE)), "División no coincide con Categoría", ""))), IF(OR(L889="", L889=""), "[Aviso] Género no capturado ()", IF(ISNA(MATCH(L889, Criterios!$B$123:$B$127, 0)), "Género no válido", "")), IF(OR(N889="", N889=""), "[Aviso] Temporada no capturada ()", IF(ISNA(MATCH(N889, Criterios!$C$123:$C$128, 0)), "Temporada no válida", "")), IF(OR(O889="", O889=""), "[Aviso] Ciclo de vida no capturado ()", IF(ISNA(MATCH(O889, Criterios!$D$123:$D$124, 0)), "Ciclo de vida no válido", ""))))</f>
        <v/>
      </c>
      <c r="AC889" s="56" t="n"/>
      <c r="AD889" s="51" t="n">
        <v>0</v>
      </c>
      <c r="AE889" s="156" t="inlineStr">
        <is>
          <t>STETSON AMERICAS (2)</t>
        </is>
      </c>
      <c r="AF889" s="51" t="n">
        <v>2</v>
      </c>
      <c r="AG889" s="156" t="inlineStr">
        <is>
          <t>Catálogo existente</t>
        </is>
      </c>
      <c r="AH889"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89" s="156" t="inlineStr">
        <is>
          <t>Sí</t>
        </is>
      </c>
      <c r="AJ889" s="156" t="inlineStr">
        <is>
          <t>B25 CEDIS (-1); PUNTO DE VENTA (-1)</t>
        </is>
      </c>
      <c r="AK889" s="155" t="inlineStr">
        <is>
          <t>Criterios: I [Q] | Shopify Stetson: producto 15227650081131 / variante 53791837913451 | Investigación en línea 06/10/2026: https://www.stetson.com/products/rancher-30x-cowboy-hat-chocolate</t>
        </is>
      </c>
      <c r="AL889" s="58" t="n">
        <v>6300</v>
      </c>
      <c r="AM889" s="58" t="n">
        <v>15086.2069</v>
      </c>
      <c r="AN889" s="155" t="inlineStr">
        <is>
          <t>Shopify Stetson México</t>
        </is>
      </c>
      <c r="AO889" s="59" t="n">
        <v>1</v>
      </c>
      <c r="AP889" s="59" t="n"/>
      <c r="AQ889" s="59" t="n"/>
      <c r="AR889" s="155" t="inlineStr">
        <is>
          <t>Shopify Stetson México › Stetson Americas: 1</t>
        </is>
      </c>
    </row>
    <row r="890">
      <c r="A890" s="50" t="inlineStr">
        <is>
          <t>195556157138</t>
        </is>
      </c>
      <c r="B890" s="51" t="inlineStr">
        <is>
          <t>117374</t>
        </is>
      </c>
      <c r="C890" s="156" t="inlineStr">
        <is>
          <t>Multimarca</t>
        </is>
      </c>
      <c r="D890" s="156" t="inlineStr">
        <is>
          <t>SFRN30-014022</t>
        </is>
      </c>
      <c r="E890" s="156" t="inlineStr">
        <is>
          <t>SFRN30-01402272</t>
        </is>
      </c>
      <c r="F890" s="156" t="inlineStr">
        <is>
          <t>7 1/4</t>
        </is>
      </c>
      <c r="G890" s="156" t="inlineStr">
        <is>
          <t>7 1/4</t>
        </is>
      </c>
      <c r="H890" s="156" t="inlineStr">
        <is>
          <t>Stetson</t>
        </is>
      </c>
      <c r="I890" s="156" t="inlineStr">
        <is>
          <t>Texana Stetson Rancher 30X Cafe</t>
        </is>
      </c>
      <c r="J890" s="156" t="inlineStr">
        <is>
          <t>Accesorios</t>
        </is>
      </c>
      <c r="K890" s="156" t="inlineStr">
        <is>
          <t>Sombreros</t>
        </is>
      </c>
      <c r="L890" s="156" t="inlineStr">
        <is>
          <t>Unisex</t>
        </is>
      </c>
      <c r="M890" s="156" t="inlineStr">
        <is>
          <t>Stetson</t>
        </is>
      </c>
      <c r="N890" s="156" t="inlineStr">
        <is>
          <t>FW26</t>
        </is>
      </c>
      <c r="O890" s="156" t="inlineStr">
        <is>
          <t>Seasonal</t>
        </is>
      </c>
      <c r="P890" s="156" t="inlineStr">
        <is>
          <t>Cafe</t>
        </is>
      </c>
      <c r="Q890" s="156" t="n"/>
      <c r="R890" s="156" t="inlineStr">
        <is>
          <t>Copa Rancher</t>
        </is>
      </c>
      <c r="S890" s="156" t="inlineStr">
        <is>
          <t>100% pelo de conejo</t>
        </is>
      </c>
      <c r="T890"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90" s="156" t="inlineStr">
        <is>
          <t>Estados Unidos</t>
        </is>
      </c>
      <c r="V890" s="156" t="inlineStr">
        <is>
          <t>PZS</t>
        </is>
      </c>
      <c r="W890" s="51" t="inlineStr">
        <is>
          <t>53102503</t>
        </is>
      </c>
      <c r="X890" s="156" t="inlineStr">
        <is>
          <t>https://cdn.shopify.com/s/files/1/0357/2432/9005/files/SFRN30-0140-22_Chocolate_1.jpg?v=1783500677</t>
        </is>
      </c>
      <c r="Y890" s="54" t="n">
        <v>6300</v>
      </c>
      <c r="Z890" s="54" t="n">
        <v>15086.2069</v>
      </c>
      <c r="AA890" s="55">
        <f>IF(AND(A890="", B890="", E890=""), "", IF(AB890="", "Válido", IF((LEN(AB890)-LEN(SUBSTITUTE(AB890,"; ","")))/2+1&gt;(LEN(AB890)-LEN(SUBSTITUTE(AB890,"[Aviso]","")))/7, "Con Incidencias", "Válido")))</f>
        <v/>
      </c>
      <c r="AB890" s="56">
        <f>IF(AND(A890="", B890="", E890=""), "", TEXTJOIN("; ", TRUE, IF(OR(TRIM(A890&amp;"")="", ISNUMBER(SEARCH("FALTA", A890))), "UPC faltante/inválido", ""), IF(AND(A890&lt;&gt;"", IFERROR(_xlfn.XMATCH(A890,$A$2:$A$2509,0,1)&lt;&gt;_xlfn.XMATCH(A890,$A$2:$A$2509,0,-1),FALSE)), "Código de barras duplicado", ""), IF(AND(E890&lt;&gt;"", COUNTIF($E$2:$E$2509, E890)&gt;1), "SKU duplicado", ""), IF(OR(J890="", J890=""), "[Aviso] División no capturada ()", IF(ISNA(MATCH(J890, Criterios!$A$123:$A$126, 0)), "División no válida", "")), IF(OR(K890="", K890=""), "[Aviso] Categoría no capturada ()", IF(ISNA(MATCH(K890, Criterios!$A$81:$A$120, 0)), "Categoría no válida", IF(AND(J890&lt;&gt;"", J890&lt;&gt;"", J890&lt;&gt;VLOOKUP(K890, Criterios!$A$81:$B$120, 2, FALSE)), "División no coincide con Categoría", ""))), IF(OR(L890="", L890=""), "[Aviso] Género no capturado ()", IF(ISNA(MATCH(L890, Criterios!$B$123:$B$127, 0)), "Género no válido", "")), IF(OR(N890="", N890=""), "[Aviso] Temporada no capturada ()", IF(ISNA(MATCH(N890, Criterios!$C$123:$C$128, 0)), "Temporada no válida", "")), IF(OR(O890="", O890=""), "[Aviso] Ciclo de vida no capturado ()", IF(ISNA(MATCH(O890, Criterios!$D$123:$D$124, 0)), "Ciclo de vida no válido", ""))))</f>
        <v/>
      </c>
      <c r="AC890" s="56" t="n"/>
      <c r="AD890" s="51" t="n">
        <v>0</v>
      </c>
      <c r="AE890" s="156" t="inlineStr">
        <is>
          <t>STETSON AMERICAS (2)</t>
        </is>
      </c>
      <c r="AF890" s="51" t="n">
        <v>2</v>
      </c>
      <c r="AG890" s="156" t="inlineStr">
        <is>
          <t>Catálogo existente</t>
        </is>
      </c>
      <c r="AH890"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90" s="156" t="inlineStr">
        <is>
          <t>Sí</t>
        </is>
      </c>
      <c r="AJ890" s="156" t="inlineStr">
        <is>
          <t>B25 CEDIS (-1); PUNTO DE VENTA (-1)</t>
        </is>
      </c>
      <c r="AK890" s="155" t="inlineStr">
        <is>
          <t>Criterios: I [Q] | Shopify Stetson: producto 15227650081131 / variante 53791837946219 | Investigación en línea 06/10/2026: https://www.stetson.com/products/rancher-30x-cowboy-hat-chocolate</t>
        </is>
      </c>
      <c r="AL890" s="58" t="n">
        <v>6300</v>
      </c>
      <c r="AM890" s="58" t="n">
        <v>15086.2069</v>
      </c>
      <c r="AN890" s="155" t="inlineStr">
        <is>
          <t>Shopify Stetson México</t>
        </is>
      </c>
      <c r="AO890" s="59" t="n">
        <v>2</v>
      </c>
      <c r="AP890" s="59" t="n"/>
      <c r="AQ890" s="59" t="n"/>
      <c r="AR890" s="155" t="inlineStr">
        <is>
          <t>Shopify Stetson México › Stetson Americas: 2</t>
        </is>
      </c>
    </row>
    <row r="891">
      <c r="A891" s="50" t="inlineStr">
        <is>
          <t>195556157169</t>
        </is>
      </c>
      <c r="B891" s="51" t="inlineStr">
        <is>
          <t>117375</t>
        </is>
      </c>
      <c r="C891" s="156" t="inlineStr">
        <is>
          <t>Multimarca</t>
        </is>
      </c>
      <c r="D891" s="156" t="inlineStr">
        <is>
          <t>SFRN30-014022</t>
        </is>
      </c>
      <c r="E891" s="156" t="inlineStr">
        <is>
          <t>SFRN30-01402273</t>
        </is>
      </c>
      <c r="F891" s="156" t="inlineStr">
        <is>
          <t>7 3/8</t>
        </is>
      </c>
      <c r="G891" s="156" t="inlineStr">
        <is>
          <t>7 3/8</t>
        </is>
      </c>
      <c r="H891" s="156" t="inlineStr">
        <is>
          <t>Stetson</t>
        </is>
      </c>
      <c r="I891" s="156" t="inlineStr">
        <is>
          <t>Texana Stetson Rancher 30X Cafe</t>
        </is>
      </c>
      <c r="J891" s="156" t="inlineStr">
        <is>
          <t>Accesorios</t>
        </is>
      </c>
      <c r="K891" s="156" t="inlineStr">
        <is>
          <t>Sombreros</t>
        </is>
      </c>
      <c r="L891" s="156" t="inlineStr">
        <is>
          <t>Unisex</t>
        </is>
      </c>
      <c r="M891" s="156" t="inlineStr">
        <is>
          <t>Stetson</t>
        </is>
      </c>
      <c r="N891" s="156" t="inlineStr">
        <is>
          <t>FW26</t>
        </is>
      </c>
      <c r="O891" s="156" t="inlineStr">
        <is>
          <t>Seasonal</t>
        </is>
      </c>
      <c r="P891" s="156" t="inlineStr">
        <is>
          <t>Cafe</t>
        </is>
      </c>
      <c r="Q891" s="156" t="n"/>
      <c r="R891" s="156" t="inlineStr">
        <is>
          <t>Copa Rancher</t>
        </is>
      </c>
      <c r="S891" s="156" t="inlineStr">
        <is>
          <t>100% pelo de conejo</t>
        </is>
      </c>
      <c r="T891"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91" s="156" t="inlineStr">
        <is>
          <t>Estados Unidos</t>
        </is>
      </c>
      <c r="V891" s="156" t="inlineStr">
        <is>
          <t>PZS</t>
        </is>
      </c>
      <c r="W891" s="51" t="inlineStr">
        <is>
          <t>53102503</t>
        </is>
      </c>
      <c r="X891" s="156" t="inlineStr">
        <is>
          <t>https://cdn.shopify.com/s/files/1/0357/2432/9005/files/SFRN30-0140-22_Chocolate_1.jpg?v=1783500677</t>
        </is>
      </c>
      <c r="Y891" s="54" t="n">
        <v>6300</v>
      </c>
      <c r="Z891" s="54" t="n">
        <v>15086.2069</v>
      </c>
      <c r="AA891" s="55">
        <f>IF(AND(A891="", B891="", E891=""), "", IF(AB891="", "Válido", IF((LEN(AB891)-LEN(SUBSTITUTE(AB891,"; ","")))/2+1&gt;(LEN(AB891)-LEN(SUBSTITUTE(AB891,"[Aviso]","")))/7, "Con Incidencias", "Válido")))</f>
        <v/>
      </c>
      <c r="AB891" s="56">
        <f>IF(AND(A891="", B891="", E891=""), "", TEXTJOIN("; ", TRUE, IF(OR(TRIM(A891&amp;"")="", ISNUMBER(SEARCH("FALTA", A891))), "UPC faltante/inválido", ""), IF(AND(A891&lt;&gt;"", IFERROR(_xlfn.XMATCH(A891,$A$2:$A$2509,0,1)&lt;&gt;_xlfn.XMATCH(A891,$A$2:$A$2509,0,-1),FALSE)), "Código de barras duplicado", ""), IF(AND(E891&lt;&gt;"", COUNTIF($E$2:$E$2509, E891)&gt;1), "SKU duplicado", ""), IF(OR(J891="", J891=""), "[Aviso] División no capturada ()", IF(ISNA(MATCH(J891, Criterios!$A$123:$A$126, 0)), "División no válida", "")), IF(OR(K891="", K891=""), "[Aviso] Categoría no capturada ()", IF(ISNA(MATCH(K891, Criterios!$A$81:$A$120, 0)), "Categoría no válida", IF(AND(J891&lt;&gt;"", J891&lt;&gt;"", J891&lt;&gt;VLOOKUP(K891, Criterios!$A$81:$B$120, 2, FALSE)), "División no coincide con Categoría", ""))), IF(OR(L891="", L891=""), "[Aviso] Género no capturado ()", IF(ISNA(MATCH(L891, Criterios!$B$123:$B$127, 0)), "Género no válido", "")), IF(OR(N891="", N891=""), "[Aviso] Temporada no capturada ()", IF(ISNA(MATCH(N891, Criterios!$C$123:$C$128, 0)), "Temporada no válida", "")), IF(OR(O891="", O891=""), "[Aviso] Ciclo de vida no capturado ()", IF(ISNA(MATCH(O891, Criterios!$D$123:$D$124, 0)), "Ciclo de vida no válido", ""))))</f>
        <v/>
      </c>
      <c r="AC891" s="56" t="n"/>
      <c r="AD891" s="51" t="n">
        <v>0</v>
      </c>
      <c r="AE891" s="156" t="inlineStr">
        <is>
          <t>STETSON AMERICAS (2)</t>
        </is>
      </c>
      <c r="AF891" s="51" t="n">
        <v>2</v>
      </c>
      <c r="AG891" s="156" t="inlineStr">
        <is>
          <t>Catálogo existente</t>
        </is>
      </c>
      <c r="AH891"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91" s="156" t="inlineStr">
        <is>
          <t>Sí</t>
        </is>
      </c>
      <c r="AJ891" s="156" t="inlineStr">
        <is>
          <t>PUNTO DE VENTA (-1); B25 CEDIS (-1)</t>
        </is>
      </c>
      <c r="AK891" s="155" t="inlineStr">
        <is>
          <t>Criterios: I [Q] | Shopify Stetson: producto 15227650081131 / variante 53791837978987 | Investigación en línea 06/10/2026: https://www.stetson.com/products/rancher-30x-cowboy-hat-chocolate</t>
        </is>
      </c>
      <c r="AL891" s="58" t="n">
        <v>6300</v>
      </c>
      <c r="AM891" s="58" t="n">
        <v>15086.2069</v>
      </c>
      <c r="AN891" s="155" t="inlineStr">
        <is>
          <t>Shopify Stetson México</t>
        </is>
      </c>
      <c r="AO891" s="59" t="n">
        <v>2</v>
      </c>
      <c r="AP891" s="59" t="n"/>
      <c r="AQ891" s="59" t="n"/>
      <c r="AR891" s="155" t="inlineStr">
        <is>
          <t>Shopify Stetson México › Stetson Americas: 2</t>
        </is>
      </c>
    </row>
    <row r="892">
      <c r="A892" s="50" t="inlineStr">
        <is>
          <t>195556159231</t>
        </is>
      </c>
      <c r="B892" s="51" t="inlineStr">
        <is>
          <t>117356</t>
        </is>
      </c>
      <c r="C892" s="156" t="inlineStr">
        <is>
          <t>Multimarca</t>
        </is>
      </c>
      <c r="D892" s="156" t="inlineStr">
        <is>
          <t>SFMCKN-724207</t>
        </is>
      </c>
      <c r="E892" s="156" t="inlineStr">
        <is>
          <t>SFMCKN-72420770</t>
        </is>
      </c>
      <c r="F892" s="156" t="inlineStr">
        <is>
          <t>7</t>
        </is>
      </c>
      <c r="G892" s="156" t="inlineStr">
        <is>
          <t>7</t>
        </is>
      </c>
      <c r="H892" s="156" t="inlineStr">
        <is>
          <t>Stetson</t>
        </is>
      </c>
      <c r="I892" s="156" t="inlineStr">
        <is>
          <t>Texana Stetson McCarron 10X Negro</t>
        </is>
      </c>
      <c r="J892" s="156" t="inlineStr">
        <is>
          <t>Accesorios</t>
        </is>
      </c>
      <c r="K892" s="156" t="inlineStr">
        <is>
          <t>Sombreros</t>
        </is>
      </c>
      <c r="L892" s="156" t="inlineStr">
        <is>
          <t>Unisex</t>
        </is>
      </c>
      <c r="M892" s="156" t="inlineStr">
        <is>
          <t>Stetson</t>
        </is>
      </c>
      <c r="N892" s="156" t="inlineStr">
        <is>
          <t>FW26</t>
        </is>
      </c>
      <c r="O892" s="156" t="inlineStr">
        <is>
          <t>Seasonal</t>
        </is>
      </c>
      <c r="P892" s="156" t="inlineStr">
        <is>
          <t>Negro</t>
        </is>
      </c>
      <c r="Q892" s="156" t="n"/>
      <c r="R892" s="156" t="inlineStr">
        <is>
          <t>Copa Cattleman</t>
        </is>
      </c>
      <c r="S892" s="156" t="inlineStr">
        <is>
          <t>100% pelo de conejo</t>
        </is>
      </c>
      <c r="T892"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2" s="156" t="inlineStr">
        <is>
          <t>Estados Unidos</t>
        </is>
      </c>
      <c r="V892" s="156" t="inlineStr">
        <is>
          <t>PZS</t>
        </is>
      </c>
      <c r="W892" s="51" t="inlineStr">
        <is>
          <t>53102503</t>
        </is>
      </c>
      <c r="X892" s="156" t="n"/>
      <c r="Y892" s="54" t="n">
        <v>4725</v>
      </c>
      <c r="Z892" s="54" t="n">
        <v>11206.89655</v>
      </c>
      <c r="AA892" s="55">
        <f>IF(AND(A892="", B892="", E892=""), "", IF(AB892="", "Válido", IF((LEN(AB892)-LEN(SUBSTITUTE(AB892,"; ","")))/2+1&gt;(LEN(AB892)-LEN(SUBSTITUTE(AB892,"[Aviso]","")))/7, "Con Incidencias", "Válido")))</f>
        <v/>
      </c>
      <c r="AB892" s="56">
        <f>IF(AND(A892="", B892="", E892=""), "", TEXTJOIN("; ", TRUE, IF(OR(TRIM(A892&amp;"")="", ISNUMBER(SEARCH("FALTA", A892))), "UPC faltante/inválido", ""), IF(AND(A892&lt;&gt;"", IFERROR(_xlfn.XMATCH(A892,$A$2:$A$2509,0,1)&lt;&gt;_xlfn.XMATCH(A892,$A$2:$A$2509,0,-1),FALSE)), "Código de barras duplicado", ""), IF(AND(E892&lt;&gt;"", COUNTIF($E$2:$E$2509, E892)&gt;1), "SKU duplicado", ""), IF(OR(J892="", J892=""), "[Aviso] División no capturada ()", IF(ISNA(MATCH(J892, Criterios!$A$123:$A$126, 0)), "División no válida", "")), IF(OR(K892="", K892=""), "[Aviso] Categoría no capturada ()", IF(ISNA(MATCH(K892, Criterios!$A$81:$A$120, 0)), "Categoría no válida", IF(AND(J892&lt;&gt;"", J892&lt;&gt;"", J892&lt;&gt;VLOOKUP(K892, Criterios!$A$81:$B$120, 2, FALSE)), "División no coincide con Categoría", ""))), IF(OR(L892="", L892=""), "[Aviso] Género no capturado ()", IF(ISNA(MATCH(L892, Criterios!$B$123:$B$127, 0)), "Género no válido", "")), IF(OR(N892="", N892=""), "[Aviso] Temporada no capturada ()", IF(ISNA(MATCH(N892, Criterios!$C$123:$C$128, 0)), "Temporada no válida", "")), IF(OR(O892="", O892=""), "[Aviso] Ciclo de vida no capturado ()", IF(ISNA(MATCH(O892, Criterios!$D$123:$D$124, 0)), "Ciclo de vida no válido", ""))))</f>
        <v/>
      </c>
      <c r="AC892" s="56" t="n"/>
      <c r="AD892" s="51" t="n">
        <v>0</v>
      </c>
      <c r="AE892" s="156" t="inlineStr">
        <is>
          <t>STETSON AMERICAS (1)</t>
        </is>
      </c>
      <c r="AF892" s="51" t="n">
        <v>1</v>
      </c>
      <c r="AG892" s="156" t="inlineStr">
        <is>
          <t>Catálogo existente</t>
        </is>
      </c>
      <c r="AH892" s="156" t="inlineStr">
        <is>
          <t>Revisión 29/09/2026: Campos sin respaldo: X | 01/10/2026: complementado desde Shopify Stetson México (match por código de barras): WB Fit, WB Silueta</t>
        </is>
      </c>
      <c r="AI892" s="156" t="inlineStr">
        <is>
          <t>Sí</t>
        </is>
      </c>
      <c r="AJ892" s="156" t="inlineStr">
        <is>
          <t>B25 CEDIS (-1)</t>
        </is>
      </c>
      <c r="AK892" s="155" t="inlineStr">
        <is>
          <t>Criterios: I [Q] | Shopify Stetson: producto 15227649786219 / variante 53791837028715</t>
        </is>
      </c>
      <c r="AL892" s="58" t="n">
        <v>4725</v>
      </c>
      <c r="AM892" s="58" t="n">
        <v>11206.89655</v>
      </c>
      <c r="AN892" s="155" t="inlineStr">
        <is>
          <t>Shopify Stetson México</t>
        </is>
      </c>
      <c r="AO892" s="59" t="n">
        <v>1</v>
      </c>
      <c r="AP892" s="59" t="n"/>
      <c r="AQ892" s="59" t="n"/>
      <c r="AR892" s="155" t="inlineStr">
        <is>
          <t>Shopify Stetson México › Stetson Americas: 1</t>
        </is>
      </c>
    </row>
    <row r="893">
      <c r="A893" s="50" t="inlineStr">
        <is>
          <t>195556159248</t>
        </is>
      </c>
      <c r="B893" s="51" t="inlineStr">
        <is>
          <t>117357</t>
        </is>
      </c>
      <c r="C893" s="156" t="inlineStr">
        <is>
          <t>Multimarca</t>
        </is>
      </c>
      <c r="D893" s="156" t="inlineStr">
        <is>
          <t>SFMCKN-724207</t>
        </is>
      </c>
      <c r="E893" s="156" t="inlineStr">
        <is>
          <t>SFMCKN-72420771</t>
        </is>
      </c>
      <c r="F893" s="156" t="inlineStr">
        <is>
          <t>7 1/8</t>
        </is>
      </c>
      <c r="G893" s="156" t="inlineStr">
        <is>
          <t>7 1/8</t>
        </is>
      </c>
      <c r="H893" s="156" t="inlineStr">
        <is>
          <t>Stetson</t>
        </is>
      </c>
      <c r="I893" s="156" t="inlineStr">
        <is>
          <t>Texana Stetson McCarron 10X Negro</t>
        </is>
      </c>
      <c r="J893" s="156" t="inlineStr">
        <is>
          <t>Accesorios</t>
        </is>
      </c>
      <c r="K893" s="156" t="inlineStr">
        <is>
          <t>Sombreros</t>
        </is>
      </c>
      <c r="L893" s="156" t="inlineStr">
        <is>
          <t>Unisex</t>
        </is>
      </c>
      <c r="M893" s="156" t="inlineStr">
        <is>
          <t>Stetson</t>
        </is>
      </c>
      <c r="N893" s="156" t="inlineStr">
        <is>
          <t>FW26</t>
        </is>
      </c>
      <c r="O893" s="156" t="inlineStr">
        <is>
          <t>Seasonal</t>
        </is>
      </c>
      <c r="P893" s="156" t="inlineStr">
        <is>
          <t>Negro</t>
        </is>
      </c>
      <c r="Q893" s="156" t="n"/>
      <c r="R893" s="156" t="inlineStr">
        <is>
          <t>Copa Cattleman</t>
        </is>
      </c>
      <c r="S893" s="156" t="inlineStr">
        <is>
          <t>100% pelo de conejo</t>
        </is>
      </c>
      <c r="T893"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3" s="156" t="inlineStr">
        <is>
          <t>Estados Unidos</t>
        </is>
      </c>
      <c r="V893" s="156" t="inlineStr">
        <is>
          <t>PZS</t>
        </is>
      </c>
      <c r="W893" s="51" t="inlineStr">
        <is>
          <t>53102503</t>
        </is>
      </c>
      <c r="X893" s="156" t="n"/>
      <c r="Y893" s="54" t="n">
        <v>4725</v>
      </c>
      <c r="Z893" s="54" t="n">
        <v>11206.89655</v>
      </c>
      <c r="AA893" s="55">
        <f>IF(AND(A893="", B893="", E893=""), "", IF(AB893="", "Válido", IF((LEN(AB893)-LEN(SUBSTITUTE(AB893,"; ","")))/2+1&gt;(LEN(AB893)-LEN(SUBSTITUTE(AB893,"[Aviso]","")))/7, "Con Incidencias", "Válido")))</f>
        <v/>
      </c>
      <c r="AB893" s="56">
        <f>IF(AND(A893="", B893="", E893=""), "", TEXTJOIN("; ", TRUE, IF(OR(TRIM(A893&amp;"")="", ISNUMBER(SEARCH("FALTA", A893))), "UPC faltante/inválido", ""), IF(AND(A893&lt;&gt;"", IFERROR(_xlfn.XMATCH(A893,$A$2:$A$2509,0,1)&lt;&gt;_xlfn.XMATCH(A893,$A$2:$A$2509,0,-1),FALSE)), "Código de barras duplicado", ""), IF(AND(E893&lt;&gt;"", COUNTIF($E$2:$E$2509, E893)&gt;1), "SKU duplicado", ""), IF(OR(J893="", J893=""), "[Aviso] División no capturada ()", IF(ISNA(MATCH(J893, Criterios!$A$123:$A$126, 0)), "División no válida", "")), IF(OR(K893="", K893=""), "[Aviso] Categoría no capturada ()", IF(ISNA(MATCH(K893, Criterios!$A$81:$A$120, 0)), "Categoría no válida", IF(AND(J893&lt;&gt;"", J893&lt;&gt;"", J893&lt;&gt;VLOOKUP(K893, Criterios!$A$81:$B$120, 2, FALSE)), "División no coincide con Categoría", ""))), IF(OR(L893="", L893=""), "[Aviso] Género no capturado ()", IF(ISNA(MATCH(L893, Criterios!$B$123:$B$127, 0)), "Género no válido", "")), IF(OR(N893="", N893=""), "[Aviso] Temporada no capturada ()", IF(ISNA(MATCH(N893, Criterios!$C$123:$C$128, 0)), "Temporada no válida", "")), IF(OR(O893="", O893=""), "[Aviso] Ciclo de vida no capturado ()", IF(ISNA(MATCH(O893, Criterios!$D$123:$D$124, 0)), "Ciclo de vida no válido", ""))))</f>
        <v/>
      </c>
      <c r="AC893" s="56" t="n"/>
      <c r="AD893" s="51" t="n">
        <v>-1</v>
      </c>
      <c r="AE893" s="156" t="n"/>
      <c r="AF893" s="51" t="n">
        <v>0</v>
      </c>
      <c r="AG893" s="156" t="inlineStr">
        <is>
          <t>Catálogo existente</t>
        </is>
      </c>
      <c r="AH893" s="156" t="inlineStr">
        <is>
          <t>Stock negativo en sistema: revisar en conteo | Revisión 29/09/2026: Campos sin respaldo: X | 01/10/2026: complementado desde Shopify Stetson México (match por código de barras): WB Fit, WB Silueta</t>
        </is>
      </c>
      <c r="AI893" s="156" t="inlineStr">
        <is>
          <t>Sí</t>
        </is>
      </c>
      <c r="AJ893" s="156" t="inlineStr">
        <is>
          <t>B25 CEDIS (-1)</t>
        </is>
      </c>
      <c r="AK893" s="155" t="inlineStr">
        <is>
          <t>Criterios: I [Q] | Shopify Stetson: producto 15227649786219 / variante 53791837061483</t>
        </is>
      </c>
      <c r="AL893" s="58" t="n">
        <v>4725</v>
      </c>
      <c r="AM893" s="58" t="n">
        <v>11206.89655</v>
      </c>
      <c r="AN893" s="155" t="inlineStr">
        <is>
          <t>Shopify Stetson México</t>
        </is>
      </c>
      <c r="AO893" s="59" t="n">
        <v>0</v>
      </c>
      <c r="AP893" s="59" t="n"/>
      <c r="AQ893" s="59" t="n"/>
      <c r="AR893" s="155" t="n"/>
    </row>
    <row r="894">
      <c r="A894" s="50" t="inlineStr">
        <is>
          <t>195556159255</t>
        </is>
      </c>
      <c r="B894" s="51" t="inlineStr">
        <is>
          <t>117358</t>
        </is>
      </c>
      <c r="C894" s="156" t="inlineStr">
        <is>
          <t>Multimarca</t>
        </is>
      </c>
      <c r="D894" s="156" t="inlineStr">
        <is>
          <t>SFMCKN-724207</t>
        </is>
      </c>
      <c r="E894" s="156" t="inlineStr">
        <is>
          <t>SFMCKN-72420772</t>
        </is>
      </c>
      <c r="F894" s="156" t="inlineStr">
        <is>
          <t>7 1/4</t>
        </is>
      </c>
      <c r="G894" s="156" t="inlineStr">
        <is>
          <t>7 1/4</t>
        </is>
      </c>
      <c r="H894" s="156" t="inlineStr">
        <is>
          <t>Stetson</t>
        </is>
      </c>
      <c r="I894" s="156" t="inlineStr">
        <is>
          <t>Texana Stetson McCarron 10X Negro</t>
        </is>
      </c>
      <c r="J894" s="156" t="inlineStr">
        <is>
          <t>Accesorios</t>
        </is>
      </c>
      <c r="K894" s="156" t="inlineStr">
        <is>
          <t>Sombreros</t>
        </is>
      </c>
      <c r="L894" s="156" t="inlineStr">
        <is>
          <t>Unisex</t>
        </is>
      </c>
      <c r="M894" s="156" t="inlineStr">
        <is>
          <t>Stetson</t>
        </is>
      </c>
      <c r="N894" s="156" t="inlineStr">
        <is>
          <t>FW26</t>
        </is>
      </c>
      <c r="O894" s="156" t="inlineStr">
        <is>
          <t>Seasonal</t>
        </is>
      </c>
      <c r="P894" s="156" t="inlineStr">
        <is>
          <t>Negro</t>
        </is>
      </c>
      <c r="Q894" s="156" t="n"/>
      <c r="R894" s="156" t="inlineStr">
        <is>
          <t>Copa Cattleman</t>
        </is>
      </c>
      <c r="S894" s="156" t="inlineStr">
        <is>
          <t>100% pelo de conejo</t>
        </is>
      </c>
      <c r="T894"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4" s="156" t="inlineStr">
        <is>
          <t>Estados Unidos</t>
        </is>
      </c>
      <c r="V894" s="156" t="inlineStr">
        <is>
          <t>PZS</t>
        </is>
      </c>
      <c r="W894" s="51" t="inlineStr">
        <is>
          <t>53102503</t>
        </is>
      </c>
      <c r="X894" s="156" t="n"/>
      <c r="Y894" s="54" t="n">
        <v>4725</v>
      </c>
      <c r="Z894" s="54" t="n">
        <v>11206.89655</v>
      </c>
      <c r="AA894" s="55">
        <f>IF(AND(A894="", B894="", E894=""), "", IF(AB894="", "Válido", IF((LEN(AB894)-LEN(SUBSTITUTE(AB894,"; ","")))/2+1&gt;(LEN(AB894)-LEN(SUBSTITUTE(AB894,"[Aviso]","")))/7, "Con Incidencias", "Válido")))</f>
        <v/>
      </c>
      <c r="AB894" s="56">
        <f>IF(AND(A894="", B894="", E894=""), "", TEXTJOIN("; ", TRUE, IF(OR(TRIM(A894&amp;"")="", ISNUMBER(SEARCH("FALTA", A894))), "UPC faltante/inválido", ""), IF(AND(A894&lt;&gt;"", IFERROR(_xlfn.XMATCH(A894,$A$2:$A$2509,0,1)&lt;&gt;_xlfn.XMATCH(A894,$A$2:$A$2509,0,-1),FALSE)), "Código de barras duplicado", ""), IF(AND(E894&lt;&gt;"", COUNTIF($E$2:$E$2509, E894)&gt;1), "SKU duplicado", ""), IF(OR(J894="", J894=""), "[Aviso] División no capturada ()", IF(ISNA(MATCH(J894, Criterios!$A$123:$A$126, 0)), "División no válida", "")), IF(OR(K894="", K894=""), "[Aviso] Categoría no capturada ()", IF(ISNA(MATCH(K894, Criterios!$A$81:$A$120, 0)), "Categoría no válida", IF(AND(J894&lt;&gt;"", J894&lt;&gt;"", J894&lt;&gt;VLOOKUP(K894, Criterios!$A$81:$B$120, 2, FALSE)), "División no coincide con Categoría", ""))), IF(OR(L894="", L894=""), "[Aviso] Género no capturado ()", IF(ISNA(MATCH(L894, Criterios!$B$123:$B$127, 0)), "Género no válido", "")), IF(OR(N894="", N894=""), "[Aviso] Temporada no capturada ()", IF(ISNA(MATCH(N894, Criterios!$C$123:$C$128, 0)), "Temporada no válida", "")), IF(OR(O894="", O894=""), "[Aviso] Ciclo de vida no capturado ()", IF(ISNA(MATCH(O894, Criterios!$D$123:$D$124, 0)), "Ciclo de vida no válido", ""))))</f>
        <v/>
      </c>
      <c r="AC894" s="56" t="n"/>
      <c r="AD894" s="51" t="n">
        <v>0</v>
      </c>
      <c r="AE894" s="156" t="inlineStr">
        <is>
          <t>STETSON AMERICAS (1)</t>
        </is>
      </c>
      <c r="AF894" s="51" t="n">
        <v>1</v>
      </c>
      <c r="AG894" s="156" t="inlineStr">
        <is>
          <t>Catálogo existente</t>
        </is>
      </c>
      <c r="AH894" s="156" t="inlineStr">
        <is>
          <t>Revisión 29/09/2026: Campos sin respaldo: X | 01/10/2026: complementado desde Shopify Stetson México (match por código de barras): WB Fit, WB Silueta</t>
        </is>
      </c>
      <c r="AI894" s="156" t="inlineStr">
        <is>
          <t>Sí</t>
        </is>
      </c>
      <c r="AJ894" s="156" t="inlineStr">
        <is>
          <t>B25 CEDIS (-1)</t>
        </is>
      </c>
      <c r="AK894" s="155" t="inlineStr">
        <is>
          <t>Criterios: I [Q] | Shopify Stetson: producto 15227649786219 / variante 53791837094251</t>
        </is>
      </c>
      <c r="AL894" s="58" t="n">
        <v>4725</v>
      </c>
      <c r="AM894" s="58" t="n">
        <v>11206.89655</v>
      </c>
      <c r="AN894" s="155" t="inlineStr">
        <is>
          <t>Shopify Stetson México</t>
        </is>
      </c>
      <c r="AO894" s="59" t="n">
        <v>1</v>
      </c>
      <c r="AP894" s="59" t="n"/>
      <c r="AQ894" s="59" t="n"/>
      <c r="AR894" s="155" t="inlineStr">
        <is>
          <t>Shopify Stetson México › Stetson Americas: 1</t>
        </is>
      </c>
    </row>
    <row r="895">
      <c r="A895" s="50" t="inlineStr">
        <is>
          <t>195556159262</t>
        </is>
      </c>
      <c r="B895" s="51" t="inlineStr">
        <is>
          <t>117359</t>
        </is>
      </c>
      <c r="C895" s="156" t="inlineStr">
        <is>
          <t>Multimarca</t>
        </is>
      </c>
      <c r="D895" s="156" t="inlineStr">
        <is>
          <t>SFMCKN-724207</t>
        </is>
      </c>
      <c r="E895" s="156" t="inlineStr">
        <is>
          <t>SFMCKN-72420773</t>
        </is>
      </c>
      <c r="F895" s="156" t="inlineStr">
        <is>
          <t>7 3/8</t>
        </is>
      </c>
      <c r="G895" s="156" t="inlineStr">
        <is>
          <t>7 3/8</t>
        </is>
      </c>
      <c r="H895" s="156" t="inlineStr">
        <is>
          <t>Stetson</t>
        </is>
      </c>
      <c r="I895" s="156" t="inlineStr">
        <is>
          <t>Texana Stetson McCarron 10X Negro</t>
        </is>
      </c>
      <c r="J895" s="156" t="inlineStr">
        <is>
          <t>Accesorios</t>
        </is>
      </c>
      <c r="K895" s="156" t="inlineStr">
        <is>
          <t>Sombreros</t>
        </is>
      </c>
      <c r="L895" s="156" t="inlineStr">
        <is>
          <t>Unisex</t>
        </is>
      </c>
      <c r="M895" s="156" t="inlineStr">
        <is>
          <t>Stetson</t>
        </is>
      </c>
      <c r="N895" s="156" t="inlineStr">
        <is>
          <t>FW26</t>
        </is>
      </c>
      <c r="O895" s="156" t="inlineStr">
        <is>
          <t>Seasonal</t>
        </is>
      </c>
      <c r="P895" s="156" t="inlineStr">
        <is>
          <t>Negro</t>
        </is>
      </c>
      <c r="Q895" s="156" t="n"/>
      <c r="R895" s="156" t="inlineStr">
        <is>
          <t>Copa Cattleman</t>
        </is>
      </c>
      <c r="S895" s="156" t="inlineStr">
        <is>
          <t>100% pelo de conejo</t>
        </is>
      </c>
      <c r="T895"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5" s="156" t="inlineStr">
        <is>
          <t>Estados Unidos</t>
        </is>
      </c>
      <c r="V895" s="156" t="inlineStr">
        <is>
          <t>PZS</t>
        </is>
      </c>
      <c r="W895" s="51" t="inlineStr">
        <is>
          <t>53102503</t>
        </is>
      </c>
      <c r="X895" s="156" t="n"/>
      <c r="Y895" s="54" t="n">
        <v>4725</v>
      </c>
      <c r="Z895" s="54" t="n">
        <v>11206.89655</v>
      </c>
      <c r="AA895" s="55">
        <f>IF(AND(A895="", B895="", E895=""), "", IF(AB895="", "Válido", IF((LEN(AB895)-LEN(SUBSTITUTE(AB895,"; ","")))/2+1&gt;(LEN(AB895)-LEN(SUBSTITUTE(AB895,"[Aviso]","")))/7, "Con Incidencias", "Válido")))</f>
        <v/>
      </c>
      <c r="AB895" s="56">
        <f>IF(AND(A895="", B895="", E895=""), "", TEXTJOIN("; ", TRUE, IF(OR(TRIM(A895&amp;"")="", ISNUMBER(SEARCH("FALTA", A895))), "UPC faltante/inválido", ""), IF(AND(A895&lt;&gt;"", IFERROR(_xlfn.XMATCH(A895,$A$2:$A$2509,0,1)&lt;&gt;_xlfn.XMATCH(A895,$A$2:$A$2509,0,-1),FALSE)), "Código de barras duplicado", ""), IF(AND(E895&lt;&gt;"", COUNTIF($E$2:$E$2509, E895)&gt;1), "SKU duplicado", ""), IF(OR(J895="", J895=""), "[Aviso] División no capturada ()", IF(ISNA(MATCH(J895, Criterios!$A$123:$A$126, 0)), "División no válida", "")), IF(OR(K895="", K895=""), "[Aviso] Categoría no capturada ()", IF(ISNA(MATCH(K895, Criterios!$A$81:$A$120, 0)), "Categoría no válida", IF(AND(J895&lt;&gt;"", J895&lt;&gt;"", J895&lt;&gt;VLOOKUP(K895, Criterios!$A$81:$B$120, 2, FALSE)), "División no coincide con Categoría", ""))), IF(OR(L895="", L895=""), "[Aviso] Género no capturado ()", IF(ISNA(MATCH(L895, Criterios!$B$123:$B$127, 0)), "Género no válido", "")), IF(OR(N895="", N895=""), "[Aviso] Temporada no capturada ()", IF(ISNA(MATCH(N895, Criterios!$C$123:$C$128, 0)), "Temporada no válida", "")), IF(OR(O895="", O895=""), "[Aviso] Ciclo de vida no capturado ()", IF(ISNA(MATCH(O895, Criterios!$D$123:$D$124, 0)), "Ciclo de vida no válido", ""))))</f>
        <v/>
      </c>
      <c r="AC895" s="56" t="n"/>
      <c r="AD895" s="51" t="n">
        <v>-1</v>
      </c>
      <c r="AE895" s="156" t="n"/>
      <c r="AF895" s="51" t="n">
        <v>0</v>
      </c>
      <c r="AG895" s="156" t="inlineStr">
        <is>
          <t>Catálogo existente</t>
        </is>
      </c>
      <c r="AH895" s="156" t="inlineStr">
        <is>
          <t>Stock negativo en sistema: revisar en conteo | Revisión 29/09/2026: Campos sin respaldo: X | 01/10/2026: complementado desde Shopify Stetson México (match por código de barras): WB Fit, WB Silueta</t>
        </is>
      </c>
      <c r="AI895" s="156" t="inlineStr">
        <is>
          <t>Sí</t>
        </is>
      </c>
      <c r="AJ895" s="156" t="inlineStr">
        <is>
          <t>B25 CEDIS (-1)</t>
        </is>
      </c>
      <c r="AK895" s="155" t="inlineStr">
        <is>
          <t>Criterios: I [Q] | Shopify Stetson: producto 15227649786219 / variante 53791837127019</t>
        </is>
      </c>
      <c r="AL895" s="58" t="n">
        <v>4725</v>
      </c>
      <c r="AM895" s="58" t="n">
        <v>11206.89655</v>
      </c>
      <c r="AN895" s="155" t="inlineStr">
        <is>
          <t>Shopify Stetson México</t>
        </is>
      </c>
      <c r="AO895" s="59" t="n">
        <v>0</v>
      </c>
      <c r="AP895" s="59" t="n"/>
      <c r="AQ895" s="59" t="n"/>
      <c r="AR895" s="155" t="n"/>
    </row>
    <row r="896">
      <c r="A896" s="50" t="inlineStr">
        <is>
          <t>195556159347</t>
        </is>
      </c>
      <c r="B896" s="51" t="inlineStr">
        <is>
          <t>117323</t>
        </is>
      </c>
      <c r="C896" s="156" t="inlineStr">
        <is>
          <t>Multimarca</t>
        </is>
      </c>
      <c r="D896" s="156" t="inlineStr">
        <is>
          <t>SFASPN-413422</t>
        </is>
      </c>
      <c r="E896" s="156" t="inlineStr">
        <is>
          <t>SFASPN-41342272</t>
        </is>
      </c>
      <c r="F896" s="156" t="inlineStr">
        <is>
          <t>7 1/4</t>
        </is>
      </c>
      <c r="G896" s="156" t="inlineStr">
        <is>
          <t>7 1/4</t>
        </is>
      </c>
      <c r="H896" s="156" t="inlineStr">
        <is>
          <t>Stetson</t>
        </is>
      </c>
      <c r="I896" s="156" t="inlineStr">
        <is>
          <t>Texana Stetson Aspen Cafe</t>
        </is>
      </c>
      <c r="J896" s="156" t="inlineStr">
        <is>
          <t>Accesorios</t>
        </is>
      </c>
      <c r="K896" s="156" t="inlineStr">
        <is>
          <t>Sombreros</t>
        </is>
      </c>
      <c r="L896" s="156" t="inlineStr">
        <is>
          <t>Unisex</t>
        </is>
      </c>
      <c r="M896" s="156" t="inlineStr">
        <is>
          <t>Stetson</t>
        </is>
      </c>
      <c r="N896" s="156" t="inlineStr">
        <is>
          <t>FW26</t>
        </is>
      </c>
      <c r="O896" s="156" t="inlineStr">
        <is>
          <t>Seasonal</t>
        </is>
      </c>
      <c r="P896" s="156" t="inlineStr">
        <is>
          <t>Cafe</t>
        </is>
      </c>
      <c r="Q896" s="156" t="n"/>
      <c r="R896" s="156" t="n"/>
      <c r="S896" s="156" t="inlineStr">
        <is>
          <t>Mezcla de lana</t>
        </is>
      </c>
      <c r="T896" s="156" t="inlineStr">
        <is>
          <t>La Aspen 5X de Stetson es una texana western de fieltro de pelo puro 5X, con un ala práctica y acabados interiores cómodos para el uso diario.
 Características:
 • Fieltro de pelo puro calidad 5X.
 • Ala de aprox. 8,9 cm (3 1/2").
 • Banda interior de piel.
 • Forro interior de satín.
 Modelo: Stetson Aspen 5X
 Color: Chocolate (color oficial Stetson: Chocolate)
 Material: Fieltro de pelo puro calidad 5X
 Fabricación: Hecho en Garland, Texas, EE. UU.</t>
        </is>
      </c>
      <c r="U896" s="156" t="inlineStr">
        <is>
          <t>Estados Unidos</t>
        </is>
      </c>
      <c r="V896" s="156" t="inlineStr">
        <is>
          <t>PZS</t>
        </is>
      </c>
      <c r="W896" s="51" t="inlineStr">
        <is>
          <t>53102503</t>
        </is>
      </c>
      <c r="X896" s="156" t="n"/>
      <c r="Y896" s="54" t="n">
        <v>2756.25</v>
      </c>
      <c r="Z896" s="54" t="n">
        <v>6724.137931</v>
      </c>
      <c r="AA896" s="55">
        <f>IF(AND(A896="", B896="", E896=""), "", IF(AB896="", "Válido", IF((LEN(AB896)-LEN(SUBSTITUTE(AB896,"; ","")))/2+1&gt;(LEN(AB896)-LEN(SUBSTITUTE(AB896,"[Aviso]","")))/7, "Con Incidencias", "Válido")))</f>
        <v/>
      </c>
      <c r="AB896" s="56">
        <f>IF(AND(A896="", B896="", E896=""), "", TEXTJOIN("; ", TRUE, IF(OR(TRIM(A896&amp;"")="", ISNUMBER(SEARCH("FALTA", A896))), "UPC faltante/inválido", ""), IF(AND(A896&lt;&gt;"", IFERROR(_xlfn.XMATCH(A896,$A$2:$A$2509,0,1)&lt;&gt;_xlfn.XMATCH(A896,$A$2:$A$2509,0,-1),FALSE)), "Código de barras duplicado", ""), IF(AND(E896&lt;&gt;"", COUNTIF($E$2:$E$2509, E896)&gt;1), "SKU duplicado", ""), IF(OR(J896="", J896=""), "[Aviso] División no capturada ()", IF(ISNA(MATCH(J896, Criterios!$A$123:$A$126, 0)), "División no válida", "")), IF(OR(K896="", K896=""), "[Aviso] Categoría no capturada ()", IF(ISNA(MATCH(K896, Criterios!$A$81:$A$120, 0)), "Categoría no válida", IF(AND(J896&lt;&gt;"", J896&lt;&gt;"", J896&lt;&gt;VLOOKUP(K896, Criterios!$A$81:$B$120, 2, FALSE)), "División no coincide con Categoría", ""))), IF(OR(L896="", L896=""), "[Aviso] Género no capturado ()", IF(ISNA(MATCH(L896, Criterios!$B$123:$B$127, 0)), "Género no válido", "")), IF(OR(N896="", N896=""), "[Aviso] Temporada no capturada ()", IF(ISNA(MATCH(N896, Criterios!$C$123:$C$128, 0)), "Temporada no válida", "")), IF(OR(O896="", O896=""), "[Aviso] Ciclo de vida no capturado ()", IF(ISNA(MATCH(O896, Criterios!$D$123:$D$124, 0)), "Ciclo de vida no válido", ""))))</f>
        <v/>
      </c>
      <c r="AC896" s="56" t="n"/>
      <c r="AD896" s="51" t="n">
        <v>0</v>
      </c>
      <c r="AE896" s="156" t="inlineStr">
        <is>
          <t>STETSON AMERICAS (2)</t>
        </is>
      </c>
      <c r="AF896" s="51" t="n">
        <v>2</v>
      </c>
      <c r="AG896" s="156" t="inlineStr">
        <is>
          <t>Catálogo existente</t>
        </is>
      </c>
      <c r="AH896" s="156" t="inlineStr">
        <is>
          <t>Revisión 29/09/2026: Campos sin respaldo: X | 01/10/2026: complementado desde Shopify Stetson México (match por código de barras): WB Fit</t>
        </is>
      </c>
      <c r="AI896" s="156" t="inlineStr">
        <is>
          <t>Sí</t>
        </is>
      </c>
      <c r="AJ896" s="156" t="inlineStr">
        <is>
          <t>B25 CEDIS (-1); PUNTO DE VENTA (-1)</t>
        </is>
      </c>
      <c r="AK896" s="155" t="inlineStr">
        <is>
          <t>Criterios: I [Q] | Shopify Stetson: producto 15227649393003 / variante 53791834767723</t>
        </is>
      </c>
      <c r="AL896" s="58" t="n">
        <v>2756.25</v>
      </c>
      <c r="AM896" s="58" t="n">
        <v>6724.137931</v>
      </c>
      <c r="AN896" s="155" t="inlineStr">
        <is>
          <t>Shopify Stetson México</t>
        </is>
      </c>
      <c r="AO896" s="59" t="n">
        <v>2</v>
      </c>
      <c r="AP896" s="59" t="n"/>
      <c r="AQ896" s="59" t="n"/>
      <c r="AR896" s="155" t="inlineStr">
        <is>
          <t>Shopify Stetson México › Stetson Americas: 2</t>
        </is>
      </c>
    </row>
    <row r="897">
      <c r="A897" s="50" t="inlineStr">
        <is>
          <t>195556159354</t>
        </is>
      </c>
      <c r="B897" s="51" t="inlineStr">
        <is>
          <t>117324</t>
        </is>
      </c>
      <c r="C897" s="156" t="inlineStr">
        <is>
          <t>Multimarca</t>
        </is>
      </c>
      <c r="D897" s="156" t="inlineStr">
        <is>
          <t>SFASPN-413422</t>
        </is>
      </c>
      <c r="E897" s="156" t="inlineStr">
        <is>
          <t>SFASPN-41342273</t>
        </is>
      </c>
      <c r="F897" s="156" t="inlineStr">
        <is>
          <t>7 3/8</t>
        </is>
      </c>
      <c r="G897" s="156" t="inlineStr">
        <is>
          <t>7 3/8</t>
        </is>
      </c>
      <c r="H897" s="156" t="inlineStr">
        <is>
          <t>Stetson</t>
        </is>
      </c>
      <c r="I897" s="156" t="inlineStr">
        <is>
          <t>Texana Stetson Aspen Cafe</t>
        </is>
      </c>
      <c r="J897" s="156" t="inlineStr">
        <is>
          <t>Accesorios</t>
        </is>
      </c>
      <c r="K897" s="156" t="inlineStr">
        <is>
          <t>Sombreros</t>
        </is>
      </c>
      <c r="L897" s="156" t="inlineStr">
        <is>
          <t>Unisex</t>
        </is>
      </c>
      <c r="M897" s="156" t="inlineStr">
        <is>
          <t>Stetson</t>
        </is>
      </c>
      <c r="N897" s="156" t="inlineStr">
        <is>
          <t>FW26</t>
        </is>
      </c>
      <c r="O897" s="156" t="inlineStr">
        <is>
          <t>Seasonal</t>
        </is>
      </c>
      <c r="P897" s="156" t="inlineStr">
        <is>
          <t>Cafe</t>
        </is>
      </c>
      <c r="Q897" s="156" t="n"/>
      <c r="R897" s="156" t="n"/>
      <c r="S897" s="156" t="inlineStr">
        <is>
          <t>Mezcla de lana</t>
        </is>
      </c>
      <c r="T897" s="156" t="inlineStr">
        <is>
          <t>La Aspen 5X de Stetson es una texana western de fieltro de pelo puro 5X, con un ala práctica y acabados interiores cómodos para el uso diario.
 Características:
 • Fieltro de pelo puro calidad 5X.
 • Ala de aprox. 8,9 cm (3 1/2").
 • Banda interior de piel.
 • Forro interior de satín.
 Modelo: Stetson Aspen 5X
 Color: Chocolate (color oficial Stetson: Chocolate)
 Material: Fieltro de pelo puro calidad 5X
 Fabricación: Hecho en Garland, Texas, EE. UU.</t>
        </is>
      </c>
      <c r="U897" s="156" t="inlineStr">
        <is>
          <t>Estados Unidos</t>
        </is>
      </c>
      <c r="V897" s="156" t="inlineStr">
        <is>
          <t>PZS</t>
        </is>
      </c>
      <c r="W897" s="51" t="inlineStr">
        <is>
          <t>53102503</t>
        </is>
      </c>
      <c r="X897" s="156" t="n"/>
      <c r="Y897" s="54" t="n">
        <v>2756.25</v>
      </c>
      <c r="Z897" s="54" t="n">
        <v>6724.137931</v>
      </c>
      <c r="AA897" s="55">
        <f>IF(AND(A897="", B897="", E897=""), "", IF(AB897="", "Válido", IF((LEN(AB897)-LEN(SUBSTITUTE(AB897,"; ","")))/2+1&gt;(LEN(AB897)-LEN(SUBSTITUTE(AB897,"[Aviso]","")))/7, "Con Incidencias", "Válido")))</f>
        <v/>
      </c>
      <c r="AB897" s="56">
        <f>IF(AND(A897="", B897="", E897=""), "", TEXTJOIN("; ", TRUE, IF(OR(TRIM(A897&amp;"")="", ISNUMBER(SEARCH("FALTA", A897))), "UPC faltante/inválido", ""), IF(AND(A897&lt;&gt;"", IFERROR(_xlfn.XMATCH(A897,$A$2:$A$2509,0,1)&lt;&gt;_xlfn.XMATCH(A897,$A$2:$A$2509,0,-1),FALSE)), "Código de barras duplicado", ""), IF(AND(E897&lt;&gt;"", COUNTIF($E$2:$E$2509, E897)&gt;1), "SKU duplicado", ""), IF(OR(J897="", J897=""), "[Aviso] División no capturada ()", IF(ISNA(MATCH(J897, Criterios!$A$123:$A$126, 0)), "División no válida", "")), IF(OR(K897="", K897=""), "[Aviso] Categoría no capturada ()", IF(ISNA(MATCH(K897, Criterios!$A$81:$A$120, 0)), "Categoría no válida", IF(AND(J897&lt;&gt;"", J897&lt;&gt;"", J897&lt;&gt;VLOOKUP(K897, Criterios!$A$81:$B$120, 2, FALSE)), "División no coincide con Categoría", ""))), IF(OR(L897="", L897=""), "[Aviso] Género no capturado ()", IF(ISNA(MATCH(L897, Criterios!$B$123:$B$127, 0)), "Género no válido", "")), IF(OR(N897="", N897=""), "[Aviso] Temporada no capturada ()", IF(ISNA(MATCH(N897, Criterios!$C$123:$C$128, 0)), "Temporada no válida", "")), IF(OR(O897="", O897=""), "[Aviso] Ciclo de vida no capturado ()", IF(ISNA(MATCH(O897, Criterios!$D$123:$D$124, 0)), "Ciclo de vida no válido", ""))))</f>
        <v/>
      </c>
      <c r="AC897" s="56" t="n"/>
      <c r="AD897" s="51" t="n">
        <v>0</v>
      </c>
      <c r="AE897" s="156" t="inlineStr">
        <is>
          <t>STETSON AMERICAS (2)</t>
        </is>
      </c>
      <c r="AF897" s="51" t="n">
        <v>2</v>
      </c>
      <c r="AG897" s="156" t="inlineStr">
        <is>
          <t>Catálogo existente</t>
        </is>
      </c>
      <c r="AH897" s="156" t="inlineStr">
        <is>
          <t>Revisión 29/09/2026: Campos sin respaldo: X | 01/10/2026: complementado desde Shopify Stetson México (match por código de barras): WB Fit</t>
        </is>
      </c>
      <c r="AI897" s="156" t="inlineStr">
        <is>
          <t>Sí</t>
        </is>
      </c>
      <c r="AJ897" s="156" t="inlineStr">
        <is>
          <t>PUNTO DE VENTA (-1); B25 CEDIS (-1)</t>
        </is>
      </c>
      <c r="AK897" s="155" t="inlineStr">
        <is>
          <t>Criterios: I [Q] | Shopify Stetson: producto 15227649393003 / variante 53791834800491</t>
        </is>
      </c>
      <c r="AL897" s="58" t="n">
        <v>2756.25</v>
      </c>
      <c r="AM897" s="58" t="n">
        <v>6724.137931</v>
      </c>
      <c r="AN897" s="155" t="inlineStr">
        <is>
          <t>Shopify Stetson México</t>
        </is>
      </c>
      <c r="AO897" s="59" t="n">
        <v>2</v>
      </c>
      <c r="AP897" s="59" t="n"/>
      <c r="AQ897" s="59" t="n"/>
      <c r="AR897" s="155" t="inlineStr">
        <is>
          <t>Shopify Stetson México › Stetson Americas: 2</t>
        </is>
      </c>
    </row>
    <row r="898">
      <c r="A898" s="50" t="inlineStr">
        <is>
          <t>195556159439</t>
        </is>
      </c>
      <c r="B898" s="51" t="inlineStr">
        <is>
          <t>117360</t>
        </is>
      </c>
      <c r="C898" s="156" t="inlineStr">
        <is>
          <t>Multimarca</t>
        </is>
      </c>
      <c r="D898" s="156" t="inlineStr">
        <is>
          <t>SFMEDL-724207</t>
        </is>
      </c>
      <c r="E898" s="156" t="inlineStr">
        <is>
          <t>SFMEDL-72420766</t>
        </is>
      </c>
      <c r="F898" s="156" t="inlineStr">
        <is>
          <t>6 3/4</t>
        </is>
      </c>
      <c r="G898" s="156" t="inlineStr">
        <is>
          <t>6 3/4</t>
        </is>
      </c>
      <c r="H898" s="156" t="inlineStr">
        <is>
          <t>Stetson</t>
        </is>
      </c>
      <c r="I898" s="156" t="inlineStr">
        <is>
          <t>Texana Stetson Medalist Negro</t>
        </is>
      </c>
      <c r="J898" s="156" t="inlineStr">
        <is>
          <t>Accesorios</t>
        </is>
      </c>
      <c r="K898" s="156" t="inlineStr">
        <is>
          <t>Sombreros</t>
        </is>
      </c>
      <c r="L898" s="156" t="inlineStr">
        <is>
          <t>Unisex</t>
        </is>
      </c>
      <c r="M898" s="156" t="inlineStr">
        <is>
          <t>Stetson</t>
        </is>
      </c>
      <c r="N898" s="156" t="inlineStr">
        <is>
          <t>FW26</t>
        </is>
      </c>
      <c r="O898" s="156" t="inlineStr">
        <is>
          <t>Seasonal</t>
        </is>
      </c>
      <c r="P898" s="156" t="inlineStr">
        <is>
          <t>Negro</t>
        </is>
      </c>
      <c r="Q898" s="156" t="n"/>
      <c r="R898" s="156" t="inlineStr">
        <is>
          <t>Copa Cattleman</t>
        </is>
      </c>
      <c r="S898" s="156" t="inlineStr">
        <is>
          <t>100% pelo de conejo</t>
        </is>
      </c>
      <c r="T898" s="156" t="inlineStr">
        <is>
          <t>La Medalist de Stetson es una texana Cattleman de copa baja confeccionada con mezcla de pelo y lana calidad 5-Star, con toquilla de piel y pin con el logo Stetson.
 Características:
 • Mezcla de pelo y lana calidad 5-Star.
 • Copa Cattleman baja de aprox. 10,8 cm (4 1/4").
 • Ala media curva de aprox. 10,8 cm (4 1/4").
 • Toquilla de piel con pin del logo Stetson.
 • Banda interior de piel genuina.
 • Forro interior completo de satín.
 • Caja original Stetson.
 Modelo: Stetson Medalist
 Color: Negro
 Material: Mezcla de pelo y lana calidad 5-Star
 Fabricación: Hecho a mano en EE. UU.</t>
        </is>
      </c>
      <c r="U898" s="156" t="inlineStr">
        <is>
          <t>Estados Unidos</t>
        </is>
      </c>
      <c r="V898" s="156" t="inlineStr">
        <is>
          <t>PZS</t>
        </is>
      </c>
      <c r="W898" s="51" t="inlineStr">
        <is>
          <t>53102503</t>
        </is>
      </c>
      <c r="X898" s="156" t="inlineStr">
        <is>
          <t>https://cdn.shopify.com/s/files/1/0357/2432/9005/files/SFMEDL-7242-07_Black_1.jpg?v=1783507009</t>
        </is>
      </c>
      <c r="Y898" s="54" t="n">
        <v>1968.75</v>
      </c>
      <c r="Z898" s="54" t="n">
        <v>4741.37931</v>
      </c>
      <c r="AA898" s="55">
        <f>IF(AND(A898="", B898="", E898=""), "", IF(AB898="", "Válido", IF((LEN(AB898)-LEN(SUBSTITUTE(AB898,"; ","")))/2+1&gt;(LEN(AB898)-LEN(SUBSTITUTE(AB898,"[Aviso]","")))/7, "Con Incidencias", "Válido")))</f>
        <v/>
      </c>
      <c r="AB898" s="56">
        <f>IF(AND(A898="", B898="", E898=""), "", TEXTJOIN("; ", TRUE, IF(OR(TRIM(A898&amp;"")="", ISNUMBER(SEARCH("FALTA", A898))), "UPC faltante/inválido", ""), IF(AND(A898&lt;&gt;"", IFERROR(_xlfn.XMATCH(A898,$A$2:$A$2509,0,1)&lt;&gt;_xlfn.XMATCH(A898,$A$2:$A$2509,0,-1),FALSE)), "Código de barras duplicado", ""), IF(AND(E898&lt;&gt;"", COUNTIF($E$2:$E$2509, E898)&gt;1), "SKU duplicado", ""), IF(OR(J898="", J898=""), "[Aviso] División no capturada ()", IF(ISNA(MATCH(J898, Criterios!$A$123:$A$126, 0)), "División no válida", "")), IF(OR(K898="", K898=""), "[Aviso] Categoría no capturada ()", IF(ISNA(MATCH(K898, Criterios!$A$81:$A$120, 0)), "Categoría no válida", IF(AND(J898&lt;&gt;"", J898&lt;&gt;"", J898&lt;&gt;VLOOKUP(K898, Criterios!$A$81:$B$120, 2, FALSE)), "División no coincide con Categoría", ""))), IF(OR(L898="", L898=""), "[Aviso] Género no capturado ()", IF(ISNA(MATCH(L898, Criterios!$B$123:$B$127, 0)), "Género no válido", "")), IF(OR(N898="", N898=""), "[Aviso] Temporada no capturada ()", IF(ISNA(MATCH(N898, Criterios!$C$123:$C$128, 0)), "Temporada no válida", "")), IF(OR(O898="", O898=""), "[Aviso] Ciclo de vida no capturado ()", IF(ISNA(MATCH(O898, Criterios!$D$123:$D$124, 0)), "Ciclo de vida no válido", ""))))</f>
        <v/>
      </c>
      <c r="AC898" s="56" t="n"/>
      <c r="AD898" s="51" t="n">
        <v>-1</v>
      </c>
      <c r="AE898" s="156" t="n"/>
      <c r="AF898" s="51" t="n">
        <v>0</v>
      </c>
      <c r="AG898" s="156" t="inlineStr">
        <is>
          <t>Catálogo existente</t>
        </is>
      </c>
      <c r="AH898"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«https://cdn.shopify.com/s/files/1/0357/2432/9005/files/SFMEDL-7242-07_Black_1.jpg?v=1783507009» (Completado por investigación en línea)</t>
        </is>
      </c>
      <c r="AI898" s="156" t="inlineStr">
        <is>
          <t>Sí</t>
        </is>
      </c>
      <c r="AJ898" s="156" t="inlineStr">
        <is>
          <t>B25 CEDIS (-1)</t>
        </is>
      </c>
      <c r="AK898" s="155" t="inlineStr">
        <is>
          <t>Criterios: I [Q] | Shopify Stetson: producto 15227649851755 / variante 53791837192555 | Investigación en línea 06/10/2026: https://www.stetson.com/products/medalist-cowboy-hat-black</t>
        </is>
      </c>
      <c r="AL898" s="58" t="n">
        <v>1968.75</v>
      </c>
      <c r="AM898" s="58" t="n">
        <v>4741.37931</v>
      </c>
      <c r="AN898" s="155" t="inlineStr">
        <is>
          <t>Shopify Stetson México</t>
        </is>
      </c>
      <c r="AO898" s="59" t="n">
        <v>0</v>
      </c>
      <c r="AP898" s="59" t="n"/>
      <c r="AQ898" s="59" t="n"/>
      <c r="AR898" s="155" t="n"/>
    </row>
    <row r="899">
      <c r="A899" s="50" t="inlineStr">
        <is>
          <t>195556169896</t>
        </is>
      </c>
      <c r="B899" s="51" t="inlineStr">
        <is>
          <t>117376</t>
        </is>
      </c>
      <c r="C899" s="156" t="inlineStr">
        <is>
          <t>Multimarca</t>
        </is>
      </c>
      <c r="D899" s="156" t="inlineStr">
        <is>
          <t>SFS250-754207</t>
        </is>
      </c>
      <c r="E899" s="156" t="inlineStr">
        <is>
          <t>SFS250-75420770</t>
        </is>
      </c>
      <c r="F899" s="156" t="inlineStr">
        <is>
          <t>7</t>
        </is>
      </c>
      <c r="G899" s="156" t="inlineStr">
        <is>
          <t>7</t>
        </is>
      </c>
      <c r="H899" s="156" t="inlineStr">
        <is>
          <t>Stetson</t>
        </is>
      </c>
      <c r="I899" s="156" t="inlineStr">
        <is>
          <t>Texana Stetson Saxon / Temple 6X Negro</t>
        </is>
      </c>
      <c r="J899" s="156" t="inlineStr">
        <is>
          <t>Accesorios</t>
        </is>
      </c>
      <c r="K899" s="156" t="inlineStr">
        <is>
          <t>Sombreros</t>
        </is>
      </c>
      <c r="L899" s="156" t="inlineStr">
        <is>
          <t>Unisex</t>
        </is>
      </c>
      <c r="M899" s="156" t="inlineStr">
        <is>
          <t>Stetson</t>
        </is>
      </c>
      <c r="N899" s="156" t="inlineStr">
        <is>
          <t>FW26</t>
        </is>
      </c>
      <c r="O899" s="156" t="inlineStr">
        <is>
          <t>Seasonal</t>
        </is>
      </c>
      <c r="P899" s="156" t="inlineStr">
        <is>
          <t>Negro</t>
        </is>
      </c>
      <c r="Q899" s="156" t="n"/>
      <c r="R899" s="156" t="inlineStr">
        <is>
          <t>Copa Cattleman</t>
        </is>
      </c>
      <c r="S899" s="156" t="inlineStr">
        <is>
          <t>100% pelo de conejo</t>
        </is>
      </c>
      <c r="T899"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899" s="156" t="inlineStr">
        <is>
          <t>Estados Unidos</t>
        </is>
      </c>
      <c r="V899" s="156" t="inlineStr">
        <is>
          <t>PZS</t>
        </is>
      </c>
      <c r="W899" s="51" t="inlineStr">
        <is>
          <t>53102503</t>
        </is>
      </c>
      <c r="X899" s="156" t="inlineStr">
        <is>
          <t>https://cdn.shopify.com/s/files/1/0357/2432/9005/files/SFS250-7542-07_Black_1.jpg?v=1777645763</t>
        </is>
      </c>
      <c r="Y899" s="54" t="n">
        <v>3071.25</v>
      </c>
      <c r="Z899" s="54" t="n">
        <v>7413.793103</v>
      </c>
      <c r="AA899" s="55">
        <f>IF(AND(A899="", B899="", E899=""), "", IF(AB899="", "Válido", IF((LEN(AB899)-LEN(SUBSTITUTE(AB899,"; ","")))/2+1&gt;(LEN(AB899)-LEN(SUBSTITUTE(AB899,"[Aviso]","")))/7, "Con Incidencias", "Válido")))</f>
        <v/>
      </c>
      <c r="AB899" s="56">
        <f>IF(AND(A899="", B899="", E899=""), "", TEXTJOIN("; ", TRUE, IF(OR(TRIM(A899&amp;"")="", ISNUMBER(SEARCH("FALTA", A899))), "UPC faltante/inválido", ""), IF(AND(A899&lt;&gt;"", IFERROR(_xlfn.XMATCH(A899,$A$2:$A$2509,0,1)&lt;&gt;_xlfn.XMATCH(A899,$A$2:$A$2509,0,-1),FALSE)), "Código de barras duplicado", ""), IF(AND(E899&lt;&gt;"", COUNTIF($E$2:$E$2509, E899)&gt;1), "SKU duplicado", ""), IF(OR(J899="", J899=""), "[Aviso] División no capturada ()", IF(ISNA(MATCH(J899, Criterios!$A$123:$A$126, 0)), "División no válida", "")), IF(OR(K899="", K899=""), "[Aviso] Categoría no capturada ()", IF(ISNA(MATCH(K899, Criterios!$A$81:$A$120, 0)), "Categoría no válida", IF(AND(J899&lt;&gt;"", J899&lt;&gt;"", J899&lt;&gt;VLOOKUP(K899, Criterios!$A$81:$B$120, 2, FALSE)), "División no coincide con Categoría", ""))), IF(OR(L899="", L899=""), "[Aviso] Género no capturado ()", IF(ISNA(MATCH(L899, Criterios!$B$123:$B$127, 0)), "Género no válido", "")), IF(OR(N899="", N899=""), "[Aviso] Temporada no capturada ()", IF(ISNA(MATCH(N899, Criterios!$C$123:$C$128, 0)), "Temporada no válida", "")), IF(OR(O899="", O899=""), "[Aviso] Ciclo de vida no capturado ()", IF(ISNA(MATCH(O899, Criterios!$D$123:$D$124, 0)), "Ciclo de vida no válido", ""))))</f>
        <v/>
      </c>
      <c r="AC899" s="56" t="n"/>
      <c r="AD899" s="51" t="n">
        <v>0</v>
      </c>
      <c r="AE899" s="156" t="inlineStr">
        <is>
          <t>STETSON AMERICAS (2)</t>
        </is>
      </c>
      <c r="AF899" s="51" t="n">
        <v>2</v>
      </c>
      <c r="AG899" s="156" t="inlineStr">
        <is>
          <t>Catálogo existente</t>
        </is>
      </c>
      <c r="AH899" s="156" t="inlineStr">
        <is>
          <t>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899" s="156" t="inlineStr">
        <is>
          <t>Sí</t>
        </is>
      </c>
      <c r="AJ899" s="156" t="inlineStr">
        <is>
          <t>B25 CEDIS (-1); PUNTO DE VENTA (-1)</t>
        </is>
      </c>
      <c r="AK899" s="155" t="inlineStr">
        <is>
          <t>Criterios: I [Q] | Shopify Stetson: producto 15227650113899 / variante 53791838011755 | Investigación en línea 06/10/2026: https://www.stetson.com/products/skyline-6x-usa-250-edition-black</t>
        </is>
      </c>
      <c r="AL899" s="58" t="n">
        <v>3071.25</v>
      </c>
      <c r="AM899" s="58" t="n">
        <v>7413.793103</v>
      </c>
      <c r="AN899" s="155" t="inlineStr">
        <is>
          <t>Shopify Stetson México</t>
        </is>
      </c>
      <c r="AO899" s="59" t="n">
        <v>2</v>
      </c>
      <c r="AP899" s="59" t="n"/>
      <c r="AQ899" s="59" t="n"/>
      <c r="AR899" s="155" t="inlineStr">
        <is>
          <t>Shopify Stetson México › Stetson Americas: 2</t>
        </is>
      </c>
    </row>
    <row r="900">
      <c r="A900" s="50" t="inlineStr">
        <is>
          <t>195556169902</t>
        </is>
      </c>
      <c r="B900" s="51" t="inlineStr">
        <is>
          <t>117381</t>
        </is>
      </c>
      <c r="C900" s="156" t="inlineStr">
        <is>
          <t>Multimarca</t>
        </is>
      </c>
      <c r="D900" s="156" t="inlineStr">
        <is>
          <t>SFS250-754261</t>
        </is>
      </c>
      <c r="E900" s="156" t="inlineStr">
        <is>
          <t>SFS250-75426170</t>
        </is>
      </c>
      <c r="F900" s="156" t="inlineStr">
        <is>
          <t>7</t>
        </is>
      </c>
      <c r="G900" s="156" t="inlineStr">
        <is>
          <t>7</t>
        </is>
      </c>
      <c r="H900" s="156" t="inlineStr">
        <is>
          <t>Stetson</t>
        </is>
      </c>
      <c r="I900" s="156" t="inlineStr">
        <is>
          <t>Texana Stetson Saxon / Temple 6X Gris</t>
        </is>
      </c>
      <c r="J900" s="156" t="inlineStr">
        <is>
          <t>Accesorios</t>
        </is>
      </c>
      <c r="K900" s="156" t="inlineStr">
        <is>
          <t>Sombreros</t>
        </is>
      </c>
      <c r="L900" s="156" t="inlineStr">
        <is>
          <t>Unisex</t>
        </is>
      </c>
      <c r="M900" s="156" t="inlineStr">
        <is>
          <t>Stetson</t>
        </is>
      </c>
      <c r="N900" s="156" t="inlineStr">
        <is>
          <t>FW26</t>
        </is>
      </c>
      <c r="O900" s="156" t="inlineStr">
        <is>
          <t>Seasonal</t>
        </is>
      </c>
      <c r="P900" s="156" t="inlineStr">
        <is>
          <t>Gris</t>
        </is>
      </c>
      <c r="Q900" s="156" t="n"/>
      <c r="R900" s="156" t="inlineStr">
        <is>
          <t>Copa Cattleman</t>
        </is>
      </c>
      <c r="S900" s="156" t="inlineStr">
        <is>
          <t>100% pelo de conejo</t>
        </is>
      </c>
      <c r="T900"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0" s="156" t="inlineStr">
        <is>
          <t>Estados Unidos</t>
        </is>
      </c>
      <c r="V900" s="156" t="inlineStr">
        <is>
          <t>PZS</t>
        </is>
      </c>
      <c r="W900" s="51" t="inlineStr">
        <is>
          <t>53102503</t>
        </is>
      </c>
      <c r="X900" s="156" t="inlineStr">
        <is>
          <t>https://cdn.shopify.com/s/files/1/0357/2432/9005/files/SFS250-7542-61_Silverbelly_1.jpg?v=1777645385</t>
        </is>
      </c>
      <c r="Y900" s="54" t="n">
        <v>3071.25</v>
      </c>
      <c r="Z900" s="54" t="n">
        <v>7413.793103</v>
      </c>
      <c r="AA900" s="55">
        <f>IF(AND(A900="", B900="", E900=""), "", IF(AB900="", "Válido", IF((LEN(AB900)-LEN(SUBSTITUTE(AB900,"; ","")))/2+1&gt;(LEN(AB900)-LEN(SUBSTITUTE(AB900,"[Aviso]","")))/7, "Con Incidencias", "Válido")))</f>
        <v/>
      </c>
      <c r="AB900" s="56">
        <f>IF(AND(A900="", B900="", E900=""), "", TEXTJOIN("; ", TRUE, IF(OR(TRIM(A900&amp;"")="", ISNUMBER(SEARCH("FALTA", A900))), "UPC faltante/inválido", ""), IF(AND(A900&lt;&gt;"", IFERROR(_xlfn.XMATCH(A900,$A$2:$A$2509,0,1)&lt;&gt;_xlfn.XMATCH(A900,$A$2:$A$2509,0,-1),FALSE)), "Código de barras duplicado", ""), IF(AND(E900&lt;&gt;"", COUNTIF($E$2:$E$2509, E900)&gt;1), "SKU duplicado", ""), IF(OR(J900="", J900=""), "[Aviso] División no capturada ()", IF(ISNA(MATCH(J900, Criterios!$A$123:$A$126, 0)), "División no válida", "")), IF(OR(K900="", K900=""), "[Aviso] Categoría no capturada ()", IF(ISNA(MATCH(K900, Criterios!$A$81:$A$120, 0)), "Categoría no válida", IF(AND(J900&lt;&gt;"", J900&lt;&gt;"", J900&lt;&gt;VLOOKUP(K900, Criterios!$A$81:$B$120, 2, FALSE)), "División no coincide con Categoría", ""))), IF(OR(L900="", L900=""), "[Aviso] Género no capturado ()", IF(ISNA(MATCH(L900, Criterios!$B$123:$B$127, 0)), "Género no válido", "")), IF(OR(N900="", N900=""), "[Aviso] Temporada no capturada ()", IF(ISNA(MATCH(N900, Criterios!$C$123:$C$128, 0)), "Temporada no válida", "")), IF(OR(O900="", O900=""), "[Aviso] Ciclo de vida no capturado ()", IF(ISNA(MATCH(O900, Criterios!$D$123:$D$124, 0)), "Ciclo de vida no válido", ""))))</f>
        <v/>
      </c>
      <c r="AC900" s="56" t="n"/>
      <c r="AD900" s="51" t="n">
        <v>0</v>
      </c>
      <c r="AE900" s="156" t="inlineStr">
        <is>
          <t>STETSON AMERICAS (2)</t>
        </is>
      </c>
      <c r="AF900" s="51" t="n">
        <v>2</v>
      </c>
      <c r="AG900" s="156" t="inlineStr">
        <is>
          <t>Catálogo existente</t>
        </is>
      </c>
      <c r="AH900"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0" s="156" t="inlineStr">
        <is>
          <t>Sí</t>
        </is>
      </c>
      <c r="AJ900" s="156" t="inlineStr">
        <is>
          <t>PUNTO DE VENTA (-1); B25 CEDIS (-1)</t>
        </is>
      </c>
      <c r="AK900" s="155" t="inlineStr">
        <is>
          <t>Criterios: I [Q] | Shopify Stetson: producto 15227650179435 / variante 53791838273899 | Investigación en línea 06/10/2026: https://www.stetson.com/products/skyline-6x-usa-250-edition-silverbelly</t>
        </is>
      </c>
      <c r="AL900" s="58" t="n">
        <v>3071.25</v>
      </c>
      <c r="AM900" s="58" t="n">
        <v>7413.793103</v>
      </c>
      <c r="AN900" s="155" t="inlineStr">
        <is>
          <t>Shopify Stetson México</t>
        </is>
      </c>
      <c r="AO900" s="59" t="n">
        <v>2</v>
      </c>
      <c r="AP900" s="59" t="n"/>
      <c r="AQ900" s="59" t="n"/>
      <c r="AR900" s="155" t="inlineStr">
        <is>
          <t>Shopify Stetson México › Stetson Americas: 2</t>
        </is>
      </c>
    </row>
    <row r="901">
      <c r="A901" s="50" t="inlineStr">
        <is>
          <t>195556169919</t>
        </is>
      </c>
      <c r="B901" s="51" t="inlineStr">
        <is>
          <t>117385</t>
        </is>
      </c>
      <c r="C901" s="156" t="inlineStr">
        <is>
          <t>Multimarca</t>
        </is>
      </c>
      <c r="D901" s="156" t="inlineStr">
        <is>
          <t>SFS250-7542E5</t>
        </is>
      </c>
      <c r="E901" s="156" t="inlineStr">
        <is>
          <t>SFS250-7542E570</t>
        </is>
      </c>
      <c r="F901" s="156" t="inlineStr">
        <is>
          <t>7</t>
        </is>
      </c>
      <c r="G901" s="156" t="inlineStr">
        <is>
          <t>7</t>
        </is>
      </c>
      <c r="H901" s="156" t="inlineStr">
        <is>
          <t>Stetson</t>
        </is>
      </c>
      <c r="I901" s="156" t="inlineStr">
        <is>
          <t>Texana Stetson Saxon / Temple 6X Gris</t>
        </is>
      </c>
      <c r="J901" s="156" t="inlineStr">
        <is>
          <t>Accesorios</t>
        </is>
      </c>
      <c r="K901" s="156" t="inlineStr">
        <is>
          <t>Sombreros</t>
        </is>
      </c>
      <c r="L901" s="156" t="inlineStr">
        <is>
          <t>Unisex</t>
        </is>
      </c>
      <c r="M901" s="156" t="inlineStr">
        <is>
          <t>Stetson</t>
        </is>
      </c>
      <c r="N901" s="156" t="inlineStr">
        <is>
          <t>FW26</t>
        </is>
      </c>
      <c r="O901" s="156" t="inlineStr">
        <is>
          <t>Seasonal</t>
        </is>
      </c>
      <c r="P901" s="156" t="inlineStr">
        <is>
          <t>Gris</t>
        </is>
      </c>
      <c r="Q901" s="156" t="n"/>
      <c r="R901" s="156" t="inlineStr">
        <is>
          <t>Copa Cattleman</t>
        </is>
      </c>
      <c r="S901" s="156" t="inlineStr">
        <is>
          <t>100% pelo de conejo</t>
        </is>
      </c>
      <c r="T901"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1" s="156" t="inlineStr">
        <is>
          <t>Estados Unidos</t>
        </is>
      </c>
      <c r="V901" s="156" t="inlineStr">
        <is>
          <t>PZS</t>
        </is>
      </c>
      <c r="W901" s="51" t="inlineStr">
        <is>
          <t>53102503</t>
        </is>
      </c>
      <c r="X901" s="156" t="inlineStr">
        <is>
          <t>https://cdn.shopify.com/s/files/1/0357/2432/9005/files/SFS250-7542-E5_Sahara_1.jpg?v=1777644781</t>
        </is>
      </c>
      <c r="Y901" s="54" t="n">
        <v>3071.25</v>
      </c>
      <c r="Z901" s="54" t="n">
        <v>7413.793103</v>
      </c>
      <c r="AA901" s="55">
        <f>IF(AND(A901="", B901="", E901=""), "", IF(AB901="", "Válido", IF((LEN(AB901)-LEN(SUBSTITUTE(AB901,"; ","")))/2+1&gt;(LEN(AB901)-LEN(SUBSTITUTE(AB901,"[Aviso]","")))/7, "Con Incidencias", "Válido")))</f>
        <v/>
      </c>
      <c r="AB901" s="56">
        <f>IF(AND(A901="", B901="", E901=""), "", TEXTJOIN("; ", TRUE, IF(OR(TRIM(A901&amp;"")="", ISNUMBER(SEARCH("FALTA", A901))), "UPC faltante/inválido", ""), IF(AND(A901&lt;&gt;"", IFERROR(_xlfn.XMATCH(A901,$A$2:$A$2509,0,1)&lt;&gt;_xlfn.XMATCH(A901,$A$2:$A$2509,0,-1),FALSE)), "Código de barras duplicado", ""), IF(AND(E901&lt;&gt;"", COUNTIF($E$2:$E$2509, E901)&gt;1), "SKU duplicado", ""), IF(OR(J901="", J901=""), "[Aviso] División no capturada ()", IF(ISNA(MATCH(J901, Criterios!$A$123:$A$126, 0)), "División no válida", "")), IF(OR(K901="", K901=""), "[Aviso] Categoría no capturada ()", IF(ISNA(MATCH(K901, Criterios!$A$81:$A$120, 0)), "Categoría no válida", IF(AND(J901&lt;&gt;"", J901&lt;&gt;"", J901&lt;&gt;VLOOKUP(K901, Criterios!$A$81:$B$120, 2, FALSE)), "División no coincide con Categoría", ""))), IF(OR(L901="", L901=""), "[Aviso] Género no capturado ()", IF(ISNA(MATCH(L901, Criterios!$B$123:$B$127, 0)), "Género no válido", "")), IF(OR(N901="", N901=""), "[Aviso] Temporada no capturada ()", IF(ISNA(MATCH(N901, Criterios!$C$123:$C$128, 0)), "Temporada no válida", "")), IF(OR(O901="", O901=""), "[Aviso] Ciclo de vida no capturado ()", IF(ISNA(MATCH(O901, Criterios!$D$123:$D$124, 0)), "Ciclo de vida no válido", ""))))</f>
        <v/>
      </c>
      <c r="AC901" s="56" t="n"/>
      <c r="AD901" s="51" t="n">
        <v>-1</v>
      </c>
      <c r="AE901" s="156" t="n"/>
      <c r="AF901" s="51" t="n">
        <v>0</v>
      </c>
      <c r="AG901" s="156" t="inlineStr">
        <is>
          <t>Catálogo existente</t>
        </is>
      </c>
      <c r="AH901"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1" s="156" t="inlineStr">
        <is>
          <t>Sí</t>
        </is>
      </c>
      <c r="AJ901" s="156" t="inlineStr">
        <is>
          <t>B25 CEDIS (-1)</t>
        </is>
      </c>
      <c r="AK901" s="155" t="inlineStr">
        <is>
          <t>Criterios: I [Q] | Shopify Stetson: producto 15227650244971 / variante 53791838437739 | Investigación en línea 06/10/2026: https://www.stetson.com/products/skyline-6x-usa-250-edition-sahara</t>
        </is>
      </c>
      <c r="AL901" s="58" t="n">
        <v>3071.25</v>
      </c>
      <c r="AM901" s="58" t="n">
        <v>7413.793103</v>
      </c>
      <c r="AN901" s="155" t="inlineStr">
        <is>
          <t>Shopify Stetson México</t>
        </is>
      </c>
      <c r="AO901" s="59" t="n">
        <v>0</v>
      </c>
      <c r="AP901" s="59" t="n"/>
      <c r="AQ901" s="59" t="n"/>
      <c r="AR901" s="155" t="n"/>
    </row>
    <row r="902">
      <c r="A902" s="50" t="inlineStr">
        <is>
          <t>195556169926</t>
        </is>
      </c>
      <c r="B902" s="51" t="inlineStr">
        <is>
          <t>117377</t>
        </is>
      </c>
      <c r="C902" s="156" t="inlineStr">
        <is>
          <t>Multimarca</t>
        </is>
      </c>
      <c r="D902" s="156" t="inlineStr">
        <is>
          <t>SFS250-754207</t>
        </is>
      </c>
      <c r="E902" s="156" t="inlineStr">
        <is>
          <t>SFS250-75420771</t>
        </is>
      </c>
      <c r="F902" s="156" t="inlineStr">
        <is>
          <t>7 1/8</t>
        </is>
      </c>
      <c r="G902" s="156" t="inlineStr">
        <is>
          <t>7 1/8</t>
        </is>
      </c>
      <c r="H902" s="156" t="inlineStr">
        <is>
          <t>Stetson</t>
        </is>
      </c>
      <c r="I902" s="156" t="inlineStr">
        <is>
          <t>Texana Stetson Saxon / Temple 6X Negro</t>
        </is>
      </c>
      <c r="J902" s="156" t="inlineStr">
        <is>
          <t>Accesorios</t>
        </is>
      </c>
      <c r="K902" s="156" t="inlineStr">
        <is>
          <t>Sombreros</t>
        </is>
      </c>
      <c r="L902" s="156" t="inlineStr">
        <is>
          <t>Unisex</t>
        </is>
      </c>
      <c r="M902" s="156" t="inlineStr">
        <is>
          <t>Stetson</t>
        </is>
      </c>
      <c r="N902" s="156" t="inlineStr">
        <is>
          <t>FW26</t>
        </is>
      </c>
      <c r="O902" s="156" t="inlineStr">
        <is>
          <t>Seasonal</t>
        </is>
      </c>
      <c r="P902" s="156" t="inlineStr">
        <is>
          <t>Negro</t>
        </is>
      </c>
      <c r="Q902" s="156" t="n"/>
      <c r="R902" s="156" t="inlineStr">
        <is>
          <t>Copa Cattleman</t>
        </is>
      </c>
      <c r="S902" s="156" t="inlineStr">
        <is>
          <t>100% pelo de conejo</t>
        </is>
      </c>
      <c r="T902"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2" s="156" t="inlineStr">
        <is>
          <t>Estados Unidos</t>
        </is>
      </c>
      <c r="V902" s="156" t="inlineStr">
        <is>
          <t>PZS</t>
        </is>
      </c>
      <c r="W902" s="51" t="inlineStr">
        <is>
          <t>53102503</t>
        </is>
      </c>
      <c r="X902" s="156" t="inlineStr">
        <is>
          <t>https://cdn.shopify.com/s/files/1/0357/2432/9005/files/SFS250-7542-07_Black_1.jpg?v=1777645763</t>
        </is>
      </c>
      <c r="Y902" s="54" t="n">
        <v>3071.25</v>
      </c>
      <c r="Z902" s="54" t="n">
        <v>7413.793103</v>
      </c>
      <c r="AA902" s="55">
        <f>IF(AND(A902="", B902="", E902=""), "", IF(AB902="", "Válido", IF((LEN(AB902)-LEN(SUBSTITUTE(AB902,"; ","")))/2+1&gt;(LEN(AB902)-LEN(SUBSTITUTE(AB902,"[Aviso]","")))/7, "Con Incidencias", "Válido")))</f>
        <v/>
      </c>
      <c r="AB902" s="56">
        <f>IF(AND(A902="", B902="", E902=""), "", TEXTJOIN("; ", TRUE, IF(OR(TRIM(A902&amp;"")="", ISNUMBER(SEARCH("FALTA", A902))), "UPC faltante/inválido", ""), IF(AND(A902&lt;&gt;"", IFERROR(_xlfn.XMATCH(A902,$A$2:$A$2509,0,1)&lt;&gt;_xlfn.XMATCH(A902,$A$2:$A$2509,0,-1),FALSE)), "Código de barras duplicado", ""), IF(AND(E902&lt;&gt;"", COUNTIF($E$2:$E$2509, E902)&gt;1), "SKU duplicado", ""), IF(OR(J902="", J902=""), "[Aviso] División no capturada ()", IF(ISNA(MATCH(J902, Criterios!$A$123:$A$126, 0)), "División no válida", "")), IF(OR(K902="", K902=""), "[Aviso] Categoría no capturada ()", IF(ISNA(MATCH(K902, Criterios!$A$81:$A$120, 0)), "Categoría no válida", IF(AND(J902&lt;&gt;"", J902&lt;&gt;"", J902&lt;&gt;VLOOKUP(K902, Criterios!$A$81:$B$120, 2, FALSE)), "División no coincide con Categoría", ""))), IF(OR(L902="", L902=""), "[Aviso] Género no capturado ()", IF(ISNA(MATCH(L902, Criterios!$B$123:$B$127, 0)), "Género no válido", "")), IF(OR(N902="", N902=""), "[Aviso] Temporada no capturada ()", IF(ISNA(MATCH(N902, Criterios!$C$123:$C$128, 0)), "Temporada no válida", "")), IF(OR(O902="", O902=""), "[Aviso] Ciclo de vida no capturado ()", IF(ISNA(MATCH(O902, Criterios!$D$123:$D$124, 0)), "Ciclo de vida no válido", ""))))</f>
        <v/>
      </c>
      <c r="AC902" s="56" t="n"/>
      <c r="AD902" s="51" t="n">
        <v>-1</v>
      </c>
      <c r="AE902" s="156" t="inlineStr">
        <is>
          <t>STETSON AMERICAS (1)</t>
        </is>
      </c>
      <c r="AF902" s="51" t="n">
        <v>1</v>
      </c>
      <c r="AG902" s="156" t="inlineStr">
        <is>
          <t>Catálogo existente</t>
        </is>
      </c>
      <c r="AH902"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2" s="156" t="inlineStr">
        <is>
          <t>Sí</t>
        </is>
      </c>
      <c r="AJ902" s="156" t="inlineStr">
        <is>
          <t>B25 CEDIS (-1); PUNTO DE VENTA (-1)</t>
        </is>
      </c>
      <c r="AK902" s="155" t="inlineStr">
        <is>
          <t>Criterios: I [Q] | Shopify Stetson: producto 15227650113899 / variante 53791838044523 | Investigación en línea 06/10/2026: https://www.stetson.com/products/skyline-6x-usa-250-edition-black</t>
        </is>
      </c>
      <c r="AL902" s="58" t="n">
        <v>3071.25</v>
      </c>
      <c r="AM902" s="58" t="n">
        <v>7413.793103</v>
      </c>
      <c r="AN902" s="155" t="inlineStr">
        <is>
          <t>Shopify Stetson México</t>
        </is>
      </c>
      <c r="AO902" s="59" t="n">
        <v>1</v>
      </c>
      <c r="AP902" s="59" t="n"/>
      <c r="AQ902" s="59" t="n"/>
      <c r="AR902" s="155" t="inlineStr">
        <is>
          <t>Shopify Stetson México › Stetson Americas: 1</t>
        </is>
      </c>
    </row>
    <row r="903">
      <c r="A903" s="50" t="inlineStr">
        <is>
          <t>195556169933</t>
        </is>
      </c>
      <c r="B903" s="51" t="inlineStr">
        <is>
          <t>117382</t>
        </is>
      </c>
      <c r="C903" s="156" t="inlineStr">
        <is>
          <t>Multimarca</t>
        </is>
      </c>
      <c r="D903" s="156" t="inlineStr">
        <is>
          <t>SFS250-754261</t>
        </is>
      </c>
      <c r="E903" s="156" t="inlineStr">
        <is>
          <t>SFS250-75426171</t>
        </is>
      </c>
      <c r="F903" s="156" t="inlineStr">
        <is>
          <t>7 1/8</t>
        </is>
      </c>
      <c r="G903" s="156" t="inlineStr">
        <is>
          <t>7 1/8</t>
        </is>
      </c>
      <c r="H903" s="156" t="inlineStr">
        <is>
          <t>Stetson</t>
        </is>
      </c>
      <c r="I903" s="156" t="inlineStr">
        <is>
          <t>Texana Stetson Saxon / Temple 6X Gris</t>
        </is>
      </c>
      <c r="J903" s="156" t="inlineStr">
        <is>
          <t>Accesorios</t>
        </is>
      </c>
      <c r="K903" s="156" t="inlineStr">
        <is>
          <t>Sombreros</t>
        </is>
      </c>
      <c r="L903" s="156" t="inlineStr">
        <is>
          <t>Unisex</t>
        </is>
      </c>
      <c r="M903" s="156" t="inlineStr">
        <is>
          <t>Stetson</t>
        </is>
      </c>
      <c r="N903" s="156" t="inlineStr">
        <is>
          <t>FW26</t>
        </is>
      </c>
      <c r="O903" s="156" t="inlineStr">
        <is>
          <t>Seasonal</t>
        </is>
      </c>
      <c r="P903" s="156" t="inlineStr">
        <is>
          <t>Gris</t>
        </is>
      </c>
      <c r="Q903" s="156" t="n"/>
      <c r="R903" s="156" t="inlineStr">
        <is>
          <t>Copa Cattleman</t>
        </is>
      </c>
      <c r="S903" s="156" t="inlineStr">
        <is>
          <t>100% pelo de conejo</t>
        </is>
      </c>
      <c r="T903"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3" s="156" t="inlineStr">
        <is>
          <t>Estados Unidos</t>
        </is>
      </c>
      <c r="V903" s="156" t="inlineStr">
        <is>
          <t>PZS</t>
        </is>
      </c>
      <c r="W903" s="51" t="inlineStr">
        <is>
          <t>53102503</t>
        </is>
      </c>
      <c r="X903" s="156" t="inlineStr">
        <is>
          <t>https://cdn.shopify.com/s/files/1/0357/2432/9005/files/SFS250-7542-61_Silverbelly_1.jpg?v=1777645385</t>
        </is>
      </c>
      <c r="Y903" s="54" t="n">
        <v>3071.25</v>
      </c>
      <c r="Z903" s="54" t="n">
        <v>7413.793103</v>
      </c>
      <c r="AA903" s="55">
        <f>IF(AND(A903="", B903="", E903=""), "", IF(AB903="", "Válido", IF((LEN(AB903)-LEN(SUBSTITUTE(AB903,"; ","")))/2+1&gt;(LEN(AB903)-LEN(SUBSTITUTE(AB903,"[Aviso]","")))/7, "Con Incidencias", "Válido")))</f>
        <v/>
      </c>
      <c r="AB903" s="56">
        <f>IF(AND(A903="", B903="", E903=""), "", TEXTJOIN("; ", TRUE, IF(OR(TRIM(A903&amp;"")="", ISNUMBER(SEARCH("FALTA", A903))), "UPC faltante/inválido", ""), IF(AND(A903&lt;&gt;"", IFERROR(_xlfn.XMATCH(A903,$A$2:$A$2509,0,1)&lt;&gt;_xlfn.XMATCH(A903,$A$2:$A$2509,0,-1),FALSE)), "Código de barras duplicado", ""), IF(AND(E903&lt;&gt;"", COUNTIF($E$2:$E$2509, E903)&gt;1), "SKU duplicado", ""), IF(OR(J903="", J903=""), "[Aviso] División no capturada ()", IF(ISNA(MATCH(J903, Criterios!$A$123:$A$126, 0)), "División no válida", "")), IF(OR(K903="", K903=""), "[Aviso] Categoría no capturada ()", IF(ISNA(MATCH(K903, Criterios!$A$81:$A$120, 0)), "Categoría no válida", IF(AND(J903&lt;&gt;"", J903&lt;&gt;"", J903&lt;&gt;VLOOKUP(K903, Criterios!$A$81:$B$120, 2, FALSE)), "División no coincide con Categoría", ""))), IF(OR(L903="", L903=""), "[Aviso] Género no capturado ()", IF(ISNA(MATCH(L903, Criterios!$B$123:$B$127, 0)), "Género no válido", "")), IF(OR(N903="", N903=""), "[Aviso] Temporada no capturada ()", IF(ISNA(MATCH(N903, Criterios!$C$123:$C$128, 0)), "Temporada no válida", "")), IF(OR(O903="", O903=""), "[Aviso] Ciclo de vida no capturado ()", IF(ISNA(MATCH(O903, Criterios!$D$123:$D$124, 0)), "Ciclo de vida no válido", ""))))</f>
        <v/>
      </c>
      <c r="AC903" s="56" t="n"/>
      <c r="AD903" s="51" t="n">
        <v>0</v>
      </c>
      <c r="AE903" s="156" t="inlineStr">
        <is>
          <t>STETSON AMERICAS (2)</t>
        </is>
      </c>
      <c r="AF903" s="51" t="n">
        <v>2</v>
      </c>
      <c r="AG903" s="156" t="inlineStr">
        <is>
          <t>Catálogo existente</t>
        </is>
      </c>
      <c r="AH903"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3" s="156" t="inlineStr">
        <is>
          <t>Sí</t>
        </is>
      </c>
      <c r="AJ903" s="156" t="inlineStr">
        <is>
          <t>PUNTO DE VENTA (-1); B25 CEDIS (-1)</t>
        </is>
      </c>
      <c r="AK903" s="155" t="inlineStr">
        <is>
          <t>Criterios: I [Q] | Shopify Stetson: producto 15227650179435 / variante 53791838306667 | Investigación en línea 06/10/2026: https://www.stetson.com/products/skyline-6x-usa-250-edition-silverbelly</t>
        </is>
      </c>
      <c r="AL903" s="58" t="n">
        <v>3071.25</v>
      </c>
      <c r="AM903" s="58" t="n">
        <v>7413.793103</v>
      </c>
      <c r="AN903" s="155" t="inlineStr">
        <is>
          <t>Shopify Stetson México</t>
        </is>
      </c>
      <c r="AO903" s="59" t="n">
        <v>2</v>
      </c>
      <c r="AP903" s="59" t="n"/>
      <c r="AQ903" s="59" t="n"/>
      <c r="AR903" s="155" t="inlineStr">
        <is>
          <t>Shopify Stetson México › Stetson Americas: 2</t>
        </is>
      </c>
    </row>
    <row r="904">
      <c r="A904" s="50" t="inlineStr">
        <is>
          <t>195556169940</t>
        </is>
      </c>
      <c r="B904" s="51" t="inlineStr">
        <is>
          <t>117386</t>
        </is>
      </c>
      <c r="C904" s="156" t="inlineStr">
        <is>
          <t>Multimarca</t>
        </is>
      </c>
      <c r="D904" s="156" t="inlineStr">
        <is>
          <t>SFS250-7542E5</t>
        </is>
      </c>
      <c r="E904" s="156" t="inlineStr">
        <is>
          <t>SFS250-7542E571</t>
        </is>
      </c>
      <c r="F904" s="156" t="inlineStr">
        <is>
          <t>7 1/8</t>
        </is>
      </c>
      <c r="G904" s="156" t="inlineStr">
        <is>
          <t>7 1/8</t>
        </is>
      </c>
      <c r="H904" s="156" t="inlineStr">
        <is>
          <t>Stetson</t>
        </is>
      </c>
      <c r="I904" s="156" t="inlineStr">
        <is>
          <t>Texana Stetson Saxon / Temple 6X Gris</t>
        </is>
      </c>
      <c r="J904" s="156" t="inlineStr">
        <is>
          <t>Accesorios</t>
        </is>
      </c>
      <c r="K904" s="156" t="inlineStr">
        <is>
          <t>Sombreros</t>
        </is>
      </c>
      <c r="L904" s="156" t="inlineStr">
        <is>
          <t>Unisex</t>
        </is>
      </c>
      <c r="M904" s="156" t="inlineStr">
        <is>
          <t>Stetson</t>
        </is>
      </c>
      <c r="N904" s="156" t="inlineStr">
        <is>
          <t>FW26</t>
        </is>
      </c>
      <c r="O904" s="156" t="inlineStr">
        <is>
          <t>Seasonal</t>
        </is>
      </c>
      <c r="P904" s="156" t="inlineStr">
        <is>
          <t>Gris</t>
        </is>
      </c>
      <c r="Q904" s="156" t="n"/>
      <c r="R904" s="156" t="inlineStr">
        <is>
          <t>Copa Cattleman</t>
        </is>
      </c>
      <c r="S904" s="156" t="inlineStr">
        <is>
          <t>100% pelo de conejo</t>
        </is>
      </c>
      <c r="T904"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4" s="156" t="inlineStr">
        <is>
          <t>Estados Unidos</t>
        </is>
      </c>
      <c r="V904" s="156" t="inlineStr">
        <is>
          <t>PZS</t>
        </is>
      </c>
      <c r="W904" s="51" t="inlineStr">
        <is>
          <t>53102503</t>
        </is>
      </c>
      <c r="X904" s="156" t="inlineStr">
        <is>
          <t>https://cdn.shopify.com/s/files/1/0357/2432/9005/files/SFS250-7542-E5_Sahara_1.jpg?v=1777644781</t>
        </is>
      </c>
      <c r="Y904" s="54" t="n">
        <v>3071.25</v>
      </c>
      <c r="Z904" s="54" t="n">
        <v>7413.793103</v>
      </c>
      <c r="AA904" s="55">
        <f>IF(AND(A904="", B904="", E904=""), "", IF(AB904="", "Válido", IF((LEN(AB904)-LEN(SUBSTITUTE(AB904,"; ","")))/2+1&gt;(LEN(AB904)-LEN(SUBSTITUTE(AB904,"[Aviso]","")))/7, "Con Incidencias", "Válido")))</f>
        <v/>
      </c>
      <c r="AB904" s="56">
        <f>IF(AND(A904="", B904="", E904=""), "", TEXTJOIN("; ", TRUE, IF(OR(TRIM(A904&amp;"")="", ISNUMBER(SEARCH("FALTA", A904))), "UPC faltante/inválido", ""), IF(AND(A904&lt;&gt;"", IFERROR(_xlfn.XMATCH(A904,$A$2:$A$2509,0,1)&lt;&gt;_xlfn.XMATCH(A904,$A$2:$A$2509,0,-1),FALSE)), "Código de barras duplicado", ""), IF(AND(E904&lt;&gt;"", COUNTIF($E$2:$E$2509, E904)&gt;1), "SKU duplicado", ""), IF(OR(J904="", J904=""), "[Aviso] División no capturada ()", IF(ISNA(MATCH(J904, Criterios!$A$123:$A$126, 0)), "División no válida", "")), IF(OR(K904="", K904=""), "[Aviso] Categoría no capturada ()", IF(ISNA(MATCH(K904, Criterios!$A$81:$A$120, 0)), "Categoría no válida", IF(AND(J904&lt;&gt;"", J904&lt;&gt;"", J904&lt;&gt;VLOOKUP(K904, Criterios!$A$81:$B$120, 2, FALSE)), "División no coincide con Categoría", ""))), IF(OR(L904="", L904=""), "[Aviso] Género no capturado ()", IF(ISNA(MATCH(L904, Criterios!$B$123:$B$127, 0)), "Género no válido", "")), IF(OR(N904="", N904=""), "[Aviso] Temporada no capturada ()", IF(ISNA(MATCH(N904, Criterios!$C$123:$C$128, 0)), "Temporada no válida", "")), IF(OR(O904="", O904=""), "[Aviso] Ciclo de vida no capturado ()", IF(ISNA(MATCH(O904, Criterios!$D$123:$D$124, 0)), "Ciclo de vida no válido", ""))))</f>
        <v/>
      </c>
      <c r="AC904" s="56" t="n"/>
      <c r="AD904" s="51" t="n">
        <v>0</v>
      </c>
      <c r="AE904" s="156" t="inlineStr">
        <is>
          <t>STETSON AMERICAS (1)</t>
        </is>
      </c>
      <c r="AF904" s="51" t="n">
        <v>1</v>
      </c>
      <c r="AG904" s="156" t="inlineStr">
        <is>
          <t>Catálogo existente</t>
        </is>
      </c>
      <c r="AH904" s="156" t="inlineStr">
        <is>
          <t>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4" s="156" t="inlineStr">
        <is>
          <t>Sí</t>
        </is>
      </c>
      <c r="AJ904" s="156" t="inlineStr">
        <is>
          <t>B25 CEDIS (-1)</t>
        </is>
      </c>
      <c r="AK904" s="155" t="inlineStr">
        <is>
          <t>Criterios: I [Q] | Shopify Stetson: producto 15227650244971 / variante 53791838470507 | Investigación en línea 06/10/2026: https://www.stetson.com/products/skyline-6x-usa-250-edition-sahara</t>
        </is>
      </c>
      <c r="AL904" s="58" t="n">
        <v>3071.25</v>
      </c>
      <c r="AM904" s="58" t="n">
        <v>7413.793103</v>
      </c>
      <c r="AN904" s="155" t="inlineStr">
        <is>
          <t>Shopify Stetson México</t>
        </is>
      </c>
      <c r="AO904" s="59" t="n">
        <v>1</v>
      </c>
      <c r="AP904" s="59" t="n"/>
      <c r="AQ904" s="59" t="n"/>
      <c r="AR904" s="155" t="inlineStr">
        <is>
          <t>Shopify Stetson México › Stetson Americas: 1</t>
        </is>
      </c>
    </row>
    <row r="905">
      <c r="A905" s="50" t="inlineStr">
        <is>
          <t>195556169957</t>
        </is>
      </c>
      <c r="B905" s="51" t="inlineStr">
        <is>
          <t>117378</t>
        </is>
      </c>
      <c r="C905" s="156" t="inlineStr">
        <is>
          <t>Multimarca</t>
        </is>
      </c>
      <c r="D905" s="156" t="inlineStr">
        <is>
          <t>SFS250-754207</t>
        </is>
      </c>
      <c r="E905" s="156" t="inlineStr">
        <is>
          <t>SFS250-75420772</t>
        </is>
      </c>
      <c r="F905" s="156" t="inlineStr">
        <is>
          <t>7 1/4</t>
        </is>
      </c>
      <c r="G905" s="156" t="inlineStr">
        <is>
          <t>7 1/4</t>
        </is>
      </c>
      <c r="H905" s="156" t="inlineStr">
        <is>
          <t>Stetson</t>
        </is>
      </c>
      <c r="I905" s="156" t="inlineStr">
        <is>
          <t>Texana Stetson Saxon / Temple 6X Negro</t>
        </is>
      </c>
      <c r="J905" s="156" t="inlineStr">
        <is>
          <t>Accesorios</t>
        </is>
      </c>
      <c r="K905" s="156" t="inlineStr">
        <is>
          <t>Sombreros</t>
        </is>
      </c>
      <c r="L905" s="156" t="inlineStr">
        <is>
          <t>Unisex</t>
        </is>
      </c>
      <c r="M905" s="156" t="inlineStr">
        <is>
          <t>Stetson</t>
        </is>
      </c>
      <c r="N905" s="156" t="inlineStr">
        <is>
          <t>FW26</t>
        </is>
      </c>
      <c r="O905" s="156" t="inlineStr">
        <is>
          <t>Seasonal</t>
        </is>
      </c>
      <c r="P905" s="156" t="inlineStr">
        <is>
          <t>Negro</t>
        </is>
      </c>
      <c r="Q905" s="156" t="n"/>
      <c r="R905" s="156" t="inlineStr">
        <is>
          <t>Copa Cattleman</t>
        </is>
      </c>
      <c r="S905" s="156" t="inlineStr">
        <is>
          <t>100% pelo de conejo</t>
        </is>
      </c>
      <c r="T905"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5" s="156" t="inlineStr">
        <is>
          <t>Estados Unidos</t>
        </is>
      </c>
      <c r="V905" s="156" t="inlineStr">
        <is>
          <t>PZS</t>
        </is>
      </c>
      <c r="W905" s="51" t="inlineStr">
        <is>
          <t>53102503</t>
        </is>
      </c>
      <c r="X905" s="156" t="inlineStr">
        <is>
          <t>https://cdn.shopify.com/s/files/1/0357/2432/9005/files/SFS250-7542-07_Black_1.jpg?v=1777645763</t>
        </is>
      </c>
      <c r="Y905" s="54" t="n">
        <v>3071.25</v>
      </c>
      <c r="Z905" s="54" t="n">
        <v>7413.793103</v>
      </c>
      <c r="AA905" s="55">
        <f>IF(AND(A905="", B905="", E905=""), "", IF(AB905="", "Válido", IF((LEN(AB905)-LEN(SUBSTITUTE(AB905,"; ","")))/2+1&gt;(LEN(AB905)-LEN(SUBSTITUTE(AB905,"[Aviso]","")))/7, "Con Incidencias", "Válido")))</f>
        <v/>
      </c>
      <c r="AB905" s="56">
        <f>IF(AND(A905="", B905="", E905=""), "", TEXTJOIN("; ", TRUE, IF(OR(TRIM(A905&amp;"")="", ISNUMBER(SEARCH("FALTA", A905))), "UPC faltante/inválido", ""), IF(AND(A905&lt;&gt;"", IFERROR(_xlfn.XMATCH(A905,$A$2:$A$2509,0,1)&lt;&gt;_xlfn.XMATCH(A905,$A$2:$A$2509,0,-1),FALSE)), "Código de barras duplicado", ""), IF(AND(E905&lt;&gt;"", COUNTIF($E$2:$E$2509, E905)&gt;1), "SKU duplicado", ""), IF(OR(J905="", J905=""), "[Aviso] División no capturada ()", IF(ISNA(MATCH(J905, Criterios!$A$123:$A$126, 0)), "División no válida", "")), IF(OR(K905="", K905=""), "[Aviso] Categoría no capturada ()", IF(ISNA(MATCH(K905, Criterios!$A$81:$A$120, 0)), "Categoría no válida", IF(AND(J905&lt;&gt;"", J905&lt;&gt;"", J905&lt;&gt;VLOOKUP(K905, Criterios!$A$81:$B$120, 2, FALSE)), "División no coincide con Categoría", ""))), IF(OR(L905="", L905=""), "[Aviso] Género no capturado ()", IF(ISNA(MATCH(L905, Criterios!$B$123:$B$127, 0)), "Género no válido", "")), IF(OR(N905="", N905=""), "[Aviso] Temporada no capturada ()", IF(ISNA(MATCH(N905, Criterios!$C$123:$C$128, 0)), "Temporada no válida", "")), IF(OR(O905="", O905=""), "[Aviso] Ciclo de vida no capturado ()", IF(ISNA(MATCH(O905, Criterios!$D$123:$D$124, 0)), "Ciclo de vida no válido", ""))))</f>
        <v/>
      </c>
      <c r="AC905" s="56" t="n"/>
      <c r="AD905" s="51" t="n">
        <v>-1</v>
      </c>
      <c r="AE905" s="156" t="inlineStr">
        <is>
          <t>STETSON AMERICAS (1)</t>
        </is>
      </c>
      <c r="AF905" s="51" t="n">
        <v>1</v>
      </c>
      <c r="AG905" s="156" t="inlineStr">
        <is>
          <t>Catálogo existente</t>
        </is>
      </c>
      <c r="AH905"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5" s="156" t="inlineStr">
        <is>
          <t>Sí</t>
        </is>
      </c>
      <c r="AJ905" s="156" t="inlineStr">
        <is>
          <t>B25 CEDIS (-1); PUNTO DE VENTA (-1)</t>
        </is>
      </c>
      <c r="AK905" s="155" t="inlineStr">
        <is>
          <t>Criterios: I [Q] | Shopify Stetson: producto 15227650113899 / variante 53791838077291 | Investigación en línea 06/10/2026: https://www.stetson.com/products/skyline-6x-usa-250-edition-black</t>
        </is>
      </c>
      <c r="AL905" s="58" t="n">
        <v>3071.25</v>
      </c>
      <c r="AM905" s="58" t="n">
        <v>7413.793103</v>
      </c>
      <c r="AN905" s="155" t="inlineStr">
        <is>
          <t>Shopify Stetson México</t>
        </is>
      </c>
      <c r="AO905" s="59" t="n">
        <v>1</v>
      </c>
      <c r="AP905" s="59" t="n"/>
      <c r="AQ905" s="59" t="n"/>
      <c r="AR905" s="155" t="inlineStr">
        <is>
          <t>Shopify Stetson México › Stetson Americas: 1</t>
        </is>
      </c>
    </row>
    <row r="906">
      <c r="A906" s="50" t="inlineStr">
        <is>
          <t>195556169964</t>
        </is>
      </c>
      <c r="B906" s="51" t="inlineStr">
        <is>
          <t>117383</t>
        </is>
      </c>
      <c r="C906" s="156" t="inlineStr">
        <is>
          <t>Multimarca</t>
        </is>
      </c>
      <c r="D906" s="156" t="inlineStr">
        <is>
          <t>SFS250-754261</t>
        </is>
      </c>
      <c r="E906" s="156" t="inlineStr">
        <is>
          <t>SFS250-75426172</t>
        </is>
      </c>
      <c r="F906" s="156" t="inlineStr">
        <is>
          <t>7 1/4</t>
        </is>
      </c>
      <c r="G906" s="156" t="inlineStr">
        <is>
          <t>7 1/4</t>
        </is>
      </c>
      <c r="H906" s="156" t="inlineStr">
        <is>
          <t>Stetson</t>
        </is>
      </c>
      <c r="I906" s="156" t="inlineStr">
        <is>
          <t>Texana Stetson Saxon / Temple 6X Gris</t>
        </is>
      </c>
      <c r="J906" s="156" t="inlineStr">
        <is>
          <t>Accesorios</t>
        </is>
      </c>
      <c r="K906" s="156" t="inlineStr">
        <is>
          <t>Sombreros</t>
        </is>
      </c>
      <c r="L906" s="156" t="inlineStr">
        <is>
          <t>Unisex</t>
        </is>
      </c>
      <c r="M906" s="156" t="inlineStr">
        <is>
          <t>Stetson</t>
        </is>
      </c>
      <c r="N906" s="156" t="inlineStr">
        <is>
          <t>FW26</t>
        </is>
      </c>
      <c r="O906" s="156" t="inlineStr">
        <is>
          <t>Seasonal</t>
        </is>
      </c>
      <c r="P906" s="156" t="inlineStr">
        <is>
          <t>Gris</t>
        </is>
      </c>
      <c r="Q906" s="156" t="n"/>
      <c r="R906" s="156" t="inlineStr">
        <is>
          <t>Copa Cattleman</t>
        </is>
      </c>
      <c r="S906" s="156" t="inlineStr">
        <is>
          <t>100% pelo de conejo</t>
        </is>
      </c>
      <c r="T906"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6" s="156" t="inlineStr">
        <is>
          <t>Estados Unidos</t>
        </is>
      </c>
      <c r="V906" s="156" t="inlineStr">
        <is>
          <t>PZS</t>
        </is>
      </c>
      <c r="W906" s="51" t="inlineStr">
        <is>
          <t>53102503</t>
        </is>
      </c>
      <c r="X906" s="156" t="inlineStr">
        <is>
          <t>https://cdn.shopify.com/s/files/1/0357/2432/9005/files/SFS250-7542-61_Silverbelly_1.jpg?v=1777645385</t>
        </is>
      </c>
      <c r="Y906" s="54" t="n">
        <v>3071.25</v>
      </c>
      <c r="Z906" s="54" t="n">
        <v>7413.793103</v>
      </c>
      <c r="AA906" s="55">
        <f>IF(AND(A906="", B906="", E906=""), "", IF(AB906="", "Válido", IF((LEN(AB906)-LEN(SUBSTITUTE(AB906,"; ","")))/2+1&gt;(LEN(AB906)-LEN(SUBSTITUTE(AB906,"[Aviso]","")))/7, "Con Incidencias", "Válido")))</f>
        <v/>
      </c>
      <c r="AB906" s="56">
        <f>IF(AND(A906="", B906="", E906=""), "", TEXTJOIN("; ", TRUE, IF(OR(TRIM(A906&amp;"")="", ISNUMBER(SEARCH("FALTA", A906))), "UPC faltante/inválido", ""), IF(AND(A906&lt;&gt;"", IFERROR(_xlfn.XMATCH(A906,$A$2:$A$2509,0,1)&lt;&gt;_xlfn.XMATCH(A906,$A$2:$A$2509,0,-1),FALSE)), "Código de barras duplicado", ""), IF(AND(E906&lt;&gt;"", COUNTIF($E$2:$E$2509, E906)&gt;1), "SKU duplicado", ""), IF(OR(J906="", J906=""), "[Aviso] División no capturada ()", IF(ISNA(MATCH(J906, Criterios!$A$123:$A$126, 0)), "División no válida", "")), IF(OR(K906="", K906=""), "[Aviso] Categoría no capturada ()", IF(ISNA(MATCH(K906, Criterios!$A$81:$A$120, 0)), "Categoría no válida", IF(AND(J906&lt;&gt;"", J906&lt;&gt;"", J906&lt;&gt;VLOOKUP(K906, Criterios!$A$81:$B$120, 2, FALSE)), "División no coincide con Categoría", ""))), IF(OR(L906="", L906=""), "[Aviso] Género no capturado ()", IF(ISNA(MATCH(L906, Criterios!$B$123:$B$127, 0)), "Género no válido", "")), IF(OR(N906="", N906=""), "[Aviso] Temporada no capturada ()", IF(ISNA(MATCH(N906, Criterios!$C$123:$C$128, 0)), "Temporada no válida", "")), IF(OR(O906="", O906=""), "[Aviso] Ciclo de vida no capturado ()", IF(ISNA(MATCH(O906, Criterios!$D$123:$D$124, 0)), "Ciclo de vida no válido", ""))))</f>
        <v/>
      </c>
      <c r="AC906" s="56" t="n"/>
      <c r="AD906" s="51" t="n">
        <v>0</v>
      </c>
      <c r="AE906" s="156" t="inlineStr">
        <is>
          <t>STETSON AMERICAS (2)</t>
        </is>
      </c>
      <c r="AF906" s="51" t="n">
        <v>2</v>
      </c>
      <c r="AG906" s="156" t="inlineStr">
        <is>
          <t>Catálogo existente</t>
        </is>
      </c>
      <c r="AH906"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6" s="156" t="inlineStr">
        <is>
          <t>Sí</t>
        </is>
      </c>
      <c r="AJ906" s="156" t="inlineStr">
        <is>
          <t>B25 CEDIS (-1); PUNTO DE VENTA (-1)</t>
        </is>
      </c>
      <c r="AK906" s="155" t="inlineStr">
        <is>
          <t>Criterios: I [Q] | Shopify Stetson: producto 15227650179435 / variante 53791838339435 | Investigación en línea 06/10/2026: https://www.stetson.com/products/skyline-6x-usa-250-edition-silverbelly</t>
        </is>
      </c>
      <c r="AL906" s="58" t="n">
        <v>3071.25</v>
      </c>
      <c r="AM906" s="58" t="n">
        <v>7413.793103</v>
      </c>
      <c r="AN906" s="155" t="inlineStr">
        <is>
          <t>Shopify Stetson México</t>
        </is>
      </c>
      <c r="AO906" s="59" t="n">
        <v>2</v>
      </c>
      <c r="AP906" s="59" t="n"/>
      <c r="AQ906" s="59" t="n"/>
      <c r="AR906" s="155" t="inlineStr">
        <is>
          <t>Shopify Stetson México › Stetson Americas: 2</t>
        </is>
      </c>
    </row>
    <row r="907">
      <c r="A907" s="50" t="inlineStr">
        <is>
          <t>195556169971</t>
        </is>
      </c>
      <c r="B907" s="51" t="inlineStr">
        <is>
          <t>117387</t>
        </is>
      </c>
      <c r="C907" s="156" t="inlineStr">
        <is>
          <t>Multimarca</t>
        </is>
      </c>
      <c r="D907" s="156" t="inlineStr">
        <is>
          <t>SFS250-7542E5</t>
        </is>
      </c>
      <c r="E907" s="156" t="inlineStr">
        <is>
          <t>SFS250-7542E572</t>
        </is>
      </c>
      <c r="F907" s="156" t="inlineStr">
        <is>
          <t>7 1/4</t>
        </is>
      </c>
      <c r="G907" s="156" t="inlineStr">
        <is>
          <t>7 1/4</t>
        </is>
      </c>
      <c r="H907" s="156" t="inlineStr">
        <is>
          <t>Stetson</t>
        </is>
      </c>
      <c r="I907" s="156" t="inlineStr">
        <is>
          <t>Texana Stetson Saxon / Temple 6X Gris</t>
        </is>
      </c>
      <c r="J907" s="156" t="inlineStr">
        <is>
          <t>Accesorios</t>
        </is>
      </c>
      <c r="K907" s="156" t="inlineStr">
        <is>
          <t>Sombreros</t>
        </is>
      </c>
      <c r="L907" s="156" t="inlineStr">
        <is>
          <t>Unisex</t>
        </is>
      </c>
      <c r="M907" s="156" t="inlineStr">
        <is>
          <t>Stetson</t>
        </is>
      </c>
      <c r="N907" s="156" t="inlineStr">
        <is>
          <t>FW26</t>
        </is>
      </c>
      <c r="O907" s="156" t="inlineStr">
        <is>
          <t>Seasonal</t>
        </is>
      </c>
      <c r="P907" s="156" t="inlineStr">
        <is>
          <t>Gris</t>
        </is>
      </c>
      <c r="Q907" s="156" t="n"/>
      <c r="R907" s="156" t="inlineStr">
        <is>
          <t>Copa Cattleman</t>
        </is>
      </c>
      <c r="S907" s="156" t="inlineStr">
        <is>
          <t>100% pelo de conejo</t>
        </is>
      </c>
      <c r="T907"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7" s="156" t="inlineStr">
        <is>
          <t>Estados Unidos</t>
        </is>
      </c>
      <c r="V907" s="156" t="inlineStr">
        <is>
          <t>PZS</t>
        </is>
      </c>
      <c r="W907" s="51" t="inlineStr">
        <is>
          <t>53102503</t>
        </is>
      </c>
      <c r="X907" s="156" t="inlineStr">
        <is>
          <t>https://cdn.shopify.com/s/files/1/0357/2432/9005/files/SFS250-7542-E5_Sahara_1.jpg?v=1777644781</t>
        </is>
      </c>
      <c r="Y907" s="54" t="n">
        <v>3071.25</v>
      </c>
      <c r="Z907" s="54" t="n">
        <v>7413.793103</v>
      </c>
      <c r="AA907" s="55">
        <f>IF(AND(A907="", B907="", E907=""), "", IF(AB907="", "Válido", IF((LEN(AB907)-LEN(SUBSTITUTE(AB907,"; ","")))/2+1&gt;(LEN(AB907)-LEN(SUBSTITUTE(AB907,"[Aviso]","")))/7, "Con Incidencias", "Válido")))</f>
        <v/>
      </c>
      <c r="AB907" s="56">
        <f>IF(AND(A907="", B907="", E907=""), "", TEXTJOIN("; ", TRUE, IF(OR(TRIM(A907&amp;"")="", ISNUMBER(SEARCH("FALTA", A907))), "UPC faltante/inválido", ""), IF(AND(A907&lt;&gt;"", IFERROR(_xlfn.XMATCH(A907,$A$2:$A$2509,0,1)&lt;&gt;_xlfn.XMATCH(A907,$A$2:$A$2509,0,-1),FALSE)), "Código de barras duplicado", ""), IF(AND(E907&lt;&gt;"", COUNTIF($E$2:$E$2509, E907)&gt;1), "SKU duplicado", ""), IF(OR(J907="", J907=""), "[Aviso] División no capturada ()", IF(ISNA(MATCH(J907, Criterios!$A$123:$A$126, 0)), "División no válida", "")), IF(OR(K907="", K907=""), "[Aviso] Categoría no capturada ()", IF(ISNA(MATCH(K907, Criterios!$A$81:$A$120, 0)), "Categoría no válida", IF(AND(J907&lt;&gt;"", J907&lt;&gt;"", J907&lt;&gt;VLOOKUP(K907, Criterios!$A$81:$B$120, 2, FALSE)), "División no coincide con Categoría", ""))), IF(OR(L907="", L907=""), "[Aviso] Género no capturado ()", IF(ISNA(MATCH(L907, Criterios!$B$123:$B$127, 0)), "Género no válido", "")), IF(OR(N907="", N907=""), "[Aviso] Temporada no capturada ()", IF(ISNA(MATCH(N907, Criterios!$C$123:$C$128, 0)), "Temporada no válida", "")), IF(OR(O907="", O907=""), "[Aviso] Ciclo de vida no capturado ()", IF(ISNA(MATCH(O907, Criterios!$D$123:$D$124, 0)), "Ciclo de vida no válido", ""))))</f>
        <v/>
      </c>
      <c r="AC907" s="56" t="n"/>
      <c r="AD907" s="51" t="n">
        <v>-1</v>
      </c>
      <c r="AE907" s="156" t="n"/>
      <c r="AF907" s="51" t="n">
        <v>0</v>
      </c>
      <c r="AG907" s="156" t="inlineStr">
        <is>
          <t>Catálogo existente</t>
        </is>
      </c>
      <c r="AH907"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7" s="156" t="inlineStr">
        <is>
          <t>Sí</t>
        </is>
      </c>
      <c r="AJ907" s="156" t="inlineStr">
        <is>
          <t>B25 CEDIS (-1)</t>
        </is>
      </c>
      <c r="AK907" s="155" t="inlineStr">
        <is>
          <t>Criterios: I [Q] | Shopify Stetson: producto 15227650244971 / variante 53791838503275 | Investigación en línea 06/10/2026: https://www.stetson.com/products/skyline-6x-usa-250-edition-sahara</t>
        </is>
      </c>
      <c r="AL907" s="58" t="n">
        <v>3071.25</v>
      </c>
      <c r="AM907" s="58" t="n">
        <v>7413.793103</v>
      </c>
      <c r="AN907" s="155" t="inlineStr">
        <is>
          <t>Shopify Stetson México</t>
        </is>
      </c>
      <c r="AO907" s="59" t="n">
        <v>0</v>
      </c>
      <c r="AP907" s="59" t="n"/>
      <c r="AQ907" s="59" t="n"/>
      <c r="AR907" s="155" t="n"/>
    </row>
    <row r="908">
      <c r="A908" s="50" t="inlineStr">
        <is>
          <t>195556169988</t>
        </is>
      </c>
      <c r="B908" s="51" t="inlineStr">
        <is>
          <t>117379</t>
        </is>
      </c>
      <c r="C908" s="156" t="inlineStr">
        <is>
          <t>Multimarca</t>
        </is>
      </c>
      <c r="D908" s="156" t="inlineStr">
        <is>
          <t>SFS250-754207</t>
        </is>
      </c>
      <c r="E908" s="156" t="inlineStr">
        <is>
          <t>SFS250-75420773</t>
        </is>
      </c>
      <c r="F908" s="156" t="inlineStr">
        <is>
          <t>7 3/8</t>
        </is>
      </c>
      <c r="G908" s="156" t="inlineStr">
        <is>
          <t>7 3/8</t>
        </is>
      </c>
      <c r="H908" s="156" t="inlineStr">
        <is>
          <t>Stetson</t>
        </is>
      </c>
      <c r="I908" s="156" t="inlineStr">
        <is>
          <t>Texana Stetson Saxon / Temple 6X Negro</t>
        </is>
      </c>
      <c r="J908" s="156" t="inlineStr">
        <is>
          <t>Accesorios</t>
        </is>
      </c>
      <c r="K908" s="156" t="inlineStr">
        <is>
          <t>Sombreros</t>
        </is>
      </c>
      <c r="L908" s="156" t="inlineStr">
        <is>
          <t>Unisex</t>
        </is>
      </c>
      <c r="M908" s="156" t="inlineStr">
        <is>
          <t>Stetson</t>
        </is>
      </c>
      <c r="N908" s="156" t="inlineStr">
        <is>
          <t>FW26</t>
        </is>
      </c>
      <c r="O908" s="156" t="inlineStr">
        <is>
          <t>Seasonal</t>
        </is>
      </c>
      <c r="P908" s="156" t="inlineStr">
        <is>
          <t>Negro</t>
        </is>
      </c>
      <c r="Q908" s="156" t="n"/>
      <c r="R908" s="156" t="inlineStr">
        <is>
          <t>Copa Cattleman</t>
        </is>
      </c>
      <c r="S908" s="156" t="inlineStr">
        <is>
          <t>100% pelo de conejo</t>
        </is>
      </c>
      <c r="T908"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8" s="156" t="inlineStr">
        <is>
          <t>Estados Unidos</t>
        </is>
      </c>
      <c r="V908" s="156" t="inlineStr">
        <is>
          <t>PZS</t>
        </is>
      </c>
      <c r="W908" s="51" t="inlineStr">
        <is>
          <t>53102503</t>
        </is>
      </c>
      <c r="X908" s="156" t="inlineStr">
        <is>
          <t>https://cdn.shopify.com/s/files/1/0357/2432/9005/files/SFS250-7542-07_Black_1.jpg?v=1777645763</t>
        </is>
      </c>
      <c r="Y908" s="54" t="n">
        <v>3071.25</v>
      </c>
      <c r="Z908" s="54" t="n">
        <v>7413.793103</v>
      </c>
      <c r="AA908" s="55">
        <f>IF(AND(A908="", B908="", E908=""), "", IF(AB908="", "Válido", IF((LEN(AB908)-LEN(SUBSTITUTE(AB908,"; ","")))/2+1&gt;(LEN(AB908)-LEN(SUBSTITUTE(AB908,"[Aviso]","")))/7, "Con Incidencias", "Válido")))</f>
        <v/>
      </c>
      <c r="AB908" s="56">
        <f>IF(AND(A908="", B908="", E908=""), "", TEXTJOIN("; ", TRUE, IF(OR(TRIM(A908&amp;"")="", ISNUMBER(SEARCH("FALTA", A908))), "UPC faltante/inválido", ""), IF(AND(A908&lt;&gt;"", IFERROR(_xlfn.XMATCH(A908,$A$2:$A$2509,0,1)&lt;&gt;_xlfn.XMATCH(A908,$A$2:$A$2509,0,-1),FALSE)), "Código de barras duplicado", ""), IF(AND(E908&lt;&gt;"", COUNTIF($E$2:$E$2509, E908)&gt;1), "SKU duplicado", ""), IF(OR(J908="", J908=""), "[Aviso] División no capturada ()", IF(ISNA(MATCH(J908, Criterios!$A$123:$A$126, 0)), "División no válida", "")), IF(OR(K908="", K908=""), "[Aviso] Categoría no capturada ()", IF(ISNA(MATCH(K908, Criterios!$A$81:$A$120, 0)), "Categoría no válida", IF(AND(J908&lt;&gt;"", J908&lt;&gt;"", J908&lt;&gt;VLOOKUP(K908, Criterios!$A$81:$B$120, 2, FALSE)), "División no coincide con Categoría", ""))), IF(OR(L908="", L908=""), "[Aviso] Género no capturado ()", IF(ISNA(MATCH(L908, Criterios!$B$123:$B$127, 0)), "Género no válido", "")), IF(OR(N908="", N908=""), "[Aviso] Temporada no capturada ()", IF(ISNA(MATCH(N908, Criterios!$C$123:$C$128, 0)), "Temporada no válida", "")), IF(OR(O908="", O908=""), "[Aviso] Ciclo de vida no capturado ()", IF(ISNA(MATCH(O908, Criterios!$D$123:$D$124, 0)), "Ciclo de vida no válido", ""))))</f>
        <v/>
      </c>
      <c r="AC908" s="56" t="n"/>
      <c r="AD908" s="51" t="n">
        <v>-2</v>
      </c>
      <c r="AE908" s="156" t="n"/>
      <c r="AF908" s="51" t="n">
        <v>0</v>
      </c>
      <c r="AG908" s="156" t="inlineStr">
        <is>
          <t>Catálogo existente</t>
        </is>
      </c>
      <c r="AH908"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8" s="156" t="inlineStr">
        <is>
          <t>Sí</t>
        </is>
      </c>
      <c r="AJ908" s="156" t="inlineStr">
        <is>
          <t>B25 CEDIS (-1); PUNTO DE VENTA (-1)</t>
        </is>
      </c>
      <c r="AK908" s="155" t="inlineStr">
        <is>
          <t>Criterios: I [Q] | Shopify Stetson: producto 15227650113899 / variante 53791838110059 | Investigación en línea 06/10/2026: https://www.stetson.com/products/skyline-6x-usa-250-edition-black</t>
        </is>
      </c>
      <c r="AL908" s="58" t="n">
        <v>3071.25</v>
      </c>
      <c r="AM908" s="58" t="n">
        <v>7413.793103</v>
      </c>
      <c r="AN908" s="155" t="inlineStr">
        <is>
          <t>Shopify Stetson México</t>
        </is>
      </c>
      <c r="AO908" s="59" t="n">
        <v>0</v>
      </c>
      <c r="AP908" s="59" t="n"/>
      <c r="AQ908" s="59" t="n"/>
      <c r="AR908" s="155" t="n"/>
    </row>
    <row r="909">
      <c r="A909" s="50" t="inlineStr">
        <is>
          <t>195556169995</t>
        </is>
      </c>
      <c r="B909" s="51" t="inlineStr">
        <is>
          <t>117384</t>
        </is>
      </c>
      <c r="C909" s="156" t="inlineStr">
        <is>
          <t>Multimarca</t>
        </is>
      </c>
      <c r="D909" s="156" t="inlineStr">
        <is>
          <t>SFS250-754261</t>
        </is>
      </c>
      <c r="E909" s="156" t="inlineStr">
        <is>
          <t>SFS250-75426173</t>
        </is>
      </c>
      <c r="F909" s="156" t="inlineStr">
        <is>
          <t>7 3/8</t>
        </is>
      </c>
      <c r="G909" s="156" t="inlineStr">
        <is>
          <t>7 3/8</t>
        </is>
      </c>
      <c r="H909" s="156" t="inlineStr">
        <is>
          <t>Stetson</t>
        </is>
      </c>
      <c r="I909" s="156" t="inlineStr">
        <is>
          <t>Texana Stetson Saxon / Temple 6X Gris</t>
        </is>
      </c>
      <c r="J909" s="156" t="inlineStr">
        <is>
          <t>Accesorios</t>
        </is>
      </c>
      <c r="K909" s="156" t="inlineStr">
        <is>
          <t>Sombreros</t>
        </is>
      </c>
      <c r="L909" s="156" t="inlineStr">
        <is>
          <t>Unisex</t>
        </is>
      </c>
      <c r="M909" s="156" t="inlineStr">
        <is>
          <t>Stetson</t>
        </is>
      </c>
      <c r="N909" s="156" t="inlineStr">
        <is>
          <t>FW26</t>
        </is>
      </c>
      <c r="O909" s="156" t="inlineStr">
        <is>
          <t>Seasonal</t>
        </is>
      </c>
      <c r="P909" s="156" t="inlineStr">
        <is>
          <t>Gris</t>
        </is>
      </c>
      <c r="Q909" s="156" t="n"/>
      <c r="R909" s="156" t="inlineStr">
        <is>
          <t>Copa Cattleman</t>
        </is>
      </c>
      <c r="S909" s="156" t="inlineStr">
        <is>
          <t>100% pelo de conejo</t>
        </is>
      </c>
      <c r="T909"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9" s="156" t="inlineStr">
        <is>
          <t>Estados Unidos</t>
        </is>
      </c>
      <c r="V909" s="156" t="inlineStr">
        <is>
          <t>PZS</t>
        </is>
      </c>
      <c r="W909" s="51" t="inlineStr">
        <is>
          <t>53102503</t>
        </is>
      </c>
      <c r="X909" s="156" t="inlineStr">
        <is>
          <t>https://cdn.shopify.com/s/files/1/0357/2432/9005/files/SFS250-7542-61_Silverbelly_1.jpg?v=1777645385</t>
        </is>
      </c>
      <c r="Y909" s="54" t="n">
        <v>3071.25</v>
      </c>
      <c r="Z909" s="54" t="n">
        <v>7413.793103</v>
      </c>
      <c r="AA909" s="55">
        <f>IF(AND(A909="", B909="", E909=""), "", IF(AB909="", "Válido", IF((LEN(AB909)-LEN(SUBSTITUTE(AB909,"; ","")))/2+1&gt;(LEN(AB909)-LEN(SUBSTITUTE(AB909,"[Aviso]","")))/7, "Con Incidencias", "Válido")))</f>
        <v/>
      </c>
      <c r="AB909" s="56">
        <f>IF(AND(A909="", B909="", E909=""), "", TEXTJOIN("; ", TRUE, IF(OR(TRIM(A909&amp;"")="", ISNUMBER(SEARCH("FALTA", A909))), "UPC faltante/inválido", ""), IF(AND(A909&lt;&gt;"", IFERROR(_xlfn.XMATCH(A909,$A$2:$A$2509,0,1)&lt;&gt;_xlfn.XMATCH(A909,$A$2:$A$2509,0,-1),FALSE)), "Código de barras duplicado", ""), IF(AND(E909&lt;&gt;"", COUNTIF($E$2:$E$2509, E909)&gt;1), "SKU duplicado", ""), IF(OR(J909="", J909=""), "[Aviso] División no capturada ()", IF(ISNA(MATCH(J909, Criterios!$A$123:$A$126, 0)), "División no válida", "")), IF(OR(K909="", K909=""), "[Aviso] Categoría no capturada ()", IF(ISNA(MATCH(K909, Criterios!$A$81:$A$120, 0)), "Categoría no válida", IF(AND(J909&lt;&gt;"", J909&lt;&gt;"", J909&lt;&gt;VLOOKUP(K909, Criterios!$A$81:$B$120, 2, FALSE)), "División no coincide con Categoría", ""))), IF(OR(L909="", L909=""), "[Aviso] Género no capturado ()", IF(ISNA(MATCH(L909, Criterios!$B$123:$B$127, 0)), "Género no válido", "")), IF(OR(N909="", N909=""), "[Aviso] Temporada no capturada ()", IF(ISNA(MATCH(N909, Criterios!$C$123:$C$128, 0)), "Temporada no válida", "")), IF(OR(O909="", O909=""), "[Aviso] Ciclo de vida no capturado ()", IF(ISNA(MATCH(O909, Criterios!$D$123:$D$124, 0)), "Ciclo de vida no válido", ""))))</f>
        <v/>
      </c>
      <c r="AC909" s="56" t="n"/>
      <c r="AD909" s="51" t="n">
        <v>0</v>
      </c>
      <c r="AE909" s="156" t="inlineStr">
        <is>
          <t>STETSON AMERICAS (1)</t>
        </is>
      </c>
      <c r="AF909" s="51" t="n">
        <v>1</v>
      </c>
      <c r="AG909" s="156" t="inlineStr">
        <is>
          <t>Catálogo existente</t>
        </is>
      </c>
      <c r="AH909"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9" s="156" t="inlineStr">
        <is>
          <t>Sí</t>
        </is>
      </c>
      <c r="AJ909" s="156" t="inlineStr">
        <is>
          <t>B25 CEDIS (-1)</t>
        </is>
      </c>
      <c r="AK909" s="155" t="inlineStr">
        <is>
          <t>Criterios: I [Q] | Shopify Stetson: producto 15227650179435 / variante 53791838372203 | Investigación en línea 06/10/2026: https://www.stetson.com/products/skyline-6x-usa-250-edition-silverbelly</t>
        </is>
      </c>
      <c r="AL909" s="58" t="n">
        <v>3071.25</v>
      </c>
      <c r="AM909" s="58" t="n">
        <v>7413.793103</v>
      </c>
      <c r="AN909" s="155" t="inlineStr">
        <is>
          <t>Shopify Stetson México</t>
        </is>
      </c>
      <c r="AO909" s="59" t="n">
        <v>1</v>
      </c>
      <c r="AP909" s="59" t="n"/>
      <c r="AQ909" s="59" t="n"/>
      <c r="AR909" s="155" t="inlineStr">
        <is>
          <t>Shopify Stetson México › Stetson Americas: 1</t>
        </is>
      </c>
    </row>
    <row r="910">
      <c r="A910" s="50" t="inlineStr">
        <is>
          <t>195556170014</t>
        </is>
      </c>
      <c r="B910" s="51" t="inlineStr">
        <is>
          <t>117380</t>
        </is>
      </c>
      <c r="C910" s="156" t="inlineStr">
        <is>
          <t>Multimarca</t>
        </is>
      </c>
      <c r="D910" s="156" t="inlineStr">
        <is>
          <t>SFS250-754207</t>
        </is>
      </c>
      <c r="E910" s="156" t="inlineStr">
        <is>
          <t>SFS250-75420774</t>
        </is>
      </c>
      <c r="F910" s="156" t="inlineStr">
        <is>
          <t>7 1/2</t>
        </is>
      </c>
      <c r="G910" s="156" t="inlineStr">
        <is>
          <t>7 1/2</t>
        </is>
      </c>
      <c r="H910" s="156" t="inlineStr">
        <is>
          <t>Stetson</t>
        </is>
      </c>
      <c r="I910" s="156" t="inlineStr">
        <is>
          <t>Texana Stetson Saxon / Temple 6X Negro</t>
        </is>
      </c>
      <c r="J910" s="156" t="inlineStr">
        <is>
          <t>Accesorios</t>
        </is>
      </c>
      <c r="K910" s="156" t="inlineStr">
        <is>
          <t>Sombreros</t>
        </is>
      </c>
      <c r="L910" s="156" t="inlineStr">
        <is>
          <t>Unisex</t>
        </is>
      </c>
      <c r="M910" s="156" t="inlineStr">
        <is>
          <t>Stetson</t>
        </is>
      </c>
      <c r="N910" s="156" t="inlineStr">
        <is>
          <t>FW26</t>
        </is>
      </c>
      <c r="O910" s="156" t="inlineStr">
        <is>
          <t>Seasonal</t>
        </is>
      </c>
      <c r="P910" s="156" t="inlineStr">
        <is>
          <t>Negro</t>
        </is>
      </c>
      <c r="Q910" s="156" t="n"/>
      <c r="R910" s="156" t="inlineStr">
        <is>
          <t>Copa Cattleman</t>
        </is>
      </c>
      <c r="S910" s="156" t="inlineStr">
        <is>
          <t>100% pelo de conejo</t>
        </is>
      </c>
      <c r="T910"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10" s="156" t="inlineStr">
        <is>
          <t>Estados Unidos</t>
        </is>
      </c>
      <c r="V910" s="156" t="inlineStr">
        <is>
          <t>PZS</t>
        </is>
      </c>
      <c r="W910" s="51" t="inlineStr">
        <is>
          <t>53102503</t>
        </is>
      </c>
      <c r="X910" s="156" t="inlineStr">
        <is>
          <t>https://cdn.shopify.com/s/files/1/0357/2432/9005/files/SFS250-7542-07_Black_1.jpg?v=1777645763</t>
        </is>
      </c>
      <c r="Y910" s="54" t="n">
        <v>3071.25</v>
      </c>
      <c r="Z910" s="54" t="n">
        <v>7413.793103</v>
      </c>
      <c r="AA910" s="55">
        <f>IF(AND(A910="", B910="", E910=""), "", IF(AB910="", "Válido", IF((LEN(AB910)-LEN(SUBSTITUTE(AB910,"; ","")))/2+1&gt;(LEN(AB910)-LEN(SUBSTITUTE(AB910,"[Aviso]","")))/7, "Con Incidencias", "Válido")))</f>
        <v/>
      </c>
      <c r="AB910" s="56">
        <f>IF(AND(A910="", B910="", E910=""), "", TEXTJOIN("; ", TRUE, IF(OR(TRIM(A910&amp;"")="", ISNUMBER(SEARCH("FALTA", A910))), "UPC faltante/inválido", ""), IF(AND(A910&lt;&gt;"", IFERROR(_xlfn.XMATCH(A910,$A$2:$A$2509,0,1)&lt;&gt;_xlfn.XMATCH(A910,$A$2:$A$2509,0,-1),FALSE)), "Código de barras duplicado", ""), IF(AND(E910&lt;&gt;"", COUNTIF($E$2:$E$2509, E910)&gt;1), "SKU duplicado", ""), IF(OR(J910="", J910=""), "[Aviso] División no capturada ()", IF(ISNA(MATCH(J910, Criterios!$A$123:$A$126, 0)), "División no válida", "")), IF(OR(K910="", K910=""), "[Aviso] Categoría no capturada ()", IF(ISNA(MATCH(K910, Criterios!$A$81:$A$120, 0)), "Categoría no válida", IF(AND(J910&lt;&gt;"", J910&lt;&gt;"", J910&lt;&gt;VLOOKUP(K910, Criterios!$A$81:$B$120, 2, FALSE)), "División no coincide con Categoría", ""))), IF(OR(L910="", L910=""), "[Aviso] Género no capturado ()", IF(ISNA(MATCH(L910, Criterios!$B$123:$B$127, 0)), "Género no válido", "")), IF(OR(N910="", N910=""), "[Aviso] Temporada no capturada ()", IF(ISNA(MATCH(N910, Criterios!$C$123:$C$128, 0)), "Temporada no válida", "")), IF(OR(O910="", O910=""), "[Aviso] Ciclo de vida no capturado ()", IF(ISNA(MATCH(O910, Criterios!$D$123:$D$124, 0)), "Ciclo de vida no válido", ""))))</f>
        <v/>
      </c>
      <c r="AC910" s="56" t="n"/>
      <c r="AD910" s="51" t="n">
        <v>0</v>
      </c>
      <c r="AE910" s="156" t="inlineStr">
        <is>
          <t>STETSON AMERICAS (1)</t>
        </is>
      </c>
      <c r="AF910" s="51" t="n">
        <v>1</v>
      </c>
      <c r="AG910" s="156" t="inlineStr">
        <is>
          <t>Catálogo existente</t>
        </is>
      </c>
      <c r="AH910" s="156" t="inlineStr">
        <is>
          <t>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10" s="156" t="inlineStr">
        <is>
          <t>Sí</t>
        </is>
      </c>
      <c r="AJ910" s="156" t="inlineStr">
        <is>
          <t>B25 CEDIS (-1)</t>
        </is>
      </c>
      <c r="AK910" s="155" t="inlineStr">
        <is>
          <t>Criterios: I [Q] | Shopify Stetson: producto 15227650113899 / variante 53791838142827 | Investigación en línea 06/10/2026: https://www.stetson.com/products/skyline-6x-usa-250-edition-black</t>
        </is>
      </c>
      <c r="AL910" s="58" t="n">
        <v>3071.25</v>
      </c>
      <c r="AM910" s="58" t="n">
        <v>7413.793103</v>
      </c>
      <c r="AN910" s="155" t="inlineStr">
        <is>
          <t>Shopify Stetson México</t>
        </is>
      </c>
      <c r="AO910" s="59" t="n">
        <v>1</v>
      </c>
      <c r="AP910" s="59" t="n"/>
      <c r="AQ910" s="59" t="n"/>
      <c r="AR910" s="155" t="inlineStr">
        <is>
          <t>Shopify Stetson México › Stetson Americas: 1</t>
        </is>
      </c>
    </row>
    <row r="911">
      <c r="A911" s="50" t="inlineStr">
        <is>
          <t>195556170120</t>
        </is>
      </c>
      <c r="B911" s="51" t="inlineStr">
        <is>
          <t>117364</t>
        </is>
      </c>
      <c r="C911" s="156" t="inlineStr">
        <is>
          <t>Multimarca</t>
        </is>
      </c>
      <c r="D911" s="156" t="inlineStr">
        <is>
          <t>SFO250B052661</t>
        </is>
      </c>
      <c r="E911" s="156" t="inlineStr">
        <is>
          <t>SFO250B05266167</t>
        </is>
      </c>
      <c r="F911" s="156" t="inlineStr">
        <is>
          <t>6 7/8</t>
        </is>
      </c>
      <c r="G911" s="156" t="inlineStr">
        <is>
          <t>6 7/8</t>
        </is>
      </c>
      <c r="H911" s="156" t="inlineStr">
        <is>
          <t>Stetson</t>
        </is>
      </c>
      <c r="I911" s="156" t="inlineStr">
        <is>
          <t>Texana Stetson Open Road 6X Gris</t>
        </is>
      </c>
      <c r="J911" s="156" t="inlineStr">
        <is>
          <t>Accesorios</t>
        </is>
      </c>
      <c r="K911" s="156" t="inlineStr">
        <is>
          <t>Sombreros</t>
        </is>
      </c>
      <c r="L911" s="156" t="inlineStr">
        <is>
          <t>Unisex</t>
        </is>
      </c>
      <c r="M911" s="156" t="inlineStr">
        <is>
          <t>Stetson</t>
        </is>
      </c>
      <c r="N911" s="156" t="inlineStr">
        <is>
          <t>FW26</t>
        </is>
      </c>
      <c r="O911" s="156" t="inlineStr">
        <is>
          <t>Seasonal</t>
        </is>
      </c>
      <c r="P911" s="156" t="inlineStr">
        <is>
          <t>Gris</t>
        </is>
      </c>
      <c r="Q911" s="156" t="n"/>
      <c r="R911" s="156" t="inlineStr">
        <is>
          <t>Copa Open Road</t>
        </is>
      </c>
      <c r="S911" s="156" t="inlineStr">
        <is>
          <t>100% pelo de conejo</t>
        </is>
      </c>
      <c r="T911"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1" s="156" t="inlineStr">
        <is>
          <t>Estados Unidos</t>
        </is>
      </c>
      <c r="V911" s="156" t="inlineStr">
        <is>
          <t>PZS</t>
        </is>
      </c>
      <c r="W911" s="51" t="inlineStr">
        <is>
          <t>53102503</t>
        </is>
      </c>
      <c r="X911" s="156" t="inlineStr">
        <is>
          <t>https://cdn.shopify.com/s/files/1/0357/2432/9005/files/SFO250B0526-61_Silverbelly_1.jpg?v=1777646636</t>
        </is>
      </c>
      <c r="Y911" s="54" t="n">
        <v>3071.25</v>
      </c>
      <c r="Z911" s="54" t="n">
        <v>7413.793103</v>
      </c>
      <c r="AA911" s="55">
        <f>IF(AND(A911="", B911="", E911=""), "", IF(AB911="", "Válido", IF((LEN(AB911)-LEN(SUBSTITUTE(AB911,"; ","")))/2+1&gt;(LEN(AB911)-LEN(SUBSTITUTE(AB911,"[Aviso]","")))/7, "Con Incidencias", "Válido")))</f>
        <v/>
      </c>
      <c r="AB911" s="56">
        <f>IF(AND(A911="", B911="", E911=""), "", TEXTJOIN("; ", TRUE, IF(OR(TRIM(A911&amp;"")="", ISNUMBER(SEARCH("FALTA", A911))), "UPC faltante/inválido", ""), IF(AND(A911&lt;&gt;"", IFERROR(_xlfn.XMATCH(A911,$A$2:$A$2509,0,1)&lt;&gt;_xlfn.XMATCH(A911,$A$2:$A$2509,0,-1),FALSE)), "Código de barras duplicado", ""), IF(AND(E911&lt;&gt;"", COUNTIF($E$2:$E$2509, E911)&gt;1), "SKU duplicado", ""), IF(OR(J911="", J911=""), "[Aviso] División no capturada ()", IF(ISNA(MATCH(J911, Criterios!$A$123:$A$126, 0)), "División no válida", "")), IF(OR(K911="", K911=""), "[Aviso] Categoría no capturada ()", IF(ISNA(MATCH(K911, Criterios!$A$81:$A$120, 0)), "Categoría no válida", IF(AND(J911&lt;&gt;"", J911&lt;&gt;"", J911&lt;&gt;VLOOKUP(K911, Criterios!$A$81:$B$120, 2, FALSE)), "División no coincide con Categoría", ""))), IF(OR(L911="", L911=""), "[Aviso] Género no capturado ()", IF(ISNA(MATCH(L911, Criterios!$B$123:$B$127, 0)), "Género no válido", "")), IF(OR(N911="", N911=""), "[Aviso] Temporada no capturada ()", IF(ISNA(MATCH(N911, Criterios!$C$123:$C$128, 0)), "Temporada no válida", "")), IF(OR(O911="", O911=""), "[Aviso] Ciclo de vida no capturado ()", IF(ISNA(MATCH(O911, Criterios!$D$123:$D$124, 0)), "Ciclo de vida no válido", ""))))</f>
        <v/>
      </c>
      <c r="AC911" s="56" t="n"/>
      <c r="AD911" s="51" t="n">
        <v>0</v>
      </c>
      <c r="AE911" s="156" t="inlineStr">
        <is>
          <t>STETSON AMERICAS (1)</t>
        </is>
      </c>
      <c r="AF911" s="51" t="n">
        <v>1</v>
      </c>
      <c r="AG911" s="156" t="inlineStr">
        <is>
          <t>Catálogo existente</t>
        </is>
      </c>
      <c r="AH911"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1" s="156" t="inlineStr">
        <is>
          <t>Sí</t>
        </is>
      </c>
      <c r="AJ911" s="156" t="inlineStr">
        <is>
          <t>B25 CEDIS (-1)</t>
        </is>
      </c>
      <c r="AK911" s="155" t="inlineStr">
        <is>
          <t>Criterios: I [Q] | Shopify Stetson: producto 15227649950059 / variante 53791837356395 | Investigación en línea 06/10/2026: https://www.stetson.com/products/open-road-6x-usa-250-edition-silverbelly</t>
        </is>
      </c>
      <c r="AL911" s="58" t="n">
        <v>3071.25</v>
      </c>
      <c r="AM911" s="58" t="n">
        <v>7413.793103</v>
      </c>
      <c r="AN911" s="155" t="inlineStr">
        <is>
          <t>Shopify Stetson México</t>
        </is>
      </c>
      <c r="AO911" s="59" t="n">
        <v>1</v>
      </c>
      <c r="AP911" s="59" t="n"/>
      <c r="AQ911" s="59" t="n"/>
      <c r="AR911" s="155" t="inlineStr">
        <is>
          <t>Shopify Stetson México › Stetson Americas: 1</t>
        </is>
      </c>
    </row>
    <row r="912">
      <c r="A912" s="50" t="inlineStr">
        <is>
          <t>195556170137</t>
        </is>
      </c>
      <c r="B912" s="51" t="inlineStr">
        <is>
          <t>117368</t>
        </is>
      </c>
      <c r="C912" s="156" t="inlineStr">
        <is>
          <t>Multimarca</t>
        </is>
      </c>
      <c r="D912" s="156" t="inlineStr">
        <is>
          <t>SFO250B052662</t>
        </is>
      </c>
      <c r="E912" s="156" t="inlineStr">
        <is>
          <t>SFO250B05266267</t>
        </is>
      </c>
      <c r="F912" s="156" t="inlineStr">
        <is>
          <t>6 7/8</t>
        </is>
      </c>
      <c r="G912" s="156" t="inlineStr">
        <is>
          <t>6 7/8</t>
        </is>
      </c>
      <c r="H912" s="156" t="inlineStr">
        <is>
          <t>Stetson</t>
        </is>
      </c>
      <c r="I912" s="156" t="inlineStr">
        <is>
          <t>Texana Stetson Open Road 6X Cafe</t>
        </is>
      </c>
      <c r="J912" s="156" t="inlineStr">
        <is>
          <t>Accesorios</t>
        </is>
      </c>
      <c r="K912" s="156" t="inlineStr">
        <is>
          <t>Sombreros</t>
        </is>
      </c>
      <c r="L912" s="156" t="inlineStr">
        <is>
          <t>Unisex</t>
        </is>
      </c>
      <c r="M912" s="156" t="inlineStr">
        <is>
          <t>Stetson</t>
        </is>
      </c>
      <c r="N912" s="156" t="inlineStr">
        <is>
          <t>FW26</t>
        </is>
      </c>
      <c r="O912" s="156" t="inlineStr">
        <is>
          <t>Seasonal</t>
        </is>
      </c>
      <c r="P912" s="156" t="inlineStr">
        <is>
          <t>Cafe</t>
        </is>
      </c>
      <c r="Q912" s="156" t="n"/>
      <c r="R912" s="156" t="inlineStr">
        <is>
          <t>Copa Open Road</t>
        </is>
      </c>
      <c r="S912" s="156" t="inlineStr">
        <is>
          <t>100% pelo de conejo</t>
        </is>
      </c>
      <c r="T912"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2" s="156" t="inlineStr">
        <is>
          <t>Estados Unidos</t>
        </is>
      </c>
      <c r="V912" s="156" t="inlineStr">
        <is>
          <t>PZS</t>
        </is>
      </c>
      <c r="W912" s="51" t="inlineStr">
        <is>
          <t>53102503</t>
        </is>
      </c>
      <c r="X912" s="156" t="inlineStr">
        <is>
          <t>https://cdn.shopify.com/s/files/1/0357/2432/9005/files/SFO250B0526-62_Fawn_1.jpg?v=1777646287</t>
        </is>
      </c>
      <c r="Y912" s="54" t="n">
        <v>3071.25</v>
      </c>
      <c r="Z912" s="54" t="n">
        <v>7413.793103</v>
      </c>
      <c r="AA912" s="55">
        <f>IF(AND(A912="", B912="", E912=""), "", IF(AB912="", "Válido", IF((LEN(AB912)-LEN(SUBSTITUTE(AB912,"; ","")))/2+1&gt;(LEN(AB912)-LEN(SUBSTITUTE(AB912,"[Aviso]","")))/7, "Con Incidencias", "Válido")))</f>
        <v/>
      </c>
      <c r="AB912" s="56">
        <f>IF(AND(A912="", B912="", E912=""), "", TEXTJOIN("; ", TRUE, IF(OR(TRIM(A912&amp;"")="", ISNUMBER(SEARCH("FALTA", A912))), "UPC faltante/inválido", ""), IF(AND(A912&lt;&gt;"", IFERROR(_xlfn.XMATCH(A912,$A$2:$A$2509,0,1)&lt;&gt;_xlfn.XMATCH(A912,$A$2:$A$2509,0,-1),FALSE)), "Código de barras duplicado", ""), IF(AND(E912&lt;&gt;"", COUNTIF($E$2:$E$2509, E912)&gt;1), "SKU duplicado", ""), IF(OR(J912="", J912=""), "[Aviso] División no capturada ()", IF(ISNA(MATCH(J912, Criterios!$A$123:$A$126, 0)), "División no válida", "")), IF(OR(K912="", K912=""), "[Aviso] Categoría no capturada ()", IF(ISNA(MATCH(K912, Criterios!$A$81:$A$120, 0)), "Categoría no válida", IF(AND(J912&lt;&gt;"", J912&lt;&gt;"", J912&lt;&gt;VLOOKUP(K912, Criterios!$A$81:$B$120, 2, FALSE)), "División no coincide con Categoría", ""))), IF(OR(L912="", L912=""), "[Aviso] Género no capturado ()", IF(ISNA(MATCH(L912, Criterios!$B$123:$B$127, 0)), "Género no válido", "")), IF(OR(N912="", N912=""), "[Aviso] Temporada no capturada ()", IF(ISNA(MATCH(N912, Criterios!$C$123:$C$128, 0)), "Temporada no válida", "")), IF(OR(O912="", O912=""), "[Aviso] Ciclo de vida no capturado ()", IF(ISNA(MATCH(O912, Criterios!$D$123:$D$124, 0)), "Ciclo de vida no válido", ""))))</f>
        <v/>
      </c>
      <c r="AC912" s="56" t="n"/>
      <c r="AD912" s="51" t="n">
        <v>0</v>
      </c>
      <c r="AE912" s="156" t="inlineStr">
        <is>
          <t>STETSON AMERICAS (1)</t>
        </is>
      </c>
      <c r="AF912" s="51" t="n">
        <v>1</v>
      </c>
      <c r="AG912" s="156" t="inlineStr">
        <is>
          <t>Catálogo existente</t>
        </is>
      </c>
      <c r="AH912"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2" s="156" t="inlineStr">
        <is>
          <t>Sí</t>
        </is>
      </c>
      <c r="AJ912" s="156" t="inlineStr">
        <is>
          <t>B25 CEDIS (-1)</t>
        </is>
      </c>
      <c r="AK912" s="155" t="inlineStr">
        <is>
          <t>Criterios: I [Q] | Shopify Stetson: producto 15227649982827 / variante 53791837585771 | Investigación en línea 06/10/2026: https://www.stetson.com/products/open-road-6x-usa-250-edition-fawn</t>
        </is>
      </c>
      <c r="AL912" s="58" t="n">
        <v>3071.25</v>
      </c>
      <c r="AM912" s="58" t="n">
        <v>7413.793103</v>
      </c>
      <c r="AN912" s="155" t="inlineStr">
        <is>
          <t>Shopify Stetson México</t>
        </is>
      </c>
      <c r="AO912" s="59" t="n">
        <v>1</v>
      </c>
      <c r="AP912" s="59" t="n"/>
      <c r="AQ912" s="59" t="n"/>
      <c r="AR912" s="155" t="inlineStr">
        <is>
          <t>Shopify Stetson México › Stetson Americas: 1</t>
        </is>
      </c>
    </row>
    <row r="913">
      <c r="A913" s="50" t="inlineStr">
        <is>
          <t>195556170144</t>
        </is>
      </c>
      <c r="B913" s="51" t="inlineStr">
        <is>
          <t>117365</t>
        </is>
      </c>
      <c r="C913" s="156" t="inlineStr">
        <is>
          <t>Multimarca</t>
        </is>
      </c>
      <c r="D913" s="156" t="inlineStr">
        <is>
          <t>SFO250B052661</t>
        </is>
      </c>
      <c r="E913" s="156" t="inlineStr">
        <is>
          <t>SFO250B05266170</t>
        </is>
      </c>
      <c r="F913" s="156" t="inlineStr">
        <is>
          <t>7</t>
        </is>
      </c>
      <c r="G913" s="156" t="inlineStr">
        <is>
          <t>7</t>
        </is>
      </c>
      <c r="H913" s="156" t="inlineStr">
        <is>
          <t>Stetson</t>
        </is>
      </c>
      <c r="I913" s="156" t="inlineStr">
        <is>
          <t>Texana Stetson Open Road 6X Gris</t>
        </is>
      </c>
      <c r="J913" s="156" t="inlineStr">
        <is>
          <t>Accesorios</t>
        </is>
      </c>
      <c r="K913" s="156" t="inlineStr">
        <is>
          <t>Sombreros</t>
        </is>
      </c>
      <c r="L913" s="156" t="inlineStr">
        <is>
          <t>Unisex</t>
        </is>
      </c>
      <c r="M913" s="156" t="inlineStr">
        <is>
          <t>Stetson</t>
        </is>
      </c>
      <c r="N913" s="156" t="inlineStr">
        <is>
          <t>FW26</t>
        </is>
      </c>
      <c r="O913" s="156" t="inlineStr">
        <is>
          <t>Seasonal</t>
        </is>
      </c>
      <c r="P913" s="156" t="inlineStr">
        <is>
          <t>Gris</t>
        </is>
      </c>
      <c r="Q913" s="156" t="n"/>
      <c r="R913" s="156" t="inlineStr">
        <is>
          <t>Copa Open Road</t>
        </is>
      </c>
      <c r="S913" s="156" t="inlineStr">
        <is>
          <t>100% pelo de conejo</t>
        </is>
      </c>
      <c r="T913"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3" s="156" t="inlineStr">
        <is>
          <t>Estados Unidos</t>
        </is>
      </c>
      <c r="V913" s="156" t="inlineStr">
        <is>
          <t>PZS</t>
        </is>
      </c>
      <c r="W913" s="51" t="inlineStr">
        <is>
          <t>53102503</t>
        </is>
      </c>
      <c r="X913" s="156" t="inlineStr">
        <is>
          <t>https://cdn.shopify.com/s/files/1/0357/2432/9005/files/SFO250B0526-61_Silverbelly_1.jpg?v=1777646636</t>
        </is>
      </c>
      <c r="Y913" s="54" t="n">
        <v>3071.25</v>
      </c>
      <c r="Z913" s="54" t="n">
        <v>7413.793103</v>
      </c>
      <c r="AA913" s="55">
        <f>IF(AND(A913="", B913="", E913=""), "", IF(AB913="", "Válido", IF((LEN(AB913)-LEN(SUBSTITUTE(AB913,"; ","")))/2+1&gt;(LEN(AB913)-LEN(SUBSTITUTE(AB913,"[Aviso]","")))/7, "Con Incidencias", "Válido")))</f>
        <v/>
      </c>
      <c r="AB913" s="56">
        <f>IF(AND(A913="", B913="", E913=""), "", TEXTJOIN("; ", TRUE, IF(OR(TRIM(A913&amp;"")="", ISNUMBER(SEARCH("FALTA", A913))), "UPC faltante/inválido", ""), IF(AND(A913&lt;&gt;"", IFERROR(_xlfn.XMATCH(A913,$A$2:$A$2509,0,1)&lt;&gt;_xlfn.XMATCH(A913,$A$2:$A$2509,0,-1),FALSE)), "Código de barras duplicado", ""), IF(AND(E913&lt;&gt;"", COUNTIF($E$2:$E$2509, E913)&gt;1), "SKU duplicado", ""), IF(OR(J913="", J913=""), "[Aviso] División no capturada ()", IF(ISNA(MATCH(J913, Criterios!$A$123:$A$126, 0)), "División no válida", "")), IF(OR(K913="", K913=""), "[Aviso] Categoría no capturada ()", IF(ISNA(MATCH(K913, Criterios!$A$81:$A$120, 0)), "Categoría no válida", IF(AND(J913&lt;&gt;"", J913&lt;&gt;"", J913&lt;&gt;VLOOKUP(K913, Criterios!$A$81:$B$120, 2, FALSE)), "División no coincide con Categoría", ""))), IF(OR(L913="", L913=""), "[Aviso] Género no capturado ()", IF(ISNA(MATCH(L913, Criterios!$B$123:$B$127, 0)), "Género no válido", "")), IF(OR(N913="", N913=""), "[Aviso] Temporada no capturada ()", IF(ISNA(MATCH(N913, Criterios!$C$123:$C$128, 0)), "Temporada no válida", "")), IF(OR(O913="", O913=""), "[Aviso] Ciclo de vida no capturado ()", IF(ISNA(MATCH(O913, Criterios!$D$123:$D$124, 0)), "Ciclo de vida no válido", ""))))</f>
        <v/>
      </c>
      <c r="AC913" s="56" t="n"/>
      <c r="AD913" s="51" t="n">
        <v>0</v>
      </c>
      <c r="AE913" s="156" t="inlineStr">
        <is>
          <t>STETSON AMERICAS (1)</t>
        </is>
      </c>
      <c r="AF913" s="51" t="n">
        <v>1</v>
      </c>
      <c r="AG913" s="156" t="inlineStr">
        <is>
          <t>Catálogo existente</t>
        </is>
      </c>
      <c r="AH913"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3" s="156" t="inlineStr">
        <is>
          <t>Sí</t>
        </is>
      </c>
      <c r="AJ913" s="156" t="inlineStr">
        <is>
          <t>B25 CEDIS (-1)</t>
        </is>
      </c>
      <c r="AK913" s="155" t="inlineStr">
        <is>
          <t>Criterios: I [Q] | Shopify Stetson: producto 15227649950059 / variante 53791837389163 | Investigación en línea 06/10/2026: https://www.stetson.com/products/open-road-6x-usa-250-edition-silverbelly</t>
        </is>
      </c>
      <c r="AL913" s="58" t="n">
        <v>3071.25</v>
      </c>
      <c r="AM913" s="58" t="n">
        <v>7413.793103</v>
      </c>
      <c r="AN913" s="155" t="inlineStr">
        <is>
          <t>Shopify Stetson México</t>
        </is>
      </c>
      <c r="AO913" s="59" t="n">
        <v>1</v>
      </c>
      <c r="AP913" s="59" t="n"/>
      <c r="AQ913" s="59" t="n"/>
      <c r="AR913" s="155" t="inlineStr">
        <is>
          <t>Shopify Stetson México › Stetson Americas: 1</t>
        </is>
      </c>
    </row>
    <row r="914">
      <c r="A914" s="50" t="inlineStr">
        <is>
          <t>195556170151</t>
        </is>
      </c>
      <c r="B914" s="51" t="inlineStr">
        <is>
          <t>117369</t>
        </is>
      </c>
      <c r="C914" s="156" t="inlineStr">
        <is>
          <t>Multimarca</t>
        </is>
      </c>
      <c r="D914" s="156" t="inlineStr">
        <is>
          <t>SFO250B052662</t>
        </is>
      </c>
      <c r="E914" s="156" t="inlineStr">
        <is>
          <t>SFO250B05266270</t>
        </is>
      </c>
      <c r="F914" s="156" t="inlineStr">
        <is>
          <t>7</t>
        </is>
      </c>
      <c r="G914" s="156" t="inlineStr">
        <is>
          <t>7</t>
        </is>
      </c>
      <c r="H914" s="156" t="inlineStr">
        <is>
          <t>Stetson</t>
        </is>
      </c>
      <c r="I914" s="156" t="inlineStr">
        <is>
          <t>Texana Stetson Open Road 6X Cafe</t>
        </is>
      </c>
      <c r="J914" s="156" t="inlineStr">
        <is>
          <t>Accesorios</t>
        </is>
      </c>
      <c r="K914" s="156" t="inlineStr">
        <is>
          <t>Sombreros</t>
        </is>
      </c>
      <c r="L914" s="156" t="inlineStr">
        <is>
          <t>Unisex</t>
        </is>
      </c>
      <c r="M914" s="156" t="inlineStr">
        <is>
          <t>Stetson</t>
        </is>
      </c>
      <c r="N914" s="156" t="inlineStr">
        <is>
          <t>FW26</t>
        </is>
      </c>
      <c r="O914" s="156" t="inlineStr">
        <is>
          <t>Seasonal</t>
        </is>
      </c>
      <c r="P914" s="156" t="inlineStr">
        <is>
          <t>Cafe</t>
        </is>
      </c>
      <c r="Q914" s="156" t="n"/>
      <c r="R914" s="156" t="inlineStr">
        <is>
          <t>Copa Open Road</t>
        </is>
      </c>
      <c r="S914" s="156" t="inlineStr">
        <is>
          <t>100% pelo de conejo</t>
        </is>
      </c>
      <c r="T914"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4" s="156" t="inlineStr">
        <is>
          <t>Estados Unidos</t>
        </is>
      </c>
      <c r="V914" s="156" t="inlineStr">
        <is>
          <t>PZS</t>
        </is>
      </c>
      <c r="W914" s="51" t="inlineStr">
        <is>
          <t>53102503</t>
        </is>
      </c>
      <c r="X914" s="156" t="inlineStr">
        <is>
          <t>https://cdn.shopify.com/s/files/1/0357/2432/9005/files/SFO250B0526-62_Fawn_1.jpg?v=1777646287</t>
        </is>
      </c>
      <c r="Y914" s="54" t="n">
        <v>3071.25</v>
      </c>
      <c r="Z914" s="54" t="n">
        <v>7413.793103</v>
      </c>
      <c r="AA914" s="55">
        <f>IF(AND(A914="", B914="", E914=""), "", IF(AB914="", "Válido", IF((LEN(AB914)-LEN(SUBSTITUTE(AB914,"; ","")))/2+1&gt;(LEN(AB914)-LEN(SUBSTITUTE(AB914,"[Aviso]","")))/7, "Con Incidencias", "Válido")))</f>
        <v/>
      </c>
      <c r="AB914" s="56">
        <f>IF(AND(A914="", B914="", E914=""), "", TEXTJOIN("; ", TRUE, IF(OR(TRIM(A914&amp;"")="", ISNUMBER(SEARCH("FALTA", A914))), "UPC faltante/inválido", ""), IF(AND(A914&lt;&gt;"", IFERROR(_xlfn.XMATCH(A914,$A$2:$A$2509,0,1)&lt;&gt;_xlfn.XMATCH(A914,$A$2:$A$2509,0,-1),FALSE)), "Código de barras duplicado", ""), IF(AND(E914&lt;&gt;"", COUNTIF($E$2:$E$2509, E914)&gt;1), "SKU duplicado", ""), IF(OR(J914="", J914=""), "[Aviso] División no capturada ()", IF(ISNA(MATCH(J914, Criterios!$A$123:$A$126, 0)), "División no válida", "")), IF(OR(K914="", K914=""), "[Aviso] Categoría no capturada ()", IF(ISNA(MATCH(K914, Criterios!$A$81:$A$120, 0)), "Categoría no válida", IF(AND(J914&lt;&gt;"", J914&lt;&gt;"", J914&lt;&gt;VLOOKUP(K914, Criterios!$A$81:$B$120, 2, FALSE)), "División no coincide con Categoría", ""))), IF(OR(L914="", L914=""), "[Aviso] Género no capturado ()", IF(ISNA(MATCH(L914, Criterios!$B$123:$B$127, 0)), "Género no válido", "")), IF(OR(N914="", N914=""), "[Aviso] Temporada no capturada ()", IF(ISNA(MATCH(N914, Criterios!$C$123:$C$128, 0)), "Temporada no válida", "")), IF(OR(O914="", O914=""), "[Aviso] Ciclo de vida no capturado ()", IF(ISNA(MATCH(O914, Criterios!$D$123:$D$124, 0)), "Ciclo de vida no válido", ""))))</f>
        <v/>
      </c>
      <c r="AC914" s="56" t="n"/>
      <c r="AD914" s="51" t="n">
        <v>0</v>
      </c>
      <c r="AE914" s="156" t="inlineStr">
        <is>
          <t>STETSON AMERICAS (1)</t>
        </is>
      </c>
      <c r="AF914" s="51" t="n">
        <v>1</v>
      </c>
      <c r="AG914" s="156" t="inlineStr">
        <is>
          <t>Catálogo existente</t>
        </is>
      </c>
      <c r="AH914"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4" s="156" t="inlineStr">
        <is>
          <t>Sí</t>
        </is>
      </c>
      <c r="AJ914" s="156" t="inlineStr">
        <is>
          <t>B25 CEDIS (-1)</t>
        </is>
      </c>
      <c r="AK914" s="155" t="inlineStr">
        <is>
          <t>Criterios: I [Q] | Shopify Stetson: producto 15227649982827 / variante 53791837618539 | Investigación en línea 06/10/2026: https://www.stetson.com/products/open-road-6x-usa-250-edition-fawn</t>
        </is>
      </c>
      <c r="AL914" s="58" t="n">
        <v>3071.25</v>
      </c>
      <c r="AM914" s="58" t="n">
        <v>7413.793103</v>
      </c>
      <c r="AN914" s="155" t="inlineStr">
        <is>
          <t>Shopify Stetson México</t>
        </is>
      </c>
      <c r="AO914" s="59" t="n">
        <v>1</v>
      </c>
      <c r="AP914" s="59" t="n"/>
      <c r="AQ914" s="59" t="n"/>
      <c r="AR914" s="155" t="inlineStr">
        <is>
          <t>Shopify Stetson México › Stetson Americas: 1</t>
        </is>
      </c>
    </row>
    <row r="915">
      <c r="A915" s="50" t="inlineStr">
        <is>
          <t>195556170168</t>
        </is>
      </c>
      <c r="B915" s="51" t="inlineStr">
        <is>
          <t>117366</t>
        </is>
      </c>
      <c r="C915" s="156" t="inlineStr">
        <is>
          <t>Multimarca</t>
        </is>
      </c>
      <c r="D915" s="156" t="inlineStr">
        <is>
          <t>SFO250B052661</t>
        </is>
      </c>
      <c r="E915" s="156" t="inlineStr">
        <is>
          <t>SFO250B05266171</t>
        </is>
      </c>
      <c r="F915" s="156" t="inlineStr">
        <is>
          <t>7 1/8</t>
        </is>
      </c>
      <c r="G915" s="156" t="inlineStr">
        <is>
          <t>7 1/8</t>
        </is>
      </c>
      <c r="H915" s="156" t="inlineStr">
        <is>
          <t>Stetson</t>
        </is>
      </c>
      <c r="I915" s="156" t="inlineStr">
        <is>
          <t>Texana Stetson Open Road 6X Gris</t>
        </is>
      </c>
      <c r="J915" s="156" t="inlineStr">
        <is>
          <t>Accesorios</t>
        </is>
      </c>
      <c r="K915" s="156" t="inlineStr">
        <is>
          <t>Sombreros</t>
        </is>
      </c>
      <c r="L915" s="156" t="inlineStr">
        <is>
          <t>Unisex</t>
        </is>
      </c>
      <c r="M915" s="156" t="inlineStr">
        <is>
          <t>Stetson</t>
        </is>
      </c>
      <c r="N915" s="156" t="inlineStr">
        <is>
          <t>FW26</t>
        </is>
      </c>
      <c r="O915" s="156" t="inlineStr">
        <is>
          <t>Seasonal</t>
        </is>
      </c>
      <c r="P915" s="156" t="inlineStr">
        <is>
          <t>Gris</t>
        </is>
      </c>
      <c r="Q915" s="156" t="n"/>
      <c r="R915" s="156" t="inlineStr">
        <is>
          <t>Copa Open Road</t>
        </is>
      </c>
      <c r="S915" s="156" t="inlineStr">
        <is>
          <t>100% pelo de conejo</t>
        </is>
      </c>
      <c r="T915"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5" s="156" t="inlineStr">
        <is>
          <t>Estados Unidos</t>
        </is>
      </c>
      <c r="V915" s="156" t="inlineStr">
        <is>
          <t>PZS</t>
        </is>
      </c>
      <c r="W915" s="51" t="inlineStr">
        <is>
          <t>53102503</t>
        </is>
      </c>
      <c r="X915" s="156" t="inlineStr">
        <is>
          <t>https://cdn.shopify.com/s/files/1/0357/2432/9005/files/SFO250B0526-61_Silverbelly_1.jpg?v=1777646636</t>
        </is>
      </c>
      <c r="Y915" s="54" t="n">
        <v>3071.25</v>
      </c>
      <c r="Z915" s="54" t="n">
        <v>7413.793103</v>
      </c>
      <c r="AA915" s="55">
        <f>IF(AND(A915="", B915="", E915=""), "", IF(AB915="", "Válido", IF((LEN(AB915)-LEN(SUBSTITUTE(AB915,"; ","")))/2+1&gt;(LEN(AB915)-LEN(SUBSTITUTE(AB915,"[Aviso]","")))/7, "Con Incidencias", "Válido")))</f>
        <v/>
      </c>
      <c r="AB915" s="56">
        <f>IF(AND(A915="", B915="", E915=""), "", TEXTJOIN("; ", TRUE, IF(OR(TRIM(A915&amp;"")="", ISNUMBER(SEARCH("FALTA", A915))), "UPC faltante/inválido", ""), IF(AND(A915&lt;&gt;"", IFERROR(_xlfn.XMATCH(A915,$A$2:$A$2509,0,1)&lt;&gt;_xlfn.XMATCH(A915,$A$2:$A$2509,0,-1),FALSE)), "Código de barras duplicado", ""), IF(AND(E915&lt;&gt;"", COUNTIF($E$2:$E$2509, E915)&gt;1), "SKU duplicado", ""), IF(OR(J915="", J915=""), "[Aviso] División no capturada ()", IF(ISNA(MATCH(J915, Criterios!$A$123:$A$126, 0)), "División no válida", "")), IF(OR(K915="", K915=""), "[Aviso] Categoría no capturada ()", IF(ISNA(MATCH(K915, Criterios!$A$81:$A$120, 0)), "Categoría no válida", IF(AND(J915&lt;&gt;"", J915&lt;&gt;"", J915&lt;&gt;VLOOKUP(K915, Criterios!$A$81:$B$120, 2, FALSE)), "División no coincide con Categoría", ""))), IF(OR(L915="", L915=""), "[Aviso] Género no capturado ()", IF(ISNA(MATCH(L915, Criterios!$B$123:$B$127, 0)), "Género no válido", "")), IF(OR(N915="", N915=""), "[Aviso] Temporada no capturada ()", IF(ISNA(MATCH(N915, Criterios!$C$123:$C$128, 0)), "Temporada no válida", "")), IF(OR(O915="", O915=""), "[Aviso] Ciclo de vida no capturado ()", IF(ISNA(MATCH(O915, Criterios!$D$123:$D$124, 0)), "Ciclo de vida no válido", ""))))</f>
        <v/>
      </c>
      <c r="AC915" s="56" t="n"/>
      <c r="AD915" s="51" t="n">
        <v>0</v>
      </c>
      <c r="AE915" s="156" t="inlineStr">
        <is>
          <t>STETSON AMERICAS (1)</t>
        </is>
      </c>
      <c r="AF915" s="51" t="n">
        <v>1</v>
      </c>
      <c r="AG915" s="156" t="inlineStr">
        <is>
          <t>Catálogo existente</t>
        </is>
      </c>
      <c r="AH915"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5" s="156" t="inlineStr">
        <is>
          <t>Sí</t>
        </is>
      </c>
      <c r="AJ915" s="156" t="inlineStr">
        <is>
          <t>B25 CEDIS (-1)</t>
        </is>
      </c>
      <c r="AK915" s="155" t="inlineStr">
        <is>
          <t>Criterios: I [Q] | Shopify Stetson: producto 15227649950059 / variante 53791837421931 | Investigación en línea 06/10/2026: https://www.stetson.com/products/open-road-6x-usa-250-edition-silverbelly</t>
        </is>
      </c>
      <c r="AL915" s="58" t="n">
        <v>3071.25</v>
      </c>
      <c r="AM915" s="58" t="n">
        <v>7413.793103</v>
      </c>
      <c r="AN915" s="155" t="inlineStr">
        <is>
          <t>Shopify Stetson México</t>
        </is>
      </c>
      <c r="AO915" s="59" t="n">
        <v>1</v>
      </c>
      <c r="AP915" s="59" t="n"/>
      <c r="AQ915" s="59" t="n"/>
      <c r="AR915" s="155" t="inlineStr">
        <is>
          <t>Shopify Stetson México › Stetson Americas: 1</t>
        </is>
      </c>
    </row>
    <row r="916">
      <c r="A916" s="50" t="inlineStr">
        <is>
          <t>195556170175</t>
        </is>
      </c>
      <c r="B916" s="51" t="inlineStr">
        <is>
          <t>117370</t>
        </is>
      </c>
      <c r="C916" s="156" t="inlineStr">
        <is>
          <t>Multimarca</t>
        </is>
      </c>
      <c r="D916" s="156" t="inlineStr">
        <is>
          <t>SFO250B052662</t>
        </is>
      </c>
      <c r="E916" s="156" t="inlineStr">
        <is>
          <t>SFO250B05266271</t>
        </is>
      </c>
      <c r="F916" s="156" t="inlineStr">
        <is>
          <t>7 1/8</t>
        </is>
      </c>
      <c r="G916" s="156" t="inlineStr">
        <is>
          <t>7 1/8</t>
        </is>
      </c>
      <c r="H916" s="156" t="inlineStr">
        <is>
          <t>Stetson</t>
        </is>
      </c>
      <c r="I916" s="156" t="inlineStr">
        <is>
          <t>Texana Stetson Open Road 6X Cafe</t>
        </is>
      </c>
      <c r="J916" s="156" t="inlineStr">
        <is>
          <t>Accesorios</t>
        </is>
      </c>
      <c r="K916" s="156" t="inlineStr">
        <is>
          <t>Sombreros</t>
        </is>
      </c>
      <c r="L916" s="156" t="inlineStr">
        <is>
          <t>Unisex</t>
        </is>
      </c>
      <c r="M916" s="156" t="inlineStr">
        <is>
          <t>Stetson</t>
        </is>
      </c>
      <c r="N916" s="156" t="inlineStr">
        <is>
          <t>FW26</t>
        </is>
      </c>
      <c r="O916" s="156" t="inlineStr">
        <is>
          <t>Seasonal</t>
        </is>
      </c>
      <c r="P916" s="156" t="inlineStr">
        <is>
          <t>Cafe</t>
        </is>
      </c>
      <c r="Q916" s="156" t="n"/>
      <c r="R916" s="156" t="inlineStr">
        <is>
          <t>Copa Open Road</t>
        </is>
      </c>
      <c r="S916" s="156" t="inlineStr">
        <is>
          <t>100% pelo de conejo</t>
        </is>
      </c>
      <c r="T916"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6" s="156" t="inlineStr">
        <is>
          <t>Estados Unidos</t>
        </is>
      </c>
      <c r="V916" s="156" t="inlineStr">
        <is>
          <t>PZS</t>
        </is>
      </c>
      <c r="W916" s="51" t="inlineStr">
        <is>
          <t>53102503</t>
        </is>
      </c>
      <c r="X916" s="156" t="inlineStr">
        <is>
          <t>https://cdn.shopify.com/s/files/1/0357/2432/9005/files/SFO250B0526-62_Fawn_1.jpg?v=1777646287</t>
        </is>
      </c>
      <c r="Y916" s="54" t="n">
        <v>3071.25</v>
      </c>
      <c r="Z916" s="54" t="n">
        <v>7413.793103</v>
      </c>
      <c r="AA916" s="55">
        <f>IF(AND(A916="", B916="", E916=""), "", IF(AB916="", "Válido", IF((LEN(AB916)-LEN(SUBSTITUTE(AB916,"; ","")))/2+1&gt;(LEN(AB916)-LEN(SUBSTITUTE(AB916,"[Aviso]","")))/7, "Con Incidencias", "Válido")))</f>
        <v/>
      </c>
      <c r="AB916" s="56">
        <f>IF(AND(A916="", B916="", E916=""), "", TEXTJOIN("; ", TRUE, IF(OR(TRIM(A916&amp;"")="", ISNUMBER(SEARCH("FALTA", A916))), "UPC faltante/inválido", ""), IF(AND(A916&lt;&gt;"", IFERROR(_xlfn.XMATCH(A916,$A$2:$A$2509,0,1)&lt;&gt;_xlfn.XMATCH(A916,$A$2:$A$2509,0,-1),FALSE)), "Código de barras duplicado", ""), IF(AND(E916&lt;&gt;"", COUNTIF($E$2:$E$2509, E916)&gt;1), "SKU duplicado", ""), IF(OR(J916="", J916=""), "[Aviso] División no capturada ()", IF(ISNA(MATCH(J916, Criterios!$A$123:$A$126, 0)), "División no válida", "")), IF(OR(K916="", K916=""), "[Aviso] Categoría no capturada ()", IF(ISNA(MATCH(K916, Criterios!$A$81:$A$120, 0)), "Categoría no válida", IF(AND(J916&lt;&gt;"", J916&lt;&gt;"", J916&lt;&gt;VLOOKUP(K916, Criterios!$A$81:$B$120, 2, FALSE)), "División no coincide con Categoría", ""))), IF(OR(L916="", L916=""), "[Aviso] Género no capturado ()", IF(ISNA(MATCH(L916, Criterios!$B$123:$B$127, 0)), "Género no válido", "")), IF(OR(N916="", N916=""), "[Aviso] Temporada no capturada ()", IF(ISNA(MATCH(N916, Criterios!$C$123:$C$128, 0)), "Temporada no válida", "")), IF(OR(O916="", O916=""), "[Aviso] Ciclo de vida no capturado ()", IF(ISNA(MATCH(O916, Criterios!$D$123:$D$124, 0)), "Ciclo de vida no válido", ""))))</f>
        <v/>
      </c>
      <c r="AC916" s="56" t="n"/>
      <c r="AD916" s="51" t="n">
        <v>0</v>
      </c>
      <c r="AE916" s="156" t="inlineStr">
        <is>
          <t>STETSON AMERICAS (1)</t>
        </is>
      </c>
      <c r="AF916" s="51" t="n">
        <v>1</v>
      </c>
      <c r="AG916" s="156" t="inlineStr">
        <is>
          <t>Catálogo existente</t>
        </is>
      </c>
      <c r="AH916"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6" s="156" t="inlineStr">
        <is>
          <t>Sí</t>
        </is>
      </c>
      <c r="AJ916" s="156" t="inlineStr">
        <is>
          <t>B25 CEDIS (-1)</t>
        </is>
      </c>
      <c r="AK916" s="155" t="inlineStr">
        <is>
          <t>Criterios: I [Q] | Shopify Stetson: producto 15227649982827 / variante 53791837651307 | Investigación en línea 06/10/2026: https://www.stetson.com/products/open-road-6x-usa-250-edition-fawn</t>
        </is>
      </c>
      <c r="AL916" s="58" t="n">
        <v>3071.25</v>
      </c>
      <c r="AM916" s="58" t="n">
        <v>7413.793103</v>
      </c>
      <c r="AN916" s="155" t="inlineStr">
        <is>
          <t>Shopify Stetson México</t>
        </is>
      </c>
      <c r="AO916" s="59" t="n">
        <v>1</v>
      </c>
      <c r="AP916" s="59" t="n"/>
      <c r="AQ916" s="59" t="n"/>
      <c r="AR916" s="155" t="inlineStr">
        <is>
          <t>Shopify Stetson México › Stetson Americas: 1</t>
        </is>
      </c>
    </row>
    <row r="917">
      <c r="A917" s="50" t="inlineStr">
        <is>
          <t>195556170182</t>
        </is>
      </c>
      <c r="B917" s="51" t="inlineStr">
        <is>
          <t>117367</t>
        </is>
      </c>
      <c r="C917" s="156" t="inlineStr">
        <is>
          <t>Multimarca</t>
        </is>
      </c>
      <c r="D917" s="156" t="inlineStr">
        <is>
          <t>SFO250B052661</t>
        </is>
      </c>
      <c r="E917" s="156" t="inlineStr">
        <is>
          <t>SFO250B05266172</t>
        </is>
      </c>
      <c r="F917" s="156" t="inlineStr">
        <is>
          <t>7 1/4</t>
        </is>
      </c>
      <c r="G917" s="156" t="inlineStr">
        <is>
          <t>7 1/4</t>
        </is>
      </c>
      <c r="H917" s="156" t="inlineStr">
        <is>
          <t>Stetson</t>
        </is>
      </c>
      <c r="I917" s="156" t="inlineStr">
        <is>
          <t>Texana Stetson Open Road 6X Gris</t>
        </is>
      </c>
      <c r="J917" s="156" t="inlineStr">
        <is>
          <t>Accesorios</t>
        </is>
      </c>
      <c r="K917" s="156" t="inlineStr">
        <is>
          <t>Sombreros</t>
        </is>
      </c>
      <c r="L917" s="156" t="inlineStr">
        <is>
          <t>Unisex</t>
        </is>
      </c>
      <c r="M917" s="156" t="inlineStr">
        <is>
          <t>Stetson</t>
        </is>
      </c>
      <c r="N917" s="156" t="inlineStr">
        <is>
          <t>FW26</t>
        </is>
      </c>
      <c r="O917" s="156" t="inlineStr">
        <is>
          <t>Seasonal</t>
        </is>
      </c>
      <c r="P917" s="156" t="inlineStr">
        <is>
          <t>Gris</t>
        </is>
      </c>
      <c r="Q917" s="156" t="n"/>
      <c r="R917" s="156" t="inlineStr">
        <is>
          <t>Copa Open Road</t>
        </is>
      </c>
      <c r="S917" s="156" t="inlineStr">
        <is>
          <t>100% pelo de conejo</t>
        </is>
      </c>
      <c r="T917"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7" s="156" t="inlineStr">
        <is>
          <t>Estados Unidos</t>
        </is>
      </c>
      <c r="V917" s="156" t="inlineStr">
        <is>
          <t>PZS</t>
        </is>
      </c>
      <c r="W917" s="51" t="inlineStr">
        <is>
          <t>53102503</t>
        </is>
      </c>
      <c r="X917" s="156" t="inlineStr">
        <is>
          <t>https://cdn.shopify.com/s/files/1/0357/2432/9005/files/SFO250B0526-61_Silverbelly_1.jpg?v=1777646636</t>
        </is>
      </c>
      <c r="Y917" s="54" t="n">
        <v>3071.25</v>
      </c>
      <c r="Z917" s="54" t="n">
        <v>7413.793103</v>
      </c>
      <c r="AA917" s="55">
        <f>IF(AND(A917="", B917="", E917=""), "", IF(AB917="", "Válido", IF((LEN(AB917)-LEN(SUBSTITUTE(AB917,"; ","")))/2+1&gt;(LEN(AB917)-LEN(SUBSTITUTE(AB917,"[Aviso]","")))/7, "Con Incidencias", "Válido")))</f>
        <v/>
      </c>
      <c r="AB917" s="56">
        <f>IF(AND(A917="", B917="", E917=""), "", TEXTJOIN("; ", TRUE, IF(OR(TRIM(A917&amp;"")="", ISNUMBER(SEARCH("FALTA", A917))), "UPC faltante/inválido", ""), IF(AND(A917&lt;&gt;"", IFERROR(_xlfn.XMATCH(A917,$A$2:$A$2509,0,1)&lt;&gt;_xlfn.XMATCH(A917,$A$2:$A$2509,0,-1),FALSE)), "Código de barras duplicado", ""), IF(AND(E917&lt;&gt;"", COUNTIF($E$2:$E$2509, E917)&gt;1), "SKU duplicado", ""), IF(OR(J917="", J917=""), "[Aviso] División no capturada ()", IF(ISNA(MATCH(J917, Criterios!$A$123:$A$126, 0)), "División no válida", "")), IF(OR(K917="", K917=""), "[Aviso] Categoría no capturada ()", IF(ISNA(MATCH(K917, Criterios!$A$81:$A$120, 0)), "Categoría no válida", IF(AND(J917&lt;&gt;"", J917&lt;&gt;"", J917&lt;&gt;VLOOKUP(K917, Criterios!$A$81:$B$120, 2, FALSE)), "División no coincide con Categoría", ""))), IF(OR(L917="", L917=""), "[Aviso] Género no capturado ()", IF(ISNA(MATCH(L917, Criterios!$B$123:$B$127, 0)), "Género no válido", "")), IF(OR(N917="", N917=""), "[Aviso] Temporada no capturada ()", IF(ISNA(MATCH(N917, Criterios!$C$123:$C$128, 0)), "Temporada no válida", "")), IF(OR(O917="", O917=""), "[Aviso] Ciclo de vida no capturado ()", IF(ISNA(MATCH(O917, Criterios!$D$123:$D$124, 0)), "Ciclo de vida no válido", ""))))</f>
        <v/>
      </c>
      <c r="AC917" s="56" t="n"/>
      <c r="AD917" s="51" t="n">
        <v>0</v>
      </c>
      <c r="AE917" s="156" t="inlineStr">
        <is>
          <t>STETSON AMERICAS (1)</t>
        </is>
      </c>
      <c r="AF917" s="51" t="n">
        <v>1</v>
      </c>
      <c r="AG917" s="156" t="inlineStr">
        <is>
          <t>Catálogo existente</t>
        </is>
      </c>
      <c r="AH917"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7" s="156" t="inlineStr">
        <is>
          <t>Sí</t>
        </is>
      </c>
      <c r="AJ917" s="156" t="inlineStr">
        <is>
          <t>B25 CEDIS (-1)</t>
        </is>
      </c>
      <c r="AK917" s="155" t="inlineStr">
        <is>
          <t>Criterios: I [Q] | Shopify Stetson: producto 15227649950059 / variante 53791837454699 | Investigación en línea 06/10/2026: https://www.stetson.com/products/open-road-6x-usa-250-edition-silverbelly</t>
        </is>
      </c>
      <c r="AL917" s="58" t="n">
        <v>3071.25</v>
      </c>
      <c r="AM917" s="58" t="n">
        <v>7413.793103</v>
      </c>
      <c r="AN917" s="155" t="inlineStr">
        <is>
          <t>Shopify Stetson México</t>
        </is>
      </c>
      <c r="AO917" s="59" t="n">
        <v>1</v>
      </c>
      <c r="AP917" s="59" t="n"/>
      <c r="AQ917" s="59" t="n"/>
      <c r="AR917" s="155" t="inlineStr">
        <is>
          <t>Shopify Stetson México › Stetson Americas: 1</t>
        </is>
      </c>
    </row>
    <row r="918">
      <c r="A918" s="50" t="inlineStr">
        <is>
          <t>195556170199</t>
        </is>
      </c>
      <c r="B918" s="51" t="inlineStr">
        <is>
          <t>117371</t>
        </is>
      </c>
      <c r="C918" s="156" t="inlineStr">
        <is>
          <t>Multimarca</t>
        </is>
      </c>
      <c r="D918" s="156" t="inlineStr">
        <is>
          <t>SFO250B052662</t>
        </is>
      </c>
      <c r="E918" s="156" t="inlineStr">
        <is>
          <t>SFO250B05266272</t>
        </is>
      </c>
      <c r="F918" s="156" t="inlineStr">
        <is>
          <t>7 1/4</t>
        </is>
      </c>
      <c r="G918" s="156" t="inlineStr">
        <is>
          <t>7 1/4</t>
        </is>
      </c>
      <c r="H918" s="156" t="inlineStr">
        <is>
          <t>Stetson</t>
        </is>
      </c>
      <c r="I918" s="156" t="inlineStr">
        <is>
          <t>Texana Stetson Open Road 6X Cafe</t>
        </is>
      </c>
      <c r="J918" s="156" t="inlineStr">
        <is>
          <t>Accesorios</t>
        </is>
      </c>
      <c r="K918" s="156" t="inlineStr">
        <is>
          <t>Sombreros</t>
        </is>
      </c>
      <c r="L918" s="156" t="inlineStr">
        <is>
          <t>Unisex</t>
        </is>
      </c>
      <c r="M918" s="156" t="inlineStr">
        <is>
          <t>Stetson</t>
        </is>
      </c>
      <c r="N918" s="156" t="inlineStr">
        <is>
          <t>FW26</t>
        </is>
      </c>
      <c r="O918" s="156" t="inlineStr">
        <is>
          <t>Seasonal</t>
        </is>
      </c>
      <c r="P918" s="156" t="inlineStr">
        <is>
          <t>Cafe</t>
        </is>
      </c>
      <c r="Q918" s="156" t="n"/>
      <c r="R918" s="156" t="inlineStr">
        <is>
          <t>Copa Open Road</t>
        </is>
      </c>
      <c r="S918" s="156" t="inlineStr">
        <is>
          <t>100% pelo de conejo</t>
        </is>
      </c>
      <c r="T918"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8" s="156" t="inlineStr">
        <is>
          <t>Estados Unidos</t>
        </is>
      </c>
      <c r="V918" s="156" t="inlineStr">
        <is>
          <t>PZS</t>
        </is>
      </c>
      <c r="W918" s="51" t="inlineStr">
        <is>
          <t>53102503</t>
        </is>
      </c>
      <c r="X918" s="156" t="inlineStr">
        <is>
          <t>https://cdn.shopify.com/s/files/1/0357/2432/9005/files/SFO250B0526-62_Fawn_1.jpg?v=1777646287</t>
        </is>
      </c>
      <c r="Y918" s="54" t="n">
        <v>3071.25</v>
      </c>
      <c r="Z918" s="54" t="n">
        <v>7413.793103</v>
      </c>
      <c r="AA918" s="55">
        <f>IF(AND(A918="", B918="", E918=""), "", IF(AB918="", "Válido", IF((LEN(AB918)-LEN(SUBSTITUTE(AB918,"; ","")))/2+1&gt;(LEN(AB918)-LEN(SUBSTITUTE(AB918,"[Aviso]","")))/7, "Con Incidencias", "Válido")))</f>
        <v/>
      </c>
      <c r="AB918" s="56">
        <f>IF(AND(A918="", B918="", E918=""), "", TEXTJOIN("; ", TRUE, IF(OR(TRIM(A918&amp;"")="", ISNUMBER(SEARCH("FALTA", A918))), "UPC faltante/inválido", ""), IF(AND(A918&lt;&gt;"", IFERROR(_xlfn.XMATCH(A918,$A$2:$A$2509,0,1)&lt;&gt;_xlfn.XMATCH(A918,$A$2:$A$2509,0,-1),FALSE)), "Código de barras duplicado", ""), IF(AND(E918&lt;&gt;"", COUNTIF($E$2:$E$2509, E918)&gt;1), "SKU duplicado", ""), IF(OR(J918="", J918=""), "[Aviso] División no capturada ()", IF(ISNA(MATCH(J918, Criterios!$A$123:$A$126, 0)), "División no válida", "")), IF(OR(K918="", K918=""), "[Aviso] Categoría no capturada ()", IF(ISNA(MATCH(K918, Criterios!$A$81:$A$120, 0)), "Categoría no válida", IF(AND(J918&lt;&gt;"", J918&lt;&gt;"", J918&lt;&gt;VLOOKUP(K918, Criterios!$A$81:$B$120, 2, FALSE)), "División no coincide con Categoría", ""))), IF(OR(L918="", L918=""), "[Aviso] Género no capturado ()", IF(ISNA(MATCH(L918, Criterios!$B$123:$B$127, 0)), "Género no válido", "")), IF(OR(N918="", N918=""), "[Aviso] Temporada no capturada ()", IF(ISNA(MATCH(N918, Criterios!$C$123:$C$128, 0)), "Temporada no válida", "")), IF(OR(O918="", O918=""), "[Aviso] Ciclo de vida no capturado ()", IF(ISNA(MATCH(O918, Criterios!$D$123:$D$124, 0)), "Ciclo de vida no válido", ""))))</f>
        <v/>
      </c>
      <c r="AC918" s="56" t="n"/>
      <c r="AD918" s="51" t="n">
        <v>0</v>
      </c>
      <c r="AE918" s="156" t="inlineStr">
        <is>
          <t>STETSON AMERICAS (1)</t>
        </is>
      </c>
      <c r="AF918" s="51" t="n">
        <v>1</v>
      </c>
      <c r="AG918" s="156" t="inlineStr">
        <is>
          <t>Catálogo existente</t>
        </is>
      </c>
      <c r="AH918"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8" s="156" t="inlineStr">
        <is>
          <t>Sí</t>
        </is>
      </c>
      <c r="AJ918" s="156" t="inlineStr">
        <is>
          <t>B25 CEDIS (-1)</t>
        </is>
      </c>
      <c r="AK918" s="155" t="inlineStr">
        <is>
          <t>Criterios: I [Q] | Shopify Stetson: producto 15227649982827 / variante 53791837684075 | Investigación en línea 06/10/2026: https://www.stetson.com/products/open-road-6x-usa-250-edition-fawn</t>
        </is>
      </c>
      <c r="AL918" s="58" t="n">
        <v>3071.25</v>
      </c>
      <c r="AM918" s="58" t="n">
        <v>7413.793103</v>
      </c>
      <c r="AN918" s="155" t="inlineStr">
        <is>
          <t>Shopify Stetson México</t>
        </is>
      </c>
      <c r="AO918" s="59" t="n">
        <v>1</v>
      </c>
      <c r="AP918" s="59" t="n"/>
      <c r="AQ918" s="59" t="n"/>
      <c r="AR918" s="155" t="inlineStr">
        <is>
          <t>Shopify Stetson México › Stetson Americas: 1</t>
        </is>
      </c>
    </row>
    <row r="919">
      <c r="A919" s="50" t="inlineStr">
        <is>
          <t>195556170304</t>
        </is>
      </c>
      <c r="B919" s="51" t="inlineStr">
        <is>
          <t>117361</t>
        </is>
      </c>
      <c r="C919" s="156" t="inlineStr">
        <is>
          <t>Multimarca</t>
        </is>
      </c>
      <c r="D919" s="156" t="inlineStr">
        <is>
          <t>SFO250B052607</t>
        </is>
      </c>
      <c r="E919" s="156" t="inlineStr">
        <is>
          <t>SFO250B05260770</t>
        </is>
      </c>
      <c r="F919" s="156" t="inlineStr">
        <is>
          <t>7</t>
        </is>
      </c>
      <c r="G919" s="156" t="inlineStr">
        <is>
          <t>7</t>
        </is>
      </c>
      <c r="H919" s="156" t="inlineStr">
        <is>
          <t>Stetson</t>
        </is>
      </c>
      <c r="I919" s="156" t="inlineStr">
        <is>
          <t>Texana Stetson Open Road 6X Negro</t>
        </is>
      </c>
      <c r="J919" s="156" t="inlineStr">
        <is>
          <t>Accesorios</t>
        </is>
      </c>
      <c r="K919" s="156" t="inlineStr">
        <is>
          <t>Sombreros</t>
        </is>
      </c>
      <c r="L919" s="156" t="inlineStr">
        <is>
          <t>Unisex</t>
        </is>
      </c>
      <c r="M919" s="156" t="inlineStr">
        <is>
          <t>Stetson</t>
        </is>
      </c>
      <c r="N919" s="156" t="inlineStr">
        <is>
          <t>FW26</t>
        </is>
      </c>
      <c r="O919" s="156" t="inlineStr">
        <is>
          <t>Seasonal</t>
        </is>
      </c>
      <c r="P919" s="156" t="inlineStr">
        <is>
          <t>Negro</t>
        </is>
      </c>
      <c r="Q919" s="156" t="n"/>
      <c r="R919" s="156" t="inlineStr">
        <is>
          <t>Copa Open Road</t>
        </is>
      </c>
      <c r="S919" s="156" t="inlineStr">
        <is>
          <t>100% pelo de conejo</t>
        </is>
      </c>
      <c r="T919"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19" s="156" t="inlineStr">
        <is>
          <t>Estados Unidos</t>
        </is>
      </c>
      <c r="V919" s="156" t="inlineStr">
        <is>
          <t>PZS</t>
        </is>
      </c>
      <c r="W919" s="51" t="inlineStr">
        <is>
          <t>53102503</t>
        </is>
      </c>
      <c r="X919" s="156" t="n"/>
      <c r="Y919" s="54" t="n">
        <v>3071.25</v>
      </c>
      <c r="Z919" s="54" t="n">
        <v>7413.793103</v>
      </c>
      <c r="AA919" s="55">
        <f>IF(AND(A919="", B919="", E919=""), "", IF(AB919="", "Válido", IF((LEN(AB919)-LEN(SUBSTITUTE(AB919,"; ","")))/2+1&gt;(LEN(AB919)-LEN(SUBSTITUTE(AB919,"[Aviso]","")))/7, "Con Incidencias", "Válido")))</f>
        <v/>
      </c>
      <c r="AB919" s="56">
        <f>IF(AND(A919="", B919="", E919=""), "", TEXTJOIN("; ", TRUE, IF(OR(TRIM(A919&amp;"")="", ISNUMBER(SEARCH("FALTA", A919))), "UPC faltante/inválido", ""), IF(AND(A919&lt;&gt;"", IFERROR(_xlfn.XMATCH(A919,$A$2:$A$2509,0,1)&lt;&gt;_xlfn.XMATCH(A919,$A$2:$A$2509,0,-1),FALSE)), "Código de barras duplicado", ""), IF(AND(E919&lt;&gt;"", COUNTIF($E$2:$E$2509, E919)&gt;1), "SKU duplicado", ""), IF(OR(J919="", J919=""), "[Aviso] División no capturada ()", IF(ISNA(MATCH(J919, Criterios!$A$123:$A$126, 0)), "División no válida", "")), IF(OR(K919="", K919=""), "[Aviso] Categoría no capturada ()", IF(ISNA(MATCH(K919, Criterios!$A$81:$A$120, 0)), "Categoría no válida", IF(AND(J919&lt;&gt;"", J919&lt;&gt;"", J919&lt;&gt;VLOOKUP(K919, Criterios!$A$81:$B$120, 2, FALSE)), "División no coincide con Categoría", ""))), IF(OR(L919="", L919=""), "[Aviso] Género no capturado ()", IF(ISNA(MATCH(L919, Criterios!$B$123:$B$127, 0)), "Género no válido", "")), IF(OR(N919="", N919=""), "[Aviso] Temporada no capturada ()", IF(ISNA(MATCH(N919, Criterios!$C$123:$C$128, 0)), "Temporada no válida", "")), IF(OR(O919="", O919=""), "[Aviso] Ciclo de vida no capturado ()", IF(ISNA(MATCH(O919, Criterios!$D$123:$D$124, 0)), "Ciclo de vida no válido", ""))))</f>
        <v/>
      </c>
      <c r="AC919" s="56" t="n"/>
      <c r="AD919" s="51" t="n">
        <v>0</v>
      </c>
      <c r="AE919" s="156" t="inlineStr">
        <is>
          <t>STETSON AMERICAS (1)</t>
        </is>
      </c>
      <c r="AF919" s="51" t="n">
        <v>1</v>
      </c>
      <c r="AG919" s="156" t="inlineStr">
        <is>
          <t>Catálogo existente</t>
        </is>
      </c>
      <c r="AH919" s="156" t="inlineStr">
        <is>
          <t>Revisión 29/09/2026: Campos sin respaldo: X | 01/10/2026: complementado desde Shopify Stetson México (match por código de barras): WB Fit, WB Silueta</t>
        </is>
      </c>
      <c r="AI919" s="156" t="inlineStr">
        <is>
          <t>Sí</t>
        </is>
      </c>
      <c r="AJ919" s="156" t="inlineStr">
        <is>
          <t>B25 CEDIS (-1)</t>
        </is>
      </c>
      <c r="AK919" s="155" t="inlineStr">
        <is>
          <t>Criterios: I [Q] | Shopify Stetson: producto 15227649917291 / variante 53791837258091</t>
        </is>
      </c>
      <c r="AL919" s="58" t="n">
        <v>3071.25</v>
      </c>
      <c r="AM919" s="58" t="n">
        <v>7413.793103</v>
      </c>
      <c r="AN919" s="155" t="inlineStr">
        <is>
          <t>Shopify Stetson México</t>
        </is>
      </c>
      <c r="AO919" s="59" t="n">
        <v>1</v>
      </c>
      <c r="AP919" s="59" t="n"/>
      <c r="AQ919" s="59" t="n"/>
      <c r="AR919" s="155" t="inlineStr">
        <is>
          <t>Shopify Stetson México › Stetson Americas: 1</t>
        </is>
      </c>
    </row>
    <row r="920">
      <c r="A920" s="50" t="inlineStr">
        <is>
          <t>195556170311</t>
        </is>
      </c>
      <c r="B920" s="51" t="inlineStr">
        <is>
          <t>117572</t>
        </is>
      </c>
      <c r="C920" s="156" t="inlineStr">
        <is>
          <t>Multimarca</t>
        </is>
      </c>
      <c r="D920" s="156" t="inlineStr">
        <is>
          <t>SFO250B052607</t>
        </is>
      </c>
      <c r="E920" s="156" t="inlineStr">
        <is>
          <t>SFO250B05260771</t>
        </is>
      </c>
      <c r="F920" s="156" t="inlineStr">
        <is>
          <t>7 1/8</t>
        </is>
      </c>
      <c r="G920" s="156" t="inlineStr">
        <is>
          <t>7 1/8</t>
        </is>
      </c>
      <c r="H920" s="156" t="inlineStr">
        <is>
          <t>Stetson</t>
        </is>
      </c>
      <c r="I920" s="156" t="inlineStr">
        <is>
          <t>Texana Stetson Open Road 6X Negro</t>
        </is>
      </c>
      <c r="J920" s="156" t="inlineStr">
        <is>
          <t>Accesorios</t>
        </is>
      </c>
      <c r="K920" s="156" t="inlineStr">
        <is>
          <t>Sombreros</t>
        </is>
      </c>
      <c r="L920" s="156" t="inlineStr">
        <is>
          <t>Unisex</t>
        </is>
      </c>
      <c r="M920" s="156" t="inlineStr">
        <is>
          <t>Stetson</t>
        </is>
      </c>
      <c r="N920" s="156" t="inlineStr">
        <is>
          <t>FW26</t>
        </is>
      </c>
      <c r="O920" s="156" t="inlineStr">
        <is>
          <t>Seasonal</t>
        </is>
      </c>
      <c r="P920" s="156" t="inlineStr">
        <is>
          <t>Negro</t>
        </is>
      </c>
      <c r="Q920" s="156" t="n"/>
      <c r="R920" s="156" t="inlineStr">
        <is>
          <t>Copa Open Road</t>
        </is>
      </c>
      <c r="S920" s="156" t="inlineStr">
        <is>
          <t>100% pelo de conejo</t>
        </is>
      </c>
      <c r="T920"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20" s="156" t="inlineStr">
        <is>
          <t>Estados Unidos</t>
        </is>
      </c>
      <c r="V920" s="156" t="inlineStr">
        <is>
          <t>PZS</t>
        </is>
      </c>
      <c r="W920" s="51" t="inlineStr">
        <is>
          <t>53102503</t>
        </is>
      </c>
      <c r="X920" s="156" t="n"/>
      <c r="Y920" s="54" t="n">
        <v>3071.25</v>
      </c>
      <c r="Z920" s="54" t="n">
        <v>7413.793103</v>
      </c>
      <c r="AA920" s="55">
        <f>IF(AND(A920="", B920="", E920=""), "", IF(AB920="", "Válido", IF((LEN(AB920)-LEN(SUBSTITUTE(AB920,"; ","")))/2+1&gt;(LEN(AB920)-LEN(SUBSTITUTE(AB920,"[Aviso]","")))/7, "Con Incidencias", "Válido")))</f>
        <v/>
      </c>
      <c r="AB920" s="56">
        <f>IF(AND(A920="", B920="", E920=""), "", TEXTJOIN("; ", TRUE, IF(OR(TRIM(A920&amp;"")="", ISNUMBER(SEARCH("FALTA", A920))), "UPC faltante/inválido", ""), IF(AND(A920&lt;&gt;"", IFERROR(_xlfn.XMATCH(A920,$A$2:$A$2509,0,1)&lt;&gt;_xlfn.XMATCH(A920,$A$2:$A$2509,0,-1),FALSE)), "Código de barras duplicado", ""), IF(AND(E920&lt;&gt;"", COUNTIF($E$2:$E$2509, E920)&gt;1), "SKU duplicado", ""), IF(OR(J920="", J920=""), "[Aviso] División no capturada ()", IF(ISNA(MATCH(J920, Criterios!$A$123:$A$126, 0)), "División no válida", "")), IF(OR(K920="", K920=""), "[Aviso] Categoría no capturada ()", IF(ISNA(MATCH(K920, Criterios!$A$81:$A$120, 0)), "Categoría no válida", IF(AND(J920&lt;&gt;"", J920&lt;&gt;"", J920&lt;&gt;VLOOKUP(K920, Criterios!$A$81:$B$120, 2, FALSE)), "División no coincide con Categoría", ""))), IF(OR(L920="", L920=""), "[Aviso] Género no capturado ()", IF(ISNA(MATCH(L920, Criterios!$B$123:$B$127, 0)), "Género no válido", "")), IF(OR(N920="", N920=""), "[Aviso] Temporada no capturada ()", IF(ISNA(MATCH(N920, Criterios!$C$123:$C$128, 0)), "Temporada no válida", "")), IF(OR(O920="", O920=""), "[Aviso] Ciclo de vida no capturado ()", IF(ISNA(MATCH(O920, Criterios!$D$123:$D$124, 0)), "Ciclo de vida no válido", ""))))</f>
        <v/>
      </c>
      <c r="AC920" s="56" t="n"/>
      <c r="AD920" s="51" t="n">
        <v>0</v>
      </c>
      <c r="AE920" s="156" t="n"/>
      <c r="AF920" s="51" t="n">
        <v>0</v>
      </c>
      <c r="AG920" s="156" t="inlineStr">
        <is>
          <t>Catálogo existente</t>
        </is>
      </c>
      <c r="AH920" s="156" t="inlineStr">
        <is>
          <t>Revisión 29/09/2026: Campos sin respaldo: X | ID alternativo de Hoja a Revisar 117572 (UPC coincidente); se conserva ID principal; Auditoría NetSuite 30/09/2026: Vinculado por código de barras al ID NetSuite 117572 (antes en Identificador interno: '117362') | 01/10/2026: complementado desde Shopify Stetson México (match por código de barras): WB Fit, WB Silueta</t>
        </is>
      </c>
      <c r="AI920" s="156" t="inlineStr">
        <is>
          <t>No</t>
        </is>
      </c>
      <c r="AJ920" s="156" t="n"/>
      <c r="AK920" s="155" t="inlineStr">
        <is>
          <t>Criterios: I [Q] | Hoja a Revisar: fila 363949 (ID 117572, misma clave UPC) | Shopify Stetson: producto 15227649917291 / variante 53791837290859</t>
        </is>
      </c>
      <c r="AL920" s="58" t="n">
        <v>3071.25</v>
      </c>
      <c r="AM920" s="58" t="n">
        <v>7413.793103</v>
      </c>
      <c r="AN920" s="155" t="inlineStr">
        <is>
          <t>Shopify Stetson México</t>
        </is>
      </c>
      <c r="AO920" s="59" t="n">
        <v>1</v>
      </c>
      <c r="AP920" s="59" t="n"/>
      <c r="AQ920" s="59" t="n"/>
      <c r="AR920" s="155" t="inlineStr">
        <is>
          <t>Shopify Stetson México › Stetson Americas: 1</t>
        </is>
      </c>
    </row>
    <row r="921">
      <c r="A921" s="50" t="inlineStr">
        <is>
          <t>195556170328</t>
        </is>
      </c>
      <c r="B921" s="51" t="inlineStr">
        <is>
          <t>117363</t>
        </is>
      </c>
      <c r="C921" s="156" t="inlineStr">
        <is>
          <t>Multimarca</t>
        </is>
      </c>
      <c r="D921" s="156" t="inlineStr">
        <is>
          <t>SFO250B052607</t>
        </is>
      </c>
      <c r="E921" s="156" t="inlineStr">
        <is>
          <t>SFO250B05260772</t>
        </is>
      </c>
      <c r="F921" s="156" t="inlineStr">
        <is>
          <t>7 1/4</t>
        </is>
      </c>
      <c r="G921" s="156" t="inlineStr">
        <is>
          <t>7 1/4</t>
        </is>
      </c>
      <c r="H921" s="156" t="inlineStr">
        <is>
          <t>Stetson</t>
        </is>
      </c>
      <c r="I921" s="156" t="inlineStr">
        <is>
          <t>Texana Stetson Open Road 6X Negro</t>
        </is>
      </c>
      <c r="J921" s="156" t="inlineStr">
        <is>
          <t>Accesorios</t>
        </is>
      </c>
      <c r="K921" s="156" t="inlineStr">
        <is>
          <t>Sombreros</t>
        </is>
      </c>
      <c r="L921" s="156" t="inlineStr">
        <is>
          <t>Unisex</t>
        </is>
      </c>
      <c r="M921" s="156" t="inlineStr">
        <is>
          <t>Stetson</t>
        </is>
      </c>
      <c r="N921" s="156" t="inlineStr">
        <is>
          <t>FW26</t>
        </is>
      </c>
      <c r="O921" s="156" t="inlineStr">
        <is>
          <t>Seasonal</t>
        </is>
      </c>
      <c r="P921" s="156" t="inlineStr">
        <is>
          <t>Negro</t>
        </is>
      </c>
      <c r="Q921" s="156" t="n"/>
      <c r="R921" s="156" t="inlineStr">
        <is>
          <t>Copa Open Road</t>
        </is>
      </c>
      <c r="S921" s="156" t="inlineStr">
        <is>
          <t>100% pelo de conejo</t>
        </is>
      </c>
      <c r="T921"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21" s="156" t="inlineStr">
        <is>
          <t>Estados Unidos</t>
        </is>
      </c>
      <c r="V921" s="156" t="inlineStr">
        <is>
          <t>PZS</t>
        </is>
      </c>
      <c r="W921" s="51" t="inlineStr">
        <is>
          <t>53102503</t>
        </is>
      </c>
      <c r="X921" s="156" t="n"/>
      <c r="Y921" s="54" t="n">
        <v>3071.25</v>
      </c>
      <c r="Z921" s="54" t="n">
        <v>7413.793103</v>
      </c>
      <c r="AA921" s="55">
        <f>IF(AND(A921="", B921="", E921=""), "", IF(AB921="", "Válido", IF((LEN(AB921)-LEN(SUBSTITUTE(AB921,"; ","")))/2+1&gt;(LEN(AB921)-LEN(SUBSTITUTE(AB921,"[Aviso]","")))/7, "Con Incidencias", "Válido")))</f>
        <v/>
      </c>
      <c r="AB921" s="56">
        <f>IF(AND(A921="", B921="", E921=""), "", TEXTJOIN("; ", TRUE, IF(OR(TRIM(A921&amp;"")="", ISNUMBER(SEARCH("FALTA", A921))), "UPC faltante/inválido", ""), IF(AND(A921&lt;&gt;"", IFERROR(_xlfn.XMATCH(A921,$A$2:$A$2509,0,1)&lt;&gt;_xlfn.XMATCH(A921,$A$2:$A$2509,0,-1),FALSE)), "Código de barras duplicado", ""), IF(AND(E921&lt;&gt;"", COUNTIF($E$2:$E$2509, E921)&gt;1), "SKU duplicado", ""), IF(OR(J921="", J921=""), "[Aviso] División no capturada ()", IF(ISNA(MATCH(J921, Criterios!$A$123:$A$126, 0)), "División no válida", "")), IF(OR(K921="", K921=""), "[Aviso] Categoría no capturada ()", IF(ISNA(MATCH(K921, Criterios!$A$81:$A$120, 0)), "Categoría no válida", IF(AND(J921&lt;&gt;"", J921&lt;&gt;"", J921&lt;&gt;VLOOKUP(K921, Criterios!$A$81:$B$120, 2, FALSE)), "División no coincide con Categoría", ""))), IF(OR(L921="", L921=""), "[Aviso] Género no capturado ()", IF(ISNA(MATCH(L921, Criterios!$B$123:$B$127, 0)), "Género no válido", "")), IF(OR(N921="", N921=""), "[Aviso] Temporada no capturada ()", IF(ISNA(MATCH(N921, Criterios!$C$123:$C$128, 0)), "Temporada no válida", "")), IF(OR(O921="", O921=""), "[Aviso] Ciclo de vida no capturado ()", IF(ISNA(MATCH(O921, Criterios!$D$123:$D$124, 0)), "Ciclo de vida no válido", ""))))</f>
        <v/>
      </c>
      <c r="AC921" s="56" t="n"/>
      <c r="AD921" s="51" t="n">
        <v>0</v>
      </c>
      <c r="AE921" s="156" t="inlineStr">
        <is>
          <t>STETSON AMERICAS (1)</t>
        </is>
      </c>
      <c r="AF921" s="51" t="n">
        <v>1</v>
      </c>
      <c r="AG921" s="156" t="inlineStr">
        <is>
          <t>Catálogo existente</t>
        </is>
      </c>
      <c r="AH921" s="156" t="inlineStr">
        <is>
          <t>Revisión 29/09/2026: Campos sin respaldo: X | 01/10/2026: complementado desde Shopify Stetson México (match por código de barras): WB Fit, WB Silueta</t>
        </is>
      </c>
      <c r="AI921" s="156" t="inlineStr">
        <is>
          <t>Sí</t>
        </is>
      </c>
      <c r="AJ921" s="156" t="inlineStr">
        <is>
          <t>B25 CEDIS (-1)</t>
        </is>
      </c>
      <c r="AK921" s="155" t="inlineStr">
        <is>
          <t>Criterios: I [Q] | Shopify Stetson: producto 15227649917291 / variante 53791837323627</t>
        </is>
      </c>
      <c r="AL921" s="58" t="n">
        <v>3071.25</v>
      </c>
      <c r="AM921" s="58" t="n">
        <v>7413.793103</v>
      </c>
      <c r="AN921" s="155" t="inlineStr">
        <is>
          <t>Shopify Stetson México</t>
        </is>
      </c>
      <c r="AO921" s="59" t="n">
        <v>1</v>
      </c>
      <c r="AP921" s="59" t="n"/>
      <c r="AQ921" s="59" t="n"/>
      <c r="AR921" s="155" t="inlineStr">
        <is>
          <t>Shopify Stetson México › Stetson Americas: 1</t>
        </is>
      </c>
    </row>
    <row r="922">
      <c r="A922" s="50" t="inlineStr">
        <is>
          <t>195556172476</t>
        </is>
      </c>
      <c r="B922" s="51" t="inlineStr">
        <is>
          <t>117350</t>
        </is>
      </c>
      <c r="C922" s="156" t="inlineStr">
        <is>
          <t>Multimarca</t>
        </is>
      </c>
      <c r="D922" s="156" t="inlineStr">
        <is>
          <t>SFGUSS-504042</t>
        </is>
      </c>
      <c r="E922" s="156" t="inlineStr">
        <is>
          <t>SFGUSS-50404267</t>
        </is>
      </c>
      <c r="F922" s="156" t="inlineStr">
        <is>
          <t>6 7/8</t>
        </is>
      </c>
      <c r="G922" s="156" t="inlineStr">
        <is>
          <t>6 7/8</t>
        </is>
      </c>
      <c r="H922" s="156" t="inlineStr">
        <is>
          <t>Stetson</t>
        </is>
      </c>
      <c r="I922" s="156" t="inlineStr">
        <is>
          <t>Texana Stetson Gus 6X Cafe</t>
        </is>
      </c>
      <c r="J922" s="156" t="inlineStr">
        <is>
          <t>Accesorios</t>
        </is>
      </c>
      <c r="K922" s="156" t="inlineStr">
        <is>
          <t>Sombreros</t>
        </is>
      </c>
      <c r="L922" s="156" t="inlineStr">
        <is>
          <t>Unisex</t>
        </is>
      </c>
      <c r="M922" s="156" t="inlineStr">
        <is>
          <t>Stetson</t>
        </is>
      </c>
      <c r="N922" s="156" t="inlineStr">
        <is>
          <t>FW26</t>
        </is>
      </c>
      <c r="O922" s="156" t="inlineStr">
        <is>
          <t>Seasonal</t>
        </is>
      </c>
      <c r="P922" s="156" t="inlineStr">
        <is>
          <t>Cafe</t>
        </is>
      </c>
      <c r="Q922" s="156" t="n"/>
      <c r="R922" s="156" t="inlineStr">
        <is>
          <t>Copa Gus</t>
        </is>
      </c>
      <c r="S922" s="156" t="inlineStr">
        <is>
          <t>100% pelo de conejo</t>
        </is>
      </c>
      <c r="T922"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2" s="156" t="inlineStr">
        <is>
          <t>Estados Unidos</t>
        </is>
      </c>
      <c r="V922" s="156" t="inlineStr">
        <is>
          <t>PZS</t>
        </is>
      </c>
      <c r="W922" s="51" t="inlineStr">
        <is>
          <t>53102503</t>
        </is>
      </c>
      <c r="X922" s="156" t="n"/>
      <c r="Y922" s="54" t="n">
        <v>2992.5</v>
      </c>
      <c r="Z922" s="54" t="n">
        <v>7241.37931</v>
      </c>
      <c r="AA922" s="55">
        <f>IF(AND(A922="", B922="", E922=""), "", IF(AB922="", "Válido", IF((LEN(AB922)-LEN(SUBSTITUTE(AB922,"; ","")))/2+1&gt;(LEN(AB922)-LEN(SUBSTITUTE(AB922,"[Aviso]","")))/7, "Con Incidencias", "Válido")))</f>
        <v/>
      </c>
      <c r="AB922" s="56">
        <f>IF(AND(A922="", B922="", E922=""), "", TEXTJOIN("; ", TRUE, IF(OR(TRIM(A922&amp;"")="", ISNUMBER(SEARCH("FALTA", A922))), "UPC faltante/inválido", ""), IF(AND(A922&lt;&gt;"", IFERROR(_xlfn.XMATCH(A922,$A$2:$A$2509,0,1)&lt;&gt;_xlfn.XMATCH(A922,$A$2:$A$2509,0,-1),FALSE)), "Código de barras duplicado", ""), IF(AND(E922&lt;&gt;"", COUNTIF($E$2:$E$2509, E922)&gt;1), "SKU duplicado", ""), IF(OR(J922="", J922=""), "[Aviso] División no capturada ()", IF(ISNA(MATCH(J922, Criterios!$A$123:$A$126, 0)), "División no válida", "")), IF(OR(K922="", K922=""), "[Aviso] Categoría no capturada ()", IF(ISNA(MATCH(K922, Criterios!$A$81:$A$120, 0)), "Categoría no válida", IF(AND(J922&lt;&gt;"", J922&lt;&gt;"", J922&lt;&gt;VLOOKUP(K922, Criterios!$A$81:$B$120, 2, FALSE)), "División no coincide con Categoría", ""))), IF(OR(L922="", L922=""), "[Aviso] Género no capturado ()", IF(ISNA(MATCH(L922, Criterios!$B$123:$B$127, 0)), "Género no válido", "")), IF(OR(N922="", N922=""), "[Aviso] Temporada no capturada ()", IF(ISNA(MATCH(N922, Criterios!$C$123:$C$128, 0)), "Temporada no válida", "")), IF(OR(O922="", O922=""), "[Aviso] Ciclo de vida no capturado ()", IF(ISNA(MATCH(O922, Criterios!$D$123:$D$124, 0)), "Ciclo de vida no válido", ""))))</f>
        <v/>
      </c>
      <c r="AC922" s="56" t="n"/>
      <c r="AD922" s="51" t="n">
        <v>-1</v>
      </c>
      <c r="AE922" s="156" t="n"/>
      <c r="AF922" s="51" t="n">
        <v>0</v>
      </c>
      <c r="AG922" s="156" t="inlineStr">
        <is>
          <t>Catálogo existente</t>
        </is>
      </c>
      <c r="AH922" s="156" t="inlineStr">
        <is>
          <t>Stock negativo en sistema: revisar en conteo | Revisión 29/09/2026: Campos sin respaldo: X | 01/10/2026: complementado desde Shopify Stetson México (match por código de barras): WB Fit, WB Silueta</t>
        </is>
      </c>
      <c r="AI922" s="156" t="inlineStr">
        <is>
          <t>Sí</t>
        </is>
      </c>
      <c r="AJ922" s="156" t="inlineStr">
        <is>
          <t>B25 CEDIS (-1)</t>
        </is>
      </c>
      <c r="AK922" s="155" t="inlineStr">
        <is>
          <t>Criterios: I [Q] | Shopify Stetson: producto 15227649687915 / variante 53791836766571</t>
        </is>
      </c>
      <c r="AL922" s="58" t="n">
        <v>2992.5</v>
      </c>
      <c r="AM922" s="58" t="n">
        <v>7241.37931</v>
      </c>
      <c r="AN922" s="155" t="inlineStr">
        <is>
          <t>Shopify Stetson México</t>
        </is>
      </c>
      <c r="AO922" s="59" t="n">
        <v>0</v>
      </c>
      <c r="AP922" s="59" t="n"/>
      <c r="AQ922" s="59" t="n"/>
      <c r="AR922" s="155" t="n"/>
    </row>
    <row r="923">
      <c r="A923" s="50" t="inlineStr">
        <is>
          <t>195556172506</t>
        </is>
      </c>
      <c r="B923" s="51" t="inlineStr">
        <is>
          <t>117351</t>
        </is>
      </c>
      <c r="C923" s="156" t="inlineStr">
        <is>
          <t>Multimarca</t>
        </is>
      </c>
      <c r="D923" s="156" t="inlineStr">
        <is>
          <t>SFGUSS-504042</t>
        </is>
      </c>
      <c r="E923" s="156" t="inlineStr">
        <is>
          <t>SFGUSS-50404270</t>
        </is>
      </c>
      <c r="F923" s="156" t="inlineStr">
        <is>
          <t>7</t>
        </is>
      </c>
      <c r="G923" s="156" t="inlineStr">
        <is>
          <t>7</t>
        </is>
      </c>
      <c r="H923" s="156" t="inlineStr">
        <is>
          <t>Stetson</t>
        </is>
      </c>
      <c r="I923" s="156" t="inlineStr">
        <is>
          <t>Texana Stetson Gus 6X Cafe</t>
        </is>
      </c>
      <c r="J923" s="156" t="inlineStr">
        <is>
          <t>Accesorios</t>
        </is>
      </c>
      <c r="K923" s="156" t="inlineStr">
        <is>
          <t>Sombreros</t>
        </is>
      </c>
      <c r="L923" s="156" t="inlineStr">
        <is>
          <t>Unisex</t>
        </is>
      </c>
      <c r="M923" s="156" t="inlineStr">
        <is>
          <t>Stetson</t>
        </is>
      </c>
      <c r="N923" s="156" t="inlineStr">
        <is>
          <t>FW26</t>
        </is>
      </c>
      <c r="O923" s="156" t="inlineStr">
        <is>
          <t>Seasonal</t>
        </is>
      </c>
      <c r="P923" s="156" t="inlineStr">
        <is>
          <t>Cafe</t>
        </is>
      </c>
      <c r="Q923" s="156" t="n"/>
      <c r="R923" s="156" t="inlineStr">
        <is>
          <t>Copa Gus</t>
        </is>
      </c>
      <c r="S923" s="156" t="inlineStr">
        <is>
          <t>100% pelo de conejo</t>
        </is>
      </c>
      <c r="T923"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3" s="156" t="inlineStr">
        <is>
          <t>Estados Unidos</t>
        </is>
      </c>
      <c r="V923" s="156" t="inlineStr">
        <is>
          <t>PZS</t>
        </is>
      </c>
      <c r="W923" s="51" t="inlineStr">
        <is>
          <t>53102503</t>
        </is>
      </c>
      <c r="X923" s="156" t="n"/>
      <c r="Y923" s="54" t="n">
        <v>2992.5</v>
      </c>
      <c r="Z923" s="54" t="n">
        <v>7241.37931</v>
      </c>
      <c r="AA923" s="55">
        <f>IF(AND(A923="", B923="", E923=""), "", IF(AB923="", "Válido", IF((LEN(AB923)-LEN(SUBSTITUTE(AB923,"; ","")))/2+1&gt;(LEN(AB923)-LEN(SUBSTITUTE(AB923,"[Aviso]","")))/7, "Con Incidencias", "Válido")))</f>
        <v/>
      </c>
      <c r="AB923" s="56">
        <f>IF(AND(A923="", B923="", E923=""), "", TEXTJOIN("; ", TRUE, IF(OR(TRIM(A923&amp;"")="", ISNUMBER(SEARCH("FALTA", A923))), "UPC faltante/inválido", ""), IF(AND(A923&lt;&gt;"", IFERROR(_xlfn.XMATCH(A923,$A$2:$A$2509,0,1)&lt;&gt;_xlfn.XMATCH(A923,$A$2:$A$2509,0,-1),FALSE)), "Código de barras duplicado", ""), IF(AND(E923&lt;&gt;"", COUNTIF($E$2:$E$2509, E923)&gt;1), "SKU duplicado", ""), IF(OR(J923="", J923=""), "[Aviso] División no capturada ()", IF(ISNA(MATCH(J923, Criterios!$A$123:$A$126, 0)), "División no válida", "")), IF(OR(K923="", K923=""), "[Aviso] Categoría no capturada ()", IF(ISNA(MATCH(K923, Criterios!$A$81:$A$120, 0)), "Categoría no válida", IF(AND(J923&lt;&gt;"", J923&lt;&gt;"", J923&lt;&gt;VLOOKUP(K923, Criterios!$A$81:$B$120, 2, FALSE)), "División no coincide con Categoría", ""))), IF(OR(L923="", L923=""), "[Aviso] Género no capturado ()", IF(ISNA(MATCH(L923, Criterios!$B$123:$B$127, 0)), "Género no válido", "")), IF(OR(N923="", N923=""), "[Aviso] Temporada no capturada ()", IF(ISNA(MATCH(N923, Criterios!$C$123:$C$128, 0)), "Temporada no válida", "")), IF(OR(O923="", O923=""), "[Aviso] Ciclo de vida no capturado ()", IF(ISNA(MATCH(O923, Criterios!$D$123:$D$124, 0)), "Ciclo de vida no válido", ""))))</f>
        <v/>
      </c>
      <c r="AC923" s="56" t="n"/>
      <c r="AD923" s="51" t="n">
        <v>-1</v>
      </c>
      <c r="AE923" s="156" t="n"/>
      <c r="AF923" s="51" t="n">
        <v>0</v>
      </c>
      <c r="AG923" s="156" t="inlineStr">
        <is>
          <t>Catálogo existente</t>
        </is>
      </c>
      <c r="AH923" s="156" t="inlineStr">
        <is>
          <t>Stock negativo en sistema: revisar en conteo | Revisión 29/09/2026: Campos sin respaldo: X | 01/10/2026: complementado desde Shopify Stetson México (match por código de barras): WB Fit, WB Silueta</t>
        </is>
      </c>
      <c r="AI923" s="156" t="inlineStr">
        <is>
          <t>Sí</t>
        </is>
      </c>
      <c r="AJ923" s="156" t="inlineStr">
        <is>
          <t>B25 CEDIS (-1)</t>
        </is>
      </c>
      <c r="AK923" s="155" t="inlineStr">
        <is>
          <t>Criterios: I [Q] | Shopify Stetson: producto 15227649687915 / variante 53791836799339</t>
        </is>
      </c>
      <c r="AL923" s="58" t="n">
        <v>2992.5</v>
      </c>
      <c r="AM923" s="58" t="n">
        <v>7241.37931</v>
      </c>
      <c r="AN923" s="155" t="inlineStr">
        <is>
          <t>Shopify Stetson México</t>
        </is>
      </c>
      <c r="AO923" s="59" t="n">
        <v>0</v>
      </c>
      <c r="AP923" s="59" t="n"/>
      <c r="AQ923" s="59" t="n"/>
      <c r="AR923" s="155" t="n"/>
    </row>
    <row r="924">
      <c r="A924" s="50" t="inlineStr">
        <is>
          <t>195556172537</t>
        </is>
      </c>
      <c r="B924" s="51" t="inlineStr">
        <is>
          <t>117352</t>
        </is>
      </c>
      <c r="C924" s="156" t="inlineStr">
        <is>
          <t>Multimarca</t>
        </is>
      </c>
      <c r="D924" s="156" t="inlineStr">
        <is>
          <t>SFGUSS-504042</t>
        </is>
      </c>
      <c r="E924" s="156" t="inlineStr">
        <is>
          <t>SFGUSS-50404271</t>
        </is>
      </c>
      <c r="F924" s="156" t="inlineStr">
        <is>
          <t>7 1/8</t>
        </is>
      </c>
      <c r="G924" s="156" t="inlineStr">
        <is>
          <t>7 1/8</t>
        </is>
      </c>
      <c r="H924" s="156" t="inlineStr">
        <is>
          <t>Stetson</t>
        </is>
      </c>
      <c r="I924" s="156" t="inlineStr">
        <is>
          <t>Texana Stetson Gus 6X Cafe</t>
        </is>
      </c>
      <c r="J924" s="156" t="inlineStr">
        <is>
          <t>Accesorios</t>
        </is>
      </c>
      <c r="K924" s="156" t="inlineStr">
        <is>
          <t>Sombreros</t>
        </is>
      </c>
      <c r="L924" s="156" t="inlineStr">
        <is>
          <t>Unisex</t>
        </is>
      </c>
      <c r="M924" s="156" t="inlineStr">
        <is>
          <t>Stetson</t>
        </is>
      </c>
      <c r="N924" s="156" t="inlineStr">
        <is>
          <t>FW26</t>
        </is>
      </c>
      <c r="O924" s="156" t="inlineStr">
        <is>
          <t>Seasonal</t>
        </is>
      </c>
      <c r="P924" s="156" t="inlineStr">
        <is>
          <t>Cafe</t>
        </is>
      </c>
      <c r="Q924" s="156" t="n"/>
      <c r="R924" s="156" t="inlineStr">
        <is>
          <t>Copa Gus</t>
        </is>
      </c>
      <c r="S924" s="156" t="inlineStr">
        <is>
          <t>100% pelo de conejo</t>
        </is>
      </c>
      <c r="T924"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4" s="156" t="inlineStr">
        <is>
          <t>Estados Unidos</t>
        </is>
      </c>
      <c r="V924" s="156" t="inlineStr">
        <is>
          <t>PZS</t>
        </is>
      </c>
      <c r="W924" s="51" t="inlineStr">
        <is>
          <t>53102503</t>
        </is>
      </c>
      <c r="X924" s="156" t="n"/>
      <c r="Y924" s="54" t="n">
        <v>2992.5</v>
      </c>
      <c r="Z924" s="54" t="n">
        <v>7241.37931</v>
      </c>
      <c r="AA924" s="55">
        <f>IF(AND(A924="", B924="", E924=""), "", IF(AB924="", "Válido", IF((LEN(AB924)-LEN(SUBSTITUTE(AB924,"; ","")))/2+1&gt;(LEN(AB924)-LEN(SUBSTITUTE(AB924,"[Aviso]","")))/7, "Con Incidencias", "Válido")))</f>
        <v/>
      </c>
      <c r="AB924" s="56">
        <f>IF(AND(A924="", B924="", E924=""), "", TEXTJOIN("; ", TRUE, IF(OR(TRIM(A924&amp;"")="", ISNUMBER(SEARCH("FALTA", A924))), "UPC faltante/inválido", ""), IF(AND(A924&lt;&gt;"", IFERROR(_xlfn.XMATCH(A924,$A$2:$A$2509,0,1)&lt;&gt;_xlfn.XMATCH(A924,$A$2:$A$2509,0,-1),FALSE)), "Código de barras duplicado", ""), IF(AND(E924&lt;&gt;"", COUNTIF($E$2:$E$2509, E924)&gt;1), "SKU duplicado", ""), IF(OR(J924="", J924=""), "[Aviso] División no capturada ()", IF(ISNA(MATCH(J924, Criterios!$A$123:$A$126, 0)), "División no válida", "")), IF(OR(K924="", K924=""), "[Aviso] Categoría no capturada ()", IF(ISNA(MATCH(K924, Criterios!$A$81:$A$120, 0)), "Categoría no válida", IF(AND(J924&lt;&gt;"", J924&lt;&gt;"", J924&lt;&gt;VLOOKUP(K924, Criterios!$A$81:$B$120, 2, FALSE)), "División no coincide con Categoría", ""))), IF(OR(L924="", L924=""), "[Aviso] Género no capturado ()", IF(ISNA(MATCH(L924, Criterios!$B$123:$B$127, 0)), "Género no válido", "")), IF(OR(N924="", N924=""), "[Aviso] Temporada no capturada ()", IF(ISNA(MATCH(N924, Criterios!$C$123:$C$128, 0)), "Temporada no válida", "")), IF(OR(O924="", O924=""), "[Aviso] Ciclo de vida no capturado ()", IF(ISNA(MATCH(O924, Criterios!$D$123:$D$124, 0)), "Ciclo de vida no válido", ""))))</f>
        <v/>
      </c>
      <c r="AC924" s="56" t="n"/>
      <c r="AD924" s="51" t="n">
        <v>-1</v>
      </c>
      <c r="AE924" s="156" t="n"/>
      <c r="AF924" s="51" t="n">
        <v>0</v>
      </c>
      <c r="AG924" s="156" t="inlineStr">
        <is>
          <t>Catálogo existente</t>
        </is>
      </c>
      <c r="AH924" s="156" t="inlineStr">
        <is>
          <t>Revisión 29/09/2026: Campos sin respaldo: X | 01/10/2026: complementado desde Shopify Stetson México (match por código de barras): WB Fit, WB Silueta</t>
        </is>
      </c>
      <c r="AI924" s="156" t="inlineStr">
        <is>
          <t>Sí</t>
        </is>
      </c>
      <c r="AJ924" s="156" t="inlineStr">
        <is>
          <t>B25 CEDIS (-1)</t>
        </is>
      </c>
      <c r="AK924" s="155" t="inlineStr">
        <is>
          <t>Criterios: I [Q] | Shopify Stetson: producto 15227649687915 / variante 53791836832107</t>
        </is>
      </c>
      <c r="AL924" s="58" t="n">
        <v>2992.5</v>
      </c>
      <c r="AM924" s="58" t="n">
        <v>7241.37931</v>
      </c>
      <c r="AN924" s="155" t="inlineStr">
        <is>
          <t>Shopify Stetson México</t>
        </is>
      </c>
      <c r="AO924" s="59" t="n">
        <v>0</v>
      </c>
      <c r="AP924" s="59" t="n"/>
      <c r="AQ924" s="59" t="n"/>
      <c r="AR924" s="155" t="n"/>
    </row>
    <row r="925">
      <c r="A925" s="50" t="inlineStr">
        <is>
          <t>196070138054</t>
        </is>
      </c>
      <c r="B925" s="51" t="inlineStr">
        <is>
          <t>110904</t>
        </is>
      </c>
      <c r="C925" s="156" t="inlineStr">
        <is>
          <t>Multimarca</t>
        </is>
      </c>
      <c r="D925" s="156" t="inlineStr">
        <is>
          <t>11-098-0594-0075</t>
        </is>
      </c>
      <c r="E925" s="156" t="inlineStr">
        <is>
          <t>11-098-0594-0075-M</t>
        </is>
      </c>
      <c r="F925" s="156" t="inlineStr">
        <is>
          <t>M</t>
        </is>
      </c>
      <c r="G925" s="156" t="inlineStr">
        <is>
          <t>M</t>
        </is>
      </c>
      <c r="H925" s="156" t="inlineStr">
        <is>
          <t>Stetson</t>
        </is>
      </c>
      <c r="I925" s="156" t="inlineStr">
        <is>
          <t>Chamarra Denim con Forro Sherpa</t>
        </is>
      </c>
      <c r="J925" s="156" t="inlineStr">
        <is>
          <t>Ropa</t>
        </is>
      </c>
      <c r="K925" s="156" t="inlineStr">
        <is>
          <t>Chamarras</t>
        </is>
      </c>
      <c r="L925" s="156" t="inlineStr">
        <is>
          <t>Mujer</t>
        </is>
      </c>
      <c r="M925" s="156" t="inlineStr">
        <is>
          <t>Stetson</t>
        </is>
      </c>
      <c r="N925" s="156" t="inlineStr">
        <is>
          <t>SS26</t>
        </is>
      </c>
      <c r="O925" s="156" t="inlineStr">
        <is>
          <t>Seasonal</t>
        </is>
      </c>
      <c r="P925" s="156" t="inlineStr">
        <is>
          <t>Azul</t>
        </is>
      </c>
      <c r="Q925" s="156" t="inlineStr">
        <is>
          <t>Regular</t>
        </is>
      </c>
      <c r="R925" s="156" t="n"/>
      <c r="S925" s="156" t="inlineStr">
        <is>
          <t>100% Algodón</t>
        </is>
      </c>
      <c r="T925" s="156" t="inlineStr">
        <is>
          <t>Chamarra Denim con Forro Sherpa Regular</t>
        </is>
      </c>
      <c r="U925" s="156" t="n"/>
      <c r="V925" s="156" t="inlineStr">
        <is>
          <t>PZS</t>
        </is>
      </c>
      <c r="W925" s="51" t="inlineStr">
        <is>
          <t>53101804</t>
        </is>
      </c>
      <c r="X925" s="156" t="n"/>
      <c r="Y925" s="54" t="n">
        <v>1125</v>
      </c>
      <c r="Z925" s="54" t="n">
        <v>2500</v>
      </c>
      <c r="AA925" s="55">
        <f>IF(AND(A925="", B925="", E925=""), "", IF(AB925="", "Válido", IF((LEN(AB925)-LEN(SUBSTITUTE(AB925,"; ","")))/2+1&gt;(LEN(AB925)-LEN(SUBSTITUTE(AB925,"[Aviso]","")))/7, "Con Incidencias", "Válido")))</f>
        <v/>
      </c>
      <c r="AB925" s="56">
        <f>IF(AND(A925="", B925="", E925=""), "", TEXTJOIN("; ", TRUE, IF(OR(TRIM(A925&amp;"")="", ISNUMBER(SEARCH("FALTA", A925))), "UPC faltante/inválido", ""), IF(AND(A925&lt;&gt;"", IFERROR(_xlfn.XMATCH(A925,$A$2:$A$2509,0,1)&lt;&gt;_xlfn.XMATCH(A925,$A$2:$A$2509,0,-1),FALSE)), "Código de barras duplicado", ""), IF(AND(E925&lt;&gt;"", COUNTIF($E$2:$E$2509, E925)&gt;1), "SKU duplicado", ""), IF(OR(J925="", J925=""), "[Aviso] División no capturada ()", IF(ISNA(MATCH(J925, Criterios!$A$123:$A$126, 0)), "División no válida", "")), IF(OR(K925="", K925=""), "[Aviso] Categoría no capturada ()", IF(ISNA(MATCH(K925, Criterios!$A$81:$A$120, 0)), "Categoría no válida", IF(AND(J925&lt;&gt;"", J925&lt;&gt;"", J925&lt;&gt;VLOOKUP(K925, Criterios!$A$81:$B$120, 2, FALSE)), "División no coincide con Categoría", ""))), IF(OR(L925="", L925=""), "[Aviso] Género no capturado ()", IF(ISNA(MATCH(L925, Criterios!$B$123:$B$127, 0)), "Género no válido", "")), IF(OR(N925="", N925=""), "[Aviso] Temporada no capturada ()", IF(ISNA(MATCH(N925, Criterios!$C$123:$C$128, 0)), "Temporada no válida", "")), IF(OR(O925="", O925=""), "[Aviso] Ciclo de vida no capturado ()", IF(ISNA(MATCH(O925, Criterios!$D$123:$D$124, 0)), "Ciclo de vida no válido", ""))))</f>
        <v/>
      </c>
      <c r="AC925" s="56" t="n"/>
      <c r="AD925" s="51" t="n">
        <v>0</v>
      </c>
      <c r="AE925" s="156" t="n"/>
      <c r="AF925" s="51" t="n">
        <v>0</v>
      </c>
      <c r="AG925" s="156" t="inlineStr">
        <is>
          <t>Catálogo existente</t>
        </is>
      </c>
      <c r="AH925"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925" s="156" t="inlineStr">
        <is>
          <t>No</t>
        </is>
      </c>
      <c r="AJ925" s="156" t="n"/>
      <c r="AK925" s="155" t="inlineStr">
        <is>
          <t>ProductosCatalogoEstandar907.xlsx: fila 50021 [U] | Criterios: J [R]; G1522_Extraccion_Articulos_NetSuite_2026-09-30.xlsx: fila 58646 [V,S] | Shopify Stetson: producto 15051553472875 / variante 53350587793771 | Odoo: producto 29726 / plantilla 38430</t>
        </is>
      </c>
      <c r="AL925" s="58" t="n">
        <v>1125</v>
      </c>
      <c r="AM925" s="58" t="n">
        <v>2500</v>
      </c>
      <c r="AN925" s="155" t="inlineStr">
        <is>
          <t>Shopify Stetson México | Odoo Universal Unique Brands</t>
        </is>
      </c>
      <c r="AO925" s="59" t="n">
        <v>2</v>
      </c>
      <c r="AP925" s="59" t="n"/>
      <c r="AQ925" s="59" t="n">
        <v>2</v>
      </c>
      <c r="AR925" s="155" t="inlineStr">
        <is>
          <t>Shopify Stetson México › Stetson Americas: 2 | Odoo Universal Unique Brands › Bodega 25 › Bodega 25/General: 2</t>
        </is>
      </c>
    </row>
    <row r="926">
      <c r="A926" s="50" t="inlineStr">
        <is>
          <t>196070138061</t>
        </is>
      </c>
      <c r="B926" s="51" t="inlineStr">
        <is>
          <t>110905</t>
        </is>
      </c>
      <c r="C926" s="156" t="inlineStr">
        <is>
          <t>Multimarca</t>
        </is>
      </c>
      <c r="D926" s="156" t="inlineStr">
        <is>
          <t>11-098-0594-0075</t>
        </is>
      </c>
      <c r="E926" s="156" t="inlineStr">
        <is>
          <t>11-098-0594-0075-S</t>
        </is>
      </c>
      <c r="F926" s="156" t="inlineStr">
        <is>
          <t>S</t>
        </is>
      </c>
      <c r="G926" s="156" t="inlineStr">
        <is>
          <t>S</t>
        </is>
      </c>
      <c r="H926" s="156" t="inlineStr">
        <is>
          <t>Stetson</t>
        </is>
      </c>
      <c r="I926" s="156" t="inlineStr">
        <is>
          <t>Chamarra Denim con Forro Sherpa</t>
        </is>
      </c>
      <c r="J926" s="156" t="inlineStr">
        <is>
          <t>Ropa</t>
        </is>
      </c>
      <c r="K926" s="156" t="inlineStr">
        <is>
          <t>Chamarras</t>
        </is>
      </c>
      <c r="L926" s="156" t="inlineStr">
        <is>
          <t>Mujer</t>
        </is>
      </c>
      <c r="M926" s="156" t="inlineStr">
        <is>
          <t>Stetson</t>
        </is>
      </c>
      <c r="N926" s="156" t="inlineStr">
        <is>
          <t>SS26</t>
        </is>
      </c>
      <c r="O926" s="156" t="inlineStr">
        <is>
          <t>Seasonal</t>
        </is>
      </c>
      <c r="P926" s="156" t="inlineStr">
        <is>
          <t>Azul</t>
        </is>
      </c>
      <c r="Q926" s="156" t="inlineStr">
        <is>
          <t>Regular</t>
        </is>
      </c>
      <c r="R926" s="156" t="n"/>
      <c r="S926" s="156" t="inlineStr">
        <is>
          <t>100% Algodón</t>
        </is>
      </c>
      <c r="T926" s="156" t="inlineStr">
        <is>
          <t>Chamarra Denim con Forro Sherpa Regular</t>
        </is>
      </c>
      <c r="U926" s="156" t="n"/>
      <c r="V926" s="156" t="inlineStr">
        <is>
          <t>PZS</t>
        </is>
      </c>
      <c r="W926" s="51" t="inlineStr">
        <is>
          <t>53101804</t>
        </is>
      </c>
      <c r="X926" s="156" t="n"/>
      <c r="Y926" s="54" t="n">
        <v>1125</v>
      </c>
      <c r="Z926" s="54" t="n">
        <v>2500</v>
      </c>
      <c r="AA926" s="55">
        <f>IF(AND(A926="", B926="", E926=""), "", IF(AB926="", "Válido", IF((LEN(AB926)-LEN(SUBSTITUTE(AB926,"; ","")))/2+1&gt;(LEN(AB926)-LEN(SUBSTITUTE(AB926,"[Aviso]","")))/7, "Con Incidencias", "Válido")))</f>
        <v/>
      </c>
      <c r="AB926" s="56">
        <f>IF(AND(A926="", B926="", E926=""), "", TEXTJOIN("; ", TRUE, IF(OR(TRIM(A926&amp;"")="", ISNUMBER(SEARCH("FALTA", A926))), "UPC faltante/inválido", ""), IF(AND(A926&lt;&gt;"", IFERROR(_xlfn.XMATCH(A926,$A$2:$A$2509,0,1)&lt;&gt;_xlfn.XMATCH(A926,$A$2:$A$2509,0,-1),FALSE)), "Código de barras duplicado", ""), IF(AND(E926&lt;&gt;"", COUNTIF($E$2:$E$2509, E926)&gt;1), "SKU duplicado", ""), IF(OR(J926="", J926=""), "[Aviso] División no capturada ()", IF(ISNA(MATCH(J926, Criterios!$A$123:$A$126, 0)), "División no válida", "")), IF(OR(K926="", K926=""), "[Aviso] Categoría no capturada ()", IF(ISNA(MATCH(K926, Criterios!$A$81:$A$120, 0)), "Categoría no válida", IF(AND(J926&lt;&gt;"", J926&lt;&gt;"", J926&lt;&gt;VLOOKUP(K926, Criterios!$A$81:$B$120, 2, FALSE)), "División no coincide con Categoría", ""))), IF(OR(L926="", L926=""), "[Aviso] Género no capturado ()", IF(ISNA(MATCH(L926, Criterios!$B$123:$B$127, 0)), "Género no válido", "")), IF(OR(N926="", N926=""), "[Aviso] Temporada no capturada ()", IF(ISNA(MATCH(N926, Criterios!$C$123:$C$128, 0)), "Temporada no válida", "")), IF(OR(O926="", O926=""), "[Aviso] Ciclo de vida no capturado ()", IF(ISNA(MATCH(O926, Criterios!$D$123:$D$124, 0)), "Ciclo de vida no válido", ""))))</f>
        <v/>
      </c>
      <c r="AC926" s="56" t="n"/>
      <c r="AD926" s="51" t="n">
        <v>-2</v>
      </c>
      <c r="AE926" s="156" t="n"/>
      <c r="AF926" s="51" t="n">
        <v>0</v>
      </c>
      <c r="AG926" s="156" t="inlineStr">
        <is>
          <t>Catálogo existente</t>
        </is>
      </c>
      <c r="AH926"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926" s="156" t="inlineStr">
        <is>
          <t>Sí</t>
        </is>
      </c>
      <c r="AJ926" s="156" t="inlineStr">
        <is>
          <t>STETSON AMERICAS (-2)</t>
        </is>
      </c>
      <c r="AK926" s="155" t="inlineStr">
        <is>
          <t>ProductosCatalogoEstandar907.xlsx: fila 50022 [U] | Criterios: J [R]; G1522_Extraccion_Articulos_NetSuite_2026-09-30.xlsx: fila 58647 [V,S] | Shopify Stetson: producto 15051553472875 / variante 53350587761003 | Odoo: producto 29725 / plantilla 38429</t>
        </is>
      </c>
      <c r="AL926" s="58" t="n">
        <v>1125</v>
      </c>
      <c r="AM926" s="58" t="n">
        <v>2500</v>
      </c>
      <c r="AN926" s="155" t="inlineStr">
        <is>
          <t>Shopify Stetson México | Odoo Universal Unique Brands</t>
        </is>
      </c>
      <c r="AO926" s="59" t="n">
        <v>0</v>
      </c>
      <c r="AP926" s="59" t="n"/>
      <c r="AQ926" s="59" t="n">
        <v>2</v>
      </c>
      <c r="AR926" s="155" t="inlineStr">
        <is>
          <t>Odoo Universal Unique Brands › Bodega 25 › Bodega 25/General: 2</t>
        </is>
      </c>
    </row>
    <row r="927">
      <c r="A927" s="50" t="inlineStr">
        <is>
          <t>196070185133</t>
        </is>
      </c>
      <c r="B927" s="51" t="inlineStr">
        <is>
          <t>110715</t>
        </is>
      </c>
      <c r="C927" s="156" t="inlineStr">
        <is>
          <t>Multimarca</t>
        </is>
      </c>
      <c r="D927" s="156" t="inlineStr">
        <is>
          <t>11-054-0816-1322</t>
        </is>
      </c>
      <c r="E927" s="156" t="inlineStr">
        <is>
          <t>11-054-0816-1322-0R</t>
        </is>
      </c>
      <c r="F927" s="156" t="inlineStr">
        <is>
          <t>3</t>
        </is>
      </c>
      <c r="G927" s="156" t="inlineStr">
        <is>
          <t>0</t>
        </is>
      </c>
      <c r="H927" s="156" t="inlineStr">
        <is>
          <t>Stetson</t>
        </is>
      </c>
      <c r="I927" s="156" t="inlineStr">
        <is>
          <t>Jean Mujer Bolsa Decorativa Hilo Azul</t>
        </is>
      </c>
      <c r="J927" s="156" t="inlineStr">
        <is>
          <t>Denim</t>
        </is>
      </c>
      <c r="K927" s="156" t="inlineStr">
        <is>
          <t>Jeans</t>
        </is>
      </c>
      <c r="L927" s="156" t="inlineStr">
        <is>
          <t>Mujer</t>
        </is>
      </c>
      <c r="M927" s="156" t="inlineStr">
        <is>
          <t>Stetson</t>
        </is>
      </c>
      <c r="N927" s="156" t="inlineStr">
        <is>
          <t>SS26</t>
        </is>
      </c>
      <c r="O927" s="156" t="inlineStr">
        <is>
          <t>Seasonal</t>
        </is>
      </c>
      <c r="P927" s="156" t="inlineStr">
        <is>
          <t>Azul</t>
        </is>
      </c>
      <c r="Q927" s="156" t="inlineStr">
        <is>
          <t>Slim</t>
        </is>
      </c>
      <c r="R927" s="156" t="inlineStr">
        <is>
          <t>Recto</t>
        </is>
      </c>
      <c r="S927" s="156" t="inlineStr">
        <is>
          <t>98% Algodón 2% Elastano</t>
        </is>
      </c>
      <c r="T927" s="156" t="inlineStr">
        <is>
          <t>Jean Mujer Bolsa Decorativa Hilo Azul Slim por Muslos</t>
        </is>
      </c>
      <c r="U927" s="156" t="n"/>
      <c r="V927" s="156" t="inlineStr">
        <is>
          <t>PZS</t>
        </is>
      </c>
      <c r="W927" s="51" t="inlineStr">
        <is>
          <t>53101503</t>
        </is>
      </c>
      <c r="X927" s="156" t="n"/>
      <c r="Y927" s="54" t="n">
        <v>814.6551724</v>
      </c>
      <c r="Z927" s="54" t="n">
        <v>1810.344828</v>
      </c>
      <c r="AA927" s="55">
        <f>IF(AND(A927="", B927="", E927=""), "", IF(AB927="", "Válido", IF((LEN(AB927)-LEN(SUBSTITUTE(AB927,"; ","")))/2+1&gt;(LEN(AB927)-LEN(SUBSTITUTE(AB927,"[Aviso]","")))/7, "Con Incidencias", "Válido")))</f>
        <v/>
      </c>
      <c r="AB927" s="56">
        <f>IF(AND(A927="", B927="", E927=""), "", TEXTJOIN("; ", TRUE, IF(OR(TRIM(A927&amp;"")="", ISNUMBER(SEARCH("FALTA", A927))), "UPC faltante/inválido", ""), IF(AND(A927&lt;&gt;"", IFERROR(_xlfn.XMATCH(A927,$A$2:$A$2509,0,1)&lt;&gt;_xlfn.XMATCH(A927,$A$2:$A$2509,0,-1),FALSE)), "Código de barras duplicado", ""), IF(AND(E927&lt;&gt;"", COUNTIF($E$2:$E$2509, E927)&gt;1), "SKU duplicado", ""), IF(OR(J927="", J927=""), "[Aviso] División no capturada ()", IF(ISNA(MATCH(J927, Criterios!$A$123:$A$126, 0)), "División no válida", "")), IF(OR(K927="", K927=""), "[Aviso] Categoría no capturada ()", IF(ISNA(MATCH(K927, Criterios!$A$81:$A$120, 0)), "Categoría no válida", IF(AND(J927&lt;&gt;"", J927&lt;&gt;"", J927&lt;&gt;VLOOKUP(K927, Criterios!$A$81:$B$120, 2, FALSE)), "División no coincide con Categoría", ""))), IF(OR(L927="", L927=""), "[Aviso] Género no capturado ()", IF(ISNA(MATCH(L927, Criterios!$B$123:$B$127, 0)), "Género no válido", "")), IF(OR(N927="", N927=""), "[Aviso] Temporada no capturada ()", IF(ISNA(MATCH(N927, Criterios!$C$123:$C$128, 0)), "Temporada no válida", "")), IF(OR(O927="", O927=""), "[Aviso] Ciclo de vida no capturado ()", IF(ISNA(MATCH(O927, Criterios!$D$123:$D$124, 0)), "Ciclo de vida no válido", ""))))</f>
        <v/>
      </c>
      <c r="AC927" s="56" t="n"/>
      <c r="AD927" s="51" t="n">
        <v>-2</v>
      </c>
      <c r="AE927" s="156" t="n"/>
      <c r="AF927" s="51" t="n">
        <v>0</v>
      </c>
      <c r="AG927" s="156" t="inlineStr">
        <is>
          <t>Catálogo existente</t>
        </is>
      </c>
      <c r="AH927" s="156" t="inlineStr">
        <is>
          <t>Stock negativo en sistema: revisar en conteo</t>
        </is>
      </c>
      <c r="AI927" s="156" t="inlineStr">
        <is>
          <t>Sí</t>
        </is>
      </c>
      <c r="AJ927" s="156" t="inlineStr">
        <is>
          <t>STETSON AMERICAS (-2)</t>
        </is>
      </c>
      <c r="AK927" s="155" t="inlineStr">
        <is>
          <t>Shopify Stetson: producto 15051555438955 / variante 53342130700651 | Odoo: producto 29934 / plantilla 38638</t>
        </is>
      </c>
      <c r="AL927" s="58" t="n">
        <v>814.6551724</v>
      </c>
      <c r="AM927" s="58" t="n">
        <v>1810.344828</v>
      </c>
      <c r="AN927" s="155" t="inlineStr">
        <is>
          <t>Shopify Stetson México | Odoo Universal Unique Brands</t>
        </is>
      </c>
      <c r="AO927" s="59" t="n">
        <v>0</v>
      </c>
      <c r="AP927" s="59" t="n"/>
      <c r="AQ927" s="59" t="n">
        <v>2</v>
      </c>
      <c r="AR927" s="155" t="inlineStr">
        <is>
          <t>Odoo Universal Unique Brands › Bodega 25 › Bodega 25/General: 2</t>
        </is>
      </c>
    </row>
    <row r="928">
      <c r="A928" s="50" t="inlineStr">
        <is>
          <t>196070185218</t>
        </is>
      </c>
      <c r="B928" s="51" t="inlineStr">
        <is>
          <t>110716</t>
        </is>
      </c>
      <c r="C928" s="156" t="inlineStr">
        <is>
          <t>Multimarca</t>
        </is>
      </c>
      <c r="D928" s="156" t="inlineStr">
        <is>
          <t>11-054-0816-1322</t>
        </is>
      </c>
      <c r="E928" s="156" t="inlineStr">
        <is>
          <t>11-054-0816-1322-10R</t>
        </is>
      </c>
      <c r="F928" s="156" t="inlineStr">
        <is>
          <t>13</t>
        </is>
      </c>
      <c r="G928" s="156" t="inlineStr">
        <is>
          <t>10</t>
        </is>
      </c>
      <c r="H928" s="156" t="inlineStr">
        <is>
          <t>Stetson</t>
        </is>
      </c>
      <c r="I928" s="156" t="inlineStr">
        <is>
          <t>Jean Mujer Bolsa Decorativa Hilo Azul</t>
        </is>
      </c>
      <c r="J928" s="156" t="inlineStr">
        <is>
          <t>Denim</t>
        </is>
      </c>
      <c r="K928" s="156" t="inlineStr">
        <is>
          <t>Jeans</t>
        </is>
      </c>
      <c r="L928" s="156" t="inlineStr">
        <is>
          <t>Mujer</t>
        </is>
      </c>
      <c r="M928" s="156" t="inlineStr">
        <is>
          <t>Stetson</t>
        </is>
      </c>
      <c r="N928" s="156" t="inlineStr">
        <is>
          <t>SS26</t>
        </is>
      </c>
      <c r="O928" s="156" t="inlineStr">
        <is>
          <t>Seasonal</t>
        </is>
      </c>
      <c r="P928" s="156" t="inlineStr">
        <is>
          <t>Azul</t>
        </is>
      </c>
      <c r="Q928" s="156" t="inlineStr">
        <is>
          <t>Slim</t>
        </is>
      </c>
      <c r="R928" s="156" t="inlineStr">
        <is>
          <t>Recto</t>
        </is>
      </c>
      <c r="S928" s="156" t="inlineStr">
        <is>
          <t>98% Algodón 2% Elastano</t>
        </is>
      </c>
      <c r="T928" s="156" t="inlineStr">
        <is>
          <t>Jean Mujer Bolsa Decorativa Hilo Azul Slim por Muslos</t>
        </is>
      </c>
      <c r="U928" s="156" t="n"/>
      <c r="V928" s="156" t="inlineStr">
        <is>
          <t>PZS</t>
        </is>
      </c>
      <c r="W928" s="51" t="inlineStr">
        <is>
          <t>53101503</t>
        </is>
      </c>
      <c r="X928" s="156" t="n"/>
      <c r="Y928" s="54" t="n">
        <v>814.6551724</v>
      </c>
      <c r="Z928" s="54" t="n">
        <v>1810.344828</v>
      </c>
      <c r="AA928" s="55">
        <f>IF(AND(A928="", B928="", E928=""), "", IF(AB928="", "Válido", IF((LEN(AB928)-LEN(SUBSTITUTE(AB928,"; ","")))/2+1&gt;(LEN(AB928)-LEN(SUBSTITUTE(AB928,"[Aviso]","")))/7, "Con Incidencias", "Válido")))</f>
        <v/>
      </c>
      <c r="AB928" s="56">
        <f>IF(AND(A928="", B928="", E928=""), "", TEXTJOIN("; ", TRUE, IF(OR(TRIM(A928&amp;"")="", ISNUMBER(SEARCH("FALTA", A928))), "UPC faltante/inválido", ""), IF(AND(A928&lt;&gt;"", IFERROR(_xlfn.XMATCH(A928,$A$2:$A$2509,0,1)&lt;&gt;_xlfn.XMATCH(A928,$A$2:$A$2509,0,-1),FALSE)), "Código de barras duplicado", ""), IF(AND(E928&lt;&gt;"", COUNTIF($E$2:$E$2509, E928)&gt;1), "SKU duplicado", ""), IF(OR(J928="", J928=""), "[Aviso] División no capturada ()", IF(ISNA(MATCH(J928, Criterios!$A$123:$A$126, 0)), "División no válida", "")), IF(OR(K928="", K928=""), "[Aviso] Categoría no capturada ()", IF(ISNA(MATCH(K928, Criterios!$A$81:$A$120, 0)), "Categoría no válida", IF(AND(J928&lt;&gt;"", J928&lt;&gt;"", J928&lt;&gt;VLOOKUP(K928, Criterios!$A$81:$B$120, 2, FALSE)), "División no coincide con Categoría", ""))), IF(OR(L928="", L928=""), "[Aviso] Género no capturado ()", IF(ISNA(MATCH(L928, Criterios!$B$123:$B$127, 0)), "Género no válido", "")), IF(OR(N928="", N928=""), "[Aviso] Temporada no capturada ()", IF(ISNA(MATCH(N928, Criterios!$C$123:$C$128, 0)), "Temporada no válida", "")), IF(OR(O928="", O928=""), "[Aviso] Ciclo de vida no capturado ()", IF(ISNA(MATCH(O928, Criterios!$D$123:$D$124, 0)), "Ciclo de vida no válido", ""))))</f>
        <v/>
      </c>
      <c r="AC928" s="56" t="n"/>
      <c r="AD928" s="51" t="n">
        <v>-5</v>
      </c>
      <c r="AE928" s="156" t="n"/>
      <c r="AF928" s="51" t="n">
        <v>0</v>
      </c>
      <c r="AG928" s="156" t="inlineStr">
        <is>
          <t>Catálogo existente</t>
        </is>
      </c>
      <c r="AH928" s="156" t="inlineStr">
        <is>
          <t>Stock negativo en sistema: revisar en conteo</t>
        </is>
      </c>
      <c r="AI928" s="156" t="inlineStr">
        <is>
          <t>Sí</t>
        </is>
      </c>
      <c r="AJ928" s="156" t="inlineStr">
        <is>
          <t>STETSON AMERICAS (-5)</t>
        </is>
      </c>
      <c r="AK928" s="155" t="inlineStr">
        <is>
          <t>Shopify Stetson: producto 15051555438955 / variante 53342130864491 | Odoo: producto 29939 / plantilla 38643</t>
        </is>
      </c>
      <c r="AL928" s="58" t="n">
        <v>814.6551724</v>
      </c>
      <c r="AM928" s="58" t="n">
        <v>1810.344828</v>
      </c>
      <c r="AN928" s="155" t="inlineStr">
        <is>
          <t>Shopify Stetson México | Odoo Universal Unique Brands</t>
        </is>
      </c>
      <c r="AO928" s="59" t="n">
        <v>0</v>
      </c>
      <c r="AP928" s="59" t="n"/>
      <c r="AQ928" s="59" t="n">
        <v>4</v>
      </c>
      <c r="AR928" s="155" t="inlineStr">
        <is>
          <t>Odoo Universal Unique Brands › Bodega 25 › Bodega 25/General: 4</t>
        </is>
      </c>
    </row>
    <row r="929">
      <c r="A929" s="50" t="inlineStr">
        <is>
          <t>196070185416</t>
        </is>
      </c>
      <c r="B929" s="51" t="inlineStr">
        <is>
          <t>110717</t>
        </is>
      </c>
      <c r="C929" s="156" t="inlineStr">
        <is>
          <t>Multimarca</t>
        </is>
      </c>
      <c r="D929" s="156" t="inlineStr">
        <is>
          <t>11-054-0816-1322</t>
        </is>
      </c>
      <c r="E929" s="156" t="inlineStr">
        <is>
          <t>11-054-0816-1322-2R</t>
        </is>
      </c>
      <c r="F929" s="156" t="inlineStr">
        <is>
          <t>5</t>
        </is>
      </c>
      <c r="G929" s="156" t="inlineStr">
        <is>
          <t>2</t>
        </is>
      </c>
      <c r="H929" s="156" t="inlineStr">
        <is>
          <t>Stetson</t>
        </is>
      </c>
      <c r="I929" s="156" t="inlineStr">
        <is>
          <t>Jean Mujer Bolsa Decorativa Hilo Azul</t>
        </is>
      </c>
      <c r="J929" s="156" t="inlineStr">
        <is>
          <t>Denim</t>
        </is>
      </c>
      <c r="K929" s="156" t="inlineStr">
        <is>
          <t>Jeans</t>
        </is>
      </c>
      <c r="L929" s="156" t="inlineStr">
        <is>
          <t>Mujer</t>
        </is>
      </c>
      <c r="M929" s="156" t="inlineStr">
        <is>
          <t>Stetson</t>
        </is>
      </c>
      <c r="N929" s="156" t="inlineStr">
        <is>
          <t>SS26</t>
        </is>
      </c>
      <c r="O929" s="156" t="inlineStr">
        <is>
          <t>Seasonal</t>
        </is>
      </c>
      <c r="P929" s="156" t="inlineStr">
        <is>
          <t>Azul</t>
        </is>
      </c>
      <c r="Q929" s="156" t="inlineStr">
        <is>
          <t>Slim</t>
        </is>
      </c>
      <c r="R929" s="156" t="inlineStr">
        <is>
          <t>Recto</t>
        </is>
      </c>
      <c r="S929" s="156" t="inlineStr">
        <is>
          <t>98% Algodón 2% Elastano</t>
        </is>
      </c>
      <c r="T929" s="156" t="inlineStr">
        <is>
          <t>Jean Mujer Bolsa Decorativa Hilo Azul Slim por Muslos</t>
        </is>
      </c>
      <c r="U929" s="156" t="n"/>
      <c r="V929" s="156" t="inlineStr">
        <is>
          <t>PZS</t>
        </is>
      </c>
      <c r="W929" s="51" t="inlineStr">
        <is>
          <t>53101503</t>
        </is>
      </c>
      <c r="X929" s="156" t="n"/>
      <c r="Y929" s="54" t="n">
        <v>814.6551724</v>
      </c>
      <c r="Z929" s="54" t="n">
        <v>1810.344828</v>
      </c>
      <c r="AA929" s="55">
        <f>IF(AND(A929="", B929="", E929=""), "", IF(AB929="", "Válido", IF((LEN(AB929)-LEN(SUBSTITUTE(AB929,"; ","")))/2+1&gt;(LEN(AB929)-LEN(SUBSTITUTE(AB929,"[Aviso]","")))/7, "Con Incidencias", "Válido")))</f>
        <v/>
      </c>
      <c r="AB929" s="56">
        <f>IF(AND(A929="", B929="", E929=""), "", TEXTJOIN("; ", TRUE, IF(OR(TRIM(A929&amp;"")="", ISNUMBER(SEARCH("FALTA", A929))), "UPC faltante/inválido", ""), IF(AND(A929&lt;&gt;"", IFERROR(_xlfn.XMATCH(A929,$A$2:$A$2509,0,1)&lt;&gt;_xlfn.XMATCH(A929,$A$2:$A$2509,0,-1),FALSE)), "Código de barras duplicado", ""), IF(AND(E929&lt;&gt;"", COUNTIF($E$2:$E$2509, E929)&gt;1), "SKU duplicado", ""), IF(OR(J929="", J929=""), "[Aviso] División no capturada ()", IF(ISNA(MATCH(J929, Criterios!$A$123:$A$126, 0)), "División no válida", "")), IF(OR(K929="", K929=""), "[Aviso] Categoría no capturada ()", IF(ISNA(MATCH(K929, Criterios!$A$81:$A$120, 0)), "Categoría no válida", IF(AND(J929&lt;&gt;"", J929&lt;&gt;"", J929&lt;&gt;VLOOKUP(K929, Criterios!$A$81:$B$120, 2, FALSE)), "División no coincide con Categoría", ""))), IF(OR(L929="", L929=""), "[Aviso] Género no capturado ()", IF(ISNA(MATCH(L929, Criterios!$B$123:$B$127, 0)), "Género no válido", "")), IF(OR(N929="", N929=""), "[Aviso] Temporada no capturada ()", IF(ISNA(MATCH(N929, Criterios!$C$123:$C$128, 0)), "Temporada no válida", "")), IF(OR(O929="", O929=""), "[Aviso] Ciclo de vida no capturado ()", IF(ISNA(MATCH(O929, Criterios!$D$123:$D$124, 0)), "Ciclo de vida no válido", ""))))</f>
        <v/>
      </c>
      <c r="AC929" s="56" t="n"/>
      <c r="AD929" s="51" t="n">
        <v>-1</v>
      </c>
      <c r="AE929" s="156" t="n"/>
      <c r="AF929" s="51" t="n">
        <v>0</v>
      </c>
      <c r="AG929" s="156" t="inlineStr">
        <is>
          <t>Catálogo existente</t>
        </is>
      </c>
      <c r="AH929" s="156" t="inlineStr">
        <is>
          <t>Stock negativo en sistema: revisar en conteo</t>
        </is>
      </c>
      <c r="AI929" s="156" t="inlineStr">
        <is>
          <t>Sí</t>
        </is>
      </c>
      <c r="AJ929" s="156" t="inlineStr">
        <is>
          <t>STETSON AMERICAS (-1)</t>
        </is>
      </c>
      <c r="AK929" s="155" t="inlineStr">
        <is>
          <t>Shopify Stetson: producto 15051555438955 / variante 53342130733419 | Odoo: producto 29935 / plantilla 38639</t>
        </is>
      </c>
      <c r="AL929" s="58" t="n">
        <v>814.6551724</v>
      </c>
      <c r="AM929" s="58" t="n">
        <v>1810.344828</v>
      </c>
      <c r="AN929" s="155" t="inlineStr">
        <is>
          <t>Shopify Stetson México | Odoo Universal Unique Brands</t>
        </is>
      </c>
      <c r="AO929" s="59" t="n">
        <v>2</v>
      </c>
      <c r="AP929" s="59" t="n"/>
      <c r="AQ929" s="59" t="n">
        <v>3</v>
      </c>
      <c r="AR929" s="155" t="inlineStr">
        <is>
          <t>Shopify Stetson México › Stetson Americas: 2 | Odoo Universal Unique Brands › Bodega 25 › Bodega 25/General: 3</t>
        </is>
      </c>
    </row>
    <row r="930">
      <c r="A930" s="50" t="inlineStr">
        <is>
          <t>196070185454</t>
        </is>
      </c>
      <c r="B930" s="51" t="inlineStr">
        <is>
          <t>110718</t>
        </is>
      </c>
      <c r="C930" s="156" t="inlineStr">
        <is>
          <t>Multimarca</t>
        </is>
      </c>
      <c r="D930" s="156" t="inlineStr">
        <is>
          <t>11-054-0816-1322</t>
        </is>
      </c>
      <c r="E930" s="156" t="inlineStr">
        <is>
          <t>11-054-0816-1322-4R</t>
        </is>
      </c>
      <c r="F930" s="156" t="inlineStr">
        <is>
          <t>7</t>
        </is>
      </c>
      <c r="G930" s="156" t="inlineStr">
        <is>
          <t>4</t>
        </is>
      </c>
      <c r="H930" s="156" t="inlineStr">
        <is>
          <t>Stetson</t>
        </is>
      </c>
      <c r="I930" s="156" t="inlineStr">
        <is>
          <t>Jean Mujer Bolsa Decorativa Hilo Azul</t>
        </is>
      </c>
      <c r="J930" s="156" t="inlineStr">
        <is>
          <t>Denim</t>
        </is>
      </c>
      <c r="K930" s="156" t="inlineStr">
        <is>
          <t>Jeans</t>
        </is>
      </c>
      <c r="L930" s="156" t="inlineStr">
        <is>
          <t>Mujer</t>
        </is>
      </c>
      <c r="M930" s="156" t="inlineStr">
        <is>
          <t>Stetson</t>
        </is>
      </c>
      <c r="N930" s="156" t="inlineStr">
        <is>
          <t>SS26</t>
        </is>
      </c>
      <c r="O930" s="156" t="inlineStr">
        <is>
          <t>Seasonal</t>
        </is>
      </c>
      <c r="P930" s="156" t="inlineStr">
        <is>
          <t>Azul</t>
        </is>
      </c>
      <c r="Q930" s="156" t="inlineStr">
        <is>
          <t>Slim</t>
        </is>
      </c>
      <c r="R930" s="156" t="inlineStr">
        <is>
          <t>Recto</t>
        </is>
      </c>
      <c r="S930" s="156" t="inlineStr">
        <is>
          <t>98% Algodón 2% Elastano</t>
        </is>
      </c>
      <c r="T930" s="156" t="inlineStr">
        <is>
          <t>Jean Mujer Bolsa Decorativa Hilo Azul Slim por Muslos</t>
        </is>
      </c>
      <c r="U930" s="156" t="n"/>
      <c r="V930" s="156" t="inlineStr">
        <is>
          <t>PZS</t>
        </is>
      </c>
      <c r="W930" s="51" t="inlineStr">
        <is>
          <t>53101503</t>
        </is>
      </c>
      <c r="X930" s="156" t="n"/>
      <c r="Y930" s="54" t="n">
        <v>814.6551724</v>
      </c>
      <c r="Z930" s="54" t="n">
        <v>1810.344828</v>
      </c>
      <c r="AA930" s="55">
        <f>IF(AND(A930="", B930="", E930=""), "", IF(AB930="", "Válido", IF((LEN(AB930)-LEN(SUBSTITUTE(AB930,"; ","")))/2+1&gt;(LEN(AB930)-LEN(SUBSTITUTE(AB930,"[Aviso]","")))/7, "Con Incidencias", "Válido")))</f>
        <v/>
      </c>
      <c r="AB930" s="56">
        <f>IF(AND(A930="", B930="", E930=""), "", TEXTJOIN("; ", TRUE, IF(OR(TRIM(A930&amp;"")="", ISNUMBER(SEARCH("FALTA", A930))), "UPC faltante/inválido", ""), IF(AND(A930&lt;&gt;"", IFERROR(_xlfn.XMATCH(A930,$A$2:$A$2509,0,1)&lt;&gt;_xlfn.XMATCH(A930,$A$2:$A$2509,0,-1),FALSE)), "Código de barras duplicado", ""), IF(AND(E930&lt;&gt;"", COUNTIF($E$2:$E$2509, E930)&gt;1), "SKU duplicado", ""), IF(OR(J930="", J930=""), "[Aviso] División no capturada ()", IF(ISNA(MATCH(J930, Criterios!$A$123:$A$126, 0)), "División no válida", "")), IF(OR(K930="", K930=""), "[Aviso] Categoría no capturada ()", IF(ISNA(MATCH(K930, Criterios!$A$81:$A$120, 0)), "Categoría no válida", IF(AND(J930&lt;&gt;"", J930&lt;&gt;"", J930&lt;&gt;VLOOKUP(K930, Criterios!$A$81:$B$120, 2, FALSE)), "División no coincide con Categoría", ""))), IF(OR(L930="", L930=""), "[Aviso] Género no capturado ()", IF(ISNA(MATCH(L930, Criterios!$B$123:$B$127, 0)), "Género no válido", "")), IF(OR(N930="", N930=""), "[Aviso] Temporada no capturada ()", IF(ISNA(MATCH(N930, Criterios!$C$123:$C$128, 0)), "Temporada no válida", "")), IF(OR(O930="", O930=""), "[Aviso] Ciclo de vida no capturado ()", IF(ISNA(MATCH(O930, Criterios!$D$123:$D$124, 0)), "Ciclo de vida no válido", ""))))</f>
        <v/>
      </c>
      <c r="AC930" s="56" t="n"/>
      <c r="AD930" s="51" t="n">
        <v>0</v>
      </c>
      <c r="AE930" s="156" t="n"/>
      <c r="AF930" s="51" t="n">
        <v>0</v>
      </c>
      <c r="AG930" s="156" t="inlineStr">
        <is>
          <t>Catálogo existente</t>
        </is>
      </c>
      <c r="AH930" s="156" t="n"/>
      <c r="AI930" s="156" t="inlineStr">
        <is>
          <t>No</t>
        </is>
      </c>
      <c r="AJ930" s="156" t="n"/>
      <c r="AK930" s="155" t="inlineStr">
        <is>
          <t>Shopify Stetson: producto 15051555438955 / variante 53342130766187 | Odoo: producto 29936 / plantilla 38640</t>
        </is>
      </c>
      <c r="AL930" s="58" t="n">
        <v>814.6551724</v>
      </c>
      <c r="AM930" s="58" t="n">
        <v>1810.344828</v>
      </c>
      <c r="AN930" s="155" t="inlineStr">
        <is>
          <t>Shopify Stetson México | Odoo Universal Unique Brands</t>
        </is>
      </c>
      <c r="AO930" s="59" t="n">
        <v>1</v>
      </c>
      <c r="AP930" s="59" t="n"/>
      <c r="AQ930" s="59" t="n">
        <v>1</v>
      </c>
      <c r="AR930" s="155" t="inlineStr">
        <is>
          <t>Shopify Stetson México › Stetson Americas: 1 | Odoo Universal Unique Brands › Bodega 25 › Bodega 25/General: 1</t>
        </is>
      </c>
    </row>
    <row r="931">
      <c r="A931" s="50" t="inlineStr">
        <is>
          <t>196070185492</t>
        </is>
      </c>
      <c r="B931" s="51" t="inlineStr">
        <is>
          <t>110719</t>
        </is>
      </c>
      <c r="C931" s="156" t="inlineStr">
        <is>
          <t>Multimarca</t>
        </is>
      </c>
      <c r="D931" s="156" t="inlineStr">
        <is>
          <t>11-054-0816-1322</t>
        </is>
      </c>
      <c r="E931" s="156" t="inlineStr">
        <is>
          <t>11-054-0816-1322-6R</t>
        </is>
      </c>
      <c r="F931" s="156" t="inlineStr">
        <is>
          <t>9</t>
        </is>
      </c>
      <c r="G931" s="156" t="inlineStr">
        <is>
          <t>6</t>
        </is>
      </c>
      <c r="H931" s="156" t="inlineStr">
        <is>
          <t>Stetson</t>
        </is>
      </c>
      <c r="I931" s="156" t="inlineStr">
        <is>
          <t>Jean Mujer Bolsa Decorativa Hilo Azul</t>
        </is>
      </c>
      <c r="J931" s="156" t="inlineStr">
        <is>
          <t>Denim</t>
        </is>
      </c>
      <c r="K931" s="156" t="inlineStr">
        <is>
          <t>Jeans</t>
        </is>
      </c>
      <c r="L931" s="156" t="inlineStr">
        <is>
          <t>Mujer</t>
        </is>
      </c>
      <c r="M931" s="156" t="inlineStr">
        <is>
          <t>Stetson</t>
        </is>
      </c>
      <c r="N931" s="156" t="inlineStr">
        <is>
          <t>SS26</t>
        </is>
      </c>
      <c r="O931" s="156" t="inlineStr">
        <is>
          <t>Seasonal</t>
        </is>
      </c>
      <c r="P931" s="156" t="inlineStr">
        <is>
          <t>Azul</t>
        </is>
      </c>
      <c r="Q931" s="156" t="inlineStr">
        <is>
          <t>Slim</t>
        </is>
      </c>
      <c r="R931" s="156" t="inlineStr">
        <is>
          <t>Recto</t>
        </is>
      </c>
      <c r="S931" s="156" t="inlineStr">
        <is>
          <t>98% Algodón 2% Elastano</t>
        </is>
      </c>
      <c r="T931" s="156" t="inlineStr">
        <is>
          <t>Jean Mujer Bolsa Decorativa Hilo Azul Slim por Muslos</t>
        </is>
      </c>
      <c r="U931" s="156" t="n"/>
      <c r="V931" s="156" t="inlineStr">
        <is>
          <t>PZS</t>
        </is>
      </c>
      <c r="W931" s="51" t="inlineStr">
        <is>
          <t>53101503</t>
        </is>
      </c>
      <c r="X931" s="156" t="n"/>
      <c r="Y931" s="54" t="n">
        <v>814.6551724</v>
      </c>
      <c r="Z931" s="54" t="n">
        <v>1810.344828</v>
      </c>
      <c r="AA931" s="55">
        <f>IF(AND(A931="", B931="", E931=""), "", IF(AB931="", "Válido", IF((LEN(AB931)-LEN(SUBSTITUTE(AB931,"; ","")))/2+1&gt;(LEN(AB931)-LEN(SUBSTITUTE(AB931,"[Aviso]","")))/7, "Con Incidencias", "Válido")))</f>
        <v/>
      </c>
      <c r="AB931" s="56">
        <f>IF(AND(A931="", B931="", E931=""), "", TEXTJOIN("; ", TRUE, IF(OR(TRIM(A931&amp;"")="", ISNUMBER(SEARCH("FALTA", A931))), "UPC faltante/inválido", ""), IF(AND(A931&lt;&gt;"", IFERROR(_xlfn.XMATCH(A931,$A$2:$A$2509,0,1)&lt;&gt;_xlfn.XMATCH(A931,$A$2:$A$2509,0,-1),FALSE)), "Código de barras duplicado", ""), IF(AND(E931&lt;&gt;"", COUNTIF($E$2:$E$2509, E931)&gt;1), "SKU duplicado", ""), IF(OR(J931="", J931=""), "[Aviso] División no capturada ()", IF(ISNA(MATCH(J931, Criterios!$A$123:$A$126, 0)), "División no válida", "")), IF(OR(K931="", K931=""), "[Aviso] Categoría no capturada ()", IF(ISNA(MATCH(K931, Criterios!$A$81:$A$120, 0)), "Categoría no válida", IF(AND(J931&lt;&gt;"", J931&lt;&gt;"", J931&lt;&gt;VLOOKUP(K931, Criterios!$A$81:$B$120, 2, FALSE)), "División no coincide con Categoría", ""))), IF(OR(L931="", L931=""), "[Aviso] Género no capturado ()", IF(ISNA(MATCH(L931, Criterios!$B$123:$B$127, 0)), "Género no válido", "")), IF(OR(N931="", N931=""), "[Aviso] Temporada no capturada ()", IF(ISNA(MATCH(N931, Criterios!$C$123:$C$128, 0)), "Temporada no válida", "")), IF(OR(O931="", O931=""), "[Aviso] Ciclo de vida no capturado ()", IF(ISNA(MATCH(O931, Criterios!$D$123:$D$124, 0)), "Ciclo de vida no válido", ""))))</f>
        <v/>
      </c>
      <c r="AC931" s="56" t="n"/>
      <c r="AD931" s="51" t="n">
        <v>-1</v>
      </c>
      <c r="AE931" s="156" t="n"/>
      <c r="AF931" s="51" t="n">
        <v>0</v>
      </c>
      <c r="AG931" s="156" t="inlineStr">
        <is>
          <t>Catálogo existente</t>
        </is>
      </c>
      <c r="AH931" s="156" t="inlineStr">
        <is>
          <t>Stock negativo en sistema: revisar en conteo</t>
        </is>
      </c>
      <c r="AI931" s="156" t="inlineStr">
        <is>
          <t>Sí</t>
        </is>
      </c>
      <c r="AJ931" s="156" t="inlineStr">
        <is>
          <t>STETSON AMERICAS (-1)</t>
        </is>
      </c>
      <c r="AK931" s="155" t="inlineStr">
        <is>
          <t>Shopify Stetson: producto 15051555438955 / variante 53342130798955 | Odoo: producto 29937 / plantilla 38641</t>
        </is>
      </c>
      <c r="AL931" s="58" t="n">
        <v>814.6551724</v>
      </c>
      <c r="AM931" s="58" t="n">
        <v>1810.344828</v>
      </c>
      <c r="AN931" s="155" t="inlineStr">
        <is>
          <t>Shopify Stetson México | Odoo Universal Unique Brands</t>
        </is>
      </c>
      <c r="AO931" s="59" t="n">
        <v>8</v>
      </c>
      <c r="AP931" s="59" t="n"/>
      <c r="AQ931" s="59" t="n">
        <v>8</v>
      </c>
      <c r="AR931" s="155" t="inlineStr">
        <is>
          <t>Shopify Stetson México › Stetson Americas: 8 | Odoo Universal Unique Brands › Bodega 25 › Bodega 25/General: 8</t>
        </is>
      </c>
    </row>
    <row r="932">
      <c r="A932" s="50" t="inlineStr">
        <is>
          <t>196070185539</t>
        </is>
      </c>
      <c r="B932" s="51" t="inlineStr">
        <is>
          <t>110720</t>
        </is>
      </c>
      <c r="C932" s="156" t="inlineStr">
        <is>
          <t>Multimarca</t>
        </is>
      </c>
      <c r="D932" s="156" t="inlineStr">
        <is>
          <t>11-054-0816-1322</t>
        </is>
      </c>
      <c r="E932" s="156" t="inlineStr">
        <is>
          <t>11-054-0816-1322-8R</t>
        </is>
      </c>
      <c r="F932" s="156" t="inlineStr">
        <is>
          <t>11</t>
        </is>
      </c>
      <c r="G932" s="156" t="inlineStr">
        <is>
          <t>8</t>
        </is>
      </c>
      <c r="H932" s="156" t="inlineStr">
        <is>
          <t>Stetson</t>
        </is>
      </c>
      <c r="I932" s="156" t="inlineStr">
        <is>
          <t>Jean Mujer Bolsa Decorativa Hilo Azul</t>
        </is>
      </c>
      <c r="J932" s="156" t="inlineStr">
        <is>
          <t>Denim</t>
        </is>
      </c>
      <c r="K932" s="156" t="inlineStr">
        <is>
          <t>Jeans</t>
        </is>
      </c>
      <c r="L932" s="156" t="inlineStr">
        <is>
          <t>Mujer</t>
        </is>
      </c>
      <c r="M932" s="156" t="inlineStr">
        <is>
          <t>Stetson</t>
        </is>
      </c>
      <c r="N932" s="156" t="inlineStr">
        <is>
          <t>SS26</t>
        </is>
      </c>
      <c r="O932" s="156" t="inlineStr">
        <is>
          <t>Seasonal</t>
        </is>
      </c>
      <c r="P932" s="156" t="inlineStr">
        <is>
          <t>Azul</t>
        </is>
      </c>
      <c r="Q932" s="156" t="inlineStr">
        <is>
          <t>Slim</t>
        </is>
      </c>
      <c r="R932" s="156" t="inlineStr">
        <is>
          <t>Recto</t>
        </is>
      </c>
      <c r="S932" s="156" t="inlineStr">
        <is>
          <t>98% Algodón 2% Elastano</t>
        </is>
      </c>
      <c r="T932" s="156" t="inlineStr">
        <is>
          <t>Jean Mujer Bolsa Decorativa Hilo Azul Slim por Muslos</t>
        </is>
      </c>
      <c r="U932" s="156" t="n"/>
      <c r="V932" s="156" t="inlineStr">
        <is>
          <t>PZS</t>
        </is>
      </c>
      <c r="W932" s="51" t="inlineStr">
        <is>
          <t>53101503</t>
        </is>
      </c>
      <c r="X932" s="156" t="n"/>
      <c r="Y932" s="54" t="n">
        <v>814.6551724</v>
      </c>
      <c r="Z932" s="54" t="n">
        <v>1810.344828</v>
      </c>
      <c r="AA932" s="55">
        <f>IF(AND(A932="", B932="", E932=""), "", IF(AB932="", "Válido", IF((LEN(AB932)-LEN(SUBSTITUTE(AB932,"; ","")))/2+1&gt;(LEN(AB932)-LEN(SUBSTITUTE(AB932,"[Aviso]","")))/7, "Con Incidencias", "Válido")))</f>
        <v/>
      </c>
      <c r="AB932" s="56">
        <f>IF(AND(A932="", B932="", E932=""), "", TEXTJOIN("; ", TRUE, IF(OR(TRIM(A932&amp;"")="", ISNUMBER(SEARCH("FALTA", A932))), "UPC faltante/inválido", ""), IF(AND(A932&lt;&gt;"", IFERROR(_xlfn.XMATCH(A932,$A$2:$A$2509,0,1)&lt;&gt;_xlfn.XMATCH(A932,$A$2:$A$2509,0,-1),FALSE)), "Código de barras duplicado", ""), IF(AND(E932&lt;&gt;"", COUNTIF($E$2:$E$2509, E932)&gt;1), "SKU duplicado", ""), IF(OR(J932="", J932=""), "[Aviso] División no capturada ()", IF(ISNA(MATCH(J932, Criterios!$A$123:$A$126, 0)), "División no válida", "")), IF(OR(K932="", K932=""), "[Aviso] Categoría no capturada ()", IF(ISNA(MATCH(K932, Criterios!$A$81:$A$120, 0)), "Categoría no válida", IF(AND(J932&lt;&gt;"", J932&lt;&gt;"", J932&lt;&gt;VLOOKUP(K932, Criterios!$A$81:$B$120, 2, FALSE)), "División no coincide con Categoría", ""))), IF(OR(L932="", L932=""), "[Aviso] Género no capturado ()", IF(ISNA(MATCH(L932, Criterios!$B$123:$B$127, 0)), "Género no válido", "")), IF(OR(N932="", N932=""), "[Aviso] Temporada no capturada ()", IF(ISNA(MATCH(N932, Criterios!$C$123:$C$128, 0)), "Temporada no válida", "")), IF(OR(O932="", O932=""), "[Aviso] Ciclo de vida no capturado ()", IF(ISNA(MATCH(O932, Criterios!$D$123:$D$124, 0)), "Ciclo de vida no válido", ""))))</f>
        <v/>
      </c>
      <c r="AC932" s="56" t="n"/>
      <c r="AD932" s="51" t="n">
        <v>-3</v>
      </c>
      <c r="AE932" s="156" t="n"/>
      <c r="AF932" s="51" t="n">
        <v>0</v>
      </c>
      <c r="AG932" s="156" t="inlineStr">
        <is>
          <t>Catálogo existente</t>
        </is>
      </c>
      <c r="AH932" s="156" t="inlineStr">
        <is>
          <t>Stock negativo en sistema: revisar en conteo</t>
        </is>
      </c>
      <c r="AI932" s="156" t="inlineStr">
        <is>
          <t>Sí</t>
        </is>
      </c>
      <c r="AJ932" s="156" t="inlineStr">
        <is>
          <t>STETSON AMERICAS (-3)</t>
        </is>
      </c>
      <c r="AK932" s="155" t="inlineStr">
        <is>
          <t>Shopify Stetson: producto 15051555438955 / variante 53342130831723 | Odoo: producto 29938 / plantilla 38642</t>
        </is>
      </c>
      <c r="AL932" s="58" t="n">
        <v>814.6551724</v>
      </c>
      <c r="AM932" s="58" t="n">
        <v>1810.344828</v>
      </c>
      <c r="AN932" s="155" t="inlineStr">
        <is>
          <t>Shopify Stetson México | Odoo Universal Unique Brands</t>
        </is>
      </c>
      <c r="AO932" s="59" t="n">
        <v>2</v>
      </c>
      <c r="AP932" s="59" t="n"/>
      <c r="AQ932" s="59" t="n">
        <v>5</v>
      </c>
      <c r="AR932" s="155" t="inlineStr">
        <is>
          <t>Shopify Stetson México › Stetson Americas: 2 | Odoo Universal Unique Brands › Bodega 25 › Bodega 25/General: 5</t>
        </is>
      </c>
    </row>
    <row r="933">
      <c r="A933" s="50" t="inlineStr">
        <is>
          <t>196070185676</t>
        </is>
      </c>
      <c r="B933" s="51" t="inlineStr">
        <is>
          <t>110731</t>
        </is>
      </c>
      <c r="C933" s="156" t="inlineStr">
        <is>
          <t>Multimarca</t>
        </is>
      </c>
      <c r="D933" s="156" t="inlineStr">
        <is>
          <t>11-054-0921-2414</t>
        </is>
      </c>
      <c r="E933" s="156" t="inlineStr">
        <is>
          <t>11-054-0921-2414-10R</t>
        </is>
      </c>
      <c r="F933" s="156" t="inlineStr">
        <is>
          <t>13</t>
        </is>
      </c>
      <c r="G933" s="156" t="inlineStr">
        <is>
          <t>10</t>
        </is>
      </c>
      <c r="H933" s="156" t="inlineStr">
        <is>
          <t>Stetson</t>
        </is>
      </c>
      <c r="I933" s="156" t="inlineStr">
        <is>
          <t>Jean Mujer Cintura Alta Acampanado Bolsa Lisa</t>
        </is>
      </c>
      <c r="J933" s="156" t="inlineStr">
        <is>
          <t>Denim</t>
        </is>
      </c>
      <c r="K933" s="156" t="inlineStr">
        <is>
          <t>Jeans</t>
        </is>
      </c>
      <c r="L933" s="156" t="inlineStr">
        <is>
          <t>Mujer</t>
        </is>
      </c>
      <c r="M933" s="156" t="inlineStr">
        <is>
          <t>Stetson</t>
        </is>
      </c>
      <c r="N933" s="156" t="inlineStr">
        <is>
          <t>SS26</t>
        </is>
      </c>
      <c r="O933" s="156" t="inlineStr">
        <is>
          <t>Seasonal</t>
        </is>
      </c>
      <c r="P933" s="156" t="inlineStr">
        <is>
          <t>Negro</t>
        </is>
      </c>
      <c r="Q933" s="156" t="inlineStr">
        <is>
          <t>Slim</t>
        </is>
      </c>
      <c r="R933" s="156" t="inlineStr">
        <is>
          <t>Recto</t>
        </is>
      </c>
      <c r="S933" s="156" t="inlineStr">
        <is>
          <t>76% Algodón 21% Poliéster 3% Elastano</t>
        </is>
      </c>
      <c r="T933" s="156" t="inlineStr">
        <is>
          <t>Jean Mujer Cintura Alta Acampanado Bolsa Lisa Slim por Muslos</t>
        </is>
      </c>
      <c r="U933" s="156" t="n"/>
      <c r="V933" s="156" t="inlineStr">
        <is>
          <t>PZS</t>
        </is>
      </c>
      <c r="W933" s="51" t="inlineStr">
        <is>
          <t>53101503</t>
        </is>
      </c>
      <c r="X933" s="156" t="n"/>
      <c r="Y933" s="54" t="n">
        <v>775.862069</v>
      </c>
      <c r="Z933" s="54" t="n">
        <v>1724.137931</v>
      </c>
      <c r="AA933" s="55">
        <f>IF(AND(A933="", B933="", E933=""), "", IF(AB933="", "Válido", IF((LEN(AB933)-LEN(SUBSTITUTE(AB933,"; ","")))/2+1&gt;(LEN(AB933)-LEN(SUBSTITUTE(AB933,"[Aviso]","")))/7, "Con Incidencias", "Válido")))</f>
        <v/>
      </c>
      <c r="AB933" s="56">
        <f>IF(AND(A933="", B933="", E933=""), "", TEXTJOIN("; ", TRUE, IF(OR(TRIM(A933&amp;"")="", ISNUMBER(SEARCH("FALTA", A933))), "UPC faltante/inválido", ""), IF(AND(A933&lt;&gt;"", IFERROR(_xlfn.XMATCH(A933,$A$2:$A$2509,0,1)&lt;&gt;_xlfn.XMATCH(A933,$A$2:$A$2509,0,-1),FALSE)), "Código de barras duplicado", ""), IF(AND(E933&lt;&gt;"", COUNTIF($E$2:$E$2509, E933)&gt;1), "SKU duplicado", ""), IF(OR(J933="", J933=""), "[Aviso] División no capturada ()", IF(ISNA(MATCH(J933, Criterios!$A$123:$A$126, 0)), "División no válida", "")), IF(OR(K933="", K933=""), "[Aviso] Categoría no capturada ()", IF(ISNA(MATCH(K933, Criterios!$A$81:$A$120, 0)), "Categoría no válida", IF(AND(J933&lt;&gt;"", J933&lt;&gt;"", J933&lt;&gt;VLOOKUP(K933, Criterios!$A$81:$B$120, 2, FALSE)), "División no coincide con Categoría", ""))), IF(OR(L933="", L933=""), "[Aviso] Género no capturado ()", IF(ISNA(MATCH(L933, Criterios!$B$123:$B$127, 0)), "Género no válido", "")), IF(OR(N933="", N933=""), "[Aviso] Temporada no capturada ()", IF(ISNA(MATCH(N933, Criterios!$C$123:$C$128, 0)), "Temporada no válida", "")), IF(OR(O933="", O933=""), "[Aviso] Ciclo de vida no capturado ()", IF(ISNA(MATCH(O933, Criterios!$D$123:$D$124, 0)), "Ciclo de vida no válido", ""))))</f>
        <v/>
      </c>
      <c r="AC933" s="56" t="n"/>
      <c r="AD933" s="51" t="n">
        <v>-1</v>
      </c>
      <c r="AE933" s="156" t="n"/>
      <c r="AF933" s="51" t="n">
        <v>0</v>
      </c>
      <c r="AG933" s="156" t="inlineStr">
        <is>
          <t>Catálogo existente</t>
        </is>
      </c>
      <c r="AH933" s="156" t="inlineStr">
        <is>
          <t>Stock negativo en sistema: revisar en conteo | 01/10/2026: Shopify Stetson México trae Color «Azul» — se conservó el valor de Productos | 01/10/2026: Odoo Universal Unique Brands trae Color «Azul» — se conservó el valor de Productos</t>
        </is>
      </c>
      <c r="AI933" s="156" t="inlineStr">
        <is>
          <t>Sí</t>
        </is>
      </c>
      <c r="AJ933" s="156" t="inlineStr">
        <is>
          <t>STETSON AMERICAS (-1)</t>
        </is>
      </c>
      <c r="AK933" s="155" t="inlineStr">
        <is>
          <t>Shopify Stetson: producto 15051555570027 / variante 53342131388779 | Odoo: producto 29953 / plantilla 38657</t>
        </is>
      </c>
      <c r="AL933" s="58" t="n">
        <v>775.862069</v>
      </c>
      <c r="AM933" s="58" t="n">
        <v>1724.137931</v>
      </c>
      <c r="AN933" s="155" t="inlineStr">
        <is>
          <t>Shopify Stetson México | Odoo Universal Unique Brands</t>
        </is>
      </c>
      <c r="AO933" s="59" t="n">
        <v>1</v>
      </c>
      <c r="AP933" s="59" t="n"/>
      <c r="AQ933" s="59" t="n">
        <v>2</v>
      </c>
      <c r="AR933" s="155" t="inlineStr">
        <is>
          <t>Shopify Stetson México › Stetson Americas: 1 | Odoo Universal Unique Brands › Bodega 25 › Bodega 25/General: 2</t>
        </is>
      </c>
    </row>
    <row r="934">
      <c r="A934" s="50" t="inlineStr">
        <is>
          <t>196070185928</t>
        </is>
      </c>
      <c r="B934" s="51" t="inlineStr">
        <is>
          <t>110732</t>
        </is>
      </c>
      <c r="C934" s="156" t="inlineStr">
        <is>
          <t>Multimarca</t>
        </is>
      </c>
      <c r="D934" s="156" t="inlineStr">
        <is>
          <t>11-054-0921-2414</t>
        </is>
      </c>
      <c r="E934" s="156" t="inlineStr">
        <is>
          <t>11-054-0921-2414-2R</t>
        </is>
      </c>
      <c r="F934" s="156" t="inlineStr">
        <is>
          <t>5</t>
        </is>
      </c>
      <c r="G934" s="156" t="inlineStr">
        <is>
          <t>2</t>
        </is>
      </c>
      <c r="H934" s="156" t="inlineStr">
        <is>
          <t>Stetson</t>
        </is>
      </c>
      <c r="I934" s="156" t="inlineStr">
        <is>
          <t>Jean Mujer Cintura Alta Acampanado Bolsa Lisa</t>
        </is>
      </c>
      <c r="J934" s="156" t="inlineStr">
        <is>
          <t>Denim</t>
        </is>
      </c>
      <c r="K934" s="156" t="inlineStr">
        <is>
          <t>Jeans</t>
        </is>
      </c>
      <c r="L934" s="156" t="inlineStr">
        <is>
          <t>Mujer</t>
        </is>
      </c>
      <c r="M934" s="156" t="inlineStr">
        <is>
          <t>Stetson</t>
        </is>
      </c>
      <c r="N934" s="156" t="inlineStr">
        <is>
          <t>SS26</t>
        </is>
      </c>
      <c r="O934" s="156" t="inlineStr">
        <is>
          <t>Seasonal</t>
        </is>
      </c>
      <c r="P934" s="156" t="inlineStr">
        <is>
          <t>Negro</t>
        </is>
      </c>
      <c r="Q934" s="156" t="inlineStr">
        <is>
          <t>Slim</t>
        </is>
      </c>
      <c r="R934" s="156" t="inlineStr">
        <is>
          <t>Recto</t>
        </is>
      </c>
      <c r="S934" s="156" t="inlineStr">
        <is>
          <t>76% Algodón 21% Poliéster 3% Elastano</t>
        </is>
      </c>
      <c r="T934" s="156" t="inlineStr">
        <is>
          <t>Jean Mujer Cintura Alta Acampanado Bolsa Lisa Slim por Muslos</t>
        </is>
      </c>
      <c r="U934" s="156" t="n"/>
      <c r="V934" s="156" t="inlineStr">
        <is>
          <t>PZS</t>
        </is>
      </c>
      <c r="W934" s="51" t="inlineStr">
        <is>
          <t>53101503</t>
        </is>
      </c>
      <c r="X934" s="156" t="n"/>
      <c r="Y934" s="54" t="n">
        <v>775.862069</v>
      </c>
      <c r="Z934" s="54" t="n">
        <v>1724.137931</v>
      </c>
      <c r="AA934" s="55">
        <f>IF(AND(A934="", B934="", E934=""), "", IF(AB934="", "Válido", IF((LEN(AB934)-LEN(SUBSTITUTE(AB934,"; ","")))/2+1&gt;(LEN(AB934)-LEN(SUBSTITUTE(AB934,"[Aviso]","")))/7, "Con Incidencias", "Válido")))</f>
        <v/>
      </c>
      <c r="AB934" s="56">
        <f>IF(AND(A934="", B934="", E934=""), "", TEXTJOIN("; ", TRUE, IF(OR(TRIM(A934&amp;"")="", ISNUMBER(SEARCH("FALTA", A934))), "UPC faltante/inválido", ""), IF(AND(A934&lt;&gt;"", IFERROR(_xlfn.XMATCH(A934,$A$2:$A$2509,0,1)&lt;&gt;_xlfn.XMATCH(A934,$A$2:$A$2509,0,-1),FALSE)), "Código de barras duplicado", ""), IF(AND(E934&lt;&gt;"", COUNTIF($E$2:$E$2509, E934)&gt;1), "SKU duplicado", ""), IF(OR(J934="", J934=""), "[Aviso] División no capturada ()", IF(ISNA(MATCH(J934, Criterios!$A$123:$A$126, 0)), "División no válida", "")), IF(OR(K934="", K934=""), "[Aviso] Categoría no capturada ()", IF(ISNA(MATCH(K934, Criterios!$A$81:$A$120, 0)), "Categoría no válida", IF(AND(J934&lt;&gt;"", J934&lt;&gt;"", J934&lt;&gt;VLOOKUP(K934, Criterios!$A$81:$B$120, 2, FALSE)), "División no coincide con Categoría", ""))), IF(OR(L934="", L934=""), "[Aviso] Género no capturado ()", IF(ISNA(MATCH(L934, Criterios!$B$123:$B$127, 0)), "Género no válido", "")), IF(OR(N934="", N934=""), "[Aviso] Temporada no capturada ()", IF(ISNA(MATCH(N934, Criterios!$C$123:$C$128, 0)), "Temporada no válida", "")), IF(OR(O934="", O934=""), "[Aviso] Ciclo de vida no capturado ()", IF(ISNA(MATCH(O934, Criterios!$D$123:$D$124, 0)), "Ciclo de vida no válido", ""))))</f>
        <v/>
      </c>
      <c r="AC934" s="56" t="n"/>
      <c r="AD934" s="51" t="n">
        <v>0</v>
      </c>
      <c r="AE934" s="156" t="n"/>
      <c r="AF934" s="51" t="n">
        <v>0</v>
      </c>
      <c r="AG934" s="156" t="inlineStr">
        <is>
          <t>Catálogo existente</t>
        </is>
      </c>
      <c r="AH934" s="156" t="inlineStr">
        <is>
          <t>01/10/2026: Shopify Stetson México trae Color «Azul» — se conservó el valor de Productos | 01/10/2026: Odoo Universal Unique Brands trae Color «Azul» — se conservó el valor de Productos</t>
        </is>
      </c>
      <c r="AI934" s="156" t="inlineStr">
        <is>
          <t>No</t>
        </is>
      </c>
      <c r="AJ934" s="156" t="n"/>
      <c r="AK934" s="155" t="inlineStr">
        <is>
          <t>Shopify Stetson: producto 15051555570027 / variante 53342131290475 | Odoo: producto 29950 / plantilla 38654</t>
        </is>
      </c>
      <c r="AL934" s="58" t="n">
        <v>775.862069</v>
      </c>
      <c r="AM934" s="58" t="n">
        <v>1724.137931</v>
      </c>
      <c r="AN934" s="155" t="inlineStr">
        <is>
          <t>Shopify Stetson México | Odoo Universal Unique Brands</t>
        </is>
      </c>
      <c r="AO934" s="59" t="n">
        <v>2</v>
      </c>
      <c r="AP934" s="59" t="n"/>
      <c r="AQ934" s="59" t="n">
        <v>2</v>
      </c>
      <c r="AR934" s="155" t="inlineStr">
        <is>
          <t>Shopify Stetson México › Stetson Americas: 2 | Odoo Universal Unique Brands › Bodega 25 › Bodega 25/General: 2</t>
        </is>
      </c>
    </row>
    <row r="935">
      <c r="A935" s="50" t="inlineStr">
        <is>
          <t>196070186024</t>
        </is>
      </c>
      <c r="B935" s="51" t="inlineStr">
        <is>
          <t>110733</t>
        </is>
      </c>
      <c r="C935" s="156" t="inlineStr">
        <is>
          <t>Multimarca</t>
        </is>
      </c>
      <c r="D935" s="156" t="inlineStr">
        <is>
          <t>11-054-0921-2414</t>
        </is>
      </c>
      <c r="E935" s="156" t="inlineStr">
        <is>
          <t>11-054-0921-2414-6R</t>
        </is>
      </c>
      <c r="F935" s="156" t="inlineStr">
        <is>
          <t>9</t>
        </is>
      </c>
      <c r="G935" s="156" t="inlineStr">
        <is>
          <t>6</t>
        </is>
      </c>
      <c r="H935" s="156" t="inlineStr">
        <is>
          <t>Stetson</t>
        </is>
      </c>
      <c r="I935" s="156" t="inlineStr">
        <is>
          <t>Jean Mujer Cintura Alta Acampanado Bolsa Lisa</t>
        </is>
      </c>
      <c r="J935" s="156" t="inlineStr">
        <is>
          <t>Denim</t>
        </is>
      </c>
      <c r="K935" s="156" t="inlineStr">
        <is>
          <t>Jeans</t>
        </is>
      </c>
      <c r="L935" s="156" t="inlineStr">
        <is>
          <t>Mujer</t>
        </is>
      </c>
      <c r="M935" s="156" t="inlineStr">
        <is>
          <t>Stetson</t>
        </is>
      </c>
      <c r="N935" s="156" t="inlineStr">
        <is>
          <t>SS26</t>
        </is>
      </c>
      <c r="O935" s="156" t="inlineStr">
        <is>
          <t>Seasonal</t>
        </is>
      </c>
      <c r="P935" s="156" t="inlineStr">
        <is>
          <t>Negro</t>
        </is>
      </c>
      <c r="Q935" s="156" t="inlineStr">
        <is>
          <t>Slim</t>
        </is>
      </c>
      <c r="R935" s="156" t="inlineStr">
        <is>
          <t>Recto</t>
        </is>
      </c>
      <c r="S935" s="156" t="inlineStr">
        <is>
          <t>76% Algodón 21% Poliéster 3% Elastano</t>
        </is>
      </c>
      <c r="T935" s="156" t="inlineStr">
        <is>
          <t>Jean Mujer Cintura Alta Acampanado Bolsa Lisa Slim por Muslos</t>
        </is>
      </c>
      <c r="U935" s="156" t="n"/>
      <c r="V935" s="156" t="inlineStr">
        <is>
          <t>PZS</t>
        </is>
      </c>
      <c r="W935" s="51" t="inlineStr">
        <is>
          <t>53101503</t>
        </is>
      </c>
      <c r="X935" s="156" t="n"/>
      <c r="Y935" s="54" t="n">
        <v>775.862069</v>
      </c>
      <c r="Z935" s="54" t="n">
        <v>1724.137931</v>
      </c>
      <c r="AA935" s="55">
        <f>IF(AND(A935="", B935="", E935=""), "", IF(AB935="", "Válido", IF((LEN(AB935)-LEN(SUBSTITUTE(AB935,"; ","")))/2+1&gt;(LEN(AB935)-LEN(SUBSTITUTE(AB935,"[Aviso]","")))/7, "Con Incidencias", "Válido")))</f>
        <v/>
      </c>
      <c r="AB935" s="56">
        <f>IF(AND(A935="", B935="", E935=""), "", TEXTJOIN("; ", TRUE, IF(OR(TRIM(A935&amp;"")="", ISNUMBER(SEARCH("FALTA", A935))), "UPC faltante/inválido", ""), IF(AND(A935&lt;&gt;"", IFERROR(_xlfn.XMATCH(A935,$A$2:$A$2509,0,1)&lt;&gt;_xlfn.XMATCH(A935,$A$2:$A$2509,0,-1),FALSE)), "Código de barras duplicado", ""), IF(AND(E935&lt;&gt;"", COUNTIF($E$2:$E$2509, E935)&gt;1), "SKU duplicado", ""), IF(OR(J935="", J935=""), "[Aviso] División no capturada ()", IF(ISNA(MATCH(J935, Criterios!$A$123:$A$126, 0)), "División no válida", "")), IF(OR(K935="", K935=""), "[Aviso] Categoría no capturada ()", IF(ISNA(MATCH(K935, Criterios!$A$81:$A$120, 0)), "Categoría no válida", IF(AND(J935&lt;&gt;"", J935&lt;&gt;"", J935&lt;&gt;VLOOKUP(K935, Criterios!$A$81:$B$120, 2, FALSE)), "División no coincide con Categoría", ""))), IF(OR(L935="", L935=""), "[Aviso] Género no capturado ()", IF(ISNA(MATCH(L935, Criterios!$B$123:$B$127, 0)), "Género no válido", "")), IF(OR(N935="", N935=""), "[Aviso] Temporada no capturada ()", IF(ISNA(MATCH(N935, Criterios!$C$123:$C$128, 0)), "Temporada no válida", "")), IF(OR(O935="", O935=""), "[Aviso] Ciclo de vida no capturado ()", IF(ISNA(MATCH(O935, Criterios!$D$123:$D$124, 0)), "Ciclo de vida no válido", ""))))</f>
        <v/>
      </c>
      <c r="AC935" s="56" t="n"/>
      <c r="AD935" s="51" t="n">
        <v>-1</v>
      </c>
      <c r="AE935" s="156" t="n"/>
      <c r="AF935" s="51" t="n">
        <v>0</v>
      </c>
      <c r="AG935" s="156" t="inlineStr">
        <is>
          <t>Catálogo existente</t>
        </is>
      </c>
      <c r="AH935" s="156" t="inlineStr">
        <is>
          <t>Stock negativo en sistema: revisar en conteo | 01/10/2026: Shopify Stetson México trae Color «Azul» — se conservó el valor de Productos | 01/10/2026: Odoo Universal Unique Brands trae Color «Azul» — se conservó el valor de Productos</t>
        </is>
      </c>
      <c r="AI935" s="156" t="inlineStr">
        <is>
          <t>Sí</t>
        </is>
      </c>
      <c r="AJ935" s="156" t="inlineStr">
        <is>
          <t>STETSON AMERICAS (-1)</t>
        </is>
      </c>
      <c r="AK935" s="155" t="inlineStr">
        <is>
          <t>Shopify Stetson: producto 15051555570027 / variante 53342131323243 | Odoo: producto 29951 / plantilla 38655</t>
        </is>
      </c>
      <c r="AL935" s="58" t="n">
        <v>775.862069</v>
      </c>
      <c r="AM935" s="58" t="n">
        <v>1724.137931</v>
      </c>
      <c r="AN935" s="155" t="inlineStr">
        <is>
          <t>Shopify Stetson México | Odoo Universal Unique Brands</t>
        </is>
      </c>
      <c r="AO935" s="59" t="n">
        <v>1</v>
      </c>
      <c r="AP935" s="59" t="n"/>
      <c r="AQ935" s="59" t="n">
        <v>2</v>
      </c>
      <c r="AR935" s="155" t="inlineStr">
        <is>
          <t>Shopify Stetson México › Stetson Americas: 1 | Odoo Universal Unique Brands › Bodega 25 › Bodega 25/General: 2</t>
        </is>
      </c>
    </row>
    <row r="936">
      <c r="A936" s="50" t="inlineStr">
        <is>
          <t>196070186079</t>
        </is>
      </c>
      <c r="B936" s="51" t="inlineStr">
        <is>
          <t>110734</t>
        </is>
      </c>
      <c r="C936" s="156" t="inlineStr">
        <is>
          <t>Multimarca</t>
        </is>
      </c>
      <c r="D936" s="156" t="inlineStr">
        <is>
          <t>11-054-0921-2414</t>
        </is>
      </c>
      <c r="E936" s="156" t="inlineStr">
        <is>
          <t>11-054-0921-2414-8R</t>
        </is>
      </c>
      <c r="F936" s="156" t="inlineStr">
        <is>
          <t>11</t>
        </is>
      </c>
      <c r="G936" s="156" t="inlineStr">
        <is>
          <t>8</t>
        </is>
      </c>
      <c r="H936" s="156" t="inlineStr">
        <is>
          <t>Stetson</t>
        </is>
      </c>
      <c r="I936" s="156" t="inlineStr">
        <is>
          <t>Jean Mujer Cintura Alta Acampanado Bolsa Lisa</t>
        </is>
      </c>
      <c r="J936" s="156" t="inlineStr">
        <is>
          <t>Denim</t>
        </is>
      </c>
      <c r="K936" s="156" t="inlineStr">
        <is>
          <t>Jeans</t>
        </is>
      </c>
      <c r="L936" s="156" t="inlineStr">
        <is>
          <t>Mujer</t>
        </is>
      </c>
      <c r="M936" s="156" t="inlineStr">
        <is>
          <t>Stetson</t>
        </is>
      </c>
      <c r="N936" s="156" t="inlineStr">
        <is>
          <t>SS26</t>
        </is>
      </c>
      <c r="O936" s="156" t="inlineStr">
        <is>
          <t>Seasonal</t>
        </is>
      </c>
      <c r="P936" s="156" t="inlineStr">
        <is>
          <t>Negro</t>
        </is>
      </c>
      <c r="Q936" s="156" t="inlineStr">
        <is>
          <t>Slim</t>
        </is>
      </c>
      <c r="R936" s="156" t="inlineStr">
        <is>
          <t>Recto</t>
        </is>
      </c>
      <c r="S936" s="156" t="inlineStr">
        <is>
          <t>76% Algodón 21% Poliéster 3% Elastano</t>
        </is>
      </c>
      <c r="T936" s="156" t="inlineStr">
        <is>
          <t>Jean Mujer Cintura Alta Acampanado Bolsa Lisa Slim por Muslos</t>
        </is>
      </c>
      <c r="U936" s="156" t="n"/>
      <c r="V936" s="156" t="inlineStr">
        <is>
          <t>PZS</t>
        </is>
      </c>
      <c r="W936" s="51" t="inlineStr">
        <is>
          <t>53101503</t>
        </is>
      </c>
      <c r="X936" s="156" t="n"/>
      <c r="Y936" s="54" t="n">
        <v>775.862069</v>
      </c>
      <c r="Z936" s="54" t="n">
        <v>1724.137931</v>
      </c>
      <c r="AA936" s="55">
        <f>IF(AND(A936="", B936="", E936=""), "", IF(AB936="", "Válido", IF((LEN(AB936)-LEN(SUBSTITUTE(AB936,"; ","")))/2+1&gt;(LEN(AB936)-LEN(SUBSTITUTE(AB936,"[Aviso]","")))/7, "Con Incidencias", "Válido")))</f>
        <v/>
      </c>
      <c r="AB936" s="56">
        <f>IF(AND(A936="", B936="", E936=""), "", TEXTJOIN("; ", TRUE, IF(OR(TRIM(A936&amp;"")="", ISNUMBER(SEARCH("FALTA", A936))), "UPC faltante/inválido", ""), IF(AND(A936&lt;&gt;"", IFERROR(_xlfn.XMATCH(A936,$A$2:$A$2509,0,1)&lt;&gt;_xlfn.XMATCH(A936,$A$2:$A$2509,0,-1),FALSE)), "Código de barras duplicado", ""), IF(AND(E936&lt;&gt;"", COUNTIF($E$2:$E$2509, E936)&gt;1), "SKU duplicado", ""), IF(OR(J936="", J936=""), "[Aviso] División no capturada ()", IF(ISNA(MATCH(J936, Criterios!$A$123:$A$126, 0)), "División no válida", "")), IF(OR(K936="", K936=""), "[Aviso] Categoría no capturada ()", IF(ISNA(MATCH(K936, Criterios!$A$81:$A$120, 0)), "Categoría no válida", IF(AND(J936&lt;&gt;"", J936&lt;&gt;"", J936&lt;&gt;VLOOKUP(K936, Criterios!$A$81:$B$120, 2, FALSE)), "División no coincide con Categoría", ""))), IF(OR(L936="", L936=""), "[Aviso] Género no capturado ()", IF(ISNA(MATCH(L936, Criterios!$B$123:$B$127, 0)), "Género no válido", "")), IF(OR(N936="", N936=""), "[Aviso] Temporada no capturada ()", IF(ISNA(MATCH(N936, Criterios!$C$123:$C$128, 0)), "Temporada no válida", "")), IF(OR(O936="", O936=""), "[Aviso] Ciclo de vida no capturado ()", IF(ISNA(MATCH(O936, Criterios!$D$123:$D$124, 0)), "Ciclo de vida no válido", ""))))</f>
        <v/>
      </c>
      <c r="AC936" s="56" t="n"/>
      <c r="AD936" s="51" t="n">
        <v>-1</v>
      </c>
      <c r="AE936" s="156" t="n"/>
      <c r="AF936" s="51" t="n">
        <v>0</v>
      </c>
      <c r="AG936" s="156" t="inlineStr">
        <is>
          <t>Catálogo existente</t>
        </is>
      </c>
      <c r="AH936" s="156" t="inlineStr">
        <is>
          <t>Stock negativo en sistema: revisar en conteo | 01/10/2026: Shopify Stetson México trae Color «Azul» — se conservó el valor de Productos | 01/10/2026: Odoo Universal Unique Brands trae Color «Azul» — se conservó el valor de Productos</t>
        </is>
      </c>
      <c r="AI936" s="156" t="inlineStr">
        <is>
          <t>Sí</t>
        </is>
      </c>
      <c r="AJ936" s="156" t="inlineStr">
        <is>
          <t>STETSON AMERICAS (-1)</t>
        </is>
      </c>
      <c r="AK936" s="155" t="inlineStr">
        <is>
          <t>Shopify Stetson: producto 15051555570027 / variante 53342131356011 | Odoo: producto 29952 / plantilla 38656</t>
        </is>
      </c>
      <c r="AL936" s="58" t="n">
        <v>775.862069</v>
      </c>
      <c r="AM936" s="58" t="n">
        <v>1724.137931</v>
      </c>
      <c r="AN936" s="155" t="inlineStr">
        <is>
          <t>Shopify Stetson México | Odoo Universal Unique Brands</t>
        </is>
      </c>
      <c r="AO936" s="59" t="n">
        <v>1</v>
      </c>
      <c r="AP936" s="59" t="n"/>
      <c r="AQ936" s="59" t="n">
        <v>2</v>
      </c>
      <c r="AR936" s="155" t="inlineStr">
        <is>
          <t>Shopify Stetson México › Stetson Americas: 1 | Odoo Universal Unique Brands › Bodega 25 › Bodega 25/General: 2</t>
        </is>
      </c>
    </row>
    <row r="937">
      <c r="A937" s="50" t="inlineStr">
        <is>
          <t>196070267167</t>
        </is>
      </c>
      <c r="B937" s="51" t="inlineStr">
        <is>
          <t>110764</t>
        </is>
      </c>
      <c r="C937" s="156" t="inlineStr">
        <is>
          <t>Multimarca</t>
        </is>
      </c>
      <c r="D937" s="156" t="inlineStr">
        <is>
          <t>11-057-0592-0104</t>
        </is>
      </c>
      <c r="E937" s="156" t="inlineStr">
        <is>
          <t>11-057-0592-0104-10</t>
        </is>
      </c>
      <c r="F937" s="156" t="inlineStr">
        <is>
          <t>10</t>
        </is>
      </c>
      <c r="G937" s="156" t="inlineStr">
        <is>
          <t>10</t>
        </is>
      </c>
      <c r="H937" s="156" t="inlineStr">
        <is>
          <t>Stetson</t>
        </is>
      </c>
      <c r="I937" s="156" t="inlineStr">
        <is>
          <t>Vestido Midi Twill Herringbone</t>
        </is>
      </c>
      <c r="J937" s="156" t="inlineStr">
        <is>
          <t>Ropa</t>
        </is>
      </c>
      <c r="K937" s="156" t="inlineStr">
        <is>
          <t>Vestidos</t>
        </is>
      </c>
      <c r="L937" s="156" t="inlineStr">
        <is>
          <t>Mujer</t>
        </is>
      </c>
      <c r="M937" s="156" t="inlineStr">
        <is>
          <t>Stetson</t>
        </is>
      </c>
      <c r="N937" s="156" t="inlineStr">
        <is>
          <t>SS26</t>
        </is>
      </c>
      <c r="O937" s="156" t="inlineStr">
        <is>
          <t>Seasonal</t>
        </is>
      </c>
      <c r="P937" s="156" t="inlineStr">
        <is>
          <t>Negro</t>
        </is>
      </c>
      <c r="Q937" s="156" t="inlineStr">
        <is>
          <t>Regular</t>
        </is>
      </c>
      <c r="R937" s="156" t="n"/>
      <c r="S937" s="156" t="inlineStr">
        <is>
          <t>100% Rayón</t>
        </is>
      </c>
      <c r="T937" s="156" t="inlineStr">
        <is>
          <t>Vestido Midi Twill Herringbone Regular</t>
        </is>
      </c>
      <c r="U937" s="156" t="n"/>
      <c r="V937" s="156" t="inlineStr">
        <is>
          <t>PZS</t>
        </is>
      </c>
      <c r="W937" s="51" t="inlineStr">
        <is>
          <t>53101504</t>
        </is>
      </c>
      <c r="X937" s="156" t="n"/>
      <c r="Y937" s="54" t="n">
        <v>814.6551724</v>
      </c>
      <c r="Z937" s="54" t="n">
        <v>1810.344828</v>
      </c>
      <c r="AA937" s="55">
        <f>IF(AND(A937="", B937="", E937=""), "", IF(AB937="", "Válido", IF((LEN(AB937)-LEN(SUBSTITUTE(AB937,"; ","")))/2+1&gt;(LEN(AB937)-LEN(SUBSTITUTE(AB937,"[Aviso]","")))/7, "Con Incidencias", "Válido")))</f>
        <v/>
      </c>
      <c r="AB937" s="56">
        <f>IF(AND(A937="", B937="", E937=""), "", TEXTJOIN("; ", TRUE, IF(OR(TRIM(A937&amp;"")="", ISNUMBER(SEARCH("FALTA", A937))), "UPC faltante/inválido", ""), IF(AND(A937&lt;&gt;"", IFERROR(_xlfn.XMATCH(A937,$A$2:$A$2509,0,1)&lt;&gt;_xlfn.XMATCH(A937,$A$2:$A$2509,0,-1),FALSE)), "Código de barras duplicado", ""), IF(AND(E937&lt;&gt;"", COUNTIF($E$2:$E$2509, E937)&gt;1), "SKU duplicado", ""), IF(OR(J937="", J937=""), "[Aviso] División no capturada ()", IF(ISNA(MATCH(J937, Criterios!$A$123:$A$126, 0)), "División no válida", "")), IF(OR(K937="", K937=""), "[Aviso] Categoría no capturada ()", IF(ISNA(MATCH(K937, Criterios!$A$81:$A$120, 0)), "Categoría no válida", IF(AND(J937&lt;&gt;"", J937&lt;&gt;"", J937&lt;&gt;VLOOKUP(K937, Criterios!$A$81:$B$120, 2, FALSE)), "División no coincide con Categoría", ""))), IF(OR(L937="", L937=""), "[Aviso] Género no capturado ()", IF(ISNA(MATCH(L937, Criterios!$B$123:$B$127, 0)), "Género no válido", "")), IF(OR(N937="", N937=""), "[Aviso] Temporada no capturada ()", IF(ISNA(MATCH(N937, Criterios!$C$123:$C$128, 0)), "Temporada no válida", "")), IF(OR(O937="", O937=""), "[Aviso] Ciclo de vida no capturado ()", IF(ISNA(MATCH(O937, Criterios!$D$123:$D$124, 0)), "Ciclo de vida no válido", ""))))</f>
        <v/>
      </c>
      <c r="AC937" s="56" t="n"/>
      <c r="AD937" s="51" t="n">
        <v>-1</v>
      </c>
      <c r="AE937" s="156" t="n"/>
      <c r="AF937" s="51" t="n">
        <v>0</v>
      </c>
      <c r="AG937" s="156" t="inlineStr">
        <is>
          <t>Catálogo existente</t>
        </is>
      </c>
      <c r="AH937" s="156" t="inlineStr">
        <is>
          <t>Stock negativo en sistema: revisar en conteo | Revisión 29/09/2026: Talla fuente 10 sin equivalencia exacta en Criterios para Talla Ropa; Campos sin respaldo: U, X; Auditoría NetSuite 30/09/2026: llenado desde NetSuite [S] | 01/10/2026: complementado desde Shopify Stetson México (match por código de barras): WB Silueta</t>
        </is>
      </c>
      <c r="AI937" s="156" t="inlineStr">
        <is>
          <t>Sí</t>
        </is>
      </c>
      <c r="AJ937" s="156" t="inlineStr">
        <is>
          <t>STETSON AMERICAS (-1)</t>
        </is>
      </c>
      <c r="AK937" s="155" t="inlineStr">
        <is>
          <t>Criterios: J [R]; G1522_Extraccion_Articulos_NetSuite_2026-09-30.xlsx: fila 58579 [S] | Shopify Stetson: producto 15051552293227 / variante 53342118871403</t>
        </is>
      </c>
      <c r="AL937" s="58" t="n">
        <v>814.6551724</v>
      </c>
      <c r="AM937" s="58" t="n">
        <v>1810.344828</v>
      </c>
      <c r="AN937" s="155" t="inlineStr">
        <is>
          <t>Shopify Stetson México</t>
        </is>
      </c>
      <c r="AO937" s="59" t="n">
        <v>0</v>
      </c>
      <c r="AP937" s="59" t="n"/>
      <c r="AQ937" s="59" t="n"/>
      <c r="AR937" s="155" t="n"/>
    </row>
    <row r="938">
      <c r="A938" s="50" t="inlineStr">
        <is>
          <t>196070267211</t>
        </is>
      </c>
      <c r="B938" s="51" t="inlineStr">
        <is>
          <t>110765</t>
        </is>
      </c>
      <c r="C938" s="156" t="inlineStr">
        <is>
          <t>Multimarca</t>
        </is>
      </c>
      <c r="D938" s="156" t="inlineStr">
        <is>
          <t>11-057-0592-0104</t>
        </is>
      </c>
      <c r="E938" s="156" t="inlineStr">
        <is>
          <t>11-057-0592-0104-2</t>
        </is>
      </c>
      <c r="F938" s="156" t="inlineStr">
        <is>
          <t>2</t>
        </is>
      </c>
      <c r="G938" s="156" t="inlineStr">
        <is>
          <t>2</t>
        </is>
      </c>
      <c r="H938" s="156" t="inlineStr">
        <is>
          <t>Stetson</t>
        </is>
      </c>
      <c r="I938" s="156" t="inlineStr">
        <is>
          <t>Vestido Midi Twill Herringbone</t>
        </is>
      </c>
      <c r="J938" s="156" t="inlineStr">
        <is>
          <t>Ropa</t>
        </is>
      </c>
      <c r="K938" s="156" t="inlineStr">
        <is>
          <t>Vestidos</t>
        </is>
      </c>
      <c r="L938" s="156" t="inlineStr">
        <is>
          <t>Mujer</t>
        </is>
      </c>
      <c r="M938" s="156" t="inlineStr">
        <is>
          <t>Stetson</t>
        </is>
      </c>
      <c r="N938" s="156" t="inlineStr">
        <is>
          <t>SS26</t>
        </is>
      </c>
      <c r="O938" s="156" t="inlineStr">
        <is>
          <t>Seasonal</t>
        </is>
      </c>
      <c r="P938" s="156" t="inlineStr">
        <is>
          <t>Negro</t>
        </is>
      </c>
      <c r="Q938" s="156" t="inlineStr">
        <is>
          <t>Regular</t>
        </is>
      </c>
      <c r="R938" s="156" t="n"/>
      <c r="S938" s="156" t="inlineStr">
        <is>
          <t>100% Rayón</t>
        </is>
      </c>
      <c r="T938" s="156" t="inlineStr">
        <is>
          <t>Vestido Midi Twill Herringbone Regular</t>
        </is>
      </c>
      <c r="U938" s="156" t="n"/>
      <c r="V938" s="156" t="inlineStr">
        <is>
          <t>PZS</t>
        </is>
      </c>
      <c r="W938" s="51" t="inlineStr">
        <is>
          <t>53101504</t>
        </is>
      </c>
      <c r="X938" s="156" t="n"/>
      <c r="Y938" s="54" t="n">
        <v>814.6551724</v>
      </c>
      <c r="Z938" s="54" t="n">
        <v>1810.344828</v>
      </c>
      <c r="AA938" s="55">
        <f>IF(AND(A938="", B938="", E938=""), "", IF(AB938="", "Válido", IF((LEN(AB938)-LEN(SUBSTITUTE(AB938,"; ","")))/2+1&gt;(LEN(AB938)-LEN(SUBSTITUTE(AB938,"[Aviso]","")))/7, "Con Incidencias", "Válido")))</f>
        <v/>
      </c>
      <c r="AB938" s="56">
        <f>IF(AND(A938="", B938="", E938=""), "", TEXTJOIN("; ", TRUE, IF(OR(TRIM(A938&amp;"")="", ISNUMBER(SEARCH("FALTA", A938))), "UPC faltante/inválido", ""), IF(AND(A938&lt;&gt;"", IFERROR(_xlfn.XMATCH(A938,$A$2:$A$2509,0,1)&lt;&gt;_xlfn.XMATCH(A938,$A$2:$A$2509,0,-1),FALSE)), "Código de barras duplicado", ""), IF(AND(E938&lt;&gt;"", COUNTIF($E$2:$E$2509, E938)&gt;1), "SKU duplicado", ""), IF(OR(J938="", J938=""), "[Aviso] División no capturada ()", IF(ISNA(MATCH(J938, Criterios!$A$123:$A$126, 0)), "División no válida", "")), IF(OR(K938="", K938=""), "[Aviso] Categoría no capturada ()", IF(ISNA(MATCH(K938, Criterios!$A$81:$A$120, 0)), "Categoría no válida", IF(AND(J938&lt;&gt;"", J938&lt;&gt;"", J938&lt;&gt;VLOOKUP(K938, Criterios!$A$81:$B$120, 2, FALSE)), "División no coincide con Categoría", ""))), IF(OR(L938="", L938=""), "[Aviso] Género no capturado ()", IF(ISNA(MATCH(L938, Criterios!$B$123:$B$127, 0)), "Género no válido", "")), IF(OR(N938="", N938=""), "[Aviso] Temporada no capturada ()", IF(ISNA(MATCH(N938, Criterios!$C$123:$C$128, 0)), "Temporada no válida", "")), IF(OR(O938="", O938=""), "[Aviso] Ciclo de vida no capturado ()", IF(ISNA(MATCH(O938, Criterios!$D$123:$D$124, 0)), "Ciclo de vida no válido", ""))))</f>
        <v/>
      </c>
      <c r="AC938" s="56" t="n"/>
      <c r="AD938" s="51" t="n">
        <v>-2</v>
      </c>
      <c r="AE938" s="156" t="n"/>
      <c r="AF938" s="51" t="n">
        <v>0</v>
      </c>
      <c r="AG938" s="156" t="inlineStr">
        <is>
          <t>Catálogo existente</t>
        </is>
      </c>
      <c r="AH938" s="156" t="inlineStr">
        <is>
          <t>Stock negativo en sistema: revisar en conteo | Revisión 29/09/2026: Talla fuente 2 sin equivalencia exacta en Criterios para Talla Ropa; Campos sin respaldo: U, X; Auditoría NetSuite 30/09/2026: llenado desde NetSuite [S] | 01/10/2026: complementado desde Shopify Stetson México (match por código de barras): WB Silueta</t>
        </is>
      </c>
      <c r="AI938" s="156" t="inlineStr">
        <is>
          <t>Sí</t>
        </is>
      </c>
      <c r="AJ938" s="156" t="inlineStr">
        <is>
          <t>STETSON AMERICAS (-2)</t>
        </is>
      </c>
      <c r="AK938" s="155" t="inlineStr">
        <is>
          <t>Criterios: J [R]; G1522_Extraccion_Articulos_NetSuite_2026-09-30.xlsx: fila 58580 [S] | Shopify Stetson: producto 15051552293227 / variante 53342118740331</t>
        </is>
      </c>
      <c r="AL938" s="58" t="n">
        <v>814.6551724</v>
      </c>
      <c r="AM938" s="58" t="n">
        <v>1810.344828</v>
      </c>
      <c r="AN938" s="155" t="inlineStr">
        <is>
          <t>Shopify Stetson México</t>
        </is>
      </c>
      <c r="AO938" s="59" t="n">
        <v>0</v>
      </c>
      <c r="AP938" s="59" t="n"/>
      <c r="AQ938" s="59" t="n"/>
      <c r="AR938" s="155" t="n"/>
    </row>
    <row r="939">
      <c r="A939" s="50" t="inlineStr">
        <is>
          <t>196070267228</t>
        </is>
      </c>
      <c r="B939" s="51" t="inlineStr">
        <is>
          <t>110766</t>
        </is>
      </c>
      <c r="C939" s="156" t="inlineStr">
        <is>
          <t>Multimarca</t>
        </is>
      </c>
      <c r="D939" s="156" t="inlineStr">
        <is>
          <t>11-057-0592-0104</t>
        </is>
      </c>
      <c r="E939" s="156" t="inlineStr">
        <is>
          <t>11-057-0592-0104-4</t>
        </is>
      </c>
      <c r="F939" s="156" t="inlineStr">
        <is>
          <t>4</t>
        </is>
      </c>
      <c r="G939" s="156" t="inlineStr">
        <is>
          <t>4</t>
        </is>
      </c>
      <c r="H939" s="156" t="inlineStr">
        <is>
          <t>Stetson</t>
        </is>
      </c>
      <c r="I939" s="156" t="inlineStr">
        <is>
          <t>Vestido Midi Twill Herringbone</t>
        </is>
      </c>
      <c r="J939" s="156" t="inlineStr">
        <is>
          <t>Ropa</t>
        </is>
      </c>
      <c r="K939" s="156" t="inlineStr">
        <is>
          <t>Vestidos</t>
        </is>
      </c>
      <c r="L939" s="156" t="inlineStr">
        <is>
          <t>Mujer</t>
        </is>
      </c>
      <c r="M939" s="156" t="inlineStr">
        <is>
          <t>Stetson</t>
        </is>
      </c>
      <c r="N939" s="156" t="inlineStr">
        <is>
          <t>SS26</t>
        </is>
      </c>
      <c r="O939" s="156" t="inlineStr">
        <is>
          <t>Seasonal</t>
        </is>
      </c>
      <c r="P939" s="156" t="inlineStr">
        <is>
          <t>Negro</t>
        </is>
      </c>
      <c r="Q939" s="156" t="inlineStr">
        <is>
          <t>Regular</t>
        </is>
      </c>
      <c r="R939" s="156" t="n"/>
      <c r="S939" s="156" t="inlineStr">
        <is>
          <t>100% Rayón</t>
        </is>
      </c>
      <c r="T939" s="156" t="inlineStr">
        <is>
          <t>Vestido Midi Twill Herringbone Regular</t>
        </is>
      </c>
      <c r="U939" s="156" t="n"/>
      <c r="V939" s="156" t="inlineStr">
        <is>
          <t>PZS</t>
        </is>
      </c>
      <c r="W939" s="51" t="inlineStr">
        <is>
          <t>53101504</t>
        </is>
      </c>
      <c r="X939" s="156" t="n"/>
      <c r="Y939" s="54" t="n">
        <v>814.6551724</v>
      </c>
      <c r="Z939" s="54" t="n">
        <v>1810.344828</v>
      </c>
      <c r="AA939" s="55">
        <f>IF(AND(A939="", B939="", E939=""), "", IF(AB939="", "Válido", IF((LEN(AB939)-LEN(SUBSTITUTE(AB939,"; ","")))/2+1&gt;(LEN(AB939)-LEN(SUBSTITUTE(AB939,"[Aviso]","")))/7, "Con Incidencias", "Válido")))</f>
        <v/>
      </c>
      <c r="AB939" s="56">
        <f>IF(AND(A939="", B939="", E939=""), "", TEXTJOIN("; ", TRUE, IF(OR(TRIM(A939&amp;"")="", ISNUMBER(SEARCH("FALTA", A939))), "UPC faltante/inválido", ""), IF(AND(A939&lt;&gt;"", IFERROR(_xlfn.XMATCH(A939,$A$2:$A$2509,0,1)&lt;&gt;_xlfn.XMATCH(A939,$A$2:$A$2509,0,-1),FALSE)), "Código de barras duplicado", ""), IF(AND(E939&lt;&gt;"", COUNTIF($E$2:$E$2509, E939)&gt;1), "SKU duplicado", ""), IF(OR(J939="", J939=""), "[Aviso] División no capturada ()", IF(ISNA(MATCH(J939, Criterios!$A$123:$A$126, 0)), "División no válida", "")), IF(OR(K939="", K939=""), "[Aviso] Categoría no capturada ()", IF(ISNA(MATCH(K939, Criterios!$A$81:$A$120, 0)), "Categoría no válida", IF(AND(J939&lt;&gt;"", J939&lt;&gt;"", J939&lt;&gt;VLOOKUP(K939, Criterios!$A$81:$B$120, 2, FALSE)), "División no coincide con Categoría", ""))), IF(OR(L939="", L939=""), "[Aviso] Género no capturado ()", IF(ISNA(MATCH(L939, Criterios!$B$123:$B$127, 0)), "Género no válido", "")), IF(OR(N939="", N939=""), "[Aviso] Temporada no capturada ()", IF(ISNA(MATCH(N939, Criterios!$C$123:$C$128, 0)), "Temporada no válida", "")), IF(OR(O939="", O939=""), "[Aviso] Ciclo de vida no capturado ()", IF(ISNA(MATCH(O939, Criterios!$D$123:$D$124, 0)), "Ciclo de vida no válido", ""))))</f>
        <v/>
      </c>
      <c r="AC939" s="56" t="n"/>
      <c r="AD939" s="51" t="n">
        <v>-1</v>
      </c>
      <c r="AE939" s="156" t="n"/>
      <c r="AF939" s="51" t="n">
        <v>0</v>
      </c>
      <c r="AG939" s="156" t="inlineStr">
        <is>
          <t>Catálogo existente</t>
        </is>
      </c>
      <c r="AH939" s="156" t="inlineStr">
        <is>
          <t>Stock negativo en sistema: revisar en conteo | Revisión 29/09/2026: Talla fuente 4 sin equivalencia exacta en Criterios para Talla Ropa; Campos sin respaldo: U, X; Auditoría NetSuite 30/09/2026: llenado desde NetSuite [S] | 01/10/2026: complementado desde Shopify Stetson México (match por código de barras): WB Silueta</t>
        </is>
      </c>
      <c r="AI939" s="156" t="inlineStr">
        <is>
          <t>Sí</t>
        </is>
      </c>
      <c r="AJ939" s="156" t="inlineStr">
        <is>
          <t>STETSON AMERICAS (-1)</t>
        </is>
      </c>
      <c r="AK939" s="155" t="inlineStr">
        <is>
          <t>Criterios: J [R]; G1522_Extraccion_Articulos_NetSuite_2026-09-30.xlsx: fila 58581 [S] | Shopify Stetson: producto 15051552293227 / variante 53342118773099</t>
        </is>
      </c>
      <c r="AL939" s="58" t="n">
        <v>814.6551724</v>
      </c>
      <c r="AM939" s="58" t="n">
        <v>1810.344828</v>
      </c>
      <c r="AN939" s="155" t="inlineStr">
        <is>
          <t>Shopify Stetson México</t>
        </is>
      </c>
      <c r="AO939" s="59" t="n">
        <v>1</v>
      </c>
      <c r="AP939" s="59" t="n"/>
      <c r="AQ939" s="59" t="n"/>
      <c r="AR939" s="155" t="inlineStr">
        <is>
          <t>Shopify Stetson México › Stetson Americas: 1</t>
        </is>
      </c>
    </row>
    <row r="940">
      <c r="A940" s="50" t="inlineStr">
        <is>
          <t>196070267235</t>
        </is>
      </c>
      <c r="B940" s="51" t="inlineStr">
        <is>
          <t>110767</t>
        </is>
      </c>
      <c r="C940" s="156" t="inlineStr">
        <is>
          <t>Multimarca</t>
        </is>
      </c>
      <c r="D940" s="156" t="inlineStr">
        <is>
          <t>11-057-0592-0104</t>
        </is>
      </c>
      <c r="E940" s="156" t="inlineStr">
        <is>
          <t>11-057-0592-0104-6</t>
        </is>
      </c>
      <c r="F940" s="156" t="inlineStr">
        <is>
          <t>6</t>
        </is>
      </c>
      <c r="G940" s="156" t="inlineStr">
        <is>
          <t>6</t>
        </is>
      </c>
      <c r="H940" s="156" t="inlineStr">
        <is>
          <t>Stetson</t>
        </is>
      </c>
      <c r="I940" s="156" t="inlineStr">
        <is>
          <t>Vestido Midi Twill Herringbone</t>
        </is>
      </c>
      <c r="J940" s="156" t="inlineStr">
        <is>
          <t>Ropa</t>
        </is>
      </c>
      <c r="K940" s="156" t="inlineStr">
        <is>
          <t>Vestidos</t>
        </is>
      </c>
      <c r="L940" s="156" t="inlineStr">
        <is>
          <t>Mujer</t>
        </is>
      </c>
      <c r="M940" s="156" t="inlineStr">
        <is>
          <t>Stetson</t>
        </is>
      </c>
      <c r="N940" s="156" t="inlineStr">
        <is>
          <t>SS26</t>
        </is>
      </c>
      <c r="O940" s="156" t="inlineStr">
        <is>
          <t>Seasonal</t>
        </is>
      </c>
      <c r="P940" s="156" t="inlineStr">
        <is>
          <t>Negro</t>
        </is>
      </c>
      <c r="Q940" s="156" t="inlineStr">
        <is>
          <t>Regular</t>
        </is>
      </c>
      <c r="R940" s="156" t="n"/>
      <c r="S940" s="156" t="inlineStr">
        <is>
          <t>100% Rayón</t>
        </is>
      </c>
      <c r="T940" s="156" t="inlineStr">
        <is>
          <t>Vestido Midi Twill Herringbone Regular</t>
        </is>
      </c>
      <c r="U940" s="156" t="n"/>
      <c r="V940" s="156" t="inlineStr">
        <is>
          <t>PZS</t>
        </is>
      </c>
      <c r="W940" s="51" t="inlineStr">
        <is>
          <t>53101504</t>
        </is>
      </c>
      <c r="X940" s="156" t="n"/>
      <c r="Y940" s="54" t="n">
        <v>814.6551724</v>
      </c>
      <c r="Z940" s="54" t="n">
        <v>1810.344828</v>
      </c>
      <c r="AA940" s="55">
        <f>IF(AND(A940="", B940="", E940=""), "", IF(AB940="", "Válido", IF((LEN(AB940)-LEN(SUBSTITUTE(AB940,"; ","")))/2+1&gt;(LEN(AB940)-LEN(SUBSTITUTE(AB940,"[Aviso]","")))/7, "Con Incidencias", "Válido")))</f>
        <v/>
      </c>
      <c r="AB940" s="56">
        <f>IF(AND(A940="", B940="", E940=""), "", TEXTJOIN("; ", TRUE, IF(OR(TRIM(A940&amp;"")="", ISNUMBER(SEARCH("FALTA", A940))), "UPC faltante/inválido", ""), IF(AND(A940&lt;&gt;"", IFERROR(_xlfn.XMATCH(A940,$A$2:$A$2509,0,1)&lt;&gt;_xlfn.XMATCH(A940,$A$2:$A$2509,0,-1),FALSE)), "Código de barras duplicado", ""), IF(AND(E940&lt;&gt;"", COUNTIF($E$2:$E$2509, E940)&gt;1), "SKU duplicado", ""), IF(OR(J940="", J940=""), "[Aviso] División no capturada ()", IF(ISNA(MATCH(J940, Criterios!$A$123:$A$126, 0)), "División no válida", "")), IF(OR(K940="", K940=""), "[Aviso] Categoría no capturada ()", IF(ISNA(MATCH(K940, Criterios!$A$81:$A$120, 0)), "Categoría no válida", IF(AND(J940&lt;&gt;"", J940&lt;&gt;"", J940&lt;&gt;VLOOKUP(K940, Criterios!$A$81:$B$120, 2, FALSE)), "División no coincide con Categoría", ""))), IF(OR(L940="", L940=""), "[Aviso] Género no capturado ()", IF(ISNA(MATCH(L940, Criterios!$B$123:$B$127, 0)), "Género no válido", "")), IF(OR(N940="", N940=""), "[Aviso] Temporada no capturada ()", IF(ISNA(MATCH(N940, Criterios!$C$123:$C$128, 0)), "Temporada no válida", "")), IF(OR(O940="", O940=""), "[Aviso] Ciclo de vida no capturado ()", IF(ISNA(MATCH(O940, Criterios!$D$123:$D$124, 0)), "Ciclo de vida no válido", ""))))</f>
        <v/>
      </c>
      <c r="AC940" s="56" t="n"/>
      <c r="AD940" s="51" t="n">
        <v>0</v>
      </c>
      <c r="AE940" s="156" t="n"/>
      <c r="AF940" s="51" t="n">
        <v>0</v>
      </c>
      <c r="AG940" s="156" t="inlineStr">
        <is>
          <t>Catálogo existente</t>
        </is>
      </c>
      <c r="AH940" s="156" t="inlineStr">
        <is>
          <t>Revisión 29/09/2026: Talla fuente 6 sin equivalencia exacta en Criterios para Talla Ropa; Campos sin respaldo: U, X; Auditoría NetSuite 30/09/2026: llenado desde NetSuite [S] | 01/10/2026: complementado desde Shopify Stetson México (match por código de barras): WB Silueta</t>
        </is>
      </c>
      <c r="AI940" s="156" t="inlineStr">
        <is>
          <t>No</t>
        </is>
      </c>
      <c r="AJ940" s="156" t="n"/>
      <c r="AK940" s="155" t="inlineStr">
        <is>
          <t>Criterios: J [R]; G1522_Extraccion_Articulos_NetSuite_2026-09-30.xlsx: fila 58582 [S] | Shopify Stetson: producto 15051552293227 / variante 53342118805867</t>
        </is>
      </c>
      <c r="AL940" s="58" t="n">
        <v>814.6551724</v>
      </c>
      <c r="AM940" s="58" t="n">
        <v>1810.344828</v>
      </c>
      <c r="AN940" s="155" t="inlineStr">
        <is>
          <t>Shopify Stetson México</t>
        </is>
      </c>
      <c r="AO940" s="59" t="n">
        <v>2</v>
      </c>
      <c r="AP940" s="59" t="n"/>
      <c r="AQ940" s="59" t="n"/>
      <c r="AR940" s="155" t="inlineStr">
        <is>
          <t>Shopify Stetson México › Stetson Americas: 2</t>
        </is>
      </c>
    </row>
    <row r="941">
      <c r="A941" s="50" t="inlineStr">
        <is>
          <t>196070267242</t>
        </is>
      </c>
      <c r="B941" s="51" t="inlineStr">
        <is>
          <t>110768</t>
        </is>
      </c>
      <c r="C941" s="156" t="inlineStr">
        <is>
          <t>Multimarca</t>
        </is>
      </c>
      <c r="D941" s="156" t="inlineStr">
        <is>
          <t>11-057-0592-0104</t>
        </is>
      </c>
      <c r="E941" s="156" t="inlineStr">
        <is>
          <t>11-057-0592-0104-8</t>
        </is>
      </c>
      <c r="F941" s="156" t="inlineStr">
        <is>
          <t>8</t>
        </is>
      </c>
      <c r="G941" s="156" t="inlineStr">
        <is>
          <t>8</t>
        </is>
      </c>
      <c r="H941" s="156" t="inlineStr">
        <is>
          <t>Stetson</t>
        </is>
      </c>
      <c r="I941" s="156" t="inlineStr">
        <is>
          <t>Vestido Midi Twill Herringbone</t>
        </is>
      </c>
      <c r="J941" s="156" t="inlineStr">
        <is>
          <t>Ropa</t>
        </is>
      </c>
      <c r="K941" s="156" t="inlineStr">
        <is>
          <t>Vestidos</t>
        </is>
      </c>
      <c r="L941" s="156" t="inlineStr">
        <is>
          <t>Mujer</t>
        </is>
      </c>
      <c r="M941" s="156" t="inlineStr">
        <is>
          <t>Stetson</t>
        </is>
      </c>
      <c r="N941" s="156" t="inlineStr">
        <is>
          <t>SS26</t>
        </is>
      </c>
      <c r="O941" s="156" t="inlineStr">
        <is>
          <t>Seasonal</t>
        </is>
      </c>
      <c r="P941" s="156" t="inlineStr">
        <is>
          <t>Negro</t>
        </is>
      </c>
      <c r="Q941" s="156" t="inlineStr">
        <is>
          <t>Regular</t>
        </is>
      </c>
      <c r="R941" s="156" t="n"/>
      <c r="S941" s="156" t="inlineStr">
        <is>
          <t>100% Rayón</t>
        </is>
      </c>
      <c r="T941" s="156" t="inlineStr">
        <is>
          <t>Vestido Midi Twill Herringbone Regular</t>
        </is>
      </c>
      <c r="U941" s="156" t="n"/>
      <c r="V941" s="156" t="inlineStr">
        <is>
          <t>PZS</t>
        </is>
      </c>
      <c r="W941" s="51" t="inlineStr">
        <is>
          <t>53101504</t>
        </is>
      </c>
      <c r="X941" s="156" t="n"/>
      <c r="Y941" s="54" t="n">
        <v>814.6551724</v>
      </c>
      <c r="Z941" s="54" t="n">
        <v>1810.344828</v>
      </c>
      <c r="AA941" s="55">
        <f>IF(AND(A941="", B941="", E941=""), "", IF(AB941="", "Válido", IF((LEN(AB941)-LEN(SUBSTITUTE(AB941,"; ","")))/2+1&gt;(LEN(AB941)-LEN(SUBSTITUTE(AB941,"[Aviso]","")))/7, "Con Incidencias", "Válido")))</f>
        <v/>
      </c>
      <c r="AB941" s="56">
        <f>IF(AND(A941="", B941="", E941=""), "", TEXTJOIN("; ", TRUE, IF(OR(TRIM(A941&amp;"")="", ISNUMBER(SEARCH("FALTA", A941))), "UPC faltante/inválido", ""), IF(AND(A941&lt;&gt;"", IFERROR(_xlfn.XMATCH(A941,$A$2:$A$2509,0,1)&lt;&gt;_xlfn.XMATCH(A941,$A$2:$A$2509,0,-1),FALSE)), "Código de barras duplicado", ""), IF(AND(E941&lt;&gt;"", COUNTIF($E$2:$E$2509, E941)&gt;1), "SKU duplicado", ""), IF(OR(J941="", J941=""), "[Aviso] División no capturada ()", IF(ISNA(MATCH(J941, Criterios!$A$123:$A$126, 0)), "División no válida", "")), IF(OR(K941="", K941=""), "[Aviso] Categoría no capturada ()", IF(ISNA(MATCH(K941, Criterios!$A$81:$A$120, 0)), "Categoría no válida", IF(AND(J941&lt;&gt;"", J941&lt;&gt;"", J941&lt;&gt;VLOOKUP(K941, Criterios!$A$81:$B$120, 2, FALSE)), "División no coincide con Categoría", ""))), IF(OR(L941="", L941=""), "[Aviso] Género no capturado ()", IF(ISNA(MATCH(L941, Criterios!$B$123:$B$127, 0)), "Género no válido", "")), IF(OR(N941="", N941=""), "[Aviso] Temporada no capturada ()", IF(ISNA(MATCH(N941, Criterios!$C$123:$C$128, 0)), "Temporada no válida", "")), IF(OR(O941="", O941=""), "[Aviso] Ciclo de vida no capturado ()", IF(ISNA(MATCH(O941, Criterios!$D$123:$D$124, 0)), "Ciclo de vida no válido", ""))))</f>
        <v/>
      </c>
      <c r="AC941" s="56" t="n"/>
      <c r="AD941" s="51" t="n">
        <v>0</v>
      </c>
      <c r="AE941" s="156" t="n"/>
      <c r="AF941" s="51" t="n">
        <v>0</v>
      </c>
      <c r="AG941" s="156" t="inlineStr">
        <is>
          <t>Catálogo existente</t>
        </is>
      </c>
      <c r="AH941" s="156" t="inlineStr">
        <is>
          <t>Revisión 29/09/2026: Talla fuente 8 sin equivalencia exacta en Criterios para Talla Ropa; Campos sin respaldo: U, X; Auditoría NetSuite 30/09/2026: llenado desde NetSuite [S] | 01/10/2026: complementado desde Shopify Stetson México (match por código de barras): WB Silueta</t>
        </is>
      </c>
      <c r="AI941" s="156" t="inlineStr">
        <is>
          <t>No</t>
        </is>
      </c>
      <c r="AJ941" s="156" t="n"/>
      <c r="AK941" s="155" t="inlineStr">
        <is>
          <t>Criterios: J [R]; G1522_Extraccion_Articulos_NetSuite_2026-09-30.xlsx: fila 58583 [S] | Shopify Stetson: producto 15051552293227 / variante 53342118838635</t>
        </is>
      </c>
      <c r="AL941" s="58" t="n">
        <v>814.6551724</v>
      </c>
      <c r="AM941" s="58" t="n">
        <v>1810.344828</v>
      </c>
      <c r="AN941" s="155" t="inlineStr">
        <is>
          <t>Shopify Stetson México</t>
        </is>
      </c>
      <c r="AO941" s="59" t="n">
        <v>1</v>
      </c>
      <c r="AP941" s="59" t="n"/>
      <c r="AQ941" s="59" t="n"/>
      <c r="AR941" s="155" t="inlineStr">
        <is>
          <t>Shopify Stetson México › Stetson Americas: 1</t>
        </is>
      </c>
    </row>
    <row r="942">
      <c r="A942" s="50" t="inlineStr">
        <is>
          <t>196070321586</t>
        </is>
      </c>
      <c r="B942" s="51" t="inlineStr">
        <is>
          <t>110657</t>
        </is>
      </c>
      <c r="C942" s="156" t="inlineStr">
        <is>
          <t>Multimarca</t>
        </is>
      </c>
      <c r="D942" s="156" t="inlineStr">
        <is>
          <t>11-004-1521-2000</t>
        </is>
      </c>
      <c r="E942" s="156" t="inlineStr">
        <is>
          <t>11-004-1521-2000-29 32</t>
        </is>
      </c>
      <c r="F942" s="156" t="inlineStr">
        <is>
          <t>29 x 32</t>
        </is>
      </c>
      <c r="G942" s="156" t="inlineStr">
        <is>
          <t>29W / 32L</t>
        </is>
      </c>
      <c r="H942" s="156" t="inlineStr">
        <is>
          <t>Stetson</t>
        </is>
      </c>
      <c r="I942" s="156" t="inlineStr">
        <is>
          <t>Jean Bordado X en Bolsas Traseras</t>
        </is>
      </c>
      <c r="J942" s="156" t="inlineStr">
        <is>
          <t>Denim</t>
        </is>
      </c>
      <c r="K942" s="156" t="inlineStr">
        <is>
          <t>Jeans</t>
        </is>
      </c>
      <c r="L942" s="156" t="inlineStr">
        <is>
          <t>Hombre</t>
        </is>
      </c>
      <c r="M942" s="156" t="inlineStr">
        <is>
          <t>Stetson</t>
        </is>
      </c>
      <c r="N942" s="156" t="inlineStr">
        <is>
          <t>SS26</t>
        </is>
      </c>
      <c r="O942" s="156" t="inlineStr">
        <is>
          <t>Seasonal</t>
        </is>
      </c>
      <c r="P942" s="156" t="inlineStr">
        <is>
          <t>Azul</t>
        </is>
      </c>
      <c r="Q942" s="156" t="inlineStr">
        <is>
          <t>Relajado</t>
        </is>
      </c>
      <c r="R942" s="156" t="inlineStr">
        <is>
          <t>Recto</t>
        </is>
      </c>
      <c r="S942" s="156" t="inlineStr">
        <is>
          <t>99% Algodón 1% Elastano</t>
        </is>
      </c>
      <c r="T942" s="156" t="inlineStr">
        <is>
          <t>Jean Bordado X en Bolsas Traseras Relajado</t>
        </is>
      </c>
      <c r="U942" s="156" t="n"/>
      <c r="V942" s="156" t="inlineStr">
        <is>
          <t>PZS</t>
        </is>
      </c>
      <c r="W942" s="51" t="inlineStr">
        <is>
          <t>53101502</t>
        </is>
      </c>
      <c r="X942" s="156" t="n"/>
      <c r="Y942" s="54" t="n">
        <v>814.6551724</v>
      </c>
      <c r="Z942" s="54" t="n">
        <v>1810.344828</v>
      </c>
      <c r="AA942" s="55">
        <f>IF(AND(A942="", B942="", E942=""), "", IF(AB942="", "Válido", IF((LEN(AB942)-LEN(SUBSTITUTE(AB942,"; ","")))/2+1&gt;(LEN(AB942)-LEN(SUBSTITUTE(AB942,"[Aviso]","")))/7, "Con Incidencias", "Válido")))</f>
        <v/>
      </c>
      <c r="AB942" s="56">
        <f>IF(AND(A942="", B942="", E942=""), "", TEXTJOIN("; ", TRUE, IF(OR(TRIM(A942&amp;"")="", ISNUMBER(SEARCH("FALTA", A942))), "UPC faltante/inválido", ""), IF(AND(A942&lt;&gt;"", IFERROR(_xlfn.XMATCH(A942,$A$2:$A$2509,0,1)&lt;&gt;_xlfn.XMATCH(A942,$A$2:$A$2509,0,-1),FALSE)), "Código de barras duplicado", ""), IF(AND(E942&lt;&gt;"", COUNTIF($E$2:$E$2509, E942)&gt;1), "SKU duplicado", ""), IF(OR(J942="", J942=""), "[Aviso] División no capturada ()", IF(ISNA(MATCH(J942, Criterios!$A$123:$A$126, 0)), "División no válida", "")), IF(OR(K942="", K942=""), "[Aviso] Categoría no capturada ()", IF(ISNA(MATCH(K942, Criterios!$A$81:$A$120, 0)), "Categoría no válida", IF(AND(J942&lt;&gt;"", J942&lt;&gt;"", J942&lt;&gt;VLOOKUP(K942, Criterios!$A$81:$B$120, 2, FALSE)), "División no coincide con Categoría", ""))), IF(OR(L942="", L942=""), "[Aviso] Género no capturado ()", IF(ISNA(MATCH(L942, Criterios!$B$123:$B$127, 0)), "Género no válido", "")), IF(OR(N942="", N942=""), "[Aviso] Temporada no capturada ()", IF(ISNA(MATCH(N942, Criterios!$C$123:$C$128, 0)), "Temporada no válida", "")), IF(OR(O942="", O942=""), "[Aviso] Ciclo de vida no capturado ()", IF(ISNA(MATCH(O942, Criterios!$D$123:$D$124, 0)), "Ciclo de vida no válido", ""))))</f>
        <v/>
      </c>
      <c r="AC942" s="56" t="n"/>
      <c r="AD942" s="51" t="n">
        <v>0</v>
      </c>
      <c r="AE942" s="156" t="n"/>
      <c r="AF942" s="51" t="n">
        <v>0</v>
      </c>
      <c r="AG942" s="156" t="inlineStr">
        <is>
          <t>Catálogo existente</t>
        </is>
      </c>
      <c r="AH942" s="156" t="n"/>
      <c r="AI942" s="156" t="inlineStr">
        <is>
          <t>No</t>
        </is>
      </c>
      <c r="AJ942" s="156" t="n"/>
      <c r="AK942" s="155" t="inlineStr">
        <is>
          <t>Shopify Stetson: producto 15051555078507 / variante 53342129291627 | Odoo: producto 29898 / plantilla 38602</t>
        </is>
      </c>
      <c r="AL942" s="58" t="n">
        <v>814.6551724</v>
      </c>
      <c r="AM942" s="58" t="n">
        <v>1810.344828</v>
      </c>
      <c r="AN942" s="155" t="inlineStr">
        <is>
          <t>Shopify Stetson México | Odoo Universal Unique Brands</t>
        </is>
      </c>
      <c r="AO942" s="59" t="n">
        <v>1</v>
      </c>
      <c r="AP942" s="59" t="n"/>
      <c r="AQ942" s="59" t="n">
        <v>1</v>
      </c>
      <c r="AR942" s="155" t="inlineStr">
        <is>
          <t>Shopify Stetson México › Stetson Americas: 1 | Odoo Universal Unique Brands › Bodega 25 › Bodega 25/General: 1</t>
        </is>
      </c>
    </row>
    <row r="943">
      <c r="A943" s="50" t="inlineStr">
        <is>
          <t>196070321630</t>
        </is>
      </c>
      <c r="B943" s="51" t="inlineStr">
        <is>
          <t>110658</t>
        </is>
      </c>
      <c r="C943" s="156" t="inlineStr">
        <is>
          <t>Multimarca</t>
        </is>
      </c>
      <c r="D943" s="156" t="inlineStr">
        <is>
          <t>11-004-1521-2000</t>
        </is>
      </c>
      <c r="E943" s="156" t="inlineStr">
        <is>
          <t>11-004-1521-2000-30 32</t>
        </is>
      </c>
      <c r="F943" s="156" t="inlineStr">
        <is>
          <t>30 x 32</t>
        </is>
      </c>
      <c r="G943" s="156" t="inlineStr">
        <is>
          <t>30W / 32L</t>
        </is>
      </c>
      <c r="H943" s="156" t="inlineStr">
        <is>
          <t>Stetson</t>
        </is>
      </c>
      <c r="I943" s="156" t="inlineStr">
        <is>
          <t>Jean Bordado X en Bolsas Traseras</t>
        </is>
      </c>
      <c r="J943" s="156" t="inlineStr">
        <is>
          <t>Denim</t>
        </is>
      </c>
      <c r="K943" s="156" t="inlineStr">
        <is>
          <t>Jeans</t>
        </is>
      </c>
      <c r="L943" s="156" t="inlineStr">
        <is>
          <t>Hombre</t>
        </is>
      </c>
      <c r="M943" s="156" t="inlineStr">
        <is>
          <t>Stetson</t>
        </is>
      </c>
      <c r="N943" s="156" t="inlineStr">
        <is>
          <t>SS26</t>
        </is>
      </c>
      <c r="O943" s="156" t="inlineStr">
        <is>
          <t>Seasonal</t>
        </is>
      </c>
      <c r="P943" s="156" t="inlineStr">
        <is>
          <t>Azul</t>
        </is>
      </c>
      <c r="Q943" s="156" t="inlineStr">
        <is>
          <t>Relajado</t>
        </is>
      </c>
      <c r="R943" s="156" t="inlineStr">
        <is>
          <t>Recto</t>
        </is>
      </c>
      <c r="S943" s="156" t="inlineStr">
        <is>
          <t>99% Algodón 1% Elastano</t>
        </is>
      </c>
      <c r="T943" s="156" t="inlineStr">
        <is>
          <t>Jean Bordado X en Bolsas Traseras Relajado</t>
        </is>
      </c>
      <c r="U943" s="156" t="n"/>
      <c r="V943" s="156" t="inlineStr">
        <is>
          <t>PZS</t>
        </is>
      </c>
      <c r="W943" s="51" t="inlineStr">
        <is>
          <t>53101502</t>
        </is>
      </c>
      <c r="X943" s="156" t="n"/>
      <c r="Y943" s="54" t="n">
        <v>814.6551724</v>
      </c>
      <c r="Z943" s="54" t="n">
        <v>1810.344828</v>
      </c>
      <c r="AA943" s="55">
        <f>IF(AND(A943="", B943="", E943=""), "", IF(AB943="", "Válido", IF((LEN(AB943)-LEN(SUBSTITUTE(AB943,"; ","")))/2+1&gt;(LEN(AB943)-LEN(SUBSTITUTE(AB943,"[Aviso]","")))/7, "Con Incidencias", "Válido")))</f>
        <v/>
      </c>
      <c r="AB943" s="56">
        <f>IF(AND(A943="", B943="", E943=""), "", TEXTJOIN("; ", TRUE, IF(OR(TRIM(A943&amp;"")="", ISNUMBER(SEARCH("FALTA", A943))), "UPC faltante/inválido", ""), IF(AND(A943&lt;&gt;"", IFERROR(_xlfn.XMATCH(A943,$A$2:$A$2509,0,1)&lt;&gt;_xlfn.XMATCH(A943,$A$2:$A$2509,0,-1),FALSE)), "Código de barras duplicado", ""), IF(AND(E943&lt;&gt;"", COUNTIF($E$2:$E$2509, E943)&gt;1), "SKU duplicado", ""), IF(OR(J943="", J943=""), "[Aviso] División no capturada ()", IF(ISNA(MATCH(J943, Criterios!$A$123:$A$126, 0)), "División no válida", "")), IF(OR(K943="", K943=""), "[Aviso] Categoría no capturada ()", IF(ISNA(MATCH(K943, Criterios!$A$81:$A$120, 0)), "Categoría no válida", IF(AND(J943&lt;&gt;"", J943&lt;&gt;"", J943&lt;&gt;VLOOKUP(K943, Criterios!$A$81:$B$120, 2, FALSE)), "División no coincide con Categoría", ""))), IF(OR(L943="", L943=""), "[Aviso] Género no capturado ()", IF(ISNA(MATCH(L943, Criterios!$B$123:$B$127, 0)), "Género no válido", "")), IF(OR(N943="", N943=""), "[Aviso] Temporada no capturada ()", IF(ISNA(MATCH(N943, Criterios!$C$123:$C$128, 0)), "Temporada no válida", "")), IF(OR(O943="", O943=""), "[Aviso] Ciclo de vida no capturado ()", IF(ISNA(MATCH(O943, Criterios!$D$123:$D$124, 0)), "Ciclo de vida no válido", ""))))</f>
        <v/>
      </c>
      <c r="AC943" s="56" t="n"/>
      <c r="AD943" s="51" t="n">
        <v>0</v>
      </c>
      <c r="AE943" s="156" t="n"/>
      <c r="AF943" s="51" t="n">
        <v>0</v>
      </c>
      <c r="AG943" s="156" t="inlineStr">
        <is>
          <t>Catálogo existente</t>
        </is>
      </c>
      <c r="AH943" s="156" t="n"/>
      <c r="AI943" s="156" t="inlineStr">
        <is>
          <t>No</t>
        </is>
      </c>
      <c r="AJ943" s="156" t="n"/>
      <c r="AK943" s="155" t="inlineStr">
        <is>
          <t>Shopify Stetson: producto 15051555078507 / variante 53342129324395 | Odoo: producto 29899 / plantilla 38603</t>
        </is>
      </c>
      <c r="AL943" s="58" t="n">
        <v>814.6551724</v>
      </c>
      <c r="AM943" s="58" t="n">
        <v>1810.344828</v>
      </c>
      <c r="AN943" s="155" t="inlineStr">
        <is>
          <t>Shopify Stetson México | Odoo Universal Unique Brands</t>
        </is>
      </c>
      <c r="AO943" s="59" t="n">
        <v>3</v>
      </c>
      <c r="AP943" s="59" t="n"/>
      <c r="AQ943" s="59" t="n">
        <v>4</v>
      </c>
      <c r="AR943" s="155" t="inlineStr">
        <is>
          <t>Shopify Stetson México › Stetson Americas: 3 | Odoo Universal Unique Brands › Bodega 25 › Bodega 25/General: 4</t>
        </is>
      </c>
    </row>
    <row r="944">
      <c r="A944" s="50" t="inlineStr">
        <is>
          <t>196070321685</t>
        </is>
      </c>
      <c r="B944" s="51" t="inlineStr">
        <is>
          <t>110659</t>
        </is>
      </c>
      <c r="C944" s="156" t="inlineStr">
        <is>
          <t>Multimarca</t>
        </is>
      </c>
      <c r="D944" s="156" t="inlineStr">
        <is>
          <t>11-004-1521-2000</t>
        </is>
      </c>
      <c r="E944" s="156" t="inlineStr">
        <is>
          <t>11-004-1521-2000-31 32</t>
        </is>
      </c>
      <c r="F944" s="156" t="inlineStr">
        <is>
          <t>31 x 32</t>
        </is>
      </c>
      <c r="G944" s="156" t="inlineStr">
        <is>
          <t>31W / 32L</t>
        </is>
      </c>
      <c r="H944" s="156" t="inlineStr">
        <is>
          <t>Stetson</t>
        </is>
      </c>
      <c r="I944" s="156" t="inlineStr">
        <is>
          <t>Jean Bordado X en Bolsas Traseras</t>
        </is>
      </c>
      <c r="J944" s="156" t="inlineStr">
        <is>
          <t>Denim</t>
        </is>
      </c>
      <c r="K944" s="156" t="inlineStr">
        <is>
          <t>Jeans</t>
        </is>
      </c>
      <c r="L944" s="156" t="inlineStr">
        <is>
          <t>Hombre</t>
        </is>
      </c>
      <c r="M944" s="156" t="inlineStr">
        <is>
          <t>Stetson</t>
        </is>
      </c>
      <c r="N944" s="156" t="inlineStr">
        <is>
          <t>SS26</t>
        </is>
      </c>
      <c r="O944" s="156" t="inlineStr">
        <is>
          <t>Seasonal</t>
        </is>
      </c>
      <c r="P944" s="156" t="inlineStr">
        <is>
          <t>Azul</t>
        </is>
      </c>
      <c r="Q944" s="156" t="inlineStr">
        <is>
          <t>Relajado</t>
        </is>
      </c>
      <c r="R944" s="156" t="inlineStr">
        <is>
          <t>Recto</t>
        </is>
      </c>
      <c r="S944" s="156" t="inlineStr">
        <is>
          <t>99% Algodón 1% Elastano</t>
        </is>
      </c>
      <c r="T944" s="156" t="inlineStr">
        <is>
          <t>Jean Bordado X en Bolsas Traseras Relajado</t>
        </is>
      </c>
      <c r="U944" s="156" t="n"/>
      <c r="V944" s="156" t="inlineStr">
        <is>
          <t>PZS</t>
        </is>
      </c>
      <c r="W944" s="51" t="inlineStr">
        <is>
          <t>53101502</t>
        </is>
      </c>
      <c r="X944" s="156" t="n"/>
      <c r="Y944" s="54" t="n">
        <v>814.6551724</v>
      </c>
      <c r="Z944" s="54" t="n">
        <v>1810.344828</v>
      </c>
      <c r="AA944" s="55">
        <f>IF(AND(A944="", B944="", E944=""), "", IF(AB944="", "Válido", IF((LEN(AB944)-LEN(SUBSTITUTE(AB944,"; ","")))/2+1&gt;(LEN(AB944)-LEN(SUBSTITUTE(AB944,"[Aviso]","")))/7, "Con Incidencias", "Válido")))</f>
        <v/>
      </c>
      <c r="AB944" s="56">
        <f>IF(AND(A944="", B944="", E944=""), "", TEXTJOIN("; ", TRUE, IF(OR(TRIM(A944&amp;"")="", ISNUMBER(SEARCH("FALTA", A944))), "UPC faltante/inválido", ""), IF(AND(A944&lt;&gt;"", IFERROR(_xlfn.XMATCH(A944,$A$2:$A$2509,0,1)&lt;&gt;_xlfn.XMATCH(A944,$A$2:$A$2509,0,-1),FALSE)), "Código de barras duplicado", ""), IF(AND(E944&lt;&gt;"", COUNTIF($E$2:$E$2509, E944)&gt;1), "SKU duplicado", ""), IF(OR(J944="", J944=""), "[Aviso] División no capturada ()", IF(ISNA(MATCH(J944, Criterios!$A$123:$A$126, 0)), "División no válida", "")), IF(OR(K944="", K944=""), "[Aviso] Categoría no capturada ()", IF(ISNA(MATCH(K944, Criterios!$A$81:$A$120, 0)), "Categoría no válida", IF(AND(J944&lt;&gt;"", J944&lt;&gt;"", J944&lt;&gt;VLOOKUP(K944, Criterios!$A$81:$B$120, 2, FALSE)), "División no coincide con Categoría", ""))), IF(OR(L944="", L944=""), "[Aviso] Género no capturado ()", IF(ISNA(MATCH(L944, Criterios!$B$123:$B$127, 0)), "Género no válido", "")), IF(OR(N944="", N944=""), "[Aviso] Temporada no capturada ()", IF(ISNA(MATCH(N944, Criterios!$C$123:$C$128, 0)), "Temporada no válida", "")), IF(OR(O944="", O944=""), "[Aviso] Ciclo de vida no capturado ()", IF(ISNA(MATCH(O944, Criterios!$D$123:$D$124, 0)), "Ciclo de vida no válido", ""))))</f>
        <v/>
      </c>
      <c r="AC944" s="56" t="n"/>
      <c r="AD944" s="51" t="n">
        <v>0</v>
      </c>
      <c r="AE944" s="156" t="n"/>
      <c r="AF944" s="51" t="n">
        <v>0</v>
      </c>
      <c r="AG944" s="156" t="inlineStr">
        <is>
          <t>Catálogo existente</t>
        </is>
      </c>
      <c r="AH944" s="156" t="n"/>
      <c r="AI944" s="156" t="inlineStr">
        <is>
          <t>No</t>
        </is>
      </c>
      <c r="AJ944" s="156" t="n"/>
      <c r="AK944" s="155" t="inlineStr">
        <is>
          <t>Shopify Stetson: producto 15051555078507 / variante 53342129357163 | Odoo: producto 29900 / plantilla 38604</t>
        </is>
      </c>
      <c r="AL944" s="58" t="n">
        <v>814.6551724</v>
      </c>
      <c r="AM944" s="58" t="n">
        <v>1810.344828</v>
      </c>
      <c r="AN944" s="155" t="inlineStr">
        <is>
          <t>Shopify Stetson México | Odoo Universal Unique Brands</t>
        </is>
      </c>
      <c r="AO944" s="59" t="n">
        <v>4</v>
      </c>
      <c r="AP944" s="59" t="n"/>
      <c r="AQ944" s="59" t="n">
        <v>4</v>
      </c>
      <c r="AR944" s="155" t="inlineStr">
        <is>
          <t>Shopify Stetson México › Stetson Americas: 4 | Odoo Universal Unique Brands › Bodega 25 › Bodega 25/General: 4</t>
        </is>
      </c>
    </row>
    <row r="945">
      <c r="A945" s="50" t="inlineStr">
        <is>
          <t>196070321739</t>
        </is>
      </c>
      <c r="B945" s="51" t="inlineStr">
        <is>
          <t>110660</t>
        </is>
      </c>
      <c r="C945" s="156" t="inlineStr">
        <is>
          <t>Multimarca</t>
        </is>
      </c>
      <c r="D945" s="156" t="inlineStr">
        <is>
          <t>11-004-1521-2000</t>
        </is>
      </c>
      <c r="E945" s="156" t="inlineStr">
        <is>
          <t>11-004-1521-2000-32 32</t>
        </is>
      </c>
      <c r="F945" s="156" t="inlineStr">
        <is>
          <t>32 x 32</t>
        </is>
      </c>
      <c r="G945" s="156" t="inlineStr">
        <is>
          <t>32W / 32L</t>
        </is>
      </c>
      <c r="H945" s="156" t="inlineStr">
        <is>
          <t>Stetson</t>
        </is>
      </c>
      <c r="I945" s="156" t="inlineStr">
        <is>
          <t>Jean Bordado X en Bolsas Traseras</t>
        </is>
      </c>
      <c r="J945" s="156" t="inlineStr">
        <is>
          <t>Denim</t>
        </is>
      </c>
      <c r="K945" s="156" t="inlineStr">
        <is>
          <t>Jeans</t>
        </is>
      </c>
      <c r="L945" s="156" t="inlineStr">
        <is>
          <t>Hombre</t>
        </is>
      </c>
      <c r="M945" s="156" t="inlineStr">
        <is>
          <t>Stetson</t>
        </is>
      </c>
      <c r="N945" s="156" t="inlineStr">
        <is>
          <t>SS26</t>
        </is>
      </c>
      <c r="O945" s="156" t="inlineStr">
        <is>
          <t>Seasonal</t>
        </is>
      </c>
      <c r="P945" s="156" t="inlineStr">
        <is>
          <t>Azul</t>
        </is>
      </c>
      <c r="Q945" s="156" t="inlineStr">
        <is>
          <t>Relajado</t>
        </is>
      </c>
      <c r="R945" s="156" t="inlineStr">
        <is>
          <t>Recto</t>
        </is>
      </c>
      <c r="S945" s="156" t="inlineStr">
        <is>
          <t>99% Algodón 1% Elastano</t>
        </is>
      </c>
      <c r="T945" s="156" t="inlineStr">
        <is>
          <t>Jean Bordado X en Bolsas Traseras Relajado</t>
        </is>
      </c>
      <c r="U945" s="156" t="n"/>
      <c r="V945" s="156" t="inlineStr">
        <is>
          <t>PZS</t>
        </is>
      </c>
      <c r="W945" s="51" t="inlineStr">
        <is>
          <t>53101502</t>
        </is>
      </c>
      <c r="X945" s="156" t="n"/>
      <c r="Y945" s="54" t="n">
        <v>814.6551724</v>
      </c>
      <c r="Z945" s="54" t="n">
        <v>1810.344828</v>
      </c>
      <c r="AA945" s="55">
        <f>IF(AND(A945="", B945="", E945=""), "", IF(AB945="", "Válido", IF((LEN(AB945)-LEN(SUBSTITUTE(AB945,"; ","")))/2+1&gt;(LEN(AB945)-LEN(SUBSTITUTE(AB945,"[Aviso]","")))/7, "Con Incidencias", "Válido")))</f>
        <v/>
      </c>
      <c r="AB945" s="56">
        <f>IF(AND(A945="", B945="", E945=""), "", TEXTJOIN("; ", TRUE, IF(OR(TRIM(A945&amp;"")="", ISNUMBER(SEARCH("FALTA", A945))), "UPC faltante/inválido", ""), IF(AND(A945&lt;&gt;"", IFERROR(_xlfn.XMATCH(A945,$A$2:$A$2509,0,1)&lt;&gt;_xlfn.XMATCH(A945,$A$2:$A$2509,0,-1),FALSE)), "Código de barras duplicado", ""), IF(AND(E945&lt;&gt;"", COUNTIF($E$2:$E$2509, E945)&gt;1), "SKU duplicado", ""), IF(OR(J945="", J945=""), "[Aviso] División no capturada ()", IF(ISNA(MATCH(J945, Criterios!$A$123:$A$126, 0)), "División no válida", "")), IF(OR(K945="", K945=""), "[Aviso] Categoría no capturada ()", IF(ISNA(MATCH(K945, Criterios!$A$81:$A$120, 0)), "Categoría no válida", IF(AND(J945&lt;&gt;"", J945&lt;&gt;"", J945&lt;&gt;VLOOKUP(K945, Criterios!$A$81:$B$120, 2, FALSE)), "División no coincide con Categoría", ""))), IF(OR(L945="", L945=""), "[Aviso] Género no capturado ()", IF(ISNA(MATCH(L945, Criterios!$B$123:$B$127, 0)), "Género no válido", "")), IF(OR(N945="", N945=""), "[Aviso] Temporada no capturada ()", IF(ISNA(MATCH(N945, Criterios!$C$123:$C$128, 0)), "Temporada no válida", "")), IF(OR(O945="", O945=""), "[Aviso] Ciclo de vida no capturado ()", IF(ISNA(MATCH(O945, Criterios!$D$123:$D$124, 0)), "Ciclo de vida no válido", ""))))</f>
        <v/>
      </c>
      <c r="AC945" s="56" t="n"/>
      <c r="AD945" s="51" t="n">
        <v>0</v>
      </c>
      <c r="AE945" s="156" t="n"/>
      <c r="AF945" s="51" t="n">
        <v>0</v>
      </c>
      <c r="AG945" s="156" t="inlineStr">
        <is>
          <t>Catálogo existente</t>
        </is>
      </c>
      <c r="AH945" s="156" t="n"/>
      <c r="AI945" s="156" t="inlineStr">
        <is>
          <t>No</t>
        </is>
      </c>
      <c r="AJ945" s="156" t="n"/>
      <c r="AK945" s="155" t="inlineStr">
        <is>
          <t>Shopify Stetson: producto 15051555078507 / variante 53342129389931 | Odoo: producto 29901 / plantilla 38605</t>
        </is>
      </c>
      <c r="AL945" s="58" t="n">
        <v>814.6551724</v>
      </c>
      <c r="AM945" s="58" t="n">
        <v>1810.344828</v>
      </c>
      <c r="AN945" s="155" t="inlineStr">
        <is>
          <t>Shopify Stetson México | Odoo Universal Unique Brands</t>
        </is>
      </c>
      <c r="AO945" s="59" t="n">
        <v>7</v>
      </c>
      <c r="AP945" s="59" t="n"/>
      <c r="AQ945" s="59" t="n">
        <v>7</v>
      </c>
      <c r="AR945" s="155" t="inlineStr">
        <is>
          <t>Shopify Stetson México › Stetson Americas: 7 | Odoo Universal Unique Brands › Bodega 25 › Bodega 25/General: 7</t>
        </is>
      </c>
    </row>
    <row r="946">
      <c r="A946" s="50" t="inlineStr">
        <is>
          <t>196070321746</t>
        </is>
      </c>
      <c r="B946" s="51" t="inlineStr">
        <is>
          <t>110661</t>
        </is>
      </c>
      <c r="C946" s="156" t="inlineStr">
        <is>
          <t>Multimarca</t>
        </is>
      </c>
      <c r="D946" s="156" t="inlineStr">
        <is>
          <t>11-004-1521-2000</t>
        </is>
      </c>
      <c r="E946" s="156" t="inlineStr">
        <is>
          <t>11-004-1521-2000-32 34</t>
        </is>
      </c>
      <c r="F946" s="156" t="inlineStr">
        <is>
          <t>32 x 34</t>
        </is>
      </c>
      <c r="G946" s="156" t="inlineStr">
        <is>
          <t>32W / 34L</t>
        </is>
      </c>
      <c r="H946" s="156" t="inlineStr">
        <is>
          <t>Stetson</t>
        </is>
      </c>
      <c r="I946" s="156" t="inlineStr">
        <is>
          <t>Jean Bordado X en Bolsas Traseras</t>
        </is>
      </c>
      <c r="J946" s="156" t="inlineStr">
        <is>
          <t>Denim</t>
        </is>
      </c>
      <c r="K946" s="156" t="inlineStr">
        <is>
          <t>Jeans</t>
        </is>
      </c>
      <c r="L946" s="156" t="inlineStr">
        <is>
          <t>Hombre</t>
        </is>
      </c>
      <c r="M946" s="156" t="inlineStr">
        <is>
          <t>Stetson</t>
        </is>
      </c>
      <c r="N946" s="156" t="inlineStr">
        <is>
          <t>SS26</t>
        </is>
      </c>
      <c r="O946" s="156" t="inlineStr">
        <is>
          <t>Seasonal</t>
        </is>
      </c>
      <c r="P946" s="156" t="inlineStr">
        <is>
          <t>Azul</t>
        </is>
      </c>
      <c r="Q946" s="156" t="inlineStr">
        <is>
          <t>Relajado</t>
        </is>
      </c>
      <c r="R946" s="156" t="inlineStr">
        <is>
          <t>Recto</t>
        </is>
      </c>
      <c r="S946" s="156" t="inlineStr">
        <is>
          <t>99% Algodón 1% Elastano</t>
        </is>
      </c>
      <c r="T946" s="156" t="inlineStr">
        <is>
          <t>Jean Bordado X en Bolsas Traseras Relajado</t>
        </is>
      </c>
      <c r="U946" s="156" t="n"/>
      <c r="V946" s="156" t="inlineStr">
        <is>
          <t>PZS</t>
        </is>
      </c>
      <c r="W946" s="51" t="inlineStr">
        <is>
          <t>53101502</t>
        </is>
      </c>
      <c r="X946" s="156" t="n"/>
      <c r="Y946" s="54" t="n">
        <v>814.6551724</v>
      </c>
      <c r="Z946" s="54" t="n">
        <v>1810.344828</v>
      </c>
      <c r="AA946" s="55">
        <f>IF(AND(A946="", B946="", E946=""), "", IF(AB946="", "Válido", IF((LEN(AB946)-LEN(SUBSTITUTE(AB946,"; ","")))/2+1&gt;(LEN(AB946)-LEN(SUBSTITUTE(AB946,"[Aviso]","")))/7, "Con Incidencias", "Válido")))</f>
        <v/>
      </c>
      <c r="AB946" s="56">
        <f>IF(AND(A946="", B946="", E946=""), "", TEXTJOIN("; ", TRUE, IF(OR(TRIM(A946&amp;"")="", ISNUMBER(SEARCH("FALTA", A946))), "UPC faltante/inválido", ""), IF(AND(A946&lt;&gt;"", IFERROR(_xlfn.XMATCH(A946,$A$2:$A$2509,0,1)&lt;&gt;_xlfn.XMATCH(A946,$A$2:$A$2509,0,-1),FALSE)), "Código de barras duplicado", ""), IF(AND(E946&lt;&gt;"", COUNTIF($E$2:$E$2509, E946)&gt;1), "SKU duplicado", ""), IF(OR(J946="", J946=""), "[Aviso] División no capturada ()", IF(ISNA(MATCH(J946, Criterios!$A$123:$A$126, 0)), "División no válida", "")), IF(OR(K946="", K946=""), "[Aviso] Categoría no capturada ()", IF(ISNA(MATCH(K946, Criterios!$A$81:$A$120, 0)), "Categoría no válida", IF(AND(J946&lt;&gt;"", J946&lt;&gt;"", J946&lt;&gt;VLOOKUP(K946, Criterios!$A$81:$B$120, 2, FALSE)), "División no coincide con Categoría", ""))), IF(OR(L946="", L946=""), "[Aviso] Género no capturado ()", IF(ISNA(MATCH(L946, Criterios!$B$123:$B$127, 0)), "Género no válido", "")), IF(OR(N946="", N946=""), "[Aviso] Temporada no capturada ()", IF(ISNA(MATCH(N946, Criterios!$C$123:$C$128, 0)), "Temporada no válida", "")), IF(OR(O946="", O946=""), "[Aviso] Ciclo de vida no capturado ()", IF(ISNA(MATCH(O946, Criterios!$D$123:$D$124, 0)), "Ciclo de vida no válido", ""))))</f>
        <v/>
      </c>
      <c r="AC946" s="56" t="n"/>
      <c r="AD946" s="51" t="n">
        <v>0</v>
      </c>
      <c r="AE946" s="156" t="n"/>
      <c r="AF946" s="51" t="n">
        <v>0</v>
      </c>
      <c r="AG946" s="156" t="inlineStr">
        <is>
          <t>Catálogo existente</t>
        </is>
      </c>
      <c r="AH946" s="156" t="n"/>
      <c r="AI946" s="156" t="inlineStr">
        <is>
          <t>No</t>
        </is>
      </c>
      <c r="AJ946" s="156" t="n"/>
      <c r="AK946" s="155" t="inlineStr">
        <is>
          <t>Shopify Stetson: producto 15051555078507 / variante 53342129422699 | Odoo: producto 29902 / plantilla 38606</t>
        </is>
      </c>
      <c r="AL946" s="58" t="n">
        <v>814.6551724</v>
      </c>
      <c r="AM946" s="58" t="n">
        <v>1810.344828</v>
      </c>
      <c r="AN946" s="155" t="inlineStr">
        <is>
          <t>Shopify Stetson México | Odoo Universal Unique Brands</t>
        </is>
      </c>
      <c r="AO946" s="59" t="n">
        <v>4</v>
      </c>
      <c r="AP946" s="59" t="n"/>
      <c r="AQ946" s="59" t="n">
        <v>4</v>
      </c>
      <c r="AR946" s="155" t="inlineStr">
        <is>
          <t>Shopify Stetson México › Stetson Americas: 4 | Odoo Universal Unique Brands › Bodega 25 › Bodega 25/General: 4</t>
        </is>
      </c>
    </row>
    <row r="947">
      <c r="A947" s="50" t="inlineStr">
        <is>
          <t>196070321784</t>
        </is>
      </c>
      <c r="B947" s="51" t="inlineStr">
        <is>
          <t>110662</t>
        </is>
      </c>
      <c r="C947" s="156" t="inlineStr">
        <is>
          <t>Multimarca</t>
        </is>
      </c>
      <c r="D947" s="156" t="inlineStr">
        <is>
          <t>11-004-1521-2000</t>
        </is>
      </c>
      <c r="E947" s="156" t="inlineStr">
        <is>
          <t>11-004-1521-2000-33 32</t>
        </is>
      </c>
      <c r="F947" s="156" t="inlineStr">
        <is>
          <t>33 x 32</t>
        </is>
      </c>
      <c r="G947" s="156" t="inlineStr">
        <is>
          <t>33W / 32L</t>
        </is>
      </c>
      <c r="H947" s="156" t="inlineStr">
        <is>
          <t>Stetson</t>
        </is>
      </c>
      <c r="I947" s="156" t="inlineStr">
        <is>
          <t>Jean Bordado X en Bolsas Traseras</t>
        </is>
      </c>
      <c r="J947" s="156" t="inlineStr">
        <is>
          <t>Denim</t>
        </is>
      </c>
      <c r="K947" s="156" t="inlineStr">
        <is>
          <t>Jeans</t>
        </is>
      </c>
      <c r="L947" s="156" t="inlineStr">
        <is>
          <t>Hombre</t>
        </is>
      </c>
      <c r="M947" s="156" t="inlineStr">
        <is>
          <t>Stetson</t>
        </is>
      </c>
      <c r="N947" s="156" t="inlineStr">
        <is>
          <t>SS26</t>
        </is>
      </c>
      <c r="O947" s="156" t="inlineStr">
        <is>
          <t>Seasonal</t>
        </is>
      </c>
      <c r="P947" s="156" t="inlineStr">
        <is>
          <t>Azul</t>
        </is>
      </c>
      <c r="Q947" s="156" t="inlineStr">
        <is>
          <t>Relajado</t>
        </is>
      </c>
      <c r="R947" s="156" t="inlineStr">
        <is>
          <t>Recto</t>
        </is>
      </c>
      <c r="S947" s="156" t="inlineStr">
        <is>
          <t>99% Algodón 1% Elastano</t>
        </is>
      </c>
      <c r="T947" s="156" t="inlineStr">
        <is>
          <t>Jean Bordado X en Bolsas Traseras Relajado</t>
        </is>
      </c>
      <c r="U947" s="156" t="n"/>
      <c r="V947" s="156" t="inlineStr">
        <is>
          <t>PZS</t>
        </is>
      </c>
      <c r="W947" s="51" t="inlineStr">
        <is>
          <t>53101502</t>
        </is>
      </c>
      <c r="X947" s="156" t="n"/>
      <c r="Y947" s="54" t="n">
        <v>814.6551724</v>
      </c>
      <c r="Z947" s="54" t="n">
        <v>1810.344828</v>
      </c>
      <c r="AA947" s="55">
        <f>IF(AND(A947="", B947="", E947=""), "", IF(AB947="", "Válido", IF((LEN(AB947)-LEN(SUBSTITUTE(AB947,"; ","")))/2+1&gt;(LEN(AB947)-LEN(SUBSTITUTE(AB947,"[Aviso]","")))/7, "Con Incidencias", "Válido")))</f>
        <v/>
      </c>
      <c r="AB947" s="56">
        <f>IF(AND(A947="", B947="", E947=""), "", TEXTJOIN("; ", TRUE, IF(OR(TRIM(A947&amp;"")="", ISNUMBER(SEARCH("FALTA", A947))), "UPC faltante/inválido", ""), IF(AND(A947&lt;&gt;"", IFERROR(_xlfn.XMATCH(A947,$A$2:$A$2509,0,1)&lt;&gt;_xlfn.XMATCH(A947,$A$2:$A$2509,0,-1),FALSE)), "Código de barras duplicado", ""), IF(AND(E947&lt;&gt;"", COUNTIF($E$2:$E$2509, E947)&gt;1), "SKU duplicado", ""), IF(OR(J947="", J947=""), "[Aviso] División no capturada ()", IF(ISNA(MATCH(J947, Criterios!$A$123:$A$126, 0)), "División no válida", "")), IF(OR(K947="", K947=""), "[Aviso] Categoría no capturada ()", IF(ISNA(MATCH(K947, Criterios!$A$81:$A$120, 0)), "Categoría no válida", IF(AND(J947&lt;&gt;"", J947&lt;&gt;"", J947&lt;&gt;VLOOKUP(K947, Criterios!$A$81:$B$120, 2, FALSE)), "División no coincide con Categoría", ""))), IF(OR(L947="", L947=""), "[Aviso] Género no capturado ()", IF(ISNA(MATCH(L947, Criterios!$B$123:$B$127, 0)), "Género no válido", "")), IF(OR(N947="", N947=""), "[Aviso] Temporada no capturada ()", IF(ISNA(MATCH(N947, Criterios!$C$123:$C$128, 0)), "Temporada no válida", "")), IF(OR(O947="", O947=""), "[Aviso] Ciclo de vida no capturado ()", IF(ISNA(MATCH(O947, Criterios!$D$123:$D$124, 0)), "Ciclo de vida no válido", ""))))</f>
        <v/>
      </c>
      <c r="AC947" s="56" t="n"/>
      <c r="AD947" s="51" t="n">
        <v>0</v>
      </c>
      <c r="AE947" s="156" t="n"/>
      <c r="AF947" s="51" t="n">
        <v>0</v>
      </c>
      <c r="AG947" s="156" t="inlineStr">
        <is>
          <t>Catálogo existente</t>
        </is>
      </c>
      <c r="AH947" s="156" t="n"/>
      <c r="AI947" s="156" t="inlineStr">
        <is>
          <t>No</t>
        </is>
      </c>
      <c r="AJ947" s="156" t="n"/>
      <c r="AK947" s="155" t="inlineStr">
        <is>
          <t>Shopify Stetson: producto 15051555078507 / variante 53342129455467 | Odoo: producto 29903 / plantilla 38607</t>
        </is>
      </c>
      <c r="AL947" s="58" t="n">
        <v>814.6551724</v>
      </c>
      <c r="AM947" s="58" t="n">
        <v>1810.344828</v>
      </c>
      <c r="AN947" s="155" t="inlineStr">
        <is>
          <t>Shopify Stetson México | Odoo Universal Unique Brands</t>
        </is>
      </c>
      <c r="AO947" s="59" t="n">
        <v>4</v>
      </c>
      <c r="AP947" s="59" t="n"/>
      <c r="AQ947" s="59" t="n">
        <v>4</v>
      </c>
      <c r="AR947" s="155" t="inlineStr">
        <is>
          <t>Shopify Stetson México › Stetson Americas: 4 | Odoo Universal Unique Brands › Bodega 25 › Bodega 25/General: 4</t>
        </is>
      </c>
    </row>
    <row r="948">
      <c r="A948" s="50" t="inlineStr">
        <is>
          <t>196070321838</t>
        </is>
      </c>
      <c r="B948" s="51" t="inlineStr">
        <is>
          <t>110663</t>
        </is>
      </c>
      <c r="C948" s="156" t="inlineStr">
        <is>
          <t>Multimarca</t>
        </is>
      </c>
      <c r="D948" s="156" t="inlineStr">
        <is>
          <t>11-004-1521-2000</t>
        </is>
      </c>
      <c r="E948" s="156" t="inlineStr">
        <is>
          <t>11-004-1521-2000-34 32</t>
        </is>
      </c>
      <c r="F948" s="156" t="inlineStr">
        <is>
          <t>34 x 32</t>
        </is>
      </c>
      <c r="G948" s="156" t="inlineStr">
        <is>
          <t>34W / 32L</t>
        </is>
      </c>
      <c r="H948" s="156" t="inlineStr">
        <is>
          <t>Stetson</t>
        </is>
      </c>
      <c r="I948" s="156" t="inlineStr">
        <is>
          <t>Jean Bordado X en Bolsas Traseras</t>
        </is>
      </c>
      <c r="J948" s="156" t="inlineStr">
        <is>
          <t>Denim</t>
        </is>
      </c>
      <c r="K948" s="156" t="inlineStr">
        <is>
          <t>Jeans</t>
        </is>
      </c>
      <c r="L948" s="156" t="inlineStr">
        <is>
          <t>Hombre</t>
        </is>
      </c>
      <c r="M948" s="156" t="inlineStr">
        <is>
          <t>Stetson</t>
        </is>
      </c>
      <c r="N948" s="156" t="inlineStr">
        <is>
          <t>SS26</t>
        </is>
      </c>
      <c r="O948" s="156" t="inlineStr">
        <is>
          <t>Seasonal</t>
        </is>
      </c>
      <c r="P948" s="156" t="inlineStr">
        <is>
          <t>Azul</t>
        </is>
      </c>
      <c r="Q948" s="156" t="inlineStr">
        <is>
          <t>Relajado</t>
        </is>
      </c>
      <c r="R948" s="156" t="inlineStr">
        <is>
          <t>Recto</t>
        </is>
      </c>
      <c r="S948" s="156" t="inlineStr">
        <is>
          <t>99% Algodón 1% Elastano</t>
        </is>
      </c>
      <c r="T948" s="156" t="inlineStr">
        <is>
          <t>Jean Bordado X en Bolsas Traseras Relajado</t>
        </is>
      </c>
      <c r="U948" s="156" t="n"/>
      <c r="V948" s="156" t="inlineStr">
        <is>
          <t>PZS</t>
        </is>
      </c>
      <c r="W948" s="51" t="inlineStr">
        <is>
          <t>53101502</t>
        </is>
      </c>
      <c r="X948" s="156" t="n"/>
      <c r="Y948" s="54" t="n">
        <v>814.6551724</v>
      </c>
      <c r="Z948" s="54" t="n">
        <v>1810.344828</v>
      </c>
      <c r="AA948" s="55">
        <f>IF(AND(A948="", B948="", E948=""), "", IF(AB948="", "Válido", IF((LEN(AB948)-LEN(SUBSTITUTE(AB948,"; ","")))/2+1&gt;(LEN(AB948)-LEN(SUBSTITUTE(AB948,"[Aviso]","")))/7, "Con Incidencias", "Válido")))</f>
        <v/>
      </c>
      <c r="AB948" s="56">
        <f>IF(AND(A948="", B948="", E948=""), "", TEXTJOIN("; ", TRUE, IF(OR(TRIM(A948&amp;"")="", ISNUMBER(SEARCH("FALTA", A948))), "UPC faltante/inválido", ""), IF(AND(A948&lt;&gt;"", IFERROR(_xlfn.XMATCH(A948,$A$2:$A$2509,0,1)&lt;&gt;_xlfn.XMATCH(A948,$A$2:$A$2509,0,-1),FALSE)), "Código de barras duplicado", ""), IF(AND(E948&lt;&gt;"", COUNTIF($E$2:$E$2509, E948)&gt;1), "SKU duplicado", ""), IF(OR(J948="", J948=""), "[Aviso] División no capturada ()", IF(ISNA(MATCH(J948, Criterios!$A$123:$A$126, 0)), "División no válida", "")), IF(OR(K948="", K948=""), "[Aviso] Categoría no capturada ()", IF(ISNA(MATCH(K948, Criterios!$A$81:$A$120, 0)), "Categoría no válida", IF(AND(J948&lt;&gt;"", J948&lt;&gt;"", J948&lt;&gt;VLOOKUP(K948, Criterios!$A$81:$B$120, 2, FALSE)), "División no coincide con Categoría", ""))), IF(OR(L948="", L948=""), "[Aviso] Género no capturado ()", IF(ISNA(MATCH(L948, Criterios!$B$123:$B$127, 0)), "Género no válido", "")), IF(OR(N948="", N948=""), "[Aviso] Temporada no capturada ()", IF(ISNA(MATCH(N948, Criterios!$C$123:$C$128, 0)), "Temporada no válida", "")), IF(OR(O948="", O948=""), "[Aviso] Ciclo de vida no capturado ()", IF(ISNA(MATCH(O948, Criterios!$D$123:$D$124, 0)), "Ciclo de vida no válido", ""))))</f>
        <v/>
      </c>
      <c r="AC948" s="56" t="n"/>
      <c r="AD948" s="51" t="n">
        <v>-1</v>
      </c>
      <c r="AE948" s="156" t="n"/>
      <c r="AF948" s="51" t="n">
        <v>0</v>
      </c>
      <c r="AG948" s="156" t="inlineStr">
        <is>
          <t>Catálogo existente</t>
        </is>
      </c>
      <c r="AH948" s="156" t="inlineStr">
        <is>
          <t>Stock negativo en sistema: revisar en conteo</t>
        </is>
      </c>
      <c r="AI948" s="156" t="inlineStr">
        <is>
          <t>Sí</t>
        </is>
      </c>
      <c r="AJ948" s="156" t="inlineStr">
        <is>
          <t>STETSON AMERICAS (-1)</t>
        </is>
      </c>
      <c r="AK948" s="155" t="inlineStr">
        <is>
          <t>Shopify Stetson: producto 15051555078507 / variante 53342129488235 | Odoo: producto 29904 / plantilla 38608</t>
        </is>
      </c>
      <c r="AL948" s="58" t="n">
        <v>814.6551724</v>
      </c>
      <c r="AM948" s="58" t="n">
        <v>1810.344828</v>
      </c>
      <c r="AN948" s="155" t="inlineStr">
        <is>
          <t>Shopify Stetson México | Odoo Universal Unique Brands</t>
        </is>
      </c>
      <c r="AO948" s="59" t="n">
        <v>7</v>
      </c>
      <c r="AP948" s="59" t="n"/>
      <c r="AQ948" s="59" t="n">
        <v>8</v>
      </c>
      <c r="AR948" s="155" t="inlineStr">
        <is>
          <t>Shopify Stetson México › Stetson Americas: 7 | Odoo Universal Unique Brands › Bodega 25 › Bodega 25/General: 8</t>
        </is>
      </c>
    </row>
    <row r="949">
      <c r="A949" s="50" t="inlineStr">
        <is>
          <t>196070321845</t>
        </is>
      </c>
      <c r="B949" s="51" t="inlineStr">
        <is>
          <t>110664</t>
        </is>
      </c>
      <c r="C949" s="156" t="inlineStr">
        <is>
          <t>Multimarca</t>
        </is>
      </c>
      <c r="D949" s="156" t="inlineStr">
        <is>
          <t>11-004-1521-2000</t>
        </is>
      </c>
      <c r="E949" s="156" t="inlineStr">
        <is>
          <t>11-004-1521-2000-34 34</t>
        </is>
      </c>
      <c r="F949" s="156" t="inlineStr">
        <is>
          <t>34 x 34</t>
        </is>
      </c>
      <c r="G949" s="156" t="inlineStr">
        <is>
          <t>34W / 34L</t>
        </is>
      </c>
      <c r="H949" s="156" t="inlineStr">
        <is>
          <t>Stetson</t>
        </is>
      </c>
      <c r="I949" s="156" t="inlineStr">
        <is>
          <t>Jean Bordado X en Bolsas Traseras</t>
        </is>
      </c>
      <c r="J949" s="156" t="inlineStr">
        <is>
          <t>Denim</t>
        </is>
      </c>
      <c r="K949" s="156" t="inlineStr">
        <is>
          <t>Jeans</t>
        </is>
      </c>
      <c r="L949" s="156" t="inlineStr">
        <is>
          <t>Hombre</t>
        </is>
      </c>
      <c r="M949" s="156" t="inlineStr">
        <is>
          <t>Stetson</t>
        </is>
      </c>
      <c r="N949" s="156" t="inlineStr">
        <is>
          <t>SS26</t>
        </is>
      </c>
      <c r="O949" s="156" t="inlineStr">
        <is>
          <t>Seasonal</t>
        </is>
      </c>
      <c r="P949" s="156" t="inlineStr">
        <is>
          <t>Azul</t>
        </is>
      </c>
      <c r="Q949" s="156" t="inlineStr">
        <is>
          <t>Relajado</t>
        </is>
      </c>
      <c r="R949" s="156" t="inlineStr">
        <is>
          <t>Recto</t>
        </is>
      </c>
      <c r="S949" s="156" t="inlineStr">
        <is>
          <t>99% Algodón 1% Elastano</t>
        </is>
      </c>
      <c r="T949" s="156" t="inlineStr">
        <is>
          <t>Jean Bordado X en Bolsas Traseras Relajado</t>
        </is>
      </c>
      <c r="U949" s="156" t="n"/>
      <c r="V949" s="156" t="inlineStr">
        <is>
          <t>PZS</t>
        </is>
      </c>
      <c r="W949" s="51" t="inlineStr">
        <is>
          <t>53101502</t>
        </is>
      </c>
      <c r="X949" s="156" t="n"/>
      <c r="Y949" s="54" t="n">
        <v>814.6551724</v>
      </c>
      <c r="Z949" s="54" t="n">
        <v>1810.344828</v>
      </c>
      <c r="AA949" s="55">
        <f>IF(AND(A949="", B949="", E949=""), "", IF(AB949="", "Válido", IF((LEN(AB949)-LEN(SUBSTITUTE(AB949,"; ","")))/2+1&gt;(LEN(AB949)-LEN(SUBSTITUTE(AB949,"[Aviso]","")))/7, "Con Incidencias", "Válido")))</f>
        <v/>
      </c>
      <c r="AB949" s="56">
        <f>IF(AND(A949="", B949="", E949=""), "", TEXTJOIN("; ", TRUE, IF(OR(TRIM(A949&amp;"")="", ISNUMBER(SEARCH("FALTA", A949))), "UPC faltante/inválido", ""), IF(AND(A949&lt;&gt;"", IFERROR(_xlfn.XMATCH(A949,$A$2:$A$2509,0,1)&lt;&gt;_xlfn.XMATCH(A949,$A$2:$A$2509,0,-1),FALSE)), "Código de barras duplicado", ""), IF(AND(E949&lt;&gt;"", COUNTIF($E$2:$E$2509, E949)&gt;1), "SKU duplicado", ""), IF(OR(J949="", J949=""), "[Aviso] División no capturada ()", IF(ISNA(MATCH(J949, Criterios!$A$123:$A$126, 0)), "División no válida", "")), IF(OR(K949="", K949=""), "[Aviso] Categoría no capturada ()", IF(ISNA(MATCH(K949, Criterios!$A$81:$A$120, 0)), "Categoría no válida", IF(AND(J949&lt;&gt;"", J949&lt;&gt;"", J949&lt;&gt;VLOOKUP(K949, Criterios!$A$81:$B$120, 2, FALSE)), "División no coincide con Categoría", ""))), IF(OR(L949="", L949=""), "[Aviso] Género no capturado ()", IF(ISNA(MATCH(L949, Criterios!$B$123:$B$127, 0)), "Género no válido", "")), IF(OR(N949="", N949=""), "[Aviso] Temporada no capturada ()", IF(ISNA(MATCH(N949, Criterios!$C$123:$C$128, 0)), "Temporada no válida", "")), IF(OR(O949="", O949=""), "[Aviso] Ciclo de vida no capturado ()", IF(ISNA(MATCH(O949, Criterios!$D$123:$D$124, 0)), "Ciclo de vida no válido", ""))))</f>
        <v/>
      </c>
      <c r="AC949" s="56" t="n"/>
      <c r="AD949" s="51" t="n">
        <v>0</v>
      </c>
      <c r="AE949" s="156" t="n"/>
      <c r="AF949" s="51" t="n">
        <v>0</v>
      </c>
      <c r="AG949" s="156" t="inlineStr">
        <is>
          <t>Catálogo existente</t>
        </is>
      </c>
      <c r="AH949" s="156" t="n"/>
      <c r="AI949" s="156" t="inlineStr">
        <is>
          <t>No</t>
        </is>
      </c>
      <c r="AJ949" s="156" t="n"/>
      <c r="AK949" s="155" t="inlineStr">
        <is>
          <t>Shopify Stetson: producto 15051555078507 / variante 53342129521003 | Odoo: producto 29905 / plantilla 38609</t>
        </is>
      </c>
      <c r="AL949" s="58" t="n">
        <v>814.6551724</v>
      </c>
      <c r="AM949" s="58" t="n">
        <v>1810.344828</v>
      </c>
      <c r="AN949" s="155" t="inlineStr">
        <is>
          <t>Shopify Stetson México | Odoo Universal Unique Brands</t>
        </is>
      </c>
      <c r="AO949" s="59" t="n">
        <v>6</v>
      </c>
      <c r="AP949" s="59" t="n"/>
      <c r="AQ949" s="59" t="n">
        <v>6</v>
      </c>
      <c r="AR949" s="155" t="inlineStr">
        <is>
          <t>Shopify Stetson México › Stetson Americas: 6 | Odoo Universal Unique Brands › Bodega 25 › Bodega 25/General: 6</t>
        </is>
      </c>
    </row>
    <row r="950">
      <c r="A950" s="50" t="inlineStr">
        <is>
          <t>196070321944</t>
        </is>
      </c>
      <c r="B950" s="51" t="inlineStr">
        <is>
          <t>110665</t>
        </is>
      </c>
      <c r="C950" s="156" t="inlineStr">
        <is>
          <t>Multimarca</t>
        </is>
      </c>
      <c r="D950" s="156" t="inlineStr">
        <is>
          <t>11-004-1521-2000</t>
        </is>
      </c>
      <c r="E950" s="156" t="inlineStr">
        <is>
          <t>11-004-1521-2000-36 32</t>
        </is>
      </c>
      <c r="F950" s="156" t="inlineStr">
        <is>
          <t>36 x 32</t>
        </is>
      </c>
      <c r="G950" s="156" t="inlineStr">
        <is>
          <t>36W / 32L</t>
        </is>
      </c>
      <c r="H950" s="156" t="inlineStr">
        <is>
          <t>Stetson</t>
        </is>
      </c>
      <c r="I950" s="156" t="inlineStr">
        <is>
          <t>Jean Bordado X en Bolsas Traseras</t>
        </is>
      </c>
      <c r="J950" s="156" t="inlineStr">
        <is>
          <t>Denim</t>
        </is>
      </c>
      <c r="K950" s="156" t="inlineStr">
        <is>
          <t>Jeans</t>
        </is>
      </c>
      <c r="L950" s="156" t="inlineStr">
        <is>
          <t>Hombre</t>
        </is>
      </c>
      <c r="M950" s="156" t="inlineStr">
        <is>
          <t>Stetson</t>
        </is>
      </c>
      <c r="N950" s="156" t="inlineStr">
        <is>
          <t>SS26</t>
        </is>
      </c>
      <c r="O950" s="156" t="inlineStr">
        <is>
          <t>Seasonal</t>
        </is>
      </c>
      <c r="P950" s="156" t="inlineStr">
        <is>
          <t>Azul</t>
        </is>
      </c>
      <c r="Q950" s="156" t="inlineStr">
        <is>
          <t>Relajado</t>
        </is>
      </c>
      <c r="R950" s="156" t="inlineStr">
        <is>
          <t>Recto</t>
        </is>
      </c>
      <c r="S950" s="156" t="inlineStr">
        <is>
          <t>99% Algodón 1% Elastano</t>
        </is>
      </c>
      <c r="T950" s="156" t="inlineStr">
        <is>
          <t>Jean Bordado X en Bolsas Traseras Relajado</t>
        </is>
      </c>
      <c r="U950" s="156" t="n"/>
      <c r="V950" s="156" t="inlineStr">
        <is>
          <t>PZS</t>
        </is>
      </c>
      <c r="W950" s="51" t="inlineStr">
        <is>
          <t>53101502</t>
        </is>
      </c>
      <c r="X950" s="156" t="n"/>
      <c r="Y950" s="54" t="n">
        <v>814.6551724</v>
      </c>
      <c r="Z950" s="54" t="n">
        <v>1810.344828</v>
      </c>
      <c r="AA950" s="55">
        <f>IF(AND(A950="", B950="", E950=""), "", IF(AB950="", "Válido", IF((LEN(AB950)-LEN(SUBSTITUTE(AB950,"; ","")))/2+1&gt;(LEN(AB950)-LEN(SUBSTITUTE(AB950,"[Aviso]","")))/7, "Con Incidencias", "Válido")))</f>
        <v/>
      </c>
      <c r="AB950" s="56">
        <f>IF(AND(A950="", B950="", E950=""), "", TEXTJOIN("; ", TRUE, IF(OR(TRIM(A950&amp;"")="", ISNUMBER(SEARCH("FALTA", A950))), "UPC faltante/inválido", ""), IF(AND(A950&lt;&gt;"", IFERROR(_xlfn.XMATCH(A950,$A$2:$A$2509,0,1)&lt;&gt;_xlfn.XMATCH(A950,$A$2:$A$2509,0,-1),FALSE)), "Código de barras duplicado", ""), IF(AND(E950&lt;&gt;"", COUNTIF($E$2:$E$2509, E950)&gt;1), "SKU duplicado", ""), IF(OR(J950="", J950=""), "[Aviso] División no capturada ()", IF(ISNA(MATCH(J950, Criterios!$A$123:$A$126, 0)), "División no válida", "")), IF(OR(K950="", K950=""), "[Aviso] Categoría no capturada ()", IF(ISNA(MATCH(K950, Criterios!$A$81:$A$120, 0)), "Categoría no válida", IF(AND(J950&lt;&gt;"", J950&lt;&gt;"", J950&lt;&gt;VLOOKUP(K950, Criterios!$A$81:$B$120, 2, FALSE)), "División no coincide con Categoría", ""))), IF(OR(L950="", L950=""), "[Aviso] Género no capturado ()", IF(ISNA(MATCH(L950, Criterios!$B$123:$B$127, 0)), "Género no válido", "")), IF(OR(N950="", N950=""), "[Aviso] Temporada no capturada ()", IF(ISNA(MATCH(N950, Criterios!$C$123:$C$128, 0)), "Temporada no válida", "")), IF(OR(O950="", O950=""), "[Aviso] Ciclo de vida no capturado ()", IF(ISNA(MATCH(O950, Criterios!$D$123:$D$124, 0)), "Ciclo de vida no válido", ""))))</f>
        <v/>
      </c>
      <c r="AC950" s="56" t="n"/>
      <c r="AD950" s="51" t="n">
        <v>0</v>
      </c>
      <c r="AE950" s="156" t="n"/>
      <c r="AF950" s="51" t="n">
        <v>0</v>
      </c>
      <c r="AG950" s="156" t="inlineStr">
        <is>
          <t>Catálogo existente</t>
        </is>
      </c>
      <c r="AH950" s="156" t="n"/>
      <c r="AI950" s="156" t="inlineStr">
        <is>
          <t>No</t>
        </is>
      </c>
      <c r="AJ950" s="156" t="n"/>
      <c r="AK950" s="155" t="inlineStr">
        <is>
          <t>Shopify Stetson: producto 15051555078507 / variante 53342129553771 | Odoo: producto 29906 / plantilla 38610</t>
        </is>
      </c>
      <c r="AL950" s="58" t="n">
        <v>814.6551724</v>
      </c>
      <c r="AM950" s="58" t="n">
        <v>1810.344828</v>
      </c>
      <c r="AN950" s="155" t="inlineStr">
        <is>
          <t>Shopify Stetson México | Odoo Universal Unique Brands</t>
        </is>
      </c>
      <c r="AO950" s="59" t="n">
        <v>1</v>
      </c>
      <c r="AP950" s="59" t="n"/>
      <c r="AQ950" s="59" t="n">
        <v>1</v>
      </c>
      <c r="AR950" s="155" t="inlineStr">
        <is>
          <t>Shopify Stetson México › Stetson Americas: 1 | Odoo Universal Unique Brands › Bodega 25 › Bodega 25/General: 1</t>
        </is>
      </c>
    </row>
    <row r="951">
      <c r="A951" s="50" t="inlineStr">
        <is>
          <t>196070321951</t>
        </is>
      </c>
      <c r="B951" s="51" t="inlineStr">
        <is>
          <t>110666</t>
        </is>
      </c>
      <c r="C951" s="156" t="inlineStr">
        <is>
          <t>Multimarca</t>
        </is>
      </c>
      <c r="D951" s="156" t="inlineStr">
        <is>
          <t>11-004-1521-2000</t>
        </is>
      </c>
      <c r="E951" s="156" t="inlineStr">
        <is>
          <t>11-004-1521-2000-36 34</t>
        </is>
      </c>
      <c r="F951" s="156" t="inlineStr">
        <is>
          <t>36 x 34</t>
        </is>
      </c>
      <c r="G951" s="156" t="inlineStr">
        <is>
          <t>36W / 34L</t>
        </is>
      </c>
      <c r="H951" s="156" t="inlineStr">
        <is>
          <t>Stetson</t>
        </is>
      </c>
      <c r="I951" s="156" t="inlineStr">
        <is>
          <t>Jean Bordado X en Bolsas Traseras</t>
        </is>
      </c>
      <c r="J951" s="156" t="inlineStr">
        <is>
          <t>Denim</t>
        </is>
      </c>
      <c r="K951" s="156" t="inlineStr">
        <is>
          <t>Jeans</t>
        </is>
      </c>
      <c r="L951" s="156" t="inlineStr">
        <is>
          <t>Hombre</t>
        </is>
      </c>
      <c r="M951" s="156" t="inlineStr">
        <is>
          <t>Stetson</t>
        </is>
      </c>
      <c r="N951" s="156" t="inlineStr">
        <is>
          <t>SS26</t>
        </is>
      </c>
      <c r="O951" s="156" t="inlineStr">
        <is>
          <t>Seasonal</t>
        </is>
      </c>
      <c r="P951" s="156" t="inlineStr">
        <is>
          <t>Azul</t>
        </is>
      </c>
      <c r="Q951" s="156" t="inlineStr">
        <is>
          <t>Relajado</t>
        </is>
      </c>
      <c r="R951" s="156" t="inlineStr">
        <is>
          <t>Recto</t>
        </is>
      </c>
      <c r="S951" s="156" t="inlineStr">
        <is>
          <t>99% Algodón 1% Elastano</t>
        </is>
      </c>
      <c r="T951" s="156" t="inlineStr">
        <is>
          <t>Jean Bordado X en Bolsas Traseras Relajado</t>
        </is>
      </c>
      <c r="U951" s="156" t="n"/>
      <c r="V951" s="156" t="inlineStr">
        <is>
          <t>PZS</t>
        </is>
      </c>
      <c r="W951" s="51" t="inlineStr">
        <is>
          <t>53101502</t>
        </is>
      </c>
      <c r="X951" s="156" t="n"/>
      <c r="Y951" s="54" t="n">
        <v>814.6551724</v>
      </c>
      <c r="Z951" s="54" t="n">
        <v>1810.344828</v>
      </c>
      <c r="AA951" s="55">
        <f>IF(AND(A951="", B951="", E951=""), "", IF(AB951="", "Válido", IF((LEN(AB951)-LEN(SUBSTITUTE(AB951,"; ","")))/2+1&gt;(LEN(AB951)-LEN(SUBSTITUTE(AB951,"[Aviso]","")))/7, "Con Incidencias", "Válido")))</f>
        <v/>
      </c>
      <c r="AB951" s="56">
        <f>IF(AND(A951="", B951="", E951=""), "", TEXTJOIN("; ", TRUE, IF(OR(TRIM(A951&amp;"")="", ISNUMBER(SEARCH("FALTA", A951))), "UPC faltante/inválido", ""), IF(AND(A951&lt;&gt;"", IFERROR(_xlfn.XMATCH(A951,$A$2:$A$2509,0,1)&lt;&gt;_xlfn.XMATCH(A951,$A$2:$A$2509,0,-1),FALSE)), "Código de barras duplicado", ""), IF(AND(E951&lt;&gt;"", COUNTIF($E$2:$E$2509, E951)&gt;1), "SKU duplicado", ""), IF(OR(J951="", J951=""), "[Aviso] División no capturada ()", IF(ISNA(MATCH(J951, Criterios!$A$123:$A$126, 0)), "División no válida", "")), IF(OR(K951="", K951=""), "[Aviso] Categoría no capturada ()", IF(ISNA(MATCH(K951, Criterios!$A$81:$A$120, 0)), "Categoría no válida", IF(AND(J951&lt;&gt;"", J951&lt;&gt;"", J951&lt;&gt;VLOOKUP(K951, Criterios!$A$81:$B$120, 2, FALSE)), "División no coincide con Categoría", ""))), IF(OR(L951="", L951=""), "[Aviso] Género no capturado ()", IF(ISNA(MATCH(L951, Criterios!$B$123:$B$127, 0)), "Género no válido", "")), IF(OR(N951="", N951=""), "[Aviso] Temporada no capturada ()", IF(ISNA(MATCH(N951, Criterios!$C$123:$C$128, 0)), "Temporada no válida", "")), IF(OR(O951="", O951=""), "[Aviso] Ciclo de vida no capturado ()", IF(ISNA(MATCH(O951, Criterios!$D$123:$D$124, 0)), "Ciclo de vida no válido", ""))))</f>
        <v/>
      </c>
      <c r="AC951" s="56" t="n"/>
      <c r="AD951" s="51" t="n">
        <v>0</v>
      </c>
      <c r="AE951" s="156" t="n"/>
      <c r="AF951" s="51" t="n">
        <v>0</v>
      </c>
      <c r="AG951" s="156" t="inlineStr">
        <is>
          <t>Catálogo existente</t>
        </is>
      </c>
      <c r="AH951" s="156" t="n"/>
      <c r="AI951" s="156" t="inlineStr">
        <is>
          <t>No</t>
        </is>
      </c>
      <c r="AJ951" s="156" t="n"/>
      <c r="AK951" s="155" t="inlineStr">
        <is>
          <t>Shopify Stetson: producto 15051555078507 / variante 53342129586539 | Odoo: producto 29907 / plantilla 38611</t>
        </is>
      </c>
      <c r="AL951" s="58" t="n">
        <v>814.6551724</v>
      </c>
      <c r="AM951" s="58" t="n">
        <v>1810.344828</v>
      </c>
      <c r="AN951" s="155" t="inlineStr">
        <is>
          <t>Shopify Stetson México | Odoo Universal Unique Brands</t>
        </is>
      </c>
      <c r="AO951" s="59" t="n">
        <v>2</v>
      </c>
      <c r="AP951" s="59" t="n"/>
      <c r="AQ951" s="59" t="n">
        <v>3</v>
      </c>
      <c r="AR951" s="155" t="inlineStr">
        <is>
          <t>Shopify Stetson México › Stetson Americas: 2 | Odoo Universal Unique Brands › Bodega 25 › Bodega 25/General: 3</t>
        </is>
      </c>
    </row>
    <row r="952">
      <c r="A952" s="50" t="inlineStr">
        <is>
          <t>196070387735</t>
        </is>
      </c>
      <c r="B952" s="51" t="inlineStr">
        <is>
          <t>110793</t>
        </is>
      </c>
      <c r="C952" s="156" t="inlineStr">
        <is>
          <t>Multimarca</t>
        </is>
      </c>
      <c r="D952" s="156" t="inlineStr">
        <is>
          <t>11-097-0562-0919</t>
        </is>
      </c>
      <c r="E952" s="156" t="inlineStr">
        <is>
          <t>11-097-0562-0919-L</t>
        </is>
      </c>
      <c r="F952" s="156" t="inlineStr">
        <is>
          <t>L</t>
        </is>
      </c>
      <c r="G952" s="156" t="inlineStr">
        <is>
          <t>L</t>
        </is>
      </c>
      <c r="H952" s="156" t="inlineStr">
        <is>
          <t>Stetson</t>
        </is>
      </c>
      <c r="I952" s="156" t="inlineStr">
        <is>
          <t>Sudadera John B Stetson Escudo Desgastado Screen Print</t>
        </is>
      </c>
      <c r="J952" s="156" t="inlineStr">
        <is>
          <t>Ropa</t>
        </is>
      </c>
      <c r="K952" s="156" t="inlineStr">
        <is>
          <t>Sudaderas</t>
        </is>
      </c>
      <c r="L952" s="156" t="inlineStr">
        <is>
          <t>Hombre</t>
        </is>
      </c>
      <c r="M952" s="156" t="inlineStr">
        <is>
          <t>Stetson</t>
        </is>
      </c>
      <c r="N952" s="156" t="inlineStr">
        <is>
          <t>SS26</t>
        </is>
      </c>
      <c r="O952" s="156" t="inlineStr">
        <is>
          <t>Seasonal</t>
        </is>
      </c>
      <c r="P952" s="156" t="inlineStr">
        <is>
          <t>Gris</t>
        </is>
      </c>
      <c r="Q952" s="156" t="inlineStr">
        <is>
          <t>Regular</t>
        </is>
      </c>
      <c r="R952" s="156" t="n"/>
      <c r="S952" s="156" t="inlineStr">
        <is>
          <t>75% Algodón 25% Poliéster</t>
        </is>
      </c>
      <c r="T952" s="156" t="inlineStr">
        <is>
          <t>Sudadera John B Stetson Escudo Desgastado Screen Print Regular</t>
        </is>
      </c>
      <c r="U952" s="156" t="n"/>
      <c r="V952" s="156" t="inlineStr">
        <is>
          <t>PZS</t>
        </is>
      </c>
      <c r="W952" s="51" t="inlineStr">
        <is>
          <t>53101500</t>
        </is>
      </c>
      <c r="X952" s="156" t="n"/>
      <c r="Y952" s="54" t="n">
        <v>775.862069</v>
      </c>
      <c r="Z952" s="54" t="n">
        <v>1724.137931</v>
      </c>
      <c r="AA952" s="55">
        <f>IF(AND(A952="", B952="", E952=""), "", IF(AB952="", "Válido", IF((LEN(AB952)-LEN(SUBSTITUTE(AB952,"; ","")))/2+1&gt;(LEN(AB952)-LEN(SUBSTITUTE(AB952,"[Aviso]","")))/7, "Con Incidencias", "Válido")))</f>
        <v/>
      </c>
      <c r="AB952" s="56">
        <f>IF(AND(A952="", B952="", E952=""), "", TEXTJOIN("; ", TRUE, IF(OR(TRIM(A952&amp;"")="", ISNUMBER(SEARCH("FALTA", A952))), "UPC faltante/inválido", ""), IF(AND(A952&lt;&gt;"", IFERROR(_xlfn.XMATCH(A952,$A$2:$A$2509,0,1)&lt;&gt;_xlfn.XMATCH(A952,$A$2:$A$2509,0,-1),FALSE)), "Código de barras duplicado", ""), IF(AND(E952&lt;&gt;"", COUNTIF($E$2:$E$2509, E952)&gt;1), "SKU duplicado", ""), IF(OR(J952="", J952=""), "[Aviso] División no capturada ()", IF(ISNA(MATCH(J952, Criterios!$A$123:$A$126, 0)), "División no válida", "")), IF(OR(K952="", K952=""), "[Aviso] Categoría no capturada ()", IF(ISNA(MATCH(K952, Criterios!$A$81:$A$120, 0)), "Categoría no válida", IF(AND(J952&lt;&gt;"", J952&lt;&gt;"", J952&lt;&gt;VLOOKUP(K952, Criterios!$A$81:$B$120, 2, FALSE)), "División no coincide con Categoría", ""))), IF(OR(L952="", L952=""), "[Aviso] Género no capturado ()", IF(ISNA(MATCH(L952, Criterios!$B$123:$B$127, 0)), "Género no válido", "")), IF(OR(N952="", N952=""), "[Aviso] Temporada no capturada ()", IF(ISNA(MATCH(N952, Criterios!$C$123:$C$128, 0)), "Temporada no válida", "")), IF(OR(O952="", O952=""), "[Aviso] Ciclo de vida no capturado ()", IF(ISNA(MATCH(O952, Criterios!$D$123:$D$124, 0)), "Ciclo de vida no válido", ""))))</f>
        <v/>
      </c>
      <c r="AC952" s="56" t="n"/>
      <c r="AD952" s="51" t="n">
        <v>0</v>
      </c>
      <c r="AE952" s="156" t="n"/>
      <c r="AF952" s="51" t="n">
        <v>0</v>
      </c>
      <c r="AG952" s="156" t="inlineStr">
        <is>
          <t>Catálogo existente</t>
        </is>
      </c>
      <c r="AH952" s="156" t="inlineStr">
        <is>
          <t>Revisión 29/09/2026: Campos sin respaldo: U, X; Auditoría NetSuite 30/09/2026: llenado desde NetSuite [S] | 01/10/2026: complementado desde Shopify Stetson México (match por código de barras): WB Silueta</t>
        </is>
      </c>
      <c r="AI952" s="156" t="inlineStr">
        <is>
          <t>No</t>
        </is>
      </c>
      <c r="AJ952" s="156" t="n"/>
      <c r="AK952" s="155" t="inlineStr">
        <is>
          <t>Criterios: J [R]; G1522_Extraccion_Articulos_NetSuite_2026-09-30.xlsx: fila 58608 [S] | Shopify Stetson: producto 15051552850283 / variante 53350588973419</t>
        </is>
      </c>
      <c r="AL952" s="58" t="n">
        <v>775.862069</v>
      </c>
      <c r="AM952" s="58" t="n">
        <v>1724.137931</v>
      </c>
      <c r="AN952" s="155" t="inlineStr">
        <is>
          <t>Shopify Stetson México</t>
        </is>
      </c>
      <c r="AO952" s="59" t="n">
        <v>2</v>
      </c>
      <c r="AP952" s="59" t="n"/>
      <c r="AQ952" s="59" t="n"/>
      <c r="AR952" s="155" t="inlineStr">
        <is>
          <t>Shopify Stetson México › Stetson Americas: 2</t>
        </is>
      </c>
    </row>
    <row r="953">
      <c r="A953" s="50" t="inlineStr">
        <is>
          <t>196070387742</t>
        </is>
      </c>
      <c r="B953" s="51" t="inlineStr">
        <is>
          <t>110794</t>
        </is>
      </c>
      <c r="C953" s="156" t="inlineStr">
        <is>
          <t>Multimarca</t>
        </is>
      </c>
      <c r="D953" s="156" t="inlineStr">
        <is>
          <t>11-097-0562-0919</t>
        </is>
      </c>
      <c r="E953" s="156" t="inlineStr">
        <is>
          <t>11-097-0562-0919-M</t>
        </is>
      </c>
      <c r="F953" s="156" t="inlineStr">
        <is>
          <t>M</t>
        </is>
      </c>
      <c r="G953" s="156" t="inlineStr">
        <is>
          <t>M</t>
        </is>
      </c>
      <c r="H953" s="156" t="inlineStr">
        <is>
          <t>Stetson</t>
        </is>
      </c>
      <c r="I953" s="156" t="inlineStr">
        <is>
          <t>Sudadera John B Stetson Escudo Desgastado Screen Print</t>
        </is>
      </c>
      <c r="J953" s="156" t="inlineStr">
        <is>
          <t>Ropa</t>
        </is>
      </c>
      <c r="K953" s="156" t="inlineStr">
        <is>
          <t>Sudaderas</t>
        </is>
      </c>
      <c r="L953" s="156" t="inlineStr">
        <is>
          <t>Hombre</t>
        </is>
      </c>
      <c r="M953" s="156" t="inlineStr">
        <is>
          <t>Stetson</t>
        </is>
      </c>
      <c r="N953" s="156" t="inlineStr">
        <is>
          <t>SS26</t>
        </is>
      </c>
      <c r="O953" s="156" t="inlineStr">
        <is>
          <t>Seasonal</t>
        </is>
      </c>
      <c r="P953" s="156" t="inlineStr">
        <is>
          <t>Gris</t>
        </is>
      </c>
      <c r="Q953" s="156" t="inlineStr">
        <is>
          <t>Regular</t>
        </is>
      </c>
      <c r="R953" s="156" t="n"/>
      <c r="S953" s="156" t="inlineStr">
        <is>
          <t>75% Algodón 25% Poliéster</t>
        </is>
      </c>
      <c r="T953" s="156" t="inlineStr">
        <is>
          <t>Sudadera John B Stetson Escudo Desgastado Screen Print Regular</t>
        </is>
      </c>
      <c r="U953" s="156" t="n"/>
      <c r="V953" s="156" t="inlineStr">
        <is>
          <t>PZS</t>
        </is>
      </c>
      <c r="W953" s="51" t="inlineStr">
        <is>
          <t>53101500</t>
        </is>
      </c>
      <c r="X953" s="156" t="n"/>
      <c r="Y953" s="54" t="n">
        <v>775.862069</v>
      </c>
      <c r="Z953" s="54" t="n">
        <v>1724.137931</v>
      </c>
      <c r="AA953" s="55">
        <f>IF(AND(A953="", B953="", E953=""), "", IF(AB953="", "Válido", IF((LEN(AB953)-LEN(SUBSTITUTE(AB953,"; ","")))/2+1&gt;(LEN(AB953)-LEN(SUBSTITUTE(AB953,"[Aviso]","")))/7, "Con Incidencias", "Válido")))</f>
        <v/>
      </c>
      <c r="AB953" s="56">
        <f>IF(AND(A953="", B953="", E953=""), "", TEXTJOIN("; ", TRUE, IF(OR(TRIM(A953&amp;"")="", ISNUMBER(SEARCH("FALTA", A953))), "UPC faltante/inválido", ""), IF(AND(A953&lt;&gt;"", IFERROR(_xlfn.XMATCH(A953,$A$2:$A$2509,0,1)&lt;&gt;_xlfn.XMATCH(A953,$A$2:$A$2509,0,-1),FALSE)), "Código de barras duplicado", ""), IF(AND(E953&lt;&gt;"", COUNTIF($E$2:$E$2509, E953)&gt;1), "SKU duplicado", ""), IF(OR(J953="", J953=""), "[Aviso] División no capturada ()", IF(ISNA(MATCH(J953, Criterios!$A$123:$A$126, 0)), "División no válida", "")), IF(OR(K953="", K953=""), "[Aviso] Categoría no capturada ()", IF(ISNA(MATCH(K953, Criterios!$A$81:$A$120, 0)), "Categoría no válida", IF(AND(J953&lt;&gt;"", J953&lt;&gt;"", J953&lt;&gt;VLOOKUP(K953, Criterios!$A$81:$B$120, 2, FALSE)), "División no coincide con Categoría", ""))), IF(OR(L953="", L953=""), "[Aviso] Género no capturado ()", IF(ISNA(MATCH(L953, Criterios!$B$123:$B$127, 0)), "Género no válido", "")), IF(OR(N953="", N953=""), "[Aviso] Temporada no capturada ()", IF(ISNA(MATCH(N953, Criterios!$C$123:$C$128, 0)), "Temporada no válida", "")), IF(OR(O953="", O953=""), "[Aviso] Ciclo de vida no capturado ()", IF(ISNA(MATCH(O953, Criterios!$D$123:$D$124, 0)), "Ciclo de vida no válido", ""))))</f>
        <v/>
      </c>
      <c r="AC953" s="56" t="n"/>
      <c r="AD953" s="51" t="n">
        <v>0</v>
      </c>
      <c r="AE953" s="156" t="n"/>
      <c r="AF953" s="51" t="n">
        <v>0</v>
      </c>
      <c r="AG953" s="156" t="inlineStr">
        <is>
          <t>Catálogo existente</t>
        </is>
      </c>
      <c r="AH953" s="156" t="inlineStr">
        <is>
          <t>Revisión 29/09/2026: Campos sin respaldo: U, X; Auditoría NetSuite 30/09/2026: llenado desde NetSuite [S] | 01/10/2026: complementado desde Shopify Stetson México (match por código de barras): WB Silueta</t>
        </is>
      </c>
      <c r="AI953" s="156" t="inlineStr">
        <is>
          <t>No</t>
        </is>
      </c>
      <c r="AJ953" s="156" t="n"/>
      <c r="AK953" s="155" t="inlineStr">
        <is>
          <t>Criterios: J [R]; G1522_Extraccion_Articulos_NetSuite_2026-09-30.xlsx: fila 58609 [S] | Shopify Stetson: producto 15051552850283 / variante 53350588940651</t>
        </is>
      </c>
      <c r="AL953" s="58" t="n">
        <v>775.862069</v>
      </c>
      <c r="AM953" s="58" t="n">
        <v>1724.137931</v>
      </c>
      <c r="AN953" s="155" t="inlineStr">
        <is>
          <t>Shopify Stetson México</t>
        </is>
      </c>
      <c r="AO953" s="59" t="n">
        <v>2</v>
      </c>
      <c r="AP953" s="59" t="n"/>
      <c r="AQ953" s="59" t="n"/>
      <c r="AR953" s="155" t="inlineStr">
        <is>
          <t>Shopify Stetson México › Stetson Americas: 2</t>
        </is>
      </c>
    </row>
    <row r="954">
      <c r="A954" s="50" t="inlineStr">
        <is>
          <t>196070387759</t>
        </is>
      </c>
      <c r="B954" s="51" t="inlineStr">
        <is>
          <t>110795</t>
        </is>
      </c>
      <c r="C954" s="156" t="inlineStr">
        <is>
          <t>Multimarca</t>
        </is>
      </c>
      <c r="D954" s="156" t="inlineStr">
        <is>
          <t>11-097-0562-0919</t>
        </is>
      </c>
      <c r="E954" s="156" t="inlineStr">
        <is>
          <t>11-097-0562-0919-S</t>
        </is>
      </c>
      <c r="F954" s="156" t="inlineStr">
        <is>
          <t>S</t>
        </is>
      </c>
      <c r="G954" s="156" t="inlineStr">
        <is>
          <t>S</t>
        </is>
      </c>
      <c r="H954" s="156" t="inlineStr">
        <is>
          <t>Stetson</t>
        </is>
      </c>
      <c r="I954" s="156" t="inlineStr">
        <is>
          <t>Sudadera John B Stetson Escudo Desgastado Screen Print</t>
        </is>
      </c>
      <c r="J954" s="156" t="inlineStr">
        <is>
          <t>Ropa</t>
        </is>
      </c>
      <c r="K954" s="156" t="inlineStr">
        <is>
          <t>Sudaderas</t>
        </is>
      </c>
      <c r="L954" s="156" t="inlineStr">
        <is>
          <t>Hombre</t>
        </is>
      </c>
      <c r="M954" s="156" t="inlineStr">
        <is>
          <t>Stetson</t>
        </is>
      </c>
      <c r="N954" s="156" t="inlineStr">
        <is>
          <t>SS26</t>
        </is>
      </c>
      <c r="O954" s="156" t="inlineStr">
        <is>
          <t>Seasonal</t>
        </is>
      </c>
      <c r="P954" s="156" t="inlineStr">
        <is>
          <t>Gris</t>
        </is>
      </c>
      <c r="Q954" s="156" t="inlineStr">
        <is>
          <t>Regular</t>
        </is>
      </c>
      <c r="R954" s="156" t="n"/>
      <c r="S954" s="156" t="inlineStr">
        <is>
          <t>75% Algodón 25% Poliéster</t>
        </is>
      </c>
      <c r="T954" s="156" t="inlineStr">
        <is>
          <t>Sudadera John B Stetson Escudo Desgastado Screen Print Regular</t>
        </is>
      </c>
      <c r="U954" s="156" t="n"/>
      <c r="V954" s="156" t="inlineStr">
        <is>
          <t>PZS</t>
        </is>
      </c>
      <c r="W954" s="51" t="inlineStr">
        <is>
          <t>53101500</t>
        </is>
      </c>
      <c r="X954" s="156" t="n"/>
      <c r="Y954" s="54" t="n">
        <v>775.862069</v>
      </c>
      <c r="Z954" s="54" t="n">
        <v>1724.137931</v>
      </c>
      <c r="AA954" s="55">
        <f>IF(AND(A954="", B954="", E954=""), "", IF(AB954="", "Válido", IF((LEN(AB954)-LEN(SUBSTITUTE(AB954,"; ","")))/2+1&gt;(LEN(AB954)-LEN(SUBSTITUTE(AB954,"[Aviso]","")))/7, "Con Incidencias", "Válido")))</f>
        <v/>
      </c>
      <c r="AB954" s="56">
        <f>IF(AND(A954="", B954="", E954=""), "", TEXTJOIN("; ", TRUE, IF(OR(TRIM(A954&amp;"")="", ISNUMBER(SEARCH("FALTA", A954))), "UPC faltante/inválido", ""), IF(AND(A954&lt;&gt;"", IFERROR(_xlfn.XMATCH(A954,$A$2:$A$2509,0,1)&lt;&gt;_xlfn.XMATCH(A954,$A$2:$A$2509,0,-1),FALSE)), "Código de barras duplicado", ""), IF(AND(E954&lt;&gt;"", COUNTIF($E$2:$E$2509, E954)&gt;1), "SKU duplicado", ""), IF(OR(J954="", J954=""), "[Aviso] División no capturada ()", IF(ISNA(MATCH(J954, Criterios!$A$123:$A$126, 0)), "División no válida", "")), IF(OR(K954="", K954=""), "[Aviso] Categoría no capturada ()", IF(ISNA(MATCH(K954, Criterios!$A$81:$A$120, 0)), "Categoría no válida", IF(AND(J954&lt;&gt;"", J954&lt;&gt;"", J954&lt;&gt;VLOOKUP(K954, Criterios!$A$81:$B$120, 2, FALSE)), "División no coincide con Categoría", ""))), IF(OR(L954="", L954=""), "[Aviso] Género no capturado ()", IF(ISNA(MATCH(L954, Criterios!$B$123:$B$127, 0)), "Género no válido", "")), IF(OR(N954="", N954=""), "[Aviso] Temporada no capturada ()", IF(ISNA(MATCH(N954, Criterios!$C$123:$C$128, 0)), "Temporada no válida", "")), IF(OR(O954="", O954=""), "[Aviso] Ciclo de vida no capturado ()", IF(ISNA(MATCH(O954, Criterios!$D$123:$D$124, 0)), "Ciclo de vida no válido", ""))))</f>
        <v/>
      </c>
      <c r="AC954" s="56" t="n"/>
      <c r="AD954" s="51" t="n">
        <v>-1</v>
      </c>
      <c r="AE954" s="156" t="n"/>
      <c r="AF954" s="51" t="n">
        <v>0</v>
      </c>
      <c r="AG954" s="156" t="inlineStr">
        <is>
          <t>Catálogo existente</t>
        </is>
      </c>
      <c r="AH954" s="156" t="inlineStr">
        <is>
          <t>Stock negativo en sistema: revisar en conteo | Revisión 29/09/2026: Campos sin respaldo: U, X; Auditoría NetSuite 30/09/2026: llenado desde NetSuite [S] | 01/10/2026: complementado desde Shopify Stetson México (match por código de barras): WB Silueta</t>
        </is>
      </c>
      <c r="AI954" s="156" t="inlineStr">
        <is>
          <t>Sí</t>
        </is>
      </c>
      <c r="AJ954" s="156" t="inlineStr">
        <is>
          <t>STETSON AMERICAS (-1)</t>
        </is>
      </c>
      <c r="AK954" s="155" t="inlineStr">
        <is>
          <t>Criterios: J [R]; G1522_Extraccion_Articulos_NetSuite_2026-09-30.xlsx: fila 58610 [S] | Shopify Stetson: producto 15051552850283 / variante 53350588907883</t>
        </is>
      </c>
      <c r="AL954" s="58" t="n">
        <v>775.862069</v>
      </c>
      <c r="AM954" s="58" t="n">
        <v>1724.137931</v>
      </c>
      <c r="AN954" s="155" t="inlineStr">
        <is>
          <t>Shopify Stetson México</t>
        </is>
      </c>
      <c r="AO954" s="59" t="n">
        <v>0</v>
      </c>
      <c r="AP954" s="59" t="n"/>
      <c r="AQ954" s="59" t="n"/>
      <c r="AR954" s="155" t="n"/>
    </row>
    <row r="955">
      <c r="A955" s="50" t="inlineStr">
        <is>
          <t>196070387766</t>
        </is>
      </c>
      <c r="B955" s="51" t="inlineStr">
        <is>
          <t>110796</t>
        </is>
      </c>
      <c r="C955" s="156" t="inlineStr">
        <is>
          <t>Multimarca</t>
        </is>
      </c>
      <c r="D955" s="156" t="inlineStr">
        <is>
          <t>11-097-0562-0919</t>
        </is>
      </c>
      <c r="E955" s="156" t="inlineStr">
        <is>
          <t>11-097-0562-0919-XL</t>
        </is>
      </c>
      <c r="F955" s="156" t="inlineStr">
        <is>
          <t>XL</t>
        </is>
      </c>
      <c r="G955" s="156" t="inlineStr">
        <is>
          <t>XL</t>
        </is>
      </c>
      <c r="H955" s="156" t="inlineStr">
        <is>
          <t>Stetson</t>
        </is>
      </c>
      <c r="I955" s="156" t="inlineStr">
        <is>
          <t>Sudadera John B Stetson Escudo Desgastado Screen Print</t>
        </is>
      </c>
      <c r="J955" s="156" t="inlineStr">
        <is>
          <t>Ropa</t>
        </is>
      </c>
      <c r="K955" s="156" t="inlineStr">
        <is>
          <t>Sudaderas</t>
        </is>
      </c>
      <c r="L955" s="156" t="inlineStr">
        <is>
          <t>Hombre</t>
        </is>
      </c>
      <c r="M955" s="156" t="inlineStr">
        <is>
          <t>Stetson</t>
        </is>
      </c>
      <c r="N955" s="156" t="inlineStr">
        <is>
          <t>SS26</t>
        </is>
      </c>
      <c r="O955" s="156" t="inlineStr">
        <is>
          <t>Seasonal</t>
        </is>
      </c>
      <c r="P955" s="156" t="inlineStr">
        <is>
          <t>Gris</t>
        </is>
      </c>
      <c r="Q955" s="156" t="inlineStr">
        <is>
          <t>Regular</t>
        </is>
      </c>
      <c r="R955" s="156" t="n"/>
      <c r="S955" s="156" t="inlineStr">
        <is>
          <t>75% Algodón 25% Poliéster</t>
        </is>
      </c>
      <c r="T955" s="156" t="inlineStr">
        <is>
          <t>Sudadera John B Stetson Escudo Desgastado Screen Print Regular</t>
        </is>
      </c>
      <c r="U955" s="156" t="n"/>
      <c r="V955" s="156" t="inlineStr">
        <is>
          <t>PZS</t>
        </is>
      </c>
      <c r="W955" s="51" t="inlineStr">
        <is>
          <t>53101500</t>
        </is>
      </c>
      <c r="X955" s="156" t="n"/>
      <c r="Y955" s="54" t="n">
        <v>775.862069</v>
      </c>
      <c r="Z955" s="54" t="n">
        <v>1724.137931</v>
      </c>
      <c r="AA955" s="55">
        <f>IF(AND(A955="", B955="", E955=""), "", IF(AB955="", "Válido", IF((LEN(AB955)-LEN(SUBSTITUTE(AB955,"; ","")))/2+1&gt;(LEN(AB955)-LEN(SUBSTITUTE(AB955,"[Aviso]","")))/7, "Con Incidencias", "Válido")))</f>
        <v/>
      </c>
      <c r="AB955" s="56">
        <f>IF(AND(A955="", B955="", E955=""), "", TEXTJOIN("; ", TRUE, IF(OR(TRIM(A955&amp;"")="", ISNUMBER(SEARCH("FALTA", A955))), "UPC faltante/inválido", ""), IF(AND(A955&lt;&gt;"", IFERROR(_xlfn.XMATCH(A955,$A$2:$A$2509,0,1)&lt;&gt;_xlfn.XMATCH(A955,$A$2:$A$2509,0,-1),FALSE)), "Código de barras duplicado", ""), IF(AND(E955&lt;&gt;"", COUNTIF($E$2:$E$2509, E955)&gt;1), "SKU duplicado", ""), IF(OR(J955="", J955=""), "[Aviso] División no capturada ()", IF(ISNA(MATCH(J955, Criterios!$A$123:$A$126, 0)), "División no válida", "")), IF(OR(K955="", K955=""), "[Aviso] Categoría no capturada ()", IF(ISNA(MATCH(K955, Criterios!$A$81:$A$120, 0)), "Categoría no válida", IF(AND(J955&lt;&gt;"", J955&lt;&gt;"", J955&lt;&gt;VLOOKUP(K955, Criterios!$A$81:$B$120, 2, FALSE)), "División no coincide con Categoría", ""))), IF(OR(L955="", L955=""), "[Aviso] Género no capturado ()", IF(ISNA(MATCH(L955, Criterios!$B$123:$B$127, 0)), "Género no válido", "")), IF(OR(N955="", N955=""), "[Aviso] Temporada no capturada ()", IF(ISNA(MATCH(N955, Criterios!$C$123:$C$128, 0)), "Temporada no válida", "")), IF(OR(O955="", O955=""), "[Aviso] Ciclo de vida no capturado ()", IF(ISNA(MATCH(O955, Criterios!$D$123:$D$124, 0)), "Ciclo de vida no válido", ""))))</f>
        <v/>
      </c>
      <c r="AC955" s="56" t="n"/>
      <c r="AD955" s="51" t="n">
        <v>-1</v>
      </c>
      <c r="AE955" s="156" t="n"/>
      <c r="AF955" s="51" t="n">
        <v>0</v>
      </c>
      <c r="AG955" s="156" t="inlineStr">
        <is>
          <t>Catálogo existente</t>
        </is>
      </c>
      <c r="AH955" s="156" t="inlineStr">
        <is>
          <t>Stock negativo en sistema: revisar en conteo | Revisión 29/09/2026: Campos sin respaldo: U, X; Auditoría NetSuite 30/09/2026: llenado desde NetSuite [S] | 01/10/2026: complementado desde Shopify Stetson México (match por código de barras): WB Silueta</t>
        </is>
      </c>
      <c r="AI955" s="156" t="inlineStr">
        <is>
          <t>Sí</t>
        </is>
      </c>
      <c r="AJ955" s="156" t="inlineStr">
        <is>
          <t>STETSON AMERICAS (-1)</t>
        </is>
      </c>
      <c r="AK955" s="155" t="inlineStr">
        <is>
          <t>Criterios: J [R]; G1522_Extraccion_Articulos_NetSuite_2026-09-30.xlsx: fila 58611 [S] | Shopify Stetson: producto 15051552850283 / variante 53350589006187</t>
        </is>
      </c>
      <c r="AL955" s="58" t="n">
        <v>775.862069</v>
      </c>
      <c r="AM955" s="58" t="n">
        <v>1724.137931</v>
      </c>
      <c r="AN955" s="155" t="inlineStr">
        <is>
          <t>Shopify Stetson México</t>
        </is>
      </c>
      <c r="AO955" s="59" t="n">
        <v>0</v>
      </c>
      <c r="AP955" s="59" t="n"/>
      <c r="AQ955" s="59" t="n"/>
      <c r="AR955" s="155" t="n"/>
    </row>
    <row r="956">
      <c r="A956" s="50" t="inlineStr">
        <is>
          <t>196070389678</t>
        </is>
      </c>
      <c r="B956" s="51" t="inlineStr">
        <is>
          <t>110797</t>
        </is>
      </c>
      <c r="C956" s="156" t="inlineStr">
        <is>
          <t>Multimarca</t>
        </is>
      </c>
      <c r="D956" s="156" t="inlineStr">
        <is>
          <t>11-097-0562-0924</t>
        </is>
      </c>
      <c r="E956" s="156" t="inlineStr">
        <is>
          <t>11-097-0562-0924-L</t>
        </is>
      </c>
      <c r="F956" s="156" t="inlineStr">
        <is>
          <t>L</t>
        </is>
      </c>
      <c r="G956" s="156" t="inlineStr">
        <is>
          <t>L</t>
        </is>
      </c>
      <c r="H956" s="156" t="inlineStr">
        <is>
          <t>Stetson</t>
        </is>
      </c>
      <c r="I956" s="156" t="inlineStr">
        <is>
          <t>Sudadera John B Stetson Tótem Águila Screen Print</t>
        </is>
      </c>
      <c r="J956" s="156" t="inlineStr">
        <is>
          <t>Ropa</t>
        </is>
      </c>
      <c r="K956" s="156" t="inlineStr">
        <is>
          <t>Sudaderas</t>
        </is>
      </c>
      <c r="L956" s="156" t="inlineStr">
        <is>
          <t>Hombre</t>
        </is>
      </c>
      <c r="M956" s="156" t="inlineStr">
        <is>
          <t>Stetson</t>
        </is>
      </c>
      <c r="N956" s="156" t="inlineStr">
        <is>
          <t>SS26</t>
        </is>
      </c>
      <c r="O956" s="156" t="inlineStr">
        <is>
          <t>Seasonal</t>
        </is>
      </c>
      <c r="P956" s="156" t="inlineStr">
        <is>
          <t>Verde</t>
        </is>
      </c>
      <c r="Q956" s="156" t="inlineStr">
        <is>
          <t>Regular</t>
        </is>
      </c>
      <c r="R956" s="156" t="n"/>
      <c r="S956" s="156" t="inlineStr">
        <is>
          <t>65% Algodón 35% Poliéster</t>
        </is>
      </c>
      <c r="T956" s="156" t="inlineStr">
        <is>
          <t>Sudadera John B Stetson Tótem Águila Screen Print Regular</t>
        </is>
      </c>
      <c r="U956" s="156" t="n"/>
      <c r="V956" s="156" t="inlineStr">
        <is>
          <t>PZS</t>
        </is>
      </c>
      <c r="W956" s="51" t="inlineStr">
        <is>
          <t>53101500</t>
        </is>
      </c>
      <c r="X956" s="156" t="n"/>
      <c r="Y956" s="54" t="n">
        <v>678.8793103</v>
      </c>
      <c r="Z956" s="54" t="n">
        <v>1508.62069</v>
      </c>
      <c r="AA956" s="55">
        <f>IF(AND(A956="", B956="", E956=""), "", IF(AB956="", "Válido", IF((LEN(AB956)-LEN(SUBSTITUTE(AB956,"; ","")))/2+1&gt;(LEN(AB956)-LEN(SUBSTITUTE(AB956,"[Aviso]","")))/7, "Con Incidencias", "Válido")))</f>
        <v/>
      </c>
      <c r="AB956" s="56">
        <f>IF(AND(A956="", B956="", E956=""), "", TEXTJOIN("; ", TRUE, IF(OR(TRIM(A956&amp;"")="", ISNUMBER(SEARCH("FALTA", A956))), "UPC faltante/inválido", ""), IF(AND(A956&lt;&gt;"", IFERROR(_xlfn.XMATCH(A956,$A$2:$A$2509,0,1)&lt;&gt;_xlfn.XMATCH(A956,$A$2:$A$2509,0,-1),FALSE)), "Código de barras duplicado", ""), IF(AND(E956&lt;&gt;"", COUNTIF($E$2:$E$2509, E956)&gt;1), "SKU duplicado", ""), IF(OR(J956="", J956=""), "[Aviso] División no capturada ()", IF(ISNA(MATCH(J956, Criterios!$A$123:$A$126, 0)), "División no válida", "")), IF(OR(K956="", K956=""), "[Aviso] Categoría no capturada ()", IF(ISNA(MATCH(K956, Criterios!$A$81:$A$120, 0)), "Categoría no válida", IF(AND(J956&lt;&gt;"", J956&lt;&gt;"", J956&lt;&gt;VLOOKUP(K956, Criterios!$A$81:$B$120, 2, FALSE)), "División no coincide con Categoría", ""))), IF(OR(L956="", L956=""), "[Aviso] Género no capturado ()", IF(ISNA(MATCH(L956, Criterios!$B$123:$B$127, 0)), "Género no válido", "")), IF(OR(N956="", N956=""), "[Aviso] Temporada no capturada ()", IF(ISNA(MATCH(N956, Criterios!$C$123:$C$128, 0)), "Temporada no válida", "")), IF(OR(O956="", O956=""), "[Aviso] Ciclo de vida no capturado ()", IF(ISNA(MATCH(O956, Criterios!$D$123:$D$124, 0)), "Ciclo de vida no válido", ""))))</f>
        <v/>
      </c>
      <c r="AC956" s="56" t="n"/>
      <c r="AD956" s="51" t="n">
        <v>-1</v>
      </c>
      <c r="AE956" s="156" t="n"/>
      <c r="AF956" s="51" t="n">
        <v>0</v>
      </c>
      <c r="AG956" s="156" t="inlineStr">
        <is>
          <t>Catálogo existente</t>
        </is>
      </c>
      <c r="AH956" s="156" t="inlineStr">
        <is>
          <t>Stock negativo en sistema: revisar en conteo | Revisión 29/09/2026: Campos sin respaldo: U, X; Auditoría NetSuite 30/09/2026: llenado desde NetSuite [S] | 01/10/2026: complementado desde Shopify Stetson México (match por código de barras): WB Silueta</t>
        </is>
      </c>
      <c r="AI956" s="156" t="inlineStr">
        <is>
          <t>Sí</t>
        </is>
      </c>
      <c r="AJ956" s="156" t="inlineStr">
        <is>
          <t>STETSON AMERICAS (-1)</t>
        </is>
      </c>
      <c r="AK956" s="155" t="inlineStr">
        <is>
          <t>Criterios: J [R]; G1522_Extraccion_Articulos_NetSuite_2026-09-30.xlsx: fila 58612 [S] | Shopify Stetson: producto 15051552915819 / variante 53350588842347</t>
        </is>
      </c>
      <c r="AL956" s="58" t="n">
        <v>678.8793103</v>
      </c>
      <c r="AM956" s="58" t="n">
        <v>1508.62069</v>
      </c>
      <c r="AN956" s="155" t="inlineStr">
        <is>
          <t>Shopify Stetson México</t>
        </is>
      </c>
      <c r="AO956" s="59" t="n">
        <v>0</v>
      </c>
      <c r="AP956" s="59" t="n"/>
      <c r="AQ956" s="59" t="n"/>
      <c r="AR956" s="155" t="n"/>
    </row>
    <row r="957">
      <c r="A957" s="50" t="inlineStr">
        <is>
          <t>196070389685</t>
        </is>
      </c>
      <c r="B957" s="51" t="inlineStr">
        <is>
          <t>110798</t>
        </is>
      </c>
      <c r="C957" s="156" t="inlineStr">
        <is>
          <t>Multimarca</t>
        </is>
      </c>
      <c r="D957" s="156" t="inlineStr">
        <is>
          <t>11-097-0562-0924</t>
        </is>
      </c>
      <c r="E957" s="156" t="inlineStr">
        <is>
          <t>11-097-0562-0924-M</t>
        </is>
      </c>
      <c r="F957" s="156" t="inlineStr">
        <is>
          <t>M</t>
        </is>
      </c>
      <c r="G957" s="156" t="inlineStr">
        <is>
          <t>M</t>
        </is>
      </c>
      <c r="H957" s="156" t="inlineStr">
        <is>
          <t>Stetson</t>
        </is>
      </c>
      <c r="I957" s="156" t="inlineStr">
        <is>
          <t>Sudadera John B Stetson Tótem Águila Screen Print</t>
        </is>
      </c>
      <c r="J957" s="156" t="inlineStr">
        <is>
          <t>Ropa</t>
        </is>
      </c>
      <c r="K957" s="156" t="inlineStr">
        <is>
          <t>Sudaderas</t>
        </is>
      </c>
      <c r="L957" s="156" t="inlineStr">
        <is>
          <t>Hombre</t>
        </is>
      </c>
      <c r="M957" s="156" t="inlineStr">
        <is>
          <t>Stetson</t>
        </is>
      </c>
      <c r="N957" s="156" t="inlineStr">
        <is>
          <t>SS26</t>
        </is>
      </c>
      <c r="O957" s="156" t="inlineStr">
        <is>
          <t>Seasonal</t>
        </is>
      </c>
      <c r="P957" s="156" t="inlineStr">
        <is>
          <t>Verde</t>
        </is>
      </c>
      <c r="Q957" s="156" t="inlineStr">
        <is>
          <t>Regular</t>
        </is>
      </c>
      <c r="R957" s="156" t="n"/>
      <c r="S957" s="156" t="inlineStr">
        <is>
          <t>65% Algodón 35% Poliéster</t>
        </is>
      </c>
      <c r="T957" s="156" t="inlineStr">
        <is>
          <t>Sudadera John B Stetson Tótem Águila Screen Print Regular</t>
        </is>
      </c>
      <c r="U957" s="156" t="n"/>
      <c r="V957" s="156" t="inlineStr">
        <is>
          <t>PZS</t>
        </is>
      </c>
      <c r="W957" s="51" t="inlineStr">
        <is>
          <t>53101500</t>
        </is>
      </c>
      <c r="X957" s="156" t="n"/>
      <c r="Y957" s="54" t="n">
        <v>678.8793103</v>
      </c>
      <c r="Z957" s="54" t="n">
        <v>1508.62069</v>
      </c>
      <c r="AA957" s="55">
        <f>IF(AND(A957="", B957="", E957=""), "", IF(AB957="", "Válido", IF((LEN(AB957)-LEN(SUBSTITUTE(AB957,"; ","")))/2+1&gt;(LEN(AB957)-LEN(SUBSTITUTE(AB957,"[Aviso]","")))/7, "Con Incidencias", "Válido")))</f>
        <v/>
      </c>
      <c r="AB957" s="56">
        <f>IF(AND(A957="", B957="", E957=""), "", TEXTJOIN("; ", TRUE, IF(OR(TRIM(A957&amp;"")="", ISNUMBER(SEARCH("FALTA", A957))), "UPC faltante/inválido", ""), IF(AND(A957&lt;&gt;"", IFERROR(_xlfn.XMATCH(A957,$A$2:$A$2509,0,1)&lt;&gt;_xlfn.XMATCH(A957,$A$2:$A$2509,0,-1),FALSE)), "Código de barras duplicado", ""), IF(AND(E957&lt;&gt;"", COUNTIF($E$2:$E$2509, E957)&gt;1), "SKU duplicado", ""), IF(OR(J957="", J957=""), "[Aviso] División no capturada ()", IF(ISNA(MATCH(J957, Criterios!$A$123:$A$126, 0)), "División no válida", "")), IF(OR(K957="", K957=""), "[Aviso] Categoría no capturada ()", IF(ISNA(MATCH(K957, Criterios!$A$81:$A$120, 0)), "Categoría no válida", IF(AND(J957&lt;&gt;"", J957&lt;&gt;"", J957&lt;&gt;VLOOKUP(K957, Criterios!$A$81:$B$120, 2, FALSE)), "División no coincide con Categoría", ""))), IF(OR(L957="", L957=""), "[Aviso] Género no capturado ()", IF(ISNA(MATCH(L957, Criterios!$B$123:$B$127, 0)), "Género no válido", "")), IF(OR(N957="", N957=""), "[Aviso] Temporada no capturada ()", IF(ISNA(MATCH(N957, Criterios!$C$123:$C$128, 0)), "Temporada no válida", "")), IF(OR(O957="", O957=""), "[Aviso] Ciclo de vida no capturado ()", IF(ISNA(MATCH(O957, Criterios!$D$123:$D$124, 0)), "Ciclo de vida no válido", ""))))</f>
        <v/>
      </c>
      <c r="AC957" s="56" t="n"/>
      <c r="AD957" s="51" t="n">
        <v>0</v>
      </c>
      <c r="AE957" s="156" t="n"/>
      <c r="AF957" s="51" t="n">
        <v>0</v>
      </c>
      <c r="AG957" s="156" t="inlineStr">
        <is>
          <t>Catálogo existente</t>
        </is>
      </c>
      <c r="AH957" s="156" t="inlineStr">
        <is>
          <t>Revisión 29/09/2026: Campos sin respaldo: U, X; Auditoría NetSuite 30/09/2026: llenado desde NetSuite [S] | 01/10/2026: complementado desde Shopify Stetson México (match por código de barras): WB Silueta</t>
        </is>
      </c>
      <c r="AI957" s="156" t="inlineStr">
        <is>
          <t>No</t>
        </is>
      </c>
      <c r="AJ957" s="156" t="n"/>
      <c r="AK957" s="155" t="inlineStr">
        <is>
          <t>Criterios: J [R]; G1522_Extraccion_Articulos_NetSuite_2026-09-30.xlsx: fila 58613 [S] | Shopify Stetson: producto 15051552915819 / variante 53350588809579</t>
        </is>
      </c>
      <c r="AL957" s="58" t="n">
        <v>678.8793103</v>
      </c>
      <c r="AM957" s="58" t="n">
        <v>1508.62069</v>
      </c>
      <c r="AN957" s="155" t="inlineStr">
        <is>
          <t>Shopify Stetson México</t>
        </is>
      </c>
      <c r="AO957" s="59" t="n">
        <v>3</v>
      </c>
      <c r="AP957" s="59" t="n"/>
      <c r="AQ957" s="59" t="n"/>
      <c r="AR957" s="155" t="inlineStr">
        <is>
          <t>Shopify Stetson México › Stetson Americas: 3</t>
        </is>
      </c>
    </row>
    <row r="958">
      <c r="A958" s="50" t="inlineStr">
        <is>
          <t>196070389692</t>
        </is>
      </c>
      <c r="B958" s="51" t="inlineStr">
        <is>
          <t>110799</t>
        </is>
      </c>
      <c r="C958" s="156" t="inlineStr">
        <is>
          <t>Multimarca</t>
        </is>
      </c>
      <c r="D958" s="156" t="inlineStr">
        <is>
          <t>11-097-0562-0924</t>
        </is>
      </c>
      <c r="E958" s="156" t="inlineStr">
        <is>
          <t>11-097-0562-0924-S</t>
        </is>
      </c>
      <c r="F958" s="156" t="inlineStr">
        <is>
          <t>S</t>
        </is>
      </c>
      <c r="G958" s="156" t="inlineStr">
        <is>
          <t>S</t>
        </is>
      </c>
      <c r="H958" s="156" t="inlineStr">
        <is>
          <t>Stetson</t>
        </is>
      </c>
      <c r="I958" s="156" t="inlineStr">
        <is>
          <t>Sudadera John B Stetson Tótem Águila Screen Print</t>
        </is>
      </c>
      <c r="J958" s="156" t="inlineStr">
        <is>
          <t>Ropa</t>
        </is>
      </c>
      <c r="K958" s="156" t="inlineStr">
        <is>
          <t>Sudaderas</t>
        </is>
      </c>
      <c r="L958" s="156" t="inlineStr">
        <is>
          <t>Hombre</t>
        </is>
      </c>
      <c r="M958" s="156" t="inlineStr">
        <is>
          <t>Stetson</t>
        </is>
      </c>
      <c r="N958" s="156" t="inlineStr">
        <is>
          <t>SS26</t>
        </is>
      </c>
      <c r="O958" s="156" t="inlineStr">
        <is>
          <t>Seasonal</t>
        </is>
      </c>
      <c r="P958" s="156" t="inlineStr">
        <is>
          <t>Verde</t>
        </is>
      </c>
      <c r="Q958" s="156" t="inlineStr">
        <is>
          <t>Regular</t>
        </is>
      </c>
      <c r="R958" s="156" t="n"/>
      <c r="S958" s="156" t="inlineStr">
        <is>
          <t>65% Algodón 35% Poliéster</t>
        </is>
      </c>
      <c r="T958" s="156" t="inlineStr">
        <is>
          <t>Sudadera John B Stetson Tótem Águila Screen Print Regular</t>
        </is>
      </c>
      <c r="U958" s="156" t="n"/>
      <c r="V958" s="156" t="inlineStr">
        <is>
          <t>PZS</t>
        </is>
      </c>
      <c r="W958" s="51" t="inlineStr">
        <is>
          <t>53101500</t>
        </is>
      </c>
      <c r="X958" s="156" t="n"/>
      <c r="Y958" s="54" t="n">
        <v>678.8793103</v>
      </c>
      <c r="Z958" s="54" t="n">
        <v>1508.62069</v>
      </c>
      <c r="AA958" s="55">
        <f>IF(AND(A958="", B958="", E958=""), "", IF(AB958="", "Válido", IF((LEN(AB958)-LEN(SUBSTITUTE(AB958,"; ","")))/2+1&gt;(LEN(AB958)-LEN(SUBSTITUTE(AB958,"[Aviso]","")))/7, "Con Incidencias", "Válido")))</f>
        <v/>
      </c>
      <c r="AB958" s="56">
        <f>IF(AND(A958="", B958="", E958=""), "", TEXTJOIN("; ", TRUE, IF(OR(TRIM(A958&amp;"")="", ISNUMBER(SEARCH("FALTA", A958))), "UPC faltante/inválido", ""), IF(AND(A958&lt;&gt;"", IFERROR(_xlfn.XMATCH(A958,$A$2:$A$2509,0,1)&lt;&gt;_xlfn.XMATCH(A958,$A$2:$A$2509,0,-1),FALSE)), "Código de barras duplicado", ""), IF(AND(E958&lt;&gt;"", COUNTIF($E$2:$E$2509, E958)&gt;1), "SKU duplicado", ""), IF(OR(J958="", J958=""), "[Aviso] División no capturada ()", IF(ISNA(MATCH(J958, Criterios!$A$123:$A$126, 0)), "División no válida", "")), IF(OR(K958="", K958=""), "[Aviso] Categoría no capturada ()", IF(ISNA(MATCH(K958, Criterios!$A$81:$A$120, 0)), "Categoría no válida", IF(AND(J958&lt;&gt;"", J958&lt;&gt;"", J958&lt;&gt;VLOOKUP(K958, Criterios!$A$81:$B$120, 2, FALSE)), "División no coincide con Categoría", ""))), IF(OR(L958="", L958=""), "[Aviso] Género no capturado ()", IF(ISNA(MATCH(L958, Criterios!$B$123:$B$127, 0)), "Género no válido", "")), IF(OR(N958="", N958=""), "[Aviso] Temporada no capturada ()", IF(ISNA(MATCH(N958, Criterios!$C$123:$C$128, 0)), "Temporada no válida", "")), IF(OR(O958="", O958=""), "[Aviso] Ciclo de vida no capturado ()", IF(ISNA(MATCH(O958, Criterios!$D$123:$D$124, 0)), "Ciclo de vida no válido", ""))))</f>
        <v/>
      </c>
      <c r="AC958" s="56" t="n"/>
      <c r="AD958" s="51" t="n">
        <v>0</v>
      </c>
      <c r="AE958" s="156" t="n"/>
      <c r="AF958" s="51" t="n">
        <v>0</v>
      </c>
      <c r="AG958" s="156" t="inlineStr">
        <is>
          <t>Catálogo existente</t>
        </is>
      </c>
      <c r="AH958" s="156" t="inlineStr">
        <is>
          <t>Revisión 29/09/2026: Campos sin respaldo: U, X; Auditoría NetSuite 30/09/2026: llenado desde NetSuite [S] | 01/10/2026: complementado desde Shopify Stetson México (match por código de barras): WB Silueta</t>
        </is>
      </c>
      <c r="AI958" s="156" t="inlineStr">
        <is>
          <t>No</t>
        </is>
      </c>
      <c r="AJ958" s="156" t="n"/>
      <c r="AK958" s="155" t="inlineStr">
        <is>
          <t>Criterios: J [R]; G1522_Extraccion_Articulos_NetSuite_2026-09-30.xlsx: fila 58614 [S] | Shopify Stetson: producto 15051552915819 / variante 53350588776811</t>
        </is>
      </c>
      <c r="AL958" s="58" t="n">
        <v>678.8793103</v>
      </c>
      <c r="AM958" s="58" t="n">
        <v>1508.62069</v>
      </c>
      <c r="AN958" s="155" t="inlineStr">
        <is>
          <t>Shopify Stetson México</t>
        </is>
      </c>
      <c r="AO958" s="59" t="n">
        <v>1</v>
      </c>
      <c r="AP958" s="59" t="n"/>
      <c r="AQ958" s="59" t="n"/>
      <c r="AR958" s="155" t="inlineStr">
        <is>
          <t>Shopify Stetson México › Stetson Americas: 1</t>
        </is>
      </c>
    </row>
    <row r="959">
      <c r="A959" s="50" t="inlineStr">
        <is>
          <t>196070389708</t>
        </is>
      </c>
      <c r="B959" s="51" t="inlineStr">
        <is>
          <t>110800</t>
        </is>
      </c>
      <c r="C959" s="156" t="inlineStr">
        <is>
          <t>Multimarca</t>
        </is>
      </c>
      <c r="D959" s="156" t="inlineStr">
        <is>
          <t>11-097-0562-0924</t>
        </is>
      </c>
      <c r="E959" s="156" t="inlineStr">
        <is>
          <t>11-097-0562-0924-XL</t>
        </is>
      </c>
      <c r="F959" s="156" t="inlineStr">
        <is>
          <t>XL</t>
        </is>
      </c>
      <c r="G959" s="156" t="inlineStr">
        <is>
          <t>XL</t>
        </is>
      </c>
      <c r="H959" s="156" t="inlineStr">
        <is>
          <t>Stetson</t>
        </is>
      </c>
      <c r="I959" s="156" t="inlineStr">
        <is>
          <t>Sudadera John B Stetson Tótem Águila Screen Print</t>
        </is>
      </c>
      <c r="J959" s="156" t="inlineStr">
        <is>
          <t>Ropa</t>
        </is>
      </c>
      <c r="K959" s="156" t="inlineStr">
        <is>
          <t>Sudaderas</t>
        </is>
      </c>
      <c r="L959" s="156" t="inlineStr">
        <is>
          <t>Hombre</t>
        </is>
      </c>
      <c r="M959" s="156" t="inlineStr">
        <is>
          <t>Stetson</t>
        </is>
      </c>
      <c r="N959" s="156" t="inlineStr">
        <is>
          <t>SS26</t>
        </is>
      </c>
      <c r="O959" s="156" t="inlineStr">
        <is>
          <t>Seasonal</t>
        </is>
      </c>
      <c r="P959" s="156" t="inlineStr">
        <is>
          <t>Verde</t>
        </is>
      </c>
      <c r="Q959" s="156" t="inlineStr">
        <is>
          <t>Regular</t>
        </is>
      </c>
      <c r="R959" s="156" t="n"/>
      <c r="S959" s="156" t="inlineStr">
        <is>
          <t>65% Algodón 35% Poliéster</t>
        </is>
      </c>
      <c r="T959" s="156" t="inlineStr">
        <is>
          <t>Sudadera John B Stetson Tótem Águila Screen Print Regular</t>
        </is>
      </c>
      <c r="U959" s="156" t="n"/>
      <c r="V959" s="156" t="inlineStr">
        <is>
          <t>PZS</t>
        </is>
      </c>
      <c r="W959" s="51" t="inlineStr">
        <is>
          <t>53101500</t>
        </is>
      </c>
      <c r="X959" s="156" t="n"/>
      <c r="Y959" s="54" t="n">
        <v>678.8793103</v>
      </c>
      <c r="Z959" s="54" t="n">
        <v>1508.62069</v>
      </c>
      <c r="AA959" s="55">
        <f>IF(AND(A959="", B959="", E959=""), "", IF(AB959="", "Válido", IF((LEN(AB959)-LEN(SUBSTITUTE(AB959,"; ","")))/2+1&gt;(LEN(AB959)-LEN(SUBSTITUTE(AB959,"[Aviso]","")))/7, "Con Incidencias", "Válido")))</f>
        <v/>
      </c>
      <c r="AB959" s="56">
        <f>IF(AND(A959="", B959="", E959=""), "", TEXTJOIN("; ", TRUE, IF(OR(TRIM(A959&amp;"")="", ISNUMBER(SEARCH("FALTA", A959))), "UPC faltante/inválido", ""), IF(AND(A959&lt;&gt;"", IFERROR(_xlfn.XMATCH(A959,$A$2:$A$2509,0,1)&lt;&gt;_xlfn.XMATCH(A959,$A$2:$A$2509,0,-1),FALSE)), "Código de barras duplicado", ""), IF(AND(E959&lt;&gt;"", COUNTIF($E$2:$E$2509, E959)&gt;1), "SKU duplicado", ""), IF(OR(J959="", J959=""), "[Aviso] División no capturada ()", IF(ISNA(MATCH(J959, Criterios!$A$123:$A$126, 0)), "División no válida", "")), IF(OR(K959="", K959=""), "[Aviso] Categoría no capturada ()", IF(ISNA(MATCH(K959, Criterios!$A$81:$A$120, 0)), "Categoría no válida", IF(AND(J959&lt;&gt;"", J959&lt;&gt;"", J959&lt;&gt;VLOOKUP(K959, Criterios!$A$81:$B$120, 2, FALSE)), "División no coincide con Categoría", ""))), IF(OR(L959="", L959=""), "[Aviso] Género no capturado ()", IF(ISNA(MATCH(L959, Criterios!$B$123:$B$127, 0)), "Género no válido", "")), IF(OR(N959="", N959=""), "[Aviso] Temporada no capturada ()", IF(ISNA(MATCH(N959, Criterios!$C$123:$C$128, 0)), "Temporada no válida", "")), IF(OR(O959="", O959=""), "[Aviso] Ciclo de vida no capturado ()", IF(ISNA(MATCH(O959, Criterios!$D$123:$D$124, 0)), "Ciclo de vida no válido", ""))))</f>
        <v/>
      </c>
      <c r="AC959" s="56" t="n"/>
      <c r="AD959" s="51" t="n">
        <v>0</v>
      </c>
      <c r="AE959" s="156" t="n"/>
      <c r="AF959" s="51" t="n">
        <v>0</v>
      </c>
      <c r="AG959" s="156" t="inlineStr">
        <is>
          <t>Catálogo existente</t>
        </is>
      </c>
      <c r="AH959" s="156" t="inlineStr">
        <is>
          <t>Revisión 29/09/2026: Campos sin respaldo: U, X; Auditoría NetSuite 30/09/2026: llenado desde NetSuite [S] | 01/10/2026: complementado desde Shopify Stetson México (match por código de barras): WB Silueta</t>
        </is>
      </c>
      <c r="AI959" s="156" t="inlineStr">
        <is>
          <t>No</t>
        </is>
      </c>
      <c r="AJ959" s="156" t="n"/>
      <c r="AK959" s="155" t="inlineStr">
        <is>
          <t>Criterios: J [R]; G1522_Extraccion_Articulos_NetSuite_2026-09-30.xlsx: fila 58615 [S] | Shopify Stetson: producto 15051552915819 / variante 53350588875115</t>
        </is>
      </c>
      <c r="AL959" s="58" t="n">
        <v>678.8793103</v>
      </c>
      <c r="AM959" s="58" t="n">
        <v>1508.62069</v>
      </c>
      <c r="AN959" s="155" t="inlineStr">
        <is>
          <t>Shopify Stetson México</t>
        </is>
      </c>
      <c r="AO959" s="59" t="n">
        <v>1</v>
      </c>
      <c r="AP959" s="59" t="n"/>
      <c r="AQ959" s="59" t="n"/>
      <c r="AR959" s="155" t="inlineStr">
        <is>
          <t>Shopify Stetson México › Stetson Americas: 1</t>
        </is>
      </c>
    </row>
    <row r="960">
      <c r="A960" s="50" t="inlineStr">
        <is>
          <t>196070464672</t>
        </is>
      </c>
      <c r="B960" s="51" t="inlineStr">
        <is>
          <t>110570</t>
        </is>
      </c>
      <c r="C960" s="156" t="inlineStr">
        <is>
          <t>Multimarca</t>
        </is>
      </c>
      <c r="D960" s="156" t="inlineStr">
        <is>
          <t>11-004-1015-6001</t>
        </is>
      </c>
      <c r="E960" s="156" t="inlineStr">
        <is>
          <t>11-004-1015-6001-28 32</t>
        </is>
      </c>
      <c r="F960" s="156" t="inlineStr">
        <is>
          <t>28 x 32</t>
        </is>
      </c>
      <c r="G960" s="156" t="inlineStr">
        <is>
          <t>28W / 32L</t>
        </is>
      </c>
      <c r="H960" s="156" t="inlineStr">
        <is>
          <t>Stetson</t>
        </is>
      </c>
      <c r="I960" s="156" t="inlineStr">
        <is>
          <t>Jean Bordado Doble V en Bolsa Trasera</t>
        </is>
      </c>
      <c r="J960" s="156" t="inlineStr">
        <is>
          <t>Denim</t>
        </is>
      </c>
      <c r="K960" s="156" t="inlineStr">
        <is>
          <t>Jeans</t>
        </is>
      </c>
      <c r="L960" s="156" t="inlineStr">
        <is>
          <t>Hombre</t>
        </is>
      </c>
      <c r="M960" s="156" t="inlineStr">
        <is>
          <t>Stetson</t>
        </is>
      </c>
      <c r="N960" s="156" t="inlineStr">
        <is>
          <t>SS26</t>
        </is>
      </c>
      <c r="O960" s="156" t="inlineStr">
        <is>
          <t>Seasonal</t>
        </is>
      </c>
      <c r="P960" s="156" t="inlineStr">
        <is>
          <t>Azul</t>
        </is>
      </c>
      <c r="Q960" s="156" t="inlineStr">
        <is>
          <t>Slim</t>
        </is>
      </c>
      <c r="R960" s="156" t="inlineStr">
        <is>
          <t>Recto</t>
        </is>
      </c>
      <c r="S960" s="156" t="inlineStr">
        <is>
          <t>100% Algodón</t>
        </is>
      </c>
      <c r="T960" s="156" t="inlineStr">
        <is>
          <t>Jean Bordado Doble V en Bolsa Trasera Fitted</t>
        </is>
      </c>
      <c r="U960" s="156" t="n"/>
      <c r="V960" s="156" t="inlineStr">
        <is>
          <t>PZS</t>
        </is>
      </c>
      <c r="W960" s="51" t="inlineStr">
        <is>
          <t>53101502</t>
        </is>
      </c>
      <c r="X960" s="156" t="n"/>
      <c r="Y960" s="54" t="n">
        <v>775.862069</v>
      </c>
      <c r="Z960" s="54" t="n">
        <v>1724.137931</v>
      </c>
      <c r="AA960" s="55">
        <f>IF(AND(A960="", B960="", E960=""), "", IF(AB960="", "Válido", IF((LEN(AB960)-LEN(SUBSTITUTE(AB960,"; ","")))/2+1&gt;(LEN(AB960)-LEN(SUBSTITUTE(AB960,"[Aviso]","")))/7, "Con Incidencias", "Válido")))</f>
        <v/>
      </c>
      <c r="AB960" s="56">
        <f>IF(AND(A960="", B960="", E960=""), "", TEXTJOIN("; ", TRUE, IF(OR(TRIM(A960&amp;"")="", ISNUMBER(SEARCH("FALTA", A960))), "UPC faltante/inválido", ""), IF(AND(A960&lt;&gt;"", IFERROR(_xlfn.XMATCH(A960,$A$2:$A$2509,0,1)&lt;&gt;_xlfn.XMATCH(A960,$A$2:$A$2509,0,-1),FALSE)), "Código de barras duplicado", ""), IF(AND(E960&lt;&gt;"", COUNTIF($E$2:$E$2509, E960)&gt;1), "SKU duplicado", ""), IF(OR(J960="", J960=""), "[Aviso] División no capturada ()", IF(ISNA(MATCH(J960, Criterios!$A$123:$A$126, 0)), "División no válida", "")), IF(OR(K960="", K960=""), "[Aviso] Categoría no capturada ()", IF(ISNA(MATCH(K960, Criterios!$A$81:$A$120, 0)), "Categoría no válida", IF(AND(J960&lt;&gt;"", J960&lt;&gt;"", J960&lt;&gt;VLOOKUP(K960, Criterios!$A$81:$B$120, 2, FALSE)), "División no coincide con Categoría", ""))), IF(OR(L960="", L960=""), "[Aviso] Género no capturado ()", IF(ISNA(MATCH(L960, Criterios!$B$123:$B$127, 0)), "Género no válido", "")), IF(OR(N960="", N960=""), "[Aviso] Temporada no capturada ()", IF(ISNA(MATCH(N960, Criterios!$C$123:$C$128, 0)), "Temporada no válida", "")), IF(OR(O960="", O960=""), "[Aviso] Ciclo de vida no capturado ()", IF(ISNA(MATCH(O960, Criterios!$D$123:$D$124, 0)), "Ciclo de vida no válido", ""))))</f>
        <v/>
      </c>
      <c r="AC960" s="56" t="n"/>
      <c r="AD960" s="51" t="n">
        <v>0</v>
      </c>
      <c r="AE960" s="156" t="n"/>
      <c r="AF960" s="51" t="n">
        <v>0</v>
      </c>
      <c r="AG960" s="156" t="inlineStr">
        <is>
          <t>Catálogo existente</t>
        </is>
      </c>
      <c r="AH960" s="156" t="n"/>
      <c r="AI960" s="156" t="inlineStr">
        <is>
          <t>No</t>
        </is>
      </c>
      <c r="AJ960" s="156" t="n"/>
      <c r="AK960" s="155" t="inlineStr">
        <is>
          <t>Shopify Stetson: producto 15051554324843 / variante 53342125949291 | Odoo: producto 29811 / plantilla 38515</t>
        </is>
      </c>
      <c r="AL960" s="58" t="n">
        <v>775.862069</v>
      </c>
      <c r="AM960" s="58" t="n">
        <v>1724.137931</v>
      </c>
      <c r="AN960" s="155" t="inlineStr">
        <is>
          <t>Shopify Stetson México | Odoo Universal Unique Brands</t>
        </is>
      </c>
      <c r="AO960" s="59" t="n">
        <v>4</v>
      </c>
      <c r="AP960" s="59" t="n"/>
      <c r="AQ960" s="59" t="n">
        <v>4</v>
      </c>
      <c r="AR960" s="155" t="inlineStr">
        <is>
          <t>Shopify Stetson México › Stetson Americas: 4 | Odoo Universal Unique Brands › Bodega 25 › Bodega 25/General: 4</t>
        </is>
      </c>
    </row>
    <row r="961">
      <c r="A961" s="50" t="inlineStr">
        <is>
          <t>196070464726</t>
        </is>
      </c>
      <c r="B961" s="51" t="inlineStr">
        <is>
          <t>110571</t>
        </is>
      </c>
      <c r="C961" s="156" t="inlineStr">
        <is>
          <t>Multimarca</t>
        </is>
      </c>
      <c r="D961" s="156" t="inlineStr">
        <is>
          <t>11-004-1015-6001</t>
        </is>
      </c>
      <c r="E961" s="156" t="inlineStr">
        <is>
          <t>11-004-1015-6001-29 32</t>
        </is>
      </c>
      <c r="F961" s="156" t="inlineStr">
        <is>
          <t>29 x 32</t>
        </is>
      </c>
      <c r="G961" s="156" t="inlineStr">
        <is>
          <t>29W / 32L</t>
        </is>
      </c>
      <c r="H961" s="156" t="inlineStr">
        <is>
          <t>Stetson</t>
        </is>
      </c>
      <c r="I961" s="156" t="inlineStr">
        <is>
          <t>Jean Bordado Doble V en Bolsa Trasera</t>
        </is>
      </c>
      <c r="J961" s="156" t="inlineStr">
        <is>
          <t>Denim</t>
        </is>
      </c>
      <c r="K961" s="156" t="inlineStr">
        <is>
          <t>Jeans</t>
        </is>
      </c>
      <c r="L961" s="156" t="inlineStr">
        <is>
          <t>Hombre</t>
        </is>
      </c>
      <c r="M961" s="156" t="inlineStr">
        <is>
          <t>Stetson</t>
        </is>
      </c>
      <c r="N961" s="156" t="inlineStr">
        <is>
          <t>SS26</t>
        </is>
      </c>
      <c r="O961" s="156" t="inlineStr">
        <is>
          <t>Seasonal</t>
        </is>
      </c>
      <c r="P961" s="156" t="inlineStr">
        <is>
          <t>Azul</t>
        </is>
      </c>
      <c r="Q961" s="156" t="inlineStr">
        <is>
          <t>Slim</t>
        </is>
      </c>
      <c r="R961" s="156" t="inlineStr">
        <is>
          <t>Recto</t>
        </is>
      </c>
      <c r="S961" s="156" t="inlineStr">
        <is>
          <t>100% Algodón</t>
        </is>
      </c>
      <c r="T961" s="156" t="inlineStr">
        <is>
          <t>Jean Bordado Doble V en Bolsa Trasera Fitted</t>
        </is>
      </c>
      <c r="U961" s="156" t="n"/>
      <c r="V961" s="156" t="inlineStr">
        <is>
          <t>PZS</t>
        </is>
      </c>
      <c r="W961" s="51" t="inlineStr">
        <is>
          <t>53101502</t>
        </is>
      </c>
      <c r="X961" s="156" t="n"/>
      <c r="Y961" s="54" t="n">
        <v>775.862069</v>
      </c>
      <c r="Z961" s="54" t="n">
        <v>1724.137931</v>
      </c>
      <c r="AA961" s="55">
        <f>IF(AND(A961="", B961="", E961=""), "", IF(AB961="", "Válido", IF((LEN(AB961)-LEN(SUBSTITUTE(AB961,"; ","")))/2+1&gt;(LEN(AB961)-LEN(SUBSTITUTE(AB961,"[Aviso]","")))/7, "Con Incidencias", "Válido")))</f>
        <v/>
      </c>
      <c r="AB961" s="56">
        <f>IF(AND(A961="", B961="", E961=""), "", TEXTJOIN("; ", TRUE, IF(OR(TRIM(A961&amp;"")="", ISNUMBER(SEARCH("FALTA", A961))), "UPC faltante/inválido", ""), IF(AND(A961&lt;&gt;"", IFERROR(_xlfn.XMATCH(A961,$A$2:$A$2509,0,1)&lt;&gt;_xlfn.XMATCH(A961,$A$2:$A$2509,0,-1),FALSE)), "Código de barras duplicado", ""), IF(AND(E961&lt;&gt;"", COUNTIF($E$2:$E$2509, E961)&gt;1), "SKU duplicado", ""), IF(OR(J961="", J961=""), "[Aviso] División no capturada ()", IF(ISNA(MATCH(J961, Criterios!$A$123:$A$126, 0)), "División no válida", "")), IF(OR(K961="", K961=""), "[Aviso] Categoría no capturada ()", IF(ISNA(MATCH(K961, Criterios!$A$81:$A$120, 0)), "Categoría no válida", IF(AND(J961&lt;&gt;"", J961&lt;&gt;"", J961&lt;&gt;VLOOKUP(K961, Criterios!$A$81:$B$120, 2, FALSE)), "División no coincide con Categoría", ""))), IF(OR(L961="", L961=""), "[Aviso] Género no capturado ()", IF(ISNA(MATCH(L961, Criterios!$B$123:$B$127, 0)), "Género no válido", "")), IF(OR(N961="", N961=""), "[Aviso] Temporada no capturada ()", IF(ISNA(MATCH(N961, Criterios!$C$123:$C$128, 0)), "Temporada no válida", "")), IF(OR(O961="", O961=""), "[Aviso] Ciclo de vida no capturado ()", IF(ISNA(MATCH(O961, Criterios!$D$123:$D$124, 0)), "Ciclo de vida no válido", ""))))</f>
        <v/>
      </c>
      <c r="AC961" s="56" t="n"/>
      <c r="AD961" s="51" t="n">
        <v>-1</v>
      </c>
      <c r="AE961" s="156" t="n"/>
      <c r="AF961" s="51" t="n">
        <v>0</v>
      </c>
      <c r="AG961" s="156" t="inlineStr">
        <is>
          <t>Catálogo existente</t>
        </is>
      </c>
      <c r="AH961" s="156" t="inlineStr">
        <is>
          <t>Stock negativo en sistema: revisar en conteo</t>
        </is>
      </c>
      <c r="AI961" s="156" t="inlineStr">
        <is>
          <t>Sí</t>
        </is>
      </c>
      <c r="AJ961" s="156" t="inlineStr">
        <is>
          <t>STETSON AMERICAS (-1)</t>
        </is>
      </c>
      <c r="AK961" s="155" t="inlineStr">
        <is>
          <t>Shopify Stetson: producto 15051554324843 / variante 53342125982059 | Odoo: producto 29812 / plantilla 38516</t>
        </is>
      </c>
      <c r="AL961" s="58" t="n">
        <v>775.862069</v>
      </c>
      <c r="AM961" s="58" t="n">
        <v>1724.137931</v>
      </c>
      <c r="AN961" s="155" t="inlineStr">
        <is>
          <t>Shopify Stetson México | Odoo Universal Unique Brands</t>
        </is>
      </c>
      <c r="AO961" s="59" t="n">
        <v>7</v>
      </c>
      <c r="AP961" s="59" t="n"/>
      <c r="AQ961" s="59" t="n">
        <v>8</v>
      </c>
      <c r="AR961" s="155" t="inlineStr">
        <is>
          <t>Shopify Stetson México › Stetson Americas: 7 | Odoo Universal Unique Brands › Bodega 25 › Bodega 25/General: 8</t>
        </is>
      </c>
    </row>
    <row r="962">
      <c r="A962" s="50" t="inlineStr">
        <is>
          <t>196070464771</t>
        </is>
      </c>
      <c r="B962" s="51" t="inlineStr">
        <is>
          <t>110572</t>
        </is>
      </c>
      <c r="C962" s="156" t="inlineStr">
        <is>
          <t>Multimarca</t>
        </is>
      </c>
      <c r="D962" s="156" t="inlineStr">
        <is>
          <t>11-004-1015-6001</t>
        </is>
      </c>
      <c r="E962" s="156" t="inlineStr">
        <is>
          <t>11-004-1015-6001-30 32</t>
        </is>
      </c>
      <c r="F962" s="156" t="inlineStr">
        <is>
          <t>30 x 32</t>
        </is>
      </c>
      <c r="G962" s="156" t="inlineStr">
        <is>
          <t>30W / 32L</t>
        </is>
      </c>
      <c r="H962" s="156" t="inlineStr">
        <is>
          <t>Stetson</t>
        </is>
      </c>
      <c r="I962" s="156" t="inlineStr">
        <is>
          <t>Jean Bordado Doble V en Bolsa Trasera</t>
        </is>
      </c>
      <c r="J962" s="156" t="inlineStr">
        <is>
          <t>Denim</t>
        </is>
      </c>
      <c r="K962" s="156" t="inlineStr">
        <is>
          <t>Jeans</t>
        </is>
      </c>
      <c r="L962" s="156" t="inlineStr">
        <is>
          <t>Hombre</t>
        </is>
      </c>
      <c r="M962" s="156" t="inlineStr">
        <is>
          <t>Stetson</t>
        </is>
      </c>
      <c r="N962" s="156" t="inlineStr">
        <is>
          <t>SS26</t>
        </is>
      </c>
      <c r="O962" s="156" t="inlineStr">
        <is>
          <t>Seasonal</t>
        </is>
      </c>
      <c r="P962" s="156" t="inlineStr">
        <is>
          <t>Azul</t>
        </is>
      </c>
      <c r="Q962" s="156" t="inlineStr">
        <is>
          <t>Slim</t>
        </is>
      </c>
      <c r="R962" s="156" t="inlineStr">
        <is>
          <t>Recto</t>
        </is>
      </c>
      <c r="S962" s="156" t="inlineStr">
        <is>
          <t>100% Algodón</t>
        </is>
      </c>
      <c r="T962" s="156" t="inlineStr">
        <is>
          <t>Jean Bordado Doble V en Bolsa Trasera Fitted</t>
        </is>
      </c>
      <c r="U962" s="156" t="n"/>
      <c r="V962" s="156" t="inlineStr">
        <is>
          <t>PZS</t>
        </is>
      </c>
      <c r="W962" s="51" t="inlineStr">
        <is>
          <t>53101502</t>
        </is>
      </c>
      <c r="X962" s="156" t="n"/>
      <c r="Y962" s="54" t="n">
        <v>775.862069</v>
      </c>
      <c r="Z962" s="54" t="n">
        <v>1724.137931</v>
      </c>
      <c r="AA962" s="55">
        <f>IF(AND(A962="", B962="", E962=""), "", IF(AB962="", "Válido", IF((LEN(AB962)-LEN(SUBSTITUTE(AB962,"; ","")))/2+1&gt;(LEN(AB962)-LEN(SUBSTITUTE(AB962,"[Aviso]","")))/7, "Con Incidencias", "Válido")))</f>
        <v/>
      </c>
      <c r="AB962" s="56">
        <f>IF(AND(A962="", B962="", E962=""), "", TEXTJOIN("; ", TRUE, IF(OR(TRIM(A962&amp;"")="", ISNUMBER(SEARCH("FALTA", A962))), "UPC faltante/inválido", ""), IF(AND(A962&lt;&gt;"", IFERROR(_xlfn.XMATCH(A962,$A$2:$A$2509,0,1)&lt;&gt;_xlfn.XMATCH(A962,$A$2:$A$2509,0,-1),FALSE)), "Código de barras duplicado", ""), IF(AND(E962&lt;&gt;"", COUNTIF($E$2:$E$2509, E962)&gt;1), "SKU duplicado", ""), IF(OR(J962="", J962=""), "[Aviso] División no capturada ()", IF(ISNA(MATCH(J962, Criterios!$A$123:$A$126, 0)), "División no válida", "")), IF(OR(K962="", K962=""), "[Aviso] Categoría no capturada ()", IF(ISNA(MATCH(K962, Criterios!$A$81:$A$120, 0)), "Categoría no válida", IF(AND(J962&lt;&gt;"", J962&lt;&gt;"", J962&lt;&gt;VLOOKUP(K962, Criterios!$A$81:$B$120, 2, FALSE)), "División no coincide con Categoría", ""))), IF(OR(L962="", L962=""), "[Aviso] Género no capturado ()", IF(ISNA(MATCH(L962, Criterios!$B$123:$B$127, 0)), "Género no válido", "")), IF(OR(N962="", N962=""), "[Aviso] Temporada no capturada ()", IF(ISNA(MATCH(N962, Criterios!$C$123:$C$128, 0)), "Temporada no válida", "")), IF(OR(O962="", O962=""), "[Aviso] Ciclo de vida no capturado ()", IF(ISNA(MATCH(O962, Criterios!$D$123:$D$124, 0)), "Ciclo de vida no válido", ""))))</f>
        <v/>
      </c>
      <c r="AC962" s="56" t="n"/>
      <c r="AD962" s="51" t="n">
        <v>-4</v>
      </c>
      <c r="AE962" s="156" t="n"/>
      <c r="AF962" s="51" t="n">
        <v>0</v>
      </c>
      <c r="AG962" s="156" t="inlineStr">
        <is>
          <t>Catálogo existente</t>
        </is>
      </c>
      <c r="AH962" s="156" t="inlineStr">
        <is>
          <t>Stock negativo en sistema: revisar en conteo</t>
        </is>
      </c>
      <c r="AI962" s="156" t="inlineStr">
        <is>
          <t>Sí</t>
        </is>
      </c>
      <c r="AJ962" s="156" t="inlineStr">
        <is>
          <t>STETSON AMERICAS (-4)</t>
        </is>
      </c>
      <c r="AK962" s="155" t="inlineStr">
        <is>
          <t>Shopify Stetson: producto 15051554324843 / variante 53342126014827 | Odoo: producto 29813 / plantilla 38517</t>
        </is>
      </c>
      <c r="AL962" s="58" t="n">
        <v>775.862069</v>
      </c>
      <c r="AM962" s="58" t="n">
        <v>1724.137931</v>
      </c>
      <c r="AN962" s="155" t="inlineStr">
        <is>
          <t>Shopify Stetson México | Odoo Universal Unique Brands</t>
        </is>
      </c>
      <c r="AO962" s="59" t="n">
        <v>3</v>
      </c>
      <c r="AP962" s="59" t="n"/>
      <c r="AQ962" s="59" t="n">
        <v>7</v>
      </c>
      <c r="AR962" s="155" t="inlineStr">
        <is>
          <t>Shopify Stetson México › Stetson Americas: 3 | Odoo Universal Unique Brands › Bodega 25 › Bodega 25/General: 7</t>
        </is>
      </c>
    </row>
    <row r="963">
      <c r="A963" s="50" t="inlineStr">
        <is>
          <t>196070464825</t>
        </is>
      </c>
      <c r="B963" s="51" t="inlineStr">
        <is>
          <t>110573</t>
        </is>
      </c>
      <c r="C963" s="156" t="inlineStr">
        <is>
          <t>Multimarca</t>
        </is>
      </c>
      <c r="D963" s="156" t="inlineStr">
        <is>
          <t>11-004-1015-6001</t>
        </is>
      </c>
      <c r="E963" s="156" t="inlineStr">
        <is>
          <t>11-004-1015-6001-31 32</t>
        </is>
      </c>
      <c r="F963" s="156" t="inlineStr">
        <is>
          <t>31 x 32</t>
        </is>
      </c>
      <c r="G963" s="156" t="inlineStr">
        <is>
          <t>31W / 32L</t>
        </is>
      </c>
      <c r="H963" s="156" t="inlineStr">
        <is>
          <t>Stetson</t>
        </is>
      </c>
      <c r="I963" s="156" t="inlineStr">
        <is>
          <t>Jean Bordado Doble V en Bolsa Trasera</t>
        </is>
      </c>
      <c r="J963" s="156" t="inlineStr">
        <is>
          <t>Denim</t>
        </is>
      </c>
      <c r="K963" s="156" t="inlineStr">
        <is>
          <t>Jeans</t>
        </is>
      </c>
      <c r="L963" s="156" t="inlineStr">
        <is>
          <t>Hombre</t>
        </is>
      </c>
      <c r="M963" s="156" t="inlineStr">
        <is>
          <t>Stetson</t>
        </is>
      </c>
      <c r="N963" s="156" t="inlineStr">
        <is>
          <t>SS26</t>
        </is>
      </c>
      <c r="O963" s="156" t="inlineStr">
        <is>
          <t>Seasonal</t>
        </is>
      </c>
      <c r="P963" s="156" t="inlineStr">
        <is>
          <t>Azul</t>
        </is>
      </c>
      <c r="Q963" s="156" t="inlineStr">
        <is>
          <t>Slim</t>
        </is>
      </c>
      <c r="R963" s="156" t="inlineStr">
        <is>
          <t>Recto</t>
        </is>
      </c>
      <c r="S963" s="156" t="inlineStr">
        <is>
          <t>100% Algodón</t>
        </is>
      </c>
      <c r="T963" s="156" t="inlineStr">
        <is>
          <t>Jean Bordado Doble V en Bolsa Trasera Fitted</t>
        </is>
      </c>
      <c r="U963" s="156" t="n"/>
      <c r="V963" s="156" t="inlineStr">
        <is>
          <t>PZS</t>
        </is>
      </c>
      <c r="W963" s="51" t="inlineStr">
        <is>
          <t>53101502</t>
        </is>
      </c>
      <c r="X963" s="156" t="n"/>
      <c r="Y963" s="54" t="n">
        <v>775.862069</v>
      </c>
      <c r="Z963" s="54" t="n">
        <v>1724.137931</v>
      </c>
      <c r="AA963" s="55">
        <f>IF(AND(A963="", B963="", E963=""), "", IF(AB963="", "Válido", IF((LEN(AB963)-LEN(SUBSTITUTE(AB963,"; ","")))/2+1&gt;(LEN(AB963)-LEN(SUBSTITUTE(AB963,"[Aviso]","")))/7, "Con Incidencias", "Válido")))</f>
        <v/>
      </c>
      <c r="AB963" s="56">
        <f>IF(AND(A963="", B963="", E963=""), "", TEXTJOIN("; ", TRUE, IF(OR(TRIM(A963&amp;"")="", ISNUMBER(SEARCH("FALTA", A963))), "UPC faltante/inválido", ""), IF(AND(A963&lt;&gt;"", IFERROR(_xlfn.XMATCH(A963,$A$2:$A$2509,0,1)&lt;&gt;_xlfn.XMATCH(A963,$A$2:$A$2509,0,-1),FALSE)), "Código de barras duplicado", ""), IF(AND(E963&lt;&gt;"", COUNTIF($E$2:$E$2509, E963)&gt;1), "SKU duplicado", ""), IF(OR(J963="", J963=""), "[Aviso] División no capturada ()", IF(ISNA(MATCH(J963, Criterios!$A$123:$A$126, 0)), "División no válida", "")), IF(OR(K963="", K963=""), "[Aviso] Categoría no capturada ()", IF(ISNA(MATCH(K963, Criterios!$A$81:$A$120, 0)), "Categoría no válida", IF(AND(J963&lt;&gt;"", J963&lt;&gt;"", J963&lt;&gt;VLOOKUP(K963, Criterios!$A$81:$B$120, 2, FALSE)), "División no coincide con Categoría", ""))), IF(OR(L963="", L963=""), "[Aviso] Género no capturado ()", IF(ISNA(MATCH(L963, Criterios!$B$123:$B$127, 0)), "Género no válido", "")), IF(OR(N963="", N963=""), "[Aviso] Temporada no capturada ()", IF(ISNA(MATCH(N963, Criterios!$C$123:$C$128, 0)), "Temporada no válida", "")), IF(OR(O963="", O963=""), "[Aviso] Ciclo de vida no capturado ()", IF(ISNA(MATCH(O963, Criterios!$D$123:$D$124, 0)), "Ciclo de vida no válido", ""))))</f>
        <v/>
      </c>
      <c r="AC963" s="56" t="n"/>
      <c r="AD963" s="51" t="n">
        <v>-2</v>
      </c>
      <c r="AE963" s="156" t="n"/>
      <c r="AF963" s="51" t="n">
        <v>0</v>
      </c>
      <c r="AG963" s="156" t="inlineStr">
        <is>
          <t>Catálogo existente</t>
        </is>
      </c>
      <c r="AH963" s="156" t="inlineStr">
        <is>
          <t>Stock negativo en sistema: revisar en conteo</t>
        </is>
      </c>
      <c r="AI963" s="156" t="inlineStr">
        <is>
          <t>Sí</t>
        </is>
      </c>
      <c r="AJ963" s="156" t="inlineStr">
        <is>
          <t>STETSON AMERICAS (-2)</t>
        </is>
      </c>
      <c r="AK963" s="155" t="inlineStr">
        <is>
          <t>Shopify Stetson: producto 15051554324843 / variante 53342126047595 | Odoo: producto 29814 / plantilla 38518</t>
        </is>
      </c>
      <c r="AL963" s="58" t="n">
        <v>775.862069</v>
      </c>
      <c r="AM963" s="58" t="n">
        <v>1724.137931</v>
      </c>
      <c r="AN963" s="155" t="inlineStr">
        <is>
          <t>Shopify Stetson México | Odoo Universal Unique Brands</t>
        </is>
      </c>
      <c r="AO963" s="59" t="n">
        <v>6</v>
      </c>
      <c r="AP963" s="59" t="n"/>
      <c r="AQ963" s="59" t="n">
        <v>8</v>
      </c>
      <c r="AR963" s="155" t="inlineStr">
        <is>
          <t>Shopify Stetson México › Stetson Americas: 6 | Odoo Universal Unique Brands › Bodega 25 › Bodega 25/General: 8</t>
        </is>
      </c>
    </row>
    <row r="964">
      <c r="A964" s="50" t="inlineStr">
        <is>
          <t>196070464870</t>
        </is>
      </c>
      <c r="B964" s="51" t="inlineStr">
        <is>
          <t>110574</t>
        </is>
      </c>
      <c r="C964" s="156" t="inlineStr">
        <is>
          <t>Multimarca</t>
        </is>
      </c>
      <c r="D964" s="156" t="inlineStr">
        <is>
          <t>11-004-1015-6001</t>
        </is>
      </c>
      <c r="E964" s="156" t="inlineStr">
        <is>
          <t>11-004-1015-6001-32 32</t>
        </is>
      </c>
      <c r="F964" s="156" t="inlineStr">
        <is>
          <t>32 x 32</t>
        </is>
      </c>
      <c r="G964" s="156" t="inlineStr">
        <is>
          <t>32W / 32L</t>
        </is>
      </c>
      <c r="H964" s="156" t="inlineStr">
        <is>
          <t>Stetson</t>
        </is>
      </c>
      <c r="I964" s="156" t="inlineStr">
        <is>
          <t>Jean Bordado Doble V en Bolsa Trasera</t>
        </is>
      </c>
      <c r="J964" s="156" t="inlineStr">
        <is>
          <t>Denim</t>
        </is>
      </c>
      <c r="K964" s="156" t="inlineStr">
        <is>
          <t>Jeans</t>
        </is>
      </c>
      <c r="L964" s="156" t="inlineStr">
        <is>
          <t>Hombre</t>
        </is>
      </c>
      <c r="M964" s="156" t="inlineStr">
        <is>
          <t>Stetson</t>
        </is>
      </c>
      <c r="N964" s="156" t="inlineStr">
        <is>
          <t>SS26</t>
        </is>
      </c>
      <c r="O964" s="156" t="inlineStr">
        <is>
          <t>Seasonal</t>
        </is>
      </c>
      <c r="P964" s="156" t="inlineStr">
        <is>
          <t>Azul</t>
        </is>
      </c>
      <c r="Q964" s="156" t="inlineStr">
        <is>
          <t>Slim</t>
        </is>
      </c>
      <c r="R964" s="156" t="inlineStr">
        <is>
          <t>Recto</t>
        </is>
      </c>
      <c r="S964" s="156" t="inlineStr">
        <is>
          <t>100% Algodón</t>
        </is>
      </c>
      <c r="T964" s="156" t="inlineStr">
        <is>
          <t>Jean Bordado Doble V en Bolsa Trasera Fitted</t>
        </is>
      </c>
      <c r="U964" s="156" t="n"/>
      <c r="V964" s="156" t="inlineStr">
        <is>
          <t>PZS</t>
        </is>
      </c>
      <c r="W964" s="51" t="inlineStr">
        <is>
          <t>53101502</t>
        </is>
      </c>
      <c r="X964" s="156" t="n"/>
      <c r="Y964" s="54" t="n">
        <v>775.862069</v>
      </c>
      <c r="Z964" s="54" t="n">
        <v>1724.137931</v>
      </c>
      <c r="AA964" s="55">
        <f>IF(AND(A964="", B964="", E964=""), "", IF(AB964="", "Válido", IF((LEN(AB964)-LEN(SUBSTITUTE(AB964,"; ","")))/2+1&gt;(LEN(AB964)-LEN(SUBSTITUTE(AB964,"[Aviso]","")))/7, "Con Incidencias", "Válido")))</f>
        <v/>
      </c>
      <c r="AB964" s="56">
        <f>IF(AND(A964="", B964="", E964=""), "", TEXTJOIN("; ", TRUE, IF(OR(TRIM(A964&amp;"")="", ISNUMBER(SEARCH("FALTA", A964))), "UPC faltante/inválido", ""), IF(AND(A964&lt;&gt;"", IFERROR(_xlfn.XMATCH(A964,$A$2:$A$2509,0,1)&lt;&gt;_xlfn.XMATCH(A964,$A$2:$A$2509,0,-1),FALSE)), "Código de barras duplicado", ""), IF(AND(E964&lt;&gt;"", COUNTIF($E$2:$E$2509, E964)&gt;1), "SKU duplicado", ""), IF(OR(J964="", J964=""), "[Aviso] División no capturada ()", IF(ISNA(MATCH(J964, Criterios!$A$123:$A$126, 0)), "División no válida", "")), IF(OR(K964="", K964=""), "[Aviso] Categoría no capturada ()", IF(ISNA(MATCH(K964, Criterios!$A$81:$A$120, 0)), "Categoría no válida", IF(AND(J964&lt;&gt;"", J964&lt;&gt;"", J964&lt;&gt;VLOOKUP(K964, Criterios!$A$81:$B$120, 2, FALSE)), "División no coincide con Categoría", ""))), IF(OR(L964="", L964=""), "[Aviso] Género no capturado ()", IF(ISNA(MATCH(L964, Criterios!$B$123:$B$127, 0)), "Género no válido", "")), IF(OR(N964="", N964=""), "[Aviso] Temporada no capturada ()", IF(ISNA(MATCH(N964, Criterios!$C$123:$C$128, 0)), "Temporada no válida", "")), IF(OR(O964="", O964=""), "[Aviso] Ciclo de vida no capturado ()", IF(ISNA(MATCH(O964, Criterios!$D$123:$D$124, 0)), "Ciclo de vida no válido", ""))))</f>
        <v/>
      </c>
      <c r="AC964" s="56" t="n"/>
      <c r="AD964" s="51" t="n">
        <v>-2</v>
      </c>
      <c r="AE964" s="156" t="n"/>
      <c r="AF964" s="51" t="n">
        <v>0</v>
      </c>
      <c r="AG964" s="156" t="inlineStr">
        <is>
          <t>Catálogo existente</t>
        </is>
      </c>
      <c r="AH964" s="156" t="inlineStr">
        <is>
          <t>Stock negativo en sistema: revisar en conteo</t>
        </is>
      </c>
      <c r="AI964" s="156" t="inlineStr">
        <is>
          <t>Sí</t>
        </is>
      </c>
      <c r="AJ964" s="156" t="inlineStr">
        <is>
          <t>STETSON AMERICAS (-2)</t>
        </is>
      </c>
      <c r="AK964" s="155" t="inlineStr">
        <is>
          <t>Shopify Stetson: producto 15051554324843 / variante 53342126080363 | Odoo: producto 29815 / plantilla 38519</t>
        </is>
      </c>
      <c r="AL964" s="58" t="n">
        <v>775.862069</v>
      </c>
      <c r="AM964" s="58" t="n">
        <v>1724.137931</v>
      </c>
      <c r="AN964" s="155" t="inlineStr">
        <is>
          <t>Shopify Stetson México | Odoo Universal Unique Brands</t>
        </is>
      </c>
      <c r="AO964" s="59" t="n">
        <v>0</v>
      </c>
      <c r="AP964" s="59" t="n"/>
      <c r="AQ964" s="59" t="n">
        <v>2</v>
      </c>
      <c r="AR964" s="155" t="inlineStr">
        <is>
          <t>Odoo Universal Unique Brands › Bodega 25 › Bodega 25/General: 2</t>
        </is>
      </c>
    </row>
    <row r="965">
      <c r="A965" s="50" t="inlineStr">
        <is>
          <t>196070464887</t>
        </is>
      </c>
      <c r="B965" s="51" t="inlineStr">
        <is>
          <t>110575</t>
        </is>
      </c>
      <c r="C965" s="156" t="inlineStr">
        <is>
          <t>Multimarca</t>
        </is>
      </c>
      <c r="D965" s="156" t="inlineStr">
        <is>
          <t>11-004-1015-6001</t>
        </is>
      </c>
      <c r="E965" s="156" t="inlineStr">
        <is>
          <t>11-004-1015-6001-32 34</t>
        </is>
      </c>
      <c r="F965" s="156" t="inlineStr">
        <is>
          <t>32 x 34</t>
        </is>
      </c>
      <c r="G965" s="156" t="inlineStr">
        <is>
          <t>32W / 34L</t>
        </is>
      </c>
      <c r="H965" s="156" t="inlineStr">
        <is>
          <t>Stetson</t>
        </is>
      </c>
      <c r="I965" s="156" t="inlineStr">
        <is>
          <t>Jean Bordado Doble V en Bolsa Trasera</t>
        </is>
      </c>
      <c r="J965" s="156" t="inlineStr">
        <is>
          <t>Denim</t>
        </is>
      </c>
      <c r="K965" s="156" t="inlineStr">
        <is>
          <t>Jeans</t>
        </is>
      </c>
      <c r="L965" s="156" t="inlineStr">
        <is>
          <t>Hombre</t>
        </is>
      </c>
      <c r="M965" s="156" t="inlineStr">
        <is>
          <t>Stetson</t>
        </is>
      </c>
      <c r="N965" s="156" t="inlineStr">
        <is>
          <t>SS26</t>
        </is>
      </c>
      <c r="O965" s="156" t="inlineStr">
        <is>
          <t>Seasonal</t>
        </is>
      </c>
      <c r="P965" s="156" t="inlineStr">
        <is>
          <t>Azul</t>
        </is>
      </c>
      <c r="Q965" s="156" t="inlineStr">
        <is>
          <t>Slim</t>
        </is>
      </c>
      <c r="R965" s="156" t="inlineStr">
        <is>
          <t>Recto</t>
        </is>
      </c>
      <c r="S965" s="156" t="inlineStr">
        <is>
          <t>100% Algodón</t>
        </is>
      </c>
      <c r="T965" s="156" t="inlineStr">
        <is>
          <t>Jean Bordado Doble V en Bolsa Trasera Fitted</t>
        </is>
      </c>
      <c r="U965" s="156" t="n"/>
      <c r="V965" s="156" t="inlineStr">
        <is>
          <t>PZS</t>
        </is>
      </c>
      <c r="W965" s="51" t="inlineStr">
        <is>
          <t>53101502</t>
        </is>
      </c>
      <c r="X965" s="156" t="n"/>
      <c r="Y965" s="54" t="n">
        <v>775.862069</v>
      </c>
      <c r="Z965" s="54" t="n">
        <v>1724.137931</v>
      </c>
      <c r="AA965" s="55">
        <f>IF(AND(A965="", B965="", E965=""), "", IF(AB965="", "Válido", IF((LEN(AB965)-LEN(SUBSTITUTE(AB965,"; ","")))/2+1&gt;(LEN(AB965)-LEN(SUBSTITUTE(AB965,"[Aviso]","")))/7, "Con Incidencias", "Válido")))</f>
        <v/>
      </c>
      <c r="AB965" s="56">
        <f>IF(AND(A965="", B965="", E965=""), "", TEXTJOIN("; ", TRUE, IF(OR(TRIM(A965&amp;"")="", ISNUMBER(SEARCH("FALTA", A965))), "UPC faltante/inválido", ""), IF(AND(A965&lt;&gt;"", IFERROR(_xlfn.XMATCH(A965,$A$2:$A$2509,0,1)&lt;&gt;_xlfn.XMATCH(A965,$A$2:$A$2509,0,-1),FALSE)), "Código de barras duplicado", ""), IF(AND(E965&lt;&gt;"", COUNTIF($E$2:$E$2509, E965)&gt;1), "SKU duplicado", ""), IF(OR(J965="", J965=""), "[Aviso] División no capturada ()", IF(ISNA(MATCH(J965, Criterios!$A$123:$A$126, 0)), "División no válida", "")), IF(OR(K965="", K965=""), "[Aviso] Categoría no capturada ()", IF(ISNA(MATCH(K965, Criterios!$A$81:$A$120, 0)), "Categoría no válida", IF(AND(J965&lt;&gt;"", J965&lt;&gt;"", J965&lt;&gt;VLOOKUP(K965, Criterios!$A$81:$B$120, 2, FALSE)), "División no coincide con Categoría", ""))), IF(OR(L965="", L965=""), "[Aviso] Género no capturado ()", IF(ISNA(MATCH(L965, Criterios!$B$123:$B$127, 0)), "Género no válido", "")), IF(OR(N965="", N965=""), "[Aviso] Temporada no capturada ()", IF(ISNA(MATCH(N965, Criterios!$C$123:$C$128, 0)), "Temporada no válida", "")), IF(OR(O965="", O965=""), "[Aviso] Ciclo de vida no capturado ()", IF(ISNA(MATCH(O965, Criterios!$D$123:$D$124, 0)), "Ciclo de vida no válido", ""))))</f>
        <v/>
      </c>
      <c r="AC965" s="56" t="n"/>
      <c r="AD965" s="51" t="n">
        <v>-2</v>
      </c>
      <c r="AE965" s="156" t="n"/>
      <c r="AF965" s="51" t="n">
        <v>0</v>
      </c>
      <c r="AG965" s="156" t="inlineStr">
        <is>
          <t>Catálogo existente</t>
        </is>
      </c>
      <c r="AH965" s="156" t="inlineStr">
        <is>
          <t>Stock negativo en sistema: revisar en conteo</t>
        </is>
      </c>
      <c r="AI965" s="156" t="inlineStr">
        <is>
          <t>Sí</t>
        </is>
      </c>
      <c r="AJ965" s="156" t="inlineStr">
        <is>
          <t>STETSON AMERICAS (-2)</t>
        </is>
      </c>
      <c r="AK965" s="155" t="inlineStr">
        <is>
          <t>Shopify Stetson: producto 15051554324843 / variante 53342126113131 | Odoo: producto 29816 / plantilla 38520</t>
        </is>
      </c>
      <c r="AL965" s="58" t="n">
        <v>775.862069</v>
      </c>
      <c r="AM965" s="58" t="n">
        <v>1724.137931</v>
      </c>
      <c r="AN965" s="155" t="inlineStr">
        <is>
          <t>Shopify Stetson México | Odoo Universal Unique Brands</t>
        </is>
      </c>
      <c r="AO965" s="59" t="n">
        <v>2</v>
      </c>
      <c r="AP965" s="59" t="n"/>
      <c r="AQ965" s="59" t="n">
        <v>4</v>
      </c>
      <c r="AR965" s="155" t="inlineStr">
        <is>
          <t>Shopify Stetson México › Stetson Americas: 2 | Odoo Universal Unique Brands › Bodega 25 › Bodega 25/General: 4</t>
        </is>
      </c>
    </row>
    <row r="966">
      <c r="A966" s="50" t="inlineStr">
        <is>
          <t>196070464924</t>
        </is>
      </c>
      <c r="B966" s="51" t="inlineStr">
        <is>
          <t>110576</t>
        </is>
      </c>
      <c r="C966" s="156" t="inlineStr">
        <is>
          <t>Multimarca</t>
        </is>
      </c>
      <c r="D966" s="156" t="inlineStr">
        <is>
          <t>11-004-1015-6001</t>
        </is>
      </c>
      <c r="E966" s="156" t="inlineStr">
        <is>
          <t>11-004-1015-6001-33 32</t>
        </is>
      </c>
      <c r="F966" s="156" t="inlineStr">
        <is>
          <t>33 x 32</t>
        </is>
      </c>
      <c r="G966" s="156" t="inlineStr">
        <is>
          <t>33W / 32L</t>
        </is>
      </c>
      <c r="H966" s="156" t="inlineStr">
        <is>
          <t>Stetson</t>
        </is>
      </c>
      <c r="I966" s="156" t="inlineStr">
        <is>
          <t>Jean Bordado Doble V en Bolsa Trasera</t>
        </is>
      </c>
      <c r="J966" s="156" t="inlineStr">
        <is>
          <t>Denim</t>
        </is>
      </c>
      <c r="K966" s="156" t="inlineStr">
        <is>
          <t>Jeans</t>
        </is>
      </c>
      <c r="L966" s="156" t="inlineStr">
        <is>
          <t>Hombre</t>
        </is>
      </c>
      <c r="M966" s="156" t="inlineStr">
        <is>
          <t>Stetson</t>
        </is>
      </c>
      <c r="N966" s="156" t="inlineStr">
        <is>
          <t>SS26</t>
        </is>
      </c>
      <c r="O966" s="156" t="inlineStr">
        <is>
          <t>Seasonal</t>
        </is>
      </c>
      <c r="P966" s="156" t="inlineStr">
        <is>
          <t>Azul</t>
        </is>
      </c>
      <c r="Q966" s="156" t="inlineStr">
        <is>
          <t>Slim</t>
        </is>
      </c>
      <c r="R966" s="156" t="inlineStr">
        <is>
          <t>Recto</t>
        </is>
      </c>
      <c r="S966" s="156" t="inlineStr">
        <is>
          <t>100% Algodón</t>
        </is>
      </c>
      <c r="T966" s="156" t="inlineStr">
        <is>
          <t>Jean Bordado Doble V en Bolsa Trasera Fitted</t>
        </is>
      </c>
      <c r="U966" s="156" t="n"/>
      <c r="V966" s="156" t="inlineStr">
        <is>
          <t>PZS</t>
        </is>
      </c>
      <c r="W966" s="51" t="inlineStr">
        <is>
          <t>53101502</t>
        </is>
      </c>
      <c r="X966" s="156" t="n"/>
      <c r="Y966" s="54" t="n">
        <v>775.862069</v>
      </c>
      <c r="Z966" s="54" t="n">
        <v>1724.137931</v>
      </c>
      <c r="AA966" s="55">
        <f>IF(AND(A966="", B966="", E966=""), "", IF(AB966="", "Válido", IF((LEN(AB966)-LEN(SUBSTITUTE(AB966,"; ","")))/2+1&gt;(LEN(AB966)-LEN(SUBSTITUTE(AB966,"[Aviso]","")))/7, "Con Incidencias", "Válido")))</f>
        <v/>
      </c>
      <c r="AB966" s="56">
        <f>IF(AND(A966="", B966="", E966=""), "", TEXTJOIN("; ", TRUE, IF(OR(TRIM(A966&amp;"")="", ISNUMBER(SEARCH("FALTA", A966))), "UPC faltante/inválido", ""), IF(AND(A966&lt;&gt;"", IFERROR(_xlfn.XMATCH(A966,$A$2:$A$2509,0,1)&lt;&gt;_xlfn.XMATCH(A966,$A$2:$A$2509,0,-1),FALSE)), "Código de barras duplicado", ""), IF(AND(E966&lt;&gt;"", COUNTIF($E$2:$E$2509, E966)&gt;1), "SKU duplicado", ""), IF(OR(J966="", J966=""), "[Aviso] División no capturada ()", IF(ISNA(MATCH(J966, Criterios!$A$123:$A$126, 0)), "División no válida", "")), IF(OR(K966="", K966=""), "[Aviso] Categoría no capturada ()", IF(ISNA(MATCH(K966, Criterios!$A$81:$A$120, 0)), "Categoría no válida", IF(AND(J966&lt;&gt;"", J966&lt;&gt;"", J966&lt;&gt;VLOOKUP(K966, Criterios!$A$81:$B$120, 2, FALSE)), "División no coincide con Categoría", ""))), IF(OR(L966="", L966=""), "[Aviso] Género no capturado ()", IF(ISNA(MATCH(L966, Criterios!$B$123:$B$127, 0)), "Género no válido", "")), IF(OR(N966="", N966=""), "[Aviso] Temporada no capturada ()", IF(ISNA(MATCH(N966, Criterios!$C$123:$C$128, 0)), "Temporada no válida", "")), IF(OR(O966="", O966=""), "[Aviso] Ciclo de vida no capturado ()", IF(ISNA(MATCH(O966, Criterios!$D$123:$D$124, 0)), "Ciclo de vida no válido", ""))))</f>
        <v/>
      </c>
      <c r="AC966" s="56" t="n"/>
      <c r="AD966" s="51" t="n">
        <v>-1</v>
      </c>
      <c r="AE966" s="156" t="n"/>
      <c r="AF966" s="51" t="n">
        <v>0</v>
      </c>
      <c r="AG966" s="156" t="inlineStr">
        <is>
          <t>Catálogo existente</t>
        </is>
      </c>
      <c r="AH966" s="156" t="inlineStr">
        <is>
          <t>Stock negativo en sistema: revisar en conteo</t>
        </is>
      </c>
      <c r="AI966" s="156" t="inlineStr">
        <is>
          <t>Sí</t>
        </is>
      </c>
      <c r="AJ966" s="156" t="inlineStr">
        <is>
          <t>STETSON AMERICAS (-1)</t>
        </is>
      </c>
      <c r="AK966" s="155" t="inlineStr">
        <is>
          <t>Shopify Stetson: producto 15051554324843 / variante 53342126145899 | Odoo: producto 29817 / plantilla 38521</t>
        </is>
      </c>
      <c r="AL966" s="58" t="n">
        <v>775.862069</v>
      </c>
      <c r="AM966" s="58" t="n">
        <v>1724.137931</v>
      </c>
      <c r="AN966" s="155" t="inlineStr">
        <is>
          <t>Shopify Stetson México | Odoo Universal Unique Brands</t>
        </is>
      </c>
      <c r="AO966" s="59" t="n">
        <v>0</v>
      </c>
      <c r="AP966" s="59" t="n"/>
      <c r="AQ966" s="59" t="n">
        <v>1</v>
      </c>
      <c r="AR966" s="155" t="inlineStr">
        <is>
          <t>Odoo Universal Unique Brands › Bodega 25 › Bodega 25/General: 1</t>
        </is>
      </c>
    </row>
    <row r="967">
      <c r="A967" s="50" t="inlineStr">
        <is>
          <t>196070464979</t>
        </is>
      </c>
      <c r="B967" s="51" t="inlineStr">
        <is>
          <t>110577</t>
        </is>
      </c>
      <c r="C967" s="156" t="inlineStr">
        <is>
          <t>Multimarca</t>
        </is>
      </c>
      <c r="D967" s="156" t="inlineStr">
        <is>
          <t>11-004-1015-6001</t>
        </is>
      </c>
      <c r="E967" s="156" t="inlineStr">
        <is>
          <t>11-004-1015-6001-34 32</t>
        </is>
      </c>
      <c r="F967" s="156" t="inlineStr">
        <is>
          <t>34 x 32</t>
        </is>
      </c>
      <c r="G967" s="156" t="inlineStr">
        <is>
          <t>34W / 32L</t>
        </is>
      </c>
      <c r="H967" s="156" t="inlineStr">
        <is>
          <t>Stetson</t>
        </is>
      </c>
      <c r="I967" s="156" t="inlineStr">
        <is>
          <t>Jean Bordado Doble V en Bolsa Trasera</t>
        </is>
      </c>
      <c r="J967" s="156" t="inlineStr">
        <is>
          <t>Denim</t>
        </is>
      </c>
      <c r="K967" s="156" t="inlineStr">
        <is>
          <t>Jeans</t>
        </is>
      </c>
      <c r="L967" s="156" t="inlineStr">
        <is>
          <t>Hombre</t>
        </is>
      </c>
      <c r="M967" s="156" t="inlineStr">
        <is>
          <t>Stetson</t>
        </is>
      </c>
      <c r="N967" s="156" t="inlineStr">
        <is>
          <t>SS26</t>
        </is>
      </c>
      <c r="O967" s="156" t="inlineStr">
        <is>
          <t>Seasonal</t>
        </is>
      </c>
      <c r="P967" s="156" t="inlineStr">
        <is>
          <t>Azul</t>
        </is>
      </c>
      <c r="Q967" s="156" t="inlineStr">
        <is>
          <t>Slim</t>
        </is>
      </c>
      <c r="R967" s="156" t="inlineStr">
        <is>
          <t>Recto</t>
        </is>
      </c>
      <c r="S967" s="156" t="inlineStr">
        <is>
          <t>100% Algodón</t>
        </is>
      </c>
      <c r="T967" s="156" t="inlineStr">
        <is>
          <t>Jean Bordado Doble V en Bolsa Trasera Fitted</t>
        </is>
      </c>
      <c r="U967" s="156" t="n"/>
      <c r="V967" s="156" t="inlineStr">
        <is>
          <t>PZS</t>
        </is>
      </c>
      <c r="W967" s="51" t="inlineStr">
        <is>
          <t>53101502</t>
        </is>
      </c>
      <c r="X967" s="156" t="n"/>
      <c r="Y967" s="54" t="n">
        <v>775.862069</v>
      </c>
      <c r="Z967" s="54" t="n">
        <v>1724.137931</v>
      </c>
      <c r="AA967" s="55">
        <f>IF(AND(A967="", B967="", E967=""), "", IF(AB967="", "Válido", IF((LEN(AB967)-LEN(SUBSTITUTE(AB967,"; ","")))/2+1&gt;(LEN(AB967)-LEN(SUBSTITUTE(AB967,"[Aviso]","")))/7, "Con Incidencias", "Válido")))</f>
        <v/>
      </c>
      <c r="AB967" s="56">
        <f>IF(AND(A967="", B967="", E967=""), "", TEXTJOIN("; ", TRUE, IF(OR(TRIM(A967&amp;"")="", ISNUMBER(SEARCH("FALTA", A967))), "UPC faltante/inválido", ""), IF(AND(A967&lt;&gt;"", IFERROR(_xlfn.XMATCH(A967,$A$2:$A$2509,0,1)&lt;&gt;_xlfn.XMATCH(A967,$A$2:$A$2509,0,-1),FALSE)), "Código de barras duplicado", ""), IF(AND(E967&lt;&gt;"", COUNTIF($E$2:$E$2509, E967)&gt;1), "SKU duplicado", ""), IF(OR(J967="", J967=""), "[Aviso] División no capturada ()", IF(ISNA(MATCH(J967, Criterios!$A$123:$A$126, 0)), "División no válida", "")), IF(OR(K967="", K967=""), "[Aviso] Categoría no capturada ()", IF(ISNA(MATCH(K967, Criterios!$A$81:$A$120, 0)), "Categoría no válida", IF(AND(J967&lt;&gt;"", J967&lt;&gt;"", J967&lt;&gt;VLOOKUP(K967, Criterios!$A$81:$B$120, 2, FALSE)), "División no coincide con Categoría", ""))), IF(OR(L967="", L967=""), "[Aviso] Género no capturado ()", IF(ISNA(MATCH(L967, Criterios!$B$123:$B$127, 0)), "Género no válido", "")), IF(OR(N967="", N967=""), "[Aviso] Temporada no capturada ()", IF(ISNA(MATCH(N967, Criterios!$C$123:$C$128, 0)), "Temporada no válida", "")), IF(OR(O967="", O967=""), "[Aviso] Ciclo de vida no capturado ()", IF(ISNA(MATCH(O967, Criterios!$D$123:$D$124, 0)), "Ciclo de vida no válido", ""))))</f>
        <v/>
      </c>
      <c r="AC967" s="56" t="n"/>
      <c r="AD967" s="51" t="n">
        <v>-3</v>
      </c>
      <c r="AE967" s="156" t="n"/>
      <c r="AF967" s="51" t="n">
        <v>0</v>
      </c>
      <c r="AG967" s="156" t="inlineStr">
        <is>
          <t>Catálogo existente</t>
        </is>
      </c>
      <c r="AH967" s="156" t="inlineStr">
        <is>
          <t>Stock negativo en sistema: revisar en conteo</t>
        </is>
      </c>
      <c r="AI967" s="156" t="inlineStr">
        <is>
          <t>Sí</t>
        </is>
      </c>
      <c r="AJ967" s="156" t="inlineStr">
        <is>
          <t>STETSON AMERICAS (-3)</t>
        </is>
      </c>
      <c r="AK967" s="155" t="inlineStr">
        <is>
          <t>Shopify Stetson: producto 15051554324843 / variante 53342126178667 | Odoo: producto 29818 / plantilla 38522</t>
        </is>
      </c>
      <c r="AL967" s="58" t="n">
        <v>775.862069</v>
      </c>
      <c r="AM967" s="58" t="n">
        <v>1724.137931</v>
      </c>
      <c r="AN967" s="155" t="inlineStr">
        <is>
          <t>Shopify Stetson México | Odoo Universal Unique Brands</t>
        </is>
      </c>
      <c r="AO967" s="59" t="n">
        <v>0</v>
      </c>
      <c r="AP967" s="59" t="n"/>
      <c r="AQ967" s="59" t="n">
        <v>3</v>
      </c>
      <c r="AR967" s="155" t="inlineStr">
        <is>
          <t>Odoo Universal Unique Brands › Bodega 25 › Bodega 25/General: 3</t>
        </is>
      </c>
    </row>
    <row r="968">
      <c r="A968" s="50" t="inlineStr">
        <is>
          <t>196070464986</t>
        </is>
      </c>
      <c r="B968" s="51" t="inlineStr">
        <is>
          <t>110578</t>
        </is>
      </c>
      <c r="C968" s="156" t="inlineStr">
        <is>
          <t>Multimarca</t>
        </is>
      </c>
      <c r="D968" s="156" t="inlineStr">
        <is>
          <t>11-004-1015-6001</t>
        </is>
      </c>
      <c r="E968" s="156" t="inlineStr">
        <is>
          <t>11-004-1015-6001-34 34</t>
        </is>
      </c>
      <c r="F968" s="156" t="inlineStr">
        <is>
          <t>34 x 34</t>
        </is>
      </c>
      <c r="G968" s="156" t="inlineStr">
        <is>
          <t>34W / 34L</t>
        </is>
      </c>
      <c r="H968" s="156" t="inlineStr">
        <is>
          <t>Stetson</t>
        </is>
      </c>
      <c r="I968" s="156" t="inlineStr">
        <is>
          <t>Jean Bordado Doble V en Bolsa Trasera</t>
        </is>
      </c>
      <c r="J968" s="156" t="inlineStr">
        <is>
          <t>Denim</t>
        </is>
      </c>
      <c r="K968" s="156" t="inlineStr">
        <is>
          <t>Jeans</t>
        </is>
      </c>
      <c r="L968" s="156" t="inlineStr">
        <is>
          <t>Hombre</t>
        </is>
      </c>
      <c r="M968" s="156" t="inlineStr">
        <is>
          <t>Stetson</t>
        </is>
      </c>
      <c r="N968" s="156" t="inlineStr">
        <is>
          <t>SS26</t>
        </is>
      </c>
      <c r="O968" s="156" t="inlineStr">
        <is>
          <t>Seasonal</t>
        </is>
      </c>
      <c r="P968" s="156" t="inlineStr">
        <is>
          <t>Azul</t>
        </is>
      </c>
      <c r="Q968" s="156" t="inlineStr">
        <is>
          <t>Slim</t>
        </is>
      </c>
      <c r="R968" s="156" t="inlineStr">
        <is>
          <t>Recto</t>
        </is>
      </c>
      <c r="S968" s="156" t="inlineStr">
        <is>
          <t>100% Algodón</t>
        </is>
      </c>
      <c r="T968" s="156" t="inlineStr">
        <is>
          <t>Jean Bordado Doble V en Bolsa Trasera Fitted</t>
        </is>
      </c>
      <c r="U968" s="156" t="n"/>
      <c r="V968" s="156" t="inlineStr">
        <is>
          <t>PZS</t>
        </is>
      </c>
      <c r="W968" s="51" t="inlineStr">
        <is>
          <t>53101502</t>
        </is>
      </c>
      <c r="X968" s="156" t="n"/>
      <c r="Y968" s="54" t="n">
        <v>775.862069</v>
      </c>
      <c r="Z968" s="54" t="n">
        <v>1724.137931</v>
      </c>
      <c r="AA968" s="55">
        <f>IF(AND(A968="", B968="", E968=""), "", IF(AB968="", "Válido", IF((LEN(AB968)-LEN(SUBSTITUTE(AB968,"; ","")))/2+1&gt;(LEN(AB968)-LEN(SUBSTITUTE(AB968,"[Aviso]","")))/7, "Con Incidencias", "Válido")))</f>
        <v/>
      </c>
      <c r="AB968" s="56">
        <f>IF(AND(A968="", B968="", E968=""), "", TEXTJOIN("; ", TRUE, IF(OR(TRIM(A968&amp;"")="", ISNUMBER(SEARCH("FALTA", A968))), "UPC faltante/inválido", ""), IF(AND(A968&lt;&gt;"", IFERROR(_xlfn.XMATCH(A968,$A$2:$A$2509,0,1)&lt;&gt;_xlfn.XMATCH(A968,$A$2:$A$2509,0,-1),FALSE)), "Código de barras duplicado", ""), IF(AND(E968&lt;&gt;"", COUNTIF($E$2:$E$2509, E968)&gt;1), "SKU duplicado", ""), IF(OR(J968="", J968=""), "[Aviso] División no capturada ()", IF(ISNA(MATCH(J968, Criterios!$A$123:$A$126, 0)), "División no válida", "")), IF(OR(K968="", K968=""), "[Aviso] Categoría no capturada ()", IF(ISNA(MATCH(K968, Criterios!$A$81:$A$120, 0)), "Categoría no válida", IF(AND(J968&lt;&gt;"", J968&lt;&gt;"", J968&lt;&gt;VLOOKUP(K968, Criterios!$A$81:$B$120, 2, FALSE)), "División no coincide con Categoría", ""))), IF(OR(L968="", L968=""), "[Aviso] Género no capturado ()", IF(ISNA(MATCH(L968, Criterios!$B$123:$B$127, 0)), "Género no válido", "")), IF(OR(N968="", N968=""), "[Aviso] Temporada no capturada ()", IF(ISNA(MATCH(N968, Criterios!$C$123:$C$128, 0)), "Temporada no válida", "")), IF(OR(O968="", O968=""), "[Aviso] Ciclo de vida no capturado ()", IF(ISNA(MATCH(O968, Criterios!$D$123:$D$124, 0)), "Ciclo de vida no válido", ""))))</f>
        <v/>
      </c>
      <c r="AC968" s="56" t="n"/>
      <c r="AD968" s="51" t="n">
        <v>-2</v>
      </c>
      <c r="AE968" s="156" t="n"/>
      <c r="AF968" s="51" t="n">
        <v>0</v>
      </c>
      <c r="AG968" s="156" t="inlineStr">
        <is>
          <t>Catálogo existente</t>
        </is>
      </c>
      <c r="AH968" s="156" t="inlineStr">
        <is>
          <t>Stock negativo en sistema: revisar en conteo</t>
        </is>
      </c>
      <c r="AI968" s="156" t="inlineStr">
        <is>
          <t>Sí</t>
        </is>
      </c>
      <c r="AJ968" s="156" t="inlineStr">
        <is>
          <t>STETSON AMERICAS (-2)</t>
        </is>
      </c>
      <c r="AK968" s="155" t="inlineStr">
        <is>
          <t>Shopify Stetson: producto 15051554324843 / variante 53342126211435 | Odoo: producto 29819 / plantilla 38523</t>
        </is>
      </c>
      <c r="AL968" s="58" t="n">
        <v>775.862069</v>
      </c>
      <c r="AM968" s="58" t="n">
        <v>1724.137931</v>
      </c>
      <c r="AN968" s="155" t="inlineStr">
        <is>
          <t>Shopify Stetson México | Odoo Universal Unique Brands</t>
        </is>
      </c>
      <c r="AO968" s="59" t="n">
        <v>0</v>
      </c>
      <c r="AP968" s="59" t="n"/>
      <c r="AQ968" s="59" t="n">
        <v>2</v>
      </c>
      <c r="AR968" s="155" t="inlineStr">
        <is>
          <t>Odoo Universal Unique Brands › Bodega 25 › Bodega 25/General: 2</t>
        </is>
      </c>
    </row>
    <row r="969">
      <c r="A969" s="50" t="inlineStr">
        <is>
          <t>196070464993</t>
        </is>
      </c>
      <c r="B969" s="51" t="inlineStr">
        <is>
          <t>110579</t>
        </is>
      </c>
      <c r="C969" s="156" t="inlineStr">
        <is>
          <t>Multimarca</t>
        </is>
      </c>
      <c r="D969" s="156" t="inlineStr">
        <is>
          <t>11-004-1015-6001</t>
        </is>
      </c>
      <c r="E969" s="156" t="inlineStr">
        <is>
          <t>11-004-1015-6001-34 36</t>
        </is>
      </c>
      <c r="F969" s="156" t="inlineStr">
        <is>
          <t>34 x 36</t>
        </is>
      </c>
      <c r="G969" s="156" t="inlineStr">
        <is>
          <t>34W / 36L</t>
        </is>
      </c>
      <c r="H969" s="156" t="inlineStr">
        <is>
          <t>Stetson</t>
        </is>
      </c>
      <c r="I969" s="156" t="inlineStr">
        <is>
          <t>Jean Bordado Doble V en Bolsa Trasera</t>
        </is>
      </c>
      <c r="J969" s="156" t="inlineStr">
        <is>
          <t>Denim</t>
        </is>
      </c>
      <c r="K969" s="156" t="inlineStr">
        <is>
          <t>Jeans</t>
        </is>
      </c>
      <c r="L969" s="156" t="inlineStr">
        <is>
          <t>Hombre</t>
        </is>
      </c>
      <c r="M969" s="156" t="inlineStr">
        <is>
          <t>Stetson</t>
        </is>
      </c>
      <c r="N969" s="156" t="inlineStr">
        <is>
          <t>SS26</t>
        </is>
      </c>
      <c r="O969" s="156" t="inlineStr">
        <is>
          <t>Seasonal</t>
        </is>
      </c>
      <c r="P969" s="156" t="inlineStr">
        <is>
          <t>Azul</t>
        </is>
      </c>
      <c r="Q969" s="156" t="inlineStr">
        <is>
          <t>Slim</t>
        </is>
      </c>
      <c r="R969" s="156" t="inlineStr">
        <is>
          <t>Recto</t>
        </is>
      </c>
      <c r="S969" s="156" t="inlineStr">
        <is>
          <t>100% Algodón</t>
        </is>
      </c>
      <c r="T969" s="156" t="inlineStr">
        <is>
          <t>Jean Bordado Doble V en Bolsa Trasera Fitted</t>
        </is>
      </c>
      <c r="U969" s="156" t="n"/>
      <c r="V969" s="156" t="inlineStr">
        <is>
          <t>PZS</t>
        </is>
      </c>
      <c r="W969" s="51" t="inlineStr">
        <is>
          <t>53101502</t>
        </is>
      </c>
      <c r="X969" s="156" t="n"/>
      <c r="Y969" s="54" t="n">
        <v>775.862069</v>
      </c>
      <c r="Z969" s="54" t="n">
        <v>1724.137931</v>
      </c>
      <c r="AA969" s="55">
        <f>IF(AND(A969="", B969="", E969=""), "", IF(AB969="", "Válido", IF((LEN(AB969)-LEN(SUBSTITUTE(AB969,"; ","")))/2+1&gt;(LEN(AB969)-LEN(SUBSTITUTE(AB969,"[Aviso]","")))/7, "Con Incidencias", "Válido")))</f>
        <v/>
      </c>
      <c r="AB969" s="56">
        <f>IF(AND(A969="", B969="", E969=""), "", TEXTJOIN("; ", TRUE, IF(OR(TRIM(A969&amp;"")="", ISNUMBER(SEARCH("FALTA", A969))), "UPC faltante/inválido", ""), IF(AND(A969&lt;&gt;"", IFERROR(_xlfn.XMATCH(A969,$A$2:$A$2509,0,1)&lt;&gt;_xlfn.XMATCH(A969,$A$2:$A$2509,0,-1),FALSE)), "Código de barras duplicado", ""), IF(AND(E969&lt;&gt;"", COUNTIF($E$2:$E$2509, E969)&gt;1), "SKU duplicado", ""), IF(OR(J969="", J969=""), "[Aviso] División no capturada ()", IF(ISNA(MATCH(J969, Criterios!$A$123:$A$126, 0)), "División no válida", "")), IF(OR(K969="", K969=""), "[Aviso] Categoría no capturada ()", IF(ISNA(MATCH(K969, Criterios!$A$81:$A$120, 0)), "Categoría no válida", IF(AND(J969&lt;&gt;"", J969&lt;&gt;"", J969&lt;&gt;VLOOKUP(K969, Criterios!$A$81:$B$120, 2, FALSE)), "División no coincide con Categoría", ""))), IF(OR(L969="", L969=""), "[Aviso] Género no capturado ()", IF(ISNA(MATCH(L969, Criterios!$B$123:$B$127, 0)), "Género no válido", "")), IF(OR(N969="", N969=""), "[Aviso] Temporada no capturada ()", IF(ISNA(MATCH(N969, Criterios!$C$123:$C$128, 0)), "Temporada no válida", "")), IF(OR(O969="", O969=""), "[Aviso] Ciclo de vida no capturado ()", IF(ISNA(MATCH(O969, Criterios!$D$123:$D$124, 0)), "Ciclo de vida no válido", ""))))</f>
        <v/>
      </c>
      <c r="AC969" s="56" t="n"/>
      <c r="AD969" s="51" t="n">
        <v>-2</v>
      </c>
      <c r="AE969" s="156" t="n"/>
      <c r="AF969" s="51" t="n">
        <v>0</v>
      </c>
      <c r="AG969" s="156" t="inlineStr">
        <is>
          <t>Catálogo existente</t>
        </is>
      </c>
      <c r="AH969" s="156" t="inlineStr">
        <is>
          <t>Stock negativo en sistema: revisar en conteo</t>
        </is>
      </c>
      <c r="AI969" s="156" t="inlineStr">
        <is>
          <t>Sí</t>
        </is>
      </c>
      <c r="AJ969" s="156" t="inlineStr">
        <is>
          <t>STETSON AMERICAS (-2)</t>
        </is>
      </c>
      <c r="AK969" s="155" t="inlineStr">
        <is>
          <t>Shopify Stetson: producto 15051554324843 / variante 53342126244203 | Odoo: producto 29820 / plantilla 38524</t>
        </is>
      </c>
      <c r="AL969" s="58" t="n">
        <v>775.862069</v>
      </c>
      <c r="AM969" s="58" t="n">
        <v>1724.137931</v>
      </c>
      <c r="AN969" s="155" t="inlineStr">
        <is>
          <t>Shopify Stetson México | Odoo Universal Unique Brands</t>
        </is>
      </c>
      <c r="AO969" s="59" t="n">
        <v>0</v>
      </c>
      <c r="AP969" s="59" t="n"/>
      <c r="AQ969" s="59" t="n">
        <v>2</v>
      </c>
      <c r="AR969" s="155" t="inlineStr">
        <is>
          <t>Odoo Universal Unique Brands › Bodega 25 › Bodega 25/General: 2</t>
        </is>
      </c>
    </row>
    <row r="970">
      <c r="A970" s="50" t="inlineStr">
        <is>
          <t>196070465075</t>
        </is>
      </c>
      <c r="B970" s="51" t="inlineStr">
        <is>
          <t>110580</t>
        </is>
      </c>
      <c r="C970" s="156" t="inlineStr">
        <is>
          <t>Multimarca</t>
        </is>
      </c>
      <c r="D970" s="156" t="inlineStr">
        <is>
          <t>11-004-1015-6001</t>
        </is>
      </c>
      <c r="E970" s="156" t="inlineStr">
        <is>
          <t>11-004-1015-6001-36 32</t>
        </is>
      </c>
      <c r="F970" s="156" t="inlineStr">
        <is>
          <t>36 x 32</t>
        </is>
      </c>
      <c r="G970" s="156" t="inlineStr">
        <is>
          <t>36W / 32L</t>
        </is>
      </c>
      <c r="H970" s="156" t="inlineStr">
        <is>
          <t>Stetson</t>
        </is>
      </c>
      <c r="I970" s="156" t="inlineStr">
        <is>
          <t>Jean Bordado Doble V en Bolsa Trasera</t>
        </is>
      </c>
      <c r="J970" s="156" t="inlineStr">
        <is>
          <t>Denim</t>
        </is>
      </c>
      <c r="K970" s="156" t="inlineStr">
        <is>
          <t>Jeans</t>
        </is>
      </c>
      <c r="L970" s="156" t="inlineStr">
        <is>
          <t>Hombre</t>
        </is>
      </c>
      <c r="M970" s="156" t="inlineStr">
        <is>
          <t>Stetson</t>
        </is>
      </c>
      <c r="N970" s="156" t="inlineStr">
        <is>
          <t>SS26</t>
        </is>
      </c>
      <c r="O970" s="156" t="inlineStr">
        <is>
          <t>Seasonal</t>
        </is>
      </c>
      <c r="P970" s="156" t="inlineStr">
        <is>
          <t>Azul</t>
        </is>
      </c>
      <c r="Q970" s="156" t="inlineStr">
        <is>
          <t>Slim</t>
        </is>
      </c>
      <c r="R970" s="156" t="inlineStr">
        <is>
          <t>Recto</t>
        </is>
      </c>
      <c r="S970" s="156" t="inlineStr">
        <is>
          <t>100% Algodón</t>
        </is>
      </c>
      <c r="T970" s="156" t="inlineStr">
        <is>
          <t>Jean Bordado Doble V en Bolsa Trasera Fitted</t>
        </is>
      </c>
      <c r="U970" s="156" t="n"/>
      <c r="V970" s="156" t="inlineStr">
        <is>
          <t>PZS</t>
        </is>
      </c>
      <c r="W970" s="51" t="inlineStr">
        <is>
          <t>53101502</t>
        </is>
      </c>
      <c r="X970" s="156" t="n"/>
      <c r="Y970" s="54" t="n">
        <v>775.862069</v>
      </c>
      <c r="Z970" s="54" t="n">
        <v>1724.137931</v>
      </c>
      <c r="AA970" s="55">
        <f>IF(AND(A970="", B970="", E970=""), "", IF(AB970="", "Válido", IF((LEN(AB970)-LEN(SUBSTITUTE(AB970,"; ","")))/2+1&gt;(LEN(AB970)-LEN(SUBSTITUTE(AB970,"[Aviso]","")))/7, "Con Incidencias", "Válido")))</f>
        <v/>
      </c>
      <c r="AB970" s="56">
        <f>IF(AND(A970="", B970="", E970=""), "", TEXTJOIN("; ", TRUE, IF(OR(TRIM(A970&amp;"")="", ISNUMBER(SEARCH("FALTA", A970))), "UPC faltante/inválido", ""), IF(AND(A970&lt;&gt;"", IFERROR(_xlfn.XMATCH(A970,$A$2:$A$2509,0,1)&lt;&gt;_xlfn.XMATCH(A970,$A$2:$A$2509,0,-1),FALSE)), "Código de barras duplicado", ""), IF(AND(E970&lt;&gt;"", COUNTIF($E$2:$E$2509, E970)&gt;1), "SKU duplicado", ""), IF(OR(J970="", J970=""), "[Aviso] División no capturada ()", IF(ISNA(MATCH(J970, Criterios!$A$123:$A$126, 0)), "División no válida", "")), IF(OR(K970="", K970=""), "[Aviso] Categoría no capturada ()", IF(ISNA(MATCH(K970, Criterios!$A$81:$A$120, 0)), "Categoría no válida", IF(AND(J970&lt;&gt;"", J970&lt;&gt;"", J970&lt;&gt;VLOOKUP(K970, Criterios!$A$81:$B$120, 2, FALSE)), "División no coincide con Categoría", ""))), IF(OR(L970="", L970=""), "[Aviso] Género no capturado ()", IF(ISNA(MATCH(L970, Criterios!$B$123:$B$127, 0)), "Género no válido", "")), IF(OR(N970="", N970=""), "[Aviso] Temporada no capturada ()", IF(ISNA(MATCH(N970, Criterios!$C$123:$C$128, 0)), "Temporada no válida", "")), IF(OR(O970="", O970=""), "[Aviso] Ciclo de vida no capturado ()", IF(ISNA(MATCH(O970, Criterios!$D$123:$D$124, 0)), "Ciclo de vida no válido", ""))))</f>
        <v/>
      </c>
      <c r="AC970" s="56" t="n"/>
      <c r="AD970" s="51" t="n">
        <v>-3</v>
      </c>
      <c r="AE970" s="156" t="n"/>
      <c r="AF970" s="51" t="n">
        <v>0</v>
      </c>
      <c r="AG970" s="156" t="inlineStr">
        <is>
          <t>Catálogo existente</t>
        </is>
      </c>
      <c r="AH970" s="156" t="inlineStr">
        <is>
          <t>Stock negativo en sistema: revisar en conteo</t>
        </is>
      </c>
      <c r="AI970" s="156" t="inlineStr">
        <is>
          <t>Sí</t>
        </is>
      </c>
      <c r="AJ970" s="156" t="inlineStr">
        <is>
          <t>STETSON AMERICAS (-3)</t>
        </is>
      </c>
      <c r="AK970" s="155" t="inlineStr">
        <is>
          <t>Shopify Stetson: producto 15051554324843 / variante 53342126276971 | Odoo: producto 29821 / plantilla 38525</t>
        </is>
      </c>
      <c r="AL970" s="58" t="n">
        <v>775.862069</v>
      </c>
      <c r="AM970" s="58" t="n">
        <v>1724.137931</v>
      </c>
      <c r="AN970" s="155" t="inlineStr">
        <is>
          <t>Shopify Stetson México | Odoo Universal Unique Brands</t>
        </is>
      </c>
      <c r="AO970" s="59" t="n">
        <v>1</v>
      </c>
      <c r="AP970" s="59" t="n"/>
      <c r="AQ970" s="59" t="n">
        <v>4</v>
      </c>
      <c r="AR970" s="155" t="inlineStr">
        <is>
          <t>Shopify Stetson México › Stetson Americas: 1 | Odoo Universal Unique Brands › Bodega 25 › Bodega 25/General: 4</t>
        </is>
      </c>
    </row>
    <row r="971">
      <c r="A971" s="50" t="inlineStr">
        <is>
          <t>196070465082</t>
        </is>
      </c>
      <c r="B971" s="51" t="inlineStr">
        <is>
          <t>110581</t>
        </is>
      </c>
      <c r="C971" s="156" t="inlineStr">
        <is>
          <t>Multimarca</t>
        </is>
      </c>
      <c r="D971" s="156" t="inlineStr">
        <is>
          <t>11-004-1015-6001</t>
        </is>
      </c>
      <c r="E971" s="156" t="inlineStr">
        <is>
          <t>11-004-1015-6001-36 34</t>
        </is>
      </c>
      <c r="F971" s="156" t="inlineStr">
        <is>
          <t>36 x 34</t>
        </is>
      </c>
      <c r="G971" s="156" t="inlineStr">
        <is>
          <t>36W / 34L</t>
        </is>
      </c>
      <c r="H971" s="156" t="inlineStr">
        <is>
          <t>Stetson</t>
        </is>
      </c>
      <c r="I971" s="156" t="inlineStr">
        <is>
          <t>Jean Bordado Doble V en Bolsa Trasera</t>
        </is>
      </c>
      <c r="J971" s="156" t="inlineStr">
        <is>
          <t>Denim</t>
        </is>
      </c>
      <c r="K971" s="156" t="inlineStr">
        <is>
          <t>Jeans</t>
        </is>
      </c>
      <c r="L971" s="156" t="inlineStr">
        <is>
          <t>Hombre</t>
        </is>
      </c>
      <c r="M971" s="156" t="inlineStr">
        <is>
          <t>Stetson</t>
        </is>
      </c>
      <c r="N971" s="156" t="inlineStr">
        <is>
          <t>SS26</t>
        </is>
      </c>
      <c r="O971" s="156" t="inlineStr">
        <is>
          <t>Seasonal</t>
        </is>
      </c>
      <c r="P971" s="156" t="inlineStr">
        <is>
          <t>Azul</t>
        </is>
      </c>
      <c r="Q971" s="156" t="inlineStr">
        <is>
          <t>Slim</t>
        </is>
      </c>
      <c r="R971" s="156" t="inlineStr">
        <is>
          <t>Recto</t>
        </is>
      </c>
      <c r="S971" s="156" t="inlineStr">
        <is>
          <t>100% Algodón</t>
        </is>
      </c>
      <c r="T971" s="156" t="inlineStr">
        <is>
          <t>Jean Bordado Doble V en Bolsa Trasera Fitted</t>
        </is>
      </c>
      <c r="U971" s="156" t="n"/>
      <c r="V971" s="156" t="inlineStr">
        <is>
          <t>PZS</t>
        </is>
      </c>
      <c r="W971" s="51" t="inlineStr">
        <is>
          <t>53101502</t>
        </is>
      </c>
      <c r="X971" s="156" t="n"/>
      <c r="Y971" s="54" t="n">
        <v>775.862069</v>
      </c>
      <c r="Z971" s="54" t="n">
        <v>1724.137931</v>
      </c>
      <c r="AA971" s="55">
        <f>IF(AND(A971="", B971="", E971=""), "", IF(AB971="", "Válido", IF((LEN(AB971)-LEN(SUBSTITUTE(AB971,"; ","")))/2+1&gt;(LEN(AB971)-LEN(SUBSTITUTE(AB971,"[Aviso]","")))/7, "Con Incidencias", "Válido")))</f>
        <v/>
      </c>
      <c r="AB971" s="56">
        <f>IF(AND(A971="", B971="", E971=""), "", TEXTJOIN("; ", TRUE, IF(OR(TRIM(A971&amp;"")="", ISNUMBER(SEARCH("FALTA", A971))), "UPC faltante/inválido", ""), IF(AND(A971&lt;&gt;"", IFERROR(_xlfn.XMATCH(A971,$A$2:$A$2509,0,1)&lt;&gt;_xlfn.XMATCH(A971,$A$2:$A$2509,0,-1),FALSE)), "Código de barras duplicado", ""), IF(AND(E971&lt;&gt;"", COUNTIF($E$2:$E$2509, E971)&gt;1), "SKU duplicado", ""), IF(OR(J971="", J971=""), "[Aviso] División no capturada ()", IF(ISNA(MATCH(J971, Criterios!$A$123:$A$126, 0)), "División no válida", "")), IF(OR(K971="", K971=""), "[Aviso] Categoría no capturada ()", IF(ISNA(MATCH(K971, Criterios!$A$81:$A$120, 0)), "Categoría no válida", IF(AND(J971&lt;&gt;"", J971&lt;&gt;"", J971&lt;&gt;VLOOKUP(K971, Criterios!$A$81:$B$120, 2, FALSE)), "División no coincide con Categoría", ""))), IF(OR(L971="", L971=""), "[Aviso] Género no capturado ()", IF(ISNA(MATCH(L971, Criterios!$B$123:$B$127, 0)), "Género no válido", "")), IF(OR(N971="", N971=""), "[Aviso] Temporada no capturada ()", IF(ISNA(MATCH(N971, Criterios!$C$123:$C$128, 0)), "Temporada no válida", "")), IF(OR(O971="", O971=""), "[Aviso] Ciclo de vida no capturado ()", IF(ISNA(MATCH(O971, Criterios!$D$123:$D$124, 0)), "Ciclo de vida no válido", ""))))</f>
        <v/>
      </c>
      <c r="AC971" s="56" t="n"/>
      <c r="AD971" s="51" t="n">
        <v>0</v>
      </c>
      <c r="AE971" s="156" t="n"/>
      <c r="AF971" s="51" t="n">
        <v>0</v>
      </c>
      <c r="AG971" s="156" t="inlineStr">
        <is>
          <t>Catálogo existente</t>
        </is>
      </c>
      <c r="AH971" s="156" t="n"/>
      <c r="AI971" s="156" t="inlineStr">
        <is>
          <t>No</t>
        </is>
      </c>
      <c r="AJ971" s="156" t="n"/>
      <c r="AK971" s="155" t="inlineStr">
        <is>
          <t>Shopify Stetson: producto 15051554324843 / variante 53342126309739 | Odoo: producto 29822 / plantilla 38526</t>
        </is>
      </c>
      <c r="AL971" s="58" t="n">
        <v>775.862069</v>
      </c>
      <c r="AM971" s="58" t="n">
        <v>1724.137931</v>
      </c>
      <c r="AN971" s="155" t="inlineStr">
        <is>
          <t>Shopify Stetson México | Odoo Universal Unique Brands</t>
        </is>
      </c>
      <c r="AO971" s="59" t="n">
        <v>1</v>
      </c>
      <c r="AP971" s="59" t="n"/>
      <c r="AQ971" s="59" t="n">
        <v>2</v>
      </c>
      <c r="AR971" s="155" t="inlineStr">
        <is>
          <t>Shopify Stetson México › Stetson Americas: 1 | Odoo Universal Unique Brands › Bodega 25 › Bodega 25/General: 2</t>
        </is>
      </c>
    </row>
    <row r="972">
      <c r="A972" s="50" t="inlineStr">
        <is>
          <t>196070465099</t>
        </is>
      </c>
      <c r="B972" s="51" t="inlineStr">
        <is>
          <t>110582</t>
        </is>
      </c>
      <c r="C972" s="156" t="inlineStr">
        <is>
          <t>Multimarca</t>
        </is>
      </c>
      <c r="D972" s="156" t="inlineStr">
        <is>
          <t>11-004-1015-6001</t>
        </is>
      </c>
      <c r="E972" s="156" t="inlineStr">
        <is>
          <t>11-004-1015-6001-36 36</t>
        </is>
      </c>
      <c r="F972" s="156" t="inlineStr">
        <is>
          <t>36 x 36</t>
        </is>
      </c>
      <c r="G972" s="156" t="inlineStr">
        <is>
          <t>36W / 36L</t>
        </is>
      </c>
      <c r="H972" s="156" t="inlineStr">
        <is>
          <t>Stetson</t>
        </is>
      </c>
      <c r="I972" s="156" t="inlineStr">
        <is>
          <t>Jean Bordado Doble V en Bolsa Trasera</t>
        </is>
      </c>
      <c r="J972" s="156" t="inlineStr">
        <is>
          <t>Denim</t>
        </is>
      </c>
      <c r="K972" s="156" t="inlineStr">
        <is>
          <t>Jeans</t>
        </is>
      </c>
      <c r="L972" s="156" t="inlineStr">
        <is>
          <t>Hombre</t>
        </is>
      </c>
      <c r="M972" s="156" t="inlineStr">
        <is>
          <t>Stetson</t>
        </is>
      </c>
      <c r="N972" s="156" t="inlineStr">
        <is>
          <t>SS26</t>
        </is>
      </c>
      <c r="O972" s="156" t="inlineStr">
        <is>
          <t>Seasonal</t>
        </is>
      </c>
      <c r="P972" s="156" t="inlineStr">
        <is>
          <t>Azul</t>
        </is>
      </c>
      <c r="Q972" s="156" t="inlineStr">
        <is>
          <t>Slim</t>
        </is>
      </c>
      <c r="R972" s="156" t="inlineStr">
        <is>
          <t>Recto</t>
        </is>
      </c>
      <c r="S972" s="156" t="inlineStr">
        <is>
          <t>100% Algodón</t>
        </is>
      </c>
      <c r="T972" s="156" t="inlineStr">
        <is>
          <t>Jean Bordado Doble V en Bolsa Trasera Fitted</t>
        </is>
      </c>
      <c r="U972" s="156" t="n"/>
      <c r="V972" s="156" t="inlineStr">
        <is>
          <t>PZS</t>
        </is>
      </c>
      <c r="W972" s="51" t="inlineStr">
        <is>
          <t>53101502</t>
        </is>
      </c>
      <c r="X972" s="156" t="n"/>
      <c r="Y972" s="54" t="n">
        <v>775.862069</v>
      </c>
      <c r="Z972" s="54" t="n">
        <v>1724.137931</v>
      </c>
      <c r="AA972" s="55">
        <f>IF(AND(A972="", B972="", E972=""), "", IF(AB972="", "Válido", IF((LEN(AB972)-LEN(SUBSTITUTE(AB972,"; ","")))/2+1&gt;(LEN(AB972)-LEN(SUBSTITUTE(AB972,"[Aviso]","")))/7, "Con Incidencias", "Válido")))</f>
        <v/>
      </c>
      <c r="AB972" s="56">
        <f>IF(AND(A972="", B972="", E972=""), "", TEXTJOIN("; ", TRUE, IF(OR(TRIM(A972&amp;"")="", ISNUMBER(SEARCH("FALTA", A972))), "UPC faltante/inválido", ""), IF(AND(A972&lt;&gt;"", IFERROR(_xlfn.XMATCH(A972,$A$2:$A$2509,0,1)&lt;&gt;_xlfn.XMATCH(A972,$A$2:$A$2509,0,-1),FALSE)), "Código de barras duplicado", ""), IF(AND(E972&lt;&gt;"", COUNTIF($E$2:$E$2509, E972)&gt;1), "SKU duplicado", ""), IF(OR(J972="", J972=""), "[Aviso] División no capturada ()", IF(ISNA(MATCH(J972, Criterios!$A$123:$A$126, 0)), "División no válida", "")), IF(OR(K972="", K972=""), "[Aviso] Categoría no capturada ()", IF(ISNA(MATCH(K972, Criterios!$A$81:$A$120, 0)), "Categoría no válida", IF(AND(J972&lt;&gt;"", J972&lt;&gt;"", J972&lt;&gt;VLOOKUP(K972, Criterios!$A$81:$B$120, 2, FALSE)), "División no coincide con Categoría", ""))), IF(OR(L972="", L972=""), "[Aviso] Género no capturado ()", IF(ISNA(MATCH(L972, Criterios!$B$123:$B$127, 0)), "Género no válido", "")), IF(OR(N972="", N972=""), "[Aviso] Temporada no capturada ()", IF(ISNA(MATCH(N972, Criterios!$C$123:$C$128, 0)), "Temporada no válida", "")), IF(OR(O972="", O972=""), "[Aviso] Ciclo de vida no capturado ()", IF(ISNA(MATCH(O972, Criterios!$D$123:$D$124, 0)), "Ciclo de vida no válido", ""))))</f>
        <v/>
      </c>
      <c r="AC972" s="56" t="n"/>
      <c r="AD972" s="51" t="n">
        <v>-2</v>
      </c>
      <c r="AE972" s="156" t="n"/>
      <c r="AF972" s="51" t="n">
        <v>0</v>
      </c>
      <c r="AG972" s="156" t="inlineStr">
        <is>
          <t>Catálogo existente</t>
        </is>
      </c>
      <c r="AH972" s="156" t="inlineStr">
        <is>
          <t>Stock negativo en sistema: revisar en conteo</t>
        </is>
      </c>
      <c r="AI972" s="156" t="inlineStr">
        <is>
          <t>Sí</t>
        </is>
      </c>
      <c r="AJ972" s="156" t="inlineStr">
        <is>
          <t>STETSON AMERICAS (-2)</t>
        </is>
      </c>
      <c r="AK972" s="155" t="inlineStr">
        <is>
          <t>Shopify Stetson: producto 15051554324843 / variante 53342126342507 | Odoo: producto 29823 / plantilla 38527</t>
        </is>
      </c>
      <c r="AL972" s="58" t="n">
        <v>775.862069</v>
      </c>
      <c r="AM972" s="58" t="n">
        <v>1724.137931</v>
      </c>
      <c r="AN972" s="155" t="inlineStr">
        <is>
          <t>Shopify Stetson México | Odoo Universal Unique Brands</t>
        </is>
      </c>
      <c r="AO972" s="59" t="n">
        <v>0</v>
      </c>
      <c r="AP972" s="59" t="n"/>
      <c r="AQ972" s="59" t="n">
        <v>2</v>
      </c>
      <c r="AR972" s="155" t="inlineStr">
        <is>
          <t>Odoo Universal Unique Brands › Bodega 25 › Bodega 25/General: 2</t>
        </is>
      </c>
    </row>
    <row r="973">
      <c r="A973" s="50" t="inlineStr">
        <is>
          <t>196070465129</t>
        </is>
      </c>
      <c r="B973" s="51" t="inlineStr">
        <is>
          <t>110583</t>
        </is>
      </c>
      <c r="C973" s="156" t="inlineStr">
        <is>
          <t>Multimarca</t>
        </is>
      </c>
      <c r="D973" s="156" t="inlineStr">
        <is>
          <t>11-004-1015-6001</t>
        </is>
      </c>
      <c r="E973" s="156" t="inlineStr">
        <is>
          <t>11-004-1015-6001-38 32</t>
        </is>
      </c>
      <c r="F973" s="156" t="inlineStr">
        <is>
          <t>38 x 32</t>
        </is>
      </c>
      <c r="G973" s="156" t="inlineStr">
        <is>
          <t>38W / 32L</t>
        </is>
      </c>
      <c r="H973" s="156" t="inlineStr">
        <is>
          <t>Stetson</t>
        </is>
      </c>
      <c r="I973" s="156" t="inlineStr">
        <is>
          <t>Jean Bordado Doble V en Bolsa Trasera</t>
        </is>
      </c>
      <c r="J973" s="156" t="inlineStr">
        <is>
          <t>Denim</t>
        </is>
      </c>
      <c r="K973" s="156" t="inlineStr">
        <is>
          <t>Jeans</t>
        </is>
      </c>
      <c r="L973" s="156" t="inlineStr">
        <is>
          <t>Hombre</t>
        </is>
      </c>
      <c r="M973" s="156" t="inlineStr">
        <is>
          <t>Stetson</t>
        </is>
      </c>
      <c r="N973" s="156" t="inlineStr">
        <is>
          <t>SS26</t>
        </is>
      </c>
      <c r="O973" s="156" t="inlineStr">
        <is>
          <t>Seasonal</t>
        </is>
      </c>
      <c r="P973" s="156" t="inlineStr">
        <is>
          <t>Azul</t>
        </is>
      </c>
      <c r="Q973" s="156" t="inlineStr">
        <is>
          <t>Slim</t>
        </is>
      </c>
      <c r="R973" s="156" t="inlineStr">
        <is>
          <t>Recto</t>
        </is>
      </c>
      <c r="S973" s="156" t="inlineStr">
        <is>
          <t>100% Algodón</t>
        </is>
      </c>
      <c r="T973" s="156" t="inlineStr">
        <is>
          <t>Jean Bordado Doble V en Bolsa Trasera Fitted</t>
        </is>
      </c>
      <c r="U973" s="156" t="n"/>
      <c r="V973" s="156" t="inlineStr">
        <is>
          <t>PZS</t>
        </is>
      </c>
      <c r="W973" s="51" t="inlineStr">
        <is>
          <t>53101502</t>
        </is>
      </c>
      <c r="X973" s="156" t="n"/>
      <c r="Y973" s="54" t="n">
        <v>775.862069</v>
      </c>
      <c r="Z973" s="54" t="n">
        <v>1724.137931</v>
      </c>
      <c r="AA973" s="55">
        <f>IF(AND(A973="", B973="", E973=""), "", IF(AB973="", "Válido", IF((LEN(AB973)-LEN(SUBSTITUTE(AB973,"; ","")))/2+1&gt;(LEN(AB973)-LEN(SUBSTITUTE(AB973,"[Aviso]","")))/7, "Con Incidencias", "Válido")))</f>
        <v/>
      </c>
      <c r="AB973" s="56">
        <f>IF(AND(A973="", B973="", E973=""), "", TEXTJOIN("; ", TRUE, IF(OR(TRIM(A973&amp;"")="", ISNUMBER(SEARCH("FALTA", A973))), "UPC faltante/inválido", ""), IF(AND(A973&lt;&gt;"", IFERROR(_xlfn.XMATCH(A973,$A$2:$A$2509,0,1)&lt;&gt;_xlfn.XMATCH(A973,$A$2:$A$2509,0,-1),FALSE)), "Código de barras duplicado", ""), IF(AND(E973&lt;&gt;"", COUNTIF($E$2:$E$2509, E973)&gt;1), "SKU duplicado", ""), IF(OR(J973="", J973=""), "[Aviso] División no capturada ()", IF(ISNA(MATCH(J973, Criterios!$A$123:$A$126, 0)), "División no válida", "")), IF(OR(K973="", K973=""), "[Aviso] Categoría no capturada ()", IF(ISNA(MATCH(K973, Criterios!$A$81:$A$120, 0)), "Categoría no válida", IF(AND(J973&lt;&gt;"", J973&lt;&gt;"", J973&lt;&gt;VLOOKUP(K973, Criterios!$A$81:$B$120, 2, FALSE)), "División no coincide con Categoría", ""))), IF(OR(L973="", L973=""), "[Aviso] Género no capturado ()", IF(ISNA(MATCH(L973, Criterios!$B$123:$B$127, 0)), "Género no válido", "")), IF(OR(N973="", N973=""), "[Aviso] Temporada no capturada ()", IF(ISNA(MATCH(N973, Criterios!$C$123:$C$128, 0)), "Temporada no válida", "")), IF(OR(O973="", O973=""), "[Aviso] Ciclo de vida no capturado ()", IF(ISNA(MATCH(O973, Criterios!$D$123:$D$124, 0)), "Ciclo de vida no válido", ""))))</f>
        <v/>
      </c>
      <c r="AC973" s="56" t="n"/>
      <c r="AD973" s="51" t="n">
        <v>0</v>
      </c>
      <c r="AE973" s="156" t="n"/>
      <c r="AF973" s="51" t="n">
        <v>0</v>
      </c>
      <c r="AG973" s="156" t="inlineStr">
        <is>
          <t>Catálogo existente</t>
        </is>
      </c>
      <c r="AH973" s="156" t="n"/>
      <c r="AI973" s="156" t="inlineStr">
        <is>
          <t>No</t>
        </is>
      </c>
      <c r="AJ973" s="156" t="n"/>
      <c r="AK973" s="155" t="inlineStr">
        <is>
          <t>Shopify Stetson: producto 15051554324843 / variante 53342126375275 | Odoo: producto 29824 / plantilla 38528</t>
        </is>
      </c>
      <c r="AL973" s="58" t="n">
        <v>775.862069</v>
      </c>
      <c r="AM973" s="58" t="n">
        <v>1724.137931</v>
      </c>
      <c r="AN973" s="155" t="inlineStr">
        <is>
          <t>Shopify Stetson México | Odoo Universal Unique Brands</t>
        </is>
      </c>
      <c r="AO973" s="59" t="n">
        <v>2</v>
      </c>
      <c r="AP973" s="59" t="n"/>
      <c r="AQ973" s="59" t="n">
        <v>2</v>
      </c>
      <c r="AR973" s="155" t="inlineStr">
        <is>
          <t>Shopify Stetson México › Stetson Americas: 2 | Odoo Universal Unique Brands › Bodega 25 › Bodega 25/General: 2</t>
        </is>
      </c>
    </row>
    <row r="974">
      <c r="A974" s="50" t="inlineStr">
        <is>
          <t>196070470147</t>
        </is>
      </c>
      <c r="B974" s="51" t="inlineStr">
        <is>
          <t>110773</t>
        </is>
      </c>
      <c r="C974" s="156" t="inlineStr">
        <is>
          <t>Multimarca</t>
        </is>
      </c>
      <c r="D974" s="156" t="inlineStr">
        <is>
          <t>11-062-0565-7066</t>
        </is>
      </c>
      <c r="E974" s="156" t="inlineStr">
        <is>
          <t>11-062-0565-7066-L</t>
        </is>
      </c>
      <c r="F974" s="156" t="inlineStr">
        <is>
          <t>L</t>
        </is>
      </c>
      <c r="G974" s="156" t="inlineStr">
        <is>
          <t>L</t>
        </is>
      </c>
      <c r="H974" s="156" t="inlineStr">
        <is>
          <t>Stetson</t>
        </is>
      </c>
      <c r="I974" s="156" t="inlineStr">
        <is>
          <t>Jumpsuit Pantalón Twill Manga Doleman</t>
        </is>
      </c>
      <c r="J974" s="156" t="inlineStr">
        <is>
          <t>Ropa</t>
        </is>
      </c>
      <c r="K974" s="156" t="inlineStr">
        <is>
          <t>Jumpsuits</t>
        </is>
      </c>
      <c r="L974" s="156" t="inlineStr">
        <is>
          <t>Mujer</t>
        </is>
      </c>
      <c r="M974" s="156" t="inlineStr">
        <is>
          <t>Stetson</t>
        </is>
      </c>
      <c r="N974" s="156" t="inlineStr">
        <is>
          <t>SS26</t>
        </is>
      </c>
      <c r="O974" s="156" t="inlineStr">
        <is>
          <t>Seasonal</t>
        </is>
      </c>
      <c r="P974" s="156" t="inlineStr">
        <is>
          <t>Gris</t>
        </is>
      </c>
      <c r="Q974" s="156" t="inlineStr">
        <is>
          <t>Relajado</t>
        </is>
      </c>
      <c r="R974" s="156" t="n"/>
      <c r="S974" s="156" t="inlineStr">
        <is>
          <t>100% Lyocell</t>
        </is>
      </c>
      <c r="T974" s="156" t="inlineStr">
        <is>
          <t>Jumpsuit Pantalón Twill Manga Doleman</t>
        </is>
      </c>
      <c r="U974" s="156" t="n"/>
      <c r="V974" s="156" t="inlineStr">
        <is>
          <t>PZS</t>
        </is>
      </c>
      <c r="W974" s="51" t="inlineStr">
        <is>
          <t>53101505</t>
        </is>
      </c>
      <c r="X974" s="156" t="n"/>
      <c r="Y974" s="54" t="n">
        <v>1629.310345</v>
      </c>
      <c r="Z974" s="54" t="n">
        <v>3620.689655</v>
      </c>
      <c r="AA974" s="55">
        <f>IF(AND(A974="", B974="", E974=""), "", IF(AB974="", "Válido", IF((LEN(AB974)-LEN(SUBSTITUTE(AB974,"; ","")))/2+1&gt;(LEN(AB974)-LEN(SUBSTITUTE(AB974,"[Aviso]","")))/7, "Con Incidencias", "Válido")))</f>
        <v/>
      </c>
      <c r="AB974" s="56">
        <f>IF(AND(A974="", B974="", E974=""), "", TEXTJOIN("; ", TRUE, IF(OR(TRIM(A974&amp;"")="", ISNUMBER(SEARCH("FALTA", A974))), "UPC faltante/inválido", ""), IF(AND(A974&lt;&gt;"", IFERROR(_xlfn.XMATCH(A974,$A$2:$A$2509,0,1)&lt;&gt;_xlfn.XMATCH(A974,$A$2:$A$2509,0,-1),FALSE)), "Código de barras duplicado", ""), IF(AND(E974&lt;&gt;"", COUNTIF($E$2:$E$2509, E974)&gt;1), "SKU duplicado", ""), IF(OR(J974="", J974=""), "[Aviso] División no capturada ()", IF(ISNA(MATCH(J974, Criterios!$A$123:$A$126, 0)), "División no válida", "")), IF(OR(K974="", K974=""), "[Aviso] Categoría no capturada ()", IF(ISNA(MATCH(K974, Criterios!$A$81:$A$120, 0)), "Categoría no válida", IF(AND(J974&lt;&gt;"", J974&lt;&gt;"", J974&lt;&gt;VLOOKUP(K974, Criterios!$A$81:$B$120, 2, FALSE)), "División no coincide con Categoría", ""))), IF(OR(L974="", L974=""), "[Aviso] Género no capturado ()", IF(ISNA(MATCH(L974, Criterios!$B$123:$B$127, 0)), "Género no válido", "")), IF(OR(N974="", N974=""), "[Aviso] Temporada no capturada ()", IF(ISNA(MATCH(N974, Criterios!$C$123:$C$128, 0)), "Temporada no válida", "")), IF(OR(O974="", O974=""), "[Aviso] Ciclo de vida no capturado ()", IF(ISNA(MATCH(O974, Criterios!$D$123:$D$124, 0)), "Ciclo de vida no válido", ""))))</f>
        <v/>
      </c>
      <c r="AC974" s="56" t="n"/>
      <c r="AD974" s="51" t="n">
        <v>0</v>
      </c>
      <c r="AE974" s="156" t="n"/>
      <c r="AF974" s="51" t="n">
        <v>0</v>
      </c>
      <c r="AG974" s="156" t="inlineStr">
        <is>
          <t>Catálogo existente</t>
        </is>
      </c>
      <c r="AH974" s="156" t="inlineStr">
        <is>
          <t>Revisión 29/09/2026: Campos sin respaldo: U, X; Auditoría NetSuite 30/09/2026: llenado desde NetSuite [V,S] | 01/10/2026: complementado desde Shopify Stetson México (match por código de barras): WB Silueta</t>
        </is>
      </c>
      <c r="AI974" s="156" t="inlineStr">
        <is>
          <t>No</t>
        </is>
      </c>
      <c r="AJ974" s="156" t="n"/>
      <c r="AK974" s="155" t="inlineStr">
        <is>
          <t>Criterios: J [R] | Descripción del registro fuente [T]; G1522_Extraccion_Articulos_NetSuite_2026-09-30.xlsx: fila 58588 [V,S] | Shopify Stetson: producto 15051572642155 / variante 53342181458283</t>
        </is>
      </c>
      <c r="AL974" s="58" t="n">
        <v>1629.310345</v>
      </c>
      <c r="AM974" s="58" t="n">
        <v>3620.689655</v>
      </c>
      <c r="AN974" s="155" t="inlineStr">
        <is>
          <t>Shopify Stetson México</t>
        </is>
      </c>
      <c r="AO974" s="59" t="n">
        <v>2</v>
      </c>
      <c r="AP974" s="59" t="n"/>
      <c r="AQ974" s="59" t="n"/>
      <c r="AR974" s="155" t="inlineStr">
        <is>
          <t>Shopify Stetson México › Stetson Americas: 2</t>
        </is>
      </c>
    </row>
    <row r="975">
      <c r="A975" s="50" t="inlineStr">
        <is>
          <t>196070470154</t>
        </is>
      </c>
      <c r="B975" s="51" t="inlineStr">
        <is>
          <t>110774</t>
        </is>
      </c>
      <c r="C975" s="156" t="inlineStr">
        <is>
          <t>Multimarca</t>
        </is>
      </c>
      <c r="D975" s="156" t="inlineStr">
        <is>
          <t>11-062-0565-7066</t>
        </is>
      </c>
      <c r="E975" s="156" t="inlineStr">
        <is>
          <t>11-062-0565-7066-M</t>
        </is>
      </c>
      <c r="F975" s="156" t="inlineStr">
        <is>
          <t>M</t>
        </is>
      </c>
      <c r="G975" s="156" t="inlineStr">
        <is>
          <t>M</t>
        </is>
      </c>
      <c r="H975" s="156" t="inlineStr">
        <is>
          <t>Stetson</t>
        </is>
      </c>
      <c r="I975" s="156" t="inlineStr">
        <is>
          <t>Jumpsuit Pantalón Twill Manga Doleman</t>
        </is>
      </c>
      <c r="J975" s="156" t="inlineStr">
        <is>
          <t>Ropa</t>
        </is>
      </c>
      <c r="K975" s="156" t="inlineStr">
        <is>
          <t>Jumpsuits</t>
        </is>
      </c>
      <c r="L975" s="156" t="inlineStr">
        <is>
          <t>Mujer</t>
        </is>
      </c>
      <c r="M975" s="156" t="inlineStr">
        <is>
          <t>Stetson</t>
        </is>
      </c>
      <c r="N975" s="156" t="inlineStr">
        <is>
          <t>SS26</t>
        </is>
      </c>
      <c r="O975" s="156" t="inlineStr">
        <is>
          <t>Seasonal</t>
        </is>
      </c>
      <c r="P975" s="156" t="inlineStr">
        <is>
          <t>Gris</t>
        </is>
      </c>
      <c r="Q975" s="156" t="inlineStr">
        <is>
          <t>Relajado</t>
        </is>
      </c>
      <c r="R975" s="156" t="n"/>
      <c r="S975" s="156" t="inlineStr">
        <is>
          <t>100% Lyocell</t>
        </is>
      </c>
      <c r="T975" s="156" t="inlineStr">
        <is>
          <t>Jumpsuit Pantalón Twill Manga Doleman</t>
        </is>
      </c>
      <c r="U975" s="156" t="n"/>
      <c r="V975" s="156" t="inlineStr">
        <is>
          <t>PZS</t>
        </is>
      </c>
      <c r="W975" s="51" t="inlineStr">
        <is>
          <t>53101505</t>
        </is>
      </c>
      <c r="X975" s="156" t="n"/>
      <c r="Y975" s="54" t="n">
        <v>1629.310345</v>
      </c>
      <c r="Z975" s="54" t="n">
        <v>3620.689655</v>
      </c>
      <c r="AA975" s="55">
        <f>IF(AND(A975="", B975="", E975=""), "", IF(AB975="", "Válido", IF((LEN(AB975)-LEN(SUBSTITUTE(AB975,"; ","")))/2+1&gt;(LEN(AB975)-LEN(SUBSTITUTE(AB975,"[Aviso]","")))/7, "Con Incidencias", "Válido")))</f>
        <v/>
      </c>
      <c r="AB975" s="56">
        <f>IF(AND(A975="", B975="", E975=""), "", TEXTJOIN("; ", TRUE, IF(OR(TRIM(A975&amp;"")="", ISNUMBER(SEARCH("FALTA", A975))), "UPC faltante/inválido", ""), IF(AND(A975&lt;&gt;"", IFERROR(_xlfn.XMATCH(A975,$A$2:$A$2509,0,1)&lt;&gt;_xlfn.XMATCH(A975,$A$2:$A$2509,0,-1),FALSE)), "Código de barras duplicado", ""), IF(AND(E975&lt;&gt;"", COUNTIF($E$2:$E$2509, E975)&gt;1), "SKU duplicado", ""), IF(OR(J975="", J975=""), "[Aviso] División no capturada ()", IF(ISNA(MATCH(J975, Criterios!$A$123:$A$126, 0)), "División no válida", "")), IF(OR(K975="", K975=""), "[Aviso] Categoría no capturada ()", IF(ISNA(MATCH(K975, Criterios!$A$81:$A$120, 0)), "Categoría no válida", IF(AND(J975&lt;&gt;"", J975&lt;&gt;"", J975&lt;&gt;VLOOKUP(K975, Criterios!$A$81:$B$120, 2, FALSE)), "División no coincide con Categoría", ""))), IF(OR(L975="", L975=""), "[Aviso] Género no capturado ()", IF(ISNA(MATCH(L975, Criterios!$B$123:$B$127, 0)), "Género no válido", "")), IF(OR(N975="", N975=""), "[Aviso] Temporada no capturada ()", IF(ISNA(MATCH(N975, Criterios!$C$123:$C$128, 0)), "Temporada no válida", "")), IF(OR(O975="", O975=""), "[Aviso] Ciclo de vida no capturado ()", IF(ISNA(MATCH(O975, Criterios!$D$123:$D$124, 0)), "Ciclo de vida no válido", ""))))</f>
        <v/>
      </c>
      <c r="AC975" s="56" t="n"/>
      <c r="AD975" s="51" t="n">
        <v>-1</v>
      </c>
      <c r="AE975" s="156" t="n"/>
      <c r="AF975" s="51" t="n">
        <v>0</v>
      </c>
      <c r="AG975" s="156" t="inlineStr">
        <is>
          <t>Catálogo existente</t>
        </is>
      </c>
      <c r="AH975" s="156" t="inlineStr">
        <is>
          <t>Stock negativo en sistema: revisar en conteo | Revisión 29/09/2026: Campos sin respaldo: U, X; Auditoría NetSuite 30/09/2026: llenado desde NetSuite [V,S] | 01/10/2026: complementado desde Shopify Stetson México (match por código de barras): WB Silueta</t>
        </is>
      </c>
      <c r="AI975" s="156" t="inlineStr">
        <is>
          <t>Sí</t>
        </is>
      </c>
      <c r="AJ975" s="156" t="inlineStr">
        <is>
          <t>STETSON AMERICAS (-1)</t>
        </is>
      </c>
      <c r="AK975" s="155" t="inlineStr">
        <is>
          <t>Criterios: J [R] | Descripción del registro fuente [T]; G1522_Extraccion_Articulos_NetSuite_2026-09-30.xlsx: fila 58589 [V,S] | Shopify Stetson: producto 15051572642155 / variante 53342181425515</t>
        </is>
      </c>
      <c r="AL975" s="58" t="n">
        <v>1629.310345</v>
      </c>
      <c r="AM975" s="58" t="n">
        <v>3620.689655</v>
      </c>
      <c r="AN975" s="155" t="inlineStr">
        <is>
          <t>Shopify Stetson México</t>
        </is>
      </c>
      <c r="AO975" s="59" t="n">
        <v>2</v>
      </c>
      <c r="AP975" s="59" t="n"/>
      <c r="AQ975" s="59" t="n"/>
      <c r="AR975" s="155" t="inlineStr">
        <is>
          <t>Shopify Stetson México › Stetson Americas: 2</t>
        </is>
      </c>
    </row>
    <row r="976">
      <c r="A976" s="50" t="inlineStr">
        <is>
          <t>196070470161</t>
        </is>
      </c>
      <c r="B976" s="51" t="inlineStr">
        <is>
          <t>110775</t>
        </is>
      </c>
      <c r="C976" s="156" t="inlineStr">
        <is>
          <t>Multimarca</t>
        </is>
      </c>
      <c r="D976" s="156" t="inlineStr">
        <is>
          <t>11-062-0565-7066</t>
        </is>
      </c>
      <c r="E976" s="156" t="inlineStr">
        <is>
          <t>11-062-0565-7066-S</t>
        </is>
      </c>
      <c r="F976" s="156" t="inlineStr">
        <is>
          <t>S</t>
        </is>
      </c>
      <c r="G976" s="156" t="inlineStr">
        <is>
          <t>S</t>
        </is>
      </c>
      <c r="H976" s="156" t="inlineStr">
        <is>
          <t>Stetson</t>
        </is>
      </c>
      <c r="I976" s="156" t="inlineStr">
        <is>
          <t>Jumpsuit Pantalón Twill Manga Doleman</t>
        </is>
      </c>
      <c r="J976" s="156" t="inlineStr">
        <is>
          <t>Ropa</t>
        </is>
      </c>
      <c r="K976" s="156" t="inlineStr">
        <is>
          <t>Jumpsuits</t>
        </is>
      </c>
      <c r="L976" s="156" t="inlineStr">
        <is>
          <t>Mujer</t>
        </is>
      </c>
      <c r="M976" s="156" t="inlineStr">
        <is>
          <t>Stetson</t>
        </is>
      </c>
      <c r="N976" s="156" t="inlineStr">
        <is>
          <t>SS26</t>
        </is>
      </c>
      <c r="O976" s="156" t="inlineStr">
        <is>
          <t>Seasonal</t>
        </is>
      </c>
      <c r="P976" s="156" t="inlineStr">
        <is>
          <t>Gris</t>
        </is>
      </c>
      <c r="Q976" s="156" t="inlineStr">
        <is>
          <t>Relajado</t>
        </is>
      </c>
      <c r="R976" s="156" t="n"/>
      <c r="S976" s="156" t="inlineStr">
        <is>
          <t>100% Lyocell</t>
        </is>
      </c>
      <c r="T976" s="156" t="inlineStr">
        <is>
          <t>Jumpsuit Pantalón Twill Manga Doleman</t>
        </is>
      </c>
      <c r="U976" s="156" t="n"/>
      <c r="V976" s="156" t="inlineStr">
        <is>
          <t>PZS</t>
        </is>
      </c>
      <c r="W976" s="51" t="inlineStr">
        <is>
          <t>53101505</t>
        </is>
      </c>
      <c r="X976" s="156" t="n"/>
      <c r="Y976" s="54" t="n">
        <v>1629.310345</v>
      </c>
      <c r="Z976" s="54" t="n">
        <v>3620.689655</v>
      </c>
      <c r="AA976" s="55">
        <f>IF(AND(A976="", B976="", E976=""), "", IF(AB976="", "Válido", IF((LEN(AB976)-LEN(SUBSTITUTE(AB976,"; ","")))/2+1&gt;(LEN(AB976)-LEN(SUBSTITUTE(AB976,"[Aviso]","")))/7, "Con Incidencias", "Válido")))</f>
        <v/>
      </c>
      <c r="AB976" s="56">
        <f>IF(AND(A976="", B976="", E976=""), "", TEXTJOIN("; ", TRUE, IF(OR(TRIM(A976&amp;"")="", ISNUMBER(SEARCH("FALTA", A976))), "UPC faltante/inválido", ""), IF(AND(A976&lt;&gt;"", IFERROR(_xlfn.XMATCH(A976,$A$2:$A$2509,0,1)&lt;&gt;_xlfn.XMATCH(A976,$A$2:$A$2509,0,-1),FALSE)), "Código de barras duplicado", ""), IF(AND(E976&lt;&gt;"", COUNTIF($E$2:$E$2509, E976)&gt;1), "SKU duplicado", ""), IF(OR(J976="", J976=""), "[Aviso] División no capturada ()", IF(ISNA(MATCH(J976, Criterios!$A$123:$A$126, 0)), "División no válida", "")), IF(OR(K976="", K976=""), "[Aviso] Categoría no capturada ()", IF(ISNA(MATCH(K976, Criterios!$A$81:$A$120, 0)), "Categoría no válida", IF(AND(J976&lt;&gt;"", J976&lt;&gt;"", J976&lt;&gt;VLOOKUP(K976, Criterios!$A$81:$B$120, 2, FALSE)), "División no coincide con Categoría", ""))), IF(OR(L976="", L976=""), "[Aviso] Género no capturado ()", IF(ISNA(MATCH(L976, Criterios!$B$123:$B$127, 0)), "Género no válido", "")), IF(OR(N976="", N976=""), "[Aviso] Temporada no capturada ()", IF(ISNA(MATCH(N976, Criterios!$C$123:$C$128, 0)), "Temporada no válida", "")), IF(OR(O976="", O976=""), "[Aviso] Ciclo de vida no capturado ()", IF(ISNA(MATCH(O976, Criterios!$D$123:$D$124, 0)), "Ciclo de vida no válido", ""))))</f>
        <v/>
      </c>
      <c r="AC976" s="56" t="n"/>
      <c r="AD976" s="51" t="n">
        <v>0</v>
      </c>
      <c r="AE976" s="156" t="n"/>
      <c r="AF976" s="51" t="n">
        <v>0</v>
      </c>
      <c r="AG976" s="156" t="inlineStr">
        <is>
          <t>Catálogo existente</t>
        </is>
      </c>
      <c r="AH976" s="156" t="inlineStr">
        <is>
          <t>Revisión 29/09/2026: Campos sin respaldo: U, X; Auditoría NetSuite 30/09/2026: llenado desde NetSuite [V,S] | 01/10/2026: complementado desde Shopify Stetson México (match por código de barras): WB Silueta</t>
        </is>
      </c>
      <c r="AI976" s="156" t="inlineStr">
        <is>
          <t>No</t>
        </is>
      </c>
      <c r="AJ976" s="156" t="n"/>
      <c r="AK976" s="155" t="inlineStr">
        <is>
          <t>Criterios: J [R] | Descripción del registro fuente [T]; G1522_Extraccion_Articulos_NetSuite_2026-09-30.xlsx: fila 58590 [V,S] | Shopify Stetson: producto 15051572642155 / variante 53342181392747</t>
        </is>
      </c>
      <c r="AL976" s="58" t="n">
        <v>1629.310345</v>
      </c>
      <c r="AM976" s="58" t="n">
        <v>3620.689655</v>
      </c>
      <c r="AN976" s="155" t="inlineStr">
        <is>
          <t>Shopify Stetson México</t>
        </is>
      </c>
      <c r="AO976" s="59" t="n">
        <v>4</v>
      </c>
      <c r="AP976" s="59" t="n"/>
      <c r="AQ976" s="59" t="n"/>
      <c r="AR976" s="155" t="inlineStr">
        <is>
          <t>Shopify Stetson México › Stetson Americas: 4</t>
        </is>
      </c>
    </row>
    <row r="977">
      <c r="A977" s="50" t="inlineStr">
        <is>
          <t>196070470185</t>
        </is>
      </c>
      <c r="B977" s="51" t="inlineStr">
        <is>
          <t>110776</t>
        </is>
      </c>
      <c r="C977" s="156" t="inlineStr">
        <is>
          <t>Multimarca</t>
        </is>
      </c>
      <c r="D977" s="156" t="inlineStr">
        <is>
          <t>11-062-0565-7066</t>
        </is>
      </c>
      <c r="E977" s="156" t="inlineStr">
        <is>
          <t>11-062-0565-7066-XS</t>
        </is>
      </c>
      <c r="F977" s="156" t="inlineStr">
        <is>
          <t>XS</t>
        </is>
      </c>
      <c r="G977" s="156" t="inlineStr">
        <is>
          <t>XS</t>
        </is>
      </c>
      <c r="H977" s="156" t="inlineStr">
        <is>
          <t>Stetson</t>
        </is>
      </c>
      <c r="I977" s="156" t="inlineStr">
        <is>
          <t>Jumpsuit Pantalón Twill Manga Doleman</t>
        </is>
      </c>
      <c r="J977" s="156" t="inlineStr">
        <is>
          <t>Ropa</t>
        </is>
      </c>
      <c r="K977" s="156" t="inlineStr">
        <is>
          <t>Jumpsuits</t>
        </is>
      </c>
      <c r="L977" s="156" t="inlineStr">
        <is>
          <t>Mujer</t>
        </is>
      </c>
      <c r="M977" s="156" t="inlineStr">
        <is>
          <t>Stetson</t>
        </is>
      </c>
      <c r="N977" s="156" t="inlineStr">
        <is>
          <t>SS26</t>
        </is>
      </c>
      <c r="O977" s="156" t="inlineStr">
        <is>
          <t>Seasonal</t>
        </is>
      </c>
      <c r="P977" s="156" t="inlineStr">
        <is>
          <t>Gris</t>
        </is>
      </c>
      <c r="Q977" s="156" t="inlineStr">
        <is>
          <t>Relajado</t>
        </is>
      </c>
      <c r="R977" s="156" t="n"/>
      <c r="S977" s="156" t="inlineStr">
        <is>
          <t>100% Lyocell</t>
        </is>
      </c>
      <c r="T977" s="156" t="inlineStr">
        <is>
          <t>Jumpsuit Pantalón Twill Manga Doleman</t>
        </is>
      </c>
      <c r="U977" s="156" t="n"/>
      <c r="V977" s="156" t="inlineStr">
        <is>
          <t>PZS</t>
        </is>
      </c>
      <c r="W977" s="51" t="inlineStr">
        <is>
          <t>53101505</t>
        </is>
      </c>
      <c r="X977" s="156" t="n"/>
      <c r="Y977" s="54" t="n">
        <v>1629.310345</v>
      </c>
      <c r="Z977" s="54" t="n">
        <v>3620.689655</v>
      </c>
      <c r="AA977" s="55">
        <f>IF(AND(A977="", B977="", E977=""), "", IF(AB977="", "Válido", IF((LEN(AB977)-LEN(SUBSTITUTE(AB977,"; ","")))/2+1&gt;(LEN(AB977)-LEN(SUBSTITUTE(AB977,"[Aviso]","")))/7, "Con Incidencias", "Válido")))</f>
        <v/>
      </c>
      <c r="AB977" s="56">
        <f>IF(AND(A977="", B977="", E977=""), "", TEXTJOIN("; ", TRUE, IF(OR(TRIM(A977&amp;"")="", ISNUMBER(SEARCH("FALTA", A977))), "UPC faltante/inválido", ""), IF(AND(A977&lt;&gt;"", IFERROR(_xlfn.XMATCH(A977,$A$2:$A$2509,0,1)&lt;&gt;_xlfn.XMATCH(A977,$A$2:$A$2509,0,-1),FALSE)), "Código de barras duplicado", ""), IF(AND(E977&lt;&gt;"", COUNTIF($E$2:$E$2509, E977)&gt;1), "SKU duplicado", ""), IF(OR(J977="", J977=""), "[Aviso] División no capturada ()", IF(ISNA(MATCH(J977, Criterios!$A$123:$A$126, 0)), "División no válida", "")), IF(OR(K977="", K977=""), "[Aviso] Categoría no capturada ()", IF(ISNA(MATCH(K977, Criterios!$A$81:$A$120, 0)), "Categoría no válida", IF(AND(J977&lt;&gt;"", J977&lt;&gt;"", J977&lt;&gt;VLOOKUP(K977, Criterios!$A$81:$B$120, 2, FALSE)), "División no coincide con Categoría", ""))), IF(OR(L977="", L977=""), "[Aviso] Género no capturado ()", IF(ISNA(MATCH(L977, Criterios!$B$123:$B$127, 0)), "Género no válido", "")), IF(OR(N977="", N977=""), "[Aviso] Temporada no capturada ()", IF(ISNA(MATCH(N977, Criterios!$C$123:$C$128, 0)), "Temporada no válida", "")), IF(OR(O977="", O977=""), "[Aviso] Ciclo de vida no capturado ()", IF(ISNA(MATCH(O977, Criterios!$D$123:$D$124, 0)), "Ciclo de vida no válido", ""))))</f>
        <v/>
      </c>
      <c r="AC977" s="56" t="n"/>
      <c r="AD977" s="51" t="n">
        <v>-1</v>
      </c>
      <c r="AE977" s="156" t="n"/>
      <c r="AF977" s="51" t="n">
        <v>0</v>
      </c>
      <c r="AG977" s="156" t="inlineStr">
        <is>
          <t>Catálogo existente</t>
        </is>
      </c>
      <c r="AH977" s="156" t="inlineStr">
        <is>
          <t>Stock negativo en sistema: revisar en conteo | Revisión 29/09/2026: Campos sin respaldo: U, X; Auditoría NetSuite 30/09/2026: llenado desde NetSuite [V,S] | 01/10/2026: complementado desde Shopify Stetson México (match por código de barras): WB Silueta</t>
        </is>
      </c>
      <c r="AI977" s="156" t="inlineStr">
        <is>
          <t>Sí</t>
        </is>
      </c>
      <c r="AJ977" s="156" t="inlineStr">
        <is>
          <t>STETSON AMERICAS (-1)</t>
        </is>
      </c>
      <c r="AK977" s="155" t="inlineStr">
        <is>
          <t>Criterios: J [R] | Descripción del registro fuente [T]; G1522_Extraccion_Articulos_NetSuite_2026-09-30.xlsx: fila 58591 [V,S] | Shopify Stetson: producto 15051572642155 / variante 53342181359979</t>
        </is>
      </c>
      <c r="AL977" s="58" t="n">
        <v>1629.310345</v>
      </c>
      <c r="AM977" s="58" t="n">
        <v>3620.689655</v>
      </c>
      <c r="AN977" s="155" t="inlineStr">
        <is>
          <t>Shopify Stetson México</t>
        </is>
      </c>
      <c r="AO977" s="59" t="n">
        <v>1</v>
      </c>
      <c r="AP977" s="59" t="n"/>
      <c r="AQ977" s="59" t="n"/>
      <c r="AR977" s="155" t="inlineStr">
        <is>
          <t>Shopify Stetson México › Stetson Americas: 1</t>
        </is>
      </c>
    </row>
    <row r="978">
      <c r="A978" s="50" t="inlineStr">
        <is>
          <t>196070470758</t>
        </is>
      </c>
      <c r="B978" s="51" t="inlineStr">
        <is>
          <t>111651</t>
        </is>
      </c>
      <c r="C978" s="156" t="inlineStr">
        <is>
          <t>Multimarca</t>
        </is>
      </c>
      <c r="D978" s="156" t="inlineStr">
        <is>
          <t>11-098-0539-7039</t>
        </is>
      </c>
      <c r="E978" s="156" t="inlineStr">
        <is>
          <t>11-098-0539-7039-M</t>
        </is>
      </c>
      <c r="F978" s="156" t="inlineStr">
        <is>
          <t>M</t>
        </is>
      </c>
      <c r="G978" s="156" t="inlineStr">
        <is>
          <t>M</t>
        </is>
      </c>
      <c r="H978" s="156" t="inlineStr">
        <is>
          <t>Stetson</t>
        </is>
      </c>
      <c r="I978" s="156" t="inlineStr">
        <is>
          <t>Sobrecamisa De Mezcla De Lana</t>
        </is>
      </c>
      <c r="J978" s="156" t="inlineStr">
        <is>
          <t>Ropa</t>
        </is>
      </c>
      <c r="K978" s="156" t="inlineStr">
        <is>
          <t>Chamarras</t>
        </is>
      </c>
      <c r="L978" s="156" t="inlineStr">
        <is>
          <t>Mujer</t>
        </is>
      </c>
      <c r="M978" s="156" t="inlineStr">
        <is>
          <t>Stetson</t>
        </is>
      </c>
      <c r="N978" s="156" t="inlineStr">
        <is>
          <t>SS26</t>
        </is>
      </c>
      <c r="O978" s="156" t="inlineStr">
        <is>
          <t>Seasonal</t>
        </is>
      </c>
      <c r="P978" s="156" t="inlineStr">
        <is>
          <t>Blanco</t>
        </is>
      </c>
      <c r="Q978" s="156" t="inlineStr">
        <is>
          <t>Regular</t>
        </is>
      </c>
      <c r="R978" s="156" t="n"/>
      <c r="S978" s="156" t="inlineStr">
        <is>
          <t>60% Lana 40% Poliéster</t>
        </is>
      </c>
      <c r="T978" s="156" t="inlineStr">
        <is>
          <t>Sobrecamisa De Mezcla De Lana Regular</t>
        </is>
      </c>
      <c r="U978" s="156" t="n"/>
      <c r="V978" s="156" t="inlineStr">
        <is>
          <t>PZS</t>
        </is>
      </c>
      <c r="W978" s="51" t="inlineStr">
        <is>
          <t>53101804</t>
        </is>
      </c>
      <c r="X978" s="156" t="n"/>
      <c r="Y978" s="54" t="n">
        <v>1532.327586</v>
      </c>
      <c r="Z978" s="54" t="n">
        <v>3405.172414</v>
      </c>
      <c r="AA978" s="55">
        <f>IF(AND(A978="", B978="", E978=""), "", IF(AB978="", "Válido", IF((LEN(AB978)-LEN(SUBSTITUTE(AB978,"; ","")))/2+1&gt;(LEN(AB978)-LEN(SUBSTITUTE(AB978,"[Aviso]","")))/7, "Con Incidencias", "Válido")))</f>
        <v/>
      </c>
      <c r="AB978" s="56">
        <f>IF(AND(A978="", B978="", E978=""), "", TEXTJOIN("; ", TRUE, IF(OR(TRIM(A978&amp;"")="", ISNUMBER(SEARCH("FALTA", A978))), "UPC faltante/inválido", ""), IF(AND(A978&lt;&gt;"", IFERROR(_xlfn.XMATCH(A978,$A$2:$A$2509,0,1)&lt;&gt;_xlfn.XMATCH(A978,$A$2:$A$2509,0,-1),FALSE)), "Código de barras duplicado", ""), IF(AND(E978&lt;&gt;"", COUNTIF($E$2:$E$2509, E978)&gt;1), "SKU duplicado", ""), IF(OR(J978="", J978=""), "[Aviso] División no capturada ()", IF(ISNA(MATCH(J978, Criterios!$A$123:$A$126, 0)), "División no válida", "")), IF(OR(K978="", K978=""), "[Aviso] Categoría no capturada ()", IF(ISNA(MATCH(K978, Criterios!$A$81:$A$120, 0)), "Categoría no válida", IF(AND(J978&lt;&gt;"", J978&lt;&gt;"", J978&lt;&gt;VLOOKUP(K978, Criterios!$A$81:$B$120, 2, FALSE)), "División no coincide con Categoría", ""))), IF(OR(L978="", L978=""), "[Aviso] Género no capturado ()", IF(ISNA(MATCH(L978, Criterios!$B$123:$B$127, 0)), "Género no válido", "")), IF(OR(N978="", N978=""), "[Aviso] Temporada no capturada ()", IF(ISNA(MATCH(N978, Criterios!$C$123:$C$128, 0)), "Temporada no válida", "")), IF(OR(O978="", O978=""), "[Aviso] Ciclo de vida no capturado ()", IF(ISNA(MATCH(O978, Criterios!$D$123:$D$124, 0)), "Ciclo de vida no válido", ""))))</f>
        <v/>
      </c>
      <c r="AC978" s="56" t="n"/>
      <c r="AD978" s="51" t="n">
        <v>0</v>
      </c>
      <c r="AE978" s="156" t="n"/>
      <c r="AF978" s="51" t="n">
        <v>0</v>
      </c>
      <c r="AG978" s="156" t="inlineStr">
        <is>
          <t>Catálogo existente</t>
        </is>
      </c>
      <c r="AH978" s="156" t="inlineStr">
        <is>
          <t>Revisión 29/09/2026: Campos sin respaldo: U, X; Auditoría NetSuite 30/09/2026: llenado desde NetSuite [S] | 01/10/2026: complementado desde Shopify Stetson México (match por código de barras): WB Silueta | 01/10/2026: Shopify Stetson México trae Categoría «Camisas» — se conservó el valor de Productos</t>
        </is>
      </c>
      <c r="AI978" s="156" t="inlineStr">
        <is>
          <t>No</t>
        </is>
      </c>
      <c r="AJ978" s="156" t="n"/>
      <c r="AK978" s="155" t="inlineStr">
        <is>
          <t>Criterios: J [R]; G1522_Extraccion_Articulos_NetSuite_2026-09-30.xlsx: fila 59326 [S] | Shopify Stetson: producto 15051555635563 / variante 53350586679659</t>
        </is>
      </c>
      <c r="AL978" s="58" t="n">
        <v>1532.327586</v>
      </c>
      <c r="AM978" s="58" t="n">
        <v>3405.172414</v>
      </c>
      <c r="AN978" s="155" t="inlineStr">
        <is>
          <t>Shopify Stetson México</t>
        </is>
      </c>
      <c r="AO978" s="59" t="n">
        <v>1</v>
      </c>
      <c r="AP978" s="59" t="n"/>
      <c r="AQ978" s="59" t="n"/>
      <c r="AR978" s="155" t="inlineStr">
        <is>
          <t>Shopify Stetson México › Stetson Americas: 1</t>
        </is>
      </c>
    </row>
    <row r="979">
      <c r="A979" s="50" t="inlineStr">
        <is>
          <t>196070516326</t>
        </is>
      </c>
      <c r="B979" s="51" t="inlineStr">
        <is>
          <t>109542</t>
        </is>
      </c>
      <c r="C979" s="156" t="inlineStr">
        <is>
          <t>Multimarca</t>
        </is>
      </c>
      <c r="D979" s="156" t="inlineStr">
        <is>
          <t>11-001-0465-0190</t>
        </is>
      </c>
      <c r="E979" s="156" t="inlineStr">
        <is>
          <t>11-001-0465-0190-L</t>
        </is>
      </c>
      <c r="F979" s="156" t="inlineStr">
        <is>
          <t>L</t>
        </is>
      </c>
      <c r="G979" s="156" t="inlineStr">
        <is>
          <t>L</t>
        </is>
      </c>
      <c r="H979" s="156" t="inlineStr">
        <is>
          <t>Stetson</t>
        </is>
      </c>
      <c r="I979" s="156" t="inlineStr">
        <is>
          <t>Camisa Manga Larga Mezclilla Dirty Oscuro</t>
        </is>
      </c>
      <c r="J979" s="156" t="inlineStr">
        <is>
          <t>Ropa</t>
        </is>
      </c>
      <c r="K979" s="156" t="inlineStr">
        <is>
          <t>Camisas</t>
        </is>
      </c>
      <c r="L979" s="156" t="inlineStr">
        <is>
          <t>Hombre</t>
        </is>
      </c>
      <c r="M979" s="156" t="inlineStr">
        <is>
          <t>Stetson</t>
        </is>
      </c>
      <c r="N979" s="156" t="inlineStr">
        <is>
          <t>SS26</t>
        </is>
      </c>
      <c r="O979" s="156" t="inlineStr">
        <is>
          <t>Seasonal</t>
        </is>
      </c>
      <c r="P979" s="156" t="inlineStr">
        <is>
          <t>Azul</t>
        </is>
      </c>
      <c r="Q979" s="156" t="inlineStr">
        <is>
          <t>Clásico</t>
        </is>
      </c>
      <c r="R979" s="156" t="n"/>
      <c r="S979" s="156" t="inlineStr">
        <is>
          <t>Mezclilla</t>
        </is>
      </c>
      <c r="T979"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79" s="156" t="n"/>
      <c r="V979" s="156" t="inlineStr">
        <is>
          <t>PZS</t>
        </is>
      </c>
      <c r="W979" s="51" t="inlineStr">
        <is>
          <t>53101600</t>
        </is>
      </c>
      <c r="X979" s="156" t="inlineStr">
        <is>
          <t>https://cdn.shopify.com/s/files/1/0888/3250/8267/files/1100104650190a.jpg?v=1744301315</t>
        </is>
      </c>
      <c r="Y979" s="54" t="n">
        <v>717.6724138</v>
      </c>
      <c r="Z979" s="54" t="n">
        <v>1594.827586</v>
      </c>
      <c r="AA979" s="55">
        <f>IF(AND(A979="", B979="", E979=""), "", IF(AB979="", "Válido", IF((LEN(AB979)-LEN(SUBSTITUTE(AB979,"; ","")))/2+1&gt;(LEN(AB979)-LEN(SUBSTITUTE(AB979,"[Aviso]","")))/7, "Con Incidencias", "Válido")))</f>
        <v/>
      </c>
      <c r="AB979" s="56">
        <f>IF(AND(A979="", B979="", E979=""), "", TEXTJOIN("; ", TRUE, IF(OR(TRIM(A979&amp;"")="", ISNUMBER(SEARCH("FALTA", A979))), "UPC faltante/inválido", ""), IF(AND(A979&lt;&gt;"", IFERROR(_xlfn.XMATCH(A979,$A$2:$A$2509,0,1)&lt;&gt;_xlfn.XMATCH(A979,$A$2:$A$2509,0,-1),FALSE)), "Código de barras duplicado", ""), IF(AND(E979&lt;&gt;"", COUNTIF($E$2:$E$2509, E979)&gt;1), "SKU duplicado", ""), IF(OR(J979="", J979=""), "[Aviso] División no capturada ()", IF(ISNA(MATCH(J979, Criterios!$A$123:$A$126, 0)), "División no válida", "")), IF(OR(K979="", K979=""), "[Aviso] Categoría no capturada ()", IF(ISNA(MATCH(K979, Criterios!$A$81:$A$120, 0)), "Categoría no válida", IF(AND(J979&lt;&gt;"", J979&lt;&gt;"", J979&lt;&gt;VLOOKUP(K979, Criterios!$A$81:$B$120, 2, FALSE)), "División no coincide con Categoría", ""))), IF(OR(L979="", L979=""), "[Aviso] Género no capturado ()", IF(ISNA(MATCH(L979, Criterios!$B$123:$B$127, 0)), "Género no válido", "")), IF(OR(N979="", N979=""), "[Aviso] Temporada no capturada ()", IF(ISNA(MATCH(N979, Criterios!$C$123:$C$128, 0)), "Temporada no válida", "")), IF(OR(O979="", O979=""), "[Aviso] Ciclo de vida no capturado ()", IF(ISNA(MATCH(O979, Criterios!$D$123:$D$124, 0)), "Ciclo de vida no válido", ""))))</f>
        <v/>
      </c>
      <c r="AC979" s="56" t="n"/>
      <c r="AD979" s="51" t="n">
        <v>0</v>
      </c>
      <c r="AE979" s="156" t="n"/>
      <c r="AF979" s="51" t="n">
        <v>0</v>
      </c>
      <c r="AG979" s="156" t="inlineStr">
        <is>
          <t>Catálogo existente</t>
        </is>
      </c>
      <c r="AH979" s="156" t="inlineStr">
        <is>
          <t>Revisión 29/09/2026: Campos sin respaldo: U, X; Auditoría NetSuite 30/09/2026: llenado desde NetSuite [S] | 01/10/2026: complementado desde Shopify Stetson México (match por código de barras): WB Silueta, Enlace de imagen</t>
        </is>
      </c>
      <c r="AI979" s="156" t="inlineStr">
        <is>
          <t>No</t>
        </is>
      </c>
      <c r="AJ979" s="156" t="n"/>
      <c r="AK979" s="155" t="inlineStr">
        <is>
          <t>Criterios: J [R]; G1522_Extraccion_Articulos_NetSuite_2026-09-30.xlsx: fila 57357 [S] | Shopify Stetson: producto 14694158631275 / variante 51996054913387</t>
        </is>
      </c>
      <c r="AL979" s="58" t="n">
        <v>717.6724138</v>
      </c>
      <c r="AM979" s="58" t="n">
        <v>1594.827586</v>
      </c>
      <c r="AN979" s="155" t="inlineStr">
        <is>
          <t>Shopify Stetson México</t>
        </is>
      </c>
      <c r="AO979" s="59" t="n">
        <v>0</v>
      </c>
      <c r="AP979" s="59" t="n"/>
      <c r="AQ979" s="59" t="n"/>
      <c r="AR979" s="155" t="n"/>
    </row>
    <row r="980">
      <c r="A980" s="50" t="inlineStr">
        <is>
          <t>196070516333</t>
        </is>
      </c>
      <c r="B980" s="51" t="inlineStr">
        <is>
          <t>109543</t>
        </is>
      </c>
      <c r="C980" s="156" t="inlineStr">
        <is>
          <t>Multimarca</t>
        </is>
      </c>
      <c r="D980" s="156" t="inlineStr">
        <is>
          <t>11-001-0465-0190</t>
        </is>
      </c>
      <c r="E980" s="156" t="inlineStr">
        <is>
          <t>11-001-0465-0190-M</t>
        </is>
      </c>
      <c r="F980" s="156" t="inlineStr">
        <is>
          <t>M</t>
        </is>
      </c>
      <c r="G980" s="156" t="inlineStr">
        <is>
          <t>M</t>
        </is>
      </c>
      <c r="H980" s="156" t="inlineStr">
        <is>
          <t>Stetson</t>
        </is>
      </c>
      <c r="I980" s="156" t="inlineStr">
        <is>
          <t>Camisa Manga Larga Mezclilla Dirty Oscuro</t>
        </is>
      </c>
      <c r="J980" s="156" t="inlineStr">
        <is>
          <t>Ropa</t>
        </is>
      </c>
      <c r="K980" s="156" t="inlineStr">
        <is>
          <t>Camisas</t>
        </is>
      </c>
      <c r="L980" s="156" t="inlineStr">
        <is>
          <t>Hombre</t>
        </is>
      </c>
      <c r="M980" s="156" t="inlineStr">
        <is>
          <t>Stetson</t>
        </is>
      </c>
      <c r="N980" s="156" t="inlineStr">
        <is>
          <t>SS26</t>
        </is>
      </c>
      <c r="O980" s="156" t="inlineStr">
        <is>
          <t>Seasonal</t>
        </is>
      </c>
      <c r="P980" s="156" t="inlineStr">
        <is>
          <t>Azul</t>
        </is>
      </c>
      <c r="Q980" s="156" t="inlineStr">
        <is>
          <t>Clásico</t>
        </is>
      </c>
      <c r="R980" s="156" t="n"/>
      <c r="S980" s="156" t="inlineStr">
        <is>
          <t>Mezclilla</t>
        </is>
      </c>
      <c r="T980"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0" s="156" t="n"/>
      <c r="V980" s="156" t="inlineStr">
        <is>
          <t>PZS</t>
        </is>
      </c>
      <c r="W980" s="51" t="inlineStr">
        <is>
          <t>53101600</t>
        </is>
      </c>
      <c r="X980" s="156" t="inlineStr">
        <is>
          <t>https://cdn.shopify.com/s/files/1/0888/3250/8267/files/1100104650190b.jpg?v=1744301322</t>
        </is>
      </c>
      <c r="Y980" s="54" t="n">
        <v>717.6724138</v>
      </c>
      <c r="Z980" s="54" t="n">
        <v>1594.827586</v>
      </c>
      <c r="AA980" s="55">
        <f>IF(AND(A980="", B980="", E980=""), "", IF(AB980="", "Válido", IF((LEN(AB980)-LEN(SUBSTITUTE(AB980,"; ","")))/2+1&gt;(LEN(AB980)-LEN(SUBSTITUTE(AB980,"[Aviso]","")))/7, "Con Incidencias", "Válido")))</f>
        <v/>
      </c>
      <c r="AB980" s="56">
        <f>IF(AND(A980="", B980="", E980=""), "", TEXTJOIN("; ", TRUE, IF(OR(TRIM(A980&amp;"")="", ISNUMBER(SEARCH("FALTA", A980))), "UPC faltante/inválido", ""), IF(AND(A980&lt;&gt;"", IFERROR(_xlfn.XMATCH(A980,$A$2:$A$2509,0,1)&lt;&gt;_xlfn.XMATCH(A980,$A$2:$A$2509,0,-1),FALSE)), "Código de barras duplicado", ""), IF(AND(E980&lt;&gt;"", COUNTIF($E$2:$E$2509, E980)&gt;1), "SKU duplicado", ""), IF(OR(J980="", J980=""), "[Aviso] División no capturada ()", IF(ISNA(MATCH(J980, Criterios!$A$123:$A$126, 0)), "División no válida", "")), IF(OR(K980="", K980=""), "[Aviso] Categoría no capturada ()", IF(ISNA(MATCH(K980, Criterios!$A$81:$A$120, 0)), "Categoría no válida", IF(AND(J980&lt;&gt;"", J980&lt;&gt;"", J980&lt;&gt;VLOOKUP(K980, Criterios!$A$81:$B$120, 2, FALSE)), "División no coincide con Categoría", ""))), IF(OR(L980="", L980=""), "[Aviso] Género no capturado ()", IF(ISNA(MATCH(L980, Criterios!$B$123:$B$127, 0)), "Género no válido", "")), IF(OR(N980="", N980=""), "[Aviso] Temporada no capturada ()", IF(ISNA(MATCH(N980, Criterios!$C$123:$C$128, 0)), "Temporada no válida", "")), IF(OR(O980="", O980=""), "[Aviso] Ciclo de vida no capturado ()", IF(ISNA(MATCH(O980, Criterios!$D$123:$D$124, 0)), "Ciclo de vida no válido", ""))))</f>
        <v/>
      </c>
      <c r="AC980" s="56" t="n"/>
      <c r="AD980" s="51" t="n">
        <v>0</v>
      </c>
      <c r="AE980" s="156" t="n"/>
      <c r="AF980" s="51" t="n">
        <v>0</v>
      </c>
      <c r="AG980" s="156" t="inlineStr">
        <is>
          <t>Catálogo existente</t>
        </is>
      </c>
      <c r="AH980" s="156" t="inlineStr">
        <is>
          <t>Revisión 29/09/2026: Campos sin respaldo: U; Auditoría NetSuite 30/09/2026: llenado desde NetSuite [S] | 01/10/2026: complementado desde Shopify Stetson México (match por código de barras): WB Silueta</t>
        </is>
      </c>
      <c r="AI980" s="156" t="inlineStr">
        <is>
          <t>No</t>
        </is>
      </c>
      <c r="AJ980" s="156" t="n"/>
      <c r="AK980" s="155" t="inlineStr">
        <is>
          <t>Criterios: J [R]; G1522_Extraccion_Articulos_NetSuite_2026-09-30.xlsx: fila 57358 [S] | Shopify Stetson: producto 14694158631275 / variante 51996054880619</t>
        </is>
      </c>
      <c r="AL980" s="58" t="n">
        <v>717.6724138</v>
      </c>
      <c r="AM980" s="58" t="n">
        <v>1594.827586</v>
      </c>
      <c r="AN980" s="155" t="inlineStr">
        <is>
          <t>Shopify Stetson México</t>
        </is>
      </c>
      <c r="AO980" s="59" t="n">
        <v>0</v>
      </c>
      <c r="AP980" s="59" t="n"/>
      <c r="AQ980" s="59" t="n"/>
      <c r="AR980" s="155" t="n"/>
    </row>
    <row r="981">
      <c r="A981" s="50" t="inlineStr">
        <is>
          <t>196070516340</t>
        </is>
      </c>
      <c r="B981" s="51" t="inlineStr">
        <is>
          <t>109544</t>
        </is>
      </c>
      <c r="C981" s="156" t="inlineStr">
        <is>
          <t>Multimarca</t>
        </is>
      </c>
      <c r="D981" s="156" t="inlineStr">
        <is>
          <t>11-001-0465-0190</t>
        </is>
      </c>
      <c r="E981" s="156" t="inlineStr">
        <is>
          <t>11-001-0465-0190-S</t>
        </is>
      </c>
      <c r="F981" s="156" t="inlineStr">
        <is>
          <t>S</t>
        </is>
      </c>
      <c r="G981" s="156" t="inlineStr">
        <is>
          <t>S</t>
        </is>
      </c>
      <c r="H981" s="156" t="inlineStr">
        <is>
          <t>Stetson</t>
        </is>
      </c>
      <c r="I981" s="156" t="inlineStr">
        <is>
          <t>Camisa Manga Larga Mezclilla Dirty Oscuro</t>
        </is>
      </c>
      <c r="J981" s="156" t="inlineStr">
        <is>
          <t>Ropa</t>
        </is>
      </c>
      <c r="K981" s="156" t="inlineStr">
        <is>
          <t>Camisas</t>
        </is>
      </c>
      <c r="L981" s="156" t="inlineStr">
        <is>
          <t>Hombre</t>
        </is>
      </c>
      <c r="M981" s="156" t="inlineStr">
        <is>
          <t>Stetson</t>
        </is>
      </c>
      <c r="N981" s="156" t="inlineStr">
        <is>
          <t>SS26</t>
        </is>
      </c>
      <c r="O981" s="156" t="inlineStr">
        <is>
          <t>Seasonal</t>
        </is>
      </c>
      <c r="P981" s="156" t="inlineStr">
        <is>
          <t>Azul</t>
        </is>
      </c>
      <c r="Q981" s="156" t="inlineStr">
        <is>
          <t>Clásico</t>
        </is>
      </c>
      <c r="R981" s="156" t="n"/>
      <c r="S981" s="156" t="inlineStr">
        <is>
          <t>Mezclilla</t>
        </is>
      </c>
      <c r="T981"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1" s="156" t="n"/>
      <c r="V981" s="156" t="inlineStr">
        <is>
          <t>PZS</t>
        </is>
      </c>
      <c r="W981" s="51" t="inlineStr">
        <is>
          <t>53101600</t>
        </is>
      </c>
      <c r="X981" s="156" t="inlineStr">
        <is>
          <t>https://cdn.shopify.com/s/files/1/0888/3250/8267/files/1100104650190a.jpg?v=1744301315</t>
        </is>
      </c>
      <c r="Y981" s="54" t="n">
        <v>717.6724138</v>
      </c>
      <c r="Z981" s="54" t="n">
        <v>1594.827586</v>
      </c>
      <c r="AA981" s="55">
        <f>IF(AND(A981="", B981="", E981=""), "", IF(AB981="", "Válido", IF((LEN(AB981)-LEN(SUBSTITUTE(AB981,"; ","")))/2+1&gt;(LEN(AB981)-LEN(SUBSTITUTE(AB981,"[Aviso]","")))/7, "Con Incidencias", "Válido")))</f>
        <v/>
      </c>
      <c r="AB981" s="56">
        <f>IF(AND(A981="", B981="", E981=""), "", TEXTJOIN("; ", TRUE, IF(OR(TRIM(A981&amp;"")="", ISNUMBER(SEARCH("FALTA", A981))), "UPC faltante/inválido", ""), IF(AND(A981&lt;&gt;"", IFERROR(_xlfn.XMATCH(A981,$A$2:$A$2509,0,1)&lt;&gt;_xlfn.XMATCH(A981,$A$2:$A$2509,0,-1),FALSE)), "Código de barras duplicado", ""), IF(AND(E981&lt;&gt;"", COUNTIF($E$2:$E$2509, E981)&gt;1), "SKU duplicado", ""), IF(OR(J981="", J981=""), "[Aviso] División no capturada ()", IF(ISNA(MATCH(J981, Criterios!$A$123:$A$126, 0)), "División no válida", "")), IF(OR(K981="", K981=""), "[Aviso] Categoría no capturada ()", IF(ISNA(MATCH(K981, Criterios!$A$81:$A$120, 0)), "Categoría no válida", IF(AND(J981&lt;&gt;"", J981&lt;&gt;"", J981&lt;&gt;VLOOKUP(K981, Criterios!$A$81:$B$120, 2, FALSE)), "División no coincide con Categoría", ""))), IF(OR(L981="", L981=""), "[Aviso] Género no capturado ()", IF(ISNA(MATCH(L981, Criterios!$B$123:$B$127, 0)), "Género no válido", "")), IF(OR(N981="", N981=""), "[Aviso] Temporada no capturada ()", IF(ISNA(MATCH(N981, Criterios!$C$123:$C$128, 0)), "Temporada no válida", "")), IF(OR(O981="", O981=""), "[Aviso] Ciclo de vida no capturado ()", IF(ISNA(MATCH(O981, Criterios!$D$123:$D$124, 0)), "Ciclo de vida no válido", ""))))</f>
        <v/>
      </c>
      <c r="AC981" s="56" t="n"/>
      <c r="AD981" s="51" t="n">
        <v>0</v>
      </c>
      <c r="AE981" s="156" t="n"/>
      <c r="AF981" s="51" t="n">
        <v>0</v>
      </c>
      <c r="AG981" s="156" t="inlineStr">
        <is>
          <t>Catálogo existente</t>
        </is>
      </c>
      <c r="AH981" s="156" t="inlineStr">
        <is>
          <t>Revisión 29/09/2026: Campos sin respaldo: U; Auditoría NetSuite 30/09/2026: llenado desde NetSuite [S] | 01/10/2026: complementado desde Shopify Stetson México (match por código de barras): WB Silueta</t>
        </is>
      </c>
      <c r="AI981" s="156" t="inlineStr">
        <is>
          <t>No</t>
        </is>
      </c>
      <c r="AJ981" s="156" t="n"/>
      <c r="AK981" s="155" t="inlineStr">
        <is>
          <t>Criterios: J [R]; G1522_Extraccion_Articulos_NetSuite_2026-09-30.xlsx: fila 57359 [S] | Shopify Stetson: producto 14694158631275 / variante 51996054847851</t>
        </is>
      </c>
      <c r="AL981" s="58" t="n">
        <v>717.6724138</v>
      </c>
      <c r="AM981" s="58" t="n">
        <v>1594.827586</v>
      </c>
      <c r="AN981" s="155" t="inlineStr">
        <is>
          <t>Shopify Stetson México</t>
        </is>
      </c>
      <c r="AO981" s="59" t="n">
        <v>0</v>
      </c>
      <c r="AP981" s="59" t="n"/>
      <c r="AQ981" s="59" t="n"/>
      <c r="AR981" s="155" t="n"/>
    </row>
    <row r="982">
      <c r="A982" s="50" t="inlineStr">
        <is>
          <t>196070516357</t>
        </is>
      </c>
      <c r="B982" s="51" t="inlineStr">
        <is>
          <t>109545</t>
        </is>
      </c>
      <c r="C982" s="156" t="inlineStr">
        <is>
          <t>Multimarca</t>
        </is>
      </c>
      <c r="D982" s="156" t="inlineStr">
        <is>
          <t>11-001-0465-0190</t>
        </is>
      </c>
      <c r="E982" s="156" t="inlineStr">
        <is>
          <t>11-001-0465-0190-XL</t>
        </is>
      </c>
      <c r="F982" s="156" t="inlineStr">
        <is>
          <t>XL</t>
        </is>
      </c>
      <c r="G982" s="156" t="inlineStr">
        <is>
          <t>XL</t>
        </is>
      </c>
      <c r="H982" s="156" t="inlineStr">
        <is>
          <t>Stetson</t>
        </is>
      </c>
      <c r="I982" s="156" t="inlineStr">
        <is>
          <t>Camisa Manga Larga Mezclilla Dirty Oscuro</t>
        </is>
      </c>
      <c r="J982" s="156" t="inlineStr">
        <is>
          <t>Ropa</t>
        </is>
      </c>
      <c r="K982" s="156" t="inlineStr">
        <is>
          <t>Camisas</t>
        </is>
      </c>
      <c r="L982" s="156" t="inlineStr">
        <is>
          <t>Hombre</t>
        </is>
      </c>
      <c r="M982" s="156" t="inlineStr">
        <is>
          <t>Stetson</t>
        </is>
      </c>
      <c r="N982" s="156" t="inlineStr">
        <is>
          <t>SS26</t>
        </is>
      </c>
      <c r="O982" s="156" t="inlineStr">
        <is>
          <t>Seasonal</t>
        </is>
      </c>
      <c r="P982" s="156" t="inlineStr">
        <is>
          <t>Azul</t>
        </is>
      </c>
      <c r="Q982" s="156" t="inlineStr">
        <is>
          <t>Clásico</t>
        </is>
      </c>
      <c r="R982" s="156" t="n"/>
      <c r="S982" s="156" t="inlineStr">
        <is>
          <t>Mezclilla</t>
        </is>
      </c>
      <c r="T982"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2" s="156" t="n"/>
      <c r="V982" s="156" t="inlineStr">
        <is>
          <t>PZS</t>
        </is>
      </c>
      <c r="W982" s="51" t="inlineStr">
        <is>
          <t>53101600</t>
        </is>
      </c>
      <c r="X982" s="156" t="inlineStr">
        <is>
          <t>https://cdn.shopify.com/s/files/1/0888/3250/8267/files/1100104650190a.jpg?v=1744301315</t>
        </is>
      </c>
      <c r="Y982" s="54" t="n">
        <v>717.6724138</v>
      </c>
      <c r="Z982" s="54" t="n">
        <v>1594.827586</v>
      </c>
      <c r="AA982" s="55">
        <f>IF(AND(A982="", B982="", E982=""), "", IF(AB982="", "Válido", IF((LEN(AB982)-LEN(SUBSTITUTE(AB982,"; ","")))/2+1&gt;(LEN(AB982)-LEN(SUBSTITUTE(AB982,"[Aviso]","")))/7, "Con Incidencias", "Válido")))</f>
        <v/>
      </c>
      <c r="AB982" s="56">
        <f>IF(AND(A982="", B982="", E982=""), "", TEXTJOIN("; ", TRUE, IF(OR(TRIM(A982&amp;"")="", ISNUMBER(SEARCH("FALTA", A982))), "UPC faltante/inválido", ""), IF(AND(A982&lt;&gt;"", IFERROR(_xlfn.XMATCH(A982,$A$2:$A$2509,0,1)&lt;&gt;_xlfn.XMATCH(A982,$A$2:$A$2509,0,-1),FALSE)), "Código de barras duplicado", ""), IF(AND(E982&lt;&gt;"", COUNTIF($E$2:$E$2509, E982)&gt;1), "SKU duplicado", ""), IF(OR(J982="", J982=""), "[Aviso] División no capturada ()", IF(ISNA(MATCH(J982, Criterios!$A$123:$A$126, 0)), "División no válida", "")), IF(OR(K982="", K982=""), "[Aviso] Categoría no capturada ()", IF(ISNA(MATCH(K982, Criterios!$A$81:$A$120, 0)), "Categoría no válida", IF(AND(J982&lt;&gt;"", J982&lt;&gt;"", J982&lt;&gt;VLOOKUP(K982, Criterios!$A$81:$B$120, 2, FALSE)), "División no coincide con Categoría", ""))), IF(OR(L982="", L982=""), "[Aviso] Género no capturado ()", IF(ISNA(MATCH(L982, Criterios!$B$123:$B$127, 0)), "Género no válido", "")), IF(OR(N982="", N982=""), "[Aviso] Temporada no capturada ()", IF(ISNA(MATCH(N982, Criterios!$C$123:$C$128, 0)), "Temporada no válida", "")), IF(OR(O982="", O982=""), "[Aviso] Ciclo de vida no capturado ()", IF(ISNA(MATCH(O982, Criterios!$D$123:$D$124, 0)), "Ciclo de vida no válido", ""))))</f>
        <v/>
      </c>
      <c r="AC982" s="56" t="n"/>
      <c r="AD982" s="51" t="n">
        <v>0</v>
      </c>
      <c r="AE982" s="156" t="n"/>
      <c r="AF982" s="51" t="n">
        <v>0</v>
      </c>
      <c r="AG982" s="156" t="inlineStr">
        <is>
          <t>Catálogo existente</t>
        </is>
      </c>
      <c r="AH982" s="156" t="inlineStr">
        <is>
          <t>Revisión 29/09/2026: Campos sin respaldo: U, X; Auditoría NetSuite 30/09/2026: llenado desde NetSuite [S] | 01/10/2026: complementado desde Shopify Stetson México (match por código de barras): WB Silueta, Enlace de imagen</t>
        </is>
      </c>
      <c r="AI982" s="156" t="inlineStr">
        <is>
          <t>No</t>
        </is>
      </c>
      <c r="AJ982" s="156" t="n"/>
      <c r="AK982" s="155" t="inlineStr">
        <is>
          <t>Criterios: J [R]; G1522_Extraccion_Articulos_NetSuite_2026-09-30.xlsx: fila 57360 [S] | Shopify Stetson: producto 14694158631275 / variante 51996054946155</t>
        </is>
      </c>
      <c r="AL982" s="58" t="n">
        <v>717.6724138</v>
      </c>
      <c r="AM982" s="58" t="n">
        <v>1594.827586</v>
      </c>
      <c r="AN982" s="155" t="inlineStr">
        <is>
          <t>Shopify Stetson México</t>
        </is>
      </c>
      <c r="AO982" s="59" t="n">
        <v>0</v>
      </c>
      <c r="AP982" s="59" t="n"/>
      <c r="AQ982" s="59" t="n"/>
      <c r="AR982" s="155" t="n"/>
    </row>
    <row r="983">
      <c r="A983" s="50" t="inlineStr">
        <is>
          <t>196070517774</t>
        </is>
      </c>
      <c r="B983" s="51" t="inlineStr">
        <is>
          <t>110680</t>
        </is>
      </c>
      <c r="C983" s="156" t="inlineStr">
        <is>
          <t>Multimarca</t>
        </is>
      </c>
      <c r="D983" s="156" t="inlineStr">
        <is>
          <t>11-050-0590-0123</t>
        </is>
      </c>
      <c r="E983" s="156" t="inlineStr">
        <is>
          <t>11-050-0590-0123-L</t>
        </is>
      </c>
      <c r="F983" s="156" t="inlineStr">
        <is>
          <t>L</t>
        </is>
      </c>
      <c r="G983" s="156" t="inlineStr">
        <is>
          <t>L</t>
        </is>
      </c>
      <c r="H983" s="156" t="inlineStr">
        <is>
          <t>Stetson</t>
        </is>
      </c>
      <c r="I983" s="156" t="inlineStr">
        <is>
          <t>Blusa Patchwork Estampado Bandana</t>
        </is>
      </c>
      <c r="J983" s="156" t="inlineStr">
        <is>
          <t>Ropa</t>
        </is>
      </c>
      <c r="K983" s="156" t="inlineStr">
        <is>
          <t>Camisas</t>
        </is>
      </c>
      <c r="L983" s="156" t="inlineStr">
        <is>
          <t>Mujer</t>
        </is>
      </c>
      <c r="M983" s="156" t="inlineStr">
        <is>
          <t>Stetson</t>
        </is>
      </c>
      <c r="N983" s="156" t="inlineStr">
        <is>
          <t>SS26</t>
        </is>
      </c>
      <c r="O983" s="156" t="inlineStr">
        <is>
          <t>Seasonal</t>
        </is>
      </c>
      <c r="P983" s="156" t="inlineStr">
        <is>
          <t>Cafe</t>
        </is>
      </c>
      <c r="Q983" s="156" t="inlineStr">
        <is>
          <t>Regular</t>
        </is>
      </c>
      <c r="R983" s="156" t="n"/>
      <c r="S983" s="156" t="inlineStr">
        <is>
          <t>100% Rayón</t>
        </is>
      </c>
      <c r="T983" s="156" t="inlineStr">
        <is>
          <t>Blusa Patchwork Estampado Bandana Regular</t>
        </is>
      </c>
      <c r="U983" s="156" t="n"/>
      <c r="V983" s="156" t="inlineStr">
        <is>
          <t>PZS</t>
        </is>
      </c>
      <c r="W983" s="51" t="inlineStr">
        <is>
          <t>53101604</t>
        </is>
      </c>
      <c r="X983" s="156" t="n"/>
      <c r="Y983" s="54" t="n">
        <v>737.0689655</v>
      </c>
      <c r="Z983" s="54" t="n">
        <v>1637.931034</v>
      </c>
      <c r="AA983" s="55">
        <f>IF(AND(A983="", B983="", E983=""), "", IF(AB983="", "Válido", IF((LEN(AB983)-LEN(SUBSTITUTE(AB983,"; ","")))/2+1&gt;(LEN(AB983)-LEN(SUBSTITUTE(AB983,"[Aviso]","")))/7, "Con Incidencias", "Válido")))</f>
        <v/>
      </c>
      <c r="AB983" s="56">
        <f>IF(AND(A983="", B983="", E983=""), "", TEXTJOIN("; ", TRUE, IF(OR(TRIM(A983&amp;"")="", ISNUMBER(SEARCH("FALTA", A983))), "UPC faltante/inválido", ""), IF(AND(A983&lt;&gt;"", IFERROR(_xlfn.XMATCH(A983,$A$2:$A$2509,0,1)&lt;&gt;_xlfn.XMATCH(A983,$A$2:$A$2509,0,-1),FALSE)), "Código de barras duplicado", ""), IF(AND(E983&lt;&gt;"", COUNTIF($E$2:$E$2509, E983)&gt;1), "SKU duplicado", ""), IF(OR(J983="", J983=""), "[Aviso] División no capturada ()", IF(ISNA(MATCH(J983, Criterios!$A$123:$A$126, 0)), "División no válida", "")), IF(OR(K983="", K983=""), "[Aviso] Categoría no capturada ()", IF(ISNA(MATCH(K983, Criterios!$A$81:$A$120, 0)), "Categoría no válida", IF(AND(J983&lt;&gt;"", J983&lt;&gt;"", J983&lt;&gt;VLOOKUP(K983, Criterios!$A$81:$B$120, 2, FALSE)), "División no coincide con Categoría", ""))), IF(OR(L983="", L983=""), "[Aviso] Género no capturado ()", IF(ISNA(MATCH(L983, Criterios!$B$123:$B$127, 0)), "Género no válido", "")), IF(OR(N983="", N983=""), "[Aviso] Temporada no capturada ()", IF(ISNA(MATCH(N983, Criterios!$C$123:$C$128, 0)), "Temporada no válida", "")), IF(OR(O983="", O983=""), "[Aviso] Ciclo de vida no capturado ()", IF(ISNA(MATCH(O983, Criterios!$D$123:$D$124, 0)), "Ciclo de vida no válido", ""))))</f>
        <v/>
      </c>
      <c r="AC983" s="56" t="n"/>
      <c r="AD983" s="51" t="n">
        <v>-1</v>
      </c>
      <c r="AE983" s="156" t="n"/>
      <c r="AF983" s="51" t="n">
        <v>0</v>
      </c>
      <c r="AG983" s="156" t="inlineStr">
        <is>
          <t>Catálogo existente</t>
        </is>
      </c>
      <c r="AH98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3" s="156" t="inlineStr">
        <is>
          <t>Sí</t>
        </is>
      </c>
      <c r="AJ983" s="156" t="inlineStr">
        <is>
          <t>STETSON AMERICAS (-1)</t>
        </is>
      </c>
      <c r="AK983" s="155" t="inlineStr">
        <is>
          <t>Criterios: J [R]; G1522_Extraccion_Articulos_NetSuite_2026-09-30.xlsx: fila 58495 [S] | Shopify Stetson: producto 15051553931627 / variante 53350586974571</t>
        </is>
      </c>
      <c r="AL983" s="58" t="n">
        <v>737.0689655</v>
      </c>
      <c r="AM983" s="58" t="n">
        <v>1637.931034</v>
      </c>
      <c r="AN983" s="155" t="inlineStr">
        <is>
          <t>Shopify Stetson México</t>
        </is>
      </c>
      <c r="AO983" s="59" t="n">
        <v>0</v>
      </c>
      <c r="AP983" s="59" t="n"/>
      <c r="AQ983" s="59" t="n"/>
      <c r="AR983" s="155" t="n"/>
    </row>
    <row r="984">
      <c r="A984" s="50" t="inlineStr">
        <is>
          <t>196070517781</t>
        </is>
      </c>
      <c r="B984" s="51" t="inlineStr">
        <is>
          <t>110681</t>
        </is>
      </c>
      <c r="C984" s="156" t="inlineStr">
        <is>
          <t>Multimarca</t>
        </is>
      </c>
      <c r="D984" s="156" t="inlineStr">
        <is>
          <t>11-050-0590-0123</t>
        </is>
      </c>
      <c r="E984" s="156" t="inlineStr">
        <is>
          <t>11-050-0590-0123-M</t>
        </is>
      </c>
      <c r="F984" s="156" t="inlineStr">
        <is>
          <t>M</t>
        </is>
      </c>
      <c r="G984" s="156" t="inlineStr">
        <is>
          <t>M</t>
        </is>
      </c>
      <c r="H984" s="156" t="inlineStr">
        <is>
          <t>Stetson</t>
        </is>
      </c>
      <c r="I984" s="156" t="inlineStr">
        <is>
          <t>Blusa Patchwork Estampado Bandana</t>
        </is>
      </c>
      <c r="J984" s="156" t="inlineStr">
        <is>
          <t>Ropa</t>
        </is>
      </c>
      <c r="K984" s="156" t="inlineStr">
        <is>
          <t>Camisas</t>
        </is>
      </c>
      <c r="L984" s="156" t="inlineStr">
        <is>
          <t>Mujer</t>
        </is>
      </c>
      <c r="M984" s="156" t="inlineStr">
        <is>
          <t>Stetson</t>
        </is>
      </c>
      <c r="N984" s="156" t="inlineStr">
        <is>
          <t>SS26</t>
        </is>
      </c>
      <c r="O984" s="156" t="inlineStr">
        <is>
          <t>Seasonal</t>
        </is>
      </c>
      <c r="P984" s="156" t="inlineStr">
        <is>
          <t>Cafe</t>
        </is>
      </c>
      <c r="Q984" s="156" t="inlineStr">
        <is>
          <t>Regular</t>
        </is>
      </c>
      <c r="R984" s="156" t="n"/>
      <c r="S984" s="156" t="inlineStr">
        <is>
          <t>100% Rayón</t>
        </is>
      </c>
      <c r="T984" s="156" t="inlineStr">
        <is>
          <t>Blusa Patchwork Estampado Bandana Regular</t>
        </is>
      </c>
      <c r="U984" s="156" t="n"/>
      <c r="V984" s="156" t="inlineStr">
        <is>
          <t>PZS</t>
        </is>
      </c>
      <c r="W984" s="51" t="inlineStr">
        <is>
          <t>53101604</t>
        </is>
      </c>
      <c r="X984" s="156" t="n"/>
      <c r="Y984" s="54" t="n">
        <v>737.0689655</v>
      </c>
      <c r="Z984" s="54" t="n">
        <v>1637.931034</v>
      </c>
      <c r="AA984" s="55">
        <f>IF(AND(A984="", B984="", E984=""), "", IF(AB984="", "Válido", IF((LEN(AB984)-LEN(SUBSTITUTE(AB984,"; ","")))/2+1&gt;(LEN(AB984)-LEN(SUBSTITUTE(AB984,"[Aviso]","")))/7, "Con Incidencias", "Válido")))</f>
        <v/>
      </c>
      <c r="AB984" s="56">
        <f>IF(AND(A984="", B984="", E984=""), "", TEXTJOIN("; ", TRUE, IF(OR(TRIM(A984&amp;"")="", ISNUMBER(SEARCH("FALTA", A984))), "UPC faltante/inválido", ""), IF(AND(A984&lt;&gt;"", IFERROR(_xlfn.XMATCH(A984,$A$2:$A$2509,0,1)&lt;&gt;_xlfn.XMATCH(A984,$A$2:$A$2509,0,-1),FALSE)), "Código de barras duplicado", ""), IF(AND(E984&lt;&gt;"", COUNTIF($E$2:$E$2509, E984)&gt;1), "SKU duplicado", ""), IF(OR(J984="", J984=""), "[Aviso] División no capturada ()", IF(ISNA(MATCH(J984, Criterios!$A$123:$A$126, 0)), "División no válida", "")), IF(OR(K984="", K984=""), "[Aviso] Categoría no capturada ()", IF(ISNA(MATCH(K984, Criterios!$A$81:$A$120, 0)), "Categoría no válida", IF(AND(J984&lt;&gt;"", J984&lt;&gt;"", J984&lt;&gt;VLOOKUP(K984, Criterios!$A$81:$B$120, 2, FALSE)), "División no coincide con Categoría", ""))), IF(OR(L984="", L984=""), "[Aviso] Género no capturado ()", IF(ISNA(MATCH(L984, Criterios!$B$123:$B$127, 0)), "Género no válido", "")), IF(OR(N984="", N984=""), "[Aviso] Temporada no capturada ()", IF(ISNA(MATCH(N984, Criterios!$C$123:$C$128, 0)), "Temporada no válida", "")), IF(OR(O984="", O984=""), "[Aviso] Ciclo de vida no capturado ()", IF(ISNA(MATCH(O984, Criterios!$D$123:$D$124, 0)), "Ciclo de vida no válido", ""))))</f>
        <v/>
      </c>
      <c r="AC984" s="56" t="n"/>
      <c r="AD984" s="51" t="n">
        <v>-1</v>
      </c>
      <c r="AE984" s="156" t="n"/>
      <c r="AF984" s="51" t="n">
        <v>0</v>
      </c>
      <c r="AG984" s="156" t="inlineStr">
        <is>
          <t>Catálogo existente</t>
        </is>
      </c>
      <c r="AH98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4" s="156" t="inlineStr">
        <is>
          <t>Sí</t>
        </is>
      </c>
      <c r="AJ984" s="156" t="inlineStr">
        <is>
          <t>STETSON AMERICAS (-1)</t>
        </is>
      </c>
      <c r="AK984" s="155" t="inlineStr">
        <is>
          <t>Criterios: J [R]; G1522_Extraccion_Articulos_NetSuite_2026-09-30.xlsx: fila 58496 [S] | Shopify Stetson: producto 15051553931627 / variante 53350586941803</t>
        </is>
      </c>
      <c r="AL984" s="58" t="n">
        <v>737.0689655</v>
      </c>
      <c r="AM984" s="58" t="n">
        <v>1637.931034</v>
      </c>
      <c r="AN984" s="155" t="inlineStr">
        <is>
          <t>Shopify Stetson México</t>
        </is>
      </c>
      <c r="AO984" s="59" t="n">
        <v>0</v>
      </c>
      <c r="AP984" s="59" t="n"/>
      <c r="AQ984" s="59" t="n"/>
      <c r="AR984" s="155" t="n"/>
    </row>
    <row r="985">
      <c r="A985" s="50" t="inlineStr">
        <is>
          <t>196070517798</t>
        </is>
      </c>
      <c r="B985" s="51" t="inlineStr">
        <is>
          <t>110682</t>
        </is>
      </c>
      <c r="C985" s="156" t="inlineStr">
        <is>
          <t>Multimarca</t>
        </is>
      </c>
      <c r="D985" s="156" t="inlineStr">
        <is>
          <t>11-050-0590-0123</t>
        </is>
      </c>
      <c r="E985" s="156" t="inlineStr">
        <is>
          <t>11-050-0590-0123-S</t>
        </is>
      </c>
      <c r="F985" s="156" t="inlineStr">
        <is>
          <t>S</t>
        </is>
      </c>
      <c r="G985" s="156" t="inlineStr">
        <is>
          <t>S</t>
        </is>
      </c>
      <c r="H985" s="156" t="inlineStr">
        <is>
          <t>Stetson</t>
        </is>
      </c>
      <c r="I985" s="156" t="inlineStr">
        <is>
          <t>Blusa Patchwork Estampado Bandana</t>
        </is>
      </c>
      <c r="J985" s="156" t="inlineStr">
        <is>
          <t>Ropa</t>
        </is>
      </c>
      <c r="K985" s="156" t="inlineStr">
        <is>
          <t>Camisas</t>
        </is>
      </c>
      <c r="L985" s="156" t="inlineStr">
        <is>
          <t>Mujer</t>
        </is>
      </c>
      <c r="M985" s="156" t="inlineStr">
        <is>
          <t>Stetson</t>
        </is>
      </c>
      <c r="N985" s="156" t="inlineStr">
        <is>
          <t>SS26</t>
        </is>
      </c>
      <c r="O985" s="156" t="inlineStr">
        <is>
          <t>Seasonal</t>
        </is>
      </c>
      <c r="P985" s="156" t="inlineStr">
        <is>
          <t>Cafe</t>
        </is>
      </c>
      <c r="Q985" s="156" t="inlineStr">
        <is>
          <t>Regular</t>
        </is>
      </c>
      <c r="R985" s="156" t="n"/>
      <c r="S985" s="156" t="inlineStr">
        <is>
          <t>100% Rayón</t>
        </is>
      </c>
      <c r="T985" s="156" t="inlineStr">
        <is>
          <t>Blusa Patchwork Estampado Bandana Regular</t>
        </is>
      </c>
      <c r="U985" s="156" t="n"/>
      <c r="V985" s="156" t="inlineStr">
        <is>
          <t>PZS</t>
        </is>
      </c>
      <c r="W985" s="51" t="inlineStr">
        <is>
          <t>53101604</t>
        </is>
      </c>
      <c r="X985" s="156" t="n"/>
      <c r="Y985" s="54" t="n">
        <v>737.0689655</v>
      </c>
      <c r="Z985" s="54" t="n">
        <v>1637.931034</v>
      </c>
      <c r="AA985" s="55">
        <f>IF(AND(A985="", B985="", E985=""), "", IF(AB985="", "Válido", IF((LEN(AB985)-LEN(SUBSTITUTE(AB985,"; ","")))/2+1&gt;(LEN(AB985)-LEN(SUBSTITUTE(AB985,"[Aviso]","")))/7, "Con Incidencias", "Válido")))</f>
        <v/>
      </c>
      <c r="AB985" s="56">
        <f>IF(AND(A985="", B985="", E985=""), "", TEXTJOIN("; ", TRUE, IF(OR(TRIM(A985&amp;"")="", ISNUMBER(SEARCH("FALTA", A985))), "UPC faltante/inválido", ""), IF(AND(A985&lt;&gt;"", IFERROR(_xlfn.XMATCH(A985,$A$2:$A$2509,0,1)&lt;&gt;_xlfn.XMATCH(A985,$A$2:$A$2509,0,-1),FALSE)), "Código de barras duplicado", ""), IF(AND(E985&lt;&gt;"", COUNTIF($E$2:$E$2509, E985)&gt;1), "SKU duplicado", ""), IF(OR(J985="", J985=""), "[Aviso] División no capturada ()", IF(ISNA(MATCH(J985, Criterios!$A$123:$A$126, 0)), "División no válida", "")), IF(OR(K985="", K985=""), "[Aviso] Categoría no capturada ()", IF(ISNA(MATCH(K985, Criterios!$A$81:$A$120, 0)), "Categoría no válida", IF(AND(J985&lt;&gt;"", J985&lt;&gt;"", J985&lt;&gt;VLOOKUP(K985, Criterios!$A$81:$B$120, 2, FALSE)), "División no coincide con Categoría", ""))), IF(OR(L985="", L985=""), "[Aviso] Género no capturado ()", IF(ISNA(MATCH(L985, Criterios!$B$123:$B$127, 0)), "Género no válido", "")), IF(OR(N985="", N985=""), "[Aviso] Temporada no capturada ()", IF(ISNA(MATCH(N985, Criterios!$C$123:$C$128, 0)), "Temporada no válida", "")), IF(OR(O985="", O985=""), "[Aviso] Ciclo de vida no capturado ()", IF(ISNA(MATCH(O985, Criterios!$D$123:$D$124, 0)), "Ciclo de vida no válido", ""))))</f>
        <v/>
      </c>
      <c r="AC985" s="56" t="n"/>
      <c r="AD985" s="51" t="n">
        <v>-1</v>
      </c>
      <c r="AE985" s="156" t="n"/>
      <c r="AF985" s="51" t="n">
        <v>0</v>
      </c>
      <c r="AG985" s="156" t="inlineStr">
        <is>
          <t>Catálogo existente</t>
        </is>
      </c>
      <c r="AH98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5" s="156" t="inlineStr">
        <is>
          <t>Sí</t>
        </is>
      </c>
      <c r="AJ985" s="156" t="inlineStr">
        <is>
          <t>STETSON AMERICAS (-1)</t>
        </is>
      </c>
      <c r="AK985" s="155" t="inlineStr">
        <is>
          <t>Criterios: J [R]; G1522_Extraccion_Articulos_NetSuite_2026-09-30.xlsx: fila 58497 [S] | Shopify Stetson: producto 15051553931627 / variante 53350586909035</t>
        </is>
      </c>
      <c r="AL985" s="58" t="n">
        <v>737.0689655</v>
      </c>
      <c r="AM985" s="58" t="n">
        <v>1637.931034</v>
      </c>
      <c r="AN985" s="155" t="inlineStr">
        <is>
          <t>Shopify Stetson México</t>
        </is>
      </c>
      <c r="AO985" s="59" t="n">
        <v>0</v>
      </c>
      <c r="AP985" s="59" t="n"/>
      <c r="AQ985" s="59" t="n"/>
      <c r="AR985" s="155" t="n"/>
    </row>
    <row r="986">
      <c r="A986" s="50" t="inlineStr">
        <is>
          <t>196070517811</t>
        </is>
      </c>
      <c r="B986" s="51" t="inlineStr">
        <is>
          <t>110683</t>
        </is>
      </c>
      <c r="C986" s="156" t="inlineStr">
        <is>
          <t>Multimarca</t>
        </is>
      </c>
      <c r="D986" s="156" t="inlineStr">
        <is>
          <t>11-050-0590-0123</t>
        </is>
      </c>
      <c r="E986" s="156" t="inlineStr">
        <is>
          <t>11-050-0590-0123-XS</t>
        </is>
      </c>
      <c r="F986" s="156" t="inlineStr">
        <is>
          <t>XS</t>
        </is>
      </c>
      <c r="G986" s="156" t="inlineStr">
        <is>
          <t>XS</t>
        </is>
      </c>
      <c r="H986" s="156" t="inlineStr">
        <is>
          <t>Stetson</t>
        </is>
      </c>
      <c r="I986" s="156" t="inlineStr">
        <is>
          <t>Blusa Patchwork Estampado Bandana</t>
        </is>
      </c>
      <c r="J986" s="156" t="inlineStr">
        <is>
          <t>Ropa</t>
        </is>
      </c>
      <c r="K986" s="156" t="inlineStr">
        <is>
          <t>Camisas</t>
        </is>
      </c>
      <c r="L986" s="156" t="inlineStr">
        <is>
          <t>Mujer</t>
        </is>
      </c>
      <c r="M986" s="156" t="inlineStr">
        <is>
          <t>Stetson</t>
        </is>
      </c>
      <c r="N986" s="156" t="inlineStr">
        <is>
          <t>SS26</t>
        </is>
      </c>
      <c r="O986" s="156" t="inlineStr">
        <is>
          <t>Seasonal</t>
        </is>
      </c>
      <c r="P986" s="156" t="inlineStr">
        <is>
          <t>Cafe</t>
        </is>
      </c>
      <c r="Q986" s="156" t="inlineStr">
        <is>
          <t>Regular</t>
        </is>
      </c>
      <c r="R986" s="156" t="n"/>
      <c r="S986" s="156" t="inlineStr">
        <is>
          <t>100% Rayón</t>
        </is>
      </c>
      <c r="T986" s="156" t="inlineStr">
        <is>
          <t>Blusa Patchwork Estampado Bandana Regular</t>
        </is>
      </c>
      <c r="U986" s="156" t="n"/>
      <c r="V986" s="156" t="inlineStr">
        <is>
          <t>PZS</t>
        </is>
      </c>
      <c r="W986" s="51" t="inlineStr">
        <is>
          <t>53101604</t>
        </is>
      </c>
      <c r="X986" s="156" t="n"/>
      <c r="Y986" s="54" t="n">
        <v>737.0689655</v>
      </c>
      <c r="Z986" s="54" t="n">
        <v>1637.931034</v>
      </c>
      <c r="AA986" s="55">
        <f>IF(AND(A986="", B986="", E986=""), "", IF(AB986="", "Válido", IF((LEN(AB986)-LEN(SUBSTITUTE(AB986,"; ","")))/2+1&gt;(LEN(AB986)-LEN(SUBSTITUTE(AB986,"[Aviso]","")))/7, "Con Incidencias", "Válido")))</f>
        <v/>
      </c>
      <c r="AB986" s="56">
        <f>IF(AND(A986="", B986="", E986=""), "", TEXTJOIN("; ", TRUE, IF(OR(TRIM(A986&amp;"")="", ISNUMBER(SEARCH("FALTA", A986))), "UPC faltante/inválido", ""), IF(AND(A986&lt;&gt;"", IFERROR(_xlfn.XMATCH(A986,$A$2:$A$2509,0,1)&lt;&gt;_xlfn.XMATCH(A986,$A$2:$A$2509,0,-1),FALSE)), "Código de barras duplicado", ""), IF(AND(E986&lt;&gt;"", COUNTIF($E$2:$E$2509, E986)&gt;1), "SKU duplicado", ""), IF(OR(J986="", J986=""), "[Aviso] División no capturada ()", IF(ISNA(MATCH(J986, Criterios!$A$123:$A$126, 0)), "División no válida", "")), IF(OR(K986="", K986=""), "[Aviso] Categoría no capturada ()", IF(ISNA(MATCH(K986, Criterios!$A$81:$A$120, 0)), "Categoría no válida", IF(AND(J986&lt;&gt;"", J986&lt;&gt;"", J986&lt;&gt;VLOOKUP(K986, Criterios!$A$81:$B$120, 2, FALSE)), "División no coincide con Categoría", ""))), IF(OR(L986="", L986=""), "[Aviso] Género no capturado ()", IF(ISNA(MATCH(L986, Criterios!$B$123:$B$127, 0)), "Género no válido", "")), IF(OR(N986="", N986=""), "[Aviso] Temporada no capturada ()", IF(ISNA(MATCH(N986, Criterios!$C$123:$C$128, 0)), "Temporada no válida", "")), IF(OR(O986="", O986=""), "[Aviso] Ciclo de vida no capturado ()", IF(ISNA(MATCH(O986, Criterios!$D$123:$D$124, 0)), "Ciclo de vida no válido", ""))))</f>
        <v/>
      </c>
      <c r="AC986" s="56" t="n"/>
      <c r="AD986" s="51" t="n">
        <v>-1</v>
      </c>
      <c r="AE986" s="156" t="n"/>
      <c r="AF986" s="51" t="n">
        <v>0</v>
      </c>
      <c r="AG986" s="156" t="inlineStr">
        <is>
          <t>Catálogo existente</t>
        </is>
      </c>
      <c r="AH98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6" s="156" t="inlineStr">
        <is>
          <t>Sí</t>
        </is>
      </c>
      <c r="AJ986" s="156" t="inlineStr">
        <is>
          <t>STETSON AMERICAS (-1)</t>
        </is>
      </c>
      <c r="AK986" s="155" t="inlineStr">
        <is>
          <t>Criterios: J [R]; G1522_Extraccion_Articulos_NetSuite_2026-09-30.xlsx: fila 58498 [S] | Shopify Stetson: producto 15051553931627 / variante 53350586876267</t>
        </is>
      </c>
      <c r="AL986" s="58" t="n">
        <v>737.0689655</v>
      </c>
      <c r="AM986" s="58" t="n">
        <v>1637.931034</v>
      </c>
      <c r="AN986" s="155" t="inlineStr">
        <is>
          <t>Shopify Stetson México</t>
        </is>
      </c>
      <c r="AO986" s="59" t="n">
        <v>0</v>
      </c>
      <c r="AP986" s="59" t="n"/>
      <c r="AQ986" s="59" t="n"/>
      <c r="AR986" s="155" t="n"/>
    </row>
    <row r="987">
      <c r="A987" s="50" t="inlineStr">
        <is>
          <t>196070530247</t>
        </is>
      </c>
      <c r="B987" s="51" t="inlineStr">
        <is>
          <t>110508</t>
        </is>
      </c>
      <c r="C987" s="156" t="inlineStr">
        <is>
          <t>Multimarca</t>
        </is>
      </c>
      <c r="D987" s="156" t="inlineStr">
        <is>
          <t>11-001-0465-9357</t>
        </is>
      </c>
      <c r="E987" s="156" t="inlineStr">
        <is>
          <t>11-001-0465-9357-L</t>
        </is>
      </c>
      <c r="F987" s="156" t="inlineStr">
        <is>
          <t>L</t>
        </is>
      </c>
      <c r="G987" s="156" t="inlineStr">
        <is>
          <t>L</t>
        </is>
      </c>
      <c r="H987" s="156" t="inlineStr">
        <is>
          <t>Stetson</t>
        </is>
      </c>
      <c r="I987" s="156" t="inlineStr">
        <is>
          <t>Camisa Oxford Azul Cielo</t>
        </is>
      </c>
      <c r="J987" s="156" t="inlineStr">
        <is>
          <t>Ropa</t>
        </is>
      </c>
      <c r="K987" s="156" t="inlineStr">
        <is>
          <t>Camisas</t>
        </is>
      </c>
      <c r="L987" s="156" t="inlineStr">
        <is>
          <t>Hombre</t>
        </is>
      </c>
      <c r="M987" s="156" t="inlineStr">
        <is>
          <t>Stetson</t>
        </is>
      </c>
      <c r="N987" s="156" t="inlineStr">
        <is>
          <t>SS26</t>
        </is>
      </c>
      <c r="O987" s="156" t="inlineStr">
        <is>
          <t>Seasonal</t>
        </is>
      </c>
      <c r="P987" s="156" t="inlineStr">
        <is>
          <t>Azul</t>
        </is>
      </c>
      <c r="Q987" s="156" t="inlineStr">
        <is>
          <t>Regular</t>
        </is>
      </c>
      <c r="R987" s="156" t="n"/>
      <c r="S987" s="156" t="inlineStr">
        <is>
          <t>100% Algodón</t>
        </is>
      </c>
      <c r="T987" s="156" t="inlineStr">
        <is>
          <t>Camisa Oxford Azul Cielo Regular</t>
        </is>
      </c>
      <c r="U987" s="156" t="n"/>
      <c r="V987" s="156" t="inlineStr">
        <is>
          <t>PZS</t>
        </is>
      </c>
      <c r="W987" s="51" t="inlineStr">
        <is>
          <t>53101602</t>
        </is>
      </c>
      <c r="X987" s="156" t="n"/>
      <c r="Y987" s="54" t="n">
        <v>989.2241379</v>
      </c>
      <c r="Z987" s="54" t="n">
        <v>2198.275862</v>
      </c>
      <c r="AA987" s="55">
        <f>IF(AND(A987="", B987="", E987=""), "", IF(AB987="", "Válido", IF((LEN(AB987)-LEN(SUBSTITUTE(AB987,"; ","")))/2+1&gt;(LEN(AB987)-LEN(SUBSTITUTE(AB987,"[Aviso]","")))/7, "Con Incidencias", "Válido")))</f>
        <v/>
      </c>
      <c r="AB987" s="56">
        <f>IF(AND(A987="", B987="", E987=""), "", TEXTJOIN("; ", TRUE, IF(OR(TRIM(A987&amp;"")="", ISNUMBER(SEARCH("FALTA", A987))), "UPC faltante/inválido", ""), IF(AND(A987&lt;&gt;"", IFERROR(_xlfn.XMATCH(A987,$A$2:$A$2509,0,1)&lt;&gt;_xlfn.XMATCH(A987,$A$2:$A$2509,0,-1),FALSE)), "Código de barras duplicado", ""), IF(AND(E987&lt;&gt;"", COUNTIF($E$2:$E$2509, E987)&gt;1), "SKU duplicado", ""), IF(OR(J987="", J987=""), "[Aviso] División no capturada ()", IF(ISNA(MATCH(J987, Criterios!$A$123:$A$126, 0)), "División no válida", "")), IF(OR(K987="", K987=""), "[Aviso] Categoría no capturada ()", IF(ISNA(MATCH(K987, Criterios!$A$81:$A$120, 0)), "Categoría no válida", IF(AND(J987&lt;&gt;"", J987&lt;&gt;"", J987&lt;&gt;VLOOKUP(K987, Criterios!$A$81:$B$120, 2, FALSE)), "División no coincide con Categoría", ""))), IF(OR(L987="", L987=""), "[Aviso] Género no capturado ()", IF(ISNA(MATCH(L987, Criterios!$B$123:$B$127, 0)), "Género no válido", "")), IF(OR(N987="", N987=""), "[Aviso] Temporada no capturada ()", IF(ISNA(MATCH(N987, Criterios!$C$123:$C$128, 0)), "Temporada no válida", "")), IF(OR(O987="", O987=""), "[Aviso] Ciclo de vida no capturado ()", IF(ISNA(MATCH(O987, Criterios!$D$123:$D$124, 0)), "Ciclo de vida no válido", ""))))</f>
        <v/>
      </c>
      <c r="AC987" s="56" t="n"/>
      <c r="AD987" s="51" t="n">
        <v>-4</v>
      </c>
      <c r="AE987" s="156" t="n"/>
      <c r="AF987" s="51" t="n">
        <v>0</v>
      </c>
      <c r="AG987" s="156" t="inlineStr">
        <is>
          <t>Catálogo existente</t>
        </is>
      </c>
      <c r="AH987" s="156" t="inlineStr">
        <is>
          <t>Stock negativo en sistema: revisar en conteo | Revisión 29/09/2026: Campos sin respaldo: U, X; Auditoría NetSuite 30/09/2026: llenado desde NetSuite [S] | 01/10/2026: complementado desde Shopify Stetson México (match por código de barras): WB Silueta</t>
        </is>
      </c>
      <c r="AI987" s="156" t="inlineStr">
        <is>
          <t>Sí</t>
        </is>
      </c>
      <c r="AJ987" s="156" t="inlineStr">
        <is>
          <t>STETSON AMERICAS (-4)</t>
        </is>
      </c>
      <c r="AK987" s="155" t="inlineStr">
        <is>
          <t>Criterios: J [R]; G1522_Extraccion_Articulos_NetSuite_2026-09-30.xlsx: fila 58323 [S] | Shopify Stetson: producto 15051553538411 / variante 53350587662699</t>
        </is>
      </c>
      <c r="AL987" s="58" t="n">
        <v>989.2241379</v>
      </c>
      <c r="AM987" s="58" t="n">
        <v>2198.275862</v>
      </c>
      <c r="AN987" s="155" t="inlineStr">
        <is>
          <t>Shopify Stetson México</t>
        </is>
      </c>
      <c r="AO987" s="59" t="n">
        <v>0</v>
      </c>
      <c r="AP987" s="59" t="n"/>
      <c r="AQ987" s="59" t="n"/>
      <c r="AR987" s="155" t="n"/>
    </row>
    <row r="988">
      <c r="A988" s="50" t="inlineStr">
        <is>
          <t>196070530254</t>
        </is>
      </c>
      <c r="B988" s="51" t="inlineStr">
        <is>
          <t>110509</t>
        </is>
      </c>
      <c r="C988" s="156" t="inlineStr">
        <is>
          <t>Multimarca</t>
        </is>
      </c>
      <c r="D988" s="156" t="inlineStr">
        <is>
          <t>11-001-0465-9357</t>
        </is>
      </c>
      <c r="E988" s="156" t="inlineStr">
        <is>
          <t>11-001-0465-9357-M</t>
        </is>
      </c>
      <c r="F988" s="156" t="inlineStr">
        <is>
          <t>M</t>
        </is>
      </c>
      <c r="G988" s="156" t="inlineStr">
        <is>
          <t>M</t>
        </is>
      </c>
      <c r="H988" s="156" t="inlineStr">
        <is>
          <t>Stetson</t>
        </is>
      </c>
      <c r="I988" s="156" t="inlineStr">
        <is>
          <t>Camisa Oxford Azul Cielo</t>
        </is>
      </c>
      <c r="J988" s="156" t="inlineStr">
        <is>
          <t>Ropa</t>
        </is>
      </c>
      <c r="K988" s="156" t="inlineStr">
        <is>
          <t>Camisas</t>
        </is>
      </c>
      <c r="L988" s="156" t="inlineStr">
        <is>
          <t>Hombre</t>
        </is>
      </c>
      <c r="M988" s="156" t="inlineStr">
        <is>
          <t>Stetson</t>
        </is>
      </c>
      <c r="N988" s="156" t="inlineStr">
        <is>
          <t>SS26</t>
        </is>
      </c>
      <c r="O988" s="156" t="inlineStr">
        <is>
          <t>Seasonal</t>
        </is>
      </c>
      <c r="P988" s="156" t="inlineStr">
        <is>
          <t>Azul</t>
        </is>
      </c>
      <c r="Q988" s="156" t="inlineStr">
        <is>
          <t>Regular</t>
        </is>
      </c>
      <c r="R988" s="156" t="n"/>
      <c r="S988" s="156" t="inlineStr">
        <is>
          <t>100% Algodón</t>
        </is>
      </c>
      <c r="T988" s="156" t="inlineStr">
        <is>
          <t>Camisa Oxford Azul Cielo Regular</t>
        </is>
      </c>
      <c r="U988" s="156" t="n"/>
      <c r="V988" s="156" t="inlineStr">
        <is>
          <t>PZS</t>
        </is>
      </c>
      <c r="W988" s="51" t="inlineStr">
        <is>
          <t>53101602</t>
        </is>
      </c>
      <c r="X988" s="156" t="n"/>
      <c r="Y988" s="54" t="n">
        <v>989.2241379</v>
      </c>
      <c r="Z988" s="54" t="n">
        <v>2198.275862</v>
      </c>
      <c r="AA988" s="55">
        <f>IF(AND(A988="", B988="", E988=""), "", IF(AB988="", "Válido", IF((LEN(AB988)-LEN(SUBSTITUTE(AB988,"; ","")))/2+1&gt;(LEN(AB988)-LEN(SUBSTITUTE(AB988,"[Aviso]","")))/7, "Con Incidencias", "Válido")))</f>
        <v/>
      </c>
      <c r="AB988" s="56">
        <f>IF(AND(A988="", B988="", E988=""), "", TEXTJOIN("; ", TRUE, IF(OR(TRIM(A988&amp;"")="", ISNUMBER(SEARCH("FALTA", A988))), "UPC faltante/inválido", ""), IF(AND(A988&lt;&gt;"", IFERROR(_xlfn.XMATCH(A988,$A$2:$A$2509,0,1)&lt;&gt;_xlfn.XMATCH(A988,$A$2:$A$2509,0,-1),FALSE)), "Código de barras duplicado", ""), IF(AND(E988&lt;&gt;"", COUNTIF($E$2:$E$2509, E988)&gt;1), "SKU duplicado", ""), IF(OR(J988="", J988=""), "[Aviso] División no capturada ()", IF(ISNA(MATCH(J988, Criterios!$A$123:$A$126, 0)), "División no válida", "")), IF(OR(K988="", K988=""), "[Aviso] Categoría no capturada ()", IF(ISNA(MATCH(K988, Criterios!$A$81:$A$120, 0)), "Categoría no válida", IF(AND(J988&lt;&gt;"", J988&lt;&gt;"", J988&lt;&gt;VLOOKUP(K988, Criterios!$A$81:$B$120, 2, FALSE)), "División no coincide con Categoría", ""))), IF(OR(L988="", L988=""), "[Aviso] Género no capturado ()", IF(ISNA(MATCH(L988, Criterios!$B$123:$B$127, 0)), "Género no válido", "")), IF(OR(N988="", N988=""), "[Aviso] Temporada no capturada ()", IF(ISNA(MATCH(N988, Criterios!$C$123:$C$128, 0)), "Temporada no válida", "")), IF(OR(O988="", O988=""), "[Aviso] Ciclo de vida no capturado ()", IF(ISNA(MATCH(O988, Criterios!$D$123:$D$124, 0)), "Ciclo de vida no válido", ""))))</f>
        <v/>
      </c>
      <c r="AC988" s="56" t="n"/>
      <c r="AD988" s="51" t="n">
        <v>-4</v>
      </c>
      <c r="AE988" s="156" t="n"/>
      <c r="AF988" s="51" t="n">
        <v>0</v>
      </c>
      <c r="AG988" s="156" t="inlineStr">
        <is>
          <t>Catálogo existente</t>
        </is>
      </c>
      <c r="AH988" s="156" t="inlineStr">
        <is>
          <t>Stock negativo en sistema: revisar en conteo | Revisión 29/09/2026: Campos sin respaldo: U, X; Auditoría NetSuite 30/09/2026: llenado desde NetSuite [S] | 01/10/2026: complementado desde Shopify Stetson México (match por código de barras): WB Silueta</t>
        </is>
      </c>
      <c r="AI988" s="156" t="inlineStr">
        <is>
          <t>Sí</t>
        </is>
      </c>
      <c r="AJ988" s="156" t="inlineStr">
        <is>
          <t>STETSON AMERICAS (-4)</t>
        </is>
      </c>
      <c r="AK988" s="155" t="inlineStr">
        <is>
          <t>Criterios: J [R]; G1522_Extraccion_Articulos_NetSuite_2026-09-30.xlsx: fila 58324 [S] | Shopify Stetson: producto 15051553538411 / variante 53350587629931</t>
        </is>
      </c>
      <c r="AL988" s="58" t="n">
        <v>989.2241379</v>
      </c>
      <c r="AM988" s="58" t="n">
        <v>2198.275862</v>
      </c>
      <c r="AN988" s="155" t="inlineStr">
        <is>
          <t>Shopify Stetson México</t>
        </is>
      </c>
      <c r="AO988" s="59" t="n">
        <v>0</v>
      </c>
      <c r="AP988" s="59" t="n"/>
      <c r="AQ988" s="59" t="n"/>
      <c r="AR988" s="155" t="n"/>
    </row>
    <row r="989">
      <c r="A989" s="50" t="inlineStr">
        <is>
          <t>196070530261</t>
        </is>
      </c>
      <c r="B989" s="51" t="inlineStr">
        <is>
          <t>110510</t>
        </is>
      </c>
      <c r="C989" s="156" t="inlineStr">
        <is>
          <t>Multimarca</t>
        </is>
      </c>
      <c r="D989" s="156" t="inlineStr">
        <is>
          <t>11-001-0465-9357</t>
        </is>
      </c>
      <c r="E989" s="156" t="inlineStr">
        <is>
          <t>11-001-0465-9357-S</t>
        </is>
      </c>
      <c r="F989" s="156" t="inlineStr">
        <is>
          <t>S</t>
        </is>
      </c>
      <c r="G989" s="156" t="inlineStr">
        <is>
          <t>S</t>
        </is>
      </c>
      <c r="H989" s="156" t="inlineStr">
        <is>
          <t>Stetson</t>
        </is>
      </c>
      <c r="I989" s="156" t="inlineStr">
        <is>
          <t>Camisa Oxford Azul Cielo</t>
        </is>
      </c>
      <c r="J989" s="156" t="inlineStr">
        <is>
          <t>Ropa</t>
        </is>
      </c>
      <c r="K989" s="156" t="inlineStr">
        <is>
          <t>Camisas</t>
        </is>
      </c>
      <c r="L989" s="156" t="inlineStr">
        <is>
          <t>Hombre</t>
        </is>
      </c>
      <c r="M989" s="156" t="inlineStr">
        <is>
          <t>Stetson</t>
        </is>
      </c>
      <c r="N989" s="156" t="inlineStr">
        <is>
          <t>SS26</t>
        </is>
      </c>
      <c r="O989" s="156" t="inlineStr">
        <is>
          <t>Seasonal</t>
        </is>
      </c>
      <c r="P989" s="156" t="inlineStr">
        <is>
          <t>Azul</t>
        </is>
      </c>
      <c r="Q989" s="156" t="inlineStr">
        <is>
          <t>Regular</t>
        </is>
      </c>
      <c r="R989" s="156" t="n"/>
      <c r="S989" s="156" t="inlineStr">
        <is>
          <t>100% Algodón</t>
        </is>
      </c>
      <c r="T989" s="156" t="inlineStr">
        <is>
          <t>Camisa Oxford Azul Cielo Regular</t>
        </is>
      </c>
      <c r="U989" s="156" t="n"/>
      <c r="V989" s="156" t="inlineStr">
        <is>
          <t>PZS</t>
        </is>
      </c>
      <c r="W989" s="51" t="inlineStr">
        <is>
          <t>53101602</t>
        </is>
      </c>
      <c r="X989" s="156" t="n"/>
      <c r="Y989" s="54" t="n">
        <v>989.2241379</v>
      </c>
      <c r="Z989" s="54" t="n">
        <v>2198.275862</v>
      </c>
      <c r="AA989" s="55">
        <f>IF(AND(A989="", B989="", E989=""), "", IF(AB989="", "Válido", IF((LEN(AB989)-LEN(SUBSTITUTE(AB989,"; ","")))/2+1&gt;(LEN(AB989)-LEN(SUBSTITUTE(AB989,"[Aviso]","")))/7, "Con Incidencias", "Válido")))</f>
        <v/>
      </c>
      <c r="AB989" s="56">
        <f>IF(AND(A989="", B989="", E989=""), "", TEXTJOIN("; ", TRUE, IF(OR(TRIM(A989&amp;"")="", ISNUMBER(SEARCH("FALTA", A989))), "UPC faltante/inválido", ""), IF(AND(A989&lt;&gt;"", IFERROR(_xlfn.XMATCH(A989,$A$2:$A$2509,0,1)&lt;&gt;_xlfn.XMATCH(A989,$A$2:$A$2509,0,-1),FALSE)), "Código de barras duplicado", ""), IF(AND(E989&lt;&gt;"", COUNTIF($E$2:$E$2509, E989)&gt;1), "SKU duplicado", ""), IF(OR(J989="", J989=""), "[Aviso] División no capturada ()", IF(ISNA(MATCH(J989, Criterios!$A$123:$A$126, 0)), "División no válida", "")), IF(OR(K989="", K989=""), "[Aviso] Categoría no capturada ()", IF(ISNA(MATCH(K989, Criterios!$A$81:$A$120, 0)), "Categoría no válida", IF(AND(J989&lt;&gt;"", J989&lt;&gt;"", J989&lt;&gt;VLOOKUP(K989, Criterios!$A$81:$B$120, 2, FALSE)), "División no coincide con Categoría", ""))), IF(OR(L989="", L989=""), "[Aviso] Género no capturado ()", IF(ISNA(MATCH(L989, Criterios!$B$123:$B$127, 0)), "Género no válido", "")), IF(OR(N989="", N989=""), "[Aviso] Temporada no capturada ()", IF(ISNA(MATCH(N989, Criterios!$C$123:$C$128, 0)), "Temporada no válida", "")), IF(OR(O989="", O989=""), "[Aviso] Ciclo de vida no capturado ()", IF(ISNA(MATCH(O989, Criterios!$D$123:$D$124, 0)), "Ciclo de vida no válido", ""))))</f>
        <v/>
      </c>
      <c r="AC989" s="56" t="n"/>
      <c r="AD989" s="51" t="n">
        <v>-3</v>
      </c>
      <c r="AE989" s="156" t="n"/>
      <c r="AF989" s="51" t="n">
        <v>0</v>
      </c>
      <c r="AG989" s="156" t="inlineStr">
        <is>
          <t>Catálogo existente</t>
        </is>
      </c>
      <c r="AH989" s="156" t="inlineStr">
        <is>
          <t>Stock negativo en sistema: revisar en conteo | Revisión 29/09/2026: Campos sin respaldo: U, X; Auditoría NetSuite 30/09/2026: llenado desde NetSuite [S] | 01/10/2026: complementado desde Shopify Stetson México (match por código de barras): WB Silueta</t>
        </is>
      </c>
      <c r="AI989" s="156" t="inlineStr">
        <is>
          <t>Sí</t>
        </is>
      </c>
      <c r="AJ989" s="156" t="inlineStr">
        <is>
          <t>STETSON AMERICAS (-3)</t>
        </is>
      </c>
      <c r="AK989" s="155" t="inlineStr">
        <is>
          <t>Criterios: J [R]; G1522_Extraccion_Articulos_NetSuite_2026-09-30.xlsx: fila 58325 [S] | Shopify Stetson: producto 15051553538411 / variante 53350587597163</t>
        </is>
      </c>
      <c r="AL989" s="58" t="n">
        <v>989.2241379</v>
      </c>
      <c r="AM989" s="58" t="n">
        <v>2198.275862</v>
      </c>
      <c r="AN989" s="155" t="inlineStr">
        <is>
          <t>Shopify Stetson México</t>
        </is>
      </c>
      <c r="AO989" s="59" t="n">
        <v>1</v>
      </c>
      <c r="AP989" s="59" t="n"/>
      <c r="AQ989" s="59" t="n"/>
      <c r="AR989" s="155" t="inlineStr">
        <is>
          <t>Shopify Stetson México › Stetson Americas: 1</t>
        </is>
      </c>
    </row>
    <row r="990">
      <c r="A990" s="50" t="inlineStr">
        <is>
          <t>196070530278</t>
        </is>
      </c>
      <c r="B990" s="51" t="inlineStr">
        <is>
          <t>110511</t>
        </is>
      </c>
      <c r="C990" s="156" t="inlineStr">
        <is>
          <t>Multimarca</t>
        </is>
      </c>
      <c r="D990" s="156" t="inlineStr">
        <is>
          <t>11-001-0465-9357</t>
        </is>
      </c>
      <c r="E990" s="156" t="inlineStr">
        <is>
          <t>11-001-0465-9357-XL</t>
        </is>
      </c>
      <c r="F990" s="156" t="inlineStr">
        <is>
          <t>XL</t>
        </is>
      </c>
      <c r="G990" s="156" t="inlineStr">
        <is>
          <t>XL</t>
        </is>
      </c>
      <c r="H990" s="156" t="inlineStr">
        <is>
          <t>Stetson</t>
        </is>
      </c>
      <c r="I990" s="156" t="inlineStr">
        <is>
          <t>Camisa Oxford Azul Cielo</t>
        </is>
      </c>
      <c r="J990" s="156" t="inlineStr">
        <is>
          <t>Ropa</t>
        </is>
      </c>
      <c r="K990" s="156" t="inlineStr">
        <is>
          <t>Camisas</t>
        </is>
      </c>
      <c r="L990" s="156" t="inlineStr">
        <is>
          <t>Hombre</t>
        </is>
      </c>
      <c r="M990" s="156" t="inlineStr">
        <is>
          <t>Stetson</t>
        </is>
      </c>
      <c r="N990" s="156" t="inlineStr">
        <is>
          <t>SS26</t>
        </is>
      </c>
      <c r="O990" s="156" t="inlineStr">
        <is>
          <t>Seasonal</t>
        </is>
      </c>
      <c r="P990" s="156" t="inlineStr">
        <is>
          <t>Azul</t>
        </is>
      </c>
      <c r="Q990" s="156" t="inlineStr">
        <is>
          <t>Regular</t>
        </is>
      </c>
      <c r="R990" s="156" t="n"/>
      <c r="S990" s="156" t="inlineStr">
        <is>
          <t>100% Algodón</t>
        </is>
      </c>
      <c r="T990" s="156" t="inlineStr">
        <is>
          <t>Camisa Oxford Azul Cielo Regular</t>
        </is>
      </c>
      <c r="U990" s="156" t="n"/>
      <c r="V990" s="156" t="inlineStr">
        <is>
          <t>PZS</t>
        </is>
      </c>
      <c r="W990" s="51" t="inlineStr">
        <is>
          <t>53101602</t>
        </is>
      </c>
      <c r="X990" s="156" t="n"/>
      <c r="Y990" s="54" t="n">
        <v>989.2241379</v>
      </c>
      <c r="Z990" s="54" t="n">
        <v>2198.275862</v>
      </c>
      <c r="AA990" s="55">
        <f>IF(AND(A990="", B990="", E990=""), "", IF(AB990="", "Válido", IF((LEN(AB990)-LEN(SUBSTITUTE(AB990,"; ","")))/2+1&gt;(LEN(AB990)-LEN(SUBSTITUTE(AB990,"[Aviso]","")))/7, "Con Incidencias", "Válido")))</f>
        <v/>
      </c>
      <c r="AB990" s="56">
        <f>IF(AND(A990="", B990="", E990=""), "", TEXTJOIN("; ", TRUE, IF(OR(TRIM(A990&amp;"")="", ISNUMBER(SEARCH("FALTA", A990))), "UPC faltante/inválido", ""), IF(AND(A990&lt;&gt;"", IFERROR(_xlfn.XMATCH(A990,$A$2:$A$2509,0,1)&lt;&gt;_xlfn.XMATCH(A990,$A$2:$A$2509,0,-1),FALSE)), "Código de barras duplicado", ""), IF(AND(E990&lt;&gt;"", COUNTIF($E$2:$E$2509, E990)&gt;1), "SKU duplicado", ""), IF(OR(J990="", J990=""), "[Aviso] División no capturada ()", IF(ISNA(MATCH(J990, Criterios!$A$123:$A$126, 0)), "División no válida", "")), IF(OR(K990="", K990=""), "[Aviso] Categoría no capturada ()", IF(ISNA(MATCH(K990, Criterios!$A$81:$A$120, 0)), "Categoría no válida", IF(AND(J990&lt;&gt;"", J990&lt;&gt;"", J990&lt;&gt;VLOOKUP(K990, Criterios!$A$81:$B$120, 2, FALSE)), "División no coincide con Categoría", ""))), IF(OR(L990="", L990=""), "[Aviso] Género no capturado ()", IF(ISNA(MATCH(L990, Criterios!$B$123:$B$127, 0)), "Género no válido", "")), IF(OR(N990="", N990=""), "[Aviso] Temporada no capturada ()", IF(ISNA(MATCH(N990, Criterios!$C$123:$C$128, 0)), "Temporada no válida", "")), IF(OR(O990="", O990=""), "[Aviso] Ciclo de vida no capturado ()", IF(ISNA(MATCH(O990, Criterios!$D$123:$D$124, 0)), "Ciclo de vida no válido", ""))))</f>
        <v/>
      </c>
      <c r="AC990" s="56" t="n"/>
      <c r="AD990" s="51" t="n">
        <v>-3</v>
      </c>
      <c r="AE990" s="156" t="n"/>
      <c r="AF990" s="51" t="n">
        <v>0</v>
      </c>
      <c r="AG990" s="156" t="inlineStr">
        <is>
          <t>Catálogo existente</t>
        </is>
      </c>
      <c r="AH990" s="156" t="inlineStr">
        <is>
          <t>Stock negativo en sistema: revisar en conteo | Revisión 29/09/2026: Campos sin respaldo: U, X; Auditoría NetSuite 30/09/2026: llenado desde NetSuite [S] | 01/10/2026: complementado desde Shopify Stetson México (match por código de barras): WB Silueta</t>
        </is>
      </c>
      <c r="AI990" s="156" t="inlineStr">
        <is>
          <t>Sí</t>
        </is>
      </c>
      <c r="AJ990" s="156" t="inlineStr">
        <is>
          <t>STETSON AMERICAS (-3)</t>
        </is>
      </c>
      <c r="AK990" s="155" t="inlineStr">
        <is>
          <t>Criterios: J [R]; G1522_Extraccion_Articulos_NetSuite_2026-09-30.xlsx: fila 58326 [S] | Shopify Stetson: producto 15051553538411 / variante 53350587695467</t>
        </is>
      </c>
      <c r="AL990" s="58" t="n">
        <v>989.2241379</v>
      </c>
      <c r="AM990" s="58" t="n">
        <v>2198.275862</v>
      </c>
      <c r="AN990" s="155" t="inlineStr">
        <is>
          <t>Shopify Stetson México</t>
        </is>
      </c>
      <c r="AO990" s="59" t="n">
        <v>0</v>
      </c>
      <c r="AP990" s="59" t="n"/>
      <c r="AQ990" s="59" t="n"/>
      <c r="AR990" s="155" t="n"/>
    </row>
    <row r="991">
      <c r="A991" s="50" t="inlineStr">
        <is>
          <t>196070530285</t>
        </is>
      </c>
      <c r="B991" s="51" t="inlineStr">
        <is>
          <t>110512</t>
        </is>
      </c>
      <c r="C991" s="156" t="inlineStr">
        <is>
          <t>Multimarca</t>
        </is>
      </c>
      <c r="D991" s="156" t="inlineStr">
        <is>
          <t>11-001-0465-9357</t>
        </is>
      </c>
      <c r="E991" s="156" t="inlineStr">
        <is>
          <t>11-001-0465-9357-XXL</t>
        </is>
      </c>
      <c r="F991" s="156" t="inlineStr">
        <is>
          <t>XXL</t>
        </is>
      </c>
      <c r="G991" s="156" t="inlineStr">
        <is>
          <t>XXL</t>
        </is>
      </c>
      <c r="H991" s="156" t="inlineStr">
        <is>
          <t>Stetson</t>
        </is>
      </c>
      <c r="I991" s="156" t="inlineStr">
        <is>
          <t>Camisa Oxford Azul Cielo</t>
        </is>
      </c>
      <c r="J991" s="156" t="inlineStr">
        <is>
          <t>Ropa</t>
        </is>
      </c>
      <c r="K991" s="156" t="inlineStr">
        <is>
          <t>Camisas</t>
        </is>
      </c>
      <c r="L991" s="156" t="inlineStr">
        <is>
          <t>Hombre</t>
        </is>
      </c>
      <c r="M991" s="156" t="inlineStr">
        <is>
          <t>Stetson</t>
        </is>
      </c>
      <c r="N991" s="156" t="inlineStr">
        <is>
          <t>SS26</t>
        </is>
      </c>
      <c r="O991" s="156" t="inlineStr">
        <is>
          <t>Seasonal</t>
        </is>
      </c>
      <c r="P991" s="156" t="inlineStr">
        <is>
          <t>Azul</t>
        </is>
      </c>
      <c r="Q991" s="156" t="inlineStr">
        <is>
          <t>Regular</t>
        </is>
      </c>
      <c r="R991" s="156" t="n"/>
      <c r="S991" s="156" t="inlineStr">
        <is>
          <t>100% Algodón</t>
        </is>
      </c>
      <c r="T991" s="156" t="inlineStr">
        <is>
          <t>Camisa Oxford Azul Cielo Regular</t>
        </is>
      </c>
      <c r="U991" s="156" t="n"/>
      <c r="V991" s="156" t="inlineStr">
        <is>
          <t>PZS</t>
        </is>
      </c>
      <c r="W991" s="51" t="inlineStr">
        <is>
          <t>53101602</t>
        </is>
      </c>
      <c r="X991" s="156" t="n"/>
      <c r="Y991" s="54" t="n">
        <v>989.2241379</v>
      </c>
      <c r="Z991" s="54" t="n">
        <v>2198.275862</v>
      </c>
      <c r="AA991" s="55">
        <f>IF(AND(A991="", B991="", E991=""), "", IF(AB991="", "Válido", IF((LEN(AB991)-LEN(SUBSTITUTE(AB991,"; ","")))/2+1&gt;(LEN(AB991)-LEN(SUBSTITUTE(AB991,"[Aviso]","")))/7, "Con Incidencias", "Válido")))</f>
        <v/>
      </c>
      <c r="AB991" s="56">
        <f>IF(AND(A991="", B991="", E991=""), "", TEXTJOIN("; ", TRUE, IF(OR(TRIM(A991&amp;"")="", ISNUMBER(SEARCH("FALTA", A991))), "UPC faltante/inválido", ""), IF(AND(A991&lt;&gt;"", IFERROR(_xlfn.XMATCH(A991,$A$2:$A$2509,0,1)&lt;&gt;_xlfn.XMATCH(A991,$A$2:$A$2509,0,-1),FALSE)), "Código de barras duplicado", ""), IF(AND(E991&lt;&gt;"", COUNTIF($E$2:$E$2509, E991)&gt;1), "SKU duplicado", ""), IF(OR(J991="", J991=""), "[Aviso] División no capturada ()", IF(ISNA(MATCH(J991, Criterios!$A$123:$A$126, 0)), "División no válida", "")), IF(OR(K991="", K991=""), "[Aviso] Categoría no capturada ()", IF(ISNA(MATCH(K991, Criterios!$A$81:$A$120, 0)), "Categoría no válida", IF(AND(J991&lt;&gt;"", J991&lt;&gt;"", J991&lt;&gt;VLOOKUP(K991, Criterios!$A$81:$B$120, 2, FALSE)), "División no coincide con Categoría", ""))), IF(OR(L991="", L991=""), "[Aviso] Género no capturado ()", IF(ISNA(MATCH(L991, Criterios!$B$123:$B$127, 0)), "Género no válido", "")), IF(OR(N991="", N991=""), "[Aviso] Temporada no capturada ()", IF(ISNA(MATCH(N991, Criterios!$C$123:$C$128, 0)), "Temporada no válida", "")), IF(OR(O991="", O991=""), "[Aviso] Ciclo de vida no capturado ()", IF(ISNA(MATCH(O991, Criterios!$D$123:$D$124, 0)), "Ciclo de vida no válido", ""))))</f>
        <v/>
      </c>
      <c r="AC991" s="56" t="n"/>
      <c r="AD991" s="51" t="n">
        <v>0</v>
      </c>
      <c r="AE991" s="156" t="n"/>
      <c r="AF991" s="51" t="n">
        <v>0</v>
      </c>
      <c r="AG991" s="156" t="inlineStr">
        <is>
          <t>Catálogo existente</t>
        </is>
      </c>
      <c r="AH991" s="156" t="inlineStr">
        <is>
          <t>Revisión 29/09/2026: Campos sin respaldo: U, X; Auditoría NetSuite 30/09/2026: llenado desde NetSuite [S] | 01/10/2026: complementado desde Shopify Stetson México (match por código de barras): WB Silueta</t>
        </is>
      </c>
      <c r="AI991" s="156" t="inlineStr">
        <is>
          <t>No</t>
        </is>
      </c>
      <c r="AJ991" s="156" t="n"/>
      <c r="AK991" s="155" t="inlineStr">
        <is>
          <t>Criterios: J [R]; G1522_Extraccion_Articulos_NetSuite_2026-09-30.xlsx: fila 58327 [S] | Shopify Stetson: producto 15051553538411 / variante 53350587728235</t>
        </is>
      </c>
      <c r="AL991" s="58" t="n">
        <v>989.2241379</v>
      </c>
      <c r="AM991" s="58" t="n">
        <v>2198.275862</v>
      </c>
      <c r="AN991" s="155" t="inlineStr">
        <is>
          <t>Shopify Stetson México</t>
        </is>
      </c>
      <c r="AO991" s="59" t="n">
        <v>2</v>
      </c>
      <c r="AP991" s="59" t="n"/>
      <c r="AQ991" s="59" t="n"/>
      <c r="AR991" s="155" t="inlineStr">
        <is>
          <t>Shopify Stetson México › Stetson Americas: 2</t>
        </is>
      </c>
    </row>
    <row r="992">
      <c r="A992" s="50" t="inlineStr">
        <is>
          <t>196070571073</t>
        </is>
      </c>
      <c r="B992" s="51" t="inlineStr">
        <is>
          <t>109591</t>
        </is>
      </c>
      <c r="C992" s="156" t="inlineStr">
        <is>
          <t>Multimarca</t>
        </is>
      </c>
      <c r="D992" s="156" t="inlineStr">
        <is>
          <t>11-001-0478-2041</t>
        </is>
      </c>
      <c r="E992" s="156" t="inlineStr">
        <is>
          <t>11-001-0478-2041-L</t>
        </is>
      </c>
      <c r="F992" s="156" t="inlineStr">
        <is>
          <t>L</t>
        </is>
      </c>
      <c r="G992" s="156" t="inlineStr">
        <is>
          <t>L</t>
        </is>
      </c>
      <c r="H992" s="156" t="inlineStr">
        <is>
          <t>Stetson</t>
        </is>
      </c>
      <c r="I992" s="156" t="inlineStr">
        <is>
          <t>Camisa Stetson Sand Rige</t>
        </is>
      </c>
      <c r="J992" s="156" t="inlineStr">
        <is>
          <t>Ropa</t>
        </is>
      </c>
      <c r="K992" s="156" t="inlineStr">
        <is>
          <t>Camisas</t>
        </is>
      </c>
      <c r="L992" s="156" t="inlineStr">
        <is>
          <t>Hombre</t>
        </is>
      </c>
      <c r="M992" s="156" t="inlineStr">
        <is>
          <t>Stetson</t>
        </is>
      </c>
      <c r="N992" s="156" t="inlineStr">
        <is>
          <t>SS26</t>
        </is>
      </c>
      <c r="O992" s="156" t="inlineStr">
        <is>
          <t>Seasonal</t>
        </is>
      </c>
      <c r="P992" s="156" t="inlineStr">
        <is>
          <t>Beige</t>
        </is>
      </c>
      <c r="Q992" s="156" t="inlineStr">
        <is>
          <t>Relajado</t>
        </is>
      </c>
      <c r="R992" s="156" t="n"/>
      <c r="S992" s="156" t="inlineStr">
        <is>
          <t>100% Algodón</t>
        </is>
      </c>
      <c r="T992" s="156" t="inlineStr">
        <is>
          <t>Camisa Stetson a Cuadros para Caballero –Tartán 1928,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Ridge Plaid 1928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992" s="156" t="n"/>
      <c r="V992" s="156" t="inlineStr">
        <is>
          <t>PZS</t>
        </is>
      </c>
      <c r="W992" s="51" t="inlineStr">
        <is>
          <t>53101600</t>
        </is>
      </c>
      <c r="X992" s="156" t="inlineStr">
        <is>
          <t>https://cdn.shopify.com/s/files/1/0888/3250/8267/files/1100104782041b.jpg?v=1744641783</t>
        </is>
      </c>
      <c r="Y992" s="54" t="n">
        <v>717.6724138</v>
      </c>
      <c r="Z992" s="54" t="n">
        <v>1594.827586</v>
      </c>
      <c r="AA992" s="55">
        <f>IF(AND(A992="", B992="", E992=""), "", IF(AB992="", "Válido", IF((LEN(AB992)-LEN(SUBSTITUTE(AB992,"; ","")))/2+1&gt;(LEN(AB992)-LEN(SUBSTITUTE(AB992,"[Aviso]","")))/7, "Con Incidencias", "Válido")))</f>
        <v/>
      </c>
      <c r="AB992" s="56">
        <f>IF(AND(A992="", B992="", E992=""), "", TEXTJOIN("; ", TRUE, IF(OR(TRIM(A992&amp;"")="", ISNUMBER(SEARCH("FALTA", A992))), "UPC faltante/inválido", ""), IF(AND(A992&lt;&gt;"", IFERROR(_xlfn.XMATCH(A992,$A$2:$A$2509,0,1)&lt;&gt;_xlfn.XMATCH(A992,$A$2:$A$2509,0,-1),FALSE)), "Código de barras duplicado", ""), IF(AND(E992&lt;&gt;"", COUNTIF($E$2:$E$2509, E992)&gt;1), "SKU duplicado", ""), IF(OR(J992="", J992=""), "[Aviso] División no capturada ()", IF(ISNA(MATCH(J992, Criterios!$A$123:$A$126, 0)), "División no válida", "")), IF(OR(K992="", K992=""), "[Aviso] Categoría no capturada ()", IF(ISNA(MATCH(K992, Criterios!$A$81:$A$120, 0)), "Categoría no válida", IF(AND(J992&lt;&gt;"", J992&lt;&gt;"", J992&lt;&gt;VLOOKUP(K992, Criterios!$A$81:$B$120, 2, FALSE)), "División no coincide con Categoría", ""))), IF(OR(L992="", L992=""), "[Aviso] Género no capturado ()", IF(ISNA(MATCH(L992, Criterios!$B$123:$B$127, 0)), "Género no válido", "")), IF(OR(N992="", N992=""), "[Aviso] Temporada no capturada ()", IF(ISNA(MATCH(N992, Criterios!$C$123:$C$128, 0)), "Temporada no válida", "")), IF(OR(O992="", O992=""), "[Aviso] Ciclo de vida no capturado ()", IF(ISNA(MATCH(O992, Criterios!$D$123:$D$124, 0)), "Ciclo de vida no válido", ""))))</f>
        <v/>
      </c>
      <c r="AC992" s="56" t="n"/>
      <c r="AD992" s="51" t="n">
        <v>0</v>
      </c>
      <c r="AE992" s="156" t="n"/>
      <c r="AF992" s="51" t="n">
        <v>0</v>
      </c>
      <c r="AG992" s="156" t="inlineStr">
        <is>
          <t>Catálogo existente</t>
        </is>
      </c>
      <c r="AH992"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992" s="156" t="inlineStr">
        <is>
          <t>No</t>
        </is>
      </c>
      <c r="AJ992" s="156" t="n"/>
      <c r="AK992" s="155" t="inlineStr">
        <is>
          <t>Criterios: J [R]; G1522_Extraccion_Articulos_NetSuite_2026-09-30.xlsx: fila 57406 [S] | Shopify Stetson: producto 14695090356587 / variante 52001938276715</t>
        </is>
      </c>
      <c r="AL992" s="58" t="n">
        <v>717.6724138</v>
      </c>
      <c r="AM992" s="58" t="n">
        <v>1594.827586</v>
      </c>
      <c r="AN992" s="155" t="inlineStr">
        <is>
          <t>Shopify Stetson México</t>
        </is>
      </c>
      <c r="AO992" s="59" t="n">
        <v>0</v>
      </c>
      <c r="AP992" s="59" t="n"/>
      <c r="AQ992" s="59" t="n"/>
      <c r="AR992" s="155" t="n"/>
    </row>
    <row r="993">
      <c r="A993" s="50" t="inlineStr">
        <is>
          <t>196070571080</t>
        </is>
      </c>
      <c r="B993" s="51" t="inlineStr">
        <is>
          <t>109592</t>
        </is>
      </c>
      <c r="C993" s="156" t="inlineStr">
        <is>
          <t>Multimarca</t>
        </is>
      </c>
      <c r="D993" s="156" t="inlineStr">
        <is>
          <t>11-001-0478-2041</t>
        </is>
      </c>
      <c r="E993" s="156" t="inlineStr">
        <is>
          <t>11-001-0478-2041-M</t>
        </is>
      </c>
      <c r="F993" s="156" t="inlineStr">
        <is>
          <t>M</t>
        </is>
      </c>
      <c r="G993" s="156" t="inlineStr">
        <is>
          <t>M</t>
        </is>
      </c>
      <c r="H993" s="156" t="inlineStr">
        <is>
          <t>Stetson</t>
        </is>
      </c>
      <c r="I993" s="156" t="inlineStr">
        <is>
          <t>Camisa Stetson Sand Rige</t>
        </is>
      </c>
      <c r="J993" s="156" t="inlineStr">
        <is>
          <t>Ropa</t>
        </is>
      </c>
      <c r="K993" s="156" t="inlineStr">
        <is>
          <t>Camisas</t>
        </is>
      </c>
      <c r="L993" s="156" t="inlineStr">
        <is>
          <t>Hombre</t>
        </is>
      </c>
      <c r="M993" s="156" t="inlineStr">
        <is>
          <t>Stetson</t>
        </is>
      </c>
      <c r="N993" s="156" t="inlineStr">
        <is>
          <t>SS26</t>
        </is>
      </c>
      <c r="O993" s="156" t="inlineStr">
        <is>
          <t>Seasonal</t>
        </is>
      </c>
      <c r="P993" s="156" t="inlineStr">
        <is>
          <t>Beige</t>
        </is>
      </c>
      <c r="Q993" s="156" t="inlineStr">
        <is>
          <t>Relajado</t>
        </is>
      </c>
      <c r="R993" s="156" t="n"/>
      <c r="S993" s="156" t="inlineStr">
        <is>
          <t>100% Algodón</t>
        </is>
      </c>
      <c r="T993" s="156" t="inlineStr">
        <is>
          <t>Camisa Stetson a Cuadros para Caballero –Tartán 1928,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Ridge Plaid 1928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993" s="156" t="n"/>
      <c r="V993" s="156" t="inlineStr">
        <is>
          <t>PZS</t>
        </is>
      </c>
      <c r="W993" s="51" t="inlineStr">
        <is>
          <t>53101600</t>
        </is>
      </c>
      <c r="X993" s="156" t="inlineStr">
        <is>
          <t>https://cdn.shopify.com/s/files/1/0888/3250/8267/files/1100104782041a.jpg?v=1744641778</t>
        </is>
      </c>
      <c r="Y993" s="54" t="n">
        <v>717.6724138</v>
      </c>
      <c r="Z993" s="54" t="n">
        <v>1594.827586</v>
      </c>
      <c r="AA993" s="55">
        <f>IF(AND(A993="", B993="", E993=""), "", IF(AB993="", "Válido", IF((LEN(AB993)-LEN(SUBSTITUTE(AB993,"; ","")))/2+1&gt;(LEN(AB993)-LEN(SUBSTITUTE(AB993,"[Aviso]","")))/7, "Con Incidencias", "Válido")))</f>
        <v/>
      </c>
      <c r="AB993" s="56">
        <f>IF(AND(A993="", B993="", E993=""), "", TEXTJOIN("; ", TRUE, IF(OR(TRIM(A993&amp;"")="", ISNUMBER(SEARCH("FALTA", A993))), "UPC faltante/inválido", ""), IF(AND(A993&lt;&gt;"", IFERROR(_xlfn.XMATCH(A993,$A$2:$A$2509,0,1)&lt;&gt;_xlfn.XMATCH(A993,$A$2:$A$2509,0,-1),FALSE)), "Código de barras duplicado", ""), IF(AND(E993&lt;&gt;"", COUNTIF($E$2:$E$2509, E993)&gt;1), "SKU duplicado", ""), IF(OR(J993="", J993=""), "[Aviso] División no capturada ()", IF(ISNA(MATCH(J993, Criterios!$A$123:$A$126, 0)), "División no válida", "")), IF(OR(K993="", K993=""), "[Aviso] Categoría no capturada ()", IF(ISNA(MATCH(K993, Criterios!$A$81:$A$120, 0)), "Categoría no válida", IF(AND(J993&lt;&gt;"", J993&lt;&gt;"", J993&lt;&gt;VLOOKUP(K993, Criterios!$A$81:$B$120, 2, FALSE)), "División no coincide con Categoría", ""))), IF(OR(L993="", L993=""), "[Aviso] Género no capturado ()", IF(ISNA(MATCH(L993, Criterios!$B$123:$B$127, 0)), "Género no válido", "")), IF(OR(N993="", N993=""), "[Aviso] Temporada no capturada ()", IF(ISNA(MATCH(N993, Criterios!$C$123:$C$128, 0)), "Temporada no válida", "")), IF(OR(O993="", O993=""), "[Aviso] Ciclo de vida no capturado ()", IF(ISNA(MATCH(O993, Criterios!$D$123:$D$124, 0)), "Ciclo de vida no válido", ""))))</f>
        <v/>
      </c>
      <c r="AC993" s="56" t="n"/>
      <c r="AD993" s="51" t="n">
        <v>0</v>
      </c>
      <c r="AE993" s="156" t="n"/>
      <c r="AF993" s="51" t="n">
        <v>0</v>
      </c>
      <c r="AG993" s="156" t="inlineStr">
        <is>
          <t>Catálogo existente</t>
        </is>
      </c>
      <c r="AH99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993" s="156" t="inlineStr">
        <is>
          <t>No</t>
        </is>
      </c>
      <c r="AJ993" s="156" t="n"/>
      <c r="AK993" s="155" t="inlineStr">
        <is>
          <t>Criterios: J [R]; G1522_Extraccion_Articulos_NetSuite_2026-09-30.xlsx: fila 57407 [S] | Shopify Stetson: producto 14695090356587 / variante 52001938243947</t>
        </is>
      </c>
      <c r="AL993" s="58" t="n">
        <v>717.6724138</v>
      </c>
      <c r="AM993" s="58" t="n">
        <v>1594.827586</v>
      </c>
      <c r="AN993" s="155" t="inlineStr">
        <is>
          <t>Shopify Stetson México</t>
        </is>
      </c>
      <c r="AO993" s="59" t="n">
        <v>0</v>
      </c>
      <c r="AP993" s="59" t="n"/>
      <c r="AQ993" s="59" t="n"/>
      <c r="AR993" s="155" t="n"/>
    </row>
    <row r="994">
      <c r="A994" s="50" t="inlineStr">
        <is>
          <t>196070572834</t>
        </is>
      </c>
      <c r="B994" s="51" t="inlineStr">
        <is>
          <t>110749</t>
        </is>
      </c>
      <c r="C994" s="156" t="inlineStr">
        <is>
          <t>Multimarca</t>
        </is>
      </c>
      <c r="D994" s="156" t="inlineStr">
        <is>
          <t>11-057-0590-2014</t>
        </is>
      </c>
      <c r="E994" s="156" t="inlineStr">
        <is>
          <t>11-057-0590-2014-L</t>
        </is>
      </c>
      <c r="F994" s="156" t="inlineStr">
        <is>
          <t>L</t>
        </is>
      </c>
      <c r="G994" s="156" t="inlineStr">
        <is>
          <t>L</t>
        </is>
      </c>
      <c r="H994" s="156" t="inlineStr">
        <is>
          <t>Stetson</t>
        </is>
      </c>
      <c r="I994" s="156" t="inlineStr">
        <is>
          <t>Vestido Rayon Estampado Mandala</t>
        </is>
      </c>
      <c r="J994" s="156" t="inlineStr">
        <is>
          <t>Ropa</t>
        </is>
      </c>
      <c r="K994" s="156" t="inlineStr">
        <is>
          <t>Vestidos</t>
        </is>
      </c>
      <c r="L994" s="156" t="inlineStr">
        <is>
          <t>Mujer</t>
        </is>
      </c>
      <c r="M994" s="156" t="inlineStr">
        <is>
          <t>Stetson</t>
        </is>
      </c>
      <c r="N994" s="156" t="inlineStr">
        <is>
          <t>SS26</t>
        </is>
      </c>
      <c r="O994" s="156" t="inlineStr">
        <is>
          <t>Seasonal</t>
        </is>
      </c>
      <c r="P994" s="156" t="inlineStr">
        <is>
          <t>Azul</t>
        </is>
      </c>
      <c r="Q994" s="156" t="inlineStr">
        <is>
          <t>Regular</t>
        </is>
      </c>
      <c r="R994" s="156" t="n"/>
      <c r="S994" s="156" t="inlineStr">
        <is>
          <t>100% Rayón</t>
        </is>
      </c>
      <c r="T994" s="156" t="inlineStr">
        <is>
          <t>Vestido Rayon Estampado Mandala Regular</t>
        </is>
      </c>
      <c r="U994" s="156" t="n"/>
      <c r="V994" s="156" t="inlineStr">
        <is>
          <t>PZS</t>
        </is>
      </c>
      <c r="W994" s="51" t="inlineStr">
        <is>
          <t>53101504</t>
        </is>
      </c>
      <c r="X994" s="156" t="n"/>
      <c r="Y994" s="54" t="n">
        <v>1241.37931</v>
      </c>
      <c r="Z994" s="54" t="n">
        <v>2758.62069</v>
      </c>
      <c r="AA994" s="55">
        <f>IF(AND(A994="", B994="", E994=""), "", IF(AB994="", "Válido", IF((LEN(AB994)-LEN(SUBSTITUTE(AB994,"; ","")))/2+1&gt;(LEN(AB994)-LEN(SUBSTITUTE(AB994,"[Aviso]","")))/7, "Con Incidencias", "Válido")))</f>
        <v/>
      </c>
      <c r="AB994" s="56">
        <f>IF(AND(A994="", B994="", E994=""), "", TEXTJOIN("; ", TRUE, IF(OR(TRIM(A994&amp;"")="", ISNUMBER(SEARCH("FALTA", A994))), "UPC faltante/inválido", ""), IF(AND(A994&lt;&gt;"", IFERROR(_xlfn.XMATCH(A994,$A$2:$A$2509,0,1)&lt;&gt;_xlfn.XMATCH(A994,$A$2:$A$2509,0,-1),FALSE)), "Código de barras duplicado", ""), IF(AND(E994&lt;&gt;"", COUNTIF($E$2:$E$2509, E994)&gt;1), "SKU duplicado", ""), IF(OR(J994="", J994=""), "[Aviso] División no capturada ()", IF(ISNA(MATCH(J994, Criterios!$A$123:$A$126, 0)), "División no válida", "")), IF(OR(K994="", K994=""), "[Aviso] Categoría no capturada ()", IF(ISNA(MATCH(K994, Criterios!$A$81:$A$120, 0)), "Categoría no válida", IF(AND(J994&lt;&gt;"", J994&lt;&gt;"", J994&lt;&gt;VLOOKUP(K994, Criterios!$A$81:$B$120, 2, FALSE)), "División no coincide con Categoría", ""))), IF(OR(L994="", L994=""), "[Aviso] Género no capturado ()", IF(ISNA(MATCH(L994, Criterios!$B$123:$B$127, 0)), "Género no válido", "")), IF(OR(N994="", N994=""), "[Aviso] Temporada no capturada ()", IF(ISNA(MATCH(N994, Criterios!$C$123:$C$128, 0)), "Temporada no válida", "")), IF(OR(O994="", O994=""), "[Aviso] Ciclo de vida no capturado ()", IF(ISNA(MATCH(O994, Criterios!$D$123:$D$124, 0)), "Ciclo de vida no válido", ""))))</f>
        <v/>
      </c>
      <c r="AC994" s="56" t="n"/>
      <c r="AD994" s="51" t="n">
        <v>0</v>
      </c>
      <c r="AE994" s="156" t="n"/>
      <c r="AF994" s="51" t="n">
        <v>0</v>
      </c>
      <c r="AG994" s="156" t="inlineStr">
        <is>
          <t>Catálogo existente</t>
        </is>
      </c>
      <c r="AH994" s="156" t="inlineStr">
        <is>
          <t>Revisión 29/09/2026: Campos sin respaldo: U, X; Auditoría NetSuite 30/09/2026: llenado desde NetSuite [S] | 01/10/2026: complementado desde Shopify Stetson México (match por código de barras): WB Silueta</t>
        </is>
      </c>
      <c r="AI994" s="156" t="inlineStr">
        <is>
          <t>No</t>
        </is>
      </c>
      <c r="AJ994" s="156" t="n"/>
      <c r="AK994" s="155" t="inlineStr">
        <is>
          <t>Criterios: J [R]; G1522_Extraccion_Articulos_NetSuite_2026-09-30.xlsx: fila 58564 [S] | Shopify Stetson: producto 15051552063851 / variante 53350590284139</t>
        </is>
      </c>
      <c r="AL994" s="58" t="n">
        <v>1241.37931</v>
      </c>
      <c r="AM994" s="58" t="n">
        <v>2758.62069</v>
      </c>
      <c r="AN994" s="155" t="inlineStr">
        <is>
          <t>Shopify Stetson México</t>
        </is>
      </c>
      <c r="AO994" s="59" t="n">
        <v>3</v>
      </c>
      <c r="AP994" s="59" t="n"/>
      <c r="AQ994" s="59" t="n"/>
      <c r="AR994" s="155" t="inlineStr">
        <is>
          <t>Shopify Stetson México › Stetson Americas: 3</t>
        </is>
      </c>
    </row>
    <row r="995">
      <c r="A995" s="50" t="inlineStr">
        <is>
          <t>196070572841</t>
        </is>
      </c>
      <c r="B995" s="51" t="inlineStr">
        <is>
          <t>110750</t>
        </is>
      </c>
      <c r="C995" s="156" t="inlineStr">
        <is>
          <t>Multimarca</t>
        </is>
      </c>
      <c r="D995" s="156" t="inlineStr">
        <is>
          <t>11-057-0590-2014</t>
        </is>
      </c>
      <c r="E995" s="156" t="inlineStr">
        <is>
          <t>11-057-0590-2014-M</t>
        </is>
      </c>
      <c r="F995" s="156" t="inlineStr">
        <is>
          <t>M</t>
        </is>
      </c>
      <c r="G995" s="156" t="inlineStr">
        <is>
          <t>M</t>
        </is>
      </c>
      <c r="H995" s="156" t="inlineStr">
        <is>
          <t>Stetson</t>
        </is>
      </c>
      <c r="I995" s="156" t="inlineStr">
        <is>
          <t>Vestido Rayon Estampado Mandala</t>
        </is>
      </c>
      <c r="J995" s="156" t="inlineStr">
        <is>
          <t>Ropa</t>
        </is>
      </c>
      <c r="K995" s="156" t="inlineStr">
        <is>
          <t>Vestidos</t>
        </is>
      </c>
      <c r="L995" s="156" t="inlineStr">
        <is>
          <t>Mujer</t>
        </is>
      </c>
      <c r="M995" s="156" t="inlineStr">
        <is>
          <t>Stetson</t>
        </is>
      </c>
      <c r="N995" s="156" t="inlineStr">
        <is>
          <t>SS26</t>
        </is>
      </c>
      <c r="O995" s="156" t="inlineStr">
        <is>
          <t>Seasonal</t>
        </is>
      </c>
      <c r="P995" s="156" t="inlineStr">
        <is>
          <t>Azul</t>
        </is>
      </c>
      <c r="Q995" s="156" t="inlineStr">
        <is>
          <t>Regular</t>
        </is>
      </c>
      <c r="R995" s="156" t="n"/>
      <c r="S995" s="156" t="inlineStr">
        <is>
          <t>100% Rayón</t>
        </is>
      </c>
      <c r="T995" s="156" t="inlineStr">
        <is>
          <t>Vestido Rayon Estampado Mandala Regular</t>
        </is>
      </c>
      <c r="U995" s="156" t="n"/>
      <c r="V995" s="156" t="inlineStr">
        <is>
          <t>PZS</t>
        </is>
      </c>
      <c r="W995" s="51" t="inlineStr">
        <is>
          <t>53101504</t>
        </is>
      </c>
      <c r="X995" s="156" t="n"/>
      <c r="Y995" s="54" t="n">
        <v>1241.37931</v>
      </c>
      <c r="Z995" s="54" t="n">
        <v>2758.62069</v>
      </c>
      <c r="AA995" s="55">
        <f>IF(AND(A995="", B995="", E995=""), "", IF(AB995="", "Válido", IF((LEN(AB995)-LEN(SUBSTITUTE(AB995,"; ","")))/2+1&gt;(LEN(AB995)-LEN(SUBSTITUTE(AB995,"[Aviso]","")))/7, "Con Incidencias", "Válido")))</f>
        <v/>
      </c>
      <c r="AB995" s="56">
        <f>IF(AND(A995="", B995="", E995=""), "", TEXTJOIN("; ", TRUE, IF(OR(TRIM(A995&amp;"")="", ISNUMBER(SEARCH("FALTA", A995))), "UPC faltante/inválido", ""), IF(AND(A995&lt;&gt;"", IFERROR(_xlfn.XMATCH(A995,$A$2:$A$2509,0,1)&lt;&gt;_xlfn.XMATCH(A995,$A$2:$A$2509,0,-1),FALSE)), "Código de barras duplicado", ""), IF(AND(E995&lt;&gt;"", COUNTIF($E$2:$E$2509, E995)&gt;1), "SKU duplicado", ""), IF(OR(J995="", J995=""), "[Aviso] División no capturada ()", IF(ISNA(MATCH(J995, Criterios!$A$123:$A$126, 0)), "División no válida", "")), IF(OR(K995="", K995=""), "[Aviso] Categoría no capturada ()", IF(ISNA(MATCH(K995, Criterios!$A$81:$A$120, 0)), "Categoría no válida", IF(AND(J995&lt;&gt;"", J995&lt;&gt;"", J995&lt;&gt;VLOOKUP(K995, Criterios!$A$81:$B$120, 2, FALSE)), "División no coincide con Categoría", ""))), IF(OR(L995="", L995=""), "[Aviso] Género no capturado ()", IF(ISNA(MATCH(L995, Criterios!$B$123:$B$127, 0)), "Género no válido", "")), IF(OR(N995="", N995=""), "[Aviso] Temporada no capturada ()", IF(ISNA(MATCH(N995, Criterios!$C$123:$C$128, 0)), "Temporada no válida", "")), IF(OR(O995="", O995=""), "[Aviso] Ciclo de vida no capturado ()", IF(ISNA(MATCH(O995, Criterios!$D$123:$D$124, 0)), "Ciclo de vida no válido", ""))))</f>
        <v/>
      </c>
      <c r="AC995" s="56" t="n"/>
      <c r="AD995" s="51" t="n">
        <v>0</v>
      </c>
      <c r="AE995" s="156" t="n"/>
      <c r="AF995" s="51" t="n">
        <v>0</v>
      </c>
      <c r="AG995" s="156" t="inlineStr">
        <is>
          <t>Catálogo existente</t>
        </is>
      </c>
      <c r="AH995" s="156" t="inlineStr">
        <is>
          <t>Revisión 29/09/2026: Campos sin respaldo: U, X; Auditoría NetSuite 30/09/2026: llenado desde NetSuite [S] | 01/10/2026: complementado desde Shopify Stetson México (match por código de barras): WB Silueta</t>
        </is>
      </c>
      <c r="AI995" s="156" t="inlineStr">
        <is>
          <t>No</t>
        </is>
      </c>
      <c r="AJ995" s="156" t="n"/>
      <c r="AK995" s="155" t="inlineStr">
        <is>
          <t>Criterios: J [R]; G1522_Extraccion_Articulos_NetSuite_2026-09-30.xlsx: fila 58565 [S] | Shopify Stetson: producto 15051552063851 / variante 53350590251371</t>
        </is>
      </c>
      <c r="AL995" s="58" t="n">
        <v>1241.37931</v>
      </c>
      <c r="AM995" s="58" t="n">
        <v>2758.62069</v>
      </c>
      <c r="AN995" s="155" t="inlineStr">
        <is>
          <t>Shopify Stetson México</t>
        </is>
      </c>
      <c r="AO995" s="59" t="n">
        <v>6</v>
      </c>
      <c r="AP995" s="59" t="n"/>
      <c r="AQ995" s="59" t="n"/>
      <c r="AR995" s="155" t="inlineStr">
        <is>
          <t>Shopify Stetson México › Stetson Americas: 6</t>
        </is>
      </c>
    </row>
    <row r="996">
      <c r="A996" s="50" t="inlineStr">
        <is>
          <t>196070572858</t>
        </is>
      </c>
      <c r="B996" s="51" t="inlineStr">
        <is>
          <t>110751</t>
        </is>
      </c>
      <c r="C996" s="156" t="inlineStr">
        <is>
          <t>Multimarca</t>
        </is>
      </c>
      <c r="D996" s="156" t="inlineStr">
        <is>
          <t>11-057-0590-2014</t>
        </is>
      </c>
      <c r="E996" s="156" t="inlineStr">
        <is>
          <t>11-057-0590-2014-S</t>
        </is>
      </c>
      <c r="F996" s="156" t="inlineStr">
        <is>
          <t>S</t>
        </is>
      </c>
      <c r="G996" s="156" t="inlineStr">
        <is>
          <t>S</t>
        </is>
      </c>
      <c r="H996" s="156" t="inlineStr">
        <is>
          <t>Stetson</t>
        </is>
      </c>
      <c r="I996" s="156" t="inlineStr">
        <is>
          <t>Vestido Rayon Estampado Mandala</t>
        </is>
      </c>
      <c r="J996" s="156" t="inlineStr">
        <is>
          <t>Ropa</t>
        </is>
      </c>
      <c r="K996" s="156" t="inlineStr">
        <is>
          <t>Vestidos</t>
        </is>
      </c>
      <c r="L996" s="156" t="inlineStr">
        <is>
          <t>Mujer</t>
        </is>
      </c>
      <c r="M996" s="156" t="inlineStr">
        <is>
          <t>Stetson</t>
        </is>
      </c>
      <c r="N996" s="156" t="inlineStr">
        <is>
          <t>SS26</t>
        </is>
      </c>
      <c r="O996" s="156" t="inlineStr">
        <is>
          <t>Seasonal</t>
        </is>
      </c>
      <c r="P996" s="156" t="inlineStr">
        <is>
          <t>Azul</t>
        </is>
      </c>
      <c r="Q996" s="156" t="inlineStr">
        <is>
          <t>Regular</t>
        </is>
      </c>
      <c r="R996" s="156" t="n"/>
      <c r="S996" s="156" t="inlineStr">
        <is>
          <t>100% Rayón</t>
        </is>
      </c>
      <c r="T996" s="156" t="inlineStr">
        <is>
          <t>Vestido Rayon Estampado Mandala Regular</t>
        </is>
      </c>
      <c r="U996" s="156" t="n"/>
      <c r="V996" s="156" t="inlineStr">
        <is>
          <t>PZS</t>
        </is>
      </c>
      <c r="W996" s="51" t="inlineStr">
        <is>
          <t>53101504</t>
        </is>
      </c>
      <c r="X996" s="156" t="n"/>
      <c r="Y996" s="54" t="n">
        <v>1241.37931</v>
      </c>
      <c r="Z996" s="54" t="n">
        <v>2758.62069</v>
      </c>
      <c r="AA996" s="55">
        <f>IF(AND(A996="", B996="", E996=""), "", IF(AB996="", "Válido", IF((LEN(AB996)-LEN(SUBSTITUTE(AB996,"; ","")))/2+1&gt;(LEN(AB996)-LEN(SUBSTITUTE(AB996,"[Aviso]","")))/7, "Con Incidencias", "Válido")))</f>
        <v/>
      </c>
      <c r="AB996" s="56">
        <f>IF(AND(A996="", B996="", E996=""), "", TEXTJOIN("; ", TRUE, IF(OR(TRIM(A996&amp;"")="", ISNUMBER(SEARCH("FALTA", A996))), "UPC faltante/inválido", ""), IF(AND(A996&lt;&gt;"", IFERROR(_xlfn.XMATCH(A996,$A$2:$A$2509,0,1)&lt;&gt;_xlfn.XMATCH(A996,$A$2:$A$2509,0,-1),FALSE)), "Código de barras duplicado", ""), IF(AND(E996&lt;&gt;"", COUNTIF($E$2:$E$2509, E996)&gt;1), "SKU duplicado", ""), IF(OR(J996="", J996=""), "[Aviso] División no capturada ()", IF(ISNA(MATCH(J996, Criterios!$A$123:$A$126, 0)), "División no válida", "")), IF(OR(K996="", K996=""), "[Aviso] Categoría no capturada ()", IF(ISNA(MATCH(K996, Criterios!$A$81:$A$120, 0)), "Categoría no válida", IF(AND(J996&lt;&gt;"", J996&lt;&gt;"", J996&lt;&gt;VLOOKUP(K996, Criterios!$A$81:$B$120, 2, FALSE)), "División no coincide con Categoría", ""))), IF(OR(L996="", L996=""), "[Aviso] Género no capturado ()", IF(ISNA(MATCH(L996, Criterios!$B$123:$B$127, 0)), "Género no válido", "")), IF(OR(N996="", N996=""), "[Aviso] Temporada no capturada ()", IF(ISNA(MATCH(N996, Criterios!$C$123:$C$128, 0)), "Temporada no válida", "")), IF(OR(O996="", O996=""), "[Aviso] Ciclo de vida no capturado ()", IF(ISNA(MATCH(O996, Criterios!$D$123:$D$124, 0)), "Ciclo de vida no válido", ""))))</f>
        <v/>
      </c>
      <c r="AC996" s="56" t="n"/>
      <c r="AD996" s="51" t="n">
        <v>-1</v>
      </c>
      <c r="AE996" s="156" t="n"/>
      <c r="AF996" s="51" t="n">
        <v>0</v>
      </c>
      <c r="AG996" s="156" t="inlineStr">
        <is>
          <t>Catálogo existente</t>
        </is>
      </c>
      <c r="AH996" s="156" t="inlineStr">
        <is>
          <t>Stock negativo en sistema: revisar en conteo | Revisión 29/09/2026: Campos sin respaldo: U, X; Auditoría NetSuite 30/09/2026: llenado desde NetSuite [S] | 01/10/2026: complementado desde Shopify Stetson México (match por código de barras): WB Silueta</t>
        </is>
      </c>
      <c r="AI996" s="156" t="inlineStr">
        <is>
          <t>Sí</t>
        </is>
      </c>
      <c r="AJ996" s="156" t="inlineStr">
        <is>
          <t>STETSON AMERICAS (-1)</t>
        </is>
      </c>
      <c r="AK996" s="155" t="inlineStr">
        <is>
          <t>Criterios: J [R]; G1522_Extraccion_Articulos_NetSuite_2026-09-30.xlsx: fila 58566 [S] | Shopify Stetson: producto 15051552063851 / variante 53350590218603</t>
        </is>
      </c>
      <c r="AL996" s="58" t="n">
        <v>1241.37931</v>
      </c>
      <c r="AM996" s="58" t="n">
        <v>2758.62069</v>
      </c>
      <c r="AN996" s="155" t="inlineStr">
        <is>
          <t>Shopify Stetson México</t>
        </is>
      </c>
      <c r="AO996" s="59" t="n">
        <v>5</v>
      </c>
      <c r="AP996" s="59" t="n"/>
      <c r="AQ996" s="59" t="n"/>
      <c r="AR996" s="155" t="inlineStr">
        <is>
          <t>Shopify Stetson México › Stetson Americas: 5</t>
        </is>
      </c>
    </row>
    <row r="997">
      <c r="A997" s="50" t="inlineStr">
        <is>
          <t>196070572865</t>
        </is>
      </c>
      <c r="B997" s="51" t="inlineStr">
        <is>
          <t>110752</t>
        </is>
      </c>
      <c r="C997" s="156" t="inlineStr">
        <is>
          <t>Multimarca</t>
        </is>
      </c>
      <c r="D997" s="156" t="inlineStr">
        <is>
          <t>11-057-0590-2014</t>
        </is>
      </c>
      <c r="E997" s="156" t="inlineStr">
        <is>
          <t>11-057-0590-2014-XL</t>
        </is>
      </c>
      <c r="F997" s="156" t="inlineStr">
        <is>
          <t>XL</t>
        </is>
      </c>
      <c r="G997" s="156" t="inlineStr">
        <is>
          <t>XL</t>
        </is>
      </c>
      <c r="H997" s="156" t="inlineStr">
        <is>
          <t>Stetson</t>
        </is>
      </c>
      <c r="I997" s="156" t="inlineStr">
        <is>
          <t>Vestido Rayon Estampado Mandala</t>
        </is>
      </c>
      <c r="J997" s="156" t="inlineStr">
        <is>
          <t>Ropa</t>
        </is>
      </c>
      <c r="K997" s="156" t="inlineStr">
        <is>
          <t>Vestidos</t>
        </is>
      </c>
      <c r="L997" s="156" t="inlineStr">
        <is>
          <t>Mujer</t>
        </is>
      </c>
      <c r="M997" s="156" t="inlineStr">
        <is>
          <t>Stetson</t>
        </is>
      </c>
      <c r="N997" s="156" t="inlineStr">
        <is>
          <t>SS26</t>
        </is>
      </c>
      <c r="O997" s="156" t="inlineStr">
        <is>
          <t>Seasonal</t>
        </is>
      </c>
      <c r="P997" s="156" t="inlineStr">
        <is>
          <t>Azul</t>
        </is>
      </c>
      <c r="Q997" s="156" t="inlineStr">
        <is>
          <t>Regular</t>
        </is>
      </c>
      <c r="R997" s="156" t="n"/>
      <c r="S997" s="156" t="inlineStr">
        <is>
          <t>100% Rayón</t>
        </is>
      </c>
      <c r="T997" s="156" t="inlineStr">
        <is>
          <t>Vestido Rayon Estampado Mandala Regular</t>
        </is>
      </c>
      <c r="U997" s="156" t="n"/>
      <c r="V997" s="156" t="inlineStr">
        <is>
          <t>PZS</t>
        </is>
      </c>
      <c r="W997" s="51" t="inlineStr">
        <is>
          <t>53101504</t>
        </is>
      </c>
      <c r="X997" s="156" t="n"/>
      <c r="Y997" s="54" t="n">
        <v>1241.37931</v>
      </c>
      <c r="Z997" s="54" t="n">
        <v>2758.62069</v>
      </c>
      <c r="AA997" s="55">
        <f>IF(AND(A997="", B997="", E997=""), "", IF(AB997="", "Válido", IF((LEN(AB997)-LEN(SUBSTITUTE(AB997,"; ","")))/2+1&gt;(LEN(AB997)-LEN(SUBSTITUTE(AB997,"[Aviso]","")))/7, "Con Incidencias", "Válido")))</f>
        <v/>
      </c>
      <c r="AB997" s="56">
        <f>IF(AND(A997="", B997="", E997=""), "", TEXTJOIN("; ", TRUE, IF(OR(TRIM(A997&amp;"")="", ISNUMBER(SEARCH("FALTA", A997))), "UPC faltante/inválido", ""), IF(AND(A997&lt;&gt;"", IFERROR(_xlfn.XMATCH(A997,$A$2:$A$2509,0,1)&lt;&gt;_xlfn.XMATCH(A997,$A$2:$A$2509,0,-1),FALSE)), "Código de barras duplicado", ""), IF(AND(E997&lt;&gt;"", COUNTIF($E$2:$E$2509, E997)&gt;1), "SKU duplicado", ""), IF(OR(J997="", J997=""), "[Aviso] División no capturada ()", IF(ISNA(MATCH(J997, Criterios!$A$123:$A$126, 0)), "División no válida", "")), IF(OR(K997="", K997=""), "[Aviso] Categoría no capturada ()", IF(ISNA(MATCH(K997, Criterios!$A$81:$A$120, 0)), "Categoría no válida", IF(AND(J997&lt;&gt;"", J997&lt;&gt;"", J997&lt;&gt;VLOOKUP(K997, Criterios!$A$81:$B$120, 2, FALSE)), "División no coincide con Categoría", ""))), IF(OR(L997="", L997=""), "[Aviso] Género no capturado ()", IF(ISNA(MATCH(L997, Criterios!$B$123:$B$127, 0)), "Género no válido", "")), IF(OR(N997="", N997=""), "[Aviso] Temporada no capturada ()", IF(ISNA(MATCH(N997, Criterios!$C$123:$C$128, 0)), "Temporada no válida", "")), IF(OR(O997="", O997=""), "[Aviso] Ciclo de vida no capturado ()", IF(ISNA(MATCH(O997, Criterios!$D$123:$D$124, 0)), "Ciclo de vida no válido", ""))))</f>
        <v/>
      </c>
      <c r="AC997" s="56" t="n"/>
      <c r="AD997" s="51" t="n">
        <v>-1</v>
      </c>
      <c r="AE997" s="156" t="n"/>
      <c r="AF997" s="51" t="n">
        <v>0</v>
      </c>
      <c r="AG997" s="156" t="inlineStr">
        <is>
          <t>Catálogo existente</t>
        </is>
      </c>
      <c r="AH997" s="156" t="inlineStr">
        <is>
          <t>Stock negativo en sistema: revisar en conteo | Revisión 29/09/2026: Campos sin respaldo: U, X; Auditoría NetSuite 30/09/2026: llenado desde NetSuite [S] | 01/10/2026: complementado desde Shopify Stetson México (match por código de barras): WB Silueta</t>
        </is>
      </c>
      <c r="AI997" s="156" t="inlineStr">
        <is>
          <t>Sí</t>
        </is>
      </c>
      <c r="AJ997" s="156" t="inlineStr">
        <is>
          <t>STETSON AMERICAS (-1)</t>
        </is>
      </c>
      <c r="AK997" s="155" t="inlineStr">
        <is>
          <t>Criterios: J [R]; G1522_Extraccion_Articulos_NetSuite_2026-09-30.xlsx: fila 58567 [S] | Shopify Stetson: producto 15051552063851 / variante 53350590316907</t>
        </is>
      </c>
      <c r="AL997" s="58" t="n">
        <v>1241.37931</v>
      </c>
      <c r="AM997" s="58" t="n">
        <v>2758.62069</v>
      </c>
      <c r="AN997" s="155" t="inlineStr">
        <is>
          <t>Shopify Stetson México</t>
        </is>
      </c>
      <c r="AO997" s="59" t="n">
        <v>0</v>
      </c>
      <c r="AP997" s="59" t="n"/>
      <c r="AQ997" s="59" t="n"/>
      <c r="AR997" s="155" t="n"/>
    </row>
    <row r="998">
      <c r="A998" s="50" t="inlineStr">
        <is>
          <t>196070572872</t>
        </is>
      </c>
      <c r="B998" s="51" t="inlineStr">
        <is>
          <t>110753</t>
        </is>
      </c>
      <c r="C998" s="156" t="inlineStr">
        <is>
          <t>Multimarca</t>
        </is>
      </c>
      <c r="D998" s="156" t="inlineStr">
        <is>
          <t>11-057-0590-2014</t>
        </is>
      </c>
      <c r="E998" s="156" t="inlineStr">
        <is>
          <t>11-057-0590-2014-XS</t>
        </is>
      </c>
      <c r="F998" s="156" t="inlineStr">
        <is>
          <t>XS</t>
        </is>
      </c>
      <c r="G998" s="156" t="inlineStr">
        <is>
          <t>XS</t>
        </is>
      </c>
      <c r="H998" s="156" t="inlineStr">
        <is>
          <t>Stetson</t>
        </is>
      </c>
      <c r="I998" s="156" t="inlineStr">
        <is>
          <t>Vestido Rayon Estampado Mandala</t>
        </is>
      </c>
      <c r="J998" s="156" t="inlineStr">
        <is>
          <t>Ropa</t>
        </is>
      </c>
      <c r="K998" s="156" t="inlineStr">
        <is>
          <t>Vestidos</t>
        </is>
      </c>
      <c r="L998" s="156" t="inlineStr">
        <is>
          <t>Mujer</t>
        </is>
      </c>
      <c r="M998" s="156" t="inlineStr">
        <is>
          <t>Stetson</t>
        </is>
      </c>
      <c r="N998" s="156" t="inlineStr">
        <is>
          <t>SS26</t>
        </is>
      </c>
      <c r="O998" s="156" t="inlineStr">
        <is>
          <t>Seasonal</t>
        </is>
      </c>
      <c r="P998" s="156" t="inlineStr">
        <is>
          <t>Azul</t>
        </is>
      </c>
      <c r="Q998" s="156" t="inlineStr">
        <is>
          <t>Regular</t>
        </is>
      </c>
      <c r="R998" s="156" t="n"/>
      <c r="S998" s="156" t="inlineStr">
        <is>
          <t>100% Rayón</t>
        </is>
      </c>
      <c r="T998" s="156" t="inlineStr">
        <is>
          <t>Vestido Rayon Estampado Mandala Regular</t>
        </is>
      </c>
      <c r="U998" s="156" t="n"/>
      <c r="V998" s="156" t="inlineStr">
        <is>
          <t>PZS</t>
        </is>
      </c>
      <c r="W998" s="51" t="inlineStr">
        <is>
          <t>53101504</t>
        </is>
      </c>
      <c r="X998" s="156" t="n"/>
      <c r="Y998" s="54" t="n">
        <v>1241.37931</v>
      </c>
      <c r="Z998" s="54" t="n">
        <v>2758.62069</v>
      </c>
      <c r="AA998" s="55">
        <f>IF(AND(A998="", B998="", E998=""), "", IF(AB998="", "Válido", IF((LEN(AB998)-LEN(SUBSTITUTE(AB998,"; ","")))/2+1&gt;(LEN(AB998)-LEN(SUBSTITUTE(AB998,"[Aviso]","")))/7, "Con Incidencias", "Válido")))</f>
        <v/>
      </c>
      <c r="AB998" s="56">
        <f>IF(AND(A998="", B998="", E998=""), "", TEXTJOIN("; ", TRUE, IF(OR(TRIM(A998&amp;"")="", ISNUMBER(SEARCH("FALTA", A998))), "UPC faltante/inválido", ""), IF(AND(A998&lt;&gt;"", IFERROR(_xlfn.XMATCH(A998,$A$2:$A$2509,0,1)&lt;&gt;_xlfn.XMATCH(A998,$A$2:$A$2509,0,-1),FALSE)), "Código de barras duplicado", ""), IF(AND(E998&lt;&gt;"", COUNTIF($E$2:$E$2509, E998)&gt;1), "SKU duplicado", ""), IF(OR(J998="", J998=""), "[Aviso] División no capturada ()", IF(ISNA(MATCH(J998, Criterios!$A$123:$A$126, 0)), "División no válida", "")), IF(OR(K998="", K998=""), "[Aviso] Categoría no capturada ()", IF(ISNA(MATCH(K998, Criterios!$A$81:$A$120, 0)), "Categoría no válida", IF(AND(J998&lt;&gt;"", J998&lt;&gt;"", J998&lt;&gt;VLOOKUP(K998, Criterios!$A$81:$B$120, 2, FALSE)), "División no coincide con Categoría", ""))), IF(OR(L998="", L998=""), "[Aviso] Género no capturado ()", IF(ISNA(MATCH(L998, Criterios!$B$123:$B$127, 0)), "Género no válido", "")), IF(OR(N998="", N998=""), "[Aviso] Temporada no capturada ()", IF(ISNA(MATCH(N998, Criterios!$C$123:$C$128, 0)), "Temporada no válida", "")), IF(OR(O998="", O998=""), "[Aviso] Ciclo de vida no capturado ()", IF(ISNA(MATCH(O998, Criterios!$D$123:$D$124, 0)), "Ciclo de vida no válido", ""))))</f>
        <v/>
      </c>
      <c r="AC998" s="56" t="n"/>
      <c r="AD998" s="51" t="n">
        <v>-1</v>
      </c>
      <c r="AE998" s="156" t="n"/>
      <c r="AF998" s="51" t="n">
        <v>0</v>
      </c>
      <c r="AG998" s="156" t="inlineStr">
        <is>
          <t>Catálogo existente</t>
        </is>
      </c>
      <c r="AH998" s="156" t="inlineStr">
        <is>
          <t>Stock negativo en sistema: revisar en conteo | Revisión 29/09/2026: Campos sin respaldo: U, X; Auditoría NetSuite 30/09/2026: llenado desde NetSuite [S] | 01/10/2026: complementado desde Shopify Stetson México (match por código de barras): WB Silueta</t>
        </is>
      </c>
      <c r="AI998" s="156" t="inlineStr">
        <is>
          <t>Sí</t>
        </is>
      </c>
      <c r="AJ998" s="156" t="inlineStr">
        <is>
          <t>STETSON AMERICAS (-1)</t>
        </is>
      </c>
      <c r="AK998" s="155" t="inlineStr">
        <is>
          <t>Criterios: J [R]; G1522_Extraccion_Articulos_NetSuite_2026-09-30.xlsx: fila 58568 [S] | Shopify Stetson: producto 15051552063851 / variante 53350590185835</t>
        </is>
      </c>
      <c r="AL998" s="58" t="n">
        <v>1241.37931</v>
      </c>
      <c r="AM998" s="58" t="n">
        <v>2758.62069</v>
      </c>
      <c r="AN998" s="155" t="inlineStr">
        <is>
          <t>Shopify Stetson México</t>
        </is>
      </c>
      <c r="AO998" s="59" t="n">
        <v>2</v>
      </c>
      <c r="AP998" s="59" t="n"/>
      <c r="AQ998" s="59" t="n"/>
      <c r="AR998" s="155" t="inlineStr">
        <is>
          <t>Shopify Stetson México › Stetson Americas: 2</t>
        </is>
      </c>
    </row>
    <row r="999">
      <c r="A999" s="50" t="inlineStr">
        <is>
          <t>196070588606</t>
        </is>
      </c>
      <c r="B999" s="51" t="inlineStr">
        <is>
          <t>110882</t>
        </is>
      </c>
      <c r="C999" s="156" t="inlineStr">
        <is>
          <t>Multimarca</t>
        </is>
      </c>
      <c r="D999" s="156" t="inlineStr">
        <is>
          <t>11-098-0539-0080</t>
        </is>
      </c>
      <c r="E999" s="156" t="inlineStr">
        <is>
          <t>11-098-0539-0080-L</t>
        </is>
      </c>
      <c r="F999" s="156" t="inlineStr">
        <is>
          <t>L</t>
        </is>
      </c>
      <c r="G999" s="156" t="inlineStr">
        <is>
          <t>L</t>
        </is>
      </c>
      <c r="H999" s="156" t="inlineStr">
        <is>
          <t>Stetson</t>
        </is>
      </c>
      <c r="I999" s="156" t="inlineStr">
        <is>
          <t>Chamarra Gamuza Jengibre con Flecos</t>
        </is>
      </c>
      <c r="J999" s="156" t="inlineStr">
        <is>
          <t>Ropa</t>
        </is>
      </c>
      <c r="K999" s="156" t="inlineStr">
        <is>
          <t>Chamarras</t>
        </is>
      </c>
      <c r="L999" s="156" t="inlineStr">
        <is>
          <t>Mujer</t>
        </is>
      </c>
      <c r="M999" s="156" t="inlineStr">
        <is>
          <t>Stetson</t>
        </is>
      </c>
      <c r="N999" s="156" t="inlineStr">
        <is>
          <t>SS26</t>
        </is>
      </c>
      <c r="O999" s="156" t="inlineStr">
        <is>
          <t>Seasonal</t>
        </is>
      </c>
      <c r="P999" s="156" t="inlineStr">
        <is>
          <t>Cafe</t>
        </is>
      </c>
      <c r="Q999" s="156" t="inlineStr">
        <is>
          <t>Regular</t>
        </is>
      </c>
      <c r="R999" s="156" t="n"/>
      <c r="S999" s="156" t="inlineStr">
        <is>
          <t>Cuero</t>
        </is>
      </c>
      <c r="T999" s="156" t="inlineStr">
        <is>
          <t>Chamarra Gamuza Jengibre con Flecos Regular</t>
        </is>
      </c>
      <c r="U999" s="156" t="n"/>
      <c r="V999" s="156" t="inlineStr">
        <is>
          <t>PZS</t>
        </is>
      </c>
      <c r="W999" s="51" t="inlineStr">
        <is>
          <t>53101804</t>
        </is>
      </c>
      <c r="X999" s="156" t="n"/>
      <c r="Y999" s="54" t="n">
        <v>3607.758621</v>
      </c>
      <c r="Z999" s="54" t="n">
        <v>8017.241379</v>
      </c>
      <c r="AA999" s="55">
        <f>IF(AND(A999="", B999="", E999=""), "", IF(AB999="", "Válido", IF((LEN(AB999)-LEN(SUBSTITUTE(AB999,"; ","")))/2+1&gt;(LEN(AB999)-LEN(SUBSTITUTE(AB999,"[Aviso]","")))/7, "Con Incidencias", "Válido")))</f>
        <v/>
      </c>
      <c r="AB999" s="56">
        <f>IF(AND(A999="", B999="", E999=""), "", TEXTJOIN("; ", TRUE, IF(OR(TRIM(A999&amp;"")="", ISNUMBER(SEARCH("FALTA", A999))), "UPC faltante/inválido", ""), IF(AND(A999&lt;&gt;"", IFERROR(_xlfn.XMATCH(A999,$A$2:$A$2509,0,1)&lt;&gt;_xlfn.XMATCH(A999,$A$2:$A$2509,0,-1),FALSE)), "Código de barras duplicado", ""), IF(AND(E999&lt;&gt;"", COUNTIF($E$2:$E$2509, E999)&gt;1), "SKU duplicado", ""), IF(OR(J999="", J999=""), "[Aviso] División no capturada ()", IF(ISNA(MATCH(J999, Criterios!$A$123:$A$126, 0)), "División no válida", "")), IF(OR(K999="", K999=""), "[Aviso] Categoría no capturada ()", IF(ISNA(MATCH(K999, Criterios!$A$81:$A$120, 0)), "Categoría no válida", IF(AND(J999&lt;&gt;"", J999&lt;&gt;"", J999&lt;&gt;VLOOKUP(K999, Criterios!$A$81:$B$120, 2, FALSE)), "División no coincide con Categoría", ""))), IF(OR(L999="", L999=""), "[Aviso] Género no capturado ()", IF(ISNA(MATCH(L999, Criterios!$B$123:$B$127, 0)), "Género no válido", "")), IF(OR(N999="", N999=""), "[Aviso] Temporada no capturada ()", IF(ISNA(MATCH(N999, Criterios!$C$123:$C$128, 0)), "Temporada no válida", "")), IF(OR(O999="", O999=""), "[Aviso] Ciclo de vida no capturado ()", IF(ISNA(MATCH(O999, Criterios!$D$123:$D$124, 0)), "Ciclo de vida no válido", ""))))</f>
        <v/>
      </c>
      <c r="AC999" s="56" t="n"/>
      <c r="AD999" s="51" t="n">
        <v>0</v>
      </c>
      <c r="AE999" s="156" t="n"/>
      <c r="AF999" s="51" t="n">
        <v>0</v>
      </c>
      <c r="AG999" s="156" t="inlineStr">
        <is>
          <t>Catálogo existente</t>
        </is>
      </c>
      <c r="AH999"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999" s="156" t="inlineStr">
        <is>
          <t>No</t>
        </is>
      </c>
      <c r="AJ999" s="156" t="n"/>
      <c r="AK999" s="155" t="inlineStr">
        <is>
          <t>ProductosCatalogoEstandar907.xlsx: fila 49998 [U] | Criterios: J [R]; G1522_Extraccion_Articulos_NetSuite_2026-09-30.xlsx: fila 58624 [V,S] | Shopify Stetson: producto 15051553145195 / variante 53350588449131 | Odoo: producto 29707 / plantilla 38411</t>
        </is>
      </c>
      <c r="AL999" s="58" t="n">
        <v>3607.758621</v>
      </c>
      <c r="AM999" s="58" t="n">
        <v>8017.241379</v>
      </c>
      <c r="AN999" s="155" t="inlineStr">
        <is>
          <t>Shopify Stetson México | Odoo Universal Unique Brands</t>
        </is>
      </c>
      <c r="AO999" s="59" t="n">
        <v>1</v>
      </c>
      <c r="AP999" s="59" t="n"/>
      <c r="AQ999" s="59" t="n">
        <v>1</v>
      </c>
      <c r="AR999" s="155" t="inlineStr">
        <is>
          <t>Shopify Stetson México › Stetson Americas: 1 | Odoo Universal Unique Brands › Bodega 25 › Bodega 25/General: 1</t>
        </is>
      </c>
    </row>
    <row r="1000">
      <c r="A1000" s="50" t="inlineStr">
        <is>
          <t>196070588613</t>
        </is>
      </c>
      <c r="B1000" s="51" t="inlineStr">
        <is>
          <t>110883</t>
        </is>
      </c>
      <c r="C1000" s="156" t="inlineStr">
        <is>
          <t>Multimarca</t>
        </is>
      </c>
      <c r="D1000" s="156" t="inlineStr">
        <is>
          <t>11-098-0539-0080</t>
        </is>
      </c>
      <c r="E1000" s="156" t="inlineStr">
        <is>
          <t>11-098-0539-0080-M</t>
        </is>
      </c>
      <c r="F1000" s="156" t="inlineStr">
        <is>
          <t>M</t>
        </is>
      </c>
      <c r="G1000" s="156" t="inlineStr">
        <is>
          <t>M</t>
        </is>
      </c>
      <c r="H1000" s="156" t="inlineStr">
        <is>
          <t>Stetson</t>
        </is>
      </c>
      <c r="I1000" s="156" t="inlineStr">
        <is>
          <t>Chamarra Gamuza Jengibre con Flecos</t>
        </is>
      </c>
      <c r="J1000" s="156" t="inlineStr">
        <is>
          <t>Ropa</t>
        </is>
      </c>
      <c r="K1000" s="156" t="inlineStr">
        <is>
          <t>Chamarras</t>
        </is>
      </c>
      <c r="L1000" s="156" t="inlineStr">
        <is>
          <t>Mujer</t>
        </is>
      </c>
      <c r="M1000" s="156" t="inlineStr">
        <is>
          <t>Stetson</t>
        </is>
      </c>
      <c r="N1000" s="156" t="inlineStr">
        <is>
          <t>SS26</t>
        </is>
      </c>
      <c r="O1000" s="156" t="inlineStr">
        <is>
          <t>Seasonal</t>
        </is>
      </c>
      <c r="P1000" s="156" t="inlineStr">
        <is>
          <t>Cafe</t>
        </is>
      </c>
      <c r="Q1000" s="156" t="inlineStr">
        <is>
          <t>Regular</t>
        </is>
      </c>
      <c r="R1000" s="156" t="n"/>
      <c r="S1000" s="156" t="inlineStr">
        <is>
          <t>Cuero</t>
        </is>
      </c>
      <c r="T1000" s="156" t="inlineStr">
        <is>
          <t>Chamarra Gamuza Jengibre con Flecos Regular</t>
        </is>
      </c>
      <c r="U1000" s="156" t="n"/>
      <c r="V1000" s="156" t="inlineStr">
        <is>
          <t>PZS</t>
        </is>
      </c>
      <c r="W1000" s="51" t="inlineStr">
        <is>
          <t>53101804</t>
        </is>
      </c>
      <c r="X1000" s="156" t="n"/>
      <c r="Y1000" s="54" t="n">
        <v>3607.758621</v>
      </c>
      <c r="Z1000" s="54" t="n">
        <v>8017.241379</v>
      </c>
      <c r="AA1000" s="55">
        <f>IF(AND(A1000="", B1000="", E1000=""), "", IF(AB1000="", "Válido", IF((LEN(AB1000)-LEN(SUBSTITUTE(AB1000,"; ","")))/2+1&gt;(LEN(AB1000)-LEN(SUBSTITUTE(AB1000,"[Aviso]","")))/7, "Con Incidencias", "Válido")))</f>
        <v/>
      </c>
      <c r="AB1000" s="56">
        <f>IF(AND(A1000="", B1000="", E1000=""), "", TEXTJOIN("; ", TRUE, IF(OR(TRIM(A1000&amp;"")="", ISNUMBER(SEARCH("FALTA", A1000))), "UPC faltante/inválido", ""), IF(AND(A1000&lt;&gt;"", IFERROR(_xlfn.XMATCH(A1000,$A$2:$A$2509,0,1)&lt;&gt;_xlfn.XMATCH(A1000,$A$2:$A$2509,0,-1),FALSE)), "Código de barras duplicado", ""), IF(AND(E1000&lt;&gt;"", COUNTIF($E$2:$E$2509, E1000)&gt;1), "SKU duplicado", ""), IF(OR(J1000="", J1000=""), "[Aviso] División no capturada ()", IF(ISNA(MATCH(J1000, Criterios!$A$123:$A$126, 0)), "División no válida", "")), IF(OR(K1000="", K1000=""), "[Aviso] Categoría no capturada ()", IF(ISNA(MATCH(K1000, Criterios!$A$81:$A$120, 0)), "Categoría no válida", IF(AND(J1000&lt;&gt;"", J1000&lt;&gt;"", J1000&lt;&gt;VLOOKUP(K1000, Criterios!$A$81:$B$120, 2, FALSE)), "División no coincide con Categoría", ""))), IF(OR(L1000="", L1000=""), "[Aviso] Género no capturado ()", IF(ISNA(MATCH(L1000, Criterios!$B$123:$B$127, 0)), "Género no válido", "")), IF(OR(N1000="", N1000=""), "[Aviso] Temporada no capturada ()", IF(ISNA(MATCH(N1000, Criterios!$C$123:$C$128, 0)), "Temporada no válida", "")), IF(OR(O1000="", O1000=""), "[Aviso] Ciclo de vida no capturado ()", IF(ISNA(MATCH(O1000, Criterios!$D$123:$D$124, 0)), "Ciclo de vida no válido", ""))))</f>
        <v/>
      </c>
      <c r="AC1000" s="56" t="n"/>
      <c r="AD1000" s="51" t="n">
        <v>-1</v>
      </c>
      <c r="AE1000" s="156" t="n"/>
      <c r="AF1000" s="51" t="n">
        <v>0</v>
      </c>
      <c r="AG1000" s="156" t="inlineStr">
        <is>
          <t>Catálogo existente</t>
        </is>
      </c>
      <c r="AH1000"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000" s="156" t="inlineStr">
        <is>
          <t>Sí</t>
        </is>
      </c>
      <c r="AJ1000" s="156" t="inlineStr">
        <is>
          <t>STETSON AMERICAS (-1)</t>
        </is>
      </c>
      <c r="AK1000" s="155" t="inlineStr">
        <is>
          <t>ProductosCatalogoEstandar907.xlsx: fila 49999 [U] | Criterios: J [R]; G1522_Extraccion_Articulos_NetSuite_2026-09-30.xlsx: fila 58625 [V,S] | Shopify Stetson: producto 15051553145195 / variante 53350588416363 | Odoo: producto 29706 / plantilla 38410</t>
        </is>
      </c>
      <c r="AL1000" s="58" t="n">
        <v>3607.758621</v>
      </c>
      <c r="AM1000" s="58" t="n">
        <v>8017.241379</v>
      </c>
      <c r="AN1000" s="155" t="inlineStr">
        <is>
          <t>Shopify Stetson México | Odoo Universal Unique Brands</t>
        </is>
      </c>
      <c r="AO1000" s="59" t="n">
        <v>1</v>
      </c>
      <c r="AP1000" s="59" t="n"/>
      <c r="AQ1000" s="59" t="n">
        <v>2</v>
      </c>
      <c r="AR1000" s="155" t="inlineStr">
        <is>
          <t>Shopify Stetson México › Stetson Americas: 1 | Odoo Universal Unique Brands › Bodega 25 › Bodega 25/General: 2</t>
        </is>
      </c>
    </row>
    <row r="1001">
      <c r="A1001" s="50" t="inlineStr">
        <is>
          <t>196070588620</t>
        </is>
      </c>
      <c r="B1001" s="51" t="inlineStr">
        <is>
          <t>110884</t>
        </is>
      </c>
      <c r="C1001" s="156" t="inlineStr">
        <is>
          <t>Multimarca</t>
        </is>
      </c>
      <c r="D1001" s="156" t="inlineStr">
        <is>
          <t>11-098-0539-0080</t>
        </is>
      </c>
      <c r="E1001" s="156" t="inlineStr">
        <is>
          <t>11-098-0539-0080-S</t>
        </is>
      </c>
      <c r="F1001" s="156" t="inlineStr">
        <is>
          <t>S</t>
        </is>
      </c>
      <c r="G1001" s="156" t="inlineStr">
        <is>
          <t>S</t>
        </is>
      </c>
      <c r="H1001" s="156" t="inlineStr">
        <is>
          <t>Stetson</t>
        </is>
      </c>
      <c r="I1001" s="156" t="inlineStr">
        <is>
          <t>Chamarra Gamuza Jengibre con Flecos</t>
        </is>
      </c>
      <c r="J1001" s="156" t="inlineStr">
        <is>
          <t>Ropa</t>
        </is>
      </c>
      <c r="K1001" s="156" t="inlineStr">
        <is>
          <t>Chamarras</t>
        </is>
      </c>
      <c r="L1001" s="156" t="inlineStr">
        <is>
          <t>Mujer</t>
        </is>
      </c>
      <c r="M1001" s="156" t="inlineStr">
        <is>
          <t>Stetson</t>
        </is>
      </c>
      <c r="N1001" s="156" t="inlineStr">
        <is>
          <t>SS26</t>
        </is>
      </c>
      <c r="O1001" s="156" t="inlineStr">
        <is>
          <t>Seasonal</t>
        </is>
      </c>
      <c r="P1001" s="156" t="inlineStr">
        <is>
          <t>Cafe</t>
        </is>
      </c>
      <c r="Q1001" s="156" t="inlineStr">
        <is>
          <t>Regular</t>
        </is>
      </c>
      <c r="R1001" s="156" t="n"/>
      <c r="S1001" s="156" t="inlineStr">
        <is>
          <t>Cuero</t>
        </is>
      </c>
      <c r="T1001" s="156" t="inlineStr">
        <is>
          <t>Chamarra Gamuza Jengibre con Flecos Regular</t>
        </is>
      </c>
      <c r="U1001" s="156" t="n"/>
      <c r="V1001" s="156" t="inlineStr">
        <is>
          <t>PZS</t>
        </is>
      </c>
      <c r="W1001" s="51" t="inlineStr">
        <is>
          <t>53101804</t>
        </is>
      </c>
      <c r="X1001" s="156" t="n"/>
      <c r="Y1001" s="54" t="n">
        <v>3607.758621</v>
      </c>
      <c r="Z1001" s="54" t="n">
        <v>8017.241379</v>
      </c>
      <c r="AA1001" s="55">
        <f>IF(AND(A1001="", B1001="", E1001=""), "", IF(AB1001="", "Válido", IF((LEN(AB1001)-LEN(SUBSTITUTE(AB1001,"; ","")))/2+1&gt;(LEN(AB1001)-LEN(SUBSTITUTE(AB1001,"[Aviso]","")))/7, "Con Incidencias", "Válido")))</f>
        <v/>
      </c>
      <c r="AB1001" s="56">
        <f>IF(AND(A1001="", B1001="", E1001=""), "", TEXTJOIN("; ", TRUE, IF(OR(TRIM(A1001&amp;"")="", ISNUMBER(SEARCH("FALTA", A1001))), "UPC faltante/inválido", ""), IF(AND(A1001&lt;&gt;"", IFERROR(_xlfn.XMATCH(A1001,$A$2:$A$2509,0,1)&lt;&gt;_xlfn.XMATCH(A1001,$A$2:$A$2509,0,-1),FALSE)), "Código de barras duplicado", ""), IF(AND(E1001&lt;&gt;"", COUNTIF($E$2:$E$2509, E1001)&gt;1), "SKU duplicado", ""), IF(OR(J1001="", J1001=""), "[Aviso] División no capturada ()", IF(ISNA(MATCH(J1001, Criterios!$A$123:$A$126, 0)), "División no válida", "")), IF(OR(K1001="", K1001=""), "[Aviso] Categoría no capturada ()", IF(ISNA(MATCH(K1001, Criterios!$A$81:$A$120, 0)), "Categoría no válida", IF(AND(J1001&lt;&gt;"", J1001&lt;&gt;"", J1001&lt;&gt;VLOOKUP(K1001, Criterios!$A$81:$B$120, 2, FALSE)), "División no coincide con Categoría", ""))), IF(OR(L1001="", L1001=""), "[Aviso] Género no capturado ()", IF(ISNA(MATCH(L1001, Criterios!$B$123:$B$127, 0)), "Género no válido", "")), IF(OR(N1001="", N1001=""), "[Aviso] Temporada no capturada ()", IF(ISNA(MATCH(N1001, Criterios!$C$123:$C$128, 0)), "Temporada no válida", "")), IF(OR(O1001="", O1001=""), "[Aviso] Ciclo de vida no capturado ()", IF(ISNA(MATCH(O1001, Criterios!$D$123:$D$124, 0)), "Ciclo de vida no válido", ""))))</f>
        <v/>
      </c>
      <c r="AC1001" s="56" t="n"/>
      <c r="AD1001" s="51" t="n">
        <v>0</v>
      </c>
      <c r="AE1001" s="156" t="n"/>
      <c r="AF1001" s="51" t="n">
        <v>0</v>
      </c>
      <c r="AG1001" s="156" t="inlineStr">
        <is>
          <t>Catálogo existente</t>
        </is>
      </c>
      <c r="AH1001"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001" s="156" t="inlineStr">
        <is>
          <t>No</t>
        </is>
      </c>
      <c r="AJ1001" s="156" t="n"/>
      <c r="AK1001" s="155" t="inlineStr">
        <is>
          <t>ProductosCatalogoEstandar907.xlsx: fila 50000 [U] | Criterios: J [R]; G1522_Extraccion_Articulos_NetSuite_2026-09-30.xlsx: fila 58626 [V,S] | Shopify Stetson: producto 15051553145195 / variante 53350588383595 | Odoo: producto 29705 / plantilla 38409</t>
        </is>
      </c>
      <c r="AL1001" s="58" t="n">
        <v>3607.758621</v>
      </c>
      <c r="AM1001" s="58" t="n">
        <v>8017.241379</v>
      </c>
      <c r="AN1001" s="155" t="inlineStr">
        <is>
          <t>Shopify Stetson México | Odoo Universal Unique Brands</t>
        </is>
      </c>
      <c r="AO1001" s="59" t="n">
        <v>2</v>
      </c>
      <c r="AP1001" s="59" t="n"/>
      <c r="AQ1001" s="59" t="n">
        <v>2</v>
      </c>
      <c r="AR1001" s="155" t="inlineStr">
        <is>
          <t>Shopify Stetson México › Stetson Americas: 2 | Odoo Universal Unique Brands › Bodega 25 › Bodega 25/General: 2</t>
        </is>
      </c>
    </row>
    <row r="1002">
      <c r="A1002" s="50" t="inlineStr">
        <is>
          <t>196070588637</t>
        </is>
      </c>
      <c r="B1002" s="51" t="inlineStr">
        <is>
          <t>110885</t>
        </is>
      </c>
      <c r="C1002" s="156" t="inlineStr">
        <is>
          <t>Multimarca</t>
        </is>
      </c>
      <c r="D1002" s="156" t="inlineStr">
        <is>
          <t>11-098-0539-0080</t>
        </is>
      </c>
      <c r="E1002" s="156" t="inlineStr">
        <is>
          <t>11-098-0539-0080-XL</t>
        </is>
      </c>
      <c r="F1002" s="156" t="inlineStr">
        <is>
          <t>XL</t>
        </is>
      </c>
      <c r="G1002" s="156" t="inlineStr">
        <is>
          <t>XL</t>
        </is>
      </c>
      <c r="H1002" s="156" t="inlineStr">
        <is>
          <t>Stetson</t>
        </is>
      </c>
      <c r="I1002" s="156" t="inlineStr">
        <is>
          <t>Chamarra Gamuza Jengibre con Flecos</t>
        </is>
      </c>
      <c r="J1002" s="156" t="inlineStr">
        <is>
          <t>Ropa</t>
        </is>
      </c>
      <c r="K1002" s="156" t="inlineStr">
        <is>
          <t>Chamarras</t>
        </is>
      </c>
      <c r="L1002" s="156" t="inlineStr">
        <is>
          <t>Mujer</t>
        </is>
      </c>
      <c r="M1002" s="156" t="inlineStr">
        <is>
          <t>Stetson</t>
        </is>
      </c>
      <c r="N1002" s="156" t="inlineStr">
        <is>
          <t>SS26</t>
        </is>
      </c>
      <c r="O1002" s="156" t="inlineStr">
        <is>
          <t>Seasonal</t>
        </is>
      </c>
      <c r="P1002" s="156" t="inlineStr">
        <is>
          <t>Cafe</t>
        </is>
      </c>
      <c r="Q1002" s="156" t="inlineStr">
        <is>
          <t>Regular</t>
        </is>
      </c>
      <c r="R1002" s="156" t="n"/>
      <c r="S1002" s="156" t="inlineStr">
        <is>
          <t>Cuero</t>
        </is>
      </c>
      <c r="T1002" s="156" t="inlineStr">
        <is>
          <t>Chamarra Gamuza Jengibre con Flecos Regular</t>
        </is>
      </c>
      <c r="U1002" s="156" t="n"/>
      <c r="V1002" s="156" t="inlineStr">
        <is>
          <t>PZS</t>
        </is>
      </c>
      <c r="W1002" s="51" t="inlineStr">
        <is>
          <t>53101804</t>
        </is>
      </c>
      <c r="X1002" s="156" t="n"/>
      <c r="Y1002" s="54" t="n">
        <v>3607.758621</v>
      </c>
      <c r="Z1002" s="54" t="n">
        <v>8017.241379</v>
      </c>
      <c r="AA1002" s="55">
        <f>IF(AND(A1002="", B1002="", E1002=""), "", IF(AB1002="", "Válido", IF((LEN(AB1002)-LEN(SUBSTITUTE(AB1002,"; ","")))/2+1&gt;(LEN(AB1002)-LEN(SUBSTITUTE(AB1002,"[Aviso]","")))/7, "Con Incidencias", "Válido")))</f>
        <v/>
      </c>
      <c r="AB1002" s="56">
        <f>IF(AND(A1002="", B1002="", E1002=""), "", TEXTJOIN("; ", TRUE, IF(OR(TRIM(A1002&amp;"")="", ISNUMBER(SEARCH("FALTA", A1002))), "UPC faltante/inválido", ""), IF(AND(A1002&lt;&gt;"", IFERROR(_xlfn.XMATCH(A1002,$A$2:$A$2509,0,1)&lt;&gt;_xlfn.XMATCH(A1002,$A$2:$A$2509,0,-1),FALSE)), "Código de barras duplicado", ""), IF(AND(E1002&lt;&gt;"", COUNTIF($E$2:$E$2509, E1002)&gt;1), "SKU duplicado", ""), IF(OR(J1002="", J1002=""), "[Aviso] División no capturada ()", IF(ISNA(MATCH(J1002, Criterios!$A$123:$A$126, 0)), "División no válida", "")), IF(OR(K1002="", K1002=""), "[Aviso] Categoría no capturada ()", IF(ISNA(MATCH(K1002, Criterios!$A$81:$A$120, 0)), "Categoría no válida", IF(AND(J1002&lt;&gt;"", J1002&lt;&gt;"", J1002&lt;&gt;VLOOKUP(K1002, Criterios!$A$81:$B$120, 2, FALSE)), "División no coincide con Categoría", ""))), IF(OR(L1002="", L1002=""), "[Aviso] Género no capturado ()", IF(ISNA(MATCH(L1002, Criterios!$B$123:$B$127, 0)), "Género no válido", "")), IF(OR(N1002="", N1002=""), "[Aviso] Temporada no capturada ()", IF(ISNA(MATCH(N1002, Criterios!$C$123:$C$128, 0)), "Temporada no válida", "")), IF(OR(O1002="", O1002=""), "[Aviso] Ciclo de vida no capturado ()", IF(ISNA(MATCH(O1002, Criterios!$D$123:$D$124, 0)), "Ciclo de vida no válido", ""))))</f>
        <v/>
      </c>
      <c r="AC1002" s="56" t="n"/>
      <c r="AD1002" s="51" t="n">
        <v>0</v>
      </c>
      <c r="AE1002" s="156" t="n"/>
      <c r="AF1002" s="51" t="n">
        <v>0</v>
      </c>
      <c r="AG1002" s="156" t="inlineStr">
        <is>
          <t>Catálogo existente</t>
        </is>
      </c>
      <c r="AH1002"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002" s="156" t="inlineStr">
        <is>
          <t>No</t>
        </is>
      </c>
      <c r="AJ1002" s="156" t="n"/>
      <c r="AK1002" s="155" t="inlineStr">
        <is>
          <t>ProductosCatalogoEstandar907.xlsx: fila 50001 [U] | Criterios: J [R]; G1522_Extraccion_Articulos_NetSuite_2026-09-30.xlsx: fila 58627 [V,S] | Shopify Stetson: producto 15051553145195 / variante 53350588481899 | Odoo: producto 29708 / plantilla 38412</t>
        </is>
      </c>
      <c r="AL1002" s="58" t="n">
        <v>3607.758621</v>
      </c>
      <c r="AM1002" s="58" t="n">
        <v>8017.241379</v>
      </c>
      <c r="AN1002" s="155" t="inlineStr">
        <is>
          <t>Shopify Stetson México | Odoo Universal Unique Brands</t>
        </is>
      </c>
      <c r="AO1002" s="59" t="n">
        <v>1</v>
      </c>
      <c r="AP1002" s="59" t="n"/>
      <c r="AQ1002" s="59" t="n">
        <v>1</v>
      </c>
      <c r="AR1002" s="155" t="inlineStr">
        <is>
          <t>Shopify Stetson México › Stetson Americas: 1 | Odoo Universal Unique Brands › Bodega 25 › Bodega 25/General: 1</t>
        </is>
      </c>
    </row>
    <row r="1003">
      <c r="A1003" s="50" t="inlineStr">
        <is>
          <t>196070588644</t>
        </is>
      </c>
      <c r="B1003" s="51" t="inlineStr">
        <is>
          <t>110886</t>
        </is>
      </c>
      <c r="C1003" s="156" t="inlineStr">
        <is>
          <t>Multimarca</t>
        </is>
      </c>
      <c r="D1003" s="156" t="inlineStr">
        <is>
          <t>11-098-0539-0080</t>
        </is>
      </c>
      <c r="E1003" s="156" t="inlineStr">
        <is>
          <t>11-098-0539-0080-XS</t>
        </is>
      </c>
      <c r="F1003" s="156" t="inlineStr">
        <is>
          <t>XS</t>
        </is>
      </c>
      <c r="G1003" s="156" t="inlineStr">
        <is>
          <t>XS</t>
        </is>
      </c>
      <c r="H1003" s="156" t="inlineStr">
        <is>
          <t>Stetson</t>
        </is>
      </c>
      <c r="I1003" s="156" t="inlineStr">
        <is>
          <t>Chamarra Gamuza Jengibre con Flecos</t>
        </is>
      </c>
      <c r="J1003" s="156" t="inlineStr">
        <is>
          <t>Ropa</t>
        </is>
      </c>
      <c r="K1003" s="156" t="inlineStr">
        <is>
          <t>Chamarras</t>
        </is>
      </c>
      <c r="L1003" s="156" t="inlineStr">
        <is>
          <t>Mujer</t>
        </is>
      </c>
      <c r="M1003" s="156" t="inlineStr">
        <is>
          <t>Stetson</t>
        </is>
      </c>
      <c r="N1003" s="156" t="inlineStr">
        <is>
          <t>SS26</t>
        </is>
      </c>
      <c r="O1003" s="156" t="inlineStr">
        <is>
          <t>Seasonal</t>
        </is>
      </c>
      <c r="P1003" s="156" t="inlineStr">
        <is>
          <t>Cafe</t>
        </is>
      </c>
      <c r="Q1003" s="156" t="inlineStr">
        <is>
          <t>Regular</t>
        </is>
      </c>
      <c r="R1003" s="156" t="n"/>
      <c r="S1003" s="156" t="inlineStr">
        <is>
          <t>Cuero</t>
        </is>
      </c>
      <c r="T1003" s="156" t="inlineStr">
        <is>
          <t>Chamarra Gamuza Jengibre con Flecos Regular</t>
        </is>
      </c>
      <c r="U1003" s="156" t="n"/>
      <c r="V1003" s="156" t="inlineStr">
        <is>
          <t>PZS</t>
        </is>
      </c>
      <c r="W1003" s="51" t="inlineStr">
        <is>
          <t>53101804</t>
        </is>
      </c>
      <c r="X1003" s="156" t="n"/>
      <c r="Y1003" s="54" t="n">
        <v>3607.758621</v>
      </c>
      <c r="Z1003" s="54" t="n">
        <v>8017.241379</v>
      </c>
      <c r="AA1003" s="55">
        <f>IF(AND(A1003="", B1003="", E1003=""), "", IF(AB1003="", "Válido", IF((LEN(AB1003)-LEN(SUBSTITUTE(AB1003,"; ","")))/2+1&gt;(LEN(AB1003)-LEN(SUBSTITUTE(AB1003,"[Aviso]","")))/7, "Con Incidencias", "Válido")))</f>
        <v/>
      </c>
      <c r="AB1003" s="56">
        <f>IF(AND(A1003="", B1003="", E1003=""), "", TEXTJOIN("; ", TRUE, IF(OR(TRIM(A1003&amp;"")="", ISNUMBER(SEARCH("FALTA", A1003))), "UPC faltante/inválido", ""), IF(AND(A1003&lt;&gt;"", IFERROR(_xlfn.XMATCH(A1003,$A$2:$A$2509,0,1)&lt;&gt;_xlfn.XMATCH(A1003,$A$2:$A$2509,0,-1),FALSE)), "Código de barras duplicado", ""), IF(AND(E1003&lt;&gt;"", COUNTIF($E$2:$E$2509, E1003)&gt;1), "SKU duplicado", ""), IF(OR(J1003="", J1003=""), "[Aviso] División no capturada ()", IF(ISNA(MATCH(J1003, Criterios!$A$123:$A$126, 0)), "División no válida", "")), IF(OR(K1003="", K1003=""), "[Aviso] Categoría no capturada ()", IF(ISNA(MATCH(K1003, Criterios!$A$81:$A$120, 0)), "Categoría no válida", IF(AND(J1003&lt;&gt;"", J1003&lt;&gt;"", J1003&lt;&gt;VLOOKUP(K1003, Criterios!$A$81:$B$120, 2, FALSE)), "División no coincide con Categoría", ""))), IF(OR(L1003="", L1003=""), "[Aviso] Género no capturado ()", IF(ISNA(MATCH(L1003, Criterios!$B$123:$B$127, 0)), "Género no válido", "")), IF(OR(N1003="", N1003=""), "[Aviso] Temporada no capturada ()", IF(ISNA(MATCH(N1003, Criterios!$C$123:$C$128, 0)), "Temporada no válida", "")), IF(OR(O1003="", O1003=""), "[Aviso] Ciclo de vida no capturado ()", IF(ISNA(MATCH(O1003, Criterios!$D$123:$D$124, 0)), "Ciclo de vida no válido", ""))))</f>
        <v/>
      </c>
      <c r="AC1003" s="56" t="n"/>
      <c r="AD1003" s="51" t="n">
        <v>0</v>
      </c>
      <c r="AE1003" s="156" t="n"/>
      <c r="AF1003" s="51" t="n">
        <v>0</v>
      </c>
      <c r="AG1003" s="156" t="inlineStr">
        <is>
          <t>Catálogo existente</t>
        </is>
      </c>
      <c r="AH1003"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003" s="156" t="inlineStr">
        <is>
          <t>No</t>
        </is>
      </c>
      <c r="AJ1003" s="156" t="n"/>
      <c r="AK1003" s="155" t="inlineStr">
        <is>
          <t>ProductosCatalogoEstandar907.xlsx: fila 50002 [U] | Criterios: J [R]; G1522_Extraccion_Articulos_NetSuite_2026-09-30.xlsx: fila 58628 [V,S] | Shopify Stetson: producto 15051553145195 / variante 53350588350827 | Odoo: producto 29704 / plantilla 38408</t>
        </is>
      </c>
      <c r="AL1003" s="58" t="n">
        <v>3607.758621</v>
      </c>
      <c r="AM1003" s="58" t="n">
        <v>8017.241379</v>
      </c>
      <c r="AN1003" s="155" t="inlineStr">
        <is>
          <t>Shopify Stetson México | Odoo Universal Unique Brands</t>
        </is>
      </c>
      <c r="AO1003" s="59" t="n">
        <v>1</v>
      </c>
      <c r="AP1003" s="59" t="n"/>
      <c r="AQ1003" s="59" t="n">
        <v>1</v>
      </c>
      <c r="AR1003" s="155" t="inlineStr">
        <is>
          <t>Shopify Stetson México › Stetson Americas: 1 | Odoo Universal Unique Brands › Bodega 25 › Bodega 25/General: 1</t>
        </is>
      </c>
    </row>
    <row r="1004">
      <c r="A1004" s="50" t="inlineStr">
        <is>
          <t>196070615647</t>
        </is>
      </c>
      <c r="B1004" s="51" t="inlineStr">
        <is>
          <t>109523</t>
        </is>
      </c>
      <c r="C1004" s="156" t="inlineStr">
        <is>
          <t>Multimarca</t>
        </is>
      </c>
      <c r="D1004" s="156" t="inlineStr">
        <is>
          <t>11-001-0425-5029</t>
        </is>
      </c>
      <c r="E1004" s="156" t="inlineStr">
        <is>
          <t>11-001-0425-5029-L</t>
        </is>
      </c>
      <c r="F1004" s="156" t="inlineStr">
        <is>
          <t>L</t>
        </is>
      </c>
      <c r="G1004" s="156" t="inlineStr">
        <is>
          <t>L</t>
        </is>
      </c>
      <c r="H1004" s="156" t="inlineStr">
        <is>
          <t>Stetson</t>
        </is>
      </c>
      <c r="I1004" s="156" t="inlineStr">
        <is>
          <t>Camisa Manga Larga Filagrana Plata</t>
        </is>
      </c>
      <c r="J1004" s="156" t="inlineStr">
        <is>
          <t>Ropa</t>
        </is>
      </c>
      <c r="K1004" s="156" t="inlineStr">
        <is>
          <t>Camisas</t>
        </is>
      </c>
      <c r="L1004" s="156" t="inlineStr">
        <is>
          <t>Hombre</t>
        </is>
      </c>
      <c r="M1004" s="156" t="inlineStr">
        <is>
          <t>Stetson</t>
        </is>
      </c>
      <c r="N1004" s="156" t="inlineStr">
        <is>
          <t>SS26</t>
        </is>
      </c>
      <c r="O1004" s="156" t="inlineStr">
        <is>
          <t>Seasonal</t>
        </is>
      </c>
      <c r="P1004" s="156" t="inlineStr">
        <is>
          <t>Gris</t>
        </is>
      </c>
      <c r="Q1004" s="156" t="inlineStr">
        <is>
          <t>Clásico</t>
        </is>
      </c>
      <c r="R1004" s="156" t="n"/>
      <c r="S1004" s="156" t="inlineStr">
        <is>
          <t>100% Algodón</t>
        </is>
      </c>
      <c r="T1004"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4" s="156" t="n"/>
      <c r="V1004" s="156" t="inlineStr">
        <is>
          <t>PZS</t>
        </is>
      </c>
      <c r="W1004" s="51" t="inlineStr">
        <is>
          <t>53101600</t>
        </is>
      </c>
      <c r="X1004" s="156" t="inlineStr">
        <is>
          <t>https://cdn.shopify.com/s/files/1/0888/3250/8267/files/1100104255029b.jpg?v=1744226019</t>
        </is>
      </c>
      <c r="Y1004" s="54" t="n">
        <v>717.6724138</v>
      </c>
      <c r="Z1004" s="54" t="n">
        <v>1594.827586</v>
      </c>
      <c r="AA1004" s="55">
        <f>IF(AND(A1004="", B1004="", E1004=""), "", IF(AB1004="", "Válido", IF((LEN(AB1004)-LEN(SUBSTITUTE(AB1004,"; ","")))/2+1&gt;(LEN(AB1004)-LEN(SUBSTITUTE(AB1004,"[Aviso]","")))/7, "Con Incidencias", "Válido")))</f>
        <v/>
      </c>
      <c r="AB1004" s="56">
        <f>IF(AND(A1004="", B1004="", E1004=""), "", TEXTJOIN("; ", TRUE, IF(OR(TRIM(A1004&amp;"")="", ISNUMBER(SEARCH("FALTA", A1004))), "UPC faltante/inválido", ""), IF(AND(A1004&lt;&gt;"", IFERROR(_xlfn.XMATCH(A1004,$A$2:$A$2509,0,1)&lt;&gt;_xlfn.XMATCH(A1004,$A$2:$A$2509,0,-1),FALSE)), "Código de barras duplicado", ""), IF(AND(E1004&lt;&gt;"", COUNTIF($E$2:$E$2509, E1004)&gt;1), "SKU duplicado", ""), IF(OR(J1004="", J1004=""), "[Aviso] División no capturada ()", IF(ISNA(MATCH(J1004, Criterios!$A$123:$A$126, 0)), "División no válida", "")), IF(OR(K1004="", K1004=""), "[Aviso] Categoría no capturada ()", IF(ISNA(MATCH(K1004, Criterios!$A$81:$A$120, 0)), "Categoría no válida", IF(AND(J1004&lt;&gt;"", J1004&lt;&gt;"", J1004&lt;&gt;VLOOKUP(K1004, Criterios!$A$81:$B$120, 2, FALSE)), "División no coincide con Categoría", ""))), IF(OR(L1004="", L1004=""), "[Aviso] Género no capturado ()", IF(ISNA(MATCH(L1004, Criterios!$B$123:$B$127, 0)), "Género no válido", "")), IF(OR(N1004="", N1004=""), "[Aviso] Temporada no capturada ()", IF(ISNA(MATCH(N1004, Criterios!$C$123:$C$128, 0)), "Temporada no válida", "")), IF(OR(O1004="", O1004=""), "[Aviso] Ciclo de vida no capturado ()", IF(ISNA(MATCH(O1004, Criterios!$D$123:$D$124, 0)), "Ciclo de vida no válido", ""))))</f>
        <v/>
      </c>
      <c r="AC1004" s="56" t="n"/>
      <c r="AD1004" s="51" t="n">
        <v>0</v>
      </c>
      <c r="AE1004" s="156" t="n"/>
      <c r="AF1004" s="51" t="n">
        <v>0</v>
      </c>
      <c r="AG1004" s="156" t="inlineStr">
        <is>
          <t>Catálogo existente</t>
        </is>
      </c>
      <c r="AH100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04" s="156" t="inlineStr">
        <is>
          <t>No</t>
        </is>
      </c>
      <c r="AJ1004" s="156" t="n"/>
      <c r="AK1004" s="155" t="inlineStr">
        <is>
          <t>Criterios: J [R]; G1522_Extraccion_Articulos_NetSuite_2026-09-30.xlsx: fila 57338 [S] | Shopify Stetson: producto 14693917163883 / variante 51994309067115</t>
        </is>
      </c>
      <c r="AL1004" s="58" t="n">
        <v>717.6724138</v>
      </c>
      <c r="AM1004" s="58" t="n">
        <v>1594.827586</v>
      </c>
      <c r="AN1004" s="155" t="inlineStr">
        <is>
          <t>Shopify Stetson México</t>
        </is>
      </c>
      <c r="AO1004" s="59" t="n">
        <v>0</v>
      </c>
      <c r="AP1004" s="59" t="n"/>
      <c r="AQ1004" s="59" t="n"/>
      <c r="AR1004" s="155" t="n"/>
    </row>
    <row r="1005">
      <c r="A1005" s="50" t="inlineStr">
        <is>
          <t>196070615654</t>
        </is>
      </c>
      <c r="B1005" s="51" t="inlineStr">
        <is>
          <t>109524</t>
        </is>
      </c>
      <c r="C1005" s="156" t="inlineStr">
        <is>
          <t>Multimarca</t>
        </is>
      </c>
      <c r="D1005" s="156" t="inlineStr">
        <is>
          <t>11-001-0425-5029</t>
        </is>
      </c>
      <c r="E1005" s="156" t="inlineStr">
        <is>
          <t>11-001-0425-5029-M</t>
        </is>
      </c>
      <c r="F1005" s="156" t="inlineStr">
        <is>
          <t>M</t>
        </is>
      </c>
      <c r="G1005" s="156" t="inlineStr">
        <is>
          <t>M</t>
        </is>
      </c>
      <c r="H1005" s="156" t="inlineStr">
        <is>
          <t>Stetson</t>
        </is>
      </c>
      <c r="I1005" s="156" t="inlineStr">
        <is>
          <t>Camisa Manga Larga Filagrana Plata</t>
        </is>
      </c>
      <c r="J1005" s="156" t="inlineStr">
        <is>
          <t>Ropa</t>
        </is>
      </c>
      <c r="K1005" s="156" t="inlineStr">
        <is>
          <t>Camisas</t>
        </is>
      </c>
      <c r="L1005" s="156" t="inlineStr">
        <is>
          <t>Hombre</t>
        </is>
      </c>
      <c r="M1005" s="156" t="inlineStr">
        <is>
          <t>Stetson</t>
        </is>
      </c>
      <c r="N1005" s="156" t="inlineStr">
        <is>
          <t>SS26</t>
        </is>
      </c>
      <c r="O1005" s="156" t="inlineStr">
        <is>
          <t>Seasonal</t>
        </is>
      </c>
      <c r="P1005" s="156" t="inlineStr">
        <is>
          <t>Gris</t>
        </is>
      </c>
      <c r="Q1005" s="156" t="inlineStr">
        <is>
          <t>Clásico</t>
        </is>
      </c>
      <c r="R1005" s="156" t="n"/>
      <c r="S1005" s="156" t="inlineStr">
        <is>
          <t>100% Algodón</t>
        </is>
      </c>
      <c r="T1005"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5" s="156" t="n"/>
      <c r="V1005" s="156" t="inlineStr">
        <is>
          <t>PZS</t>
        </is>
      </c>
      <c r="W1005" s="51" t="inlineStr">
        <is>
          <t>53101600</t>
        </is>
      </c>
      <c r="X1005" s="156" t="inlineStr">
        <is>
          <t>https://cdn.shopify.com/s/files/1/0888/3250/8267/files/1100104255029a.jpg?v=1744226014</t>
        </is>
      </c>
      <c r="Y1005" s="54" t="n">
        <v>717.6724138</v>
      </c>
      <c r="Z1005" s="54" t="n">
        <v>1594.827586</v>
      </c>
      <c r="AA1005" s="55">
        <f>IF(AND(A1005="", B1005="", E1005=""), "", IF(AB1005="", "Válido", IF((LEN(AB1005)-LEN(SUBSTITUTE(AB1005,"; ","")))/2+1&gt;(LEN(AB1005)-LEN(SUBSTITUTE(AB1005,"[Aviso]","")))/7, "Con Incidencias", "Válido")))</f>
        <v/>
      </c>
      <c r="AB1005" s="56">
        <f>IF(AND(A1005="", B1005="", E1005=""), "", TEXTJOIN("; ", TRUE, IF(OR(TRIM(A1005&amp;"")="", ISNUMBER(SEARCH("FALTA", A1005))), "UPC faltante/inválido", ""), IF(AND(A1005&lt;&gt;"", IFERROR(_xlfn.XMATCH(A1005,$A$2:$A$2509,0,1)&lt;&gt;_xlfn.XMATCH(A1005,$A$2:$A$2509,0,-1),FALSE)), "Código de barras duplicado", ""), IF(AND(E1005&lt;&gt;"", COUNTIF($E$2:$E$2509, E1005)&gt;1), "SKU duplicado", ""), IF(OR(J1005="", J1005=""), "[Aviso] División no capturada ()", IF(ISNA(MATCH(J1005, Criterios!$A$123:$A$126, 0)), "División no válida", "")), IF(OR(K1005="", K1005=""), "[Aviso] Categoría no capturada ()", IF(ISNA(MATCH(K1005, Criterios!$A$81:$A$120, 0)), "Categoría no válida", IF(AND(J1005&lt;&gt;"", J1005&lt;&gt;"", J1005&lt;&gt;VLOOKUP(K1005, Criterios!$A$81:$B$120, 2, FALSE)), "División no coincide con Categoría", ""))), IF(OR(L1005="", L1005=""), "[Aviso] Género no capturado ()", IF(ISNA(MATCH(L1005, Criterios!$B$123:$B$127, 0)), "Género no válido", "")), IF(OR(N1005="", N1005=""), "[Aviso] Temporada no capturada ()", IF(ISNA(MATCH(N1005, Criterios!$C$123:$C$128, 0)), "Temporada no válida", "")), IF(OR(O1005="", O1005=""), "[Aviso] Ciclo de vida no capturado ()", IF(ISNA(MATCH(O1005, Criterios!$D$123:$D$124, 0)), "Ciclo de vida no válido", ""))))</f>
        <v/>
      </c>
      <c r="AC1005" s="56" t="n"/>
      <c r="AD1005" s="51" t="n">
        <v>0</v>
      </c>
      <c r="AE1005" s="156" t="n"/>
      <c r="AF1005" s="51" t="n">
        <v>0</v>
      </c>
      <c r="AG1005" s="156" t="inlineStr">
        <is>
          <t>Catálogo existente</t>
        </is>
      </c>
      <c r="AH100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05" s="156" t="inlineStr">
        <is>
          <t>No</t>
        </is>
      </c>
      <c r="AJ1005" s="156" t="n"/>
      <c r="AK1005" s="155" t="inlineStr">
        <is>
          <t>Criterios: J [R]; G1522_Extraccion_Articulos_NetSuite_2026-09-30.xlsx: fila 57339 [S] | Shopify Stetson: producto 14693917163883 / variante 51994309034347</t>
        </is>
      </c>
      <c r="AL1005" s="58" t="n">
        <v>717.6724138</v>
      </c>
      <c r="AM1005" s="58" t="n">
        <v>1594.827586</v>
      </c>
      <c r="AN1005" s="155" t="inlineStr">
        <is>
          <t>Shopify Stetson México</t>
        </is>
      </c>
      <c r="AO1005" s="59" t="n">
        <v>0</v>
      </c>
      <c r="AP1005" s="59" t="n"/>
      <c r="AQ1005" s="59" t="n"/>
      <c r="AR1005" s="155" t="n"/>
    </row>
    <row r="1006">
      <c r="A1006" s="50" t="inlineStr">
        <is>
          <t>196070615678</t>
        </is>
      </c>
      <c r="B1006" s="51" t="inlineStr">
        <is>
          <t>109525</t>
        </is>
      </c>
      <c r="C1006" s="156" t="inlineStr">
        <is>
          <t>Multimarca</t>
        </is>
      </c>
      <c r="D1006" s="156" t="inlineStr">
        <is>
          <t>11-001-0425-5029</t>
        </is>
      </c>
      <c r="E1006" s="156" t="inlineStr">
        <is>
          <t>11-001-0425-5029-XL</t>
        </is>
      </c>
      <c r="F1006" s="156" t="inlineStr">
        <is>
          <t>XL</t>
        </is>
      </c>
      <c r="G1006" s="156" t="inlineStr">
        <is>
          <t>XL</t>
        </is>
      </c>
      <c r="H1006" s="156" t="inlineStr">
        <is>
          <t>Stetson</t>
        </is>
      </c>
      <c r="I1006" s="156" t="inlineStr">
        <is>
          <t>Camisa Manga Larga Filagrana Plata</t>
        </is>
      </c>
      <c r="J1006" s="156" t="inlineStr">
        <is>
          <t>Ropa</t>
        </is>
      </c>
      <c r="K1006" s="156" t="inlineStr">
        <is>
          <t>Camisas</t>
        </is>
      </c>
      <c r="L1006" s="156" t="inlineStr">
        <is>
          <t>Hombre</t>
        </is>
      </c>
      <c r="M1006" s="156" t="inlineStr">
        <is>
          <t>Stetson</t>
        </is>
      </c>
      <c r="N1006" s="156" t="inlineStr">
        <is>
          <t>SS26</t>
        </is>
      </c>
      <c r="O1006" s="156" t="inlineStr">
        <is>
          <t>Seasonal</t>
        </is>
      </c>
      <c r="P1006" s="156" t="inlineStr">
        <is>
          <t>Gris</t>
        </is>
      </c>
      <c r="Q1006" s="156" t="inlineStr">
        <is>
          <t>Clásico</t>
        </is>
      </c>
      <c r="R1006" s="156" t="n"/>
      <c r="S1006" s="156" t="inlineStr">
        <is>
          <t>100% Algodón</t>
        </is>
      </c>
      <c r="T1006"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6" s="156" t="n"/>
      <c r="V1006" s="156" t="inlineStr">
        <is>
          <t>PZS</t>
        </is>
      </c>
      <c r="W1006" s="51" t="inlineStr">
        <is>
          <t>53101600</t>
        </is>
      </c>
      <c r="X1006" s="156" t="inlineStr">
        <is>
          <t>https://cdn.shopify.com/s/files/1/0888/3250/8267/files/1100104255029a.jpg?v=1744226014</t>
        </is>
      </c>
      <c r="Y1006" s="54" t="n">
        <v>717.6724138</v>
      </c>
      <c r="Z1006" s="54" t="n">
        <v>1594.827586</v>
      </c>
      <c r="AA1006" s="55">
        <f>IF(AND(A1006="", B1006="", E1006=""), "", IF(AB1006="", "Válido", IF((LEN(AB1006)-LEN(SUBSTITUTE(AB1006,"; ","")))/2+1&gt;(LEN(AB1006)-LEN(SUBSTITUTE(AB1006,"[Aviso]","")))/7, "Con Incidencias", "Válido")))</f>
        <v/>
      </c>
      <c r="AB1006" s="56">
        <f>IF(AND(A1006="", B1006="", E1006=""), "", TEXTJOIN("; ", TRUE, IF(OR(TRIM(A1006&amp;"")="", ISNUMBER(SEARCH("FALTA", A1006))), "UPC faltante/inválido", ""), IF(AND(A1006&lt;&gt;"", IFERROR(_xlfn.XMATCH(A1006,$A$2:$A$2509,0,1)&lt;&gt;_xlfn.XMATCH(A1006,$A$2:$A$2509,0,-1),FALSE)), "Código de barras duplicado", ""), IF(AND(E1006&lt;&gt;"", COUNTIF($E$2:$E$2509, E1006)&gt;1), "SKU duplicado", ""), IF(OR(J1006="", J1006=""), "[Aviso] División no capturada ()", IF(ISNA(MATCH(J1006, Criterios!$A$123:$A$126, 0)), "División no válida", "")), IF(OR(K1006="", K1006=""), "[Aviso] Categoría no capturada ()", IF(ISNA(MATCH(K1006, Criterios!$A$81:$A$120, 0)), "Categoría no válida", IF(AND(J1006&lt;&gt;"", J1006&lt;&gt;"", J1006&lt;&gt;VLOOKUP(K1006, Criterios!$A$81:$B$120, 2, FALSE)), "División no coincide con Categoría", ""))), IF(OR(L1006="", L1006=""), "[Aviso] Género no capturado ()", IF(ISNA(MATCH(L1006, Criterios!$B$123:$B$127, 0)), "Género no válido", "")), IF(OR(N1006="", N1006=""), "[Aviso] Temporada no capturada ()", IF(ISNA(MATCH(N1006, Criterios!$C$123:$C$128, 0)), "Temporada no válida", "")), IF(OR(O1006="", O1006=""), "[Aviso] Ciclo de vida no capturado ()", IF(ISNA(MATCH(O1006, Criterios!$D$123:$D$124, 0)), "Ciclo de vida no válido", ""))))</f>
        <v/>
      </c>
      <c r="AC1006" s="56" t="n"/>
      <c r="AD1006" s="51" t="n">
        <v>0</v>
      </c>
      <c r="AE1006" s="156" t="n"/>
      <c r="AF1006" s="51" t="n">
        <v>0</v>
      </c>
      <c r="AG1006" s="156" t="inlineStr">
        <is>
          <t>Catálogo existente</t>
        </is>
      </c>
      <c r="AH1006"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06" s="156" t="inlineStr">
        <is>
          <t>No</t>
        </is>
      </c>
      <c r="AJ1006" s="156" t="n"/>
      <c r="AK1006" s="155" t="inlineStr">
        <is>
          <t>Criterios: J [R]; G1522_Extraccion_Articulos_NetSuite_2026-09-30.xlsx: fila 57340 [S] | Shopify Stetson: producto 14693917163883 / variante 51994309001579</t>
        </is>
      </c>
      <c r="AL1006" s="58" t="n">
        <v>717.6724138</v>
      </c>
      <c r="AM1006" s="58" t="n">
        <v>1594.827586</v>
      </c>
      <c r="AN1006" s="155" t="inlineStr">
        <is>
          <t>Shopify Stetson México</t>
        </is>
      </c>
      <c r="AO1006" s="59" t="n">
        <v>0</v>
      </c>
      <c r="AP1006" s="59" t="n"/>
      <c r="AQ1006" s="59" t="n"/>
      <c r="AR1006" s="155" t="n"/>
    </row>
    <row r="1007">
      <c r="A1007" s="50" t="inlineStr">
        <is>
          <t>196070615685</t>
        </is>
      </c>
      <c r="B1007" s="51" t="inlineStr">
        <is>
          <t>109526</t>
        </is>
      </c>
      <c r="C1007" s="156" t="inlineStr">
        <is>
          <t>Multimarca</t>
        </is>
      </c>
      <c r="D1007" s="156" t="inlineStr">
        <is>
          <t>11-001-0425-5029</t>
        </is>
      </c>
      <c r="E1007" s="156" t="inlineStr">
        <is>
          <t>11-001-0425-5029-XXL</t>
        </is>
      </c>
      <c r="F1007" s="156" t="inlineStr">
        <is>
          <t>XXL</t>
        </is>
      </c>
      <c r="G1007" s="156" t="inlineStr">
        <is>
          <t>XXL</t>
        </is>
      </c>
      <c r="H1007" s="156" t="inlineStr">
        <is>
          <t>Stetson</t>
        </is>
      </c>
      <c r="I1007" s="156" t="inlineStr">
        <is>
          <t>Camisa Manga Larga Filagrana Plata</t>
        </is>
      </c>
      <c r="J1007" s="156" t="inlineStr">
        <is>
          <t>Ropa</t>
        </is>
      </c>
      <c r="K1007" s="156" t="inlineStr">
        <is>
          <t>Camisas</t>
        </is>
      </c>
      <c r="L1007" s="156" t="inlineStr">
        <is>
          <t>Hombre</t>
        </is>
      </c>
      <c r="M1007" s="156" t="inlineStr">
        <is>
          <t>Stetson</t>
        </is>
      </c>
      <c r="N1007" s="156" t="inlineStr">
        <is>
          <t>SS26</t>
        </is>
      </c>
      <c r="O1007" s="156" t="inlineStr">
        <is>
          <t>Seasonal</t>
        </is>
      </c>
      <c r="P1007" s="156" t="inlineStr">
        <is>
          <t>Gris</t>
        </is>
      </c>
      <c r="Q1007" s="156" t="inlineStr">
        <is>
          <t>Clásico</t>
        </is>
      </c>
      <c r="R1007" s="156" t="n"/>
      <c r="S1007" s="156" t="inlineStr">
        <is>
          <t>100% Algodón</t>
        </is>
      </c>
      <c r="T1007"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7" s="156" t="n"/>
      <c r="V1007" s="156" t="inlineStr">
        <is>
          <t>PZS</t>
        </is>
      </c>
      <c r="W1007" s="51" t="inlineStr">
        <is>
          <t>53101600</t>
        </is>
      </c>
      <c r="X1007" s="156" t="inlineStr">
        <is>
          <t>https://cdn.shopify.com/s/files/1/0888/3250/8267/files/1100104255029a.jpg?v=1744226014</t>
        </is>
      </c>
      <c r="Y1007" s="54" t="n">
        <v>717.6724138</v>
      </c>
      <c r="Z1007" s="54" t="n">
        <v>1594.827586</v>
      </c>
      <c r="AA1007" s="55">
        <f>IF(AND(A1007="", B1007="", E1007=""), "", IF(AB1007="", "Válido", IF((LEN(AB1007)-LEN(SUBSTITUTE(AB1007,"; ","")))/2+1&gt;(LEN(AB1007)-LEN(SUBSTITUTE(AB1007,"[Aviso]","")))/7, "Con Incidencias", "Válido")))</f>
        <v/>
      </c>
      <c r="AB1007" s="56">
        <f>IF(AND(A1007="", B1007="", E1007=""), "", TEXTJOIN("; ", TRUE, IF(OR(TRIM(A1007&amp;"")="", ISNUMBER(SEARCH("FALTA", A1007))), "UPC faltante/inválido", ""), IF(AND(A1007&lt;&gt;"", IFERROR(_xlfn.XMATCH(A1007,$A$2:$A$2509,0,1)&lt;&gt;_xlfn.XMATCH(A1007,$A$2:$A$2509,0,-1),FALSE)), "Código de barras duplicado", ""), IF(AND(E1007&lt;&gt;"", COUNTIF($E$2:$E$2509, E1007)&gt;1), "SKU duplicado", ""), IF(OR(J1007="", J1007=""), "[Aviso] División no capturada ()", IF(ISNA(MATCH(J1007, Criterios!$A$123:$A$126, 0)), "División no válida", "")), IF(OR(K1007="", K1007=""), "[Aviso] Categoría no capturada ()", IF(ISNA(MATCH(K1007, Criterios!$A$81:$A$120, 0)), "Categoría no válida", IF(AND(J1007&lt;&gt;"", J1007&lt;&gt;"", J1007&lt;&gt;VLOOKUP(K1007, Criterios!$A$81:$B$120, 2, FALSE)), "División no coincide con Categoría", ""))), IF(OR(L1007="", L1007=""), "[Aviso] Género no capturado ()", IF(ISNA(MATCH(L1007, Criterios!$B$123:$B$127, 0)), "Género no válido", "")), IF(OR(N1007="", N1007=""), "[Aviso] Temporada no capturada ()", IF(ISNA(MATCH(N1007, Criterios!$C$123:$C$128, 0)), "Temporada no válida", "")), IF(OR(O1007="", O1007=""), "[Aviso] Ciclo de vida no capturado ()", IF(ISNA(MATCH(O1007, Criterios!$D$123:$D$124, 0)), "Ciclo de vida no válido", ""))))</f>
        <v/>
      </c>
      <c r="AC1007" s="56" t="n"/>
      <c r="AD1007" s="51" t="n">
        <v>0</v>
      </c>
      <c r="AE1007" s="156" t="n"/>
      <c r="AF1007" s="51" t="n">
        <v>0</v>
      </c>
      <c r="AG1007" s="156" t="inlineStr">
        <is>
          <t>Catálogo existente</t>
        </is>
      </c>
      <c r="AH100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07" s="156" t="inlineStr">
        <is>
          <t>No</t>
        </is>
      </c>
      <c r="AJ1007" s="156" t="n"/>
      <c r="AK1007" s="155" t="inlineStr">
        <is>
          <t>Criterios: J [R]; G1522_Extraccion_Articulos_NetSuite_2026-09-30.xlsx: fila 57341 [S] | Shopify Stetson: producto 14693917163883 / variante 51994309296491</t>
        </is>
      </c>
      <c r="AL1007" s="58" t="n">
        <v>717.6724138</v>
      </c>
      <c r="AM1007" s="58" t="n">
        <v>1594.827586</v>
      </c>
      <c r="AN1007" s="155" t="inlineStr">
        <is>
          <t>Shopify Stetson México</t>
        </is>
      </c>
      <c r="AO1007" s="59" t="n">
        <v>0</v>
      </c>
      <c r="AP1007" s="59" t="n"/>
      <c r="AQ1007" s="59" t="n"/>
      <c r="AR1007" s="155" t="n"/>
    </row>
    <row r="1008">
      <c r="A1008" s="50" t="inlineStr">
        <is>
          <t>196070617023</t>
        </is>
      </c>
      <c r="B1008" s="51" t="inlineStr">
        <is>
          <t>110671</t>
        </is>
      </c>
      <c r="C1008" s="156" t="inlineStr">
        <is>
          <t>Multimarca</t>
        </is>
      </c>
      <c r="D1008" s="156" t="inlineStr">
        <is>
          <t>11-050-0565-0552</t>
        </is>
      </c>
      <c r="E1008" s="156" t="inlineStr">
        <is>
          <t>11-050-0565-0552-L</t>
        </is>
      </c>
      <c r="F1008" s="156" t="inlineStr">
        <is>
          <t>L</t>
        </is>
      </c>
      <c r="G1008" s="156" t="inlineStr">
        <is>
          <t>L</t>
        </is>
      </c>
      <c r="H1008" s="156" t="inlineStr">
        <is>
          <t>Stetson</t>
        </is>
      </c>
      <c r="I1008" s="156" t="inlineStr">
        <is>
          <t>Blusa Western Rayon Crepe Rosa</t>
        </is>
      </c>
      <c r="J1008" s="156" t="inlineStr">
        <is>
          <t>Ropa</t>
        </is>
      </c>
      <c r="K1008" s="156" t="inlineStr">
        <is>
          <t>Camisas</t>
        </is>
      </c>
      <c r="L1008" s="156" t="inlineStr">
        <is>
          <t>Mujer</t>
        </is>
      </c>
      <c r="M1008" s="156" t="inlineStr">
        <is>
          <t>Stetson</t>
        </is>
      </c>
      <c r="N1008" s="156" t="inlineStr">
        <is>
          <t>SS26</t>
        </is>
      </c>
      <c r="O1008" s="156" t="inlineStr">
        <is>
          <t>Seasonal</t>
        </is>
      </c>
      <c r="P1008" s="156" t="inlineStr">
        <is>
          <t>Rosa</t>
        </is>
      </c>
      <c r="Q1008" s="156" t="inlineStr">
        <is>
          <t>Regular</t>
        </is>
      </c>
      <c r="R1008" s="156" t="n"/>
      <c r="S1008" s="156" t="inlineStr">
        <is>
          <t>100% Rayón</t>
        </is>
      </c>
      <c r="T1008" s="156" t="inlineStr">
        <is>
          <t>Blusa Western Rayon Crepe Rosa Regular</t>
        </is>
      </c>
      <c r="U1008" s="156" t="n"/>
      <c r="V1008" s="156" t="inlineStr">
        <is>
          <t>PZS</t>
        </is>
      </c>
      <c r="W1008" s="51" t="inlineStr">
        <is>
          <t>53101604</t>
        </is>
      </c>
      <c r="X1008" s="156" t="n"/>
      <c r="Y1008" s="54" t="n">
        <v>1066.810345</v>
      </c>
      <c r="Z1008" s="54" t="n">
        <v>2370.689655</v>
      </c>
      <c r="AA1008" s="55">
        <f>IF(AND(A1008="", B1008="", E1008=""), "", IF(AB1008="", "Válido", IF((LEN(AB1008)-LEN(SUBSTITUTE(AB1008,"; ","")))/2+1&gt;(LEN(AB1008)-LEN(SUBSTITUTE(AB1008,"[Aviso]","")))/7, "Con Incidencias", "Válido")))</f>
        <v/>
      </c>
      <c r="AB1008" s="56">
        <f>IF(AND(A1008="", B1008="", E1008=""), "", TEXTJOIN("; ", TRUE, IF(OR(TRIM(A1008&amp;"")="", ISNUMBER(SEARCH("FALTA", A1008))), "UPC faltante/inválido", ""), IF(AND(A1008&lt;&gt;"", IFERROR(_xlfn.XMATCH(A1008,$A$2:$A$2509,0,1)&lt;&gt;_xlfn.XMATCH(A1008,$A$2:$A$2509,0,-1),FALSE)), "Código de barras duplicado", ""), IF(AND(E1008&lt;&gt;"", COUNTIF($E$2:$E$2509, E1008)&gt;1), "SKU duplicado", ""), IF(OR(J1008="", J1008=""), "[Aviso] División no capturada ()", IF(ISNA(MATCH(J1008, Criterios!$A$123:$A$126, 0)), "División no válida", "")), IF(OR(K1008="", K1008=""), "[Aviso] Categoría no capturada ()", IF(ISNA(MATCH(K1008, Criterios!$A$81:$A$120, 0)), "Categoría no válida", IF(AND(J1008&lt;&gt;"", J1008&lt;&gt;"", J1008&lt;&gt;VLOOKUP(K1008, Criterios!$A$81:$B$120, 2, FALSE)), "División no coincide con Categoría", ""))), IF(OR(L1008="", L1008=""), "[Aviso] Género no capturado ()", IF(ISNA(MATCH(L1008, Criterios!$B$123:$B$127, 0)), "Género no válido", "")), IF(OR(N1008="", N1008=""), "[Aviso] Temporada no capturada ()", IF(ISNA(MATCH(N1008, Criterios!$C$123:$C$128, 0)), "Temporada no válida", "")), IF(OR(O1008="", O1008=""), "[Aviso] Ciclo de vida no capturado ()", IF(ISNA(MATCH(O1008, Criterios!$D$123:$D$124, 0)), "Ciclo de vida no válido", ""))))</f>
        <v/>
      </c>
      <c r="AC1008" s="56" t="n"/>
      <c r="AD1008" s="51" t="n">
        <v>-2</v>
      </c>
      <c r="AE1008" s="156" t="n"/>
      <c r="AF1008" s="51" t="n">
        <v>0</v>
      </c>
      <c r="AG1008" s="156" t="inlineStr">
        <is>
          <t>Catálogo existente</t>
        </is>
      </c>
      <c r="AH1008" s="156" t="inlineStr">
        <is>
          <t>Stock negativo en sistema: revisar en conteo | Revisión 29/09/2026: Campos sin respaldo: U, X; Auditoría NetSuite 30/09/2026: llenado desde NetSuite [S] | 01/10/2026: complementado desde Shopify Stetson México (match por código de barras): WB Silueta</t>
        </is>
      </c>
      <c r="AI1008" s="156" t="inlineStr">
        <is>
          <t>Sí</t>
        </is>
      </c>
      <c r="AJ1008" s="156" t="inlineStr">
        <is>
          <t>STETSON AMERICAS (-2)</t>
        </is>
      </c>
      <c r="AK1008" s="155" t="inlineStr">
        <is>
          <t>Criterios: J [R]; G1522_Extraccion_Articulos_NetSuite_2026-09-30.xlsx: fila 58486 [S] | Shopify Stetson: producto 15051553767787 / variante 53350587269483</t>
        </is>
      </c>
      <c r="AL1008" s="58" t="n">
        <v>1066.810345</v>
      </c>
      <c r="AM1008" s="58" t="n">
        <v>2370.689655</v>
      </c>
      <c r="AN1008" s="155" t="inlineStr">
        <is>
          <t>Shopify Stetson México</t>
        </is>
      </c>
      <c r="AO1008" s="59" t="n">
        <v>0</v>
      </c>
      <c r="AP1008" s="59" t="n"/>
      <c r="AQ1008" s="59" t="n"/>
      <c r="AR1008" s="155" t="n"/>
    </row>
    <row r="1009">
      <c r="A1009" s="50" t="inlineStr">
        <is>
          <t>196070617030</t>
        </is>
      </c>
      <c r="B1009" s="51" t="inlineStr">
        <is>
          <t>110672</t>
        </is>
      </c>
      <c r="C1009" s="156" t="inlineStr">
        <is>
          <t>Multimarca</t>
        </is>
      </c>
      <c r="D1009" s="156" t="inlineStr">
        <is>
          <t>11-050-0565-0552</t>
        </is>
      </c>
      <c r="E1009" s="156" t="inlineStr">
        <is>
          <t>11-050-0565-0552-M</t>
        </is>
      </c>
      <c r="F1009" s="156" t="inlineStr">
        <is>
          <t>M</t>
        </is>
      </c>
      <c r="G1009" s="156" t="inlineStr">
        <is>
          <t>M</t>
        </is>
      </c>
      <c r="H1009" s="156" t="inlineStr">
        <is>
          <t>Stetson</t>
        </is>
      </c>
      <c r="I1009" s="156" t="inlineStr">
        <is>
          <t>Blusa Western Rayon Crepe Rosa</t>
        </is>
      </c>
      <c r="J1009" s="156" t="inlineStr">
        <is>
          <t>Ropa</t>
        </is>
      </c>
      <c r="K1009" s="156" t="inlineStr">
        <is>
          <t>Camisas</t>
        </is>
      </c>
      <c r="L1009" s="156" t="inlineStr">
        <is>
          <t>Mujer</t>
        </is>
      </c>
      <c r="M1009" s="156" t="inlineStr">
        <is>
          <t>Stetson</t>
        </is>
      </c>
      <c r="N1009" s="156" t="inlineStr">
        <is>
          <t>SS26</t>
        </is>
      </c>
      <c r="O1009" s="156" t="inlineStr">
        <is>
          <t>Seasonal</t>
        </is>
      </c>
      <c r="P1009" s="156" t="inlineStr">
        <is>
          <t>Rosa</t>
        </is>
      </c>
      <c r="Q1009" s="156" t="inlineStr">
        <is>
          <t>Regular</t>
        </is>
      </c>
      <c r="R1009" s="156" t="n"/>
      <c r="S1009" s="156" t="inlineStr">
        <is>
          <t>100% Rayón</t>
        </is>
      </c>
      <c r="T1009" s="156" t="inlineStr">
        <is>
          <t>Blusa Western Rayon Crepe Rosa Regular</t>
        </is>
      </c>
      <c r="U1009" s="156" t="n"/>
      <c r="V1009" s="156" t="inlineStr">
        <is>
          <t>PZS</t>
        </is>
      </c>
      <c r="W1009" s="51" t="inlineStr">
        <is>
          <t>53101604</t>
        </is>
      </c>
      <c r="X1009" s="156" t="n"/>
      <c r="Y1009" s="54" t="n">
        <v>1066.810345</v>
      </c>
      <c r="Z1009" s="54" t="n">
        <v>2370.689655</v>
      </c>
      <c r="AA1009" s="55">
        <f>IF(AND(A1009="", B1009="", E1009=""), "", IF(AB1009="", "Válido", IF((LEN(AB1009)-LEN(SUBSTITUTE(AB1009,"; ","")))/2+1&gt;(LEN(AB1009)-LEN(SUBSTITUTE(AB1009,"[Aviso]","")))/7, "Con Incidencias", "Válido")))</f>
        <v/>
      </c>
      <c r="AB1009" s="56">
        <f>IF(AND(A1009="", B1009="", E1009=""), "", TEXTJOIN("; ", TRUE, IF(OR(TRIM(A1009&amp;"")="", ISNUMBER(SEARCH("FALTA", A1009))), "UPC faltante/inválido", ""), IF(AND(A1009&lt;&gt;"", IFERROR(_xlfn.XMATCH(A1009,$A$2:$A$2509,0,1)&lt;&gt;_xlfn.XMATCH(A1009,$A$2:$A$2509,0,-1),FALSE)), "Código de barras duplicado", ""), IF(AND(E1009&lt;&gt;"", COUNTIF($E$2:$E$2509, E1009)&gt;1), "SKU duplicado", ""), IF(OR(J1009="", J1009=""), "[Aviso] División no capturada ()", IF(ISNA(MATCH(J1009, Criterios!$A$123:$A$126, 0)), "División no válida", "")), IF(OR(K1009="", K1009=""), "[Aviso] Categoría no capturada ()", IF(ISNA(MATCH(K1009, Criterios!$A$81:$A$120, 0)), "Categoría no válida", IF(AND(J1009&lt;&gt;"", J1009&lt;&gt;"", J1009&lt;&gt;VLOOKUP(K1009, Criterios!$A$81:$B$120, 2, FALSE)), "División no coincide con Categoría", ""))), IF(OR(L1009="", L1009=""), "[Aviso] Género no capturado ()", IF(ISNA(MATCH(L1009, Criterios!$B$123:$B$127, 0)), "Género no válido", "")), IF(OR(N1009="", N1009=""), "[Aviso] Temporada no capturada ()", IF(ISNA(MATCH(N1009, Criterios!$C$123:$C$128, 0)), "Temporada no válida", "")), IF(OR(O1009="", O1009=""), "[Aviso] Ciclo de vida no capturado ()", IF(ISNA(MATCH(O1009, Criterios!$D$123:$D$124, 0)), "Ciclo de vida no válido", ""))))</f>
        <v/>
      </c>
      <c r="AC1009" s="56" t="n"/>
      <c r="AD1009" s="51" t="n">
        <v>-1</v>
      </c>
      <c r="AE1009" s="156" t="n"/>
      <c r="AF1009" s="51" t="n">
        <v>0</v>
      </c>
      <c r="AG1009" s="156" t="inlineStr">
        <is>
          <t>Catálogo existente</t>
        </is>
      </c>
      <c r="AH1009" s="156" t="inlineStr">
        <is>
          <t>Stock negativo en sistema: revisar en conteo | Revisión 29/09/2026: Campos sin respaldo: U, X; Auditoría NetSuite 30/09/2026: llenado desde NetSuite [S] | 01/10/2026: complementado desde Shopify Stetson México (match por código de barras): WB Silueta</t>
        </is>
      </c>
      <c r="AI1009" s="156" t="inlineStr">
        <is>
          <t>Sí</t>
        </is>
      </c>
      <c r="AJ1009" s="156" t="inlineStr">
        <is>
          <t>STETSON AMERICAS (-1)</t>
        </is>
      </c>
      <c r="AK1009" s="155" t="inlineStr">
        <is>
          <t>Criterios: J [R]; G1522_Extraccion_Articulos_NetSuite_2026-09-30.xlsx: fila 58487 [S] | Shopify Stetson: producto 15051553767787 / variante 53350587236715</t>
        </is>
      </c>
      <c r="AL1009" s="58" t="n">
        <v>1066.810345</v>
      </c>
      <c r="AM1009" s="58" t="n">
        <v>2370.689655</v>
      </c>
      <c r="AN1009" s="155" t="inlineStr">
        <is>
          <t>Shopify Stetson México</t>
        </is>
      </c>
      <c r="AO1009" s="59" t="n">
        <v>1</v>
      </c>
      <c r="AP1009" s="59" t="n"/>
      <c r="AQ1009" s="59" t="n"/>
      <c r="AR1009" s="155" t="inlineStr">
        <is>
          <t>Shopify Stetson México › Stetson Americas: 1</t>
        </is>
      </c>
    </row>
    <row r="1010">
      <c r="A1010" s="50" t="inlineStr">
        <is>
          <t>196070617047</t>
        </is>
      </c>
      <c r="B1010" s="51" t="inlineStr">
        <is>
          <t>110673</t>
        </is>
      </c>
      <c r="C1010" s="156" t="inlineStr">
        <is>
          <t>Multimarca</t>
        </is>
      </c>
      <c r="D1010" s="156" t="inlineStr">
        <is>
          <t>11-050-0565-0552</t>
        </is>
      </c>
      <c r="E1010" s="156" t="inlineStr">
        <is>
          <t>11-050-0565-0552-S</t>
        </is>
      </c>
      <c r="F1010" s="156" t="inlineStr">
        <is>
          <t>S</t>
        </is>
      </c>
      <c r="G1010" s="156" t="inlineStr">
        <is>
          <t>S</t>
        </is>
      </c>
      <c r="H1010" s="156" t="inlineStr">
        <is>
          <t>Stetson</t>
        </is>
      </c>
      <c r="I1010" s="156" t="inlineStr">
        <is>
          <t>Blusa Western Rayon Crepe Rosa</t>
        </is>
      </c>
      <c r="J1010" s="156" t="inlineStr">
        <is>
          <t>Ropa</t>
        </is>
      </c>
      <c r="K1010" s="156" t="inlineStr">
        <is>
          <t>Camisas</t>
        </is>
      </c>
      <c r="L1010" s="156" t="inlineStr">
        <is>
          <t>Mujer</t>
        </is>
      </c>
      <c r="M1010" s="156" t="inlineStr">
        <is>
          <t>Stetson</t>
        </is>
      </c>
      <c r="N1010" s="156" t="inlineStr">
        <is>
          <t>SS26</t>
        </is>
      </c>
      <c r="O1010" s="156" t="inlineStr">
        <is>
          <t>Seasonal</t>
        </is>
      </c>
      <c r="P1010" s="156" t="inlineStr">
        <is>
          <t>Rosa</t>
        </is>
      </c>
      <c r="Q1010" s="156" t="inlineStr">
        <is>
          <t>Regular</t>
        </is>
      </c>
      <c r="R1010" s="156" t="n"/>
      <c r="S1010" s="156" t="inlineStr">
        <is>
          <t>100% Rayón</t>
        </is>
      </c>
      <c r="T1010" s="156" t="inlineStr">
        <is>
          <t>Blusa Western Rayon Crepe Rosa Regular</t>
        </is>
      </c>
      <c r="U1010" s="156" t="n"/>
      <c r="V1010" s="156" t="inlineStr">
        <is>
          <t>PZS</t>
        </is>
      </c>
      <c r="W1010" s="51" t="inlineStr">
        <is>
          <t>53101604</t>
        </is>
      </c>
      <c r="X1010" s="156" t="n"/>
      <c r="Y1010" s="54" t="n">
        <v>1066.810345</v>
      </c>
      <c r="Z1010" s="54" t="n">
        <v>2370.689655</v>
      </c>
      <c r="AA1010" s="55">
        <f>IF(AND(A1010="", B1010="", E1010=""), "", IF(AB1010="", "Válido", IF((LEN(AB1010)-LEN(SUBSTITUTE(AB1010,"; ","")))/2+1&gt;(LEN(AB1010)-LEN(SUBSTITUTE(AB1010,"[Aviso]","")))/7, "Con Incidencias", "Válido")))</f>
        <v/>
      </c>
      <c r="AB1010" s="56">
        <f>IF(AND(A1010="", B1010="", E1010=""), "", TEXTJOIN("; ", TRUE, IF(OR(TRIM(A1010&amp;"")="", ISNUMBER(SEARCH("FALTA", A1010))), "UPC faltante/inválido", ""), IF(AND(A1010&lt;&gt;"", IFERROR(_xlfn.XMATCH(A1010,$A$2:$A$2509,0,1)&lt;&gt;_xlfn.XMATCH(A1010,$A$2:$A$2509,0,-1),FALSE)), "Código de barras duplicado", ""), IF(AND(E1010&lt;&gt;"", COUNTIF($E$2:$E$2509, E1010)&gt;1), "SKU duplicado", ""), IF(OR(J1010="", J1010=""), "[Aviso] División no capturada ()", IF(ISNA(MATCH(J1010, Criterios!$A$123:$A$126, 0)), "División no válida", "")), IF(OR(K1010="", K1010=""), "[Aviso] Categoría no capturada ()", IF(ISNA(MATCH(K1010, Criterios!$A$81:$A$120, 0)), "Categoría no válida", IF(AND(J1010&lt;&gt;"", J1010&lt;&gt;"", J1010&lt;&gt;VLOOKUP(K1010, Criterios!$A$81:$B$120, 2, FALSE)), "División no coincide con Categoría", ""))), IF(OR(L1010="", L1010=""), "[Aviso] Género no capturado ()", IF(ISNA(MATCH(L1010, Criterios!$B$123:$B$127, 0)), "Género no válido", "")), IF(OR(N1010="", N1010=""), "[Aviso] Temporada no capturada ()", IF(ISNA(MATCH(N1010, Criterios!$C$123:$C$128, 0)), "Temporada no válida", "")), IF(OR(O1010="", O1010=""), "[Aviso] Ciclo de vida no capturado ()", IF(ISNA(MATCH(O1010, Criterios!$D$123:$D$124, 0)), "Ciclo de vida no válido", ""))))</f>
        <v/>
      </c>
      <c r="AC1010" s="56" t="n"/>
      <c r="AD1010" s="51" t="n">
        <v>-1</v>
      </c>
      <c r="AE1010" s="156" t="n"/>
      <c r="AF1010" s="51" t="n">
        <v>0</v>
      </c>
      <c r="AG1010" s="156" t="inlineStr">
        <is>
          <t>Catálogo existente</t>
        </is>
      </c>
      <c r="AH1010" s="156" t="inlineStr">
        <is>
          <t>Stock negativo en sistema: revisar en conteo | Revisión 29/09/2026: Campos sin respaldo: U, X; Auditoría NetSuite 30/09/2026: llenado desde NetSuite [S] | 01/10/2026: complementado desde Shopify Stetson México (match por código de barras): WB Silueta</t>
        </is>
      </c>
      <c r="AI1010" s="156" t="inlineStr">
        <is>
          <t>Sí</t>
        </is>
      </c>
      <c r="AJ1010" s="156" t="inlineStr">
        <is>
          <t>STETSON AMERICAS (-1)</t>
        </is>
      </c>
      <c r="AK1010" s="155" t="inlineStr">
        <is>
          <t>Criterios: J [R]; G1522_Extraccion_Articulos_NetSuite_2026-09-30.xlsx: fila 58488 [S] | Shopify Stetson: producto 15051553767787 / variante 53350587203947</t>
        </is>
      </c>
      <c r="AL1010" s="58" t="n">
        <v>1066.810345</v>
      </c>
      <c r="AM1010" s="58" t="n">
        <v>2370.689655</v>
      </c>
      <c r="AN1010" s="155" t="inlineStr">
        <is>
          <t>Shopify Stetson México</t>
        </is>
      </c>
      <c r="AO1010" s="59" t="n">
        <v>0</v>
      </c>
      <c r="AP1010" s="59" t="n"/>
      <c r="AQ1010" s="59" t="n"/>
      <c r="AR1010" s="155" t="n"/>
    </row>
    <row r="1011">
      <c r="A1011" s="50" t="inlineStr">
        <is>
          <t>196070617061</t>
        </is>
      </c>
      <c r="B1011" s="51" t="inlineStr">
        <is>
          <t>110674</t>
        </is>
      </c>
      <c r="C1011" s="156" t="inlineStr">
        <is>
          <t>Multimarca</t>
        </is>
      </c>
      <c r="D1011" s="156" t="inlineStr">
        <is>
          <t>11-050-0565-0552</t>
        </is>
      </c>
      <c r="E1011" s="156" t="inlineStr">
        <is>
          <t>11-050-0565-0552-XS</t>
        </is>
      </c>
      <c r="F1011" s="156" t="inlineStr">
        <is>
          <t>XS</t>
        </is>
      </c>
      <c r="G1011" s="156" t="inlineStr">
        <is>
          <t>XS</t>
        </is>
      </c>
      <c r="H1011" s="156" t="inlineStr">
        <is>
          <t>Stetson</t>
        </is>
      </c>
      <c r="I1011" s="156" t="inlineStr">
        <is>
          <t>Blusa Western Rayon Crepe Rosa</t>
        </is>
      </c>
      <c r="J1011" s="156" t="inlineStr">
        <is>
          <t>Ropa</t>
        </is>
      </c>
      <c r="K1011" s="156" t="inlineStr">
        <is>
          <t>Camisas</t>
        </is>
      </c>
      <c r="L1011" s="156" t="inlineStr">
        <is>
          <t>Mujer</t>
        </is>
      </c>
      <c r="M1011" s="156" t="inlineStr">
        <is>
          <t>Stetson</t>
        </is>
      </c>
      <c r="N1011" s="156" t="inlineStr">
        <is>
          <t>SS26</t>
        </is>
      </c>
      <c r="O1011" s="156" t="inlineStr">
        <is>
          <t>Seasonal</t>
        </is>
      </c>
      <c r="P1011" s="156" t="inlineStr">
        <is>
          <t>Rosa</t>
        </is>
      </c>
      <c r="Q1011" s="156" t="inlineStr">
        <is>
          <t>Regular</t>
        </is>
      </c>
      <c r="R1011" s="156" t="n"/>
      <c r="S1011" s="156" t="inlineStr">
        <is>
          <t>100% Rayón</t>
        </is>
      </c>
      <c r="T1011" s="156" t="inlineStr">
        <is>
          <t>Blusa Western Rayon Crepe Rosa Regular</t>
        </is>
      </c>
      <c r="U1011" s="156" t="n"/>
      <c r="V1011" s="156" t="inlineStr">
        <is>
          <t>PZS</t>
        </is>
      </c>
      <c r="W1011" s="51" t="inlineStr">
        <is>
          <t>53101604</t>
        </is>
      </c>
      <c r="X1011" s="156" t="n"/>
      <c r="Y1011" s="54" t="n">
        <v>1066.810345</v>
      </c>
      <c r="Z1011" s="54" t="n">
        <v>2370.689655</v>
      </c>
      <c r="AA1011" s="55">
        <f>IF(AND(A1011="", B1011="", E1011=""), "", IF(AB1011="", "Válido", IF((LEN(AB1011)-LEN(SUBSTITUTE(AB1011,"; ","")))/2+1&gt;(LEN(AB1011)-LEN(SUBSTITUTE(AB1011,"[Aviso]","")))/7, "Con Incidencias", "Válido")))</f>
        <v/>
      </c>
      <c r="AB1011" s="56">
        <f>IF(AND(A1011="", B1011="", E1011=""), "", TEXTJOIN("; ", TRUE, IF(OR(TRIM(A1011&amp;"")="", ISNUMBER(SEARCH("FALTA", A1011))), "UPC faltante/inválido", ""), IF(AND(A1011&lt;&gt;"", IFERROR(_xlfn.XMATCH(A1011,$A$2:$A$2509,0,1)&lt;&gt;_xlfn.XMATCH(A1011,$A$2:$A$2509,0,-1),FALSE)), "Código de barras duplicado", ""), IF(AND(E1011&lt;&gt;"", COUNTIF($E$2:$E$2509, E1011)&gt;1), "SKU duplicado", ""), IF(OR(J1011="", J1011=""), "[Aviso] División no capturada ()", IF(ISNA(MATCH(J1011, Criterios!$A$123:$A$126, 0)), "División no válida", "")), IF(OR(K1011="", K1011=""), "[Aviso] Categoría no capturada ()", IF(ISNA(MATCH(K1011, Criterios!$A$81:$A$120, 0)), "Categoría no válida", IF(AND(J1011&lt;&gt;"", J1011&lt;&gt;"", J1011&lt;&gt;VLOOKUP(K1011, Criterios!$A$81:$B$120, 2, FALSE)), "División no coincide con Categoría", ""))), IF(OR(L1011="", L1011=""), "[Aviso] Género no capturado ()", IF(ISNA(MATCH(L1011, Criterios!$B$123:$B$127, 0)), "Género no válido", "")), IF(OR(N1011="", N1011=""), "[Aviso] Temporada no capturada ()", IF(ISNA(MATCH(N1011, Criterios!$C$123:$C$128, 0)), "Temporada no válida", "")), IF(OR(O1011="", O1011=""), "[Aviso] Ciclo de vida no capturado ()", IF(ISNA(MATCH(O1011, Criterios!$D$123:$D$124, 0)), "Ciclo de vida no válido", ""))))</f>
        <v/>
      </c>
      <c r="AC1011" s="56" t="n"/>
      <c r="AD1011" s="51" t="n">
        <v>-1</v>
      </c>
      <c r="AE1011" s="156" t="n"/>
      <c r="AF1011" s="51" t="n">
        <v>0</v>
      </c>
      <c r="AG1011" s="156" t="inlineStr">
        <is>
          <t>Catálogo existente</t>
        </is>
      </c>
      <c r="AH1011" s="156" t="inlineStr">
        <is>
          <t>Stock negativo en sistema: revisar en conteo | Revisión 29/09/2026: Campos sin respaldo: U, X; Auditoría NetSuite 30/09/2026: llenado desde NetSuite [S] | 01/10/2026: complementado desde Shopify Stetson México (match por código de barras): WB Silueta</t>
        </is>
      </c>
      <c r="AI1011" s="156" t="inlineStr">
        <is>
          <t>Sí</t>
        </is>
      </c>
      <c r="AJ1011" s="156" t="inlineStr">
        <is>
          <t>STETSON AMERICAS (-1)</t>
        </is>
      </c>
      <c r="AK1011" s="155" t="inlineStr">
        <is>
          <t>Criterios: J [R]; G1522_Extraccion_Articulos_NetSuite_2026-09-30.xlsx: fila 58489 [S] | Shopify Stetson: producto 15051553767787 / variante 53350587171179</t>
        </is>
      </c>
      <c r="AL1011" s="58" t="n">
        <v>1066.810345</v>
      </c>
      <c r="AM1011" s="58" t="n">
        <v>2370.689655</v>
      </c>
      <c r="AN1011" s="155" t="inlineStr">
        <is>
          <t>Shopify Stetson México</t>
        </is>
      </c>
      <c r="AO1011" s="59" t="n">
        <v>0</v>
      </c>
      <c r="AP1011" s="59" t="n"/>
      <c r="AQ1011" s="59" t="n"/>
      <c r="AR1011" s="155" t="n"/>
    </row>
    <row r="1012">
      <c r="A1012" s="50" t="inlineStr">
        <is>
          <t>196070617573</t>
        </is>
      </c>
      <c r="B1012" s="51" t="inlineStr">
        <is>
          <t>110740</t>
        </is>
      </c>
      <c r="C1012" s="156" t="inlineStr">
        <is>
          <t>Multimarca</t>
        </is>
      </c>
      <c r="D1012" s="156" t="inlineStr">
        <is>
          <t>11-057-0565-0557</t>
        </is>
      </c>
      <c r="E1012" s="156" t="inlineStr">
        <is>
          <t>11-057-0565-0557-L</t>
        </is>
      </c>
      <c r="F1012" s="156" t="inlineStr">
        <is>
          <t>L</t>
        </is>
      </c>
      <c r="G1012" s="156" t="inlineStr">
        <is>
          <t>L</t>
        </is>
      </c>
      <c r="H1012" s="156" t="inlineStr">
        <is>
          <t>Stetson</t>
        </is>
      </c>
      <c r="I1012" s="156" t="inlineStr">
        <is>
          <t>Vestido Rayon Twill Crema Manga 3/4</t>
        </is>
      </c>
      <c r="J1012" s="156" t="inlineStr">
        <is>
          <t>Ropa</t>
        </is>
      </c>
      <c r="K1012" s="156" t="inlineStr">
        <is>
          <t>Vestidos</t>
        </is>
      </c>
      <c r="L1012" s="156" t="inlineStr">
        <is>
          <t>Mujer</t>
        </is>
      </c>
      <c r="M1012" s="156" t="inlineStr">
        <is>
          <t>Stetson</t>
        </is>
      </c>
      <c r="N1012" s="156" t="inlineStr">
        <is>
          <t>SS26</t>
        </is>
      </c>
      <c r="O1012" s="156" t="inlineStr">
        <is>
          <t>Seasonal</t>
        </is>
      </c>
      <c r="P1012" s="156" t="inlineStr">
        <is>
          <t>Blanco</t>
        </is>
      </c>
      <c r="Q1012" s="156" t="inlineStr">
        <is>
          <t>Regular</t>
        </is>
      </c>
      <c r="R1012" s="156" t="n"/>
      <c r="S1012" s="156" t="inlineStr">
        <is>
          <t>100% Rayón</t>
        </is>
      </c>
      <c r="T1012" s="156" t="inlineStr">
        <is>
          <t>Vestido Rayon Twill Crema Manga 3/4 Regular</t>
        </is>
      </c>
      <c r="U1012" s="156" t="n"/>
      <c r="V1012" s="156" t="inlineStr">
        <is>
          <t>PZS</t>
        </is>
      </c>
      <c r="W1012" s="51" t="inlineStr">
        <is>
          <t>53101504</t>
        </is>
      </c>
      <c r="X1012" s="156" t="n"/>
      <c r="Y1012" s="54" t="n">
        <v>1454.741379</v>
      </c>
      <c r="Z1012" s="54" t="n">
        <v>3232.758621</v>
      </c>
      <c r="AA1012" s="55">
        <f>IF(AND(A1012="", B1012="", E1012=""), "", IF(AB1012="", "Válido", IF((LEN(AB1012)-LEN(SUBSTITUTE(AB1012,"; ","")))/2+1&gt;(LEN(AB1012)-LEN(SUBSTITUTE(AB1012,"[Aviso]","")))/7, "Con Incidencias", "Válido")))</f>
        <v/>
      </c>
      <c r="AB1012" s="56">
        <f>IF(AND(A1012="", B1012="", E1012=""), "", TEXTJOIN("; ", TRUE, IF(OR(TRIM(A1012&amp;"")="", ISNUMBER(SEARCH("FALTA", A1012))), "UPC faltante/inválido", ""), IF(AND(A1012&lt;&gt;"", IFERROR(_xlfn.XMATCH(A1012,$A$2:$A$2509,0,1)&lt;&gt;_xlfn.XMATCH(A1012,$A$2:$A$2509,0,-1),FALSE)), "Código de barras duplicado", ""), IF(AND(E1012&lt;&gt;"", COUNTIF($E$2:$E$2509, E1012)&gt;1), "SKU duplicado", ""), IF(OR(J1012="", J1012=""), "[Aviso] División no capturada ()", IF(ISNA(MATCH(J1012, Criterios!$A$123:$A$126, 0)), "División no válida", "")), IF(OR(K1012="", K1012=""), "[Aviso] Categoría no capturada ()", IF(ISNA(MATCH(K1012, Criterios!$A$81:$A$120, 0)), "Categoría no válida", IF(AND(J1012&lt;&gt;"", J1012&lt;&gt;"", J1012&lt;&gt;VLOOKUP(K1012, Criterios!$A$81:$B$120, 2, FALSE)), "División no coincide con Categoría", ""))), IF(OR(L1012="", L1012=""), "[Aviso] Género no capturado ()", IF(ISNA(MATCH(L1012, Criterios!$B$123:$B$127, 0)), "Género no válido", "")), IF(OR(N1012="", N1012=""), "[Aviso] Temporada no capturada ()", IF(ISNA(MATCH(N1012, Criterios!$C$123:$C$128, 0)), "Temporada no válida", "")), IF(OR(O1012="", O1012=""), "[Aviso] Ciclo de vida no capturado ()", IF(ISNA(MATCH(O1012, Criterios!$D$123:$D$124, 0)), "Ciclo de vida no válido", ""))))</f>
        <v/>
      </c>
      <c r="AC1012" s="56" t="n"/>
      <c r="AD1012" s="51" t="n">
        <v>0</v>
      </c>
      <c r="AE1012" s="156" t="n"/>
      <c r="AF1012" s="51" t="n">
        <v>0</v>
      </c>
      <c r="AG1012" s="156" t="inlineStr">
        <is>
          <t>Catálogo existente</t>
        </is>
      </c>
      <c r="AH1012" s="156" t="inlineStr">
        <is>
          <t>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2" s="156" t="inlineStr">
        <is>
          <t>No</t>
        </is>
      </c>
      <c r="AJ1012" s="156" t="n"/>
      <c r="AK1012" s="155" t="inlineStr">
        <is>
          <t>Criterios: J [R]; G1522_Extraccion_Articulos_NetSuite_2026-09-30.xlsx: fila 58555 [S] | Shopify Stetson: producto 15051551900011 / variante 53350590611819</t>
        </is>
      </c>
      <c r="AL1012" s="58" t="n">
        <v>1454.741379</v>
      </c>
      <c r="AM1012" s="58" t="n">
        <v>3232.758621</v>
      </c>
      <c r="AN1012" s="155" t="inlineStr">
        <is>
          <t>Shopify Stetson México</t>
        </is>
      </c>
      <c r="AO1012" s="59" t="n">
        <v>1</v>
      </c>
      <c r="AP1012" s="59" t="n"/>
      <c r="AQ1012" s="59" t="n"/>
      <c r="AR1012" s="155" t="inlineStr">
        <is>
          <t>Shopify Stetson México › Stetson Americas: 1</t>
        </is>
      </c>
    </row>
    <row r="1013">
      <c r="A1013" s="50" t="inlineStr">
        <is>
          <t>196070617580</t>
        </is>
      </c>
      <c r="B1013" s="51" t="inlineStr">
        <is>
          <t>110741</t>
        </is>
      </c>
      <c r="C1013" s="156" t="inlineStr">
        <is>
          <t>Multimarca</t>
        </is>
      </c>
      <c r="D1013" s="156" t="inlineStr">
        <is>
          <t>11-057-0565-0557</t>
        </is>
      </c>
      <c r="E1013" s="156" t="inlineStr">
        <is>
          <t>11-057-0565-0557-M</t>
        </is>
      </c>
      <c r="F1013" s="156" t="inlineStr">
        <is>
          <t>M</t>
        </is>
      </c>
      <c r="G1013" s="156" t="inlineStr">
        <is>
          <t>M</t>
        </is>
      </c>
      <c r="H1013" s="156" t="inlineStr">
        <is>
          <t>Stetson</t>
        </is>
      </c>
      <c r="I1013" s="156" t="inlineStr">
        <is>
          <t>Vestido Rayon Twill Crema Manga 3/4</t>
        </is>
      </c>
      <c r="J1013" s="156" t="inlineStr">
        <is>
          <t>Ropa</t>
        </is>
      </c>
      <c r="K1013" s="156" t="inlineStr">
        <is>
          <t>Vestidos</t>
        </is>
      </c>
      <c r="L1013" s="156" t="inlineStr">
        <is>
          <t>Mujer</t>
        </is>
      </c>
      <c r="M1013" s="156" t="inlineStr">
        <is>
          <t>Stetson</t>
        </is>
      </c>
      <c r="N1013" s="156" t="inlineStr">
        <is>
          <t>SS26</t>
        </is>
      </c>
      <c r="O1013" s="156" t="inlineStr">
        <is>
          <t>Seasonal</t>
        </is>
      </c>
      <c r="P1013" s="156" t="inlineStr">
        <is>
          <t>Blanco</t>
        </is>
      </c>
      <c r="Q1013" s="156" t="inlineStr">
        <is>
          <t>Regular</t>
        </is>
      </c>
      <c r="R1013" s="156" t="n"/>
      <c r="S1013" s="156" t="inlineStr">
        <is>
          <t>100% Rayón</t>
        </is>
      </c>
      <c r="T1013" s="156" t="inlineStr">
        <is>
          <t>Vestido Rayon Twill Crema Manga 3/4 Regular</t>
        </is>
      </c>
      <c r="U1013" s="156" t="n"/>
      <c r="V1013" s="156" t="inlineStr">
        <is>
          <t>PZS</t>
        </is>
      </c>
      <c r="W1013" s="51" t="inlineStr">
        <is>
          <t>53101504</t>
        </is>
      </c>
      <c r="X1013" s="156" t="n"/>
      <c r="Y1013" s="54" t="n">
        <v>1454.741379</v>
      </c>
      <c r="Z1013" s="54" t="n">
        <v>3232.758621</v>
      </c>
      <c r="AA1013" s="55">
        <f>IF(AND(A1013="", B1013="", E1013=""), "", IF(AB1013="", "Válido", IF((LEN(AB1013)-LEN(SUBSTITUTE(AB1013,"; ","")))/2+1&gt;(LEN(AB1013)-LEN(SUBSTITUTE(AB1013,"[Aviso]","")))/7, "Con Incidencias", "Válido")))</f>
        <v/>
      </c>
      <c r="AB1013" s="56">
        <f>IF(AND(A1013="", B1013="", E1013=""), "", TEXTJOIN("; ", TRUE, IF(OR(TRIM(A1013&amp;"")="", ISNUMBER(SEARCH("FALTA", A1013))), "UPC faltante/inválido", ""), IF(AND(A1013&lt;&gt;"", IFERROR(_xlfn.XMATCH(A1013,$A$2:$A$2509,0,1)&lt;&gt;_xlfn.XMATCH(A1013,$A$2:$A$2509,0,-1),FALSE)), "Código de barras duplicado", ""), IF(AND(E1013&lt;&gt;"", COUNTIF($E$2:$E$2509, E1013)&gt;1), "SKU duplicado", ""), IF(OR(J1013="", J1013=""), "[Aviso] División no capturada ()", IF(ISNA(MATCH(J1013, Criterios!$A$123:$A$126, 0)), "División no válida", "")), IF(OR(K1013="", K1013=""), "[Aviso] Categoría no capturada ()", IF(ISNA(MATCH(K1013, Criterios!$A$81:$A$120, 0)), "Categoría no válida", IF(AND(J1013&lt;&gt;"", J1013&lt;&gt;"", J1013&lt;&gt;VLOOKUP(K1013, Criterios!$A$81:$B$120, 2, FALSE)), "División no coincide con Categoría", ""))), IF(OR(L1013="", L1013=""), "[Aviso] Género no capturado ()", IF(ISNA(MATCH(L1013, Criterios!$B$123:$B$127, 0)), "Género no válido", "")), IF(OR(N1013="", N1013=""), "[Aviso] Temporada no capturada ()", IF(ISNA(MATCH(N1013, Criterios!$C$123:$C$128, 0)), "Temporada no válida", "")), IF(OR(O1013="", O1013=""), "[Aviso] Ciclo de vida no capturado ()", IF(ISNA(MATCH(O1013, Criterios!$D$123:$D$124, 0)), "Ciclo de vida no válido", ""))))</f>
        <v/>
      </c>
      <c r="AC1013" s="56" t="n"/>
      <c r="AD1013" s="51" t="n">
        <v>-1</v>
      </c>
      <c r="AE1013" s="156" t="n"/>
      <c r="AF1013" s="51" t="n">
        <v>0</v>
      </c>
      <c r="AG1013" s="156" t="inlineStr">
        <is>
          <t>Catálogo existente</t>
        </is>
      </c>
      <c r="AH101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3" s="156" t="inlineStr">
        <is>
          <t>Sí</t>
        </is>
      </c>
      <c r="AJ1013" s="156" t="inlineStr">
        <is>
          <t>STETSON AMERICAS (-1)</t>
        </is>
      </c>
      <c r="AK1013" s="155" t="inlineStr">
        <is>
          <t>Criterios: J [R]; G1522_Extraccion_Articulos_NetSuite_2026-09-30.xlsx: fila 58556 [S] | Shopify Stetson: producto 15051551900011 / variante 53350590579051</t>
        </is>
      </c>
      <c r="AL1013" s="58" t="n">
        <v>1454.741379</v>
      </c>
      <c r="AM1013" s="58" t="n">
        <v>3232.758621</v>
      </c>
      <c r="AN1013" s="155" t="inlineStr">
        <is>
          <t>Shopify Stetson México</t>
        </is>
      </c>
      <c r="AO1013" s="59" t="n">
        <v>1</v>
      </c>
      <c r="AP1013" s="59" t="n"/>
      <c r="AQ1013" s="59" t="n"/>
      <c r="AR1013" s="155" t="inlineStr">
        <is>
          <t>Shopify Stetson México › Stetson Americas: 1</t>
        </is>
      </c>
    </row>
    <row r="1014">
      <c r="A1014" s="50" t="inlineStr">
        <is>
          <t>196070617597</t>
        </is>
      </c>
      <c r="B1014" s="51" t="inlineStr">
        <is>
          <t>110742</t>
        </is>
      </c>
      <c r="C1014" s="156" t="inlineStr">
        <is>
          <t>Multimarca</t>
        </is>
      </c>
      <c r="D1014" s="156" t="inlineStr">
        <is>
          <t>11-057-0565-0557</t>
        </is>
      </c>
      <c r="E1014" s="156" t="inlineStr">
        <is>
          <t>11-057-0565-0557-S</t>
        </is>
      </c>
      <c r="F1014" s="156" t="inlineStr">
        <is>
          <t>S</t>
        </is>
      </c>
      <c r="G1014" s="156" t="inlineStr">
        <is>
          <t>S</t>
        </is>
      </c>
      <c r="H1014" s="156" t="inlineStr">
        <is>
          <t>Stetson</t>
        </is>
      </c>
      <c r="I1014" s="156" t="inlineStr">
        <is>
          <t>Vestido Rayon Twill Crema Manga 3/4</t>
        </is>
      </c>
      <c r="J1014" s="156" t="inlineStr">
        <is>
          <t>Ropa</t>
        </is>
      </c>
      <c r="K1014" s="156" t="inlineStr">
        <is>
          <t>Vestidos</t>
        </is>
      </c>
      <c r="L1014" s="156" t="inlineStr">
        <is>
          <t>Mujer</t>
        </is>
      </c>
      <c r="M1014" s="156" t="inlineStr">
        <is>
          <t>Stetson</t>
        </is>
      </c>
      <c r="N1014" s="156" t="inlineStr">
        <is>
          <t>SS26</t>
        </is>
      </c>
      <c r="O1014" s="156" t="inlineStr">
        <is>
          <t>Seasonal</t>
        </is>
      </c>
      <c r="P1014" s="156" t="inlineStr">
        <is>
          <t>Blanco</t>
        </is>
      </c>
      <c r="Q1014" s="156" t="inlineStr">
        <is>
          <t>Regular</t>
        </is>
      </c>
      <c r="R1014" s="156" t="n"/>
      <c r="S1014" s="156" t="inlineStr">
        <is>
          <t>100% Rayón</t>
        </is>
      </c>
      <c r="T1014" s="156" t="inlineStr">
        <is>
          <t>Vestido Rayon Twill Crema Manga 3/4 Regular</t>
        </is>
      </c>
      <c r="U1014" s="156" t="n"/>
      <c r="V1014" s="156" t="inlineStr">
        <is>
          <t>PZS</t>
        </is>
      </c>
      <c r="W1014" s="51" t="inlineStr">
        <is>
          <t>53101504</t>
        </is>
      </c>
      <c r="X1014" s="156" t="n"/>
      <c r="Y1014" s="54" t="n">
        <v>1454.741379</v>
      </c>
      <c r="Z1014" s="54" t="n">
        <v>3232.758621</v>
      </c>
      <c r="AA1014" s="55">
        <f>IF(AND(A1014="", B1014="", E1014=""), "", IF(AB1014="", "Válido", IF((LEN(AB1014)-LEN(SUBSTITUTE(AB1014,"; ","")))/2+1&gt;(LEN(AB1014)-LEN(SUBSTITUTE(AB1014,"[Aviso]","")))/7, "Con Incidencias", "Válido")))</f>
        <v/>
      </c>
      <c r="AB1014" s="56">
        <f>IF(AND(A1014="", B1014="", E1014=""), "", TEXTJOIN("; ", TRUE, IF(OR(TRIM(A1014&amp;"")="", ISNUMBER(SEARCH("FALTA", A1014))), "UPC faltante/inválido", ""), IF(AND(A1014&lt;&gt;"", IFERROR(_xlfn.XMATCH(A1014,$A$2:$A$2509,0,1)&lt;&gt;_xlfn.XMATCH(A1014,$A$2:$A$2509,0,-1),FALSE)), "Código de barras duplicado", ""), IF(AND(E1014&lt;&gt;"", COUNTIF($E$2:$E$2509, E1014)&gt;1), "SKU duplicado", ""), IF(OR(J1014="", J1014=""), "[Aviso] División no capturada ()", IF(ISNA(MATCH(J1014, Criterios!$A$123:$A$126, 0)), "División no válida", "")), IF(OR(K1014="", K1014=""), "[Aviso] Categoría no capturada ()", IF(ISNA(MATCH(K1014, Criterios!$A$81:$A$120, 0)), "Categoría no válida", IF(AND(J1014&lt;&gt;"", J1014&lt;&gt;"", J1014&lt;&gt;VLOOKUP(K1014, Criterios!$A$81:$B$120, 2, FALSE)), "División no coincide con Categoría", ""))), IF(OR(L1014="", L1014=""), "[Aviso] Género no capturado ()", IF(ISNA(MATCH(L1014, Criterios!$B$123:$B$127, 0)), "Género no válido", "")), IF(OR(N1014="", N1014=""), "[Aviso] Temporada no capturada ()", IF(ISNA(MATCH(N1014, Criterios!$C$123:$C$128, 0)), "Temporada no válida", "")), IF(OR(O1014="", O1014=""), "[Aviso] Ciclo de vida no capturado ()", IF(ISNA(MATCH(O1014, Criterios!$D$123:$D$124, 0)), "Ciclo de vida no válido", ""))))</f>
        <v/>
      </c>
      <c r="AC1014" s="56" t="n"/>
      <c r="AD1014" s="51" t="n">
        <v>-2</v>
      </c>
      <c r="AE1014" s="156" t="n"/>
      <c r="AF1014" s="51" t="n">
        <v>0</v>
      </c>
      <c r="AG1014" s="156" t="inlineStr">
        <is>
          <t>Catálogo existente</t>
        </is>
      </c>
      <c r="AH101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4" s="156" t="inlineStr">
        <is>
          <t>Sí</t>
        </is>
      </c>
      <c r="AJ1014" s="156" t="inlineStr">
        <is>
          <t>STETSON AMERICAS (-2)</t>
        </is>
      </c>
      <c r="AK1014" s="155" t="inlineStr">
        <is>
          <t>Criterios: J [R]; G1522_Extraccion_Articulos_NetSuite_2026-09-30.xlsx: fila 58557 [S] | Shopify Stetson: producto 15051551900011 / variante 53350590546283</t>
        </is>
      </c>
      <c r="AL1014" s="58" t="n">
        <v>1454.741379</v>
      </c>
      <c r="AM1014" s="58" t="n">
        <v>3232.758621</v>
      </c>
      <c r="AN1014" s="155" t="inlineStr">
        <is>
          <t>Shopify Stetson México</t>
        </is>
      </c>
      <c r="AO1014" s="59" t="n">
        <v>0</v>
      </c>
      <c r="AP1014" s="59" t="n"/>
      <c r="AQ1014" s="59" t="n"/>
      <c r="AR1014" s="155" t="n"/>
    </row>
    <row r="1015">
      <c r="A1015" s="50" t="inlineStr">
        <is>
          <t>196070617603</t>
        </is>
      </c>
      <c r="B1015" s="51" t="inlineStr">
        <is>
          <t>110743</t>
        </is>
      </c>
      <c r="C1015" s="156" t="inlineStr">
        <is>
          <t>Multimarca</t>
        </is>
      </c>
      <c r="D1015" s="156" t="inlineStr">
        <is>
          <t>11-057-0565-0557</t>
        </is>
      </c>
      <c r="E1015" s="156" t="inlineStr">
        <is>
          <t>11-057-0565-0557-XL</t>
        </is>
      </c>
      <c r="F1015" s="156" t="inlineStr">
        <is>
          <t>XL</t>
        </is>
      </c>
      <c r="G1015" s="156" t="inlineStr">
        <is>
          <t>XL</t>
        </is>
      </c>
      <c r="H1015" s="156" t="inlineStr">
        <is>
          <t>Stetson</t>
        </is>
      </c>
      <c r="I1015" s="156" t="inlineStr">
        <is>
          <t>Vestido Rayon Twill Crema Manga 3/4</t>
        </is>
      </c>
      <c r="J1015" s="156" t="inlineStr">
        <is>
          <t>Ropa</t>
        </is>
      </c>
      <c r="K1015" s="156" t="inlineStr">
        <is>
          <t>Vestidos</t>
        </is>
      </c>
      <c r="L1015" s="156" t="inlineStr">
        <is>
          <t>Mujer</t>
        </is>
      </c>
      <c r="M1015" s="156" t="inlineStr">
        <is>
          <t>Stetson</t>
        </is>
      </c>
      <c r="N1015" s="156" t="inlineStr">
        <is>
          <t>SS26</t>
        </is>
      </c>
      <c r="O1015" s="156" t="inlineStr">
        <is>
          <t>Seasonal</t>
        </is>
      </c>
      <c r="P1015" s="156" t="inlineStr">
        <is>
          <t>Blanco</t>
        </is>
      </c>
      <c r="Q1015" s="156" t="inlineStr">
        <is>
          <t>Regular</t>
        </is>
      </c>
      <c r="R1015" s="156" t="n"/>
      <c r="S1015" s="156" t="inlineStr">
        <is>
          <t>100% Rayón</t>
        </is>
      </c>
      <c r="T1015" s="156" t="inlineStr">
        <is>
          <t>Vestido Rayon Twill Crema Manga 3/4 Regular</t>
        </is>
      </c>
      <c r="U1015" s="156" t="n"/>
      <c r="V1015" s="156" t="inlineStr">
        <is>
          <t>PZS</t>
        </is>
      </c>
      <c r="W1015" s="51" t="inlineStr">
        <is>
          <t>53101504</t>
        </is>
      </c>
      <c r="X1015" s="156" t="n"/>
      <c r="Y1015" s="54" t="n">
        <v>1454.741379</v>
      </c>
      <c r="Z1015" s="54" t="n">
        <v>3232.758621</v>
      </c>
      <c r="AA1015" s="55">
        <f>IF(AND(A1015="", B1015="", E1015=""), "", IF(AB1015="", "Válido", IF((LEN(AB1015)-LEN(SUBSTITUTE(AB1015,"; ","")))/2+1&gt;(LEN(AB1015)-LEN(SUBSTITUTE(AB1015,"[Aviso]","")))/7, "Con Incidencias", "Válido")))</f>
        <v/>
      </c>
      <c r="AB1015" s="56">
        <f>IF(AND(A1015="", B1015="", E1015=""), "", TEXTJOIN("; ", TRUE, IF(OR(TRIM(A1015&amp;"")="", ISNUMBER(SEARCH("FALTA", A1015))), "UPC faltante/inválido", ""), IF(AND(A1015&lt;&gt;"", IFERROR(_xlfn.XMATCH(A1015,$A$2:$A$2509,0,1)&lt;&gt;_xlfn.XMATCH(A1015,$A$2:$A$2509,0,-1),FALSE)), "Código de barras duplicado", ""), IF(AND(E1015&lt;&gt;"", COUNTIF($E$2:$E$2509, E1015)&gt;1), "SKU duplicado", ""), IF(OR(J1015="", J1015=""), "[Aviso] División no capturada ()", IF(ISNA(MATCH(J1015, Criterios!$A$123:$A$126, 0)), "División no válida", "")), IF(OR(K1015="", K1015=""), "[Aviso] Categoría no capturada ()", IF(ISNA(MATCH(K1015, Criterios!$A$81:$A$120, 0)), "Categoría no válida", IF(AND(J1015&lt;&gt;"", J1015&lt;&gt;"", J1015&lt;&gt;VLOOKUP(K1015, Criterios!$A$81:$B$120, 2, FALSE)), "División no coincide con Categoría", ""))), IF(OR(L1015="", L1015=""), "[Aviso] Género no capturado ()", IF(ISNA(MATCH(L1015, Criterios!$B$123:$B$127, 0)), "Género no válido", "")), IF(OR(N1015="", N1015=""), "[Aviso] Temporada no capturada ()", IF(ISNA(MATCH(N1015, Criterios!$C$123:$C$128, 0)), "Temporada no válida", "")), IF(OR(O1015="", O1015=""), "[Aviso] Ciclo de vida no capturado ()", IF(ISNA(MATCH(O1015, Criterios!$D$123:$D$124, 0)), "Ciclo de vida no válido", ""))))</f>
        <v/>
      </c>
      <c r="AC1015" s="56" t="n"/>
      <c r="AD1015" s="51" t="n">
        <v>0</v>
      </c>
      <c r="AE1015" s="156" t="n"/>
      <c r="AF1015" s="51" t="n">
        <v>0</v>
      </c>
      <c r="AG1015" s="156" t="inlineStr">
        <is>
          <t>Catálogo existente</t>
        </is>
      </c>
      <c r="AH1015" s="156" t="inlineStr">
        <is>
          <t>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5" s="156" t="inlineStr">
        <is>
          <t>No</t>
        </is>
      </c>
      <c r="AJ1015" s="156" t="n"/>
      <c r="AK1015" s="155" t="inlineStr">
        <is>
          <t>Criterios: J [R]; G1522_Extraccion_Articulos_NetSuite_2026-09-30.xlsx: fila 58558 [S] | Shopify Stetson: producto 15051551900011 / variante 53350590644587</t>
        </is>
      </c>
      <c r="AL1015" s="58" t="n">
        <v>1454.741379</v>
      </c>
      <c r="AM1015" s="58" t="n">
        <v>3232.758621</v>
      </c>
      <c r="AN1015" s="155" t="inlineStr">
        <is>
          <t>Shopify Stetson México</t>
        </is>
      </c>
      <c r="AO1015" s="59" t="n">
        <v>1</v>
      </c>
      <c r="AP1015" s="59" t="n"/>
      <c r="AQ1015" s="59" t="n"/>
      <c r="AR1015" s="155" t="inlineStr">
        <is>
          <t>Shopify Stetson México › Stetson Americas: 1</t>
        </is>
      </c>
    </row>
    <row r="1016">
      <c r="A1016" s="50" t="inlineStr">
        <is>
          <t>196070617610</t>
        </is>
      </c>
      <c r="B1016" s="51" t="inlineStr">
        <is>
          <t>110744</t>
        </is>
      </c>
      <c r="C1016" s="156" t="inlineStr">
        <is>
          <t>Multimarca</t>
        </is>
      </c>
      <c r="D1016" s="156" t="inlineStr">
        <is>
          <t>11-057-0565-0557</t>
        </is>
      </c>
      <c r="E1016" s="156" t="inlineStr">
        <is>
          <t>11-057-0565-0557-XS</t>
        </is>
      </c>
      <c r="F1016" s="156" t="inlineStr">
        <is>
          <t>XS</t>
        </is>
      </c>
      <c r="G1016" s="156" t="inlineStr">
        <is>
          <t>XS</t>
        </is>
      </c>
      <c r="H1016" s="156" t="inlineStr">
        <is>
          <t>Stetson</t>
        </is>
      </c>
      <c r="I1016" s="156" t="inlineStr">
        <is>
          <t>Vestido Rayon Twill Crema Manga 3/4</t>
        </is>
      </c>
      <c r="J1016" s="156" t="inlineStr">
        <is>
          <t>Ropa</t>
        </is>
      </c>
      <c r="K1016" s="156" t="inlineStr">
        <is>
          <t>Vestidos</t>
        </is>
      </c>
      <c r="L1016" s="156" t="inlineStr">
        <is>
          <t>Mujer</t>
        </is>
      </c>
      <c r="M1016" s="156" t="inlineStr">
        <is>
          <t>Stetson</t>
        </is>
      </c>
      <c r="N1016" s="156" t="inlineStr">
        <is>
          <t>SS26</t>
        </is>
      </c>
      <c r="O1016" s="156" t="inlineStr">
        <is>
          <t>Seasonal</t>
        </is>
      </c>
      <c r="P1016" s="156" t="inlineStr">
        <is>
          <t>Blanco</t>
        </is>
      </c>
      <c r="Q1016" s="156" t="inlineStr">
        <is>
          <t>Regular</t>
        </is>
      </c>
      <c r="R1016" s="156" t="n"/>
      <c r="S1016" s="156" t="inlineStr">
        <is>
          <t>100% Rayón</t>
        </is>
      </c>
      <c r="T1016" s="156" t="inlineStr">
        <is>
          <t>Vestido Rayon Twill Crema Manga 3/4 Regular</t>
        </is>
      </c>
      <c r="U1016" s="156" t="n"/>
      <c r="V1016" s="156" t="inlineStr">
        <is>
          <t>PZS</t>
        </is>
      </c>
      <c r="W1016" s="51" t="inlineStr">
        <is>
          <t>53101504</t>
        </is>
      </c>
      <c r="X1016" s="156" t="n"/>
      <c r="Y1016" s="54" t="n">
        <v>1454.741379</v>
      </c>
      <c r="Z1016" s="54" t="n">
        <v>3232.758621</v>
      </c>
      <c r="AA1016" s="55">
        <f>IF(AND(A1016="", B1016="", E1016=""), "", IF(AB1016="", "Válido", IF((LEN(AB1016)-LEN(SUBSTITUTE(AB1016,"; ","")))/2+1&gt;(LEN(AB1016)-LEN(SUBSTITUTE(AB1016,"[Aviso]","")))/7, "Con Incidencias", "Válido")))</f>
        <v/>
      </c>
      <c r="AB1016" s="56">
        <f>IF(AND(A1016="", B1016="", E1016=""), "", TEXTJOIN("; ", TRUE, IF(OR(TRIM(A1016&amp;"")="", ISNUMBER(SEARCH("FALTA", A1016))), "UPC faltante/inválido", ""), IF(AND(A1016&lt;&gt;"", IFERROR(_xlfn.XMATCH(A1016,$A$2:$A$2509,0,1)&lt;&gt;_xlfn.XMATCH(A1016,$A$2:$A$2509,0,-1),FALSE)), "Código de barras duplicado", ""), IF(AND(E1016&lt;&gt;"", COUNTIF($E$2:$E$2509, E1016)&gt;1), "SKU duplicado", ""), IF(OR(J1016="", J1016=""), "[Aviso] División no capturada ()", IF(ISNA(MATCH(J1016, Criterios!$A$123:$A$126, 0)), "División no válida", "")), IF(OR(K1016="", K1016=""), "[Aviso] Categoría no capturada ()", IF(ISNA(MATCH(K1016, Criterios!$A$81:$A$120, 0)), "Categoría no válida", IF(AND(J1016&lt;&gt;"", J1016&lt;&gt;"", J1016&lt;&gt;VLOOKUP(K1016, Criterios!$A$81:$B$120, 2, FALSE)), "División no coincide con Categoría", ""))), IF(OR(L1016="", L1016=""), "[Aviso] Género no capturado ()", IF(ISNA(MATCH(L1016, Criterios!$B$123:$B$127, 0)), "Género no válido", "")), IF(OR(N1016="", N1016=""), "[Aviso] Temporada no capturada ()", IF(ISNA(MATCH(N1016, Criterios!$C$123:$C$128, 0)), "Temporada no válida", "")), IF(OR(O1016="", O1016=""), "[Aviso] Ciclo de vida no capturado ()", IF(ISNA(MATCH(O1016, Criterios!$D$123:$D$124, 0)), "Ciclo de vida no válido", ""))))</f>
        <v/>
      </c>
      <c r="AC1016" s="56" t="n"/>
      <c r="AD1016" s="51" t="n">
        <v>-1</v>
      </c>
      <c r="AE1016" s="156" t="n"/>
      <c r="AF1016" s="51" t="n">
        <v>0</v>
      </c>
      <c r="AG1016" s="156" t="inlineStr">
        <is>
          <t>Catálogo existente</t>
        </is>
      </c>
      <c r="AH101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6" s="156" t="inlineStr">
        <is>
          <t>Sí</t>
        </is>
      </c>
      <c r="AJ1016" s="156" t="inlineStr">
        <is>
          <t>STETSON AMERICAS (-1)</t>
        </is>
      </c>
      <c r="AK1016" s="155" t="inlineStr">
        <is>
          <t>Criterios: J [R]; G1522_Extraccion_Articulos_NetSuite_2026-09-30.xlsx: fila 58559 [S] | Shopify Stetson: producto 15051551900011 / variante 53350590513515</t>
        </is>
      </c>
      <c r="AL1016" s="58" t="n">
        <v>1454.741379</v>
      </c>
      <c r="AM1016" s="58" t="n">
        <v>3232.758621</v>
      </c>
      <c r="AN1016" s="155" t="inlineStr">
        <is>
          <t>Shopify Stetson México</t>
        </is>
      </c>
      <c r="AO1016" s="59" t="n">
        <v>1</v>
      </c>
      <c r="AP1016" s="59" t="n"/>
      <c r="AQ1016" s="59" t="n"/>
      <c r="AR1016" s="155" t="inlineStr">
        <is>
          <t>Shopify Stetson México › Stetson Americas: 1</t>
        </is>
      </c>
    </row>
    <row r="1017">
      <c r="A1017" s="50" t="inlineStr">
        <is>
          <t>196070636741</t>
        </is>
      </c>
      <c r="B1017" s="51" t="inlineStr">
        <is>
          <t>110667</t>
        </is>
      </c>
      <c r="C1017" s="156" t="inlineStr">
        <is>
          <t>Multimarca</t>
        </is>
      </c>
      <c r="D1017" s="156" t="inlineStr">
        <is>
          <t>11-039-0562-0831</t>
        </is>
      </c>
      <c r="E1017" s="156" t="inlineStr">
        <is>
          <t>11-039-0562-0831-L</t>
        </is>
      </c>
      <c r="F1017" s="156" t="inlineStr">
        <is>
          <t>L</t>
        </is>
      </c>
      <c r="G1017" s="156" t="inlineStr">
        <is>
          <t>L</t>
        </is>
      </c>
      <c r="H1017" s="156" t="inlineStr">
        <is>
          <t>Stetson</t>
        </is>
      </c>
      <c r="I1017" s="156" t="inlineStr">
        <is>
          <t>Playera Stetson Aullando a la Luna Screen Print</t>
        </is>
      </c>
      <c r="J1017" s="156" t="inlineStr">
        <is>
          <t>Ropa</t>
        </is>
      </c>
      <c r="K1017" s="156" t="inlineStr">
        <is>
          <t>Playeras</t>
        </is>
      </c>
      <c r="L1017" s="156" t="inlineStr">
        <is>
          <t>Mujer</t>
        </is>
      </c>
      <c r="M1017" s="156" t="inlineStr">
        <is>
          <t>Stetson</t>
        </is>
      </c>
      <c r="N1017" s="156" t="inlineStr">
        <is>
          <t>SS26</t>
        </is>
      </c>
      <c r="O1017" s="156" t="inlineStr">
        <is>
          <t>Seasonal</t>
        </is>
      </c>
      <c r="P1017" s="156" t="inlineStr">
        <is>
          <t>Blanco</t>
        </is>
      </c>
      <c r="Q1017" s="156" t="inlineStr">
        <is>
          <t>Regular</t>
        </is>
      </c>
      <c r="R1017" s="156" t="n"/>
      <c r="S1017" s="156" t="inlineStr">
        <is>
          <t>100% Algodón</t>
        </is>
      </c>
      <c r="T1017" s="156" t="inlineStr">
        <is>
          <t>Playera Stetson Aullando a la Luna Screen Print Regular</t>
        </is>
      </c>
      <c r="U1017" s="156" t="n"/>
      <c r="V1017" s="156" t="inlineStr">
        <is>
          <t>PZS</t>
        </is>
      </c>
      <c r="W1017" s="51" t="inlineStr">
        <is>
          <t>53101604</t>
        </is>
      </c>
      <c r="X1017" s="156" t="n"/>
      <c r="Y1017" s="54" t="n">
        <v>387.9310345</v>
      </c>
      <c r="Z1017" s="54" t="n">
        <v>862.0689655</v>
      </c>
      <c r="AA1017" s="55">
        <f>IF(AND(A1017="", B1017="", E1017=""), "", IF(AB1017="", "Válido", IF((LEN(AB1017)-LEN(SUBSTITUTE(AB1017,"; ","")))/2+1&gt;(LEN(AB1017)-LEN(SUBSTITUTE(AB1017,"[Aviso]","")))/7, "Con Incidencias", "Válido")))</f>
        <v/>
      </c>
      <c r="AB1017" s="56">
        <f>IF(AND(A1017="", B1017="", E1017=""), "", TEXTJOIN("; ", TRUE, IF(OR(TRIM(A1017&amp;"")="", ISNUMBER(SEARCH("FALTA", A1017))), "UPC faltante/inválido", ""), IF(AND(A1017&lt;&gt;"", IFERROR(_xlfn.XMATCH(A1017,$A$2:$A$2509,0,1)&lt;&gt;_xlfn.XMATCH(A1017,$A$2:$A$2509,0,-1),FALSE)), "Código de barras duplicado", ""), IF(AND(E1017&lt;&gt;"", COUNTIF($E$2:$E$2509, E1017)&gt;1), "SKU duplicado", ""), IF(OR(J1017="", J1017=""), "[Aviso] División no capturada ()", IF(ISNA(MATCH(J1017, Criterios!$A$123:$A$126, 0)), "División no válida", "")), IF(OR(K1017="", K1017=""), "[Aviso] Categoría no capturada ()", IF(ISNA(MATCH(K1017, Criterios!$A$81:$A$120, 0)), "Categoría no válida", IF(AND(J1017&lt;&gt;"", J1017&lt;&gt;"", J1017&lt;&gt;VLOOKUP(K1017, Criterios!$A$81:$B$120, 2, FALSE)), "División no coincide con Categoría", ""))), IF(OR(L1017="", L1017=""), "[Aviso] Género no capturado ()", IF(ISNA(MATCH(L1017, Criterios!$B$123:$B$127, 0)), "Género no válido", "")), IF(OR(N1017="", N1017=""), "[Aviso] Temporada no capturada ()", IF(ISNA(MATCH(N1017, Criterios!$C$123:$C$128, 0)), "Temporada no válida", "")), IF(OR(O1017="", O1017=""), "[Aviso] Ciclo de vida no capturado ()", IF(ISNA(MATCH(O1017, Criterios!$D$123:$D$124, 0)), "Ciclo de vida no válido", ""))))</f>
        <v/>
      </c>
      <c r="AC1017" s="56" t="n"/>
      <c r="AD1017" s="51" t="n">
        <v>0</v>
      </c>
      <c r="AE1017" s="156" t="n"/>
      <c r="AF1017" s="51" t="n">
        <v>0</v>
      </c>
      <c r="AG1017" s="156" t="inlineStr">
        <is>
          <t>Catálogo existente</t>
        </is>
      </c>
      <c r="AH1017" s="156" t="inlineStr">
        <is>
          <t>Revisión 29/09/2026: Campos sin respaldo: U, X; Auditoría NetSuite 30/09/2026: llenado desde NetSuite [S] | 01/10/2026: complementado desde Shopify Stetson México (match por código de barras): WB Silueta</t>
        </is>
      </c>
      <c r="AI1017" s="156" t="inlineStr">
        <is>
          <t>No</t>
        </is>
      </c>
      <c r="AJ1017" s="156" t="n"/>
      <c r="AK1017" s="155" t="inlineStr">
        <is>
          <t>Criterios: J [R]; G1522_Extraccion_Articulos_NetSuite_2026-09-30.xlsx: fila 58482 [S] | Shopify Stetson: producto 15051553702251 / variante 53350587367787</t>
        </is>
      </c>
      <c r="AL1017" s="58" t="n">
        <v>387.9310345</v>
      </c>
      <c r="AM1017" s="58" t="n">
        <v>862.0689655</v>
      </c>
      <c r="AN1017" s="155" t="inlineStr">
        <is>
          <t>Shopify Stetson México</t>
        </is>
      </c>
      <c r="AO1017" s="59" t="n">
        <v>2</v>
      </c>
      <c r="AP1017" s="59" t="n"/>
      <c r="AQ1017" s="59" t="n"/>
      <c r="AR1017" s="155" t="inlineStr">
        <is>
          <t>Shopify Stetson México › Stetson Americas: 2</t>
        </is>
      </c>
    </row>
    <row r="1018">
      <c r="A1018" s="50" t="inlineStr">
        <is>
          <t>196070636758</t>
        </is>
      </c>
      <c r="B1018" s="51" t="inlineStr">
        <is>
          <t>110668</t>
        </is>
      </c>
      <c r="C1018" s="156" t="inlineStr">
        <is>
          <t>Multimarca</t>
        </is>
      </c>
      <c r="D1018" s="156" t="inlineStr">
        <is>
          <t>11-039-0562-0831</t>
        </is>
      </c>
      <c r="E1018" s="156" t="inlineStr">
        <is>
          <t>11-039-0562-0831-M</t>
        </is>
      </c>
      <c r="F1018" s="156" t="inlineStr">
        <is>
          <t>M</t>
        </is>
      </c>
      <c r="G1018" s="156" t="inlineStr">
        <is>
          <t>M</t>
        </is>
      </c>
      <c r="H1018" s="156" t="inlineStr">
        <is>
          <t>Stetson</t>
        </is>
      </c>
      <c r="I1018" s="156" t="inlineStr">
        <is>
          <t>Playera Stetson Aullando a la Luna Screen Print</t>
        </is>
      </c>
      <c r="J1018" s="156" t="inlineStr">
        <is>
          <t>Ropa</t>
        </is>
      </c>
      <c r="K1018" s="156" t="inlineStr">
        <is>
          <t>Playeras</t>
        </is>
      </c>
      <c r="L1018" s="156" t="inlineStr">
        <is>
          <t>Mujer</t>
        </is>
      </c>
      <c r="M1018" s="156" t="inlineStr">
        <is>
          <t>Stetson</t>
        </is>
      </c>
      <c r="N1018" s="156" t="inlineStr">
        <is>
          <t>SS26</t>
        </is>
      </c>
      <c r="O1018" s="156" t="inlineStr">
        <is>
          <t>Seasonal</t>
        </is>
      </c>
      <c r="P1018" s="156" t="inlineStr">
        <is>
          <t>Blanco</t>
        </is>
      </c>
      <c r="Q1018" s="156" t="inlineStr">
        <is>
          <t>Regular</t>
        </is>
      </c>
      <c r="R1018" s="156" t="n"/>
      <c r="S1018" s="156" t="inlineStr">
        <is>
          <t>100% Algodón</t>
        </is>
      </c>
      <c r="T1018" s="156" t="inlineStr">
        <is>
          <t>Playera Stetson Aullando a la Luna Screen Print Regular</t>
        </is>
      </c>
      <c r="U1018" s="156" t="n"/>
      <c r="V1018" s="156" t="inlineStr">
        <is>
          <t>PZS</t>
        </is>
      </c>
      <c r="W1018" s="51" t="inlineStr">
        <is>
          <t>53101604</t>
        </is>
      </c>
      <c r="X1018" s="156" t="n"/>
      <c r="Y1018" s="54" t="n">
        <v>387.9310345</v>
      </c>
      <c r="Z1018" s="54" t="n">
        <v>862.0689655</v>
      </c>
      <c r="AA1018" s="55">
        <f>IF(AND(A1018="", B1018="", E1018=""), "", IF(AB1018="", "Válido", IF((LEN(AB1018)-LEN(SUBSTITUTE(AB1018,"; ","")))/2+1&gt;(LEN(AB1018)-LEN(SUBSTITUTE(AB1018,"[Aviso]","")))/7, "Con Incidencias", "Válido")))</f>
        <v/>
      </c>
      <c r="AB1018" s="56">
        <f>IF(AND(A1018="", B1018="", E1018=""), "", TEXTJOIN("; ", TRUE, IF(OR(TRIM(A1018&amp;"")="", ISNUMBER(SEARCH("FALTA", A1018))), "UPC faltante/inválido", ""), IF(AND(A1018&lt;&gt;"", IFERROR(_xlfn.XMATCH(A1018,$A$2:$A$2509,0,1)&lt;&gt;_xlfn.XMATCH(A1018,$A$2:$A$2509,0,-1),FALSE)), "Código de barras duplicado", ""), IF(AND(E1018&lt;&gt;"", COUNTIF($E$2:$E$2509, E1018)&gt;1), "SKU duplicado", ""), IF(OR(J1018="", J1018=""), "[Aviso] División no capturada ()", IF(ISNA(MATCH(J1018, Criterios!$A$123:$A$126, 0)), "División no válida", "")), IF(OR(K1018="", K1018=""), "[Aviso] Categoría no capturada ()", IF(ISNA(MATCH(K1018, Criterios!$A$81:$A$120, 0)), "Categoría no válida", IF(AND(J1018&lt;&gt;"", J1018&lt;&gt;"", J1018&lt;&gt;VLOOKUP(K1018, Criterios!$A$81:$B$120, 2, FALSE)), "División no coincide con Categoría", ""))), IF(OR(L1018="", L1018=""), "[Aviso] Género no capturado ()", IF(ISNA(MATCH(L1018, Criterios!$B$123:$B$127, 0)), "Género no válido", "")), IF(OR(N1018="", N1018=""), "[Aviso] Temporada no capturada ()", IF(ISNA(MATCH(N1018, Criterios!$C$123:$C$128, 0)), "Temporada no válida", "")), IF(OR(O1018="", O1018=""), "[Aviso] Ciclo de vida no capturado ()", IF(ISNA(MATCH(O1018, Criterios!$D$123:$D$124, 0)), "Ciclo de vida no válido", ""))))</f>
        <v/>
      </c>
      <c r="AC1018" s="56" t="n"/>
      <c r="AD1018" s="51" t="n">
        <v>-2</v>
      </c>
      <c r="AE1018" s="156" t="n"/>
      <c r="AF1018" s="51" t="n">
        <v>0</v>
      </c>
      <c r="AG1018" s="156" t="inlineStr">
        <is>
          <t>Catálogo existente</t>
        </is>
      </c>
      <c r="AH1018" s="156" t="inlineStr">
        <is>
          <t>Stock negativo en sistema: revisar en conteo | Revisión 29/09/2026: Campos sin respaldo: U, X; Auditoría NetSuite 30/09/2026: llenado desde NetSuite [S] | 01/10/2026: complementado desde Shopify Stetson México (match por código de barras): WB Silueta</t>
        </is>
      </c>
      <c r="AI1018" s="156" t="inlineStr">
        <is>
          <t>Sí</t>
        </is>
      </c>
      <c r="AJ1018" s="156" t="inlineStr">
        <is>
          <t>STETSON AMERICAS (-2)</t>
        </is>
      </c>
      <c r="AK1018" s="155" t="inlineStr">
        <is>
          <t>Criterios: J [R]; G1522_Extraccion_Articulos_NetSuite_2026-09-30.xlsx: fila 58483 [S] | Shopify Stetson: producto 15051553702251 / variante 53350587335019</t>
        </is>
      </c>
      <c r="AL1018" s="58" t="n">
        <v>387.9310345</v>
      </c>
      <c r="AM1018" s="58" t="n">
        <v>862.0689655</v>
      </c>
      <c r="AN1018" s="155" t="inlineStr">
        <is>
          <t>Shopify Stetson México</t>
        </is>
      </c>
      <c r="AO1018" s="59" t="n">
        <v>0</v>
      </c>
      <c r="AP1018" s="59" t="n"/>
      <c r="AQ1018" s="59" t="n"/>
      <c r="AR1018" s="155" t="n"/>
    </row>
    <row r="1019">
      <c r="A1019" s="50" t="inlineStr">
        <is>
          <t>196070636765</t>
        </is>
      </c>
      <c r="B1019" s="51" t="inlineStr">
        <is>
          <t>110669</t>
        </is>
      </c>
      <c r="C1019" s="156" t="inlineStr">
        <is>
          <t>Multimarca</t>
        </is>
      </c>
      <c r="D1019" s="156" t="inlineStr">
        <is>
          <t>11-039-0562-0831</t>
        </is>
      </c>
      <c r="E1019" s="156" t="inlineStr">
        <is>
          <t>11-039-0562-0831-S</t>
        </is>
      </c>
      <c r="F1019" s="156" t="inlineStr">
        <is>
          <t>S</t>
        </is>
      </c>
      <c r="G1019" s="156" t="inlineStr">
        <is>
          <t>S</t>
        </is>
      </c>
      <c r="H1019" s="156" t="inlineStr">
        <is>
          <t>Stetson</t>
        </is>
      </c>
      <c r="I1019" s="156" t="inlineStr">
        <is>
          <t>Playera Stetson Aullando a la Luna Screen Print</t>
        </is>
      </c>
      <c r="J1019" s="156" t="inlineStr">
        <is>
          <t>Ropa</t>
        </is>
      </c>
      <c r="K1019" s="156" t="inlineStr">
        <is>
          <t>Playeras</t>
        </is>
      </c>
      <c r="L1019" s="156" t="inlineStr">
        <is>
          <t>Mujer</t>
        </is>
      </c>
      <c r="M1019" s="156" t="inlineStr">
        <is>
          <t>Stetson</t>
        </is>
      </c>
      <c r="N1019" s="156" t="inlineStr">
        <is>
          <t>SS26</t>
        </is>
      </c>
      <c r="O1019" s="156" t="inlineStr">
        <is>
          <t>Seasonal</t>
        </is>
      </c>
      <c r="P1019" s="156" t="inlineStr">
        <is>
          <t>Blanco</t>
        </is>
      </c>
      <c r="Q1019" s="156" t="inlineStr">
        <is>
          <t>Regular</t>
        </is>
      </c>
      <c r="R1019" s="156" t="n"/>
      <c r="S1019" s="156" t="inlineStr">
        <is>
          <t>100% Algodón</t>
        </is>
      </c>
      <c r="T1019" s="156" t="inlineStr">
        <is>
          <t>Playera Stetson Aullando a la Luna Screen Print Regular</t>
        </is>
      </c>
      <c r="U1019" s="156" t="n"/>
      <c r="V1019" s="156" t="inlineStr">
        <is>
          <t>PZS</t>
        </is>
      </c>
      <c r="W1019" s="51" t="inlineStr">
        <is>
          <t>53101604</t>
        </is>
      </c>
      <c r="X1019" s="156" t="n"/>
      <c r="Y1019" s="54" t="n">
        <v>387.9310345</v>
      </c>
      <c r="Z1019" s="54" t="n">
        <v>862.0689655</v>
      </c>
      <c r="AA1019" s="55">
        <f>IF(AND(A1019="", B1019="", E1019=""), "", IF(AB1019="", "Válido", IF((LEN(AB1019)-LEN(SUBSTITUTE(AB1019,"; ","")))/2+1&gt;(LEN(AB1019)-LEN(SUBSTITUTE(AB1019,"[Aviso]","")))/7, "Con Incidencias", "Válido")))</f>
        <v/>
      </c>
      <c r="AB1019" s="56">
        <f>IF(AND(A1019="", B1019="", E1019=""), "", TEXTJOIN("; ", TRUE, IF(OR(TRIM(A1019&amp;"")="", ISNUMBER(SEARCH("FALTA", A1019))), "UPC faltante/inválido", ""), IF(AND(A1019&lt;&gt;"", IFERROR(_xlfn.XMATCH(A1019,$A$2:$A$2509,0,1)&lt;&gt;_xlfn.XMATCH(A1019,$A$2:$A$2509,0,-1),FALSE)), "Código de barras duplicado", ""), IF(AND(E1019&lt;&gt;"", COUNTIF($E$2:$E$2509, E1019)&gt;1), "SKU duplicado", ""), IF(OR(J1019="", J1019=""), "[Aviso] División no capturada ()", IF(ISNA(MATCH(J1019, Criterios!$A$123:$A$126, 0)), "División no válida", "")), IF(OR(K1019="", K1019=""), "[Aviso] Categoría no capturada ()", IF(ISNA(MATCH(K1019, Criterios!$A$81:$A$120, 0)), "Categoría no válida", IF(AND(J1019&lt;&gt;"", J1019&lt;&gt;"", J1019&lt;&gt;VLOOKUP(K1019, Criterios!$A$81:$B$120, 2, FALSE)), "División no coincide con Categoría", ""))), IF(OR(L1019="", L1019=""), "[Aviso] Género no capturado ()", IF(ISNA(MATCH(L1019, Criterios!$B$123:$B$127, 0)), "Género no válido", "")), IF(OR(N1019="", N1019=""), "[Aviso] Temporada no capturada ()", IF(ISNA(MATCH(N1019, Criterios!$C$123:$C$128, 0)), "Temporada no válida", "")), IF(OR(O1019="", O1019=""), "[Aviso] Ciclo de vida no capturado ()", IF(ISNA(MATCH(O1019, Criterios!$D$123:$D$124, 0)), "Ciclo de vida no válido", ""))))</f>
        <v/>
      </c>
      <c r="AC1019" s="56" t="n"/>
      <c r="AD1019" s="51" t="n">
        <v>-1</v>
      </c>
      <c r="AE1019" s="156" t="n"/>
      <c r="AF1019" s="51" t="n">
        <v>0</v>
      </c>
      <c r="AG1019" s="156" t="inlineStr">
        <is>
          <t>Catálogo existente</t>
        </is>
      </c>
      <c r="AH1019" s="156" t="inlineStr">
        <is>
          <t>Stock negativo en sistema: revisar en conteo | Revisión 29/09/2026: Campos sin respaldo: U, X; Auditoría NetSuite 30/09/2026: llenado desde NetSuite [S] | 01/10/2026: complementado desde Shopify Stetson México (match por código de barras): WB Silueta</t>
        </is>
      </c>
      <c r="AI1019" s="156" t="inlineStr">
        <is>
          <t>Sí</t>
        </is>
      </c>
      <c r="AJ1019" s="156" t="inlineStr">
        <is>
          <t>STETSON AMERICAS (-1)</t>
        </is>
      </c>
      <c r="AK1019" s="155" t="inlineStr">
        <is>
          <t>Criterios: J [R]; G1522_Extraccion_Articulos_NetSuite_2026-09-30.xlsx: fila 58484 [S] | Shopify Stetson: producto 15051553702251 / variante 53350587302251</t>
        </is>
      </c>
      <c r="AL1019" s="58" t="n">
        <v>387.9310345</v>
      </c>
      <c r="AM1019" s="58" t="n">
        <v>862.0689655</v>
      </c>
      <c r="AN1019" s="155" t="inlineStr">
        <is>
          <t>Shopify Stetson México</t>
        </is>
      </c>
      <c r="AO1019" s="59" t="n">
        <v>0</v>
      </c>
      <c r="AP1019" s="59" t="n"/>
      <c r="AQ1019" s="59" t="n"/>
      <c r="AR1019" s="155" t="n"/>
    </row>
    <row r="1020">
      <c r="A1020" s="50" t="inlineStr">
        <is>
          <t>196070636772</t>
        </is>
      </c>
      <c r="B1020" s="51" t="inlineStr">
        <is>
          <t>110670</t>
        </is>
      </c>
      <c r="C1020" s="156" t="inlineStr">
        <is>
          <t>Multimarca</t>
        </is>
      </c>
      <c r="D1020" s="156" t="inlineStr">
        <is>
          <t>11-039-0562-0831</t>
        </is>
      </c>
      <c r="E1020" s="156" t="inlineStr">
        <is>
          <t>11-039-0562-0831-XL</t>
        </is>
      </c>
      <c r="F1020" s="156" t="inlineStr">
        <is>
          <t>XL</t>
        </is>
      </c>
      <c r="G1020" s="156" t="inlineStr">
        <is>
          <t>XL</t>
        </is>
      </c>
      <c r="H1020" s="156" t="inlineStr">
        <is>
          <t>Stetson</t>
        </is>
      </c>
      <c r="I1020" s="156" t="inlineStr">
        <is>
          <t>Playera Stetson Aullando a la Luna Screen Print</t>
        </is>
      </c>
      <c r="J1020" s="156" t="inlineStr">
        <is>
          <t>Ropa</t>
        </is>
      </c>
      <c r="K1020" s="156" t="inlineStr">
        <is>
          <t>Playeras</t>
        </is>
      </c>
      <c r="L1020" s="156" t="inlineStr">
        <is>
          <t>Mujer</t>
        </is>
      </c>
      <c r="M1020" s="156" t="inlineStr">
        <is>
          <t>Stetson</t>
        </is>
      </c>
      <c r="N1020" s="156" t="inlineStr">
        <is>
          <t>SS26</t>
        </is>
      </c>
      <c r="O1020" s="156" t="inlineStr">
        <is>
          <t>Seasonal</t>
        </is>
      </c>
      <c r="P1020" s="156" t="inlineStr">
        <is>
          <t>Blanco</t>
        </is>
      </c>
      <c r="Q1020" s="156" t="inlineStr">
        <is>
          <t>Regular</t>
        </is>
      </c>
      <c r="R1020" s="156" t="n"/>
      <c r="S1020" s="156" t="inlineStr">
        <is>
          <t>100% Algodón</t>
        </is>
      </c>
      <c r="T1020" s="156" t="inlineStr">
        <is>
          <t>Playera Stetson Aullando a la Luna Screen Print Regular</t>
        </is>
      </c>
      <c r="U1020" s="156" t="n"/>
      <c r="V1020" s="156" t="inlineStr">
        <is>
          <t>PZS</t>
        </is>
      </c>
      <c r="W1020" s="51" t="inlineStr">
        <is>
          <t>53101604</t>
        </is>
      </c>
      <c r="X1020" s="156" t="n"/>
      <c r="Y1020" s="54" t="n">
        <v>387.9310345</v>
      </c>
      <c r="Z1020" s="54" t="n">
        <v>862.0689655</v>
      </c>
      <c r="AA1020" s="55">
        <f>IF(AND(A1020="", B1020="", E1020=""), "", IF(AB1020="", "Válido", IF((LEN(AB1020)-LEN(SUBSTITUTE(AB1020,"; ","")))/2+1&gt;(LEN(AB1020)-LEN(SUBSTITUTE(AB1020,"[Aviso]","")))/7, "Con Incidencias", "Válido")))</f>
        <v/>
      </c>
      <c r="AB1020" s="56">
        <f>IF(AND(A1020="", B1020="", E1020=""), "", TEXTJOIN("; ", TRUE, IF(OR(TRIM(A1020&amp;"")="", ISNUMBER(SEARCH("FALTA", A1020))), "UPC faltante/inválido", ""), IF(AND(A1020&lt;&gt;"", IFERROR(_xlfn.XMATCH(A1020,$A$2:$A$2509,0,1)&lt;&gt;_xlfn.XMATCH(A1020,$A$2:$A$2509,0,-1),FALSE)), "Código de barras duplicado", ""), IF(AND(E1020&lt;&gt;"", COUNTIF($E$2:$E$2509, E1020)&gt;1), "SKU duplicado", ""), IF(OR(J1020="", J1020=""), "[Aviso] División no capturada ()", IF(ISNA(MATCH(J1020, Criterios!$A$123:$A$126, 0)), "División no válida", "")), IF(OR(K1020="", K1020=""), "[Aviso] Categoría no capturada ()", IF(ISNA(MATCH(K1020, Criterios!$A$81:$A$120, 0)), "Categoría no válida", IF(AND(J1020&lt;&gt;"", J1020&lt;&gt;"", J1020&lt;&gt;VLOOKUP(K1020, Criterios!$A$81:$B$120, 2, FALSE)), "División no coincide con Categoría", ""))), IF(OR(L1020="", L1020=""), "[Aviso] Género no capturado ()", IF(ISNA(MATCH(L1020, Criterios!$B$123:$B$127, 0)), "Género no válido", "")), IF(OR(N1020="", N1020=""), "[Aviso] Temporada no capturada ()", IF(ISNA(MATCH(N1020, Criterios!$C$123:$C$128, 0)), "Temporada no válida", "")), IF(OR(O1020="", O1020=""), "[Aviso] Ciclo de vida no capturado ()", IF(ISNA(MATCH(O1020, Criterios!$D$123:$D$124, 0)), "Ciclo de vida no válido", ""))))</f>
        <v/>
      </c>
      <c r="AC1020" s="56" t="n"/>
      <c r="AD1020" s="51" t="n">
        <v>0</v>
      </c>
      <c r="AE1020" s="156" t="n"/>
      <c r="AF1020" s="51" t="n">
        <v>0</v>
      </c>
      <c r="AG1020" s="156" t="inlineStr">
        <is>
          <t>Catálogo existente</t>
        </is>
      </c>
      <c r="AH1020" s="156" t="inlineStr">
        <is>
          <t>Revisión 29/09/2026: Campos sin respaldo: U, X; Auditoría NetSuite 30/09/2026: llenado desde NetSuite [S] | 01/10/2026: complementado desde Shopify Stetson México (match por código de barras): WB Silueta</t>
        </is>
      </c>
      <c r="AI1020" s="156" t="inlineStr">
        <is>
          <t>No</t>
        </is>
      </c>
      <c r="AJ1020" s="156" t="n"/>
      <c r="AK1020" s="155" t="inlineStr">
        <is>
          <t>Criterios: J [R]; G1522_Extraccion_Articulos_NetSuite_2026-09-30.xlsx: fila 58485 [S] | Shopify Stetson: producto 15051553702251 / variante 53350587400555</t>
        </is>
      </c>
      <c r="AL1020" s="58" t="n">
        <v>387.9310345</v>
      </c>
      <c r="AM1020" s="58" t="n">
        <v>862.0689655</v>
      </c>
      <c r="AN1020" s="155" t="inlineStr">
        <is>
          <t>Shopify Stetson México</t>
        </is>
      </c>
      <c r="AO1020" s="59" t="n">
        <v>1</v>
      </c>
      <c r="AP1020" s="59" t="n"/>
      <c r="AQ1020" s="59" t="n"/>
      <c r="AR1020" s="155" t="inlineStr">
        <is>
          <t>Shopify Stetson México › Stetson Americas: 1</t>
        </is>
      </c>
    </row>
    <row r="1021">
      <c r="A1021" s="50" t="inlineStr">
        <is>
          <t>196070700374</t>
        </is>
      </c>
      <c r="B1021" s="51" t="inlineStr">
        <is>
          <t>109475</t>
        </is>
      </c>
      <c r="C1021" s="156" t="inlineStr">
        <is>
          <t>Multimarca</t>
        </is>
      </c>
      <c r="D1021" s="156" t="inlineStr">
        <is>
          <t>11-001-0425-0729</t>
        </is>
      </c>
      <c r="E1021" s="156" t="inlineStr">
        <is>
          <t>11-001-0425-0729-L</t>
        </is>
      </c>
      <c r="F1021" s="156" t="inlineStr">
        <is>
          <t>L</t>
        </is>
      </c>
      <c r="G1021" s="156" t="inlineStr">
        <is>
          <t>L</t>
        </is>
      </c>
      <c r="H1021" s="156" t="inlineStr">
        <is>
          <t>Stetson</t>
        </is>
      </c>
      <c r="I1021" s="156" t="inlineStr">
        <is>
          <t>Camisa Manga Larga Cobre Paisley</t>
        </is>
      </c>
      <c r="J1021" s="156" t="inlineStr">
        <is>
          <t>Ropa</t>
        </is>
      </c>
      <c r="K1021" s="156" t="inlineStr">
        <is>
          <t>Camisas</t>
        </is>
      </c>
      <c r="L1021" s="156" t="inlineStr">
        <is>
          <t>Hombre</t>
        </is>
      </c>
      <c r="M1021" s="156" t="inlineStr">
        <is>
          <t>Stetson</t>
        </is>
      </c>
      <c r="N1021" s="156" t="inlineStr">
        <is>
          <t>SS26</t>
        </is>
      </c>
      <c r="O1021" s="156" t="inlineStr">
        <is>
          <t>Seasonal</t>
        </is>
      </c>
      <c r="P1021" s="156" t="inlineStr">
        <is>
          <t>Cafe</t>
        </is>
      </c>
      <c r="Q1021" s="156" t="inlineStr">
        <is>
          <t>Clásico</t>
        </is>
      </c>
      <c r="R1021" s="156" t="n"/>
      <c r="S1021" s="156" t="inlineStr">
        <is>
          <t>100% Algodón</t>
        </is>
      </c>
      <c r="T1021"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1" s="156" t="n"/>
      <c r="V1021" s="156" t="inlineStr">
        <is>
          <t>PZS</t>
        </is>
      </c>
      <c r="W1021" s="51" t="inlineStr">
        <is>
          <t>53101600</t>
        </is>
      </c>
      <c r="X1021" s="156" t="inlineStr">
        <is>
          <t>https://cdn.shopify.com/s/files/1/0888/3250/8267/files/1100104250729c.jpg?v=1744129460</t>
        </is>
      </c>
      <c r="Y1021" s="54" t="n">
        <v>717.6724138</v>
      </c>
      <c r="Z1021" s="54" t="n">
        <v>1594.827586</v>
      </c>
      <c r="AA1021" s="55">
        <f>IF(AND(A1021="", B1021="", E1021=""), "", IF(AB1021="", "Válido", IF((LEN(AB1021)-LEN(SUBSTITUTE(AB1021,"; ","")))/2+1&gt;(LEN(AB1021)-LEN(SUBSTITUTE(AB1021,"[Aviso]","")))/7, "Con Incidencias", "Válido")))</f>
        <v/>
      </c>
      <c r="AB1021" s="56">
        <f>IF(AND(A1021="", B1021="", E1021=""), "", TEXTJOIN("; ", TRUE, IF(OR(TRIM(A1021&amp;"")="", ISNUMBER(SEARCH("FALTA", A1021))), "UPC faltante/inválido", ""), IF(AND(A1021&lt;&gt;"", IFERROR(_xlfn.XMATCH(A1021,$A$2:$A$2509,0,1)&lt;&gt;_xlfn.XMATCH(A1021,$A$2:$A$2509,0,-1),FALSE)), "Código de barras duplicado", ""), IF(AND(E1021&lt;&gt;"", COUNTIF($E$2:$E$2509, E1021)&gt;1), "SKU duplicado", ""), IF(OR(J1021="", J1021=""), "[Aviso] División no capturada ()", IF(ISNA(MATCH(J1021, Criterios!$A$123:$A$126, 0)), "División no válida", "")), IF(OR(K1021="", K1021=""), "[Aviso] Categoría no capturada ()", IF(ISNA(MATCH(K1021, Criterios!$A$81:$A$120, 0)), "Categoría no válida", IF(AND(J1021&lt;&gt;"", J1021&lt;&gt;"", J1021&lt;&gt;VLOOKUP(K1021, Criterios!$A$81:$B$120, 2, FALSE)), "División no coincide con Categoría", ""))), IF(OR(L1021="", L1021=""), "[Aviso] Género no capturado ()", IF(ISNA(MATCH(L1021, Criterios!$B$123:$B$127, 0)), "Género no válido", "")), IF(OR(N1021="", N1021=""), "[Aviso] Temporada no capturada ()", IF(ISNA(MATCH(N1021, Criterios!$C$123:$C$128, 0)), "Temporada no válida", "")), IF(OR(O1021="", O1021=""), "[Aviso] Ciclo de vida no capturado ()", IF(ISNA(MATCH(O1021, Criterios!$D$123:$D$124, 0)), "Ciclo de vida no válido", ""))))</f>
        <v/>
      </c>
      <c r="AC1021" s="56" t="n"/>
      <c r="AD1021" s="51" t="n">
        <v>0</v>
      </c>
      <c r="AE1021" s="156" t="n"/>
      <c r="AF1021" s="51" t="n">
        <v>0</v>
      </c>
      <c r="AG1021" s="156" t="inlineStr">
        <is>
          <t>Catálogo existente</t>
        </is>
      </c>
      <c r="AH102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1" s="156" t="inlineStr">
        <is>
          <t>No</t>
        </is>
      </c>
      <c r="AJ1021" s="156" t="n"/>
      <c r="AK1021" s="155" t="inlineStr">
        <is>
          <t>Criterios: J [R]; G1522_Extraccion_Articulos_NetSuite_2026-09-30.xlsx: fila 57290 [S] | Shopify Stetson: producto 14693673173355 / variante 51992429101419</t>
        </is>
      </c>
      <c r="AL1021" s="58" t="n">
        <v>717.6724138</v>
      </c>
      <c r="AM1021" s="58" t="n">
        <v>1594.827586</v>
      </c>
      <c r="AN1021" s="155" t="inlineStr">
        <is>
          <t>Shopify Stetson México</t>
        </is>
      </c>
      <c r="AO1021" s="59" t="n">
        <v>0</v>
      </c>
      <c r="AP1021" s="59" t="n"/>
      <c r="AQ1021" s="59" t="n"/>
      <c r="AR1021" s="155" t="n"/>
    </row>
    <row r="1022">
      <c r="A1022" s="50" t="inlineStr">
        <is>
          <t>196070700381</t>
        </is>
      </c>
      <c r="B1022" s="51" t="inlineStr">
        <is>
          <t>109476</t>
        </is>
      </c>
      <c r="C1022" s="156" t="inlineStr">
        <is>
          <t>Multimarca</t>
        </is>
      </c>
      <c r="D1022" s="156" t="inlineStr">
        <is>
          <t>11-001-0425-0729</t>
        </is>
      </c>
      <c r="E1022" s="156" t="inlineStr">
        <is>
          <t>11-001-0425-0729-M</t>
        </is>
      </c>
      <c r="F1022" s="156" t="inlineStr">
        <is>
          <t>M</t>
        </is>
      </c>
      <c r="G1022" s="156" t="inlineStr">
        <is>
          <t>M</t>
        </is>
      </c>
      <c r="H1022" s="156" t="inlineStr">
        <is>
          <t>Stetson</t>
        </is>
      </c>
      <c r="I1022" s="156" t="inlineStr">
        <is>
          <t>Camisa Manga Larga Cobre Paisley</t>
        </is>
      </c>
      <c r="J1022" s="156" t="inlineStr">
        <is>
          <t>Ropa</t>
        </is>
      </c>
      <c r="K1022" s="156" t="inlineStr">
        <is>
          <t>Camisas</t>
        </is>
      </c>
      <c r="L1022" s="156" t="inlineStr">
        <is>
          <t>Hombre</t>
        </is>
      </c>
      <c r="M1022" s="156" t="inlineStr">
        <is>
          <t>Stetson</t>
        </is>
      </c>
      <c r="N1022" s="156" t="inlineStr">
        <is>
          <t>SS26</t>
        </is>
      </c>
      <c r="O1022" s="156" t="inlineStr">
        <is>
          <t>Seasonal</t>
        </is>
      </c>
      <c r="P1022" s="156" t="inlineStr">
        <is>
          <t>Cafe</t>
        </is>
      </c>
      <c r="Q1022" s="156" t="inlineStr">
        <is>
          <t>Clásico</t>
        </is>
      </c>
      <c r="R1022" s="156" t="n"/>
      <c r="S1022" s="156" t="inlineStr">
        <is>
          <t>100% Algodón</t>
        </is>
      </c>
      <c r="T1022"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2" s="156" t="n"/>
      <c r="V1022" s="156" t="inlineStr">
        <is>
          <t>PZS</t>
        </is>
      </c>
      <c r="W1022" s="51" t="inlineStr">
        <is>
          <t>53101600</t>
        </is>
      </c>
      <c r="X1022" s="156" t="inlineStr">
        <is>
          <t>https://cdn.shopify.com/s/files/1/0888/3250/8267/files/1100104250729b.jpg?v=1744129455</t>
        </is>
      </c>
      <c r="Y1022" s="54" t="n">
        <v>717.6724138</v>
      </c>
      <c r="Z1022" s="54" t="n">
        <v>1594.827586</v>
      </c>
      <c r="AA1022" s="55">
        <f>IF(AND(A1022="", B1022="", E1022=""), "", IF(AB1022="", "Válido", IF((LEN(AB1022)-LEN(SUBSTITUTE(AB1022,"; ","")))/2+1&gt;(LEN(AB1022)-LEN(SUBSTITUTE(AB1022,"[Aviso]","")))/7, "Con Incidencias", "Válido")))</f>
        <v/>
      </c>
      <c r="AB1022" s="56">
        <f>IF(AND(A1022="", B1022="", E1022=""), "", TEXTJOIN("; ", TRUE, IF(OR(TRIM(A1022&amp;"")="", ISNUMBER(SEARCH("FALTA", A1022))), "UPC faltante/inválido", ""), IF(AND(A1022&lt;&gt;"", IFERROR(_xlfn.XMATCH(A1022,$A$2:$A$2509,0,1)&lt;&gt;_xlfn.XMATCH(A1022,$A$2:$A$2509,0,-1),FALSE)), "Código de barras duplicado", ""), IF(AND(E1022&lt;&gt;"", COUNTIF($E$2:$E$2509, E1022)&gt;1), "SKU duplicado", ""), IF(OR(J1022="", J1022=""), "[Aviso] División no capturada ()", IF(ISNA(MATCH(J1022, Criterios!$A$123:$A$126, 0)), "División no válida", "")), IF(OR(K1022="", K1022=""), "[Aviso] Categoría no capturada ()", IF(ISNA(MATCH(K1022, Criterios!$A$81:$A$120, 0)), "Categoría no válida", IF(AND(J1022&lt;&gt;"", J1022&lt;&gt;"", J1022&lt;&gt;VLOOKUP(K1022, Criterios!$A$81:$B$120, 2, FALSE)), "División no coincide con Categoría", ""))), IF(OR(L1022="", L1022=""), "[Aviso] Género no capturado ()", IF(ISNA(MATCH(L1022, Criterios!$B$123:$B$127, 0)), "Género no válido", "")), IF(OR(N1022="", N1022=""), "[Aviso] Temporada no capturada ()", IF(ISNA(MATCH(N1022, Criterios!$C$123:$C$128, 0)), "Temporada no válida", "")), IF(OR(O1022="", O1022=""), "[Aviso] Ciclo de vida no capturado ()", IF(ISNA(MATCH(O1022, Criterios!$D$123:$D$124, 0)), "Ciclo de vida no válido", ""))))</f>
        <v/>
      </c>
      <c r="AC1022" s="56" t="n"/>
      <c r="AD1022" s="51" t="n">
        <v>0</v>
      </c>
      <c r="AE1022" s="156" t="n"/>
      <c r="AF1022" s="51" t="n">
        <v>0</v>
      </c>
      <c r="AG1022" s="156" t="inlineStr">
        <is>
          <t>Catálogo existente</t>
        </is>
      </c>
      <c r="AH1022"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2" s="156" t="inlineStr">
        <is>
          <t>No</t>
        </is>
      </c>
      <c r="AJ1022" s="156" t="n"/>
      <c r="AK1022" s="155" t="inlineStr">
        <is>
          <t>Criterios: J [R]; G1522_Extraccion_Articulos_NetSuite_2026-09-30.xlsx: fila 57291 [S] | Shopify Stetson: producto 14693673173355 / variante 51992419926379</t>
        </is>
      </c>
      <c r="AL1022" s="58" t="n">
        <v>717.6724138</v>
      </c>
      <c r="AM1022" s="58" t="n">
        <v>1594.827586</v>
      </c>
      <c r="AN1022" s="155" t="inlineStr">
        <is>
          <t>Shopify Stetson México</t>
        </is>
      </c>
      <c r="AO1022" s="59" t="n">
        <v>0</v>
      </c>
      <c r="AP1022" s="59" t="n"/>
      <c r="AQ1022" s="59" t="n"/>
      <c r="AR1022" s="155" t="n"/>
    </row>
    <row r="1023">
      <c r="A1023" s="50" t="inlineStr">
        <is>
          <t>196070700398</t>
        </is>
      </c>
      <c r="B1023" s="51" t="inlineStr">
        <is>
          <t>109477</t>
        </is>
      </c>
      <c r="C1023" s="156" t="inlineStr">
        <is>
          <t>Multimarca</t>
        </is>
      </c>
      <c r="D1023" s="156" t="inlineStr">
        <is>
          <t>11-001-0425-0729</t>
        </is>
      </c>
      <c r="E1023" s="156" t="inlineStr">
        <is>
          <t>11-001-0425-0729-S</t>
        </is>
      </c>
      <c r="F1023" s="156" t="inlineStr">
        <is>
          <t>S</t>
        </is>
      </c>
      <c r="G1023" s="156" t="inlineStr">
        <is>
          <t>S</t>
        </is>
      </c>
      <c r="H1023" s="156" t="inlineStr">
        <is>
          <t>Stetson</t>
        </is>
      </c>
      <c r="I1023" s="156" t="inlineStr">
        <is>
          <t>Camisa Manga Larga Cobre Paisley</t>
        </is>
      </c>
      <c r="J1023" s="156" t="inlineStr">
        <is>
          <t>Ropa</t>
        </is>
      </c>
      <c r="K1023" s="156" t="inlineStr">
        <is>
          <t>Camisas</t>
        </is>
      </c>
      <c r="L1023" s="156" t="inlineStr">
        <is>
          <t>Hombre</t>
        </is>
      </c>
      <c r="M1023" s="156" t="inlineStr">
        <is>
          <t>Stetson</t>
        </is>
      </c>
      <c r="N1023" s="156" t="inlineStr">
        <is>
          <t>SS26</t>
        </is>
      </c>
      <c r="O1023" s="156" t="inlineStr">
        <is>
          <t>Seasonal</t>
        </is>
      </c>
      <c r="P1023" s="156" t="inlineStr">
        <is>
          <t>Cafe</t>
        </is>
      </c>
      <c r="Q1023" s="156" t="inlineStr">
        <is>
          <t>Clásico</t>
        </is>
      </c>
      <c r="R1023" s="156" t="n"/>
      <c r="S1023" s="156" t="inlineStr">
        <is>
          <t>100% Algodón</t>
        </is>
      </c>
      <c r="T1023"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3" s="156" t="n"/>
      <c r="V1023" s="156" t="inlineStr">
        <is>
          <t>PZS</t>
        </is>
      </c>
      <c r="W1023" s="51" t="inlineStr">
        <is>
          <t>53101600</t>
        </is>
      </c>
      <c r="X1023" s="156" t="inlineStr">
        <is>
          <t>https://cdn.shopify.com/s/files/1/0888/3250/8267/files/1100104250729a.jpg?v=1744129440</t>
        </is>
      </c>
      <c r="Y1023" s="54" t="n">
        <v>717.6724138</v>
      </c>
      <c r="Z1023" s="54" t="n">
        <v>1594.827586</v>
      </c>
      <c r="AA1023" s="55">
        <f>IF(AND(A1023="", B1023="", E1023=""), "", IF(AB1023="", "Válido", IF((LEN(AB1023)-LEN(SUBSTITUTE(AB1023,"; ","")))/2+1&gt;(LEN(AB1023)-LEN(SUBSTITUTE(AB1023,"[Aviso]","")))/7, "Con Incidencias", "Válido")))</f>
        <v/>
      </c>
      <c r="AB1023" s="56">
        <f>IF(AND(A1023="", B1023="", E1023=""), "", TEXTJOIN("; ", TRUE, IF(OR(TRIM(A1023&amp;"")="", ISNUMBER(SEARCH("FALTA", A1023))), "UPC faltante/inválido", ""), IF(AND(A1023&lt;&gt;"", IFERROR(_xlfn.XMATCH(A1023,$A$2:$A$2509,0,1)&lt;&gt;_xlfn.XMATCH(A1023,$A$2:$A$2509,0,-1),FALSE)), "Código de barras duplicado", ""), IF(AND(E1023&lt;&gt;"", COUNTIF($E$2:$E$2509, E1023)&gt;1), "SKU duplicado", ""), IF(OR(J1023="", J1023=""), "[Aviso] División no capturada ()", IF(ISNA(MATCH(J1023, Criterios!$A$123:$A$126, 0)), "División no válida", "")), IF(OR(K1023="", K1023=""), "[Aviso] Categoría no capturada ()", IF(ISNA(MATCH(K1023, Criterios!$A$81:$A$120, 0)), "Categoría no válida", IF(AND(J1023&lt;&gt;"", J1023&lt;&gt;"", J1023&lt;&gt;VLOOKUP(K1023, Criterios!$A$81:$B$120, 2, FALSE)), "División no coincide con Categoría", ""))), IF(OR(L1023="", L1023=""), "[Aviso] Género no capturado ()", IF(ISNA(MATCH(L1023, Criterios!$B$123:$B$127, 0)), "Género no válido", "")), IF(OR(N1023="", N1023=""), "[Aviso] Temporada no capturada ()", IF(ISNA(MATCH(N1023, Criterios!$C$123:$C$128, 0)), "Temporada no válida", "")), IF(OR(O1023="", O1023=""), "[Aviso] Ciclo de vida no capturado ()", IF(ISNA(MATCH(O1023, Criterios!$D$123:$D$124, 0)), "Ciclo de vida no válido", ""))))</f>
        <v/>
      </c>
      <c r="AC1023" s="56" t="n"/>
      <c r="AD1023" s="51" t="n">
        <v>0</v>
      </c>
      <c r="AE1023" s="156" t="n"/>
      <c r="AF1023" s="51" t="n">
        <v>0</v>
      </c>
      <c r="AG1023" s="156" t="inlineStr">
        <is>
          <t>Catálogo existente</t>
        </is>
      </c>
      <c r="AH102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3" s="156" t="inlineStr">
        <is>
          <t>No</t>
        </is>
      </c>
      <c r="AJ1023" s="156" t="n"/>
      <c r="AK1023" s="155" t="inlineStr">
        <is>
          <t>Criterios: J [R]; G1522_Extraccion_Articulos_NetSuite_2026-09-30.xlsx: fila 57292 [S] | Shopify Stetson: producto 14693673173355 / variante 51992419893611</t>
        </is>
      </c>
      <c r="AL1023" s="58" t="n">
        <v>717.6724138</v>
      </c>
      <c r="AM1023" s="58" t="n">
        <v>1594.827586</v>
      </c>
      <c r="AN1023" s="155" t="inlineStr">
        <is>
          <t>Shopify Stetson México</t>
        </is>
      </c>
      <c r="AO1023" s="59" t="n">
        <v>0</v>
      </c>
      <c r="AP1023" s="59" t="n"/>
      <c r="AQ1023" s="59" t="n"/>
      <c r="AR1023" s="155" t="n"/>
    </row>
    <row r="1024">
      <c r="A1024" s="50" t="inlineStr">
        <is>
          <t>196070700428</t>
        </is>
      </c>
      <c r="B1024" s="51" t="inlineStr">
        <is>
          <t>109478</t>
        </is>
      </c>
      <c r="C1024" s="156" t="inlineStr">
        <is>
          <t>Multimarca</t>
        </is>
      </c>
      <c r="D1024" s="156" t="inlineStr">
        <is>
          <t>11-001-0425-0729</t>
        </is>
      </c>
      <c r="E1024" s="156" t="inlineStr">
        <is>
          <t>11-001-0425-0729-3XL</t>
        </is>
      </c>
      <c r="F1024" s="156" t="inlineStr">
        <is>
          <t>XXXL</t>
        </is>
      </c>
      <c r="G1024" s="156" t="inlineStr">
        <is>
          <t>XXXL</t>
        </is>
      </c>
      <c r="H1024" s="156" t="inlineStr">
        <is>
          <t>Stetson</t>
        </is>
      </c>
      <c r="I1024" s="156" t="inlineStr">
        <is>
          <t>Camisa Manga Larga Cobre Paisley</t>
        </is>
      </c>
      <c r="J1024" s="156" t="inlineStr">
        <is>
          <t>Ropa</t>
        </is>
      </c>
      <c r="K1024" s="156" t="inlineStr">
        <is>
          <t>Camisas</t>
        </is>
      </c>
      <c r="L1024" s="156" t="inlineStr">
        <is>
          <t>Hombre</t>
        </is>
      </c>
      <c r="M1024" s="156" t="inlineStr">
        <is>
          <t>Stetson</t>
        </is>
      </c>
      <c r="N1024" s="156" t="inlineStr">
        <is>
          <t>SS26</t>
        </is>
      </c>
      <c r="O1024" s="156" t="inlineStr">
        <is>
          <t>Seasonal</t>
        </is>
      </c>
      <c r="P1024" s="156" t="inlineStr">
        <is>
          <t>Cafe</t>
        </is>
      </c>
      <c r="Q1024" s="156" t="inlineStr">
        <is>
          <t>Clásico</t>
        </is>
      </c>
      <c r="R1024" s="156" t="n"/>
      <c r="S1024" s="156" t="inlineStr">
        <is>
          <t>100% Algodón</t>
        </is>
      </c>
      <c r="T1024"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4" s="156" t="n"/>
      <c r="V1024" s="156" t="inlineStr">
        <is>
          <t>PZS</t>
        </is>
      </c>
      <c r="W1024" s="51" t="inlineStr">
        <is>
          <t>53101600</t>
        </is>
      </c>
      <c r="X1024" s="156" t="inlineStr">
        <is>
          <t>https://cdn.shopify.com/s/files/1/0888/3250/8267/files/1100104250729a.jpg?v=1744129440</t>
        </is>
      </c>
      <c r="Y1024" s="54" t="n">
        <v>717.6724138</v>
      </c>
      <c r="Z1024" s="54" t="n">
        <v>1594.827586</v>
      </c>
      <c r="AA1024" s="55">
        <f>IF(AND(A1024="", B1024="", E1024=""), "", IF(AB1024="", "Válido", IF((LEN(AB1024)-LEN(SUBSTITUTE(AB1024,"; ","")))/2+1&gt;(LEN(AB1024)-LEN(SUBSTITUTE(AB1024,"[Aviso]","")))/7, "Con Incidencias", "Válido")))</f>
        <v/>
      </c>
      <c r="AB1024" s="56">
        <f>IF(AND(A1024="", B1024="", E1024=""), "", TEXTJOIN("; ", TRUE, IF(OR(TRIM(A1024&amp;"")="", ISNUMBER(SEARCH("FALTA", A1024))), "UPC faltante/inválido", ""), IF(AND(A1024&lt;&gt;"", IFERROR(_xlfn.XMATCH(A1024,$A$2:$A$2509,0,1)&lt;&gt;_xlfn.XMATCH(A1024,$A$2:$A$2509,0,-1),FALSE)), "Código de barras duplicado", ""), IF(AND(E1024&lt;&gt;"", COUNTIF($E$2:$E$2509, E1024)&gt;1), "SKU duplicado", ""), IF(OR(J1024="", J1024=""), "[Aviso] División no capturada ()", IF(ISNA(MATCH(J1024, Criterios!$A$123:$A$126, 0)), "División no válida", "")), IF(OR(K1024="", K1024=""), "[Aviso] Categoría no capturada ()", IF(ISNA(MATCH(K1024, Criterios!$A$81:$A$120, 0)), "Categoría no válida", IF(AND(J1024&lt;&gt;"", J1024&lt;&gt;"", J1024&lt;&gt;VLOOKUP(K1024, Criterios!$A$81:$B$120, 2, FALSE)), "División no coincide con Categoría", ""))), IF(OR(L1024="", L1024=""), "[Aviso] Género no capturado ()", IF(ISNA(MATCH(L1024, Criterios!$B$123:$B$127, 0)), "Género no válido", "")), IF(OR(N1024="", N1024=""), "[Aviso] Temporada no capturada ()", IF(ISNA(MATCH(N1024, Criterios!$C$123:$C$128, 0)), "Temporada no válida", "")), IF(OR(O1024="", O1024=""), "[Aviso] Ciclo de vida no capturado ()", IF(ISNA(MATCH(O1024, Criterios!$D$123:$D$124, 0)), "Ciclo de vida no válido", ""))))</f>
        <v/>
      </c>
      <c r="AC1024" s="56" t="n"/>
      <c r="AD1024" s="51" t="n">
        <v>0</v>
      </c>
      <c r="AE1024" s="156" t="n"/>
      <c r="AF1024" s="51" t="n">
        <v>0</v>
      </c>
      <c r="AG1024" s="156" t="inlineStr">
        <is>
          <t>Catálogo existente</t>
        </is>
      </c>
      <c r="AH1024"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24" s="156" t="inlineStr">
        <is>
          <t>No</t>
        </is>
      </c>
      <c r="AJ1024" s="156" t="n"/>
      <c r="AK1024" s="155" t="inlineStr">
        <is>
          <t>Criterios: J [R]; G1522_Extraccion_Articulos_NetSuite_2026-09-30.xlsx: fila 57293 [S] | Shopify Stetson: producto 14693673173355 / variante 51992429134187</t>
        </is>
      </c>
      <c r="AL1024" s="58" t="n">
        <v>717.6724138</v>
      </c>
      <c r="AM1024" s="58" t="n">
        <v>1594.827586</v>
      </c>
      <c r="AN1024" s="155" t="inlineStr">
        <is>
          <t>Shopify Stetson México</t>
        </is>
      </c>
      <c r="AO1024" s="59" t="n">
        <v>0</v>
      </c>
      <c r="AP1024" s="59" t="n"/>
      <c r="AQ1024" s="59" t="n"/>
      <c r="AR1024" s="155" t="n"/>
    </row>
    <row r="1025">
      <c r="A1025" s="50" t="inlineStr">
        <is>
          <t>196070700732</t>
        </is>
      </c>
      <c r="B1025" s="51" t="inlineStr">
        <is>
          <t>109546</t>
        </is>
      </c>
      <c r="C1025" s="156" t="inlineStr">
        <is>
          <t>Multimarca</t>
        </is>
      </c>
      <c r="D1025" s="156" t="inlineStr">
        <is>
          <t>11-001-0465-0780</t>
        </is>
      </c>
      <c r="E1025" s="156" t="inlineStr">
        <is>
          <t>11-001-0465-0780-L</t>
        </is>
      </c>
      <c r="F1025" s="156" t="inlineStr">
        <is>
          <t>L</t>
        </is>
      </c>
      <c r="G1025" s="156" t="inlineStr">
        <is>
          <t>L</t>
        </is>
      </c>
      <c r="H1025" s="156" t="inlineStr">
        <is>
          <t>Stetson</t>
        </is>
      </c>
      <c r="I1025" s="156" t="inlineStr">
        <is>
          <t>Camisa Manga Larga Mezclilla Obscura Costura</t>
        </is>
      </c>
      <c r="J1025" s="156" t="inlineStr">
        <is>
          <t>Ropa</t>
        </is>
      </c>
      <c r="K1025" s="156" t="inlineStr">
        <is>
          <t>Camisas</t>
        </is>
      </c>
      <c r="L1025" s="156" t="inlineStr">
        <is>
          <t>Hombre</t>
        </is>
      </c>
      <c r="M1025" s="156" t="inlineStr">
        <is>
          <t>Stetson</t>
        </is>
      </c>
      <c r="N1025" s="156" t="inlineStr">
        <is>
          <t>SS26</t>
        </is>
      </c>
      <c r="O1025" s="156" t="inlineStr">
        <is>
          <t>Seasonal</t>
        </is>
      </c>
      <c r="P1025" s="156" t="inlineStr">
        <is>
          <t>Azul</t>
        </is>
      </c>
      <c r="Q1025" s="156" t="inlineStr">
        <is>
          <t>Clásico</t>
        </is>
      </c>
      <c r="R1025" s="156" t="n"/>
      <c r="S1025" s="156" t="inlineStr">
        <is>
          <t>Mezclilla</t>
        </is>
      </c>
      <c r="T1025"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5" s="156" t="n"/>
      <c r="V1025" s="156" t="inlineStr">
        <is>
          <t>PZS</t>
        </is>
      </c>
      <c r="W1025" s="51" t="inlineStr">
        <is>
          <t>53101600</t>
        </is>
      </c>
      <c r="X1025" s="156" t="inlineStr">
        <is>
          <t>https://cdn.shopify.com/s/files/1/0888/3250/8267/files/1100104650780a.jpg?v=1744302197</t>
        </is>
      </c>
      <c r="Y1025" s="54" t="n">
        <v>717.6724138</v>
      </c>
      <c r="Z1025" s="54" t="n">
        <v>1594.827586</v>
      </c>
      <c r="AA1025" s="55">
        <f>IF(AND(A1025="", B1025="", E1025=""), "", IF(AB1025="", "Válido", IF((LEN(AB1025)-LEN(SUBSTITUTE(AB1025,"; ","")))/2+1&gt;(LEN(AB1025)-LEN(SUBSTITUTE(AB1025,"[Aviso]","")))/7, "Con Incidencias", "Válido")))</f>
        <v/>
      </c>
      <c r="AB1025" s="56">
        <f>IF(AND(A1025="", B1025="", E1025=""), "", TEXTJOIN("; ", TRUE, IF(OR(TRIM(A1025&amp;"")="", ISNUMBER(SEARCH("FALTA", A1025))), "UPC faltante/inválido", ""), IF(AND(A1025&lt;&gt;"", IFERROR(_xlfn.XMATCH(A1025,$A$2:$A$2509,0,1)&lt;&gt;_xlfn.XMATCH(A1025,$A$2:$A$2509,0,-1),FALSE)), "Código de barras duplicado", ""), IF(AND(E1025&lt;&gt;"", COUNTIF($E$2:$E$2509, E1025)&gt;1), "SKU duplicado", ""), IF(OR(J1025="", J1025=""), "[Aviso] División no capturada ()", IF(ISNA(MATCH(J1025, Criterios!$A$123:$A$126, 0)), "División no válida", "")), IF(OR(K1025="", K1025=""), "[Aviso] Categoría no capturada ()", IF(ISNA(MATCH(K1025, Criterios!$A$81:$A$120, 0)), "Categoría no válida", IF(AND(J1025&lt;&gt;"", J1025&lt;&gt;"", J1025&lt;&gt;VLOOKUP(K1025, Criterios!$A$81:$B$120, 2, FALSE)), "División no coincide con Categoría", ""))), IF(OR(L1025="", L1025=""), "[Aviso] Género no capturado ()", IF(ISNA(MATCH(L1025, Criterios!$B$123:$B$127, 0)), "Género no válido", "")), IF(OR(N1025="", N1025=""), "[Aviso] Temporada no capturada ()", IF(ISNA(MATCH(N1025, Criterios!$C$123:$C$128, 0)), "Temporada no válida", "")), IF(OR(O1025="", O1025=""), "[Aviso] Ciclo de vida no capturado ()", IF(ISNA(MATCH(O1025, Criterios!$D$123:$D$124, 0)), "Ciclo de vida no válido", ""))))</f>
        <v/>
      </c>
      <c r="AC1025" s="56" t="n"/>
      <c r="AD1025" s="51" t="n">
        <v>0</v>
      </c>
      <c r="AE1025" s="156" t="n"/>
      <c r="AF1025" s="51" t="n">
        <v>0</v>
      </c>
      <c r="AG1025" s="156" t="inlineStr">
        <is>
          <t>Catálogo existente</t>
        </is>
      </c>
      <c r="AH1025" s="156" t="inlineStr">
        <is>
          <t>Revisión 29/09/2026: Campos sin respaldo: U, X; Auditoría NetSuite 30/09/2026: llenado desde NetSuite [S] | 01/10/2026: complementado desde Shopify Stetson México (match por código de barras): WB Silueta, Enlace de imagen</t>
        </is>
      </c>
      <c r="AI1025" s="156" t="inlineStr">
        <is>
          <t>No</t>
        </is>
      </c>
      <c r="AJ1025" s="156" t="n"/>
      <c r="AK1025" s="155" t="inlineStr">
        <is>
          <t>Criterios: J [R]; G1522_Extraccion_Articulos_NetSuite_2026-09-30.xlsx: fila 57361 [S] | Shopify Stetson: producto 14694169018731 / variante 51996080079211</t>
        </is>
      </c>
      <c r="AL1025" s="58" t="n">
        <v>717.6724138</v>
      </c>
      <c r="AM1025" s="58" t="n">
        <v>1594.827586</v>
      </c>
      <c r="AN1025" s="155" t="inlineStr">
        <is>
          <t>Shopify Stetson México</t>
        </is>
      </c>
      <c r="AO1025" s="59" t="n">
        <v>0</v>
      </c>
      <c r="AP1025" s="59" t="n"/>
      <c r="AQ1025" s="59" t="n"/>
      <c r="AR1025" s="155" t="n"/>
    </row>
    <row r="1026">
      <c r="A1026" s="50" t="inlineStr">
        <is>
          <t>196070700749</t>
        </is>
      </c>
      <c r="B1026" s="51" t="inlineStr">
        <is>
          <t>109547</t>
        </is>
      </c>
      <c r="C1026" s="156" t="inlineStr">
        <is>
          <t>Multimarca</t>
        </is>
      </c>
      <c r="D1026" s="156" t="inlineStr">
        <is>
          <t>11-001-0465-0780</t>
        </is>
      </c>
      <c r="E1026" s="156" t="inlineStr">
        <is>
          <t>11-001-0465-0780-M</t>
        </is>
      </c>
      <c r="F1026" s="156" t="inlineStr">
        <is>
          <t>M</t>
        </is>
      </c>
      <c r="G1026" s="156" t="inlineStr">
        <is>
          <t>M</t>
        </is>
      </c>
      <c r="H1026" s="156" t="inlineStr">
        <is>
          <t>Stetson</t>
        </is>
      </c>
      <c r="I1026" s="156" t="inlineStr">
        <is>
          <t>Camisa Manga Larga Mezclilla Obscura Costura</t>
        </is>
      </c>
      <c r="J1026" s="156" t="inlineStr">
        <is>
          <t>Ropa</t>
        </is>
      </c>
      <c r="K1026" s="156" t="inlineStr">
        <is>
          <t>Camisas</t>
        </is>
      </c>
      <c r="L1026" s="156" t="inlineStr">
        <is>
          <t>Hombre</t>
        </is>
      </c>
      <c r="M1026" s="156" t="inlineStr">
        <is>
          <t>Stetson</t>
        </is>
      </c>
      <c r="N1026" s="156" t="inlineStr">
        <is>
          <t>SS26</t>
        </is>
      </c>
      <c r="O1026" s="156" t="inlineStr">
        <is>
          <t>Seasonal</t>
        </is>
      </c>
      <c r="P1026" s="156" t="inlineStr">
        <is>
          <t>Azul</t>
        </is>
      </c>
      <c r="Q1026" s="156" t="inlineStr">
        <is>
          <t>Clásico</t>
        </is>
      </c>
      <c r="R1026" s="156" t="n"/>
      <c r="S1026" s="156" t="inlineStr">
        <is>
          <t>Mezclilla</t>
        </is>
      </c>
      <c r="T1026"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6" s="156" t="n"/>
      <c r="V1026" s="156" t="inlineStr">
        <is>
          <t>PZS</t>
        </is>
      </c>
      <c r="W1026" s="51" t="inlineStr">
        <is>
          <t>53101600</t>
        </is>
      </c>
      <c r="X1026" s="156" t="inlineStr">
        <is>
          <t>https://cdn.shopify.com/s/files/1/0888/3250/8267/files/1100104650780b.jpg?v=1744302202</t>
        </is>
      </c>
      <c r="Y1026" s="54" t="n">
        <v>717.6724138</v>
      </c>
      <c r="Z1026" s="54" t="n">
        <v>1594.827586</v>
      </c>
      <c r="AA1026" s="55">
        <f>IF(AND(A1026="", B1026="", E1026=""), "", IF(AB1026="", "Válido", IF((LEN(AB1026)-LEN(SUBSTITUTE(AB1026,"; ","")))/2+1&gt;(LEN(AB1026)-LEN(SUBSTITUTE(AB1026,"[Aviso]","")))/7, "Con Incidencias", "Válido")))</f>
        <v/>
      </c>
      <c r="AB1026" s="56">
        <f>IF(AND(A1026="", B1026="", E1026=""), "", TEXTJOIN("; ", TRUE, IF(OR(TRIM(A1026&amp;"")="", ISNUMBER(SEARCH("FALTA", A1026))), "UPC faltante/inválido", ""), IF(AND(A1026&lt;&gt;"", IFERROR(_xlfn.XMATCH(A1026,$A$2:$A$2509,0,1)&lt;&gt;_xlfn.XMATCH(A1026,$A$2:$A$2509,0,-1),FALSE)), "Código de barras duplicado", ""), IF(AND(E1026&lt;&gt;"", COUNTIF($E$2:$E$2509, E1026)&gt;1), "SKU duplicado", ""), IF(OR(J1026="", J1026=""), "[Aviso] División no capturada ()", IF(ISNA(MATCH(J1026, Criterios!$A$123:$A$126, 0)), "División no válida", "")), IF(OR(K1026="", K1026=""), "[Aviso] Categoría no capturada ()", IF(ISNA(MATCH(K1026, Criterios!$A$81:$A$120, 0)), "Categoría no válida", IF(AND(J1026&lt;&gt;"", J1026&lt;&gt;"", J1026&lt;&gt;VLOOKUP(K1026, Criterios!$A$81:$B$120, 2, FALSE)), "División no coincide con Categoría", ""))), IF(OR(L1026="", L1026=""), "[Aviso] Género no capturado ()", IF(ISNA(MATCH(L1026, Criterios!$B$123:$B$127, 0)), "Género no válido", "")), IF(OR(N1026="", N1026=""), "[Aviso] Temporada no capturada ()", IF(ISNA(MATCH(N1026, Criterios!$C$123:$C$128, 0)), "Temporada no válida", "")), IF(OR(O1026="", O1026=""), "[Aviso] Ciclo de vida no capturado ()", IF(ISNA(MATCH(O1026, Criterios!$D$123:$D$124, 0)), "Ciclo de vida no válido", ""))))</f>
        <v/>
      </c>
      <c r="AC1026" s="56" t="n"/>
      <c r="AD1026" s="51" t="n">
        <v>0</v>
      </c>
      <c r="AE1026" s="156" t="n"/>
      <c r="AF1026" s="51" t="n">
        <v>0</v>
      </c>
      <c r="AG1026" s="156" t="inlineStr">
        <is>
          <t>Catálogo existente</t>
        </is>
      </c>
      <c r="AH1026" s="156" t="inlineStr">
        <is>
          <t>Revisión 29/09/2026: Campos sin respaldo: U; Auditoría NetSuite 30/09/2026: llenado desde NetSuite [S] | 01/10/2026: complementado desde Shopify Stetson México (match por código de barras): WB Silueta</t>
        </is>
      </c>
      <c r="AI1026" s="156" t="inlineStr">
        <is>
          <t>No</t>
        </is>
      </c>
      <c r="AJ1026" s="156" t="n"/>
      <c r="AK1026" s="155" t="inlineStr">
        <is>
          <t>Criterios: J [R]; G1522_Extraccion_Articulos_NetSuite_2026-09-30.xlsx: fila 57362 [S] | Shopify Stetson: producto 14694169018731 / variante 51996080046443</t>
        </is>
      </c>
      <c r="AL1026" s="58" t="n">
        <v>717.6724138</v>
      </c>
      <c r="AM1026" s="58" t="n">
        <v>1594.827586</v>
      </c>
      <c r="AN1026" s="155" t="inlineStr">
        <is>
          <t>Shopify Stetson México</t>
        </is>
      </c>
      <c r="AO1026" s="59" t="n">
        <v>0</v>
      </c>
      <c r="AP1026" s="59" t="n"/>
      <c r="AQ1026" s="59" t="n"/>
      <c r="AR1026" s="155" t="n"/>
    </row>
    <row r="1027">
      <c r="A1027" s="50" t="inlineStr">
        <is>
          <t>196070700756</t>
        </is>
      </c>
      <c r="B1027" s="51" t="inlineStr">
        <is>
          <t>109548</t>
        </is>
      </c>
      <c r="C1027" s="156" t="inlineStr">
        <is>
          <t>Multimarca</t>
        </is>
      </c>
      <c r="D1027" s="156" t="inlineStr">
        <is>
          <t>11-001-0465-0780</t>
        </is>
      </c>
      <c r="E1027" s="156" t="inlineStr">
        <is>
          <t>11-001-0465-0780-S</t>
        </is>
      </c>
      <c r="F1027" s="156" t="inlineStr">
        <is>
          <t>S</t>
        </is>
      </c>
      <c r="G1027" s="156" t="inlineStr">
        <is>
          <t>S</t>
        </is>
      </c>
      <c r="H1027" s="156" t="inlineStr">
        <is>
          <t>Stetson</t>
        </is>
      </c>
      <c r="I1027" s="156" t="inlineStr">
        <is>
          <t>Camisa Manga Larga Mezclilla Obscura Costura</t>
        </is>
      </c>
      <c r="J1027" s="156" t="inlineStr">
        <is>
          <t>Ropa</t>
        </is>
      </c>
      <c r="K1027" s="156" t="inlineStr">
        <is>
          <t>Camisas</t>
        </is>
      </c>
      <c r="L1027" s="156" t="inlineStr">
        <is>
          <t>Hombre</t>
        </is>
      </c>
      <c r="M1027" s="156" t="inlineStr">
        <is>
          <t>Stetson</t>
        </is>
      </c>
      <c r="N1027" s="156" t="inlineStr">
        <is>
          <t>SS26</t>
        </is>
      </c>
      <c r="O1027" s="156" t="inlineStr">
        <is>
          <t>Seasonal</t>
        </is>
      </c>
      <c r="P1027" s="156" t="inlineStr">
        <is>
          <t>Azul</t>
        </is>
      </c>
      <c r="Q1027" s="156" t="inlineStr">
        <is>
          <t>Clásico</t>
        </is>
      </c>
      <c r="R1027" s="156" t="n"/>
      <c r="S1027" s="156" t="inlineStr">
        <is>
          <t>Mezclilla</t>
        </is>
      </c>
      <c r="T1027"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7" s="156" t="n"/>
      <c r="V1027" s="156" t="inlineStr">
        <is>
          <t>PZS</t>
        </is>
      </c>
      <c r="W1027" s="51" t="inlineStr">
        <is>
          <t>53101600</t>
        </is>
      </c>
      <c r="X1027" s="156" t="inlineStr">
        <is>
          <t>https://cdn.shopify.com/s/files/1/0888/3250/8267/files/1100104650780a.jpg?v=1744302197</t>
        </is>
      </c>
      <c r="Y1027" s="54" t="n">
        <v>717.6724138</v>
      </c>
      <c r="Z1027" s="54" t="n">
        <v>1594.827586</v>
      </c>
      <c r="AA1027" s="55">
        <f>IF(AND(A1027="", B1027="", E1027=""), "", IF(AB1027="", "Válido", IF((LEN(AB1027)-LEN(SUBSTITUTE(AB1027,"; ","")))/2+1&gt;(LEN(AB1027)-LEN(SUBSTITUTE(AB1027,"[Aviso]","")))/7, "Con Incidencias", "Válido")))</f>
        <v/>
      </c>
      <c r="AB1027" s="56">
        <f>IF(AND(A1027="", B1027="", E1027=""), "", TEXTJOIN("; ", TRUE, IF(OR(TRIM(A1027&amp;"")="", ISNUMBER(SEARCH("FALTA", A1027))), "UPC faltante/inválido", ""), IF(AND(A1027&lt;&gt;"", IFERROR(_xlfn.XMATCH(A1027,$A$2:$A$2509,0,1)&lt;&gt;_xlfn.XMATCH(A1027,$A$2:$A$2509,0,-1),FALSE)), "Código de barras duplicado", ""), IF(AND(E1027&lt;&gt;"", COUNTIF($E$2:$E$2509, E1027)&gt;1), "SKU duplicado", ""), IF(OR(J1027="", J1027=""), "[Aviso] División no capturada ()", IF(ISNA(MATCH(J1027, Criterios!$A$123:$A$126, 0)), "División no válida", "")), IF(OR(K1027="", K1027=""), "[Aviso] Categoría no capturada ()", IF(ISNA(MATCH(K1027, Criterios!$A$81:$A$120, 0)), "Categoría no válida", IF(AND(J1027&lt;&gt;"", J1027&lt;&gt;"", J1027&lt;&gt;VLOOKUP(K1027, Criterios!$A$81:$B$120, 2, FALSE)), "División no coincide con Categoría", ""))), IF(OR(L1027="", L1027=""), "[Aviso] Género no capturado ()", IF(ISNA(MATCH(L1027, Criterios!$B$123:$B$127, 0)), "Género no válido", "")), IF(OR(N1027="", N1027=""), "[Aviso] Temporada no capturada ()", IF(ISNA(MATCH(N1027, Criterios!$C$123:$C$128, 0)), "Temporada no válida", "")), IF(OR(O1027="", O1027=""), "[Aviso] Ciclo de vida no capturado ()", IF(ISNA(MATCH(O1027, Criterios!$D$123:$D$124, 0)), "Ciclo de vida no válido", ""))))</f>
        <v/>
      </c>
      <c r="AC1027" s="56" t="n"/>
      <c r="AD1027" s="51" t="n">
        <v>0</v>
      </c>
      <c r="AE1027" s="156" t="n"/>
      <c r="AF1027" s="51" t="n">
        <v>0</v>
      </c>
      <c r="AG1027" s="156" t="inlineStr">
        <is>
          <t>Catálogo existente</t>
        </is>
      </c>
      <c r="AH1027" s="156" t="inlineStr">
        <is>
          <t>Revisión 29/09/2026: Campos sin respaldo: U; Auditoría NetSuite 30/09/2026: llenado desde NetSuite [S] | 01/10/2026: complementado desde Shopify Stetson México (match por código de barras): WB Silueta</t>
        </is>
      </c>
      <c r="AI1027" s="156" t="inlineStr">
        <is>
          <t>No</t>
        </is>
      </c>
      <c r="AJ1027" s="156" t="n"/>
      <c r="AK1027" s="155" t="inlineStr">
        <is>
          <t>Criterios: J [R]; G1522_Extraccion_Articulos_NetSuite_2026-09-30.xlsx: fila 57363 [S] | Shopify Stetson: producto 14694169018731 / variante 51996080013675</t>
        </is>
      </c>
      <c r="AL1027" s="58" t="n">
        <v>717.6724138</v>
      </c>
      <c r="AM1027" s="58" t="n">
        <v>1594.827586</v>
      </c>
      <c r="AN1027" s="155" t="inlineStr">
        <is>
          <t>Shopify Stetson México</t>
        </is>
      </c>
      <c r="AO1027" s="59" t="n">
        <v>0</v>
      </c>
      <c r="AP1027" s="59" t="n"/>
      <c r="AQ1027" s="59" t="n"/>
      <c r="AR1027" s="155" t="n"/>
    </row>
    <row r="1028">
      <c r="A1028" s="50" t="inlineStr">
        <is>
          <t>196070700763</t>
        </is>
      </c>
      <c r="B1028" s="51" t="inlineStr">
        <is>
          <t>109549</t>
        </is>
      </c>
      <c r="C1028" s="156" t="inlineStr">
        <is>
          <t>Multimarca</t>
        </is>
      </c>
      <c r="D1028" s="156" t="inlineStr">
        <is>
          <t>11-001-0465-0780</t>
        </is>
      </c>
      <c r="E1028" s="156" t="inlineStr">
        <is>
          <t>11-001-0465-0780-XL</t>
        </is>
      </c>
      <c r="F1028" s="156" t="inlineStr">
        <is>
          <t>XL</t>
        </is>
      </c>
      <c r="G1028" s="156" t="inlineStr">
        <is>
          <t>XL</t>
        </is>
      </c>
      <c r="H1028" s="156" t="inlineStr">
        <is>
          <t>Stetson</t>
        </is>
      </c>
      <c r="I1028" s="156" t="inlineStr">
        <is>
          <t>Camisa Manga Larga Mezclilla Obscura Costura</t>
        </is>
      </c>
      <c r="J1028" s="156" t="inlineStr">
        <is>
          <t>Ropa</t>
        </is>
      </c>
      <c r="K1028" s="156" t="inlineStr">
        <is>
          <t>Camisas</t>
        </is>
      </c>
      <c r="L1028" s="156" t="inlineStr">
        <is>
          <t>Hombre</t>
        </is>
      </c>
      <c r="M1028" s="156" t="inlineStr">
        <is>
          <t>Stetson</t>
        </is>
      </c>
      <c r="N1028" s="156" t="inlineStr">
        <is>
          <t>SS26</t>
        </is>
      </c>
      <c r="O1028" s="156" t="inlineStr">
        <is>
          <t>Seasonal</t>
        </is>
      </c>
      <c r="P1028" s="156" t="inlineStr">
        <is>
          <t>Azul</t>
        </is>
      </c>
      <c r="Q1028" s="156" t="inlineStr">
        <is>
          <t>Clásico</t>
        </is>
      </c>
      <c r="R1028" s="156" t="n"/>
      <c r="S1028" s="156" t="inlineStr">
        <is>
          <t>Mezclilla</t>
        </is>
      </c>
      <c r="T1028"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8" s="156" t="n"/>
      <c r="V1028" s="156" t="inlineStr">
        <is>
          <t>PZS</t>
        </is>
      </c>
      <c r="W1028" s="51" t="inlineStr">
        <is>
          <t>53101600</t>
        </is>
      </c>
      <c r="X1028" s="156" t="inlineStr">
        <is>
          <t>https://cdn.shopify.com/s/files/1/0888/3250/8267/files/1100104650780a.jpg?v=1744302197</t>
        </is>
      </c>
      <c r="Y1028" s="54" t="n">
        <v>717.6724138</v>
      </c>
      <c r="Z1028" s="54" t="n">
        <v>1594.827586</v>
      </c>
      <c r="AA1028" s="55">
        <f>IF(AND(A1028="", B1028="", E1028=""), "", IF(AB1028="", "Válido", IF((LEN(AB1028)-LEN(SUBSTITUTE(AB1028,"; ","")))/2+1&gt;(LEN(AB1028)-LEN(SUBSTITUTE(AB1028,"[Aviso]","")))/7, "Con Incidencias", "Válido")))</f>
        <v/>
      </c>
      <c r="AB1028" s="56">
        <f>IF(AND(A1028="", B1028="", E1028=""), "", TEXTJOIN("; ", TRUE, IF(OR(TRIM(A1028&amp;"")="", ISNUMBER(SEARCH("FALTA", A1028))), "UPC faltante/inválido", ""), IF(AND(A1028&lt;&gt;"", IFERROR(_xlfn.XMATCH(A1028,$A$2:$A$2509,0,1)&lt;&gt;_xlfn.XMATCH(A1028,$A$2:$A$2509,0,-1),FALSE)), "Código de barras duplicado", ""), IF(AND(E1028&lt;&gt;"", COUNTIF($E$2:$E$2509, E1028)&gt;1), "SKU duplicado", ""), IF(OR(J1028="", J1028=""), "[Aviso] División no capturada ()", IF(ISNA(MATCH(J1028, Criterios!$A$123:$A$126, 0)), "División no válida", "")), IF(OR(K1028="", K1028=""), "[Aviso] Categoría no capturada ()", IF(ISNA(MATCH(K1028, Criterios!$A$81:$A$120, 0)), "Categoría no válida", IF(AND(J1028&lt;&gt;"", J1028&lt;&gt;"", J1028&lt;&gt;VLOOKUP(K1028, Criterios!$A$81:$B$120, 2, FALSE)), "División no coincide con Categoría", ""))), IF(OR(L1028="", L1028=""), "[Aviso] Género no capturado ()", IF(ISNA(MATCH(L1028, Criterios!$B$123:$B$127, 0)), "Género no válido", "")), IF(OR(N1028="", N1028=""), "[Aviso] Temporada no capturada ()", IF(ISNA(MATCH(N1028, Criterios!$C$123:$C$128, 0)), "Temporada no válida", "")), IF(OR(O1028="", O1028=""), "[Aviso] Ciclo de vida no capturado ()", IF(ISNA(MATCH(O1028, Criterios!$D$123:$D$124, 0)), "Ciclo de vida no válido", ""))))</f>
        <v/>
      </c>
      <c r="AC1028" s="56" t="n"/>
      <c r="AD1028" s="51" t="n">
        <v>0</v>
      </c>
      <c r="AE1028" s="156" t="n"/>
      <c r="AF1028" s="51" t="n">
        <v>0</v>
      </c>
      <c r="AG1028" s="156" t="inlineStr">
        <is>
          <t>Catálogo existente</t>
        </is>
      </c>
      <c r="AH1028" s="156" t="inlineStr">
        <is>
          <t>Revisión 29/09/2026: Campos sin respaldo: U, X; Auditoría NetSuite 30/09/2026: llenado desde NetSuite [S] | 01/10/2026: complementado desde Shopify Stetson México (match por código de barras): WB Silueta, Enlace de imagen</t>
        </is>
      </c>
      <c r="AI1028" s="156" t="inlineStr">
        <is>
          <t>No</t>
        </is>
      </c>
      <c r="AJ1028" s="156" t="n"/>
      <c r="AK1028" s="155" t="inlineStr">
        <is>
          <t>Criterios: J [R]; G1522_Extraccion_Articulos_NetSuite_2026-09-30.xlsx: fila 57364 [S] | Shopify Stetson: producto 14694169018731 / variante 51996080111979</t>
        </is>
      </c>
      <c r="AL1028" s="58" t="n">
        <v>717.6724138</v>
      </c>
      <c r="AM1028" s="58" t="n">
        <v>1594.827586</v>
      </c>
      <c r="AN1028" s="155" t="inlineStr">
        <is>
          <t>Shopify Stetson México</t>
        </is>
      </c>
      <c r="AO1028" s="59" t="n">
        <v>0</v>
      </c>
      <c r="AP1028" s="59" t="n"/>
      <c r="AQ1028" s="59" t="n"/>
      <c r="AR1028" s="155" t="n"/>
    </row>
    <row r="1029">
      <c r="A1029" s="50" t="inlineStr">
        <is>
          <t>196070700770</t>
        </is>
      </c>
      <c r="B1029" s="51" t="inlineStr">
        <is>
          <t>109550</t>
        </is>
      </c>
      <c r="C1029" s="156" t="inlineStr">
        <is>
          <t>Multimarca</t>
        </is>
      </c>
      <c r="D1029" s="156" t="inlineStr">
        <is>
          <t>11-001-0465-0780</t>
        </is>
      </c>
      <c r="E1029" s="156" t="inlineStr">
        <is>
          <t>11-001-0465-0780-XXL</t>
        </is>
      </c>
      <c r="F1029" s="156" t="inlineStr">
        <is>
          <t>XXL</t>
        </is>
      </c>
      <c r="G1029" s="156" t="inlineStr">
        <is>
          <t>XXL</t>
        </is>
      </c>
      <c r="H1029" s="156" t="inlineStr">
        <is>
          <t>Stetson</t>
        </is>
      </c>
      <c r="I1029" s="156" t="inlineStr">
        <is>
          <t>Camisa Manga Larga Mezclilla Obscura Costura</t>
        </is>
      </c>
      <c r="J1029" s="156" t="inlineStr">
        <is>
          <t>Ropa</t>
        </is>
      </c>
      <c r="K1029" s="156" t="inlineStr">
        <is>
          <t>Camisas</t>
        </is>
      </c>
      <c r="L1029" s="156" t="inlineStr">
        <is>
          <t>Hombre</t>
        </is>
      </c>
      <c r="M1029" s="156" t="inlineStr">
        <is>
          <t>Stetson</t>
        </is>
      </c>
      <c r="N1029" s="156" t="inlineStr">
        <is>
          <t>SS26</t>
        </is>
      </c>
      <c r="O1029" s="156" t="inlineStr">
        <is>
          <t>Seasonal</t>
        </is>
      </c>
      <c r="P1029" s="156" t="inlineStr">
        <is>
          <t>Azul</t>
        </is>
      </c>
      <c r="Q1029" s="156" t="inlineStr">
        <is>
          <t>Clásico</t>
        </is>
      </c>
      <c r="R1029" s="156" t="n"/>
      <c r="S1029" s="156" t="inlineStr">
        <is>
          <t>Mezclilla</t>
        </is>
      </c>
      <c r="T1029"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9" s="156" t="n"/>
      <c r="V1029" s="156" t="inlineStr">
        <is>
          <t>PZS</t>
        </is>
      </c>
      <c r="W1029" s="51" t="inlineStr">
        <is>
          <t>53101600</t>
        </is>
      </c>
      <c r="X1029" s="156" t="inlineStr">
        <is>
          <t>https://cdn.shopify.com/s/files/1/0888/3250/8267/files/1100104650780a.jpg?v=1744302197</t>
        </is>
      </c>
      <c r="Y1029" s="54" t="n">
        <v>717.6724138</v>
      </c>
      <c r="Z1029" s="54" t="n">
        <v>1594.827586</v>
      </c>
      <c r="AA1029" s="55">
        <f>IF(AND(A1029="", B1029="", E1029=""), "", IF(AB1029="", "Válido", IF((LEN(AB1029)-LEN(SUBSTITUTE(AB1029,"; ","")))/2+1&gt;(LEN(AB1029)-LEN(SUBSTITUTE(AB1029,"[Aviso]","")))/7, "Con Incidencias", "Válido")))</f>
        <v/>
      </c>
      <c r="AB1029" s="56">
        <f>IF(AND(A1029="", B1029="", E1029=""), "", TEXTJOIN("; ", TRUE, IF(OR(TRIM(A1029&amp;"")="", ISNUMBER(SEARCH("FALTA", A1029))), "UPC faltante/inválido", ""), IF(AND(A1029&lt;&gt;"", IFERROR(_xlfn.XMATCH(A1029,$A$2:$A$2509,0,1)&lt;&gt;_xlfn.XMATCH(A1029,$A$2:$A$2509,0,-1),FALSE)), "Código de barras duplicado", ""), IF(AND(E1029&lt;&gt;"", COUNTIF($E$2:$E$2509, E1029)&gt;1), "SKU duplicado", ""), IF(OR(J1029="", J1029=""), "[Aviso] División no capturada ()", IF(ISNA(MATCH(J1029, Criterios!$A$123:$A$126, 0)), "División no válida", "")), IF(OR(K1029="", K1029=""), "[Aviso] Categoría no capturada ()", IF(ISNA(MATCH(K1029, Criterios!$A$81:$A$120, 0)), "Categoría no válida", IF(AND(J1029&lt;&gt;"", J1029&lt;&gt;"", J1029&lt;&gt;VLOOKUP(K1029, Criterios!$A$81:$B$120, 2, FALSE)), "División no coincide con Categoría", ""))), IF(OR(L1029="", L1029=""), "[Aviso] Género no capturado ()", IF(ISNA(MATCH(L1029, Criterios!$B$123:$B$127, 0)), "Género no válido", "")), IF(OR(N1029="", N1029=""), "[Aviso] Temporada no capturada ()", IF(ISNA(MATCH(N1029, Criterios!$C$123:$C$128, 0)), "Temporada no válida", "")), IF(OR(O1029="", O1029=""), "[Aviso] Ciclo de vida no capturado ()", IF(ISNA(MATCH(O1029, Criterios!$D$123:$D$124, 0)), "Ciclo de vida no válido", ""))))</f>
        <v/>
      </c>
      <c r="AC1029" s="56" t="n"/>
      <c r="AD1029" s="51" t="n">
        <v>0</v>
      </c>
      <c r="AE1029" s="156" t="n"/>
      <c r="AF1029" s="51" t="n">
        <v>0</v>
      </c>
      <c r="AG1029" s="156" t="inlineStr">
        <is>
          <t>Catálogo existente</t>
        </is>
      </c>
      <c r="AH1029" s="156" t="inlineStr">
        <is>
          <t>Revisión 29/09/2026: Campos sin respaldo: U, X; Auditoría NetSuite 30/09/2026: llenado desde NetSuite [S] | 01/10/2026: complementado desde Shopify Stetson México (match por código de barras): WB Silueta, Enlace de imagen</t>
        </is>
      </c>
      <c r="AI1029" s="156" t="inlineStr">
        <is>
          <t>No</t>
        </is>
      </c>
      <c r="AJ1029" s="156" t="n"/>
      <c r="AK1029" s="155" t="inlineStr">
        <is>
          <t>Criterios: J [R]; G1522_Extraccion_Articulos_NetSuite_2026-09-30.xlsx: fila 57365 [S] | Shopify Stetson: producto 14694169018731 / variante 51996082110827</t>
        </is>
      </c>
      <c r="AL1029" s="58" t="n">
        <v>717.6724138</v>
      </c>
      <c r="AM1029" s="58" t="n">
        <v>1594.827586</v>
      </c>
      <c r="AN1029" s="155" t="inlineStr">
        <is>
          <t>Shopify Stetson México</t>
        </is>
      </c>
      <c r="AO1029" s="59" t="n">
        <v>0</v>
      </c>
      <c r="AP1029" s="59" t="n"/>
      <c r="AQ1029" s="59" t="n"/>
      <c r="AR1029" s="155" t="n"/>
    </row>
    <row r="1030">
      <c r="A1030" s="50" t="inlineStr">
        <is>
          <t>196070701074</t>
        </is>
      </c>
      <c r="B1030" s="51" t="inlineStr">
        <is>
          <t>109561</t>
        </is>
      </c>
      <c r="C1030" s="156" t="inlineStr">
        <is>
          <t>Multimarca</t>
        </is>
      </c>
      <c r="D1030" s="156" t="inlineStr">
        <is>
          <t>11-001-0478-0737</t>
        </is>
      </c>
      <c r="E1030" s="156" t="inlineStr">
        <is>
          <t>11-001-0478-0737-XXL</t>
        </is>
      </c>
      <c r="F1030" s="156" t="inlineStr">
        <is>
          <t>XXL</t>
        </is>
      </c>
      <c r="G1030" s="156" t="inlineStr">
        <is>
          <t>XXL</t>
        </is>
      </c>
      <c r="H1030" s="156" t="inlineStr">
        <is>
          <t>Stetson</t>
        </is>
      </c>
      <c r="I1030" s="156" t="inlineStr">
        <is>
          <t>Camisa Manga Larga Cuadros Copper</t>
        </is>
      </c>
      <c r="J1030" s="156" t="inlineStr">
        <is>
          <t>Ropa</t>
        </is>
      </c>
      <c r="K1030" s="156" t="inlineStr">
        <is>
          <t>Camisas</t>
        </is>
      </c>
      <c r="L1030" s="156" t="inlineStr">
        <is>
          <t>Hombre</t>
        </is>
      </c>
      <c r="M1030" s="156" t="inlineStr">
        <is>
          <t>Stetson</t>
        </is>
      </c>
      <c r="N1030" s="156" t="inlineStr">
        <is>
          <t>SS26</t>
        </is>
      </c>
      <c r="O1030" s="156" t="inlineStr">
        <is>
          <t>Seasonal</t>
        </is>
      </c>
      <c r="P1030" s="156" t="inlineStr">
        <is>
          <t>Cafe</t>
        </is>
      </c>
      <c r="Q1030" s="156" t="inlineStr">
        <is>
          <t>Relajado</t>
        </is>
      </c>
      <c r="R1030" s="156" t="n"/>
      <c r="S1030" s="156" t="inlineStr">
        <is>
          <t>100% Algodón</t>
        </is>
      </c>
      <c r="T1030" s="156" t="inlineStr">
        <is>
          <t>Camisa Stetson a Cuadros para Caballero – Cuadros Copper 2149,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Copper Mine 2149
 • Material:
 100% algodón
 Tejido: Sarga cepillada (Brushed Twill)
 Acabado: Prenda prelavada (Garment Washed) para mayor suavidad
 • Color / Diseño:
 Estampado a cuadros (Plaid)
 Color Cuadros Café y Azul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30" s="156" t="n"/>
      <c r="V1030" s="156" t="inlineStr">
        <is>
          <t>PZS</t>
        </is>
      </c>
      <c r="W1030" s="51" t="inlineStr">
        <is>
          <t>53101600</t>
        </is>
      </c>
      <c r="X1030" s="156" t="inlineStr">
        <is>
          <t>https://cdn.shopify.com/s/files/1/0888/3250/8267/files/1100104780737a.jpg?v=1744390954</t>
        </is>
      </c>
      <c r="Y1030" s="54" t="n">
        <v>717.6724138</v>
      </c>
      <c r="Z1030" s="54" t="n">
        <v>1594.827586</v>
      </c>
      <c r="AA1030" s="55">
        <f>IF(AND(A1030="", B1030="", E1030=""), "", IF(AB1030="", "Válido", IF((LEN(AB1030)-LEN(SUBSTITUTE(AB1030,"; ","")))/2+1&gt;(LEN(AB1030)-LEN(SUBSTITUTE(AB1030,"[Aviso]","")))/7, "Con Incidencias", "Válido")))</f>
        <v/>
      </c>
      <c r="AB1030" s="56">
        <f>IF(AND(A1030="", B1030="", E1030=""), "", TEXTJOIN("; ", TRUE, IF(OR(TRIM(A1030&amp;"")="", ISNUMBER(SEARCH("FALTA", A1030))), "UPC faltante/inválido", ""), IF(AND(A1030&lt;&gt;"", IFERROR(_xlfn.XMATCH(A1030,$A$2:$A$2509,0,1)&lt;&gt;_xlfn.XMATCH(A1030,$A$2:$A$2509,0,-1),FALSE)), "Código de barras duplicado", ""), IF(AND(E1030&lt;&gt;"", COUNTIF($E$2:$E$2509, E1030)&gt;1), "SKU duplicado", ""), IF(OR(J1030="", J1030=""), "[Aviso] División no capturada ()", IF(ISNA(MATCH(J1030, Criterios!$A$123:$A$126, 0)), "División no válida", "")), IF(OR(K1030="", K1030=""), "[Aviso] Categoría no capturada ()", IF(ISNA(MATCH(K1030, Criterios!$A$81:$A$120, 0)), "Categoría no válida", IF(AND(J1030&lt;&gt;"", J1030&lt;&gt;"", J1030&lt;&gt;VLOOKUP(K1030, Criterios!$A$81:$B$120, 2, FALSE)), "División no coincide con Categoría", ""))), IF(OR(L1030="", L1030=""), "[Aviso] Género no capturado ()", IF(ISNA(MATCH(L1030, Criterios!$B$123:$B$127, 0)), "Género no válido", "")), IF(OR(N1030="", N1030=""), "[Aviso] Temporada no capturada ()", IF(ISNA(MATCH(N1030, Criterios!$C$123:$C$128, 0)), "Temporada no válida", "")), IF(OR(O1030="", O1030=""), "[Aviso] Ciclo de vida no capturado ()", IF(ISNA(MATCH(O1030, Criterios!$D$123:$D$124, 0)), "Ciclo de vida no válido", ""))))</f>
        <v/>
      </c>
      <c r="AC1030" s="56" t="n"/>
      <c r="AD1030" s="51" t="n">
        <v>0</v>
      </c>
      <c r="AE1030" s="156" t="n"/>
      <c r="AF1030" s="51" t="n">
        <v>0</v>
      </c>
      <c r="AG1030" s="156" t="inlineStr">
        <is>
          <t>Catálogo existente</t>
        </is>
      </c>
      <c r="AH103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30" s="156" t="inlineStr">
        <is>
          <t>No</t>
        </is>
      </c>
      <c r="AJ1030" s="156" t="n"/>
      <c r="AK1030" s="155" t="inlineStr">
        <is>
          <t>Criterios: J [R]; G1522_Extraccion_Articulos_NetSuite_2026-09-30.xlsx: fila 57376 [S] | Shopify Stetson: producto 14694475923819 / variante 51997304226155</t>
        </is>
      </c>
      <c r="AL1030" s="58" t="n">
        <v>717.6724138</v>
      </c>
      <c r="AM1030" s="58" t="n">
        <v>1594.827586</v>
      </c>
      <c r="AN1030" s="155" t="inlineStr">
        <is>
          <t>Shopify Stetson México</t>
        </is>
      </c>
      <c r="AO1030" s="59" t="n">
        <v>0</v>
      </c>
      <c r="AP1030" s="59" t="n"/>
      <c r="AQ1030" s="59" t="n"/>
      <c r="AR1030" s="155" t="n"/>
    </row>
    <row r="1031">
      <c r="A1031" s="50" t="inlineStr">
        <is>
          <t>196070701081</t>
        </is>
      </c>
      <c r="B1031" s="51" t="inlineStr">
        <is>
          <t>109562</t>
        </is>
      </c>
      <c r="C1031" s="156" t="inlineStr">
        <is>
          <t>Multimarca</t>
        </is>
      </c>
      <c r="D1031" s="156" t="inlineStr">
        <is>
          <t>11-001-0478-0737</t>
        </is>
      </c>
      <c r="E1031" s="156" t="inlineStr">
        <is>
          <t>11-001-0478-0737-3XL</t>
        </is>
      </c>
      <c r="F1031" s="156" t="inlineStr">
        <is>
          <t>XXXL</t>
        </is>
      </c>
      <c r="G1031" s="156" t="inlineStr">
        <is>
          <t>XXXL</t>
        </is>
      </c>
      <c r="H1031" s="156" t="inlineStr">
        <is>
          <t>Stetson</t>
        </is>
      </c>
      <c r="I1031" s="156" t="inlineStr">
        <is>
          <t>Camisa Manga Larga Cuadros Copper</t>
        </is>
      </c>
      <c r="J1031" s="156" t="inlineStr">
        <is>
          <t>Ropa</t>
        </is>
      </c>
      <c r="K1031" s="156" t="inlineStr">
        <is>
          <t>Camisas</t>
        </is>
      </c>
      <c r="L1031" s="156" t="inlineStr">
        <is>
          <t>Hombre</t>
        </is>
      </c>
      <c r="M1031" s="156" t="inlineStr">
        <is>
          <t>Stetson</t>
        </is>
      </c>
      <c r="N1031" s="156" t="inlineStr">
        <is>
          <t>SS26</t>
        </is>
      </c>
      <c r="O1031" s="156" t="inlineStr">
        <is>
          <t>Seasonal</t>
        </is>
      </c>
      <c r="P1031" s="156" t="inlineStr">
        <is>
          <t>Cafe</t>
        </is>
      </c>
      <c r="Q1031" s="156" t="inlineStr">
        <is>
          <t>Relajado</t>
        </is>
      </c>
      <c r="R1031" s="156" t="n"/>
      <c r="S1031" s="156" t="inlineStr">
        <is>
          <t>100% Algodón</t>
        </is>
      </c>
      <c r="T1031" s="156" t="inlineStr">
        <is>
          <t>Camisa Stetson a Cuadros para Caballero – Cuadros Copper 2149,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Copper Mine 2149
 • Material:
 100% algodón
 Tejido: Sarga cepillada (Brushed Twill)
 Acabado: Prenda prelavada (Garment Washed) para mayor suavidad
 • Color / Diseño:
 Estampado a cuadros (Plaid)
 Color Cuadros Café y Azul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31" s="156" t="n"/>
      <c r="V1031" s="156" t="inlineStr">
        <is>
          <t>PZS</t>
        </is>
      </c>
      <c r="W1031" s="51" t="inlineStr">
        <is>
          <t>53101600</t>
        </is>
      </c>
      <c r="X1031" s="156" t="inlineStr">
        <is>
          <t>https://cdn.shopify.com/s/files/1/0888/3250/8267/files/1100104780737b.jpg?v=1744390969</t>
        </is>
      </c>
      <c r="Y1031" s="54" t="n">
        <v>717.6724138</v>
      </c>
      <c r="Z1031" s="54" t="n">
        <v>1594.827586</v>
      </c>
      <c r="AA1031" s="55">
        <f>IF(AND(A1031="", B1031="", E1031=""), "", IF(AB1031="", "Válido", IF((LEN(AB1031)-LEN(SUBSTITUTE(AB1031,"; ","")))/2+1&gt;(LEN(AB1031)-LEN(SUBSTITUTE(AB1031,"[Aviso]","")))/7, "Con Incidencias", "Válido")))</f>
        <v/>
      </c>
      <c r="AB1031" s="56">
        <f>IF(AND(A1031="", B1031="", E1031=""), "", TEXTJOIN("; ", TRUE, IF(OR(TRIM(A1031&amp;"")="", ISNUMBER(SEARCH("FALTA", A1031))), "UPC faltante/inválido", ""), IF(AND(A1031&lt;&gt;"", IFERROR(_xlfn.XMATCH(A1031,$A$2:$A$2509,0,1)&lt;&gt;_xlfn.XMATCH(A1031,$A$2:$A$2509,0,-1),FALSE)), "Código de barras duplicado", ""), IF(AND(E1031&lt;&gt;"", COUNTIF($E$2:$E$2509, E1031)&gt;1), "SKU duplicado", ""), IF(OR(J1031="", J1031=""), "[Aviso] División no capturada ()", IF(ISNA(MATCH(J1031, Criterios!$A$123:$A$126, 0)), "División no válida", "")), IF(OR(K1031="", K1031=""), "[Aviso] Categoría no capturada ()", IF(ISNA(MATCH(K1031, Criterios!$A$81:$A$120, 0)), "Categoría no válida", IF(AND(J1031&lt;&gt;"", J1031&lt;&gt;"", J1031&lt;&gt;VLOOKUP(K1031, Criterios!$A$81:$B$120, 2, FALSE)), "División no coincide con Categoría", ""))), IF(OR(L1031="", L1031=""), "[Aviso] Género no capturado ()", IF(ISNA(MATCH(L1031, Criterios!$B$123:$B$127, 0)), "Género no válido", "")), IF(OR(N1031="", N1031=""), "[Aviso] Temporada no capturada ()", IF(ISNA(MATCH(N1031, Criterios!$C$123:$C$128, 0)), "Temporada no válida", "")), IF(OR(O1031="", O1031=""), "[Aviso] Ciclo de vida no capturado ()", IF(ISNA(MATCH(O1031, Criterios!$D$123:$D$124, 0)), "Ciclo de vida no válido", ""))))</f>
        <v/>
      </c>
      <c r="AC1031" s="56" t="n"/>
      <c r="AD1031" s="51" t="n">
        <v>0</v>
      </c>
      <c r="AE1031" s="156" t="n"/>
      <c r="AF1031" s="51" t="n">
        <v>0</v>
      </c>
      <c r="AG1031" s="156" t="inlineStr">
        <is>
          <t>Catálogo existente</t>
        </is>
      </c>
      <c r="AH103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31" s="156" t="inlineStr">
        <is>
          <t>No</t>
        </is>
      </c>
      <c r="AJ1031" s="156" t="n"/>
      <c r="AK1031" s="155" t="inlineStr">
        <is>
          <t>Criterios: J [R]; G1522_Extraccion_Articulos_NetSuite_2026-09-30.xlsx: fila 57377 [S] | Shopify Stetson: producto 14694475923819 / variante 51997308911979</t>
        </is>
      </c>
      <c r="AL1031" s="58" t="n">
        <v>717.6724138</v>
      </c>
      <c r="AM1031" s="58" t="n">
        <v>1594.827586</v>
      </c>
      <c r="AN1031" s="155" t="inlineStr">
        <is>
          <t>Shopify Stetson México</t>
        </is>
      </c>
      <c r="AO1031" s="59" t="n">
        <v>0</v>
      </c>
      <c r="AP1031" s="59" t="n"/>
      <c r="AQ1031" s="59" t="n"/>
      <c r="AR1031" s="155" t="n"/>
    </row>
    <row r="1032">
      <c r="A1032" s="50" t="inlineStr">
        <is>
          <t>196070702354</t>
        </is>
      </c>
      <c r="B1032" s="51" t="inlineStr">
        <is>
          <t>110584</t>
        </is>
      </c>
      <c r="C1032" s="156" t="inlineStr">
        <is>
          <t>Multimarca</t>
        </is>
      </c>
      <c r="D1032" s="156" t="inlineStr">
        <is>
          <t>11-004-1015-6002</t>
        </is>
      </c>
      <c r="E1032" s="156" t="inlineStr">
        <is>
          <t>11-004-1015-6002-29 32</t>
        </is>
      </c>
      <c r="F1032" s="156" t="inlineStr">
        <is>
          <t>29 x 32</t>
        </is>
      </c>
      <c r="G1032" s="156" t="inlineStr">
        <is>
          <t>29W / 32L</t>
        </is>
      </c>
      <c r="H1032" s="156" t="inlineStr">
        <is>
          <t>Stetson</t>
        </is>
      </c>
      <c r="I1032" s="156" t="inlineStr">
        <is>
          <t>Jean Lavado Medio con Bordado X en Bolsa</t>
        </is>
      </c>
      <c r="J1032" s="156" t="inlineStr">
        <is>
          <t>Denim</t>
        </is>
      </c>
      <c r="K1032" s="156" t="inlineStr">
        <is>
          <t>Jeans</t>
        </is>
      </c>
      <c r="L1032" s="156" t="inlineStr">
        <is>
          <t>Hombre</t>
        </is>
      </c>
      <c r="M1032" s="156" t="inlineStr">
        <is>
          <t>Stetson</t>
        </is>
      </c>
      <c r="N1032" s="156" t="inlineStr">
        <is>
          <t>SS26</t>
        </is>
      </c>
      <c r="O1032" s="156" t="inlineStr">
        <is>
          <t>Seasonal</t>
        </is>
      </c>
      <c r="P1032" s="156" t="inlineStr">
        <is>
          <t>Azul</t>
        </is>
      </c>
      <c r="Q1032" s="156" t="inlineStr">
        <is>
          <t>Slim</t>
        </is>
      </c>
      <c r="R1032" s="156" t="inlineStr">
        <is>
          <t>Recto</t>
        </is>
      </c>
      <c r="S1032" s="156" t="inlineStr">
        <is>
          <t>99% Algodón 1% Elastano</t>
        </is>
      </c>
      <c r="T1032" s="156" t="inlineStr">
        <is>
          <t>Jean Lavado Medio con Bordado X en Bolsa Fitted</t>
        </is>
      </c>
      <c r="U1032" s="156" t="n"/>
      <c r="V1032" s="156" t="inlineStr">
        <is>
          <t>PZS</t>
        </is>
      </c>
      <c r="W1032" s="51" t="inlineStr">
        <is>
          <t>53101502</t>
        </is>
      </c>
      <c r="X1032" s="156" t="n"/>
      <c r="Y1032" s="54" t="n">
        <v>814.6551724</v>
      </c>
      <c r="Z1032" s="54" t="n">
        <v>1810.344828</v>
      </c>
      <c r="AA1032" s="55">
        <f>IF(AND(A1032="", B1032="", E1032=""), "", IF(AB1032="", "Válido", IF((LEN(AB1032)-LEN(SUBSTITUTE(AB1032,"; ","")))/2+1&gt;(LEN(AB1032)-LEN(SUBSTITUTE(AB1032,"[Aviso]","")))/7, "Con Incidencias", "Válido")))</f>
        <v/>
      </c>
      <c r="AB1032" s="56">
        <f>IF(AND(A1032="", B1032="", E1032=""), "", TEXTJOIN("; ", TRUE, IF(OR(TRIM(A1032&amp;"")="", ISNUMBER(SEARCH("FALTA", A1032))), "UPC faltante/inválido", ""), IF(AND(A1032&lt;&gt;"", IFERROR(_xlfn.XMATCH(A1032,$A$2:$A$2509,0,1)&lt;&gt;_xlfn.XMATCH(A1032,$A$2:$A$2509,0,-1),FALSE)), "Código de barras duplicado", ""), IF(AND(E1032&lt;&gt;"", COUNTIF($E$2:$E$2509, E1032)&gt;1), "SKU duplicado", ""), IF(OR(J1032="", J1032=""), "[Aviso] División no capturada ()", IF(ISNA(MATCH(J1032, Criterios!$A$123:$A$126, 0)), "División no válida", "")), IF(OR(K1032="", K1032=""), "[Aviso] Categoría no capturada ()", IF(ISNA(MATCH(K1032, Criterios!$A$81:$A$120, 0)), "Categoría no válida", IF(AND(J1032&lt;&gt;"", J1032&lt;&gt;"", J1032&lt;&gt;VLOOKUP(K1032, Criterios!$A$81:$B$120, 2, FALSE)), "División no coincide con Categoría", ""))), IF(OR(L1032="", L1032=""), "[Aviso] Género no capturado ()", IF(ISNA(MATCH(L1032, Criterios!$B$123:$B$127, 0)), "Género no válido", "")), IF(OR(N1032="", N1032=""), "[Aviso] Temporada no capturada ()", IF(ISNA(MATCH(N1032, Criterios!$C$123:$C$128, 0)), "Temporada no válida", "")), IF(OR(O1032="", O1032=""), "[Aviso] Ciclo de vida no capturado ()", IF(ISNA(MATCH(O1032, Criterios!$D$123:$D$124, 0)), "Ciclo de vida no válido", ""))))</f>
        <v/>
      </c>
      <c r="AC1032" s="56" t="n"/>
      <c r="AD1032" s="51" t="n">
        <v>-2</v>
      </c>
      <c r="AE1032" s="156" t="n"/>
      <c r="AF1032" s="51" t="n">
        <v>0</v>
      </c>
      <c r="AG1032" s="156" t="inlineStr">
        <is>
          <t>Catálogo existente</t>
        </is>
      </c>
      <c r="AH1032" s="156" t="inlineStr">
        <is>
          <t>Stock negativo en sistema: revisar en conteo</t>
        </is>
      </c>
      <c r="AI1032" s="156" t="inlineStr">
        <is>
          <t>Sí</t>
        </is>
      </c>
      <c r="AJ1032" s="156" t="inlineStr">
        <is>
          <t>STETSON AMERICAS (-2)</t>
        </is>
      </c>
      <c r="AK1032" s="155" t="inlineStr">
        <is>
          <t>Shopify Stetson: producto 15051554357611 / variante 53342126408043 | Odoo: producto 29825 / plantilla 38529</t>
        </is>
      </c>
      <c r="AL1032" s="58" t="n">
        <v>814.6551724</v>
      </c>
      <c r="AM1032" s="58" t="n">
        <v>1810.344828</v>
      </c>
      <c r="AN1032" s="155" t="inlineStr">
        <is>
          <t>Shopify Stetson México | Odoo Universal Unique Brands</t>
        </is>
      </c>
      <c r="AO1032" s="59" t="n">
        <v>0</v>
      </c>
      <c r="AP1032" s="59" t="n"/>
      <c r="AQ1032" s="59" t="n">
        <v>2</v>
      </c>
      <c r="AR1032" s="155" t="inlineStr">
        <is>
          <t>Odoo Universal Unique Brands › Bodega 25 › Bodega 25/General: 2</t>
        </is>
      </c>
    </row>
    <row r="1033">
      <c r="A1033" s="50" t="inlineStr">
        <is>
          <t>196070702408</t>
        </is>
      </c>
      <c r="B1033" s="51" t="inlineStr">
        <is>
          <t>110585</t>
        </is>
      </c>
      <c r="C1033" s="156" t="inlineStr">
        <is>
          <t>Multimarca</t>
        </is>
      </c>
      <c r="D1033" s="156" t="inlineStr">
        <is>
          <t>11-004-1015-6002</t>
        </is>
      </c>
      <c r="E1033" s="156" t="inlineStr">
        <is>
          <t>11-004-1015-6002-30 32</t>
        </is>
      </c>
      <c r="F1033" s="156" t="inlineStr">
        <is>
          <t>30 x 32</t>
        </is>
      </c>
      <c r="G1033" s="156" t="inlineStr">
        <is>
          <t>30W / 32L</t>
        </is>
      </c>
      <c r="H1033" s="156" t="inlineStr">
        <is>
          <t>Stetson</t>
        </is>
      </c>
      <c r="I1033" s="156" t="inlineStr">
        <is>
          <t>Jean Lavado Medio con Bordado X en Bolsa</t>
        </is>
      </c>
      <c r="J1033" s="156" t="inlineStr">
        <is>
          <t>Denim</t>
        </is>
      </c>
      <c r="K1033" s="156" t="inlineStr">
        <is>
          <t>Jeans</t>
        </is>
      </c>
      <c r="L1033" s="156" t="inlineStr">
        <is>
          <t>Hombre</t>
        </is>
      </c>
      <c r="M1033" s="156" t="inlineStr">
        <is>
          <t>Stetson</t>
        </is>
      </c>
      <c r="N1033" s="156" t="inlineStr">
        <is>
          <t>SS26</t>
        </is>
      </c>
      <c r="O1033" s="156" t="inlineStr">
        <is>
          <t>Seasonal</t>
        </is>
      </c>
      <c r="P1033" s="156" t="inlineStr">
        <is>
          <t>Azul</t>
        </is>
      </c>
      <c r="Q1033" s="156" t="inlineStr">
        <is>
          <t>Slim</t>
        </is>
      </c>
      <c r="R1033" s="156" t="inlineStr">
        <is>
          <t>Recto</t>
        </is>
      </c>
      <c r="S1033" s="156" t="inlineStr">
        <is>
          <t>99% Algodón 1% Elastano</t>
        </is>
      </c>
      <c r="T1033" s="156" t="inlineStr">
        <is>
          <t>Jean Lavado Medio con Bordado X en Bolsa Fitted</t>
        </is>
      </c>
      <c r="U1033" s="156" t="n"/>
      <c r="V1033" s="156" t="inlineStr">
        <is>
          <t>PZS</t>
        </is>
      </c>
      <c r="W1033" s="51" t="inlineStr">
        <is>
          <t>53101502</t>
        </is>
      </c>
      <c r="X1033" s="156" t="n"/>
      <c r="Y1033" s="54" t="n">
        <v>814.6551724</v>
      </c>
      <c r="Z1033" s="54" t="n">
        <v>1810.344828</v>
      </c>
      <c r="AA1033" s="55">
        <f>IF(AND(A1033="", B1033="", E1033=""), "", IF(AB1033="", "Válido", IF((LEN(AB1033)-LEN(SUBSTITUTE(AB1033,"; ","")))/2+1&gt;(LEN(AB1033)-LEN(SUBSTITUTE(AB1033,"[Aviso]","")))/7, "Con Incidencias", "Válido")))</f>
        <v/>
      </c>
      <c r="AB1033" s="56">
        <f>IF(AND(A1033="", B1033="", E1033=""), "", TEXTJOIN("; ", TRUE, IF(OR(TRIM(A1033&amp;"")="", ISNUMBER(SEARCH("FALTA", A1033))), "UPC faltante/inválido", ""), IF(AND(A1033&lt;&gt;"", IFERROR(_xlfn.XMATCH(A1033,$A$2:$A$2509,0,1)&lt;&gt;_xlfn.XMATCH(A1033,$A$2:$A$2509,0,-1),FALSE)), "Código de barras duplicado", ""), IF(AND(E1033&lt;&gt;"", COUNTIF($E$2:$E$2509, E1033)&gt;1), "SKU duplicado", ""), IF(OR(J1033="", J1033=""), "[Aviso] División no capturada ()", IF(ISNA(MATCH(J1033, Criterios!$A$123:$A$126, 0)), "División no válida", "")), IF(OR(K1033="", K1033=""), "[Aviso] Categoría no capturada ()", IF(ISNA(MATCH(K1033, Criterios!$A$81:$A$120, 0)), "Categoría no válida", IF(AND(J1033&lt;&gt;"", J1033&lt;&gt;"", J1033&lt;&gt;VLOOKUP(K1033, Criterios!$A$81:$B$120, 2, FALSE)), "División no coincide con Categoría", ""))), IF(OR(L1033="", L1033=""), "[Aviso] Género no capturado ()", IF(ISNA(MATCH(L1033, Criterios!$B$123:$B$127, 0)), "Género no válido", "")), IF(OR(N1033="", N1033=""), "[Aviso] Temporada no capturada ()", IF(ISNA(MATCH(N1033, Criterios!$C$123:$C$128, 0)), "Temporada no válida", "")), IF(OR(O1033="", O1033=""), "[Aviso] Ciclo de vida no capturado ()", IF(ISNA(MATCH(O1033, Criterios!$D$123:$D$124, 0)), "Ciclo de vida no válido", ""))))</f>
        <v/>
      </c>
      <c r="AC1033" s="56" t="n"/>
      <c r="AD1033" s="51" t="n">
        <v>-4</v>
      </c>
      <c r="AE1033" s="156" t="n"/>
      <c r="AF1033" s="51" t="n">
        <v>0</v>
      </c>
      <c r="AG1033" s="156" t="inlineStr">
        <is>
          <t>Catálogo existente</t>
        </is>
      </c>
      <c r="AH1033" s="156" t="inlineStr">
        <is>
          <t>Stock negativo en sistema: revisar en conteo</t>
        </is>
      </c>
      <c r="AI1033" s="156" t="inlineStr">
        <is>
          <t>Sí</t>
        </is>
      </c>
      <c r="AJ1033" s="156" t="inlineStr">
        <is>
          <t>STETSON AMERICAS (-4)</t>
        </is>
      </c>
      <c r="AK1033" s="155" t="inlineStr">
        <is>
          <t>Shopify Stetson: producto 15051554357611 / variante 53342126440811 | Odoo: producto 29826 / plantilla 38530</t>
        </is>
      </c>
      <c r="AL1033" s="58" t="n">
        <v>814.6551724</v>
      </c>
      <c r="AM1033" s="58" t="n">
        <v>1810.344828</v>
      </c>
      <c r="AN1033" s="155" t="inlineStr">
        <is>
          <t>Shopify Stetson México | Odoo Universal Unique Brands</t>
        </is>
      </c>
      <c r="AO1033" s="59" t="n">
        <v>0</v>
      </c>
      <c r="AP1033" s="59" t="n"/>
      <c r="AQ1033" s="59" t="n">
        <v>4</v>
      </c>
      <c r="AR1033" s="155" t="inlineStr">
        <is>
          <t>Odoo Universal Unique Brands › Bodega 25 › Bodega 25/General: 4</t>
        </is>
      </c>
    </row>
    <row r="1034">
      <c r="A1034" s="50" t="inlineStr">
        <is>
          <t>196070702453</t>
        </is>
      </c>
      <c r="B1034" s="51" t="inlineStr">
        <is>
          <t>110586</t>
        </is>
      </c>
      <c r="C1034" s="156" t="inlineStr">
        <is>
          <t>Multimarca</t>
        </is>
      </c>
      <c r="D1034" s="156" t="inlineStr">
        <is>
          <t>11-004-1015-6002</t>
        </is>
      </c>
      <c r="E1034" s="156" t="inlineStr">
        <is>
          <t>11-004-1015-6002-31 32</t>
        </is>
      </c>
      <c r="F1034" s="156" t="inlineStr">
        <is>
          <t>31 x 32</t>
        </is>
      </c>
      <c r="G1034" s="156" t="inlineStr">
        <is>
          <t>31W / 32L</t>
        </is>
      </c>
      <c r="H1034" s="156" t="inlineStr">
        <is>
          <t>Stetson</t>
        </is>
      </c>
      <c r="I1034" s="156" t="inlineStr">
        <is>
          <t>Jean Lavado Medio con Bordado X en Bolsa</t>
        </is>
      </c>
      <c r="J1034" s="156" t="inlineStr">
        <is>
          <t>Denim</t>
        </is>
      </c>
      <c r="K1034" s="156" t="inlineStr">
        <is>
          <t>Jeans</t>
        </is>
      </c>
      <c r="L1034" s="156" t="inlineStr">
        <is>
          <t>Hombre</t>
        </is>
      </c>
      <c r="M1034" s="156" t="inlineStr">
        <is>
          <t>Stetson</t>
        </is>
      </c>
      <c r="N1034" s="156" t="inlineStr">
        <is>
          <t>SS26</t>
        </is>
      </c>
      <c r="O1034" s="156" t="inlineStr">
        <is>
          <t>Seasonal</t>
        </is>
      </c>
      <c r="P1034" s="156" t="inlineStr">
        <is>
          <t>Azul</t>
        </is>
      </c>
      <c r="Q1034" s="156" t="inlineStr">
        <is>
          <t>Slim</t>
        </is>
      </c>
      <c r="R1034" s="156" t="inlineStr">
        <is>
          <t>Recto</t>
        </is>
      </c>
      <c r="S1034" s="156" t="inlineStr">
        <is>
          <t>99% Algodón 1% Elastano</t>
        </is>
      </c>
      <c r="T1034" s="156" t="inlineStr">
        <is>
          <t>Jean Lavado Medio con Bordado X en Bolsa Fitted</t>
        </is>
      </c>
      <c r="U1034" s="156" t="n"/>
      <c r="V1034" s="156" t="inlineStr">
        <is>
          <t>PZS</t>
        </is>
      </c>
      <c r="W1034" s="51" t="inlineStr">
        <is>
          <t>53101502</t>
        </is>
      </c>
      <c r="X1034" s="156" t="n"/>
      <c r="Y1034" s="54" t="n">
        <v>814.6551724</v>
      </c>
      <c r="Z1034" s="54" t="n">
        <v>1810.344828</v>
      </c>
      <c r="AA1034" s="55">
        <f>IF(AND(A1034="", B1034="", E1034=""), "", IF(AB1034="", "Válido", IF((LEN(AB1034)-LEN(SUBSTITUTE(AB1034,"; ","")))/2+1&gt;(LEN(AB1034)-LEN(SUBSTITUTE(AB1034,"[Aviso]","")))/7, "Con Incidencias", "Válido")))</f>
        <v/>
      </c>
      <c r="AB1034" s="56">
        <f>IF(AND(A1034="", B1034="", E1034=""), "", TEXTJOIN("; ", TRUE, IF(OR(TRIM(A1034&amp;"")="", ISNUMBER(SEARCH("FALTA", A1034))), "UPC faltante/inválido", ""), IF(AND(A1034&lt;&gt;"", IFERROR(_xlfn.XMATCH(A1034,$A$2:$A$2509,0,1)&lt;&gt;_xlfn.XMATCH(A1034,$A$2:$A$2509,0,-1),FALSE)), "Código de barras duplicado", ""), IF(AND(E1034&lt;&gt;"", COUNTIF($E$2:$E$2509, E1034)&gt;1), "SKU duplicado", ""), IF(OR(J1034="", J1034=""), "[Aviso] División no capturada ()", IF(ISNA(MATCH(J1034, Criterios!$A$123:$A$126, 0)), "División no válida", "")), IF(OR(K1034="", K1034=""), "[Aviso] Categoría no capturada ()", IF(ISNA(MATCH(K1034, Criterios!$A$81:$A$120, 0)), "Categoría no válida", IF(AND(J1034&lt;&gt;"", J1034&lt;&gt;"", J1034&lt;&gt;VLOOKUP(K1034, Criterios!$A$81:$B$120, 2, FALSE)), "División no coincide con Categoría", ""))), IF(OR(L1034="", L1034=""), "[Aviso] Género no capturado ()", IF(ISNA(MATCH(L1034, Criterios!$B$123:$B$127, 0)), "Género no válido", "")), IF(OR(N1034="", N1034=""), "[Aviso] Temporada no capturada ()", IF(ISNA(MATCH(N1034, Criterios!$C$123:$C$128, 0)), "Temporada no válida", "")), IF(OR(O1034="", O1034=""), "[Aviso] Ciclo de vida no capturado ()", IF(ISNA(MATCH(O1034, Criterios!$D$123:$D$124, 0)), "Ciclo de vida no válido", ""))))</f>
        <v/>
      </c>
      <c r="AC1034" s="56" t="n"/>
      <c r="AD1034" s="51" t="n">
        <v>-1</v>
      </c>
      <c r="AE1034" s="156" t="n"/>
      <c r="AF1034" s="51" t="n">
        <v>0</v>
      </c>
      <c r="AG1034" s="156" t="inlineStr">
        <is>
          <t>Catálogo existente</t>
        </is>
      </c>
      <c r="AH1034" s="156" t="inlineStr">
        <is>
          <t>Stock negativo en sistema: revisar en conteo</t>
        </is>
      </c>
      <c r="AI1034" s="156" t="inlineStr">
        <is>
          <t>Sí</t>
        </is>
      </c>
      <c r="AJ1034" s="156" t="inlineStr">
        <is>
          <t>STETSON AMERICAS (-1)</t>
        </is>
      </c>
      <c r="AK1034" s="155" t="inlineStr">
        <is>
          <t>Shopify Stetson: producto 15051554357611 / variante 53342126473579 | Odoo: producto 29827 / plantilla 38531</t>
        </is>
      </c>
      <c r="AL1034" s="58" t="n">
        <v>814.6551724</v>
      </c>
      <c r="AM1034" s="58" t="n">
        <v>1810.344828</v>
      </c>
      <c r="AN1034" s="155" t="inlineStr">
        <is>
          <t>Shopify Stetson México | Odoo Universal Unique Brands</t>
        </is>
      </c>
      <c r="AO1034" s="59" t="n">
        <v>3</v>
      </c>
      <c r="AP1034" s="59" t="n"/>
      <c r="AQ1034" s="59" t="n">
        <v>4</v>
      </c>
      <c r="AR1034" s="155" t="inlineStr">
        <is>
          <t>Shopify Stetson México › Stetson Americas: 3 | Odoo Universal Unique Brands › Bodega 25 › Bodega 25/General: 4</t>
        </is>
      </c>
    </row>
    <row r="1035">
      <c r="A1035" s="50" t="inlineStr">
        <is>
          <t>196070702514</t>
        </is>
      </c>
      <c r="B1035" s="51" t="inlineStr">
        <is>
          <t>110587</t>
        </is>
      </c>
      <c r="C1035" s="156" t="inlineStr">
        <is>
          <t>Multimarca</t>
        </is>
      </c>
      <c r="D1035" s="156" t="inlineStr">
        <is>
          <t>11-004-1015-6002</t>
        </is>
      </c>
      <c r="E1035" s="156" t="inlineStr">
        <is>
          <t>11-004-1015-6002-32 32</t>
        </is>
      </c>
      <c r="F1035" s="156" t="inlineStr">
        <is>
          <t>32 x 32</t>
        </is>
      </c>
      <c r="G1035" s="156" t="inlineStr">
        <is>
          <t>32W / 32L</t>
        </is>
      </c>
      <c r="H1035" s="156" t="inlineStr">
        <is>
          <t>Stetson</t>
        </is>
      </c>
      <c r="I1035" s="156" t="inlineStr">
        <is>
          <t>Jean Lavado Medio con Bordado X en Bolsa</t>
        </is>
      </c>
      <c r="J1035" s="156" t="inlineStr">
        <is>
          <t>Denim</t>
        </is>
      </c>
      <c r="K1035" s="156" t="inlineStr">
        <is>
          <t>Jeans</t>
        </is>
      </c>
      <c r="L1035" s="156" t="inlineStr">
        <is>
          <t>Hombre</t>
        </is>
      </c>
      <c r="M1035" s="156" t="inlineStr">
        <is>
          <t>Stetson</t>
        </is>
      </c>
      <c r="N1035" s="156" t="inlineStr">
        <is>
          <t>SS26</t>
        </is>
      </c>
      <c r="O1035" s="156" t="inlineStr">
        <is>
          <t>Seasonal</t>
        </is>
      </c>
      <c r="P1035" s="156" t="inlineStr">
        <is>
          <t>Azul</t>
        </is>
      </c>
      <c r="Q1035" s="156" t="inlineStr">
        <is>
          <t>Slim</t>
        </is>
      </c>
      <c r="R1035" s="156" t="inlineStr">
        <is>
          <t>Recto</t>
        </is>
      </c>
      <c r="S1035" s="156" t="inlineStr">
        <is>
          <t>99% Algodón 1% Elastano</t>
        </is>
      </c>
      <c r="T1035" s="156" t="inlineStr">
        <is>
          <t>Jean Lavado Medio con Bordado X en Bolsa Fitted</t>
        </is>
      </c>
      <c r="U1035" s="156" t="n"/>
      <c r="V1035" s="156" t="inlineStr">
        <is>
          <t>PZS</t>
        </is>
      </c>
      <c r="W1035" s="51" t="inlineStr">
        <is>
          <t>53101502</t>
        </is>
      </c>
      <c r="X1035" s="156" t="n"/>
      <c r="Y1035" s="54" t="n">
        <v>814.6551724</v>
      </c>
      <c r="Z1035" s="54" t="n">
        <v>1810.344828</v>
      </c>
      <c r="AA1035" s="55">
        <f>IF(AND(A1035="", B1035="", E1035=""), "", IF(AB1035="", "Válido", IF((LEN(AB1035)-LEN(SUBSTITUTE(AB1035,"; ","")))/2+1&gt;(LEN(AB1035)-LEN(SUBSTITUTE(AB1035,"[Aviso]","")))/7, "Con Incidencias", "Válido")))</f>
        <v/>
      </c>
      <c r="AB1035" s="56">
        <f>IF(AND(A1035="", B1035="", E1035=""), "", TEXTJOIN("; ", TRUE, IF(OR(TRIM(A1035&amp;"")="", ISNUMBER(SEARCH("FALTA", A1035))), "UPC faltante/inválido", ""), IF(AND(A1035&lt;&gt;"", IFERROR(_xlfn.XMATCH(A1035,$A$2:$A$2509,0,1)&lt;&gt;_xlfn.XMATCH(A1035,$A$2:$A$2509,0,-1),FALSE)), "Código de barras duplicado", ""), IF(AND(E1035&lt;&gt;"", COUNTIF($E$2:$E$2509, E1035)&gt;1), "SKU duplicado", ""), IF(OR(J1035="", J1035=""), "[Aviso] División no capturada ()", IF(ISNA(MATCH(J1035, Criterios!$A$123:$A$126, 0)), "División no válida", "")), IF(OR(K1035="", K1035=""), "[Aviso] Categoría no capturada ()", IF(ISNA(MATCH(K1035, Criterios!$A$81:$A$120, 0)), "Categoría no válida", IF(AND(J1035&lt;&gt;"", J1035&lt;&gt;"", J1035&lt;&gt;VLOOKUP(K1035, Criterios!$A$81:$B$120, 2, FALSE)), "División no coincide con Categoría", ""))), IF(OR(L1035="", L1035=""), "[Aviso] Género no capturado ()", IF(ISNA(MATCH(L1035, Criterios!$B$123:$B$127, 0)), "Género no válido", "")), IF(OR(N1035="", N1035=""), "[Aviso] Temporada no capturada ()", IF(ISNA(MATCH(N1035, Criterios!$C$123:$C$128, 0)), "Temporada no válida", "")), IF(OR(O1035="", O1035=""), "[Aviso] Ciclo de vida no capturado ()", IF(ISNA(MATCH(O1035, Criterios!$D$123:$D$124, 0)), "Ciclo de vida no válido", ""))))</f>
        <v/>
      </c>
      <c r="AC1035" s="56" t="n"/>
      <c r="AD1035" s="51" t="n">
        <v>-7</v>
      </c>
      <c r="AE1035" s="156" t="n"/>
      <c r="AF1035" s="51" t="n">
        <v>0</v>
      </c>
      <c r="AG1035" s="156" t="inlineStr">
        <is>
          <t>Catálogo existente</t>
        </is>
      </c>
      <c r="AH1035" s="156" t="inlineStr">
        <is>
          <t>Stock negativo en sistema: revisar en conteo</t>
        </is>
      </c>
      <c r="AI1035" s="156" t="inlineStr">
        <is>
          <t>Sí</t>
        </is>
      </c>
      <c r="AJ1035" s="156" t="inlineStr">
        <is>
          <t>STETSON AMERICAS (-7)</t>
        </is>
      </c>
      <c r="AK1035" s="155" t="inlineStr">
        <is>
          <t>Shopify Stetson: producto 15051554357611 / variante 53342126506347 | Odoo: producto 29828 / plantilla 38532</t>
        </is>
      </c>
      <c r="AL1035" s="58" t="n">
        <v>814.6551724</v>
      </c>
      <c r="AM1035" s="58" t="n">
        <v>1810.344828</v>
      </c>
      <c r="AN1035" s="155" t="inlineStr">
        <is>
          <t>Shopify Stetson México | Odoo Universal Unique Brands</t>
        </is>
      </c>
      <c r="AO1035" s="59" t="n">
        <v>1</v>
      </c>
      <c r="AP1035" s="59" t="n"/>
      <c r="AQ1035" s="59" t="n">
        <v>8</v>
      </c>
      <c r="AR1035" s="155" t="inlineStr">
        <is>
          <t>Shopify Stetson México › Stetson Americas: 1 | Odoo Universal Unique Brands › Bodega 25 › Bodega 25/General: 8</t>
        </is>
      </c>
    </row>
    <row r="1036">
      <c r="A1036" s="50" t="inlineStr">
        <is>
          <t>196070702521</t>
        </is>
      </c>
      <c r="B1036" s="51" t="inlineStr">
        <is>
          <t>110588</t>
        </is>
      </c>
      <c r="C1036" s="156" t="inlineStr">
        <is>
          <t>Multimarca</t>
        </is>
      </c>
      <c r="D1036" s="156" t="inlineStr">
        <is>
          <t>11-004-1015-6002</t>
        </is>
      </c>
      <c r="E1036" s="156" t="inlineStr">
        <is>
          <t>11-004-1015-6002-32 34</t>
        </is>
      </c>
      <c r="F1036" s="156" t="inlineStr">
        <is>
          <t>32 x 34</t>
        </is>
      </c>
      <c r="G1036" s="156" t="inlineStr">
        <is>
          <t>32W / 34L</t>
        </is>
      </c>
      <c r="H1036" s="156" t="inlineStr">
        <is>
          <t>Stetson</t>
        </is>
      </c>
      <c r="I1036" s="156" t="inlineStr">
        <is>
          <t>Jean Lavado Medio con Bordado X en Bolsa</t>
        </is>
      </c>
      <c r="J1036" s="156" t="inlineStr">
        <is>
          <t>Denim</t>
        </is>
      </c>
      <c r="K1036" s="156" t="inlineStr">
        <is>
          <t>Jeans</t>
        </is>
      </c>
      <c r="L1036" s="156" t="inlineStr">
        <is>
          <t>Hombre</t>
        </is>
      </c>
      <c r="M1036" s="156" t="inlineStr">
        <is>
          <t>Stetson</t>
        </is>
      </c>
      <c r="N1036" s="156" t="inlineStr">
        <is>
          <t>SS26</t>
        </is>
      </c>
      <c r="O1036" s="156" t="inlineStr">
        <is>
          <t>Seasonal</t>
        </is>
      </c>
      <c r="P1036" s="156" t="inlineStr">
        <is>
          <t>Azul</t>
        </is>
      </c>
      <c r="Q1036" s="156" t="inlineStr">
        <is>
          <t>Slim</t>
        </is>
      </c>
      <c r="R1036" s="156" t="inlineStr">
        <is>
          <t>Recto</t>
        </is>
      </c>
      <c r="S1036" s="156" t="inlineStr">
        <is>
          <t>99% Algodón 1% Elastano</t>
        </is>
      </c>
      <c r="T1036" s="156" t="inlineStr">
        <is>
          <t>Jean Lavado Medio con Bordado X en Bolsa Fitted</t>
        </is>
      </c>
      <c r="U1036" s="156" t="n"/>
      <c r="V1036" s="156" t="inlineStr">
        <is>
          <t>PZS</t>
        </is>
      </c>
      <c r="W1036" s="51" t="inlineStr">
        <is>
          <t>53101502</t>
        </is>
      </c>
      <c r="X1036" s="156" t="n"/>
      <c r="Y1036" s="54" t="n">
        <v>814.6551724</v>
      </c>
      <c r="Z1036" s="54" t="n">
        <v>1810.344828</v>
      </c>
      <c r="AA1036" s="55">
        <f>IF(AND(A1036="", B1036="", E1036=""), "", IF(AB1036="", "Válido", IF((LEN(AB1036)-LEN(SUBSTITUTE(AB1036,"; ","")))/2+1&gt;(LEN(AB1036)-LEN(SUBSTITUTE(AB1036,"[Aviso]","")))/7, "Con Incidencias", "Válido")))</f>
        <v/>
      </c>
      <c r="AB1036" s="56">
        <f>IF(AND(A1036="", B1036="", E1036=""), "", TEXTJOIN("; ", TRUE, IF(OR(TRIM(A1036&amp;"")="", ISNUMBER(SEARCH("FALTA", A1036))), "UPC faltante/inválido", ""), IF(AND(A1036&lt;&gt;"", IFERROR(_xlfn.XMATCH(A1036,$A$2:$A$2509,0,1)&lt;&gt;_xlfn.XMATCH(A1036,$A$2:$A$2509,0,-1),FALSE)), "Código de barras duplicado", ""), IF(AND(E1036&lt;&gt;"", COUNTIF($E$2:$E$2509, E1036)&gt;1), "SKU duplicado", ""), IF(OR(J1036="", J1036=""), "[Aviso] División no capturada ()", IF(ISNA(MATCH(J1036, Criterios!$A$123:$A$126, 0)), "División no válida", "")), IF(OR(K1036="", K1036=""), "[Aviso] Categoría no capturada ()", IF(ISNA(MATCH(K1036, Criterios!$A$81:$A$120, 0)), "Categoría no válida", IF(AND(J1036&lt;&gt;"", J1036&lt;&gt;"", J1036&lt;&gt;VLOOKUP(K1036, Criterios!$A$81:$B$120, 2, FALSE)), "División no coincide con Categoría", ""))), IF(OR(L1036="", L1036=""), "[Aviso] Género no capturado ()", IF(ISNA(MATCH(L1036, Criterios!$B$123:$B$127, 0)), "Género no válido", "")), IF(OR(N1036="", N1036=""), "[Aviso] Temporada no capturada ()", IF(ISNA(MATCH(N1036, Criterios!$C$123:$C$128, 0)), "Temporada no válida", "")), IF(OR(O1036="", O1036=""), "[Aviso] Ciclo de vida no capturado ()", IF(ISNA(MATCH(O1036, Criterios!$D$123:$D$124, 0)), "Ciclo de vida no válido", ""))))</f>
        <v/>
      </c>
      <c r="AC1036" s="56" t="n"/>
      <c r="AD1036" s="51" t="n">
        <v>-3</v>
      </c>
      <c r="AE1036" s="156" t="n"/>
      <c r="AF1036" s="51" t="n">
        <v>0</v>
      </c>
      <c r="AG1036" s="156" t="inlineStr">
        <is>
          <t>Catálogo existente</t>
        </is>
      </c>
      <c r="AH1036" s="156" t="inlineStr">
        <is>
          <t>Stock negativo en sistema: revisar en conteo</t>
        </is>
      </c>
      <c r="AI1036" s="156" t="inlineStr">
        <is>
          <t>Sí</t>
        </is>
      </c>
      <c r="AJ1036" s="156" t="inlineStr">
        <is>
          <t>STETSON AMERICAS (-3)</t>
        </is>
      </c>
      <c r="AK1036" s="155" t="inlineStr">
        <is>
          <t>Shopify Stetson: producto 15051554357611 / variante 53342126539115 | Odoo: producto 29829 / plantilla 38533</t>
        </is>
      </c>
      <c r="AL1036" s="58" t="n">
        <v>814.6551724</v>
      </c>
      <c r="AM1036" s="58" t="n">
        <v>1810.344828</v>
      </c>
      <c r="AN1036" s="155" t="inlineStr">
        <is>
          <t>Shopify Stetson México | Odoo Universal Unique Brands</t>
        </is>
      </c>
      <c r="AO1036" s="59" t="n">
        <v>1</v>
      </c>
      <c r="AP1036" s="59" t="n"/>
      <c r="AQ1036" s="59" t="n">
        <v>4</v>
      </c>
      <c r="AR1036" s="155" t="inlineStr">
        <is>
          <t>Shopify Stetson México › Stetson Americas: 1 | Odoo Universal Unique Brands › Bodega 25 › Bodega 25/General: 4</t>
        </is>
      </c>
    </row>
    <row r="1037">
      <c r="A1037" s="50" t="inlineStr">
        <is>
          <t>196070702576</t>
        </is>
      </c>
      <c r="B1037" s="51" t="inlineStr">
        <is>
          <t>110589</t>
        </is>
      </c>
      <c r="C1037" s="156" t="inlineStr">
        <is>
          <t>Multimarca</t>
        </is>
      </c>
      <c r="D1037" s="156" t="inlineStr">
        <is>
          <t>11-004-1015-6002</t>
        </is>
      </c>
      <c r="E1037" s="156" t="inlineStr">
        <is>
          <t>11-004-1015-6002-33 32</t>
        </is>
      </c>
      <c r="F1037" s="156" t="inlineStr">
        <is>
          <t>33 x 32</t>
        </is>
      </c>
      <c r="G1037" s="156" t="inlineStr">
        <is>
          <t>33W / 32L</t>
        </is>
      </c>
      <c r="H1037" s="156" t="inlineStr">
        <is>
          <t>Stetson</t>
        </is>
      </c>
      <c r="I1037" s="156" t="inlineStr">
        <is>
          <t>Jean Lavado Medio con Bordado X en Bolsa</t>
        </is>
      </c>
      <c r="J1037" s="156" t="inlineStr">
        <is>
          <t>Denim</t>
        </is>
      </c>
      <c r="K1037" s="156" t="inlineStr">
        <is>
          <t>Jeans</t>
        </is>
      </c>
      <c r="L1037" s="156" t="inlineStr">
        <is>
          <t>Hombre</t>
        </is>
      </c>
      <c r="M1037" s="156" t="inlineStr">
        <is>
          <t>Stetson</t>
        </is>
      </c>
      <c r="N1037" s="156" t="inlineStr">
        <is>
          <t>SS26</t>
        </is>
      </c>
      <c r="O1037" s="156" t="inlineStr">
        <is>
          <t>Seasonal</t>
        </is>
      </c>
      <c r="P1037" s="156" t="inlineStr">
        <is>
          <t>Azul</t>
        </is>
      </c>
      <c r="Q1037" s="156" t="inlineStr">
        <is>
          <t>Slim</t>
        </is>
      </c>
      <c r="R1037" s="156" t="inlineStr">
        <is>
          <t>Recto</t>
        </is>
      </c>
      <c r="S1037" s="156" t="inlineStr">
        <is>
          <t>99% Algodón 1% Elastano</t>
        </is>
      </c>
      <c r="T1037" s="156" t="inlineStr">
        <is>
          <t>Jean Lavado Medio con Bordado X en Bolsa Fitted</t>
        </is>
      </c>
      <c r="U1037" s="156" t="n"/>
      <c r="V1037" s="156" t="inlineStr">
        <is>
          <t>PZS</t>
        </is>
      </c>
      <c r="W1037" s="51" t="inlineStr">
        <is>
          <t>53101502</t>
        </is>
      </c>
      <c r="X1037" s="156" t="n"/>
      <c r="Y1037" s="54" t="n">
        <v>814.6551724</v>
      </c>
      <c r="Z1037" s="54" t="n">
        <v>1810.344828</v>
      </c>
      <c r="AA1037" s="55">
        <f>IF(AND(A1037="", B1037="", E1037=""), "", IF(AB1037="", "Válido", IF((LEN(AB1037)-LEN(SUBSTITUTE(AB1037,"; ","")))/2+1&gt;(LEN(AB1037)-LEN(SUBSTITUTE(AB1037,"[Aviso]","")))/7, "Con Incidencias", "Válido")))</f>
        <v/>
      </c>
      <c r="AB1037" s="56">
        <f>IF(AND(A1037="", B1037="", E1037=""), "", TEXTJOIN("; ", TRUE, IF(OR(TRIM(A1037&amp;"")="", ISNUMBER(SEARCH("FALTA", A1037))), "UPC faltante/inválido", ""), IF(AND(A1037&lt;&gt;"", IFERROR(_xlfn.XMATCH(A1037,$A$2:$A$2509,0,1)&lt;&gt;_xlfn.XMATCH(A1037,$A$2:$A$2509,0,-1),FALSE)), "Código de barras duplicado", ""), IF(AND(E1037&lt;&gt;"", COUNTIF($E$2:$E$2509, E1037)&gt;1), "SKU duplicado", ""), IF(OR(J1037="", J1037=""), "[Aviso] División no capturada ()", IF(ISNA(MATCH(J1037, Criterios!$A$123:$A$126, 0)), "División no válida", "")), IF(OR(K1037="", K1037=""), "[Aviso] Categoría no capturada ()", IF(ISNA(MATCH(K1037, Criterios!$A$81:$A$120, 0)), "Categoría no válida", IF(AND(J1037&lt;&gt;"", J1037&lt;&gt;"", J1037&lt;&gt;VLOOKUP(K1037, Criterios!$A$81:$B$120, 2, FALSE)), "División no coincide con Categoría", ""))), IF(OR(L1037="", L1037=""), "[Aviso] Género no capturado ()", IF(ISNA(MATCH(L1037, Criterios!$B$123:$B$127, 0)), "Género no válido", "")), IF(OR(N1037="", N1037=""), "[Aviso] Temporada no capturada ()", IF(ISNA(MATCH(N1037, Criterios!$C$123:$C$128, 0)), "Temporada no válida", "")), IF(OR(O1037="", O1037=""), "[Aviso] Ciclo de vida no capturado ()", IF(ISNA(MATCH(O1037, Criterios!$D$123:$D$124, 0)), "Ciclo de vida no válido", ""))))</f>
        <v/>
      </c>
      <c r="AC1037" s="56" t="n"/>
      <c r="AD1037" s="51" t="n">
        <v>-4</v>
      </c>
      <c r="AE1037" s="156" t="n"/>
      <c r="AF1037" s="51" t="n">
        <v>0</v>
      </c>
      <c r="AG1037" s="156" t="inlineStr">
        <is>
          <t>Catálogo existente</t>
        </is>
      </c>
      <c r="AH1037" s="156" t="inlineStr">
        <is>
          <t>Stock negativo en sistema: revisar en conteo</t>
        </is>
      </c>
      <c r="AI1037" s="156" t="inlineStr">
        <is>
          <t>Sí</t>
        </is>
      </c>
      <c r="AJ1037" s="156" t="inlineStr">
        <is>
          <t>STETSON AMERICAS (-4)</t>
        </is>
      </c>
      <c r="AK1037" s="155" t="inlineStr">
        <is>
          <t>Shopify Stetson: producto 15051554357611 / variante 53342126571883 | Odoo: producto 29830 / plantilla 38534</t>
        </is>
      </c>
      <c r="AL1037" s="58" t="n">
        <v>814.6551724</v>
      </c>
      <c r="AM1037" s="58" t="n">
        <v>1810.344828</v>
      </c>
      <c r="AN1037" s="155" t="inlineStr">
        <is>
          <t>Shopify Stetson México | Odoo Universal Unique Brands</t>
        </is>
      </c>
      <c r="AO1037" s="59" t="n">
        <v>0</v>
      </c>
      <c r="AP1037" s="59" t="n"/>
      <c r="AQ1037" s="59" t="n">
        <v>4</v>
      </c>
      <c r="AR1037" s="155" t="inlineStr">
        <is>
          <t>Odoo Universal Unique Brands › Bodega 25 › Bodega 25/General: 4</t>
        </is>
      </c>
    </row>
    <row r="1038">
      <c r="A1038" s="50" t="inlineStr">
        <is>
          <t>196070702637</t>
        </is>
      </c>
      <c r="B1038" s="51" t="inlineStr">
        <is>
          <t>110590</t>
        </is>
      </c>
      <c r="C1038" s="156" t="inlineStr">
        <is>
          <t>Multimarca</t>
        </is>
      </c>
      <c r="D1038" s="156" t="inlineStr">
        <is>
          <t>11-004-1015-6002</t>
        </is>
      </c>
      <c r="E1038" s="156" t="inlineStr">
        <is>
          <t>11-004-1015-6002-34 32</t>
        </is>
      </c>
      <c r="F1038" s="156" t="inlineStr">
        <is>
          <t>34 x 32</t>
        </is>
      </c>
      <c r="G1038" s="156" t="inlineStr">
        <is>
          <t>34W / 32L</t>
        </is>
      </c>
      <c r="H1038" s="156" t="inlineStr">
        <is>
          <t>Stetson</t>
        </is>
      </c>
      <c r="I1038" s="156" t="inlineStr">
        <is>
          <t>Jean Lavado Medio con Bordado X en Bolsa</t>
        </is>
      </c>
      <c r="J1038" s="156" t="inlineStr">
        <is>
          <t>Denim</t>
        </is>
      </c>
      <c r="K1038" s="156" t="inlineStr">
        <is>
          <t>Jeans</t>
        </is>
      </c>
      <c r="L1038" s="156" t="inlineStr">
        <is>
          <t>Hombre</t>
        </is>
      </c>
      <c r="M1038" s="156" t="inlineStr">
        <is>
          <t>Stetson</t>
        </is>
      </c>
      <c r="N1038" s="156" t="inlineStr">
        <is>
          <t>SS26</t>
        </is>
      </c>
      <c r="O1038" s="156" t="inlineStr">
        <is>
          <t>Seasonal</t>
        </is>
      </c>
      <c r="P1038" s="156" t="inlineStr">
        <is>
          <t>Azul</t>
        </is>
      </c>
      <c r="Q1038" s="156" t="inlineStr">
        <is>
          <t>Slim</t>
        </is>
      </c>
      <c r="R1038" s="156" t="inlineStr">
        <is>
          <t>Recto</t>
        </is>
      </c>
      <c r="S1038" s="156" t="inlineStr">
        <is>
          <t>99% Algodón 1% Elastano</t>
        </is>
      </c>
      <c r="T1038" s="156" t="inlineStr">
        <is>
          <t>Jean Lavado Medio con Bordado X en Bolsa Fitted</t>
        </is>
      </c>
      <c r="U1038" s="156" t="n"/>
      <c r="V1038" s="156" t="inlineStr">
        <is>
          <t>PZS</t>
        </is>
      </c>
      <c r="W1038" s="51" t="inlineStr">
        <is>
          <t>53101502</t>
        </is>
      </c>
      <c r="X1038" s="156" t="n"/>
      <c r="Y1038" s="54" t="n">
        <v>814.6551724</v>
      </c>
      <c r="Z1038" s="54" t="n">
        <v>1810.344828</v>
      </c>
      <c r="AA1038" s="55">
        <f>IF(AND(A1038="", B1038="", E1038=""), "", IF(AB1038="", "Válido", IF((LEN(AB1038)-LEN(SUBSTITUTE(AB1038,"; ","")))/2+1&gt;(LEN(AB1038)-LEN(SUBSTITUTE(AB1038,"[Aviso]","")))/7, "Con Incidencias", "Válido")))</f>
        <v/>
      </c>
      <c r="AB1038" s="56">
        <f>IF(AND(A1038="", B1038="", E1038=""), "", TEXTJOIN("; ", TRUE, IF(OR(TRIM(A1038&amp;"")="", ISNUMBER(SEARCH("FALTA", A1038))), "UPC faltante/inválido", ""), IF(AND(A1038&lt;&gt;"", IFERROR(_xlfn.XMATCH(A1038,$A$2:$A$2509,0,1)&lt;&gt;_xlfn.XMATCH(A1038,$A$2:$A$2509,0,-1),FALSE)), "Código de barras duplicado", ""), IF(AND(E1038&lt;&gt;"", COUNTIF($E$2:$E$2509, E1038)&gt;1), "SKU duplicado", ""), IF(OR(J1038="", J1038=""), "[Aviso] División no capturada ()", IF(ISNA(MATCH(J1038, Criterios!$A$123:$A$126, 0)), "División no válida", "")), IF(OR(K1038="", K1038=""), "[Aviso] Categoría no capturada ()", IF(ISNA(MATCH(K1038, Criterios!$A$81:$A$120, 0)), "Categoría no válida", IF(AND(J1038&lt;&gt;"", J1038&lt;&gt;"", J1038&lt;&gt;VLOOKUP(K1038, Criterios!$A$81:$B$120, 2, FALSE)), "División no coincide con Categoría", ""))), IF(OR(L1038="", L1038=""), "[Aviso] Género no capturado ()", IF(ISNA(MATCH(L1038, Criterios!$B$123:$B$127, 0)), "Género no válido", "")), IF(OR(N1038="", N1038=""), "[Aviso] Temporada no capturada ()", IF(ISNA(MATCH(N1038, Criterios!$C$123:$C$128, 0)), "Temporada no válida", "")), IF(OR(O1038="", O1038=""), "[Aviso] Ciclo de vida no capturado ()", IF(ISNA(MATCH(O1038, Criterios!$D$123:$D$124, 0)), "Ciclo de vida no válido", ""))))</f>
        <v/>
      </c>
      <c r="AC1038" s="56" t="n"/>
      <c r="AD1038" s="51" t="n">
        <v>-6</v>
      </c>
      <c r="AE1038" s="156" t="n"/>
      <c r="AF1038" s="51" t="n">
        <v>0</v>
      </c>
      <c r="AG1038" s="156" t="inlineStr">
        <is>
          <t>Catálogo existente</t>
        </is>
      </c>
      <c r="AH1038" s="156" t="inlineStr">
        <is>
          <t>Stock negativo en sistema: revisar en conteo</t>
        </is>
      </c>
      <c r="AI1038" s="156" t="inlineStr">
        <is>
          <t>Sí</t>
        </is>
      </c>
      <c r="AJ1038" s="156" t="inlineStr">
        <is>
          <t>STETSON AMERICAS (-6)</t>
        </is>
      </c>
      <c r="AK1038" s="155" t="inlineStr">
        <is>
          <t>Shopify Stetson: producto 15051554357611 / variante 53342126604651 | Odoo: producto 29831 / plantilla 38535</t>
        </is>
      </c>
      <c r="AL1038" s="58" t="n">
        <v>814.6551724</v>
      </c>
      <c r="AM1038" s="58" t="n">
        <v>1810.344828</v>
      </c>
      <c r="AN1038" s="155" t="inlineStr">
        <is>
          <t>Shopify Stetson México | Odoo Universal Unique Brands</t>
        </is>
      </c>
      <c r="AO1038" s="59" t="n">
        <v>1</v>
      </c>
      <c r="AP1038" s="59" t="n"/>
      <c r="AQ1038" s="59" t="n">
        <v>7</v>
      </c>
      <c r="AR1038" s="155" t="inlineStr">
        <is>
          <t>Shopify Stetson México › Stetson Americas: 1 | Odoo Universal Unique Brands › Bodega 25 › Bodega 25/General: 7</t>
        </is>
      </c>
    </row>
    <row r="1039">
      <c r="A1039" s="50" t="inlineStr">
        <is>
          <t>196070702644</t>
        </is>
      </c>
      <c r="B1039" s="51" t="inlineStr">
        <is>
          <t>110591</t>
        </is>
      </c>
      <c r="C1039" s="156" t="inlineStr">
        <is>
          <t>Multimarca</t>
        </is>
      </c>
      <c r="D1039" s="156" t="inlineStr">
        <is>
          <t>11-004-1015-6002</t>
        </is>
      </c>
      <c r="E1039" s="156" t="inlineStr">
        <is>
          <t>11-004-1015-6002-34 34</t>
        </is>
      </c>
      <c r="F1039" s="156" t="inlineStr">
        <is>
          <t>34 x 34</t>
        </is>
      </c>
      <c r="G1039" s="156" t="inlineStr">
        <is>
          <t>34W / 34L</t>
        </is>
      </c>
      <c r="H1039" s="156" t="inlineStr">
        <is>
          <t>Stetson</t>
        </is>
      </c>
      <c r="I1039" s="156" t="inlineStr">
        <is>
          <t>Jean Lavado Medio con Bordado X en Bolsa</t>
        </is>
      </c>
      <c r="J1039" s="156" t="inlineStr">
        <is>
          <t>Denim</t>
        </is>
      </c>
      <c r="K1039" s="156" t="inlineStr">
        <is>
          <t>Jeans</t>
        </is>
      </c>
      <c r="L1039" s="156" t="inlineStr">
        <is>
          <t>Hombre</t>
        </is>
      </c>
      <c r="M1039" s="156" t="inlineStr">
        <is>
          <t>Stetson</t>
        </is>
      </c>
      <c r="N1039" s="156" t="inlineStr">
        <is>
          <t>SS26</t>
        </is>
      </c>
      <c r="O1039" s="156" t="inlineStr">
        <is>
          <t>Seasonal</t>
        </is>
      </c>
      <c r="P1039" s="156" t="inlineStr">
        <is>
          <t>Azul</t>
        </is>
      </c>
      <c r="Q1039" s="156" t="inlineStr">
        <is>
          <t>Slim</t>
        </is>
      </c>
      <c r="R1039" s="156" t="inlineStr">
        <is>
          <t>Recto</t>
        </is>
      </c>
      <c r="S1039" s="156" t="inlineStr">
        <is>
          <t>99% Algodón 1% Elastano</t>
        </is>
      </c>
      <c r="T1039" s="156" t="inlineStr">
        <is>
          <t>Jean Lavado Medio con Bordado X en Bolsa Fitted</t>
        </is>
      </c>
      <c r="U1039" s="156" t="n"/>
      <c r="V1039" s="156" t="inlineStr">
        <is>
          <t>PZS</t>
        </is>
      </c>
      <c r="W1039" s="51" t="inlineStr">
        <is>
          <t>53101502</t>
        </is>
      </c>
      <c r="X1039" s="156" t="n"/>
      <c r="Y1039" s="54" t="n">
        <v>814.6551724</v>
      </c>
      <c r="Z1039" s="54" t="n">
        <v>1810.344828</v>
      </c>
      <c r="AA1039" s="55">
        <f>IF(AND(A1039="", B1039="", E1039=""), "", IF(AB1039="", "Válido", IF((LEN(AB1039)-LEN(SUBSTITUTE(AB1039,"; ","")))/2+1&gt;(LEN(AB1039)-LEN(SUBSTITUTE(AB1039,"[Aviso]","")))/7, "Con Incidencias", "Válido")))</f>
        <v/>
      </c>
      <c r="AB1039" s="56">
        <f>IF(AND(A1039="", B1039="", E1039=""), "", TEXTJOIN("; ", TRUE, IF(OR(TRIM(A1039&amp;"")="", ISNUMBER(SEARCH("FALTA", A1039))), "UPC faltante/inválido", ""), IF(AND(A1039&lt;&gt;"", IFERROR(_xlfn.XMATCH(A1039,$A$2:$A$2509,0,1)&lt;&gt;_xlfn.XMATCH(A1039,$A$2:$A$2509,0,-1),FALSE)), "Código de barras duplicado", ""), IF(AND(E1039&lt;&gt;"", COUNTIF($E$2:$E$2509, E1039)&gt;1), "SKU duplicado", ""), IF(OR(J1039="", J1039=""), "[Aviso] División no capturada ()", IF(ISNA(MATCH(J1039, Criterios!$A$123:$A$126, 0)), "División no válida", "")), IF(OR(K1039="", K1039=""), "[Aviso] Categoría no capturada ()", IF(ISNA(MATCH(K1039, Criterios!$A$81:$A$120, 0)), "Categoría no válida", IF(AND(J1039&lt;&gt;"", J1039&lt;&gt;"", J1039&lt;&gt;VLOOKUP(K1039, Criterios!$A$81:$B$120, 2, FALSE)), "División no coincide con Categoría", ""))), IF(OR(L1039="", L1039=""), "[Aviso] Género no capturado ()", IF(ISNA(MATCH(L1039, Criterios!$B$123:$B$127, 0)), "Género no válido", "")), IF(OR(N1039="", N1039=""), "[Aviso] Temporada no capturada ()", IF(ISNA(MATCH(N1039, Criterios!$C$123:$C$128, 0)), "Temporada no válida", "")), IF(OR(O1039="", O1039=""), "[Aviso] Ciclo de vida no capturado ()", IF(ISNA(MATCH(O1039, Criterios!$D$123:$D$124, 0)), "Ciclo de vida no válido", ""))))</f>
        <v/>
      </c>
      <c r="AC1039" s="56" t="n"/>
      <c r="AD1039" s="51" t="n">
        <v>-4</v>
      </c>
      <c r="AE1039" s="156" t="n"/>
      <c r="AF1039" s="51" t="n">
        <v>0</v>
      </c>
      <c r="AG1039" s="156" t="inlineStr">
        <is>
          <t>Catálogo existente</t>
        </is>
      </c>
      <c r="AH1039" s="156" t="inlineStr">
        <is>
          <t>Stock negativo en sistema: revisar en conteo</t>
        </is>
      </c>
      <c r="AI1039" s="156" t="inlineStr">
        <is>
          <t>Sí</t>
        </is>
      </c>
      <c r="AJ1039" s="156" t="inlineStr">
        <is>
          <t>STETSON AMERICAS (-4)</t>
        </is>
      </c>
      <c r="AK1039" s="155" t="inlineStr">
        <is>
          <t>Shopify Stetson: producto 15051554357611 / variante 53342126637419 | Odoo: producto 29832 / plantilla 38536</t>
        </is>
      </c>
      <c r="AL1039" s="58" t="n">
        <v>814.6551724</v>
      </c>
      <c r="AM1039" s="58" t="n">
        <v>1810.344828</v>
      </c>
      <c r="AN1039" s="155" t="inlineStr">
        <is>
          <t>Shopify Stetson México | Odoo Universal Unique Brands</t>
        </is>
      </c>
      <c r="AO1039" s="59" t="n">
        <v>0</v>
      </c>
      <c r="AP1039" s="59" t="n"/>
      <c r="AQ1039" s="59" t="n">
        <v>5</v>
      </c>
      <c r="AR1039" s="155" t="inlineStr">
        <is>
          <t>Odoo Universal Unique Brands › Bodega 25 › Bodega 25/General: 5</t>
        </is>
      </c>
    </row>
    <row r="1040">
      <c r="A1040" s="50" t="inlineStr">
        <is>
          <t>196070702750</t>
        </is>
      </c>
      <c r="B1040" s="51" t="inlineStr">
        <is>
          <t>110592</t>
        </is>
      </c>
      <c r="C1040" s="156" t="inlineStr">
        <is>
          <t>Multimarca</t>
        </is>
      </c>
      <c r="D1040" s="156" t="inlineStr">
        <is>
          <t>11-004-1015-6002</t>
        </is>
      </c>
      <c r="E1040" s="156" t="inlineStr">
        <is>
          <t>11-004-1015-6002-36 32</t>
        </is>
      </c>
      <c r="F1040" s="156" t="inlineStr">
        <is>
          <t>36 x 32</t>
        </is>
      </c>
      <c r="G1040" s="156" t="inlineStr">
        <is>
          <t>36W / 32L</t>
        </is>
      </c>
      <c r="H1040" s="156" t="inlineStr">
        <is>
          <t>Stetson</t>
        </is>
      </c>
      <c r="I1040" s="156" t="inlineStr">
        <is>
          <t>Jean Lavado Medio con Bordado X en Bolsa</t>
        </is>
      </c>
      <c r="J1040" s="156" t="inlineStr">
        <is>
          <t>Denim</t>
        </is>
      </c>
      <c r="K1040" s="156" t="inlineStr">
        <is>
          <t>Jeans</t>
        </is>
      </c>
      <c r="L1040" s="156" t="inlineStr">
        <is>
          <t>Hombre</t>
        </is>
      </c>
      <c r="M1040" s="156" t="inlineStr">
        <is>
          <t>Stetson</t>
        </is>
      </c>
      <c r="N1040" s="156" t="inlineStr">
        <is>
          <t>SS26</t>
        </is>
      </c>
      <c r="O1040" s="156" t="inlineStr">
        <is>
          <t>Seasonal</t>
        </is>
      </c>
      <c r="P1040" s="156" t="inlineStr">
        <is>
          <t>Azul</t>
        </is>
      </c>
      <c r="Q1040" s="156" t="inlineStr">
        <is>
          <t>Slim</t>
        </is>
      </c>
      <c r="R1040" s="156" t="inlineStr">
        <is>
          <t>Recto</t>
        </is>
      </c>
      <c r="S1040" s="156" t="inlineStr">
        <is>
          <t>99% Algodón 1% Elastano</t>
        </is>
      </c>
      <c r="T1040" s="156" t="inlineStr">
        <is>
          <t>Jean Lavado Medio con Bordado X en Bolsa Fitted</t>
        </is>
      </c>
      <c r="U1040" s="156" t="n"/>
      <c r="V1040" s="156" t="inlineStr">
        <is>
          <t>PZS</t>
        </is>
      </c>
      <c r="W1040" s="51" t="inlineStr">
        <is>
          <t>53101502</t>
        </is>
      </c>
      <c r="X1040" s="156" t="n"/>
      <c r="Y1040" s="54" t="n">
        <v>814.6551724</v>
      </c>
      <c r="Z1040" s="54" t="n">
        <v>1810.344828</v>
      </c>
      <c r="AA1040" s="55">
        <f>IF(AND(A1040="", B1040="", E1040=""), "", IF(AB1040="", "Válido", IF((LEN(AB1040)-LEN(SUBSTITUTE(AB1040,"; ","")))/2+1&gt;(LEN(AB1040)-LEN(SUBSTITUTE(AB1040,"[Aviso]","")))/7, "Con Incidencias", "Válido")))</f>
        <v/>
      </c>
      <c r="AB1040" s="56">
        <f>IF(AND(A1040="", B1040="", E1040=""), "", TEXTJOIN("; ", TRUE, IF(OR(TRIM(A1040&amp;"")="", ISNUMBER(SEARCH("FALTA", A1040))), "UPC faltante/inválido", ""), IF(AND(A1040&lt;&gt;"", IFERROR(_xlfn.XMATCH(A1040,$A$2:$A$2509,0,1)&lt;&gt;_xlfn.XMATCH(A1040,$A$2:$A$2509,0,-1),FALSE)), "Código de barras duplicado", ""), IF(AND(E1040&lt;&gt;"", COUNTIF($E$2:$E$2509, E1040)&gt;1), "SKU duplicado", ""), IF(OR(J1040="", J1040=""), "[Aviso] División no capturada ()", IF(ISNA(MATCH(J1040, Criterios!$A$123:$A$126, 0)), "División no válida", "")), IF(OR(K1040="", K1040=""), "[Aviso] Categoría no capturada ()", IF(ISNA(MATCH(K1040, Criterios!$A$81:$A$120, 0)), "Categoría no válida", IF(AND(J1040&lt;&gt;"", J1040&lt;&gt;"", J1040&lt;&gt;VLOOKUP(K1040, Criterios!$A$81:$B$120, 2, FALSE)), "División no coincide con Categoría", ""))), IF(OR(L1040="", L1040=""), "[Aviso] Género no capturado ()", IF(ISNA(MATCH(L1040, Criterios!$B$123:$B$127, 0)), "Género no válido", "")), IF(OR(N1040="", N1040=""), "[Aviso] Temporada no capturada ()", IF(ISNA(MATCH(N1040, Criterios!$C$123:$C$128, 0)), "Temporada no válida", "")), IF(OR(O1040="", O1040=""), "[Aviso] Ciclo de vida no capturado ()", IF(ISNA(MATCH(O1040, Criterios!$D$123:$D$124, 0)), "Ciclo de vida no válido", ""))))</f>
        <v/>
      </c>
      <c r="AC1040" s="56" t="n"/>
      <c r="AD1040" s="51" t="n">
        <v>-3</v>
      </c>
      <c r="AE1040" s="156" t="n"/>
      <c r="AF1040" s="51" t="n">
        <v>0</v>
      </c>
      <c r="AG1040" s="156" t="inlineStr">
        <is>
          <t>Catálogo existente</t>
        </is>
      </c>
      <c r="AH1040" s="156" t="inlineStr">
        <is>
          <t>Stock negativo en sistema: revisar en conteo</t>
        </is>
      </c>
      <c r="AI1040" s="156" t="inlineStr">
        <is>
          <t>Sí</t>
        </is>
      </c>
      <c r="AJ1040" s="156" t="inlineStr">
        <is>
          <t>STETSON AMERICAS (-3)</t>
        </is>
      </c>
      <c r="AK1040" s="155" t="inlineStr">
        <is>
          <t>Shopify Stetson: producto 15051554357611 / variante 53342126670187 | Odoo: producto 29833 / plantilla 38537</t>
        </is>
      </c>
      <c r="AL1040" s="58" t="n">
        <v>814.6551724</v>
      </c>
      <c r="AM1040" s="58" t="n">
        <v>1810.344828</v>
      </c>
      <c r="AN1040" s="155" t="inlineStr">
        <is>
          <t>Shopify Stetson México | Odoo Universal Unique Brands</t>
        </is>
      </c>
      <c r="AO1040" s="59" t="n">
        <v>-1</v>
      </c>
      <c r="AP1040" s="59" t="n"/>
      <c r="AQ1040" s="59" t="n">
        <v>2</v>
      </c>
      <c r="AR1040" s="155" t="inlineStr">
        <is>
          <t>Odoo Universal Unique Brands › Bodega 25 › Bodega 25/General: 2</t>
        </is>
      </c>
    </row>
    <row r="1041">
      <c r="A1041" s="50" t="inlineStr">
        <is>
          <t>196070702910</t>
        </is>
      </c>
      <c r="B1041" s="51" t="inlineStr">
        <is>
          <t>110593</t>
        </is>
      </c>
      <c r="C1041" s="156" t="inlineStr">
        <is>
          <t>Multimarca</t>
        </is>
      </c>
      <c r="D1041" s="156" t="inlineStr">
        <is>
          <t>11-004-1210-8003</t>
        </is>
      </c>
      <c r="E1041" s="156" t="inlineStr">
        <is>
          <t>11-004-1210-8003-29 32</t>
        </is>
      </c>
      <c r="F1041" s="156" t="inlineStr">
        <is>
          <t>29 x 32</t>
        </is>
      </c>
      <c r="G1041" s="156" t="inlineStr">
        <is>
          <t>29W / 32L</t>
        </is>
      </c>
      <c r="H1041" s="156" t="inlineStr">
        <is>
          <t>Stetson</t>
        </is>
      </c>
      <c r="I1041" s="156" t="inlineStr">
        <is>
          <t>Jean Lavado Oscuro con Bordado X en Bolsa</t>
        </is>
      </c>
      <c r="J1041" s="156" t="inlineStr">
        <is>
          <t>Denim</t>
        </is>
      </c>
      <c r="K1041" s="156" t="inlineStr">
        <is>
          <t>Jeans</t>
        </is>
      </c>
      <c r="L1041" s="156" t="inlineStr">
        <is>
          <t>Hombre</t>
        </is>
      </c>
      <c r="M1041" s="156" t="inlineStr">
        <is>
          <t>Stetson</t>
        </is>
      </c>
      <c r="N1041" s="156" t="inlineStr">
        <is>
          <t>SS26</t>
        </is>
      </c>
      <c r="O1041" s="156" t="inlineStr">
        <is>
          <t>Seasonal</t>
        </is>
      </c>
      <c r="P1041" s="156" t="inlineStr">
        <is>
          <t>Azul</t>
        </is>
      </c>
      <c r="Q1041" s="156" t="inlineStr">
        <is>
          <t>Regular</t>
        </is>
      </c>
      <c r="R1041" s="156" t="inlineStr">
        <is>
          <t>Recto</t>
        </is>
      </c>
      <c r="S1041" s="156" t="inlineStr">
        <is>
          <t>100% Algodón</t>
        </is>
      </c>
      <c r="T1041" s="156" t="inlineStr">
        <is>
          <t>Jean Lavado Oscuro con Bordado X en Bolsa Pierna Recta Regular</t>
        </is>
      </c>
      <c r="U1041" s="156" t="n"/>
      <c r="V1041" s="156" t="inlineStr">
        <is>
          <t>PZS</t>
        </is>
      </c>
      <c r="W1041" s="51" t="inlineStr">
        <is>
          <t>53101502</t>
        </is>
      </c>
      <c r="X1041" s="156" t="n"/>
      <c r="Y1041" s="54" t="n">
        <v>775.862069</v>
      </c>
      <c r="Z1041" s="54" t="n">
        <v>1724.137931</v>
      </c>
      <c r="AA1041" s="55">
        <f>IF(AND(A1041="", B1041="", E1041=""), "", IF(AB1041="", "Válido", IF((LEN(AB1041)-LEN(SUBSTITUTE(AB1041,"; ","")))/2+1&gt;(LEN(AB1041)-LEN(SUBSTITUTE(AB1041,"[Aviso]","")))/7, "Con Incidencias", "Válido")))</f>
        <v/>
      </c>
      <c r="AB1041" s="56">
        <f>IF(AND(A1041="", B1041="", E1041=""), "", TEXTJOIN("; ", TRUE, IF(OR(TRIM(A1041&amp;"")="", ISNUMBER(SEARCH("FALTA", A1041))), "UPC faltante/inválido", ""), IF(AND(A1041&lt;&gt;"", IFERROR(_xlfn.XMATCH(A1041,$A$2:$A$2509,0,1)&lt;&gt;_xlfn.XMATCH(A1041,$A$2:$A$2509,0,-1),FALSE)), "Código de barras duplicado", ""), IF(AND(E1041&lt;&gt;"", COUNTIF($E$2:$E$2509, E1041)&gt;1), "SKU duplicado", ""), IF(OR(J1041="", J1041=""), "[Aviso] División no capturada ()", IF(ISNA(MATCH(J1041, Criterios!$A$123:$A$126, 0)), "División no válida", "")), IF(OR(K1041="", K1041=""), "[Aviso] Categoría no capturada ()", IF(ISNA(MATCH(K1041, Criterios!$A$81:$A$120, 0)), "Categoría no válida", IF(AND(J1041&lt;&gt;"", J1041&lt;&gt;"", J1041&lt;&gt;VLOOKUP(K1041, Criterios!$A$81:$B$120, 2, FALSE)), "División no coincide con Categoría", ""))), IF(OR(L1041="", L1041=""), "[Aviso] Género no capturado ()", IF(ISNA(MATCH(L1041, Criterios!$B$123:$B$127, 0)), "Género no válido", "")), IF(OR(N1041="", N1041=""), "[Aviso] Temporada no capturada ()", IF(ISNA(MATCH(N1041, Criterios!$C$123:$C$128, 0)), "Temporada no válida", "")), IF(OR(O1041="", O1041=""), "[Aviso] Ciclo de vida no capturado ()", IF(ISNA(MATCH(O1041, Criterios!$D$123:$D$124, 0)), "Ciclo de vida no válido", ""))))</f>
        <v/>
      </c>
      <c r="AC1041" s="56" t="n"/>
      <c r="AD1041" s="51" t="n">
        <v>-1</v>
      </c>
      <c r="AE1041" s="156" t="n"/>
      <c r="AF1041" s="51" t="n">
        <v>0</v>
      </c>
      <c r="AG1041" s="156" t="inlineStr">
        <is>
          <t>Catálogo existente</t>
        </is>
      </c>
      <c r="AH1041" s="156" t="inlineStr">
        <is>
          <t>Stock negativo en sistema: revisar en conteo</t>
        </is>
      </c>
      <c r="AI1041" s="156" t="inlineStr">
        <is>
          <t>Sí</t>
        </is>
      </c>
      <c r="AJ1041" s="156" t="inlineStr">
        <is>
          <t>STETSON AMERICAS (-1)</t>
        </is>
      </c>
      <c r="AK1041" s="155" t="inlineStr">
        <is>
          <t>Shopify Stetson: producto 15051554390379 / variante 53342126702955 | Odoo: producto 29834 / plantilla 38538</t>
        </is>
      </c>
      <c r="AL1041" s="58" t="n">
        <v>775.862069</v>
      </c>
      <c r="AM1041" s="58" t="n">
        <v>1724.137931</v>
      </c>
      <c r="AN1041" s="155" t="inlineStr">
        <is>
          <t>Shopify Stetson México | Odoo Universal Unique Brands</t>
        </is>
      </c>
      <c r="AO1041" s="59" t="n">
        <v>1</v>
      </c>
      <c r="AP1041" s="59" t="n"/>
      <c r="AQ1041" s="59" t="n">
        <v>2</v>
      </c>
      <c r="AR1041" s="155" t="inlineStr">
        <is>
          <t>Shopify Stetson México › Stetson Americas: 1 | Odoo Universal Unique Brands › Bodega 25 › Bodega 25/General: 2</t>
        </is>
      </c>
    </row>
    <row r="1042">
      <c r="A1042" s="50" t="inlineStr">
        <is>
          <t>196070702965</t>
        </is>
      </c>
      <c r="B1042" s="51" t="inlineStr">
        <is>
          <t>110594</t>
        </is>
      </c>
      <c r="C1042" s="156" t="inlineStr">
        <is>
          <t>Multimarca</t>
        </is>
      </c>
      <c r="D1042" s="156" t="inlineStr">
        <is>
          <t>11-004-1210-8003</t>
        </is>
      </c>
      <c r="E1042" s="156" t="inlineStr">
        <is>
          <t>11-004-1210-8003-30 32</t>
        </is>
      </c>
      <c r="F1042" s="156" t="inlineStr">
        <is>
          <t>30 x 32</t>
        </is>
      </c>
      <c r="G1042" s="156" t="inlineStr">
        <is>
          <t>30W / 32L</t>
        </is>
      </c>
      <c r="H1042" s="156" t="inlineStr">
        <is>
          <t>Stetson</t>
        </is>
      </c>
      <c r="I1042" s="156" t="inlineStr">
        <is>
          <t>Jean Lavado Oscuro con Bordado X en Bolsa</t>
        </is>
      </c>
      <c r="J1042" s="156" t="inlineStr">
        <is>
          <t>Denim</t>
        </is>
      </c>
      <c r="K1042" s="156" t="inlineStr">
        <is>
          <t>Jeans</t>
        </is>
      </c>
      <c r="L1042" s="156" t="inlineStr">
        <is>
          <t>Hombre</t>
        </is>
      </c>
      <c r="M1042" s="156" t="inlineStr">
        <is>
          <t>Stetson</t>
        </is>
      </c>
      <c r="N1042" s="156" t="inlineStr">
        <is>
          <t>SS26</t>
        </is>
      </c>
      <c r="O1042" s="156" t="inlineStr">
        <is>
          <t>Seasonal</t>
        </is>
      </c>
      <c r="P1042" s="156" t="inlineStr">
        <is>
          <t>Azul</t>
        </is>
      </c>
      <c r="Q1042" s="156" t="inlineStr">
        <is>
          <t>Regular</t>
        </is>
      </c>
      <c r="R1042" s="156" t="inlineStr">
        <is>
          <t>Recto</t>
        </is>
      </c>
      <c r="S1042" s="156" t="inlineStr">
        <is>
          <t>100% Algodón</t>
        </is>
      </c>
      <c r="T1042" s="156" t="inlineStr">
        <is>
          <t>Jean Lavado Oscuro con Bordado X en Bolsa Pierna Recta Regular</t>
        </is>
      </c>
      <c r="U1042" s="156" t="n"/>
      <c r="V1042" s="156" t="inlineStr">
        <is>
          <t>PZS</t>
        </is>
      </c>
      <c r="W1042" s="51" t="inlineStr">
        <is>
          <t>53101502</t>
        </is>
      </c>
      <c r="X1042" s="156" t="n"/>
      <c r="Y1042" s="54" t="n">
        <v>775.862069</v>
      </c>
      <c r="Z1042" s="54" t="n">
        <v>1724.137931</v>
      </c>
      <c r="AA1042" s="55">
        <f>IF(AND(A1042="", B1042="", E1042=""), "", IF(AB1042="", "Válido", IF((LEN(AB1042)-LEN(SUBSTITUTE(AB1042,"; ","")))/2+1&gt;(LEN(AB1042)-LEN(SUBSTITUTE(AB1042,"[Aviso]","")))/7, "Con Incidencias", "Válido")))</f>
        <v/>
      </c>
      <c r="AB1042" s="56">
        <f>IF(AND(A1042="", B1042="", E1042=""), "", TEXTJOIN("; ", TRUE, IF(OR(TRIM(A1042&amp;"")="", ISNUMBER(SEARCH("FALTA", A1042))), "UPC faltante/inválido", ""), IF(AND(A1042&lt;&gt;"", IFERROR(_xlfn.XMATCH(A1042,$A$2:$A$2509,0,1)&lt;&gt;_xlfn.XMATCH(A1042,$A$2:$A$2509,0,-1),FALSE)), "Código de barras duplicado", ""), IF(AND(E1042&lt;&gt;"", COUNTIF($E$2:$E$2509, E1042)&gt;1), "SKU duplicado", ""), IF(OR(J1042="", J1042=""), "[Aviso] División no capturada ()", IF(ISNA(MATCH(J1042, Criterios!$A$123:$A$126, 0)), "División no válida", "")), IF(OR(K1042="", K1042=""), "[Aviso] Categoría no capturada ()", IF(ISNA(MATCH(K1042, Criterios!$A$81:$A$120, 0)), "Categoría no válida", IF(AND(J1042&lt;&gt;"", J1042&lt;&gt;"", J1042&lt;&gt;VLOOKUP(K1042, Criterios!$A$81:$B$120, 2, FALSE)), "División no coincide con Categoría", ""))), IF(OR(L1042="", L1042=""), "[Aviso] Género no capturado ()", IF(ISNA(MATCH(L1042, Criterios!$B$123:$B$127, 0)), "Género no válido", "")), IF(OR(N1042="", N1042=""), "[Aviso] Temporada no capturada ()", IF(ISNA(MATCH(N1042, Criterios!$C$123:$C$128, 0)), "Temporada no válida", "")), IF(OR(O1042="", O1042=""), "[Aviso] Ciclo de vida no capturado ()", IF(ISNA(MATCH(O1042, Criterios!$D$123:$D$124, 0)), "Ciclo de vida no válido", ""))))</f>
        <v/>
      </c>
      <c r="AC1042" s="56" t="n"/>
      <c r="AD1042" s="51" t="n">
        <v>-1</v>
      </c>
      <c r="AE1042" s="156" t="n"/>
      <c r="AF1042" s="51" t="n">
        <v>0</v>
      </c>
      <c r="AG1042" s="156" t="inlineStr">
        <is>
          <t>Catálogo existente</t>
        </is>
      </c>
      <c r="AH1042" s="156" t="inlineStr">
        <is>
          <t>Stock negativo en sistema: revisar en conteo</t>
        </is>
      </c>
      <c r="AI1042" s="156" t="inlineStr">
        <is>
          <t>Sí</t>
        </is>
      </c>
      <c r="AJ1042" s="156" t="inlineStr">
        <is>
          <t>STETSON AMERICAS (-1)</t>
        </is>
      </c>
      <c r="AK1042" s="155" t="inlineStr">
        <is>
          <t>Shopify Stetson: producto 15051554390379 / variante 53342126735723 | Odoo: producto 29835 / plantilla 38539</t>
        </is>
      </c>
      <c r="AL1042" s="58" t="n">
        <v>775.862069</v>
      </c>
      <c r="AM1042" s="58" t="n">
        <v>1724.137931</v>
      </c>
      <c r="AN1042" s="155" t="inlineStr">
        <is>
          <t>Shopify Stetson México | Odoo Universal Unique Brands</t>
        </is>
      </c>
      <c r="AO1042" s="59" t="n">
        <v>6</v>
      </c>
      <c r="AP1042" s="59" t="n"/>
      <c r="AQ1042" s="59" t="n">
        <v>8</v>
      </c>
      <c r="AR1042" s="155" t="inlineStr">
        <is>
          <t>Shopify Stetson México › Stetson Americas: 6 | Odoo Universal Unique Brands › Bodega 25 › Bodega 25/General: 8</t>
        </is>
      </c>
    </row>
    <row r="1043">
      <c r="A1043" s="50" t="inlineStr">
        <is>
          <t>196070703016</t>
        </is>
      </c>
      <c r="B1043" s="51" t="inlineStr">
        <is>
          <t>110595</t>
        </is>
      </c>
      <c r="C1043" s="156" t="inlineStr">
        <is>
          <t>Multimarca</t>
        </is>
      </c>
      <c r="D1043" s="156" t="inlineStr">
        <is>
          <t>11-004-1210-8003</t>
        </is>
      </c>
      <c r="E1043" s="156" t="inlineStr">
        <is>
          <t>11-004-1210-8003-31 32</t>
        </is>
      </c>
      <c r="F1043" s="156" t="inlineStr">
        <is>
          <t>31 x 32</t>
        </is>
      </c>
      <c r="G1043" s="156" t="inlineStr">
        <is>
          <t>31W / 32L</t>
        </is>
      </c>
      <c r="H1043" s="156" t="inlineStr">
        <is>
          <t>Stetson</t>
        </is>
      </c>
      <c r="I1043" s="156" t="inlineStr">
        <is>
          <t>Jean Lavado Oscuro con Bordado X en Bolsa</t>
        </is>
      </c>
      <c r="J1043" s="156" t="inlineStr">
        <is>
          <t>Denim</t>
        </is>
      </c>
      <c r="K1043" s="156" t="inlineStr">
        <is>
          <t>Jeans</t>
        </is>
      </c>
      <c r="L1043" s="156" t="inlineStr">
        <is>
          <t>Hombre</t>
        </is>
      </c>
      <c r="M1043" s="156" t="inlineStr">
        <is>
          <t>Stetson</t>
        </is>
      </c>
      <c r="N1043" s="156" t="inlineStr">
        <is>
          <t>SS26</t>
        </is>
      </c>
      <c r="O1043" s="156" t="inlineStr">
        <is>
          <t>Seasonal</t>
        </is>
      </c>
      <c r="P1043" s="156" t="inlineStr">
        <is>
          <t>Azul</t>
        </is>
      </c>
      <c r="Q1043" s="156" t="inlineStr">
        <is>
          <t>Regular</t>
        </is>
      </c>
      <c r="R1043" s="156" t="inlineStr">
        <is>
          <t>Recto</t>
        </is>
      </c>
      <c r="S1043" s="156" t="inlineStr">
        <is>
          <t>100% Algodón</t>
        </is>
      </c>
      <c r="T1043" s="156" t="inlineStr">
        <is>
          <t>Jean Lavado Oscuro con Bordado X en Bolsa Pierna Recta Regular</t>
        </is>
      </c>
      <c r="U1043" s="156" t="n"/>
      <c r="V1043" s="156" t="inlineStr">
        <is>
          <t>PZS</t>
        </is>
      </c>
      <c r="W1043" s="51" t="inlineStr">
        <is>
          <t>53101502</t>
        </is>
      </c>
      <c r="X1043" s="156" t="n"/>
      <c r="Y1043" s="54" t="n">
        <v>775.862069</v>
      </c>
      <c r="Z1043" s="54" t="n">
        <v>1724.137931</v>
      </c>
      <c r="AA1043" s="55">
        <f>IF(AND(A1043="", B1043="", E1043=""), "", IF(AB1043="", "Válido", IF((LEN(AB1043)-LEN(SUBSTITUTE(AB1043,"; ","")))/2+1&gt;(LEN(AB1043)-LEN(SUBSTITUTE(AB1043,"[Aviso]","")))/7, "Con Incidencias", "Válido")))</f>
        <v/>
      </c>
      <c r="AB1043" s="56">
        <f>IF(AND(A1043="", B1043="", E1043=""), "", TEXTJOIN("; ", TRUE, IF(OR(TRIM(A1043&amp;"")="", ISNUMBER(SEARCH("FALTA", A1043))), "UPC faltante/inválido", ""), IF(AND(A1043&lt;&gt;"", IFERROR(_xlfn.XMATCH(A1043,$A$2:$A$2509,0,1)&lt;&gt;_xlfn.XMATCH(A1043,$A$2:$A$2509,0,-1),FALSE)), "Código de barras duplicado", ""), IF(AND(E1043&lt;&gt;"", COUNTIF($E$2:$E$2509, E1043)&gt;1), "SKU duplicado", ""), IF(OR(J1043="", J1043=""), "[Aviso] División no capturada ()", IF(ISNA(MATCH(J1043, Criterios!$A$123:$A$126, 0)), "División no válida", "")), IF(OR(K1043="", K1043=""), "[Aviso] Categoría no capturada ()", IF(ISNA(MATCH(K1043, Criterios!$A$81:$A$120, 0)), "Categoría no válida", IF(AND(J1043&lt;&gt;"", J1043&lt;&gt;"", J1043&lt;&gt;VLOOKUP(K1043, Criterios!$A$81:$B$120, 2, FALSE)), "División no coincide con Categoría", ""))), IF(OR(L1043="", L1043=""), "[Aviso] Género no capturado ()", IF(ISNA(MATCH(L1043, Criterios!$B$123:$B$127, 0)), "Género no válido", "")), IF(OR(N1043="", N1043=""), "[Aviso] Temporada no capturada ()", IF(ISNA(MATCH(N1043, Criterios!$C$123:$C$128, 0)), "Temporada no válida", "")), IF(OR(O1043="", O1043=""), "[Aviso] Ciclo de vida no capturado ()", IF(ISNA(MATCH(O1043, Criterios!$D$123:$D$124, 0)), "Ciclo de vida no válido", ""))))</f>
        <v/>
      </c>
      <c r="AC1043" s="56" t="n"/>
      <c r="AD1043" s="51" t="n">
        <v>0</v>
      </c>
      <c r="AE1043" s="156" t="n"/>
      <c r="AF1043" s="51" t="n">
        <v>0</v>
      </c>
      <c r="AG1043" s="156" t="inlineStr">
        <is>
          <t>Catálogo existente</t>
        </is>
      </c>
      <c r="AH1043" s="156" t="n"/>
      <c r="AI1043" s="156" t="inlineStr">
        <is>
          <t>No</t>
        </is>
      </c>
      <c r="AJ1043" s="156" t="n"/>
      <c r="AK1043" s="155" t="inlineStr">
        <is>
          <t>Shopify Stetson: producto 15051554390379 / variante 53342126768491 | Odoo: producto 29836 / plantilla 38540</t>
        </is>
      </c>
      <c r="AL1043" s="58" t="n">
        <v>775.862069</v>
      </c>
      <c r="AM1043" s="58" t="n">
        <v>1724.137931</v>
      </c>
      <c r="AN1043" s="155" t="inlineStr">
        <is>
          <t>Shopify Stetson México | Odoo Universal Unique Brands</t>
        </is>
      </c>
      <c r="AO1043" s="59" t="n">
        <v>6</v>
      </c>
      <c r="AP1043" s="59" t="n"/>
      <c r="AQ1043" s="59" t="n">
        <v>7</v>
      </c>
      <c r="AR1043" s="155" t="inlineStr">
        <is>
          <t>Shopify Stetson México › Stetson Americas: 6 | Odoo Universal Unique Brands › Bodega 25 › Bodega 25/General: 7</t>
        </is>
      </c>
    </row>
    <row r="1044">
      <c r="A1044" s="50" t="inlineStr">
        <is>
          <t>196070703078</t>
        </is>
      </c>
      <c r="B1044" s="51" t="inlineStr">
        <is>
          <t>110596</t>
        </is>
      </c>
      <c r="C1044" s="156" t="inlineStr">
        <is>
          <t>Multimarca</t>
        </is>
      </c>
      <c r="D1044" s="156" t="inlineStr">
        <is>
          <t>11-004-1210-8003</t>
        </is>
      </c>
      <c r="E1044" s="156" t="inlineStr">
        <is>
          <t>11-004-1210-8003-32 32</t>
        </is>
      </c>
      <c r="F1044" s="156" t="inlineStr">
        <is>
          <t>32 x 32</t>
        </is>
      </c>
      <c r="G1044" s="156" t="inlineStr">
        <is>
          <t>32W / 32L</t>
        </is>
      </c>
      <c r="H1044" s="156" t="inlineStr">
        <is>
          <t>Stetson</t>
        </is>
      </c>
      <c r="I1044" s="156" t="inlineStr">
        <is>
          <t>Jean Lavado Oscuro con Bordado X en Bolsa</t>
        </is>
      </c>
      <c r="J1044" s="156" t="inlineStr">
        <is>
          <t>Denim</t>
        </is>
      </c>
      <c r="K1044" s="156" t="inlineStr">
        <is>
          <t>Jeans</t>
        </is>
      </c>
      <c r="L1044" s="156" t="inlineStr">
        <is>
          <t>Hombre</t>
        </is>
      </c>
      <c r="M1044" s="156" t="inlineStr">
        <is>
          <t>Stetson</t>
        </is>
      </c>
      <c r="N1044" s="156" t="inlineStr">
        <is>
          <t>SS26</t>
        </is>
      </c>
      <c r="O1044" s="156" t="inlineStr">
        <is>
          <t>Seasonal</t>
        </is>
      </c>
      <c r="P1044" s="156" t="inlineStr">
        <is>
          <t>Azul</t>
        </is>
      </c>
      <c r="Q1044" s="156" t="inlineStr">
        <is>
          <t>Regular</t>
        </is>
      </c>
      <c r="R1044" s="156" t="inlineStr">
        <is>
          <t>Recto</t>
        </is>
      </c>
      <c r="S1044" s="156" t="inlineStr">
        <is>
          <t>100% Algodón</t>
        </is>
      </c>
      <c r="T1044" s="156" t="inlineStr">
        <is>
          <t>Jean Lavado Oscuro con Bordado X en Bolsa Pierna Recta Regular</t>
        </is>
      </c>
      <c r="U1044" s="156" t="n"/>
      <c r="V1044" s="156" t="inlineStr">
        <is>
          <t>PZS</t>
        </is>
      </c>
      <c r="W1044" s="51" t="inlineStr">
        <is>
          <t>53101502</t>
        </is>
      </c>
      <c r="X1044" s="156" t="n"/>
      <c r="Y1044" s="54" t="n">
        <v>775.862069</v>
      </c>
      <c r="Z1044" s="54" t="n">
        <v>1724.137931</v>
      </c>
      <c r="AA1044" s="55">
        <f>IF(AND(A1044="", B1044="", E1044=""), "", IF(AB1044="", "Válido", IF((LEN(AB1044)-LEN(SUBSTITUTE(AB1044,"; ","")))/2+1&gt;(LEN(AB1044)-LEN(SUBSTITUTE(AB1044,"[Aviso]","")))/7, "Con Incidencias", "Válido")))</f>
        <v/>
      </c>
      <c r="AB1044" s="56">
        <f>IF(AND(A1044="", B1044="", E1044=""), "", TEXTJOIN("; ", TRUE, IF(OR(TRIM(A1044&amp;"")="", ISNUMBER(SEARCH("FALTA", A1044))), "UPC faltante/inválido", ""), IF(AND(A1044&lt;&gt;"", IFERROR(_xlfn.XMATCH(A1044,$A$2:$A$2509,0,1)&lt;&gt;_xlfn.XMATCH(A1044,$A$2:$A$2509,0,-1),FALSE)), "Código de barras duplicado", ""), IF(AND(E1044&lt;&gt;"", COUNTIF($E$2:$E$2509, E1044)&gt;1), "SKU duplicado", ""), IF(OR(J1044="", J1044=""), "[Aviso] División no capturada ()", IF(ISNA(MATCH(J1044, Criterios!$A$123:$A$126, 0)), "División no válida", "")), IF(OR(K1044="", K1044=""), "[Aviso] Categoría no capturada ()", IF(ISNA(MATCH(K1044, Criterios!$A$81:$A$120, 0)), "Categoría no válida", IF(AND(J1044&lt;&gt;"", J1044&lt;&gt;"", J1044&lt;&gt;VLOOKUP(K1044, Criterios!$A$81:$B$120, 2, FALSE)), "División no coincide con Categoría", ""))), IF(OR(L1044="", L1044=""), "[Aviso] Género no capturado ()", IF(ISNA(MATCH(L1044, Criterios!$B$123:$B$127, 0)), "Género no válido", "")), IF(OR(N1044="", N1044=""), "[Aviso] Temporada no capturada ()", IF(ISNA(MATCH(N1044, Criterios!$C$123:$C$128, 0)), "Temporada no válida", "")), IF(OR(O1044="", O1044=""), "[Aviso] Ciclo de vida no capturado ()", IF(ISNA(MATCH(O1044, Criterios!$D$123:$D$124, 0)), "Ciclo de vida no válido", ""))))</f>
        <v/>
      </c>
      <c r="AC1044" s="56" t="n"/>
      <c r="AD1044" s="51" t="n">
        <v>-5</v>
      </c>
      <c r="AE1044" s="156" t="n"/>
      <c r="AF1044" s="51" t="n">
        <v>0</v>
      </c>
      <c r="AG1044" s="156" t="inlineStr">
        <is>
          <t>Catálogo existente</t>
        </is>
      </c>
      <c r="AH1044" s="156" t="inlineStr">
        <is>
          <t>Stock negativo en sistema: revisar en conteo</t>
        </is>
      </c>
      <c r="AI1044" s="156" t="inlineStr">
        <is>
          <t>Sí</t>
        </is>
      </c>
      <c r="AJ1044" s="156" t="inlineStr">
        <is>
          <t>STETSON AMERICAS (-5)</t>
        </is>
      </c>
      <c r="AK1044" s="155" t="inlineStr">
        <is>
          <t>Shopify Stetson: producto 15051554390379 / variante 53342126801259 | Odoo: producto 29837 / plantilla 38541</t>
        </is>
      </c>
      <c r="AL1044" s="58" t="n">
        <v>775.862069</v>
      </c>
      <c r="AM1044" s="58" t="n">
        <v>1724.137931</v>
      </c>
      <c r="AN1044" s="155" t="inlineStr">
        <is>
          <t>Shopify Stetson México | Odoo Universal Unique Brands</t>
        </is>
      </c>
      <c r="AO1044" s="59" t="n">
        <v>9</v>
      </c>
      <c r="AP1044" s="59" t="n"/>
      <c r="AQ1044" s="59" t="n">
        <v>14</v>
      </c>
      <c r="AR1044" s="155" t="inlineStr">
        <is>
          <t>Shopify Stetson México › Stetson Americas: 9 | Odoo Universal Unique Brands › Bodega 25 › Bodega 25/General: 14</t>
        </is>
      </c>
    </row>
    <row r="1045">
      <c r="A1045" s="50" t="inlineStr">
        <is>
          <t>196070703085</t>
        </is>
      </c>
      <c r="B1045" s="51" t="inlineStr">
        <is>
          <t>110597</t>
        </is>
      </c>
      <c r="C1045" s="156" t="inlineStr">
        <is>
          <t>Multimarca</t>
        </is>
      </c>
      <c r="D1045" s="156" t="inlineStr">
        <is>
          <t>11-004-1210-8003</t>
        </is>
      </c>
      <c r="E1045" s="156" t="inlineStr">
        <is>
          <t>11-004-1210-8003-32 34</t>
        </is>
      </c>
      <c r="F1045" s="156" t="inlineStr">
        <is>
          <t>32 x 34</t>
        </is>
      </c>
      <c r="G1045" s="156" t="inlineStr">
        <is>
          <t>32W / 34L</t>
        </is>
      </c>
      <c r="H1045" s="156" t="inlineStr">
        <is>
          <t>Stetson</t>
        </is>
      </c>
      <c r="I1045" s="156" t="inlineStr">
        <is>
          <t>Jean Lavado Oscuro con Bordado X en Bolsa</t>
        </is>
      </c>
      <c r="J1045" s="156" t="inlineStr">
        <is>
          <t>Denim</t>
        </is>
      </c>
      <c r="K1045" s="156" t="inlineStr">
        <is>
          <t>Jeans</t>
        </is>
      </c>
      <c r="L1045" s="156" t="inlineStr">
        <is>
          <t>Hombre</t>
        </is>
      </c>
      <c r="M1045" s="156" t="inlineStr">
        <is>
          <t>Stetson</t>
        </is>
      </c>
      <c r="N1045" s="156" t="inlineStr">
        <is>
          <t>SS26</t>
        </is>
      </c>
      <c r="O1045" s="156" t="inlineStr">
        <is>
          <t>Seasonal</t>
        </is>
      </c>
      <c r="P1045" s="156" t="inlineStr">
        <is>
          <t>Azul</t>
        </is>
      </c>
      <c r="Q1045" s="156" t="inlineStr">
        <is>
          <t>Regular</t>
        </is>
      </c>
      <c r="R1045" s="156" t="inlineStr">
        <is>
          <t>Recto</t>
        </is>
      </c>
      <c r="S1045" s="156" t="inlineStr">
        <is>
          <t>100% Algodón</t>
        </is>
      </c>
      <c r="T1045" s="156" t="inlineStr">
        <is>
          <t>Jean Lavado Oscuro con Bordado X en Bolsa Pierna Recta Regular</t>
        </is>
      </c>
      <c r="U1045" s="156" t="n"/>
      <c r="V1045" s="156" t="inlineStr">
        <is>
          <t>PZS</t>
        </is>
      </c>
      <c r="W1045" s="51" t="inlineStr">
        <is>
          <t>53101502</t>
        </is>
      </c>
      <c r="X1045" s="156" t="n"/>
      <c r="Y1045" s="54" t="n">
        <v>775.862069</v>
      </c>
      <c r="Z1045" s="54" t="n">
        <v>1724.137931</v>
      </c>
      <c r="AA1045" s="55">
        <f>IF(AND(A1045="", B1045="", E1045=""), "", IF(AB1045="", "Válido", IF((LEN(AB1045)-LEN(SUBSTITUTE(AB1045,"; ","")))/2+1&gt;(LEN(AB1045)-LEN(SUBSTITUTE(AB1045,"[Aviso]","")))/7, "Con Incidencias", "Válido")))</f>
        <v/>
      </c>
      <c r="AB1045" s="56">
        <f>IF(AND(A1045="", B1045="", E1045=""), "", TEXTJOIN("; ", TRUE, IF(OR(TRIM(A1045&amp;"")="", ISNUMBER(SEARCH("FALTA", A1045))), "UPC faltante/inválido", ""), IF(AND(A1045&lt;&gt;"", IFERROR(_xlfn.XMATCH(A1045,$A$2:$A$2509,0,1)&lt;&gt;_xlfn.XMATCH(A1045,$A$2:$A$2509,0,-1),FALSE)), "Código de barras duplicado", ""), IF(AND(E1045&lt;&gt;"", COUNTIF($E$2:$E$2509, E1045)&gt;1), "SKU duplicado", ""), IF(OR(J1045="", J1045=""), "[Aviso] División no capturada ()", IF(ISNA(MATCH(J1045, Criterios!$A$123:$A$126, 0)), "División no válida", "")), IF(OR(K1045="", K1045=""), "[Aviso] Categoría no capturada ()", IF(ISNA(MATCH(K1045, Criterios!$A$81:$A$120, 0)), "Categoría no válida", IF(AND(J1045&lt;&gt;"", J1045&lt;&gt;"", J1045&lt;&gt;VLOOKUP(K1045, Criterios!$A$81:$B$120, 2, FALSE)), "División no coincide con Categoría", ""))), IF(OR(L1045="", L1045=""), "[Aviso] Género no capturado ()", IF(ISNA(MATCH(L1045, Criterios!$B$123:$B$127, 0)), "Género no válido", "")), IF(OR(N1045="", N1045=""), "[Aviso] Temporada no capturada ()", IF(ISNA(MATCH(N1045, Criterios!$C$123:$C$128, 0)), "Temporada no válida", "")), IF(OR(O1045="", O1045=""), "[Aviso] Ciclo de vida no capturado ()", IF(ISNA(MATCH(O1045, Criterios!$D$123:$D$124, 0)), "Ciclo de vida no válido", ""))))</f>
        <v/>
      </c>
      <c r="AC1045" s="56" t="n"/>
      <c r="AD1045" s="51" t="n">
        <v>-3</v>
      </c>
      <c r="AE1045" s="156" t="n"/>
      <c r="AF1045" s="51" t="n">
        <v>0</v>
      </c>
      <c r="AG1045" s="156" t="inlineStr">
        <is>
          <t>Catálogo existente</t>
        </is>
      </c>
      <c r="AH1045" s="156" t="inlineStr">
        <is>
          <t>Stock negativo en sistema: revisar en conteo</t>
        </is>
      </c>
      <c r="AI1045" s="156" t="inlineStr">
        <is>
          <t>Sí</t>
        </is>
      </c>
      <c r="AJ1045" s="156" t="inlineStr">
        <is>
          <t>STETSON AMERICAS (-3)</t>
        </is>
      </c>
      <c r="AK1045" s="155" t="inlineStr">
        <is>
          <t>Shopify Stetson: producto 15051554390379 / variante 53342126834027 | Odoo: producto 29838 / plantilla 38542</t>
        </is>
      </c>
      <c r="AL1045" s="58" t="n">
        <v>775.862069</v>
      </c>
      <c r="AM1045" s="58" t="n">
        <v>1724.137931</v>
      </c>
      <c r="AN1045" s="155" t="inlineStr">
        <is>
          <t>Shopify Stetson México | Odoo Universal Unique Brands</t>
        </is>
      </c>
      <c r="AO1045" s="59" t="n">
        <v>5</v>
      </c>
      <c r="AP1045" s="59" t="n"/>
      <c r="AQ1045" s="59" t="n">
        <v>8</v>
      </c>
      <c r="AR1045" s="155" t="inlineStr">
        <is>
          <t>Shopify Stetson México › Stetson Americas: 5 | Odoo Universal Unique Brands › Bodega 25 › Bodega 25/General: 8</t>
        </is>
      </c>
    </row>
    <row r="1046">
      <c r="A1046" s="50" t="inlineStr">
        <is>
          <t>196070703191</t>
        </is>
      </c>
      <c r="B1046" s="51" t="inlineStr">
        <is>
          <t>110598</t>
        </is>
      </c>
      <c r="C1046" s="156" t="inlineStr">
        <is>
          <t>Multimarca</t>
        </is>
      </c>
      <c r="D1046" s="156" t="inlineStr">
        <is>
          <t>11-004-1210-8003</t>
        </is>
      </c>
      <c r="E1046" s="156" t="inlineStr">
        <is>
          <t>11-004-1210-8003-34 32</t>
        </is>
      </c>
      <c r="F1046" s="156" t="inlineStr">
        <is>
          <t>34 x 32</t>
        </is>
      </c>
      <c r="G1046" s="156" t="inlineStr">
        <is>
          <t>34W / 32L</t>
        </is>
      </c>
      <c r="H1046" s="156" t="inlineStr">
        <is>
          <t>Stetson</t>
        </is>
      </c>
      <c r="I1046" s="156" t="inlineStr">
        <is>
          <t>Jean Lavado Oscuro con Bordado X en Bolsa</t>
        </is>
      </c>
      <c r="J1046" s="156" t="inlineStr">
        <is>
          <t>Denim</t>
        </is>
      </c>
      <c r="K1046" s="156" t="inlineStr">
        <is>
          <t>Jeans</t>
        </is>
      </c>
      <c r="L1046" s="156" t="inlineStr">
        <is>
          <t>Hombre</t>
        </is>
      </c>
      <c r="M1046" s="156" t="inlineStr">
        <is>
          <t>Stetson</t>
        </is>
      </c>
      <c r="N1046" s="156" t="inlineStr">
        <is>
          <t>SS26</t>
        </is>
      </c>
      <c r="O1046" s="156" t="inlineStr">
        <is>
          <t>Seasonal</t>
        </is>
      </c>
      <c r="P1046" s="156" t="inlineStr">
        <is>
          <t>Azul</t>
        </is>
      </c>
      <c r="Q1046" s="156" t="inlineStr">
        <is>
          <t>Regular</t>
        </is>
      </c>
      <c r="R1046" s="156" t="inlineStr">
        <is>
          <t>Recto</t>
        </is>
      </c>
      <c r="S1046" s="156" t="inlineStr">
        <is>
          <t>100% Algodón</t>
        </is>
      </c>
      <c r="T1046" s="156" t="inlineStr">
        <is>
          <t>Jean Lavado Oscuro con Bordado X en Bolsa Pierna Recta Regular</t>
        </is>
      </c>
      <c r="U1046" s="156" t="n"/>
      <c r="V1046" s="156" t="inlineStr">
        <is>
          <t>PZS</t>
        </is>
      </c>
      <c r="W1046" s="51" t="inlineStr">
        <is>
          <t>53101502</t>
        </is>
      </c>
      <c r="X1046" s="156" t="n"/>
      <c r="Y1046" s="54" t="n">
        <v>775.862069</v>
      </c>
      <c r="Z1046" s="54" t="n">
        <v>1724.137931</v>
      </c>
      <c r="AA1046" s="55">
        <f>IF(AND(A1046="", B1046="", E1046=""), "", IF(AB1046="", "Válido", IF((LEN(AB1046)-LEN(SUBSTITUTE(AB1046,"; ","")))/2+1&gt;(LEN(AB1046)-LEN(SUBSTITUTE(AB1046,"[Aviso]","")))/7, "Con Incidencias", "Válido")))</f>
        <v/>
      </c>
      <c r="AB1046" s="56">
        <f>IF(AND(A1046="", B1046="", E1046=""), "", TEXTJOIN("; ", TRUE, IF(OR(TRIM(A1046&amp;"")="", ISNUMBER(SEARCH("FALTA", A1046))), "UPC faltante/inválido", ""), IF(AND(A1046&lt;&gt;"", IFERROR(_xlfn.XMATCH(A1046,$A$2:$A$2509,0,1)&lt;&gt;_xlfn.XMATCH(A1046,$A$2:$A$2509,0,-1),FALSE)), "Código de barras duplicado", ""), IF(AND(E1046&lt;&gt;"", COUNTIF($E$2:$E$2509, E1046)&gt;1), "SKU duplicado", ""), IF(OR(J1046="", J1046=""), "[Aviso] División no capturada ()", IF(ISNA(MATCH(J1046, Criterios!$A$123:$A$126, 0)), "División no válida", "")), IF(OR(K1046="", K1046=""), "[Aviso] Categoría no capturada ()", IF(ISNA(MATCH(K1046, Criterios!$A$81:$A$120, 0)), "Categoría no válida", IF(AND(J1046&lt;&gt;"", J1046&lt;&gt;"", J1046&lt;&gt;VLOOKUP(K1046, Criterios!$A$81:$B$120, 2, FALSE)), "División no coincide con Categoría", ""))), IF(OR(L1046="", L1046=""), "[Aviso] Género no capturado ()", IF(ISNA(MATCH(L1046, Criterios!$B$123:$B$127, 0)), "Género no válido", "")), IF(OR(N1046="", N1046=""), "[Aviso] Temporada no capturada ()", IF(ISNA(MATCH(N1046, Criterios!$C$123:$C$128, 0)), "Temporada no válida", "")), IF(OR(O1046="", O1046=""), "[Aviso] Ciclo de vida no capturado ()", IF(ISNA(MATCH(O1046, Criterios!$D$123:$D$124, 0)), "Ciclo de vida no válido", ""))))</f>
        <v/>
      </c>
      <c r="AC1046" s="56" t="n"/>
      <c r="AD1046" s="51" t="n">
        <v>-5</v>
      </c>
      <c r="AE1046" s="156" t="n"/>
      <c r="AF1046" s="51" t="n">
        <v>0</v>
      </c>
      <c r="AG1046" s="156" t="inlineStr">
        <is>
          <t>Catálogo existente</t>
        </is>
      </c>
      <c r="AH1046" s="156" t="inlineStr">
        <is>
          <t>Stock negativo en sistema: revisar en conteo</t>
        </is>
      </c>
      <c r="AI1046" s="156" t="inlineStr">
        <is>
          <t>Sí</t>
        </is>
      </c>
      <c r="AJ1046" s="156" t="inlineStr">
        <is>
          <t>STETSON AMERICAS (-5)</t>
        </is>
      </c>
      <c r="AK1046" s="155" t="inlineStr">
        <is>
          <t>Shopify Stetson: producto 15051554390379 / variante 53342126866795 | Odoo: producto 29839 / plantilla 38543</t>
        </is>
      </c>
      <c r="AL1046" s="58" t="n">
        <v>775.862069</v>
      </c>
      <c r="AM1046" s="58" t="n">
        <v>1724.137931</v>
      </c>
      <c r="AN1046" s="155" t="inlineStr">
        <is>
          <t>Shopify Stetson México | Odoo Universal Unique Brands</t>
        </is>
      </c>
      <c r="AO1046" s="59" t="n">
        <v>1</v>
      </c>
      <c r="AP1046" s="59" t="n"/>
      <c r="AQ1046" s="59" t="n">
        <v>6</v>
      </c>
      <c r="AR1046" s="155" t="inlineStr">
        <is>
          <t>Shopify Stetson México › Stetson Americas: 1 | Odoo Universal Unique Brands › Bodega 25 › Bodega 25/General: 6</t>
        </is>
      </c>
    </row>
    <row r="1047">
      <c r="A1047" s="50" t="inlineStr">
        <is>
          <t>196070703207</t>
        </is>
      </c>
      <c r="B1047" s="51" t="inlineStr">
        <is>
          <t>110599</t>
        </is>
      </c>
      <c r="C1047" s="156" t="inlineStr">
        <is>
          <t>Multimarca</t>
        </is>
      </c>
      <c r="D1047" s="156" t="inlineStr">
        <is>
          <t>11-004-1210-8003</t>
        </is>
      </c>
      <c r="E1047" s="156" t="inlineStr">
        <is>
          <t>11-004-1210-8003-34 34</t>
        </is>
      </c>
      <c r="F1047" s="156" t="inlineStr">
        <is>
          <t>34 x 34</t>
        </is>
      </c>
      <c r="G1047" s="156" t="inlineStr">
        <is>
          <t>34W / 34L</t>
        </is>
      </c>
      <c r="H1047" s="156" t="inlineStr">
        <is>
          <t>Stetson</t>
        </is>
      </c>
      <c r="I1047" s="156" t="inlineStr">
        <is>
          <t>Jean Lavado Oscuro con Bordado X en Bolsa</t>
        </is>
      </c>
      <c r="J1047" s="156" t="inlineStr">
        <is>
          <t>Denim</t>
        </is>
      </c>
      <c r="K1047" s="156" t="inlineStr">
        <is>
          <t>Jeans</t>
        </is>
      </c>
      <c r="L1047" s="156" t="inlineStr">
        <is>
          <t>Hombre</t>
        </is>
      </c>
      <c r="M1047" s="156" t="inlineStr">
        <is>
          <t>Stetson</t>
        </is>
      </c>
      <c r="N1047" s="156" t="inlineStr">
        <is>
          <t>SS26</t>
        </is>
      </c>
      <c r="O1047" s="156" t="inlineStr">
        <is>
          <t>Seasonal</t>
        </is>
      </c>
      <c r="P1047" s="156" t="inlineStr">
        <is>
          <t>Azul</t>
        </is>
      </c>
      <c r="Q1047" s="156" t="inlineStr">
        <is>
          <t>Regular</t>
        </is>
      </c>
      <c r="R1047" s="156" t="inlineStr">
        <is>
          <t>Recto</t>
        </is>
      </c>
      <c r="S1047" s="156" t="inlineStr">
        <is>
          <t>100% Algodón</t>
        </is>
      </c>
      <c r="T1047" s="156" t="inlineStr">
        <is>
          <t>Jean Lavado Oscuro con Bordado X en Bolsa Pierna Recta Regular</t>
        </is>
      </c>
      <c r="U1047" s="156" t="n"/>
      <c r="V1047" s="156" t="inlineStr">
        <is>
          <t>PZS</t>
        </is>
      </c>
      <c r="W1047" s="51" t="inlineStr">
        <is>
          <t>53101502</t>
        </is>
      </c>
      <c r="X1047" s="156" t="n"/>
      <c r="Y1047" s="54" t="n">
        <v>775.862069</v>
      </c>
      <c r="Z1047" s="54" t="n">
        <v>1724.137931</v>
      </c>
      <c r="AA1047" s="55">
        <f>IF(AND(A1047="", B1047="", E1047=""), "", IF(AB1047="", "Válido", IF((LEN(AB1047)-LEN(SUBSTITUTE(AB1047,"; ","")))/2+1&gt;(LEN(AB1047)-LEN(SUBSTITUTE(AB1047,"[Aviso]","")))/7, "Con Incidencias", "Válido")))</f>
        <v/>
      </c>
      <c r="AB1047" s="56">
        <f>IF(AND(A1047="", B1047="", E1047=""), "", TEXTJOIN("; ", TRUE, IF(OR(TRIM(A1047&amp;"")="", ISNUMBER(SEARCH("FALTA", A1047))), "UPC faltante/inválido", ""), IF(AND(A1047&lt;&gt;"", IFERROR(_xlfn.XMATCH(A1047,$A$2:$A$2509,0,1)&lt;&gt;_xlfn.XMATCH(A1047,$A$2:$A$2509,0,-1),FALSE)), "Código de barras duplicado", ""), IF(AND(E1047&lt;&gt;"", COUNTIF($E$2:$E$2509, E1047)&gt;1), "SKU duplicado", ""), IF(OR(J1047="", J1047=""), "[Aviso] División no capturada ()", IF(ISNA(MATCH(J1047, Criterios!$A$123:$A$126, 0)), "División no válida", "")), IF(OR(K1047="", K1047=""), "[Aviso] Categoría no capturada ()", IF(ISNA(MATCH(K1047, Criterios!$A$81:$A$120, 0)), "Categoría no válida", IF(AND(J1047&lt;&gt;"", J1047&lt;&gt;"", J1047&lt;&gt;VLOOKUP(K1047, Criterios!$A$81:$B$120, 2, FALSE)), "División no coincide con Categoría", ""))), IF(OR(L1047="", L1047=""), "[Aviso] Género no capturado ()", IF(ISNA(MATCH(L1047, Criterios!$B$123:$B$127, 0)), "Género no válido", "")), IF(OR(N1047="", N1047=""), "[Aviso] Temporada no capturada ()", IF(ISNA(MATCH(N1047, Criterios!$C$123:$C$128, 0)), "Temporada no válida", "")), IF(OR(O1047="", O1047=""), "[Aviso] Ciclo de vida no capturado ()", IF(ISNA(MATCH(O1047, Criterios!$D$123:$D$124, 0)), "Ciclo de vida no válido", ""))))</f>
        <v/>
      </c>
      <c r="AC1047" s="56" t="n"/>
      <c r="AD1047" s="51" t="n">
        <v>-1</v>
      </c>
      <c r="AE1047" s="156" t="n"/>
      <c r="AF1047" s="51" t="n">
        <v>0</v>
      </c>
      <c r="AG1047" s="156" t="inlineStr">
        <is>
          <t>Catálogo existente</t>
        </is>
      </c>
      <c r="AH1047" s="156" t="inlineStr">
        <is>
          <t>Stock negativo en sistema: revisar en conteo</t>
        </is>
      </c>
      <c r="AI1047" s="156" t="inlineStr">
        <is>
          <t>Sí</t>
        </is>
      </c>
      <c r="AJ1047" s="156" t="inlineStr">
        <is>
          <t>STETSON AMERICAS (-1)</t>
        </is>
      </c>
      <c r="AK1047" s="155" t="inlineStr">
        <is>
          <t>Shopify Stetson: producto 15051554390379 / variante 53342126899563 | Odoo: producto 29840 / plantilla 38544</t>
        </is>
      </c>
      <c r="AL1047" s="58" t="n">
        <v>775.862069</v>
      </c>
      <c r="AM1047" s="58" t="n">
        <v>1724.137931</v>
      </c>
      <c r="AN1047" s="155" t="inlineStr">
        <is>
          <t>Shopify Stetson México | Odoo Universal Unique Brands</t>
        </is>
      </c>
      <c r="AO1047" s="59" t="n">
        <v>7</v>
      </c>
      <c r="AP1047" s="59" t="n"/>
      <c r="AQ1047" s="59" t="n">
        <v>8</v>
      </c>
      <c r="AR1047" s="155" t="inlineStr">
        <is>
          <t>Shopify Stetson México › Stetson Americas: 7 | Odoo Universal Unique Brands › Bodega 25 › Bodega 25/General: 8</t>
        </is>
      </c>
    </row>
    <row r="1048">
      <c r="A1048" s="50" t="inlineStr">
        <is>
          <t>196070707007</t>
        </is>
      </c>
      <c r="B1048" s="51" t="inlineStr">
        <is>
          <t>110759</t>
        </is>
      </c>
      <c r="C1048" s="156" t="inlineStr">
        <is>
          <t>Multimarca</t>
        </is>
      </c>
      <c r="D1048" s="156" t="inlineStr">
        <is>
          <t>11-057-0590-6031</t>
        </is>
      </c>
      <c r="E1048" s="156" t="inlineStr">
        <is>
          <t>11-057-0590-6031-L</t>
        </is>
      </c>
      <c r="F1048" s="156" t="inlineStr">
        <is>
          <t>L</t>
        </is>
      </c>
      <c r="G1048" s="156" t="inlineStr">
        <is>
          <t>L</t>
        </is>
      </c>
      <c r="H1048" s="156" t="inlineStr">
        <is>
          <t>Stetson</t>
        </is>
      </c>
      <c r="I1048" s="156" t="inlineStr">
        <is>
          <t>Vestido Serape Herringbone Arena</t>
        </is>
      </c>
      <c r="J1048" s="156" t="inlineStr">
        <is>
          <t>Ropa</t>
        </is>
      </c>
      <c r="K1048" s="156" t="inlineStr">
        <is>
          <t>Vestidos</t>
        </is>
      </c>
      <c r="L1048" s="156" t="inlineStr">
        <is>
          <t>Mujer</t>
        </is>
      </c>
      <c r="M1048" s="156" t="inlineStr">
        <is>
          <t>Stetson</t>
        </is>
      </c>
      <c r="N1048" s="156" t="inlineStr">
        <is>
          <t>SS26</t>
        </is>
      </c>
      <c r="O1048" s="156" t="inlineStr">
        <is>
          <t>Seasonal</t>
        </is>
      </c>
      <c r="P1048" s="156" t="inlineStr">
        <is>
          <t>Beige</t>
        </is>
      </c>
      <c r="Q1048" s="156" t="inlineStr">
        <is>
          <t>Regular</t>
        </is>
      </c>
      <c r="R1048" s="156" t="n"/>
      <c r="S1048" s="156" t="inlineStr">
        <is>
          <t>100% Rayón</t>
        </is>
      </c>
      <c r="T1048" s="156" t="inlineStr">
        <is>
          <t>Vestido Serape Herringbone Arena Regular</t>
        </is>
      </c>
      <c r="U1048" s="156" t="n"/>
      <c r="V1048" s="156" t="inlineStr">
        <is>
          <t>PZS</t>
        </is>
      </c>
      <c r="W1048" s="51" t="inlineStr">
        <is>
          <t>53101504</t>
        </is>
      </c>
      <c r="X1048" s="156" t="n"/>
      <c r="Y1048" s="54" t="n">
        <v>1221.982759</v>
      </c>
      <c r="Z1048" s="54" t="n">
        <v>2715.517241</v>
      </c>
      <c r="AA1048" s="55">
        <f>IF(AND(A1048="", B1048="", E1048=""), "", IF(AB1048="", "Válido", IF((LEN(AB1048)-LEN(SUBSTITUTE(AB1048,"; ","")))/2+1&gt;(LEN(AB1048)-LEN(SUBSTITUTE(AB1048,"[Aviso]","")))/7, "Con Incidencias", "Válido")))</f>
        <v/>
      </c>
      <c r="AB1048" s="56">
        <f>IF(AND(A1048="", B1048="", E1048=""), "", TEXTJOIN("; ", TRUE, IF(OR(TRIM(A1048&amp;"")="", ISNUMBER(SEARCH("FALTA", A1048))), "UPC faltante/inválido", ""), IF(AND(A1048&lt;&gt;"", IFERROR(_xlfn.XMATCH(A1048,$A$2:$A$2509,0,1)&lt;&gt;_xlfn.XMATCH(A1048,$A$2:$A$2509,0,-1),FALSE)), "Código de barras duplicado", ""), IF(AND(E1048&lt;&gt;"", COUNTIF($E$2:$E$2509, E1048)&gt;1), "SKU duplicado", ""), IF(OR(J1048="", J1048=""), "[Aviso] División no capturada ()", IF(ISNA(MATCH(J1048, Criterios!$A$123:$A$126, 0)), "División no válida", "")), IF(OR(K1048="", K1048=""), "[Aviso] Categoría no capturada ()", IF(ISNA(MATCH(K1048, Criterios!$A$81:$A$120, 0)), "Categoría no válida", IF(AND(J1048&lt;&gt;"", J1048&lt;&gt;"", J1048&lt;&gt;VLOOKUP(K1048, Criterios!$A$81:$B$120, 2, FALSE)), "División no coincide con Categoría", ""))), IF(OR(L1048="", L1048=""), "[Aviso] Género no capturado ()", IF(ISNA(MATCH(L1048, Criterios!$B$123:$B$127, 0)), "Género no válido", "")), IF(OR(N1048="", N1048=""), "[Aviso] Temporada no capturada ()", IF(ISNA(MATCH(N1048, Criterios!$C$123:$C$128, 0)), "Temporada no válida", "")), IF(OR(O1048="", O1048=""), "[Aviso] Ciclo de vida no capturado ()", IF(ISNA(MATCH(O1048, Criterios!$D$123:$D$124, 0)), "Ciclo de vida no válido", ""))))</f>
        <v/>
      </c>
      <c r="AC1048" s="56" t="n"/>
      <c r="AD1048" s="51" t="n">
        <v>-2</v>
      </c>
      <c r="AE1048" s="156" t="n"/>
      <c r="AF1048" s="51" t="n">
        <v>0</v>
      </c>
      <c r="AG1048" s="156" t="inlineStr">
        <is>
          <t>Catálogo existente</t>
        </is>
      </c>
      <c r="AH1048" s="156" t="inlineStr">
        <is>
          <t>Stock negativo en sistema: revisar en conteo | Revisión 29/09/2026: Campos sin respaldo: U, X; Auditoría NetSuite 30/09/2026: llenado desde NetSuite [S] | 01/10/2026: complementado desde Shopify Stetson México (match por código de barras): WB Silueta</t>
        </is>
      </c>
      <c r="AI1048" s="156" t="inlineStr">
        <is>
          <t>Sí</t>
        </is>
      </c>
      <c r="AJ1048" s="156" t="inlineStr">
        <is>
          <t>STETSON AMERICAS (-2)</t>
        </is>
      </c>
      <c r="AK1048" s="155" t="inlineStr">
        <is>
          <t>Criterios: J [R]; G1522_Extraccion_Articulos_NetSuite_2026-09-30.xlsx: fila 58574 [S] | Shopify Stetson: producto 15051552227691 / variante 53350589923691</t>
        </is>
      </c>
      <c r="AL1048" s="58" t="n">
        <v>1221.982759</v>
      </c>
      <c r="AM1048" s="58" t="n">
        <v>2715.517241</v>
      </c>
      <c r="AN1048" s="155" t="inlineStr">
        <is>
          <t>Shopify Stetson México</t>
        </is>
      </c>
      <c r="AO1048" s="59" t="n">
        <v>0</v>
      </c>
      <c r="AP1048" s="59" t="n"/>
      <c r="AQ1048" s="59" t="n"/>
      <c r="AR1048" s="155" t="n"/>
    </row>
    <row r="1049">
      <c r="A1049" s="50" t="inlineStr">
        <is>
          <t>196070707014</t>
        </is>
      </c>
      <c r="B1049" s="51" t="inlineStr">
        <is>
          <t>110760</t>
        </is>
      </c>
      <c r="C1049" s="156" t="inlineStr">
        <is>
          <t>Multimarca</t>
        </is>
      </c>
      <c r="D1049" s="156" t="inlineStr">
        <is>
          <t>11-057-0590-6031</t>
        </is>
      </c>
      <c r="E1049" s="156" t="inlineStr">
        <is>
          <t>11-057-0590-6031-M</t>
        </is>
      </c>
      <c r="F1049" s="156" t="inlineStr">
        <is>
          <t>M</t>
        </is>
      </c>
      <c r="G1049" s="156" t="inlineStr">
        <is>
          <t>M</t>
        </is>
      </c>
      <c r="H1049" s="156" t="inlineStr">
        <is>
          <t>Stetson</t>
        </is>
      </c>
      <c r="I1049" s="156" t="inlineStr">
        <is>
          <t>Vestido Serape Herringbone Arena</t>
        </is>
      </c>
      <c r="J1049" s="156" t="inlineStr">
        <is>
          <t>Ropa</t>
        </is>
      </c>
      <c r="K1049" s="156" t="inlineStr">
        <is>
          <t>Vestidos</t>
        </is>
      </c>
      <c r="L1049" s="156" t="inlineStr">
        <is>
          <t>Mujer</t>
        </is>
      </c>
      <c r="M1049" s="156" t="inlineStr">
        <is>
          <t>Stetson</t>
        </is>
      </c>
      <c r="N1049" s="156" t="inlineStr">
        <is>
          <t>SS26</t>
        </is>
      </c>
      <c r="O1049" s="156" t="inlineStr">
        <is>
          <t>Seasonal</t>
        </is>
      </c>
      <c r="P1049" s="156" t="inlineStr">
        <is>
          <t>Beige</t>
        </is>
      </c>
      <c r="Q1049" s="156" t="inlineStr">
        <is>
          <t>Regular</t>
        </is>
      </c>
      <c r="R1049" s="156" t="n"/>
      <c r="S1049" s="156" t="inlineStr">
        <is>
          <t>100% Rayón</t>
        </is>
      </c>
      <c r="T1049" s="156" t="inlineStr">
        <is>
          <t>Vestido Serape Herringbone Arena Regular</t>
        </is>
      </c>
      <c r="U1049" s="156" t="n"/>
      <c r="V1049" s="156" t="inlineStr">
        <is>
          <t>PZS</t>
        </is>
      </c>
      <c r="W1049" s="51" t="inlineStr">
        <is>
          <t>53101504</t>
        </is>
      </c>
      <c r="X1049" s="156" t="n"/>
      <c r="Y1049" s="54" t="n">
        <v>1221.982759</v>
      </c>
      <c r="Z1049" s="54" t="n">
        <v>2715.517241</v>
      </c>
      <c r="AA1049" s="55">
        <f>IF(AND(A1049="", B1049="", E1049=""), "", IF(AB1049="", "Válido", IF((LEN(AB1049)-LEN(SUBSTITUTE(AB1049,"; ","")))/2+1&gt;(LEN(AB1049)-LEN(SUBSTITUTE(AB1049,"[Aviso]","")))/7, "Con Incidencias", "Válido")))</f>
        <v/>
      </c>
      <c r="AB1049" s="56">
        <f>IF(AND(A1049="", B1049="", E1049=""), "", TEXTJOIN("; ", TRUE, IF(OR(TRIM(A1049&amp;"")="", ISNUMBER(SEARCH("FALTA", A1049))), "UPC faltante/inválido", ""), IF(AND(A1049&lt;&gt;"", IFERROR(_xlfn.XMATCH(A1049,$A$2:$A$2509,0,1)&lt;&gt;_xlfn.XMATCH(A1049,$A$2:$A$2509,0,-1),FALSE)), "Código de barras duplicado", ""), IF(AND(E1049&lt;&gt;"", COUNTIF($E$2:$E$2509, E1049)&gt;1), "SKU duplicado", ""), IF(OR(J1049="", J1049=""), "[Aviso] División no capturada ()", IF(ISNA(MATCH(J1049, Criterios!$A$123:$A$126, 0)), "División no válida", "")), IF(OR(K1049="", K1049=""), "[Aviso] Categoría no capturada ()", IF(ISNA(MATCH(K1049, Criterios!$A$81:$A$120, 0)), "Categoría no válida", IF(AND(J1049&lt;&gt;"", J1049&lt;&gt;"", J1049&lt;&gt;VLOOKUP(K1049, Criterios!$A$81:$B$120, 2, FALSE)), "División no coincide con Categoría", ""))), IF(OR(L1049="", L1049=""), "[Aviso] Género no capturado ()", IF(ISNA(MATCH(L1049, Criterios!$B$123:$B$127, 0)), "Género no válido", "")), IF(OR(N1049="", N1049=""), "[Aviso] Temporada no capturada ()", IF(ISNA(MATCH(N1049, Criterios!$C$123:$C$128, 0)), "Temporada no válida", "")), IF(OR(O1049="", O1049=""), "[Aviso] Ciclo de vida no capturado ()", IF(ISNA(MATCH(O1049, Criterios!$D$123:$D$124, 0)), "Ciclo de vida no válido", ""))))</f>
        <v/>
      </c>
      <c r="AC1049" s="56" t="n"/>
      <c r="AD1049" s="51" t="n">
        <v>-4</v>
      </c>
      <c r="AE1049" s="156" t="n"/>
      <c r="AF1049" s="51" t="n">
        <v>0</v>
      </c>
      <c r="AG1049" s="156" t="inlineStr">
        <is>
          <t>Catálogo existente</t>
        </is>
      </c>
      <c r="AH1049" s="156" t="inlineStr">
        <is>
          <t>Stock negativo en sistema: revisar en conteo | Revisión 29/09/2026: Campos sin respaldo: U, X; Auditoría NetSuite 30/09/2026: llenado desde NetSuite [S] | 01/10/2026: complementado desde Shopify Stetson México (match por código de barras): WB Silueta</t>
        </is>
      </c>
      <c r="AI1049" s="156" t="inlineStr">
        <is>
          <t>Sí</t>
        </is>
      </c>
      <c r="AJ1049" s="156" t="inlineStr">
        <is>
          <t>STETSON AMERICAS (-4)</t>
        </is>
      </c>
      <c r="AK1049" s="155" t="inlineStr">
        <is>
          <t>Criterios: J [R]; G1522_Extraccion_Articulos_NetSuite_2026-09-30.xlsx: fila 58575 [S] | Shopify Stetson: producto 15051552227691 / variante 53350589890923</t>
        </is>
      </c>
      <c r="AL1049" s="58" t="n">
        <v>1221.982759</v>
      </c>
      <c r="AM1049" s="58" t="n">
        <v>2715.517241</v>
      </c>
      <c r="AN1049" s="155" t="inlineStr">
        <is>
          <t>Shopify Stetson México</t>
        </is>
      </c>
      <c r="AO1049" s="59" t="n">
        <v>0</v>
      </c>
      <c r="AP1049" s="59" t="n"/>
      <c r="AQ1049" s="59" t="n"/>
      <c r="AR1049" s="155" t="n"/>
    </row>
    <row r="1050">
      <c r="A1050" s="50" t="inlineStr">
        <is>
          <t>196070707021</t>
        </is>
      </c>
      <c r="B1050" s="51" t="inlineStr">
        <is>
          <t>110761</t>
        </is>
      </c>
      <c r="C1050" s="156" t="inlineStr">
        <is>
          <t>Multimarca</t>
        </is>
      </c>
      <c r="D1050" s="156" t="inlineStr">
        <is>
          <t>11-057-0590-6031</t>
        </is>
      </c>
      <c r="E1050" s="156" t="inlineStr">
        <is>
          <t>11-057-0590-6031-S</t>
        </is>
      </c>
      <c r="F1050" s="156" t="inlineStr">
        <is>
          <t>S</t>
        </is>
      </c>
      <c r="G1050" s="156" t="inlineStr">
        <is>
          <t>S</t>
        </is>
      </c>
      <c r="H1050" s="156" t="inlineStr">
        <is>
          <t>Stetson</t>
        </is>
      </c>
      <c r="I1050" s="156" t="inlineStr">
        <is>
          <t>Vestido Serape Herringbone Arena</t>
        </is>
      </c>
      <c r="J1050" s="156" t="inlineStr">
        <is>
          <t>Ropa</t>
        </is>
      </c>
      <c r="K1050" s="156" t="inlineStr">
        <is>
          <t>Vestidos</t>
        </is>
      </c>
      <c r="L1050" s="156" t="inlineStr">
        <is>
          <t>Mujer</t>
        </is>
      </c>
      <c r="M1050" s="156" t="inlineStr">
        <is>
          <t>Stetson</t>
        </is>
      </c>
      <c r="N1050" s="156" t="inlineStr">
        <is>
          <t>SS26</t>
        </is>
      </c>
      <c r="O1050" s="156" t="inlineStr">
        <is>
          <t>Seasonal</t>
        </is>
      </c>
      <c r="P1050" s="156" t="inlineStr">
        <is>
          <t>Beige</t>
        </is>
      </c>
      <c r="Q1050" s="156" t="inlineStr">
        <is>
          <t>Regular</t>
        </is>
      </c>
      <c r="R1050" s="156" t="n"/>
      <c r="S1050" s="156" t="inlineStr">
        <is>
          <t>100% Rayón</t>
        </is>
      </c>
      <c r="T1050" s="156" t="inlineStr">
        <is>
          <t>Vestido Serape Herringbone Arena Regular</t>
        </is>
      </c>
      <c r="U1050" s="156" t="n"/>
      <c r="V1050" s="156" t="inlineStr">
        <is>
          <t>PZS</t>
        </is>
      </c>
      <c r="W1050" s="51" t="inlineStr">
        <is>
          <t>53101504</t>
        </is>
      </c>
      <c r="X1050" s="156" t="n"/>
      <c r="Y1050" s="54" t="n">
        <v>1221.982759</v>
      </c>
      <c r="Z1050" s="54" t="n">
        <v>2715.517241</v>
      </c>
      <c r="AA1050" s="55">
        <f>IF(AND(A1050="", B1050="", E1050=""), "", IF(AB1050="", "Válido", IF((LEN(AB1050)-LEN(SUBSTITUTE(AB1050,"; ","")))/2+1&gt;(LEN(AB1050)-LEN(SUBSTITUTE(AB1050,"[Aviso]","")))/7, "Con Incidencias", "Válido")))</f>
        <v/>
      </c>
      <c r="AB1050" s="56">
        <f>IF(AND(A1050="", B1050="", E1050=""), "", TEXTJOIN("; ", TRUE, IF(OR(TRIM(A1050&amp;"")="", ISNUMBER(SEARCH("FALTA", A1050))), "UPC faltante/inválido", ""), IF(AND(A1050&lt;&gt;"", IFERROR(_xlfn.XMATCH(A1050,$A$2:$A$2509,0,1)&lt;&gt;_xlfn.XMATCH(A1050,$A$2:$A$2509,0,-1),FALSE)), "Código de barras duplicado", ""), IF(AND(E1050&lt;&gt;"", COUNTIF($E$2:$E$2509, E1050)&gt;1), "SKU duplicado", ""), IF(OR(J1050="", J1050=""), "[Aviso] División no capturada ()", IF(ISNA(MATCH(J1050, Criterios!$A$123:$A$126, 0)), "División no válida", "")), IF(OR(K1050="", K1050=""), "[Aviso] Categoría no capturada ()", IF(ISNA(MATCH(K1050, Criterios!$A$81:$A$120, 0)), "Categoría no válida", IF(AND(J1050&lt;&gt;"", J1050&lt;&gt;"", J1050&lt;&gt;VLOOKUP(K1050, Criterios!$A$81:$B$120, 2, FALSE)), "División no coincide con Categoría", ""))), IF(OR(L1050="", L1050=""), "[Aviso] Género no capturado ()", IF(ISNA(MATCH(L1050, Criterios!$B$123:$B$127, 0)), "Género no válido", "")), IF(OR(N1050="", N1050=""), "[Aviso] Temporada no capturada ()", IF(ISNA(MATCH(N1050, Criterios!$C$123:$C$128, 0)), "Temporada no válida", "")), IF(OR(O1050="", O1050=""), "[Aviso] Ciclo de vida no capturado ()", IF(ISNA(MATCH(O1050, Criterios!$D$123:$D$124, 0)), "Ciclo de vida no válido", ""))))</f>
        <v/>
      </c>
      <c r="AC1050" s="56" t="n"/>
      <c r="AD1050" s="51" t="n">
        <v>-1</v>
      </c>
      <c r="AE1050" s="156" t="n"/>
      <c r="AF1050" s="51" t="n">
        <v>0</v>
      </c>
      <c r="AG1050" s="156" t="inlineStr">
        <is>
          <t>Catálogo existente</t>
        </is>
      </c>
      <c r="AH1050" s="156" t="inlineStr">
        <is>
          <t>Stock negativo en sistema: revisar en conteo | Revisión 29/09/2026: Campos sin respaldo: U, X; Auditoría NetSuite 30/09/2026: llenado desde NetSuite [S] | 01/10/2026: complementado desde Shopify Stetson México (match por código de barras): WB Silueta</t>
        </is>
      </c>
      <c r="AI1050" s="156" t="inlineStr">
        <is>
          <t>Sí</t>
        </is>
      </c>
      <c r="AJ1050" s="156" t="inlineStr">
        <is>
          <t>STETSON AMERICAS (-1)</t>
        </is>
      </c>
      <c r="AK1050" s="155" t="inlineStr">
        <is>
          <t>Criterios: J [R]; G1522_Extraccion_Articulos_NetSuite_2026-09-30.xlsx: fila 58576 [S] | Shopify Stetson: producto 15051552227691 / variante 53350589858155</t>
        </is>
      </c>
      <c r="AL1050" s="58" t="n">
        <v>1221.982759</v>
      </c>
      <c r="AM1050" s="58" t="n">
        <v>2715.517241</v>
      </c>
      <c r="AN1050" s="155" t="inlineStr">
        <is>
          <t>Shopify Stetson México</t>
        </is>
      </c>
      <c r="AO1050" s="59" t="n">
        <v>5</v>
      </c>
      <c r="AP1050" s="59" t="n"/>
      <c r="AQ1050" s="59" t="n"/>
      <c r="AR1050" s="155" t="inlineStr">
        <is>
          <t>Shopify Stetson México › Stetson Americas: 5</t>
        </is>
      </c>
    </row>
    <row r="1051">
      <c r="A1051" s="50" t="inlineStr">
        <is>
          <t>196070707038</t>
        </is>
      </c>
      <c r="B1051" s="51" t="inlineStr">
        <is>
          <t>110762</t>
        </is>
      </c>
      <c r="C1051" s="156" t="inlineStr">
        <is>
          <t>Multimarca</t>
        </is>
      </c>
      <c r="D1051" s="156" t="inlineStr">
        <is>
          <t>11-057-0590-6031</t>
        </is>
      </c>
      <c r="E1051" s="156" t="inlineStr">
        <is>
          <t>11-057-0590-6031-XL</t>
        </is>
      </c>
      <c r="F1051" s="156" t="inlineStr">
        <is>
          <t>XL</t>
        </is>
      </c>
      <c r="G1051" s="156" t="inlineStr">
        <is>
          <t>XL</t>
        </is>
      </c>
      <c r="H1051" s="156" t="inlineStr">
        <is>
          <t>Stetson</t>
        </is>
      </c>
      <c r="I1051" s="156" t="inlineStr">
        <is>
          <t>Vestido Serape Herringbone Arena</t>
        </is>
      </c>
      <c r="J1051" s="156" t="inlineStr">
        <is>
          <t>Ropa</t>
        </is>
      </c>
      <c r="K1051" s="156" t="inlineStr">
        <is>
          <t>Vestidos</t>
        </is>
      </c>
      <c r="L1051" s="156" t="inlineStr">
        <is>
          <t>Mujer</t>
        </is>
      </c>
      <c r="M1051" s="156" t="inlineStr">
        <is>
          <t>Stetson</t>
        </is>
      </c>
      <c r="N1051" s="156" t="inlineStr">
        <is>
          <t>SS26</t>
        </is>
      </c>
      <c r="O1051" s="156" t="inlineStr">
        <is>
          <t>Seasonal</t>
        </is>
      </c>
      <c r="P1051" s="156" t="inlineStr">
        <is>
          <t>Beige</t>
        </is>
      </c>
      <c r="Q1051" s="156" t="inlineStr">
        <is>
          <t>Regular</t>
        </is>
      </c>
      <c r="R1051" s="156" t="n"/>
      <c r="S1051" s="156" t="inlineStr">
        <is>
          <t>100% Rayón</t>
        </is>
      </c>
      <c r="T1051" s="156" t="inlineStr">
        <is>
          <t>Vestido Serape Herringbone Arena Regular</t>
        </is>
      </c>
      <c r="U1051" s="156" t="n"/>
      <c r="V1051" s="156" t="inlineStr">
        <is>
          <t>PZS</t>
        </is>
      </c>
      <c r="W1051" s="51" t="inlineStr">
        <is>
          <t>53101504</t>
        </is>
      </c>
      <c r="X1051" s="156" t="n"/>
      <c r="Y1051" s="54" t="n">
        <v>1221.982759</v>
      </c>
      <c r="Z1051" s="54" t="n">
        <v>2715.517241</v>
      </c>
      <c r="AA1051" s="55">
        <f>IF(AND(A1051="", B1051="", E1051=""), "", IF(AB1051="", "Válido", IF((LEN(AB1051)-LEN(SUBSTITUTE(AB1051,"; ","")))/2+1&gt;(LEN(AB1051)-LEN(SUBSTITUTE(AB1051,"[Aviso]","")))/7, "Con Incidencias", "Válido")))</f>
        <v/>
      </c>
      <c r="AB1051" s="56">
        <f>IF(AND(A1051="", B1051="", E1051=""), "", TEXTJOIN("; ", TRUE, IF(OR(TRIM(A1051&amp;"")="", ISNUMBER(SEARCH("FALTA", A1051))), "UPC faltante/inválido", ""), IF(AND(A1051&lt;&gt;"", IFERROR(_xlfn.XMATCH(A1051,$A$2:$A$2509,0,1)&lt;&gt;_xlfn.XMATCH(A1051,$A$2:$A$2509,0,-1),FALSE)), "Código de barras duplicado", ""), IF(AND(E1051&lt;&gt;"", COUNTIF($E$2:$E$2509, E1051)&gt;1), "SKU duplicado", ""), IF(OR(J1051="", J1051=""), "[Aviso] División no capturada ()", IF(ISNA(MATCH(J1051, Criterios!$A$123:$A$126, 0)), "División no válida", "")), IF(OR(K1051="", K1051=""), "[Aviso] Categoría no capturada ()", IF(ISNA(MATCH(K1051, Criterios!$A$81:$A$120, 0)), "Categoría no válida", IF(AND(J1051&lt;&gt;"", J1051&lt;&gt;"", J1051&lt;&gt;VLOOKUP(K1051, Criterios!$A$81:$B$120, 2, FALSE)), "División no coincide con Categoría", ""))), IF(OR(L1051="", L1051=""), "[Aviso] Género no capturado ()", IF(ISNA(MATCH(L1051, Criterios!$B$123:$B$127, 0)), "Género no válido", "")), IF(OR(N1051="", N1051=""), "[Aviso] Temporada no capturada ()", IF(ISNA(MATCH(N1051, Criterios!$C$123:$C$128, 0)), "Temporada no válida", "")), IF(OR(O1051="", O1051=""), "[Aviso] Ciclo de vida no capturado ()", IF(ISNA(MATCH(O1051, Criterios!$D$123:$D$124, 0)), "Ciclo de vida no válido", ""))))</f>
        <v/>
      </c>
      <c r="AC1051" s="56" t="n"/>
      <c r="AD1051" s="51" t="n">
        <v>0</v>
      </c>
      <c r="AE1051" s="156" t="n"/>
      <c r="AF1051" s="51" t="n">
        <v>0</v>
      </c>
      <c r="AG1051" s="156" t="inlineStr">
        <is>
          <t>Catálogo existente</t>
        </is>
      </c>
      <c r="AH1051" s="156" t="inlineStr">
        <is>
          <t>Revisión 29/09/2026: Campos sin respaldo: U, X; Auditoría NetSuite 30/09/2026: llenado desde NetSuite [S] | 01/10/2026: complementado desde Shopify Stetson México (match por código de barras): WB Silueta</t>
        </is>
      </c>
      <c r="AI1051" s="156" t="inlineStr">
        <is>
          <t>No</t>
        </is>
      </c>
      <c r="AJ1051" s="156" t="n"/>
      <c r="AK1051" s="155" t="inlineStr">
        <is>
          <t>Criterios: J [R]; G1522_Extraccion_Articulos_NetSuite_2026-09-30.xlsx: fila 58577 [S] | Shopify Stetson: producto 15051552227691 / variante 53350589956459</t>
        </is>
      </c>
      <c r="AL1051" s="58" t="n">
        <v>1221.982759</v>
      </c>
      <c r="AM1051" s="58" t="n">
        <v>2715.517241</v>
      </c>
      <c r="AN1051" s="155" t="inlineStr">
        <is>
          <t>Shopify Stetson México</t>
        </is>
      </c>
      <c r="AO1051" s="59" t="n">
        <v>1</v>
      </c>
      <c r="AP1051" s="59" t="n"/>
      <c r="AQ1051" s="59" t="n"/>
      <c r="AR1051" s="155" t="inlineStr">
        <is>
          <t>Shopify Stetson México › Stetson Americas: 1</t>
        </is>
      </c>
    </row>
    <row r="1052">
      <c r="A1052" s="50" t="inlineStr">
        <is>
          <t>196070707045</t>
        </is>
      </c>
      <c r="B1052" s="51" t="inlineStr">
        <is>
          <t>110763</t>
        </is>
      </c>
      <c r="C1052" s="156" t="inlineStr">
        <is>
          <t>Multimarca</t>
        </is>
      </c>
      <c r="D1052" s="156" t="inlineStr">
        <is>
          <t>11-057-0590-6031</t>
        </is>
      </c>
      <c r="E1052" s="156" t="inlineStr">
        <is>
          <t>11-057-0590-6031-XS</t>
        </is>
      </c>
      <c r="F1052" s="156" t="inlineStr">
        <is>
          <t>XS</t>
        </is>
      </c>
      <c r="G1052" s="156" t="inlineStr">
        <is>
          <t>XS</t>
        </is>
      </c>
      <c r="H1052" s="156" t="inlineStr">
        <is>
          <t>Stetson</t>
        </is>
      </c>
      <c r="I1052" s="156" t="inlineStr">
        <is>
          <t>Vestido Serape Herringbone Arena</t>
        </is>
      </c>
      <c r="J1052" s="156" t="inlineStr">
        <is>
          <t>Ropa</t>
        </is>
      </c>
      <c r="K1052" s="156" t="inlineStr">
        <is>
          <t>Vestidos</t>
        </is>
      </c>
      <c r="L1052" s="156" t="inlineStr">
        <is>
          <t>Mujer</t>
        </is>
      </c>
      <c r="M1052" s="156" t="inlineStr">
        <is>
          <t>Stetson</t>
        </is>
      </c>
      <c r="N1052" s="156" t="inlineStr">
        <is>
          <t>SS26</t>
        </is>
      </c>
      <c r="O1052" s="156" t="inlineStr">
        <is>
          <t>Seasonal</t>
        </is>
      </c>
      <c r="P1052" s="156" t="inlineStr">
        <is>
          <t>Beige</t>
        </is>
      </c>
      <c r="Q1052" s="156" t="inlineStr">
        <is>
          <t>Regular</t>
        </is>
      </c>
      <c r="R1052" s="156" t="n"/>
      <c r="S1052" s="156" t="inlineStr">
        <is>
          <t>100% Rayón</t>
        </is>
      </c>
      <c r="T1052" s="156" t="inlineStr">
        <is>
          <t>Vestido Serape Herringbone Arena Regular</t>
        </is>
      </c>
      <c r="U1052" s="156" t="n"/>
      <c r="V1052" s="156" t="inlineStr">
        <is>
          <t>PZS</t>
        </is>
      </c>
      <c r="W1052" s="51" t="inlineStr">
        <is>
          <t>53101504</t>
        </is>
      </c>
      <c r="X1052" s="156" t="n"/>
      <c r="Y1052" s="54" t="n">
        <v>1221.982759</v>
      </c>
      <c r="Z1052" s="54" t="n">
        <v>2715.517241</v>
      </c>
      <c r="AA1052" s="55">
        <f>IF(AND(A1052="", B1052="", E1052=""), "", IF(AB1052="", "Válido", IF((LEN(AB1052)-LEN(SUBSTITUTE(AB1052,"; ","")))/2+1&gt;(LEN(AB1052)-LEN(SUBSTITUTE(AB1052,"[Aviso]","")))/7, "Con Incidencias", "Válido")))</f>
        <v/>
      </c>
      <c r="AB1052" s="56">
        <f>IF(AND(A1052="", B1052="", E1052=""), "", TEXTJOIN("; ", TRUE, IF(OR(TRIM(A1052&amp;"")="", ISNUMBER(SEARCH("FALTA", A1052))), "UPC faltante/inválido", ""), IF(AND(A1052&lt;&gt;"", IFERROR(_xlfn.XMATCH(A1052,$A$2:$A$2509,0,1)&lt;&gt;_xlfn.XMATCH(A1052,$A$2:$A$2509,0,-1),FALSE)), "Código de barras duplicado", ""), IF(AND(E1052&lt;&gt;"", COUNTIF($E$2:$E$2509, E1052)&gt;1), "SKU duplicado", ""), IF(OR(J1052="", J1052=""), "[Aviso] División no capturada ()", IF(ISNA(MATCH(J1052, Criterios!$A$123:$A$126, 0)), "División no válida", "")), IF(OR(K1052="", K1052=""), "[Aviso] Categoría no capturada ()", IF(ISNA(MATCH(K1052, Criterios!$A$81:$A$120, 0)), "Categoría no válida", IF(AND(J1052&lt;&gt;"", J1052&lt;&gt;"", J1052&lt;&gt;VLOOKUP(K1052, Criterios!$A$81:$B$120, 2, FALSE)), "División no coincide con Categoría", ""))), IF(OR(L1052="", L1052=""), "[Aviso] Género no capturado ()", IF(ISNA(MATCH(L1052, Criterios!$B$123:$B$127, 0)), "Género no válido", "")), IF(OR(N1052="", N1052=""), "[Aviso] Temporada no capturada ()", IF(ISNA(MATCH(N1052, Criterios!$C$123:$C$128, 0)), "Temporada no válida", "")), IF(OR(O1052="", O1052=""), "[Aviso] Ciclo de vida no capturado ()", IF(ISNA(MATCH(O1052, Criterios!$D$123:$D$124, 0)), "Ciclo de vida no válido", ""))))</f>
        <v/>
      </c>
      <c r="AC1052" s="56" t="n"/>
      <c r="AD1052" s="51" t="n">
        <v>0</v>
      </c>
      <c r="AE1052" s="156" t="n"/>
      <c r="AF1052" s="51" t="n">
        <v>0</v>
      </c>
      <c r="AG1052" s="156" t="inlineStr">
        <is>
          <t>Catálogo existente</t>
        </is>
      </c>
      <c r="AH1052" s="156" t="inlineStr">
        <is>
          <t>Revisión 29/09/2026: Campos sin respaldo: U, X; Auditoría NetSuite 30/09/2026: llenado desde NetSuite [S] | 01/10/2026: complementado desde Shopify Stetson México (match por código de barras): WB Silueta</t>
        </is>
      </c>
      <c r="AI1052" s="156" t="inlineStr">
        <is>
          <t>No</t>
        </is>
      </c>
      <c r="AJ1052" s="156" t="n"/>
      <c r="AK1052" s="155" t="inlineStr">
        <is>
          <t>Criterios: J [R]; G1522_Extraccion_Articulos_NetSuite_2026-09-30.xlsx: fila 58578 [S] | Shopify Stetson: producto 15051552227691 / variante 53350589825387</t>
        </is>
      </c>
      <c r="AL1052" s="58" t="n">
        <v>1221.982759</v>
      </c>
      <c r="AM1052" s="58" t="n">
        <v>2715.517241</v>
      </c>
      <c r="AN1052" s="155" t="inlineStr">
        <is>
          <t>Shopify Stetson México</t>
        </is>
      </c>
      <c r="AO1052" s="59" t="n">
        <v>3</v>
      </c>
      <c r="AP1052" s="59" t="n"/>
      <c r="AQ1052" s="59" t="n"/>
      <c r="AR1052" s="155" t="inlineStr">
        <is>
          <t>Shopify Stetson México › Stetson Americas: 3</t>
        </is>
      </c>
    </row>
    <row r="1053">
      <c r="A1053" s="50" t="inlineStr">
        <is>
          <t>196070733631</t>
        </is>
      </c>
      <c r="B1053" s="51" t="inlineStr">
        <is>
          <t>109551</t>
        </is>
      </c>
      <c r="C1053" s="156" t="inlineStr">
        <is>
          <t>Multimarca</t>
        </is>
      </c>
      <c r="D1053" s="156" t="inlineStr">
        <is>
          <t>11-001-0465-1044</t>
        </is>
      </c>
      <c r="E1053" s="156" t="inlineStr">
        <is>
          <t>11-001-0465-1044-L</t>
        </is>
      </c>
      <c r="F1053" s="156" t="inlineStr">
        <is>
          <t>L</t>
        </is>
      </c>
      <c r="G1053" s="156" t="inlineStr">
        <is>
          <t>L</t>
        </is>
      </c>
      <c r="H1053" s="156" t="inlineStr">
        <is>
          <t>Stetson</t>
        </is>
      </c>
      <c r="I1053" s="156" t="inlineStr">
        <is>
          <t>Camisa Manga Larga Mezclilla Octógono</t>
        </is>
      </c>
      <c r="J1053" s="156" t="inlineStr">
        <is>
          <t>Ropa</t>
        </is>
      </c>
      <c r="K1053" s="156" t="inlineStr">
        <is>
          <t>Camisas</t>
        </is>
      </c>
      <c r="L1053" s="156" t="inlineStr">
        <is>
          <t>Hombre</t>
        </is>
      </c>
      <c r="M1053" s="156" t="inlineStr">
        <is>
          <t>Stetson</t>
        </is>
      </c>
      <c r="N1053" s="156" t="inlineStr">
        <is>
          <t>SS26</t>
        </is>
      </c>
      <c r="O1053" s="156" t="inlineStr">
        <is>
          <t>Seasonal</t>
        </is>
      </c>
      <c r="P1053" s="156" t="inlineStr">
        <is>
          <t>Azul</t>
        </is>
      </c>
      <c r="Q1053" s="156" t="inlineStr">
        <is>
          <t>Clásico</t>
        </is>
      </c>
      <c r="R1053" s="156" t="n"/>
      <c r="S1053" s="156" t="inlineStr">
        <is>
          <t>Mezclilla</t>
        </is>
      </c>
      <c r="T1053"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3" s="156" t="n"/>
      <c r="V1053" s="156" t="inlineStr">
        <is>
          <t>PZS</t>
        </is>
      </c>
      <c r="W1053" s="51" t="inlineStr">
        <is>
          <t>53101600</t>
        </is>
      </c>
      <c r="X1053" s="156" t="inlineStr">
        <is>
          <t>https://cdn.shopify.com/s/files/1/0888/3250/8267/files/1100104651044b.jpg?v=1744380834</t>
        </is>
      </c>
      <c r="Y1053" s="54" t="n">
        <v>717.6724138</v>
      </c>
      <c r="Z1053" s="54" t="n">
        <v>1594.827586</v>
      </c>
      <c r="AA1053" s="55">
        <f>IF(AND(A1053="", B1053="", E1053=""), "", IF(AB1053="", "Válido", IF((LEN(AB1053)-LEN(SUBSTITUTE(AB1053,"; ","")))/2+1&gt;(LEN(AB1053)-LEN(SUBSTITUTE(AB1053,"[Aviso]","")))/7, "Con Incidencias", "Válido")))</f>
        <v/>
      </c>
      <c r="AB1053" s="56">
        <f>IF(AND(A1053="", B1053="", E1053=""), "", TEXTJOIN("; ", TRUE, IF(OR(TRIM(A1053&amp;"")="", ISNUMBER(SEARCH("FALTA", A1053))), "UPC faltante/inválido", ""), IF(AND(A1053&lt;&gt;"", IFERROR(_xlfn.XMATCH(A1053,$A$2:$A$2509,0,1)&lt;&gt;_xlfn.XMATCH(A1053,$A$2:$A$2509,0,-1),FALSE)), "Código de barras duplicado", ""), IF(AND(E1053&lt;&gt;"", COUNTIF($E$2:$E$2509, E1053)&gt;1), "SKU duplicado", ""), IF(OR(J1053="", J1053=""), "[Aviso] División no capturada ()", IF(ISNA(MATCH(J1053, Criterios!$A$123:$A$126, 0)), "División no válida", "")), IF(OR(K1053="", K1053=""), "[Aviso] Categoría no capturada ()", IF(ISNA(MATCH(K1053, Criterios!$A$81:$A$120, 0)), "Categoría no válida", IF(AND(J1053&lt;&gt;"", J1053&lt;&gt;"", J1053&lt;&gt;VLOOKUP(K1053, Criterios!$A$81:$B$120, 2, FALSE)), "División no coincide con Categoría", ""))), IF(OR(L1053="", L1053=""), "[Aviso] Género no capturado ()", IF(ISNA(MATCH(L1053, Criterios!$B$123:$B$127, 0)), "Género no válido", "")), IF(OR(N1053="", N1053=""), "[Aviso] Temporada no capturada ()", IF(ISNA(MATCH(N1053, Criterios!$C$123:$C$128, 0)), "Temporada no válida", "")), IF(OR(O1053="", O1053=""), "[Aviso] Ciclo de vida no capturado ()", IF(ISNA(MATCH(O1053, Criterios!$D$123:$D$124, 0)), "Ciclo de vida no válido", ""))))</f>
        <v/>
      </c>
      <c r="AC1053" s="56" t="n"/>
      <c r="AD1053" s="51" t="n">
        <v>0</v>
      </c>
      <c r="AE1053" s="156" t="n"/>
      <c r="AF1053" s="51" t="n">
        <v>0</v>
      </c>
      <c r="AG1053" s="156" t="inlineStr">
        <is>
          <t>Catálogo existente</t>
        </is>
      </c>
      <c r="AH1053" s="156" t="inlineStr">
        <is>
          <t>Revisión 29/09/2026: Campos sin respaldo: U, X; Auditoría NetSuite 30/09/2026: llenado desde NetSuite [S] | 01/10/2026: complementado desde Shopify Stetson México (match por código de barras): WB Silueta, Enlace de imagen</t>
        </is>
      </c>
      <c r="AI1053" s="156" t="inlineStr">
        <is>
          <t>No</t>
        </is>
      </c>
      <c r="AJ1053" s="156" t="n"/>
      <c r="AK1053" s="155" t="inlineStr">
        <is>
          <t>Criterios: J [R]; G1522_Extraccion_Articulos_NetSuite_2026-09-30.xlsx: fila 57366 [S] | Shopify Stetson: producto 14694212338027 / variante 51996196372843</t>
        </is>
      </c>
      <c r="AL1053" s="58" t="n">
        <v>717.6724138</v>
      </c>
      <c r="AM1053" s="58" t="n">
        <v>1594.827586</v>
      </c>
      <c r="AN1053" s="155" t="inlineStr">
        <is>
          <t>Shopify Stetson México</t>
        </is>
      </c>
      <c r="AO1053" s="59" t="n">
        <v>0</v>
      </c>
      <c r="AP1053" s="59" t="n"/>
      <c r="AQ1053" s="59" t="n"/>
      <c r="AR1053" s="155" t="n"/>
    </row>
    <row r="1054">
      <c r="A1054" s="50" t="inlineStr">
        <is>
          <t>196070733648</t>
        </is>
      </c>
      <c r="B1054" s="51" t="inlineStr">
        <is>
          <t>109552</t>
        </is>
      </c>
      <c r="C1054" s="156" t="inlineStr">
        <is>
          <t>Multimarca</t>
        </is>
      </c>
      <c r="D1054" s="156" t="inlineStr">
        <is>
          <t>11-001-0465-1044</t>
        </is>
      </c>
      <c r="E1054" s="156" t="inlineStr">
        <is>
          <t>11-001-0465-1044-M</t>
        </is>
      </c>
      <c r="F1054" s="156" t="inlineStr">
        <is>
          <t>M</t>
        </is>
      </c>
      <c r="G1054" s="156" t="inlineStr">
        <is>
          <t>M</t>
        </is>
      </c>
      <c r="H1054" s="156" t="inlineStr">
        <is>
          <t>Stetson</t>
        </is>
      </c>
      <c r="I1054" s="156" t="inlineStr">
        <is>
          <t>Camisa Manga Larga Mezclilla Octógono</t>
        </is>
      </c>
      <c r="J1054" s="156" t="inlineStr">
        <is>
          <t>Ropa</t>
        </is>
      </c>
      <c r="K1054" s="156" t="inlineStr">
        <is>
          <t>Camisas</t>
        </is>
      </c>
      <c r="L1054" s="156" t="inlineStr">
        <is>
          <t>Hombre</t>
        </is>
      </c>
      <c r="M1054" s="156" t="inlineStr">
        <is>
          <t>Stetson</t>
        </is>
      </c>
      <c r="N1054" s="156" t="inlineStr">
        <is>
          <t>SS26</t>
        </is>
      </c>
      <c r="O1054" s="156" t="inlineStr">
        <is>
          <t>Seasonal</t>
        </is>
      </c>
      <c r="P1054" s="156" t="inlineStr">
        <is>
          <t>Azul</t>
        </is>
      </c>
      <c r="Q1054" s="156" t="inlineStr">
        <is>
          <t>Clásico</t>
        </is>
      </c>
      <c r="R1054" s="156" t="n"/>
      <c r="S1054" s="156" t="inlineStr">
        <is>
          <t>Mezclilla</t>
        </is>
      </c>
      <c r="T1054"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4" s="156" t="n"/>
      <c r="V1054" s="156" t="inlineStr">
        <is>
          <t>PZS</t>
        </is>
      </c>
      <c r="W1054" s="51" t="inlineStr">
        <is>
          <t>53101600</t>
        </is>
      </c>
      <c r="X1054" s="156" t="inlineStr">
        <is>
          <t>https://cdn.shopify.com/s/files/1/0888/3250/8267/files/1100104651044a.jpg?v=1744380850</t>
        </is>
      </c>
      <c r="Y1054" s="54" t="n">
        <v>717.6724138</v>
      </c>
      <c r="Z1054" s="54" t="n">
        <v>1594.827586</v>
      </c>
      <c r="AA1054" s="55">
        <f>IF(AND(A1054="", B1054="", E1054=""), "", IF(AB1054="", "Válido", IF((LEN(AB1054)-LEN(SUBSTITUTE(AB1054,"; ","")))/2+1&gt;(LEN(AB1054)-LEN(SUBSTITUTE(AB1054,"[Aviso]","")))/7, "Con Incidencias", "Válido")))</f>
        <v/>
      </c>
      <c r="AB1054" s="56">
        <f>IF(AND(A1054="", B1054="", E1054=""), "", TEXTJOIN("; ", TRUE, IF(OR(TRIM(A1054&amp;"")="", ISNUMBER(SEARCH("FALTA", A1054))), "UPC faltante/inválido", ""), IF(AND(A1054&lt;&gt;"", IFERROR(_xlfn.XMATCH(A1054,$A$2:$A$2509,0,1)&lt;&gt;_xlfn.XMATCH(A1054,$A$2:$A$2509,0,-1),FALSE)), "Código de barras duplicado", ""), IF(AND(E1054&lt;&gt;"", COUNTIF($E$2:$E$2509, E1054)&gt;1), "SKU duplicado", ""), IF(OR(J1054="", J1054=""), "[Aviso] División no capturada ()", IF(ISNA(MATCH(J1054, Criterios!$A$123:$A$126, 0)), "División no válida", "")), IF(OR(K1054="", K1054=""), "[Aviso] Categoría no capturada ()", IF(ISNA(MATCH(K1054, Criterios!$A$81:$A$120, 0)), "Categoría no válida", IF(AND(J1054&lt;&gt;"", J1054&lt;&gt;"", J1054&lt;&gt;VLOOKUP(K1054, Criterios!$A$81:$B$120, 2, FALSE)), "División no coincide con Categoría", ""))), IF(OR(L1054="", L1054=""), "[Aviso] Género no capturado ()", IF(ISNA(MATCH(L1054, Criterios!$B$123:$B$127, 0)), "Género no válido", "")), IF(OR(N1054="", N1054=""), "[Aviso] Temporada no capturada ()", IF(ISNA(MATCH(N1054, Criterios!$C$123:$C$128, 0)), "Temporada no válida", "")), IF(OR(O1054="", O1054=""), "[Aviso] Ciclo de vida no capturado ()", IF(ISNA(MATCH(O1054, Criterios!$D$123:$D$124, 0)), "Ciclo de vida no válido", ""))))</f>
        <v/>
      </c>
      <c r="AC1054" s="56" t="n"/>
      <c r="AD1054" s="51" t="n">
        <v>0</v>
      </c>
      <c r="AE1054" s="156" t="n"/>
      <c r="AF1054" s="51" t="n">
        <v>0</v>
      </c>
      <c r="AG1054" s="156" t="inlineStr">
        <is>
          <t>Catálogo existente</t>
        </is>
      </c>
      <c r="AH1054" s="156" t="inlineStr">
        <is>
          <t>Revisión 29/09/2026: Campos sin respaldo: U; Auditoría NetSuite 30/09/2026: llenado desde NetSuite [S] | 01/10/2026: complementado desde Shopify Stetson México (match por código de barras): WB Silueta</t>
        </is>
      </c>
      <c r="AI1054" s="156" t="inlineStr">
        <is>
          <t>No</t>
        </is>
      </c>
      <c r="AJ1054" s="156" t="n"/>
      <c r="AK1054" s="155" t="inlineStr">
        <is>
          <t>Criterios: J [R]; G1522_Extraccion_Articulos_NetSuite_2026-09-30.xlsx: fila 57367 [S] | Shopify Stetson: producto 14694212338027 / variante 51996196340075</t>
        </is>
      </c>
      <c r="AL1054" s="58" t="n">
        <v>717.6724138</v>
      </c>
      <c r="AM1054" s="58" t="n">
        <v>1594.827586</v>
      </c>
      <c r="AN1054" s="155" t="inlineStr">
        <is>
          <t>Shopify Stetson México</t>
        </is>
      </c>
      <c r="AO1054" s="59" t="n">
        <v>0</v>
      </c>
      <c r="AP1054" s="59" t="n"/>
      <c r="AQ1054" s="59" t="n"/>
      <c r="AR1054" s="155" t="n"/>
    </row>
    <row r="1055">
      <c r="A1055" s="50" t="inlineStr">
        <is>
          <t>196070733655</t>
        </is>
      </c>
      <c r="B1055" s="51" t="inlineStr">
        <is>
          <t>109553</t>
        </is>
      </c>
      <c r="C1055" s="156" t="inlineStr">
        <is>
          <t>Multimarca</t>
        </is>
      </c>
      <c r="D1055" s="156" t="inlineStr">
        <is>
          <t>11-001-0465-1044</t>
        </is>
      </c>
      <c r="E1055" s="156" t="inlineStr">
        <is>
          <t>11-001-0465-1044-S</t>
        </is>
      </c>
      <c r="F1055" s="156" t="inlineStr">
        <is>
          <t>S</t>
        </is>
      </c>
      <c r="G1055" s="156" t="inlineStr">
        <is>
          <t>S</t>
        </is>
      </c>
      <c r="H1055" s="156" t="inlineStr">
        <is>
          <t>Stetson</t>
        </is>
      </c>
      <c r="I1055" s="156" t="inlineStr">
        <is>
          <t>Camisa Manga Larga Mezclilla Octógono</t>
        </is>
      </c>
      <c r="J1055" s="156" t="inlineStr">
        <is>
          <t>Ropa</t>
        </is>
      </c>
      <c r="K1055" s="156" t="inlineStr">
        <is>
          <t>Camisas</t>
        </is>
      </c>
      <c r="L1055" s="156" t="inlineStr">
        <is>
          <t>Hombre</t>
        </is>
      </c>
      <c r="M1055" s="156" t="inlineStr">
        <is>
          <t>Stetson</t>
        </is>
      </c>
      <c r="N1055" s="156" t="inlineStr">
        <is>
          <t>SS26</t>
        </is>
      </c>
      <c r="O1055" s="156" t="inlineStr">
        <is>
          <t>Seasonal</t>
        </is>
      </c>
      <c r="P1055" s="156" t="inlineStr">
        <is>
          <t>Azul</t>
        </is>
      </c>
      <c r="Q1055" s="156" t="inlineStr">
        <is>
          <t>Clásico</t>
        </is>
      </c>
      <c r="R1055" s="156" t="n"/>
      <c r="S1055" s="156" t="inlineStr">
        <is>
          <t>Mezclilla</t>
        </is>
      </c>
      <c r="T1055"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5" s="156" t="n"/>
      <c r="V1055" s="156" t="inlineStr">
        <is>
          <t>PZS</t>
        </is>
      </c>
      <c r="W1055" s="51" t="inlineStr">
        <is>
          <t>53101600</t>
        </is>
      </c>
      <c r="X1055" s="156" t="inlineStr">
        <is>
          <t>https://cdn.shopify.com/s/files/1/0888/3250/8267/files/1100104651044b.jpg?v=1744380834</t>
        </is>
      </c>
      <c r="Y1055" s="54" t="n">
        <v>717.6724138</v>
      </c>
      <c r="Z1055" s="54" t="n">
        <v>1594.827586</v>
      </c>
      <c r="AA1055" s="55">
        <f>IF(AND(A1055="", B1055="", E1055=""), "", IF(AB1055="", "Válido", IF((LEN(AB1055)-LEN(SUBSTITUTE(AB1055,"; ","")))/2+1&gt;(LEN(AB1055)-LEN(SUBSTITUTE(AB1055,"[Aviso]","")))/7, "Con Incidencias", "Válido")))</f>
        <v/>
      </c>
      <c r="AB1055" s="56">
        <f>IF(AND(A1055="", B1055="", E1055=""), "", TEXTJOIN("; ", TRUE, IF(OR(TRIM(A1055&amp;"")="", ISNUMBER(SEARCH("FALTA", A1055))), "UPC faltante/inválido", ""), IF(AND(A1055&lt;&gt;"", IFERROR(_xlfn.XMATCH(A1055,$A$2:$A$2509,0,1)&lt;&gt;_xlfn.XMATCH(A1055,$A$2:$A$2509,0,-1),FALSE)), "Código de barras duplicado", ""), IF(AND(E1055&lt;&gt;"", COUNTIF($E$2:$E$2509, E1055)&gt;1), "SKU duplicado", ""), IF(OR(J1055="", J1055=""), "[Aviso] División no capturada ()", IF(ISNA(MATCH(J1055, Criterios!$A$123:$A$126, 0)), "División no válida", "")), IF(OR(K1055="", K1055=""), "[Aviso] Categoría no capturada ()", IF(ISNA(MATCH(K1055, Criterios!$A$81:$A$120, 0)), "Categoría no válida", IF(AND(J1055&lt;&gt;"", J1055&lt;&gt;"", J1055&lt;&gt;VLOOKUP(K1055, Criterios!$A$81:$B$120, 2, FALSE)), "División no coincide con Categoría", ""))), IF(OR(L1055="", L1055=""), "[Aviso] Género no capturado ()", IF(ISNA(MATCH(L1055, Criterios!$B$123:$B$127, 0)), "Género no válido", "")), IF(OR(N1055="", N1055=""), "[Aviso] Temporada no capturada ()", IF(ISNA(MATCH(N1055, Criterios!$C$123:$C$128, 0)), "Temporada no válida", "")), IF(OR(O1055="", O1055=""), "[Aviso] Ciclo de vida no capturado ()", IF(ISNA(MATCH(O1055, Criterios!$D$123:$D$124, 0)), "Ciclo de vida no válido", ""))))</f>
        <v/>
      </c>
      <c r="AC1055" s="56" t="n"/>
      <c r="AD1055" s="51" t="n">
        <v>0</v>
      </c>
      <c r="AE1055" s="156" t="n"/>
      <c r="AF1055" s="51" t="n">
        <v>0</v>
      </c>
      <c r="AG1055" s="156" t="inlineStr">
        <is>
          <t>Catálogo existente</t>
        </is>
      </c>
      <c r="AH1055" s="156" t="inlineStr">
        <is>
          <t>Revisión 29/09/2026: Campos sin respaldo: U; Auditoría NetSuite 30/09/2026: llenado desde NetSuite [S] | 01/10/2026: complementado desde Shopify Stetson México (match por código de barras): WB Silueta</t>
        </is>
      </c>
      <c r="AI1055" s="156" t="inlineStr">
        <is>
          <t>No</t>
        </is>
      </c>
      <c r="AJ1055" s="156" t="n"/>
      <c r="AK1055" s="155" t="inlineStr">
        <is>
          <t>Criterios: J [R]; G1522_Extraccion_Articulos_NetSuite_2026-09-30.xlsx: fila 57368 [S] | Shopify Stetson: producto 14694212338027 / variante 51996196307307</t>
        </is>
      </c>
      <c r="AL1055" s="58" t="n">
        <v>717.6724138</v>
      </c>
      <c r="AM1055" s="58" t="n">
        <v>1594.827586</v>
      </c>
      <c r="AN1055" s="155" t="inlineStr">
        <is>
          <t>Shopify Stetson México</t>
        </is>
      </c>
      <c r="AO1055" s="59" t="n">
        <v>0</v>
      </c>
      <c r="AP1055" s="59" t="n"/>
      <c r="AQ1055" s="59" t="n"/>
      <c r="AR1055" s="155" t="n"/>
    </row>
    <row r="1056">
      <c r="A1056" s="50" t="inlineStr">
        <is>
          <t>196070733662</t>
        </is>
      </c>
      <c r="B1056" s="51" t="inlineStr">
        <is>
          <t>109554</t>
        </is>
      </c>
      <c r="C1056" s="156" t="inlineStr">
        <is>
          <t>Multimarca</t>
        </is>
      </c>
      <c r="D1056" s="156" t="inlineStr">
        <is>
          <t>11-001-0465-1044</t>
        </is>
      </c>
      <c r="E1056" s="156" t="inlineStr">
        <is>
          <t>11-001-0465-1044-XL</t>
        </is>
      </c>
      <c r="F1056" s="156" t="inlineStr">
        <is>
          <t>XL</t>
        </is>
      </c>
      <c r="G1056" s="156" t="inlineStr">
        <is>
          <t>XL</t>
        </is>
      </c>
      <c r="H1056" s="156" t="inlineStr">
        <is>
          <t>Stetson</t>
        </is>
      </c>
      <c r="I1056" s="156" t="inlineStr">
        <is>
          <t>Camisa Manga Larga Mezclilla Octógono</t>
        </is>
      </c>
      <c r="J1056" s="156" t="inlineStr">
        <is>
          <t>Ropa</t>
        </is>
      </c>
      <c r="K1056" s="156" t="inlineStr">
        <is>
          <t>Camisas</t>
        </is>
      </c>
      <c r="L1056" s="156" t="inlineStr">
        <is>
          <t>Hombre</t>
        </is>
      </c>
      <c r="M1056" s="156" t="inlineStr">
        <is>
          <t>Stetson</t>
        </is>
      </c>
      <c r="N1056" s="156" t="inlineStr">
        <is>
          <t>SS26</t>
        </is>
      </c>
      <c r="O1056" s="156" t="inlineStr">
        <is>
          <t>Seasonal</t>
        </is>
      </c>
      <c r="P1056" s="156" t="inlineStr">
        <is>
          <t>Azul</t>
        </is>
      </c>
      <c r="Q1056" s="156" t="inlineStr">
        <is>
          <t>Clásico</t>
        </is>
      </c>
      <c r="R1056" s="156" t="n"/>
      <c r="S1056" s="156" t="inlineStr">
        <is>
          <t>Mezclilla</t>
        </is>
      </c>
      <c r="T1056"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6" s="156" t="n"/>
      <c r="V1056" s="156" t="inlineStr">
        <is>
          <t>PZS</t>
        </is>
      </c>
      <c r="W1056" s="51" t="inlineStr">
        <is>
          <t>53101600</t>
        </is>
      </c>
      <c r="X1056" s="156" t="inlineStr">
        <is>
          <t>https://cdn.shopify.com/s/files/1/0888/3250/8267/files/1100104651044b.jpg?v=1744380834</t>
        </is>
      </c>
      <c r="Y1056" s="54" t="n">
        <v>717.6724138</v>
      </c>
      <c r="Z1056" s="54" t="n">
        <v>1594.827586</v>
      </c>
      <c r="AA1056" s="55">
        <f>IF(AND(A1056="", B1056="", E1056=""), "", IF(AB1056="", "Válido", IF((LEN(AB1056)-LEN(SUBSTITUTE(AB1056,"; ","")))/2+1&gt;(LEN(AB1056)-LEN(SUBSTITUTE(AB1056,"[Aviso]","")))/7, "Con Incidencias", "Válido")))</f>
        <v/>
      </c>
      <c r="AB1056" s="56">
        <f>IF(AND(A1056="", B1056="", E1056=""), "", TEXTJOIN("; ", TRUE, IF(OR(TRIM(A1056&amp;"")="", ISNUMBER(SEARCH("FALTA", A1056))), "UPC faltante/inválido", ""), IF(AND(A1056&lt;&gt;"", IFERROR(_xlfn.XMATCH(A1056,$A$2:$A$2509,0,1)&lt;&gt;_xlfn.XMATCH(A1056,$A$2:$A$2509,0,-1),FALSE)), "Código de barras duplicado", ""), IF(AND(E1056&lt;&gt;"", COUNTIF($E$2:$E$2509, E1056)&gt;1), "SKU duplicado", ""), IF(OR(J1056="", J1056=""), "[Aviso] División no capturada ()", IF(ISNA(MATCH(J1056, Criterios!$A$123:$A$126, 0)), "División no válida", "")), IF(OR(K1056="", K1056=""), "[Aviso] Categoría no capturada ()", IF(ISNA(MATCH(K1056, Criterios!$A$81:$A$120, 0)), "Categoría no válida", IF(AND(J1056&lt;&gt;"", J1056&lt;&gt;"", J1056&lt;&gt;VLOOKUP(K1056, Criterios!$A$81:$B$120, 2, FALSE)), "División no coincide con Categoría", ""))), IF(OR(L1056="", L1056=""), "[Aviso] Género no capturado ()", IF(ISNA(MATCH(L1056, Criterios!$B$123:$B$127, 0)), "Género no válido", "")), IF(OR(N1056="", N1056=""), "[Aviso] Temporada no capturada ()", IF(ISNA(MATCH(N1056, Criterios!$C$123:$C$128, 0)), "Temporada no válida", "")), IF(OR(O1056="", O1056=""), "[Aviso] Ciclo de vida no capturado ()", IF(ISNA(MATCH(O1056, Criterios!$D$123:$D$124, 0)), "Ciclo de vida no válido", ""))))</f>
        <v/>
      </c>
      <c r="AC1056" s="56" t="n"/>
      <c r="AD1056" s="51" t="n">
        <v>0</v>
      </c>
      <c r="AE1056" s="156" t="n"/>
      <c r="AF1056" s="51" t="n">
        <v>0</v>
      </c>
      <c r="AG1056" s="156" t="inlineStr">
        <is>
          <t>Catálogo existente</t>
        </is>
      </c>
      <c r="AH1056" s="156" t="inlineStr">
        <is>
          <t>Revisión 29/09/2026: Campos sin respaldo: U, X; Auditoría NetSuite 30/09/2026: llenado desde NetSuite [S] | 01/10/2026: complementado desde Shopify Stetson México (match por código de barras): WB Silueta, Enlace de imagen</t>
        </is>
      </c>
      <c r="AI1056" s="156" t="inlineStr">
        <is>
          <t>No</t>
        </is>
      </c>
      <c r="AJ1056" s="156" t="n"/>
      <c r="AK1056" s="155" t="inlineStr">
        <is>
          <t>Criterios: J [R]; G1522_Extraccion_Articulos_NetSuite_2026-09-30.xlsx: fila 57369 [S] | Shopify Stetson: producto 14694212338027 / variante 51996196405611</t>
        </is>
      </c>
      <c r="AL1056" s="58" t="n">
        <v>717.6724138</v>
      </c>
      <c r="AM1056" s="58" t="n">
        <v>1594.827586</v>
      </c>
      <c r="AN1056" s="155" t="inlineStr">
        <is>
          <t>Shopify Stetson México</t>
        </is>
      </c>
      <c r="AO1056" s="59" t="n">
        <v>0</v>
      </c>
      <c r="AP1056" s="59" t="n"/>
      <c r="AQ1056" s="59" t="n"/>
      <c r="AR1056" s="155" t="n"/>
    </row>
    <row r="1057">
      <c r="A1057" s="50" t="inlineStr">
        <is>
          <t>196070733877</t>
        </is>
      </c>
      <c r="B1057" s="51" t="inlineStr">
        <is>
          <t>109572</t>
        </is>
      </c>
      <c r="C1057" s="156" t="inlineStr">
        <is>
          <t>Multimarca</t>
        </is>
      </c>
      <c r="D1057" s="156" t="inlineStr">
        <is>
          <t>11-001-0478-1040</t>
        </is>
      </c>
      <c r="E1057" s="156" t="inlineStr">
        <is>
          <t>11-001-0478-1040-L</t>
        </is>
      </c>
      <c r="F1057" s="156" t="inlineStr">
        <is>
          <t>L</t>
        </is>
      </c>
      <c r="G1057" s="156" t="inlineStr">
        <is>
          <t>L</t>
        </is>
      </c>
      <c r="H1057" s="156" t="inlineStr">
        <is>
          <t>Stetson</t>
        </is>
      </c>
      <c r="I1057" s="156" t="inlineStr">
        <is>
          <t>Camisa Ariat Indigo</t>
        </is>
      </c>
      <c r="J1057" s="156" t="inlineStr">
        <is>
          <t>Ropa</t>
        </is>
      </c>
      <c r="K1057" s="156" t="inlineStr">
        <is>
          <t>Camisas</t>
        </is>
      </c>
      <c r="L1057" s="156" t="inlineStr">
        <is>
          <t>Hombre</t>
        </is>
      </c>
      <c r="M1057" s="156" t="inlineStr">
        <is>
          <t>Stetson</t>
        </is>
      </c>
      <c r="N1057" s="156" t="inlineStr">
        <is>
          <t>SS26</t>
        </is>
      </c>
      <c r="O1057" s="156" t="inlineStr">
        <is>
          <t>Seasonal</t>
        </is>
      </c>
      <c r="P1057" s="156" t="inlineStr">
        <is>
          <t>Azul</t>
        </is>
      </c>
      <c r="Q1057" s="156" t="inlineStr">
        <is>
          <t>Relajado</t>
        </is>
      </c>
      <c r="R1057" s="156" t="n"/>
      <c r="S1057" s="156" t="inlineStr">
        <is>
          <t>100% algodón</t>
        </is>
      </c>
      <c r="T1057" s="156" t="inlineStr">
        <is>
          <t>Camisa Stetson a Cuadros para Caballero – Indigo Vintage 2229,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Indigo Plaid 2229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57" s="156" t="n"/>
      <c r="V1057" s="156" t="inlineStr">
        <is>
          <t>PZS</t>
        </is>
      </c>
      <c r="W1057" s="51" t="inlineStr">
        <is>
          <t>53101600</t>
        </is>
      </c>
      <c r="X1057" s="156" t="inlineStr">
        <is>
          <t>https://cdn.shopify.com/s/files/1/0888/3250/8267/files/1100104781040b.jpg?v=1744397531</t>
        </is>
      </c>
      <c r="Y1057" s="54" t="n">
        <v>717.6724138</v>
      </c>
      <c r="Z1057" s="54" t="n">
        <v>1594.827586</v>
      </c>
      <c r="AA1057" s="55">
        <f>IF(AND(A1057="", B1057="", E1057=""), "", IF(AB1057="", "Válido", IF((LEN(AB1057)-LEN(SUBSTITUTE(AB1057,"; ","")))/2+1&gt;(LEN(AB1057)-LEN(SUBSTITUTE(AB1057,"[Aviso]","")))/7, "Con Incidencias", "Válido")))</f>
        <v/>
      </c>
      <c r="AB1057" s="56">
        <f>IF(AND(A1057="", B1057="", E1057=""), "", TEXTJOIN("; ", TRUE, IF(OR(TRIM(A1057&amp;"")="", ISNUMBER(SEARCH("FALTA", A1057))), "UPC faltante/inválido", ""), IF(AND(A1057&lt;&gt;"", IFERROR(_xlfn.XMATCH(A1057,$A$2:$A$2509,0,1)&lt;&gt;_xlfn.XMATCH(A1057,$A$2:$A$2509,0,-1),FALSE)), "Código de barras duplicado", ""), IF(AND(E1057&lt;&gt;"", COUNTIF($E$2:$E$2509, E1057)&gt;1), "SKU duplicado", ""), IF(OR(J1057="", J1057=""), "[Aviso] División no capturada ()", IF(ISNA(MATCH(J1057, Criterios!$A$123:$A$126, 0)), "División no válida", "")), IF(OR(K1057="", K1057=""), "[Aviso] Categoría no capturada ()", IF(ISNA(MATCH(K1057, Criterios!$A$81:$A$120, 0)), "Categoría no válida", IF(AND(J1057&lt;&gt;"", J1057&lt;&gt;"", J1057&lt;&gt;VLOOKUP(K1057, Criterios!$A$81:$B$120, 2, FALSE)), "División no coincide con Categoría", ""))), IF(OR(L1057="", L1057=""), "[Aviso] Género no capturado ()", IF(ISNA(MATCH(L1057, Criterios!$B$123:$B$127, 0)), "Género no válido", "")), IF(OR(N1057="", N1057=""), "[Aviso] Temporada no capturada ()", IF(ISNA(MATCH(N1057, Criterios!$C$123:$C$128, 0)), "Temporada no válida", "")), IF(OR(O1057="", O1057=""), "[Aviso] Ciclo de vida no capturado ()", IF(ISNA(MATCH(O1057, Criterios!$D$123:$D$124, 0)), "Ciclo de vida no válido", ""))))</f>
        <v/>
      </c>
      <c r="AC1057" s="56" t="n"/>
      <c r="AD1057" s="51" t="n">
        <v>0</v>
      </c>
      <c r="AE1057" s="156" t="n"/>
      <c r="AF1057" s="51" t="n">
        <v>0</v>
      </c>
      <c r="AG1057" s="156" t="inlineStr">
        <is>
          <t>Catálogo existente</t>
        </is>
      </c>
      <c r="AH1057" s="156" t="inlineStr">
        <is>
          <t>Revisión 29/09/2026: Campos sin respaldo: U | Consolidado 30/09/2026 con 1 registro(s) duplicado(s) (ver hoja «Consolidación Duplicados»). Completado desde duplicado: WB Composición, ¿Alguna ubicación en negativo?. Valores alternos del duplicado (dos): Marca principal: Stetson | WB Descripcion: Camisa Stetson a cuadros azul Indigo | WB Silueta: Manga larga; frente con broches | WB Descripción larga: Camisa Stetson a cuadros azul Indigo; manga larga; frente con broches; | SAT Clave de producto: 53101602 | Enlace de imagen: https://cdn.shopify.com/s/files/1/2807/5202/files/xrs8hzpc.png?v=17334 | 01/10/2026: complementado desde Shopify Stetson México (match por código de barras): WB Silueta</t>
        </is>
      </c>
      <c r="AI1057" s="156" t="inlineStr">
        <is>
          <t>No</t>
        </is>
      </c>
      <c r="AJ1057" s="156" t="n"/>
      <c r="AK1057" s="155" t="inlineStr">
        <is>
          <t>Criterios: J [R] | Shopify Stetson: producto 14694490931563 / variante 51997366223211</t>
        </is>
      </c>
      <c r="AL1057" s="58" t="n">
        <v>717.6724138</v>
      </c>
      <c r="AM1057" s="58" t="n">
        <v>1594.827586</v>
      </c>
      <c r="AN1057" s="155" t="inlineStr">
        <is>
          <t>Shopify Stetson México</t>
        </is>
      </c>
      <c r="AO1057" s="59" t="n">
        <v>0</v>
      </c>
      <c r="AP1057" s="59" t="n"/>
      <c r="AQ1057" s="59" t="n"/>
      <c r="AR1057" s="155" t="n"/>
    </row>
    <row r="1058">
      <c r="A1058" s="50" t="inlineStr">
        <is>
          <t>196070733884</t>
        </is>
      </c>
      <c r="B1058" s="51" t="inlineStr">
        <is>
          <t>109573</t>
        </is>
      </c>
      <c r="C1058" s="156" t="inlineStr">
        <is>
          <t>Multimarca</t>
        </is>
      </c>
      <c r="D1058" s="156" t="inlineStr">
        <is>
          <t>11-001-0478-1040</t>
        </is>
      </c>
      <c r="E1058" s="156" t="inlineStr">
        <is>
          <t>11-001-0478-1040-M</t>
        </is>
      </c>
      <c r="F1058" s="156" t="inlineStr">
        <is>
          <t>M</t>
        </is>
      </c>
      <c r="G1058" s="156" t="inlineStr">
        <is>
          <t>M</t>
        </is>
      </c>
      <c r="H1058" s="156" t="inlineStr">
        <is>
          <t>Stetson</t>
        </is>
      </c>
      <c r="I1058" s="156" t="inlineStr">
        <is>
          <t>Camisa Ariat Indigo</t>
        </is>
      </c>
      <c r="J1058" s="156" t="inlineStr">
        <is>
          <t>Ropa</t>
        </is>
      </c>
      <c r="K1058" s="156" t="inlineStr">
        <is>
          <t>Camisas</t>
        </is>
      </c>
      <c r="L1058" s="156" t="inlineStr">
        <is>
          <t>Hombre</t>
        </is>
      </c>
      <c r="M1058" s="156" t="inlineStr">
        <is>
          <t>Stetson</t>
        </is>
      </c>
      <c r="N1058" s="156" t="inlineStr">
        <is>
          <t>SS26</t>
        </is>
      </c>
      <c r="O1058" s="156" t="inlineStr">
        <is>
          <t>Seasonal</t>
        </is>
      </c>
      <c r="P1058" s="156" t="inlineStr">
        <is>
          <t>Azul</t>
        </is>
      </c>
      <c r="Q1058" s="156" t="inlineStr">
        <is>
          <t>Relajado</t>
        </is>
      </c>
      <c r="R1058" s="156" t="n"/>
      <c r="S1058" s="156" t="inlineStr">
        <is>
          <t>100% algodón</t>
        </is>
      </c>
      <c r="T1058" s="156" t="inlineStr">
        <is>
          <t>Camisa Stetson a Cuadros para Caballero – Indigo Vintage 2229,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Indigo Plaid 2229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58" s="156" t="n"/>
      <c r="V1058" s="156" t="inlineStr">
        <is>
          <t>PZS</t>
        </is>
      </c>
      <c r="W1058" s="51" t="inlineStr">
        <is>
          <t>53101600</t>
        </is>
      </c>
      <c r="X1058" s="156" t="inlineStr">
        <is>
          <t>https://cdn.shopify.com/s/files/1/0888/3250/8267/files/1100104781040a.jpg?v=1744397524</t>
        </is>
      </c>
      <c r="Y1058" s="54" t="n">
        <v>717.6724138</v>
      </c>
      <c r="Z1058" s="54" t="n">
        <v>1594.827586</v>
      </c>
      <c r="AA1058" s="55">
        <f>IF(AND(A1058="", B1058="", E1058=""), "", IF(AB1058="", "Válido", IF((LEN(AB1058)-LEN(SUBSTITUTE(AB1058,"; ","")))/2+1&gt;(LEN(AB1058)-LEN(SUBSTITUTE(AB1058,"[Aviso]","")))/7, "Con Incidencias", "Válido")))</f>
        <v/>
      </c>
      <c r="AB1058" s="56">
        <f>IF(AND(A1058="", B1058="", E1058=""), "", TEXTJOIN("; ", TRUE, IF(OR(TRIM(A1058&amp;"")="", ISNUMBER(SEARCH("FALTA", A1058))), "UPC faltante/inválido", ""), IF(AND(A1058&lt;&gt;"", IFERROR(_xlfn.XMATCH(A1058,$A$2:$A$2509,0,1)&lt;&gt;_xlfn.XMATCH(A1058,$A$2:$A$2509,0,-1),FALSE)), "Código de barras duplicado", ""), IF(AND(E1058&lt;&gt;"", COUNTIF($E$2:$E$2509, E1058)&gt;1), "SKU duplicado", ""), IF(OR(J1058="", J1058=""), "[Aviso] División no capturada ()", IF(ISNA(MATCH(J1058, Criterios!$A$123:$A$126, 0)), "División no válida", "")), IF(OR(K1058="", K1058=""), "[Aviso] Categoría no capturada ()", IF(ISNA(MATCH(K1058, Criterios!$A$81:$A$120, 0)), "Categoría no válida", IF(AND(J1058&lt;&gt;"", J1058&lt;&gt;"", J1058&lt;&gt;VLOOKUP(K1058, Criterios!$A$81:$B$120, 2, FALSE)), "División no coincide con Categoría", ""))), IF(OR(L1058="", L1058=""), "[Aviso] Género no capturado ()", IF(ISNA(MATCH(L1058, Criterios!$B$123:$B$127, 0)), "Género no válido", "")), IF(OR(N1058="", N1058=""), "[Aviso] Temporada no capturada ()", IF(ISNA(MATCH(N1058, Criterios!$C$123:$C$128, 0)), "Temporada no válida", "")), IF(OR(O1058="", O1058=""), "[Aviso] Ciclo de vida no capturado ()", IF(ISNA(MATCH(O1058, Criterios!$D$123:$D$124, 0)), "Ciclo de vida no válido", ""))))</f>
        <v/>
      </c>
      <c r="AC1058" s="56" t="n"/>
      <c r="AD1058" s="51" t="n">
        <v>0</v>
      </c>
      <c r="AE1058" s="156" t="n"/>
      <c r="AF1058" s="51" t="n">
        <v>0</v>
      </c>
      <c r="AG1058" s="156" t="inlineStr">
        <is>
          <t>Catálogo existente</t>
        </is>
      </c>
      <c r="AH1058" s="156" t="inlineStr">
        <is>
          <t>Revisión 29/09/2026: Campos sin respaldo: U | Consolidado 30/09/2026 con 1 registro(s) duplicado(s) (ver hoja «Consolidación Duplicados»). Completado desde duplicado: WB Composición, ¿Alguna ubicación en negativo?. Valores alternos del duplicado (dos): Marca principal: Stetson | WB Descripcion: Camisa Stetson a cuadros azul Indigo | WB Silueta: Manga larga; frente con broches | WB Descripción larga: Camisa Stetson a cuadros azul Indigo; manga larga; frente con broches; | SAT Clave de producto: 53101602 | Enlace de imagen: https://cdn.shopify.com/s/files/1/2807/5202/files/xrs8hzpc.png?v=17334 | 01/10/2026: complementado desde Shopify Stetson México (match por código de barras): WB Silueta</t>
        </is>
      </c>
      <c r="AI1058" s="156" t="inlineStr">
        <is>
          <t>No</t>
        </is>
      </c>
      <c r="AJ1058" s="156" t="n"/>
      <c r="AK1058" s="155" t="inlineStr">
        <is>
          <t>Criterios: J [R] | Shopify Stetson: producto 14694490931563 / variante 51997366190443</t>
        </is>
      </c>
      <c r="AL1058" s="58" t="n">
        <v>717.6724138</v>
      </c>
      <c r="AM1058" s="58" t="n">
        <v>1594.827586</v>
      </c>
      <c r="AN1058" s="155" t="inlineStr">
        <is>
          <t>Shopify Stetson México</t>
        </is>
      </c>
      <c r="AO1058" s="59" t="n">
        <v>0</v>
      </c>
      <c r="AP1058" s="59" t="n"/>
      <c r="AQ1058" s="59" t="n"/>
      <c r="AR1058" s="155" t="n"/>
    </row>
    <row r="1059">
      <c r="A1059" s="50" t="inlineStr">
        <is>
          <t>196070778878</t>
        </is>
      </c>
      <c r="B1059" s="51" t="inlineStr">
        <is>
          <t>109490</t>
        </is>
      </c>
      <c r="C1059" s="156" t="inlineStr">
        <is>
          <t>Multimarca</t>
        </is>
      </c>
      <c r="D1059" s="156" t="inlineStr">
        <is>
          <t>11-001-0425-2063</t>
        </is>
      </c>
      <c r="E1059" s="156" t="inlineStr">
        <is>
          <t>11-001-0425-2063-L</t>
        </is>
      </c>
      <c r="F1059" s="156" t="inlineStr">
        <is>
          <t>L</t>
        </is>
      </c>
      <c r="G1059" s="156" t="inlineStr">
        <is>
          <t>L</t>
        </is>
      </c>
      <c r="H1059" s="156" t="inlineStr">
        <is>
          <t>Stetson</t>
        </is>
      </c>
      <c r="I1059" s="156" t="inlineStr">
        <is>
          <t>Camisa Stetson Geometrico Granate</t>
        </is>
      </c>
      <c r="J1059" s="156" t="inlineStr">
        <is>
          <t>Ropa</t>
        </is>
      </c>
      <c r="K1059" s="156" t="inlineStr">
        <is>
          <t>Camisas</t>
        </is>
      </c>
      <c r="L1059" s="156" t="inlineStr">
        <is>
          <t>Hombre</t>
        </is>
      </c>
      <c r="M1059" s="156" t="inlineStr">
        <is>
          <t>Stetson</t>
        </is>
      </c>
      <c r="N1059" s="156" t="inlineStr">
        <is>
          <t>SS26</t>
        </is>
      </c>
      <c r="O1059" s="156" t="inlineStr">
        <is>
          <t>Seasonal</t>
        </is>
      </c>
      <c r="P1059" s="156" t="inlineStr">
        <is>
          <t>Rojo</t>
        </is>
      </c>
      <c r="Q1059" s="156" t="inlineStr">
        <is>
          <t>Regular</t>
        </is>
      </c>
      <c r="R1059" s="156" t="n"/>
      <c r="S1059" s="156" t="inlineStr">
        <is>
          <t>100% Algodón</t>
        </is>
      </c>
      <c r="T1059" s="156" t="inlineStr">
        <is>
          <t>Camisa Stetson para Caballero – Manga Larga con Estampado Geométrico Granate (2392)
 Esta camisa de la colección Stetson Men's combina herencia y estilo contemporáneo con un estampado geométrico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El interior se realza con vivos de mezclilla (denim), que añaden textura y contraste sutil.
 Cuenta con cierre frontal de broches tipo perla con el logotipo de la marca, puños con triple broche y dos bolsillos frontales con solapa, ideales para un look auténtico y funcional.
 Modelo:
 • Camisa Stetson Men's Garnet Geo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 Acabados interiores en mezclilla (denim)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1059" s="156" t="n"/>
      <c r="V1059" s="156" t="inlineStr">
        <is>
          <t>PZS</t>
        </is>
      </c>
      <c r="W1059" s="51" t="inlineStr">
        <is>
          <t>53101600</t>
        </is>
      </c>
      <c r="X1059" s="156" t="inlineStr">
        <is>
          <t>https://cdn.shopify.com/s/files/1/0888/3250/8267/files/1100104252063b.jpg?v=1750889288</t>
        </is>
      </c>
      <c r="Y1059" s="54" t="n">
        <v>795.2586207000001</v>
      </c>
      <c r="Z1059" s="54" t="n">
        <v>1767.241379</v>
      </c>
      <c r="AA1059" s="55">
        <f>IF(AND(A1059="", B1059="", E1059=""), "", IF(AB1059="", "Válido", IF((LEN(AB1059)-LEN(SUBSTITUTE(AB1059,"; ","")))/2+1&gt;(LEN(AB1059)-LEN(SUBSTITUTE(AB1059,"[Aviso]","")))/7, "Con Incidencias", "Válido")))</f>
        <v/>
      </c>
      <c r="AB1059" s="56">
        <f>IF(AND(A1059="", B1059="", E1059=""), "", TEXTJOIN("; ", TRUE, IF(OR(TRIM(A1059&amp;"")="", ISNUMBER(SEARCH("FALTA", A1059))), "UPC faltante/inválido", ""), IF(AND(A1059&lt;&gt;"", IFERROR(_xlfn.XMATCH(A1059,$A$2:$A$2509,0,1)&lt;&gt;_xlfn.XMATCH(A1059,$A$2:$A$2509,0,-1),FALSE)), "Código de barras duplicado", ""), IF(AND(E1059&lt;&gt;"", COUNTIF($E$2:$E$2509, E1059)&gt;1), "SKU duplicado", ""), IF(OR(J1059="", J1059=""), "[Aviso] División no capturada ()", IF(ISNA(MATCH(J1059, Criterios!$A$123:$A$126, 0)), "División no válida", "")), IF(OR(K1059="", K1059=""), "[Aviso] Categoría no capturada ()", IF(ISNA(MATCH(K1059, Criterios!$A$81:$A$120, 0)), "Categoría no válida", IF(AND(J1059&lt;&gt;"", J1059&lt;&gt;"", J1059&lt;&gt;VLOOKUP(K1059, Criterios!$A$81:$B$120, 2, FALSE)), "División no coincide con Categoría", ""))), IF(OR(L1059="", L1059=""), "[Aviso] Género no capturado ()", IF(ISNA(MATCH(L1059, Criterios!$B$123:$B$127, 0)), "Género no válido", "")), IF(OR(N1059="", N1059=""), "[Aviso] Temporada no capturada ()", IF(ISNA(MATCH(N1059, Criterios!$C$123:$C$128, 0)), "Temporada no válida", "")), IF(OR(O1059="", O1059=""), "[Aviso] Ciclo de vida no capturado ()", IF(ISNA(MATCH(O1059, Criterios!$D$123:$D$124, 0)), "Ciclo de vida no válido", ""))))</f>
        <v/>
      </c>
      <c r="AC1059" s="56" t="n"/>
      <c r="AD1059" s="51" t="n">
        <v>0</v>
      </c>
      <c r="AE1059" s="156" t="n"/>
      <c r="AF1059" s="51" t="n">
        <v>0</v>
      </c>
      <c r="AG1059" s="156" t="inlineStr">
        <is>
          <t>Catálogo existente</t>
        </is>
      </c>
      <c r="AH105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59" s="156" t="inlineStr">
        <is>
          <t>No</t>
        </is>
      </c>
      <c r="AJ1059" s="156" t="n"/>
      <c r="AK1059" s="155" t="inlineStr">
        <is>
          <t>Criterios: J [R]; G1522_Extraccion_Articulos_NetSuite_2026-09-30.xlsx: fila 57305 [S] | Shopify Stetson: producto 14724647977323 / variante 52142267662699</t>
        </is>
      </c>
      <c r="AL1059" s="58" t="n">
        <v>795.2586207000001</v>
      </c>
      <c r="AM1059" s="58" t="n">
        <v>1767.241379</v>
      </c>
      <c r="AN1059" s="155" t="inlineStr">
        <is>
          <t>Shopify Stetson México</t>
        </is>
      </c>
      <c r="AO1059" s="59" t="n">
        <v>0</v>
      </c>
      <c r="AP1059" s="59" t="n"/>
      <c r="AQ1059" s="59" t="n"/>
      <c r="AR1059" s="155" t="n"/>
    </row>
    <row r="1060">
      <c r="A1060" s="50" t="inlineStr">
        <is>
          <t>196070778885</t>
        </is>
      </c>
      <c r="B1060" s="51" t="inlineStr">
        <is>
          <t>109491</t>
        </is>
      </c>
      <c r="C1060" s="156" t="inlineStr">
        <is>
          <t>Multimarca</t>
        </is>
      </c>
      <c r="D1060" s="156" t="inlineStr">
        <is>
          <t>11-001-0425-2063</t>
        </is>
      </c>
      <c r="E1060" s="156" t="inlineStr">
        <is>
          <t>11-001-0425-2063-M</t>
        </is>
      </c>
      <c r="F1060" s="156" t="inlineStr">
        <is>
          <t>M</t>
        </is>
      </c>
      <c r="G1060" s="156" t="inlineStr">
        <is>
          <t>M</t>
        </is>
      </c>
      <c r="H1060" s="156" t="inlineStr">
        <is>
          <t>Stetson</t>
        </is>
      </c>
      <c r="I1060" s="156" t="inlineStr">
        <is>
          <t>Camisa Stetson Geometrico Granate</t>
        </is>
      </c>
      <c r="J1060" s="156" t="inlineStr">
        <is>
          <t>Ropa</t>
        </is>
      </c>
      <c r="K1060" s="156" t="inlineStr">
        <is>
          <t>Camisas</t>
        </is>
      </c>
      <c r="L1060" s="156" t="inlineStr">
        <is>
          <t>Hombre</t>
        </is>
      </c>
      <c r="M1060" s="156" t="inlineStr">
        <is>
          <t>Stetson</t>
        </is>
      </c>
      <c r="N1060" s="156" t="inlineStr">
        <is>
          <t>SS26</t>
        </is>
      </c>
      <c r="O1060" s="156" t="inlineStr">
        <is>
          <t>Seasonal</t>
        </is>
      </c>
      <c r="P1060" s="156" t="inlineStr">
        <is>
          <t>Rojo</t>
        </is>
      </c>
      <c r="Q1060" s="156" t="inlineStr">
        <is>
          <t>Regular</t>
        </is>
      </c>
      <c r="R1060" s="156" t="n"/>
      <c r="S1060" s="156" t="inlineStr">
        <is>
          <t>100% Algodón</t>
        </is>
      </c>
      <c r="T1060" s="156" t="inlineStr">
        <is>
          <t>Camisa Stetson para Caballero – Manga Larga con Estampado Geométrico Granate (2392)
 Esta camisa de la colección Stetson Men's combina herencia y estilo contemporáneo con un estampado geométrico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El interior se realza con vivos de mezclilla (denim), que añaden textura y contraste sutil.
 Cuenta con cierre frontal de broches tipo perla con el logotipo de la marca, puños con triple broche y dos bolsillos frontales con solapa, ideales para un look auténtico y funcional.
 Modelo:
 • Camisa Stetson Men's Garnet Geo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 Acabados interiores en mezclilla (denim)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1060" s="156" t="n"/>
      <c r="V1060" s="156" t="inlineStr">
        <is>
          <t>PZS</t>
        </is>
      </c>
      <c r="W1060" s="51" t="inlineStr">
        <is>
          <t>53101600</t>
        </is>
      </c>
      <c r="X1060" s="156" t="inlineStr">
        <is>
          <t>https://cdn.shopify.com/s/files/1/0888/3250/8267/files/1100104252063c.jpg?v=1750889282</t>
        </is>
      </c>
      <c r="Y1060" s="54" t="n">
        <v>795.2586207000001</v>
      </c>
      <c r="Z1060" s="54" t="n">
        <v>1767.241379</v>
      </c>
      <c r="AA1060" s="55">
        <f>IF(AND(A1060="", B1060="", E1060=""), "", IF(AB1060="", "Válido", IF((LEN(AB1060)-LEN(SUBSTITUTE(AB1060,"; ","")))/2+1&gt;(LEN(AB1060)-LEN(SUBSTITUTE(AB1060,"[Aviso]","")))/7, "Con Incidencias", "Válido")))</f>
        <v/>
      </c>
      <c r="AB1060" s="56">
        <f>IF(AND(A1060="", B1060="", E1060=""), "", TEXTJOIN("; ", TRUE, IF(OR(TRIM(A1060&amp;"")="", ISNUMBER(SEARCH("FALTA", A1060))), "UPC faltante/inválido", ""), IF(AND(A1060&lt;&gt;"", IFERROR(_xlfn.XMATCH(A1060,$A$2:$A$2509,0,1)&lt;&gt;_xlfn.XMATCH(A1060,$A$2:$A$2509,0,-1),FALSE)), "Código de barras duplicado", ""), IF(AND(E1060&lt;&gt;"", COUNTIF($E$2:$E$2509, E1060)&gt;1), "SKU duplicado", ""), IF(OR(J1060="", J1060=""), "[Aviso] División no capturada ()", IF(ISNA(MATCH(J1060, Criterios!$A$123:$A$126, 0)), "División no válida", "")), IF(OR(K1060="", K1060=""), "[Aviso] Categoría no capturada ()", IF(ISNA(MATCH(K1060, Criterios!$A$81:$A$120, 0)), "Categoría no válida", IF(AND(J1060&lt;&gt;"", J1060&lt;&gt;"", J1060&lt;&gt;VLOOKUP(K1060, Criterios!$A$81:$B$120, 2, FALSE)), "División no coincide con Categoría", ""))), IF(OR(L1060="", L1060=""), "[Aviso] Género no capturado ()", IF(ISNA(MATCH(L1060, Criterios!$B$123:$B$127, 0)), "Género no válido", "")), IF(OR(N1060="", N1060=""), "[Aviso] Temporada no capturada ()", IF(ISNA(MATCH(N1060, Criterios!$C$123:$C$128, 0)), "Temporada no válida", "")), IF(OR(O1060="", O1060=""), "[Aviso] Ciclo de vida no capturado ()", IF(ISNA(MATCH(O1060, Criterios!$D$123:$D$124, 0)), "Ciclo de vida no válido", ""))))</f>
        <v/>
      </c>
      <c r="AC1060" s="56" t="n"/>
      <c r="AD1060" s="51" t="n">
        <v>0</v>
      </c>
      <c r="AE1060" s="156" t="n"/>
      <c r="AF1060" s="51" t="n">
        <v>0</v>
      </c>
      <c r="AG1060" s="156" t="inlineStr">
        <is>
          <t>Catálogo existente</t>
        </is>
      </c>
      <c r="AH106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60" s="156" t="inlineStr">
        <is>
          <t>No</t>
        </is>
      </c>
      <c r="AJ1060" s="156" t="n"/>
      <c r="AK1060" s="155" t="inlineStr">
        <is>
          <t>Criterios: J [R]; G1522_Extraccion_Articulos_NetSuite_2026-09-30.xlsx: fila 57306 [S] | Shopify Stetson: producto 14724647977323 / variante 52142267629931</t>
        </is>
      </c>
      <c r="AL1060" s="58" t="n">
        <v>795.2586207000001</v>
      </c>
      <c r="AM1060" s="58" t="n">
        <v>1767.241379</v>
      </c>
      <c r="AN1060" s="155" t="inlineStr">
        <is>
          <t>Shopify Stetson México</t>
        </is>
      </c>
      <c r="AO1060" s="59" t="n">
        <v>0</v>
      </c>
      <c r="AP1060" s="59" t="n"/>
      <c r="AQ1060" s="59" t="n"/>
      <c r="AR1060" s="155" t="n"/>
    </row>
    <row r="1061">
      <c r="A1061" s="50" t="inlineStr">
        <is>
          <t>196070778892</t>
        </is>
      </c>
      <c r="B1061" s="51" t="inlineStr">
        <is>
          <t>109492</t>
        </is>
      </c>
      <c r="C1061" s="156" t="inlineStr">
        <is>
          <t>Multimarca</t>
        </is>
      </c>
      <c r="D1061" s="156" t="inlineStr">
        <is>
          <t>11-001-0425-2063</t>
        </is>
      </c>
      <c r="E1061" s="156" t="inlineStr">
        <is>
          <t>11-001-0425-2063-S</t>
        </is>
      </c>
      <c r="F1061" s="156" t="inlineStr">
        <is>
          <t>S</t>
        </is>
      </c>
      <c r="G1061" s="156" t="inlineStr">
        <is>
          <t>S</t>
        </is>
      </c>
      <c r="H1061" s="156" t="inlineStr">
        <is>
          <t>Stetson</t>
        </is>
      </c>
      <c r="I1061" s="156" t="inlineStr">
        <is>
          <t>Camisa Stetson Geometrico Granate</t>
        </is>
      </c>
      <c r="J1061" s="156" t="inlineStr">
        <is>
          <t>Ropa</t>
        </is>
      </c>
      <c r="K1061" s="156" t="inlineStr">
        <is>
          <t>Camisas</t>
        </is>
      </c>
      <c r="L1061" s="156" t="inlineStr">
        <is>
          <t>Hombre</t>
        </is>
      </c>
      <c r="M1061" s="156" t="inlineStr">
        <is>
          <t>Stetson</t>
        </is>
      </c>
      <c r="N1061" s="156" t="inlineStr">
        <is>
          <t>SS26</t>
        </is>
      </c>
      <c r="O1061" s="156" t="inlineStr">
        <is>
          <t>Seasonal</t>
        </is>
      </c>
      <c r="P1061" s="156" t="inlineStr">
        <is>
          <t>Rojo</t>
        </is>
      </c>
      <c r="Q1061" s="156" t="inlineStr">
        <is>
          <t>Clásico</t>
        </is>
      </c>
      <c r="R1061" s="156" t="n"/>
      <c r="S1061" s="156" t="inlineStr">
        <is>
          <t>100% Algodón</t>
        </is>
      </c>
      <c r="T1061"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1" s="156" t="n"/>
      <c r="V1061" s="156" t="inlineStr">
        <is>
          <t>PZS</t>
        </is>
      </c>
      <c r="W1061" s="51" t="inlineStr">
        <is>
          <t>53101600</t>
        </is>
      </c>
      <c r="X1061" s="156" t="inlineStr">
        <is>
          <t>https://cdn.shopify.com/s/files/1/0888/3250/8267/files/1100104252063a.jpg?v=1750889277</t>
        </is>
      </c>
      <c r="Y1061" s="54" t="n">
        <v>795.2586207000001</v>
      </c>
      <c r="Z1061" s="54" t="n">
        <v>1767.241379</v>
      </c>
      <c r="AA1061" s="55">
        <f>IF(AND(A1061="", B1061="", E1061=""), "", IF(AB1061="", "Válido", IF((LEN(AB1061)-LEN(SUBSTITUTE(AB1061,"; ","")))/2+1&gt;(LEN(AB1061)-LEN(SUBSTITUTE(AB1061,"[Aviso]","")))/7, "Con Incidencias", "Válido")))</f>
        <v/>
      </c>
      <c r="AB1061" s="56">
        <f>IF(AND(A1061="", B1061="", E1061=""), "", TEXTJOIN("; ", TRUE, IF(OR(TRIM(A1061&amp;"")="", ISNUMBER(SEARCH("FALTA", A1061))), "UPC faltante/inválido", ""), IF(AND(A1061&lt;&gt;"", IFERROR(_xlfn.XMATCH(A1061,$A$2:$A$2509,0,1)&lt;&gt;_xlfn.XMATCH(A1061,$A$2:$A$2509,0,-1),FALSE)), "Código de barras duplicado", ""), IF(AND(E1061&lt;&gt;"", COUNTIF($E$2:$E$2509, E1061)&gt;1), "SKU duplicado", ""), IF(OR(J1061="", J1061=""), "[Aviso] División no capturada ()", IF(ISNA(MATCH(J1061, Criterios!$A$123:$A$126, 0)), "División no válida", "")), IF(OR(K1061="", K1061=""), "[Aviso] Categoría no capturada ()", IF(ISNA(MATCH(K1061, Criterios!$A$81:$A$120, 0)), "Categoría no válida", IF(AND(J1061&lt;&gt;"", J1061&lt;&gt;"", J1061&lt;&gt;VLOOKUP(K1061, Criterios!$A$81:$B$120, 2, FALSE)), "División no coincide con Categoría", ""))), IF(OR(L1061="", L1061=""), "[Aviso] Género no capturado ()", IF(ISNA(MATCH(L1061, Criterios!$B$123:$B$127, 0)), "Género no válido", "")), IF(OR(N1061="", N1061=""), "[Aviso] Temporada no capturada ()", IF(ISNA(MATCH(N1061, Criterios!$C$123:$C$128, 0)), "Temporada no válida", "")), IF(OR(O1061="", O1061=""), "[Aviso] Ciclo de vida no capturado ()", IF(ISNA(MATCH(O1061, Criterios!$D$123:$D$124, 0)), "Ciclo de vida no válido", ""))))</f>
        <v/>
      </c>
      <c r="AC1061" s="56" t="n"/>
      <c r="AD1061" s="51" t="n">
        <v>1</v>
      </c>
      <c r="AE1061" s="156" t="inlineStr">
        <is>
          <t>B25 STETSON.MX (1)</t>
        </is>
      </c>
      <c r="AF1061" s="51" t="n">
        <v>1</v>
      </c>
      <c r="AG1061" s="156" t="inlineStr">
        <is>
          <t>Catálogo existente</t>
        </is>
      </c>
      <c r="AH106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61" s="156" t="inlineStr">
        <is>
          <t>No</t>
        </is>
      </c>
      <c r="AJ1061" s="156" t="n"/>
      <c r="AK1061" s="155" t="inlineStr">
        <is>
          <t>Criterios: J [R]; G1522_Extraccion_Articulos_NetSuite_2026-09-30.xlsx: fila 57307 [S] | Shopify Stetson: producto 14724647977323 / variante 52142267597163</t>
        </is>
      </c>
      <c r="AL1061" s="58" t="n">
        <v>795.2586207000001</v>
      </c>
      <c r="AM1061" s="58" t="n">
        <v>1767.241379</v>
      </c>
      <c r="AN1061" s="155" t="inlineStr">
        <is>
          <t>Shopify Stetson México</t>
        </is>
      </c>
      <c r="AO1061" s="59" t="n">
        <v>1</v>
      </c>
      <c r="AP1061" s="59" t="n"/>
      <c r="AQ1061" s="59" t="n"/>
      <c r="AR1061" s="155" t="inlineStr">
        <is>
          <t>Shopify Stetson México › Stetson México: 1</t>
        </is>
      </c>
    </row>
    <row r="1062">
      <c r="A1062" s="50" t="inlineStr">
        <is>
          <t>196070778908</t>
        </is>
      </c>
      <c r="B1062" s="51" t="inlineStr">
        <is>
          <t>109493</t>
        </is>
      </c>
      <c r="C1062" s="156" t="inlineStr">
        <is>
          <t>Multimarca</t>
        </is>
      </c>
      <c r="D1062" s="156" t="inlineStr">
        <is>
          <t>11-001-0425-2063</t>
        </is>
      </c>
      <c r="E1062" s="156" t="inlineStr">
        <is>
          <t>11-001-0425-2063-XL</t>
        </is>
      </c>
      <c r="F1062" s="156" t="inlineStr">
        <is>
          <t>XL</t>
        </is>
      </c>
      <c r="G1062" s="156" t="inlineStr">
        <is>
          <t>XL</t>
        </is>
      </c>
      <c r="H1062" s="156" t="inlineStr">
        <is>
          <t>Stetson</t>
        </is>
      </c>
      <c r="I1062" s="156" t="inlineStr">
        <is>
          <t>Camisa Stetson Geometrico Granate</t>
        </is>
      </c>
      <c r="J1062" s="156" t="inlineStr">
        <is>
          <t>Ropa</t>
        </is>
      </c>
      <c r="K1062" s="156" t="inlineStr">
        <is>
          <t>Camisas</t>
        </is>
      </c>
      <c r="L1062" s="156" t="inlineStr">
        <is>
          <t>Hombre</t>
        </is>
      </c>
      <c r="M1062" s="156" t="inlineStr">
        <is>
          <t>Stetson</t>
        </is>
      </c>
      <c r="N1062" s="156" t="inlineStr">
        <is>
          <t>SS26</t>
        </is>
      </c>
      <c r="O1062" s="156" t="inlineStr">
        <is>
          <t>Seasonal</t>
        </is>
      </c>
      <c r="P1062" s="156" t="inlineStr">
        <is>
          <t>Rojo</t>
        </is>
      </c>
      <c r="Q1062" s="156" t="inlineStr">
        <is>
          <t>Clásico</t>
        </is>
      </c>
      <c r="R1062" s="156" t="n"/>
      <c r="S1062" s="156" t="inlineStr">
        <is>
          <t>100% Algodón</t>
        </is>
      </c>
      <c r="T1062"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2" s="156" t="n"/>
      <c r="V1062" s="156" t="inlineStr">
        <is>
          <t>PZS</t>
        </is>
      </c>
      <c r="W1062" s="51" t="inlineStr">
        <is>
          <t>53101600</t>
        </is>
      </c>
      <c r="X1062" s="156" t="inlineStr">
        <is>
          <t>https://cdn.shopify.com/s/files/1/0888/3250/8267/files/1100104252063a.jpg?v=1750889277</t>
        </is>
      </c>
      <c r="Y1062" s="54" t="n">
        <v>795.2586207000001</v>
      </c>
      <c r="Z1062" s="54" t="n">
        <v>1767.241379</v>
      </c>
      <c r="AA1062" s="55">
        <f>IF(AND(A1062="", B1062="", E1062=""), "", IF(AB1062="", "Válido", IF((LEN(AB1062)-LEN(SUBSTITUTE(AB1062,"; ","")))/2+1&gt;(LEN(AB1062)-LEN(SUBSTITUTE(AB1062,"[Aviso]","")))/7, "Con Incidencias", "Válido")))</f>
        <v/>
      </c>
      <c r="AB1062" s="56">
        <f>IF(AND(A1062="", B1062="", E1062=""), "", TEXTJOIN("; ", TRUE, IF(OR(TRIM(A1062&amp;"")="", ISNUMBER(SEARCH("FALTA", A1062))), "UPC faltante/inválido", ""), IF(AND(A1062&lt;&gt;"", IFERROR(_xlfn.XMATCH(A1062,$A$2:$A$2509,0,1)&lt;&gt;_xlfn.XMATCH(A1062,$A$2:$A$2509,0,-1),FALSE)), "Código de barras duplicado", ""), IF(AND(E1062&lt;&gt;"", COUNTIF($E$2:$E$2509, E1062)&gt;1), "SKU duplicado", ""), IF(OR(J1062="", J1062=""), "[Aviso] División no capturada ()", IF(ISNA(MATCH(J1062, Criterios!$A$123:$A$126, 0)), "División no válida", "")), IF(OR(K1062="", K1062=""), "[Aviso] Categoría no capturada ()", IF(ISNA(MATCH(K1062, Criterios!$A$81:$A$120, 0)), "Categoría no válida", IF(AND(J1062&lt;&gt;"", J1062&lt;&gt;"", J1062&lt;&gt;VLOOKUP(K1062, Criterios!$A$81:$B$120, 2, FALSE)), "División no coincide con Categoría", ""))), IF(OR(L1062="", L1062=""), "[Aviso] Género no capturado ()", IF(ISNA(MATCH(L1062, Criterios!$B$123:$B$127, 0)), "Género no válido", "")), IF(OR(N1062="", N1062=""), "[Aviso] Temporada no capturada ()", IF(ISNA(MATCH(N1062, Criterios!$C$123:$C$128, 0)), "Temporada no válida", "")), IF(OR(O1062="", O1062=""), "[Aviso] Ciclo de vida no capturado ()", IF(ISNA(MATCH(O1062, Criterios!$D$123:$D$124, 0)), "Ciclo de vida no válido", ""))))</f>
        <v/>
      </c>
      <c r="AC1062" s="56" t="n"/>
      <c r="AD1062" s="51" t="n">
        <v>1</v>
      </c>
      <c r="AE1062" s="156" t="inlineStr">
        <is>
          <t>B25 STETSON.MX (1)</t>
        </is>
      </c>
      <c r="AF1062" s="51" t="n">
        <v>1</v>
      </c>
      <c r="AG1062" s="156" t="inlineStr">
        <is>
          <t>Catálogo existente</t>
        </is>
      </c>
      <c r="AH106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62" s="156" t="inlineStr">
        <is>
          <t>No</t>
        </is>
      </c>
      <c r="AJ1062" s="156" t="n"/>
      <c r="AK1062" s="155" t="inlineStr">
        <is>
          <t>Criterios: J [R]; G1522_Extraccion_Articulos_NetSuite_2026-09-30.xlsx: fila 57308 [S] | Shopify Stetson: producto 14724647977323 / variante 52142267695467</t>
        </is>
      </c>
      <c r="AL1062" s="58" t="n">
        <v>795.2586207000001</v>
      </c>
      <c r="AM1062" s="58" t="n">
        <v>1767.241379</v>
      </c>
      <c r="AN1062" s="155" t="inlineStr">
        <is>
          <t>Shopify Stetson México</t>
        </is>
      </c>
      <c r="AO1062" s="59" t="n">
        <v>2</v>
      </c>
      <c r="AP1062" s="59" t="n"/>
      <c r="AQ1062" s="59" t="n"/>
      <c r="AR1062" s="155" t="inlineStr">
        <is>
          <t>Shopify Stetson México › Stetson México: 2</t>
        </is>
      </c>
    </row>
    <row r="1063">
      <c r="A1063" s="50" t="inlineStr">
        <is>
          <t>196070778915</t>
        </is>
      </c>
      <c r="B1063" s="51" t="inlineStr">
        <is>
          <t>109494</t>
        </is>
      </c>
      <c r="C1063" s="156" t="inlineStr">
        <is>
          <t>Multimarca</t>
        </is>
      </c>
      <c r="D1063" s="156" t="inlineStr">
        <is>
          <t>11-001-0425-2063</t>
        </is>
      </c>
      <c r="E1063" s="156" t="inlineStr">
        <is>
          <t>11-001-0425-2063-XXL</t>
        </is>
      </c>
      <c r="F1063" s="156" t="inlineStr">
        <is>
          <t>XXL</t>
        </is>
      </c>
      <c r="G1063" s="156" t="inlineStr">
        <is>
          <t>XXL</t>
        </is>
      </c>
      <c r="H1063" s="156" t="inlineStr">
        <is>
          <t>Stetson</t>
        </is>
      </c>
      <c r="I1063" s="156" t="inlineStr">
        <is>
          <t>Camisa Stetson Geometrico Granate</t>
        </is>
      </c>
      <c r="J1063" s="156" t="inlineStr">
        <is>
          <t>Ropa</t>
        </is>
      </c>
      <c r="K1063" s="156" t="inlineStr">
        <is>
          <t>Camisas</t>
        </is>
      </c>
      <c r="L1063" s="156" t="inlineStr">
        <is>
          <t>Hombre</t>
        </is>
      </c>
      <c r="M1063" s="156" t="inlineStr">
        <is>
          <t>Stetson</t>
        </is>
      </c>
      <c r="N1063" s="156" t="inlineStr">
        <is>
          <t>SS26</t>
        </is>
      </c>
      <c r="O1063" s="156" t="inlineStr">
        <is>
          <t>Seasonal</t>
        </is>
      </c>
      <c r="P1063" s="156" t="inlineStr">
        <is>
          <t>Rojo</t>
        </is>
      </c>
      <c r="Q1063" s="156" t="inlineStr">
        <is>
          <t>Clásico</t>
        </is>
      </c>
      <c r="R1063" s="156" t="n"/>
      <c r="S1063" s="156" t="inlineStr">
        <is>
          <t>100% Algodón</t>
        </is>
      </c>
      <c r="T1063"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3" s="156" t="n"/>
      <c r="V1063" s="156" t="inlineStr">
        <is>
          <t>PZS</t>
        </is>
      </c>
      <c r="W1063" s="51" t="inlineStr">
        <is>
          <t>53101600</t>
        </is>
      </c>
      <c r="X1063" s="156" t="inlineStr">
        <is>
          <t>https://cdn.shopify.com/s/files/1/0888/3250/8267/files/1100104252063a.jpg?v=1750889277</t>
        </is>
      </c>
      <c r="Y1063" s="54" t="n">
        <v>795.2586207000001</v>
      </c>
      <c r="Z1063" s="54" t="n">
        <v>1767.241379</v>
      </c>
      <c r="AA1063" s="55">
        <f>IF(AND(A1063="", B1063="", E1063=""), "", IF(AB1063="", "Válido", IF((LEN(AB1063)-LEN(SUBSTITUTE(AB1063,"; ","")))/2+1&gt;(LEN(AB1063)-LEN(SUBSTITUTE(AB1063,"[Aviso]","")))/7, "Con Incidencias", "Válido")))</f>
        <v/>
      </c>
      <c r="AB1063" s="56">
        <f>IF(AND(A1063="", B1063="", E1063=""), "", TEXTJOIN("; ", TRUE, IF(OR(TRIM(A1063&amp;"")="", ISNUMBER(SEARCH("FALTA", A1063))), "UPC faltante/inválido", ""), IF(AND(A1063&lt;&gt;"", IFERROR(_xlfn.XMATCH(A1063,$A$2:$A$2509,0,1)&lt;&gt;_xlfn.XMATCH(A1063,$A$2:$A$2509,0,-1),FALSE)), "Código de barras duplicado", ""), IF(AND(E1063&lt;&gt;"", COUNTIF($E$2:$E$2509, E1063)&gt;1), "SKU duplicado", ""), IF(OR(J1063="", J1063=""), "[Aviso] División no capturada ()", IF(ISNA(MATCH(J1063, Criterios!$A$123:$A$126, 0)), "División no válida", "")), IF(OR(K1063="", K1063=""), "[Aviso] Categoría no capturada ()", IF(ISNA(MATCH(K1063, Criterios!$A$81:$A$120, 0)), "Categoría no válida", IF(AND(J1063&lt;&gt;"", J1063&lt;&gt;"", J1063&lt;&gt;VLOOKUP(K1063, Criterios!$A$81:$B$120, 2, FALSE)), "División no coincide con Categoría", ""))), IF(OR(L1063="", L1063=""), "[Aviso] Género no capturado ()", IF(ISNA(MATCH(L1063, Criterios!$B$123:$B$127, 0)), "Género no válido", "")), IF(OR(N1063="", N1063=""), "[Aviso] Temporada no capturada ()", IF(ISNA(MATCH(N1063, Criterios!$C$123:$C$128, 0)), "Temporada no válida", "")), IF(OR(O1063="", O1063=""), "[Aviso] Ciclo de vida no capturado ()", IF(ISNA(MATCH(O1063, Criterios!$D$123:$D$124, 0)), "Ciclo de vida no válido", ""))))</f>
        <v/>
      </c>
      <c r="AC1063" s="56" t="n"/>
      <c r="AD1063" s="51" t="n">
        <v>2</v>
      </c>
      <c r="AE1063" s="156" t="inlineStr">
        <is>
          <t>B25 STETSON.MX (2)</t>
        </is>
      </c>
      <c r="AF1063" s="51" t="n">
        <v>2</v>
      </c>
      <c r="AG1063" s="156" t="inlineStr">
        <is>
          <t>Catálogo existente</t>
        </is>
      </c>
      <c r="AH1063"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63" s="156" t="inlineStr">
        <is>
          <t>No</t>
        </is>
      </c>
      <c r="AJ1063" s="156" t="n"/>
      <c r="AK1063" s="155" t="inlineStr">
        <is>
          <t>Criterios: J [R]; G1522_Extraccion_Articulos_NetSuite_2026-09-30.xlsx: fila 57309 [S] | Shopify Stetson: producto 14724647977323 / variante 52142267728235</t>
        </is>
      </c>
      <c r="AL1063" s="58" t="n">
        <v>795.2586207000001</v>
      </c>
      <c r="AM1063" s="58" t="n">
        <v>1767.241379</v>
      </c>
      <c r="AN1063" s="155" t="inlineStr">
        <is>
          <t>Shopify Stetson México</t>
        </is>
      </c>
      <c r="AO1063" s="59" t="n">
        <v>2</v>
      </c>
      <c r="AP1063" s="59" t="n"/>
      <c r="AQ1063" s="59" t="n"/>
      <c r="AR1063" s="155" t="inlineStr">
        <is>
          <t>Shopify Stetson México › Stetson México: 2</t>
        </is>
      </c>
    </row>
    <row r="1064">
      <c r="A1064" s="50" t="inlineStr">
        <is>
          <t>196070780192</t>
        </is>
      </c>
      <c r="B1064" s="51" t="inlineStr">
        <is>
          <t>110518</t>
        </is>
      </c>
      <c r="C1064" s="156" t="inlineStr">
        <is>
          <t>Multimarca</t>
        </is>
      </c>
      <c r="D1064" s="156" t="inlineStr">
        <is>
          <t>11-001-0579-2033</t>
        </is>
      </c>
      <c r="E1064" s="156" t="inlineStr">
        <is>
          <t>11-001-0579-2033-L</t>
        </is>
      </c>
      <c r="F1064" s="156" t="inlineStr">
        <is>
          <t>L</t>
        </is>
      </c>
      <c r="G1064" s="156" t="inlineStr">
        <is>
          <t>L</t>
        </is>
      </c>
      <c r="H1064" s="156" t="inlineStr">
        <is>
          <t>Stetson</t>
        </is>
      </c>
      <c r="I1064" s="156" t="inlineStr">
        <is>
          <t>Camisa Cuadros Sandy Ombre</t>
        </is>
      </c>
      <c r="J1064" s="156" t="inlineStr">
        <is>
          <t>Ropa</t>
        </is>
      </c>
      <c r="K1064" s="156" t="inlineStr">
        <is>
          <t>Camisas</t>
        </is>
      </c>
      <c r="L1064" s="156" t="inlineStr">
        <is>
          <t>Hombre</t>
        </is>
      </c>
      <c r="M1064" s="156" t="inlineStr">
        <is>
          <t>Stetson</t>
        </is>
      </c>
      <c r="N1064" s="156" t="inlineStr">
        <is>
          <t>SS26</t>
        </is>
      </c>
      <c r="O1064" s="156" t="inlineStr">
        <is>
          <t>Seasonal</t>
        </is>
      </c>
      <c r="P1064" s="156" t="inlineStr">
        <is>
          <t>Cafe</t>
        </is>
      </c>
      <c r="Q1064" s="156" t="inlineStr">
        <is>
          <t>Regular</t>
        </is>
      </c>
      <c r="R1064" s="156" t="n"/>
      <c r="S1064" s="156" t="inlineStr">
        <is>
          <t>100% Algodón</t>
        </is>
      </c>
      <c r="T1064" s="156" t="inlineStr">
        <is>
          <t>Camisa Cuadros Sandy Ombre Regular</t>
        </is>
      </c>
      <c r="U1064" s="156" t="n"/>
      <c r="V1064" s="156" t="inlineStr">
        <is>
          <t>PZS</t>
        </is>
      </c>
      <c r="W1064" s="51" t="inlineStr">
        <is>
          <t>53101602</t>
        </is>
      </c>
      <c r="X1064" s="156" t="n"/>
      <c r="Y1064" s="54" t="n">
        <v>756.4655172</v>
      </c>
      <c r="Z1064" s="54" t="n">
        <v>1681.034483</v>
      </c>
      <c r="AA1064" s="55">
        <f>IF(AND(A1064="", B1064="", E1064=""), "", IF(AB1064="", "Válido", IF((LEN(AB1064)-LEN(SUBSTITUTE(AB1064,"; ","")))/2+1&gt;(LEN(AB1064)-LEN(SUBSTITUTE(AB1064,"[Aviso]","")))/7, "Con Incidencias", "Válido")))</f>
        <v/>
      </c>
      <c r="AB1064" s="56">
        <f>IF(AND(A1064="", B1064="", E1064=""), "", TEXTJOIN("; ", TRUE, IF(OR(TRIM(A1064&amp;"")="", ISNUMBER(SEARCH("FALTA", A1064))), "UPC faltante/inválido", ""), IF(AND(A1064&lt;&gt;"", IFERROR(_xlfn.XMATCH(A1064,$A$2:$A$2509,0,1)&lt;&gt;_xlfn.XMATCH(A1064,$A$2:$A$2509,0,-1),FALSE)), "Código de barras duplicado", ""), IF(AND(E1064&lt;&gt;"", COUNTIF($E$2:$E$2509, E1064)&gt;1), "SKU duplicado", ""), IF(OR(J1064="", J1064=""), "[Aviso] División no capturada ()", IF(ISNA(MATCH(J1064, Criterios!$A$123:$A$126, 0)), "División no válida", "")), IF(OR(K1064="", K1064=""), "[Aviso] Categoría no capturada ()", IF(ISNA(MATCH(K1064, Criterios!$A$81:$A$120, 0)), "Categoría no válida", IF(AND(J1064&lt;&gt;"", J1064&lt;&gt;"", J1064&lt;&gt;VLOOKUP(K1064, Criterios!$A$81:$B$120, 2, FALSE)), "División no coincide con Categoría", ""))), IF(OR(L1064="", L1064=""), "[Aviso] Género no capturado ()", IF(ISNA(MATCH(L1064, Criterios!$B$123:$B$127, 0)), "Género no válido", "")), IF(OR(N1064="", N1064=""), "[Aviso] Temporada no capturada ()", IF(ISNA(MATCH(N1064, Criterios!$C$123:$C$128, 0)), "Temporada no válida", "")), IF(OR(O1064="", O1064=""), "[Aviso] Ciclo de vida no capturado ()", IF(ISNA(MATCH(O1064, Criterios!$D$123:$D$124, 0)), "Ciclo de vida no válido", ""))))</f>
        <v/>
      </c>
      <c r="AC1064" s="56" t="n"/>
      <c r="AD1064" s="51" t="n">
        <v>-2</v>
      </c>
      <c r="AE1064" s="156" t="n"/>
      <c r="AF1064" s="51" t="n">
        <v>0</v>
      </c>
      <c r="AG1064" s="156" t="inlineStr">
        <is>
          <t>Catálogo existente</t>
        </is>
      </c>
      <c r="AH1064" s="156" t="inlineStr">
        <is>
          <t>Stock negativo en sistema: revisar en conteo | Revisión 29/09/2026: Campos sin respaldo: U, X; Auditoría NetSuite 30/09/2026: llenado desde NetSuite [S] | 01/10/2026: complementado desde Shopify Stetson México (match por código de barras): WB Silueta</t>
        </is>
      </c>
      <c r="AI1064" s="156" t="inlineStr">
        <is>
          <t>Sí</t>
        </is>
      </c>
      <c r="AJ1064" s="156" t="inlineStr">
        <is>
          <t>STETSON AMERICAS (-2)</t>
        </is>
      </c>
      <c r="AK1064" s="155" t="inlineStr">
        <is>
          <t>Criterios: J [R]; G1522_Extraccion_Articulos_NetSuite_2026-09-30.xlsx: fila 58333 [S] | Shopify Stetson: producto 15051553636715 / variante 53350587498859</t>
        </is>
      </c>
      <c r="AL1064" s="58" t="n">
        <v>756.4655172</v>
      </c>
      <c r="AM1064" s="58" t="n">
        <v>1681.034483</v>
      </c>
      <c r="AN1064" s="155" t="inlineStr">
        <is>
          <t>Shopify Stetson México</t>
        </is>
      </c>
      <c r="AO1064" s="59" t="n">
        <v>0</v>
      </c>
      <c r="AP1064" s="59" t="n"/>
      <c r="AQ1064" s="59" t="n"/>
      <c r="AR1064" s="155" t="n"/>
    </row>
    <row r="1065">
      <c r="A1065" s="50" t="inlineStr">
        <is>
          <t>196070780208</t>
        </is>
      </c>
      <c r="B1065" s="51" t="inlineStr">
        <is>
          <t>110519</t>
        </is>
      </c>
      <c r="C1065" s="156" t="inlineStr">
        <is>
          <t>Multimarca</t>
        </is>
      </c>
      <c r="D1065" s="156" t="inlineStr">
        <is>
          <t>11-001-0579-2033</t>
        </is>
      </c>
      <c r="E1065" s="156" t="inlineStr">
        <is>
          <t>11-001-0579-2033-M</t>
        </is>
      </c>
      <c r="F1065" s="156" t="inlineStr">
        <is>
          <t>M</t>
        </is>
      </c>
      <c r="G1065" s="156" t="inlineStr">
        <is>
          <t>M</t>
        </is>
      </c>
      <c r="H1065" s="156" t="inlineStr">
        <is>
          <t>Stetson</t>
        </is>
      </c>
      <c r="I1065" s="156" t="inlineStr">
        <is>
          <t>Camisa Cuadros Sandy Ombre</t>
        </is>
      </c>
      <c r="J1065" s="156" t="inlineStr">
        <is>
          <t>Ropa</t>
        </is>
      </c>
      <c r="K1065" s="156" t="inlineStr">
        <is>
          <t>Camisas</t>
        </is>
      </c>
      <c r="L1065" s="156" t="inlineStr">
        <is>
          <t>Hombre</t>
        </is>
      </c>
      <c r="M1065" s="156" t="inlineStr">
        <is>
          <t>Stetson</t>
        </is>
      </c>
      <c r="N1065" s="156" t="inlineStr">
        <is>
          <t>SS26</t>
        </is>
      </c>
      <c r="O1065" s="156" t="inlineStr">
        <is>
          <t>Seasonal</t>
        </is>
      </c>
      <c r="P1065" s="156" t="inlineStr">
        <is>
          <t>Cafe</t>
        </is>
      </c>
      <c r="Q1065" s="156" t="inlineStr">
        <is>
          <t>Regular</t>
        </is>
      </c>
      <c r="R1065" s="156" t="n"/>
      <c r="S1065" s="156" t="inlineStr">
        <is>
          <t>100% Algodón</t>
        </is>
      </c>
      <c r="T1065" s="156" t="inlineStr">
        <is>
          <t>Camisa Cuadros Sandy Ombre Regular</t>
        </is>
      </c>
      <c r="U1065" s="156" t="n"/>
      <c r="V1065" s="156" t="inlineStr">
        <is>
          <t>PZS</t>
        </is>
      </c>
      <c r="W1065" s="51" t="inlineStr">
        <is>
          <t>53101602</t>
        </is>
      </c>
      <c r="X1065" s="156" t="n"/>
      <c r="Y1065" s="54" t="n">
        <v>756.4655172</v>
      </c>
      <c r="Z1065" s="54" t="n">
        <v>1681.034483</v>
      </c>
      <c r="AA1065" s="55">
        <f>IF(AND(A1065="", B1065="", E1065=""), "", IF(AB1065="", "Válido", IF((LEN(AB1065)-LEN(SUBSTITUTE(AB1065,"; ","")))/2+1&gt;(LEN(AB1065)-LEN(SUBSTITUTE(AB1065,"[Aviso]","")))/7, "Con Incidencias", "Válido")))</f>
        <v/>
      </c>
      <c r="AB1065" s="56">
        <f>IF(AND(A1065="", B1065="", E1065=""), "", TEXTJOIN("; ", TRUE, IF(OR(TRIM(A1065&amp;"")="", ISNUMBER(SEARCH("FALTA", A1065))), "UPC faltante/inválido", ""), IF(AND(A1065&lt;&gt;"", IFERROR(_xlfn.XMATCH(A1065,$A$2:$A$2509,0,1)&lt;&gt;_xlfn.XMATCH(A1065,$A$2:$A$2509,0,-1),FALSE)), "Código de barras duplicado", ""), IF(AND(E1065&lt;&gt;"", COUNTIF($E$2:$E$2509, E1065)&gt;1), "SKU duplicado", ""), IF(OR(J1065="", J1065=""), "[Aviso] División no capturada ()", IF(ISNA(MATCH(J1065, Criterios!$A$123:$A$126, 0)), "División no válida", "")), IF(OR(K1065="", K1065=""), "[Aviso] Categoría no capturada ()", IF(ISNA(MATCH(K1065, Criterios!$A$81:$A$120, 0)), "Categoría no válida", IF(AND(J1065&lt;&gt;"", J1065&lt;&gt;"", J1065&lt;&gt;VLOOKUP(K1065, Criterios!$A$81:$B$120, 2, FALSE)), "División no coincide con Categoría", ""))), IF(OR(L1065="", L1065=""), "[Aviso] Género no capturado ()", IF(ISNA(MATCH(L1065, Criterios!$B$123:$B$127, 0)), "Género no válido", "")), IF(OR(N1065="", N1065=""), "[Aviso] Temporada no capturada ()", IF(ISNA(MATCH(N1065, Criterios!$C$123:$C$128, 0)), "Temporada no válida", "")), IF(OR(O1065="", O1065=""), "[Aviso] Ciclo de vida no capturado ()", IF(ISNA(MATCH(O1065, Criterios!$D$123:$D$124, 0)), "Ciclo de vida no válido", ""))))</f>
        <v/>
      </c>
      <c r="AC1065" s="56" t="n"/>
      <c r="AD1065" s="51" t="n">
        <v>-1</v>
      </c>
      <c r="AE1065" s="156" t="n"/>
      <c r="AF1065" s="51" t="n">
        <v>0</v>
      </c>
      <c r="AG1065" s="156" t="inlineStr">
        <is>
          <t>Catálogo existente</t>
        </is>
      </c>
      <c r="AH1065" s="156" t="inlineStr">
        <is>
          <t>Stock negativo en sistema: revisar en conteo | Revisión 29/09/2026: Campos sin respaldo: U, X; Auditoría NetSuite 30/09/2026: llenado desde NetSuite [S] | 01/10/2026: complementado desde Shopify Stetson México (match por código de barras): WB Silueta</t>
        </is>
      </c>
      <c r="AI1065" s="156" t="inlineStr">
        <is>
          <t>Sí</t>
        </is>
      </c>
      <c r="AJ1065" s="156" t="inlineStr">
        <is>
          <t>STETSON AMERICAS (-1)</t>
        </is>
      </c>
      <c r="AK1065" s="155" t="inlineStr">
        <is>
          <t>Criterios: J [R]; G1522_Extraccion_Articulos_NetSuite_2026-09-30.xlsx: fila 58334 [S] | Shopify Stetson: producto 15051553636715 / variante 53350587466091</t>
        </is>
      </c>
      <c r="AL1065" s="58" t="n">
        <v>756.4655172</v>
      </c>
      <c r="AM1065" s="58" t="n">
        <v>1681.034483</v>
      </c>
      <c r="AN1065" s="155" t="inlineStr">
        <is>
          <t>Shopify Stetson México</t>
        </is>
      </c>
      <c r="AO1065" s="59" t="n">
        <v>1</v>
      </c>
      <c r="AP1065" s="59" t="n"/>
      <c r="AQ1065" s="59" t="n"/>
      <c r="AR1065" s="155" t="inlineStr">
        <is>
          <t>Shopify Stetson México › Stetson Americas: 1</t>
        </is>
      </c>
    </row>
    <row r="1066">
      <c r="A1066" s="50" t="inlineStr">
        <is>
          <t>196070780215</t>
        </is>
      </c>
      <c r="B1066" s="51" t="inlineStr">
        <is>
          <t>110520</t>
        </is>
      </c>
      <c r="C1066" s="156" t="inlineStr">
        <is>
          <t>Multimarca</t>
        </is>
      </c>
      <c r="D1066" s="156" t="inlineStr">
        <is>
          <t>11-001-0579-2033</t>
        </is>
      </c>
      <c r="E1066" s="156" t="inlineStr">
        <is>
          <t>11-001-0579-2033-S</t>
        </is>
      </c>
      <c r="F1066" s="156" t="inlineStr">
        <is>
          <t>S</t>
        </is>
      </c>
      <c r="G1066" s="156" t="inlineStr">
        <is>
          <t>S</t>
        </is>
      </c>
      <c r="H1066" s="156" t="inlineStr">
        <is>
          <t>Stetson</t>
        </is>
      </c>
      <c r="I1066" s="156" t="inlineStr">
        <is>
          <t>Camisa Cuadros Sandy Ombre</t>
        </is>
      </c>
      <c r="J1066" s="156" t="inlineStr">
        <is>
          <t>Ropa</t>
        </is>
      </c>
      <c r="K1066" s="156" t="inlineStr">
        <is>
          <t>Camisas</t>
        </is>
      </c>
      <c r="L1066" s="156" t="inlineStr">
        <is>
          <t>Hombre</t>
        </is>
      </c>
      <c r="M1066" s="156" t="inlineStr">
        <is>
          <t>Stetson</t>
        </is>
      </c>
      <c r="N1066" s="156" t="inlineStr">
        <is>
          <t>SS26</t>
        </is>
      </c>
      <c r="O1066" s="156" t="inlineStr">
        <is>
          <t>Seasonal</t>
        </is>
      </c>
      <c r="P1066" s="156" t="inlineStr">
        <is>
          <t>Cafe</t>
        </is>
      </c>
      <c r="Q1066" s="156" t="inlineStr">
        <is>
          <t>Regular</t>
        </is>
      </c>
      <c r="R1066" s="156" t="n"/>
      <c r="S1066" s="156" t="inlineStr">
        <is>
          <t>100% Algodón</t>
        </is>
      </c>
      <c r="T1066" s="156" t="inlineStr">
        <is>
          <t>Camisa Cuadros Sandy Ombre Regular</t>
        </is>
      </c>
      <c r="U1066" s="156" t="n"/>
      <c r="V1066" s="156" t="inlineStr">
        <is>
          <t>PZS</t>
        </is>
      </c>
      <c r="W1066" s="51" t="inlineStr">
        <is>
          <t>53101602</t>
        </is>
      </c>
      <c r="X1066" s="156" t="n"/>
      <c r="Y1066" s="54" t="n">
        <v>756.4655172</v>
      </c>
      <c r="Z1066" s="54" t="n">
        <v>1681.034483</v>
      </c>
      <c r="AA1066" s="55">
        <f>IF(AND(A1066="", B1066="", E1066=""), "", IF(AB1066="", "Válido", IF((LEN(AB1066)-LEN(SUBSTITUTE(AB1066,"; ","")))/2+1&gt;(LEN(AB1066)-LEN(SUBSTITUTE(AB1066,"[Aviso]","")))/7, "Con Incidencias", "Válido")))</f>
        <v/>
      </c>
      <c r="AB1066" s="56">
        <f>IF(AND(A1066="", B1066="", E1066=""), "", TEXTJOIN("; ", TRUE, IF(OR(TRIM(A1066&amp;"")="", ISNUMBER(SEARCH("FALTA", A1066))), "UPC faltante/inválido", ""), IF(AND(A1066&lt;&gt;"", IFERROR(_xlfn.XMATCH(A1066,$A$2:$A$2509,0,1)&lt;&gt;_xlfn.XMATCH(A1066,$A$2:$A$2509,0,-1),FALSE)), "Código de barras duplicado", ""), IF(AND(E1066&lt;&gt;"", COUNTIF($E$2:$E$2509, E1066)&gt;1), "SKU duplicado", ""), IF(OR(J1066="", J1066=""), "[Aviso] División no capturada ()", IF(ISNA(MATCH(J1066, Criterios!$A$123:$A$126, 0)), "División no válida", "")), IF(OR(K1066="", K1066=""), "[Aviso] Categoría no capturada ()", IF(ISNA(MATCH(K1066, Criterios!$A$81:$A$120, 0)), "Categoría no válida", IF(AND(J1066&lt;&gt;"", J1066&lt;&gt;"", J1066&lt;&gt;VLOOKUP(K1066, Criterios!$A$81:$B$120, 2, FALSE)), "División no coincide con Categoría", ""))), IF(OR(L1066="", L1066=""), "[Aviso] Género no capturado ()", IF(ISNA(MATCH(L1066, Criterios!$B$123:$B$127, 0)), "Género no válido", "")), IF(OR(N1066="", N1066=""), "[Aviso] Temporada no capturada ()", IF(ISNA(MATCH(N1066, Criterios!$C$123:$C$128, 0)), "Temporada no válida", "")), IF(OR(O1066="", O1066=""), "[Aviso] Ciclo de vida no capturado ()", IF(ISNA(MATCH(O1066, Criterios!$D$123:$D$124, 0)), "Ciclo de vida no válido", ""))))</f>
        <v/>
      </c>
      <c r="AC1066" s="56" t="n"/>
      <c r="AD1066" s="51" t="n">
        <v>-1</v>
      </c>
      <c r="AE1066" s="156" t="n"/>
      <c r="AF1066" s="51" t="n">
        <v>0</v>
      </c>
      <c r="AG1066" s="156" t="inlineStr">
        <is>
          <t>Catálogo existente</t>
        </is>
      </c>
      <c r="AH1066" s="156" t="inlineStr">
        <is>
          <t>Stock negativo en sistema: revisar en conteo | Revisión 29/09/2026: Campos sin respaldo: U, X; Auditoría NetSuite 30/09/2026: llenado desde NetSuite [S] | 01/10/2026: complementado desde Shopify Stetson México (match por código de barras): WB Silueta</t>
        </is>
      </c>
      <c r="AI1066" s="156" t="inlineStr">
        <is>
          <t>Sí</t>
        </is>
      </c>
      <c r="AJ1066" s="156" t="inlineStr">
        <is>
          <t>STETSON AMERICAS (-1)</t>
        </is>
      </c>
      <c r="AK1066" s="155" t="inlineStr">
        <is>
          <t>Criterios: J [R]; G1522_Extraccion_Articulos_NetSuite_2026-09-30.xlsx: fila 58335 [S] | Shopify Stetson: producto 15051553636715 / variante 53350587433323</t>
        </is>
      </c>
      <c r="AL1066" s="58" t="n">
        <v>756.4655172</v>
      </c>
      <c r="AM1066" s="58" t="n">
        <v>1681.034483</v>
      </c>
      <c r="AN1066" s="155" t="inlineStr">
        <is>
          <t>Shopify Stetson México</t>
        </is>
      </c>
      <c r="AO1066" s="59" t="n">
        <v>0</v>
      </c>
      <c r="AP1066" s="59" t="n"/>
      <c r="AQ1066" s="59" t="n"/>
      <c r="AR1066" s="155" t="n"/>
    </row>
    <row r="1067">
      <c r="A1067" s="50" t="inlineStr">
        <is>
          <t>196070780222</t>
        </is>
      </c>
      <c r="B1067" s="51" t="inlineStr">
        <is>
          <t>110521</t>
        </is>
      </c>
      <c r="C1067" s="156" t="inlineStr">
        <is>
          <t>Multimarca</t>
        </is>
      </c>
      <c r="D1067" s="156" t="inlineStr">
        <is>
          <t>11-001-0579-2033</t>
        </is>
      </c>
      <c r="E1067" s="156" t="inlineStr">
        <is>
          <t>11-001-0579-2033-XL</t>
        </is>
      </c>
      <c r="F1067" s="156" t="inlineStr">
        <is>
          <t>XL</t>
        </is>
      </c>
      <c r="G1067" s="156" t="inlineStr">
        <is>
          <t>XL</t>
        </is>
      </c>
      <c r="H1067" s="156" t="inlineStr">
        <is>
          <t>Stetson</t>
        </is>
      </c>
      <c r="I1067" s="156" t="inlineStr">
        <is>
          <t>Camisa Cuadros Sandy Ombre</t>
        </is>
      </c>
      <c r="J1067" s="156" t="inlineStr">
        <is>
          <t>Ropa</t>
        </is>
      </c>
      <c r="K1067" s="156" t="inlineStr">
        <is>
          <t>Camisas</t>
        </is>
      </c>
      <c r="L1067" s="156" t="inlineStr">
        <is>
          <t>Hombre</t>
        </is>
      </c>
      <c r="M1067" s="156" t="inlineStr">
        <is>
          <t>Stetson</t>
        </is>
      </c>
      <c r="N1067" s="156" t="inlineStr">
        <is>
          <t>SS26</t>
        </is>
      </c>
      <c r="O1067" s="156" t="inlineStr">
        <is>
          <t>Seasonal</t>
        </is>
      </c>
      <c r="P1067" s="156" t="inlineStr">
        <is>
          <t>Cafe</t>
        </is>
      </c>
      <c r="Q1067" s="156" t="inlineStr">
        <is>
          <t>Regular</t>
        </is>
      </c>
      <c r="R1067" s="156" t="n"/>
      <c r="S1067" s="156" t="inlineStr">
        <is>
          <t>100% Algodón</t>
        </is>
      </c>
      <c r="T1067" s="156" t="inlineStr">
        <is>
          <t>Camisa Cuadros Sandy Ombre Regular</t>
        </is>
      </c>
      <c r="U1067" s="156" t="n"/>
      <c r="V1067" s="156" t="inlineStr">
        <is>
          <t>PZS</t>
        </is>
      </c>
      <c r="W1067" s="51" t="inlineStr">
        <is>
          <t>53101602</t>
        </is>
      </c>
      <c r="X1067" s="156" t="n"/>
      <c r="Y1067" s="54" t="n">
        <v>756.4655172</v>
      </c>
      <c r="Z1067" s="54" t="n">
        <v>1681.034483</v>
      </c>
      <c r="AA1067" s="55">
        <f>IF(AND(A1067="", B1067="", E1067=""), "", IF(AB1067="", "Válido", IF((LEN(AB1067)-LEN(SUBSTITUTE(AB1067,"; ","")))/2+1&gt;(LEN(AB1067)-LEN(SUBSTITUTE(AB1067,"[Aviso]","")))/7, "Con Incidencias", "Válido")))</f>
        <v/>
      </c>
      <c r="AB1067" s="56">
        <f>IF(AND(A1067="", B1067="", E1067=""), "", TEXTJOIN("; ", TRUE, IF(OR(TRIM(A1067&amp;"")="", ISNUMBER(SEARCH("FALTA", A1067))), "UPC faltante/inválido", ""), IF(AND(A1067&lt;&gt;"", IFERROR(_xlfn.XMATCH(A1067,$A$2:$A$2509,0,1)&lt;&gt;_xlfn.XMATCH(A1067,$A$2:$A$2509,0,-1),FALSE)), "Código de barras duplicado", ""), IF(AND(E1067&lt;&gt;"", COUNTIF($E$2:$E$2509, E1067)&gt;1), "SKU duplicado", ""), IF(OR(J1067="", J1067=""), "[Aviso] División no capturada ()", IF(ISNA(MATCH(J1067, Criterios!$A$123:$A$126, 0)), "División no válida", "")), IF(OR(K1067="", K1067=""), "[Aviso] Categoría no capturada ()", IF(ISNA(MATCH(K1067, Criterios!$A$81:$A$120, 0)), "Categoría no válida", IF(AND(J1067&lt;&gt;"", J1067&lt;&gt;"", J1067&lt;&gt;VLOOKUP(K1067, Criterios!$A$81:$B$120, 2, FALSE)), "División no coincide con Categoría", ""))), IF(OR(L1067="", L1067=""), "[Aviso] Género no capturado ()", IF(ISNA(MATCH(L1067, Criterios!$B$123:$B$127, 0)), "Género no válido", "")), IF(OR(N1067="", N1067=""), "[Aviso] Temporada no capturada ()", IF(ISNA(MATCH(N1067, Criterios!$C$123:$C$128, 0)), "Temporada no válida", "")), IF(OR(O1067="", O1067=""), "[Aviso] Ciclo de vida no capturado ()", IF(ISNA(MATCH(O1067, Criterios!$D$123:$D$124, 0)), "Ciclo de vida no válido", ""))))</f>
        <v/>
      </c>
      <c r="AC1067" s="56" t="n"/>
      <c r="AD1067" s="51" t="n">
        <v>0</v>
      </c>
      <c r="AE1067" s="156" t="n"/>
      <c r="AF1067" s="51" t="n">
        <v>0</v>
      </c>
      <c r="AG1067" s="156" t="inlineStr">
        <is>
          <t>Catálogo existente</t>
        </is>
      </c>
      <c r="AH1067" s="156" t="inlineStr">
        <is>
          <t>Revisión 29/09/2026: Campos sin respaldo: U, X; Auditoría NetSuite 30/09/2026: llenado desde NetSuite [S] | 01/10/2026: complementado desde Shopify Stetson México (match por código de barras): WB Silueta</t>
        </is>
      </c>
      <c r="AI1067" s="156" t="inlineStr">
        <is>
          <t>No</t>
        </is>
      </c>
      <c r="AJ1067" s="156" t="n"/>
      <c r="AK1067" s="155" t="inlineStr">
        <is>
          <t>Criterios: J [R]; G1522_Extraccion_Articulos_NetSuite_2026-09-30.xlsx: fila 58336 [S] | Shopify Stetson: producto 15051553636715 / variante 53350587531627</t>
        </is>
      </c>
      <c r="AL1067" s="58" t="n">
        <v>756.4655172</v>
      </c>
      <c r="AM1067" s="58" t="n">
        <v>1681.034483</v>
      </c>
      <c r="AN1067" s="155" t="inlineStr">
        <is>
          <t>Shopify Stetson México</t>
        </is>
      </c>
      <c r="AO1067" s="59" t="n">
        <v>1</v>
      </c>
      <c r="AP1067" s="59" t="n"/>
      <c r="AQ1067" s="59" t="n"/>
      <c r="AR1067" s="155" t="inlineStr">
        <is>
          <t>Shopify Stetson México › Stetson Americas: 1</t>
        </is>
      </c>
    </row>
    <row r="1068">
      <c r="A1068" s="50" t="inlineStr">
        <is>
          <t>196070780239</t>
        </is>
      </c>
      <c r="B1068" s="51" t="inlineStr">
        <is>
          <t>110522</t>
        </is>
      </c>
      <c r="C1068" s="156" t="inlineStr">
        <is>
          <t>Multimarca</t>
        </is>
      </c>
      <c r="D1068" s="156" t="inlineStr">
        <is>
          <t>11-001-0579-2033</t>
        </is>
      </c>
      <c r="E1068" s="156" t="inlineStr">
        <is>
          <t>11-001-0579-2033-XXL</t>
        </is>
      </c>
      <c r="F1068" s="156" t="inlineStr">
        <is>
          <t>XXL</t>
        </is>
      </c>
      <c r="G1068" s="156" t="inlineStr">
        <is>
          <t>XXL</t>
        </is>
      </c>
      <c r="H1068" s="156" t="inlineStr">
        <is>
          <t>Stetson</t>
        </is>
      </c>
      <c r="I1068" s="156" t="inlineStr">
        <is>
          <t>Camisa Cuadros Sandy Ombre</t>
        </is>
      </c>
      <c r="J1068" s="156" t="inlineStr">
        <is>
          <t>Ropa</t>
        </is>
      </c>
      <c r="K1068" s="156" t="inlineStr">
        <is>
          <t>Camisas</t>
        </is>
      </c>
      <c r="L1068" s="156" t="inlineStr">
        <is>
          <t>Hombre</t>
        </is>
      </c>
      <c r="M1068" s="156" t="inlineStr">
        <is>
          <t>Stetson</t>
        </is>
      </c>
      <c r="N1068" s="156" t="inlineStr">
        <is>
          <t>SS26</t>
        </is>
      </c>
      <c r="O1068" s="156" t="inlineStr">
        <is>
          <t>Seasonal</t>
        </is>
      </c>
      <c r="P1068" s="156" t="inlineStr">
        <is>
          <t>Cafe</t>
        </is>
      </c>
      <c r="Q1068" s="156" t="inlineStr">
        <is>
          <t>Regular</t>
        </is>
      </c>
      <c r="R1068" s="156" t="n"/>
      <c r="S1068" s="156" t="inlineStr">
        <is>
          <t>100% Algodón</t>
        </is>
      </c>
      <c r="T1068" s="156" t="inlineStr">
        <is>
          <t>Camisa Cuadros Sandy Ombre Regular</t>
        </is>
      </c>
      <c r="U1068" s="156" t="n"/>
      <c r="V1068" s="156" t="inlineStr">
        <is>
          <t>PZS</t>
        </is>
      </c>
      <c r="W1068" s="51" t="inlineStr">
        <is>
          <t>53101602</t>
        </is>
      </c>
      <c r="X1068" s="156" t="n"/>
      <c r="Y1068" s="54" t="n">
        <v>756.4655172</v>
      </c>
      <c r="Z1068" s="54" t="n">
        <v>1681.034483</v>
      </c>
      <c r="AA1068" s="55">
        <f>IF(AND(A1068="", B1068="", E1068=""), "", IF(AB1068="", "Válido", IF((LEN(AB1068)-LEN(SUBSTITUTE(AB1068,"; ","")))/2+1&gt;(LEN(AB1068)-LEN(SUBSTITUTE(AB1068,"[Aviso]","")))/7, "Con Incidencias", "Válido")))</f>
        <v/>
      </c>
      <c r="AB1068" s="56">
        <f>IF(AND(A1068="", B1068="", E1068=""), "", TEXTJOIN("; ", TRUE, IF(OR(TRIM(A1068&amp;"")="", ISNUMBER(SEARCH("FALTA", A1068))), "UPC faltante/inválido", ""), IF(AND(A1068&lt;&gt;"", IFERROR(_xlfn.XMATCH(A1068,$A$2:$A$2509,0,1)&lt;&gt;_xlfn.XMATCH(A1068,$A$2:$A$2509,0,-1),FALSE)), "Código de barras duplicado", ""), IF(AND(E1068&lt;&gt;"", COUNTIF($E$2:$E$2509, E1068)&gt;1), "SKU duplicado", ""), IF(OR(J1068="", J1068=""), "[Aviso] División no capturada ()", IF(ISNA(MATCH(J1068, Criterios!$A$123:$A$126, 0)), "División no válida", "")), IF(OR(K1068="", K1068=""), "[Aviso] Categoría no capturada ()", IF(ISNA(MATCH(K1068, Criterios!$A$81:$A$120, 0)), "Categoría no válida", IF(AND(J1068&lt;&gt;"", J1068&lt;&gt;"", J1068&lt;&gt;VLOOKUP(K1068, Criterios!$A$81:$B$120, 2, FALSE)), "División no coincide con Categoría", ""))), IF(OR(L1068="", L1068=""), "[Aviso] Género no capturado ()", IF(ISNA(MATCH(L1068, Criterios!$B$123:$B$127, 0)), "Género no válido", "")), IF(OR(N1068="", N1068=""), "[Aviso] Temporada no capturada ()", IF(ISNA(MATCH(N1068, Criterios!$C$123:$C$128, 0)), "Temporada no válida", "")), IF(OR(O1068="", O1068=""), "[Aviso] Ciclo de vida no capturado ()", IF(ISNA(MATCH(O1068, Criterios!$D$123:$D$124, 0)), "Ciclo de vida no válido", ""))))</f>
        <v/>
      </c>
      <c r="AC1068" s="56" t="n"/>
      <c r="AD1068" s="51" t="n">
        <v>-1</v>
      </c>
      <c r="AE1068" s="156" t="n"/>
      <c r="AF1068" s="51" t="n">
        <v>0</v>
      </c>
      <c r="AG1068" s="156" t="inlineStr">
        <is>
          <t>Catálogo existente</t>
        </is>
      </c>
      <c r="AH1068" s="156" t="inlineStr">
        <is>
          <t>Stock negativo en sistema: revisar en conteo | Revisión 29/09/2026: Campos sin respaldo: U, X; Auditoría NetSuite 30/09/2026: llenado desde NetSuite [S] | 01/10/2026: complementado desde Shopify Stetson México (match por código de barras): WB Silueta</t>
        </is>
      </c>
      <c r="AI1068" s="156" t="inlineStr">
        <is>
          <t>Sí</t>
        </is>
      </c>
      <c r="AJ1068" s="156" t="inlineStr">
        <is>
          <t>STETSON AMERICAS (-1)</t>
        </is>
      </c>
      <c r="AK1068" s="155" t="inlineStr">
        <is>
          <t>Criterios: J [R]; G1522_Extraccion_Articulos_NetSuite_2026-09-30.xlsx: fila 58337 [S] | Shopify Stetson: producto 15051553636715 / variante 53350587564395</t>
        </is>
      </c>
      <c r="AL1068" s="58" t="n">
        <v>756.4655172</v>
      </c>
      <c r="AM1068" s="58" t="n">
        <v>1681.034483</v>
      </c>
      <c r="AN1068" s="155" t="inlineStr">
        <is>
          <t>Shopify Stetson México</t>
        </is>
      </c>
      <c r="AO1068" s="59" t="n">
        <v>0</v>
      </c>
      <c r="AP1068" s="59" t="n"/>
      <c r="AQ1068" s="59" t="n"/>
      <c r="AR1068" s="155" t="n"/>
    </row>
    <row r="1069">
      <c r="A1069" s="50" t="inlineStr">
        <is>
          <t>196070780499</t>
        </is>
      </c>
      <c r="B1069" s="51" t="inlineStr">
        <is>
          <t>110523</t>
        </is>
      </c>
      <c r="C1069" s="156" t="inlineStr">
        <is>
          <t>Multimarca</t>
        </is>
      </c>
      <c r="D1069" s="156" t="inlineStr">
        <is>
          <t>11-002-0526-2067</t>
        </is>
      </c>
      <c r="E1069" s="156" t="inlineStr">
        <is>
          <t>11-002-0526-2067-L</t>
        </is>
      </c>
      <c r="F1069" s="156" t="inlineStr">
        <is>
          <t>L</t>
        </is>
      </c>
      <c r="G1069" s="156" t="inlineStr">
        <is>
          <t>L</t>
        </is>
      </c>
      <c r="H1069" s="156" t="inlineStr">
        <is>
          <t>Stetson</t>
        </is>
      </c>
      <c r="I1069" s="156" t="inlineStr">
        <is>
          <t>Camisa Stetson Manga Corta Mosaico Geo</t>
        </is>
      </c>
      <c r="J1069" s="156" t="inlineStr">
        <is>
          <t>Ropa</t>
        </is>
      </c>
      <c r="K1069" s="156" t="inlineStr">
        <is>
          <t>Camisas</t>
        </is>
      </c>
      <c r="L1069" s="156" t="inlineStr">
        <is>
          <t>Hombre</t>
        </is>
      </c>
      <c r="M1069" s="156" t="inlineStr">
        <is>
          <t>Stetson</t>
        </is>
      </c>
      <c r="N1069" s="156" t="inlineStr">
        <is>
          <t>SS26</t>
        </is>
      </c>
      <c r="O1069" s="156" t="inlineStr">
        <is>
          <t>Seasonal</t>
        </is>
      </c>
      <c r="P1069" s="156" t="inlineStr">
        <is>
          <t>Azul</t>
        </is>
      </c>
      <c r="Q1069" s="156" t="inlineStr">
        <is>
          <t>Regular</t>
        </is>
      </c>
      <c r="R1069" s="156" t="n"/>
      <c r="S1069" s="156" t="inlineStr">
        <is>
          <t>100% Algodón</t>
        </is>
      </c>
      <c r="T1069" s="156" t="inlineStr">
        <is>
          <t>Camisa Stetson para Caballero – Manga Corta con Estampado Geométrico Mosaic (2400)
 Con una silueta clásica y un estampado geométrico integral, esta camisa de la colección Stetson Men's destaca por su confección en popelina de algodón suave y ligera. El diseño incluye un canesú trasero recto con pliegue central, que proporciona libertad de movimiento sin sacrificar estructura.
 El corte regular asegura un ajuste clásico, mientras que los detalles emblemáticos de la marca —la “S” bordada al frente y el nombre “Stetson” en la tapeta de la manga derecha— refuerzan su autenticidad.
 El interior presenta vivos en contraste, y el cierre frontal cuenta con botones apilados con el logotipo de Stetson. Los puños con borde sesgado y ajuste de dos botones ofrecen una terminación pulida y cómoda.
 Modelo:
 • Camisa Stetson Men's Mosaic Geo
 Material:
 • Popelina de algodón estampada, ligera, suave al tacto y de alta durabilidad
 Diseño:
 • Estampado geométrico integral tipo mosaico en toda la prenda
 Corte y Ajuste:
 • Corte regular
 • Canesú trasero recto con pliegue central, ideal para mayor movilidad y caída natural
 Detalles Decorativos:
 • Bordado frontal con la “S” distintiva de Stetson
 • Nombre “Stetson” bordado en la tapeta de la manga derecha
 • Acabados interiores en contraste
 Cierre y Acabados:
 • Cierre frontal con botones apilados con logotipo
 • Puños con borde sesgado (mitered edge) y doble botón de ajuste
 Bolsillo:
 • Un solo bolsillo frontal abierto, que equilibra el diseño con funcionalidad
 Estilo:
 • Western contemporáneo con esencia clásica y detalles refinados
 Aplicaciones:
 • Perfecta para un look casual elegante o de inspiración vaquera moderna, ideal para uso diario o fines de semana</t>
        </is>
      </c>
      <c r="U1069" s="156" t="n"/>
      <c r="V1069" s="156" t="inlineStr">
        <is>
          <t>PZS</t>
        </is>
      </c>
      <c r="W1069" s="51" t="inlineStr">
        <is>
          <t>53101602</t>
        </is>
      </c>
      <c r="X1069" s="156" t="inlineStr">
        <is>
          <t>https://cdn.shopify.com/s/files/1/0888/3250/8267/files/1100205262067a.jpg?v=1751042775</t>
        </is>
      </c>
      <c r="Y1069" s="54" t="n">
        <v>678.8793103</v>
      </c>
      <c r="Z1069" s="54" t="n">
        <v>1508.62069</v>
      </c>
      <c r="AA1069" s="55">
        <f>IF(AND(A1069="", B1069="", E1069=""), "", IF(AB1069="", "Válido", IF((LEN(AB1069)-LEN(SUBSTITUTE(AB1069,"; ","")))/2+1&gt;(LEN(AB1069)-LEN(SUBSTITUTE(AB1069,"[Aviso]","")))/7, "Con Incidencias", "Válido")))</f>
        <v/>
      </c>
      <c r="AB1069" s="56">
        <f>IF(AND(A1069="", B1069="", E1069=""), "", TEXTJOIN("; ", TRUE, IF(OR(TRIM(A1069&amp;"")="", ISNUMBER(SEARCH("FALTA", A1069))), "UPC faltante/inválido", ""), IF(AND(A1069&lt;&gt;"", IFERROR(_xlfn.XMATCH(A1069,$A$2:$A$2509,0,1)&lt;&gt;_xlfn.XMATCH(A1069,$A$2:$A$2509,0,-1),FALSE)), "Código de barras duplicado", ""), IF(AND(E1069&lt;&gt;"", COUNTIF($E$2:$E$2509, E1069)&gt;1), "SKU duplicado", ""), IF(OR(J1069="", J1069=""), "[Aviso] División no capturada ()", IF(ISNA(MATCH(J1069, Criterios!$A$123:$A$126, 0)), "División no válida", "")), IF(OR(K1069="", K1069=""), "[Aviso] Categoría no capturada ()", IF(ISNA(MATCH(K1069, Criterios!$A$81:$A$120, 0)), "Categoría no válida", IF(AND(J1069&lt;&gt;"", J1069&lt;&gt;"", J1069&lt;&gt;VLOOKUP(K1069, Criterios!$A$81:$B$120, 2, FALSE)), "División no coincide con Categoría", ""))), IF(OR(L1069="", L1069=""), "[Aviso] Género no capturado ()", IF(ISNA(MATCH(L1069, Criterios!$B$123:$B$127, 0)), "Género no válido", "")), IF(OR(N1069="", N1069=""), "[Aviso] Temporada no capturada ()", IF(ISNA(MATCH(N1069, Criterios!$C$123:$C$128, 0)), "Temporada no válida", "")), IF(OR(O1069="", O1069=""), "[Aviso] Ciclo de vida no capturado ()", IF(ISNA(MATCH(O1069, Criterios!$D$123:$D$124, 0)), "Ciclo de vida no válido", ""))))</f>
        <v/>
      </c>
      <c r="AC1069" s="56" t="n"/>
      <c r="AD1069" s="51" t="n">
        <v>0</v>
      </c>
      <c r="AE1069" s="156" t="n"/>
      <c r="AF1069" s="51" t="n">
        <v>0</v>
      </c>
      <c r="AG1069" s="156" t="inlineStr">
        <is>
          <t>Catálogo existente</t>
        </is>
      </c>
      <c r="AH1069" s="156" t="inlineStr">
        <is>
          <t>Revisión 29/09/2026: Campos sin respaldo: U, X; Auditoría NetSuite 30/09/2026: llenado desde NetSuite [S] | 01/10/2026: complementado desde Shopify Stetson México (match por código de barras): WB Silueta, Enlace de imagen</t>
        </is>
      </c>
      <c r="AI1069" s="156" t="inlineStr">
        <is>
          <t>No</t>
        </is>
      </c>
      <c r="AJ1069" s="156" t="n"/>
      <c r="AK1069" s="155" t="inlineStr">
        <is>
          <t>Criterios: J [R]; G1522_Extraccion_Articulos_NetSuite_2026-09-30.xlsx: fila 58338 [S] | Shopify Stetson: producto 14727074513259 / variante 53350615449963</t>
        </is>
      </c>
      <c r="AL1069" s="58" t="n">
        <v>678.8793103</v>
      </c>
      <c r="AM1069" s="58" t="n">
        <v>1508.62069</v>
      </c>
      <c r="AN1069" s="155" t="inlineStr">
        <is>
          <t>Shopify Stetson México</t>
        </is>
      </c>
      <c r="AO1069" s="59" t="n">
        <v>0</v>
      </c>
      <c r="AP1069" s="59" t="n"/>
      <c r="AQ1069" s="59" t="n"/>
      <c r="AR1069" s="155" t="n"/>
    </row>
    <row r="1070">
      <c r="A1070" s="50" t="inlineStr">
        <is>
          <t>196070780505</t>
        </is>
      </c>
      <c r="B1070" s="51" t="inlineStr">
        <is>
          <t>110524</t>
        </is>
      </c>
      <c r="C1070" s="156" t="inlineStr">
        <is>
          <t>Multimarca</t>
        </is>
      </c>
      <c r="D1070" s="156" t="inlineStr">
        <is>
          <t>11-002-0526-2067</t>
        </is>
      </c>
      <c r="E1070" s="156" t="inlineStr">
        <is>
          <t>11-002-0526-2067-M</t>
        </is>
      </c>
      <c r="F1070" s="156" t="inlineStr">
        <is>
          <t>M</t>
        </is>
      </c>
      <c r="G1070" s="156" t="inlineStr">
        <is>
          <t>M</t>
        </is>
      </c>
      <c r="H1070" s="156" t="inlineStr">
        <is>
          <t>Stetson</t>
        </is>
      </c>
      <c r="I1070" s="156" t="inlineStr">
        <is>
          <t>Camisa Stetson Manga Corta Mosaico Geo</t>
        </is>
      </c>
      <c r="J1070" s="156" t="inlineStr">
        <is>
          <t>Ropa</t>
        </is>
      </c>
      <c r="K1070" s="156" t="inlineStr">
        <is>
          <t>Camisas</t>
        </is>
      </c>
      <c r="L1070" s="156" t="inlineStr">
        <is>
          <t>Hombre</t>
        </is>
      </c>
      <c r="M1070" s="156" t="inlineStr">
        <is>
          <t>Stetson</t>
        </is>
      </c>
      <c r="N1070" s="156" t="inlineStr">
        <is>
          <t>SS26</t>
        </is>
      </c>
      <c r="O1070" s="156" t="inlineStr">
        <is>
          <t>Seasonal</t>
        </is>
      </c>
      <c r="P1070" s="156" t="inlineStr">
        <is>
          <t>Azul</t>
        </is>
      </c>
      <c r="Q1070" s="156" t="inlineStr">
        <is>
          <t>Recto</t>
        </is>
      </c>
      <c r="R1070" s="156" t="n"/>
      <c r="S1070" s="156" t="inlineStr">
        <is>
          <t>100% Algodón</t>
        </is>
      </c>
      <c r="T1070" s="156" t="inlineStr">
        <is>
          <t>Camisa de manga corta, popelina estampada geométrica mosaico, canesú trasero recto con pliegue, bordado "S" Stetson, botones frontales con logo stacked.</t>
        </is>
      </c>
      <c r="U1070" s="156" t="n"/>
      <c r="V1070" s="156" t="inlineStr">
        <is>
          <t>PZS</t>
        </is>
      </c>
      <c r="W1070" s="51" t="inlineStr">
        <is>
          <t>53101602</t>
        </is>
      </c>
      <c r="X1070" s="156" t="inlineStr">
        <is>
          <t>https://cdn.shopify.com/s/files/1/0888/3250/8267/files/1100205262067b.jpg?v=1751042782</t>
        </is>
      </c>
      <c r="Y1070" s="54" t="n">
        <v>678.8793103</v>
      </c>
      <c r="Z1070" s="54" t="n">
        <v>1508.62069</v>
      </c>
      <c r="AA1070" s="55">
        <f>IF(AND(A1070="", B1070="", E1070=""), "", IF(AB1070="", "Válido", IF((LEN(AB1070)-LEN(SUBSTITUTE(AB1070,"; ","")))/2+1&gt;(LEN(AB1070)-LEN(SUBSTITUTE(AB1070,"[Aviso]","")))/7, "Con Incidencias", "Válido")))</f>
        <v/>
      </c>
      <c r="AB1070" s="56">
        <f>IF(AND(A1070="", B1070="", E1070=""), "", TEXTJOIN("; ", TRUE, IF(OR(TRIM(A1070&amp;"")="", ISNUMBER(SEARCH("FALTA", A1070))), "UPC faltante/inválido", ""), IF(AND(A1070&lt;&gt;"", IFERROR(_xlfn.XMATCH(A1070,$A$2:$A$2509,0,1)&lt;&gt;_xlfn.XMATCH(A1070,$A$2:$A$2509,0,-1),FALSE)), "Código de barras duplicado", ""), IF(AND(E1070&lt;&gt;"", COUNTIF($E$2:$E$2509, E1070)&gt;1), "SKU duplicado", ""), IF(OR(J1070="", J1070=""), "[Aviso] División no capturada ()", IF(ISNA(MATCH(J1070, Criterios!$A$123:$A$126, 0)), "División no válida", "")), IF(OR(K1070="", K1070=""), "[Aviso] Categoría no capturada ()", IF(ISNA(MATCH(K1070, Criterios!$A$81:$A$120, 0)), "Categoría no válida", IF(AND(J1070&lt;&gt;"", J1070&lt;&gt;"", J1070&lt;&gt;VLOOKUP(K1070, Criterios!$A$81:$B$120, 2, FALSE)), "División no coincide con Categoría", ""))), IF(OR(L1070="", L1070=""), "[Aviso] Género no capturado ()", IF(ISNA(MATCH(L1070, Criterios!$B$123:$B$127, 0)), "Género no válido", "")), IF(OR(N1070="", N1070=""), "[Aviso] Temporada no capturada ()", IF(ISNA(MATCH(N1070, Criterios!$C$123:$C$128, 0)), "Temporada no válida", "")), IF(OR(O1070="", O1070=""), "[Aviso] Ciclo de vida no capturado ()", IF(ISNA(MATCH(O1070, Criterios!$D$123:$D$124, 0)), "Ciclo de vida no válido", ""))))</f>
        <v/>
      </c>
      <c r="AC1070" s="56" t="n"/>
      <c r="AD1070" s="51" t="n">
        <v>0</v>
      </c>
      <c r="AE1070" s="156" t="inlineStr">
        <is>
          <t>B25 STETSON.MX (1)</t>
        </is>
      </c>
      <c r="AF1070" s="51" t="n">
        <v>1</v>
      </c>
      <c r="AG1070" s="156" t="inlineStr">
        <is>
          <t>Catálogo existente</t>
        </is>
      </c>
      <c r="AH1070" s="156" t="inlineStr">
        <is>
          <t>Revisión 29/09/2026: Campos sin respaldo: U; Auditoría NetSuite 30/09/2026: llenado desde NetSuite [S] | 01/10/2026: complementado desde Shopify Stetson México (match por código de barras): WB Silueta</t>
        </is>
      </c>
      <c r="AI1070" s="156" t="inlineStr">
        <is>
          <t>Sí</t>
        </is>
      </c>
      <c r="AJ1070" s="156" t="inlineStr">
        <is>
          <t>STETSON AMERICAS (-1)</t>
        </is>
      </c>
      <c r="AK1070" s="155" t="inlineStr">
        <is>
          <t>Criterios: J [R]; G1522_Extraccion_Articulos_NetSuite_2026-09-30.xlsx: fila 58339 [S] | Shopify Stetson: producto 14727074513259 / variante 53350615417195</t>
        </is>
      </c>
      <c r="AL1070" s="58" t="n">
        <v>678.8793103</v>
      </c>
      <c r="AM1070" s="58" t="n">
        <v>1508.62069</v>
      </c>
      <c r="AN1070" s="155" t="inlineStr">
        <is>
          <t>Shopify Stetson México</t>
        </is>
      </c>
      <c r="AO1070" s="59" t="n">
        <v>1</v>
      </c>
      <c r="AP1070" s="59" t="n"/>
      <c r="AQ1070" s="59" t="n"/>
      <c r="AR1070" s="155" t="inlineStr">
        <is>
          <t>Shopify Stetson México › Stetson México: 1</t>
        </is>
      </c>
    </row>
    <row r="1071">
      <c r="A1071" s="50" t="inlineStr">
        <is>
          <t>196070780512</t>
        </is>
      </c>
      <c r="B1071" s="51" t="inlineStr">
        <is>
          <t>110525</t>
        </is>
      </c>
      <c r="C1071" s="156" t="inlineStr">
        <is>
          <t>Multimarca</t>
        </is>
      </c>
      <c r="D1071" s="156" t="inlineStr">
        <is>
          <t>11-002-0526-2067</t>
        </is>
      </c>
      <c r="E1071" s="156" t="inlineStr">
        <is>
          <t>11-002-0526-2067-S</t>
        </is>
      </c>
      <c r="F1071" s="156" t="inlineStr">
        <is>
          <t>S</t>
        </is>
      </c>
      <c r="G1071" s="156" t="inlineStr">
        <is>
          <t>S</t>
        </is>
      </c>
      <c r="H1071" s="156" t="inlineStr">
        <is>
          <t>Stetson</t>
        </is>
      </c>
      <c r="I1071" s="156" t="inlineStr">
        <is>
          <t>Camisa Stetson Manga Corta Mosaico Geo</t>
        </is>
      </c>
      <c r="J1071" s="156" t="inlineStr">
        <is>
          <t>Ropa</t>
        </is>
      </c>
      <c r="K1071" s="156" t="inlineStr">
        <is>
          <t>Camisas</t>
        </is>
      </c>
      <c r="L1071" s="156" t="inlineStr">
        <is>
          <t>Hombre</t>
        </is>
      </c>
      <c r="M1071" s="156" t="inlineStr">
        <is>
          <t>Stetson</t>
        </is>
      </c>
      <c r="N1071" s="156" t="inlineStr">
        <is>
          <t>SS26</t>
        </is>
      </c>
      <c r="O1071" s="156" t="inlineStr">
        <is>
          <t>Seasonal</t>
        </is>
      </c>
      <c r="P1071" s="156" t="inlineStr">
        <is>
          <t>Azul</t>
        </is>
      </c>
      <c r="Q1071" s="156" t="inlineStr">
        <is>
          <t>Recto</t>
        </is>
      </c>
      <c r="R1071" s="156" t="n"/>
      <c r="S1071" s="156" t="inlineStr">
        <is>
          <t>100% Algodón</t>
        </is>
      </c>
      <c r="T1071" s="156" t="inlineStr">
        <is>
          <t>Camisa de manga corta, popelina estampada geométrica mosaico, canesú trasero recto con pliegue, bordado "S" Stetson, botones frontales con logo stacked.</t>
        </is>
      </c>
      <c r="U1071" s="156" t="n"/>
      <c r="V1071" s="156" t="inlineStr">
        <is>
          <t>PZS</t>
        </is>
      </c>
      <c r="W1071" s="51" t="inlineStr">
        <is>
          <t>53101602</t>
        </is>
      </c>
      <c r="X1071" s="156" t="inlineStr">
        <is>
          <t>https://cdn.shopify.com/s/files/1/0888/3250/8267/files/1100205262067a.jpg?v=1751042775</t>
        </is>
      </c>
      <c r="Y1071" s="54" t="n">
        <v>678.8793103</v>
      </c>
      <c r="Z1071" s="54" t="n">
        <v>1508.62069</v>
      </c>
      <c r="AA1071" s="55">
        <f>IF(AND(A1071="", B1071="", E1071=""), "", IF(AB1071="", "Válido", IF((LEN(AB1071)-LEN(SUBSTITUTE(AB1071,"; ","")))/2+1&gt;(LEN(AB1071)-LEN(SUBSTITUTE(AB1071,"[Aviso]","")))/7, "Con Incidencias", "Válido")))</f>
        <v/>
      </c>
      <c r="AB1071" s="56">
        <f>IF(AND(A1071="", B1071="", E1071=""), "", TEXTJOIN("; ", TRUE, IF(OR(TRIM(A1071&amp;"")="", ISNUMBER(SEARCH("FALTA", A1071))), "UPC faltante/inválido", ""), IF(AND(A1071&lt;&gt;"", IFERROR(_xlfn.XMATCH(A1071,$A$2:$A$2509,0,1)&lt;&gt;_xlfn.XMATCH(A1071,$A$2:$A$2509,0,-1),FALSE)), "Código de barras duplicado", ""), IF(AND(E1071&lt;&gt;"", COUNTIF($E$2:$E$2509, E1071)&gt;1), "SKU duplicado", ""), IF(OR(J1071="", J1071=""), "[Aviso] División no capturada ()", IF(ISNA(MATCH(J1071, Criterios!$A$123:$A$126, 0)), "División no válida", "")), IF(OR(K1071="", K1071=""), "[Aviso] Categoría no capturada ()", IF(ISNA(MATCH(K1071, Criterios!$A$81:$A$120, 0)), "Categoría no válida", IF(AND(J1071&lt;&gt;"", J1071&lt;&gt;"", J1071&lt;&gt;VLOOKUP(K1071, Criterios!$A$81:$B$120, 2, FALSE)), "División no coincide con Categoría", ""))), IF(OR(L1071="", L1071=""), "[Aviso] Género no capturado ()", IF(ISNA(MATCH(L1071, Criterios!$B$123:$B$127, 0)), "Género no válido", "")), IF(OR(N1071="", N1071=""), "[Aviso] Temporada no capturada ()", IF(ISNA(MATCH(N1071, Criterios!$C$123:$C$128, 0)), "Temporada no válida", "")), IF(OR(O1071="", O1071=""), "[Aviso] Ciclo de vida no capturado ()", IF(ISNA(MATCH(O1071, Criterios!$D$123:$D$124, 0)), "Ciclo de vida no válido", ""))))</f>
        <v/>
      </c>
      <c r="AC1071" s="56" t="n"/>
      <c r="AD1071" s="51" t="n">
        <v>1</v>
      </c>
      <c r="AE1071" s="156" t="inlineStr">
        <is>
          <t>B25 STETSON.MX (2)</t>
        </is>
      </c>
      <c r="AF1071" s="51" t="n">
        <v>2</v>
      </c>
      <c r="AG1071" s="156" t="inlineStr">
        <is>
          <t>Catálogo existente</t>
        </is>
      </c>
      <c r="AH1071" s="156" t="inlineStr">
        <is>
          <t>Revisión 29/09/2026: Campos sin respaldo: U; Auditoría NetSuite 30/09/2026: llenado desde NetSuite [S] | 01/10/2026: complementado desde Shopify Stetson México (match por código de barras): WB Silueta</t>
        </is>
      </c>
      <c r="AI1071" s="156" t="inlineStr">
        <is>
          <t>Sí</t>
        </is>
      </c>
      <c r="AJ1071" s="156" t="inlineStr">
        <is>
          <t>STETSON AMERICAS (-1)</t>
        </is>
      </c>
      <c r="AK1071" s="155" t="inlineStr">
        <is>
          <t>Criterios: J [R]; G1522_Extraccion_Articulos_NetSuite_2026-09-30.xlsx: fila 58340 [S] | Shopify Stetson: producto 14727074513259 / variante 53350615384427</t>
        </is>
      </c>
      <c r="AL1071" s="58" t="n">
        <v>678.8793103</v>
      </c>
      <c r="AM1071" s="58" t="n">
        <v>1508.62069</v>
      </c>
      <c r="AN1071" s="155" t="inlineStr">
        <is>
          <t>Shopify Stetson México</t>
        </is>
      </c>
      <c r="AO1071" s="59" t="n">
        <v>3</v>
      </c>
      <c r="AP1071" s="59" t="n"/>
      <c r="AQ1071" s="59" t="n"/>
      <c r="AR1071" s="155" t="inlineStr">
        <is>
          <t>Shopify Stetson México › Stetson México: 2 | Shopify Stetson México › Stetson Americas: 1</t>
        </is>
      </c>
    </row>
    <row r="1072">
      <c r="A1072" s="50" t="inlineStr">
        <is>
          <t>196070780529</t>
        </is>
      </c>
      <c r="B1072" s="51" t="inlineStr">
        <is>
          <t>109628</t>
        </is>
      </c>
      <c r="C1072" s="156" t="inlineStr">
        <is>
          <t>Multimarca</t>
        </is>
      </c>
      <c r="D1072" s="156" t="inlineStr">
        <is>
          <t>11-002-0526-2067</t>
        </is>
      </c>
      <c r="E1072" s="156" t="inlineStr">
        <is>
          <t>11-002-0526-2067-XL</t>
        </is>
      </c>
      <c r="F1072" s="156" t="inlineStr">
        <is>
          <t>XL</t>
        </is>
      </c>
      <c r="G1072" s="156" t="inlineStr">
        <is>
          <t>XL</t>
        </is>
      </c>
      <c r="H1072" s="156" t="inlineStr">
        <is>
          <t>Stetson</t>
        </is>
      </c>
      <c r="I1072" s="156" t="inlineStr">
        <is>
          <t>Camisa Stetson Manga Corta Mosaico Geo</t>
        </is>
      </c>
      <c r="J1072" s="156" t="inlineStr">
        <is>
          <t>Ropa</t>
        </is>
      </c>
      <c r="K1072" s="156" t="inlineStr">
        <is>
          <t>Camisas</t>
        </is>
      </c>
      <c r="L1072" s="156" t="inlineStr">
        <is>
          <t>Hombre</t>
        </is>
      </c>
      <c r="M1072" s="156" t="inlineStr">
        <is>
          <t>Stetson</t>
        </is>
      </c>
      <c r="N1072" s="156" t="inlineStr">
        <is>
          <t>SS26</t>
        </is>
      </c>
      <c r="O1072" s="156" t="inlineStr">
        <is>
          <t>Seasonal</t>
        </is>
      </c>
      <c r="P1072" s="156" t="inlineStr">
        <is>
          <t>Azul</t>
        </is>
      </c>
      <c r="Q1072" s="156" t="inlineStr">
        <is>
          <t>Recto</t>
        </is>
      </c>
      <c r="R1072" s="156" t="n"/>
      <c r="S1072" s="156" t="inlineStr">
        <is>
          <t>100% Algodón</t>
        </is>
      </c>
      <c r="T1072" s="156" t="inlineStr">
        <is>
          <t>Camisa de manga corta, popelina estampada geométrica mosaico, canesú trasero recto con pliegue, bordado "S" Stetson, botones frontales con logo stacked.</t>
        </is>
      </c>
      <c r="U1072" s="156" t="n"/>
      <c r="V1072" s="156" t="inlineStr">
        <is>
          <t>PZS</t>
        </is>
      </c>
      <c r="W1072" s="51" t="inlineStr">
        <is>
          <t>53101600</t>
        </is>
      </c>
      <c r="X1072" s="156" t="inlineStr">
        <is>
          <t>https://cdn.shopify.com/s/files/1/0888/3250/8267/files/1100205262067a.jpg?v=1751042775</t>
        </is>
      </c>
      <c r="Y1072" s="54" t="n">
        <v>678.8793103</v>
      </c>
      <c r="Z1072" s="54" t="n">
        <v>1508.62069</v>
      </c>
      <c r="AA1072" s="55">
        <f>IF(AND(A1072="", B1072="", E1072=""), "", IF(AB1072="", "Válido", IF((LEN(AB1072)-LEN(SUBSTITUTE(AB1072,"; ","")))/2+1&gt;(LEN(AB1072)-LEN(SUBSTITUTE(AB1072,"[Aviso]","")))/7, "Con Incidencias", "Válido")))</f>
        <v/>
      </c>
      <c r="AB1072" s="56">
        <f>IF(AND(A1072="", B1072="", E1072=""), "", TEXTJOIN("; ", TRUE, IF(OR(TRIM(A1072&amp;"")="", ISNUMBER(SEARCH("FALTA", A1072))), "UPC faltante/inválido", ""), IF(AND(A1072&lt;&gt;"", IFERROR(_xlfn.XMATCH(A1072,$A$2:$A$2509,0,1)&lt;&gt;_xlfn.XMATCH(A1072,$A$2:$A$2509,0,-1),FALSE)), "Código de barras duplicado", ""), IF(AND(E1072&lt;&gt;"", COUNTIF($E$2:$E$2509, E1072)&gt;1), "SKU duplicado", ""), IF(OR(J1072="", J1072=""), "[Aviso] División no capturada ()", IF(ISNA(MATCH(J1072, Criterios!$A$123:$A$126, 0)), "División no válida", "")), IF(OR(K1072="", K1072=""), "[Aviso] Categoría no capturada ()", IF(ISNA(MATCH(K1072, Criterios!$A$81:$A$120, 0)), "Categoría no válida", IF(AND(J1072&lt;&gt;"", J1072&lt;&gt;"", J1072&lt;&gt;VLOOKUP(K1072, Criterios!$A$81:$B$120, 2, FALSE)), "División no coincide con Categoría", ""))), IF(OR(L1072="", L1072=""), "[Aviso] Género no capturado ()", IF(ISNA(MATCH(L1072, Criterios!$B$123:$B$127, 0)), "Género no válido", "")), IF(OR(N1072="", N1072=""), "[Aviso] Temporada no capturada ()", IF(ISNA(MATCH(N1072, Criterios!$C$123:$C$128, 0)), "Temporada no válida", "")), IF(OR(O1072="", O1072=""), "[Aviso] Ciclo de vida no capturado ()", IF(ISNA(MATCH(O1072, Criterios!$D$123:$D$124, 0)), "Ciclo de vida no válido", ""))))</f>
        <v/>
      </c>
      <c r="AC1072" s="56" t="n"/>
      <c r="AD1072" s="51" t="n">
        <v>2</v>
      </c>
      <c r="AE1072" s="156" t="inlineStr">
        <is>
          <t>B25 STETSON.MX (2)</t>
        </is>
      </c>
      <c r="AF1072" s="51" t="n">
        <v>2</v>
      </c>
      <c r="AG1072" s="156" t="inlineStr">
        <is>
          <t>Catálogo existente</t>
        </is>
      </c>
      <c r="AH1072" s="156" t="inlineStr">
        <is>
          <t>Revisión 29/09/2026: Campos sin respaldo: U, X; Auditoría NetSuite 30/09/2026: llenado desde NetSuite [S] | 01/10/2026: complementado desde Shopify Stetson México (match por código de barras): WB Silueta, Enlace de imagen</t>
        </is>
      </c>
      <c r="AI1072" s="156" t="inlineStr">
        <is>
          <t>No</t>
        </is>
      </c>
      <c r="AJ1072" s="156" t="n"/>
      <c r="AK1072" s="155" t="inlineStr">
        <is>
          <t>Criterios: J [R]; G1522_Extraccion_Articulos_NetSuite_2026-09-30.xlsx: fila 57443 [S] | Shopify Stetson: producto 14727074513259 / variante 52147379110251</t>
        </is>
      </c>
      <c r="AL1072" s="58" t="n">
        <v>678.8793103</v>
      </c>
      <c r="AM1072" s="58" t="n">
        <v>1508.62069</v>
      </c>
      <c r="AN1072" s="155" t="inlineStr">
        <is>
          <t>Shopify Stetson México</t>
        </is>
      </c>
      <c r="AO1072" s="59" t="n">
        <v>3</v>
      </c>
      <c r="AP1072" s="59" t="n"/>
      <c r="AQ1072" s="59" t="n"/>
      <c r="AR1072" s="155" t="inlineStr">
        <is>
          <t>Shopify Stetson México › Stetson México: 2 | Shopify Stetson México › Stetson Americas: 1</t>
        </is>
      </c>
    </row>
    <row r="1073">
      <c r="A1073" s="50" t="inlineStr">
        <is>
          <t>196070780536</t>
        </is>
      </c>
      <c r="B1073" s="51" t="inlineStr">
        <is>
          <t>109629</t>
        </is>
      </c>
      <c r="C1073" s="156" t="inlineStr">
        <is>
          <t>Multimarca</t>
        </is>
      </c>
      <c r="D1073" s="156" t="inlineStr">
        <is>
          <t>11-002-0526-2067</t>
        </is>
      </c>
      <c r="E1073" s="156" t="inlineStr">
        <is>
          <t>11-002-0526-2067-XXL</t>
        </is>
      </c>
      <c r="F1073" s="156" t="inlineStr">
        <is>
          <t>XXL</t>
        </is>
      </c>
      <c r="G1073" s="156" t="inlineStr">
        <is>
          <t>XXL</t>
        </is>
      </c>
      <c r="H1073" s="156" t="inlineStr">
        <is>
          <t>Stetson</t>
        </is>
      </c>
      <c r="I1073" s="156" t="inlineStr">
        <is>
          <t>Camisa Stetson Manga Corta Mosaico Geo</t>
        </is>
      </c>
      <c r="J1073" s="156" t="inlineStr">
        <is>
          <t>Ropa</t>
        </is>
      </c>
      <c r="K1073" s="156" t="inlineStr">
        <is>
          <t>Camisas</t>
        </is>
      </c>
      <c r="L1073" s="156" t="inlineStr">
        <is>
          <t>Hombre</t>
        </is>
      </c>
      <c r="M1073" s="156" t="inlineStr">
        <is>
          <t>Stetson</t>
        </is>
      </c>
      <c r="N1073" s="156" t="inlineStr">
        <is>
          <t>SS26</t>
        </is>
      </c>
      <c r="O1073" s="156" t="inlineStr">
        <is>
          <t>Seasonal</t>
        </is>
      </c>
      <c r="P1073" s="156" t="inlineStr">
        <is>
          <t>Azul</t>
        </is>
      </c>
      <c r="Q1073" s="156" t="inlineStr">
        <is>
          <t>Recto</t>
        </is>
      </c>
      <c r="R1073" s="156" t="n"/>
      <c r="S1073" s="156" t="inlineStr">
        <is>
          <t>100% Algodón</t>
        </is>
      </c>
      <c r="T1073" s="156" t="inlineStr">
        <is>
          <t>Camisa de manga corta, popelina estampada geométrica mosaico, canesú trasero recto con pliegue, bordado "S" Stetson, botones frontales con logo stacked.</t>
        </is>
      </c>
      <c r="U1073" s="156" t="n"/>
      <c r="V1073" s="156" t="inlineStr">
        <is>
          <t>PZS</t>
        </is>
      </c>
      <c r="W1073" s="51" t="inlineStr">
        <is>
          <t>53101600</t>
        </is>
      </c>
      <c r="X1073" s="156" t="inlineStr">
        <is>
          <t>https://cdn.shopify.com/s/files/1/0888/3250/8267/files/1100205262067a.jpg?v=1751042775</t>
        </is>
      </c>
      <c r="Y1073" s="54" t="n">
        <v>678.8793103</v>
      </c>
      <c r="Z1073" s="54" t="n">
        <v>1508.62069</v>
      </c>
      <c r="AA1073" s="55">
        <f>IF(AND(A1073="", B1073="", E1073=""), "", IF(AB1073="", "Válido", IF((LEN(AB1073)-LEN(SUBSTITUTE(AB1073,"; ","")))/2+1&gt;(LEN(AB1073)-LEN(SUBSTITUTE(AB1073,"[Aviso]","")))/7, "Con Incidencias", "Válido")))</f>
        <v/>
      </c>
      <c r="AB1073" s="56">
        <f>IF(AND(A1073="", B1073="", E1073=""), "", TEXTJOIN("; ", TRUE, IF(OR(TRIM(A1073&amp;"")="", ISNUMBER(SEARCH("FALTA", A1073))), "UPC faltante/inválido", ""), IF(AND(A1073&lt;&gt;"", IFERROR(_xlfn.XMATCH(A1073,$A$2:$A$2509,0,1)&lt;&gt;_xlfn.XMATCH(A1073,$A$2:$A$2509,0,-1),FALSE)), "Código de barras duplicado", ""), IF(AND(E1073&lt;&gt;"", COUNTIF($E$2:$E$2509, E1073)&gt;1), "SKU duplicado", ""), IF(OR(J1073="", J1073=""), "[Aviso] División no capturada ()", IF(ISNA(MATCH(J1073, Criterios!$A$123:$A$126, 0)), "División no válida", "")), IF(OR(K1073="", K1073=""), "[Aviso] Categoría no capturada ()", IF(ISNA(MATCH(K1073, Criterios!$A$81:$A$120, 0)), "Categoría no válida", IF(AND(J1073&lt;&gt;"", J1073&lt;&gt;"", J1073&lt;&gt;VLOOKUP(K1073, Criterios!$A$81:$B$120, 2, FALSE)), "División no coincide con Categoría", ""))), IF(OR(L1073="", L1073=""), "[Aviso] Género no capturado ()", IF(ISNA(MATCH(L1073, Criterios!$B$123:$B$127, 0)), "Género no válido", "")), IF(OR(N1073="", N1073=""), "[Aviso] Temporada no capturada ()", IF(ISNA(MATCH(N1073, Criterios!$C$123:$C$128, 0)), "Temporada no válida", "")), IF(OR(O1073="", O1073=""), "[Aviso] Ciclo de vida no capturado ()", IF(ISNA(MATCH(O1073, Criterios!$D$123:$D$124, 0)), "Ciclo de vida no válido", ""))))</f>
        <v/>
      </c>
      <c r="AC1073" s="56" t="n"/>
      <c r="AD1073" s="51" t="n">
        <v>2</v>
      </c>
      <c r="AE1073" s="156" t="inlineStr">
        <is>
          <t>B25 STETSON.MX (2)</t>
        </is>
      </c>
      <c r="AF1073" s="51" t="n">
        <v>2</v>
      </c>
      <c r="AG1073" s="156" t="inlineStr">
        <is>
          <t>Catálogo existente</t>
        </is>
      </c>
      <c r="AH1073" s="156" t="inlineStr">
        <is>
          <t>Revisión 29/09/2026: Campos sin respaldo: U, X; Auditoría NetSuite 30/09/2026: llenado desde NetSuite [S] | 01/10/2026: complementado desde Shopify Stetson México (match por código de barras): WB Silueta, Enlace de imagen</t>
        </is>
      </c>
      <c r="AI1073" s="156" t="inlineStr">
        <is>
          <t>No</t>
        </is>
      </c>
      <c r="AJ1073" s="156" t="n"/>
      <c r="AK1073" s="155" t="inlineStr">
        <is>
          <t>Criterios: J [R]; G1522_Extraccion_Articulos_NetSuite_2026-09-30.xlsx: fila 57444 [S] | Shopify Stetson: producto 14727074513259 / variante 52147379143019</t>
        </is>
      </c>
      <c r="AL1073" s="58" t="n">
        <v>678.8793103</v>
      </c>
      <c r="AM1073" s="58" t="n">
        <v>1508.62069</v>
      </c>
      <c r="AN1073" s="155" t="inlineStr">
        <is>
          <t>Shopify Stetson México</t>
        </is>
      </c>
      <c r="AO1073" s="59" t="n">
        <v>2</v>
      </c>
      <c r="AP1073" s="59" t="n"/>
      <c r="AQ1073" s="59" t="n"/>
      <c r="AR1073" s="155" t="inlineStr">
        <is>
          <t>Shopify Stetson México › Stetson México: 2</t>
        </is>
      </c>
    </row>
    <row r="1074">
      <c r="A1074" s="50" t="inlineStr">
        <is>
          <t>196070780901</t>
        </is>
      </c>
      <c r="B1074" s="51" t="inlineStr">
        <is>
          <t>109638</t>
        </is>
      </c>
      <c r="C1074" s="156" t="inlineStr">
        <is>
          <t>Multimarca</t>
        </is>
      </c>
      <c r="D1074" s="156" t="inlineStr">
        <is>
          <t>11-050-0594-2051</t>
        </is>
      </c>
      <c r="E1074" s="156" t="inlineStr">
        <is>
          <t>11-050-0594-2051-L</t>
        </is>
      </c>
      <c r="F1074" s="156" t="inlineStr">
        <is>
          <t>L</t>
        </is>
      </c>
      <c r="G1074" s="156" t="inlineStr">
        <is>
          <t>L</t>
        </is>
      </c>
      <c r="H1074" s="156" t="inlineStr">
        <is>
          <t>Stetson</t>
        </is>
      </c>
      <c r="I1074" s="156" t="inlineStr">
        <is>
          <t>Camisa Stetson Blusa Manga Larga Mezclilla Crop Dama Azul</t>
        </is>
      </c>
      <c r="J1074" s="156" t="inlineStr">
        <is>
          <t>Ropa</t>
        </is>
      </c>
      <c r="K1074" s="156" t="inlineStr">
        <is>
          <t>Camisas</t>
        </is>
      </c>
      <c r="L1074" s="156" t="inlineStr">
        <is>
          <t>Mujer</t>
        </is>
      </c>
      <c r="M1074" s="156" t="inlineStr">
        <is>
          <t>Stetson</t>
        </is>
      </c>
      <c r="N1074" s="156" t="inlineStr">
        <is>
          <t>SS26</t>
        </is>
      </c>
      <c r="O1074" s="156" t="inlineStr">
        <is>
          <t>Seasonal</t>
        </is>
      </c>
      <c r="P1074" s="156" t="inlineStr">
        <is>
          <t>Azul</t>
        </is>
      </c>
      <c r="Q1074" s="156" t="inlineStr">
        <is>
          <t>Moderno</t>
        </is>
      </c>
      <c r="R1074" s="156" t="n"/>
      <c r="S1074" s="156" t="inlineStr">
        <is>
          <t>100% Algodón</t>
        </is>
      </c>
      <c r="T1074"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4" s="156" t="n"/>
      <c r="V1074" s="156" t="inlineStr">
        <is>
          <t>PZS</t>
        </is>
      </c>
      <c r="W1074" s="51" t="inlineStr">
        <is>
          <t>53101600</t>
        </is>
      </c>
      <c r="X1074" s="156" t="inlineStr">
        <is>
          <t>https://cdn.shopify.com/s/files/1/0888/3250/8267/files/1105005942051b.jpg?v=1751047320</t>
        </is>
      </c>
      <c r="Y1074" s="54" t="n">
        <v>872.8448276</v>
      </c>
      <c r="Z1074" s="54" t="n">
        <v>1939.655172</v>
      </c>
      <c r="AA1074" s="55">
        <f>IF(AND(A1074="", B1074="", E1074=""), "", IF(AB1074="", "Válido", IF((LEN(AB1074)-LEN(SUBSTITUTE(AB1074,"; ","")))/2+1&gt;(LEN(AB1074)-LEN(SUBSTITUTE(AB1074,"[Aviso]","")))/7, "Con Incidencias", "Válido")))</f>
        <v/>
      </c>
      <c r="AB1074" s="56">
        <f>IF(AND(A1074="", B1074="", E1074=""), "", TEXTJOIN("; ", TRUE, IF(OR(TRIM(A1074&amp;"")="", ISNUMBER(SEARCH("FALTA", A1074))), "UPC faltante/inválido", ""), IF(AND(A1074&lt;&gt;"", IFERROR(_xlfn.XMATCH(A1074,$A$2:$A$2509,0,1)&lt;&gt;_xlfn.XMATCH(A1074,$A$2:$A$2509,0,-1),FALSE)), "Código de barras duplicado", ""), IF(AND(E1074&lt;&gt;"", COUNTIF($E$2:$E$2509, E1074)&gt;1), "SKU duplicado", ""), IF(OR(J1074="", J1074=""), "[Aviso] División no capturada ()", IF(ISNA(MATCH(J1074, Criterios!$A$123:$A$126, 0)), "División no válida", "")), IF(OR(K1074="", K1074=""), "[Aviso] Categoría no capturada ()", IF(ISNA(MATCH(K1074, Criterios!$A$81:$A$120, 0)), "Categoría no válida", IF(AND(J1074&lt;&gt;"", J1074&lt;&gt;"", J1074&lt;&gt;VLOOKUP(K1074, Criterios!$A$81:$B$120, 2, FALSE)), "División no coincide con Categoría", ""))), IF(OR(L1074="", L1074=""), "[Aviso] Género no capturado ()", IF(ISNA(MATCH(L1074, Criterios!$B$123:$B$127, 0)), "Género no válido", "")), IF(OR(N1074="", N1074=""), "[Aviso] Temporada no capturada ()", IF(ISNA(MATCH(N1074, Criterios!$C$123:$C$128, 0)), "Temporada no válida", "")), IF(OR(O1074="", O1074=""), "[Aviso] Ciclo de vida no capturado ()", IF(ISNA(MATCH(O1074, Criterios!$D$123:$D$124, 0)), "Ciclo de vida no válido", ""))))</f>
        <v/>
      </c>
      <c r="AC1074" s="56" t="n"/>
      <c r="AD1074" s="51" t="n">
        <v>2</v>
      </c>
      <c r="AE1074" s="156" t="inlineStr">
        <is>
          <t>B25 STETSON.MX (2)</t>
        </is>
      </c>
      <c r="AF1074" s="51" t="n">
        <v>2</v>
      </c>
      <c r="AG1074" s="156" t="inlineStr">
        <is>
          <t>Catálogo existente</t>
        </is>
      </c>
      <c r="AH1074"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4" s="156" t="inlineStr">
        <is>
          <t>No</t>
        </is>
      </c>
      <c r="AJ1074" s="156" t="n"/>
      <c r="AK1074" s="155" t="inlineStr">
        <is>
          <t>Criterios: J [R]; G1522_Extraccion_Articulos_NetSuite_2026-09-30.xlsx: fila 57453 [S] | Shopify Stetson: producto 14727082901867 / variante 53350614827371</t>
        </is>
      </c>
      <c r="AL1074" s="58" t="n">
        <v>872.8448276</v>
      </c>
      <c r="AM1074" s="58" t="n">
        <v>1939.655172</v>
      </c>
      <c r="AN1074" s="155" t="inlineStr">
        <is>
          <t>Shopify Stetson México</t>
        </is>
      </c>
      <c r="AO1074" s="59" t="n">
        <v>2</v>
      </c>
      <c r="AP1074" s="59" t="n"/>
      <c r="AQ1074" s="59" t="n"/>
      <c r="AR1074" s="155" t="inlineStr">
        <is>
          <t>Shopify Stetson México › Stetson México: 2</t>
        </is>
      </c>
    </row>
    <row r="1075">
      <c r="A1075" s="50" t="inlineStr">
        <is>
          <t>196070780918</t>
        </is>
      </c>
      <c r="B1075" s="51" t="inlineStr">
        <is>
          <t>109639</t>
        </is>
      </c>
      <c r="C1075" s="156" t="inlineStr">
        <is>
          <t>Multimarca</t>
        </is>
      </c>
      <c r="D1075" s="156" t="inlineStr">
        <is>
          <t>11-050-0594-2051</t>
        </is>
      </c>
      <c r="E1075" s="156" t="inlineStr">
        <is>
          <t>11-050-0594-2051-M</t>
        </is>
      </c>
      <c r="F1075" s="156" t="inlineStr">
        <is>
          <t>M</t>
        </is>
      </c>
      <c r="G1075" s="156" t="inlineStr">
        <is>
          <t>M</t>
        </is>
      </c>
      <c r="H1075" s="156" t="inlineStr">
        <is>
          <t>Stetson</t>
        </is>
      </c>
      <c r="I1075" s="156" t="inlineStr">
        <is>
          <t>Camisa Stetson Blusa Manga Larga Mezclilla Crop Dama Azul</t>
        </is>
      </c>
      <c r="J1075" s="156" t="inlineStr">
        <is>
          <t>Ropa</t>
        </is>
      </c>
      <c r="K1075" s="156" t="inlineStr">
        <is>
          <t>Camisas</t>
        </is>
      </c>
      <c r="L1075" s="156" t="inlineStr">
        <is>
          <t>Mujer</t>
        </is>
      </c>
      <c r="M1075" s="156" t="inlineStr">
        <is>
          <t>Stetson</t>
        </is>
      </c>
      <c r="N1075" s="156" t="inlineStr">
        <is>
          <t>SS26</t>
        </is>
      </c>
      <c r="O1075" s="156" t="inlineStr">
        <is>
          <t>Seasonal</t>
        </is>
      </c>
      <c r="P1075" s="156" t="inlineStr">
        <is>
          <t>Azul</t>
        </is>
      </c>
      <c r="Q1075" s="156" t="inlineStr">
        <is>
          <t>Moderno</t>
        </is>
      </c>
      <c r="R1075" s="156" t="n"/>
      <c r="S1075" s="156" t="inlineStr">
        <is>
          <t>100% Algodón</t>
        </is>
      </c>
      <c r="T1075"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5" s="156" t="n"/>
      <c r="V1075" s="156" t="inlineStr">
        <is>
          <t>PZS</t>
        </is>
      </c>
      <c r="W1075" s="51" t="inlineStr">
        <is>
          <t>53101600</t>
        </is>
      </c>
      <c r="X1075" s="156" t="inlineStr">
        <is>
          <t>https://cdn.shopify.com/s/files/1/0888/3250/8267/files/1105005942051c.jpg?v=1751047339</t>
        </is>
      </c>
      <c r="Y1075" s="54" t="n">
        <v>872.8448276</v>
      </c>
      <c r="Z1075" s="54" t="n">
        <v>1939.655172</v>
      </c>
      <c r="AA1075" s="55">
        <f>IF(AND(A1075="", B1075="", E1075=""), "", IF(AB1075="", "Válido", IF((LEN(AB1075)-LEN(SUBSTITUTE(AB1075,"; ","")))/2+1&gt;(LEN(AB1075)-LEN(SUBSTITUTE(AB1075,"[Aviso]","")))/7, "Con Incidencias", "Válido")))</f>
        <v/>
      </c>
      <c r="AB1075" s="56">
        <f>IF(AND(A1075="", B1075="", E1075=""), "", TEXTJOIN("; ", TRUE, IF(OR(TRIM(A1075&amp;"")="", ISNUMBER(SEARCH("FALTA", A1075))), "UPC faltante/inválido", ""), IF(AND(A1075&lt;&gt;"", IFERROR(_xlfn.XMATCH(A1075,$A$2:$A$2509,0,1)&lt;&gt;_xlfn.XMATCH(A1075,$A$2:$A$2509,0,-1),FALSE)), "Código de barras duplicado", ""), IF(AND(E1075&lt;&gt;"", COUNTIF($E$2:$E$2509, E1075)&gt;1), "SKU duplicado", ""), IF(OR(J1075="", J1075=""), "[Aviso] División no capturada ()", IF(ISNA(MATCH(J1075, Criterios!$A$123:$A$126, 0)), "División no válida", "")), IF(OR(K1075="", K1075=""), "[Aviso] Categoría no capturada ()", IF(ISNA(MATCH(K1075, Criterios!$A$81:$A$120, 0)), "Categoría no válida", IF(AND(J1075&lt;&gt;"", J1075&lt;&gt;"", J1075&lt;&gt;VLOOKUP(K1075, Criterios!$A$81:$B$120, 2, FALSE)), "División no coincide con Categoría", ""))), IF(OR(L1075="", L1075=""), "[Aviso] Género no capturado ()", IF(ISNA(MATCH(L1075, Criterios!$B$123:$B$127, 0)), "Género no válido", "")), IF(OR(N1075="", N1075=""), "[Aviso] Temporada no capturada ()", IF(ISNA(MATCH(N1075, Criterios!$C$123:$C$128, 0)), "Temporada no válida", "")), IF(OR(O1075="", O1075=""), "[Aviso] Ciclo de vida no capturado ()", IF(ISNA(MATCH(O1075, Criterios!$D$123:$D$124, 0)), "Ciclo de vida no válido", ""))))</f>
        <v/>
      </c>
      <c r="AC1075" s="56" t="n"/>
      <c r="AD1075" s="51" t="n">
        <v>2</v>
      </c>
      <c r="AE1075" s="156" t="inlineStr">
        <is>
          <t>B25 STETSON.MX (2)</t>
        </is>
      </c>
      <c r="AF1075" s="51" t="n">
        <v>2</v>
      </c>
      <c r="AG1075" s="156" t="inlineStr">
        <is>
          <t>Catálogo existente</t>
        </is>
      </c>
      <c r="AH10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5" s="156" t="inlineStr">
        <is>
          <t>No</t>
        </is>
      </c>
      <c r="AJ1075" s="156" t="n"/>
      <c r="AK1075" s="155" t="inlineStr">
        <is>
          <t>Criterios: J [R]; G1522_Extraccion_Articulos_NetSuite_2026-09-30.xlsx: fila 57454 [S] | Shopify Stetson: producto 14727082901867 / variante 53350614794603</t>
        </is>
      </c>
      <c r="AL1075" s="58" t="n">
        <v>872.8448276</v>
      </c>
      <c r="AM1075" s="58" t="n">
        <v>1939.655172</v>
      </c>
      <c r="AN1075" s="155" t="inlineStr">
        <is>
          <t>Shopify Stetson México</t>
        </is>
      </c>
      <c r="AO1075" s="59" t="n">
        <v>2</v>
      </c>
      <c r="AP1075" s="59" t="n"/>
      <c r="AQ1075" s="59" t="n"/>
      <c r="AR1075" s="155" t="inlineStr">
        <is>
          <t>Shopify Stetson México › Stetson México: 2</t>
        </is>
      </c>
    </row>
    <row r="1076">
      <c r="A1076" s="50" t="inlineStr">
        <is>
          <t>196070780925</t>
        </is>
      </c>
      <c r="B1076" s="51" t="inlineStr">
        <is>
          <t>109640</t>
        </is>
      </c>
      <c r="C1076" s="156" t="inlineStr">
        <is>
          <t>Multimarca</t>
        </is>
      </c>
      <c r="D1076" s="156" t="inlineStr">
        <is>
          <t>11-050-0594-2051</t>
        </is>
      </c>
      <c r="E1076" s="156" t="inlineStr">
        <is>
          <t>11-050-0594-2051-S</t>
        </is>
      </c>
      <c r="F1076" s="156" t="inlineStr">
        <is>
          <t>S</t>
        </is>
      </c>
      <c r="G1076" s="156" t="inlineStr">
        <is>
          <t>S</t>
        </is>
      </c>
      <c r="H1076" s="156" t="inlineStr">
        <is>
          <t>Stetson</t>
        </is>
      </c>
      <c r="I1076" s="156" t="inlineStr">
        <is>
          <t>Camisa Stetson Blusa Manga Larga Mezclilla Crop Dama Azul</t>
        </is>
      </c>
      <c r="J1076" s="156" t="inlineStr">
        <is>
          <t>Ropa</t>
        </is>
      </c>
      <c r="K1076" s="156" t="inlineStr">
        <is>
          <t>Camisas</t>
        </is>
      </c>
      <c r="L1076" s="156" t="inlineStr">
        <is>
          <t>Mujer</t>
        </is>
      </c>
      <c r="M1076" s="156" t="inlineStr">
        <is>
          <t>Stetson</t>
        </is>
      </c>
      <c r="N1076" s="156" t="inlineStr">
        <is>
          <t>SS26</t>
        </is>
      </c>
      <c r="O1076" s="156" t="inlineStr">
        <is>
          <t>Seasonal</t>
        </is>
      </c>
      <c r="P1076" s="156" t="inlineStr">
        <is>
          <t>Azul</t>
        </is>
      </c>
      <c r="Q1076" s="156" t="inlineStr">
        <is>
          <t>Clásico</t>
        </is>
      </c>
      <c r="R1076" s="156" t="n"/>
      <c r="S1076" s="156" t="inlineStr">
        <is>
          <t>100% Algodón</t>
        </is>
      </c>
      <c r="T1076" s="156" t="inlineStr">
        <is>
          <t>Blusa Stetson para Mujer – Manga Larga de Mezclilla Lavado Claro (Corte Crop)
 Parte de la colección Stetson Women's – Spring II, esta blusa de mezclilla ofrece un diseño moderno con esencia clásica. Confeccionada en denim ligero de lavado claro, presenta un corte corto (crop) que realza la silueta femenina sin perder comodidad ni estructura.
 Incluye un cierre frontal de broches a presión con cuello doblado, canesú trasero de una sola punta y dos bolsillos tipo parche al frente con costura decorativa en forma de pico.
 Con detalles bordados que aportan identidad y un diseño limpio, esta blusa es una pieza versátil que mezcla la herencia del estilo western con un enfoque contemporáneo.
 Modelo:
 • Blusa Stetson Women's Light Wash Denim Crop – Manga Larga
 Material:
 • Denim ligero de algodón, lavado claro, teñido en hilo (yarn-dye)
 Diseño:
 • Color sólido con estructura limpia y acabados de inspiración vaquera
 Corte y Ajuste:
 • Corte crop a la cintura
 • Canesú trasero de una sola punta
 Detalles Decorativos:
 • Dos bolsillos frontales tipo parche con costura en pico
 • Detalles bordados en el diseño
 Cierre y Acabados:
 • Cierre frontal con broches a presión
 • Cuello doblado clásico
 Estilo:
 • Western moderno con silueta femenina definida
 Aplicaciones:
 • Ideal para looks casuales, de inspiración vaquera o urbanos, combinable con pantalones de tiro alto o faldas</t>
        </is>
      </c>
      <c r="U1076" s="156" t="n"/>
      <c r="V1076" s="156" t="inlineStr">
        <is>
          <t>PZS</t>
        </is>
      </c>
      <c r="W1076" s="51" t="inlineStr">
        <is>
          <t>53101600</t>
        </is>
      </c>
      <c r="X1076" s="156" t="inlineStr">
        <is>
          <t>https://cdn.shopify.com/s/files/1/0888/3250/8267/files/1105005942051a.jpg?v=1751047329</t>
        </is>
      </c>
      <c r="Y1076" s="54" t="n">
        <v>872.8448276</v>
      </c>
      <c r="Z1076" s="54" t="n">
        <v>1939.655172</v>
      </c>
      <c r="AA1076" s="55">
        <f>IF(AND(A1076="", B1076="", E1076=""), "", IF(AB1076="", "Válido", IF((LEN(AB1076)-LEN(SUBSTITUTE(AB1076,"; ","")))/2+1&gt;(LEN(AB1076)-LEN(SUBSTITUTE(AB1076,"[Aviso]","")))/7, "Con Incidencias", "Válido")))</f>
        <v/>
      </c>
      <c r="AB1076" s="56">
        <f>IF(AND(A1076="", B1076="", E1076=""), "", TEXTJOIN("; ", TRUE, IF(OR(TRIM(A1076&amp;"")="", ISNUMBER(SEARCH("FALTA", A1076))), "UPC faltante/inválido", ""), IF(AND(A1076&lt;&gt;"", IFERROR(_xlfn.XMATCH(A1076,$A$2:$A$2509,0,1)&lt;&gt;_xlfn.XMATCH(A1076,$A$2:$A$2509,0,-1),FALSE)), "Código de barras duplicado", ""), IF(AND(E1076&lt;&gt;"", COUNTIF($E$2:$E$2509, E1076)&gt;1), "SKU duplicado", ""), IF(OR(J1076="", J1076=""), "[Aviso] División no capturada ()", IF(ISNA(MATCH(J1076, Criterios!$A$123:$A$126, 0)), "División no válida", "")), IF(OR(K1076="", K1076=""), "[Aviso] Categoría no capturada ()", IF(ISNA(MATCH(K1076, Criterios!$A$81:$A$120, 0)), "Categoría no válida", IF(AND(J1076&lt;&gt;"", J1076&lt;&gt;"", J1076&lt;&gt;VLOOKUP(K1076, Criterios!$A$81:$B$120, 2, FALSE)), "División no coincide con Categoría", ""))), IF(OR(L1076="", L1076=""), "[Aviso] Género no capturado ()", IF(ISNA(MATCH(L1076, Criterios!$B$123:$B$127, 0)), "Género no válido", "")), IF(OR(N1076="", N1076=""), "[Aviso] Temporada no capturada ()", IF(ISNA(MATCH(N1076, Criterios!$C$123:$C$128, 0)), "Temporada no válida", "")), IF(OR(O1076="", O1076=""), "[Aviso] Ciclo de vida no capturado ()", IF(ISNA(MATCH(O1076, Criterios!$D$123:$D$124, 0)), "Ciclo de vida no válido", ""))))</f>
        <v/>
      </c>
      <c r="AC1076" s="56" t="n"/>
      <c r="AD1076" s="51" t="n">
        <v>0</v>
      </c>
      <c r="AE1076" s="156" t="n"/>
      <c r="AF1076" s="51" t="n">
        <v>0</v>
      </c>
      <c r="AG1076" s="156" t="inlineStr">
        <is>
          <t>Catálogo existente</t>
        </is>
      </c>
      <c r="AH107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6" s="156" t="inlineStr">
        <is>
          <t>No</t>
        </is>
      </c>
      <c r="AJ1076" s="156" t="n"/>
      <c r="AK1076" s="155" t="inlineStr">
        <is>
          <t>Criterios: J [R]; G1522_Extraccion_Articulos_NetSuite_2026-09-30.xlsx: fila 57455 [S] | Shopify Stetson: producto 14727082901867 / variante 53350614761835</t>
        </is>
      </c>
      <c r="AL1076" s="58" t="n">
        <v>872.8448276</v>
      </c>
      <c r="AM1076" s="58" t="n">
        <v>1939.655172</v>
      </c>
      <c r="AN1076" s="155" t="inlineStr">
        <is>
          <t>Shopify Stetson México</t>
        </is>
      </c>
      <c r="AO1076" s="59" t="n">
        <v>0</v>
      </c>
      <c r="AP1076" s="59" t="n"/>
      <c r="AQ1076" s="59" t="n"/>
      <c r="AR1076" s="155" t="n"/>
    </row>
    <row r="1077">
      <c r="A1077" s="50" t="inlineStr">
        <is>
          <t>196070780932</t>
        </is>
      </c>
      <c r="B1077" s="51" t="inlineStr">
        <is>
          <t>109641</t>
        </is>
      </c>
      <c r="C1077" s="156" t="inlineStr">
        <is>
          <t>Multimarca</t>
        </is>
      </c>
      <c r="D1077" s="156" t="inlineStr">
        <is>
          <t>11-050-0594-2051</t>
        </is>
      </c>
      <c r="E1077" s="156" t="inlineStr">
        <is>
          <t>11-050-0594-2051-XL</t>
        </is>
      </c>
      <c r="F1077" s="156" t="inlineStr">
        <is>
          <t>XL</t>
        </is>
      </c>
      <c r="G1077" s="156" t="inlineStr">
        <is>
          <t>XL</t>
        </is>
      </c>
      <c r="H1077" s="156" t="inlineStr">
        <is>
          <t>Stetson</t>
        </is>
      </c>
      <c r="I1077" s="156" t="inlineStr">
        <is>
          <t>Camisa Stetson Blusa Manga Larga Mezclilla Crop Dama Azul</t>
        </is>
      </c>
      <c r="J1077" s="156" t="inlineStr">
        <is>
          <t>Ropa</t>
        </is>
      </c>
      <c r="K1077" s="156" t="inlineStr">
        <is>
          <t>Camisas</t>
        </is>
      </c>
      <c r="L1077" s="156" t="inlineStr">
        <is>
          <t>Mujer</t>
        </is>
      </c>
      <c r="M1077" s="156" t="inlineStr">
        <is>
          <t>Stetson</t>
        </is>
      </c>
      <c r="N1077" s="156" t="inlineStr">
        <is>
          <t>SS26</t>
        </is>
      </c>
      <c r="O1077" s="156" t="inlineStr">
        <is>
          <t>Seasonal</t>
        </is>
      </c>
      <c r="P1077" s="156" t="inlineStr">
        <is>
          <t>Azul</t>
        </is>
      </c>
      <c r="Q1077" s="156" t="inlineStr">
        <is>
          <t>Moderno</t>
        </is>
      </c>
      <c r="R1077" s="156" t="n"/>
      <c r="S1077" s="156" t="inlineStr">
        <is>
          <t>100% Algodón</t>
        </is>
      </c>
      <c r="T1077"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7" s="156" t="n"/>
      <c r="V1077" s="156" t="inlineStr">
        <is>
          <t>PZS</t>
        </is>
      </c>
      <c r="W1077" s="51" t="inlineStr">
        <is>
          <t>53101600</t>
        </is>
      </c>
      <c r="X1077" s="156" t="inlineStr">
        <is>
          <t>https://cdn.shopify.com/s/files/1/0888/3250/8267/files/1105005942051b.jpg?v=1751047320</t>
        </is>
      </c>
      <c r="Y1077" s="54" t="n">
        <v>872.8448276</v>
      </c>
      <c r="Z1077" s="54" t="n">
        <v>1939.655172</v>
      </c>
      <c r="AA1077" s="55">
        <f>IF(AND(A1077="", B1077="", E1077=""), "", IF(AB1077="", "Válido", IF((LEN(AB1077)-LEN(SUBSTITUTE(AB1077,"; ","")))/2+1&gt;(LEN(AB1077)-LEN(SUBSTITUTE(AB1077,"[Aviso]","")))/7, "Con Incidencias", "Válido")))</f>
        <v/>
      </c>
      <c r="AB1077" s="56">
        <f>IF(AND(A1077="", B1077="", E1077=""), "", TEXTJOIN("; ", TRUE, IF(OR(TRIM(A1077&amp;"")="", ISNUMBER(SEARCH("FALTA", A1077))), "UPC faltante/inválido", ""), IF(AND(A1077&lt;&gt;"", IFERROR(_xlfn.XMATCH(A1077,$A$2:$A$2509,0,1)&lt;&gt;_xlfn.XMATCH(A1077,$A$2:$A$2509,0,-1),FALSE)), "Código de barras duplicado", ""), IF(AND(E1077&lt;&gt;"", COUNTIF($E$2:$E$2509, E1077)&gt;1), "SKU duplicado", ""), IF(OR(J1077="", J1077=""), "[Aviso] División no capturada ()", IF(ISNA(MATCH(J1077, Criterios!$A$123:$A$126, 0)), "División no válida", "")), IF(OR(K1077="", K1077=""), "[Aviso] Categoría no capturada ()", IF(ISNA(MATCH(K1077, Criterios!$A$81:$A$120, 0)), "Categoría no válida", IF(AND(J1077&lt;&gt;"", J1077&lt;&gt;"", J1077&lt;&gt;VLOOKUP(K1077, Criterios!$A$81:$B$120, 2, FALSE)), "División no coincide con Categoría", ""))), IF(OR(L1077="", L1077=""), "[Aviso] Género no capturado ()", IF(ISNA(MATCH(L1077, Criterios!$B$123:$B$127, 0)), "Género no válido", "")), IF(OR(N1077="", N1077=""), "[Aviso] Temporada no capturada ()", IF(ISNA(MATCH(N1077, Criterios!$C$123:$C$128, 0)), "Temporada no válida", "")), IF(OR(O1077="", O1077=""), "[Aviso] Ciclo de vida no capturado ()", IF(ISNA(MATCH(O1077, Criterios!$D$123:$D$124, 0)), "Ciclo de vida no válido", ""))))</f>
        <v/>
      </c>
      <c r="AC1077" s="56" t="n"/>
      <c r="AD1077" s="51" t="n">
        <v>2</v>
      </c>
      <c r="AE1077" s="156" t="inlineStr">
        <is>
          <t>B25 STETSON.MX (2)</t>
        </is>
      </c>
      <c r="AF1077" s="51" t="n">
        <v>2</v>
      </c>
      <c r="AG1077" s="156" t="inlineStr">
        <is>
          <t>Catálogo existente</t>
        </is>
      </c>
      <c r="AH107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7" s="156" t="inlineStr">
        <is>
          <t>No</t>
        </is>
      </c>
      <c r="AJ1077" s="156" t="n"/>
      <c r="AK1077" s="155" t="inlineStr">
        <is>
          <t>Criterios: J [R]; G1522_Extraccion_Articulos_NetSuite_2026-09-30.xlsx: fila 57456 [S] | Shopify Stetson: producto 14727082901867 / variante 53350614860139</t>
        </is>
      </c>
      <c r="AL1077" s="58" t="n">
        <v>872.8448276</v>
      </c>
      <c r="AM1077" s="58" t="n">
        <v>1939.655172</v>
      </c>
      <c r="AN1077" s="155" t="inlineStr">
        <is>
          <t>Shopify Stetson México</t>
        </is>
      </c>
      <c r="AO1077" s="59" t="n">
        <v>2</v>
      </c>
      <c r="AP1077" s="59" t="n"/>
      <c r="AQ1077" s="59" t="n"/>
      <c r="AR1077" s="155" t="inlineStr">
        <is>
          <t>Shopify Stetson México › Stetson México: 2</t>
        </is>
      </c>
    </row>
    <row r="1078">
      <c r="A1078" s="50" t="inlineStr">
        <is>
          <t>196070780949</t>
        </is>
      </c>
      <c r="B1078" s="51" t="inlineStr">
        <is>
          <t>109642</t>
        </is>
      </c>
      <c r="C1078" s="156" t="inlineStr">
        <is>
          <t>Multimarca</t>
        </is>
      </c>
      <c r="D1078" s="156" t="inlineStr">
        <is>
          <t>11-050-0594-2051</t>
        </is>
      </c>
      <c r="E1078" s="156" t="inlineStr">
        <is>
          <t>11-050-0594-2051-XS</t>
        </is>
      </c>
      <c r="F1078" s="156" t="inlineStr">
        <is>
          <t>XS</t>
        </is>
      </c>
      <c r="G1078" s="156" t="inlineStr">
        <is>
          <t>XS</t>
        </is>
      </c>
      <c r="H1078" s="156" t="inlineStr">
        <is>
          <t>Stetson</t>
        </is>
      </c>
      <c r="I1078" s="156" t="inlineStr">
        <is>
          <t>Camisa Stetson Blusa Manga Larga Mezclilla Crop Dama Azul</t>
        </is>
      </c>
      <c r="J1078" s="156" t="inlineStr">
        <is>
          <t>Ropa</t>
        </is>
      </c>
      <c r="K1078" s="156" t="inlineStr">
        <is>
          <t>Camisas</t>
        </is>
      </c>
      <c r="L1078" s="156" t="inlineStr">
        <is>
          <t>Mujer</t>
        </is>
      </c>
      <c r="M1078" s="156" t="inlineStr">
        <is>
          <t>Stetson</t>
        </is>
      </c>
      <c r="N1078" s="156" t="inlineStr">
        <is>
          <t>SS26</t>
        </is>
      </c>
      <c r="O1078" s="156" t="inlineStr">
        <is>
          <t>Seasonal</t>
        </is>
      </c>
      <c r="P1078" s="156" t="inlineStr">
        <is>
          <t>Azul</t>
        </is>
      </c>
      <c r="Q1078" s="156" t="inlineStr">
        <is>
          <t>Moderno</t>
        </is>
      </c>
      <c r="R1078" s="156" t="n"/>
      <c r="S1078" s="156" t="inlineStr">
        <is>
          <t>100% Algodón</t>
        </is>
      </c>
      <c r="T1078"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8" s="156" t="n"/>
      <c r="V1078" s="156" t="inlineStr">
        <is>
          <t>PZS</t>
        </is>
      </c>
      <c r="W1078" s="51" t="inlineStr">
        <is>
          <t>53101600</t>
        </is>
      </c>
      <c r="X1078" s="156" t="inlineStr">
        <is>
          <t>https://cdn.shopify.com/s/files/1/0888/3250/8267/files/1105005942051b.jpg?v=1751047320</t>
        </is>
      </c>
      <c r="Y1078" s="54" t="n">
        <v>872.8448276</v>
      </c>
      <c r="Z1078" s="54" t="n">
        <v>1939.655172</v>
      </c>
      <c r="AA1078" s="55">
        <f>IF(AND(A1078="", B1078="", E1078=""), "", IF(AB1078="", "Válido", IF((LEN(AB1078)-LEN(SUBSTITUTE(AB1078,"; ","")))/2+1&gt;(LEN(AB1078)-LEN(SUBSTITUTE(AB1078,"[Aviso]","")))/7, "Con Incidencias", "Válido")))</f>
        <v/>
      </c>
      <c r="AB1078" s="56">
        <f>IF(AND(A1078="", B1078="", E1078=""), "", TEXTJOIN("; ", TRUE, IF(OR(TRIM(A1078&amp;"")="", ISNUMBER(SEARCH("FALTA", A1078))), "UPC faltante/inválido", ""), IF(AND(A1078&lt;&gt;"", IFERROR(_xlfn.XMATCH(A1078,$A$2:$A$2509,0,1)&lt;&gt;_xlfn.XMATCH(A1078,$A$2:$A$2509,0,-1),FALSE)), "Código de barras duplicado", ""), IF(AND(E1078&lt;&gt;"", COUNTIF($E$2:$E$2509, E1078)&gt;1), "SKU duplicado", ""), IF(OR(J1078="", J1078=""), "[Aviso] División no capturada ()", IF(ISNA(MATCH(J1078, Criterios!$A$123:$A$126, 0)), "División no válida", "")), IF(OR(K1078="", K1078=""), "[Aviso] Categoría no capturada ()", IF(ISNA(MATCH(K1078, Criterios!$A$81:$A$120, 0)), "Categoría no válida", IF(AND(J1078&lt;&gt;"", J1078&lt;&gt;"", J1078&lt;&gt;VLOOKUP(K1078, Criterios!$A$81:$B$120, 2, FALSE)), "División no coincide con Categoría", ""))), IF(OR(L1078="", L1078=""), "[Aviso] Género no capturado ()", IF(ISNA(MATCH(L1078, Criterios!$B$123:$B$127, 0)), "Género no válido", "")), IF(OR(N1078="", N1078=""), "[Aviso] Temporada no capturada ()", IF(ISNA(MATCH(N1078, Criterios!$C$123:$C$128, 0)), "Temporada no válida", "")), IF(OR(O1078="", O1078=""), "[Aviso] Ciclo de vida no capturado ()", IF(ISNA(MATCH(O1078, Criterios!$D$123:$D$124, 0)), "Ciclo de vida no válido", ""))))</f>
        <v/>
      </c>
      <c r="AC1078" s="56" t="n"/>
      <c r="AD1078" s="51" t="n">
        <v>2</v>
      </c>
      <c r="AE1078" s="156" t="inlineStr">
        <is>
          <t>B25 STETSON.MX (2)</t>
        </is>
      </c>
      <c r="AF1078" s="51" t="n">
        <v>2</v>
      </c>
      <c r="AG1078" s="156" t="inlineStr">
        <is>
          <t>Catálogo existente</t>
        </is>
      </c>
      <c r="AH107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8" s="156" t="inlineStr">
        <is>
          <t>No</t>
        </is>
      </c>
      <c r="AJ1078" s="156" t="n"/>
      <c r="AK1078" s="155" t="inlineStr">
        <is>
          <t>Criterios: J [R]; G1522_Extraccion_Articulos_NetSuite_2026-09-30.xlsx: fila 57457 [S] | Shopify Stetson: producto 14727082901867 / variante 53350614729067</t>
        </is>
      </c>
      <c r="AL1078" s="58" t="n">
        <v>872.8448276</v>
      </c>
      <c r="AM1078" s="58" t="n">
        <v>1939.655172</v>
      </c>
      <c r="AN1078" s="155" t="inlineStr">
        <is>
          <t>Shopify Stetson México</t>
        </is>
      </c>
      <c r="AO1078" s="59" t="n">
        <v>2</v>
      </c>
      <c r="AP1078" s="59" t="n"/>
      <c r="AQ1078" s="59" t="n"/>
      <c r="AR1078" s="155" t="inlineStr">
        <is>
          <t>Shopify Stetson México › Stetson México: 2</t>
        </is>
      </c>
    </row>
    <row r="1079">
      <c r="A1079" s="50" t="inlineStr">
        <is>
          <t>196070780956</t>
        </is>
      </c>
      <c r="B1079" s="51" t="inlineStr">
        <is>
          <t>109643</t>
        </is>
      </c>
      <c r="C1079" s="156" t="inlineStr">
        <is>
          <t>Multimarca</t>
        </is>
      </c>
      <c r="D1079" s="156" t="inlineStr">
        <is>
          <t>11-050-0594-2076</t>
        </is>
      </c>
      <c r="E1079" s="156" t="inlineStr">
        <is>
          <t>11-050-0594-2076-L</t>
        </is>
      </c>
      <c r="F1079" s="156" t="inlineStr">
        <is>
          <t>L</t>
        </is>
      </c>
      <c r="G1079" s="156" t="inlineStr">
        <is>
          <t>L</t>
        </is>
      </c>
      <c r="H1079" s="156" t="inlineStr">
        <is>
          <t>Stetson</t>
        </is>
      </c>
      <c r="I1079" s="156" t="inlineStr">
        <is>
          <t>Camisa Stetson Blusa Manga Larga Mezclilla Crop Dama Crema</t>
        </is>
      </c>
      <c r="J1079" s="156" t="inlineStr">
        <is>
          <t>Ropa</t>
        </is>
      </c>
      <c r="K1079" s="156" t="inlineStr">
        <is>
          <t>Camisas</t>
        </is>
      </c>
      <c r="L1079" s="156" t="inlineStr">
        <is>
          <t>Mujer</t>
        </is>
      </c>
      <c r="M1079" s="156" t="inlineStr">
        <is>
          <t>Stetson</t>
        </is>
      </c>
      <c r="N1079" s="156" t="inlineStr">
        <is>
          <t>SS26</t>
        </is>
      </c>
      <c r="O1079" s="156" t="inlineStr">
        <is>
          <t>Seasonal</t>
        </is>
      </c>
      <c r="P1079" s="156" t="inlineStr">
        <is>
          <t>Azul</t>
        </is>
      </c>
      <c r="Q1079" s="156" t="inlineStr">
        <is>
          <t>Clásico</t>
        </is>
      </c>
      <c r="R1079" s="156" t="n"/>
      <c r="S1079" s="156" t="inlineStr">
        <is>
          <t>100% Algodón</t>
        </is>
      </c>
      <c r="T1079"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79" s="156" t="n"/>
      <c r="V1079" s="156" t="inlineStr">
        <is>
          <t>PZS</t>
        </is>
      </c>
      <c r="W1079" s="51" t="inlineStr">
        <is>
          <t>53101600</t>
        </is>
      </c>
      <c r="X1079" s="156" t="inlineStr">
        <is>
          <t>https://cdn.shopify.com/s/files/1/0888/3250/8267/files/1105005942076b.jpg?v=1751048340</t>
        </is>
      </c>
      <c r="Y1079" s="54" t="n">
        <v>872.8448276</v>
      </c>
      <c r="Z1079" s="54" t="n">
        <v>1939.655172</v>
      </c>
      <c r="AA1079" s="55">
        <f>IF(AND(A1079="", B1079="", E1079=""), "", IF(AB1079="", "Válido", IF((LEN(AB1079)-LEN(SUBSTITUTE(AB1079,"; ","")))/2+1&gt;(LEN(AB1079)-LEN(SUBSTITUTE(AB1079,"[Aviso]","")))/7, "Con Incidencias", "Válido")))</f>
        <v/>
      </c>
      <c r="AB1079" s="56">
        <f>IF(AND(A1079="", B1079="", E1079=""), "", TEXTJOIN("; ", TRUE, IF(OR(TRIM(A1079&amp;"")="", ISNUMBER(SEARCH("FALTA", A1079))), "UPC faltante/inválido", ""), IF(AND(A1079&lt;&gt;"", IFERROR(_xlfn.XMATCH(A1079,$A$2:$A$2509,0,1)&lt;&gt;_xlfn.XMATCH(A1079,$A$2:$A$2509,0,-1),FALSE)), "Código de barras duplicado", ""), IF(AND(E1079&lt;&gt;"", COUNTIF($E$2:$E$2509, E1079)&gt;1), "SKU duplicado", ""), IF(OR(J1079="", J1079=""), "[Aviso] División no capturada ()", IF(ISNA(MATCH(J1079, Criterios!$A$123:$A$126, 0)), "División no válida", "")), IF(OR(K1079="", K1079=""), "[Aviso] Categoría no capturada ()", IF(ISNA(MATCH(K1079, Criterios!$A$81:$A$120, 0)), "Categoría no válida", IF(AND(J1079&lt;&gt;"", J1079&lt;&gt;"", J1079&lt;&gt;VLOOKUP(K1079, Criterios!$A$81:$B$120, 2, FALSE)), "División no coincide con Categoría", ""))), IF(OR(L1079="", L1079=""), "[Aviso] Género no capturado ()", IF(ISNA(MATCH(L1079, Criterios!$B$123:$B$127, 0)), "Género no válido", "")), IF(OR(N1079="", N1079=""), "[Aviso] Temporada no capturada ()", IF(ISNA(MATCH(N1079, Criterios!$C$123:$C$128, 0)), "Temporada no válida", "")), IF(OR(O1079="", O1079=""), "[Aviso] Ciclo de vida no capturado ()", IF(ISNA(MATCH(O1079, Criterios!$D$123:$D$124, 0)), "Ciclo de vida no válido", ""))))</f>
        <v/>
      </c>
      <c r="AC1079" s="56" t="n"/>
      <c r="AD1079" s="51" t="n">
        <v>2</v>
      </c>
      <c r="AE1079" s="156" t="inlineStr">
        <is>
          <t>B25 STETSON.MX (2)</t>
        </is>
      </c>
      <c r="AF1079" s="51" t="n">
        <v>2</v>
      </c>
      <c r="AG1079" s="156" t="inlineStr">
        <is>
          <t>Catálogo existente</t>
        </is>
      </c>
      <c r="AH107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9" s="156" t="inlineStr">
        <is>
          <t>No</t>
        </is>
      </c>
      <c r="AJ1079" s="156" t="n"/>
      <c r="AK1079" s="155" t="inlineStr">
        <is>
          <t>Criterios: J [R]; G1522_Extraccion_Articulos_NetSuite_2026-09-30.xlsx: fila 57458 [S] | Shopify Stetson: producto 14727083032939 / variante 53350614663531</t>
        </is>
      </c>
      <c r="AL1079" s="58" t="n">
        <v>872.8448276</v>
      </c>
      <c r="AM1079" s="58" t="n">
        <v>1939.655172</v>
      </c>
      <c r="AN1079" s="155" t="inlineStr">
        <is>
          <t>Shopify Stetson México</t>
        </is>
      </c>
      <c r="AO1079" s="59" t="n">
        <v>2</v>
      </c>
      <c r="AP1079" s="59" t="n"/>
      <c r="AQ1079" s="59" t="n"/>
      <c r="AR1079" s="155" t="inlineStr">
        <is>
          <t>Shopify Stetson México › Stetson México: 2</t>
        </is>
      </c>
    </row>
    <row r="1080">
      <c r="A1080" s="50" t="inlineStr">
        <is>
          <t>196070780963</t>
        </is>
      </c>
      <c r="B1080" s="51" t="inlineStr">
        <is>
          <t>109644</t>
        </is>
      </c>
      <c r="C1080" s="156" t="inlineStr">
        <is>
          <t>Multimarca</t>
        </is>
      </c>
      <c r="D1080" s="156" t="inlineStr">
        <is>
          <t>11-050-0594-2076</t>
        </is>
      </c>
      <c r="E1080" s="156" t="inlineStr">
        <is>
          <t>11-050-0594-2076-M</t>
        </is>
      </c>
      <c r="F1080" s="156" t="inlineStr">
        <is>
          <t>M</t>
        </is>
      </c>
      <c r="G1080" s="156" t="inlineStr">
        <is>
          <t>M</t>
        </is>
      </c>
      <c r="H1080" s="156" t="inlineStr">
        <is>
          <t>Stetson</t>
        </is>
      </c>
      <c r="I1080" s="156" t="inlineStr">
        <is>
          <t>Camisa Stetson Blusa Manga Larga Mezclilla Crop Dama Crema</t>
        </is>
      </c>
      <c r="J1080" s="156" t="inlineStr">
        <is>
          <t>Ropa</t>
        </is>
      </c>
      <c r="K1080" s="156" t="inlineStr">
        <is>
          <t>Camisas</t>
        </is>
      </c>
      <c r="L1080" s="156" t="inlineStr">
        <is>
          <t>Mujer</t>
        </is>
      </c>
      <c r="M1080" s="156" t="inlineStr">
        <is>
          <t>Stetson</t>
        </is>
      </c>
      <c r="N1080" s="156" t="inlineStr">
        <is>
          <t>SS26</t>
        </is>
      </c>
      <c r="O1080" s="156" t="inlineStr">
        <is>
          <t>Seasonal</t>
        </is>
      </c>
      <c r="P1080" s="156" t="inlineStr">
        <is>
          <t>Azul</t>
        </is>
      </c>
      <c r="Q1080" s="156" t="inlineStr">
        <is>
          <t>Clásico</t>
        </is>
      </c>
      <c r="R1080" s="156" t="n"/>
      <c r="S1080" s="156" t="inlineStr">
        <is>
          <t>100% Algodón</t>
        </is>
      </c>
      <c r="T1080"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0" s="156" t="n"/>
      <c r="V1080" s="156" t="inlineStr">
        <is>
          <t>PZS</t>
        </is>
      </c>
      <c r="W1080" s="51" t="inlineStr">
        <is>
          <t>53101600</t>
        </is>
      </c>
      <c r="X1080" s="156" t="inlineStr">
        <is>
          <t>https://cdn.shopify.com/s/files/1/0888/3250/8267/files/1105005942076c.jpg?v=1751048353</t>
        </is>
      </c>
      <c r="Y1080" s="54" t="n">
        <v>872.8448276</v>
      </c>
      <c r="Z1080" s="54" t="n">
        <v>1939.655172</v>
      </c>
      <c r="AA1080" s="55">
        <f>IF(AND(A1080="", B1080="", E1080=""), "", IF(AB1080="", "Válido", IF((LEN(AB1080)-LEN(SUBSTITUTE(AB1080,"; ","")))/2+1&gt;(LEN(AB1080)-LEN(SUBSTITUTE(AB1080,"[Aviso]","")))/7, "Con Incidencias", "Válido")))</f>
        <v/>
      </c>
      <c r="AB1080" s="56">
        <f>IF(AND(A1080="", B1080="", E1080=""), "", TEXTJOIN("; ", TRUE, IF(OR(TRIM(A1080&amp;"")="", ISNUMBER(SEARCH("FALTA", A1080))), "UPC faltante/inválido", ""), IF(AND(A1080&lt;&gt;"", IFERROR(_xlfn.XMATCH(A1080,$A$2:$A$2509,0,1)&lt;&gt;_xlfn.XMATCH(A1080,$A$2:$A$2509,0,-1),FALSE)), "Código de barras duplicado", ""), IF(AND(E1080&lt;&gt;"", COUNTIF($E$2:$E$2509, E1080)&gt;1), "SKU duplicado", ""), IF(OR(J1080="", J1080=""), "[Aviso] División no capturada ()", IF(ISNA(MATCH(J1080, Criterios!$A$123:$A$126, 0)), "División no válida", "")), IF(OR(K1080="", K1080=""), "[Aviso] Categoría no capturada ()", IF(ISNA(MATCH(K1080, Criterios!$A$81:$A$120, 0)), "Categoría no válida", IF(AND(J1080&lt;&gt;"", J1080&lt;&gt;"", J1080&lt;&gt;VLOOKUP(K1080, Criterios!$A$81:$B$120, 2, FALSE)), "División no coincide con Categoría", ""))), IF(OR(L1080="", L1080=""), "[Aviso] Género no capturado ()", IF(ISNA(MATCH(L1080, Criterios!$B$123:$B$127, 0)), "Género no válido", "")), IF(OR(N1080="", N1080=""), "[Aviso] Temporada no capturada ()", IF(ISNA(MATCH(N1080, Criterios!$C$123:$C$128, 0)), "Temporada no válida", "")), IF(OR(O1080="", O1080=""), "[Aviso] Ciclo de vida no capturado ()", IF(ISNA(MATCH(O1080, Criterios!$D$123:$D$124, 0)), "Ciclo de vida no válido", ""))))</f>
        <v/>
      </c>
      <c r="AC1080" s="56" t="n"/>
      <c r="AD1080" s="51" t="n">
        <v>2</v>
      </c>
      <c r="AE1080" s="156" t="inlineStr">
        <is>
          <t>B25 STETSON.MX (2)</t>
        </is>
      </c>
      <c r="AF1080" s="51" t="n">
        <v>2</v>
      </c>
      <c r="AG1080" s="156" t="inlineStr">
        <is>
          <t>Catálogo existente</t>
        </is>
      </c>
      <c r="AH108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0" s="156" t="inlineStr">
        <is>
          <t>No</t>
        </is>
      </c>
      <c r="AJ1080" s="156" t="n"/>
      <c r="AK1080" s="155" t="inlineStr">
        <is>
          <t>Criterios: J [R]; G1522_Extraccion_Articulos_NetSuite_2026-09-30.xlsx: fila 57459 [S] | Shopify Stetson: producto 14727083032939 / variante 53350614630763</t>
        </is>
      </c>
      <c r="AL1080" s="58" t="n">
        <v>872.8448276</v>
      </c>
      <c r="AM1080" s="58" t="n">
        <v>1939.655172</v>
      </c>
      <c r="AN1080" s="155" t="inlineStr">
        <is>
          <t>Shopify Stetson México</t>
        </is>
      </c>
      <c r="AO1080" s="59" t="n">
        <v>2</v>
      </c>
      <c r="AP1080" s="59" t="n"/>
      <c r="AQ1080" s="59" t="n"/>
      <c r="AR1080" s="155" t="inlineStr">
        <is>
          <t>Shopify Stetson México › Stetson México: 2</t>
        </is>
      </c>
    </row>
    <row r="1081">
      <c r="A1081" s="50" t="inlineStr">
        <is>
          <t>196070780970</t>
        </is>
      </c>
      <c r="B1081" s="51" t="inlineStr">
        <is>
          <t>109645</t>
        </is>
      </c>
      <c r="C1081" s="156" t="inlineStr">
        <is>
          <t>Multimarca</t>
        </is>
      </c>
      <c r="D1081" s="156" t="inlineStr">
        <is>
          <t>11-050-0594-2076</t>
        </is>
      </c>
      <c r="E1081" s="156" t="inlineStr">
        <is>
          <t>11-050-0594-2076-S</t>
        </is>
      </c>
      <c r="F1081" s="156" t="inlineStr">
        <is>
          <t>S</t>
        </is>
      </c>
      <c r="G1081" s="156" t="inlineStr">
        <is>
          <t>S</t>
        </is>
      </c>
      <c r="H1081" s="156" t="inlineStr">
        <is>
          <t>Stetson</t>
        </is>
      </c>
      <c r="I1081" s="156" t="inlineStr">
        <is>
          <t>Camisa Stetson Blusa Manga Larga Mezclilla Crop Dama Crema</t>
        </is>
      </c>
      <c r="J1081" s="156" t="inlineStr">
        <is>
          <t>Ropa</t>
        </is>
      </c>
      <c r="K1081" s="156" t="inlineStr">
        <is>
          <t>Camisas</t>
        </is>
      </c>
      <c r="L1081" s="156" t="inlineStr">
        <is>
          <t>Mujer</t>
        </is>
      </c>
      <c r="M1081" s="156" t="inlineStr">
        <is>
          <t>Stetson</t>
        </is>
      </c>
      <c r="N1081" s="156" t="inlineStr">
        <is>
          <t>SS26</t>
        </is>
      </c>
      <c r="O1081" s="156" t="inlineStr">
        <is>
          <t>Seasonal</t>
        </is>
      </c>
      <c r="P1081" s="156" t="inlineStr">
        <is>
          <t>Azul</t>
        </is>
      </c>
      <c r="Q1081" s="156" t="inlineStr">
        <is>
          <t>Clásico</t>
        </is>
      </c>
      <c r="R1081" s="156" t="n"/>
      <c r="S1081" s="156" t="inlineStr">
        <is>
          <t>100% Algodón</t>
        </is>
      </c>
      <c r="T1081"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1" s="156" t="n"/>
      <c r="V1081" s="156" t="inlineStr">
        <is>
          <t>PZS</t>
        </is>
      </c>
      <c r="W1081" s="51" t="inlineStr">
        <is>
          <t>53101600</t>
        </is>
      </c>
      <c r="X1081" s="156" t="inlineStr">
        <is>
          <t>https://cdn.shopify.com/s/files/1/0888/3250/8267/files/1105005942076a.jpg?v=1751048347</t>
        </is>
      </c>
      <c r="Y1081" s="54" t="n">
        <v>872.8448276</v>
      </c>
      <c r="Z1081" s="54" t="n">
        <v>1939.655172</v>
      </c>
      <c r="AA1081" s="55">
        <f>IF(AND(A1081="", B1081="", E1081=""), "", IF(AB1081="", "Válido", IF((LEN(AB1081)-LEN(SUBSTITUTE(AB1081,"; ","")))/2+1&gt;(LEN(AB1081)-LEN(SUBSTITUTE(AB1081,"[Aviso]","")))/7, "Con Incidencias", "Válido")))</f>
        <v/>
      </c>
      <c r="AB1081" s="56">
        <f>IF(AND(A1081="", B1081="", E1081=""), "", TEXTJOIN("; ", TRUE, IF(OR(TRIM(A1081&amp;"")="", ISNUMBER(SEARCH("FALTA", A1081))), "UPC faltante/inválido", ""), IF(AND(A1081&lt;&gt;"", IFERROR(_xlfn.XMATCH(A1081,$A$2:$A$2509,0,1)&lt;&gt;_xlfn.XMATCH(A1081,$A$2:$A$2509,0,-1),FALSE)), "Código de barras duplicado", ""), IF(AND(E1081&lt;&gt;"", COUNTIF($E$2:$E$2509, E1081)&gt;1), "SKU duplicado", ""), IF(OR(J1081="", J1081=""), "[Aviso] División no capturada ()", IF(ISNA(MATCH(J1081, Criterios!$A$123:$A$126, 0)), "División no válida", "")), IF(OR(K1081="", K1081=""), "[Aviso] Categoría no capturada ()", IF(ISNA(MATCH(K1081, Criterios!$A$81:$A$120, 0)), "Categoría no válida", IF(AND(J1081&lt;&gt;"", J1081&lt;&gt;"", J1081&lt;&gt;VLOOKUP(K1081, Criterios!$A$81:$B$120, 2, FALSE)), "División no coincide con Categoría", ""))), IF(OR(L1081="", L1081=""), "[Aviso] Género no capturado ()", IF(ISNA(MATCH(L1081, Criterios!$B$123:$B$127, 0)), "Género no válido", "")), IF(OR(N1081="", N1081=""), "[Aviso] Temporada no capturada ()", IF(ISNA(MATCH(N1081, Criterios!$C$123:$C$128, 0)), "Temporada no válida", "")), IF(OR(O1081="", O1081=""), "[Aviso] Ciclo de vida no capturado ()", IF(ISNA(MATCH(O1081, Criterios!$D$123:$D$124, 0)), "Ciclo de vida no válido", ""))))</f>
        <v/>
      </c>
      <c r="AC1081" s="56" t="n"/>
      <c r="AD1081" s="51" t="n">
        <v>1</v>
      </c>
      <c r="AE1081" s="156" t="inlineStr">
        <is>
          <t>B25 STETSON.MX (1)</t>
        </is>
      </c>
      <c r="AF1081" s="51" t="n">
        <v>1</v>
      </c>
      <c r="AG1081" s="156" t="inlineStr">
        <is>
          <t>Catálogo existente</t>
        </is>
      </c>
      <c r="AH108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1" s="156" t="inlineStr">
        <is>
          <t>No</t>
        </is>
      </c>
      <c r="AJ1081" s="156" t="n"/>
      <c r="AK1081" s="155" t="inlineStr">
        <is>
          <t>Criterios: J [R]; G1522_Extraccion_Articulos_NetSuite_2026-09-30.xlsx: fila 57460 [S] | Shopify Stetson: producto 14727083032939 / variante 53350614597995</t>
        </is>
      </c>
      <c r="AL1081" s="58" t="n">
        <v>872.8448276</v>
      </c>
      <c r="AM1081" s="58" t="n">
        <v>1939.655172</v>
      </c>
      <c r="AN1081" s="155" t="inlineStr">
        <is>
          <t>Shopify Stetson México</t>
        </is>
      </c>
      <c r="AO1081" s="59" t="n">
        <v>1</v>
      </c>
      <c r="AP1081" s="59" t="n"/>
      <c r="AQ1081" s="59" t="n"/>
      <c r="AR1081" s="155" t="inlineStr">
        <is>
          <t>Shopify Stetson México › Stetson México: 1</t>
        </is>
      </c>
    </row>
    <row r="1082">
      <c r="A1082" s="50" t="inlineStr">
        <is>
          <t>196070780987</t>
        </is>
      </c>
      <c r="B1082" s="51" t="inlineStr">
        <is>
          <t>109646</t>
        </is>
      </c>
      <c r="C1082" s="156" t="inlineStr">
        <is>
          <t>Multimarca</t>
        </is>
      </c>
      <c r="D1082" s="156" t="inlineStr">
        <is>
          <t>11-050-0594-2076</t>
        </is>
      </c>
      <c r="E1082" s="156" t="inlineStr">
        <is>
          <t>11-050-0594-2076-XL</t>
        </is>
      </c>
      <c r="F1082" s="156" t="inlineStr">
        <is>
          <t>XL</t>
        </is>
      </c>
      <c r="G1082" s="156" t="inlineStr">
        <is>
          <t>XL</t>
        </is>
      </c>
      <c r="H1082" s="156" t="inlineStr">
        <is>
          <t>Stetson</t>
        </is>
      </c>
      <c r="I1082" s="156" t="inlineStr">
        <is>
          <t>Camisa Stetson Blusa Manga Larga Mezclilla Crop Dama Crema</t>
        </is>
      </c>
      <c r="J1082" s="156" t="inlineStr">
        <is>
          <t>Ropa</t>
        </is>
      </c>
      <c r="K1082" s="156" t="inlineStr">
        <is>
          <t>Camisas</t>
        </is>
      </c>
      <c r="L1082" s="156" t="inlineStr">
        <is>
          <t>Mujer</t>
        </is>
      </c>
      <c r="M1082" s="156" t="inlineStr">
        <is>
          <t>Stetson</t>
        </is>
      </c>
      <c r="N1082" s="156" t="inlineStr">
        <is>
          <t>SS26</t>
        </is>
      </c>
      <c r="O1082" s="156" t="inlineStr">
        <is>
          <t>Seasonal</t>
        </is>
      </c>
      <c r="P1082" s="156" t="inlineStr">
        <is>
          <t>Azul</t>
        </is>
      </c>
      <c r="Q1082" s="156" t="inlineStr">
        <is>
          <t>Clásico</t>
        </is>
      </c>
      <c r="R1082" s="156" t="n"/>
      <c r="S1082" s="156" t="inlineStr">
        <is>
          <t>100% Algodón</t>
        </is>
      </c>
      <c r="T1082"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2" s="156" t="n"/>
      <c r="V1082" s="156" t="inlineStr">
        <is>
          <t>PZS</t>
        </is>
      </c>
      <c r="W1082" s="51" t="inlineStr">
        <is>
          <t>53101600</t>
        </is>
      </c>
      <c r="X1082" s="156" t="inlineStr">
        <is>
          <t>https://cdn.shopify.com/s/files/1/0888/3250/8267/files/1105005942076b.jpg?v=1751048340</t>
        </is>
      </c>
      <c r="Y1082" s="54" t="n">
        <v>872.8448276</v>
      </c>
      <c r="Z1082" s="54" t="n">
        <v>1939.655172</v>
      </c>
      <c r="AA1082" s="55">
        <f>IF(AND(A1082="", B1082="", E1082=""), "", IF(AB1082="", "Válido", IF((LEN(AB1082)-LEN(SUBSTITUTE(AB1082,"; ","")))/2+1&gt;(LEN(AB1082)-LEN(SUBSTITUTE(AB1082,"[Aviso]","")))/7, "Con Incidencias", "Válido")))</f>
        <v/>
      </c>
      <c r="AB1082" s="56">
        <f>IF(AND(A1082="", B1082="", E1082=""), "", TEXTJOIN("; ", TRUE, IF(OR(TRIM(A1082&amp;"")="", ISNUMBER(SEARCH("FALTA", A1082))), "UPC faltante/inválido", ""), IF(AND(A1082&lt;&gt;"", IFERROR(_xlfn.XMATCH(A1082,$A$2:$A$2509,0,1)&lt;&gt;_xlfn.XMATCH(A1082,$A$2:$A$2509,0,-1),FALSE)), "Código de barras duplicado", ""), IF(AND(E1082&lt;&gt;"", COUNTIF($E$2:$E$2509, E1082)&gt;1), "SKU duplicado", ""), IF(OR(J1082="", J1082=""), "[Aviso] División no capturada ()", IF(ISNA(MATCH(J1082, Criterios!$A$123:$A$126, 0)), "División no válida", "")), IF(OR(K1082="", K1082=""), "[Aviso] Categoría no capturada ()", IF(ISNA(MATCH(K1082, Criterios!$A$81:$A$120, 0)), "Categoría no válida", IF(AND(J1082&lt;&gt;"", J1082&lt;&gt;"", J1082&lt;&gt;VLOOKUP(K1082, Criterios!$A$81:$B$120, 2, FALSE)), "División no coincide con Categoría", ""))), IF(OR(L1082="", L1082=""), "[Aviso] Género no capturado ()", IF(ISNA(MATCH(L1082, Criterios!$B$123:$B$127, 0)), "Género no válido", "")), IF(OR(N1082="", N1082=""), "[Aviso] Temporada no capturada ()", IF(ISNA(MATCH(N1082, Criterios!$C$123:$C$128, 0)), "Temporada no válida", "")), IF(OR(O1082="", O1082=""), "[Aviso] Ciclo de vida no capturado ()", IF(ISNA(MATCH(O1082, Criterios!$D$123:$D$124, 0)), "Ciclo de vida no válido", ""))))</f>
        <v/>
      </c>
      <c r="AC1082" s="56" t="n"/>
      <c r="AD1082" s="51" t="n">
        <v>2</v>
      </c>
      <c r="AE1082" s="156" t="inlineStr">
        <is>
          <t>B25 STETSON.MX (2)</t>
        </is>
      </c>
      <c r="AF1082" s="51" t="n">
        <v>2</v>
      </c>
      <c r="AG1082" s="156" t="inlineStr">
        <is>
          <t>Catálogo existente</t>
        </is>
      </c>
      <c r="AH10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82" s="156" t="inlineStr">
        <is>
          <t>No</t>
        </is>
      </c>
      <c r="AJ1082" s="156" t="n"/>
      <c r="AK1082" s="155" t="inlineStr">
        <is>
          <t>Criterios: J [R]; G1522_Extraccion_Articulos_NetSuite_2026-09-30.xlsx: fila 57461 [S] | Shopify Stetson: producto 14727083032939 / variante 53350614696299</t>
        </is>
      </c>
      <c r="AL1082" s="58" t="n">
        <v>872.8448276</v>
      </c>
      <c r="AM1082" s="58" t="n">
        <v>1939.655172</v>
      </c>
      <c r="AN1082" s="155" t="inlineStr">
        <is>
          <t>Shopify Stetson México</t>
        </is>
      </c>
      <c r="AO1082" s="59" t="n">
        <v>2</v>
      </c>
      <c r="AP1082" s="59" t="n"/>
      <c r="AQ1082" s="59" t="n"/>
      <c r="AR1082" s="155" t="inlineStr">
        <is>
          <t>Shopify Stetson México › Stetson México: 2</t>
        </is>
      </c>
    </row>
    <row r="1083">
      <c r="A1083" s="50" t="inlineStr">
        <is>
          <t>196070780994</t>
        </is>
      </c>
      <c r="B1083" s="51" t="inlineStr">
        <is>
          <t>109647</t>
        </is>
      </c>
      <c r="C1083" s="156" t="inlineStr">
        <is>
          <t>Multimarca</t>
        </is>
      </c>
      <c r="D1083" s="156" t="inlineStr">
        <is>
          <t>11-050-0594-2076</t>
        </is>
      </c>
      <c r="E1083" s="156" t="inlineStr">
        <is>
          <t>11-050-0594-2076-XS</t>
        </is>
      </c>
      <c r="F1083" s="156" t="inlineStr">
        <is>
          <t>XS</t>
        </is>
      </c>
      <c r="G1083" s="156" t="inlineStr">
        <is>
          <t>XS</t>
        </is>
      </c>
      <c r="H1083" s="156" t="inlineStr">
        <is>
          <t>Stetson</t>
        </is>
      </c>
      <c r="I1083" s="156" t="inlineStr">
        <is>
          <t>Camisa Stetson Blusa Manga Larga Mezclilla Crop Dama Crema</t>
        </is>
      </c>
      <c r="J1083" s="156" t="inlineStr">
        <is>
          <t>Ropa</t>
        </is>
      </c>
      <c r="K1083" s="156" t="inlineStr">
        <is>
          <t>Camisas</t>
        </is>
      </c>
      <c r="L1083" s="156" t="inlineStr">
        <is>
          <t>Mujer</t>
        </is>
      </c>
      <c r="M1083" s="156" t="inlineStr">
        <is>
          <t>Stetson</t>
        </is>
      </c>
      <c r="N1083" s="156" t="inlineStr">
        <is>
          <t>SS26</t>
        </is>
      </c>
      <c r="O1083" s="156" t="inlineStr">
        <is>
          <t>Seasonal</t>
        </is>
      </c>
      <c r="P1083" s="156" t="inlineStr">
        <is>
          <t>Azul</t>
        </is>
      </c>
      <c r="Q1083" s="156" t="inlineStr">
        <is>
          <t>Clásico</t>
        </is>
      </c>
      <c r="R1083" s="156" t="n"/>
      <c r="S1083" s="156" t="inlineStr">
        <is>
          <t>100% Algodón</t>
        </is>
      </c>
      <c r="T1083"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3" s="156" t="n"/>
      <c r="V1083" s="156" t="inlineStr">
        <is>
          <t>PZS</t>
        </is>
      </c>
      <c r="W1083" s="51" t="inlineStr">
        <is>
          <t>53101600</t>
        </is>
      </c>
      <c r="X1083" s="156" t="inlineStr">
        <is>
          <t>https://cdn.shopify.com/s/files/1/0888/3250/8267/files/1105005942076b.jpg?v=1751048340</t>
        </is>
      </c>
      <c r="Y1083" s="54" t="n">
        <v>872.8448276</v>
      </c>
      <c r="Z1083" s="54" t="n">
        <v>1939.655172</v>
      </c>
      <c r="AA1083" s="55">
        <f>IF(AND(A1083="", B1083="", E1083=""), "", IF(AB1083="", "Válido", IF((LEN(AB1083)-LEN(SUBSTITUTE(AB1083,"; ","")))/2+1&gt;(LEN(AB1083)-LEN(SUBSTITUTE(AB1083,"[Aviso]","")))/7, "Con Incidencias", "Válido")))</f>
        <v/>
      </c>
      <c r="AB1083" s="56">
        <f>IF(AND(A1083="", B1083="", E1083=""), "", TEXTJOIN("; ", TRUE, IF(OR(TRIM(A1083&amp;"")="", ISNUMBER(SEARCH("FALTA", A1083))), "UPC faltante/inválido", ""), IF(AND(A1083&lt;&gt;"", IFERROR(_xlfn.XMATCH(A1083,$A$2:$A$2509,0,1)&lt;&gt;_xlfn.XMATCH(A1083,$A$2:$A$2509,0,-1),FALSE)), "Código de barras duplicado", ""), IF(AND(E1083&lt;&gt;"", COUNTIF($E$2:$E$2509, E1083)&gt;1), "SKU duplicado", ""), IF(OR(J1083="", J1083=""), "[Aviso] División no capturada ()", IF(ISNA(MATCH(J1083, Criterios!$A$123:$A$126, 0)), "División no válida", "")), IF(OR(K1083="", K1083=""), "[Aviso] Categoría no capturada ()", IF(ISNA(MATCH(K1083, Criterios!$A$81:$A$120, 0)), "Categoría no válida", IF(AND(J1083&lt;&gt;"", J1083&lt;&gt;"", J1083&lt;&gt;VLOOKUP(K1083, Criterios!$A$81:$B$120, 2, FALSE)), "División no coincide con Categoría", ""))), IF(OR(L1083="", L1083=""), "[Aviso] Género no capturado ()", IF(ISNA(MATCH(L1083, Criterios!$B$123:$B$127, 0)), "Género no válido", "")), IF(OR(N1083="", N1083=""), "[Aviso] Temporada no capturada ()", IF(ISNA(MATCH(N1083, Criterios!$C$123:$C$128, 0)), "Temporada no válida", "")), IF(OR(O1083="", O1083=""), "[Aviso] Ciclo de vida no capturado ()", IF(ISNA(MATCH(O1083, Criterios!$D$123:$D$124, 0)), "Ciclo de vida no válido", ""))))</f>
        <v/>
      </c>
      <c r="AC1083" s="56" t="n"/>
      <c r="AD1083" s="51" t="n">
        <v>2</v>
      </c>
      <c r="AE1083" s="156" t="inlineStr">
        <is>
          <t>B25 STETSON.MX (2)</t>
        </is>
      </c>
      <c r="AF1083" s="51" t="n">
        <v>2</v>
      </c>
      <c r="AG1083" s="156" t="inlineStr">
        <is>
          <t>Catálogo existente</t>
        </is>
      </c>
      <c r="AH108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3" s="156" t="inlineStr">
        <is>
          <t>No</t>
        </is>
      </c>
      <c r="AJ1083" s="156" t="n"/>
      <c r="AK1083" s="155" t="inlineStr">
        <is>
          <t>Criterios: J [R]; G1522_Extraccion_Articulos_NetSuite_2026-09-30.xlsx: fila 57462 [S] | Shopify Stetson: producto 14727083032939 / variante 53350614565227</t>
        </is>
      </c>
      <c r="AL1083" s="58" t="n">
        <v>872.8448276</v>
      </c>
      <c r="AM1083" s="58" t="n">
        <v>1939.655172</v>
      </c>
      <c r="AN1083" s="155" t="inlineStr">
        <is>
          <t>Shopify Stetson México</t>
        </is>
      </c>
      <c r="AO1083" s="59" t="n">
        <v>2</v>
      </c>
      <c r="AP1083" s="59" t="n"/>
      <c r="AQ1083" s="59" t="n"/>
      <c r="AR1083" s="155" t="inlineStr">
        <is>
          <t>Shopify Stetson México › Stetson México: 2</t>
        </is>
      </c>
    </row>
    <row r="1084">
      <c r="A1084" s="50" t="inlineStr">
        <is>
          <t>196070781151</t>
        </is>
      </c>
      <c r="B1084" s="51" t="inlineStr">
        <is>
          <t>109648</t>
        </is>
      </c>
      <c r="C1084" s="156" t="inlineStr">
        <is>
          <t>Multimarca</t>
        </is>
      </c>
      <c r="D1084" s="156" t="inlineStr">
        <is>
          <t>11-052-0565-2052</t>
        </is>
      </c>
      <c r="E1084" s="156" t="inlineStr">
        <is>
          <t>11-052-0565-2052-L</t>
        </is>
      </c>
      <c r="F1084" s="156" t="inlineStr">
        <is>
          <t>L</t>
        </is>
      </c>
      <c r="G1084" s="156" t="inlineStr">
        <is>
          <t>L</t>
        </is>
      </c>
      <c r="H1084" s="156" t="inlineStr">
        <is>
          <t>Stetson</t>
        </is>
      </c>
      <c r="I1084" s="156" t="inlineStr">
        <is>
          <t>Camisa Stetson Blusa Mezclilla Tencel Azul Sin Mangas</t>
        </is>
      </c>
      <c r="J1084" s="156" t="inlineStr">
        <is>
          <t>Ropa</t>
        </is>
      </c>
      <c r="K1084" s="156" t="inlineStr">
        <is>
          <t>Camisas</t>
        </is>
      </c>
      <c r="L1084" s="156" t="inlineStr">
        <is>
          <t>Mujer</t>
        </is>
      </c>
      <c r="M1084" s="156" t="inlineStr">
        <is>
          <t>Stetson</t>
        </is>
      </c>
      <c r="N1084" s="156" t="inlineStr">
        <is>
          <t>SS26</t>
        </is>
      </c>
      <c r="O1084" s="156" t="inlineStr">
        <is>
          <t>Seasonal</t>
        </is>
      </c>
      <c r="P1084" s="156" t="inlineStr">
        <is>
          <t>Azul</t>
        </is>
      </c>
      <c r="Q1084" s="156" t="inlineStr">
        <is>
          <t>Relajado</t>
        </is>
      </c>
      <c r="R1084" s="156" t="n"/>
      <c r="S1084" s="156" t="inlineStr">
        <is>
          <t>Tencel</t>
        </is>
      </c>
      <c r="T1084"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4" s="156" t="n"/>
      <c r="V1084" s="156" t="inlineStr">
        <is>
          <t>PZS</t>
        </is>
      </c>
      <c r="W1084" s="51" t="inlineStr">
        <is>
          <t>53101600</t>
        </is>
      </c>
      <c r="X1084" s="156" t="inlineStr">
        <is>
          <t>https://cdn.shopify.com/s/files/1/0888/3250/8267/files/1105205652052a.jpg?v=1751048805</t>
        </is>
      </c>
      <c r="Y1084" s="54" t="n">
        <v>872.8448276</v>
      </c>
      <c r="Z1084" s="54" t="n">
        <v>1939.655172</v>
      </c>
      <c r="AA1084" s="55">
        <f>IF(AND(A1084="", B1084="", E1084=""), "", IF(AB1084="", "Válido", IF((LEN(AB1084)-LEN(SUBSTITUTE(AB1084,"; ","")))/2+1&gt;(LEN(AB1084)-LEN(SUBSTITUTE(AB1084,"[Aviso]","")))/7, "Con Incidencias", "Válido")))</f>
        <v/>
      </c>
      <c r="AB1084" s="56">
        <f>IF(AND(A1084="", B1084="", E1084=""), "", TEXTJOIN("; ", TRUE, IF(OR(TRIM(A1084&amp;"")="", ISNUMBER(SEARCH("FALTA", A1084))), "UPC faltante/inválido", ""), IF(AND(A1084&lt;&gt;"", IFERROR(_xlfn.XMATCH(A1084,$A$2:$A$2509,0,1)&lt;&gt;_xlfn.XMATCH(A1084,$A$2:$A$2509,0,-1),FALSE)), "Código de barras duplicado", ""), IF(AND(E1084&lt;&gt;"", COUNTIF($E$2:$E$2509, E1084)&gt;1), "SKU duplicado", ""), IF(OR(J1084="", J1084=""), "[Aviso] División no capturada ()", IF(ISNA(MATCH(J1084, Criterios!$A$123:$A$126, 0)), "División no válida", "")), IF(OR(K1084="", K1084=""), "[Aviso] Categoría no capturada ()", IF(ISNA(MATCH(K1084, Criterios!$A$81:$A$120, 0)), "Categoría no válida", IF(AND(J1084&lt;&gt;"", J1084&lt;&gt;"", J1084&lt;&gt;VLOOKUP(K1084, Criterios!$A$81:$B$120, 2, FALSE)), "División no coincide con Categoría", ""))), IF(OR(L1084="", L1084=""), "[Aviso] Género no capturado ()", IF(ISNA(MATCH(L1084, Criterios!$B$123:$B$127, 0)), "Género no válido", "")), IF(OR(N1084="", N1084=""), "[Aviso] Temporada no capturada ()", IF(ISNA(MATCH(N1084, Criterios!$C$123:$C$128, 0)), "Temporada no válida", "")), IF(OR(O1084="", O1084=""), "[Aviso] Ciclo de vida no capturado ()", IF(ISNA(MATCH(O1084, Criterios!$D$123:$D$124, 0)), "Ciclo de vida no válido", ""))))</f>
        <v/>
      </c>
      <c r="AC1084" s="56" t="n"/>
      <c r="AD1084" s="51" t="n">
        <v>2</v>
      </c>
      <c r="AE1084" s="156" t="inlineStr">
        <is>
          <t>B25 STETSON.MX (2)</t>
        </is>
      </c>
      <c r="AF1084" s="51" t="n">
        <v>2</v>
      </c>
      <c r="AG1084" s="156" t="inlineStr">
        <is>
          <t>Catálogo existente</t>
        </is>
      </c>
      <c r="AH1084" s="156" t="inlineStr">
        <is>
          <t>Revisión 29/09/2026: Campos sin respaldo: U, X; Auditoría NetSuite 30/09/2026: llenado desde NetSuite [S] | 01/10/2026: complementado desde Shopify Stetson México (match por código de barras): WB Silueta, Enlace de imagen</t>
        </is>
      </c>
      <c r="AI1084" s="156" t="inlineStr">
        <is>
          <t>No</t>
        </is>
      </c>
      <c r="AJ1084" s="156" t="n"/>
      <c r="AK1084" s="155" t="inlineStr">
        <is>
          <t>Criterios: J [R]; G1522_Extraccion_Articulos_NetSuite_2026-09-30.xlsx: fila 57463 [S] | Shopify Stetson: producto 14727083819371 / variante 53350614499691</t>
        </is>
      </c>
      <c r="AL1084" s="58" t="n">
        <v>872.8448276</v>
      </c>
      <c r="AM1084" s="58" t="n">
        <v>1939.655172</v>
      </c>
      <c r="AN1084" s="155" t="inlineStr">
        <is>
          <t>Shopify Stetson México</t>
        </is>
      </c>
      <c r="AO1084" s="59" t="n">
        <v>2</v>
      </c>
      <c r="AP1084" s="59" t="n"/>
      <c r="AQ1084" s="59" t="n"/>
      <c r="AR1084" s="155" t="inlineStr">
        <is>
          <t>Shopify Stetson México › Stetson México: 2</t>
        </is>
      </c>
    </row>
    <row r="1085">
      <c r="A1085" s="50" t="inlineStr">
        <is>
          <t>196070781168</t>
        </is>
      </c>
      <c r="B1085" s="51" t="inlineStr">
        <is>
          <t>109649</t>
        </is>
      </c>
      <c r="C1085" s="156" t="inlineStr">
        <is>
          <t>Multimarca</t>
        </is>
      </c>
      <c r="D1085" s="156" t="inlineStr">
        <is>
          <t>11-052-0565-2052</t>
        </is>
      </c>
      <c r="E1085" s="156" t="inlineStr">
        <is>
          <t>11-052-0565-2052-M</t>
        </is>
      </c>
      <c r="F1085" s="156" t="inlineStr">
        <is>
          <t>M</t>
        </is>
      </c>
      <c r="G1085" s="156" t="inlineStr">
        <is>
          <t>M</t>
        </is>
      </c>
      <c r="H1085" s="156" t="inlineStr">
        <is>
          <t>Stetson</t>
        </is>
      </c>
      <c r="I1085" s="156" t="inlineStr">
        <is>
          <t>Camisa Stetson Blusa Mezclilla Tencel Azul Sin Mangas</t>
        </is>
      </c>
      <c r="J1085" s="156" t="inlineStr">
        <is>
          <t>Ropa</t>
        </is>
      </c>
      <c r="K1085" s="156" t="inlineStr">
        <is>
          <t>Camisas</t>
        </is>
      </c>
      <c r="L1085" s="156" t="inlineStr">
        <is>
          <t>Mujer</t>
        </is>
      </c>
      <c r="M1085" s="156" t="inlineStr">
        <is>
          <t>Stetson</t>
        </is>
      </c>
      <c r="N1085" s="156" t="inlineStr">
        <is>
          <t>SS26</t>
        </is>
      </c>
      <c r="O1085" s="156" t="inlineStr">
        <is>
          <t>Seasonal</t>
        </is>
      </c>
      <c r="P1085" s="156" t="inlineStr">
        <is>
          <t>Azul</t>
        </is>
      </c>
      <c r="Q1085" s="156" t="inlineStr">
        <is>
          <t>Relajado</t>
        </is>
      </c>
      <c r="R1085" s="156" t="n"/>
      <c r="S1085" s="156" t="inlineStr">
        <is>
          <t>Tencel</t>
        </is>
      </c>
      <c r="T1085"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5" s="156" t="n"/>
      <c r="V1085" s="156" t="inlineStr">
        <is>
          <t>PZS</t>
        </is>
      </c>
      <c r="W1085" s="51" t="inlineStr">
        <is>
          <t>53101600</t>
        </is>
      </c>
      <c r="X1085" s="156" t="inlineStr">
        <is>
          <t>https://cdn.shopify.com/s/files/1/0888/3250/8267/files/1105205652052b.jpg?v=1751048819</t>
        </is>
      </c>
      <c r="Y1085" s="54" t="n">
        <v>872.8448276</v>
      </c>
      <c r="Z1085" s="54" t="n">
        <v>1939.655172</v>
      </c>
      <c r="AA1085" s="55">
        <f>IF(AND(A1085="", B1085="", E1085=""), "", IF(AB1085="", "Válido", IF((LEN(AB1085)-LEN(SUBSTITUTE(AB1085,"; ","")))/2+1&gt;(LEN(AB1085)-LEN(SUBSTITUTE(AB1085,"[Aviso]","")))/7, "Con Incidencias", "Válido")))</f>
        <v/>
      </c>
      <c r="AB1085" s="56">
        <f>IF(AND(A1085="", B1085="", E1085=""), "", TEXTJOIN("; ", TRUE, IF(OR(TRIM(A1085&amp;"")="", ISNUMBER(SEARCH("FALTA", A1085))), "UPC faltante/inválido", ""), IF(AND(A1085&lt;&gt;"", IFERROR(_xlfn.XMATCH(A1085,$A$2:$A$2509,0,1)&lt;&gt;_xlfn.XMATCH(A1085,$A$2:$A$2509,0,-1),FALSE)), "Código de barras duplicado", ""), IF(AND(E1085&lt;&gt;"", COUNTIF($E$2:$E$2509, E1085)&gt;1), "SKU duplicado", ""), IF(OR(J1085="", J1085=""), "[Aviso] División no capturada ()", IF(ISNA(MATCH(J1085, Criterios!$A$123:$A$126, 0)), "División no válida", "")), IF(OR(K1085="", K1085=""), "[Aviso] Categoría no capturada ()", IF(ISNA(MATCH(K1085, Criterios!$A$81:$A$120, 0)), "Categoría no válida", IF(AND(J1085&lt;&gt;"", J1085&lt;&gt;"", J1085&lt;&gt;VLOOKUP(K1085, Criterios!$A$81:$B$120, 2, FALSE)), "División no coincide con Categoría", ""))), IF(OR(L1085="", L1085=""), "[Aviso] Género no capturado ()", IF(ISNA(MATCH(L1085, Criterios!$B$123:$B$127, 0)), "Género no válido", "")), IF(OR(N1085="", N1085=""), "[Aviso] Temporada no capturada ()", IF(ISNA(MATCH(N1085, Criterios!$C$123:$C$128, 0)), "Temporada no válida", "")), IF(OR(O1085="", O1085=""), "[Aviso] Ciclo de vida no capturado ()", IF(ISNA(MATCH(O1085, Criterios!$D$123:$D$124, 0)), "Ciclo de vida no válido", ""))))</f>
        <v/>
      </c>
      <c r="AC1085" s="56" t="n"/>
      <c r="AD1085" s="51" t="n">
        <v>2</v>
      </c>
      <c r="AE1085" s="156" t="inlineStr">
        <is>
          <t>B25 STETSON.MX (2)</t>
        </is>
      </c>
      <c r="AF1085" s="51" t="n">
        <v>2</v>
      </c>
      <c r="AG1085" s="156" t="inlineStr">
        <is>
          <t>Catálogo existente</t>
        </is>
      </c>
      <c r="AH1085" s="156" t="inlineStr">
        <is>
          <t>Revisión 29/09/2026: Campos sin respaldo: U; Auditoría NetSuite 30/09/2026: llenado desde NetSuite [S] | 01/10/2026: complementado desde Shopify Stetson México (match por código de barras): WB Silueta</t>
        </is>
      </c>
      <c r="AI1085" s="156" t="inlineStr">
        <is>
          <t>No</t>
        </is>
      </c>
      <c r="AJ1085" s="156" t="n"/>
      <c r="AK1085" s="155" t="inlineStr">
        <is>
          <t>Criterios: J [R]; G1522_Extraccion_Articulos_NetSuite_2026-09-30.xlsx: fila 57464 [S] | Shopify Stetson: producto 14727083819371 / variante 53350614466923</t>
        </is>
      </c>
      <c r="AL1085" s="58" t="n">
        <v>872.8448276</v>
      </c>
      <c r="AM1085" s="58" t="n">
        <v>1939.655172</v>
      </c>
      <c r="AN1085" s="155" t="inlineStr">
        <is>
          <t>Shopify Stetson México</t>
        </is>
      </c>
      <c r="AO1085" s="59" t="n">
        <v>2</v>
      </c>
      <c r="AP1085" s="59" t="n"/>
      <c r="AQ1085" s="59" t="n"/>
      <c r="AR1085" s="155" t="inlineStr">
        <is>
          <t>Shopify Stetson México › Stetson México: 2</t>
        </is>
      </c>
    </row>
    <row r="1086">
      <c r="A1086" s="50" t="inlineStr">
        <is>
          <t>196070781175</t>
        </is>
      </c>
      <c r="B1086" s="51" t="inlineStr">
        <is>
          <t>109650</t>
        </is>
      </c>
      <c r="C1086" s="156" t="inlineStr">
        <is>
          <t>Multimarca</t>
        </is>
      </c>
      <c r="D1086" s="156" t="inlineStr">
        <is>
          <t>11-052-0565-2052</t>
        </is>
      </c>
      <c r="E1086" s="156" t="inlineStr">
        <is>
          <t>11-052-0565-2052-S</t>
        </is>
      </c>
      <c r="F1086" s="156" t="inlineStr">
        <is>
          <t>S</t>
        </is>
      </c>
      <c r="G1086" s="156" t="inlineStr">
        <is>
          <t>S</t>
        </is>
      </c>
      <c r="H1086" s="156" t="inlineStr">
        <is>
          <t>Stetson</t>
        </is>
      </c>
      <c r="I1086" s="156" t="inlineStr">
        <is>
          <t>Camisa Stetson Blusa Mezclilla Tencel Azul Sin Mangas</t>
        </is>
      </c>
      <c r="J1086" s="156" t="inlineStr">
        <is>
          <t>Ropa</t>
        </is>
      </c>
      <c r="K1086" s="156" t="inlineStr">
        <is>
          <t>Camisas</t>
        </is>
      </c>
      <c r="L1086" s="156" t="inlineStr">
        <is>
          <t>Mujer</t>
        </is>
      </c>
      <c r="M1086" s="156" t="inlineStr">
        <is>
          <t>Stetson</t>
        </is>
      </c>
      <c r="N1086" s="156" t="inlineStr">
        <is>
          <t>SS26</t>
        </is>
      </c>
      <c r="O1086" s="156" t="inlineStr">
        <is>
          <t>Seasonal</t>
        </is>
      </c>
      <c r="P1086" s="156" t="inlineStr">
        <is>
          <t>Azul</t>
        </is>
      </c>
      <c r="Q1086" s="156" t="inlineStr">
        <is>
          <t>Relajado</t>
        </is>
      </c>
      <c r="R1086" s="156" t="n"/>
      <c r="S1086" s="156" t="inlineStr">
        <is>
          <t>Tencel</t>
        </is>
      </c>
      <c r="T1086"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6" s="156" t="n"/>
      <c r="V1086" s="156" t="inlineStr">
        <is>
          <t>PZS</t>
        </is>
      </c>
      <c r="W1086" s="51" t="inlineStr">
        <is>
          <t>53101600</t>
        </is>
      </c>
      <c r="X1086" s="156" t="inlineStr">
        <is>
          <t>https://cdn.shopify.com/s/files/1/0888/3250/8267/files/1105205652052c.jpg?v=1751048812</t>
        </is>
      </c>
      <c r="Y1086" s="54" t="n">
        <v>872.8448276</v>
      </c>
      <c r="Z1086" s="54" t="n">
        <v>1939.655172</v>
      </c>
      <c r="AA1086" s="55">
        <f>IF(AND(A1086="", B1086="", E1086=""), "", IF(AB1086="", "Válido", IF((LEN(AB1086)-LEN(SUBSTITUTE(AB1086,"; ","")))/2+1&gt;(LEN(AB1086)-LEN(SUBSTITUTE(AB1086,"[Aviso]","")))/7, "Con Incidencias", "Válido")))</f>
        <v/>
      </c>
      <c r="AB1086" s="56">
        <f>IF(AND(A1086="", B1086="", E1086=""), "", TEXTJOIN("; ", TRUE, IF(OR(TRIM(A1086&amp;"")="", ISNUMBER(SEARCH("FALTA", A1086))), "UPC faltante/inválido", ""), IF(AND(A1086&lt;&gt;"", IFERROR(_xlfn.XMATCH(A1086,$A$2:$A$2509,0,1)&lt;&gt;_xlfn.XMATCH(A1086,$A$2:$A$2509,0,-1),FALSE)), "Código de barras duplicado", ""), IF(AND(E1086&lt;&gt;"", COUNTIF($E$2:$E$2509, E1086)&gt;1), "SKU duplicado", ""), IF(OR(J1086="", J1086=""), "[Aviso] División no capturada ()", IF(ISNA(MATCH(J1086, Criterios!$A$123:$A$126, 0)), "División no válida", "")), IF(OR(K1086="", K1086=""), "[Aviso] Categoría no capturada ()", IF(ISNA(MATCH(K1086, Criterios!$A$81:$A$120, 0)), "Categoría no válida", IF(AND(J1086&lt;&gt;"", J1086&lt;&gt;"", J1086&lt;&gt;VLOOKUP(K1086, Criterios!$A$81:$B$120, 2, FALSE)), "División no coincide con Categoría", ""))), IF(OR(L1086="", L1086=""), "[Aviso] Género no capturado ()", IF(ISNA(MATCH(L1086, Criterios!$B$123:$B$127, 0)), "Género no válido", "")), IF(OR(N1086="", N1086=""), "[Aviso] Temporada no capturada ()", IF(ISNA(MATCH(N1086, Criterios!$C$123:$C$128, 0)), "Temporada no válida", "")), IF(OR(O1086="", O1086=""), "[Aviso] Ciclo de vida no capturado ()", IF(ISNA(MATCH(O1086, Criterios!$D$123:$D$124, 0)), "Ciclo de vida no válido", ""))))</f>
        <v/>
      </c>
      <c r="AC1086" s="56" t="n"/>
      <c r="AD1086" s="51" t="n">
        <v>2</v>
      </c>
      <c r="AE1086" s="156" t="inlineStr">
        <is>
          <t>B25 STETSON.MX (2)</t>
        </is>
      </c>
      <c r="AF1086" s="51" t="n">
        <v>2</v>
      </c>
      <c r="AG1086" s="156" t="inlineStr">
        <is>
          <t>Catálogo existente</t>
        </is>
      </c>
      <c r="AH1086" s="156" t="inlineStr">
        <is>
          <t>Revisión 29/09/2026: Campos sin respaldo: U; Auditoría NetSuite 30/09/2026: llenado desde NetSuite [S] | 01/10/2026: complementado desde Shopify Stetson México (match por código de barras): WB Silueta</t>
        </is>
      </c>
      <c r="AI1086" s="156" t="inlineStr">
        <is>
          <t>No</t>
        </is>
      </c>
      <c r="AJ1086" s="156" t="n"/>
      <c r="AK1086" s="155" t="inlineStr">
        <is>
          <t>Criterios: J [R]; G1522_Extraccion_Articulos_NetSuite_2026-09-30.xlsx: fila 57465 [S] | Shopify Stetson: producto 14727083819371 / variante 53350614434155</t>
        </is>
      </c>
      <c r="AL1086" s="58" t="n">
        <v>872.8448276</v>
      </c>
      <c r="AM1086" s="58" t="n">
        <v>1939.655172</v>
      </c>
      <c r="AN1086" s="155" t="inlineStr">
        <is>
          <t>Shopify Stetson México</t>
        </is>
      </c>
      <c r="AO1086" s="59" t="n">
        <v>2</v>
      </c>
      <c r="AP1086" s="59" t="n"/>
      <c r="AQ1086" s="59" t="n"/>
      <c r="AR1086" s="155" t="inlineStr">
        <is>
          <t>Shopify Stetson México › Stetson México: 2</t>
        </is>
      </c>
    </row>
    <row r="1087">
      <c r="A1087" s="50" t="inlineStr">
        <is>
          <t>196070781182</t>
        </is>
      </c>
      <c r="B1087" s="51" t="inlineStr">
        <is>
          <t>109651</t>
        </is>
      </c>
      <c r="C1087" s="156" t="inlineStr">
        <is>
          <t>Multimarca</t>
        </is>
      </c>
      <c r="D1087" s="156" t="inlineStr">
        <is>
          <t>11-052-0565-2052</t>
        </is>
      </c>
      <c r="E1087" s="156" t="inlineStr">
        <is>
          <t>11-052-0565-2052-XL</t>
        </is>
      </c>
      <c r="F1087" s="156" t="inlineStr">
        <is>
          <t>XL</t>
        </is>
      </c>
      <c r="G1087" s="156" t="inlineStr">
        <is>
          <t>XL</t>
        </is>
      </c>
      <c r="H1087" s="156" t="inlineStr">
        <is>
          <t>Stetson</t>
        </is>
      </c>
      <c r="I1087" s="156" t="inlineStr">
        <is>
          <t>Camisa Stetson Blusa Mezclilla Tencel Azul Sin Mangas</t>
        </is>
      </c>
      <c r="J1087" s="156" t="inlineStr">
        <is>
          <t>Ropa</t>
        </is>
      </c>
      <c r="K1087" s="156" t="inlineStr">
        <is>
          <t>Camisas</t>
        </is>
      </c>
      <c r="L1087" s="156" t="inlineStr">
        <is>
          <t>Mujer</t>
        </is>
      </c>
      <c r="M1087" s="156" t="inlineStr">
        <is>
          <t>Stetson</t>
        </is>
      </c>
      <c r="N1087" s="156" t="inlineStr">
        <is>
          <t>SS26</t>
        </is>
      </c>
      <c r="O1087" s="156" t="inlineStr">
        <is>
          <t>Seasonal</t>
        </is>
      </c>
      <c r="P1087" s="156" t="inlineStr">
        <is>
          <t>Azul</t>
        </is>
      </c>
      <c r="Q1087" s="156" t="inlineStr">
        <is>
          <t>Relajado</t>
        </is>
      </c>
      <c r="R1087" s="156" t="n"/>
      <c r="S1087" s="156" t="inlineStr">
        <is>
          <t>Tencel</t>
        </is>
      </c>
      <c r="T1087"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7" s="156" t="n"/>
      <c r="V1087" s="156" t="inlineStr">
        <is>
          <t>PZS</t>
        </is>
      </c>
      <c r="W1087" s="51" t="inlineStr">
        <is>
          <t>53101600</t>
        </is>
      </c>
      <c r="X1087" s="156" t="inlineStr">
        <is>
          <t>https://cdn.shopify.com/s/files/1/0888/3250/8267/files/1105205652052a.jpg?v=1751048805</t>
        </is>
      </c>
      <c r="Y1087" s="54" t="n">
        <v>872.8448276</v>
      </c>
      <c r="Z1087" s="54" t="n">
        <v>1939.655172</v>
      </c>
      <c r="AA1087" s="55">
        <f>IF(AND(A1087="", B1087="", E1087=""), "", IF(AB1087="", "Válido", IF((LEN(AB1087)-LEN(SUBSTITUTE(AB1087,"; ","")))/2+1&gt;(LEN(AB1087)-LEN(SUBSTITUTE(AB1087,"[Aviso]","")))/7, "Con Incidencias", "Válido")))</f>
        <v/>
      </c>
      <c r="AB1087" s="56">
        <f>IF(AND(A1087="", B1087="", E1087=""), "", TEXTJOIN("; ", TRUE, IF(OR(TRIM(A1087&amp;"")="", ISNUMBER(SEARCH("FALTA", A1087))), "UPC faltante/inválido", ""), IF(AND(A1087&lt;&gt;"", IFERROR(_xlfn.XMATCH(A1087,$A$2:$A$2509,0,1)&lt;&gt;_xlfn.XMATCH(A1087,$A$2:$A$2509,0,-1),FALSE)), "Código de barras duplicado", ""), IF(AND(E1087&lt;&gt;"", COUNTIF($E$2:$E$2509, E1087)&gt;1), "SKU duplicado", ""), IF(OR(J1087="", J1087=""), "[Aviso] División no capturada ()", IF(ISNA(MATCH(J1087, Criterios!$A$123:$A$126, 0)), "División no válida", "")), IF(OR(K1087="", K1087=""), "[Aviso] Categoría no capturada ()", IF(ISNA(MATCH(K1087, Criterios!$A$81:$A$120, 0)), "Categoría no válida", IF(AND(J1087&lt;&gt;"", J1087&lt;&gt;"", J1087&lt;&gt;VLOOKUP(K1087, Criterios!$A$81:$B$120, 2, FALSE)), "División no coincide con Categoría", ""))), IF(OR(L1087="", L1087=""), "[Aviso] Género no capturado ()", IF(ISNA(MATCH(L1087, Criterios!$B$123:$B$127, 0)), "Género no válido", "")), IF(OR(N1087="", N1087=""), "[Aviso] Temporada no capturada ()", IF(ISNA(MATCH(N1087, Criterios!$C$123:$C$128, 0)), "Temporada no válida", "")), IF(OR(O1087="", O1087=""), "[Aviso] Ciclo de vida no capturado ()", IF(ISNA(MATCH(O1087, Criterios!$D$123:$D$124, 0)), "Ciclo de vida no válido", ""))))</f>
        <v/>
      </c>
      <c r="AC1087" s="56" t="n"/>
      <c r="AD1087" s="51" t="n">
        <v>2</v>
      </c>
      <c r="AE1087" s="156" t="inlineStr">
        <is>
          <t>B25 STETSON.MX (2)</t>
        </is>
      </c>
      <c r="AF1087" s="51" t="n">
        <v>2</v>
      </c>
      <c r="AG1087" s="156" t="inlineStr">
        <is>
          <t>Catálogo existente</t>
        </is>
      </c>
      <c r="AH1087" s="156" t="inlineStr">
        <is>
          <t>Revisión 29/09/2026: Campos sin respaldo: U, X; Auditoría NetSuite 30/09/2026: llenado desde NetSuite [S] | 01/10/2026: complementado desde Shopify Stetson México (match por código de barras): WB Silueta, Enlace de imagen</t>
        </is>
      </c>
      <c r="AI1087" s="156" t="inlineStr">
        <is>
          <t>No</t>
        </is>
      </c>
      <c r="AJ1087" s="156" t="n"/>
      <c r="AK1087" s="155" t="inlineStr">
        <is>
          <t>Criterios: J [R]; G1522_Extraccion_Articulos_NetSuite_2026-09-30.xlsx: fila 57466 [S] | Shopify Stetson: producto 14727083819371 / variante 53350614532459</t>
        </is>
      </c>
      <c r="AL1087" s="58" t="n">
        <v>872.8448276</v>
      </c>
      <c r="AM1087" s="58" t="n">
        <v>1939.655172</v>
      </c>
      <c r="AN1087" s="155" t="inlineStr">
        <is>
          <t>Shopify Stetson México</t>
        </is>
      </c>
      <c r="AO1087" s="59" t="n">
        <v>2</v>
      </c>
      <c r="AP1087" s="59" t="n"/>
      <c r="AQ1087" s="59" t="n"/>
      <c r="AR1087" s="155" t="inlineStr">
        <is>
          <t>Shopify Stetson México › Stetson México: 2</t>
        </is>
      </c>
    </row>
    <row r="1088">
      <c r="A1088" s="50" t="inlineStr">
        <is>
          <t>196070781199</t>
        </is>
      </c>
      <c r="B1088" s="51" t="inlineStr">
        <is>
          <t>109652</t>
        </is>
      </c>
      <c r="C1088" s="156" t="inlineStr">
        <is>
          <t>Multimarca</t>
        </is>
      </c>
      <c r="D1088" s="156" t="inlineStr">
        <is>
          <t>11-052-0565-2052</t>
        </is>
      </c>
      <c r="E1088" s="156" t="inlineStr">
        <is>
          <t>11-052-0565-2052-XS</t>
        </is>
      </c>
      <c r="F1088" s="156" t="inlineStr">
        <is>
          <t>XS</t>
        </is>
      </c>
      <c r="G1088" s="156" t="inlineStr">
        <is>
          <t>XS</t>
        </is>
      </c>
      <c r="H1088" s="156" t="inlineStr">
        <is>
          <t>Stetson</t>
        </is>
      </c>
      <c r="I1088" s="156" t="inlineStr">
        <is>
          <t>Camisa Stetson Blusa Mezclilla Tencel Azul Sin Mangas</t>
        </is>
      </c>
      <c r="J1088" s="156" t="inlineStr">
        <is>
          <t>Ropa</t>
        </is>
      </c>
      <c r="K1088" s="156" t="inlineStr">
        <is>
          <t>Camisas</t>
        </is>
      </c>
      <c r="L1088" s="156" t="inlineStr">
        <is>
          <t>Mujer</t>
        </is>
      </c>
      <c r="M1088" s="156" t="inlineStr">
        <is>
          <t>Stetson</t>
        </is>
      </c>
      <c r="N1088" s="156" t="inlineStr">
        <is>
          <t>SS26</t>
        </is>
      </c>
      <c r="O1088" s="156" t="inlineStr">
        <is>
          <t>Seasonal</t>
        </is>
      </c>
      <c r="P1088" s="156" t="inlineStr">
        <is>
          <t>Azul</t>
        </is>
      </c>
      <c r="Q1088" s="156" t="inlineStr">
        <is>
          <t>Relajado</t>
        </is>
      </c>
      <c r="R1088" s="156" t="n"/>
      <c r="S1088" s="156" t="inlineStr">
        <is>
          <t>Tencel</t>
        </is>
      </c>
      <c r="T1088"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8" s="156" t="n"/>
      <c r="V1088" s="156" t="inlineStr">
        <is>
          <t>PZS</t>
        </is>
      </c>
      <c r="W1088" s="51" t="inlineStr">
        <is>
          <t>53101600</t>
        </is>
      </c>
      <c r="X1088" s="156" t="inlineStr">
        <is>
          <t>https://cdn.shopify.com/s/files/1/0888/3250/8267/files/1105205652052a.jpg?v=1751048805</t>
        </is>
      </c>
      <c r="Y1088" s="54" t="n">
        <v>872.8448276</v>
      </c>
      <c r="Z1088" s="54" t="n">
        <v>1939.655172</v>
      </c>
      <c r="AA1088" s="55">
        <f>IF(AND(A1088="", B1088="", E1088=""), "", IF(AB1088="", "Válido", IF((LEN(AB1088)-LEN(SUBSTITUTE(AB1088,"; ","")))/2+1&gt;(LEN(AB1088)-LEN(SUBSTITUTE(AB1088,"[Aviso]","")))/7, "Con Incidencias", "Válido")))</f>
        <v/>
      </c>
      <c r="AB1088" s="56">
        <f>IF(AND(A1088="", B1088="", E1088=""), "", TEXTJOIN("; ", TRUE, IF(OR(TRIM(A1088&amp;"")="", ISNUMBER(SEARCH("FALTA", A1088))), "UPC faltante/inválido", ""), IF(AND(A1088&lt;&gt;"", IFERROR(_xlfn.XMATCH(A1088,$A$2:$A$2509,0,1)&lt;&gt;_xlfn.XMATCH(A1088,$A$2:$A$2509,0,-1),FALSE)), "Código de barras duplicado", ""), IF(AND(E1088&lt;&gt;"", COUNTIF($E$2:$E$2509, E1088)&gt;1), "SKU duplicado", ""), IF(OR(J1088="", J1088=""), "[Aviso] División no capturada ()", IF(ISNA(MATCH(J1088, Criterios!$A$123:$A$126, 0)), "División no válida", "")), IF(OR(K1088="", K1088=""), "[Aviso] Categoría no capturada ()", IF(ISNA(MATCH(K1088, Criterios!$A$81:$A$120, 0)), "Categoría no válida", IF(AND(J1088&lt;&gt;"", J1088&lt;&gt;"", J1088&lt;&gt;VLOOKUP(K1088, Criterios!$A$81:$B$120, 2, FALSE)), "División no coincide con Categoría", ""))), IF(OR(L1088="", L1088=""), "[Aviso] Género no capturado ()", IF(ISNA(MATCH(L1088, Criterios!$B$123:$B$127, 0)), "Género no válido", "")), IF(OR(N1088="", N1088=""), "[Aviso] Temporada no capturada ()", IF(ISNA(MATCH(N1088, Criterios!$C$123:$C$128, 0)), "Temporada no válida", "")), IF(OR(O1088="", O1088=""), "[Aviso] Ciclo de vida no capturado ()", IF(ISNA(MATCH(O1088, Criterios!$D$123:$D$124, 0)), "Ciclo de vida no válido", ""))))</f>
        <v/>
      </c>
      <c r="AC1088" s="56" t="n"/>
      <c r="AD1088" s="51" t="n">
        <v>2</v>
      </c>
      <c r="AE1088" s="156" t="inlineStr">
        <is>
          <t>B25 STETSON.MX (2)</t>
        </is>
      </c>
      <c r="AF1088" s="51" t="n">
        <v>2</v>
      </c>
      <c r="AG1088" s="156" t="inlineStr">
        <is>
          <t>Catálogo existente</t>
        </is>
      </c>
      <c r="AH1088" s="156" t="inlineStr">
        <is>
          <t>Revisión 29/09/2026: Campos sin respaldo: U; Auditoría NetSuite 30/09/2026: llenado desde NetSuite [S] | 01/10/2026: complementado desde Shopify Stetson México (match por código de barras): WB Silueta</t>
        </is>
      </c>
      <c r="AI1088" s="156" t="inlineStr">
        <is>
          <t>No</t>
        </is>
      </c>
      <c r="AJ1088" s="156" t="n"/>
      <c r="AK1088" s="155" t="inlineStr">
        <is>
          <t>Criterios: J [R]; G1522_Extraccion_Articulos_NetSuite_2026-09-30.xlsx: fila 57467 [S] | Shopify Stetson: producto 14727083819371 / variante 53350614401387</t>
        </is>
      </c>
      <c r="AL1088" s="58" t="n">
        <v>872.8448276</v>
      </c>
      <c r="AM1088" s="58" t="n">
        <v>1939.655172</v>
      </c>
      <c r="AN1088" s="155" t="inlineStr">
        <is>
          <t>Shopify Stetson México</t>
        </is>
      </c>
      <c r="AO1088" s="59" t="n">
        <v>2</v>
      </c>
      <c r="AP1088" s="59" t="n"/>
      <c r="AQ1088" s="59" t="n"/>
      <c r="AR1088" s="155" t="inlineStr">
        <is>
          <t>Shopify Stetson México › Stetson México: 2</t>
        </is>
      </c>
    </row>
    <row r="1089">
      <c r="A1089" s="50" t="inlineStr">
        <is>
          <t>196070811018</t>
        </is>
      </c>
      <c r="B1089" s="51" t="inlineStr">
        <is>
          <t>110689</t>
        </is>
      </c>
      <c r="C1089" s="156" t="inlineStr">
        <is>
          <t>Multimarca</t>
        </is>
      </c>
      <c r="D1089" s="156" t="inlineStr">
        <is>
          <t>11-054-0214-0817</t>
        </is>
      </c>
      <c r="E1089" s="156" t="inlineStr">
        <is>
          <t>11-054-0214-0817-2R</t>
        </is>
      </c>
      <c r="F1089" s="156" t="inlineStr">
        <is>
          <t>5</t>
        </is>
      </c>
      <c r="G1089" s="156" t="inlineStr">
        <is>
          <t>2</t>
        </is>
      </c>
      <c r="H1089" s="156" t="inlineStr">
        <is>
          <t>Stetson</t>
        </is>
      </c>
      <c r="I1089" s="156" t="inlineStr">
        <is>
          <t>Jean Mujer Bolsillos Frontales Sesgados Welt Traseros</t>
        </is>
      </c>
      <c r="J1089" s="156" t="inlineStr">
        <is>
          <t>Denim</t>
        </is>
      </c>
      <c r="K1089" s="156" t="inlineStr">
        <is>
          <t>Jeans</t>
        </is>
      </c>
      <c r="L1089" s="156" t="inlineStr">
        <is>
          <t>Mujer</t>
        </is>
      </c>
      <c r="M1089" s="156" t="inlineStr">
        <is>
          <t>Stetson</t>
        </is>
      </c>
      <c r="N1089" s="156" t="inlineStr">
        <is>
          <t>SS26</t>
        </is>
      </c>
      <c r="O1089" s="156" t="inlineStr">
        <is>
          <t>Seasonal</t>
        </is>
      </c>
      <c r="P1089" s="156" t="inlineStr">
        <is>
          <t>Azul</t>
        </is>
      </c>
      <c r="Q1089" s="156" t="inlineStr">
        <is>
          <t>Regular</t>
        </is>
      </c>
      <c r="R1089" s="156" t="inlineStr">
        <is>
          <t>Trouser</t>
        </is>
      </c>
      <c r="S1089" s="156" t="inlineStr">
        <is>
          <t>98% Algodón 2% Elastano</t>
        </is>
      </c>
      <c r="T1089" s="156" t="inlineStr">
        <is>
          <t>Jean Mujer Bolsillos Frontales Sesgados Welt Traseros Ajuste Moderado</t>
        </is>
      </c>
      <c r="U1089" s="156" t="n"/>
      <c r="V1089" s="156" t="inlineStr">
        <is>
          <t>PZS</t>
        </is>
      </c>
      <c r="W1089" s="51" t="inlineStr">
        <is>
          <t>53101503</t>
        </is>
      </c>
      <c r="X1089" s="156" t="n"/>
      <c r="Y1089" s="54" t="n">
        <v>814.6551724</v>
      </c>
      <c r="Z1089" s="54" t="n">
        <v>1810.344828</v>
      </c>
      <c r="AA1089" s="55">
        <f>IF(AND(A1089="", B1089="", E1089=""), "", IF(AB1089="", "Válido", IF((LEN(AB1089)-LEN(SUBSTITUTE(AB1089,"; ","")))/2+1&gt;(LEN(AB1089)-LEN(SUBSTITUTE(AB1089,"[Aviso]","")))/7, "Con Incidencias", "Válido")))</f>
        <v/>
      </c>
      <c r="AB1089" s="56">
        <f>IF(AND(A1089="", B1089="", E1089=""), "", TEXTJOIN("; ", TRUE, IF(OR(TRIM(A1089&amp;"")="", ISNUMBER(SEARCH("FALTA", A1089))), "UPC faltante/inválido", ""), IF(AND(A1089&lt;&gt;"", IFERROR(_xlfn.XMATCH(A1089,$A$2:$A$2509,0,1)&lt;&gt;_xlfn.XMATCH(A1089,$A$2:$A$2509,0,-1),FALSE)), "Código de barras duplicado", ""), IF(AND(E1089&lt;&gt;"", COUNTIF($E$2:$E$2509, E1089)&gt;1), "SKU duplicado", ""), IF(OR(J1089="", J1089=""), "[Aviso] División no capturada ()", IF(ISNA(MATCH(J1089, Criterios!$A$123:$A$126, 0)), "División no válida", "")), IF(OR(K1089="", K1089=""), "[Aviso] Categoría no capturada ()", IF(ISNA(MATCH(K1089, Criterios!$A$81:$A$120, 0)), "Categoría no válida", IF(AND(J1089&lt;&gt;"", J1089&lt;&gt;"", J1089&lt;&gt;VLOOKUP(K1089, Criterios!$A$81:$B$120, 2, FALSE)), "División no coincide con Categoría", ""))), IF(OR(L1089="", L1089=""), "[Aviso] Género no capturado ()", IF(ISNA(MATCH(L1089, Criterios!$B$123:$B$127, 0)), "Género no válido", "")), IF(OR(N1089="", N1089=""), "[Aviso] Temporada no capturada ()", IF(ISNA(MATCH(N1089, Criterios!$C$123:$C$128, 0)), "Temporada no válida", "")), IF(OR(O1089="", O1089=""), "[Aviso] Ciclo de vida no capturado ()", IF(ISNA(MATCH(O1089, Criterios!$D$123:$D$124, 0)), "Ciclo de vida no válido", ""))))</f>
        <v/>
      </c>
      <c r="AC1089" s="56" t="n"/>
      <c r="AD1089" s="51" t="n">
        <v>-3</v>
      </c>
      <c r="AE1089" s="156" t="n"/>
      <c r="AF1089" s="51" t="n">
        <v>0</v>
      </c>
      <c r="AG1089" s="156" t="inlineStr">
        <is>
          <t>Catálogo existente</t>
        </is>
      </c>
      <c r="AH1089" s="156" t="inlineStr">
        <is>
          <t>Stock negativo en sistema: revisar en conteo</t>
        </is>
      </c>
      <c r="AI1089" s="156" t="inlineStr">
        <is>
          <t>Sí</t>
        </is>
      </c>
      <c r="AJ1089" s="156" t="inlineStr">
        <is>
          <t>STETSON AMERICAS (-3)</t>
        </is>
      </c>
      <c r="AK1089" s="155" t="inlineStr">
        <is>
          <t>Shopify Stetson: producto 15051555144043 / variante 53342129652075 | Odoo: producto 29908 / plantilla 38612</t>
        </is>
      </c>
      <c r="AL1089" s="58" t="n">
        <v>814.6551724</v>
      </c>
      <c r="AM1089" s="58" t="n">
        <v>1810.344828</v>
      </c>
      <c r="AN1089" s="155" t="inlineStr">
        <is>
          <t>Shopify Stetson México | Odoo Universal Unique Brands</t>
        </is>
      </c>
      <c r="AO1089" s="59" t="n">
        <v>1</v>
      </c>
      <c r="AP1089" s="59" t="n"/>
      <c r="AQ1089" s="59" t="n">
        <v>4</v>
      </c>
      <c r="AR1089" s="155" t="inlineStr">
        <is>
          <t>Shopify Stetson México › Stetson Americas: 1 | Odoo Universal Unique Brands › Bodega 25 › Bodega 25/General: 4</t>
        </is>
      </c>
    </row>
    <row r="1090">
      <c r="A1090" s="50" t="inlineStr">
        <is>
          <t>196070811032</t>
        </is>
      </c>
      <c r="B1090" s="51" t="inlineStr">
        <is>
          <t>110690</t>
        </is>
      </c>
      <c r="C1090" s="156" t="inlineStr">
        <is>
          <t>Multimarca</t>
        </is>
      </c>
      <c r="D1090" s="156" t="inlineStr">
        <is>
          <t>11-054-0214-0817</t>
        </is>
      </c>
      <c r="E1090" s="156" t="inlineStr">
        <is>
          <t>11-054-0214-0817-4R</t>
        </is>
      </c>
      <c r="F1090" s="156" t="inlineStr">
        <is>
          <t>7</t>
        </is>
      </c>
      <c r="G1090" s="156" t="inlineStr">
        <is>
          <t>4</t>
        </is>
      </c>
      <c r="H1090" s="156" t="inlineStr">
        <is>
          <t>Stetson</t>
        </is>
      </c>
      <c r="I1090" s="156" t="inlineStr">
        <is>
          <t>Jean Mujer Bolsillos Frontales Sesgados Welt Traseros</t>
        </is>
      </c>
      <c r="J1090" s="156" t="inlineStr">
        <is>
          <t>Denim</t>
        </is>
      </c>
      <c r="K1090" s="156" t="inlineStr">
        <is>
          <t>Jeans</t>
        </is>
      </c>
      <c r="L1090" s="156" t="inlineStr">
        <is>
          <t>Mujer</t>
        </is>
      </c>
      <c r="M1090" s="156" t="inlineStr">
        <is>
          <t>Stetson</t>
        </is>
      </c>
      <c r="N1090" s="156" t="inlineStr">
        <is>
          <t>SS26</t>
        </is>
      </c>
      <c r="O1090" s="156" t="inlineStr">
        <is>
          <t>Seasonal</t>
        </is>
      </c>
      <c r="P1090" s="156" t="inlineStr">
        <is>
          <t>Azul</t>
        </is>
      </c>
      <c r="Q1090" s="156" t="inlineStr">
        <is>
          <t>Regular</t>
        </is>
      </c>
      <c r="R1090" s="156" t="inlineStr">
        <is>
          <t>Trouser</t>
        </is>
      </c>
      <c r="S1090" s="156" t="inlineStr">
        <is>
          <t>98% Algodón 2% Elastano</t>
        </is>
      </c>
      <c r="T1090" s="156" t="inlineStr">
        <is>
          <t>Jean Mujer Bolsillos Frontales Sesgados Welt Traseros Ajuste Moderado</t>
        </is>
      </c>
      <c r="U1090" s="156" t="n"/>
      <c r="V1090" s="156" t="inlineStr">
        <is>
          <t>PZS</t>
        </is>
      </c>
      <c r="W1090" s="51" t="inlineStr">
        <is>
          <t>53101503</t>
        </is>
      </c>
      <c r="X1090" s="156" t="n"/>
      <c r="Y1090" s="54" t="n">
        <v>814.6551724</v>
      </c>
      <c r="Z1090" s="54" t="n">
        <v>1810.344828</v>
      </c>
      <c r="AA1090" s="55">
        <f>IF(AND(A1090="", B1090="", E1090=""), "", IF(AB1090="", "Válido", IF((LEN(AB1090)-LEN(SUBSTITUTE(AB1090,"; ","")))/2+1&gt;(LEN(AB1090)-LEN(SUBSTITUTE(AB1090,"[Aviso]","")))/7, "Con Incidencias", "Válido")))</f>
        <v/>
      </c>
      <c r="AB1090" s="56">
        <f>IF(AND(A1090="", B1090="", E1090=""), "", TEXTJOIN("; ", TRUE, IF(OR(TRIM(A1090&amp;"")="", ISNUMBER(SEARCH("FALTA", A1090))), "UPC faltante/inválido", ""), IF(AND(A1090&lt;&gt;"", IFERROR(_xlfn.XMATCH(A1090,$A$2:$A$2509,0,1)&lt;&gt;_xlfn.XMATCH(A1090,$A$2:$A$2509,0,-1),FALSE)), "Código de barras duplicado", ""), IF(AND(E1090&lt;&gt;"", COUNTIF($E$2:$E$2509, E1090)&gt;1), "SKU duplicado", ""), IF(OR(J1090="", J1090=""), "[Aviso] División no capturada ()", IF(ISNA(MATCH(J1090, Criterios!$A$123:$A$126, 0)), "División no válida", "")), IF(OR(K1090="", K1090=""), "[Aviso] Categoría no capturada ()", IF(ISNA(MATCH(K1090, Criterios!$A$81:$A$120, 0)), "Categoría no válida", IF(AND(J1090&lt;&gt;"", J1090&lt;&gt;"", J1090&lt;&gt;VLOOKUP(K1090, Criterios!$A$81:$B$120, 2, FALSE)), "División no coincide con Categoría", ""))), IF(OR(L1090="", L1090=""), "[Aviso] Género no capturado ()", IF(ISNA(MATCH(L1090, Criterios!$B$123:$B$127, 0)), "Género no válido", "")), IF(OR(N1090="", N1090=""), "[Aviso] Temporada no capturada ()", IF(ISNA(MATCH(N1090, Criterios!$C$123:$C$128, 0)), "Temporada no válida", "")), IF(OR(O1090="", O1090=""), "[Aviso] Ciclo de vida no capturado ()", IF(ISNA(MATCH(O1090, Criterios!$D$123:$D$124, 0)), "Ciclo de vida no válido", ""))))</f>
        <v/>
      </c>
      <c r="AC1090" s="56" t="n"/>
      <c r="AD1090" s="51" t="n">
        <v>-2</v>
      </c>
      <c r="AE1090" s="156" t="n"/>
      <c r="AF1090" s="51" t="n">
        <v>0</v>
      </c>
      <c r="AG1090" s="156" t="inlineStr">
        <is>
          <t>Catálogo existente</t>
        </is>
      </c>
      <c r="AH1090" s="156" t="inlineStr">
        <is>
          <t>Stock negativo en sistema: revisar en conteo</t>
        </is>
      </c>
      <c r="AI1090" s="156" t="inlineStr">
        <is>
          <t>Sí</t>
        </is>
      </c>
      <c r="AJ1090" s="156" t="inlineStr">
        <is>
          <t>STETSON AMERICAS (-2)</t>
        </is>
      </c>
      <c r="AK1090" s="155" t="inlineStr">
        <is>
          <t>Shopify Stetson: producto 15051555144043 / variante 53342129684843 | Odoo: producto 29909 / plantilla 38613</t>
        </is>
      </c>
      <c r="AL1090" s="58" t="n">
        <v>814.6551724</v>
      </c>
      <c r="AM1090" s="58" t="n">
        <v>1810.344828</v>
      </c>
      <c r="AN1090" s="155" t="inlineStr">
        <is>
          <t>Shopify Stetson México | Odoo Universal Unique Brands</t>
        </is>
      </c>
      <c r="AO1090" s="59" t="n">
        <v>0</v>
      </c>
      <c r="AP1090" s="59" t="n"/>
      <c r="AQ1090" s="59" t="n">
        <v>2</v>
      </c>
      <c r="AR1090" s="155" t="inlineStr">
        <is>
          <t>Odoo Universal Unique Brands › Bodega 25 › Bodega 25/General: 2</t>
        </is>
      </c>
    </row>
    <row r="1091">
      <c r="A1091" s="50" t="inlineStr">
        <is>
          <t>196070811056</t>
        </is>
      </c>
      <c r="B1091" s="51" t="inlineStr">
        <is>
          <t>110691</t>
        </is>
      </c>
      <c r="C1091" s="156" t="inlineStr">
        <is>
          <t>Multimarca</t>
        </is>
      </c>
      <c r="D1091" s="156" t="inlineStr">
        <is>
          <t>11-054-0214-0817</t>
        </is>
      </c>
      <c r="E1091" s="156" t="inlineStr">
        <is>
          <t>11-054-0214-0817-6R</t>
        </is>
      </c>
      <c r="F1091" s="156" t="inlineStr">
        <is>
          <t>9</t>
        </is>
      </c>
      <c r="G1091" s="156" t="inlineStr">
        <is>
          <t>6</t>
        </is>
      </c>
      <c r="H1091" s="156" t="inlineStr">
        <is>
          <t>Stetson</t>
        </is>
      </c>
      <c r="I1091" s="156" t="inlineStr">
        <is>
          <t>Jean Mujer Bolsillos Frontales Sesgados Welt Traseros</t>
        </is>
      </c>
      <c r="J1091" s="156" t="inlineStr">
        <is>
          <t>Denim</t>
        </is>
      </c>
      <c r="K1091" s="156" t="inlineStr">
        <is>
          <t>Jeans</t>
        </is>
      </c>
      <c r="L1091" s="156" t="inlineStr">
        <is>
          <t>Mujer</t>
        </is>
      </c>
      <c r="M1091" s="156" t="inlineStr">
        <is>
          <t>Stetson</t>
        </is>
      </c>
      <c r="N1091" s="156" t="inlineStr">
        <is>
          <t>SS26</t>
        </is>
      </c>
      <c r="O1091" s="156" t="inlineStr">
        <is>
          <t>Seasonal</t>
        </is>
      </c>
      <c r="P1091" s="156" t="inlineStr">
        <is>
          <t>Azul</t>
        </is>
      </c>
      <c r="Q1091" s="156" t="inlineStr">
        <is>
          <t>Regular</t>
        </is>
      </c>
      <c r="R1091" s="156" t="inlineStr">
        <is>
          <t>Trouser</t>
        </is>
      </c>
      <c r="S1091" s="156" t="inlineStr">
        <is>
          <t>98% Algodón 2% Elastano</t>
        </is>
      </c>
      <c r="T1091" s="156" t="inlineStr">
        <is>
          <t>Jean Mujer Bolsillos Frontales Sesgados Welt Traseros Ajuste Moderado</t>
        </is>
      </c>
      <c r="U1091" s="156" t="n"/>
      <c r="V1091" s="156" t="inlineStr">
        <is>
          <t>PZS</t>
        </is>
      </c>
      <c r="W1091" s="51" t="inlineStr">
        <is>
          <t>53101503</t>
        </is>
      </c>
      <c r="X1091" s="156" t="n"/>
      <c r="Y1091" s="54" t="n">
        <v>814.6551724</v>
      </c>
      <c r="Z1091" s="54" t="n">
        <v>1810.344828</v>
      </c>
      <c r="AA1091" s="55">
        <f>IF(AND(A1091="", B1091="", E1091=""), "", IF(AB1091="", "Válido", IF((LEN(AB1091)-LEN(SUBSTITUTE(AB1091,"; ","")))/2+1&gt;(LEN(AB1091)-LEN(SUBSTITUTE(AB1091,"[Aviso]","")))/7, "Con Incidencias", "Válido")))</f>
        <v/>
      </c>
      <c r="AB1091" s="56">
        <f>IF(AND(A1091="", B1091="", E1091=""), "", TEXTJOIN("; ", TRUE, IF(OR(TRIM(A1091&amp;"")="", ISNUMBER(SEARCH("FALTA", A1091))), "UPC faltante/inválido", ""), IF(AND(A1091&lt;&gt;"", IFERROR(_xlfn.XMATCH(A1091,$A$2:$A$2509,0,1)&lt;&gt;_xlfn.XMATCH(A1091,$A$2:$A$2509,0,-1),FALSE)), "Código de barras duplicado", ""), IF(AND(E1091&lt;&gt;"", COUNTIF($E$2:$E$2509, E1091)&gt;1), "SKU duplicado", ""), IF(OR(J1091="", J1091=""), "[Aviso] División no capturada ()", IF(ISNA(MATCH(J1091, Criterios!$A$123:$A$126, 0)), "División no válida", "")), IF(OR(K1091="", K1091=""), "[Aviso] Categoría no capturada ()", IF(ISNA(MATCH(K1091, Criterios!$A$81:$A$120, 0)), "Categoría no válida", IF(AND(J1091&lt;&gt;"", J1091&lt;&gt;"", J1091&lt;&gt;VLOOKUP(K1091, Criterios!$A$81:$B$120, 2, FALSE)), "División no coincide con Categoría", ""))), IF(OR(L1091="", L1091=""), "[Aviso] Género no capturado ()", IF(ISNA(MATCH(L1091, Criterios!$B$123:$B$127, 0)), "Género no válido", "")), IF(OR(N1091="", N1091=""), "[Aviso] Temporada no capturada ()", IF(ISNA(MATCH(N1091, Criterios!$C$123:$C$128, 0)), "Temporada no válida", "")), IF(OR(O1091="", O1091=""), "[Aviso] Ciclo de vida no capturado ()", IF(ISNA(MATCH(O1091, Criterios!$D$123:$D$124, 0)), "Ciclo de vida no válido", ""))))</f>
        <v/>
      </c>
      <c r="AC1091" s="56" t="n"/>
      <c r="AD1091" s="51" t="n">
        <v>-2</v>
      </c>
      <c r="AE1091" s="156" t="n"/>
      <c r="AF1091" s="51" t="n">
        <v>0</v>
      </c>
      <c r="AG1091" s="156" t="inlineStr">
        <is>
          <t>Catálogo existente</t>
        </is>
      </c>
      <c r="AH1091" s="156" t="inlineStr">
        <is>
          <t>Stock negativo en sistema: revisar en conteo</t>
        </is>
      </c>
      <c r="AI1091" s="156" t="inlineStr">
        <is>
          <t>Sí</t>
        </is>
      </c>
      <c r="AJ1091" s="156" t="inlineStr">
        <is>
          <t>STETSON AMERICAS (-2)</t>
        </is>
      </c>
      <c r="AK1091" s="155" t="inlineStr">
        <is>
          <t>Shopify Stetson: producto 15051555144043 / variante 53342129717611 | Odoo: producto 29910 / plantilla 38614</t>
        </is>
      </c>
      <c r="AL1091" s="58" t="n">
        <v>814.6551724</v>
      </c>
      <c r="AM1091" s="58" t="n">
        <v>1810.344828</v>
      </c>
      <c r="AN1091" s="155" t="inlineStr">
        <is>
          <t>Shopify Stetson México | Odoo Universal Unique Brands</t>
        </is>
      </c>
      <c r="AO1091" s="59" t="n">
        <v>1</v>
      </c>
      <c r="AP1091" s="59" t="n"/>
      <c r="AQ1091" s="59" t="n">
        <v>4</v>
      </c>
      <c r="AR1091" s="155" t="inlineStr">
        <is>
          <t>Shopify Stetson México › Stetson Americas: 1 | Odoo Universal Unique Brands › Bodega 25 › Bodega 25/General: 4</t>
        </is>
      </c>
    </row>
    <row r="1092">
      <c r="A1092" s="50" t="inlineStr">
        <is>
          <t>196070811070</t>
        </is>
      </c>
      <c r="B1092" s="51" t="inlineStr">
        <is>
          <t>110692</t>
        </is>
      </c>
      <c r="C1092" s="156" t="inlineStr">
        <is>
          <t>Multimarca</t>
        </is>
      </c>
      <c r="D1092" s="156" t="inlineStr">
        <is>
          <t>11-054-0214-0817</t>
        </is>
      </c>
      <c r="E1092" s="156" t="inlineStr">
        <is>
          <t>11-054-0214-0817-8R</t>
        </is>
      </c>
      <c r="F1092" s="156" t="inlineStr">
        <is>
          <t>11</t>
        </is>
      </c>
      <c r="G1092" s="156" t="inlineStr">
        <is>
          <t>8</t>
        </is>
      </c>
      <c r="H1092" s="156" t="inlineStr">
        <is>
          <t>Stetson</t>
        </is>
      </c>
      <c r="I1092" s="156" t="inlineStr">
        <is>
          <t>Jean Mujer Bolsillos Frontales Sesgados Welt Traseros</t>
        </is>
      </c>
      <c r="J1092" s="156" t="inlineStr">
        <is>
          <t>Denim</t>
        </is>
      </c>
      <c r="K1092" s="156" t="inlineStr">
        <is>
          <t>Jeans</t>
        </is>
      </c>
      <c r="L1092" s="156" t="inlineStr">
        <is>
          <t>Mujer</t>
        </is>
      </c>
      <c r="M1092" s="156" t="inlineStr">
        <is>
          <t>Stetson</t>
        </is>
      </c>
      <c r="N1092" s="156" t="inlineStr">
        <is>
          <t>SS26</t>
        </is>
      </c>
      <c r="O1092" s="156" t="inlineStr">
        <is>
          <t>Seasonal</t>
        </is>
      </c>
      <c r="P1092" s="156" t="inlineStr">
        <is>
          <t>Azul</t>
        </is>
      </c>
      <c r="Q1092" s="156" t="inlineStr">
        <is>
          <t>Regular</t>
        </is>
      </c>
      <c r="R1092" s="156" t="inlineStr">
        <is>
          <t>Trouser</t>
        </is>
      </c>
      <c r="S1092" s="156" t="inlineStr">
        <is>
          <t>98% Algodón 2% Elastano</t>
        </is>
      </c>
      <c r="T1092" s="156" t="inlineStr">
        <is>
          <t>Jean Mujer Bolsillos Frontales Sesgados Welt Traseros Ajuste Moderado</t>
        </is>
      </c>
      <c r="U1092" s="156" t="n"/>
      <c r="V1092" s="156" t="inlineStr">
        <is>
          <t>PZS</t>
        </is>
      </c>
      <c r="W1092" s="51" t="inlineStr">
        <is>
          <t>53101503</t>
        </is>
      </c>
      <c r="X1092" s="156" t="n"/>
      <c r="Y1092" s="54" t="n">
        <v>814.6551724</v>
      </c>
      <c r="Z1092" s="54" t="n">
        <v>1810.344828</v>
      </c>
      <c r="AA1092" s="55">
        <f>IF(AND(A1092="", B1092="", E1092=""), "", IF(AB1092="", "Válido", IF((LEN(AB1092)-LEN(SUBSTITUTE(AB1092,"; ","")))/2+1&gt;(LEN(AB1092)-LEN(SUBSTITUTE(AB1092,"[Aviso]","")))/7, "Con Incidencias", "Válido")))</f>
        <v/>
      </c>
      <c r="AB1092" s="56">
        <f>IF(AND(A1092="", B1092="", E1092=""), "", TEXTJOIN("; ", TRUE, IF(OR(TRIM(A1092&amp;"")="", ISNUMBER(SEARCH("FALTA", A1092))), "UPC faltante/inválido", ""), IF(AND(A1092&lt;&gt;"", IFERROR(_xlfn.XMATCH(A1092,$A$2:$A$2509,0,1)&lt;&gt;_xlfn.XMATCH(A1092,$A$2:$A$2509,0,-1),FALSE)), "Código de barras duplicado", ""), IF(AND(E1092&lt;&gt;"", COUNTIF($E$2:$E$2509, E1092)&gt;1), "SKU duplicado", ""), IF(OR(J1092="", J1092=""), "[Aviso] División no capturada ()", IF(ISNA(MATCH(J1092, Criterios!$A$123:$A$126, 0)), "División no válida", "")), IF(OR(K1092="", K1092=""), "[Aviso] Categoría no capturada ()", IF(ISNA(MATCH(K1092, Criterios!$A$81:$A$120, 0)), "Categoría no válida", IF(AND(J1092&lt;&gt;"", J1092&lt;&gt;"", J1092&lt;&gt;VLOOKUP(K1092, Criterios!$A$81:$B$120, 2, FALSE)), "División no coincide con Categoría", ""))), IF(OR(L1092="", L1092=""), "[Aviso] Género no capturado ()", IF(ISNA(MATCH(L1092, Criterios!$B$123:$B$127, 0)), "Género no válido", "")), IF(OR(N1092="", N1092=""), "[Aviso] Temporada no capturada ()", IF(ISNA(MATCH(N1092, Criterios!$C$123:$C$128, 0)), "Temporada no válida", "")), IF(OR(O1092="", O1092=""), "[Aviso] Ciclo de vida no capturado ()", IF(ISNA(MATCH(O1092, Criterios!$D$123:$D$124, 0)), "Ciclo de vida no válido", ""))))</f>
        <v/>
      </c>
      <c r="AC1092" s="56" t="n"/>
      <c r="AD1092" s="51" t="n">
        <v>-3</v>
      </c>
      <c r="AE1092" s="156" t="n"/>
      <c r="AF1092" s="51" t="n">
        <v>0</v>
      </c>
      <c r="AG1092" s="156" t="inlineStr">
        <is>
          <t>Catálogo existente</t>
        </is>
      </c>
      <c r="AH1092" s="156" t="inlineStr">
        <is>
          <t>Stock negativo en sistema: revisar en conteo</t>
        </is>
      </c>
      <c r="AI1092" s="156" t="inlineStr">
        <is>
          <t>Sí</t>
        </is>
      </c>
      <c r="AJ1092" s="156" t="inlineStr">
        <is>
          <t>STETSON AMERICAS (-3)</t>
        </is>
      </c>
      <c r="AK1092" s="155" t="inlineStr">
        <is>
          <t>Shopify Stetson: producto 15051555144043 / variante 53342129750379 | Odoo: producto 29911 / plantilla 38615</t>
        </is>
      </c>
      <c r="AL1092" s="58" t="n">
        <v>814.6551724</v>
      </c>
      <c r="AM1092" s="58" t="n">
        <v>1810.344828</v>
      </c>
      <c r="AN1092" s="155" t="inlineStr">
        <is>
          <t>Shopify Stetson México | Odoo Universal Unique Brands</t>
        </is>
      </c>
      <c r="AO1092" s="59" t="n">
        <v>1</v>
      </c>
      <c r="AP1092" s="59" t="n"/>
      <c r="AQ1092" s="59" t="n">
        <v>4</v>
      </c>
      <c r="AR1092" s="155" t="inlineStr">
        <is>
          <t>Shopify Stetson México › Stetson Americas: 1 | Odoo Universal Unique Brands › Bodega 25 › Bodega 25/General: 4</t>
        </is>
      </c>
    </row>
    <row r="1093">
      <c r="A1093" s="50" t="inlineStr">
        <is>
          <t>196070815283</t>
        </is>
      </c>
      <c r="B1093" s="51" t="inlineStr">
        <is>
          <t>110600</t>
        </is>
      </c>
      <c r="C1093" s="156" t="inlineStr">
        <is>
          <t>Multimarca</t>
        </is>
      </c>
      <c r="D1093" s="156" t="inlineStr">
        <is>
          <t>11-004-1210-8006</t>
        </is>
      </c>
      <c r="E1093" s="156" t="inlineStr">
        <is>
          <t>11-004-1210-8006-30 32</t>
        </is>
      </c>
      <c r="F1093" s="156" t="inlineStr">
        <is>
          <t>30 x 32</t>
        </is>
      </c>
      <c r="G1093" s="156" t="inlineStr">
        <is>
          <t>30W / 32L</t>
        </is>
      </c>
      <c r="H1093" s="156" t="inlineStr">
        <is>
          <t>Stetson</t>
        </is>
      </c>
      <c r="I1093" s="156" t="inlineStr">
        <is>
          <t>Jean Bordado X en Bolsa Trasera</t>
        </is>
      </c>
      <c r="J1093" s="156" t="inlineStr">
        <is>
          <t>Denim</t>
        </is>
      </c>
      <c r="K1093" s="156" t="inlineStr">
        <is>
          <t>Jeans</t>
        </is>
      </c>
      <c r="L1093" s="156" t="inlineStr">
        <is>
          <t>Hombre</t>
        </is>
      </c>
      <c r="M1093" s="156" t="inlineStr">
        <is>
          <t>Stetson</t>
        </is>
      </c>
      <c r="N1093" s="156" t="inlineStr">
        <is>
          <t>SS26</t>
        </is>
      </c>
      <c r="O1093" s="156" t="inlineStr">
        <is>
          <t>Seasonal</t>
        </is>
      </c>
      <c r="P1093" s="156" t="inlineStr">
        <is>
          <t>Azul</t>
        </is>
      </c>
      <c r="Q1093" s="156" t="inlineStr">
        <is>
          <t>Regular</t>
        </is>
      </c>
      <c r="R1093" s="156" t="inlineStr">
        <is>
          <t>Recto</t>
        </is>
      </c>
      <c r="S1093" s="156" t="inlineStr">
        <is>
          <t>100% Algodón</t>
        </is>
      </c>
      <c r="T1093" s="156" t="inlineStr">
        <is>
          <t>Jean Bordado X en Bolsa Trasera Pierna Recta Regular</t>
        </is>
      </c>
      <c r="U1093" s="156" t="n"/>
      <c r="V1093" s="156" t="inlineStr">
        <is>
          <t>PZS</t>
        </is>
      </c>
      <c r="W1093" s="51" t="inlineStr">
        <is>
          <t>53101502</t>
        </is>
      </c>
      <c r="X1093" s="156" t="n"/>
      <c r="Y1093" s="54" t="n">
        <v>775.862069</v>
      </c>
      <c r="Z1093" s="54" t="n">
        <v>1724.137931</v>
      </c>
      <c r="AA1093" s="55">
        <f>IF(AND(A1093="", B1093="", E1093=""), "", IF(AB1093="", "Válido", IF((LEN(AB1093)-LEN(SUBSTITUTE(AB1093,"; ","")))/2+1&gt;(LEN(AB1093)-LEN(SUBSTITUTE(AB1093,"[Aviso]","")))/7, "Con Incidencias", "Válido")))</f>
        <v/>
      </c>
      <c r="AB1093" s="56">
        <f>IF(AND(A1093="", B1093="", E1093=""), "", TEXTJOIN("; ", TRUE, IF(OR(TRIM(A1093&amp;"")="", ISNUMBER(SEARCH("FALTA", A1093))), "UPC faltante/inválido", ""), IF(AND(A1093&lt;&gt;"", IFERROR(_xlfn.XMATCH(A1093,$A$2:$A$2509,0,1)&lt;&gt;_xlfn.XMATCH(A1093,$A$2:$A$2509,0,-1),FALSE)), "Código de barras duplicado", ""), IF(AND(E1093&lt;&gt;"", COUNTIF($E$2:$E$2509, E1093)&gt;1), "SKU duplicado", ""), IF(OR(J1093="", J1093=""), "[Aviso] División no capturada ()", IF(ISNA(MATCH(J1093, Criterios!$A$123:$A$126, 0)), "División no válida", "")), IF(OR(K1093="", K1093=""), "[Aviso] Categoría no capturada ()", IF(ISNA(MATCH(K1093, Criterios!$A$81:$A$120, 0)), "Categoría no válida", IF(AND(J1093&lt;&gt;"", J1093&lt;&gt;"", J1093&lt;&gt;VLOOKUP(K1093, Criterios!$A$81:$B$120, 2, FALSE)), "División no coincide con Categoría", ""))), IF(OR(L1093="", L1093=""), "[Aviso] Género no capturado ()", IF(ISNA(MATCH(L1093, Criterios!$B$123:$B$127, 0)), "Género no válido", "")), IF(OR(N1093="", N1093=""), "[Aviso] Temporada no capturada ()", IF(ISNA(MATCH(N1093, Criterios!$C$123:$C$128, 0)), "Temporada no válida", "")), IF(OR(O1093="", O1093=""), "[Aviso] Ciclo de vida no capturado ()", IF(ISNA(MATCH(O1093, Criterios!$D$123:$D$124, 0)), "Ciclo de vida no válido", ""))))</f>
        <v/>
      </c>
      <c r="AC1093" s="56" t="n"/>
      <c r="AD1093" s="51" t="n">
        <v>0</v>
      </c>
      <c r="AE1093" s="156" t="n"/>
      <c r="AF1093" s="51" t="n">
        <v>0</v>
      </c>
      <c r="AG1093" s="156" t="inlineStr">
        <is>
          <t>Catálogo existente</t>
        </is>
      </c>
      <c r="AH1093" s="156" t="n"/>
      <c r="AI1093" s="156" t="inlineStr">
        <is>
          <t>No</t>
        </is>
      </c>
      <c r="AJ1093" s="156" t="n"/>
      <c r="AK1093" s="155" t="inlineStr">
        <is>
          <t>Shopify Stetson: producto 15051554488683 / variante 53342126997867 | Odoo: producto 29841 / plantilla 38545</t>
        </is>
      </c>
      <c r="AL1093" s="58" t="n">
        <v>775.862069</v>
      </c>
      <c r="AM1093" s="58" t="n">
        <v>1724.137931</v>
      </c>
      <c r="AN1093" s="155" t="inlineStr">
        <is>
          <t>Shopify Stetson México | Odoo Universal Unique Brands</t>
        </is>
      </c>
      <c r="AO1093" s="59" t="n">
        <v>2</v>
      </c>
      <c r="AP1093" s="59" t="n"/>
      <c r="AQ1093" s="59" t="n">
        <v>2</v>
      </c>
      <c r="AR1093" s="155" t="inlineStr">
        <is>
          <t>Shopify Stetson México › Stetson Americas: 2 | Odoo Universal Unique Brands › Bodega 25 › Bodega 25/General: 2</t>
        </is>
      </c>
    </row>
    <row r="1094">
      <c r="A1094" s="50" t="inlineStr">
        <is>
          <t>196070815337</t>
        </is>
      </c>
      <c r="B1094" s="51" t="inlineStr">
        <is>
          <t>110601</t>
        </is>
      </c>
      <c r="C1094" s="156" t="inlineStr">
        <is>
          <t>Multimarca</t>
        </is>
      </c>
      <c r="D1094" s="156" t="inlineStr">
        <is>
          <t>11-004-1210-8006</t>
        </is>
      </c>
      <c r="E1094" s="156" t="inlineStr">
        <is>
          <t>11-004-1210-8006-31 32</t>
        </is>
      </c>
      <c r="F1094" s="156" t="inlineStr">
        <is>
          <t>31 x 32</t>
        </is>
      </c>
      <c r="G1094" s="156" t="inlineStr">
        <is>
          <t>31W / 32L</t>
        </is>
      </c>
      <c r="H1094" s="156" t="inlineStr">
        <is>
          <t>Stetson</t>
        </is>
      </c>
      <c r="I1094" s="156" t="inlineStr">
        <is>
          <t>Jean Bordado X en Bolsa Trasera</t>
        </is>
      </c>
      <c r="J1094" s="156" t="inlineStr">
        <is>
          <t>Denim</t>
        </is>
      </c>
      <c r="K1094" s="156" t="inlineStr">
        <is>
          <t>Jeans</t>
        </is>
      </c>
      <c r="L1094" s="156" t="inlineStr">
        <is>
          <t>Hombre</t>
        </is>
      </c>
      <c r="M1094" s="156" t="inlineStr">
        <is>
          <t>Stetson</t>
        </is>
      </c>
      <c r="N1094" s="156" t="inlineStr">
        <is>
          <t>SS26</t>
        </is>
      </c>
      <c r="O1094" s="156" t="inlineStr">
        <is>
          <t>Seasonal</t>
        </is>
      </c>
      <c r="P1094" s="156" t="inlineStr">
        <is>
          <t>Azul</t>
        </is>
      </c>
      <c r="Q1094" s="156" t="inlineStr">
        <is>
          <t>Regular</t>
        </is>
      </c>
      <c r="R1094" s="156" t="inlineStr">
        <is>
          <t>Recto</t>
        </is>
      </c>
      <c r="S1094" s="156" t="inlineStr">
        <is>
          <t>100% Algodón</t>
        </is>
      </c>
      <c r="T1094" s="156" t="inlineStr">
        <is>
          <t>Jean Bordado X en Bolsa Trasera Pierna Recta Regular</t>
        </is>
      </c>
      <c r="U1094" s="156" t="n"/>
      <c r="V1094" s="156" t="inlineStr">
        <is>
          <t>PZS</t>
        </is>
      </c>
      <c r="W1094" s="51" t="inlineStr">
        <is>
          <t>53101502</t>
        </is>
      </c>
      <c r="X1094" s="156" t="n"/>
      <c r="Y1094" s="54" t="n">
        <v>775.862069</v>
      </c>
      <c r="Z1094" s="54" t="n">
        <v>1724.137931</v>
      </c>
      <c r="AA1094" s="55">
        <f>IF(AND(A1094="", B1094="", E1094=""), "", IF(AB1094="", "Válido", IF((LEN(AB1094)-LEN(SUBSTITUTE(AB1094,"; ","")))/2+1&gt;(LEN(AB1094)-LEN(SUBSTITUTE(AB1094,"[Aviso]","")))/7, "Con Incidencias", "Válido")))</f>
        <v/>
      </c>
      <c r="AB1094" s="56">
        <f>IF(AND(A1094="", B1094="", E1094=""), "", TEXTJOIN("; ", TRUE, IF(OR(TRIM(A1094&amp;"")="", ISNUMBER(SEARCH("FALTA", A1094))), "UPC faltante/inválido", ""), IF(AND(A1094&lt;&gt;"", IFERROR(_xlfn.XMATCH(A1094,$A$2:$A$2509,0,1)&lt;&gt;_xlfn.XMATCH(A1094,$A$2:$A$2509,0,-1),FALSE)), "Código de barras duplicado", ""), IF(AND(E1094&lt;&gt;"", COUNTIF($E$2:$E$2509, E1094)&gt;1), "SKU duplicado", ""), IF(OR(J1094="", J1094=""), "[Aviso] División no capturada ()", IF(ISNA(MATCH(J1094, Criterios!$A$123:$A$126, 0)), "División no válida", "")), IF(OR(K1094="", K1094=""), "[Aviso] Categoría no capturada ()", IF(ISNA(MATCH(K1094, Criterios!$A$81:$A$120, 0)), "Categoría no válida", IF(AND(J1094&lt;&gt;"", J1094&lt;&gt;"", J1094&lt;&gt;VLOOKUP(K1094, Criterios!$A$81:$B$120, 2, FALSE)), "División no coincide con Categoría", ""))), IF(OR(L1094="", L1094=""), "[Aviso] Género no capturado ()", IF(ISNA(MATCH(L1094, Criterios!$B$123:$B$127, 0)), "Género no válido", "")), IF(OR(N1094="", N1094=""), "[Aviso] Temporada no capturada ()", IF(ISNA(MATCH(N1094, Criterios!$C$123:$C$128, 0)), "Temporada no válida", "")), IF(OR(O1094="", O1094=""), "[Aviso] Ciclo de vida no capturado ()", IF(ISNA(MATCH(O1094, Criterios!$D$123:$D$124, 0)), "Ciclo de vida no válido", ""))))</f>
        <v/>
      </c>
      <c r="AC1094" s="56" t="n"/>
      <c r="AD1094" s="51" t="n">
        <v>-1</v>
      </c>
      <c r="AE1094" s="156" t="n"/>
      <c r="AF1094" s="51" t="n">
        <v>0</v>
      </c>
      <c r="AG1094" s="156" t="inlineStr">
        <is>
          <t>Catálogo existente</t>
        </is>
      </c>
      <c r="AH1094" s="156" t="inlineStr">
        <is>
          <t>Stock negativo en sistema: revisar en conteo</t>
        </is>
      </c>
      <c r="AI1094" s="156" t="inlineStr">
        <is>
          <t>Sí</t>
        </is>
      </c>
      <c r="AJ1094" s="156" t="inlineStr">
        <is>
          <t>STETSON AMERICAS (-1)</t>
        </is>
      </c>
      <c r="AK1094" s="155" t="inlineStr">
        <is>
          <t>Shopify Stetson: producto 15051554488683 / variante 53342127030635 | Odoo: producto 29842 / plantilla 38546</t>
        </is>
      </c>
      <c r="AL1094" s="58" t="n">
        <v>775.862069</v>
      </c>
      <c r="AM1094" s="58" t="n">
        <v>1724.137931</v>
      </c>
      <c r="AN1094" s="155" t="inlineStr">
        <is>
          <t>Shopify Stetson México | Odoo Universal Unique Brands</t>
        </is>
      </c>
      <c r="AO1094" s="59" t="n">
        <v>3</v>
      </c>
      <c r="AP1094" s="59" t="n"/>
      <c r="AQ1094" s="59" t="n">
        <v>4</v>
      </c>
      <c r="AR1094" s="155" t="inlineStr">
        <is>
          <t>Shopify Stetson México › Stetson Americas: 3 | Odoo Universal Unique Brands › Bodega 25 › Bodega 25/General: 4</t>
        </is>
      </c>
    </row>
    <row r="1095">
      <c r="A1095" s="50" t="inlineStr">
        <is>
          <t>196070815382</t>
        </is>
      </c>
      <c r="B1095" s="51" t="inlineStr">
        <is>
          <t>110602</t>
        </is>
      </c>
      <c r="C1095" s="156" t="inlineStr">
        <is>
          <t>Multimarca</t>
        </is>
      </c>
      <c r="D1095" s="156" t="inlineStr">
        <is>
          <t>11-004-1210-8006</t>
        </is>
      </c>
      <c r="E1095" s="156" t="inlineStr">
        <is>
          <t>11-004-1210-8006-32 32</t>
        </is>
      </c>
      <c r="F1095" s="156" t="inlineStr">
        <is>
          <t>32 x 32</t>
        </is>
      </c>
      <c r="G1095" s="156" t="inlineStr">
        <is>
          <t>32W / 32L</t>
        </is>
      </c>
      <c r="H1095" s="156" t="inlineStr">
        <is>
          <t>Stetson</t>
        </is>
      </c>
      <c r="I1095" s="156" t="inlineStr">
        <is>
          <t>Jean Bordado X en Bolsa Trasera</t>
        </is>
      </c>
      <c r="J1095" s="156" t="inlineStr">
        <is>
          <t>Denim</t>
        </is>
      </c>
      <c r="K1095" s="156" t="inlineStr">
        <is>
          <t>Jeans</t>
        </is>
      </c>
      <c r="L1095" s="156" t="inlineStr">
        <is>
          <t>Hombre</t>
        </is>
      </c>
      <c r="M1095" s="156" t="inlineStr">
        <is>
          <t>Stetson</t>
        </is>
      </c>
      <c r="N1095" s="156" t="inlineStr">
        <is>
          <t>SS26</t>
        </is>
      </c>
      <c r="O1095" s="156" t="inlineStr">
        <is>
          <t>Seasonal</t>
        </is>
      </c>
      <c r="P1095" s="156" t="inlineStr">
        <is>
          <t>Azul</t>
        </is>
      </c>
      <c r="Q1095" s="156" t="inlineStr">
        <is>
          <t>Regular</t>
        </is>
      </c>
      <c r="R1095" s="156" t="inlineStr">
        <is>
          <t>Recto</t>
        </is>
      </c>
      <c r="S1095" s="156" t="inlineStr">
        <is>
          <t>100% Algodón</t>
        </is>
      </c>
      <c r="T1095" s="156" t="inlineStr">
        <is>
          <t>Jean Bordado X en Bolsa Trasera Pierna Recta Regular</t>
        </is>
      </c>
      <c r="U1095" s="156" t="n"/>
      <c r="V1095" s="156" t="inlineStr">
        <is>
          <t>PZS</t>
        </is>
      </c>
      <c r="W1095" s="51" t="inlineStr">
        <is>
          <t>53101502</t>
        </is>
      </c>
      <c r="X1095" s="156" t="n"/>
      <c r="Y1095" s="54" t="n">
        <v>775.862069</v>
      </c>
      <c r="Z1095" s="54" t="n">
        <v>1724.137931</v>
      </c>
      <c r="AA1095" s="55">
        <f>IF(AND(A1095="", B1095="", E1095=""), "", IF(AB1095="", "Válido", IF((LEN(AB1095)-LEN(SUBSTITUTE(AB1095,"; ","")))/2+1&gt;(LEN(AB1095)-LEN(SUBSTITUTE(AB1095,"[Aviso]","")))/7, "Con Incidencias", "Válido")))</f>
        <v/>
      </c>
      <c r="AB1095" s="56">
        <f>IF(AND(A1095="", B1095="", E1095=""), "", TEXTJOIN("; ", TRUE, IF(OR(TRIM(A1095&amp;"")="", ISNUMBER(SEARCH("FALTA", A1095))), "UPC faltante/inválido", ""), IF(AND(A1095&lt;&gt;"", IFERROR(_xlfn.XMATCH(A1095,$A$2:$A$2509,0,1)&lt;&gt;_xlfn.XMATCH(A1095,$A$2:$A$2509,0,-1),FALSE)), "Código de barras duplicado", ""), IF(AND(E1095&lt;&gt;"", COUNTIF($E$2:$E$2509, E1095)&gt;1), "SKU duplicado", ""), IF(OR(J1095="", J1095=""), "[Aviso] División no capturada ()", IF(ISNA(MATCH(J1095, Criterios!$A$123:$A$126, 0)), "División no válida", "")), IF(OR(K1095="", K1095=""), "[Aviso] Categoría no capturada ()", IF(ISNA(MATCH(K1095, Criterios!$A$81:$A$120, 0)), "Categoría no válida", IF(AND(J1095&lt;&gt;"", J1095&lt;&gt;"", J1095&lt;&gt;VLOOKUP(K1095, Criterios!$A$81:$B$120, 2, FALSE)), "División no coincide con Categoría", ""))), IF(OR(L1095="", L1095=""), "[Aviso] Género no capturado ()", IF(ISNA(MATCH(L1095, Criterios!$B$123:$B$127, 0)), "Género no válido", "")), IF(OR(N1095="", N1095=""), "[Aviso] Temporada no capturada ()", IF(ISNA(MATCH(N1095, Criterios!$C$123:$C$128, 0)), "Temporada no válida", "")), IF(OR(O1095="", O1095=""), "[Aviso] Ciclo de vida no capturado ()", IF(ISNA(MATCH(O1095, Criterios!$D$123:$D$124, 0)), "Ciclo de vida no válido", ""))))</f>
        <v/>
      </c>
      <c r="AC1095" s="56" t="n"/>
      <c r="AD1095" s="51" t="n">
        <v>-1</v>
      </c>
      <c r="AE1095" s="156" t="n"/>
      <c r="AF1095" s="51" t="n">
        <v>0</v>
      </c>
      <c r="AG1095" s="156" t="inlineStr">
        <is>
          <t>Catálogo existente</t>
        </is>
      </c>
      <c r="AH1095" s="156" t="inlineStr">
        <is>
          <t>Stock negativo en sistema: revisar en conteo</t>
        </is>
      </c>
      <c r="AI1095" s="156" t="inlineStr">
        <is>
          <t>Sí</t>
        </is>
      </c>
      <c r="AJ1095" s="156" t="inlineStr">
        <is>
          <t>STETSON AMERICAS (-1)</t>
        </is>
      </c>
      <c r="AK1095" s="155" t="inlineStr">
        <is>
          <t>Shopify Stetson: producto 15051554488683 / variante 53342127063403 | Odoo: producto 29843 / plantilla 38547</t>
        </is>
      </c>
      <c r="AL1095" s="58" t="n">
        <v>775.862069</v>
      </c>
      <c r="AM1095" s="58" t="n">
        <v>1724.137931</v>
      </c>
      <c r="AN1095" s="155" t="inlineStr">
        <is>
          <t>Shopify Stetson México | Odoo Universal Unique Brands</t>
        </is>
      </c>
      <c r="AO1095" s="59" t="n">
        <v>5</v>
      </c>
      <c r="AP1095" s="59" t="n"/>
      <c r="AQ1095" s="59" t="n">
        <v>6</v>
      </c>
      <c r="AR1095" s="155" t="inlineStr">
        <is>
          <t>Shopify Stetson México › Stetson Americas: 5 | Odoo Universal Unique Brands › Bodega 25 › Bodega 25/General: 6</t>
        </is>
      </c>
    </row>
    <row r="1096">
      <c r="A1096" s="50" t="inlineStr">
        <is>
          <t>196070815399</t>
        </is>
      </c>
      <c r="B1096" s="51" t="inlineStr">
        <is>
          <t>110603</t>
        </is>
      </c>
      <c r="C1096" s="156" t="inlineStr">
        <is>
          <t>Multimarca</t>
        </is>
      </c>
      <c r="D1096" s="156" t="inlineStr">
        <is>
          <t>11-004-1210-8006</t>
        </is>
      </c>
      <c r="E1096" s="156" t="inlineStr">
        <is>
          <t>11-004-1210-8006-32 34</t>
        </is>
      </c>
      <c r="F1096" s="156" t="inlineStr">
        <is>
          <t>32 x 34</t>
        </is>
      </c>
      <c r="G1096" s="156" t="inlineStr">
        <is>
          <t>32W / 34L</t>
        </is>
      </c>
      <c r="H1096" s="156" t="inlineStr">
        <is>
          <t>Stetson</t>
        </is>
      </c>
      <c r="I1096" s="156" t="inlineStr">
        <is>
          <t>Jean Bordado X en Bolsa Trasera</t>
        </is>
      </c>
      <c r="J1096" s="156" t="inlineStr">
        <is>
          <t>Denim</t>
        </is>
      </c>
      <c r="K1096" s="156" t="inlineStr">
        <is>
          <t>Jeans</t>
        </is>
      </c>
      <c r="L1096" s="156" t="inlineStr">
        <is>
          <t>Hombre</t>
        </is>
      </c>
      <c r="M1096" s="156" t="inlineStr">
        <is>
          <t>Stetson</t>
        </is>
      </c>
      <c r="N1096" s="156" t="inlineStr">
        <is>
          <t>SS26</t>
        </is>
      </c>
      <c r="O1096" s="156" t="inlineStr">
        <is>
          <t>Seasonal</t>
        </is>
      </c>
      <c r="P1096" s="156" t="inlineStr">
        <is>
          <t>Azul</t>
        </is>
      </c>
      <c r="Q1096" s="156" t="inlineStr">
        <is>
          <t>Regular</t>
        </is>
      </c>
      <c r="R1096" s="156" t="inlineStr">
        <is>
          <t>Recto</t>
        </is>
      </c>
      <c r="S1096" s="156" t="inlineStr">
        <is>
          <t>100% Algodón</t>
        </is>
      </c>
      <c r="T1096" s="156" t="inlineStr">
        <is>
          <t>Jean Bordado X en Bolsa Trasera Pierna Recta Regular</t>
        </is>
      </c>
      <c r="U1096" s="156" t="n"/>
      <c r="V1096" s="156" t="inlineStr">
        <is>
          <t>PZS</t>
        </is>
      </c>
      <c r="W1096" s="51" t="inlineStr">
        <is>
          <t>53101502</t>
        </is>
      </c>
      <c r="X1096" s="156" t="n"/>
      <c r="Y1096" s="54" t="n">
        <v>775.862069</v>
      </c>
      <c r="Z1096" s="54" t="n">
        <v>1724.137931</v>
      </c>
      <c r="AA1096" s="55">
        <f>IF(AND(A1096="", B1096="", E1096=""), "", IF(AB1096="", "Válido", IF((LEN(AB1096)-LEN(SUBSTITUTE(AB1096,"; ","")))/2+1&gt;(LEN(AB1096)-LEN(SUBSTITUTE(AB1096,"[Aviso]","")))/7, "Con Incidencias", "Válido")))</f>
        <v/>
      </c>
      <c r="AB1096" s="56">
        <f>IF(AND(A1096="", B1096="", E1096=""), "", TEXTJOIN("; ", TRUE, IF(OR(TRIM(A1096&amp;"")="", ISNUMBER(SEARCH("FALTA", A1096))), "UPC faltante/inválido", ""), IF(AND(A1096&lt;&gt;"", IFERROR(_xlfn.XMATCH(A1096,$A$2:$A$2509,0,1)&lt;&gt;_xlfn.XMATCH(A1096,$A$2:$A$2509,0,-1),FALSE)), "Código de barras duplicado", ""), IF(AND(E1096&lt;&gt;"", COUNTIF($E$2:$E$2509, E1096)&gt;1), "SKU duplicado", ""), IF(OR(J1096="", J1096=""), "[Aviso] División no capturada ()", IF(ISNA(MATCH(J1096, Criterios!$A$123:$A$126, 0)), "División no válida", "")), IF(OR(K1096="", K1096=""), "[Aviso] Categoría no capturada ()", IF(ISNA(MATCH(K1096, Criterios!$A$81:$A$120, 0)), "Categoría no válida", IF(AND(J1096&lt;&gt;"", J1096&lt;&gt;"", J1096&lt;&gt;VLOOKUP(K1096, Criterios!$A$81:$B$120, 2, FALSE)), "División no coincide con Categoría", ""))), IF(OR(L1096="", L1096=""), "[Aviso] Género no capturado ()", IF(ISNA(MATCH(L1096, Criterios!$B$123:$B$127, 0)), "Género no válido", "")), IF(OR(N1096="", N1096=""), "[Aviso] Temporada no capturada ()", IF(ISNA(MATCH(N1096, Criterios!$C$123:$C$128, 0)), "Temporada no válida", "")), IF(OR(O1096="", O1096=""), "[Aviso] Ciclo de vida no capturado ()", IF(ISNA(MATCH(O1096, Criterios!$D$123:$D$124, 0)), "Ciclo de vida no válido", ""))))</f>
        <v/>
      </c>
      <c r="AC1096" s="56" t="n"/>
      <c r="AD1096" s="51" t="n">
        <v>-1</v>
      </c>
      <c r="AE1096" s="156" t="n"/>
      <c r="AF1096" s="51" t="n">
        <v>0</v>
      </c>
      <c r="AG1096" s="156" t="inlineStr">
        <is>
          <t>Catálogo existente</t>
        </is>
      </c>
      <c r="AH1096" s="156" t="inlineStr">
        <is>
          <t>Stock negativo en sistema: revisar en conteo</t>
        </is>
      </c>
      <c r="AI1096" s="156" t="inlineStr">
        <is>
          <t>Sí</t>
        </is>
      </c>
      <c r="AJ1096" s="156" t="inlineStr">
        <is>
          <t>STETSON AMERICAS (-1)</t>
        </is>
      </c>
      <c r="AK1096" s="155" t="inlineStr">
        <is>
          <t>Shopify Stetson: producto 15051554488683 / variante 53342127096171 | Odoo: producto 29844 / plantilla 38548</t>
        </is>
      </c>
      <c r="AL1096" s="58" t="n">
        <v>775.862069</v>
      </c>
      <c r="AM1096" s="58" t="n">
        <v>1724.137931</v>
      </c>
      <c r="AN1096" s="155" t="inlineStr">
        <is>
          <t>Shopify Stetson México | Odoo Universal Unique Brands</t>
        </is>
      </c>
      <c r="AO1096" s="59" t="n">
        <v>3</v>
      </c>
      <c r="AP1096" s="59" t="n"/>
      <c r="AQ1096" s="59" t="n">
        <v>4</v>
      </c>
      <c r="AR1096" s="155" t="inlineStr">
        <is>
          <t>Shopify Stetson México › Stetson Americas: 3 | Odoo Universal Unique Brands › Bodega 25 › Bodega 25/General: 4</t>
        </is>
      </c>
    </row>
    <row r="1097">
      <c r="A1097" s="50" t="inlineStr">
        <is>
          <t>196070815443</t>
        </is>
      </c>
      <c r="B1097" s="51" t="inlineStr">
        <is>
          <t>110604</t>
        </is>
      </c>
      <c r="C1097" s="156" t="inlineStr">
        <is>
          <t>Multimarca</t>
        </is>
      </c>
      <c r="D1097" s="156" t="inlineStr">
        <is>
          <t>11-004-1210-8006</t>
        </is>
      </c>
      <c r="E1097" s="156" t="inlineStr">
        <is>
          <t>11-004-1210-8006-33 32</t>
        </is>
      </c>
      <c r="F1097" s="156" t="inlineStr">
        <is>
          <t>33 x 32</t>
        </is>
      </c>
      <c r="G1097" s="156" t="inlineStr">
        <is>
          <t>33W / 32L</t>
        </is>
      </c>
      <c r="H1097" s="156" t="inlineStr">
        <is>
          <t>Stetson</t>
        </is>
      </c>
      <c r="I1097" s="156" t="inlineStr">
        <is>
          <t>Jean Bordado X en Bolsa Trasera</t>
        </is>
      </c>
      <c r="J1097" s="156" t="inlineStr">
        <is>
          <t>Denim</t>
        </is>
      </c>
      <c r="K1097" s="156" t="inlineStr">
        <is>
          <t>Jeans</t>
        </is>
      </c>
      <c r="L1097" s="156" t="inlineStr">
        <is>
          <t>Hombre</t>
        </is>
      </c>
      <c r="M1097" s="156" t="inlineStr">
        <is>
          <t>Stetson</t>
        </is>
      </c>
      <c r="N1097" s="156" t="inlineStr">
        <is>
          <t>SS26</t>
        </is>
      </c>
      <c r="O1097" s="156" t="inlineStr">
        <is>
          <t>Seasonal</t>
        </is>
      </c>
      <c r="P1097" s="156" t="inlineStr">
        <is>
          <t>Azul</t>
        </is>
      </c>
      <c r="Q1097" s="156" t="inlineStr">
        <is>
          <t>Regular</t>
        </is>
      </c>
      <c r="R1097" s="156" t="inlineStr">
        <is>
          <t>Recto</t>
        </is>
      </c>
      <c r="S1097" s="156" t="inlineStr">
        <is>
          <t>100% Algodón</t>
        </is>
      </c>
      <c r="T1097" s="156" t="inlineStr">
        <is>
          <t>Jean Bordado X en Bolsa Trasera Pierna Recta Regular</t>
        </is>
      </c>
      <c r="U1097" s="156" t="n"/>
      <c r="V1097" s="156" t="inlineStr">
        <is>
          <t>PZS</t>
        </is>
      </c>
      <c r="W1097" s="51" t="inlineStr">
        <is>
          <t>53101502</t>
        </is>
      </c>
      <c r="X1097" s="156" t="n"/>
      <c r="Y1097" s="54" t="n">
        <v>775.862069</v>
      </c>
      <c r="Z1097" s="54" t="n">
        <v>1724.137931</v>
      </c>
      <c r="AA1097" s="55">
        <f>IF(AND(A1097="", B1097="", E1097=""), "", IF(AB1097="", "Válido", IF((LEN(AB1097)-LEN(SUBSTITUTE(AB1097,"; ","")))/2+1&gt;(LEN(AB1097)-LEN(SUBSTITUTE(AB1097,"[Aviso]","")))/7, "Con Incidencias", "Válido")))</f>
        <v/>
      </c>
      <c r="AB1097" s="56">
        <f>IF(AND(A1097="", B1097="", E1097=""), "", TEXTJOIN("; ", TRUE, IF(OR(TRIM(A1097&amp;"")="", ISNUMBER(SEARCH("FALTA", A1097))), "UPC faltante/inválido", ""), IF(AND(A1097&lt;&gt;"", IFERROR(_xlfn.XMATCH(A1097,$A$2:$A$2509,0,1)&lt;&gt;_xlfn.XMATCH(A1097,$A$2:$A$2509,0,-1),FALSE)), "Código de barras duplicado", ""), IF(AND(E1097&lt;&gt;"", COUNTIF($E$2:$E$2509, E1097)&gt;1), "SKU duplicado", ""), IF(OR(J1097="", J1097=""), "[Aviso] División no capturada ()", IF(ISNA(MATCH(J1097, Criterios!$A$123:$A$126, 0)), "División no válida", "")), IF(OR(K1097="", K1097=""), "[Aviso] Categoría no capturada ()", IF(ISNA(MATCH(K1097, Criterios!$A$81:$A$120, 0)), "Categoría no válida", IF(AND(J1097&lt;&gt;"", J1097&lt;&gt;"", J1097&lt;&gt;VLOOKUP(K1097, Criterios!$A$81:$B$120, 2, FALSE)), "División no coincide con Categoría", ""))), IF(OR(L1097="", L1097=""), "[Aviso] Género no capturado ()", IF(ISNA(MATCH(L1097, Criterios!$B$123:$B$127, 0)), "Género no válido", "")), IF(OR(N1097="", N1097=""), "[Aviso] Temporada no capturada ()", IF(ISNA(MATCH(N1097, Criterios!$C$123:$C$128, 0)), "Temporada no válida", "")), IF(OR(O1097="", O1097=""), "[Aviso] Ciclo de vida no capturado ()", IF(ISNA(MATCH(O1097, Criterios!$D$123:$D$124, 0)), "Ciclo de vida no válido", ""))))</f>
        <v/>
      </c>
      <c r="AC1097" s="56" t="n"/>
      <c r="AD1097" s="51" t="n">
        <v>-1</v>
      </c>
      <c r="AE1097" s="156" t="n"/>
      <c r="AF1097" s="51" t="n">
        <v>0</v>
      </c>
      <c r="AG1097" s="156" t="inlineStr">
        <is>
          <t>Catálogo existente</t>
        </is>
      </c>
      <c r="AH1097" s="156" t="inlineStr">
        <is>
          <t>Stock negativo en sistema: revisar en conteo</t>
        </is>
      </c>
      <c r="AI1097" s="156" t="inlineStr">
        <is>
          <t>Sí</t>
        </is>
      </c>
      <c r="AJ1097" s="156" t="inlineStr">
        <is>
          <t>STETSON AMERICAS (-1)</t>
        </is>
      </c>
      <c r="AK1097" s="155" t="inlineStr">
        <is>
          <t>Shopify Stetson: producto 15051554488683 / variante 53342127128939 | Odoo: producto 29845 / plantilla 38549</t>
        </is>
      </c>
      <c r="AL1097" s="58" t="n">
        <v>775.862069</v>
      </c>
      <c r="AM1097" s="58" t="n">
        <v>1724.137931</v>
      </c>
      <c r="AN1097" s="155" t="inlineStr">
        <is>
          <t>Shopify Stetson México | Odoo Universal Unique Brands</t>
        </is>
      </c>
      <c r="AO1097" s="59" t="n">
        <v>3</v>
      </c>
      <c r="AP1097" s="59" t="n"/>
      <c r="AQ1097" s="59" t="n">
        <v>4</v>
      </c>
      <c r="AR1097" s="155" t="inlineStr">
        <is>
          <t>Shopify Stetson México › Stetson Americas: 3 | Odoo Universal Unique Brands › Bodega 25 › Bodega 25/General: 4</t>
        </is>
      </c>
    </row>
    <row r="1098">
      <c r="A1098" s="50" t="inlineStr">
        <is>
          <t>196070815504</t>
        </is>
      </c>
      <c r="B1098" s="51" t="inlineStr">
        <is>
          <t>110605</t>
        </is>
      </c>
      <c r="C1098" s="156" t="inlineStr">
        <is>
          <t>Multimarca</t>
        </is>
      </c>
      <c r="D1098" s="156" t="inlineStr">
        <is>
          <t>11-004-1210-8006</t>
        </is>
      </c>
      <c r="E1098" s="156" t="inlineStr">
        <is>
          <t>11-004-1210-8006-34 32</t>
        </is>
      </c>
      <c r="F1098" s="156" t="inlineStr">
        <is>
          <t>34 x 32</t>
        </is>
      </c>
      <c r="G1098" s="156" t="inlineStr">
        <is>
          <t>34W / 32L</t>
        </is>
      </c>
      <c r="H1098" s="156" t="inlineStr">
        <is>
          <t>Stetson</t>
        </is>
      </c>
      <c r="I1098" s="156" t="inlineStr">
        <is>
          <t>Jean Bordado X en Bolsa Trasera</t>
        </is>
      </c>
      <c r="J1098" s="156" t="inlineStr">
        <is>
          <t>Denim</t>
        </is>
      </c>
      <c r="K1098" s="156" t="inlineStr">
        <is>
          <t>Jeans</t>
        </is>
      </c>
      <c r="L1098" s="156" t="inlineStr">
        <is>
          <t>Hombre</t>
        </is>
      </c>
      <c r="M1098" s="156" t="inlineStr">
        <is>
          <t>Stetson</t>
        </is>
      </c>
      <c r="N1098" s="156" t="inlineStr">
        <is>
          <t>SS26</t>
        </is>
      </c>
      <c r="O1098" s="156" t="inlineStr">
        <is>
          <t>Seasonal</t>
        </is>
      </c>
      <c r="P1098" s="156" t="inlineStr">
        <is>
          <t>Azul</t>
        </is>
      </c>
      <c r="Q1098" s="156" t="inlineStr">
        <is>
          <t>Regular</t>
        </is>
      </c>
      <c r="R1098" s="156" t="inlineStr">
        <is>
          <t>Recto</t>
        </is>
      </c>
      <c r="S1098" s="156" t="inlineStr">
        <is>
          <t>100% Algodón</t>
        </is>
      </c>
      <c r="T1098" s="156" t="inlineStr">
        <is>
          <t>Jean Bordado X en Bolsa Trasera Pierna Recta Regular</t>
        </is>
      </c>
      <c r="U1098" s="156" t="n"/>
      <c r="V1098" s="156" t="inlineStr">
        <is>
          <t>PZS</t>
        </is>
      </c>
      <c r="W1098" s="51" t="inlineStr">
        <is>
          <t>53101502</t>
        </is>
      </c>
      <c r="X1098" s="156" t="n"/>
      <c r="Y1098" s="54" t="n">
        <v>775.862069</v>
      </c>
      <c r="Z1098" s="54" t="n">
        <v>1724.137931</v>
      </c>
      <c r="AA1098" s="55">
        <f>IF(AND(A1098="", B1098="", E1098=""), "", IF(AB1098="", "Válido", IF((LEN(AB1098)-LEN(SUBSTITUTE(AB1098,"; ","")))/2+1&gt;(LEN(AB1098)-LEN(SUBSTITUTE(AB1098,"[Aviso]","")))/7, "Con Incidencias", "Válido")))</f>
        <v/>
      </c>
      <c r="AB1098" s="56">
        <f>IF(AND(A1098="", B1098="", E1098=""), "", TEXTJOIN("; ", TRUE, IF(OR(TRIM(A1098&amp;"")="", ISNUMBER(SEARCH("FALTA", A1098))), "UPC faltante/inválido", ""), IF(AND(A1098&lt;&gt;"", IFERROR(_xlfn.XMATCH(A1098,$A$2:$A$2509,0,1)&lt;&gt;_xlfn.XMATCH(A1098,$A$2:$A$2509,0,-1),FALSE)), "Código de barras duplicado", ""), IF(AND(E1098&lt;&gt;"", COUNTIF($E$2:$E$2509, E1098)&gt;1), "SKU duplicado", ""), IF(OR(J1098="", J1098=""), "[Aviso] División no capturada ()", IF(ISNA(MATCH(J1098, Criterios!$A$123:$A$126, 0)), "División no válida", "")), IF(OR(K1098="", K1098=""), "[Aviso] Categoría no capturada ()", IF(ISNA(MATCH(K1098, Criterios!$A$81:$A$120, 0)), "Categoría no válida", IF(AND(J1098&lt;&gt;"", J1098&lt;&gt;"", J1098&lt;&gt;VLOOKUP(K1098, Criterios!$A$81:$B$120, 2, FALSE)), "División no coincide con Categoría", ""))), IF(OR(L1098="", L1098=""), "[Aviso] Género no capturado ()", IF(ISNA(MATCH(L1098, Criterios!$B$123:$B$127, 0)), "Género no válido", "")), IF(OR(N1098="", N1098=""), "[Aviso] Temporada no capturada ()", IF(ISNA(MATCH(N1098, Criterios!$C$123:$C$128, 0)), "Temporada no válida", "")), IF(OR(O1098="", O1098=""), "[Aviso] Ciclo de vida no capturado ()", IF(ISNA(MATCH(O1098, Criterios!$D$123:$D$124, 0)), "Ciclo de vida no válido", ""))))</f>
        <v/>
      </c>
      <c r="AC1098" s="56" t="n"/>
      <c r="AD1098" s="51" t="n">
        <v>0</v>
      </c>
      <c r="AE1098" s="156" t="n"/>
      <c r="AF1098" s="51" t="n">
        <v>0</v>
      </c>
      <c r="AG1098" s="156" t="inlineStr">
        <is>
          <t>Catálogo existente</t>
        </is>
      </c>
      <c r="AH1098" s="156" t="n"/>
      <c r="AI1098" s="156" t="inlineStr">
        <is>
          <t>No</t>
        </is>
      </c>
      <c r="AJ1098" s="156" t="n"/>
      <c r="AK1098" s="155" t="inlineStr">
        <is>
          <t>Shopify Stetson: producto 15051554488683 / variante 53342127161707 | Odoo: producto 29846 / plantilla 38550</t>
        </is>
      </c>
      <c r="AL1098" s="58" t="n">
        <v>775.862069</v>
      </c>
      <c r="AM1098" s="58" t="n">
        <v>1724.137931</v>
      </c>
      <c r="AN1098" s="155" t="inlineStr">
        <is>
          <t>Shopify Stetson México | Odoo Universal Unique Brands</t>
        </is>
      </c>
      <c r="AO1098" s="59" t="n">
        <v>2</v>
      </c>
      <c r="AP1098" s="59" t="n"/>
      <c r="AQ1098" s="59" t="n">
        <v>2</v>
      </c>
      <c r="AR1098" s="155" t="inlineStr">
        <is>
          <t>Shopify Stetson México › Stetson Americas: 2 | Odoo Universal Unique Brands › Bodega 25 › Bodega 25/General: 2</t>
        </is>
      </c>
    </row>
    <row r="1099">
      <c r="A1099" s="50" t="inlineStr">
        <is>
          <t>196070815511</t>
        </is>
      </c>
      <c r="B1099" s="51" t="inlineStr">
        <is>
          <t>110606</t>
        </is>
      </c>
      <c r="C1099" s="156" t="inlineStr">
        <is>
          <t>Multimarca</t>
        </is>
      </c>
      <c r="D1099" s="156" t="inlineStr">
        <is>
          <t>11-004-1210-8006</t>
        </is>
      </c>
      <c r="E1099" s="156" t="inlineStr">
        <is>
          <t>11-004-1210-8006-34 34</t>
        </is>
      </c>
      <c r="F1099" s="156" t="inlineStr">
        <is>
          <t>34 x 34</t>
        </is>
      </c>
      <c r="G1099" s="156" t="inlineStr">
        <is>
          <t>34W / 34L</t>
        </is>
      </c>
      <c r="H1099" s="156" t="inlineStr">
        <is>
          <t>Stetson</t>
        </is>
      </c>
      <c r="I1099" s="156" t="inlineStr">
        <is>
          <t>Jean Bordado X en Bolsa Trasera</t>
        </is>
      </c>
      <c r="J1099" s="156" t="inlineStr">
        <is>
          <t>Denim</t>
        </is>
      </c>
      <c r="K1099" s="156" t="inlineStr">
        <is>
          <t>Jeans</t>
        </is>
      </c>
      <c r="L1099" s="156" t="inlineStr">
        <is>
          <t>Hombre</t>
        </is>
      </c>
      <c r="M1099" s="156" t="inlineStr">
        <is>
          <t>Stetson</t>
        </is>
      </c>
      <c r="N1099" s="156" t="inlineStr">
        <is>
          <t>SS26</t>
        </is>
      </c>
      <c r="O1099" s="156" t="inlineStr">
        <is>
          <t>Seasonal</t>
        </is>
      </c>
      <c r="P1099" s="156" t="inlineStr">
        <is>
          <t>Azul</t>
        </is>
      </c>
      <c r="Q1099" s="156" t="inlineStr">
        <is>
          <t>Regular</t>
        </is>
      </c>
      <c r="R1099" s="156" t="inlineStr">
        <is>
          <t>Recto</t>
        </is>
      </c>
      <c r="S1099" s="156" t="inlineStr">
        <is>
          <t>100% Algodón</t>
        </is>
      </c>
      <c r="T1099" s="156" t="inlineStr">
        <is>
          <t>Jean Bordado X en Bolsa Trasera Pierna Recta Regular</t>
        </is>
      </c>
      <c r="U1099" s="156" t="n"/>
      <c r="V1099" s="156" t="inlineStr">
        <is>
          <t>PZS</t>
        </is>
      </c>
      <c r="W1099" s="51" t="inlineStr">
        <is>
          <t>53101502</t>
        </is>
      </c>
      <c r="X1099" s="156" t="n"/>
      <c r="Y1099" s="54" t="n">
        <v>775.862069</v>
      </c>
      <c r="Z1099" s="54" t="n">
        <v>1724.137931</v>
      </c>
      <c r="AA1099" s="55">
        <f>IF(AND(A1099="", B1099="", E1099=""), "", IF(AB1099="", "Válido", IF((LEN(AB1099)-LEN(SUBSTITUTE(AB1099,"; ","")))/2+1&gt;(LEN(AB1099)-LEN(SUBSTITUTE(AB1099,"[Aviso]","")))/7, "Con Incidencias", "Válido")))</f>
        <v/>
      </c>
      <c r="AB1099" s="56">
        <f>IF(AND(A1099="", B1099="", E1099=""), "", TEXTJOIN("; ", TRUE, IF(OR(TRIM(A1099&amp;"")="", ISNUMBER(SEARCH("FALTA", A1099))), "UPC faltante/inválido", ""), IF(AND(A1099&lt;&gt;"", IFERROR(_xlfn.XMATCH(A1099,$A$2:$A$2509,0,1)&lt;&gt;_xlfn.XMATCH(A1099,$A$2:$A$2509,0,-1),FALSE)), "Código de barras duplicado", ""), IF(AND(E1099&lt;&gt;"", COUNTIF($E$2:$E$2509, E1099)&gt;1), "SKU duplicado", ""), IF(OR(J1099="", J1099=""), "[Aviso] División no capturada ()", IF(ISNA(MATCH(J1099, Criterios!$A$123:$A$126, 0)), "División no válida", "")), IF(OR(K1099="", K1099=""), "[Aviso] Categoría no capturada ()", IF(ISNA(MATCH(K1099, Criterios!$A$81:$A$120, 0)), "Categoría no válida", IF(AND(J1099&lt;&gt;"", J1099&lt;&gt;"", J1099&lt;&gt;VLOOKUP(K1099, Criterios!$A$81:$B$120, 2, FALSE)), "División no coincide con Categoría", ""))), IF(OR(L1099="", L1099=""), "[Aviso] Género no capturado ()", IF(ISNA(MATCH(L1099, Criterios!$B$123:$B$127, 0)), "Género no válido", "")), IF(OR(N1099="", N1099=""), "[Aviso] Temporada no capturada ()", IF(ISNA(MATCH(N1099, Criterios!$C$123:$C$128, 0)), "Temporada no válida", "")), IF(OR(O1099="", O1099=""), "[Aviso] Ciclo de vida no capturado ()", IF(ISNA(MATCH(O1099, Criterios!$D$123:$D$124, 0)), "Ciclo de vida no válido", ""))))</f>
        <v/>
      </c>
      <c r="AC1099" s="56" t="n"/>
      <c r="AD1099" s="51" t="n">
        <v>-2</v>
      </c>
      <c r="AE1099" s="156" t="n"/>
      <c r="AF1099" s="51" t="n">
        <v>0</v>
      </c>
      <c r="AG1099" s="156" t="inlineStr">
        <is>
          <t>Catálogo existente</t>
        </is>
      </c>
      <c r="AH1099" s="156" t="inlineStr">
        <is>
          <t>Stock negativo en sistema: revisar en conteo</t>
        </is>
      </c>
      <c r="AI1099" s="156" t="inlineStr">
        <is>
          <t>Sí</t>
        </is>
      </c>
      <c r="AJ1099" s="156" t="inlineStr">
        <is>
          <t>STETSON AMERICAS (-2)</t>
        </is>
      </c>
      <c r="AK1099" s="155" t="inlineStr">
        <is>
          <t>Shopify Stetson: producto 15051554488683 / variante 53342127194475 | Odoo: producto 29847 / plantilla 38551</t>
        </is>
      </c>
      <c r="AL1099" s="58" t="n">
        <v>775.862069</v>
      </c>
      <c r="AM1099" s="58" t="n">
        <v>1724.137931</v>
      </c>
      <c r="AN1099" s="155" t="inlineStr">
        <is>
          <t>Shopify Stetson México | Odoo Universal Unique Brands</t>
        </is>
      </c>
      <c r="AO1099" s="59" t="n">
        <v>2</v>
      </c>
      <c r="AP1099" s="59" t="n"/>
      <c r="AQ1099" s="59" t="n">
        <v>4</v>
      </c>
      <c r="AR1099" s="155" t="inlineStr">
        <is>
          <t>Shopify Stetson México › Stetson Americas: 2 | Odoo Universal Unique Brands › Bodega 25 › Bodega 25/General: 4</t>
        </is>
      </c>
    </row>
    <row r="1100">
      <c r="A1100" s="50" t="inlineStr">
        <is>
          <t>196070815627</t>
        </is>
      </c>
      <c r="B1100" s="51" t="inlineStr">
        <is>
          <t>110607</t>
        </is>
      </c>
      <c r="C1100" s="156" t="inlineStr">
        <is>
          <t>Multimarca</t>
        </is>
      </c>
      <c r="D1100" s="156" t="inlineStr">
        <is>
          <t>11-004-1210-8006</t>
        </is>
      </c>
      <c r="E1100" s="156" t="inlineStr">
        <is>
          <t>11-004-1210-8006-36 32</t>
        </is>
      </c>
      <c r="F1100" s="156" t="inlineStr">
        <is>
          <t>36 x 32</t>
        </is>
      </c>
      <c r="G1100" s="156" t="inlineStr">
        <is>
          <t>36W / 32L</t>
        </is>
      </c>
      <c r="H1100" s="156" t="inlineStr">
        <is>
          <t>Stetson</t>
        </is>
      </c>
      <c r="I1100" s="156" t="inlineStr">
        <is>
          <t>Jean Bordado X en Bolsa Trasera</t>
        </is>
      </c>
      <c r="J1100" s="156" t="inlineStr">
        <is>
          <t>Denim</t>
        </is>
      </c>
      <c r="K1100" s="156" t="inlineStr">
        <is>
          <t>Jeans</t>
        </is>
      </c>
      <c r="L1100" s="156" t="inlineStr">
        <is>
          <t>Hombre</t>
        </is>
      </c>
      <c r="M1100" s="156" t="inlineStr">
        <is>
          <t>Stetson</t>
        </is>
      </c>
      <c r="N1100" s="156" t="inlineStr">
        <is>
          <t>SS26</t>
        </is>
      </c>
      <c r="O1100" s="156" t="inlineStr">
        <is>
          <t>Seasonal</t>
        </is>
      </c>
      <c r="P1100" s="156" t="inlineStr">
        <is>
          <t>Azul</t>
        </is>
      </c>
      <c r="Q1100" s="156" t="inlineStr">
        <is>
          <t>Regular</t>
        </is>
      </c>
      <c r="R1100" s="156" t="inlineStr">
        <is>
          <t>Recto</t>
        </is>
      </c>
      <c r="S1100" s="156" t="inlineStr">
        <is>
          <t>100% Algodón</t>
        </is>
      </c>
      <c r="T1100" s="156" t="inlineStr">
        <is>
          <t>Jean Bordado X en Bolsa Trasera Pierna Recta Regular</t>
        </is>
      </c>
      <c r="U1100" s="156" t="n"/>
      <c r="V1100" s="156" t="inlineStr">
        <is>
          <t>PZS</t>
        </is>
      </c>
      <c r="W1100" s="51" t="inlineStr">
        <is>
          <t>53101502</t>
        </is>
      </c>
      <c r="X1100" s="156" t="n"/>
      <c r="Y1100" s="54" t="n">
        <v>775.862069</v>
      </c>
      <c r="Z1100" s="54" t="n">
        <v>1724.137931</v>
      </c>
      <c r="AA1100" s="55">
        <f>IF(AND(A1100="", B1100="", E1100=""), "", IF(AB1100="", "Válido", IF((LEN(AB1100)-LEN(SUBSTITUTE(AB1100,"; ","")))/2+1&gt;(LEN(AB1100)-LEN(SUBSTITUTE(AB1100,"[Aviso]","")))/7, "Con Incidencias", "Válido")))</f>
        <v/>
      </c>
      <c r="AB1100" s="56">
        <f>IF(AND(A1100="", B1100="", E1100=""), "", TEXTJOIN("; ", TRUE, IF(OR(TRIM(A1100&amp;"")="", ISNUMBER(SEARCH("FALTA", A1100))), "UPC faltante/inválido", ""), IF(AND(A1100&lt;&gt;"", IFERROR(_xlfn.XMATCH(A1100,$A$2:$A$2509,0,1)&lt;&gt;_xlfn.XMATCH(A1100,$A$2:$A$2509,0,-1),FALSE)), "Código de barras duplicado", ""), IF(AND(E1100&lt;&gt;"", COUNTIF($E$2:$E$2509, E1100)&gt;1), "SKU duplicado", ""), IF(OR(J1100="", J1100=""), "[Aviso] División no capturada ()", IF(ISNA(MATCH(J1100, Criterios!$A$123:$A$126, 0)), "División no válida", "")), IF(OR(K1100="", K1100=""), "[Aviso] Categoría no capturada ()", IF(ISNA(MATCH(K1100, Criterios!$A$81:$A$120, 0)), "Categoría no válida", IF(AND(J1100&lt;&gt;"", J1100&lt;&gt;"", J1100&lt;&gt;VLOOKUP(K1100, Criterios!$A$81:$B$120, 2, FALSE)), "División no coincide con Categoría", ""))), IF(OR(L1100="", L1100=""), "[Aviso] Género no capturado ()", IF(ISNA(MATCH(L1100, Criterios!$B$123:$B$127, 0)), "Género no válido", "")), IF(OR(N1100="", N1100=""), "[Aviso] Temporada no capturada ()", IF(ISNA(MATCH(N1100, Criterios!$C$123:$C$128, 0)), "Temporada no válida", "")), IF(OR(O1100="", O1100=""), "[Aviso] Ciclo de vida no capturado ()", IF(ISNA(MATCH(O1100, Criterios!$D$123:$D$124, 0)), "Ciclo de vida no válido", ""))))</f>
        <v/>
      </c>
      <c r="AC1100" s="56" t="n"/>
      <c r="AD1100" s="51" t="n">
        <v>-1</v>
      </c>
      <c r="AE1100" s="156" t="n"/>
      <c r="AF1100" s="51" t="n">
        <v>0</v>
      </c>
      <c r="AG1100" s="156" t="inlineStr">
        <is>
          <t>Catálogo existente</t>
        </is>
      </c>
      <c r="AH1100" s="156" t="inlineStr">
        <is>
          <t>Stock negativo en sistema: revisar en conteo</t>
        </is>
      </c>
      <c r="AI1100" s="156" t="inlineStr">
        <is>
          <t>Sí</t>
        </is>
      </c>
      <c r="AJ1100" s="156" t="inlineStr">
        <is>
          <t>STETSON AMERICAS (-1)</t>
        </is>
      </c>
      <c r="AK1100" s="155" t="inlineStr">
        <is>
          <t>Shopify Stetson: producto 15051554488683 / variante 53342127227243 | Odoo: producto 29848 / plantilla 38552</t>
        </is>
      </c>
      <c r="AL1100" s="58" t="n">
        <v>775.862069</v>
      </c>
      <c r="AM1100" s="58" t="n">
        <v>1724.137931</v>
      </c>
      <c r="AN1100" s="155" t="inlineStr">
        <is>
          <t>Shopify Stetson México | Odoo Universal Unique Brands</t>
        </is>
      </c>
      <c r="AO1100" s="59" t="n">
        <v>0</v>
      </c>
      <c r="AP1100" s="59" t="n"/>
      <c r="AQ1100" s="59" t="n">
        <v>2</v>
      </c>
      <c r="AR1100" s="155" t="inlineStr">
        <is>
          <t>Odoo Universal Unique Brands › Bodega 25 › Bodega 25/General: 2</t>
        </is>
      </c>
    </row>
    <row r="1101">
      <c r="A1101" s="50" t="inlineStr">
        <is>
          <t>196070818321</t>
        </is>
      </c>
      <c r="B1101" s="51" t="inlineStr">
        <is>
          <t>110684</t>
        </is>
      </c>
      <c r="C1101" s="156" t="inlineStr">
        <is>
          <t>Multimarca</t>
        </is>
      </c>
      <c r="D1101" s="156" t="inlineStr">
        <is>
          <t>11-050-0594-9364</t>
        </is>
      </c>
      <c r="E1101" s="156" t="inlineStr">
        <is>
          <t>11-050-0594-9364-L</t>
        </is>
      </c>
      <c r="F1101" s="156" t="inlineStr">
        <is>
          <t>L</t>
        </is>
      </c>
      <c r="G1101" s="156" t="inlineStr">
        <is>
          <t>L</t>
        </is>
      </c>
      <c r="H1101" s="156" t="inlineStr">
        <is>
          <t>Stetson</t>
        </is>
      </c>
      <c r="I1101" s="156" t="inlineStr">
        <is>
          <t>Camisa Denim Crema 3 Puntas Espalda</t>
        </is>
      </c>
      <c r="J1101" s="156" t="inlineStr">
        <is>
          <t>Ropa</t>
        </is>
      </c>
      <c r="K1101" s="156" t="inlineStr">
        <is>
          <t>Camisas</t>
        </is>
      </c>
      <c r="L1101" s="156" t="inlineStr">
        <is>
          <t>Mujer</t>
        </is>
      </c>
      <c r="M1101" s="156" t="inlineStr">
        <is>
          <t>Stetson</t>
        </is>
      </c>
      <c r="N1101" s="156" t="inlineStr">
        <is>
          <t>SS26</t>
        </is>
      </c>
      <c r="O1101" s="156" t="inlineStr">
        <is>
          <t>Seasonal</t>
        </is>
      </c>
      <c r="P1101" s="156" t="inlineStr">
        <is>
          <t>Blanco</t>
        </is>
      </c>
      <c r="Q1101" s="156" t="inlineStr">
        <is>
          <t>Regular</t>
        </is>
      </c>
      <c r="R1101" s="156" t="n"/>
      <c r="S1101" s="156" t="inlineStr">
        <is>
          <t>100% Algodón</t>
        </is>
      </c>
      <c r="T1101" s="156" t="inlineStr">
        <is>
          <t>Camisa Denim Crema 3 Puntas Espalda Regular</t>
        </is>
      </c>
      <c r="U1101" s="156" t="n"/>
      <c r="V1101" s="156" t="inlineStr">
        <is>
          <t>PZS</t>
        </is>
      </c>
      <c r="W1101" s="51" t="inlineStr">
        <is>
          <t>53101604</t>
        </is>
      </c>
      <c r="X1101" s="156" t="n"/>
      <c r="Y1101" s="54" t="n">
        <v>892.2413792999999</v>
      </c>
      <c r="Z1101" s="54" t="n">
        <v>1982.758621</v>
      </c>
      <c r="AA1101" s="55">
        <f>IF(AND(A1101="", B1101="", E1101=""), "", IF(AB1101="", "Válido", IF((LEN(AB1101)-LEN(SUBSTITUTE(AB1101,"; ","")))/2+1&gt;(LEN(AB1101)-LEN(SUBSTITUTE(AB1101,"[Aviso]","")))/7, "Con Incidencias", "Válido")))</f>
        <v/>
      </c>
      <c r="AB1101" s="56">
        <f>IF(AND(A1101="", B1101="", E1101=""), "", TEXTJOIN("; ", TRUE, IF(OR(TRIM(A1101&amp;"")="", ISNUMBER(SEARCH("FALTA", A1101))), "UPC faltante/inválido", ""), IF(AND(A1101&lt;&gt;"", IFERROR(_xlfn.XMATCH(A1101,$A$2:$A$2509,0,1)&lt;&gt;_xlfn.XMATCH(A1101,$A$2:$A$2509,0,-1),FALSE)), "Código de barras duplicado", ""), IF(AND(E1101&lt;&gt;"", COUNTIF($E$2:$E$2509, E1101)&gt;1), "SKU duplicado", ""), IF(OR(J1101="", J1101=""), "[Aviso] División no capturada ()", IF(ISNA(MATCH(J1101, Criterios!$A$123:$A$126, 0)), "División no válida", "")), IF(OR(K1101="", K1101=""), "[Aviso] Categoría no capturada ()", IF(ISNA(MATCH(K1101, Criterios!$A$81:$A$120, 0)), "Categoría no válida", IF(AND(J1101&lt;&gt;"", J1101&lt;&gt;"", J1101&lt;&gt;VLOOKUP(K1101, Criterios!$A$81:$B$120, 2, FALSE)), "División no coincide con Categoría", ""))), IF(OR(L1101="", L1101=""), "[Aviso] Género no capturado ()", IF(ISNA(MATCH(L1101, Criterios!$B$123:$B$127, 0)), "Género no válido", "")), IF(OR(N1101="", N1101=""), "[Aviso] Temporada no capturada ()", IF(ISNA(MATCH(N1101, Criterios!$C$123:$C$128, 0)), "Temporada no válida", "")), IF(OR(O1101="", O1101=""), "[Aviso] Ciclo de vida no capturado ()", IF(ISNA(MATCH(O1101, Criterios!$D$123:$D$124, 0)), "Ciclo de vida no válido", ""))))</f>
        <v/>
      </c>
      <c r="AC1101" s="56" t="n"/>
      <c r="AD1101" s="51" t="n">
        <v>-2</v>
      </c>
      <c r="AE1101" s="156" t="n"/>
      <c r="AF1101" s="51" t="n">
        <v>0</v>
      </c>
      <c r="AG1101" s="156" t="inlineStr">
        <is>
          <t>Catálogo existente</t>
        </is>
      </c>
      <c r="AH1101"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1" s="156" t="inlineStr">
        <is>
          <t>Sí</t>
        </is>
      </c>
      <c r="AJ1101" s="156" t="inlineStr">
        <is>
          <t>STETSON AMERICAS (-2)</t>
        </is>
      </c>
      <c r="AK1101" s="155" t="inlineStr">
        <is>
          <t>Criterios: J [R]; G1522_Extraccion_Articulos_NetSuite_2026-09-30.xlsx: fila 58499 [S] | Shopify Stetson: producto 15051553997163 / variante 53350586810731</t>
        </is>
      </c>
      <c r="AL1101" s="58" t="n">
        <v>892.2413792999999</v>
      </c>
      <c r="AM1101" s="58" t="n">
        <v>1982.758621</v>
      </c>
      <c r="AN1101" s="155" t="inlineStr">
        <is>
          <t>Shopify Stetson México</t>
        </is>
      </c>
      <c r="AO1101" s="59" t="n">
        <v>0</v>
      </c>
      <c r="AP1101" s="59" t="n"/>
      <c r="AQ1101" s="59" t="n"/>
      <c r="AR1101" s="155" t="n"/>
    </row>
    <row r="1102">
      <c r="A1102" s="50" t="inlineStr">
        <is>
          <t>196070818338</t>
        </is>
      </c>
      <c r="B1102" s="51" t="inlineStr">
        <is>
          <t>110685</t>
        </is>
      </c>
      <c r="C1102" s="156" t="inlineStr">
        <is>
          <t>Multimarca</t>
        </is>
      </c>
      <c r="D1102" s="156" t="inlineStr">
        <is>
          <t>11-050-0594-9364</t>
        </is>
      </c>
      <c r="E1102" s="156" t="inlineStr">
        <is>
          <t>11-050-0594-9364-M</t>
        </is>
      </c>
      <c r="F1102" s="156" t="inlineStr">
        <is>
          <t>M</t>
        </is>
      </c>
      <c r="G1102" s="156" t="inlineStr">
        <is>
          <t>M</t>
        </is>
      </c>
      <c r="H1102" s="156" t="inlineStr">
        <is>
          <t>Stetson</t>
        </is>
      </c>
      <c r="I1102" s="156" t="inlineStr">
        <is>
          <t>Camisa Denim Crema 3 Puntas Espalda</t>
        </is>
      </c>
      <c r="J1102" s="156" t="inlineStr">
        <is>
          <t>Ropa</t>
        </is>
      </c>
      <c r="K1102" s="156" t="inlineStr">
        <is>
          <t>Camisas</t>
        </is>
      </c>
      <c r="L1102" s="156" t="inlineStr">
        <is>
          <t>Mujer</t>
        </is>
      </c>
      <c r="M1102" s="156" t="inlineStr">
        <is>
          <t>Stetson</t>
        </is>
      </c>
      <c r="N1102" s="156" t="inlineStr">
        <is>
          <t>SS26</t>
        </is>
      </c>
      <c r="O1102" s="156" t="inlineStr">
        <is>
          <t>Seasonal</t>
        </is>
      </c>
      <c r="P1102" s="156" t="inlineStr">
        <is>
          <t>Blanco</t>
        </is>
      </c>
      <c r="Q1102" s="156" t="inlineStr">
        <is>
          <t>Regular</t>
        </is>
      </c>
      <c r="R1102" s="156" t="n"/>
      <c r="S1102" s="156" t="inlineStr">
        <is>
          <t>100% Algodón</t>
        </is>
      </c>
      <c r="T1102" s="156" t="inlineStr">
        <is>
          <t>Camisa Denim Crema 3 Puntas Espalda Regular</t>
        </is>
      </c>
      <c r="U1102" s="156" t="n"/>
      <c r="V1102" s="156" t="inlineStr">
        <is>
          <t>PZS</t>
        </is>
      </c>
      <c r="W1102" s="51" t="inlineStr">
        <is>
          <t>53101604</t>
        </is>
      </c>
      <c r="X1102" s="156" t="n"/>
      <c r="Y1102" s="54" t="n">
        <v>892.2413792999999</v>
      </c>
      <c r="Z1102" s="54" t="n">
        <v>1982.758621</v>
      </c>
      <c r="AA1102" s="55">
        <f>IF(AND(A1102="", B1102="", E1102=""), "", IF(AB1102="", "Válido", IF((LEN(AB1102)-LEN(SUBSTITUTE(AB1102,"; ","")))/2+1&gt;(LEN(AB1102)-LEN(SUBSTITUTE(AB1102,"[Aviso]","")))/7, "Con Incidencias", "Válido")))</f>
        <v/>
      </c>
      <c r="AB1102" s="56">
        <f>IF(AND(A1102="", B1102="", E1102=""), "", TEXTJOIN("; ", TRUE, IF(OR(TRIM(A1102&amp;"")="", ISNUMBER(SEARCH("FALTA", A1102))), "UPC faltante/inválido", ""), IF(AND(A1102&lt;&gt;"", IFERROR(_xlfn.XMATCH(A1102,$A$2:$A$2509,0,1)&lt;&gt;_xlfn.XMATCH(A1102,$A$2:$A$2509,0,-1),FALSE)), "Código de barras duplicado", ""), IF(AND(E1102&lt;&gt;"", COUNTIF($E$2:$E$2509, E1102)&gt;1), "SKU duplicado", ""), IF(OR(J1102="", J1102=""), "[Aviso] División no capturada ()", IF(ISNA(MATCH(J1102, Criterios!$A$123:$A$126, 0)), "División no válida", "")), IF(OR(K1102="", K1102=""), "[Aviso] Categoría no capturada ()", IF(ISNA(MATCH(K1102, Criterios!$A$81:$A$120, 0)), "Categoría no válida", IF(AND(J1102&lt;&gt;"", J1102&lt;&gt;"", J1102&lt;&gt;VLOOKUP(K1102, Criterios!$A$81:$B$120, 2, FALSE)), "División no coincide con Categoría", ""))), IF(OR(L1102="", L1102=""), "[Aviso] Género no capturado ()", IF(ISNA(MATCH(L1102, Criterios!$B$123:$B$127, 0)), "Género no válido", "")), IF(OR(N1102="", N1102=""), "[Aviso] Temporada no capturada ()", IF(ISNA(MATCH(N1102, Criterios!$C$123:$C$128, 0)), "Temporada no válida", "")), IF(OR(O1102="", O1102=""), "[Aviso] Ciclo de vida no capturado ()", IF(ISNA(MATCH(O1102, Criterios!$D$123:$D$124, 0)), "Ciclo de vida no válido", ""))))</f>
        <v/>
      </c>
      <c r="AC1102" s="56" t="n"/>
      <c r="AD1102" s="51" t="n">
        <v>-2</v>
      </c>
      <c r="AE1102" s="156" t="n"/>
      <c r="AF1102" s="51" t="n">
        <v>0</v>
      </c>
      <c r="AG1102" s="156" t="inlineStr">
        <is>
          <t>Catálogo existente</t>
        </is>
      </c>
      <c r="AH1102"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2" s="156" t="inlineStr">
        <is>
          <t>Sí</t>
        </is>
      </c>
      <c r="AJ1102" s="156" t="inlineStr">
        <is>
          <t>STETSON AMERICAS (-2)</t>
        </is>
      </c>
      <c r="AK1102" s="155" t="inlineStr">
        <is>
          <t>Criterios: J [R]; G1522_Extraccion_Articulos_NetSuite_2026-09-30.xlsx: fila 58500 [S] | Shopify Stetson: producto 15051553997163 / variante 53350586777963</t>
        </is>
      </c>
      <c r="AL1102" s="58" t="n">
        <v>892.2413792999999</v>
      </c>
      <c r="AM1102" s="58" t="n">
        <v>1982.758621</v>
      </c>
      <c r="AN1102" s="155" t="inlineStr">
        <is>
          <t>Shopify Stetson México</t>
        </is>
      </c>
      <c r="AO1102" s="59" t="n">
        <v>0</v>
      </c>
      <c r="AP1102" s="59" t="n"/>
      <c r="AQ1102" s="59" t="n"/>
      <c r="AR1102" s="155" t="n"/>
    </row>
    <row r="1103">
      <c r="A1103" s="50" t="inlineStr">
        <is>
          <t>196070818345</t>
        </is>
      </c>
      <c r="B1103" s="51" t="inlineStr">
        <is>
          <t>110686</t>
        </is>
      </c>
      <c r="C1103" s="156" t="inlineStr">
        <is>
          <t>Multimarca</t>
        </is>
      </c>
      <c r="D1103" s="156" t="inlineStr">
        <is>
          <t>11-050-0594-9364</t>
        </is>
      </c>
      <c r="E1103" s="156" t="inlineStr">
        <is>
          <t>11-050-0594-9364-S</t>
        </is>
      </c>
      <c r="F1103" s="156" t="inlineStr">
        <is>
          <t>S</t>
        </is>
      </c>
      <c r="G1103" s="156" t="inlineStr">
        <is>
          <t>S</t>
        </is>
      </c>
      <c r="H1103" s="156" t="inlineStr">
        <is>
          <t>Stetson</t>
        </is>
      </c>
      <c r="I1103" s="156" t="inlineStr">
        <is>
          <t>Camisa Denim Crema 3 Puntas Espalda</t>
        </is>
      </c>
      <c r="J1103" s="156" t="inlineStr">
        <is>
          <t>Ropa</t>
        </is>
      </c>
      <c r="K1103" s="156" t="inlineStr">
        <is>
          <t>Camisas</t>
        </is>
      </c>
      <c r="L1103" s="156" t="inlineStr">
        <is>
          <t>Mujer</t>
        </is>
      </c>
      <c r="M1103" s="156" t="inlineStr">
        <is>
          <t>Stetson</t>
        </is>
      </c>
      <c r="N1103" s="156" t="inlineStr">
        <is>
          <t>SS26</t>
        </is>
      </c>
      <c r="O1103" s="156" t="inlineStr">
        <is>
          <t>Seasonal</t>
        </is>
      </c>
      <c r="P1103" s="156" t="inlineStr">
        <is>
          <t>Blanco</t>
        </is>
      </c>
      <c r="Q1103" s="156" t="inlineStr">
        <is>
          <t>Regular</t>
        </is>
      </c>
      <c r="R1103" s="156" t="n"/>
      <c r="S1103" s="156" t="inlineStr">
        <is>
          <t>100% Algodón</t>
        </is>
      </c>
      <c r="T1103" s="156" t="inlineStr">
        <is>
          <t>Camisa Denim Crema 3 Puntas Espalda Regular</t>
        </is>
      </c>
      <c r="U1103" s="156" t="n"/>
      <c r="V1103" s="156" t="inlineStr">
        <is>
          <t>PZS</t>
        </is>
      </c>
      <c r="W1103" s="51" t="inlineStr">
        <is>
          <t>53101604</t>
        </is>
      </c>
      <c r="X1103" s="156" t="n"/>
      <c r="Y1103" s="54" t="n">
        <v>892.2413792999999</v>
      </c>
      <c r="Z1103" s="54" t="n">
        <v>1982.758621</v>
      </c>
      <c r="AA1103" s="55">
        <f>IF(AND(A1103="", B1103="", E1103=""), "", IF(AB1103="", "Válido", IF((LEN(AB1103)-LEN(SUBSTITUTE(AB1103,"; ","")))/2+1&gt;(LEN(AB1103)-LEN(SUBSTITUTE(AB1103,"[Aviso]","")))/7, "Con Incidencias", "Válido")))</f>
        <v/>
      </c>
      <c r="AB1103" s="56">
        <f>IF(AND(A1103="", B1103="", E1103=""), "", TEXTJOIN("; ", TRUE, IF(OR(TRIM(A1103&amp;"")="", ISNUMBER(SEARCH("FALTA", A1103))), "UPC faltante/inválido", ""), IF(AND(A1103&lt;&gt;"", IFERROR(_xlfn.XMATCH(A1103,$A$2:$A$2509,0,1)&lt;&gt;_xlfn.XMATCH(A1103,$A$2:$A$2509,0,-1),FALSE)), "Código de barras duplicado", ""), IF(AND(E1103&lt;&gt;"", COUNTIF($E$2:$E$2509, E1103)&gt;1), "SKU duplicado", ""), IF(OR(J1103="", J1103=""), "[Aviso] División no capturada ()", IF(ISNA(MATCH(J1103, Criterios!$A$123:$A$126, 0)), "División no válida", "")), IF(OR(K1103="", K1103=""), "[Aviso] Categoría no capturada ()", IF(ISNA(MATCH(K1103, Criterios!$A$81:$A$120, 0)), "Categoría no válida", IF(AND(J1103&lt;&gt;"", J1103&lt;&gt;"", J1103&lt;&gt;VLOOKUP(K1103, Criterios!$A$81:$B$120, 2, FALSE)), "División no coincide con Categoría", ""))), IF(OR(L1103="", L1103=""), "[Aviso] Género no capturado ()", IF(ISNA(MATCH(L1103, Criterios!$B$123:$B$127, 0)), "Género no válido", "")), IF(OR(N1103="", N1103=""), "[Aviso] Temporada no capturada ()", IF(ISNA(MATCH(N1103, Criterios!$C$123:$C$128, 0)), "Temporada no válida", "")), IF(OR(O1103="", O1103=""), "[Aviso] Ciclo de vida no capturado ()", IF(ISNA(MATCH(O1103, Criterios!$D$123:$D$124, 0)), "Ciclo de vida no válido", ""))))</f>
        <v/>
      </c>
      <c r="AC1103" s="56" t="n"/>
      <c r="AD1103" s="51" t="n">
        <v>-1</v>
      </c>
      <c r="AE1103" s="156" t="n"/>
      <c r="AF1103" s="51" t="n">
        <v>0</v>
      </c>
      <c r="AG1103" s="156" t="inlineStr">
        <is>
          <t>Catálogo existente</t>
        </is>
      </c>
      <c r="AH110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3" s="156" t="inlineStr">
        <is>
          <t>Sí</t>
        </is>
      </c>
      <c r="AJ1103" s="156" t="inlineStr">
        <is>
          <t>STETSON AMERICAS (-1)</t>
        </is>
      </c>
      <c r="AK1103" s="155" t="inlineStr">
        <is>
          <t>Criterios: J [R]; G1522_Extraccion_Articulos_NetSuite_2026-09-30.xlsx: fila 58501 [S] | Shopify Stetson: producto 15051553997163 / variante 53350586745195</t>
        </is>
      </c>
      <c r="AL1103" s="58" t="n">
        <v>892.2413792999999</v>
      </c>
      <c r="AM1103" s="58" t="n">
        <v>1982.758621</v>
      </c>
      <c r="AN1103" s="155" t="inlineStr">
        <is>
          <t>Shopify Stetson México</t>
        </is>
      </c>
      <c r="AO1103" s="59" t="n">
        <v>0</v>
      </c>
      <c r="AP1103" s="59" t="n"/>
      <c r="AQ1103" s="59" t="n"/>
      <c r="AR1103" s="155" t="n"/>
    </row>
    <row r="1104">
      <c r="A1104" s="50" t="inlineStr">
        <is>
          <t>196070818352</t>
        </is>
      </c>
      <c r="B1104" s="51" t="inlineStr">
        <is>
          <t>110687</t>
        </is>
      </c>
      <c r="C1104" s="156" t="inlineStr">
        <is>
          <t>Multimarca</t>
        </is>
      </c>
      <c r="D1104" s="156" t="inlineStr">
        <is>
          <t>11-050-0594-9364</t>
        </is>
      </c>
      <c r="E1104" s="156" t="inlineStr">
        <is>
          <t>11-050-0594-9364-XL</t>
        </is>
      </c>
      <c r="F1104" s="156" t="inlineStr">
        <is>
          <t>XL</t>
        </is>
      </c>
      <c r="G1104" s="156" t="inlineStr">
        <is>
          <t>XL</t>
        </is>
      </c>
      <c r="H1104" s="156" t="inlineStr">
        <is>
          <t>Stetson</t>
        </is>
      </c>
      <c r="I1104" s="156" t="inlineStr">
        <is>
          <t>Camisa Denim Crema 3 Puntas Espalda</t>
        </is>
      </c>
      <c r="J1104" s="156" t="inlineStr">
        <is>
          <t>Ropa</t>
        </is>
      </c>
      <c r="K1104" s="156" t="inlineStr">
        <is>
          <t>Camisas</t>
        </is>
      </c>
      <c r="L1104" s="156" t="inlineStr">
        <is>
          <t>Mujer</t>
        </is>
      </c>
      <c r="M1104" s="156" t="inlineStr">
        <is>
          <t>Stetson</t>
        </is>
      </c>
      <c r="N1104" s="156" t="inlineStr">
        <is>
          <t>SS26</t>
        </is>
      </c>
      <c r="O1104" s="156" t="inlineStr">
        <is>
          <t>Seasonal</t>
        </is>
      </c>
      <c r="P1104" s="156" t="inlineStr">
        <is>
          <t>Blanco</t>
        </is>
      </c>
      <c r="Q1104" s="156" t="inlineStr">
        <is>
          <t>Regular</t>
        </is>
      </c>
      <c r="R1104" s="156" t="n"/>
      <c r="S1104" s="156" t="inlineStr">
        <is>
          <t>100% Algodón</t>
        </is>
      </c>
      <c r="T1104" s="156" t="inlineStr">
        <is>
          <t>Camisa Denim Crema 3 Puntas Espalda Regular</t>
        </is>
      </c>
      <c r="U1104" s="156" t="n"/>
      <c r="V1104" s="156" t="inlineStr">
        <is>
          <t>PZS</t>
        </is>
      </c>
      <c r="W1104" s="51" t="inlineStr">
        <is>
          <t>53101604</t>
        </is>
      </c>
      <c r="X1104" s="156" t="n"/>
      <c r="Y1104" s="54" t="n">
        <v>892.2413792999999</v>
      </c>
      <c r="Z1104" s="54" t="n">
        <v>1982.758621</v>
      </c>
      <c r="AA1104" s="55">
        <f>IF(AND(A1104="", B1104="", E1104=""), "", IF(AB1104="", "Válido", IF((LEN(AB1104)-LEN(SUBSTITUTE(AB1104,"; ","")))/2+1&gt;(LEN(AB1104)-LEN(SUBSTITUTE(AB1104,"[Aviso]","")))/7, "Con Incidencias", "Válido")))</f>
        <v/>
      </c>
      <c r="AB1104" s="56">
        <f>IF(AND(A1104="", B1104="", E1104=""), "", TEXTJOIN("; ", TRUE, IF(OR(TRIM(A1104&amp;"")="", ISNUMBER(SEARCH("FALTA", A1104))), "UPC faltante/inválido", ""), IF(AND(A1104&lt;&gt;"", IFERROR(_xlfn.XMATCH(A1104,$A$2:$A$2509,0,1)&lt;&gt;_xlfn.XMATCH(A1104,$A$2:$A$2509,0,-1),FALSE)), "Código de barras duplicado", ""), IF(AND(E1104&lt;&gt;"", COUNTIF($E$2:$E$2509, E1104)&gt;1), "SKU duplicado", ""), IF(OR(J1104="", J1104=""), "[Aviso] División no capturada ()", IF(ISNA(MATCH(J1104, Criterios!$A$123:$A$126, 0)), "División no válida", "")), IF(OR(K1104="", K1104=""), "[Aviso] Categoría no capturada ()", IF(ISNA(MATCH(K1104, Criterios!$A$81:$A$120, 0)), "Categoría no válida", IF(AND(J1104&lt;&gt;"", J1104&lt;&gt;"", J1104&lt;&gt;VLOOKUP(K1104, Criterios!$A$81:$B$120, 2, FALSE)), "División no coincide con Categoría", ""))), IF(OR(L1104="", L1104=""), "[Aviso] Género no capturado ()", IF(ISNA(MATCH(L1104, Criterios!$B$123:$B$127, 0)), "Género no válido", "")), IF(OR(N1104="", N1104=""), "[Aviso] Temporada no capturada ()", IF(ISNA(MATCH(N1104, Criterios!$C$123:$C$128, 0)), "Temporada no válida", "")), IF(OR(O1104="", O1104=""), "[Aviso] Ciclo de vida no capturado ()", IF(ISNA(MATCH(O1104, Criterios!$D$123:$D$124, 0)), "Ciclo de vida no válido", ""))))</f>
        <v/>
      </c>
      <c r="AC1104" s="56" t="n"/>
      <c r="AD1104" s="51" t="n">
        <v>-1</v>
      </c>
      <c r="AE1104" s="156" t="n"/>
      <c r="AF1104" s="51" t="n">
        <v>0</v>
      </c>
      <c r="AG1104" s="156" t="inlineStr">
        <is>
          <t>Catálogo existente</t>
        </is>
      </c>
      <c r="AH110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4" s="156" t="inlineStr">
        <is>
          <t>Sí</t>
        </is>
      </c>
      <c r="AJ1104" s="156" t="inlineStr">
        <is>
          <t>STETSON AMERICAS (-1)</t>
        </is>
      </c>
      <c r="AK1104" s="155" t="inlineStr">
        <is>
          <t>Criterios: J [R]; G1522_Extraccion_Articulos_NetSuite_2026-09-30.xlsx: fila 58502 [S] | Shopify Stetson: producto 15051553997163 / variante 53350586843499</t>
        </is>
      </c>
      <c r="AL1104" s="58" t="n">
        <v>892.2413792999999</v>
      </c>
      <c r="AM1104" s="58" t="n">
        <v>1982.758621</v>
      </c>
      <c r="AN1104" s="155" t="inlineStr">
        <is>
          <t>Shopify Stetson México</t>
        </is>
      </c>
      <c r="AO1104" s="59" t="n">
        <v>0</v>
      </c>
      <c r="AP1104" s="59" t="n"/>
      <c r="AQ1104" s="59" t="n"/>
      <c r="AR1104" s="155" t="n"/>
    </row>
    <row r="1105">
      <c r="A1105" s="50" t="inlineStr">
        <is>
          <t>196070818369</t>
        </is>
      </c>
      <c r="B1105" s="51" t="inlineStr">
        <is>
          <t>110688</t>
        </is>
      </c>
      <c r="C1105" s="156" t="inlineStr">
        <is>
          <t>Multimarca</t>
        </is>
      </c>
      <c r="D1105" s="156" t="inlineStr">
        <is>
          <t>11-050-0594-9364</t>
        </is>
      </c>
      <c r="E1105" s="156" t="inlineStr">
        <is>
          <t>11-050-0594-9364-XS</t>
        </is>
      </c>
      <c r="F1105" s="156" t="inlineStr">
        <is>
          <t>XS</t>
        </is>
      </c>
      <c r="G1105" s="156" t="inlineStr">
        <is>
          <t>XS</t>
        </is>
      </c>
      <c r="H1105" s="156" t="inlineStr">
        <is>
          <t>Stetson</t>
        </is>
      </c>
      <c r="I1105" s="156" t="inlineStr">
        <is>
          <t>Camisa Denim Crema 3 Puntas Espalda</t>
        </is>
      </c>
      <c r="J1105" s="156" t="inlineStr">
        <is>
          <t>Ropa</t>
        </is>
      </c>
      <c r="K1105" s="156" t="inlineStr">
        <is>
          <t>Camisas</t>
        </is>
      </c>
      <c r="L1105" s="156" t="inlineStr">
        <is>
          <t>Mujer</t>
        </is>
      </c>
      <c r="M1105" s="156" t="inlineStr">
        <is>
          <t>Stetson</t>
        </is>
      </c>
      <c r="N1105" s="156" t="inlineStr">
        <is>
          <t>SS26</t>
        </is>
      </c>
      <c r="O1105" s="156" t="inlineStr">
        <is>
          <t>Seasonal</t>
        </is>
      </c>
      <c r="P1105" s="156" t="inlineStr">
        <is>
          <t>Blanco</t>
        </is>
      </c>
      <c r="Q1105" s="156" t="inlineStr">
        <is>
          <t>Regular</t>
        </is>
      </c>
      <c r="R1105" s="156" t="n"/>
      <c r="S1105" s="156" t="inlineStr">
        <is>
          <t>100% Algodón</t>
        </is>
      </c>
      <c r="T1105" s="156" t="inlineStr">
        <is>
          <t>Camisa Denim Crema 3 Puntas Espalda Regular</t>
        </is>
      </c>
      <c r="U1105" s="156" t="n"/>
      <c r="V1105" s="156" t="inlineStr">
        <is>
          <t>PZS</t>
        </is>
      </c>
      <c r="W1105" s="51" t="inlineStr">
        <is>
          <t>53101604</t>
        </is>
      </c>
      <c r="X1105" s="156" t="n"/>
      <c r="Y1105" s="54" t="n">
        <v>892.2413792999999</v>
      </c>
      <c r="Z1105" s="54" t="n">
        <v>1982.758621</v>
      </c>
      <c r="AA1105" s="55">
        <f>IF(AND(A1105="", B1105="", E1105=""), "", IF(AB1105="", "Válido", IF((LEN(AB1105)-LEN(SUBSTITUTE(AB1105,"; ","")))/2+1&gt;(LEN(AB1105)-LEN(SUBSTITUTE(AB1105,"[Aviso]","")))/7, "Con Incidencias", "Válido")))</f>
        <v/>
      </c>
      <c r="AB1105" s="56">
        <f>IF(AND(A1105="", B1105="", E1105=""), "", TEXTJOIN("; ", TRUE, IF(OR(TRIM(A1105&amp;"")="", ISNUMBER(SEARCH("FALTA", A1105))), "UPC faltante/inválido", ""), IF(AND(A1105&lt;&gt;"", IFERROR(_xlfn.XMATCH(A1105,$A$2:$A$2509,0,1)&lt;&gt;_xlfn.XMATCH(A1105,$A$2:$A$2509,0,-1),FALSE)), "Código de barras duplicado", ""), IF(AND(E1105&lt;&gt;"", COUNTIF($E$2:$E$2509, E1105)&gt;1), "SKU duplicado", ""), IF(OR(J1105="", J1105=""), "[Aviso] División no capturada ()", IF(ISNA(MATCH(J1105, Criterios!$A$123:$A$126, 0)), "División no válida", "")), IF(OR(K1105="", K1105=""), "[Aviso] Categoría no capturada ()", IF(ISNA(MATCH(K1105, Criterios!$A$81:$A$120, 0)), "Categoría no válida", IF(AND(J1105&lt;&gt;"", J1105&lt;&gt;"", J1105&lt;&gt;VLOOKUP(K1105, Criterios!$A$81:$B$120, 2, FALSE)), "División no coincide con Categoría", ""))), IF(OR(L1105="", L1105=""), "[Aviso] Género no capturado ()", IF(ISNA(MATCH(L1105, Criterios!$B$123:$B$127, 0)), "Género no válido", "")), IF(OR(N1105="", N1105=""), "[Aviso] Temporada no capturada ()", IF(ISNA(MATCH(N1105, Criterios!$C$123:$C$128, 0)), "Temporada no válida", "")), IF(OR(O1105="", O1105=""), "[Aviso] Ciclo de vida no capturado ()", IF(ISNA(MATCH(O1105, Criterios!$D$123:$D$124, 0)), "Ciclo de vida no válido", ""))))</f>
        <v/>
      </c>
      <c r="AC1105" s="56" t="n"/>
      <c r="AD1105" s="51" t="n">
        <v>-1</v>
      </c>
      <c r="AE1105" s="156" t="n"/>
      <c r="AF1105" s="51" t="n">
        <v>0</v>
      </c>
      <c r="AG1105" s="156" t="inlineStr">
        <is>
          <t>Catálogo existente</t>
        </is>
      </c>
      <c r="AH110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5" s="156" t="inlineStr">
        <is>
          <t>Sí</t>
        </is>
      </c>
      <c r="AJ1105" s="156" t="inlineStr">
        <is>
          <t>STETSON AMERICAS (-1)</t>
        </is>
      </c>
      <c r="AK1105" s="155" t="inlineStr">
        <is>
          <t>Criterios: J [R]; G1522_Extraccion_Articulos_NetSuite_2026-09-30.xlsx: fila 58503 [S] | Shopify Stetson: producto 15051553997163 / variante 53350586712427</t>
        </is>
      </c>
      <c r="AL1105" s="58" t="n">
        <v>892.2413792999999</v>
      </c>
      <c r="AM1105" s="58" t="n">
        <v>1982.758621</v>
      </c>
      <c r="AN1105" s="155" t="inlineStr">
        <is>
          <t>Shopify Stetson México</t>
        </is>
      </c>
      <c r="AO1105" s="59" t="n">
        <v>0</v>
      </c>
      <c r="AP1105" s="59" t="n"/>
      <c r="AQ1105" s="59" t="n"/>
      <c r="AR1105" s="155" t="n"/>
    </row>
    <row r="1106">
      <c r="A1106" s="50" t="inlineStr">
        <is>
          <t>199168068301</t>
        </is>
      </c>
      <c r="B1106" s="51" t="inlineStr">
        <is>
          <t>110650</t>
        </is>
      </c>
      <c r="C1106" s="156" t="inlineStr">
        <is>
          <t>Multimarca</t>
        </is>
      </c>
      <c r="D1106" s="156" t="inlineStr">
        <is>
          <t>11-004-1520-4074</t>
        </is>
      </c>
      <c r="E1106" s="156" t="inlineStr">
        <is>
          <t>11-004-1520-4074-30 32</t>
        </is>
      </c>
      <c r="F1106" s="156" t="inlineStr">
        <is>
          <t>30 x 32</t>
        </is>
      </c>
      <c r="G1106" s="156" t="inlineStr">
        <is>
          <t>30W / 32L</t>
        </is>
      </c>
      <c r="H1106" s="156" t="inlineStr">
        <is>
          <t>Stetson</t>
        </is>
      </c>
      <c r="I1106" s="156" t="inlineStr">
        <is>
          <t>Jean 4 Líneas Zigzag Bordadas en Bolsa</t>
        </is>
      </c>
      <c r="J1106" s="156" t="inlineStr">
        <is>
          <t>Denim</t>
        </is>
      </c>
      <c r="K1106" s="156" t="inlineStr">
        <is>
          <t>Jeans</t>
        </is>
      </c>
      <c r="L1106" s="156" t="inlineStr">
        <is>
          <t>Hombre</t>
        </is>
      </c>
      <c r="M1106" s="156" t="inlineStr">
        <is>
          <t>Stetson</t>
        </is>
      </c>
      <c r="N1106" s="156" t="inlineStr">
        <is>
          <t>SS26</t>
        </is>
      </c>
      <c r="O1106" s="156" t="inlineStr">
        <is>
          <t>Seasonal</t>
        </is>
      </c>
      <c r="P1106" s="156" t="inlineStr">
        <is>
          <t>Azul</t>
        </is>
      </c>
      <c r="Q1106" s="156" t="inlineStr">
        <is>
          <t>Relajado</t>
        </is>
      </c>
      <c r="R1106" s="156" t="inlineStr">
        <is>
          <t>Bootcut</t>
        </is>
      </c>
      <c r="S1106" s="156" t="inlineStr">
        <is>
          <t>100% Algodón</t>
        </is>
      </c>
      <c r="T1106" s="156" t="inlineStr">
        <is>
          <t>Jean 4 Líneas Zigzag Bordadas en Bolsa Relajado</t>
        </is>
      </c>
      <c r="U1106" s="156" t="n"/>
      <c r="V1106" s="156" t="inlineStr">
        <is>
          <t>PZS</t>
        </is>
      </c>
      <c r="W1106" s="51" t="inlineStr">
        <is>
          <t>53101502</t>
        </is>
      </c>
      <c r="X1106" s="156" t="n"/>
      <c r="Y1106" s="54" t="n">
        <v>814.6551724</v>
      </c>
      <c r="Z1106" s="54" t="n">
        <v>1810.344828</v>
      </c>
      <c r="AA1106" s="55">
        <f>IF(AND(A1106="", B1106="", E1106=""), "", IF(AB1106="", "Válido", IF((LEN(AB1106)-LEN(SUBSTITUTE(AB1106,"; ","")))/2+1&gt;(LEN(AB1106)-LEN(SUBSTITUTE(AB1106,"[Aviso]","")))/7, "Con Incidencias", "Válido")))</f>
        <v/>
      </c>
      <c r="AB1106" s="56">
        <f>IF(AND(A1106="", B1106="", E1106=""), "", TEXTJOIN("; ", TRUE, IF(OR(TRIM(A1106&amp;"")="", ISNUMBER(SEARCH("FALTA", A1106))), "UPC faltante/inválido", ""), IF(AND(A1106&lt;&gt;"", IFERROR(_xlfn.XMATCH(A1106,$A$2:$A$2509,0,1)&lt;&gt;_xlfn.XMATCH(A1106,$A$2:$A$2509,0,-1),FALSE)), "Código de barras duplicado", ""), IF(AND(E1106&lt;&gt;"", COUNTIF($E$2:$E$2509, E1106)&gt;1), "SKU duplicado", ""), IF(OR(J1106="", J1106=""), "[Aviso] División no capturada ()", IF(ISNA(MATCH(J1106, Criterios!$A$123:$A$126, 0)), "División no válida", "")), IF(OR(K1106="", K1106=""), "[Aviso] Categoría no capturada ()", IF(ISNA(MATCH(K1106, Criterios!$A$81:$A$120, 0)), "Categoría no válida", IF(AND(J1106&lt;&gt;"", J1106&lt;&gt;"", J1106&lt;&gt;VLOOKUP(K1106, Criterios!$A$81:$B$120, 2, FALSE)), "División no coincide con Categoría", ""))), IF(OR(L1106="", L1106=""), "[Aviso] Género no capturado ()", IF(ISNA(MATCH(L1106, Criterios!$B$123:$B$127, 0)), "Género no válido", "")), IF(OR(N1106="", N1106=""), "[Aviso] Temporada no capturada ()", IF(ISNA(MATCH(N1106, Criterios!$C$123:$C$128, 0)), "Temporada no válida", "")), IF(OR(O1106="", O1106=""), "[Aviso] Ciclo de vida no capturado ()", IF(ISNA(MATCH(O1106, Criterios!$D$123:$D$124, 0)), "Ciclo de vida no válido", ""))))</f>
        <v/>
      </c>
      <c r="AC1106" s="56" t="n"/>
      <c r="AD1106" s="51" t="n">
        <v>0</v>
      </c>
      <c r="AE1106" s="156" t="n"/>
      <c r="AF1106" s="51" t="n">
        <v>0</v>
      </c>
      <c r="AG1106" s="156" t="inlineStr">
        <is>
          <t>Catálogo existente</t>
        </is>
      </c>
      <c r="AH1106" s="156" t="n"/>
      <c r="AI1106" s="156" t="inlineStr">
        <is>
          <t>No</t>
        </is>
      </c>
      <c r="AJ1106" s="156" t="n"/>
      <c r="AK1106" s="155" t="inlineStr">
        <is>
          <t>Shopify Stetson: producto 15051554980203 / variante 53342128996715 | Odoo: producto 29891 / plantilla 38595</t>
        </is>
      </c>
      <c r="AL1106" s="58" t="n">
        <v>814.6551724</v>
      </c>
      <c r="AM1106" s="58" t="n">
        <v>1810.344828</v>
      </c>
      <c r="AN1106" s="155" t="inlineStr">
        <is>
          <t>Shopify Stetson México | Odoo Universal Unique Brands</t>
        </is>
      </c>
      <c r="AO1106" s="59" t="n">
        <v>1</v>
      </c>
      <c r="AP1106" s="59" t="n"/>
      <c r="AQ1106" s="59" t="n">
        <v>1</v>
      </c>
      <c r="AR1106" s="155" t="inlineStr">
        <is>
          <t>Shopify Stetson México › Stetson Americas: 1 | Odoo Universal Unique Brands › Bodega 25 › Bodega 25/General: 1</t>
        </is>
      </c>
    </row>
    <row r="1107">
      <c r="A1107" s="50" t="inlineStr">
        <is>
          <t>199168068363</t>
        </is>
      </c>
      <c r="B1107" s="51" t="inlineStr">
        <is>
          <t>110651</t>
        </is>
      </c>
      <c r="C1107" s="156" t="inlineStr">
        <is>
          <t>Multimarca</t>
        </is>
      </c>
      <c r="D1107" s="156" t="inlineStr">
        <is>
          <t>11-004-1520-4074</t>
        </is>
      </c>
      <c r="E1107" s="156" t="inlineStr">
        <is>
          <t>11-004-1520-4074-31 32</t>
        </is>
      </c>
      <c r="F1107" s="156" t="inlineStr">
        <is>
          <t>31 x 32</t>
        </is>
      </c>
      <c r="G1107" s="156" t="inlineStr">
        <is>
          <t>31W / 32L</t>
        </is>
      </c>
      <c r="H1107" s="156" t="inlineStr">
        <is>
          <t>Stetson</t>
        </is>
      </c>
      <c r="I1107" s="156" t="inlineStr">
        <is>
          <t>Jean 4 Líneas Zigzag Bordadas en Bolsa</t>
        </is>
      </c>
      <c r="J1107" s="156" t="inlineStr">
        <is>
          <t>Denim</t>
        </is>
      </c>
      <c r="K1107" s="156" t="inlineStr">
        <is>
          <t>Jeans</t>
        </is>
      </c>
      <c r="L1107" s="156" t="inlineStr">
        <is>
          <t>Hombre</t>
        </is>
      </c>
      <c r="M1107" s="156" t="inlineStr">
        <is>
          <t>Stetson</t>
        </is>
      </c>
      <c r="N1107" s="156" t="inlineStr">
        <is>
          <t>SS26</t>
        </is>
      </c>
      <c r="O1107" s="156" t="inlineStr">
        <is>
          <t>Seasonal</t>
        </is>
      </c>
      <c r="P1107" s="156" t="inlineStr">
        <is>
          <t>Azul</t>
        </is>
      </c>
      <c r="Q1107" s="156" t="inlineStr">
        <is>
          <t>Relajado</t>
        </is>
      </c>
      <c r="R1107" s="156" t="inlineStr">
        <is>
          <t>Bootcut</t>
        </is>
      </c>
      <c r="S1107" s="156" t="inlineStr">
        <is>
          <t>100% Algodón</t>
        </is>
      </c>
      <c r="T1107" s="156" t="inlineStr">
        <is>
          <t>Jean 4 Líneas Zigzag Bordadas en Bolsa Relajado</t>
        </is>
      </c>
      <c r="U1107" s="156" t="n"/>
      <c r="V1107" s="156" t="inlineStr">
        <is>
          <t>PZS</t>
        </is>
      </c>
      <c r="W1107" s="51" t="inlineStr">
        <is>
          <t>53101502</t>
        </is>
      </c>
      <c r="X1107" s="156" t="n"/>
      <c r="Y1107" s="54" t="n">
        <v>814.6551724</v>
      </c>
      <c r="Z1107" s="54" t="n">
        <v>1810.344828</v>
      </c>
      <c r="AA1107" s="55">
        <f>IF(AND(A1107="", B1107="", E1107=""), "", IF(AB1107="", "Válido", IF((LEN(AB1107)-LEN(SUBSTITUTE(AB1107,"; ","")))/2+1&gt;(LEN(AB1107)-LEN(SUBSTITUTE(AB1107,"[Aviso]","")))/7, "Con Incidencias", "Válido")))</f>
        <v/>
      </c>
      <c r="AB1107" s="56">
        <f>IF(AND(A1107="", B1107="", E1107=""), "", TEXTJOIN("; ", TRUE, IF(OR(TRIM(A1107&amp;"")="", ISNUMBER(SEARCH("FALTA", A1107))), "UPC faltante/inválido", ""), IF(AND(A1107&lt;&gt;"", IFERROR(_xlfn.XMATCH(A1107,$A$2:$A$2509,0,1)&lt;&gt;_xlfn.XMATCH(A1107,$A$2:$A$2509,0,-1),FALSE)), "Código de barras duplicado", ""), IF(AND(E1107&lt;&gt;"", COUNTIF($E$2:$E$2509, E1107)&gt;1), "SKU duplicado", ""), IF(OR(J1107="", J1107=""), "[Aviso] División no capturada ()", IF(ISNA(MATCH(J1107, Criterios!$A$123:$A$126, 0)), "División no válida", "")), IF(OR(K1107="", K1107=""), "[Aviso] Categoría no capturada ()", IF(ISNA(MATCH(K1107, Criterios!$A$81:$A$120, 0)), "Categoría no válida", IF(AND(J1107&lt;&gt;"", J1107&lt;&gt;"", J1107&lt;&gt;VLOOKUP(K1107, Criterios!$A$81:$B$120, 2, FALSE)), "División no coincide con Categoría", ""))), IF(OR(L1107="", L1107=""), "[Aviso] Género no capturado ()", IF(ISNA(MATCH(L1107, Criterios!$B$123:$B$127, 0)), "Género no válido", "")), IF(OR(N1107="", N1107=""), "[Aviso] Temporada no capturada ()", IF(ISNA(MATCH(N1107, Criterios!$C$123:$C$128, 0)), "Temporada no válida", "")), IF(OR(O1107="", O1107=""), "[Aviso] Ciclo de vida no capturado ()", IF(ISNA(MATCH(O1107, Criterios!$D$123:$D$124, 0)), "Ciclo de vida no válido", ""))))</f>
        <v/>
      </c>
      <c r="AC1107" s="56" t="n"/>
      <c r="AD1107" s="51" t="n">
        <v>-1</v>
      </c>
      <c r="AE1107" s="156" t="n"/>
      <c r="AF1107" s="51" t="n">
        <v>0</v>
      </c>
      <c r="AG1107" s="156" t="inlineStr">
        <is>
          <t>Catálogo existente</t>
        </is>
      </c>
      <c r="AH1107" s="156" t="inlineStr">
        <is>
          <t>Stock negativo en sistema: revisar en conteo</t>
        </is>
      </c>
      <c r="AI1107" s="156" t="inlineStr">
        <is>
          <t>Sí</t>
        </is>
      </c>
      <c r="AJ1107" s="156" t="inlineStr">
        <is>
          <t>STETSON AMERICAS (-1)</t>
        </is>
      </c>
      <c r="AK1107" s="155" t="inlineStr">
        <is>
          <t>Shopify Stetson: producto 15051554980203 / variante 53342129029483 | Odoo: producto 29892 / plantilla 38596</t>
        </is>
      </c>
      <c r="AL1107" s="58" t="n">
        <v>814.6551724</v>
      </c>
      <c r="AM1107" s="58" t="n">
        <v>1810.344828</v>
      </c>
      <c r="AN1107" s="155" t="inlineStr">
        <is>
          <t>Shopify Stetson México | Odoo Universal Unique Brands</t>
        </is>
      </c>
      <c r="AO1107" s="59" t="n">
        <v>0</v>
      </c>
      <c r="AP1107" s="59" t="n"/>
      <c r="AQ1107" s="59" t="n">
        <v>1</v>
      </c>
      <c r="AR1107" s="155" t="inlineStr">
        <is>
          <t>Odoo Universal Unique Brands › Bodega 25 › Bodega 25/General: 1</t>
        </is>
      </c>
    </row>
    <row r="1108">
      <c r="A1108" s="50" t="inlineStr">
        <is>
          <t>199168068424</t>
        </is>
      </c>
      <c r="B1108" s="51" t="inlineStr">
        <is>
          <t>110652</t>
        </is>
      </c>
      <c r="C1108" s="156" t="inlineStr">
        <is>
          <t>Multimarca</t>
        </is>
      </c>
      <c r="D1108" s="156" t="inlineStr">
        <is>
          <t>11-004-1520-4074</t>
        </is>
      </c>
      <c r="E1108" s="156" t="inlineStr">
        <is>
          <t>11-004-1520-4074-32 32</t>
        </is>
      </c>
      <c r="F1108" s="156" t="inlineStr">
        <is>
          <t>32 x 32</t>
        </is>
      </c>
      <c r="G1108" s="156" t="inlineStr">
        <is>
          <t>32W / 32L</t>
        </is>
      </c>
      <c r="H1108" s="156" t="inlineStr">
        <is>
          <t>Stetson</t>
        </is>
      </c>
      <c r="I1108" s="156" t="inlineStr">
        <is>
          <t>Jean 4 Líneas Zigzag Bordadas en Bolsa</t>
        </is>
      </c>
      <c r="J1108" s="156" t="inlineStr">
        <is>
          <t>Denim</t>
        </is>
      </c>
      <c r="K1108" s="156" t="inlineStr">
        <is>
          <t>Jeans</t>
        </is>
      </c>
      <c r="L1108" s="156" t="inlineStr">
        <is>
          <t>Hombre</t>
        </is>
      </c>
      <c r="M1108" s="156" t="inlineStr">
        <is>
          <t>Stetson</t>
        </is>
      </c>
      <c r="N1108" s="156" t="inlineStr">
        <is>
          <t>SS26</t>
        </is>
      </c>
      <c r="O1108" s="156" t="inlineStr">
        <is>
          <t>Seasonal</t>
        </is>
      </c>
      <c r="P1108" s="156" t="inlineStr">
        <is>
          <t>Azul</t>
        </is>
      </c>
      <c r="Q1108" s="156" t="inlineStr">
        <is>
          <t>Relajado</t>
        </is>
      </c>
      <c r="R1108" s="156" t="inlineStr">
        <is>
          <t>Bootcut</t>
        </is>
      </c>
      <c r="S1108" s="156" t="inlineStr">
        <is>
          <t>100% Algodón</t>
        </is>
      </c>
      <c r="T1108" s="156" t="inlineStr">
        <is>
          <t>Jean 4 Líneas Zigzag Bordadas en Bolsa Relajado</t>
        </is>
      </c>
      <c r="U1108" s="156" t="n"/>
      <c r="V1108" s="156" t="inlineStr">
        <is>
          <t>PZS</t>
        </is>
      </c>
      <c r="W1108" s="51" t="inlineStr">
        <is>
          <t>53101502</t>
        </is>
      </c>
      <c r="X1108" s="156" t="n"/>
      <c r="Y1108" s="54" t="n">
        <v>814.6551724</v>
      </c>
      <c r="Z1108" s="54" t="n">
        <v>1810.344828</v>
      </c>
      <c r="AA1108" s="55">
        <f>IF(AND(A1108="", B1108="", E1108=""), "", IF(AB1108="", "Válido", IF((LEN(AB1108)-LEN(SUBSTITUTE(AB1108,"; ","")))/2+1&gt;(LEN(AB1108)-LEN(SUBSTITUTE(AB1108,"[Aviso]","")))/7, "Con Incidencias", "Válido")))</f>
        <v/>
      </c>
      <c r="AB1108" s="56">
        <f>IF(AND(A1108="", B1108="", E1108=""), "", TEXTJOIN("; ", TRUE, IF(OR(TRIM(A1108&amp;"")="", ISNUMBER(SEARCH("FALTA", A1108))), "UPC faltante/inválido", ""), IF(AND(A1108&lt;&gt;"", IFERROR(_xlfn.XMATCH(A1108,$A$2:$A$2509,0,1)&lt;&gt;_xlfn.XMATCH(A1108,$A$2:$A$2509,0,-1),FALSE)), "Código de barras duplicado", ""), IF(AND(E1108&lt;&gt;"", COUNTIF($E$2:$E$2509, E1108)&gt;1), "SKU duplicado", ""), IF(OR(J1108="", J1108=""), "[Aviso] División no capturada ()", IF(ISNA(MATCH(J1108, Criterios!$A$123:$A$126, 0)), "División no válida", "")), IF(OR(K1108="", K1108=""), "[Aviso] Categoría no capturada ()", IF(ISNA(MATCH(K1108, Criterios!$A$81:$A$120, 0)), "Categoría no válida", IF(AND(J1108&lt;&gt;"", J1108&lt;&gt;"", J1108&lt;&gt;VLOOKUP(K1108, Criterios!$A$81:$B$120, 2, FALSE)), "División no coincide con Categoría", ""))), IF(OR(L1108="", L1108=""), "[Aviso] Género no capturado ()", IF(ISNA(MATCH(L1108, Criterios!$B$123:$B$127, 0)), "Género no válido", "")), IF(OR(N1108="", N1108=""), "[Aviso] Temporada no capturada ()", IF(ISNA(MATCH(N1108, Criterios!$C$123:$C$128, 0)), "Temporada no válida", "")), IF(OR(O1108="", O1108=""), "[Aviso] Ciclo de vida no capturado ()", IF(ISNA(MATCH(O1108, Criterios!$D$123:$D$124, 0)), "Ciclo de vida no válido", ""))))</f>
        <v/>
      </c>
      <c r="AC1108" s="56" t="n"/>
      <c r="AD1108" s="51" t="n">
        <v>0</v>
      </c>
      <c r="AE1108" s="156" t="n"/>
      <c r="AF1108" s="51" t="n">
        <v>0</v>
      </c>
      <c r="AG1108" s="156" t="inlineStr">
        <is>
          <t>Catálogo existente</t>
        </is>
      </c>
      <c r="AH1108" s="156" t="n"/>
      <c r="AI1108" s="156" t="inlineStr">
        <is>
          <t>No</t>
        </is>
      </c>
      <c r="AJ1108" s="156" t="n"/>
      <c r="AK1108" s="155" t="inlineStr">
        <is>
          <t>Shopify Stetson: producto 15051554980203 / variante 53342129062251 | Odoo: producto 29893 / plantilla 38597</t>
        </is>
      </c>
      <c r="AL1108" s="58" t="n">
        <v>814.6551724</v>
      </c>
      <c r="AM1108" s="58" t="n">
        <v>1810.344828</v>
      </c>
      <c r="AN1108" s="155" t="inlineStr">
        <is>
          <t>Shopify Stetson México | Odoo Universal Unique Brands</t>
        </is>
      </c>
      <c r="AO1108" s="59" t="n">
        <v>4</v>
      </c>
      <c r="AP1108" s="59" t="n"/>
      <c r="AQ1108" s="59" t="n">
        <v>4</v>
      </c>
      <c r="AR1108" s="155" t="inlineStr">
        <is>
          <t>Shopify Stetson México › Stetson Americas: 4 | Odoo Universal Unique Brands › Bodega 25 › Bodega 25/General: 4</t>
        </is>
      </c>
    </row>
    <row r="1109">
      <c r="A1109" s="50" t="inlineStr">
        <is>
          <t>199168068486</t>
        </is>
      </c>
      <c r="B1109" s="51" t="inlineStr">
        <is>
          <t>110653</t>
        </is>
      </c>
      <c r="C1109" s="156" t="inlineStr">
        <is>
          <t>Multimarca</t>
        </is>
      </c>
      <c r="D1109" s="156" t="inlineStr">
        <is>
          <t>11-004-1520-4074</t>
        </is>
      </c>
      <c r="E1109" s="156" t="inlineStr">
        <is>
          <t>11-004-1520-4074-33 32</t>
        </is>
      </c>
      <c r="F1109" s="156" t="inlineStr">
        <is>
          <t>33 x 32</t>
        </is>
      </c>
      <c r="G1109" s="156" t="inlineStr">
        <is>
          <t>33W / 32L</t>
        </is>
      </c>
      <c r="H1109" s="156" t="inlineStr">
        <is>
          <t>Stetson</t>
        </is>
      </c>
      <c r="I1109" s="156" t="inlineStr">
        <is>
          <t>Jean 4 Líneas Zigzag Bordadas en Bolsa</t>
        </is>
      </c>
      <c r="J1109" s="156" t="inlineStr">
        <is>
          <t>Denim</t>
        </is>
      </c>
      <c r="K1109" s="156" t="inlineStr">
        <is>
          <t>Jeans</t>
        </is>
      </c>
      <c r="L1109" s="156" t="inlineStr">
        <is>
          <t>Hombre</t>
        </is>
      </c>
      <c r="M1109" s="156" t="inlineStr">
        <is>
          <t>Stetson</t>
        </is>
      </c>
      <c r="N1109" s="156" t="inlineStr">
        <is>
          <t>SS26</t>
        </is>
      </c>
      <c r="O1109" s="156" t="inlineStr">
        <is>
          <t>Seasonal</t>
        </is>
      </c>
      <c r="P1109" s="156" t="inlineStr">
        <is>
          <t>Azul</t>
        </is>
      </c>
      <c r="Q1109" s="156" t="inlineStr">
        <is>
          <t>Relajado</t>
        </is>
      </c>
      <c r="R1109" s="156" t="inlineStr">
        <is>
          <t>Bootcut</t>
        </is>
      </c>
      <c r="S1109" s="156" t="inlineStr">
        <is>
          <t>100% Algodón</t>
        </is>
      </c>
      <c r="T1109" s="156" t="inlineStr">
        <is>
          <t>Jean 4 Líneas Zigzag Bordadas en Bolsa Relajado</t>
        </is>
      </c>
      <c r="U1109" s="156" t="n"/>
      <c r="V1109" s="156" t="inlineStr">
        <is>
          <t>PZS</t>
        </is>
      </c>
      <c r="W1109" s="51" t="inlineStr">
        <is>
          <t>53101502</t>
        </is>
      </c>
      <c r="X1109" s="156" t="n"/>
      <c r="Y1109" s="54" t="n">
        <v>814.6551724</v>
      </c>
      <c r="Z1109" s="54" t="n">
        <v>1810.344828</v>
      </c>
      <c r="AA1109" s="55">
        <f>IF(AND(A1109="", B1109="", E1109=""), "", IF(AB1109="", "Válido", IF((LEN(AB1109)-LEN(SUBSTITUTE(AB1109,"; ","")))/2+1&gt;(LEN(AB1109)-LEN(SUBSTITUTE(AB1109,"[Aviso]","")))/7, "Con Incidencias", "Válido")))</f>
        <v/>
      </c>
      <c r="AB1109" s="56">
        <f>IF(AND(A1109="", B1109="", E1109=""), "", TEXTJOIN("; ", TRUE, IF(OR(TRIM(A1109&amp;"")="", ISNUMBER(SEARCH("FALTA", A1109))), "UPC faltante/inválido", ""), IF(AND(A1109&lt;&gt;"", IFERROR(_xlfn.XMATCH(A1109,$A$2:$A$2509,0,1)&lt;&gt;_xlfn.XMATCH(A1109,$A$2:$A$2509,0,-1),FALSE)), "Código de barras duplicado", ""), IF(AND(E1109&lt;&gt;"", COUNTIF($E$2:$E$2509, E1109)&gt;1), "SKU duplicado", ""), IF(OR(J1109="", J1109=""), "[Aviso] División no capturada ()", IF(ISNA(MATCH(J1109, Criterios!$A$123:$A$126, 0)), "División no válida", "")), IF(OR(K1109="", K1109=""), "[Aviso] Categoría no capturada ()", IF(ISNA(MATCH(K1109, Criterios!$A$81:$A$120, 0)), "Categoría no válida", IF(AND(J1109&lt;&gt;"", J1109&lt;&gt;"", J1109&lt;&gt;VLOOKUP(K1109, Criterios!$A$81:$B$120, 2, FALSE)), "División no coincide con Categoría", ""))), IF(OR(L1109="", L1109=""), "[Aviso] Género no capturado ()", IF(ISNA(MATCH(L1109, Criterios!$B$123:$B$127, 0)), "Género no válido", "")), IF(OR(N1109="", N1109=""), "[Aviso] Temporada no capturada ()", IF(ISNA(MATCH(N1109, Criterios!$C$123:$C$128, 0)), "Temporada no válida", "")), IF(OR(O1109="", O1109=""), "[Aviso] Ciclo de vida no capturado ()", IF(ISNA(MATCH(O1109, Criterios!$D$123:$D$124, 0)), "Ciclo de vida no válido", ""))))</f>
        <v/>
      </c>
      <c r="AC1109" s="56" t="n"/>
      <c r="AD1109" s="51" t="n">
        <v>0</v>
      </c>
      <c r="AE1109" s="156" t="n"/>
      <c r="AF1109" s="51" t="n">
        <v>0</v>
      </c>
      <c r="AG1109" s="156" t="inlineStr">
        <is>
          <t>Catálogo existente</t>
        </is>
      </c>
      <c r="AH1109" s="156" t="n"/>
      <c r="AI1109" s="156" t="inlineStr">
        <is>
          <t>No</t>
        </is>
      </c>
      <c r="AJ1109" s="156" t="n"/>
      <c r="AK1109" s="155" t="inlineStr">
        <is>
          <t>Shopify Stetson: producto 15051554980203 / variante 53342129095019 | Odoo: producto 29894 / plantilla 38598</t>
        </is>
      </c>
      <c r="AL1109" s="58" t="n">
        <v>814.6551724</v>
      </c>
      <c r="AM1109" s="58" t="n">
        <v>1810.344828</v>
      </c>
      <c r="AN1109" s="155" t="inlineStr">
        <is>
          <t>Shopify Stetson México | Odoo Universal Unique Brands</t>
        </is>
      </c>
      <c r="AO1109" s="59" t="n">
        <v>4</v>
      </c>
      <c r="AP1109" s="59" t="n"/>
      <c r="AQ1109" s="59" t="n">
        <v>4</v>
      </c>
      <c r="AR1109" s="155" t="inlineStr">
        <is>
          <t>Shopify Stetson México › Stetson Americas: 4 | Odoo Universal Unique Brands › Bodega 25 › Bodega 25/General: 4</t>
        </is>
      </c>
    </row>
    <row r="1110">
      <c r="A1110" s="50" t="inlineStr">
        <is>
          <t>199168068547</t>
        </is>
      </c>
      <c r="B1110" s="51" t="inlineStr">
        <is>
          <t>110654</t>
        </is>
      </c>
      <c r="C1110" s="156" t="inlineStr">
        <is>
          <t>Multimarca</t>
        </is>
      </c>
      <c r="D1110" s="156" t="inlineStr">
        <is>
          <t>11-004-1520-4074</t>
        </is>
      </c>
      <c r="E1110" s="156" t="inlineStr">
        <is>
          <t>11-004-1520-4074-34 32</t>
        </is>
      </c>
      <c r="F1110" s="156" t="inlineStr">
        <is>
          <t>34 x 32</t>
        </is>
      </c>
      <c r="G1110" s="156" t="inlineStr">
        <is>
          <t>34W / 32L</t>
        </is>
      </c>
      <c r="H1110" s="156" t="inlineStr">
        <is>
          <t>Stetson</t>
        </is>
      </c>
      <c r="I1110" s="156" t="inlineStr">
        <is>
          <t>Jean 4 Líneas Zigzag Bordadas en Bolsa</t>
        </is>
      </c>
      <c r="J1110" s="156" t="inlineStr">
        <is>
          <t>Denim</t>
        </is>
      </c>
      <c r="K1110" s="156" t="inlineStr">
        <is>
          <t>Jeans</t>
        </is>
      </c>
      <c r="L1110" s="156" t="inlineStr">
        <is>
          <t>Hombre</t>
        </is>
      </c>
      <c r="M1110" s="156" t="inlineStr">
        <is>
          <t>Stetson</t>
        </is>
      </c>
      <c r="N1110" s="156" t="inlineStr">
        <is>
          <t>SS26</t>
        </is>
      </c>
      <c r="O1110" s="156" t="inlineStr">
        <is>
          <t>Seasonal</t>
        </is>
      </c>
      <c r="P1110" s="156" t="inlineStr">
        <is>
          <t>Azul</t>
        </is>
      </c>
      <c r="Q1110" s="156" t="inlineStr">
        <is>
          <t>Relajado</t>
        </is>
      </c>
      <c r="R1110" s="156" t="inlineStr">
        <is>
          <t>Bootcut</t>
        </is>
      </c>
      <c r="S1110" s="156" t="inlineStr">
        <is>
          <t>100% Algodón</t>
        </is>
      </c>
      <c r="T1110" s="156" t="inlineStr">
        <is>
          <t>Jean 4 Líneas Zigzag Bordadas en Bolsa Relajado</t>
        </is>
      </c>
      <c r="U1110" s="156" t="n"/>
      <c r="V1110" s="156" t="inlineStr">
        <is>
          <t>PZS</t>
        </is>
      </c>
      <c r="W1110" s="51" t="inlineStr">
        <is>
          <t>53101502</t>
        </is>
      </c>
      <c r="X1110" s="156" t="n"/>
      <c r="Y1110" s="54" t="n">
        <v>814.6551724</v>
      </c>
      <c r="Z1110" s="54" t="n">
        <v>1810.344828</v>
      </c>
      <c r="AA1110" s="55">
        <f>IF(AND(A1110="", B1110="", E1110=""), "", IF(AB1110="", "Válido", IF((LEN(AB1110)-LEN(SUBSTITUTE(AB1110,"; ","")))/2+1&gt;(LEN(AB1110)-LEN(SUBSTITUTE(AB1110,"[Aviso]","")))/7, "Con Incidencias", "Válido")))</f>
        <v/>
      </c>
      <c r="AB1110" s="56">
        <f>IF(AND(A1110="", B1110="", E1110=""), "", TEXTJOIN("; ", TRUE, IF(OR(TRIM(A1110&amp;"")="", ISNUMBER(SEARCH("FALTA", A1110))), "UPC faltante/inválido", ""), IF(AND(A1110&lt;&gt;"", IFERROR(_xlfn.XMATCH(A1110,$A$2:$A$2509,0,1)&lt;&gt;_xlfn.XMATCH(A1110,$A$2:$A$2509,0,-1),FALSE)), "Código de barras duplicado", ""), IF(AND(E1110&lt;&gt;"", COUNTIF($E$2:$E$2509, E1110)&gt;1), "SKU duplicado", ""), IF(OR(J1110="", J1110=""), "[Aviso] División no capturada ()", IF(ISNA(MATCH(J1110, Criterios!$A$123:$A$126, 0)), "División no válida", "")), IF(OR(K1110="", K1110=""), "[Aviso] Categoría no capturada ()", IF(ISNA(MATCH(K1110, Criterios!$A$81:$A$120, 0)), "Categoría no válida", IF(AND(J1110&lt;&gt;"", J1110&lt;&gt;"", J1110&lt;&gt;VLOOKUP(K1110, Criterios!$A$81:$B$120, 2, FALSE)), "División no coincide con Categoría", ""))), IF(OR(L1110="", L1110=""), "[Aviso] Género no capturado ()", IF(ISNA(MATCH(L1110, Criterios!$B$123:$B$127, 0)), "Género no válido", "")), IF(OR(N1110="", N1110=""), "[Aviso] Temporada no capturada ()", IF(ISNA(MATCH(N1110, Criterios!$C$123:$C$128, 0)), "Temporada no válida", "")), IF(OR(O1110="", O1110=""), "[Aviso] Ciclo de vida no capturado ()", IF(ISNA(MATCH(O1110, Criterios!$D$123:$D$124, 0)), "Ciclo de vida no válido", ""))))</f>
        <v/>
      </c>
      <c r="AC1110" s="56" t="n"/>
      <c r="AD1110" s="51" t="n">
        <v>0</v>
      </c>
      <c r="AE1110" s="156" t="n"/>
      <c r="AF1110" s="51" t="n">
        <v>0</v>
      </c>
      <c r="AG1110" s="156" t="inlineStr">
        <is>
          <t>Catálogo existente</t>
        </is>
      </c>
      <c r="AH1110" s="156" t="n"/>
      <c r="AI1110" s="156" t="inlineStr">
        <is>
          <t>No</t>
        </is>
      </c>
      <c r="AJ1110" s="156" t="n"/>
      <c r="AK1110" s="155" t="inlineStr">
        <is>
          <t>Shopify Stetson: producto 15051554980203 / variante 53342129127787 | Odoo: producto 29895 / plantilla 38599</t>
        </is>
      </c>
      <c r="AL1110" s="58" t="n">
        <v>814.6551724</v>
      </c>
      <c r="AM1110" s="58" t="n">
        <v>1810.344828</v>
      </c>
      <c r="AN1110" s="155" t="inlineStr">
        <is>
          <t>Shopify Stetson México | Odoo Universal Unique Brands</t>
        </is>
      </c>
      <c r="AO1110" s="59" t="n">
        <v>3</v>
      </c>
      <c r="AP1110" s="59" t="n"/>
      <c r="AQ1110" s="59" t="n">
        <v>3</v>
      </c>
      <c r="AR1110" s="155" t="inlineStr">
        <is>
          <t>Shopify Stetson México › Stetson Americas: 3 | Odoo Universal Unique Brands › Bodega 25 › Bodega 25/General: 3</t>
        </is>
      </c>
    </row>
    <row r="1111">
      <c r="A1111" s="50" t="inlineStr">
        <is>
          <t>199168068554</t>
        </is>
      </c>
      <c r="B1111" s="51" t="inlineStr">
        <is>
          <t>110655</t>
        </is>
      </c>
      <c r="C1111" s="156" t="inlineStr">
        <is>
          <t>Multimarca</t>
        </is>
      </c>
      <c r="D1111" s="156" t="inlineStr">
        <is>
          <t>11-004-1520-4074</t>
        </is>
      </c>
      <c r="E1111" s="156" t="inlineStr">
        <is>
          <t>11-004-1520-4074-34 34</t>
        </is>
      </c>
      <c r="F1111" s="156" t="inlineStr">
        <is>
          <t>34 x 34</t>
        </is>
      </c>
      <c r="G1111" s="156" t="inlineStr">
        <is>
          <t>34W / 34L</t>
        </is>
      </c>
      <c r="H1111" s="156" t="inlineStr">
        <is>
          <t>Stetson</t>
        </is>
      </c>
      <c r="I1111" s="156" t="inlineStr">
        <is>
          <t>Jean 4 Líneas Zigzag Bordadas en Bolsa</t>
        </is>
      </c>
      <c r="J1111" s="156" t="inlineStr">
        <is>
          <t>Denim</t>
        </is>
      </c>
      <c r="K1111" s="156" t="inlineStr">
        <is>
          <t>Jeans</t>
        </is>
      </c>
      <c r="L1111" s="156" t="inlineStr">
        <is>
          <t>Hombre</t>
        </is>
      </c>
      <c r="M1111" s="156" t="inlineStr">
        <is>
          <t>Stetson</t>
        </is>
      </c>
      <c r="N1111" s="156" t="inlineStr">
        <is>
          <t>SS26</t>
        </is>
      </c>
      <c r="O1111" s="156" t="inlineStr">
        <is>
          <t>Seasonal</t>
        </is>
      </c>
      <c r="P1111" s="156" t="inlineStr">
        <is>
          <t>Azul</t>
        </is>
      </c>
      <c r="Q1111" s="156" t="inlineStr">
        <is>
          <t>Relajado</t>
        </is>
      </c>
      <c r="R1111" s="156" t="inlineStr">
        <is>
          <t>Bootcut</t>
        </is>
      </c>
      <c r="S1111" s="156" t="inlineStr">
        <is>
          <t>100% Algodón</t>
        </is>
      </c>
      <c r="T1111" s="156" t="inlineStr">
        <is>
          <t>Jean 4 Líneas Zigzag Bordadas en Bolsa Relajado</t>
        </is>
      </c>
      <c r="U1111" s="156" t="n"/>
      <c r="V1111" s="156" t="inlineStr">
        <is>
          <t>PZS</t>
        </is>
      </c>
      <c r="W1111" s="51" t="inlineStr">
        <is>
          <t>53101502</t>
        </is>
      </c>
      <c r="X1111" s="156" t="n"/>
      <c r="Y1111" s="54" t="n">
        <v>814.6551724</v>
      </c>
      <c r="Z1111" s="54" t="n">
        <v>1810.344828</v>
      </c>
      <c r="AA1111" s="55">
        <f>IF(AND(A1111="", B1111="", E1111=""), "", IF(AB1111="", "Válido", IF((LEN(AB1111)-LEN(SUBSTITUTE(AB1111,"; ","")))/2+1&gt;(LEN(AB1111)-LEN(SUBSTITUTE(AB1111,"[Aviso]","")))/7, "Con Incidencias", "Válido")))</f>
        <v/>
      </c>
      <c r="AB1111" s="56">
        <f>IF(AND(A1111="", B1111="", E1111=""), "", TEXTJOIN("; ", TRUE, IF(OR(TRIM(A1111&amp;"")="", ISNUMBER(SEARCH("FALTA", A1111))), "UPC faltante/inválido", ""), IF(AND(A1111&lt;&gt;"", IFERROR(_xlfn.XMATCH(A1111,$A$2:$A$2509,0,1)&lt;&gt;_xlfn.XMATCH(A1111,$A$2:$A$2509,0,-1),FALSE)), "Código de barras duplicado", ""), IF(AND(E1111&lt;&gt;"", COUNTIF($E$2:$E$2509, E1111)&gt;1), "SKU duplicado", ""), IF(OR(J1111="", J1111=""), "[Aviso] División no capturada ()", IF(ISNA(MATCH(J1111, Criterios!$A$123:$A$126, 0)), "División no válida", "")), IF(OR(K1111="", K1111=""), "[Aviso] Categoría no capturada ()", IF(ISNA(MATCH(K1111, Criterios!$A$81:$A$120, 0)), "Categoría no válida", IF(AND(J1111&lt;&gt;"", J1111&lt;&gt;"", J1111&lt;&gt;VLOOKUP(K1111, Criterios!$A$81:$B$120, 2, FALSE)), "División no coincide con Categoría", ""))), IF(OR(L1111="", L1111=""), "[Aviso] Género no capturado ()", IF(ISNA(MATCH(L1111, Criterios!$B$123:$B$127, 0)), "Género no válido", "")), IF(OR(N1111="", N1111=""), "[Aviso] Temporada no capturada ()", IF(ISNA(MATCH(N1111, Criterios!$C$123:$C$128, 0)), "Temporada no válida", "")), IF(OR(O1111="", O1111=""), "[Aviso] Ciclo de vida no capturado ()", IF(ISNA(MATCH(O1111, Criterios!$D$123:$D$124, 0)), "Ciclo de vida no válido", ""))))</f>
        <v/>
      </c>
      <c r="AC1111" s="56" t="n"/>
      <c r="AD1111" s="51" t="n">
        <v>0</v>
      </c>
      <c r="AE1111" s="156" t="n"/>
      <c r="AF1111" s="51" t="n">
        <v>0</v>
      </c>
      <c r="AG1111" s="156" t="inlineStr">
        <is>
          <t>Catálogo existente</t>
        </is>
      </c>
      <c r="AH1111" s="156" t="n"/>
      <c r="AI1111" s="156" t="inlineStr">
        <is>
          <t>No</t>
        </is>
      </c>
      <c r="AJ1111" s="156" t="n"/>
      <c r="AK1111" s="155" t="inlineStr">
        <is>
          <t>Shopify Stetson: producto 15051554980203 / variante 53342129160555 | Odoo: producto 29896 / plantilla 38600</t>
        </is>
      </c>
      <c r="AL1111" s="58" t="n">
        <v>814.6551724</v>
      </c>
      <c r="AM1111" s="58" t="n">
        <v>1810.344828</v>
      </c>
      <c r="AN1111" s="155" t="inlineStr">
        <is>
          <t>Shopify Stetson México | Odoo Universal Unique Brands</t>
        </is>
      </c>
      <c r="AO1111" s="59" t="n">
        <v>1</v>
      </c>
      <c r="AP1111" s="59" t="n"/>
      <c r="AQ1111" s="59" t="n">
        <v>1</v>
      </c>
      <c r="AR1111" s="155" t="inlineStr">
        <is>
          <t>Shopify Stetson México › Stetson Americas: 1 | Odoo Universal Unique Brands › Bodega 25 › Bodega 25/General: 1</t>
        </is>
      </c>
    </row>
    <row r="1112">
      <c r="A1112" s="50" t="inlineStr">
        <is>
          <t>199168068660</t>
        </is>
      </c>
      <c r="B1112" s="51" t="inlineStr">
        <is>
          <t>110656</t>
        </is>
      </c>
      <c r="C1112" s="156" t="inlineStr">
        <is>
          <t>Multimarca</t>
        </is>
      </c>
      <c r="D1112" s="156" t="inlineStr">
        <is>
          <t>11-004-1520-4074</t>
        </is>
      </c>
      <c r="E1112" s="156" t="inlineStr">
        <is>
          <t>11-004-1520-4074-36 32</t>
        </is>
      </c>
      <c r="F1112" s="156" t="inlineStr">
        <is>
          <t>36 x 32</t>
        </is>
      </c>
      <c r="G1112" s="156" t="inlineStr">
        <is>
          <t>36W / 32L</t>
        </is>
      </c>
      <c r="H1112" s="156" t="inlineStr">
        <is>
          <t>Stetson</t>
        </is>
      </c>
      <c r="I1112" s="156" t="inlineStr">
        <is>
          <t>Jean 4 Líneas Zigzag Bordadas en Bolsa</t>
        </is>
      </c>
      <c r="J1112" s="156" t="inlineStr">
        <is>
          <t>Denim</t>
        </is>
      </c>
      <c r="K1112" s="156" t="inlineStr">
        <is>
          <t>Jeans</t>
        </is>
      </c>
      <c r="L1112" s="156" t="inlineStr">
        <is>
          <t>Hombre</t>
        </is>
      </c>
      <c r="M1112" s="156" t="inlineStr">
        <is>
          <t>Stetson</t>
        </is>
      </c>
      <c r="N1112" s="156" t="inlineStr">
        <is>
          <t>SS26</t>
        </is>
      </c>
      <c r="O1112" s="156" t="inlineStr">
        <is>
          <t>Seasonal</t>
        </is>
      </c>
      <c r="P1112" s="156" t="inlineStr">
        <is>
          <t>Azul</t>
        </is>
      </c>
      <c r="Q1112" s="156" t="inlineStr">
        <is>
          <t>Relajado</t>
        </is>
      </c>
      <c r="R1112" s="156" t="inlineStr">
        <is>
          <t>Bootcut</t>
        </is>
      </c>
      <c r="S1112" s="156" t="inlineStr">
        <is>
          <t>100% Algodón</t>
        </is>
      </c>
      <c r="T1112" s="156" t="inlineStr">
        <is>
          <t>Jean 4 Líneas Zigzag Bordadas en Bolsa Relajado</t>
        </is>
      </c>
      <c r="U1112" s="156" t="n"/>
      <c r="V1112" s="156" t="inlineStr">
        <is>
          <t>PZS</t>
        </is>
      </c>
      <c r="W1112" s="51" t="inlineStr">
        <is>
          <t>53101502</t>
        </is>
      </c>
      <c r="X1112" s="156" t="n"/>
      <c r="Y1112" s="54" t="n">
        <v>814.6551724</v>
      </c>
      <c r="Z1112" s="54" t="n">
        <v>1810.344828</v>
      </c>
      <c r="AA1112" s="55">
        <f>IF(AND(A1112="", B1112="", E1112=""), "", IF(AB1112="", "Válido", IF((LEN(AB1112)-LEN(SUBSTITUTE(AB1112,"; ","")))/2+1&gt;(LEN(AB1112)-LEN(SUBSTITUTE(AB1112,"[Aviso]","")))/7, "Con Incidencias", "Válido")))</f>
        <v/>
      </c>
      <c r="AB1112" s="56">
        <f>IF(AND(A1112="", B1112="", E1112=""), "", TEXTJOIN("; ", TRUE, IF(OR(TRIM(A1112&amp;"")="", ISNUMBER(SEARCH("FALTA", A1112))), "UPC faltante/inválido", ""), IF(AND(A1112&lt;&gt;"", IFERROR(_xlfn.XMATCH(A1112,$A$2:$A$2509,0,1)&lt;&gt;_xlfn.XMATCH(A1112,$A$2:$A$2509,0,-1),FALSE)), "Código de barras duplicado", ""), IF(AND(E1112&lt;&gt;"", COUNTIF($E$2:$E$2509, E1112)&gt;1), "SKU duplicado", ""), IF(OR(J1112="", J1112=""), "[Aviso] División no capturada ()", IF(ISNA(MATCH(J1112, Criterios!$A$123:$A$126, 0)), "División no válida", "")), IF(OR(K1112="", K1112=""), "[Aviso] Categoría no capturada ()", IF(ISNA(MATCH(K1112, Criterios!$A$81:$A$120, 0)), "Categoría no válida", IF(AND(J1112&lt;&gt;"", J1112&lt;&gt;"", J1112&lt;&gt;VLOOKUP(K1112, Criterios!$A$81:$B$120, 2, FALSE)), "División no coincide con Categoría", ""))), IF(OR(L1112="", L1112=""), "[Aviso] Género no capturado ()", IF(ISNA(MATCH(L1112, Criterios!$B$123:$B$127, 0)), "Género no válido", "")), IF(OR(N1112="", N1112=""), "[Aviso] Temporada no capturada ()", IF(ISNA(MATCH(N1112, Criterios!$C$123:$C$128, 0)), "Temporada no válida", "")), IF(OR(O1112="", O1112=""), "[Aviso] Ciclo de vida no capturado ()", IF(ISNA(MATCH(O1112, Criterios!$D$123:$D$124, 0)), "Ciclo de vida no válido", ""))))</f>
        <v/>
      </c>
      <c r="AC1112" s="56" t="n"/>
      <c r="AD1112" s="51" t="n">
        <v>-1</v>
      </c>
      <c r="AE1112" s="156" t="n"/>
      <c r="AF1112" s="51" t="n">
        <v>0</v>
      </c>
      <c r="AG1112" s="156" t="inlineStr">
        <is>
          <t>Catálogo existente</t>
        </is>
      </c>
      <c r="AH1112" s="156" t="inlineStr">
        <is>
          <t>Stock negativo en sistema: revisar en conteo</t>
        </is>
      </c>
      <c r="AI1112" s="156" t="inlineStr">
        <is>
          <t>Sí</t>
        </is>
      </c>
      <c r="AJ1112" s="156" t="inlineStr">
        <is>
          <t>STETSON AMERICAS (-1)</t>
        </is>
      </c>
      <c r="AK1112" s="155" t="inlineStr">
        <is>
          <t>Shopify Stetson: producto 15051554980203 / variante 53342129193323 | Odoo: producto 29897 / plantilla 38601</t>
        </is>
      </c>
      <c r="AL1112" s="58" t="n">
        <v>814.6551724</v>
      </c>
      <c r="AM1112" s="58" t="n">
        <v>1810.344828</v>
      </c>
      <c r="AN1112" s="155" t="inlineStr">
        <is>
          <t>Shopify Stetson México | Odoo Universal Unique Brands</t>
        </is>
      </c>
      <c r="AO1112" s="59" t="n">
        <v>1</v>
      </c>
      <c r="AP1112" s="59" t="n"/>
      <c r="AQ1112" s="59" t="n">
        <v>2</v>
      </c>
      <c r="AR1112" s="155" t="inlineStr">
        <is>
          <t>Shopify Stetson México › Stetson Americas: 1 | Odoo Universal Unique Brands › Bodega 25 › Bodega 25/General: 2</t>
        </is>
      </c>
    </row>
    <row r="1113">
      <c r="A1113" s="50" t="inlineStr">
        <is>
          <t>199168071813</t>
        </is>
      </c>
      <c r="B1113" s="51" t="inlineStr">
        <is>
          <t>110693</t>
        </is>
      </c>
      <c r="C1113" s="156" t="inlineStr">
        <is>
          <t>Multimarca</t>
        </is>
      </c>
      <c r="D1113" s="156" t="inlineStr">
        <is>
          <t>11-054-0751-0204</t>
        </is>
      </c>
      <c r="E1113" s="156" t="inlineStr">
        <is>
          <t>11-054-0751-0204-0R</t>
        </is>
      </c>
      <c r="F1113" s="156" t="inlineStr">
        <is>
          <t>3</t>
        </is>
      </c>
      <c r="G1113" s="156" t="inlineStr">
        <is>
          <t>0</t>
        </is>
      </c>
      <c r="H1113" s="156" t="inlineStr">
        <is>
          <t>Stetson</t>
        </is>
      </c>
      <c r="I1113" s="156" t="inlineStr">
        <is>
          <t>Jean Mujer Bolsa Lisa con Tela Dorada en Bolsa Moneda</t>
        </is>
      </c>
      <c r="J1113" s="156" t="inlineStr">
        <is>
          <t>Denim</t>
        </is>
      </c>
      <c r="K1113" s="156" t="inlineStr">
        <is>
          <t>Jeans</t>
        </is>
      </c>
      <c r="L1113" s="156" t="inlineStr">
        <is>
          <t>Mujer</t>
        </is>
      </c>
      <c r="M1113" s="156" t="inlineStr">
        <is>
          <t>Stetson</t>
        </is>
      </c>
      <c r="N1113" s="156" t="inlineStr">
        <is>
          <t>SS26</t>
        </is>
      </c>
      <c r="O1113" s="156" t="inlineStr">
        <is>
          <t>Seasonal</t>
        </is>
      </c>
      <c r="P1113" s="156" t="inlineStr">
        <is>
          <t>Azul</t>
        </is>
      </c>
      <c r="Q1113" s="156" t="inlineStr">
        <is>
          <t>Slim</t>
        </is>
      </c>
      <c r="R1113" s="156" t="inlineStr">
        <is>
          <t>Recto</t>
        </is>
      </c>
      <c r="S1113" s="156" t="inlineStr">
        <is>
          <t>98% Algodón 2% Elastano</t>
        </is>
      </c>
      <c r="T1113" s="156" t="inlineStr">
        <is>
          <t>Jean Mujer Bolsa Lisa con Tela Dorada en Bolsa Moneda Fitted</t>
        </is>
      </c>
      <c r="U1113" s="156" t="n"/>
      <c r="V1113" s="156" t="inlineStr">
        <is>
          <t>PZS</t>
        </is>
      </c>
      <c r="W1113" s="51" t="inlineStr">
        <is>
          <t>53101503</t>
        </is>
      </c>
      <c r="X1113" s="156" t="n"/>
      <c r="Y1113" s="54" t="n">
        <v>814.6551724</v>
      </c>
      <c r="Z1113" s="54" t="n">
        <v>1810.344828</v>
      </c>
      <c r="AA1113" s="55">
        <f>IF(AND(A1113="", B1113="", E1113=""), "", IF(AB1113="", "Válido", IF((LEN(AB1113)-LEN(SUBSTITUTE(AB1113,"; ","")))/2+1&gt;(LEN(AB1113)-LEN(SUBSTITUTE(AB1113,"[Aviso]","")))/7, "Con Incidencias", "Válido")))</f>
        <v/>
      </c>
      <c r="AB1113" s="56">
        <f>IF(AND(A1113="", B1113="", E1113=""), "", TEXTJOIN("; ", TRUE, IF(OR(TRIM(A1113&amp;"")="", ISNUMBER(SEARCH("FALTA", A1113))), "UPC faltante/inválido", ""), IF(AND(A1113&lt;&gt;"", IFERROR(_xlfn.XMATCH(A1113,$A$2:$A$2509,0,1)&lt;&gt;_xlfn.XMATCH(A1113,$A$2:$A$2509,0,-1),FALSE)), "Código de barras duplicado", ""), IF(AND(E1113&lt;&gt;"", COUNTIF($E$2:$E$2509, E1113)&gt;1), "SKU duplicado", ""), IF(OR(J1113="", J1113=""), "[Aviso] División no capturada ()", IF(ISNA(MATCH(J1113, Criterios!$A$123:$A$126, 0)), "División no válida", "")), IF(OR(K1113="", K1113=""), "[Aviso] Categoría no capturada ()", IF(ISNA(MATCH(K1113, Criterios!$A$81:$A$120, 0)), "Categoría no válida", IF(AND(J1113&lt;&gt;"", J1113&lt;&gt;"", J1113&lt;&gt;VLOOKUP(K1113, Criterios!$A$81:$B$120, 2, FALSE)), "División no coincide con Categoría", ""))), IF(OR(L1113="", L1113=""), "[Aviso] Género no capturado ()", IF(ISNA(MATCH(L1113, Criterios!$B$123:$B$127, 0)), "Género no válido", "")), IF(OR(N1113="", N1113=""), "[Aviso] Temporada no capturada ()", IF(ISNA(MATCH(N1113, Criterios!$C$123:$C$128, 0)), "Temporada no válida", "")), IF(OR(O1113="", O1113=""), "[Aviso] Ciclo de vida no capturado ()", IF(ISNA(MATCH(O1113, Criterios!$D$123:$D$124, 0)), "Ciclo de vida no válido", ""))))</f>
        <v/>
      </c>
      <c r="AC1113" s="56" t="n"/>
      <c r="AD1113" s="51" t="n">
        <v>-3</v>
      </c>
      <c r="AE1113" s="156" t="n"/>
      <c r="AF1113" s="51" t="n">
        <v>0</v>
      </c>
      <c r="AG1113" s="156" t="inlineStr">
        <is>
          <t>Catálogo existente</t>
        </is>
      </c>
      <c r="AH1113" s="156" t="inlineStr">
        <is>
          <t>Stock negativo en sistema: revisar en conteo</t>
        </is>
      </c>
      <c r="AI1113" s="156" t="inlineStr">
        <is>
          <t>Sí</t>
        </is>
      </c>
      <c r="AJ1113" s="156" t="inlineStr">
        <is>
          <t>STETSON AMERICAS (-3)</t>
        </is>
      </c>
      <c r="AK1113" s="155" t="inlineStr">
        <is>
          <t>Shopify Stetson: producto 15051555209579 / variante 53342129815915 | Odoo: producto 29912 / plantilla 38616</t>
        </is>
      </c>
      <c r="AL1113" s="58" t="n">
        <v>814.6551724</v>
      </c>
      <c r="AM1113" s="58" t="n">
        <v>1810.344828</v>
      </c>
      <c r="AN1113" s="155" t="inlineStr">
        <is>
          <t>Shopify Stetson México | Odoo Universal Unique Brands</t>
        </is>
      </c>
      <c r="AO1113" s="59" t="n">
        <v>0</v>
      </c>
      <c r="AP1113" s="59" t="n"/>
      <c r="AQ1113" s="59" t="n">
        <v>4</v>
      </c>
      <c r="AR1113" s="155" t="inlineStr">
        <is>
          <t>Odoo Universal Unique Brands › Bodega 25 › Bodega 25/General: 4</t>
        </is>
      </c>
    </row>
    <row r="1114">
      <c r="A1114" s="50" t="inlineStr">
        <is>
          <t>199168071912</t>
        </is>
      </c>
      <c r="B1114" s="51" t="inlineStr">
        <is>
          <t>110694</t>
        </is>
      </c>
      <c r="C1114" s="156" t="inlineStr">
        <is>
          <t>Multimarca</t>
        </is>
      </c>
      <c r="D1114" s="156" t="inlineStr">
        <is>
          <t>11-054-0751-0204</t>
        </is>
      </c>
      <c r="E1114" s="156" t="inlineStr">
        <is>
          <t>11-054-0751-0204-10R</t>
        </is>
      </c>
      <c r="F1114" s="156" t="inlineStr">
        <is>
          <t>13</t>
        </is>
      </c>
      <c r="G1114" s="156" t="inlineStr">
        <is>
          <t>10</t>
        </is>
      </c>
      <c r="H1114" s="156" t="inlineStr">
        <is>
          <t>Stetson</t>
        </is>
      </c>
      <c r="I1114" s="156" t="inlineStr">
        <is>
          <t>Jean Mujer Bolsa Lisa con Tela Dorada en Bolsa Moneda</t>
        </is>
      </c>
      <c r="J1114" s="156" t="inlineStr">
        <is>
          <t>Denim</t>
        </is>
      </c>
      <c r="K1114" s="156" t="inlineStr">
        <is>
          <t>Jeans</t>
        </is>
      </c>
      <c r="L1114" s="156" t="inlineStr">
        <is>
          <t>Mujer</t>
        </is>
      </c>
      <c r="M1114" s="156" t="inlineStr">
        <is>
          <t>Stetson</t>
        </is>
      </c>
      <c r="N1114" s="156" t="inlineStr">
        <is>
          <t>SS26</t>
        </is>
      </c>
      <c r="O1114" s="156" t="inlineStr">
        <is>
          <t>Seasonal</t>
        </is>
      </c>
      <c r="P1114" s="156" t="inlineStr">
        <is>
          <t>Azul</t>
        </is>
      </c>
      <c r="Q1114" s="156" t="inlineStr">
        <is>
          <t>Slim</t>
        </is>
      </c>
      <c r="R1114" s="156" t="inlineStr">
        <is>
          <t>Recto</t>
        </is>
      </c>
      <c r="S1114" s="156" t="inlineStr">
        <is>
          <t>98% Algodón 2% Elastano</t>
        </is>
      </c>
      <c r="T1114" s="156" t="inlineStr">
        <is>
          <t>Jean Mujer Bolsa Lisa con Tela Dorada en Bolsa Moneda Fitted</t>
        </is>
      </c>
      <c r="U1114" s="156" t="n"/>
      <c r="V1114" s="156" t="inlineStr">
        <is>
          <t>PZS</t>
        </is>
      </c>
      <c r="W1114" s="51" t="inlineStr">
        <is>
          <t>53101503</t>
        </is>
      </c>
      <c r="X1114" s="156" t="n"/>
      <c r="Y1114" s="54" t="n">
        <v>814.6551724</v>
      </c>
      <c r="Z1114" s="54" t="n">
        <v>1810.344828</v>
      </c>
      <c r="AA1114" s="55">
        <f>IF(AND(A1114="", B1114="", E1114=""), "", IF(AB1114="", "Válido", IF((LEN(AB1114)-LEN(SUBSTITUTE(AB1114,"; ","")))/2+1&gt;(LEN(AB1114)-LEN(SUBSTITUTE(AB1114,"[Aviso]","")))/7, "Con Incidencias", "Válido")))</f>
        <v/>
      </c>
      <c r="AB1114" s="56">
        <f>IF(AND(A1114="", B1114="", E1114=""), "", TEXTJOIN("; ", TRUE, IF(OR(TRIM(A1114&amp;"")="", ISNUMBER(SEARCH("FALTA", A1114))), "UPC faltante/inválido", ""), IF(AND(A1114&lt;&gt;"", IFERROR(_xlfn.XMATCH(A1114,$A$2:$A$2509,0,1)&lt;&gt;_xlfn.XMATCH(A1114,$A$2:$A$2509,0,-1),FALSE)), "Código de barras duplicado", ""), IF(AND(E1114&lt;&gt;"", COUNTIF($E$2:$E$2509, E1114)&gt;1), "SKU duplicado", ""), IF(OR(J1114="", J1114=""), "[Aviso] División no capturada ()", IF(ISNA(MATCH(J1114, Criterios!$A$123:$A$126, 0)), "División no válida", "")), IF(OR(K1114="", K1114=""), "[Aviso] Categoría no capturada ()", IF(ISNA(MATCH(K1114, Criterios!$A$81:$A$120, 0)), "Categoría no válida", IF(AND(J1114&lt;&gt;"", J1114&lt;&gt;"", J1114&lt;&gt;VLOOKUP(K1114, Criterios!$A$81:$B$120, 2, FALSE)), "División no coincide con Categoría", ""))), IF(OR(L1114="", L1114=""), "[Aviso] Género no capturado ()", IF(ISNA(MATCH(L1114, Criterios!$B$123:$B$127, 0)), "Género no válido", "")), IF(OR(N1114="", N1114=""), "[Aviso] Temporada no capturada ()", IF(ISNA(MATCH(N1114, Criterios!$C$123:$C$128, 0)), "Temporada no válida", "")), IF(OR(O1114="", O1114=""), "[Aviso] Ciclo de vida no capturado ()", IF(ISNA(MATCH(O1114, Criterios!$D$123:$D$124, 0)), "Ciclo de vida no válido", ""))))</f>
        <v/>
      </c>
      <c r="AC1114" s="56" t="n"/>
      <c r="AD1114" s="51" t="n">
        <v>-1</v>
      </c>
      <c r="AE1114" s="156" t="n"/>
      <c r="AF1114" s="51" t="n">
        <v>0</v>
      </c>
      <c r="AG1114" s="156" t="inlineStr">
        <is>
          <t>Catálogo existente</t>
        </is>
      </c>
      <c r="AH1114" s="156" t="inlineStr">
        <is>
          <t>Stock negativo en sistema: revisar en conteo</t>
        </is>
      </c>
      <c r="AI1114" s="156" t="inlineStr">
        <is>
          <t>Sí</t>
        </is>
      </c>
      <c r="AJ1114" s="156" t="inlineStr">
        <is>
          <t>STETSON AMERICAS (-1)</t>
        </is>
      </c>
      <c r="AK1114" s="155" t="inlineStr">
        <is>
          <t>Shopify Stetson: producto 15051555209579 / variante 53342129979755 | Odoo: producto 29917 / plantilla 38621</t>
        </is>
      </c>
      <c r="AL1114" s="58" t="n">
        <v>814.6551724</v>
      </c>
      <c r="AM1114" s="58" t="n">
        <v>1810.344828</v>
      </c>
      <c r="AN1114" s="155" t="inlineStr">
        <is>
          <t>Shopify Stetson México | Odoo Universal Unique Brands</t>
        </is>
      </c>
      <c r="AO1114" s="59" t="n">
        <v>3</v>
      </c>
      <c r="AP1114" s="59" t="n"/>
      <c r="AQ1114" s="59" t="n">
        <v>4</v>
      </c>
      <c r="AR1114" s="155" t="inlineStr">
        <is>
          <t>Shopify Stetson México › Stetson Americas: 3 | Odoo Universal Unique Brands › Bodega 25 › Bodega 25/General: 4</t>
        </is>
      </c>
    </row>
    <row r="1115">
      <c r="A1115" s="50" t="inlineStr">
        <is>
          <t>199168072162</t>
        </is>
      </c>
      <c r="B1115" s="51" t="inlineStr">
        <is>
          <t>110695</t>
        </is>
      </c>
      <c r="C1115" s="156" t="inlineStr">
        <is>
          <t>Multimarca</t>
        </is>
      </c>
      <c r="D1115" s="156" t="inlineStr">
        <is>
          <t>11-054-0751-0204</t>
        </is>
      </c>
      <c r="E1115" s="156" t="inlineStr">
        <is>
          <t>11-054-0751-0204-2R</t>
        </is>
      </c>
      <c r="F1115" s="156" t="inlineStr">
        <is>
          <t>5</t>
        </is>
      </c>
      <c r="G1115" s="156" t="inlineStr">
        <is>
          <t>2</t>
        </is>
      </c>
      <c r="H1115" s="156" t="inlineStr">
        <is>
          <t>Stetson</t>
        </is>
      </c>
      <c r="I1115" s="156" t="inlineStr">
        <is>
          <t>Jean Mujer Bolsa Lisa con Tela Dorada en Bolsa Moneda</t>
        </is>
      </c>
      <c r="J1115" s="156" t="inlineStr">
        <is>
          <t>Denim</t>
        </is>
      </c>
      <c r="K1115" s="156" t="inlineStr">
        <is>
          <t>Jeans</t>
        </is>
      </c>
      <c r="L1115" s="156" t="inlineStr">
        <is>
          <t>Mujer</t>
        </is>
      </c>
      <c r="M1115" s="156" t="inlineStr">
        <is>
          <t>Stetson</t>
        </is>
      </c>
      <c r="N1115" s="156" t="inlineStr">
        <is>
          <t>SS26</t>
        </is>
      </c>
      <c r="O1115" s="156" t="inlineStr">
        <is>
          <t>Seasonal</t>
        </is>
      </c>
      <c r="P1115" s="156" t="inlineStr">
        <is>
          <t>Azul</t>
        </is>
      </c>
      <c r="Q1115" s="156" t="inlineStr">
        <is>
          <t>Slim</t>
        </is>
      </c>
      <c r="R1115" s="156" t="inlineStr">
        <is>
          <t>Recto</t>
        </is>
      </c>
      <c r="S1115" s="156" t="inlineStr">
        <is>
          <t>98% Algodón 2% Elastano</t>
        </is>
      </c>
      <c r="T1115" s="156" t="inlineStr">
        <is>
          <t>Jean Mujer Bolsa Lisa con Tela Dorada en Bolsa Moneda Fitted</t>
        </is>
      </c>
      <c r="U1115" s="156" t="n"/>
      <c r="V1115" s="156" t="inlineStr">
        <is>
          <t>PZS</t>
        </is>
      </c>
      <c r="W1115" s="51" t="inlineStr">
        <is>
          <t>53101503</t>
        </is>
      </c>
      <c r="X1115" s="156" t="n"/>
      <c r="Y1115" s="54" t="n">
        <v>814.6551724</v>
      </c>
      <c r="Z1115" s="54" t="n">
        <v>1810.344828</v>
      </c>
      <c r="AA1115" s="55">
        <f>IF(AND(A1115="", B1115="", E1115=""), "", IF(AB1115="", "Válido", IF((LEN(AB1115)-LEN(SUBSTITUTE(AB1115,"; ","")))/2+1&gt;(LEN(AB1115)-LEN(SUBSTITUTE(AB1115,"[Aviso]","")))/7, "Con Incidencias", "Válido")))</f>
        <v/>
      </c>
      <c r="AB1115" s="56">
        <f>IF(AND(A1115="", B1115="", E1115=""), "", TEXTJOIN("; ", TRUE, IF(OR(TRIM(A1115&amp;"")="", ISNUMBER(SEARCH("FALTA", A1115))), "UPC faltante/inválido", ""), IF(AND(A1115&lt;&gt;"", IFERROR(_xlfn.XMATCH(A1115,$A$2:$A$2509,0,1)&lt;&gt;_xlfn.XMATCH(A1115,$A$2:$A$2509,0,-1),FALSE)), "Código de barras duplicado", ""), IF(AND(E1115&lt;&gt;"", COUNTIF($E$2:$E$2509, E1115)&gt;1), "SKU duplicado", ""), IF(OR(J1115="", J1115=""), "[Aviso] División no capturada ()", IF(ISNA(MATCH(J1115, Criterios!$A$123:$A$126, 0)), "División no válida", "")), IF(OR(K1115="", K1115=""), "[Aviso] Categoría no capturada ()", IF(ISNA(MATCH(K1115, Criterios!$A$81:$A$120, 0)), "Categoría no válida", IF(AND(J1115&lt;&gt;"", J1115&lt;&gt;"", J1115&lt;&gt;VLOOKUP(K1115, Criterios!$A$81:$B$120, 2, FALSE)), "División no coincide con Categoría", ""))), IF(OR(L1115="", L1115=""), "[Aviso] Género no capturado ()", IF(ISNA(MATCH(L1115, Criterios!$B$123:$B$127, 0)), "Género no válido", "")), IF(OR(N1115="", N1115=""), "[Aviso] Temporada no capturada ()", IF(ISNA(MATCH(N1115, Criterios!$C$123:$C$128, 0)), "Temporada no válida", "")), IF(OR(O1115="", O1115=""), "[Aviso] Ciclo de vida no capturado ()", IF(ISNA(MATCH(O1115, Criterios!$D$123:$D$124, 0)), "Ciclo de vida no válido", ""))))</f>
        <v/>
      </c>
      <c r="AC1115" s="56" t="n"/>
      <c r="AD1115" s="51" t="n">
        <v>-4</v>
      </c>
      <c r="AE1115" s="156" t="n"/>
      <c r="AF1115" s="51" t="n">
        <v>0</v>
      </c>
      <c r="AG1115" s="156" t="inlineStr">
        <is>
          <t>Catálogo existente</t>
        </is>
      </c>
      <c r="AH1115" s="156" t="inlineStr">
        <is>
          <t>Stock negativo en sistema: revisar en conteo</t>
        </is>
      </c>
      <c r="AI1115" s="156" t="inlineStr">
        <is>
          <t>Sí</t>
        </is>
      </c>
      <c r="AJ1115" s="156" t="inlineStr">
        <is>
          <t>STETSON AMERICAS (-4)</t>
        </is>
      </c>
      <c r="AK1115" s="155" t="inlineStr">
        <is>
          <t>Shopify Stetson: producto 15051555209579 / variante 53342129848683 | Odoo: producto 29913 / plantilla 38617</t>
        </is>
      </c>
      <c r="AL1115" s="58" t="n">
        <v>814.6551724</v>
      </c>
      <c r="AM1115" s="58" t="n">
        <v>1810.344828</v>
      </c>
      <c r="AN1115" s="155" t="inlineStr">
        <is>
          <t>Shopify Stetson México | Odoo Universal Unique Brands</t>
        </is>
      </c>
      <c r="AO1115" s="59" t="n">
        <v>0</v>
      </c>
      <c r="AP1115" s="59" t="n"/>
      <c r="AQ1115" s="59" t="n">
        <v>4</v>
      </c>
      <c r="AR1115" s="155" t="inlineStr">
        <is>
          <t>Odoo Universal Unique Brands › Bodega 25 › Bodega 25/General: 4</t>
        </is>
      </c>
    </row>
    <row r="1116">
      <c r="A1116" s="50" t="inlineStr">
        <is>
          <t>199168072216</t>
        </is>
      </c>
      <c r="B1116" s="51" t="inlineStr">
        <is>
          <t>110696</t>
        </is>
      </c>
      <c r="C1116" s="156" t="inlineStr">
        <is>
          <t>Multimarca</t>
        </is>
      </c>
      <c r="D1116" s="156" t="inlineStr">
        <is>
          <t>11-054-0751-0204</t>
        </is>
      </c>
      <c r="E1116" s="156" t="inlineStr">
        <is>
          <t>11-054-0751-0204-4R</t>
        </is>
      </c>
      <c r="F1116" s="156" t="inlineStr">
        <is>
          <t>7</t>
        </is>
      </c>
      <c r="G1116" s="156" t="inlineStr">
        <is>
          <t>4</t>
        </is>
      </c>
      <c r="H1116" s="156" t="inlineStr">
        <is>
          <t>Stetson</t>
        </is>
      </c>
      <c r="I1116" s="156" t="inlineStr">
        <is>
          <t>Jean Mujer Bolsa Lisa con Tela Dorada en Bolsa Moneda</t>
        </is>
      </c>
      <c r="J1116" s="156" t="inlineStr">
        <is>
          <t>Denim</t>
        </is>
      </c>
      <c r="K1116" s="156" t="inlineStr">
        <is>
          <t>Jeans</t>
        </is>
      </c>
      <c r="L1116" s="156" t="inlineStr">
        <is>
          <t>Mujer</t>
        </is>
      </c>
      <c r="M1116" s="156" t="inlineStr">
        <is>
          <t>Stetson</t>
        </is>
      </c>
      <c r="N1116" s="156" t="inlineStr">
        <is>
          <t>SS26</t>
        </is>
      </c>
      <c r="O1116" s="156" t="inlineStr">
        <is>
          <t>Seasonal</t>
        </is>
      </c>
      <c r="P1116" s="156" t="inlineStr">
        <is>
          <t>Azul</t>
        </is>
      </c>
      <c r="Q1116" s="156" t="inlineStr">
        <is>
          <t>Slim</t>
        </is>
      </c>
      <c r="R1116" s="156" t="inlineStr">
        <is>
          <t>Recto</t>
        </is>
      </c>
      <c r="S1116" s="156" t="inlineStr">
        <is>
          <t>98% Algodón 2% Elastano</t>
        </is>
      </c>
      <c r="T1116" s="156" t="inlineStr">
        <is>
          <t>Jean Mujer Bolsa Lisa con Tela Dorada en Bolsa Moneda Fitted</t>
        </is>
      </c>
      <c r="U1116" s="156" t="n"/>
      <c r="V1116" s="156" t="inlineStr">
        <is>
          <t>PZS</t>
        </is>
      </c>
      <c r="W1116" s="51" t="inlineStr">
        <is>
          <t>53101503</t>
        </is>
      </c>
      <c r="X1116" s="156" t="n"/>
      <c r="Y1116" s="54" t="n">
        <v>814.6551724</v>
      </c>
      <c r="Z1116" s="54" t="n">
        <v>1810.344828</v>
      </c>
      <c r="AA1116" s="55">
        <f>IF(AND(A1116="", B1116="", E1116=""), "", IF(AB1116="", "Válido", IF((LEN(AB1116)-LEN(SUBSTITUTE(AB1116,"; ","")))/2+1&gt;(LEN(AB1116)-LEN(SUBSTITUTE(AB1116,"[Aviso]","")))/7, "Con Incidencias", "Válido")))</f>
        <v/>
      </c>
      <c r="AB1116" s="56">
        <f>IF(AND(A1116="", B1116="", E1116=""), "", TEXTJOIN("; ", TRUE, IF(OR(TRIM(A1116&amp;"")="", ISNUMBER(SEARCH("FALTA", A1116))), "UPC faltante/inválido", ""), IF(AND(A1116&lt;&gt;"", IFERROR(_xlfn.XMATCH(A1116,$A$2:$A$2509,0,1)&lt;&gt;_xlfn.XMATCH(A1116,$A$2:$A$2509,0,-1),FALSE)), "Código de barras duplicado", ""), IF(AND(E1116&lt;&gt;"", COUNTIF($E$2:$E$2509, E1116)&gt;1), "SKU duplicado", ""), IF(OR(J1116="", J1116=""), "[Aviso] División no capturada ()", IF(ISNA(MATCH(J1116, Criterios!$A$123:$A$126, 0)), "División no válida", "")), IF(OR(K1116="", K1116=""), "[Aviso] Categoría no capturada ()", IF(ISNA(MATCH(K1116, Criterios!$A$81:$A$120, 0)), "Categoría no válida", IF(AND(J1116&lt;&gt;"", J1116&lt;&gt;"", J1116&lt;&gt;VLOOKUP(K1116, Criterios!$A$81:$B$120, 2, FALSE)), "División no coincide con Categoría", ""))), IF(OR(L1116="", L1116=""), "[Aviso] Género no capturado ()", IF(ISNA(MATCH(L1116, Criterios!$B$123:$B$127, 0)), "Género no válido", "")), IF(OR(N1116="", N1116=""), "[Aviso] Temporada no capturada ()", IF(ISNA(MATCH(N1116, Criterios!$C$123:$C$128, 0)), "Temporada no válida", "")), IF(OR(O1116="", O1116=""), "[Aviso] Ciclo de vida no capturado ()", IF(ISNA(MATCH(O1116, Criterios!$D$123:$D$124, 0)), "Ciclo de vida no válido", ""))))</f>
        <v/>
      </c>
      <c r="AC1116" s="56" t="n"/>
      <c r="AD1116" s="51" t="n">
        <v>-3</v>
      </c>
      <c r="AE1116" s="156" t="n"/>
      <c r="AF1116" s="51" t="n">
        <v>0</v>
      </c>
      <c r="AG1116" s="156" t="inlineStr">
        <is>
          <t>Catálogo existente</t>
        </is>
      </c>
      <c r="AH1116" s="156" t="inlineStr">
        <is>
          <t>Stock negativo en sistema: revisar en conteo</t>
        </is>
      </c>
      <c r="AI1116" s="156" t="inlineStr">
        <is>
          <t>Sí</t>
        </is>
      </c>
      <c r="AJ1116" s="156" t="inlineStr">
        <is>
          <t>STETSON AMERICAS (-3)</t>
        </is>
      </c>
      <c r="AK1116" s="155" t="inlineStr">
        <is>
          <t>Shopify Stetson: producto 15051555209579 / variante 53342129881451 | Odoo: producto 29914 / plantilla 38618</t>
        </is>
      </c>
      <c r="AL1116" s="58" t="n">
        <v>814.6551724</v>
      </c>
      <c r="AM1116" s="58" t="n">
        <v>1810.344828</v>
      </c>
      <c r="AN1116" s="155" t="inlineStr">
        <is>
          <t>Shopify Stetson México | Odoo Universal Unique Brands</t>
        </is>
      </c>
      <c r="AO1116" s="59" t="n">
        <v>3</v>
      </c>
      <c r="AP1116" s="59" t="n"/>
      <c r="AQ1116" s="59" t="n">
        <v>6</v>
      </c>
      <c r="AR1116" s="155" t="inlineStr">
        <is>
          <t>Shopify Stetson México › Stetson Americas: 3 | Odoo Universal Unique Brands › Bodega 25 › Bodega 25/General: 6</t>
        </is>
      </c>
    </row>
    <row r="1117">
      <c r="A1117" s="50" t="inlineStr">
        <is>
          <t>199168072261</t>
        </is>
      </c>
      <c r="B1117" s="51" t="inlineStr">
        <is>
          <t>110697</t>
        </is>
      </c>
      <c r="C1117" s="156" t="inlineStr">
        <is>
          <t>Multimarca</t>
        </is>
      </c>
      <c r="D1117" s="156" t="inlineStr">
        <is>
          <t>11-054-0751-0204</t>
        </is>
      </c>
      <c r="E1117" s="156" t="inlineStr">
        <is>
          <t>11-054-0751-0204-6R</t>
        </is>
      </c>
      <c r="F1117" s="156" t="inlineStr">
        <is>
          <t>9</t>
        </is>
      </c>
      <c r="G1117" s="156" t="inlineStr">
        <is>
          <t>6</t>
        </is>
      </c>
      <c r="H1117" s="156" t="inlineStr">
        <is>
          <t>Stetson</t>
        </is>
      </c>
      <c r="I1117" s="156" t="inlineStr">
        <is>
          <t>Jean Mujer Bolsa Lisa con Tela Dorada en Bolsa Moneda</t>
        </is>
      </c>
      <c r="J1117" s="156" t="inlineStr">
        <is>
          <t>Denim</t>
        </is>
      </c>
      <c r="K1117" s="156" t="inlineStr">
        <is>
          <t>Jeans</t>
        </is>
      </c>
      <c r="L1117" s="156" t="inlineStr">
        <is>
          <t>Mujer</t>
        </is>
      </c>
      <c r="M1117" s="156" t="inlineStr">
        <is>
          <t>Stetson</t>
        </is>
      </c>
      <c r="N1117" s="156" t="inlineStr">
        <is>
          <t>SS26</t>
        </is>
      </c>
      <c r="O1117" s="156" t="inlineStr">
        <is>
          <t>Seasonal</t>
        </is>
      </c>
      <c r="P1117" s="156" t="inlineStr">
        <is>
          <t>Azul</t>
        </is>
      </c>
      <c r="Q1117" s="156" t="inlineStr">
        <is>
          <t>Slim</t>
        </is>
      </c>
      <c r="R1117" s="156" t="inlineStr">
        <is>
          <t>Recto</t>
        </is>
      </c>
      <c r="S1117" s="156" t="inlineStr">
        <is>
          <t>98% Algodón 2% Elastano</t>
        </is>
      </c>
      <c r="T1117" s="156" t="inlineStr">
        <is>
          <t>Jean Mujer Bolsa Lisa con Tela Dorada en Bolsa Moneda Fitted</t>
        </is>
      </c>
      <c r="U1117" s="156" t="n"/>
      <c r="V1117" s="156" t="inlineStr">
        <is>
          <t>PZS</t>
        </is>
      </c>
      <c r="W1117" s="51" t="inlineStr">
        <is>
          <t>53101503</t>
        </is>
      </c>
      <c r="X1117" s="156" t="n"/>
      <c r="Y1117" s="54" t="n">
        <v>814.6551724</v>
      </c>
      <c r="Z1117" s="54" t="n">
        <v>1810.344828</v>
      </c>
      <c r="AA1117" s="55">
        <f>IF(AND(A1117="", B1117="", E1117=""), "", IF(AB1117="", "Válido", IF((LEN(AB1117)-LEN(SUBSTITUTE(AB1117,"; ","")))/2+1&gt;(LEN(AB1117)-LEN(SUBSTITUTE(AB1117,"[Aviso]","")))/7, "Con Incidencias", "Válido")))</f>
        <v/>
      </c>
      <c r="AB1117" s="56">
        <f>IF(AND(A1117="", B1117="", E1117=""), "", TEXTJOIN("; ", TRUE, IF(OR(TRIM(A1117&amp;"")="", ISNUMBER(SEARCH("FALTA", A1117))), "UPC faltante/inválido", ""), IF(AND(A1117&lt;&gt;"", IFERROR(_xlfn.XMATCH(A1117,$A$2:$A$2509,0,1)&lt;&gt;_xlfn.XMATCH(A1117,$A$2:$A$2509,0,-1),FALSE)), "Código de barras duplicado", ""), IF(AND(E1117&lt;&gt;"", COUNTIF($E$2:$E$2509, E1117)&gt;1), "SKU duplicado", ""), IF(OR(J1117="", J1117=""), "[Aviso] División no capturada ()", IF(ISNA(MATCH(J1117, Criterios!$A$123:$A$126, 0)), "División no válida", "")), IF(OR(K1117="", K1117=""), "[Aviso] Categoría no capturada ()", IF(ISNA(MATCH(K1117, Criterios!$A$81:$A$120, 0)), "Categoría no válida", IF(AND(J1117&lt;&gt;"", J1117&lt;&gt;"", J1117&lt;&gt;VLOOKUP(K1117, Criterios!$A$81:$B$120, 2, FALSE)), "División no coincide con Categoría", ""))), IF(OR(L1117="", L1117=""), "[Aviso] Género no capturado ()", IF(ISNA(MATCH(L1117, Criterios!$B$123:$B$127, 0)), "Género no válido", "")), IF(OR(N1117="", N1117=""), "[Aviso] Temporada no capturada ()", IF(ISNA(MATCH(N1117, Criterios!$C$123:$C$128, 0)), "Temporada no válida", "")), IF(OR(O1117="", O1117=""), "[Aviso] Ciclo de vida no capturado ()", IF(ISNA(MATCH(O1117, Criterios!$D$123:$D$124, 0)), "Ciclo de vida no válido", ""))))</f>
        <v/>
      </c>
      <c r="AC1117" s="56" t="n"/>
      <c r="AD1117" s="51" t="n">
        <v>-2</v>
      </c>
      <c r="AE1117" s="156" t="n"/>
      <c r="AF1117" s="51" t="n">
        <v>0</v>
      </c>
      <c r="AG1117" s="156" t="inlineStr">
        <is>
          <t>Catálogo existente</t>
        </is>
      </c>
      <c r="AH1117" s="156" t="inlineStr">
        <is>
          <t>Stock negativo en sistema: revisar en conteo</t>
        </is>
      </c>
      <c r="AI1117" s="156" t="inlineStr">
        <is>
          <t>Sí</t>
        </is>
      </c>
      <c r="AJ1117" s="156" t="inlineStr">
        <is>
          <t>STETSON AMERICAS (-2)</t>
        </is>
      </c>
      <c r="AK1117" s="155" t="inlineStr">
        <is>
          <t>Shopify Stetson: producto 15051555209579 / variante 53342129914219 | Odoo: producto 29915 / plantilla 38619</t>
        </is>
      </c>
      <c r="AL1117" s="58" t="n">
        <v>814.6551724</v>
      </c>
      <c r="AM1117" s="58" t="n">
        <v>1810.344828</v>
      </c>
      <c r="AN1117" s="155" t="inlineStr">
        <is>
          <t>Shopify Stetson México | Odoo Universal Unique Brands</t>
        </is>
      </c>
      <c r="AO1117" s="59" t="n">
        <v>2</v>
      </c>
      <c r="AP1117" s="59" t="n"/>
      <c r="AQ1117" s="59" t="n">
        <v>4</v>
      </c>
      <c r="AR1117" s="155" t="inlineStr">
        <is>
          <t>Shopify Stetson México › Stetson Americas: 2 | Odoo Universal Unique Brands › Bodega 25 › Bodega 25/General: 4</t>
        </is>
      </c>
    </row>
    <row r="1118">
      <c r="A1118" s="50" t="inlineStr">
        <is>
          <t>199168072315</t>
        </is>
      </c>
      <c r="B1118" s="51" t="inlineStr">
        <is>
          <t>110698</t>
        </is>
      </c>
      <c r="C1118" s="156" t="inlineStr">
        <is>
          <t>Multimarca</t>
        </is>
      </c>
      <c r="D1118" s="156" t="inlineStr">
        <is>
          <t>11-054-0751-0204</t>
        </is>
      </c>
      <c r="E1118" s="156" t="inlineStr">
        <is>
          <t>11-054-0751-0204-8R</t>
        </is>
      </c>
      <c r="F1118" s="156" t="inlineStr">
        <is>
          <t>11</t>
        </is>
      </c>
      <c r="G1118" s="156" t="inlineStr">
        <is>
          <t>8</t>
        </is>
      </c>
      <c r="H1118" s="156" t="inlineStr">
        <is>
          <t>Stetson</t>
        </is>
      </c>
      <c r="I1118" s="156" t="inlineStr">
        <is>
          <t>Jean Mujer Bolsa Lisa con Tela Dorada en Bolsa Moneda</t>
        </is>
      </c>
      <c r="J1118" s="156" t="inlineStr">
        <is>
          <t>Denim</t>
        </is>
      </c>
      <c r="K1118" s="156" t="inlineStr">
        <is>
          <t>Jeans</t>
        </is>
      </c>
      <c r="L1118" s="156" t="inlineStr">
        <is>
          <t>Mujer</t>
        </is>
      </c>
      <c r="M1118" s="156" t="inlineStr">
        <is>
          <t>Stetson</t>
        </is>
      </c>
      <c r="N1118" s="156" t="inlineStr">
        <is>
          <t>SS26</t>
        </is>
      </c>
      <c r="O1118" s="156" t="inlineStr">
        <is>
          <t>Seasonal</t>
        </is>
      </c>
      <c r="P1118" s="156" t="inlineStr">
        <is>
          <t>Azul</t>
        </is>
      </c>
      <c r="Q1118" s="156" t="inlineStr">
        <is>
          <t>Slim</t>
        </is>
      </c>
      <c r="R1118" s="156" t="inlineStr">
        <is>
          <t>Recto</t>
        </is>
      </c>
      <c r="S1118" s="156" t="inlineStr">
        <is>
          <t>98% Algodón 2% Elastano</t>
        </is>
      </c>
      <c r="T1118" s="156" t="inlineStr">
        <is>
          <t>Jean Mujer Bolsa Lisa con Tela Dorada en Bolsa Moneda Fitted</t>
        </is>
      </c>
      <c r="U1118" s="156" t="n"/>
      <c r="V1118" s="156" t="inlineStr">
        <is>
          <t>PZS</t>
        </is>
      </c>
      <c r="W1118" s="51" t="inlineStr">
        <is>
          <t>53101503</t>
        </is>
      </c>
      <c r="X1118" s="156" t="n"/>
      <c r="Y1118" s="54" t="n">
        <v>814.6551724</v>
      </c>
      <c r="Z1118" s="54" t="n">
        <v>1810.344828</v>
      </c>
      <c r="AA1118" s="55">
        <f>IF(AND(A1118="", B1118="", E1118=""), "", IF(AB1118="", "Válido", IF((LEN(AB1118)-LEN(SUBSTITUTE(AB1118,"; ","")))/2+1&gt;(LEN(AB1118)-LEN(SUBSTITUTE(AB1118,"[Aviso]","")))/7, "Con Incidencias", "Válido")))</f>
        <v/>
      </c>
      <c r="AB1118" s="56">
        <f>IF(AND(A1118="", B1118="", E1118=""), "", TEXTJOIN("; ", TRUE, IF(OR(TRIM(A1118&amp;"")="", ISNUMBER(SEARCH("FALTA", A1118))), "UPC faltante/inválido", ""), IF(AND(A1118&lt;&gt;"", IFERROR(_xlfn.XMATCH(A1118,$A$2:$A$2509,0,1)&lt;&gt;_xlfn.XMATCH(A1118,$A$2:$A$2509,0,-1),FALSE)), "Código de barras duplicado", ""), IF(AND(E1118&lt;&gt;"", COUNTIF($E$2:$E$2509, E1118)&gt;1), "SKU duplicado", ""), IF(OR(J1118="", J1118=""), "[Aviso] División no capturada ()", IF(ISNA(MATCH(J1118, Criterios!$A$123:$A$126, 0)), "División no válida", "")), IF(OR(K1118="", K1118=""), "[Aviso] Categoría no capturada ()", IF(ISNA(MATCH(K1118, Criterios!$A$81:$A$120, 0)), "Categoría no válida", IF(AND(J1118&lt;&gt;"", J1118&lt;&gt;"", J1118&lt;&gt;VLOOKUP(K1118, Criterios!$A$81:$B$120, 2, FALSE)), "División no coincide con Categoría", ""))), IF(OR(L1118="", L1118=""), "[Aviso] Género no capturado ()", IF(ISNA(MATCH(L1118, Criterios!$B$123:$B$127, 0)), "Género no válido", "")), IF(OR(N1118="", N1118=""), "[Aviso] Temporada no capturada ()", IF(ISNA(MATCH(N1118, Criterios!$C$123:$C$128, 0)), "Temporada no válida", "")), IF(OR(O1118="", O1118=""), "[Aviso] Ciclo de vida no capturado ()", IF(ISNA(MATCH(O1118, Criterios!$D$123:$D$124, 0)), "Ciclo de vida no válido", ""))))</f>
        <v/>
      </c>
      <c r="AC1118" s="56" t="n"/>
      <c r="AD1118" s="51" t="n">
        <v>-1</v>
      </c>
      <c r="AE1118" s="156" t="n"/>
      <c r="AF1118" s="51" t="n">
        <v>0</v>
      </c>
      <c r="AG1118" s="156" t="inlineStr">
        <is>
          <t>Catálogo existente</t>
        </is>
      </c>
      <c r="AH1118" s="156" t="inlineStr">
        <is>
          <t>Stock negativo en sistema: revisar en conteo</t>
        </is>
      </c>
      <c r="AI1118" s="156" t="inlineStr">
        <is>
          <t>Sí</t>
        </is>
      </c>
      <c r="AJ1118" s="156" t="inlineStr">
        <is>
          <t>STETSON AMERICAS (-1)</t>
        </is>
      </c>
      <c r="AK1118" s="155" t="inlineStr">
        <is>
          <t>Shopify Stetson: producto 15051555209579 / variante 53342129946987 | Odoo: producto 29916 / plantilla 38620</t>
        </is>
      </c>
      <c r="AL1118" s="58" t="n">
        <v>814.6551724</v>
      </c>
      <c r="AM1118" s="58" t="n">
        <v>1810.344828</v>
      </c>
      <c r="AN1118" s="155" t="inlineStr">
        <is>
          <t>Shopify Stetson México | Odoo Universal Unique Brands</t>
        </is>
      </c>
      <c r="AO1118" s="59" t="n">
        <v>1</v>
      </c>
      <c r="AP1118" s="59" t="n"/>
      <c r="AQ1118" s="59" t="n">
        <v>2</v>
      </c>
      <c r="AR1118" s="155" t="inlineStr">
        <is>
          <t>Shopify Stetson México › Stetson Americas: 1 | Odoo Universal Unique Brands › Bodega 25 › Bodega 25/General: 2</t>
        </is>
      </c>
    </row>
    <row r="1119">
      <c r="A1119" s="50" t="inlineStr">
        <is>
          <t>199168073558</t>
        </is>
      </c>
      <c r="B1119" s="51" t="inlineStr">
        <is>
          <t>110769</t>
        </is>
      </c>
      <c r="C1119" s="156" t="inlineStr">
        <is>
          <t>Multimarca</t>
        </is>
      </c>
      <c r="D1119" s="156" t="inlineStr">
        <is>
          <t>11-057-0592-7081</t>
        </is>
      </c>
      <c r="E1119" s="156" t="inlineStr">
        <is>
          <t>11-057-0592-7081-L</t>
        </is>
      </c>
      <c r="F1119" s="156" t="inlineStr">
        <is>
          <t>L</t>
        </is>
      </c>
      <c r="G1119" s="156" t="inlineStr">
        <is>
          <t>L</t>
        </is>
      </c>
      <c r="H1119" s="156" t="inlineStr">
        <is>
          <t>Stetson</t>
        </is>
      </c>
      <c r="I1119" s="156" t="inlineStr">
        <is>
          <t>Vestido Largo Rayon Crepe Café</t>
        </is>
      </c>
      <c r="J1119" s="156" t="inlineStr">
        <is>
          <t>Ropa</t>
        </is>
      </c>
      <c r="K1119" s="156" t="inlineStr">
        <is>
          <t>Vestidos</t>
        </is>
      </c>
      <c r="L1119" s="156" t="inlineStr">
        <is>
          <t>Mujer</t>
        </is>
      </c>
      <c r="M1119" s="156" t="inlineStr">
        <is>
          <t>Stetson</t>
        </is>
      </c>
      <c r="N1119" s="156" t="inlineStr">
        <is>
          <t>SS26</t>
        </is>
      </c>
      <c r="O1119" s="156" t="inlineStr">
        <is>
          <t>Seasonal</t>
        </is>
      </c>
      <c r="P1119" s="156" t="inlineStr">
        <is>
          <t>Cafe</t>
        </is>
      </c>
      <c r="Q1119" s="156" t="inlineStr">
        <is>
          <t>Regular</t>
        </is>
      </c>
      <c r="R1119" s="156" t="n"/>
      <c r="S1119" s="156" t="inlineStr">
        <is>
          <t>100% Rayón</t>
        </is>
      </c>
      <c r="T1119" s="156" t="inlineStr">
        <is>
          <t>Vestido Largo Rayon Crepe Café Regular</t>
        </is>
      </c>
      <c r="U1119" s="156" t="n"/>
      <c r="V1119" s="156" t="inlineStr">
        <is>
          <t>PZS</t>
        </is>
      </c>
      <c r="W1119" s="51" t="inlineStr">
        <is>
          <t>53101504</t>
        </is>
      </c>
      <c r="X1119" s="156" t="n"/>
      <c r="Y1119" s="54" t="n">
        <v>1125</v>
      </c>
      <c r="Z1119" s="54" t="n">
        <v>2500</v>
      </c>
      <c r="AA1119" s="55">
        <f>IF(AND(A1119="", B1119="", E1119=""), "", IF(AB1119="", "Válido", IF((LEN(AB1119)-LEN(SUBSTITUTE(AB1119,"; ","")))/2+1&gt;(LEN(AB1119)-LEN(SUBSTITUTE(AB1119,"[Aviso]","")))/7, "Con Incidencias", "Válido")))</f>
        <v/>
      </c>
      <c r="AB1119" s="56">
        <f>IF(AND(A1119="", B1119="", E1119=""), "", TEXTJOIN("; ", TRUE, IF(OR(TRIM(A1119&amp;"")="", ISNUMBER(SEARCH("FALTA", A1119))), "UPC faltante/inválido", ""), IF(AND(A1119&lt;&gt;"", IFERROR(_xlfn.XMATCH(A1119,$A$2:$A$2509,0,1)&lt;&gt;_xlfn.XMATCH(A1119,$A$2:$A$2509,0,-1),FALSE)), "Código de barras duplicado", ""), IF(AND(E1119&lt;&gt;"", COUNTIF($E$2:$E$2509, E1119)&gt;1), "SKU duplicado", ""), IF(OR(J1119="", J1119=""), "[Aviso] División no capturada ()", IF(ISNA(MATCH(J1119, Criterios!$A$123:$A$126, 0)), "División no válida", "")), IF(OR(K1119="", K1119=""), "[Aviso] Categoría no capturada ()", IF(ISNA(MATCH(K1119, Criterios!$A$81:$A$120, 0)), "Categoría no válida", IF(AND(J1119&lt;&gt;"", J1119&lt;&gt;"", J1119&lt;&gt;VLOOKUP(K1119, Criterios!$A$81:$B$120, 2, FALSE)), "División no coincide con Categoría", ""))), IF(OR(L1119="", L1119=""), "[Aviso] Género no capturado ()", IF(ISNA(MATCH(L1119, Criterios!$B$123:$B$127, 0)), "Género no válido", "")), IF(OR(N1119="", N1119=""), "[Aviso] Temporada no capturada ()", IF(ISNA(MATCH(N1119, Criterios!$C$123:$C$128, 0)), "Temporada no válida", "")), IF(OR(O1119="", O1119=""), "[Aviso] Ciclo de vida no capturado ()", IF(ISNA(MATCH(O1119, Criterios!$D$123:$D$124, 0)), "Ciclo de vida no válido", ""))))</f>
        <v/>
      </c>
      <c r="AC1119" s="56" t="n"/>
      <c r="AD1119" s="51" t="n">
        <v>-1</v>
      </c>
      <c r="AE1119" s="156" t="n"/>
      <c r="AF1119" s="51" t="n">
        <v>0</v>
      </c>
      <c r="AG1119" s="156" t="inlineStr">
        <is>
          <t>Catálogo existente</t>
        </is>
      </c>
      <c r="AH1119" s="156" t="inlineStr">
        <is>
          <t>Stock negativo en sistema: revisar en conteo | Revisión 29/09/2026: Campos sin respaldo: U, X; Auditoría NetSuite 30/09/2026: llenado desde NetSuite [S] | 01/10/2026: complementado desde Shopify Stetson México (match por código de barras): WB Silueta</t>
        </is>
      </c>
      <c r="AI1119" s="156" t="inlineStr">
        <is>
          <t>Sí</t>
        </is>
      </c>
      <c r="AJ1119" s="156" t="inlineStr">
        <is>
          <t>STETSON AMERICAS (-1)</t>
        </is>
      </c>
      <c r="AK1119" s="155" t="inlineStr">
        <is>
          <t>Criterios: J [R]; G1522_Extraccion_Articulos_NetSuite_2026-09-30.xlsx: fila 58584 [S] | Shopify Stetson: producto 15051552358763 / variante 53350589694315</t>
        </is>
      </c>
      <c r="AL1119" s="58" t="n">
        <v>1125</v>
      </c>
      <c r="AM1119" s="58" t="n">
        <v>2500</v>
      </c>
      <c r="AN1119" s="155" t="inlineStr">
        <is>
          <t>Shopify Stetson México</t>
        </is>
      </c>
      <c r="AO1119" s="59" t="n">
        <v>0</v>
      </c>
      <c r="AP1119" s="59" t="n"/>
      <c r="AQ1119" s="59" t="n"/>
      <c r="AR1119" s="155" t="n"/>
    </row>
    <row r="1120">
      <c r="A1120" s="50" t="inlineStr">
        <is>
          <t>199168073565</t>
        </is>
      </c>
      <c r="B1120" s="51" t="inlineStr">
        <is>
          <t>110770</t>
        </is>
      </c>
      <c r="C1120" s="156" t="inlineStr">
        <is>
          <t>Multimarca</t>
        </is>
      </c>
      <c r="D1120" s="156" t="inlineStr">
        <is>
          <t>11-057-0592-7081</t>
        </is>
      </c>
      <c r="E1120" s="156" t="inlineStr">
        <is>
          <t>11-057-0592-7081-M</t>
        </is>
      </c>
      <c r="F1120" s="156" t="inlineStr">
        <is>
          <t>M</t>
        </is>
      </c>
      <c r="G1120" s="156" t="inlineStr">
        <is>
          <t>M</t>
        </is>
      </c>
      <c r="H1120" s="156" t="inlineStr">
        <is>
          <t>Stetson</t>
        </is>
      </c>
      <c r="I1120" s="156" t="inlineStr">
        <is>
          <t>Vestido Largo Rayon Crepe Café</t>
        </is>
      </c>
      <c r="J1120" s="156" t="inlineStr">
        <is>
          <t>Ropa</t>
        </is>
      </c>
      <c r="K1120" s="156" t="inlineStr">
        <is>
          <t>Vestidos</t>
        </is>
      </c>
      <c r="L1120" s="156" t="inlineStr">
        <is>
          <t>Mujer</t>
        </is>
      </c>
      <c r="M1120" s="156" t="inlineStr">
        <is>
          <t>Stetson</t>
        </is>
      </c>
      <c r="N1120" s="156" t="inlineStr">
        <is>
          <t>SS26</t>
        </is>
      </c>
      <c r="O1120" s="156" t="inlineStr">
        <is>
          <t>Seasonal</t>
        </is>
      </c>
      <c r="P1120" s="156" t="inlineStr">
        <is>
          <t>Cafe</t>
        </is>
      </c>
      <c r="Q1120" s="156" t="inlineStr">
        <is>
          <t>Regular</t>
        </is>
      </c>
      <c r="R1120" s="156" t="n"/>
      <c r="S1120" s="156" t="inlineStr">
        <is>
          <t>100% Rayón</t>
        </is>
      </c>
      <c r="T1120" s="156" t="inlineStr">
        <is>
          <t>Vestido Largo Rayon Crepe Café Regular</t>
        </is>
      </c>
      <c r="U1120" s="156" t="n"/>
      <c r="V1120" s="156" t="inlineStr">
        <is>
          <t>PZS</t>
        </is>
      </c>
      <c r="W1120" s="51" t="inlineStr">
        <is>
          <t>53101504</t>
        </is>
      </c>
      <c r="X1120" s="156" t="n"/>
      <c r="Y1120" s="54" t="n">
        <v>1125</v>
      </c>
      <c r="Z1120" s="54" t="n">
        <v>2500</v>
      </c>
      <c r="AA1120" s="55">
        <f>IF(AND(A1120="", B1120="", E1120=""), "", IF(AB1120="", "Válido", IF((LEN(AB1120)-LEN(SUBSTITUTE(AB1120,"; ","")))/2+1&gt;(LEN(AB1120)-LEN(SUBSTITUTE(AB1120,"[Aviso]","")))/7, "Con Incidencias", "Válido")))</f>
        <v/>
      </c>
      <c r="AB1120" s="56">
        <f>IF(AND(A1120="", B1120="", E1120=""), "", TEXTJOIN("; ", TRUE, IF(OR(TRIM(A1120&amp;"")="", ISNUMBER(SEARCH("FALTA", A1120))), "UPC faltante/inválido", ""), IF(AND(A1120&lt;&gt;"", IFERROR(_xlfn.XMATCH(A1120,$A$2:$A$2509,0,1)&lt;&gt;_xlfn.XMATCH(A1120,$A$2:$A$2509,0,-1),FALSE)), "Código de barras duplicado", ""), IF(AND(E1120&lt;&gt;"", COUNTIF($E$2:$E$2509, E1120)&gt;1), "SKU duplicado", ""), IF(OR(J1120="", J1120=""), "[Aviso] División no capturada ()", IF(ISNA(MATCH(J1120, Criterios!$A$123:$A$126, 0)), "División no válida", "")), IF(OR(K1120="", K1120=""), "[Aviso] Categoría no capturada ()", IF(ISNA(MATCH(K1120, Criterios!$A$81:$A$120, 0)), "Categoría no válida", IF(AND(J1120&lt;&gt;"", J1120&lt;&gt;"", J1120&lt;&gt;VLOOKUP(K1120, Criterios!$A$81:$B$120, 2, FALSE)), "División no coincide con Categoría", ""))), IF(OR(L1120="", L1120=""), "[Aviso] Género no capturado ()", IF(ISNA(MATCH(L1120, Criterios!$B$123:$B$127, 0)), "Género no válido", "")), IF(OR(N1120="", N1120=""), "[Aviso] Temporada no capturada ()", IF(ISNA(MATCH(N1120, Criterios!$C$123:$C$128, 0)), "Temporada no válida", "")), IF(OR(O1120="", O1120=""), "[Aviso] Ciclo de vida no capturado ()", IF(ISNA(MATCH(O1120, Criterios!$D$123:$D$124, 0)), "Ciclo de vida no válido", ""))))</f>
        <v/>
      </c>
      <c r="AC1120" s="56" t="n"/>
      <c r="AD1120" s="51" t="n">
        <v>-1</v>
      </c>
      <c r="AE1120" s="156" t="n"/>
      <c r="AF1120" s="51" t="n">
        <v>0</v>
      </c>
      <c r="AG1120" s="156" t="inlineStr">
        <is>
          <t>Catálogo existente</t>
        </is>
      </c>
      <c r="AH1120" s="156" t="inlineStr">
        <is>
          <t>Stock negativo en sistema: revisar en conteo | Revisión 29/09/2026: Campos sin respaldo: U, X; Auditoría NetSuite 30/09/2026: llenado desde NetSuite [S] | 01/10/2026: complementado desde Shopify Stetson México (match por código de barras): WB Silueta</t>
        </is>
      </c>
      <c r="AI1120" s="156" t="inlineStr">
        <is>
          <t>Sí</t>
        </is>
      </c>
      <c r="AJ1120" s="156" t="inlineStr">
        <is>
          <t>STETSON AMERICAS (-1)</t>
        </is>
      </c>
      <c r="AK1120" s="155" t="inlineStr">
        <is>
          <t>Criterios: J [R]; G1522_Extraccion_Articulos_NetSuite_2026-09-30.xlsx: fila 58585 [S] | Shopify Stetson: producto 15051552358763 / variante 53350589661547</t>
        </is>
      </c>
      <c r="AL1120" s="58" t="n">
        <v>1125</v>
      </c>
      <c r="AM1120" s="58" t="n">
        <v>2500</v>
      </c>
      <c r="AN1120" s="155" t="inlineStr">
        <is>
          <t>Shopify Stetson México</t>
        </is>
      </c>
      <c r="AO1120" s="59" t="n">
        <v>1</v>
      </c>
      <c r="AP1120" s="59" t="n"/>
      <c r="AQ1120" s="59" t="n"/>
      <c r="AR1120" s="155" t="inlineStr">
        <is>
          <t>Shopify Stetson México › Stetson Americas: 1</t>
        </is>
      </c>
    </row>
    <row r="1121">
      <c r="A1121" s="50" t="inlineStr">
        <is>
          <t>199168073572</t>
        </is>
      </c>
      <c r="B1121" s="51" t="inlineStr">
        <is>
          <t>110771</t>
        </is>
      </c>
      <c r="C1121" s="156" t="inlineStr">
        <is>
          <t>Multimarca</t>
        </is>
      </c>
      <c r="D1121" s="156" t="inlineStr">
        <is>
          <t>11-057-0592-7081</t>
        </is>
      </c>
      <c r="E1121" s="156" t="inlineStr">
        <is>
          <t>11-057-0592-7081-S</t>
        </is>
      </c>
      <c r="F1121" s="156" t="inlineStr">
        <is>
          <t>S</t>
        </is>
      </c>
      <c r="G1121" s="156" t="inlineStr">
        <is>
          <t>S</t>
        </is>
      </c>
      <c r="H1121" s="156" t="inlineStr">
        <is>
          <t>Stetson</t>
        </is>
      </c>
      <c r="I1121" s="156" t="inlineStr">
        <is>
          <t>Vestido Largo Rayon Crepe Café</t>
        </is>
      </c>
      <c r="J1121" s="156" t="inlineStr">
        <is>
          <t>Ropa</t>
        </is>
      </c>
      <c r="K1121" s="156" t="inlineStr">
        <is>
          <t>Vestidos</t>
        </is>
      </c>
      <c r="L1121" s="156" t="inlineStr">
        <is>
          <t>Mujer</t>
        </is>
      </c>
      <c r="M1121" s="156" t="inlineStr">
        <is>
          <t>Stetson</t>
        </is>
      </c>
      <c r="N1121" s="156" t="inlineStr">
        <is>
          <t>SS26</t>
        </is>
      </c>
      <c r="O1121" s="156" t="inlineStr">
        <is>
          <t>Seasonal</t>
        </is>
      </c>
      <c r="P1121" s="156" t="inlineStr">
        <is>
          <t>Cafe</t>
        </is>
      </c>
      <c r="Q1121" s="156" t="inlineStr">
        <is>
          <t>Regular</t>
        </is>
      </c>
      <c r="R1121" s="156" t="n"/>
      <c r="S1121" s="156" t="inlineStr">
        <is>
          <t>100% Rayón</t>
        </is>
      </c>
      <c r="T1121" s="156" t="inlineStr">
        <is>
          <t>Vestido Largo Rayon Crepe Café Regular</t>
        </is>
      </c>
      <c r="U1121" s="156" t="n"/>
      <c r="V1121" s="156" t="inlineStr">
        <is>
          <t>PZS</t>
        </is>
      </c>
      <c r="W1121" s="51" t="inlineStr">
        <is>
          <t>53101504</t>
        </is>
      </c>
      <c r="X1121" s="156" t="n"/>
      <c r="Y1121" s="54" t="n">
        <v>1125</v>
      </c>
      <c r="Z1121" s="54" t="n">
        <v>2500</v>
      </c>
      <c r="AA1121" s="55">
        <f>IF(AND(A1121="", B1121="", E1121=""), "", IF(AB1121="", "Válido", IF((LEN(AB1121)-LEN(SUBSTITUTE(AB1121,"; ","")))/2+1&gt;(LEN(AB1121)-LEN(SUBSTITUTE(AB1121,"[Aviso]","")))/7, "Con Incidencias", "Válido")))</f>
        <v/>
      </c>
      <c r="AB1121" s="56">
        <f>IF(AND(A1121="", B1121="", E1121=""), "", TEXTJOIN("; ", TRUE, IF(OR(TRIM(A1121&amp;"")="", ISNUMBER(SEARCH("FALTA", A1121))), "UPC faltante/inválido", ""), IF(AND(A1121&lt;&gt;"", IFERROR(_xlfn.XMATCH(A1121,$A$2:$A$2509,0,1)&lt;&gt;_xlfn.XMATCH(A1121,$A$2:$A$2509,0,-1),FALSE)), "Código de barras duplicado", ""), IF(AND(E1121&lt;&gt;"", COUNTIF($E$2:$E$2509, E1121)&gt;1), "SKU duplicado", ""), IF(OR(J1121="", J1121=""), "[Aviso] División no capturada ()", IF(ISNA(MATCH(J1121, Criterios!$A$123:$A$126, 0)), "División no válida", "")), IF(OR(K1121="", K1121=""), "[Aviso] Categoría no capturada ()", IF(ISNA(MATCH(K1121, Criterios!$A$81:$A$120, 0)), "Categoría no válida", IF(AND(J1121&lt;&gt;"", J1121&lt;&gt;"", J1121&lt;&gt;VLOOKUP(K1121, Criterios!$A$81:$B$120, 2, FALSE)), "División no coincide con Categoría", ""))), IF(OR(L1121="", L1121=""), "[Aviso] Género no capturado ()", IF(ISNA(MATCH(L1121, Criterios!$B$123:$B$127, 0)), "Género no válido", "")), IF(OR(N1121="", N1121=""), "[Aviso] Temporada no capturada ()", IF(ISNA(MATCH(N1121, Criterios!$C$123:$C$128, 0)), "Temporada no válida", "")), IF(OR(O1121="", O1121=""), "[Aviso] Ciclo de vida no capturado ()", IF(ISNA(MATCH(O1121, Criterios!$D$123:$D$124, 0)), "Ciclo de vida no válido", ""))))</f>
        <v/>
      </c>
      <c r="AC1121" s="56" t="n"/>
      <c r="AD1121" s="51" t="n">
        <v>-3</v>
      </c>
      <c r="AE1121" s="156" t="n"/>
      <c r="AF1121" s="51" t="n">
        <v>0</v>
      </c>
      <c r="AG1121" s="156" t="inlineStr">
        <is>
          <t>Catálogo existente</t>
        </is>
      </c>
      <c r="AH1121" s="156" t="inlineStr">
        <is>
          <t>Stock negativo en sistema: revisar en conteo | Revisión 29/09/2026: Campos sin respaldo: U, X; Auditoría NetSuite 30/09/2026: llenado desde NetSuite [S] | 01/10/2026: complementado desde Shopify Stetson México (match por código de barras): WB Silueta</t>
        </is>
      </c>
      <c r="AI1121" s="156" t="inlineStr">
        <is>
          <t>Sí</t>
        </is>
      </c>
      <c r="AJ1121" s="156" t="inlineStr">
        <is>
          <t>STETSON AMERICAS (-3)</t>
        </is>
      </c>
      <c r="AK1121" s="155" t="inlineStr">
        <is>
          <t>Criterios: J [R]; G1522_Extraccion_Articulos_NetSuite_2026-09-30.xlsx: fila 58586 [S] | Shopify Stetson: producto 15051552358763 / variante 53350589628779</t>
        </is>
      </c>
      <c r="AL1121" s="58" t="n">
        <v>1125</v>
      </c>
      <c r="AM1121" s="58" t="n">
        <v>2500</v>
      </c>
      <c r="AN1121" s="155" t="inlineStr">
        <is>
          <t>Shopify Stetson México</t>
        </is>
      </c>
      <c r="AO1121" s="59" t="n">
        <v>0</v>
      </c>
      <c r="AP1121" s="59" t="n"/>
      <c r="AQ1121" s="59" t="n"/>
      <c r="AR1121" s="155" t="n"/>
    </row>
    <row r="1122">
      <c r="A1122" s="50" t="inlineStr">
        <is>
          <t>199168073589</t>
        </is>
      </c>
      <c r="B1122" s="51" t="inlineStr">
        <is>
          <t>110772</t>
        </is>
      </c>
      <c r="C1122" s="156" t="inlineStr">
        <is>
          <t>Multimarca</t>
        </is>
      </c>
      <c r="D1122" s="156" t="inlineStr">
        <is>
          <t>11-057-0592-7081</t>
        </is>
      </c>
      <c r="E1122" s="156" t="inlineStr">
        <is>
          <t>11-057-0592-7081-XL</t>
        </is>
      </c>
      <c r="F1122" s="156" t="inlineStr">
        <is>
          <t>XL</t>
        </is>
      </c>
      <c r="G1122" s="156" t="inlineStr">
        <is>
          <t>XL</t>
        </is>
      </c>
      <c r="H1122" s="156" t="inlineStr">
        <is>
          <t>Stetson</t>
        </is>
      </c>
      <c r="I1122" s="156" t="inlineStr">
        <is>
          <t>Vestido Largo Rayon Crepe Café</t>
        </is>
      </c>
      <c r="J1122" s="156" t="inlineStr">
        <is>
          <t>Ropa</t>
        </is>
      </c>
      <c r="K1122" s="156" t="inlineStr">
        <is>
          <t>Vestidos</t>
        </is>
      </c>
      <c r="L1122" s="156" t="inlineStr">
        <is>
          <t>Mujer</t>
        </is>
      </c>
      <c r="M1122" s="156" t="inlineStr">
        <is>
          <t>Stetson</t>
        </is>
      </c>
      <c r="N1122" s="156" t="inlineStr">
        <is>
          <t>SS26</t>
        </is>
      </c>
      <c r="O1122" s="156" t="inlineStr">
        <is>
          <t>Seasonal</t>
        </is>
      </c>
      <c r="P1122" s="156" t="inlineStr">
        <is>
          <t>Cafe</t>
        </is>
      </c>
      <c r="Q1122" s="156" t="inlineStr">
        <is>
          <t>Regular</t>
        </is>
      </c>
      <c r="R1122" s="156" t="n"/>
      <c r="S1122" s="156" t="inlineStr">
        <is>
          <t>100% Rayón</t>
        </is>
      </c>
      <c r="T1122" s="156" t="inlineStr">
        <is>
          <t>Vestido Largo Rayon Crepe Café Regular</t>
        </is>
      </c>
      <c r="U1122" s="156" t="n"/>
      <c r="V1122" s="156" t="inlineStr">
        <is>
          <t>PZS</t>
        </is>
      </c>
      <c r="W1122" s="51" t="inlineStr">
        <is>
          <t>53101504</t>
        </is>
      </c>
      <c r="X1122" s="156" t="n"/>
      <c r="Y1122" s="54" t="n">
        <v>1125</v>
      </c>
      <c r="Z1122" s="54" t="n">
        <v>2500</v>
      </c>
      <c r="AA1122" s="55">
        <f>IF(AND(A1122="", B1122="", E1122=""), "", IF(AB1122="", "Válido", IF((LEN(AB1122)-LEN(SUBSTITUTE(AB1122,"; ","")))/2+1&gt;(LEN(AB1122)-LEN(SUBSTITUTE(AB1122,"[Aviso]","")))/7, "Con Incidencias", "Válido")))</f>
        <v/>
      </c>
      <c r="AB1122" s="56">
        <f>IF(AND(A1122="", B1122="", E1122=""), "", TEXTJOIN("; ", TRUE, IF(OR(TRIM(A1122&amp;"")="", ISNUMBER(SEARCH("FALTA", A1122))), "UPC faltante/inválido", ""), IF(AND(A1122&lt;&gt;"", IFERROR(_xlfn.XMATCH(A1122,$A$2:$A$2509,0,1)&lt;&gt;_xlfn.XMATCH(A1122,$A$2:$A$2509,0,-1),FALSE)), "Código de barras duplicado", ""), IF(AND(E1122&lt;&gt;"", COUNTIF($E$2:$E$2509, E1122)&gt;1), "SKU duplicado", ""), IF(OR(J1122="", J1122=""), "[Aviso] División no capturada ()", IF(ISNA(MATCH(J1122, Criterios!$A$123:$A$126, 0)), "División no válida", "")), IF(OR(K1122="", K1122=""), "[Aviso] Categoría no capturada ()", IF(ISNA(MATCH(K1122, Criterios!$A$81:$A$120, 0)), "Categoría no válida", IF(AND(J1122&lt;&gt;"", J1122&lt;&gt;"", J1122&lt;&gt;VLOOKUP(K1122, Criterios!$A$81:$B$120, 2, FALSE)), "División no coincide con Categoría", ""))), IF(OR(L1122="", L1122=""), "[Aviso] Género no capturado ()", IF(ISNA(MATCH(L1122, Criterios!$B$123:$B$127, 0)), "Género no válido", "")), IF(OR(N1122="", N1122=""), "[Aviso] Temporada no capturada ()", IF(ISNA(MATCH(N1122, Criterios!$C$123:$C$128, 0)), "Temporada no válida", "")), IF(OR(O1122="", O1122=""), "[Aviso] Ciclo de vida no capturado ()", IF(ISNA(MATCH(O1122, Criterios!$D$123:$D$124, 0)), "Ciclo de vida no válido", ""))))</f>
        <v/>
      </c>
      <c r="AC1122" s="56" t="n"/>
      <c r="AD1122" s="51" t="n">
        <v>0</v>
      </c>
      <c r="AE1122" s="156" t="n"/>
      <c r="AF1122" s="51" t="n">
        <v>0</v>
      </c>
      <c r="AG1122" s="156" t="inlineStr">
        <is>
          <t>Catálogo existente</t>
        </is>
      </c>
      <c r="AH1122" s="156" t="inlineStr">
        <is>
          <t>Revisión 29/09/2026: Campos sin respaldo: U, X; Auditoría NetSuite 30/09/2026: llenado desde NetSuite [S] | 01/10/2026: complementado desde Shopify Stetson México (match por código de barras): WB Silueta</t>
        </is>
      </c>
      <c r="AI1122" s="156" t="inlineStr">
        <is>
          <t>No</t>
        </is>
      </c>
      <c r="AJ1122" s="156" t="n"/>
      <c r="AK1122" s="155" t="inlineStr">
        <is>
          <t>Criterios: J [R]; G1522_Extraccion_Articulos_NetSuite_2026-09-30.xlsx: fila 58587 [S] | Shopify Stetson: producto 15051552358763 / variante 53350589727083</t>
        </is>
      </c>
      <c r="AL1122" s="58" t="n">
        <v>1125</v>
      </c>
      <c r="AM1122" s="58" t="n">
        <v>2500</v>
      </c>
      <c r="AN1122" s="155" t="inlineStr">
        <is>
          <t>Shopify Stetson México</t>
        </is>
      </c>
      <c r="AO1122" s="59" t="n">
        <v>1</v>
      </c>
      <c r="AP1122" s="59" t="n"/>
      <c r="AQ1122" s="59" t="n"/>
      <c r="AR1122" s="155" t="inlineStr">
        <is>
          <t>Shopify Stetson México › Stetson Americas: 1</t>
        </is>
      </c>
    </row>
    <row r="1123">
      <c r="A1123" s="50" t="inlineStr">
        <is>
          <t>199168073855</t>
        </is>
      </c>
      <c r="B1123" s="51" t="inlineStr">
        <is>
          <t>110777</t>
        </is>
      </c>
      <c r="C1123" s="156" t="inlineStr">
        <is>
          <t>Multimarca</t>
        </is>
      </c>
      <c r="D1123" s="156" t="inlineStr">
        <is>
          <t>11-074-0202-7067</t>
        </is>
      </c>
      <c r="E1123" s="156" t="inlineStr">
        <is>
          <t>11-074-0202-7067-L</t>
        </is>
      </c>
      <c r="F1123" s="156" t="inlineStr">
        <is>
          <t>L</t>
        </is>
      </c>
      <c r="G1123" s="156" t="inlineStr">
        <is>
          <t>L</t>
        </is>
      </c>
      <c r="H1123" s="156" t="inlineStr">
        <is>
          <t>Stetson</t>
        </is>
      </c>
      <c r="I1123" s="156" t="inlineStr">
        <is>
          <t>Chaleco Denim Stretch Lavado Oscuro con Broches</t>
        </is>
      </c>
      <c r="J1123" s="156" t="inlineStr">
        <is>
          <t>Ropa</t>
        </is>
      </c>
      <c r="K1123" s="156" t="inlineStr">
        <is>
          <t>Chalecos</t>
        </is>
      </c>
      <c r="L1123" s="156" t="inlineStr">
        <is>
          <t>Mujer</t>
        </is>
      </c>
      <c r="M1123" s="156" t="inlineStr">
        <is>
          <t>Stetson</t>
        </is>
      </c>
      <c r="N1123" s="156" t="inlineStr">
        <is>
          <t>SS26</t>
        </is>
      </c>
      <c r="O1123" s="156" t="inlineStr">
        <is>
          <t>Seasonal</t>
        </is>
      </c>
      <c r="P1123" s="156" t="inlineStr">
        <is>
          <t>Azul</t>
        </is>
      </c>
      <c r="Q1123" s="156" t="inlineStr">
        <is>
          <t>Regular</t>
        </is>
      </c>
      <c r="R1123" s="156" t="n"/>
      <c r="S1123" s="156" t="inlineStr">
        <is>
          <t>98% Algodón 2% Elastano</t>
        </is>
      </c>
      <c r="T1123" s="156" t="inlineStr">
        <is>
          <t>Chaleco Denim Stretch Lavado Oscuro con Broches Regular</t>
        </is>
      </c>
      <c r="U1123" s="156" t="n"/>
      <c r="V1123" s="156" t="inlineStr">
        <is>
          <t>PZS</t>
        </is>
      </c>
      <c r="W1123" s="51" t="inlineStr">
        <is>
          <t>53101800</t>
        </is>
      </c>
      <c r="X1123" s="156" t="n"/>
      <c r="Y1123" s="54" t="n">
        <v>717.6724138</v>
      </c>
      <c r="Z1123" s="54" t="n">
        <v>1594.827586</v>
      </c>
      <c r="AA1123" s="55">
        <f>IF(AND(A1123="", B1123="", E1123=""), "", IF(AB1123="", "Válido", IF((LEN(AB1123)-LEN(SUBSTITUTE(AB1123,"; ","")))/2+1&gt;(LEN(AB1123)-LEN(SUBSTITUTE(AB1123,"[Aviso]","")))/7, "Con Incidencias", "Válido")))</f>
        <v/>
      </c>
      <c r="AB1123" s="56">
        <f>IF(AND(A1123="", B1123="", E1123=""), "", TEXTJOIN("; ", TRUE, IF(OR(TRIM(A1123&amp;"")="", ISNUMBER(SEARCH("FALTA", A1123))), "UPC faltante/inválido", ""), IF(AND(A1123&lt;&gt;"", IFERROR(_xlfn.XMATCH(A1123,$A$2:$A$2509,0,1)&lt;&gt;_xlfn.XMATCH(A1123,$A$2:$A$2509,0,-1),FALSE)), "Código de barras duplicado", ""), IF(AND(E1123&lt;&gt;"", COUNTIF($E$2:$E$2509, E1123)&gt;1), "SKU duplicado", ""), IF(OR(J1123="", J1123=""), "[Aviso] División no capturada ()", IF(ISNA(MATCH(J1123, Criterios!$A$123:$A$126, 0)), "División no válida", "")), IF(OR(K1123="", K1123=""), "[Aviso] Categoría no capturada ()", IF(ISNA(MATCH(K1123, Criterios!$A$81:$A$120, 0)), "Categoría no válida", IF(AND(J1123&lt;&gt;"", J1123&lt;&gt;"", J1123&lt;&gt;VLOOKUP(K1123, Criterios!$A$81:$B$120, 2, FALSE)), "División no coincide con Categoría", ""))), IF(OR(L1123="", L1123=""), "[Aviso] Género no capturado ()", IF(ISNA(MATCH(L1123, Criterios!$B$123:$B$127, 0)), "Género no válido", "")), IF(OR(N1123="", N1123=""), "[Aviso] Temporada no capturada ()", IF(ISNA(MATCH(N1123, Criterios!$C$123:$C$128, 0)), "Temporada no válida", "")), IF(OR(O1123="", O1123=""), "[Aviso] Ciclo de vida no capturado ()", IF(ISNA(MATCH(O1123, Criterios!$D$123:$D$124, 0)), "Ciclo de vida no válido", ""))))</f>
        <v/>
      </c>
      <c r="AC1123" s="56" t="n"/>
      <c r="AD1123" s="51" t="n">
        <v>-1</v>
      </c>
      <c r="AE1123" s="156" t="n"/>
      <c r="AF1123" s="51" t="n">
        <v>0</v>
      </c>
      <c r="AG1123" s="156" t="inlineStr">
        <is>
          <t>Catálogo existente</t>
        </is>
      </c>
      <c r="AH1123" s="156" t="inlineStr">
        <is>
          <t>Stock negativo en sistema: revisar en conteo | Revisión 29/09/2026: Campos sin respaldo: U, X; Auditoría NetSuite 30/09/2026: llenado desde NetSuite [S] | 01/10/2026: complementado desde Shopify Stetson México (match por código de barras): WB Silueta</t>
        </is>
      </c>
      <c r="AI1123" s="156" t="inlineStr">
        <is>
          <t>Sí</t>
        </is>
      </c>
      <c r="AJ1123" s="156" t="inlineStr">
        <is>
          <t>STETSON AMERICAS (-1)</t>
        </is>
      </c>
      <c r="AK1123" s="155" t="inlineStr">
        <is>
          <t>Criterios: J [R]; G1522_Extraccion_Articulos_NetSuite_2026-09-30.xlsx: fila 58592 [S] | Shopify Stetson: producto 15051552457067 / variante 53350589596011</t>
        </is>
      </c>
      <c r="AL1123" s="58" t="n">
        <v>717.6724138</v>
      </c>
      <c r="AM1123" s="58" t="n">
        <v>1594.827586</v>
      </c>
      <c r="AN1123" s="155" t="inlineStr">
        <is>
          <t>Shopify Stetson México</t>
        </is>
      </c>
      <c r="AO1123" s="59" t="n">
        <v>0</v>
      </c>
      <c r="AP1123" s="59" t="n"/>
      <c r="AQ1123" s="59" t="n"/>
      <c r="AR1123" s="155" t="n"/>
    </row>
    <row r="1124">
      <c r="A1124" s="50" t="inlineStr">
        <is>
          <t>199168073862</t>
        </is>
      </c>
      <c r="B1124" s="51" t="inlineStr">
        <is>
          <t>110778</t>
        </is>
      </c>
      <c r="C1124" s="156" t="inlineStr">
        <is>
          <t>Multimarca</t>
        </is>
      </c>
      <c r="D1124" s="156" t="inlineStr">
        <is>
          <t>11-074-0202-7067</t>
        </is>
      </c>
      <c r="E1124" s="156" t="inlineStr">
        <is>
          <t>11-074-0202-7067-M</t>
        </is>
      </c>
      <c r="F1124" s="156" t="inlineStr">
        <is>
          <t>M</t>
        </is>
      </c>
      <c r="G1124" s="156" t="inlineStr">
        <is>
          <t>M</t>
        </is>
      </c>
      <c r="H1124" s="156" t="inlineStr">
        <is>
          <t>Stetson</t>
        </is>
      </c>
      <c r="I1124" s="156" t="inlineStr">
        <is>
          <t>Chaleco Denim Stretch Lavado Oscuro con Broches</t>
        </is>
      </c>
      <c r="J1124" s="156" t="inlineStr">
        <is>
          <t>Ropa</t>
        </is>
      </c>
      <c r="K1124" s="156" t="inlineStr">
        <is>
          <t>Chalecos</t>
        </is>
      </c>
      <c r="L1124" s="156" t="inlineStr">
        <is>
          <t>Mujer</t>
        </is>
      </c>
      <c r="M1124" s="156" t="inlineStr">
        <is>
          <t>Stetson</t>
        </is>
      </c>
      <c r="N1124" s="156" t="inlineStr">
        <is>
          <t>SS26</t>
        </is>
      </c>
      <c r="O1124" s="156" t="inlineStr">
        <is>
          <t>Seasonal</t>
        </is>
      </c>
      <c r="P1124" s="156" t="inlineStr">
        <is>
          <t>Azul</t>
        </is>
      </c>
      <c r="Q1124" s="156" t="inlineStr">
        <is>
          <t>Regular</t>
        </is>
      </c>
      <c r="R1124" s="156" t="n"/>
      <c r="S1124" s="156" t="inlineStr">
        <is>
          <t>98% Algodón 2% Elastano</t>
        </is>
      </c>
      <c r="T1124" s="156" t="inlineStr">
        <is>
          <t>Chaleco Denim Stretch Lavado Oscuro con Broches Regular</t>
        </is>
      </c>
      <c r="U1124" s="156" t="n"/>
      <c r="V1124" s="156" t="inlineStr">
        <is>
          <t>PZS</t>
        </is>
      </c>
      <c r="W1124" s="51" t="inlineStr">
        <is>
          <t>53101800</t>
        </is>
      </c>
      <c r="X1124" s="156" t="n"/>
      <c r="Y1124" s="54" t="n">
        <v>717.6724138</v>
      </c>
      <c r="Z1124" s="54" t="n">
        <v>1594.827586</v>
      </c>
      <c r="AA1124" s="55">
        <f>IF(AND(A1124="", B1124="", E1124=""), "", IF(AB1124="", "Válido", IF((LEN(AB1124)-LEN(SUBSTITUTE(AB1124,"; ","")))/2+1&gt;(LEN(AB1124)-LEN(SUBSTITUTE(AB1124,"[Aviso]","")))/7, "Con Incidencias", "Válido")))</f>
        <v/>
      </c>
      <c r="AB1124" s="56">
        <f>IF(AND(A1124="", B1124="", E1124=""), "", TEXTJOIN("; ", TRUE, IF(OR(TRIM(A1124&amp;"")="", ISNUMBER(SEARCH("FALTA", A1124))), "UPC faltante/inválido", ""), IF(AND(A1124&lt;&gt;"", IFERROR(_xlfn.XMATCH(A1124,$A$2:$A$2509,0,1)&lt;&gt;_xlfn.XMATCH(A1124,$A$2:$A$2509,0,-1),FALSE)), "Código de barras duplicado", ""), IF(AND(E1124&lt;&gt;"", COUNTIF($E$2:$E$2509, E1124)&gt;1), "SKU duplicado", ""), IF(OR(J1124="", J1124=""), "[Aviso] División no capturada ()", IF(ISNA(MATCH(J1124, Criterios!$A$123:$A$126, 0)), "División no válida", "")), IF(OR(K1124="", K1124=""), "[Aviso] Categoría no capturada ()", IF(ISNA(MATCH(K1124, Criterios!$A$81:$A$120, 0)), "Categoría no válida", IF(AND(J1124&lt;&gt;"", J1124&lt;&gt;"", J1124&lt;&gt;VLOOKUP(K1124, Criterios!$A$81:$B$120, 2, FALSE)), "División no coincide con Categoría", ""))), IF(OR(L1124="", L1124=""), "[Aviso] Género no capturado ()", IF(ISNA(MATCH(L1124, Criterios!$B$123:$B$127, 0)), "Género no válido", "")), IF(OR(N1124="", N1124=""), "[Aviso] Temporada no capturada ()", IF(ISNA(MATCH(N1124, Criterios!$C$123:$C$128, 0)), "Temporada no válida", "")), IF(OR(O1124="", O1124=""), "[Aviso] Ciclo de vida no capturado ()", IF(ISNA(MATCH(O1124, Criterios!$D$123:$D$124, 0)), "Ciclo de vida no válido", ""))))</f>
        <v/>
      </c>
      <c r="AC1124" s="56" t="n"/>
      <c r="AD1124" s="51" t="n">
        <v>-2</v>
      </c>
      <c r="AE1124" s="156" t="n"/>
      <c r="AF1124" s="51" t="n">
        <v>0</v>
      </c>
      <c r="AG1124" s="156" t="inlineStr">
        <is>
          <t>Catálogo existente</t>
        </is>
      </c>
      <c r="AH1124" s="156" t="inlineStr">
        <is>
          <t>Stock negativo en sistema: revisar en conteo | Revisión 29/09/2026: Campos sin respaldo: U, X; Auditoría NetSuite 30/09/2026: llenado desde NetSuite [S] | 01/10/2026: complementado desde Shopify Stetson México (match por código de barras): WB Silueta</t>
        </is>
      </c>
      <c r="AI1124" s="156" t="inlineStr">
        <is>
          <t>Sí</t>
        </is>
      </c>
      <c r="AJ1124" s="156" t="inlineStr">
        <is>
          <t>STETSON AMERICAS (-2)</t>
        </is>
      </c>
      <c r="AK1124" s="155" t="inlineStr">
        <is>
          <t>Criterios: J [R]; G1522_Extraccion_Articulos_NetSuite_2026-09-30.xlsx: fila 58593 [S] | Shopify Stetson: producto 15051552457067 / variante 53350589563243</t>
        </is>
      </c>
      <c r="AL1124" s="58" t="n">
        <v>717.6724138</v>
      </c>
      <c r="AM1124" s="58" t="n">
        <v>1594.827586</v>
      </c>
      <c r="AN1124" s="155" t="inlineStr">
        <is>
          <t>Shopify Stetson México</t>
        </is>
      </c>
      <c r="AO1124" s="59" t="n">
        <v>0</v>
      </c>
      <c r="AP1124" s="59" t="n"/>
      <c r="AQ1124" s="59" t="n"/>
      <c r="AR1124" s="155" t="n"/>
    </row>
    <row r="1125">
      <c r="A1125" s="50" t="inlineStr">
        <is>
          <t>199168073879</t>
        </is>
      </c>
      <c r="B1125" s="51" t="inlineStr">
        <is>
          <t>110779</t>
        </is>
      </c>
      <c r="C1125" s="156" t="inlineStr">
        <is>
          <t>Multimarca</t>
        </is>
      </c>
      <c r="D1125" s="156" t="inlineStr">
        <is>
          <t>11-074-0202-7067</t>
        </is>
      </c>
      <c r="E1125" s="156" t="inlineStr">
        <is>
          <t>11-074-0202-7067-S</t>
        </is>
      </c>
      <c r="F1125" s="156" t="inlineStr">
        <is>
          <t>S</t>
        </is>
      </c>
      <c r="G1125" s="156" t="inlineStr">
        <is>
          <t>S</t>
        </is>
      </c>
      <c r="H1125" s="156" t="inlineStr">
        <is>
          <t>Stetson</t>
        </is>
      </c>
      <c r="I1125" s="156" t="inlineStr">
        <is>
          <t>Chaleco Denim Stretch Lavado Oscuro con Broches</t>
        </is>
      </c>
      <c r="J1125" s="156" t="inlineStr">
        <is>
          <t>Ropa</t>
        </is>
      </c>
      <c r="K1125" s="156" t="inlineStr">
        <is>
          <t>Chalecos</t>
        </is>
      </c>
      <c r="L1125" s="156" t="inlineStr">
        <is>
          <t>Mujer</t>
        </is>
      </c>
      <c r="M1125" s="156" t="inlineStr">
        <is>
          <t>Stetson</t>
        </is>
      </c>
      <c r="N1125" s="156" t="inlineStr">
        <is>
          <t>SS26</t>
        </is>
      </c>
      <c r="O1125" s="156" t="inlineStr">
        <is>
          <t>Seasonal</t>
        </is>
      </c>
      <c r="P1125" s="156" t="inlineStr">
        <is>
          <t>Azul</t>
        </is>
      </c>
      <c r="Q1125" s="156" t="inlineStr">
        <is>
          <t>Regular</t>
        </is>
      </c>
      <c r="R1125" s="156" t="n"/>
      <c r="S1125" s="156" t="inlineStr">
        <is>
          <t>98% Algodón 2% Elastano</t>
        </is>
      </c>
      <c r="T1125" s="156" t="inlineStr">
        <is>
          <t>Chaleco Denim Stretch Lavado Oscuro con Broches Regular</t>
        </is>
      </c>
      <c r="U1125" s="156" t="n"/>
      <c r="V1125" s="156" t="inlineStr">
        <is>
          <t>PZS</t>
        </is>
      </c>
      <c r="W1125" s="51" t="inlineStr">
        <is>
          <t>53101800</t>
        </is>
      </c>
      <c r="X1125" s="156" t="n"/>
      <c r="Y1125" s="54" t="n">
        <v>717.6724138</v>
      </c>
      <c r="Z1125" s="54" t="n">
        <v>1594.827586</v>
      </c>
      <c r="AA1125" s="55">
        <f>IF(AND(A1125="", B1125="", E1125=""), "", IF(AB1125="", "Válido", IF((LEN(AB1125)-LEN(SUBSTITUTE(AB1125,"; ","")))/2+1&gt;(LEN(AB1125)-LEN(SUBSTITUTE(AB1125,"[Aviso]","")))/7, "Con Incidencias", "Válido")))</f>
        <v/>
      </c>
      <c r="AB1125" s="56">
        <f>IF(AND(A1125="", B1125="", E1125=""), "", TEXTJOIN("; ", TRUE, IF(OR(TRIM(A1125&amp;"")="", ISNUMBER(SEARCH("FALTA", A1125))), "UPC faltante/inválido", ""), IF(AND(A1125&lt;&gt;"", IFERROR(_xlfn.XMATCH(A1125,$A$2:$A$2509,0,1)&lt;&gt;_xlfn.XMATCH(A1125,$A$2:$A$2509,0,-1),FALSE)), "Código de barras duplicado", ""), IF(AND(E1125&lt;&gt;"", COUNTIF($E$2:$E$2509, E1125)&gt;1), "SKU duplicado", ""), IF(OR(J1125="", J1125=""), "[Aviso] División no capturada ()", IF(ISNA(MATCH(J1125, Criterios!$A$123:$A$126, 0)), "División no válida", "")), IF(OR(K1125="", K1125=""), "[Aviso] Categoría no capturada ()", IF(ISNA(MATCH(K1125, Criterios!$A$81:$A$120, 0)), "Categoría no válida", IF(AND(J1125&lt;&gt;"", J1125&lt;&gt;"", J1125&lt;&gt;VLOOKUP(K1125, Criterios!$A$81:$B$120, 2, FALSE)), "División no coincide con Categoría", ""))), IF(OR(L1125="", L1125=""), "[Aviso] Género no capturado ()", IF(ISNA(MATCH(L1125, Criterios!$B$123:$B$127, 0)), "Género no válido", "")), IF(OR(N1125="", N1125=""), "[Aviso] Temporada no capturada ()", IF(ISNA(MATCH(N1125, Criterios!$C$123:$C$128, 0)), "Temporada no válida", "")), IF(OR(O1125="", O1125=""), "[Aviso] Ciclo de vida no capturado ()", IF(ISNA(MATCH(O1125, Criterios!$D$123:$D$124, 0)), "Ciclo de vida no válido", ""))))</f>
        <v/>
      </c>
      <c r="AC1125" s="56" t="n"/>
      <c r="AD1125" s="51" t="n">
        <v>-1</v>
      </c>
      <c r="AE1125" s="156" t="n"/>
      <c r="AF1125" s="51" t="n">
        <v>0</v>
      </c>
      <c r="AG1125" s="156" t="inlineStr">
        <is>
          <t>Catálogo existente</t>
        </is>
      </c>
      <c r="AH1125" s="156" t="inlineStr">
        <is>
          <t>Stock negativo en sistema: revisar en conteo | Revisión 29/09/2026: Campos sin respaldo: U, X; Auditoría NetSuite 30/09/2026: llenado desde NetSuite [S] | 01/10/2026: complementado desde Shopify Stetson México (match por código de barras): WB Silueta</t>
        </is>
      </c>
      <c r="AI1125" s="156" t="inlineStr">
        <is>
          <t>Sí</t>
        </is>
      </c>
      <c r="AJ1125" s="156" t="inlineStr">
        <is>
          <t>STETSON AMERICAS (-1)</t>
        </is>
      </c>
      <c r="AK1125" s="155" t="inlineStr">
        <is>
          <t>Criterios: J [R]; G1522_Extraccion_Articulos_NetSuite_2026-09-30.xlsx: fila 58594 [S] | Shopify Stetson: producto 15051552457067 / variante 53350589530475</t>
        </is>
      </c>
      <c r="AL1125" s="58" t="n">
        <v>717.6724138</v>
      </c>
      <c r="AM1125" s="58" t="n">
        <v>1594.827586</v>
      </c>
      <c r="AN1125" s="155" t="inlineStr">
        <is>
          <t>Shopify Stetson México</t>
        </is>
      </c>
      <c r="AO1125" s="59" t="n">
        <v>0</v>
      </c>
      <c r="AP1125" s="59" t="n"/>
      <c r="AQ1125" s="59" t="n"/>
      <c r="AR1125" s="155" t="n"/>
    </row>
    <row r="1126">
      <c r="A1126" s="50" t="inlineStr">
        <is>
          <t>199168073893</t>
        </is>
      </c>
      <c r="B1126" s="51" t="inlineStr">
        <is>
          <t>110780</t>
        </is>
      </c>
      <c r="C1126" s="156" t="inlineStr">
        <is>
          <t>Multimarca</t>
        </is>
      </c>
      <c r="D1126" s="156" t="inlineStr">
        <is>
          <t>11-074-0202-7067</t>
        </is>
      </c>
      <c r="E1126" s="156" t="inlineStr">
        <is>
          <t>11-074-0202-7067-XS</t>
        </is>
      </c>
      <c r="F1126" s="156" t="inlineStr">
        <is>
          <t>XS</t>
        </is>
      </c>
      <c r="G1126" s="156" t="inlineStr">
        <is>
          <t>XS</t>
        </is>
      </c>
      <c r="H1126" s="156" t="inlineStr">
        <is>
          <t>Stetson</t>
        </is>
      </c>
      <c r="I1126" s="156" t="inlineStr">
        <is>
          <t>Chaleco Denim Stretch Lavado Oscuro con Broches</t>
        </is>
      </c>
      <c r="J1126" s="156" t="inlineStr">
        <is>
          <t>Ropa</t>
        </is>
      </c>
      <c r="K1126" s="156" t="inlineStr">
        <is>
          <t>Chalecos</t>
        </is>
      </c>
      <c r="L1126" s="156" t="inlineStr">
        <is>
          <t>Mujer</t>
        </is>
      </c>
      <c r="M1126" s="156" t="inlineStr">
        <is>
          <t>Stetson</t>
        </is>
      </c>
      <c r="N1126" s="156" t="inlineStr">
        <is>
          <t>SS26</t>
        </is>
      </c>
      <c r="O1126" s="156" t="inlineStr">
        <is>
          <t>Seasonal</t>
        </is>
      </c>
      <c r="P1126" s="156" t="inlineStr">
        <is>
          <t>Azul</t>
        </is>
      </c>
      <c r="Q1126" s="156" t="inlineStr">
        <is>
          <t>Regular</t>
        </is>
      </c>
      <c r="R1126" s="156" t="n"/>
      <c r="S1126" s="156" t="inlineStr">
        <is>
          <t>98% Algodón 2% Elastano</t>
        </is>
      </c>
      <c r="T1126" s="156" t="inlineStr">
        <is>
          <t>Chaleco Denim Stretch Lavado Oscuro con Broches Regular</t>
        </is>
      </c>
      <c r="U1126" s="156" t="n"/>
      <c r="V1126" s="156" t="inlineStr">
        <is>
          <t>PZS</t>
        </is>
      </c>
      <c r="W1126" s="51" t="inlineStr">
        <is>
          <t>53101800</t>
        </is>
      </c>
      <c r="X1126" s="156" t="n"/>
      <c r="Y1126" s="54" t="n">
        <v>717.6724138</v>
      </c>
      <c r="Z1126" s="54" t="n">
        <v>1594.827586</v>
      </c>
      <c r="AA1126" s="55">
        <f>IF(AND(A1126="", B1126="", E1126=""), "", IF(AB1126="", "Válido", IF((LEN(AB1126)-LEN(SUBSTITUTE(AB1126,"; ","")))/2+1&gt;(LEN(AB1126)-LEN(SUBSTITUTE(AB1126,"[Aviso]","")))/7, "Con Incidencias", "Válido")))</f>
        <v/>
      </c>
      <c r="AB1126" s="56">
        <f>IF(AND(A1126="", B1126="", E1126=""), "", TEXTJOIN("; ", TRUE, IF(OR(TRIM(A1126&amp;"")="", ISNUMBER(SEARCH("FALTA", A1126))), "UPC faltante/inválido", ""), IF(AND(A1126&lt;&gt;"", IFERROR(_xlfn.XMATCH(A1126,$A$2:$A$2509,0,1)&lt;&gt;_xlfn.XMATCH(A1126,$A$2:$A$2509,0,-1),FALSE)), "Código de barras duplicado", ""), IF(AND(E1126&lt;&gt;"", COUNTIF($E$2:$E$2509, E1126)&gt;1), "SKU duplicado", ""), IF(OR(J1126="", J1126=""), "[Aviso] División no capturada ()", IF(ISNA(MATCH(J1126, Criterios!$A$123:$A$126, 0)), "División no válida", "")), IF(OR(K1126="", K1126=""), "[Aviso] Categoría no capturada ()", IF(ISNA(MATCH(K1126, Criterios!$A$81:$A$120, 0)), "Categoría no válida", IF(AND(J1126&lt;&gt;"", J1126&lt;&gt;"", J1126&lt;&gt;VLOOKUP(K1126, Criterios!$A$81:$B$120, 2, FALSE)), "División no coincide con Categoría", ""))), IF(OR(L1126="", L1126=""), "[Aviso] Género no capturado ()", IF(ISNA(MATCH(L1126, Criterios!$B$123:$B$127, 0)), "Género no válido", "")), IF(OR(N1126="", N1126=""), "[Aviso] Temporada no capturada ()", IF(ISNA(MATCH(N1126, Criterios!$C$123:$C$128, 0)), "Temporada no válida", "")), IF(OR(O1126="", O1126=""), "[Aviso] Ciclo de vida no capturado ()", IF(ISNA(MATCH(O1126, Criterios!$D$123:$D$124, 0)), "Ciclo de vida no válido", ""))))</f>
        <v/>
      </c>
      <c r="AC1126" s="56" t="n"/>
      <c r="AD1126" s="51" t="n">
        <v>-2</v>
      </c>
      <c r="AE1126" s="156" t="n"/>
      <c r="AF1126" s="51" t="n">
        <v>0</v>
      </c>
      <c r="AG1126" s="156" t="inlineStr">
        <is>
          <t>Catálogo existente</t>
        </is>
      </c>
      <c r="AH1126" s="156" t="inlineStr">
        <is>
          <t>Stock negativo en sistema: revisar en conteo | Revisión 29/09/2026: Campos sin respaldo: U, X; Auditoría NetSuite 30/09/2026: llenado desde NetSuite [S] | 01/10/2026: complementado desde Shopify Stetson México (match por código de barras): WB Silueta</t>
        </is>
      </c>
      <c r="AI1126" s="156" t="inlineStr">
        <is>
          <t>Sí</t>
        </is>
      </c>
      <c r="AJ1126" s="156" t="inlineStr">
        <is>
          <t>STETSON AMERICAS (-2)</t>
        </is>
      </c>
      <c r="AK1126" s="155" t="inlineStr">
        <is>
          <t>Criterios: J [R]; G1522_Extraccion_Articulos_NetSuite_2026-09-30.xlsx: fila 58595 [S] | Shopify Stetson: producto 15051552457067 / variante 53350589497707</t>
        </is>
      </c>
      <c r="AL1126" s="58" t="n">
        <v>717.6724138</v>
      </c>
      <c r="AM1126" s="58" t="n">
        <v>1594.827586</v>
      </c>
      <c r="AN1126" s="155" t="inlineStr">
        <is>
          <t>Shopify Stetson México</t>
        </is>
      </c>
      <c r="AO1126" s="59" t="n">
        <v>0</v>
      </c>
      <c r="AP1126" s="59" t="n"/>
      <c r="AQ1126" s="59" t="n"/>
      <c r="AR1126" s="155" t="n"/>
    </row>
    <row r="1127">
      <c r="A1127" s="50" t="inlineStr">
        <is>
          <t>199168073916</t>
        </is>
      </c>
      <c r="B1127" s="51" t="inlineStr">
        <is>
          <t>110781</t>
        </is>
      </c>
      <c r="C1127" s="156" t="inlineStr">
        <is>
          <t>Multimarca</t>
        </is>
      </c>
      <c r="D1127" s="156" t="inlineStr">
        <is>
          <t>11-074-0539-7080</t>
        </is>
      </c>
      <c r="E1127" s="156" t="inlineStr">
        <is>
          <t>11-074-0539-7080-M</t>
        </is>
      </c>
      <c r="F1127" s="156" t="inlineStr">
        <is>
          <t>M</t>
        </is>
      </c>
      <c r="G1127" s="156" t="inlineStr">
        <is>
          <t>M</t>
        </is>
      </c>
      <c r="H1127" s="156" t="inlineStr">
        <is>
          <t>Stetson</t>
        </is>
      </c>
      <c r="I1127" s="156" t="inlineStr">
        <is>
          <t>Chaleco Tweed Herringbone</t>
        </is>
      </c>
      <c r="J1127" s="156" t="inlineStr">
        <is>
          <t>Ropa</t>
        </is>
      </c>
      <c r="K1127" s="156" t="inlineStr">
        <is>
          <t>Chalecos</t>
        </is>
      </c>
      <c r="L1127" s="156" t="inlineStr">
        <is>
          <t>Mujer</t>
        </is>
      </c>
      <c r="M1127" s="156" t="inlineStr">
        <is>
          <t>Stetson</t>
        </is>
      </c>
      <c r="N1127" s="156" t="inlineStr">
        <is>
          <t>SS26</t>
        </is>
      </c>
      <c r="O1127" s="156" t="inlineStr">
        <is>
          <t>Seasonal</t>
        </is>
      </c>
      <c r="P1127" s="156" t="inlineStr">
        <is>
          <t>Cafe</t>
        </is>
      </c>
      <c r="Q1127" s="156" t="inlineStr">
        <is>
          <t>Regular</t>
        </is>
      </c>
      <c r="R1127" s="156" t="n"/>
      <c r="S1127" s="156" t="inlineStr">
        <is>
          <t>70% Poliéster 30% Lana</t>
        </is>
      </c>
      <c r="T1127" s="156" t="inlineStr">
        <is>
          <t>Chaleco Tweed Herringbone Regular</t>
        </is>
      </c>
      <c r="U1127" s="156" t="n"/>
      <c r="V1127" s="156" t="inlineStr">
        <is>
          <t>PZS</t>
        </is>
      </c>
      <c r="W1127" s="51" t="inlineStr">
        <is>
          <t>53101800</t>
        </is>
      </c>
      <c r="X1127" s="156" t="n"/>
      <c r="Y1127" s="54" t="n">
        <v>1221.982759</v>
      </c>
      <c r="Z1127" s="54" t="n">
        <v>2715.517241</v>
      </c>
      <c r="AA1127" s="55">
        <f>IF(AND(A1127="", B1127="", E1127=""), "", IF(AB1127="", "Válido", IF((LEN(AB1127)-LEN(SUBSTITUTE(AB1127,"; ","")))/2+1&gt;(LEN(AB1127)-LEN(SUBSTITUTE(AB1127,"[Aviso]","")))/7, "Con Incidencias", "Válido")))</f>
        <v/>
      </c>
      <c r="AB1127" s="56">
        <f>IF(AND(A1127="", B1127="", E1127=""), "", TEXTJOIN("; ", TRUE, IF(OR(TRIM(A1127&amp;"")="", ISNUMBER(SEARCH("FALTA", A1127))), "UPC faltante/inválido", ""), IF(AND(A1127&lt;&gt;"", IFERROR(_xlfn.XMATCH(A1127,$A$2:$A$2509,0,1)&lt;&gt;_xlfn.XMATCH(A1127,$A$2:$A$2509,0,-1),FALSE)), "Código de barras duplicado", ""), IF(AND(E1127&lt;&gt;"", COUNTIF($E$2:$E$2509, E1127)&gt;1), "SKU duplicado", ""), IF(OR(J1127="", J1127=""), "[Aviso] División no capturada ()", IF(ISNA(MATCH(J1127, Criterios!$A$123:$A$126, 0)), "División no válida", "")), IF(OR(K1127="", K1127=""), "[Aviso] Categoría no capturada ()", IF(ISNA(MATCH(K1127, Criterios!$A$81:$A$120, 0)), "Categoría no válida", IF(AND(J1127&lt;&gt;"", J1127&lt;&gt;"", J1127&lt;&gt;VLOOKUP(K1127, Criterios!$A$81:$B$120, 2, FALSE)), "División no coincide con Categoría", ""))), IF(OR(L1127="", L1127=""), "[Aviso] Género no capturado ()", IF(ISNA(MATCH(L1127, Criterios!$B$123:$B$127, 0)), "Género no válido", "")), IF(OR(N1127="", N1127=""), "[Aviso] Temporada no capturada ()", IF(ISNA(MATCH(N1127, Criterios!$C$123:$C$128, 0)), "Temporada no válida", "")), IF(OR(O1127="", O1127=""), "[Aviso] Ciclo de vida no capturado ()", IF(ISNA(MATCH(O1127, Criterios!$D$123:$D$124, 0)), "Ciclo de vida no válido", ""))))</f>
        <v/>
      </c>
      <c r="AC1127" s="56" t="n"/>
      <c r="AD1127" s="51" t="n">
        <v>-1</v>
      </c>
      <c r="AE1127" s="156" t="n"/>
      <c r="AF1127" s="51" t="n">
        <v>0</v>
      </c>
      <c r="AG1127" s="156" t="inlineStr">
        <is>
          <t>Catálogo existente</t>
        </is>
      </c>
      <c r="AH1127" s="156" t="inlineStr">
        <is>
          <t>Stock negativo en sistema: revisar en conteo | Revisión 29/09/2026: Campos sin respaldo: U, X; Auditoría NetSuite 30/09/2026: llenado desde NetSuite [S] | 01/10/2026: complementado desde Shopify Stetson México (match por código de barras): WB Silueta</t>
        </is>
      </c>
      <c r="AI1127" s="156" t="inlineStr">
        <is>
          <t>Sí</t>
        </is>
      </c>
      <c r="AJ1127" s="156" t="inlineStr">
        <is>
          <t>STETSON AMERICAS (-1)</t>
        </is>
      </c>
      <c r="AK1127" s="155" t="inlineStr">
        <is>
          <t>Criterios: J [R]; G1522_Extraccion_Articulos_NetSuite_2026-09-30.xlsx: fila 58596 [S] | Shopify Stetson: producto 15051552522603 / variante 53350589464939</t>
        </is>
      </c>
      <c r="AL1127" s="58" t="n">
        <v>1221.982759</v>
      </c>
      <c r="AM1127" s="58" t="n">
        <v>2715.517241</v>
      </c>
      <c r="AN1127" s="155" t="inlineStr">
        <is>
          <t>Shopify Stetson México</t>
        </is>
      </c>
      <c r="AO1127" s="59" t="n">
        <v>1</v>
      </c>
      <c r="AP1127" s="59" t="n"/>
      <c r="AQ1127" s="59" t="n"/>
      <c r="AR1127" s="155" t="inlineStr">
        <is>
          <t>Shopify Stetson México › Stetson Americas: 1</t>
        </is>
      </c>
    </row>
    <row r="1128">
      <c r="A1128" s="50" t="inlineStr">
        <is>
          <t>199168073923</t>
        </is>
      </c>
      <c r="B1128" s="51" t="inlineStr">
        <is>
          <t>110782</t>
        </is>
      </c>
      <c r="C1128" s="156" t="inlineStr">
        <is>
          <t>Multimarca</t>
        </is>
      </c>
      <c r="D1128" s="156" t="inlineStr">
        <is>
          <t>11-074-0539-7080</t>
        </is>
      </c>
      <c r="E1128" s="156" t="inlineStr">
        <is>
          <t>11-074-0539-7080-S</t>
        </is>
      </c>
      <c r="F1128" s="156" t="inlineStr">
        <is>
          <t>S</t>
        </is>
      </c>
      <c r="G1128" s="156" t="inlineStr">
        <is>
          <t>S</t>
        </is>
      </c>
      <c r="H1128" s="156" t="inlineStr">
        <is>
          <t>Stetson</t>
        </is>
      </c>
      <c r="I1128" s="156" t="inlineStr">
        <is>
          <t>Chaleco Tweed Herringbone</t>
        </is>
      </c>
      <c r="J1128" s="156" t="inlineStr">
        <is>
          <t>Ropa</t>
        </is>
      </c>
      <c r="K1128" s="156" t="inlineStr">
        <is>
          <t>Chalecos</t>
        </is>
      </c>
      <c r="L1128" s="156" t="inlineStr">
        <is>
          <t>Mujer</t>
        </is>
      </c>
      <c r="M1128" s="156" t="inlineStr">
        <is>
          <t>Stetson</t>
        </is>
      </c>
      <c r="N1128" s="156" t="inlineStr">
        <is>
          <t>SS26</t>
        </is>
      </c>
      <c r="O1128" s="156" t="inlineStr">
        <is>
          <t>Seasonal</t>
        </is>
      </c>
      <c r="P1128" s="156" t="inlineStr">
        <is>
          <t>Cafe</t>
        </is>
      </c>
      <c r="Q1128" s="156" t="inlineStr">
        <is>
          <t>Regular</t>
        </is>
      </c>
      <c r="R1128" s="156" t="n"/>
      <c r="S1128" s="156" t="inlineStr">
        <is>
          <t>70% Poliéster 30% Lana</t>
        </is>
      </c>
      <c r="T1128" s="156" t="inlineStr">
        <is>
          <t>Chaleco Tweed Herringbone Regular</t>
        </is>
      </c>
      <c r="U1128" s="156" t="n"/>
      <c r="V1128" s="156" t="inlineStr">
        <is>
          <t>PZS</t>
        </is>
      </c>
      <c r="W1128" s="51" t="inlineStr">
        <is>
          <t>53101800</t>
        </is>
      </c>
      <c r="X1128" s="156" t="n"/>
      <c r="Y1128" s="54" t="n">
        <v>1221.982759</v>
      </c>
      <c r="Z1128" s="54" t="n">
        <v>2715.517241</v>
      </c>
      <c r="AA1128" s="55">
        <f>IF(AND(A1128="", B1128="", E1128=""), "", IF(AB1128="", "Válido", IF((LEN(AB1128)-LEN(SUBSTITUTE(AB1128,"; ","")))/2+1&gt;(LEN(AB1128)-LEN(SUBSTITUTE(AB1128,"[Aviso]","")))/7, "Con Incidencias", "Válido")))</f>
        <v/>
      </c>
      <c r="AB1128" s="56">
        <f>IF(AND(A1128="", B1128="", E1128=""), "", TEXTJOIN("; ", TRUE, IF(OR(TRIM(A1128&amp;"")="", ISNUMBER(SEARCH("FALTA", A1128))), "UPC faltante/inválido", ""), IF(AND(A1128&lt;&gt;"", IFERROR(_xlfn.XMATCH(A1128,$A$2:$A$2509,0,1)&lt;&gt;_xlfn.XMATCH(A1128,$A$2:$A$2509,0,-1),FALSE)), "Código de barras duplicado", ""), IF(AND(E1128&lt;&gt;"", COUNTIF($E$2:$E$2509, E1128)&gt;1), "SKU duplicado", ""), IF(OR(J1128="", J1128=""), "[Aviso] División no capturada ()", IF(ISNA(MATCH(J1128, Criterios!$A$123:$A$126, 0)), "División no válida", "")), IF(OR(K1128="", K1128=""), "[Aviso] Categoría no capturada ()", IF(ISNA(MATCH(K1128, Criterios!$A$81:$A$120, 0)), "Categoría no válida", IF(AND(J1128&lt;&gt;"", J1128&lt;&gt;"", J1128&lt;&gt;VLOOKUP(K1128, Criterios!$A$81:$B$120, 2, FALSE)), "División no coincide con Categoría", ""))), IF(OR(L1128="", L1128=""), "[Aviso] Género no capturado ()", IF(ISNA(MATCH(L1128, Criterios!$B$123:$B$127, 0)), "Género no válido", "")), IF(OR(N1128="", N1128=""), "[Aviso] Temporada no capturada ()", IF(ISNA(MATCH(N1128, Criterios!$C$123:$C$128, 0)), "Temporada no válida", "")), IF(OR(O1128="", O1128=""), "[Aviso] Ciclo de vida no capturado ()", IF(ISNA(MATCH(O1128, Criterios!$D$123:$D$124, 0)), "Ciclo de vida no válido", ""))))</f>
        <v/>
      </c>
      <c r="AC1128" s="56" t="n"/>
      <c r="AD1128" s="51" t="n">
        <v>-2</v>
      </c>
      <c r="AE1128" s="156" t="n"/>
      <c r="AF1128" s="51" t="n">
        <v>0</v>
      </c>
      <c r="AG1128" s="156" t="inlineStr">
        <is>
          <t>Catálogo existente</t>
        </is>
      </c>
      <c r="AH1128" s="156" t="inlineStr">
        <is>
          <t>Stock negativo en sistema: revisar en conteo | Revisión 29/09/2026: Campos sin respaldo: U, X; Auditoría NetSuite 30/09/2026: llenado desde NetSuite [S] | 01/10/2026: complementado desde Shopify Stetson México (match por código de barras): WB Silueta</t>
        </is>
      </c>
      <c r="AI1128" s="156" t="inlineStr">
        <is>
          <t>Sí</t>
        </is>
      </c>
      <c r="AJ1128" s="156" t="inlineStr">
        <is>
          <t>STETSON AMERICAS (-2)</t>
        </is>
      </c>
      <c r="AK1128" s="155" t="inlineStr">
        <is>
          <t>Criterios: J [R]; G1522_Extraccion_Articulos_NetSuite_2026-09-30.xlsx: fila 58597 [S] | Shopify Stetson: producto 15051552522603 / variante 53350589432171</t>
        </is>
      </c>
      <c r="AL1128" s="58" t="n">
        <v>1221.982759</v>
      </c>
      <c r="AM1128" s="58" t="n">
        <v>2715.517241</v>
      </c>
      <c r="AN1128" s="155" t="inlineStr">
        <is>
          <t>Shopify Stetson México</t>
        </is>
      </c>
      <c r="AO1128" s="59" t="n">
        <v>0</v>
      </c>
      <c r="AP1128" s="59" t="n"/>
      <c r="AQ1128" s="59" t="n"/>
      <c r="AR1128" s="155" t="n"/>
    </row>
    <row r="1129">
      <c r="A1129" s="50" t="inlineStr">
        <is>
          <t>199168074357</t>
        </is>
      </c>
      <c r="B1129" s="51" t="inlineStr">
        <is>
          <t>110783</t>
        </is>
      </c>
      <c r="C1129" s="156" t="inlineStr">
        <is>
          <t>Multimarca</t>
        </is>
      </c>
      <c r="D1129" s="156" t="inlineStr">
        <is>
          <t>11-097-0119-6191</t>
        </is>
      </c>
      <c r="E1129" s="156" t="inlineStr">
        <is>
          <t>11-097-0119-6191-L</t>
        </is>
      </c>
      <c r="F1129" s="156" t="inlineStr">
        <is>
          <t>L</t>
        </is>
      </c>
      <c r="G1129" s="156" t="inlineStr">
        <is>
          <t>L</t>
        </is>
      </c>
      <c r="H1129" s="156" t="inlineStr">
        <is>
          <t>Stetson</t>
        </is>
      </c>
      <c r="I1129" s="156" t="inlineStr">
        <is>
          <t>Chamarra Canvas Stretch Verde Olivo con Cuello de Piel</t>
        </is>
      </c>
      <c r="J1129" s="156" t="inlineStr">
        <is>
          <t>Ropa</t>
        </is>
      </c>
      <c r="K1129" s="156" t="inlineStr">
        <is>
          <t>Chamarras</t>
        </is>
      </c>
      <c r="L1129" s="156" t="inlineStr">
        <is>
          <t>Hombre</t>
        </is>
      </c>
      <c r="M1129" s="156" t="inlineStr">
        <is>
          <t>Stetson</t>
        </is>
      </c>
      <c r="N1129" s="156" t="inlineStr">
        <is>
          <t>SS26</t>
        </is>
      </c>
      <c r="O1129" s="156" t="inlineStr">
        <is>
          <t>Seasonal</t>
        </is>
      </c>
      <c r="P1129" s="156" t="inlineStr">
        <is>
          <t>Verde</t>
        </is>
      </c>
      <c r="Q1129" s="156" t="inlineStr">
        <is>
          <t>Regular</t>
        </is>
      </c>
      <c r="R1129" s="156" t="n"/>
      <c r="S1129" s="156" t="inlineStr">
        <is>
          <t>97% Algodón 3% Elastano</t>
        </is>
      </c>
      <c r="T1129" s="156" t="inlineStr">
        <is>
          <t>Chamarra Canvas Stretch Verde Olivo con Cuello de Piel Regular</t>
        </is>
      </c>
      <c r="U1129" s="156" t="n"/>
      <c r="V1129" s="156" t="inlineStr">
        <is>
          <t>PZS</t>
        </is>
      </c>
      <c r="W1129" s="51" t="inlineStr">
        <is>
          <t>53101802</t>
        </is>
      </c>
      <c r="X1129" s="156" t="n"/>
      <c r="Y1129" s="54" t="n">
        <v>1396.551724</v>
      </c>
      <c r="Z1129" s="54" t="n">
        <v>3103.448276</v>
      </c>
      <c r="AA1129" s="55">
        <f>IF(AND(A1129="", B1129="", E1129=""), "", IF(AB1129="", "Válido", IF((LEN(AB1129)-LEN(SUBSTITUTE(AB1129,"; ","")))/2+1&gt;(LEN(AB1129)-LEN(SUBSTITUTE(AB1129,"[Aviso]","")))/7, "Con Incidencias", "Válido")))</f>
        <v/>
      </c>
      <c r="AB1129" s="56">
        <f>IF(AND(A1129="", B1129="", E1129=""), "", TEXTJOIN("; ", TRUE, IF(OR(TRIM(A1129&amp;"")="", ISNUMBER(SEARCH("FALTA", A1129))), "UPC faltante/inválido", ""), IF(AND(A1129&lt;&gt;"", IFERROR(_xlfn.XMATCH(A1129,$A$2:$A$2509,0,1)&lt;&gt;_xlfn.XMATCH(A1129,$A$2:$A$2509,0,-1),FALSE)), "Código de barras duplicado", ""), IF(AND(E1129&lt;&gt;"", COUNTIF($E$2:$E$2509, E1129)&gt;1), "SKU duplicado", ""), IF(OR(J1129="", J1129=""), "[Aviso] División no capturada ()", IF(ISNA(MATCH(J1129, Criterios!$A$123:$A$126, 0)), "División no válida", "")), IF(OR(K1129="", K1129=""), "[Aviso] Categoría no capturada ()", IF(ISNA(MATCH(K1129, Criterios!$A$81:$A$120, 0)), "Categoría no válida", IF(AND(J1129&lt;&gt;"", J1129&lt;&gt;"", J1129&lt;&gt;VLOOKUP(K1129, Criterios!$A$81:$B$120, 2, FALSE)), "División no coincide con Categoría", ""))), IF(OR(L1129="", L1129=""), "[Aviso] Género no capturado ()", IF(ISNA(MATCH(L1129, Criterios!$B$123:$B$127, 0)), "Género no válido", "")), IF(OR(N1129="", N1129=""), "[Aviso] Temporada no capturada ()", IF(ISNA(MATCH(N1129, Criterios!$C$123:$C$128, 0)), "Temporada no válida", "")), IF(OR(O1129="", O1129=""), "[Aviso] Ciclo de vida no capturado ()", IF(ISNA(MATCH(O1129, Criterios!$D$123:$D$124, 0)), "Ciclo de vida no válido", ""))))</f>
        <v/>
      </c>
      <c r="AC1129" s="56" t="n"/>
      <c r="AD1129" s="51" t="n">
        <v>-2</v>
      </c>
      <c r="AE1129" s="156" t="n"/>
      <c r="AF1129" s="51" t="n">
        <v>0</v>
      </c>
      <c r="AG1129" s="156" t="inlineStr">
        <is>
          <t>Catálogo existente</t>
        </is>
      </c>
      <c r="AH1129" s="156" t="inlineStr">
        <is>
          <t>Stock negativo en sistema: revisar en conteo | Revisión 29/09/2026: Campos sin respaldo: U, X; Auditoría NetSuite 30/09/2026: llenado desde NetSuite [S] | 01/10/2026: complementado desde Shopify Stetson México (match por código de barras): WB Silueta</t>
        </is>
      </c>
      <c r="AI1129" s="156" t="inlineStr">
        <is>
          <t>Sí</t>
        </is>
      </c>
      <c r="AJ1129" s="156" t="inlineStr">
        <is>
          <t>STETSON AMERICAS (-2)</t>
        </is>
      </c>
      <c r="AK1129" s="155" t="inlineStr">
        <is>
          <t>Criterios: J [R]; G1522_Extraccion_Articulos_NetSuite_2026-09-30.xlsx: fila 58598 [S] | Shopify Stetson: producto 15051552620907 / variante 53350589333867</t>
        </is>
      </c>
      <c r="AL1129" s="58" t="n">
        <v>1396.551724</v>
      </c>
      <c r="AM1129" s="58" t="n">
        <v>3103.448276</v>
      </c>
      <c r="AN1129" s="155" t="inlineStr">
        <is>
          <t>Shopify Stetson México</t>
        </is>
      </c>
      <c r="AO1129" s="59" t="n">
        <v>0</v>
      </c>
      <c r="AP1129" s="59" t="n"/>
      <c r="AQ1129" s="59" t="n"/>
      <c r="AR1129" s="155" t="n"/>
    </row>
    <row r="1130">
      <c r="A1130" s="50" t="inlineStr">
        <is>
          <t>199168074364</t>
        </is>
      </c>
      <c r="B1130" s="51" t="inlineStr">
        <is>
          <t>110784</t>
        </is>
      </c>
      <c r="C1130" s="156" t="inlineStr">
        <is>
          <t>Multimarca</t>
        </is>
      </c>
      <c r="D1130" s="156" t="inlineStr">
        <is>
          <t>11-097-0119-6191</t>
        </is>
      </c>
      <c r="E1130" s="156" t="inlineStr">
        <is>
          <t>11-097-0119-6191-M</t>
        </is>
      </c>
      <c r="F1130" s="156" t="inlineStr">
        <is>
          <t>M</t>
        </is>
      </c>
      <c r="G1130" s="156" t="inlineStr">
        <is>
          <t>M</t>
        </is>
      </c>
      <c r="H1130" s="156" t="inlineStr">
        <is>
          <t>Stetson</t>
        </is>
      </c>
      <c r="I1130" s="156" t="inlineStr">
        <is>
          <t>Chamarra Canvas Stretch Verde Olivo con Cuello de Piel</t>
        </is>
      </c>
      <c r="J1130" s="156" t="inlineStr">
        <is>
          <t>Ropa</t>
        </is>
      </c>
      <c r="K1130" s="156" t="inlineStr">
        <is>
          <t>Chamarras</t>
        </is>
      </c>
      <c r="L1130" s="156" t="inlineStr">
        <is>
          <t>Hombre</t>
        </is>
      </c>
      <c r="M1130" s="156" t="inlineStr">
        <is>
          <t>Stetson</t>
        </is>
      </c>
      <c r="N1130" s="156" t="inlineStr">
        <is>
          <t>SS26</t>
        </is>
      </c>
      <c r="O1130" s="156" t="inlineStr">
        <is>
          <t>Seasonal</t>
        </is>
      </c>
      <c r="P1130" s="156" t="inlineStr">
        <is>
          <t>Verde</t>
        </is>
      </c>
      <c r="Q1130" s="156" t="inlineStr">
        <is>
          <t>Regular</t>
        </is>
      </c>
      <c r="R1130" s="156" t="n"/>
      <c r="S1130" s="156" t="inlineStr">
        <is>
          <t>97% Algodón 3% Elastano</t>
        </is>
      </c>
      <c r="T1130" s="156" t="inlineStr">
        <is>
          <t>Chamarra Canvas Stretch Verde Olivo con Cuello de Piel Regular</t>
        </is>
      </c>
      <c r="U1130" s="156" t="n"/>
      <c r="V1130" s="156" t="inlineStr">
        <is>
          <t>PZS</t>
        </is>
      </c>
      <c r="W1130" s="51" t="inlineStr">
        <is>
          <t>53101802</t>
        </is>
      </c>
      <c r="X1130" s="156" t="n"/>
      <c r="Y1130" s="54" t="n">
        <v>1396.551724</v>
      </c>
      <c r="Z1130" s="54" t="n">
        <v>3103.448276</v>
      </c>
      <c r="AA1130" s="55">
        <f>IF(AND(A1130="", B1130="", E1130=""), "", IF(AB1130="", "Válido", IF((LEN(AB1130)-LEN(SUBSTITUTE(AB1130,"; ","")))/2+1&gt;(LEN(AB1130)-LEN(SUBSTITUTE(AB1130,"[Aviso]","")))/7, "Con Incidencias", "Válido")))</f>
        <v/>
      </c>
      <c r="AB1130" s="56">
        <f>IF(AND(A1130="", B1130="", E1130=""), "", TEXTJOIN("; ", TRUE, IF(OR(TRIM(A1130&amp;"")="", ISNUMBER(SEARCH("FALTA", A1130))), "UPC faltante/inválido", ""), IF(AND(A1130&lt;&gt;"", IFERROR(_xlfn.XMATCH(A1130,$A$2:$A$2509,0,1)&lt;&gt;_xlfn.XMATCH(A1130,$A$2:$A$2509,0,-1),FALSE)), "Código de barras duplicado", ""), IF(AND(E1130&lt;&gt;"", COUNTIF($E$2:$E$2509, E1130)&gt;1), "SKU duplicado", ""), IF(OR(J1130="", J1130=""), "[Aviso] División no capturada ()", IF(ISNA(MATCH(J1130, Criterios!$A$123:$A$126, 0)), "División no válida", "")), IF(OR(K1130="", K1130=""), "[Aviso] Categoría no capturada ()", IF(ISNA(MATCH(K1130, Criterios!$A$81:$A$120, 0)), "Categoría no válida", IF(AND(J1130&lt;&gt;"", J1130&lt;&gt;"", J1130&lt;&gt;VLOOKUP(K1130, Criterios!$A$81:$B$120, 2, FALSE)), "División no coincide con Categoría", ""))), IF(OR(L1130="", L1130=""), "[Aviso] Género no capturado ()", IF(ISNA(MATCH(L1130, Criterios!$B$123:$B$127, 0)), "Género no válido", "")), IF(OR(N1130="", N1130=""), "[Aviso] Temporada no capturada ()", IF(ISNA(MATCH(N1130, Criterios!$C$123:$C$128, 0)), "Temporada no válida", "")), IF(OR(O1130="", O1130=""), "[Aviso] Ciclo de vida no capturado ()", IF(ISNA(MATCH(O1130, Criterios!$D$123:$D$124, 0)), "Ciclo de vida no válido", ""))))</f>
        <v/>
      </c>
      <c r="AC1130" s="56" t="n"/>
      <c r="AD1130" s="51" t="n">
        <v>-2</v>
      </c>
      <c r="AE1130" s="156" t="n"/>
      <c r="AF1130" s="51" t="n">
        <v>0</v>
      </c>
      <c r="AG1130" s="156" t="inlineStr">
        <is>
          <t>Catálogo existente</t>
        </is>
      </c>
      <c r="AH1130" s="156" t="inlineStr">
        <is>
          <t>Stock negativo en sistema: revisar en conteo | Revisión 29/09/2026: Campos sin respaldo: U, X; Auditoría NetSuite 30/09/2026: llenado desde NetSuite [S] | 01/10/2026: complementado desde Shopify Stetson México (match por código de barras): WB Silueta</t>
        </is>
      </c>
      <c r="AI1130" s="156" t="inlineStr">
        <is>
          <t>Sí</t>
        </is>
      </c>
      <c r="AJ1130" s="156" t="inlineStr">
        <is>
          <t>STETSON AMERICAS (-2)</t>
        </is>
      </c>
      <c r="AK1130" s="155" t="inlineStr">
        <is>
          <t>Criterios: J [R]; G1522_Extraccion_Articulos_NetSuite_2026-09-30.xlsx: fila 58599 [S] | Shopify Stetson: producto 15051552620907 / variante 53350589301099</t>
        </is>
      </c>
      <c r="AL1130" s="58" t="n">
        <v>1396.551724</v>
      </c>
      <c r="AM1130" s="58" t="n">
        <v>3103.448276</v>
      </c>
      <c r="AN1130" s="155" t="inlineStr">
        <is>
          <t>Shopify Stetson México</t>
        </is>
      </c>
      <c r="AO1130" s="59" t="n">
        <v>0</v>
      </c>
      <c r="AP1130" s="59" t="n"/>
      <c r="AQ1130" s="59" t="n"/>
      <c r="AR1130" s="155" t="n"/>
    </row>
    <row r="1131">
      <c r="A1131" s="50" t="inlineStr">
        <is>
          <t>199168074371</t>
        </is>
      </c>
      <c r="B1131" s="51" t="inlineStr">
        <is>
          <t>110785</t>
        </is>
      </c>
      <c r="C1131" s="156" t="inlineStr">
        <is>
          <t>Multimarca</t>
        </is>
      </c>
      <c r="D1131" s="156" t="inlineStr">
        <is>
          <t>11-097-0119-6191</t>
        </is>
      </c>
      <c r="E1131" s="156" t="inlineStr">
        <is>
          <t>11-097-0119-6191-S</t>
        </is>
      </c>
      <c r="F1131" s="156" t="inlineStr">
        <is>
          <t>S</t>
        </is>
      </c>
      <c r="G1131" s="156" t="inlineStr">
        <is>
          <t>S</t>
        </is>
      </c>
      <c r="H1131" s="156" t="inlineStr">
        <is>
          <t>Stetson</t>
        </is>
      </c>
      <c r="I1131" s="156" t="inlineStr">
        <is>
          <t>Chamarra Canvas Stretch Verde Olivo con Cuello de Piel</t>
        </is>
      </c>
      <c r="J1131" s="156" t="inlineStr">
        <is>
          <t>Ropa</t>
        </is>
      </c>
      <c r="K1131" s="156" t="inlineStr">
        <is>
          <t>Chamarras</t>
        </is>
      </c>
      <c r="L1131" s="156" t="inlineStr">
        <is>
          <t>Hombre</t>
        </is>
      </c>
      <c r="M1131" s="156" t="inlineStr">
        <is>
          <t>Stetson</t>
        </is>
      </c>
      <c r="N1131" s="156" t="inlineStr">
        <is>
          <t>SS26</t>
        </is>
      </c>
      <c r="O1131" s="156" t="inlineStr">
        <is>
          <t>Seasonal</t>
        </is>
      </c>
      <c r="P1131" s="156" t="inlineStr">
        <is>
          <t>Verde</t>
        </is>
      </c>
      <c r="Q1131" s="156" t="inlineStr">
        <is>
          <t>Regular</t>
        </is>
      </c>
      <c r="R1131" s="156" t="n"/>
      <c r="S1131" s="156" t="inlineStr">
        <is>
          <t>97% Algodón 3% Elastano</t>
        </is>
      </c>
      <c r="T1131" s="156" t="inlineStr">
        <is>
          <t>Chamarra Canvas Stretch Verde Olivo con Cuello de Piel Regular</t>
        </is>
      </c>
      <c r="U1131" s="156" t="n"/>
      <c r="V1131" s="156" t="inlineStr">
        <is>
          <t>PZS</t>
        </is>
      </c>
      <c r="W1131" s="51" t="inlineStr">
        <is>
          <t>53101802</t>
        </is>
      </c>
      <c r="X1131" s="156" t="n"/>
      <c r="Y1131" s="54" t="n">
        <v>1396.551724</v>
      </c>
      <c r="Z1131" s="54" t="n">
        <v>3103.448276</v>
      </c>
      <c r="AA1131" s="55">
        <f>IF(AND(A1131="", B1131="", E1131=""), "", IF(AB1131="", "Válido", IF((LEN(AB1131)-LEN(SUBSTITUTE(AB1131,"; ","")))/2+1&gt;(LEN(AB1131)-LEN(SUBSTITUTE(AB1131,"[Aviso]","")))/7, "Con Incidencias", "Válido")))</f>
        <v/>
      </c>
      <c r="AB1131" s="56">
        <f>IF(AND(A1131="", B1131="", E1131=""), "", TEXTJOIN("; ", TRUE, IF(OR(TRIM(A1131&amp;"")="", ISNUMBER(SEARCH("FALTA", A1131))), "UPC faltante/inválido", ""), IF(AND(A1131&lt;&gt;"", IFERROR(_xlfn.XMATCH(A1131,$A$2:$A$2509,0,1)&lt;&gt;_xlfn.XMATCH(A1131,$A$2:$A$2509,0,-1),FALSE)), "Código de barras duplicado", ""), IF(AND(E1131&lt;&gt;"", COUNTIF($E$2:$E$2509, E1131)&gt;1), "SKU duplicado", ""), IF(OR(J1131="", J1131=""), "[Aviso] División no capturada ()", IF(ISNA(MATCH(J1131, Criterios!$A$123:$A$126, 0)), "División no válida", "")), IF(OR(K1131="", K1131=""), "[Aviso] Categoría no capturada ()", IF(ISNA(MATCH(K1131, Criterios!$A$81:$A$120, 0)), "Categoría no válida", IF(AND(J1131&lt;&gt;"", J1131&lt;&gt;"", J1131&lt;&gt;VLOOKUP(K1131, Criterios!$A$81:$B$120, 2, FALSE)), "División no coincide con Categoría", ""))), IF(OR(L1131="", L1131=""), "[Aviso] Género no capturado ()", IF(ISNA(MATCH(L1131, Criterios!$B$123:$B$127, 0)), "Género no válido", "")), IF(OR(N1131="", N1131=""), "[Aviso] Temporada no capturada ()", IF(ISNA(MATCH(N1131, Criterios!$C$123:$C$128, 0)), "Temporada no válida", "")), IF(OR(O1131="", O1131=""), "[Aviso] Ciclo de vida no capturado ()", IF(ISNA(MATCH(O1131, Criterios!$D$123:$D$124, 0)), "Ciclo de vida no válido", ""))))</f>
        <v/>
      </c>
      <c r="AC1131" s="56" t="n"/>
      <c r="AD1131" s="51" t="n">
        <v>-1</v>
      </c>
      <c r="AE1131" s="156" t="n"/>
      <c r="AF1131" s="51" t="n">
        <v>0</v>
      </c>
      <c r="AG1131" s="156" t="inlineStr">
        <is>
          <t>Catálogo existente</t>
        </is>
      </c>
      <c r="AH1131" s="156" t="inlineStr">
        <is>
          <t>Stock negativo en sistema: revisar en conteo | Revisión 29/09/2026: Campos sin respaldo: U, X; Auditoría NetSuite 30/09/2026: llenado desde NetSuite [S] | 01/10/2026: complementado desde Shopify Stetson México (match por código de barras): WB Silueta</t>
        </is>
      </c>
      <c r="AI1131" s="156" t="inlineStr">
        <is>
          <t>Sí</t>
        </is>
      </c>
      <c r="AJ1131" s="156" t="inlineStr">
        <is>
          <t>STETSON AMERICAS (-1)</t>
        </is>
      </c>
      <c r="AK1131" s="155" t="inlineStr">
        <is>
          <t>Criterios: J [R]; G1522_Extraccion_Articulos_NetSuite_2026-09-30.xlsx: fila 58600 [S] | Shopify Stetson: producto 15051552620907 / variante 53350589268331</t>
        </is>
      </c>
      <c r="AL1131" s="58" t="n">
        <v>1396.551724</v>
      </c>
      <c r="AM1131" s="58" t="n">
        <v>3103.448276</v>
      </c>
      <c r="AN1131" s="155" t="inlineStr">
        <is>
          <t>Shopify Stetson México</t>
        </is>
      </c>
      <c r="AO1131" s="59" t="n">
        <v>0</v>
      </c>
      <c r="AP1131" s="59" t="n"/>
      <c r="AQ1131" s="59" t="n"/>
      <c r="AR1131" s="155" t="n"/>
    </row>
    <row r="1132">
      <c r="A1132" s="50" t="inlineStr">
        <is>
          <t>199168074388</t>
        </is>
      </c>
      <c r="B1132" s="51" t="inlineStr">
        <is>
          <t>110786</t>
        </is>
      </c>
      <c r="C1132" s="156" t="inlineStr">
        <is>
          <t>Multimarca</t>
        </is>
      </c>
      <c r="D1132" s="156" t="inlineStr">
        <is>
          <t>11-097-0119-6191</t>
        </is>
      </c>
      <c r="E1132" s="156" t="inlineStr">
        <is>
          <t>11-097-0119-6191-XL</t>
        </is>
      </c>
      <c r="F1132" s="156" t="inlineStr">
        <is>
          <t>XL</t>
        </is>
      </c>
      <c r="G1132" s="156" t="inlineStr">
        <is>
          <t>XL</t>
        </is>
      </c>
      <c r="H1132" s="156" t="inlineStr">
        <is>
          <t>Stetson</t>
        </is>
      </c>
      <c r="I1132" s="156" t="inlineStr">
        <is>
          <t>Chamarra Canvas Stretch Verde Olivo con Cuello de Piel</t>
        </is>
      </c>
      <c r="J1132" s="156" t="inlineStr">
        <is>
          <t>Ropa</t>
        </is>
      </c>
      <c r="K1132" s="156" t="inlineStr">
        <is>
          <t>Chamarras</t>
        </is>
      </c>
      <c r="L1132" s="156" t="inlineStr">
        <is>
          <t>Hombre</t>
        </is>
      </c>
      <c r="M1132" s="156" t="inlineStr">
        <is>
          <t>Stetson</t>
        </is>
      </c>
      <c r="N1132" s="156" t="inlineStr">
        <is>
          <t>SS26</t>
        </is>
      </c>
      <c r="O1132" s="156" t="inlineStr">
        <is>
          <t>Seasonal</t>
        </is>
      </c>
      <c r="P1132" s="156" t="inlineStr">
        <is>
          <t>Verde</t>
        </is>
      </c>
      <c r="Q1132" s="156" t="inlineStr">
        <is>
          <t>Regular</t>
        </is>
      </c>
      <c r="R1132" s="156" t="n"/>
      <c r="S1132" s="156" t="inlineStr">
        <is>
          <t>97% Algodón 3% Elastano</t>
        </is>
      </c>
      <c r="T1132" s="156" t="inlineStr">
        <is>
          <t>Chamarra Canvas Stretch Verde Olivo con Cuello de Piel Regular</t>
        </is>
      </c>
      <c r="U1132" s="156" t="n"/>
      <c r="V1132" s="156" t="inlineStr">
        <is>
          <t>PZS</t>
        </is>
      </c>
      <c r="W1132" s="51" t="inlineStr">
        <is>
          <t>53101802</t>
        </is>
      </c>
      <c r="X1132" s="156" t="n"/>
      <c r="Y1132" s="54" t="n">
        <v>1396.551724</v>
      </c>
      <c r="Z1132" s="54" t="n">
        <v>3103.448276</v>
      </c>
      <c r="AA1132" s="55">
        <f>IF(AND(A1132="", B1132="", E1132=""), "", IF(AB1132="", "Válido", IF((LEN(AB1132)-LEN(SUBSTITUTE(AB1132,"; ","")))/2+1&gt;(LEN(AB1132)-LEN(SUBSTITUTE(AB1132,"[Aviso]","")))/7, "Con Incidencias", "Válido")))</f>
        <v/>
      </c>
      <c r="AB1132" s="56">
        <f>IF(AND(A1132="", B1132="", E1132=""), "", TEXTJOIN("; ", TRUE, IF(OR(TRIM(A1132&amp;"")="", ISNUMBER(SEARCH("FALTA", A1132))), "UPC faltante/inválido", ""), IF(AND(A1132&lt;&gt;"", IFERROR(_xlfn.XMATCH(A1132,$A$2:$A$2509,0,1)&lt;&gt;_xlfn.XMATCH(A1132,$A$2:$A$2509,0,-1),FALSE)), "Código de barras duplicado", ""), IF(AND(E1132&lt;&gt;"", COUNTIF($E$2:$E$2509, E1132)&gt;1), "SKU duplicado", ""), IF(OR(J1132="", J1132=""), "[Aviso] División no capturada ()", IF(ISNA(MATCH(J1132, Criterios!$A$123:$A$126, 0)), "División no válida", "")), IF(OR(K1132="", K1132=""), "[Aviso] Categoría no capturada ()", IF(ISNA(MATCH(K1132, Criterios!$A$81:$A$120, 0)), "Categoría no válida", IF(AND(J1132&lt;&gt;"", J1132&lt;&gt;"", J1132&lt;&gt;VLOOKUP(K1132, Criterios!$A$81:$B$120, 2, FALSE)), "División no coincide con Categoría", ""))), IF(OR(L1132="", L1132=""), "[Aviso] Género no capturado ()", IF(ISNA(MATCH(L1132, Criterios!$B$123:$B$127, 0)), "Género no válido", "")), IF(OR(N1132="", N1132=""), "[Aviso] Temporada no capturada ()", IF(ISNA(MATCH(N1132, Criterios!$C$123:$C$128, 0)), "Temporada no válida", "")), IF(OR(O1132="", O1132=""), "[Aviso] Ciclo de vida no capturado ()", IF(ISNA(MATCH(O1132, Criterios!$D$123:$D$124, 0)), "Ciclo de vida no válido", ""))))</f>
        <v/>
      </c>
      <c r="AC1132" s="56" t="n"/>
      <c r="AD1132" s="51" t="n">
        <v>-1</v>
      </c>
      <c r="AE1132" s="156" t="n"/>
      <c r="AF1132" s="51" t="n">
        <v>0</v>
      </c>
      <c r="AG1132" s="156" t="inlineStr">
        <is>
          <t>Catálogo existente</t>
        </is>
      </c>
      <c r="AH1132" s="156" t="inlineStr">
        <is>
          <t>Stock negativo en sistema: revisar en conteo | Revisión 29/09/2026: Campos sin respaldo: U, X; Auditoría NetSuite 30/09/2026: llenado desde NetSuite [S] | 01/10/2026: complementado desde Shopify Stetson México (match por código de barras): WB Silueta</t>
        </is>
      </c>
      <c r="AI1132" s="156" t="inlineStr">
        <is>
          <t>Sí</t>
        </is>
      </c>
      <c r="AJ1132" s="156" t="inlineStr">
        <is>
          <t>STETSON AMERICAS (-1)</t>
        </is>
      </c>
      <c r="AK1132" s="155" t="inlineStr">
        <is>
          <t>Criterios: J [R]; G1522_Extraccion_Articulos_NetSuite_2026-09-30.xlsx: fila 58601 [S] | Shopify Stetson: producto 15051552620907 / variante 53350589366635</t>
        </is>
      </c>
      <c r="AL1132" s="58" t="n">
        <v>1396.551724</v>
      </c>
      <c r="AM1132" s="58" t="n">
        <v>3103.448276</v>
      </c>
      <c r="AN1132" s="155" t="inlineStr">
        <is>
          <t>Shopify Stetson México</t>
        </is>
      </c>
      <c r="AO1132" s="59" t="n">
        <v>0</v>
      </c>
      <c r="AP1132" s="59" t="n"/>
      <c r="AQ1132" s="59" t="n"/>
      <c r="AR1132" s="155" t="n"/>
    </row>
    <row r="1133">
      <c r="A1133" s="50" t="inlineStr">
        <is>
          <t>199168075071</t>
        </is>
      </c>
      <c r="B1133" s="51" t="inlineStr">
        <is>
          <t>110879</t>
        </is>
      </c>
      <c r="C1133" s="156" t="inlineStr">
        <is>
          <t>Multimarca</t>
        </is>
      </c>
      <c r="D1133" s="156" t="inlineStr">
        <is>
          <t>11-098-0202-7076</t>
        </is>
      </c>
      <c r="E1133" s="156" t="inlineStr">
        <is>
          <t>11-098-0202-7076-L</t>
        </is>
      </c>
      <c r="F1133" s="156" t="inlineStr">
        <is>
          <t>L</t>
        </is>
      </c>
      <c r="G1133" s="156" t="inlineStr">
        <is>
          <t>L</t>
        </is>
      </c>
      <c r="H1133" s="156" t="inlineStr">
        <is>
          <t>Stetson</t>
        </is>
      </c>
      <c r="I1133" s="156" t="inlineStr">
        <is>
          <t>Chamarra Denim Stretch Negra Oversized</t>
        </is>
      </c>
      <c r="J1133" s="156" t="inlineStr">
        <is>
          <t>Ropa</t>
        </is>
      </c>
      <c r="K1133" s="156" t="inlineStr">
        <is>
          <t>Chamarras</t>
        </is>
      </c>
      <c r="L1133" s="156" t="inlineStr">
        <is>
          <t>Mujer</t>
        </is>
      </c>
      <c r="M1133" s="156" t="inlineStr">
        <is>
          <t>Stetson</t>
        </is>
      </c>
      <c r="N1133" s="156" t="inlineStr">
        <is>
          <t>SS26</t>
        </is>
      </c>
      <c r="O1133" s="156" t="inlineStr">
        <is>
          <t>Seasonal</t>
        </is>
      </c>
      <c r="P1133" s="156" t="inlineStr">
        <is>
          <t>Negro</t>
        </is>
      </c>
      <c r="Q1133" s="156" t="inlineStr">
        <is>
          <t>Regular</t>
        </is>
      </c>
      <c r="R1133" s="156" t="n"/>
      <c r="S1133" s="156" t="inlineStr">
        <is>
          <t>99% Algodón 1% Elastano</t>
        </is>
      </c>
      <c r="T1133" s="156" t="inlineStr">
        <is>
          <t>Chamarra Denim Stretch Negra Oversized Regular</t>
        </is>
      </c>
      <c r="U1133" s="156" t="n"/>
      <c r="V1133" s="156" t="inlineStr">
        <is>
          <t>PZS</t>
        </is>
      </c>
      <c r="W1133" s="51" t="inlineStr">
        <is>
          <t>53101804</t>
        </is>
      </c>
      <c r="X1133" s="156" t="n"/>
      <c r="Y1133" s="54" t="n">
        <v>1183.189655</v>
      </c>
      <c r="Z1133" s="54" t="n">
        <v>2629.310345</v>
      </c>
      <c r="AA1133" s="55">
        <f>IF(AND(A1133="", B1133="", E1133=""), "", IF(AB1133="", "Válido", IF((LEN(AB1133)-LEN(SUBSTITUTE(AB1133,"; ","")))/2+1&gt;(LEN(AB1133)-LEN(SUBSTITUTE(AB1133,"[Aviso]","")))/7, "Con Incidencias", "Válido")))</f>
        <v/>
      </c>
      <c r="AB1133" s="56">
        <f>IF(AND(A1133="", B1133="", E1133=""), "", TEXTJOIN("; ", TRUE, IF(OR(TRIM(A1133&amp;"")="", ISNUMBER(SEARCH("FALTA", A1133))), "UPC faltante/inválido", ""), IF(AND(A1133&lt;&gt;"", IFERROR(_xlfn.XMATCH(A1133,$A$2:$A$2509,0,1)&lt;&gt;_xlfn.XMATCH(A1133,$A$2:$A$2509,0,-1),FALSE)), "Código de barras duplicado", ""), IF(AND(E1133&lt;&gt;"", COUNTIF($E$2:$E$2509, E1133)&gt;1), "SKU duplicado", ""), IF(OR(J1133="", J1133=""), "[Aviso] División no capturada ()", IF(ISNA(MATCH(J1133, Criterios!$A$123:$A$126, 0)), "División no válida", "")), IF(OR(K1133="", K1133=""), "[Aviso] Categoría no capturada ()", IF(ISNA(MATCH(K1133, Criterios!$A$81:$A$120, 0)), "Categoría no válida", IF(AND(J1133&lt;&gt;"", J1133&lt;&gt;"", J1133&lt;&gt;VLOOKUP(K1133, Criterios!$A$81:$B$120, 2, FALSE)), "División no coincide con Categoría", ""))), IF(OR(L1133="", L1133=""), "[Aviso] Género no capturado ()", IF(ISNA(MATCH(L1133, Criterios!$B$123:$B$127, 0)), "Género no válido", "")), IF(OR(N1133="", N1133=""), "[Aviso] Temporada no capturada ()", IF(ISNA(MATCH(N1133, Criterios!$C$123:$C$128, 0)), "Temporada no válida", "")), IF(OR(O1133="", O1133=""), "[Aviso] Ciclo de vida no capturado ()", IF(ISNA(MATCH(O1133, Criterios!$D$123:$D$124, 0)), "Ciclo de vida no válido", ""))))</f>
        <v/>
      </c>
      <c r="AC1133" s="56" t="n"/>
      <c r="AD1133" s="51" t="n">
        <v>0</v>
      </c>
      <c r="AE1133" s="156" t="n"/>
      <c r="AF1133" s="51" t="n">
        <v>0</v>
      </c>
      <c r="AG1133" s="156" t="inlineStr">
        <is>
          <t>Catálogo existente</t>
        </is>
      </c>
      <c r="AH1133" s="156" t="inlineStr">
        <is>
          <t>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t>
        </is>
      </c>
      <c r="AI1133" s="156" t="inlineStr">
        <is>
          <t>No</t>
        </is>
      </c>
      <c r="AJ1133" s="156" t="n"/>
      <c r="AK1133" s="155" t="inlineStr">
        <is>
          <t>ProductosCatalogoEstandar907.xlsx: fila 49995 [U] | Criterios: J [R]; G1522_Extraccion_Articulos_NetSuite_2026-09-30.xlsx: fila 58621 [V,S] | Shopify Stetson: producto 15051553079659 / variante 53350588580203 | Odoo: producto 29703 / plantilla 38407</t>
        </is>
      </c>
      <c r="AL1133" s="58" t="n">
        <v>1183.189655</v>
      </c>
      <c r="AM1133" s="58" t="n">
        <v>2629.310345</v>
      </c>
      <c r="AN1133" s="155" t="inlineStr">
        <is>
          <t>Shopify Stetson México | Odoo Universal Unique Brands</t>
        </is>
      </c>
      <c r="AO1133" s="59" t="n">
        <v>1</v>
      </c>
      <c r="AP1133" s="59" t="n"/>
      <c r="AQ1133" s="59" t="n">
        <v>1</v>
      </c>
      <c r="AR1133" s="155" t="inlineStr">
        <is>
          <t>Shopify Stetson México › Stetson Americas: 1 | Odoo Universal Unique Brands › Bodega 25 › Bodega 25/General: 1</t>
        </is>
      </c>
    </row>
    <row r="1134">
      <c r="A1134" s="50" t="inlineStr">
        <is>
          <t>199168075088</t>
        </is>
      </c>
      <c r="B1134" s="51" t="inlineStr">
        <is>
          <t>110880</t>
        </is>
      </c>
      <c r="C1134" s="156" t="inlineStr">
        <is>
          <t>Multimarca</t>
        </is>
      </c>
      <c r="D1134" s="156" t="inlineStr">
        <is>
          <t>11-098-0202-7076</t>
        </is>
      </c>
      <c r="E1134" s="156" t="inlineStr">
        <is>
          <t>11-098-0202-7076-M</t>
        </is>
      </c>
      <c r="F1134" s="156" t="inlineStr">
        <is>
          <t>M</t>
        </is>
      </c>
      <c r="G1134" s="156" t="inlineStr">
        <is>
          <t>M</t>
        </is>
      </c>
      <c r="H1134" s="156" t="inlineStr">
        <is>
          <t>Stetson</t>
        </is>
      </c>
      <c r="I1134" s="156" t="inlineStr">
        <is>
          <t>Chamarra Denim Stretch Negra Oversized</t>
        </is>
      </c>
      <c r="J1134" s="156" t="inlineStr">
        <is>
          <t>Ropa</t>
        </is>
      </c>
      <c r="K1134" s="156" t="inlineStr">
        <is>
          <t>Chamarras</t>
        </is>
      </c>
      <c r="L1134" s="156" t="inlineStr">
        <is>
          <t>Mujer</t>
        </is>
      </c>
      <c r="M1134" s="156" t="inlineStr">
        <is>
          <t>Stetson</t>
        </is>
      </c>
      <c r="N1134" s="156" t="inlineStr">
        <is>
          <t>SS26</t>
        </is>
      </c>
      <c r="O1134" s="156" t="inlineStr">
        <is>
          <t>Seasonal</t>
        </is>
      </c>
      <c r="P1134" s="156" t="inlineStr">
        <is>
          <t>Negro</t>
        </is>
      </c>
      <c r="Q1134" s="156" t="inlineStr">
        <is>
          <t>Regular</t>
        </is>
      </c>
      <c r="R1134" s="156" t="n"/>
      <c r="S1134" s="156" t="inlineStr">
        <is>
          <t>99% Algodón 1% Elastano</t>
        </is>
      </c>
      <c r="T1134" s="156" t="inlineStr">
        <is>
          <t>Chamarra Denim Stretch Negra Oversized Regular</t>
        </is>
      </c>
      <c r="U1134" s="156" t="n"/>
      <c r="V1134" s="156" t="inlineStr">
        <is>
          <t>PZS</t>
        </is>
      </c>
      <c r="W1134" s="51" t="inlineStr">
        <is>
          <t>53101804</t>
        </is>
      </c>
      <c r="X1134" s="156" t="n"/>
      <c r="Y1134" s="54" t="n">
        <v>1183.189655</v>
      </c>
      <c r="Z1134" s="54" t="n">
        <v>2629.310345</v>
      </c>
      <c r="AA1134" s="55">
        <f>IF(AND(A1134="", B1134="", E1134=""), "", IF(AB1134="", "Válido", IF((LEN(AB1134)-LEN(SUBSTITUTE(AB1134,"; ","")))/2+1&gt;(LEN(AB1134)-LEN(SUBSTITUTE(AB1134,"[Aviso]","")))/7, "Con Incidencias", "Válido")))</f>
        <v/>
      </c>
      <c r="AB1134" s="56">
        <f>IF(AND(A1134="", B1134="", E1134=""), "", TEXTJOIN("; ", TRUE, IF(OR(TRIM(A1134&amp;"")="", ISNUMBER(SEARCH("FALTA", A1134))), "UPC faltante/inválido", ""), IF(AND(A1134&lt;&gt;"", IFERROR(_xlfn.XMATCH(A1134,$A$2:$A$2509,0,1)&lt;&gt;_xlfn.XMATCH(A1134,$A$2:$A$2509,0,-1),FALSE)), "Código de barras duplicado", ""), IF(AND(E1134&lt;&gt;"", COUNTIF($E$2:$E$2509, E1134)&gt;1), "SKU duplicado", ""), IF(OR(J1134="", J1134=""), "[Aviso] División no capturada ()", IF(ISNA(MATCH(J1134, Criterios!$A$123:$A$126, 0)), "División no válida", "")), IF(OR(K1134="", K1134=""), "[Aviso] Categoría no capturada ()", IF(ISNA(MATCH(K1134, Criterios!$A$81:$A$120, 0)), "Categoría no válida", IF(AND(J1134&lt;&gt;"", J1134&lt;&gt;"", J1134&lt;&gt;VLOOKUP(K1134, Criterios!$A$81:$B$120, 2, FALSE)), "División no coincide con Categoría", ""))), IF(OR(L1134="", L1134=""), "[Aviso] Género no capturado ()", IF(ISNA(MATCH(L1134, Criterios!$B$123:$B$127, 0)), "Género no válido", "")), IF(OR(N1134="", N1134=""), "[Aviso] Temporada no capturada ()", IF(ISNA(MATCH(N1134, Criterios!$C$123:$C$128, 0)), "Temporada no válida", "")), IF(OR(O1134="", O1134=""), "[Aviso] Ciclo de vida no capturado ()", IF(ISNA(MATCH(O1134, Criterios!$D$123:$D$124, 0)), "Ciclo de vida no válido", ""))))</f>
        <v/>
      </c>
      <c r="AC1134" s="56" t="n"/>
      <c r="AD1134" s="51" t="n">
        <v>-2</v>
      </c>
      <c r="AE1134" s="156" t="n"/>
      <c r="AF1134" s="51" t="n">
        <v>0</v>
      </c>
      <c r="AG1134" s="156" t="inlineStr">
        <is>
          <t>Catálogo existente</t>
        </is>
      </c>
      <c r="AH1134" s="156" t="inlineStr">
        <is>
          <t>Stock negativo en sistema: revisar en conteo | 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t>
        </is>
      </c>
      <c r="AI1134" s="156" t="inlineStr">
        <is>
          <t>Sí</t>
        </is>
      </c>
      <c r="AJ1134" s="156" t="inlineStr">
        <is>
          <t>STETSON AMERICAS (-2)</t>
        </is>
      </c>
      <c r="AK1134" s="155" t="inlineStr">
        <is>
          <t>ProductosCatalogoEstandar907.xlsx: fila 49996 [U] | Criterios: J [R]; G1522_Extraccion_Articulos_NetSuite_2026-09-30.xlsx: fila 58622 [V,S] | Shopify Stetson: producto 15051553079659 / variante 53350588547435 | Odoo: producto 29702 / plantilla 38406</t>
        </is>
      </c>
      <c r="AL1134" s="58" t="n">
        <v>1183.189655</v>
      </c>
      <c r="AM1134" s="58" t="n">
        <v>2629.310345</v>
      </c>
      <c r="AN1134" s="155" t="inlineStr">
        <is>
          <t>Shopify Stetson México | Odoo Universal Unique Brands</t>
        </is>
      </c>
      <c r="AO1134" s="59" t="n">
        <v>0</v>
      </c>
      <c r="AP1134" s="59" t="n"/>
      <c r="AQ1134" s="59" t="n">
        <v>2</v>
      </c>
      <c r="AR1134" s="155" t="inlineStr">
        <is>
          <t>Odoo Universal Unique Brands › Bodega 25 › Bodega 25/General: 2</t>
        </is>
      </c>
    </row>
    <row r="1135">
      <c r="A1135" s="50" t="inlineStr">
        <is>
          <t>199168075095</t>
        </is>
      </c>
      <c r="B1135" s="51" t="inlineStr">
        <is>
          <t>110881</t>
        </is>
      </c>
      <c r="C1135" s="156" t="inlineStr">
        <is>
          <t>Multimarca</t>
        </is>
      </c>
      <c r="D1135" s="156" t="inlineStr">
        <is>
          <t>11-098-0202-7076</t>
        </is>
      </c>
      <c r="E1135" s="156" t="inlineStr">
        <is>
          <t>11-098-0202-7076-S</t>
        </is>
      </c>
      <c r="F1135" s="156" t="inlineStr">
        <is>
          <t>S</t>
        </is>
      </c>
      <c r="G1135" s="156" t="inlineStr">
        <is>
          <t>S</t>
        </is>
      </c>
      <c r="H1135" s="156" t="inlineStr">
        <is>
          <t>Stetson</t>
        </is>
      </c>
      <c r="I1135" s="156" t="inlineStr">
        <is>
          <t>Chamarra Denim Stretch Negra Oversized</t>
        </is>
      </c>
      <c r="J1135" s="156" t="inlineStr">
        <is>
          <t>Ropa</t>
        </is>
      </c>
      <c r="K1135" s="156" t="inlineStr">
        <is>
          <t>Chamarras</t>
        </is>
      </c>
      <c r="L1135" s="156" t="inlineStr">
        <is>
          <t>Mujer</t>
        </is>
      </c>
      <c r="M1135" s="156" t="inlineStr">
        <is>
          <t>Stetson</t>
        </is>
      </c>
      <c r="N1135" s="156" t="inlineStr">
        <is>
          <t>SS26</t>
        </is>
      </c>
      <c r="O1135" s="156" t="inlineStr">
        <is>
          <t>Seasonal</t>
        </is>
      </c>
      <c r="P1135" s="156" t="inlineStr">
        <is>
          <t>Negro</t>
        </is>
      </c>
      <c r="Q1135" s="156" t="inlineStr">
        <is>
          <t>Regular</t>
        </is>
      </c>
      <c r="R1135" s="156" t="n"/>
      <c r="S1135" s="156" t="inlineStr">
        <is>
          <t>99% Algodón 1% Elastano</t>
        </is>
      </c>
      <c r="T1135" s="156" t="inlineStr">
        <is>
          <t>Chamarra Denim Stretch Negra Oversized Regular</t>
        </is>
      </c>
      <c r="U1135" s="156" t="n"/>
      <c r="V1135" s="156" t="inlineStr">
        <is>
          <t>PZS</t>
        </is>
      </c>
      <c r="W1135" s="51" t="inlineStr">
        <is>
          <t>53101804</t>
        </is>
      </c>
      <c r="X1135" s="156" t="n"/>
      <c r="Y1135" s="54" t="n">
        <v>1183.189655</v>
      </c>
      <c r="Z1135" s="54" t="n">
        <v>2629.310345</v>
      </c>
      <c r="AA1135" s="55">
        <f>IF(AND(A1135="", B1135="", E1135=""), "", IF(AB1135="", "Válido", IF((LEN(AB1135)-LEN(SUBSTITUTE(AB1135,"; ","")))/2+1&gt;(LEN(AB1135)-LEN(SUBSTITUTE(AB1135,"[Aviso]","")))/7, "Con Incidencias", "Válido")))</f>
        <v/>
      </c>
      <c r="AB1135" s="56">
        <f>IF(AND(A1135="", B1135="", E1135=""), "", TEXTJOIN("; ", TRUE, IF(OR(TRIM(A1135&amp;"")="", ISNUMBER(SEARCH("FALTA", A1135))), "UPC faltante/inválido", ""), IF(AND(A1135&lt;&gt;"", IFERROR(_xlfn.XMATCH(A1135,$A$2:$A$2509,0,1)&lt;&gt;_xlfn.XMATCH(A1135,$A$2:$A$2509,0,-1),FALSE)), "Código de barras duplicado", ""), IF(AND(E1135&lt;&gt;"", COUNTIF($E$2:$E$2509, E1135)&gt;1), "SKU duplicado", ""), IF(OR(J1135="", J1135=""), "[Aviso] División no capturada ()", IF(ISNA(MATCH(J1135, Criterios!$A$123:$A$126, 0)), "División no válida", "")), IF(OR(K1135="", K1135=""), "[Aviso] Categoría no capturada ()", IF(ISNA(MATCH(K1135, Criterios!$A$81:$A$120, 0)), "Categoría no válida", IF(AND(J1135&lt;&gt;"", J1135&lt;&gt;"", J1135&lt;&gt;VLOOKUP(K1135, Criterios!$A$81:$B$120, 2, FALSE)), "División no coincide con Categoría", ""))), IF(OR(L1135="", L1135=""), "[Aviso] Género no capturado ()", IF(ISNA(MATCH(L1135, Criterios!$B$123:$B$127, 0)), "Género no válido", "")), IF(OR(N1135="", N1135=""), "[Aviso] Temporada no capturada ()", IF(ISNA(MATCH(N1135, Criterios!$C$123:$C$128, 0)), "Temporada no válida", "")), IF(OR(O1135="", O1135=""), "[Aviso] Ciclo de vida no capturado ()", IF(ISNA(MATCH(O1135, Criterios!$D$123:$D$124, 0)), "Ciclo de vida no válido", ""))))</f>
        <v/>
      </c>
      <c r="AC1135" s="56" t="n"/>
      <c r="AD1135" s="51" t="n">
        <v>-2</v>
      </c>
      <c r="AE1135" s="156" t="n"/>
      <c r="AF1135" s="51" t="n">
        <v>0</v>
      </c>
      <c r="AG1135" s="156" t="inlineStr">
        <is>
          <t>Catálogo existente</t>
        </is>
      </c>
      <c r="AH1135" s="156" t="inlineStr">
        <is>
          <t>Stock negativo en sistema: revisar en conteo | 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t>
        </is>
      </c>
      <c r="AI1135" s="156" t="inlineStr">
        <is>
          <t>Sí</t>
        </is>
      </c>
      <c r="AJ1135" s="156" t="inlineStr">
        <is>
          <t>STETSON AMERICAS (-2)</t>
        </is>
      </c>
      <c r="AK1135" s="155" t="inlineStr">
        <is>
          <t>ProductosCatalogoEstandar907.xlsx: fila 49997 [U] | Criterios: J [R]; G1522_Extraccion_Articulos_NetSuite_2026-09-30.xlsx: fila 58623 [V,S] | Shopify Stetson: producto 15051553079659 / variante 53350588514667 | Odoo: producto 29701 / plantilla 38405</t>
        </is>
      </c>
      <c r="AL1135" s="58" t="n">
        <v>1183.189655</v>
      </c>
      <c r="AM1135" s="58" t="n">
        <v>2629.310345</v>
      </c>
      <c r="AN1135" s="155" t="inlineStr">
        <is>
          <t>Shopify Stetson México | Odoo Universal Unique Brands</t>
        </is>
      </c>
      <c r="AO1135" s="59" t="n">
        <v>0</v>
      </c>
      <c r="AP1135" s="59" t="n"/>
      <c r="AQ1135" s="59" t="n">
        <v>2</v>
      </c>
      <c r="AR1135" s="155" t="inlineStr">
        <is>
          <t>Odoo Universal Unique Brands › Bodega 25 › Bodega 25/General: 2</t>
        </is>
      </c>
    </row>
    <row r="1136">
      <c r="A1136" s="50" t="inlineStr">
        <is>
          <t>199168075170</t>
        </is>
      </c>
      <c r="B1136" s="51" t="inlineStr">
        <is>
          <t>110887</t>
        </is>
      </c>
      <c r="C1136" s="156" t="inlineStr">
        <is>
          <t>Multimarca</t>
        </is>
      </c>
      <c r="D1136" s="156" t="inlineStr">
        <is>
          <t>11-098-0539-0081</t>
        </is>
      </c>
      <c r="E1136" s="156" t="inlineStr">
        <is>
          <t>11-098-0539-0081-L</t>
        </is>
      </c>
      <c r="F1136" s="156" t="inlineStr">
        <is>
          <t>L</t>
        </is>
      </c>
      <c r="G1136" s="156" t="inlineStr">
        <is>
          <t>L</t>
        </is>
      </c>
      <c r="H1136" s="156" t="inlineStr">
        <is>
          <t>Stetson</t>
        </is>
      </c>
      <c r="I1136" s="156" t="inlineStr">
        <is>
          <t>Chamarra Piel Cordero Lisa con Flecos</t>
        </is>
      </c>
      <c r="J1136" s="156" t="inlineStr">
        <is>
          <t>Ropa</t>
        </is>
      </c>
      <c r="K1136" s="156" t="inlineStr">
        <is>
          <t>Chamarras</t>
        </is>
      </c>
      <c r="L1136" s="156" t="inlineStr">
        <is>
          <t>Mujer</t>
        </is>
      </c>
      <c r="M1136" s="156" t="inlineStr">
        <is>
          <t>Stetson</t>
        </is>
      </c>
      <c r="N1136" s="156" t="inlineStr">
        <is>
          <t>SS26</t>
        </is>
      </c>
      <c r="O1136" s="156" t="inlineStr">
        <is>
          <t>Seasonal</t>
        </is>
      </c>
      <c r="P1136" s="156" t="inlineStr">
        <is>
          <t>Negro</t>
        </is>
      </c>
      <c r="Q1136" s="156" t="inlineStr">
        <is>
          <t>Regular</t>
        </is>
      </c>
      <c r="R1136" s="156" t="n"/>
      <c r="S1136" s="156" t="inlineStr">
        <is>
          <t>Cuero</t>
        </is>
      </c>
      <c r="T1136" s="156" t="inlineStr">
        <is>
          <t>Chamarra Piel Cordero Lisa con Flecos Regular</t>
        </is>
      </c>
      <c r="U1136" s="156" t="n"/>
      <c r="V1136" s="156" t="inlineStr">
        <is>
          <t>PZS</t>
        </is>
      </c>
      <c r="W1136" s="51" t="inlineStr">
        <is>
          <t>53101804</t>
        </is>
      </c>
      <c r="X1136" s="156" t="n"/>
      <c r="Y1136" s="54" t="n">
        <v>3413.793103</v>
      </c>
      <c r="Z1136" s="54" t="n">
        <v>7586.206897</v>
      </c>
      <c r="AA1136" s="55">
        <f>IF(AND(A1136="", B1136="", E1136=""), "", IF(AB1136="", "Válido", IF((LEN(AB1136)-LEN(SUBSTITUTE(AB1136,"; ","")))/2+1&gt;(LEN(AB1136)-LEN(SUBSTITUTE(AB1136,"[Aviso]","")))/7, "Con Incidencias", "Válido")))</f>
        <v/>
      </c>
      <c r="AB1136" s="56">
        <f>IF(AND(A1136="", B1136="", E1136=""), "", TEXTJOIN("; ", TRUE, IF(OR(TRIM(A1136&amp;"")="", ISNUMBER(SEARCH("FALTA", A1136))), "UPC faltante/inválido", ""), IF(AND(A1136&lt;&gt;"", IFERROR(_xlfn.XMATCH(A1136,$A$2:$A$2509,0,1)&lt;&gt;_xlfn.XMATCH(A1136,$A$2:$A$2509,0,-1),FALSE)), "Código de barras duplicado", ""), IF(AND(E1136&lt;&gt;"", COUNTIF($E$2:$E$2509, E1136)&gt;1), "SKU duplicado", ""), IF(OR(J1136="", J1136=""), "[Aviso] División no capturada ()", IF(ISNA(MATCH(J1136, Criterios!$A$123:$A$126, 0)), "División no válida", "")), IF(OR(K1136="", K1136=""), "[Aviso] Categoría no capturada ()", IF(ISNA(MATCH(K1136, Criterios!$A$81:$A$120, 0)), "Categoría no válida", IF(AND(J1136&lt;&gt;"", J1136&lt;&gt;"", J1136&lt;&gt;VLOOKUP(K1136, Criterios!$A$81:$B$120, 2, FALSE)), "División no coincide con Categoría", ""))), IF(OR(L1136="", L1136=""), "[Aviso] Género no capturado ()", IF(ISNA(MATCH(L1136, Criterios!$B$123:$B$127, 0)), "Género no válido", "")), IF(OR(N1136="", N1136=""), "[Aviso] Temporada no capturada ()", IF(ISNA(MATCH(N1136, Criterios!$C$123:$C$128, 0)), "Temporada no válida", "")), IF(OR(O1136="", O1136=""), "[Aviso] Ciclo de vida no capturado ()", IF(ISNA(MATCH(O1136, Criterios!$D$123:$D$124, 0)), "Ciclo de vida no válido", ""))))</f>
        <v/>
      </c>
      <c r="AC1136" s="56" t="n"/>
      <c r="AD1136" s="51" t="n">
        <v>0</v>
      </c>
      <c r="AE1136" s="156" t="n"/>
      <c r="AF1136" s="51" t="n">
        <v>0</v>
      </c>
      <c r="AG1136" s="156" t="inlineStr">
        <is>
          <t>Catálogo existente</t>
        </is>
      </c>
      <c r="AH1136"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36" s="156" t="inlineStr">
        <is>
          <t>No</t>
        </is>
      </c>
      <c r="AJ1136" s="156" t="n"/>
      <c r="AK1136" s="155" t="inlineStr">
        <is>
          <t>ProductosCatalogoEstandar907.xlsx: fila 50003 [U] | Criterios: J [R]; G1522_Extraccion_Articulos_NetSuite_2026-09-30.xlsx: fila 58629 [V,S] | Shopify Stetson: producto 15051553210731 / variante 53350588318059 | Odoo: producto 29712 / plantilla 38416</t>
        </is>
      </c>
      <c r="AL1136" s="58" t="n">
        <v>3413.793103</v>
      </c>
      <c r="AM1136" s="58" t="n">
        <v>7586.206897</v>
      </c>
      <c r="AN1136" s="155" t="inlineStr">
        <is>
          <t>Shopify Stetson México | Odoo Universal Unique Brands</t>
        </is>
      </c>
      <c r="AO1136" s="59" t="n">
        <v>1</v>
      </c>
      <c r="AP1136" s="59" t="n"/>
      <c r="AQ1136" s="59" t="n">
        <v>1</v>
      </c>
      <c r="AR1136" s="155" t="inlineStr">
        <is>
          <t>Shopify Stetson México › Stetson Americas: 1 | Odoo Universal Unique Brands › Bodega 25 › Bodega 25/General: 1</t>
        </is>
      </c>
    </row>
    <row r="1137">
      <c r="A1137" s="50" t="inlineStr">
        <is>
          <t>199168075187</t>
        </is>
      </c>
      <c r="B1137" s="51" t="inlineStr">
        <is>
          <t>110888</t>
        </is>
      </c>
      <c r="C1137" s="156" t="inlineStr">
        <is>
          <t>Multimarca</t>
        </is>
      </c>
      <c r="D1137" s="156" t="inlineStr">
        <is>
          <t>11-098-0539-0081</t>
        </is>
      </c>
      <c r="E1137" s="156" t="inlineStr">
        <is>
          <t>11-098-0539-0081-M</t>
        </is>
      </c>
      <c r="F1137" s="156" t="inlineStr">
        <is>
          <t>M</t>
        </is>
      </c>
      <c r="G1137" s="156" t="inlineStr">
        <is>
          <t>M</t>
        </is>
      </c>
      <c r="H1137" s="156" t="inlineStr">
        <is>
          <t>Stetson</t>
        </is>
      </c>
      <c r="I1137" s="156" t="inlineStr">
        <is>
          <t>Chamarra Piel Cordero Lisa con Flecos</t>
        </is>
      </c>
      <c r="J1137" s="156" t="inlineStr">
        <is>
          <t>Ropa</t>
        </is>
      </c>
      <c r="K1137" s="156" t="inlineStr">
        <is>
          <t>Chamarras</t>
        </is>
      </c>
      <c r="L1137" s="156" t="inlineStr">
        <is>
          <t>Mujer</t>
        </is>
      </c>
      <c r="M1137" s="156" t="inlineStr">
        <is>
          <t>Stetson</t>
        </is>
      </c>
      <c r="N1137" s="156" t="inlineStr">
        <is>
          <t>SS26</t>
        </is>
      </c>
      <c r="O1137" s="156" t="inlineStr">
        <is>
          <t>Seasonal</t>
        </is>
      </c>
      <c r="P1137" s="156" t="inlineStr">
        <is>
          <t>Negro</t>
        </is>
      </c>
      <c r="Q1137" s="156" t="inlineStr">
        <is>
          <t>Regular</t>
        </is>
      </c>
      <c r="R1137" s="156" t="n"/>
      <c r="S1137" s="156" t="inlineStr">
        <is>
          <t>Cuero</t>
        </is>
      </c>
      <c r="T1137" s="156" t="inlineStr">
        <is>
          <t>Chamarra Piel Cordero Lisa con Flecos Regular</t>
        </is>
      </c>
      <c r="U1137" s="156" t="n"/>
      <c r="V1137" s="156" t="inlineStr">
        <is>
          <t>PZS</t>
        </is>
      </c>
      <c r="W1137" s="51" t="inlineStr">
        <is>
          <t>53101804</t>
        </is>
      </c>
      <c r="X1137" s="156" t="n"/>
      <c r="Y1137" s="54" t="n">
        <v>3413.793103</v>
      </c>
      <c r="Z1137" s="54" t="n">
        <v>7586.206897</v>
      </c>
      <c r="AA1137" s="55">
        <f>IF(AND(A1137="", B1137="", E1137=""), "", IF(AB1137="", "Válido", IF((LEN(AB1137)-LEN(SUBSTITUTE(AB1137,"; ","")))/2+1&gt;(LEN(AB1137)-LEN(SUBSTITUTE(AB1137,"[Aviso]","")))/7, "Con Incidencias", "Válido")))</f>
        <v/>
      </c>
      <c r="AB1137" s="56">
        <f>IF(AND(A1137="", B1137="", E1137=""), "", TEXTJOIN("; ", TRUE, IF(OR(TRIM(A1137&amp;"")="", ISNUMBER(SEARCH("FALTA", A1137))), "UPC faltante/inválido", ""), IF(AND(A1137&lt;&gt;"", IFERROR(_xlfn.XMATCH(A1137,$A$2:$A$2509,0,1)&lt;&gt;_xlfn.XMATCH(A1137,$A$2:$A$2509,0,-1),FALSE)), "Código de barras duplicado", ""), IF(AND(E1137&lt;&gt;"", COUNTIF($E$2:$E$2509, E1137)&gt;1), "SKU duplicado", ""), IF(OR(J1137="", J1137=""), "[Aviso] División no capturada ()", IF(ISNA(MATCH(J1137, Criterios!$A$123:$A$126, 0)), "División no válida", "")), IF(OR(K1137="", K1137=""), "[Aviso] Categoría no capturada ()", IF(ISNA(MATCH(K1137, Criterios!$A$81:$A$120, 0)), "Categoría no válida", IF(AND(J1137&lt;&gt;"", J1137&lt;&gt;"", J1137&lt;&gt;VLOOKUP(K1137, Criterios!$A$81:$B$120, 2, FALSE)), "División no coincide con Categoría", ""))), IF(OR(L1137="", L1137=""), "[Aviso] Género no capturado ()", IF(ISNA(MATCH(L1137, Criterios!$B$123:$B$127, 0)), "Género no válido", "")), IF(OR(N1137="", N1137=""), "[Aviso] Temporada no capturada ()", IF(ISNA(MATCH(N1137, Criterios!$C$123:$C$128, 0)), "Temporada no válida", "")), IF(OR(O1137="", O1137=""), "[Aviso] Ciclo de vida no capturado ()", IF(ISNA(MATCH(O1137, Criterios!$D$123:$D$124, 0)), "Ciclo de vida no válido", ""))))</f>
        <v/>
      </c>
      <c r="AC1137" s="56" t="n"/>
      <c r="AD1137" s="51" t="n">
        <v>0</v>
      </c>
      <c r="AE1137" s="156" t="n"/>
      <c r="AF1137" s="51" t="n">
        <v>0</v>
      </c>
      <c r="AG1137" s="156" t="inlineStr">
        <is>
          <t>Catálogo existente</t>
        </is>
      </c>
      <c r="AH1137"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37" s="156" t="inlineStr">
        <is>
          <t>No</t>
        </is>
      </c>
      <c r="AJ1137" s="156" t="n"/>
      <c r="AK1137" s="155" t="inlineStr">
        <is>
          <t>ProductosCatalogoEstandar907.xlsx: fila 50004 [U] | Criterios: J [R]; G1522_Extraccion_Articulos_NetSuite_2026-09-30.xlsx: fila 58630 [V,S] | Shopify Stetson: producto 15051553210731 / variante 53350588285291 | Odoo: producto 29711 / plantilla 38415</t>
        </is>
      </c>
      <c r="AL1137" s="58" t="n">
        <v>3413.793103</v>
      </c>
      <c r="AM1137" s="58" t="n">
        <v>7586.206897</v>
      </c>
      <c r="AN1137" s="155" t="inlineStr">
        <is>
          <t>Shopify Stetson México | Odoo Universal Unique Brands</t>
        </is>
      </c>
      <c r="AO1137" s="59" t="n">
        <v>2</v>
      </c>
      <c r="AP1137" s="59" t="n"/>
      <c r="AQ1137" s="59" t="n">
        <v>2</v>
      </c>
      <c r="AR1137" s="155" t="inlineStr">
        <is>
          <t>Shopify Stetson México › Stetson Americas: 2 | Odoo Universal Unique Brands › Bodega 25 › Bodega 25/General: 2</t>
        </is>
      </c>
    </row>
    <row r="1138">
      <c r="A1138" s="50" t="inlineStr">
        <is>
          <t>199168075194</t>
        </is>
      </c>
      <c r="B1138" s="51" t="inlineStr">
        <is>
          <t>110889</t>
        </is>
      </c>
      <c r="C1138" s="156" t="inlineStr">
        <is>
          <t>Multimarca</t>
        </is>
      </c>
      <c r="D1138" s="156" t="inlineStr">
        <is>
          <t>11-098-0539-0081</t>
        </is>
      </c>
      <c r="E1138" s="156" t="inlineStr">
        <is>
          <t>11-098-0539-0081-S</t>
        </is>
      </c>
      <c r="F1138" s="156" t="inlineStr">
        <is>
          <t>S</t>
        </is>
      </c>
      <c r="G1138" s="156" t="inlineStr">
        <is>
          <t>S</t>
        </is>
      </c>
      <c r="H1138" s="156" t="inlineStr">
        <is>
          <t>Stetson</t>
        </is>
      </c>
      <c r="I1138" s="156" t="inlineStr">
        <is>
          <t>Chamarra Piel Cordero Lisa con Flecos</t>
        </is>
      </c>
      <c r="J1138" s="156" t="inlineStr">
        <is>
          <t>Ropa</t>
        </is>
      </c>
      <c r="K1138" s="156" t="inlineStr">
        <is>
          <t>Chamarras</t>
        </is>
      </c>
      <c r="L1138" s="156" t="inlineStr">
        <is>
          <t>Mujer</t>
        </is>
      </c>
      <c r="M1138" s="156" t="inlineStr">
        <is>
          <t>Stetson</t>
        </is>
      </c>
      <c r="N1138" s="156" t="inlineStr">
        <is>
          <t>SS26</t>
        </is>
      </c>
      <c r="O1138" s="156" t="inlineStr">
        <is>
          <t>Seasonal</t>
        </is>
      </c>
      <c r="P1138" s="156" t="inlineStr">
        <is>
          <t>Negro</t>
        </is>
      </c>
      <c r="Q1138" s="156" t="inlineStr">
        <is>
          <t>Regular</t>
        </is>
      </c>
      <c r="R1138" s="156" t="n"/>
      <c r="S1138" s="156" t="inlineStr">
        <is>
          <t>Cuero</t>
        </is>
      </c>
      <c r="T1138" s="156" t="inlineStr">
        <is>
          <t>Chamarra Piel Cordero Lisa con Flecos Regular</t>
        </is>
      </c>
      <c r="U1138" s="156" t="n"/>
      <c r="V1138" s="156" t="inlineStr">
        <is>
          <t>PZS</t>
        </is>
      </c>
      <c r="W1138" s="51" t="inlineStr">
        <is>
          <t>53101804</t>
        </is>
      </c>
      <c r="X1138" s="156" t="n"/>
      <c r="Y1138" s="54" t="n">
        <v>3413.793103</v>
      </c>
      <c r="Z1138" s="54" t="n">
        <v>7586.206897</v>
      </c>
      <c r="AA1138" s="55">
        <f>IF(AND(A1138="", B1138="", E1138=""), "", IF(AB1138="", "Válido", IF((LEN(AB1138)-LEN(SUBSTITUTE(AB1138,"; ","")))/2+1&gt;(LEN(AB1138)-LEN(SUBSTITUTE(AB1138,"[Aviso]","")))/7, "Con Incidencias", "Válido")))</f>
        <v/>
      </c>
      <c r="AB1138" s="56">
        <f>IF(AND(A1138="", B1138="", E1138=""), "", TEXTJOIN("; ", TRUE, IF(OR(TRIM(A1138&amp;"")="", ISNUMBER(SEARCH("FALTA", A1138))), "UPC faltante/inválido", ""), IF(AND(A1138&lt;&gt;"", IFERROR(_xlfn.XMATCH(A1138,$A$2:$A$2509,0,1)&lt;&gt;_xlfn.XMATCH(A1138,$A$2:$A$2509,0,-1),FALSE)), "Código de barras duplicado", ""), IF(AND(E1138&lt;&gt;"", COUNTIF($E$2:$E$2509, E1138)&gt;1), "SKU duplicado", ""), IF(OR(J1138="", J1138=""), "[Aviso] División no capturada ()", IF(ISNA(MATCH(J1138, Criterios!$A$123:$A$126, 0)), "División no válida", "")), IF(OR(K1138="", K1138=""), "[Aviso] Categoría no capturada ()", IF(ISNA(MATCH(K1138, Criterios!$A$81:$A$120, 0)), "Categoría no válida", IF(AND(J1138&lt;&gt;"", J1138&lt;&gt;"", J1138&lt;&gt;VLOOKUP(K1138, Criterios!$A$81:$B$120, 2, FALSE)), "División no coincide con Categoría", ""))), IF(OR(L1138="", L1138=""), "[Aviso] Género no capturado ()", IF(ISNA(MATCH(L1138, Criterios!$B$123:$B$127, 0)), "Género no válido", "")), IF(OR(N1138="", N1138=""), "[Aviso] Temporada no capturada ()", IF(ISNA(MATCH(N1138, Criterios!$C$123:$C$128, 0)), "Temporada no válida", "")), IF(OR(O1138="", O1138=""), "[Aviso] Ciclo de vida no capturado ()", IF(ISNA(MATCH(O1138, Criterios!$D$123:$D$124, 0)), "Ciclo de vida no válido", ""))))</f>
        <v/>
      </c>
      <c r="AC1138" s="56" t="n"/>
      <c r="AD1138" s="51" t="n">
        <v>-2</v>
      </c>
      <c r="AE1138" s="156" t="n"/>
      <c r="AF1138" s="51" t="n">
        <v>0</v>
      </c>
      <c r="AG1138" s="156" t="inlineStr">
        <is>
          <t>Catálogo existente</t>
        </is>
      </c>
      <c r="AH1138"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38" s="156" t="inlineStr">
        <is>
          <t>Sí</t>
        </is>
      </c>
      <c r="AJ1138" s="156" t="inlineStr">
        <is>
          <t>STETSON AMERICAS (-2)</t>
        </is>
      </c>
      <c r="AK1138" s="155" t="inlineStr">
        <is>
          <t>ProductosCatalogoEstandar907.xlsx: fila 50005 [U] | Criterios: J [R]; G1522_Extraccion_Articulos_NetSuite_2026-09-30.xlsx: fila 58631 [V,S] | Shopify Stetson: producto 15051553210731 / variante 53350588252523 | Odoo: producto 29710 / plantilla 38414</t>
        </is>
      </c>
      <c r="AL1138" s="58" t="n">
        <v>3413.793103</v>
      </c>
      <c r="AM1138" s="58" t="n">
        <v>7586.206897</v>
      </c>
      <c r="AN1138" s="155" t="inlineStr">
        <is>
          <t>Shopify Stetson México | Odoo Universal Unique Brands</t>
        </is>
      </c>
      <c r="AO1138" s="59" t="n">
        <v>0</v>
      </c>
      <c r="AP1138" s="59" t="n"/>
      <c r="AQ1138" s="59" t="n">
        <v>2</v>
      </c>
      <c r="AR1138" s="155" t="inlineStr">
        <is>
          <t>Odoo Universal Unique Brands › Bodega 25 › Bodega 25/General: 2</t>
        </is>
      </c>
    </row>
    <row r="1139">
      <c r="A1139" s="50" t="inlineStr">
        <is>
          <t>199168075217</t>
        </is>
      </c>
      <c r="B1139" s="51" t="inlineStr">
        <is>
          <t>110890</t>
        </is>
      </c>
      <c r="C1139" s="156" t="inlineStr">
        <is>
          <t>Multimarca</t>
        </is>
      </c>
      <c r="D1139" s="156" t="inlineStr">
        <is>
          <t>11-098-0539-0081</t>
        </is>
      </c>
      <c r="E1139" s="156" t="inlineStr">
        <is>
          <t>11-098-0539-0081-XS</t>
        </is>
      </c>
      <c r="F1139" s="156" t="inlineStr">
        <is>
          <t>XS</t>
        </is>
      </c>
      <c r="G1139" s="156" t="inlineStr">
        <is>
          <t>XS</t>
        </is>
      </c>
      <c r="H1139" s="156" t="inlineStr">
        <is>
          <t>Stetson</t>
        </is>
      </c>
      <c r="I1139" s="156" t="inlineStr">
        <is>
          <t>Chamarra Piel Cordero Lisa con Flecos</t>
        </is>
      </c>
      <c r="J1139" s="156" t="inlineStr">
        <is>
          <t>Ropa</t>
        </is>
      </c>
      <c r="K1139" s="156" t="inlineStr">
        <is>
          <t>Chamarras</t>
        </is>
      </c>
      <c r="L1139" s="156" t="inlineStr">
        <is>
          <t>Mujer</t>
        </is>
      </c>
      <c r="M1139" s="156" t="inlineStr">
        <is>
          <t>Stetson</t>
        </is>
      </c>
      <c r="N1139" s="156" t="inlineStr">
        <is>
          <t>SS26</t>
        </is>
      </c>
      <c r="O1139" s="156" t="inlineStr">
        <is>
          <t>Seasonal</t>
        </is>
      </c>
      <c r="P1139" s="156" t="inlineStr">
        <is>
          <t>Negro</t>
        </is>
      </c>
      <c r="Q1139" s="156" t="inlineStr">
        <is>
          <t>Regular</t>
        </is>
      </c>
      <c r="R1139" s="156" t="n"/>
      <c r="S1139" s="156" t="inlineStr">
        <is>
          <t>Cuero</t>
        </is>
      </c>
      <c r="T1139" s="156" t="inlineStr">
        <is>
          <t>Chamarra Piel Cordero Lisa con Flecos Regular</t>
        </is>
      </c>
      <c r="U1139" s="156" t="n"/>
      <c r="V1139" s="156" t="inlineStr">
        <is>
          <t>PZS</t>
        </is>
      </c>
      <c r="W1139" s="51" t="inlineStr">
        <is>
          <t>53101804</t>
        </is>
      </c>
      <c r="X1139" s="156" t="n"/>
      <c r="Y1139" s="54" t="n">
        <v>3413.793103</v>
      </c>
      <c r="Z1139" s="54" t="n">
        <v>7586.206897</v>
      </c>
      <c r="AA1139" s="55">
        <f>IF(AND(A1139="", B1139="", E1139=""), "", IF(AB1139="", "Válido", IF((LEN(AB1139)-LEN(SUBSTITUTE(AB1139,"; ","")))/2+1&gt;(LEN(AB1139)-LEN(SUBSTITUTE(AB1139,"[Aviso]","")))/7, "Con Incidencias", "Válido")))</f>
        <v/>
      </c>
      <c r="AB1139" s="56">
        <f>IF(AND(A1139="", B1139="", E1139=""), "", TEXTJOIN("; ", TRUE, IF(OR(TRIM(A1139&amp;"")="", ISNUMBER(SEARCH("FALTA", A1139))), "UPC faltante/inválido", ""), IF(AND(A1139&lt;&gt;"", IFERROR(_xlfn.XMATCH(A1139,$A$2:$A$2509,0,1)&lt;&gt;_xlfn.XMATCH(A1139,$A$2:$A$2509,0,-1),FALSE)), "Código de barras duplicado", ""), IF(AND(E1139&lt;&gt;"", COUNTIF($E$2:$E$2509, E1139)&gt;1), "SKU duplicado", ""), IF(OR(J1139="", J1139=""), "[Aviso] División no capturada ()", IF(ISNA(MATCH(J1139, Criterios!$A$123:$A$126, 0)), "División no válida", "")), IF(OR(K1139="", K1139=""), "[Aviso] Categoría no capturada ()", IF(ISNA(MATCH(K1139, Criterios!$A$81:$A$120, 0)), "Categoría no válida", IF(AND(J1139&lt;&gt;"", J1139&lt;&gt;"", J1139&lt;&gt;VLOOKUP(K1139, Criterios!$A$81:$B$120, 2, FALSE)), "División no coincide con Categoría", ""))), IF(OR(L1139="", L1139=""), "[Aviso] Género no capturado ()", IF(ISNA(MATCH(L1139, Criterios!$B$123:$B$127, 0)), "Género no válido", "")), IF(OR(N1139="", N1139=""), "[Aviso] Temporada no capturada ()", IF(ISNA(MATCH(N1139, Criterios!$C$123:$C$128, 0)), "Temporada no válida", "")), IF(OR(O1139="", O1139=""), "[Aviso] Ciclo de vida no capturado ()", IF(ISNA(MATCH(O1139, Criterios!$D$123:$D$124, 0)), "Ciclo de vida no válido", ""))))</f>
        <v/>
      </c>
      <c r="AC1139" s="56" t="n"/>
      <c r="AD1139" s="51" t="n">
        <v>-1</v>
      </c>
      <c r="AE1139" s="156" t="n"/>
      <c r="AF1139" s="51" t="n">
        <v>0</v>
      </c>
      <c r="AG1139" s="156" t="inlineStr">
        <is>
          <t>Catálogo existente</t>
        </is>
      </c>
      <c r="AH1139"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39" s="156" t="inlineStr">
        <is>
          <t>Sí</t>
        </is>
      </c>
      <c r="AJ1139" s="156" t="inlineStr">
        <is>
          <t>STETSON AMERICAS (-1)</t>
        </is>
      </c>
      <c r="AK1139" s="155" t="inlineStr">
        <is>
          <t>ProductosCatalogoEstandar907.xlsx: fila 50006 [U] | Criterios: J [R]; G1522_Extraccion_Articulos_NetSuite_2026-09-30.xlsx: fila 58632 [V,S] | Shopify Stetson: producto 15051553210731 / variante 53350588219755 | Odoo: producto 29709 / plantilla 38413</t>
        </is>
      </c>
      <c r="AL1139" s="58" t="n">
        <v>3413.793103</v>
      </c>
      <c r="AM1139" s="58" t="n">
        <v>7586.206897</v>
      </c>
      <c r="AN1139" s="155" t="inlineStr">
        <is>
          <t>Shopify Stetson México | Odoo Universal Unique Brands</t>
        </is>
      </c>
      <c r="AO1139" s="59" t="n">
        <v>1</v>
      </c>
      <c r="AP1139" s="59" t="n"/>
      <c r="AQ1139" s="59" t="n">
        <v>2</v>
      </c>
      <c r="AR1139" s="155" t="inlineStr">
        <is>
          <t>Shopify Stetson México › Stetson Americas: 1 | Odoo Universal Unique Brands › Bodega 25 › Bodega 25/General: 2</t>
        </is>
      </c>
    </row>
    <row r="1140">
      <c r="A1140" s="50" t="inlineStr">
        <is>
          <t>199168075354</t>
        </is>
      </c>
      <c r="B1140" s="51" t="inlineStr">
        <is>
          <t>110891</t>
        </is>
      </c>
      <c r="C1140" s="156" t="inlineStr">
        <is>
          <t>Multimarca</t>
        </is>
      </c>
      <c r="D1140" s="156" t="inlineStr">
        <is>
          <t>11-098-0539-7107</t>
        </is>
      </c>
      <c r="E1140" s="156" t="inlineStr">
        <is>
          <t>11-098-0539-7107-L</t>
        </is>
      </c>
      <c r="F1140" s="156" t="inlineStr">
        <is>
          <t>L</t>
        </is>
      </c>
      <c r="G1140" s="156" t="inlineStr">
        <is>
          <t>L</t>
        </is>
      </c>
      <c r="H1140" s="156" t="inlineStr">
        <is>
          <t>Stetson</t>
        </is>
      </c>
      <c r="I1140" s="156" t="inlineStr">
        <is>
          <t>Chamarra Moto Suede Café con Flecos</t>
        </is>
      </c>
      <c r="J1140" s="156" t="inlineStr">
        <is>
          <t>Ropa</t>
        </is>
      </c>
      <c r="K1140" s="156" t="inlineStr">
        <is>
          <t>Chamarras</t>
        </is>
      </c>
      <c r="L1140" s="156" t="inlineStr">
        <is>
          <t>Mujer</t>
        </is>
      </c>
      <c r="M1140" s="156" t="inlineStr">
        <is>
          <t>Stetson</t>
        </is>
      </c>
      <c r="N1140" s="156" t="inlineStr">
        <is>
          <t>SS26</t>
        </is>
      </c>
      <c r="O1140" s="156" t="inlineStr">
        <is>
          <t>Seasonal</t>
        </is>
      </c>
      <c r="P1140" s="156" t="inlineStr">
        <is>
          <t>Cafe</t>
        </is>
      </c>
      <c r="Q1140" s="156" t="inlineStr">
        <is>
          <t>Regular</t>
        </is>
      </c>
      <c r="R1140" s="156" t="n"/>
      <c r="S1140" s="156" t="inlineStr">
        <is>
          <t>Cuero</t>
        </is>
      </c>
      <c r="T1140" s="156" t="inlineStr">
        <is>
          <t>Chamarra Moto Gamuza Café con Flecos Regular</t>
        </is>
      </c>
      <c r="U1140" s="156" t="n"/>
      <c r="V1140" s="156" t="inlineStr">
        <is>
          <t>PZS</t>
        </is>
      </c>
      <c r="W1140" s="51" t="inlineStr">
        <is>
          <t>53101804</t>
        </is>
      </c>
      <c r="X1140" s="156" t="n"/>
      <c r="Y1140" s="54" t="n">
        <v>3413.793103</v>
      </c>
      <c r="Z1140" s="54" t="n">
        <v>7586.206897</v>
      </c>
      <c r="AA1140" s="55">
        <f>IF(AND(A1140="", B1140="", E1140=""), "", IF(AB1140="", "Válido", IF((LEN(AB1140)-LEN(SUBSTITUTE(AB1140,"; ","")))/2+1&gt;(LEN(AB1140)-LEN(SUBSTITUTE(AB1140,"[Aviso]","")))/7, "Con Incidencias", "Válido")))</f>
        <v/>
      </c>
      <c r="AB1140" s="56">
        <f>IF(AND(A1140="", B1140="", E1140=""), "", TEXTJOIN("; ", TRUE, IF(OR(TRIM(A1140&amp;"")="", ISNUMBER(SEARCH("FALTA", A1140))), "UPC faltante/inválido", ""), IF(AND(A1140&lt;&gt;"", IFERROR(_xlfn.XMATCH(A1140,$A$2:$A$2509,0,1)&lt;&gt;_xlfn.XMATCH(A1140,$A$2:$A$2509,0,-1),FALSE)), "Código de barras duplicado", ""), IF(AND(E1140&lt;&gt;"", COUNTIF($E$2:$E$2509, E1140)&gt;1), "SKU duplicado", ""), IF(OR(J1140="", J1140=""), "[Aviso] División no capturada ()", IF(ISNA(MATCH(J1140, Criterios!$A$123:$A$126, 0)), "División no válida", "")), IF(OR(K1140="", K1140=""), "[Aviso] Categoría no capturada ()", IF(ISNA(MATCH(K1140, Criterios!$A$81:$A$120, 0)), "Categoría no válida", IF(AND(J1140&lt;&gt;"", J1140&lt;&gt;"", J1140&lt;&gt;VLOOKUP(K1140, Criterios!$A$81:$B$120, 2, FALSE)), "División no coincide con Categoría", ""))), IF(OR(L1140="", L1140=""), "[Aviso] Género no capturado ()", IF(ISNA(MATCH(L1140, Criterios!$B$123:$B$127, 0)), "Género no válido", "")), IF(OR(N1140="", N1140=""), "[Aviso] Temporada no capturada ()", IF(ISNA(MATCH(N1140, Criterios!$C$123:$C$128, 0)), "Temporada no válida", "")), IF(OR(O1140="", O1140=""), "[Aviso] Ciclo de vida no capturado ()", IF(ISNA(MATCH(O1140, Criterios!$D$123:$D$124, 0)), "Ciclo de vida no válido", ""))))</f>
        <v/>
      </c>
      <c r="AC1140" s="56" t="n"/>
      <c r="AD1140" s="51" t="n">
        <v>-1</v>
      </c>
      <c r="AE1140" s="156" t="n"/>
      <c r="AF1140" s="51" t="n">
        <v>0</v>
      </c>
      <c r="AG1140" s="156" t="inlineStr">
        <is>
          <t>Catálogo existente</t>
        </is>
      </c>
      <c r="AH1140"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0" s="156" t="inlineStr">
        <is>
          <t>Sí</t>
        </is>
      </c>
      <c r="AJ1140" s="156" t="inlineStr">
        <is>
          <t>STETSON AMERICAS (-1)</t>
        </is>
      </c>
      <c r="AK1140" s="155" t="inlineStr">
        <is>
          <t>ProductosCatalogoEstandar907.xlsx: fila 50008 [U] | Criterios: J [R]; G1522_Extraccion_Articulos_NetSuite_2026-09-30.xlsx: fila 58633 [V,S] | Shopify Stetson: producto 15051553276267 / variante 53350588186987 | Odoo: producto 29716 / plantilla 38420</t>
        </is>
      </c>
      <c r="AL1140" s="58" t="n">
        <v>3413.793103</v>
      </c>
      <c r="AM1140" s="58" t="n">
        <v>7586.206897</v>
      </c>
      <c r="AN1140" s="155" t="inlineStr">
        <is>
          <t>Shopify Stetson México | Odoo Universal Unique Brands</t>
        </is>
      </c>
      <c r="AO1140" s="59" t="n">
        <v>0</v>
      </c>
      <c r="AP1140" s="59" t="n"/>
      <c r="AQ1140" s="59" t="n">
        <v>1</v>
      </c>
      <c r="AR1140" s="155" t="inlineStr">
        <is>
          <t>Odoo Universal Unique Brands › Bodega 25 › Bodega 25/General: 1</t>
        </is>
      </c>
    </row>
    <row r="1141">
      <c r="A1141" s="50" t="inlineStr">
        <is>
          <t>199168075361</t>
        </is>
      </c>
      <c r="B1141" s="51" t="inlineStr">
        <is>
          <t>110892</t>
        </is>
      </c>
      <c r="C1141" s="156" t="inlineStr">
        <is>
          <t>Multimarca</t>
        </is>
      </c>
      <c r="D1141" s="156" t="inlineStr">
        <is>
          <t>11-098-0539-7107</t>
        </is>
      </c>
      <c r="E1141" s="156" t="inlineStr">
        <is>
          <t>11-098-0539-7107-M</t>
        </is>
      </c>
      <c r="F1141" s="156" t="inlineStr">
        <is>
          <t>M</t>
        </is>
      </c>
      <c r="G1141" s="156" t="inlineStr">
        <is>
          <t>M</t>
        </is>
      </c>
      <c r="H1141" s="156" t="inlineStr">
        <is>
          <t>Stetson</t>
        </is>
      </c>
      <c r="I1141" s="156" t="inlineStr">
        <is>
          <t>Chamarra Moto Suede Café con Flecos</t>
        </is>
      </c>
      <c r="J1141" s="156" t="inlineStr">
        <is>
          <t>Ropa</t>
        </is>
      </c>
      <c r="K1141" s="156" t="inlineStr">
        <is>
          <t>Chamarras</t>
        </is>
      </c>
      <c r="L1141" s="156" t="inlineStr">
        <is>
          <t>Mujer</t>
        </is>
      </c>
      <c r="M1141" s="156" t="inlineStr">
        <is>
          <t>Stetson</t>
        </is>
      </c>
      <c r="N1141" s="156" t="inlineStr">
        <is>
          <t>SS26</t>
        </is>
      </c>
      <c r="O1141" s="156" t="inlineStr">
        <is>
          <t>Seasonal</t>
        </is>
      </c>
      <c r="P1141" s="156" t="inlineStr">
        <is>
          <t>Cafe</t>
        </is>
      </c>
      <c r="Q1141" s="156" t="inlineStr">
        <is>
          <t>Regular</t>
        </is>
      </c>
      <c r="R1141" s="156" t="n"/>
      <c r="S1141" s="156" t="inlineStr">
        <is>
          <t>Cuero</t>
        </is>
      </c>
      <c r="T1141" s="156" t="inlineStr">
        <is>
          <t>Chamarra Moto Gamuza Café con Flecos Regular</t>
        </is>
      </c>
      <c r="U1141" s="156" t="n"/>
      <c r="V1141" s="156" t="inlineStr">
        <is>
          <t>PZS</t>
        </is>
      </c>
      <c r="W1141" s="51" t="inlineStr">
        <is>
          <t>53101804</t>
        </is>
      </c>
      <c r="X1141" s="156" t="n"/>
      <c r="Y1141" s="54" t="n">
        <v>3413.793103</v>
      </c>
      <c r="Z1141" s="54" t="n">
        <v>7586.206897</v>
      </c>
      <c r="AA1141" s="55">
        <f>IF(AND(A1141="", B1141="", E1141=""), "", IF(AB1141="", "Válido", IF((LEN(AB1141)-LEN(SUBSTITUTE(AB1141,"; ","")))/2+1&gt;(LEN(AB1141)-LEN(SUBSTITUTE(AB1141,"[Aviso]","")))/7, "Con Incidencias", "Válido")))</f>
        <v/>
      </c>
      <c r="AB1141" s="56">
        <f>IF(AND(A1141="", B1141="", E1141=""), "", TEXTJOIN("; ", TRUE, IF(OR(TRIM(A1141&amp;"")="", ISNUMBER(SEARCH("FALTA", A1141))), "UPC faltante/inválido", ""), IF(AND(A1141&lt;&gt;"", IFERROR(_xlfn.XMATCH(A1141,$A$2:$A$2509,0,1)&lt;&gt;_xlfn.XMATCH(A1141,$A$2:$A$2509,0,-1),FALSE)), "Código de barras duplicado", ""), IF(AND(E1141&lt;&gt;"", COUNTIF($E$2:$E$2509, E1141)&gt;1), "SKU duplicado", ""), IF(OR(J1141="", J1141=""), "[Aviso] División no capturada ()", IF(ISNA(MATCH(J1141, Criterios!$A$123:$A$126, 0)), "División no válida", "")), IF(OR(K1141="", K1141=""), "[Aviso] Categoría no capturada ()", IF(ISNA(MATCH(K1141, Criterios!$A$81:$A$120, 0)), "Categoría no válida", IF(AND(J1141&lt;&gt;"", J1141&lt;&gt;"", J1141&lt;&gt;VLOOKUP(K1141, Criterios!$A$81:$B$120, 2, FALSE)), "División no coincide con Categoría", ""))), IF(OR(L1141="", L1141=""), "[Aviso] Género no capturado ()", IF(ISNA(MATCH(L1141, Criterios!$B$123:$B$127, 0)), "Género no válido", "")), IF(OR(N1141="", N1141=""), "[Aviso] Temporada no capturada ()", IF(ISNA(MATCH(N1141, Criterios!$C$123:$C$128, 0)), "Temporada no válida", "")), IF(OR(O1141="", O1141=""), "[Aviso] Ciclo de vida no capturado ()", IF(ISNA(MATCH(O1141, Criterios!$D$123:$D$124, 0)), "Ciclo de vida no válido", ""))))</f>
        <v/>
      </c>
      <c r="AC1141" s="56" t="n"/>
      <c r="AD1141" s="51" t="n">
        <v>-2</v>
      </c>
      <c r="AE1141" s="156" t="n"/>
      <c r="AF1141" s="51" t="n">
        <v>0</v>
      </c>
      <c r="AG1141" s="156" t="inlineStr">
        <is>
          <t>Catálogo existente</t>
        </is>
      </c>
      <c r="AH1141"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1" s="156" t="inlineStr">
        <is>
          <t>Sí</t>
        </is>
      </c>
      <c r="AJ1141" s="156" t="inlineStr">
        <is>
          <t>STETSON AMERICAS (-2)</t>
        </is>
      </c>
      <c r="AK1141" s="155" t="inlineStr">
        <is>
          <t>ProductosCatalogoEstandar907.xlsx: fila 50009 [U] | Criterios: J [R]; G1522_Extraccion_Articulos_NetSuite_2026-09-30.xlsx: fila 58634 [V,S] | Shopify Stetson: producto 15051553276267 / variante 53350588154219 | Odoo: producto 29715 / plantilla 38419</t>
        </is>
      </c>
      <c r="AL1141" s="58" t="n">
        <v>3413.793103</v>
      </c>
      <c r="AM1141" s="58" t="n">
        <v>7586.206897</v>
      </c>
      <c r="AN1141" s="155" t="inlineStr">
        <is>
          <t>Shopify Stetson México | Odoo Universal Unique Brands</t>
        </is>
      </c>
      <c r="AO1141" s="59" t="n">
        <v>0</v>
      </c>
      <c r="AP1141" s="59" t="n"/>
      <c r="AQ1141" s="59" t="n">
        <v>2</v>
      </c>
      <c r="AR1141" s="155" t="inlineStr">
        <is>
          <t>Odoo Universal Unique Brands › Bodega 25 › Bodega 25/General: 2</t>
        </is>
      </c>
    </row>
    <row r="1142">
      <c r="A1142" s="50" t="inlineStr">
        <is>
          <t>199168075378</t>
        </is>
      </c>
      <c r="B1142" s="51" t="inlineStr">
        <is>
          <t>110893</t>
        </is>
      </c>
      <c r="C1142" s="156" t="inlineStr">
        <is>
          <t>Multimarca</t>
        </is>
      </c>
      <c r="D1142" s="156" t="inlineStr">
        <is>
          <t>11-098-0539-7107</t>
        </is>
      </c>
      <c r="E1142" s="156" t="inlineStr">
        <is>
          <t>11-098-0539-7107-S</t>
        </is>
      </c>
      <c r="F1142" s="156" t="inlineStr">
        <is>
          <t>S</t>
        </is>
      </c>
      <c r="G1142" s="156" t="inlineStr">
        <is>
          <t>S</t>
        </is>
      </c>
      <c r="H1142" s="156" t="inlineStr">
        <is>
          <t>Stetson</t>
        </is>
      </c>
      <c r="I1142" s="156" t="inlineStr">
        <is>
          <t>Chamarra Moto Suede Café con Flecos</t>
        </is>
      </c>
      <c r="J1142" s="156" t="inlineStr">
        <is>
          <t>Ropa</t>
        </is>
      </c>
      <c r="K1142" s="156" t="inlineStr">
        <is>
          <t>Chamarras</t>
        </is>
      </c>
      <c r="L1142" s="156" t="inlineStr">
        <is>
          <t>Mujer</t>
        </is>
      </c>
      <c r="M1142" s="156" t="inlineStr">
        <is>
          <t>Stetson</t>
        </is>
      </c>
      <c r="N1142" s="156" t="inlineStr">
        <is>
          <t>SS26</t>
        </is>
      </c>
      <c r="O1142" s="156" t="inlineStr">
        <is>
          <t>Seasonal</t>
        </is>
      </c>
      <c r="P1142" s="156" t="inlineStr">
        <is>
          <t>Cafe</t>
        </is>
      </c>
      <c r="Q1142" s="156" t="inlineStr">
        <is>
          <t>Regular</t>
        </is>
      </c>
      <c r="R1142" s="156" t="n"/>
      <c r="S1142" s="156" t="inlineStr">
        <is>
          <t>Cuero</t>
        </is>
      </c>
      <c r="T1142" s="156" t="inlineStr">
        <is>
          <t>Chamarra Moto Gamuza Café con Flecos Regular</t>
        </is>
      </c>
      <c r="U1142" s="156" t="n"/>
      <c r="V1142" s="156" t="inlineStr">
        <is>
          <t>PZS</t>
        </is>
      </c>
      <c r="W1142" s="51" t="inlineStr">
        <is>
          <t>53101804</t>
        </is>
      </c>
      <c r="X1142" s="156" t="n"/>
      <c r="Y1142" s="54" t="n">
        <v>3413.793103</v>
      </c>
      <c r="Z1142" s="54" t="n">
        <v>7586.206897</v>
      </c>
      <c r="AA1142" s="55">
        <f>IF(AND(A1142="", B1142="", E1142=""), "", IF(AB1142="", "Válido", IF((LEN(AB1142)-LEN(SUBSTITUTE(AB1142,"; ","")))/2+1&gt;(LEN(AB1142)-LEN(SUBSTITUTE(AB1142,"[Aviso]","")))/7, "Con Incidencias", "Válido")))</f>
        <v/>
      </c>
      <c r="AB1142" s="56">
        <f>IF(AND(A1142="", B1142="", E1142=""), "", TEXTJOIN("; ", TRUE, IF(OR(TRIM(A1142&amp;"")="", ISNUMBER(SEARCH("FALTA", A1142))), "UPC faltante/inválido", ""), IF(AND(A1142&lt;&gt;"", IFERROR(_xlfn.XMATCH(A1142,$A$2:$A$2509,0,1)&lt;&gt;_xlfn.XMATCH(A1142,$A$2:$A$2509,0,-1),FALSE)), "Código de barras duplicado", ""), IF(AND(E1142&lt;&gt;"", COUNTIF($E$2:$E$2509, E1142)&gt;1), "SKU duplicado", ""), IF(OR(J1142="", J1142=""), "[Aviso] División no capturada ()", IF(ISNA(MATCH(J1142, Criterios!$A$123:$A$126, 0)), "División no válida", "")), IF(OR(K1142="", K1142=""), "[Aviso] Categoría no capturada ()", IF(ISNA(MATCH(K1142, Criterios!$A$81:$A$120, 0)), "Categoría no válida", IF(AND(J1142&lt;&gt;"", J1142&lt;&gt;"", J1142&lt;&gt;VLOOKUP(K1142, Criterios!$A$81:$B$120, 2, FALSE)), "División no coincide con Categoría", ""))), IF(OR(L1142="", L1142=""), "[Aviso] Género no capturado ()", IF(ISNA(MATCH(L1142, Criterios!$B$123:$B$127, 0)), "Género no válido", "")), IF(OR(N1142="", N1142=""), "[Aviso] Temporada no capturada ()", IF(ISNA(MATCH(N1142, Criterios!$C$123:$C$128, 0)), "Temporada no válida", "")), IF(OR(O1142="", O1142=""), "[Aviso] Ciclo de vida no capturado ()", IF(ISNA(MATCH(O1142, Criterios!$D$123:$D$124, 0)), "Ciclo de vida no válido", ""))))</f>
        <v/>
      </c>
      <c r="AC1142" s="56" t="n"/>
      <c r="AD1142" s="51" t="n">
        <v>-1</v>
      </c>
      <c r="AE1142" s="156" t="n"/>
      <c r="AF1142" s="51" t="n">
        <v>0</v>
      </c>
      <c r="AG1142" s="156" t="inlineStr">
        <is>
          <t>Catálogo existente</t>
        </is>
      </c>
      <c r="AH1142"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2" s="156" t="inlineStr">
        <is>
          <t>Sí</t>
        </is>
      </c>
      <c r="AJ1142" s="156" t="inlineStr">
        <is>
          <t>STETSON AMERICAS (-1)</t>
        </is>
      </c>
      <c r="AK1142" s="155" t="inlineStr">
        <is>
          <t>ProductosCatalogoEstandar907.xlsx: fila 50010 [U] | Criterios: J [R]; G1522_Extraccion_Articulos_NetSuite_2026-09-30.xlsx: fila 58635 [V,S] | Shopify Stetson: producto 15051553276267 / variante 53350588121451 | Odoo: producto 29714 / plantilla 38418</t>
        </is>
      </c>
      <c r="AL1142" s="58" t="n">
        <v>3413.793103</v>
      </c>
      <c r="AM1142" s="58" t="n">
        <v>7586.206897</v>
      </c>
      <c r="AN1142" s="155" t="inlineStr">
        <is>
          <t>Shopify Stetson México | Odoo Universal Unique Brands</t>
        </is>
      </c>
      <c r="AO1142" s="59" t="n">
        <v>0</v>
      </c>
      <c r="AP1142" s="59" t="n"/>
      <c r="AQ1142" s="59" t="n">
        <v>1</v>
      </c>
      <c r="AR1142" s="155" t="inlineStr">
        <is>
          <t>Odoo Universal Unique Brands › Bodega 25 › Bodega 25/General: 1</t>
        </is>
      </c>
    </row>
    <row r="1143">
      <c r="A1143" s="50" t="inlineStr">
        <is>
          <t>199168075385</t>
        </is>
      </c>
      <c r="B1143" s="51" t="inlineStr">
        <is>
          <t>110894</t>
        </is>
      </c>
      <c r="C1143" s="156" t="inlineStr">
        <is>
          <t>Multimarca</t>
        </is>
      </c>
      <c r="D1143" s="156" t="inlineStr">
        <is>
          <t>11-098-0539-7107</t>
        </is>
      </c>
      <c r="E1143" s="156" t="inlineStr">
        <is>
          <t>11-098-0539-7107-XL</t>
        </is>
      </c>
      <c r="F1143" s="156" t="inlineStr">
        <is>
          <t>XL</t>
        </is>
      </c>
      <c r="G1143" s="156" t="inlineStr">
        <is>
          <t>XL</t>
        </is>
      </c>
      <c r="H1143" s="156" t="inlineStr">
        <is>
          <t>Stetson</t>
        </is>
      </c>
      <c r="I1143" s="156" t="inlineStr">
        <is>
          <t>Chamarra Moto Suede Café con Flecos</t>
        </is>
      </c>
      <c r="J1143" s="156" t="inlineStr">
        <is>
          <t>Ropa</t>
        </is>
      </c>
      <c r="K1143" s="156" t="inlineStr">
        <is>
          <t>Chamarras</t>
        </is>
      </c>
      <c r="L1143" s="156" t="inlineStr">
        <is>
          <t>Mujer</t>
        </is>
      </c>
      <c r="M1143" s="156" t="inlineStr">
        <is>
          <t>Stetson</t>
        </is>
      </c>
      <c r="N1143" s="156" t="inlineStr">
        <is>
          <t>SS26</t>
        </is>
      </c>
      <c r="O1143" s="156" t="inlineStr">
        <is>
          <t>Seasonal</t>
        </is>
      </c>
      <c r="P1143" s="156" t="inlineStr">
        <is>
          <t>Cafe</t>
        </is>
      </c>
      <c r="Q1143" s="156" t="inlineStr">
        <is>
          <t>Regular</t>
        </is>
      </c>
      <c r="R1143" s="156" t="n"/>
      <c r="S1143" s="156" t="inlineStr">
        <is>
          <t>Cuero</t>
        </is>
      </c>
      <c r="T1143" s="156" t="inlineStr">
        <is>
          <t>Chamarra Moto Gamuza Café con Flecos Regular</t>
        </is>
      </c>
      <c r="U1143" s="156" t="n"/>
      <c r="V1143" s="156" t="inlineStr">
        <is>
          <t>PZS</t>
        </is>
      </c>
      <c r="W1143" s="51" t="inlineStr">
        <is>
          <t>53101804</t>
        </is>
      </c>
      <c r="X1143" s="156" t="n"/>
      <c r="Y1143" s="54" t="n">
        <v>3413.793103</v>
      </c>
      <c r="Z1143" s="54" t="n">
        <v>7586.206897</v>
      </c>
      <c r="AA1143" s="55">
        <f>IF(AND(A1143="", B1143="", E1143=""), "", IF(AB1143="", "Válido", IF((LEN(AB1143)-LEN(SUBSTITUTE(AB1143,"; ","")))/2+1&gt;(LEN(AB1143)-LEN(SUBSTITUTE(AB1143,"[Aviso]","")))/7, "Con Incidencias", "Válido")))</f>
        <v/>
      </c>
      <c r="AB1143" s="56">
        <f>IF(AND(A1143="", B1143="", E1143=""), "", TEXTJOIN("; ", TRUE, IF(OR(TRIM(A1143&amp;"")="", ISNUMBER(SEARCH("FALTA", A1143))), "UPC faltante/inválido", ""), IF(AND(A1143&lt;&gt;"", IFERROR(_xlfn.XMATCH(A1143,$A$2:$A$2509,0,1)&lt;&gt;_xlfn.XMATCH(A1143,$A$2:$A$2509,0,-1),FALSE)), "Código de barras duplicado", ""), IF(AND(E1143&lt;&gt;"", COUNTIF($E$2:$E$2509, E1143)&gt;1), "SKU duplicado", ""), IF(OR(J1143="", J1143=""), "[Aviso] División no capturada ()", IF(ISNA(MATCH(J1143, Criterios!$A$123:$A$126, 0)), "División no válida", "")), IF(OR(K1143="", K1143=""), "[Aviso] Categoría no capturada ()", IF(ISNA(MATCH(K1143, Criterios!$A$81:$A$120, 0)), "Categoría no válida", IF(AND(J1143&lt;&gt;"", J1143&lt;&gt;"", J1143&lt;&gt;VLOOKUP(K1143, Criterios!$A$81:$B$120, 2, FALSE)), "División no coincide con Categoría", ""))), IF(OR(L1143="", L1143=""), "[Aviso] Género no capturado ()", IF(ISNA(MATCH(L1143, Criterios!$B$123:$B$127, 0)), "Género no válido", "")), IF(OR(N1143="", N1143=""), "[Aviso] Temporada no capturada ()", IF(ISNA(MATCH(N1143, Criterios!$C$123:$C$128, 0)), "Temporada no válida", "")), IF(OR(O1143="", O1143=""), "[Aviso] Ciclo de vida no capturado ()", IF(ISNA(MATCH(O1143, Criterios!$D$123:$D$124, 0)), "Ciclo de vida no válido", ""))))</f>
        <v/>
      </c>
      <c r="AC1143" s="56" t="n"/>
      <c r="AD1143" s="51" t="n">
        <v>0</v>
      </c>
      <c r="AE1143" s="156" t="n"/>
      <c r="AF1143" s="51" t="n">
        <v>0</v>
      </c>
      <c r="AG1143" s="156" t="inlineStr">
        <is>
          <t>Catálogo existente</t>
        </is>
      </c>
      <c r="AH1143" s="156" t="inlineStr">
        <is>
          <t>Revisión 29/09/2026: Campos sin respaldo: X; Auditoría NetSuite 30/09/2026: llenado desde NetSuite [V,S] | Homologación G1522 06/10/2026: WB País de origen: «(blank)» → «» (Corrección aplicada)</t>
        </is>
      </c>
      <c r="AI1143" s="156" t="inlineStr">
        <is>
          <t>No</t>
        </is>
      </c>
      <c r="AJ1143" s="156" t="n"/>
      <c r="AK1143" s="155" t="inlineStr">
        <is>
          <t>ProductosCatalogoEstandar907.xlsx: fila 50011 [U] | Criterios: J [R]; G1522_Extraccion_Articulos_NetSuite_2026-09-30.xlsx: fila 58636 [V,S]</t>
        </is>
      </c>
      <c r="AL1143" s="58" t="n">
        <v>3413.793103</v>
      </c>
      <c r="AM1143" s="58" t="n">
        <v>7586.206897</v>
      </c>
      <c r="AN1143" s="155" t="n"/>
      <c r="AO1143" s="59" t="n"/>
      <c r="AP1143" s="59" t="n"/>
      <c r="AQ1143" s="59" t="n"/>
      <c r="AR1143" s="155" t="n"/>
    </row>
    <row r="1144">
      <c r="A1144" s="50" t="inlineStr">
        <is>
          <t>199168075392</t>
        </is>
      </c>
      <c r="B1144" s="51" t="inlineStr">
        <is>
          <t>110895</t>
        </is>
      </c>
      <c r="C1144" s="156" t="inlineStr">
        <is>
          <t>Multimarca</t>
        </is>
      </c>
      <c r="D1144" s="156" t="inlineStr">
        <is>
          <t>11-098-0539-7107</t>
        </is>
      </c>
      <c r="E1144" s="156" t="inlineStr">
        <is>
          <t>11-098-0539-7107-XS</t>
        </is>
      </c>
      <c r="F1144" s="156" t="inlineStr">
        <is>
          <t>XS</t>
        </is>
      </c>
      <c r="G1144" s="156" t="inlineStr">
        <is>
          <t>XS</t>
        </is>
      </c>
      <c r="H1144" s="156" t="inlineStr">
        <is>
          <t>Stetson</t>
        </is>
      </c>
      <c r="I1144" s="156" t="inlineStr">
        <is>
          <t>Chamarra Moto Suede Café con Flecos</t>
        </is>
      </c>
      <c r="J1144" s="156" t="inlineStr">
        <is>
          <t>Ropa</t>
        </is>
      </c>
      <c r="K1144" s="156" t="inlineStr">
        <is>
          <t>Chamarras</t>
        </is>
      </c>
      <c r="L1144" s="156" t="inlineStr">
        <is>
          <t>Mujer</t>
        </is>
      </c>
      <c r="M1144" s="156" t="inlineStr">
        <is>
          <t>Stetson</t>
        </is>
      </c>
      <c r="N1144" s="156" t="inlineStr">
        <is>
          <t>SS26</t>
        </is>
      </c>
      <c r="O1144" s="156" t="inlineStr">
        <is>
          <t>Seasonal</t>
        </is>
      </c>
      <c r="P1144" s="156" t="inlineStr">
        <is>
          <t>Cafe</t>
        </is>
      </c>
      <c r="Q1144" s="156" t="inlineStr">
        <is>
          <t>Regular</t>
        </is>
      </c>
      <c r="R1144" s="156" t="n"/>
      <c r="S1144" s="156" t="inlineStr">
        <is>
          <t>Cuero</t>
        </is>
      </c>
      <c r="T1144" s="156" t="inlineStr">
        <is>
          <t>Chamarra Moto Gamuza Café con Flecos Regular</t>
        </is>
      </c>
      <c r="U1144" s="156" t="n"/>
      <c r="V1144" s="156" t="inlineStr">
        <is>
          <t>PZS</t>
        </is>
      </c>
      <c r="W1144" s="51" t="inlineStr">
        <is>
          <t>53101804</t>
        </is>
      </c>
      <c r="X1144" s="156" t="n"/>
      <c r="Y1144" s="54" t="n">
        <v>3413.793103</v>
      </c>
      <c r="Z1144" s="54" t="n">
        <v>7586.206897</v>
      </c>
      <c r="AA1144" s="55">
        <f>IF(AND(A1144="", B1144="", E1144=""), "", IF(AB1144="", "Válido", IF((LEN(AB1144)-LEN(SUBSTITUTE(AB1144,"; ","")))/2+1&gt;(LEN(AB1144)-LEN(SUBSTITUTE(AB1144,"[Aviso]","")))/7, "Con Incidencias", "Válido")))</f>
        <v/>
      </c>
      <c r="AB1144" s="56">
        <f>IF(AND(A1144="", B1144="", E1144=""), "", TEXTJOIN("; ", TRUE, IF(OR(TRIM(A1144&amp;"")="", ISNUMBER(SEARCH("FALTA", A1144))), "UPC faltante/inválido", ""), IF(AND(A1144&lt;&gt;"", IFERROR(_xlfn.XMATCH(A1144,$A$2:$A$2509,0,1)&lt;&gt;_xlfn.XMATCH(A1144,$A$2:$A$2509,0,-1),FALSE)), "Código de barras duplicado", ""), IF(AND(E1144&lt;&gt;"", COUNTIF($E$2:$E$2509, E1144)&gt;1), "SKU duplicado", ""), IF(OR(J1144="", J1144=""), "[Aviso] División no capturada ()", IF(ISNA(MATCH(J1144, Criterios!$A$123:$A$126, 0)), "División no válida", "")), IF(OR(K1144="", K1144=""), "[Aviso] Categoría no capturada ()", IF(ISNA(MATCH(K1144, Criterios!$A$81:$A$120, 0)), "Categoría no válida", IF(AND(J1144&lt;&gt;"", J1144&lt;&gt;"", J1144&lt;&gt;VLOOKUP(K1144, Criterios!$A$81:$B$120, 2, FALSE)), "División no coincide con Categoría", ""))), IF(OR(L1144="", L1144=""), "[Aviso] Género no capturado ()", IF(ISNA(MATCH(L1144, Criterios!$B$123:$B$127, 0)), "Género no válido", "")), IF(OR(N1144="", N1144=""), "[Aviso] Temporada no capturada ()", IF(ISNA(MATCH(N1144, Criterios!$C$123:$C$128, 0)), "Temporada no válida", "")), IF(OR(O1144="", O1144=""), "[Aviso] Ciclo de vida no capturado ()", IF(ISNA(MATCH(O1144, Criterios!$D$123:$D$124, 0)), "Ciclo de vida no válido", ""))))</f>
        <v/>
      </c>
      <c r="AC1144" s="56" t="n"/>
      <c r="AD1144" s="51" t="n">
        <v>-1</v>
      </c>
      <c r="AE1144" s="156" t="n"/>
      <c r="AF1144" s="51" t="n">
        <v>0</v>
      </c>
      <c r="AG1144" s="156" t="inlineStr">
        <is>
          <t>Catálogo existente</t>
        </is>
      </c>
      <c r="AH1144"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4" s="156" t="inlineStr">
        <is>
          <t>Sí</t>
        </is>
      </c>
      <c r="AJ1144" s="156" t="inlineStr">
        <is>
          <t>STETSON AMERICAS (-1)</t>
        </is>
      </c>
      <c r="AK1144" s="155" t="inlineStr">
        <is>
          <t>ProductosCatalogoEstandar907.xlsx: fila 50012 [U] | Criterios: J [R]; G1522_Extraccion_Articulos_NetSuite_2026-09-30.xlsx: fila 58637 [V,S] | Shopify Stetson: producto 15051553276267 / variante 53350588088683 | Odoo: producto 29713 / plantilla 38417</t>
        </is>
      </c>
      <c r="AL1144" s="58" t="n">
        <v>3413.793103</v>
      </c>
      <c r="AM1144" s="58" t="n">
        <v>7586.206897</v>
      </c>
      <c r="AN1144" s="155" t="inlineStr">
        <is>
          <t>Shopify Stetson México | Odoo Universal Unique Brands</t>
        </is>
      </c>
      <c r="AO1144" s="59" t="n">
        <v>0</v>
      </c>
      <c r="AP1144" s="59" t="n"/>
      <c r="AQ1144" s="59" t="n">
        <v>1</v>
      </c>
      <c r="AR1144" s="155" t="inlineStr">
        <is>
          <t>Odoo Universal Unique Brands › Bodega 25 › Bodega 25/General: 1</t>
        </is>
      </c>
    </row>
    <row r="1145">
      <c r="A1145" s="50" t="inlineStr">
        <is>
          <t>199168075408</t>
        </is>
      </c>
      <c r="B1145" s="51" t="inlineStr">
        <is>
          <t>110896</t>
        </is>
      </c>
      <c r="C1145" s="156" t="inlineStr">
        <is>
          <t>Multimarca</t>
        </is>
      </c>
      <c r="D1145" s="156" t="inlineStr">
        <is>
          <t>11-098-0539-7108</t>
        </is>
      </c>
      <c r="E1145" s="156" t="inlineStr">
        <is>
          <t>11-098-0539-7108-L</t>
        </is>
      </c>
      <c r="F1145" s="156" t="inlineStr">
        <is>
          <t>L</t>
        </is>
      </c>
      <c r="G1145" s="156" t="inlineStr">
        <is>
          <t>L</t>
        </is>
      </c>
      <c r="H1145" s="156" t="inlineStr">
        <is>
          <t>Stetson</t>
        </is>
      </c>
      <c r="I1145" s="156" t="inlineStr">
        <is>
          <t>Chamarra Gamuza Café Chocolate</t>
        </is>
      </c>
      <c r="J1145" s="156" t="inlineStr">
        <is>
          <t>Ropa</t>
        </is>
      </c>
      <c r="K1145" s="156" t="inlineStr">
        <is>
          <t>Chamarras</t>
        </is>
      </c>
      <c r="L1145" s="156" t="inlineStr">
        <is>
          <t>Mujer</t>
        </is>
      </c>
      <c r="M1145" s="156" t="inlineStr">
        <is>
          <t>Stetson</t>
        </is>
      </c>
      <c r="N1145" s="156" t="inlineStr">
        <is>
          <t>SS26</t>
        </is>
      </c>
      <c r="O1145" s="156" t="inlineStr">
        <is>
          <t>Seasonal</t>
        </is>
      </c>
      <c r="P1145" s="156" t="inlineStr">
        <is>
          <t>Cafe</t>
        </is>
      </c>
      <c r="Q1145" s="156" t="inlineStr">
        <is>
          <t>Regular</t>
        </is>
      </c>
      <c r="R1145" s="156" t="n"/>
      <c r="S1145" s="156" t="inlineStr">
        <is>
          <t>Cuero</t>
        </is>
      </c>
      <c r="T1145" s="156" t="inlineStr">
        <is>
          <t>Chamarra Gamuza Café Chocolate Regular</t>
        </is>
      </c>
      <c r="U1145" s="156" t="n"/>
      <c r="V1145" s="156" t="inlineStr">
        <is>
          <t>PZS</t>
        </is>
      </c>
      <c r="W1145" s="51" t="inlineStr">
        <is>
          <t>53101804</t>
        </is>
      </c>
      <c r="X1145" s="156" t="n"/>
      <c r="Y1145" s="54" t="n">
        <v>3956.896552</v>
      </c>
      <c r="Z1145" s="54" t="n">
        <v>8793.103448</v>
      </c>
      <c r="AA1145" s="55">
        <f>IF(AND(A1145="", B1145="", E1145=""), "", IF(AB1145="", "Válido", IF((LEN(AB1145)-LEN(SUBSTITUTE(AB1145,"; ","")))/2+1&gt;(LEN(AB1145)-LEN(SUBSTITUTE(AB1145,"[Aviso]","")))/7, "Con Incidencias", "Válido")))</f>
        <v/>
      </c>
      <c r="AB1145" s="56">
        <f>IF(AND(A1145="", B1145="", E1145=""), "", TEXTJOIN("; ", TRUE, IF(OR(TRIM(A1145&amp;"")="", ISNUMBER(SEARCH("FALTA", A1145))), "UPC faltante/inválido", ""), IF(AND(A1145&lt;&gt;"", IFERROR(_xlfn.XMATCH(A1145,$A$2:$A$2509,0,1)&lt;&gt;_xlfn.XMATCH(A1145,$A$2:$A$2509,0,-1),FALSE)), "Código de barras duplicado", ""), IF(AND(E1145&lt;&gt;"", COUNTIF($E$2:$E$2509, E1145)&gt;1), "SKU duplicado", ""), IF(OR(J1145="", J1145=""), "[Aviso] División no capturada ()", IF(ISNA(MATCH(J1145, Criterios!$A$123:$A$126, 0)), "División no válida", "")), IF(OR(K1145="", K1145=""), "[Aviso] Categoría no capturada ()", IF(ISNA(MATCH(K1145, Criterios!$A$81:$A$120, 0)), "Categoría no válida", IF(AND(J1145&lt;&gt;"", J1145&lt;&gt;"", J1145&lt;&gt;VLOOKUP(K1145, Criterios!$A$81:$B$120, 2, FALSE)), "División no coincide con Categoría", ""))), IF(OR(L1145="", L1145=""), "[Aviso] Género no capturado ()", IF(ISNA(MATCH(L1145, Criterios!$B$123:$B$127, 0)), "Género no válido", "")), IF(OR(N1145="", N1145=""), "[Aviso] Temporada no capturada ()", IF(ISNA(MATCH(N1145, Criterios!$C$123:$C$128, 0)), "Temporada no válida", "")), IF(OR(O1145="", O1145=""), "[Aviso] Ciclo de vida no capturado ()", IF(ISNA(MATCH(O1145, Criterios!$D$123:$D$124, 0)), "Ciclo de vida no válido", ""))))</f>
        <v/>
      </c>
      <c r="AC1145" s="56" t="n"/>
      <c r="AD1145" s="51" t="n">
        <v>0</v>
      </c>
      <c r="AE1145" s="156" t="n"/>
      <c r="AF1145" s="51" t="n">
        <v>0</v>
      </c>
      <c r="AG1145" s="156" t="inlineStr">
        <is>
          <t>Catálogo existente</t>
        </is>
      </c>
      <c r="AH1145"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5" s="156" t="inlineStr">
        <is>
          <t>No</t>
        </is>
      </c>
      <c r="AJ1145" s="156" t="n"/>
      <c r="AK1145" s="155" t="inlineStr">
        <is>
          <t>ProductosCatalogoEstandar907.xlsx: fila 50013 [U] | Criterios: J [R]; G1522_Extraccion_Articulos_NetSuite_2026-09-30.xlsx: fila 58638 [V,S] | Shopify Stetson: producto 15051553341803 / variante 53350588055915 | Odoo: producto 29720 / plantilla 38424</t>
        </is>
      </c>
      <c r="AL1145" s="58" t="n">
        <v>3956.896552</v>
      </c>
      <c r="AM1145" s="58" t="n">
        <v>8793.103448</v>
      </c>
      <c r="AN1145" s="155" t="inlineStr">
        <is>
          <t>Shopify Stetson México | Odoo Universal Unique Brands</t>
        </is>
      </c>
      <c r="AO1145" s="59" t="n">
        <v>1</v>
      </c>
      <c r="AP1145" s="59" t="n"/>
      <c r="AQ1145" s="59" t="n">
        <v>1</v>
      </c>
      <c r="AR1145" s="155" t="inlineStr">
        <is>
          <t>Shopify Stetson México › Stetson Americas: 1 | Odoo Universal Unique Brands › Bodega 25 › Bodega 25/General: 1</t>
        </is>
      </c>
    </row>
    <row r="1146">
      <c r="A1146" s="50" t="inlineStr">
        <is>
          <t>199168075415</t>
        </is>
      </c>
      <c r="B1146" s="51" t="inlineStr">
        <is>
          <t>110897</t>
        </is>
      </c>
      <c r="C1146" s="156" t="inlineStr">
        <is>
          <t>Multimarca</t>
        </is>
      </c>
      <c r="D1146" s="156" t="inlineStr">
        <is>
          <t>11-098-0539-7108</t>
        </is>
      </c>
      <c r="E1146" s="156" t="inlineStr">
        <is>
          <t>11-098-0539-7108-M</t>
        </is>
      </c>
      <c r="F1146" s="156" t="inlineStr">
        <is>
          <t>M</t>
        </is>
      </c>
      <c r="G1146" s="156" t="inlineStr">
        <is>
          <t>M</t>
        </is>
      </c>
      <c r="H1146" s="156" t="inlineStr">
        <is>
          <t>Stetson</t>
        </is>
      </c>
      <c r="I1146" s="156" t="inlineStr">
        <is>
          <t>Chamarra Gamuza Café Chocolate</t>
        </is>
      </c>
      <c r="J1146" s="156" t="inlineStr">
        <is>
          <t>Ropa</t>
        </is>
      </c>
      <c r="K1146" s="156" t="inlineStr">
        <is>
          <t>Chamarras</t>
        </is>
      </c>
      <c r="L1146" s="156" t="inlineStr">
        <is>
          <t>Mujer</t>
        </is>
      </c>
      <c r="M1146" s="156" t="inlineStr">
        <is>
          <t>Stetson</t>
        </is>
      </c>
      <c r="N1146" s="156" t="inlineStr">
        <is>
          <t>SS26</t>
        </is>
      </c>
      <c r="O1146" s="156" t="inlineStr">
        <is>
          <t>Seasonal</t>
        </is>
      </c>
      <c r="P1146" s="156" t="inlineStr">
        <is>
          <t>Cafe</t>
        </is>
      </c>
      <c r="Q1146" s="156" t="inlineStr">
        <is>
          <t>Regular</t>
        </is>
      </c>
      <c r="R1146" s="156" t="n"/>
      <c r="S1146" s="156" t="inlineStr">
        <is>
          <t>Cuero</t>
        </is>
      </c>
      <c r="T1146" s="156" t="inlineStr">
        <is>
          <t>Chamarra Gamuza Café Chocolate Regular</t>
        </is>
      </c>
      <c r="U1146" s="156" t="n"/>
      <c r="V1146" s="156" t="inlineStr">
        <is>
          <t>PZS</t>
        </is>
      </c>
      <c r="W1146" s="51" t="inlineStr">
        <is>
          <t>53101804</t>
        </is>
      </c>
      <c r="X1146" s="156" t="n"/>
      <c r="Y1146" s="54" t="n">
        <v>3956.896552</v>
      </c>
      <c r="Z1146" s="54" t="n">
        <v>8793.103448</v>
      </c>
      <c r="AA1146" s="55">
        <f>IF(AND(A1146="", B1146="", E1146=""), "", IF(AB1146="", "Válido", IF((LEN(AB1146)-LEN(SUBSTITUTE(AB1146,"; ","")))/2+1&gt;(LEN(AB1146)-LEN(SUBSTITUTE(AB1146,"[Aviso]","")))/7, "Con Incidencias", "Válido")))</f>
        <v/>
      </c>
      <c r="AB1146" s="56">
        <f>IF(AND(A1146="", B1146="", E1146=""), "", TEXTJOIN("; ", TRUE, IF(OR(TRIM(A1146&amp;"")="", ISNUMBER(SEARCH("FALTA", A1146))), "UPC faltante/inválido", ""), IF(AND(A1146&lt;&gt;"", IFERROR(_xlfn.XMATCH(A1146,$A$2:$A$2509,0,1)&lt;&gt;_xlfn.XMATCH(A1146,$A$2:$A$2509,0,-1),FALSE)), "Código de barras duplicado", ""), IF(AND(E1146&lt;&gt;"", COUNTIF($E$2:$E$2509, E1146)&gt;1), "SKU duplicado", ""), IF(OR(J1146="", J1146=""), "[Aviso] División no capturada ()", IF(ISNA(MATCH(J1146, Criterios!$A$123:$A$126, 0)), "División no válida", "")), IF(OR(K1146="", K1146=""), "[Aviso] Categoría no capturada ()", IF(ISNA(MATCH(K1146, Criterios!$A$81:$A$120, 0)), "Categoría no válida", IF(AND(J1146&lt;&gt;"", J1146&lt;&gt;"", J1146&lt;&gt;VLOOKUP(K1146, Criterios!$A$81:$B$120, 2, FALSE)), "División no coincide con Categoría", ""))), IF(OR(L1146="", L1146=""), "[Aviso] Género no capturado ()", IF(ISNA(MATCH(L1146, Criterios!$B$123:$B$127, 0)), "Género no válido", "")), IF(OR(N1146="", N1146=""), "[Aviso] Temporada no capturada ()", IF(ISNA(MATCH(N1146, Criterios!$C$123:$C$128, 0)), "Temporada no válida", "")), IF(OR(O1146="", O1146=""), "[Aviso] Ciclo de vida no capturado ()", IF(ISNA(MATCH(O1146, Criterios!$D$123:$D$124, 0)), "Ciclo de vida no válido", ""))))</f>
        <v/>
      </c>
      <c r="AC1146" s="56" t="n"/>
      <c r="AD1146" s="51" t="n">
        <v>0</v>
      </c>
      <c r="AE1146" s="156" t="n"/>
      <c r="AF1146" s="51" t="n">
        <v>0</v>
      </c>
      <c r="AG1146" s="156" t="inlineStr">
        <is>
          <t>Catálogo existente</t>
        </is>
      </c>
      <c r="AH1146"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6" s="156" t="inlineStr">
        <is>
          <t>No</t>
        </is>
      </c>
      <c r="AJ1146" s="156" t="n"/>
      <c r="AK1146" s="155" t="inlineStr">
        <is>
          <t>ProductosCatalogoEstandar907.xlsx: fila 50014 [U] | Criterios: J [R]; G1522_Extraccion_Articulos_NetSuite_2026-09-30.xlsx: fila 58639 [V,S] | Shopify Stetson: producto 15051553341803 / variante 53350588023147 | Odoo: producto 29719 / plantilla 38423</t>
        </is>
      </c>
      <c r="AL1146" s="58" t="n">
        <v>3956.896552</v>
      </c>
      <c r="AM1146" s="58" t="n">
        <v>8793.103448</v>
      </c>
      <c r="AN1146" s="155" t="inlineStr">
        <is>
          <t>Shopify Stetson México | Odoo Universal Unique Brands</t>
        </is>
      </c>
      <c r="AO1146" s="59" t="n">
        <v>2</v>
      </c>
      <c r="AP1146" s="59" t="n"/>
      <c r="AQ1146" s="59" t="n">
        <v>2</v>
      </c>
      <c r="AR1146" s="155" t="inlineStr">
        <is>
          <t>Shopify Stetson México › Stetson Americas: 2 | Odoo Universal Unique Brands › Bodega 25 › Bodega 25/General: 2</t>
        </is>
      </c>
    </row>
    <row r="1147">
      <c r="A1147" s="50" t="inlineStr">
        <is>
          <t>199168075422</t>
        </is>
      </c>
      <c r="B1147" s="51" t="inlineStr">
        <is>
          <t>110898</t>
        </is>
      </c>
      <c r="C1147" s="156" t="inlineStr">
        <is>
          <t>Multimarca</t>
        </is>
      </c>
      <c r="D1147" s="156" t="inlineStr">
        <is>
          <t>11-098-0539-7108</t>
        </is>
      </c>
      <c r="E1147" s="156" t="inlineStr">
        <is>
          <t>11-098-0539-7108-S</t>
        </is>
      </c>
      <c r="F1147" s="156" t="inlineStr">
        <is>
          <t>S</t>
        </is>
      </c>
      <c r="G1147" s="156" t="inlineStr">
        <is>
          <t>S</t>
        </is>
      </c>
      <c r="H1147" s="156" t="inlineStr">
        <is>
          <t>Stetson</t>
        </is>
      </c>
      <c r="I1147" s="156" t="inlineStr">
        <is>
          <t>Chamarra Gamuza Café Chocolate</t>
        </is>
      </c>
      <c r="J1147" s="156" t="inlineStr">
        <is>
          <t>Ropa</t>
        </is>
      </c>
      <c r="K1147" s="156" t="inlineStr">
        <is>
          <t>Chamarras</t>
        </is>
      </c>
      <c r="L1147" s="156" t="inlineStr">
        <is>
          <t>Mujer</t>
        </is>
      </c>
      <c r="M1147" s="156" t="inlineStr">
        <is>
          <t>Stetson</t>
        </is>
      </c>
      <c r="N1147" s="156" t="inlineStr">
        <is>
          <t>SS26</t>
        </is>
      </c>
      <c r="O1147" s="156" t="inlineStr">
        <is>
          <t>Seasonal</t>
        </is>
      </c>
      <c r="P1147" s="156" t="inlineStr">
        <is>
          <t>Cafe</t>
        </is>
      </c>
      <c r="Q1147" s="156" t="inlineStr">
        <is>
          <t>Regular</t>
        </is>
      </c>
      <c r="R1147" s="156" t="n"/>
      <c r="S1147" s="156" t="inlineStr">
        <is>
          <t>Cuero</t>
        </is>
      </c>
      <c r="T1147" s="156" t="inlineStr">
        <is>
          <t>Chamarra Gamuza Café Chocolate Regular</t>
        </is>
      </c>
      <c r="U1147" s="156" t="n"/>
      <c r="V1147" s="156" t="inlineStr">
        <is>
          <t>PZS</t>
        </is>
      </c>
      <c r="W1147" s="51" t="inlineStr">
        <is>
          <t>53101804</t>
        </is>
      </c>
      <c r="X1147" s="156" t="n"/>
      <c r="Y1147" s="54" t="n">
        <v>3956.896552</v>
      </c>
      <c r="Z1147" s="54" t="n">
        <v>8793.103448</v>
      </c>
      <c r="AA1147" s="55">
        <f>IF(AND(A1147="", B1147="", E1147=""), "", IF(AB1147="", "Válido", IF((LEN(AB1147)-LEN(SUBSTITUTE(AB1147,"; ","")))/2+1&gt;(LEN(AB1147)-LEN(SUBSTITUTE(AB1147,"[Aviso]","")))/7, "Con Incidencias", "Válido")))</f>
        <v/>
      </c>
      <c r="AB1147" s="56">
        <f>IF(AND(A1147="", B1147="", E1147=""), "", TEXTJOIN("; ", TRUE, IF(OR(TRIM(A1147&amp;"")="", ISNUMBER(SEARCH("FALTA", A1147))), "UPC faltante/inválido", ""), IF(AND(A1147&lt;&gt;"", IFERROR(_xlfn.XMATCH(A1147,$A$2:$A$2509,0,1)&lt;&gt;_xlfn.XMATCH(A1147,$A$2:$A$2509,0,-1),FALSE)), "Código de barras duplicado", ""), IF(AND(E1147&lt;&gt;"", COUNTIF($E$2:$E$2509, E1147)&gt;1), "SKU duplicado", ""), IF(OR(J1147="", J1147=""), "[Aviso] División no capturada ()", IF(ISNA(MATCH(J1147, Criterios!$A$123:$A$126, 0)), "División no válida", "")), IF(OR(K1147="", K1147=""), "[Aviso] Categoría no capturada ()", IF(ISNA(MATCH(K1147, Criterios!$A$81:$A$120, 0)), "Categoría no válida", IF(AND(J1147&lt;&gt;"", J1147&lt;&gt;"", J1147&lt;&gt;VLOOKUP(K1147, Criterios!$A$81:$B$120, 2, FALSE)), "División no coincide con Categoría", ""))), IF(OR(L1147="", L1147=""), "[Aviso] Género no capturado ()", IF(ISNA(MATCH(L1147, Criterios!$B$123:$B$127, 0)), "Género no válido", "")), IF(OR(N1147="", N1147=""), "[Aviso] Temporada no capturada ()", IF(ISNA(MATCH(N1147, Criterios!$C$123:$C$128, 0)), "Temporada no válida", "")), IF(OR(O1147="", O1147=""), "[Aviso] Ciclo de vida no capturado ()", IF(ISNA(MATCH(O1147, Criterios!$D$123:$D$124, 0)), "Ciclo de vida no válido", ""))))</f>
        <v/>
      </c>
      <c r="AC1147" s="56" t="n"/>
      <c r="AD1147" s="51" t="n">
        <v>-1</v>
      </c>
      <c r="AE1147" s="156" t="n"/>
      <c r="AF1147" s="51" t="n">
        <v>0</v>
      </c>
      <c r="AG1147" s="156" t="inlineStr">
        <is>
          <t>Catálogo existente</t>
        </is>
      </c>
      <c r="AH1147"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7" s="156" t="inlineStr">
        <is>
          <t>Sí</t>
        </is>
      </c>
      <c r="AJ1147" s="156" t="inlineStr">
        <is>
          <t>STETSON AMERICAS (-1)</t>
        </is>
      </c>
      <c r="AK1147" s="155" t="inlineStr">
        <is>
          <t>ProductosCatalogoEstandar907.xlsx: fila 50015 [U] | Criterios: J [R]; G1522_Extraccion_Articulos_NetSuite_2026-09-30.xlsx: fila 58640 [V,S] | Shopify Stetson: producto 15051553341803 / variante 53350587990379 | Odoo: producto 29718 / plantilla 38422</t>
        </is>
      </c>
      <c r="AL1147" s="58" t="n">
        <v>3956.896552</v>
      </c>
      <c r="AM1147" s="58" t="n">
        <v>8793.103448</v>
      </c>
      <c r="AN1147" s="155" t="inlineStr">
        <is>
          <t>Shopify Stetson México | Odoo Universal Unique Brands</t>
        </is>
      </c>
      <c r="AO1147" s="59" t="n">
        <v>1</v>
      </c>
      <c r="AP1147" s="59" t="n"/>
      <c r="AQ1147" s="59" t="n">
        <v>2</v>
      </c>
      <c r="AR1147" s="155" t="inlineStr">
        <is>
          <t>Shopify Stetson México › Stetson Americas: 1 | Odoo Universal Unique Brands › Bodega 25 › Bodega 25/General: 2</t>
        </is>
      </c>
    </row>
    <row r="1148">
      <c r="A1148" s="50" t="inlineStr">
        <is>
          <t>199168075446</t>
        </is>
      </c>
      <c r="B1148" s="51" t="inlineStr">
        <is>
          <t>110899</t>
        </is>
      </c>
      <c r="C1148" s="156" t="inlineStr">
        <is>
          <t>Multimarca</t>
        </is>
      </c>
      <c r="D1148" s="156" t="inlineStr">
        <is>
          <t>11-098-0539-7108</t>
        </is>
      </c>
      <c r="E1148" s="156" t="inlineStr">
        <is>
          <t>11-098-0539-7108-XS</t>
        </is>
      </c>
      <c r="F1148" s="156" t="inlineStr">
        <is>
          <t>XS</t>
        </is>
      </c>
      <c r="G1148" s="156" t="inlineStr">
        <is>
          <t>XS</t>
        </is>
      </c>
      <c r="H1148" s="156" t="inlineStr">
        <is>
          <t>Stetson</t>
        </is>
      </c>
      <c r="I1148" s="156" t="inlineStr">
        <is>
          <t>Chamarra Gamuza Café Chocolate</t>
        </is>
      </c>
      <c r="J1148" s="156" t="inlineStr">
        <is>
          <t>Ropa</t>
        </is>
      </c>
      <c r="K1148" s="156" t="inlineStr">
        <is>
          <t>Chamarras</t>
        </is>
      </c>
      <c r="L1148" s="156" t="inlineStr">
        <is>
          <t>Mujer</t>
        </is>
      </c>
      <c r="M1148" s="156" t="inlineStr">
        <is>
          <t>Stetson</t>
        </is>
      </c>
      <c r="N1148" s="156" t="inlineStr">
        <is>
          <t>SS26</t>
        </is>
      </c>
      <c r="O1148" s="156" t="inlineStr">
        <is>
          <t>Seasonal</t>
        </is>
      </c>
      <c r="P1148" s="156" t="inlineStr">
        <is>
          <t>Cafe</t>
        </is>
      </c>
      <c r="Q1148" s="156" t="inlineStr">
        <is>
          <t>Regular</t>
        </is>
      </c>
      <c r="R1148" s="156" t="n"/>
      <c r="S1148" s="156" t="inlineStr">
        <is>
          <t>Cuero</t>
        </is>
      </c>
      <c r="T1148" s="156" t="inlineStr">
        <is>
          <t>Chamarra Gamuza Café Chocolate Regular</t>
        </is>
      </c>
      <c r="U1148" s="156" t="n"/>
      <c r="V1148" s="156" t="inlineStr">
        <is>
          <t>PZS</t>
        </is>
      </c>
      <c r="W1148" s="51" t="inlineStr">
        <is>
          <t>53101804</t>
        </is>
      </c>
      <c r="X1148" s="156" t="n"/>
      <c r="Y1148" s="54" t="n">
        <v>3956.896552</v>
      </c>
      <c r="Z1148" s="54" t="n">
        <v>8793.103448</v>
      </c>
      <c r="AA1148" s="55">
        <f>IF(AND(A1148="", B1148="", E1148=""), "", IF(AB1148="", "Válido", IF((LEN(AB1148)-LEN(SUBSTITUTE(AB1148,"; ","")))/2+1&gt;(LEN(AB1148)-LEN(SUBSTITUTE(AB1148,"[Aviso]","")))/7, "Con Incidencias", "Válido")))</f>
        <v/>
      </c>
      <c r="AB1148" s="56">
        <f>IF(AND(A1148="", B1148="", E1148=""), "", TEXTJOIN("; ", TRUE, IF(OR(TRIM(A1148&amp;"")="", ISNUMBER(SEARCH("FALTA", A1148))), "UPC faltante/inválido", ""), IF(AND(A1148&lt;&gt;"", IFERROR(_xlfn.XMATCH(A1148,$A$2:$A$2509,0,1)&lt;&gt;_xlfn.XMATCH(A1148,$A$2:$A$2509,0,-1),FALSE)), "Código de barras duplicado", ""), IF(AND(E1148&lt;&gt;"", COUNTIF($E$2:$E$2509, E1148)&gt;1), "SKU duplicado", ""), IF(OR(J1148="", J1148=""), "[Aviso] División no capturada ()", IF(ISNA(MATCH(J1148, Criterios!$A$123:$A$126, 0)), "División no válida", "")), IF(OR(K1148="", K1148=""), "[Aviso] Categoría no capturada ()", IF(ISNA(MATCH(K1148, Criterios!$A$81:$A$120, 0)), "Categoría no válida", IF(AND(J1148&lt;&gt;"", J1148&lt;&gt;"", J1148&lt;&gt;VLOOKUP(K1148, Criterios!$A$81:$B$120, 2, FALSE)), "División no coincide con Categoría", ""))), IF(OR(L1148="", L1148=""), "[Aviso] Género no capturado ()", IF(ISNA(MATCH(L1148, Criterios!$B$123:$B$127, 0)), "Género no válido", "")), IF(OR(N1148="", N1148=""), "[Aviso] Temporada no capturada ()", IF(ISNA(MATCH(N1148, Criterios!$C$123:$C$128, 0)), "Temporada no válida", "")), IF(OR(O1148="", O1148=""), "[Aviso] Ciclo de vida no capturado ()", IF(ISNA(MATCH(O1148, Criterios!$D$123:$D$124, 0)), "Ciclo de vida no válido", ""))))</f>
        <v/>
      </c>
      <c r="AC1148" s="56" t="n"/>
      <c r="AD1148" s="51" t="n">
        <v>-1</v>
      </c>
      <c r="AE1148" s="156" t="n"/>
      <c r="AF1148" s="51" t="n">
        <v>0</v>
      </c>
      <c r="AG1148" s="156" t="inlineStr">
        <is>
          <t>Catálogo existente</t>
        </is>
      </c>
      <c r="AH1148"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48" s="156" t="inlineStr">
        <is>
          <t>Sí</t>
        </is>
      </c>
      <c r="AJ1148" s="156" t="inlineStr">
        <is>
          <t>STETSON AMERICAS (-1)</t>
        </is>
      </c>
      <c r="AK1148" s="155" t="inlineStr">
        <is>
          <t>ProductosCatalogoEstandar907.xlsx: fila 50016 [U] | Criterios: J [R]; G1522_Extraccion_Articulos_NetSuite_2026-09-30.xlsx: fila 58641 [V,S] | Shopify Stetson: producto 15051553341803 / variante 53350587957611 | Odoo: producto 29717 / plantilla 38421</t>
        </is>
      </c>
      <c r="AL1148" s="58" t="n">
        <v>3956.896552</v>
      </c>
      <c r="AM1148" s="58" t="n">
        <v>8793.103448</v>
      </c>
      <c r="AN1148" s="155" t="inlineStr">
        <is>
          <t>Shopify Stetson México | Odoo Universal Unique Brands</t>
        </is>
      </c>
      <c r="AO1148" s="59" t="n">
        <v>0</v>
      </c>
      <c r="AP1148" s="59" t="n"/>
      <c r="AQ1148" s="59" t="n">
        <v>1</v>
      </c>
      <c r="AR1148" s="155" t="inlineStr">
        <is>
          <t>Odoo Universal Unique Brands › Bodega 25 › Bodega 25/General: 1</t>
        </is>
      </c>
    </row>
    <row r="1149">
      <c r="A1149" s="50" t="inlineStr">
        <is>
          <t>199168129965</t>
        </is>
      </c>
      <c r="B1149" s="51" t="inlineStr">
        <is>
          <t>110504</t>
        </is>
      </c>
      <c r="C1149" s="156" t="inlineStr">
        <is>
          <t>Multimarca</t>
        </is>
      </c>
      <c r="D1149" s="156" t="inlineStr">
        <is>
          <t>03-057-0590-2058</t>
        </is>
      </c>
      <c r="E1149" s="156" t="inlineStr">
        <is>
          <t>03-057-0590-2058-L</t>
        </is>
      </c>
      <c r="F1149" s="156" t="inlineStr">
        <is>
          <t>L</t>
        </is>
      </c>
      <c r="G1149" s="156" t="inlineStr">
        <is>
          <t>L</t>
        </is>
      </c>
      <c r="H1149" s="156" t="inlineStr">
        <is>
          <t>Stetson</t>
        </is>
      </c>
      <c r="I1149" s="156" t="inlineStr">
        <is>
          <t>Vestido Rayon Estampado Racers</t>
        </is>
      </c>
      <c r="J1149" s="156" t="inlineStr">
        <is>
          <t>Ropa</t>
        </is>
      </c>
      <c r="K1149" s="156" t="inlineStr">
        <is>
          <t>Vestidos</t>
        </is>
      </c>
      <c r="L1149" s="156" t="inlineStr">
        <is>
          <t>Mujer</t>
        </is>
      </c>
      <c r="M1149" s="156" t="inlineStr">
        <is>
          <t>Stetson</t>
        </is>
      </c>
      <c r="N1149" s="156" t="inlineStr">
        <is>
          <t>SS26</t>
        </is>
      </c>
      <c r="O1149" s="156" t="inlineStr">
        <is>
          <t>Seasonal</t>
        </is>
      </c>
      <c r="P1149" s="156" t="inlineStr">
        <is>
          <t>Blanco</t>
        </is>
      </c>
      <c r="Q1149" s="156" t="inlineStr">
        <is>
          <t>Regular</t>
        </is>
      </c>
      <c r="R1149" s="156" t="n"/>
      <c r="S1149" s="156" t="inlineStr">
        <is>
          <t>100% Rayón</t>
        </is>
      </c>
      <c r="T1149" s="156" t="inlineStr">
        <is>
          <t>Vestido Rayon Estampado Racers Regular</t>
        </is>
      </c>
      <c r="U1149" s="156" t="n"/>
      <c r="V1149" s="156" t="inlineStr">
        <is>
          <t>PZS</t>
        </is>
      </c>
      <c r="W1149" s="51" t="inlineStr">
        <is>
          <t>53101504</t>
        </is>
      </c>
      <c r="X1149" s="156" t="n"/>
      <c r="Y1149" s="54" t="n">
        <v>543.1034483</v>
      </c>
      <c r="Z1149" s="54" t="n">
        <v>1206.896552</v>
      </c>
      <c r="AA1149" s="55">
        <f>IF(AND(A1149="", B1149="", E1149=""), "", IF(AB1149="", "Válido", IF((LEN(AB1149)-LEN(SUBSTITUTE(AB1149,"; ","")))/2+1&gt;(LEN(AB1149)-LEN(SUBSTITUTE(AB1149,"[Aviso]","")))/7, "Con Incidencias", "Válido")))</f>
        <v/>
      </c>
      <c r="AB1149" s="56">
        <f>IF(AND(A1149="", B1149="", E1149=""), "", TEXTJOIN("; ", TRUE, IF(OR(TRIM(A1149&amp;"")="", ISNUMBER(SEARCH("FALTA", A1149))), "UPC faltante/inválido", ""), IF(AND(A1149&lt;&gt;"", IFERROR(_xlfn.XMATCH(A1149,$A$2:$A$2509,0,1)&lt;&gt;_xlfn.XMATCH(A1149,$A$2:$A$2509,0,-1),FALSE)), "Código de barras duplicado", ""), IF(AND(E1149&lt;&gt;"", COUNTIF($E$2:$E$2509, E1149)&gt;1), "SKU duplicado", ""), IF(OR(J1149="", J1149=""), "[Aviso] División no capturada ()", IF(ISNA(MATCH(J1149, Criterios!$A$123:$A$126, 0)), "División no válida", "")), IF(OR(K1149="", K1149=""), "[Aviso] Categoría no capturada ()", IF(ISNA(MATCH(K1149, Criterios!$A$81:$A$120, 0)), "Categoría no válida", IF(AND(J1149&lt;&gt;"", J1149&lt;&gt;"", J1149&lt;&gt;VLOOKUP(K1149, Criterios!$A$81:$B$120, 2, FALSE)), "División no coincide con Categoría", ""))), IF(OR(L1149="", L1149=""), "[Aviso] Género no capturado ()", IF(ISNA(MATCH(L1149, Criterios!$B$123:$B$127, 0)), "Género no válido", "")), IF(OR(N1149="", N1149=""), "[Aviso] Temporada no capturada ()", IF(ISNA(MATCH(N1149, Criterios!$C$123:$C$128, 0)), "Temporada no válida", "")), IF(OR(O1149="", O1149=""), "[Aviso] Ciclo de vida no capturado ()", IF(ISNA(MATCH(O1149, Criterios!$D$123:$D$124, 0)), "Ciclo de vida no válido", ""))))</f>
        <v/>
      </c>
      <c r="AC1149" s="56" t="n"/>
      <c r="AD1149" s="51" t="n">
        <v>0</v>
      </c>
      <c r="AE1149" s="156" t="n"/>
      <c r="AF1149" s="51" t="n">
        <v>0</v>
      </c>
      <c r="AG1149" s="156" t="inlineStr">
        <is>
          <t>Catálogo existente</t>
        </is>
      </c>
      <c r="AH1149" s="156" t="inlineStr">
        <is>
          <t>Revisión 29/09/2026: Campos sin respaldo: U, X; Auditoría NetSuite 30/09/2026: llenado desde NetSuite [S] | 01/10/2026: complementado desde Shopify Stetson México (match por código de barras): WB Silueta</t>
        </is>
      </c>
      <c r="AI1149" s="156" t="inlineStr">
        <is>
          <t>No</t>
        </is>
      </c>
      <c r="AJ1149" s="156" t="n"/>
      <c r="AK1149" s="155" t="inlineStr">
        <is>
          <t>Criterios: J [R]; G1522_Extraccion_Articulos_NetSuite_2026-09-30.xlsx: fila 58319 [S] | Shopify Stetson: producto 15051551670635 / variante 53350591005035</t>
        </is>
      </c>
      <c r="AL1149" s="58" t="n">
        <v>543.1034483</v>
      </c>
      <c r="AM1149" s="58" t="n">
        <v>1206.896552</v>
      </c>
      <c r="AN1149" s="155" t="inlineStr">
        <is>
          <t>Shopify Stetson México</t>
        </is>
      </c>
      <c r="AO1149" s="59" t="n">
        <v>1</v>
      </c>
      <c r="AP1149" s="59" t="n"/>
      <c r="AQ1149" s="59" t="n"/>
      <c r="AR1149" s="155" t="inlineStr">
        <is>
          <t>Shopify Stetson México › Stetson Americas: 1</t>
        </is>
      </c>
    </row>
    <row r="1150">
      <c r="A1150" s="50" t="inlineStr">
        <is>
          <t>199168129972</t>
        </is>
      </c>
      <c r="B1150" s="51" t="inlineStr">
        <is>
          <t>110505</t>
        </is>
      </c>
      <c r="C1150" s="156" t="inlineStr">
        <is>
          <t>Multimarca</t>
        </is>
      </c>
      <c r="D1150" s="156" t="inlineStr">
        <is>
          <t>03-057-0590-2058</t>
        </is>
      </c>
      <c r="E1150" s="156" t="inlineStr">
        <is>
          <t>03-057-0590-2058-M</t>
        </is>
      </c>
      <c r="F1150" s="156" t="inlineStr">
        <is>
          <t>M</t>
        </is>
      </c>
      <c r="G1150" s="156" t="inlineStr">
        <is>
          <t>M</t>
        </is>
      </c>
      <c r="H1150" s="156" t="inlineStr">
        <is>
          <t>Stetson</t>
        </is>
      </c>
      <c r="I1150" s="156" t="inlineStr">
        <is>
          <t>Vestido Rayon Estampado Racers</t>
        </is>
      </c>
      <c r="J1150" s="156" t="inlineStr">
        <is>
          <t>Ropa</t>
        </is>
      </c>
      <c r="K1150" s="156" t="inlineStr">
        <is>
          <t>Vestidos</t>
        </is>
      </c>
      <c r="L1150" s="156" t="inlineStr">
        <is>
          <t>Mujer</t>
        </is>
      </c>
      <c r="M1150" s="156" t="inlineStr">
        <is>
          <t>Stetson</t>
        </is>
      </c>
      <c r="N1150" s="156" t="inlineStr">
        <is>
          <t>SS26</t>
        </is>
      </c>
      <c r="O1150" s="156" t="inlineStr">
        <is>
          <t>Seasonal</t>
        </is>
      </c>
      <c r="P1150" s="156" t="inlineStr">
        <is>
          <t>Blanco</t>
        </is>
      </c>
      <c r="Q1150" s="156" t="inlineStr">
        <is>
          <t>Regular</t>
        </is>
      </c>
      <c r="R1150" s="156" t="n"/>
      <c r="S1150" s="156" t="inlineStr">
        <is>
          <t>100% Rayón</t>
        </is>
      </c>
      <c r="T1150" s="156" t="inlineStr">
        <is>
          <t>Vestido Rayon Estampado Racers Regular</t>
        </is>
      </c>
      <c r="U1150" s="156" t="n"/>
      <c r="V1150" s="156" t="inlineStr">
        <is>
          <t>PZS</t>
        </is>
      </c>
      <c r="W1150" s="51" t="inlineStr">
        <is>
          <t>53101504</t>
        </is>
      </c>
      <c r="X1150" s="156" t="n"/>
      <c r="Y1150" s="54" t="n">
        <v>543.1034483</v>
      </c>
      <c r="Z1150" s="54" t="n">
        <v>1206.896552</v>
      </c>
      <c r="AA1150" s="55">
        <f>IF(AND(A1150="", B1150="", E1150=""), "", IF(AB1150="", "Válido", IF((LEN(AB1150)-LEN(SUBSTITUTE(AB1150,"; ","")))/2+1&gt;(LEN(AB1150)-LEN(SUBSTITUTE(AB1150,"[Aviso]","")))/7, "Con Incidencias", "Válido")))</f>
        <v/>
      </c>
      <c r="AB1150" s="56">
        <f>IF(AND(A1150="", B1150="", E1150=""), "", TEXTJOIN("; ", TRUE, IF(OR(TRIM(A1150&amp;"")="", ISNUMBER(SEARCH("FALTA", A1150))), "UPC faltante/inválido", ""), IF(AND(A1150&lt;&gt;"", IFERROR(_xlfn.XMATCH(A1150,$A$2:$A$2509,0,1)&lt;&gt;_xlfn.XMATCH(A1150,$A$2:$A$2509,0,-1),FALSE)), "Código de barras duplicado", ""), IF(AND(E1150&lt;&gt;"", COUNTIF($E$2:$E$2509, E1150)&gt;1), "SKU duplicado", ""), IF(OR(J1150="", J1150=""), "[Aviso] División no capturada ()", IF(ISNA(MATCH(J1150, Criterios!$A$123:$A$126, 0)), "División no válida", "")), IF(OR(K1150="", K1150=""), "[Aviso] Categoría no capturada ()", IF(ISNA(MATCH(K1150, Criterios!$A$81:$A$120, 0)), "Categoría no válida", IF(AND(J1150&lt;&gt;"", J1150&lt;&gt;"", J1150&lt;&gt;VLOOKUP(K1150, Criterios!$A$81:$B$120, 2, FALSE)), "División no coincide con Categoría", ""))), IF(OR(L1150="", L1150=""), "[Aviso] Género no capturado ()", IF(ISNA(MATCH(L1150, Criterios!$B$123:$B$127, 0)), "Género no válido", "")), IF(OR(N1150="", N1150=""), "[Aviso] Temporada no capturada ()", IF(ISNA(MATCH(N1150, Criterios!$C$123:$C$128, 0)), "Temporada no válida", "")), IF(OR(O1150="", O1150=""), "[Aviso] Ciclo de vida no capturado ()", IF(ISNA(MATCH(O1150, Criterios!$D$123:$D$124, 0)), "Ciclo de vida no válido", ""))))</f>
        <v/>
      </c>
      <c r="AC1150" s="56" t="n"/>
      <c r="AD1150" s="51" t="n">
        <v>0</v>
      </c>
      <c r="AE1150" s="156" t="n"/>
      <c r="AF1150" s="51" t="n">
        <v>0</v>
      </c>
      <c r="AG1150" s="156" t="inlineStr">
        <is>
          <t>Catálogo existente</t>
        </is>
      </c>
      <c r="AH1150" s="156" t="inlineStr">
        <is>
          <t>Revisión 29/09/2026: Campos sin respaldo: U, X; Auditoría NetSuite 30/09/2026: llenado desde NetSuite [S] | 01/10/2026: complementado desde Shopify Stetson México (match por código de barras): WB Silueta</t>
        </is>
      </c>
      <c r="AI1150" s="156" t="inlineStr">
        <is>
          <t>No</t>
        </is>
      </c>
      <c r="AJ1150" s="156" t="n"/>
      <c r="AK1150" s="155" t="inlineStr">
        <is>
          <t>Criterios: J [R]; G1522_Extraccion_Articulos_NetSuite_2026-09-30.xlsx: fila 58320 [S] | Shopify Stetson: producto 15051551670635 / variante 53350590972267</t>
        </is>
      </c>
      <c r="AL1150" s="58" t="n">
        <v>543.1034483</v>
      </c>
      <c r="AM1150" s="58" t="n">
        <v>1206.896552</v>
      </c>
      <c r="AN1150" s="155" t="inlineStr">
        <is>
          <t>Shopify Stetson México</t>
        </is>
      </c>
      <c r="AO1150" s="59" t="n">
        <v>1</v>
      </c>
      <c r="AP1150" s="59" t="n"/>
      <c r="AQ1150" s="59" t="n"/>
      <c r="AR1150" s="155" t="inlineStr">
        <is>
          <t>Shopify Stetson México › Stetson Americas: 1</t>
        </is>
      </c>
    </row>
    <row r="1151">
      <c r="A1151" s="50" t="inlineStr">
        <is>
          <t>199168129989</t>
        </is>
      </c>
      <c r="B1151" s="51" t="inlineStr">
        <is>
          <t>110506</t>
        </is>
      </c>
      <c r="C1151" s="156" t="inlineStr">
        <is>
          <t>Multimarca</t>
        </is>
      </c>
      <c r="D1151" s="156" t="inlineStr">
        <is>
          <t>03-057-0590-2058</t>
        </is>
      </c>
      <c r="E1151" s="156" t="inlineStr">
        <is>
          <t>03-057-0590-2058-S</t>
        </is>
      </c>
      <c r="F1151" s="156" t="inlineStr">
        <is>
          <t>S</t>
        </is>
      </c>
      <c r="G1151" s="156" t="inlineStr">
        <is>
          <t>S</t>
        </is>
      </c>
      <c r="H1151" s="156" t="inlineStr">
        <is>
          <t>Stetson</t>
        </is>
      </c>
      <c r="I1151" s="156" t="inlineStr">
        <is>
          <t>Vestido Rayon Estampado Racers</t>
        </is>
      </c>
      <c r="J1151" s="156" t="inlineStr">
        <is>
          <t>Ropa</t>
        </is>
      </c>
      <c r="K1151" s="156" t="inlineStr">
        <is>
          <t>Vestidos</t>
        </is>
      </c>
      <c r="L1151" s="156" t="inlineStr">
        <is>
          <t>Mujer</t>
        </is>
      </c>
      <c r="M1151" s="156" t="inlineStr">
        <is>
          <t>Stetson</t>
        </is>
      </c>
      <c r="N1151" s="156" t="inlineStr">
        <is>
          <t>SS26</t>
        </is>
      </c>
      <c r="O1151" s="156" t="inlineStr">
        <is>
          <t>Seasonal</t>
        </is>
      </c>
      <c r="P1151" s="156" t="inlineStr">
        <is>
          <t>Blanco</t>
        </is>
      </c>
      <c r="Q1151" s="156" t="inlineStr">
        <is>
          <t>Regular</t>
        </is>
      </c>
      <c r="R1151" s="156" t="n"/>
      <c r="S1151" s="156" t="inlineStr">
        <is>
          <t>100% Rayón</t>
        </is>
      </c>
      <c r="T1151" s="156" t="inlineStr">
        <is>
          <t>Vestido Rayon Estampado Racers Regular</t>
        </is>
      </c>
      <c r="U1151" s="156" t="n"/>
      <c r="V1151" s="156" t="inlineStr">
        <is>
          <t>PZS</t>
        </is>
      </c>
      <c r="W1151" s="51" t="inlineStr">
        <is>
          <t>53101504</t>
        </is>
      </c>
      <c r="X1151" s="156" t="n"/>
      <c r="Y1151" s="54" t="n">
        <v>543.1034483</v>
      </c>
      <c r="Z1151" s="54" t="n">
        <v>1206.896552</v>
      </c>
      <c r="AA1151" s="55">
        <f>IF(AND(A1151="", B1151="", E1151=""), "", IF(AB1151="", "Válido", IF((LEN(AB1151)-LEN(SUBSTITUTE(AB1151,"; ","")))/2+1&gt;(LEN(AB1151)-LEN(SUBSTITUTE(AB1151,"[Aviso]","")))/7, "Con Incidencias", "Válido")))</f>
        <v/>
      </c>
      <c r="AB1151" s="56">
        <f>IF(AND(A1151="", B1151="", E1151=""), "", TEXTJOIN("; ", TRUE, IF(OR(TRIM(A1151&amp;"")="", ISNUMBER(SEARCH("FALTA", A1151))), "UPC faltante/inválido", ""), IF(AND(A1151&lt;&gt;"", IFERROR(_xlfn.XMATCH(A1151,$A$2:$A$2509,0,1)&lt;&gt;_xlfn.XMATCH(A1151,$A$2:$A$2509,0,-1),FALSE)), "Código de barras duplicado", ""), IF(AND(E1151&lt;&gt;"", COUNTIF($E$2:$E$2509, E1151)&gt;1), "SKU duplicado", ""), IF(OR(J1151="", J1151=""), "[Aviso] División no capturada ()", IF(ISNA(MATCH(J1151, Criterios!$A$123:$A$126, 0)), "División no válida", "")), IF(OR(K1151="", K1151=""), "[Aviso] Categoría no capturada ()", IF(ISNA(MATCH(K1151, Criterios!$A$81:$A$120, 0)), "Categoría no válida", IF(AND(J1151&lt;&gt;"", J1151&lt;&gt;"", J1151&lt;&gt;VLOOKUP(K1151, Criterios!$A$81:$B$120, 2, FALSE)), "División no coincide con Categoría", ""))), IF(OR(L1151="", L1151=""), "[Aviso] Género no capturado ()", IF(ISNA(MATCH(L1151, Criterios!$B$123:$B$127, 0)), "Género no válido", "")), IF(OR(N1151="", N1151=""), "[Aviso] Temporada no capturada ()", IF(ISNA(MATCH(N1151, Criterios!$C$123:$C$128, 0)), "Temporada no válida", "")), IF(OR(O1151="", O1151=""), "[Aviso] Ciclo de vida no capturado ()", IF(ISNA(MATCH(O1151, Criterios!$D$123:$D$124, 0)), "Ciclo de vida no válido", ""))))</f>
        <v/>
      </c>
      <c r="AC1151" s="56" t="n"/>
      <c r="AD1151" s="51" t="n">
        <v>0</v>
      </c>
      <c r="AE1151" s="156" t="n"/>
      <c r="AF1151" s="51" t="n">
        <v>0</v>
      </c>
      <c r="AG1151" s="156" t="inlineStr">
        <is>
          <t>Catálogo existente</t>
        </is>
      </c>
      <c r="AH1151" s="156" t="inlineStr">
        <is>
          <t>Revisión 29/09/2026: Campos sin respaldo: U, X; Auditoría NetSuite 30/09/2026: llenado desde NetSuite [S] | 01/10/2026: complementado desde Shopify Stetson México (match por código de barras): WB Silueta</t>
        </is>
      </c>
      <c r="AI1151" s="156" t="inlineStr">
        <is>
          <t>No</t>
        </is>
      </c>
      <c r="AJ1151" s="156" t="n"/>
      <c r="AK1151" s="155" t="inlineStr">
        <is>
          <t>Criterios: J [R]; G1522_Extraccion_Articulos_NetSuite_2026-09-30.xlsx: fila 58321 [S] | Shopify Stetson: producto 15051551670635 / variante 53350590939499</t>
        </is>
      </c>
      <c r="AL1151" s="58" t="n">
        <v>543.1034483</v>
      </c>
      <c r="AM1151" s="58" t="n">
        <v>1206.896552</v>
      </c>
      <c r="AN1151" s="155" t="inlineStr">
        <is>
          <t>Shopify Stetson México</t>
        </is>
      </c>
      <c r="AO1151" s="59" t="n">
        <v>1</v>
      </c>
      <c r="AP1151" s="59" t="n"/>
      <c r="AQ1151" s="59" t="n"/>
      <c r="AR1151" s="155" t="inlineStr">
        <is>
          <t>Shopify Stetson México › Stetson Americas: 1</t>
        </is>
      </c>
    </row>
    <row r="1152">
      <c r="A1152" s="50" t="inlineStr">
        <is>
          <t>199168130008</t>
        </is>
      </c>
      <c r="B1152" s="51" t="inlineStr">
        <is>
          <t>110507</t>
        </is>
      </c>
      <c r="C1152" s="156" t="inlineStr">
        <is>
          <t>Multimarca</t>
        </is>
      </c>
      <c r="D1152" s="156" t="inlineStr">
        <is>
          <t>03-057-0590-2058</t>
        </is>
      </c>
      <c r="E1152" s="156" t="inlineStr">
        <is>
          <t>03-057-0590-2058-XS</t>
        </is>
      </c>
      <c r="F1152" s="156" t="inlineStr">
        <is>
          <t>XS</t>
        </is>
      </c>
      <c r="G1152" s="156" t="inlineStr">
        <is>
          <t>XS</t>
        </is>
      </c>
      <c r="H1152" s="156" t="inlineStr">
        <is>
          <t>Stetson</t>
        </is>
      </c>
      <c r="I1152" s="156" t="inlineStr">
        <is>
          <t>Vestido Rayon Estampado Racers</t>
        </is>
      </c>
      <c r="J1152" s="156" t="inlineStr">
        <is>
          <t>Ropa</t>
        </is>
      </c>
      <c r="K1152" s="156" t="inlineStr">
        <is>
          <t>Vestidos</t>
        </is>
      </c>
      <c r="L1152" s="156" t="inlineStr">
        <is>
          <t>Mujer</t>
        </is>
      </c>
      <c r="M1152" s="156" t="inlineStr">
        <is>
          <t>Stetson</t>
        </is>
      </c>
      <c r="N1152" s="156" t="inlineStr">
        <is>
          <t>SS26</t>
        </is>
      </c>
      <c r="O1152" s="156" t="inlineStr">
        <is>
          <t>Seasonal</t>
        </is>
      </c>
      <c r="P1152" s="156" t="inlineStr">
        <is>
          <t>Blanco</t>
        </is>
      </c>
      <c r="Q1152" s="156" t="inlineStr">
        <is>
          <t>Regular</t>
        </is>
      </c>
      <c r="R1152" s="156" t="n"/>
      <c r="S1152" s="156" t="inlineStr">
        <is>
          <t>100% Rayón</t>
        </is>
      </c>
      <c r="T1152" s="156" t="inlineStr">
        <is>
          <t>Vestido Rayon Estampado Racers Regular</t>
        </is>
      </c>
      <c r="U1152" s="156" t="n"/>
      <c r="V1152" s="156" t="inlineStr">
        <is>
          <t>PZS</t>
        </is>
      </c>
      <c r="W1152" s="51" t="inlineStr">
        <is>
          <t>53101504</t>
        </is>
      </c>
      <c r="X1152" s="156" t="n"/>
      <c r="Y1152" s="54" t="n">
        <v>543.1034483</v>
      </c>
      <c r="Z1152" s="54" t="n">
        <v>1206.896552</v>
      </c>
      <c r="AA1152" s="55">
        <f>IF(AND(A1152="", B1152="", E1152=""), "", IF(AB1152="", "Válido", IF((LEN(AB1152)-LEN(SUBSTITUTE(AB1152,"; ","")))/2+1&gt;(LEN(AB1152)-LEN(SUBSTITUTE(AB1152,"[Aviso]","")))/7, "Con Incidencias", "Válido")))</f>
        <v/>
      </c>
      <c r="AB1152" s="56">
        <f>IF(AND(A1152="", B1152="", E1152=""), "", TEXTJOIN("; ", TRUE, IF(OR(TRIM(A1152&amp;"")="", ISNUMBER(SEARCH("FALTA", A1152))), "UPC faltante/inválido", ""), IF(AND(A1152&lt;&gt;"", IFERROR(_xlfn.XMATCH(A1152,$A$2:$A$2509,0,1)&lt;&gt;_xlfn.XMATCH(A1152,$A$2:$A$2509,0,-1),FALSE)), "Código de barras duplicado", ""), IF(AND(E1152&lt;&gt;"", COUNTIF($E$2:$E$2509, E1152)&gt;1), "SKU duplicado", ""), IF(OR(J1152="", J1152=""), "[Aviso] División no capturada ()", IF(ISNA(MATCH(J1152, Criterios!$A$123:$A$126, 0)), "División no válida", "")), IF(OR(K1152="", K1152=""), "[Aviso] Categoría no capturada ()", IF(ISNA(MATCH(K1152, Criterios!$A$81:$A$120, 0)), "Categoría no válida", IF(AND(J1152&lt;&gt;"", J1152&lt;&gt;"", J1152&lt;&gt;VLOOKUP(K1152, Criterios!$A$81:$B$120, 2, FALSE)), "División no coincide con Categoría", ""))), IF(OR(L1152="", L1152=""), "[Aviso] Género no capturado ()", IF(ISNA(MATCH(L1152, Criterios!$B$123:$B$127, 0)), "Género no válido", "")), IF(OR(N1152="", N1152=""), "[Aviso] Temporada no capturada ()", IF(ISNA(MATCH(N1152, Criterios!$C$123:$C$128, 0)), "Temporada no válida", "")), IF(OR(O1152="", O1152=""), "[Aviso] Ciclo de vida no capturado ()", IF(ISNA(MATCH(O1152, Criterios!$D$123:$D$124, 0)), "Ciclo de vida no válido", ""))))</f>
        <v/>
      </c>
      <c r="AC1152" s="56" t="n"/>
      <c r="AD1152" s="51" t="n">
        <v>0</v>
      </c>
      <c r="AE1152" s="156" t="n"/>
      <c r="AF1152" s="51" t="n">
        <v>0</v>
      </c>
      <c r="AG1152" s="156" t="inlineStr">
        <is>
          <t>Catálogo existente</t>
        </is>
      </c>
      <c r="AH1152" s="156" t="inlineStr">
        <is>
          <t>Revisión 29/09/2026: Campos sin respaldo: U, X; Auditoría NetSuite 30/09/2026: llenado desde NetSuite [S] | 01/10/2026: complementado desde Shopify Stetson México (match por código de barras): WB Silueta</t>
        </is>
      </c>
      <c r="AI1152" s="156" t="inlineStr">
        <is>
          <t>No</t>
        </is>
      </c>
      <c r="AJ1152" s="156" t="n"/>
      <c r="AK1152" s="155" t="inlineStr">
        <is>
          <t>Criterios: J [R]; G1522_Extraccion_Articulos_NetSuite_2026-09-30.xlsx: fila 58322 [S] | Shopify Stetson: producto 15051551670635 / variante 53350590906731</t>
        </is>
      </c>
      <c r="AL1152" s="58" t="n">
        <v>543.1034483</v>
      </c>
      <c r="AM1152" s="58" t="n">
        <v>1206.896552</v>
      </c>
      <c r="AN1152" s="155" t="inlineStr">
        <is>
          <t>Shopify Stetson México</t>
        </is>
      </c>
      <c r="AO1152" s="59" t="n">
        <v>1</v>
      </c>
      <c r="AP1152" s="59" t="n"/>
      <c r="AQ1152" s="59" t="n"/>
      <c r="AR1152" s="155" t="inlineStr">
        <is>
          <t>Shopify Stetson México › Stetson Americas: 1</t>
        </is>
      </c>
    </row>
    <row r="1153">
      <c r="A1153" s="50" t="inlineStr">
        <is>
          <t>199168133160</t>
        </is>
      </c>
      <c r="B1153" s="51" t="inlineStr">
        <is>
          <t>110675</t>
        </is>
      </c>
      <c r="C1153" s="156" t="inlineStr">
        <is>
          <t>Multimarca</t>
        </is>
      </c>
      <c r="D1153" s="156" t="inlineStr">
        <is>
          <t>11-050-0565-3003</t>
        </is>
      </c>
      <c r="E1153" s="156" t="inlineStr">
        <is>
          <t>11-050-0565-3003-L</t>
        </is>
      </c>
      <c r="F1153" s="156" t="inlineStr">
        <is>
          <t>L</t>
        </is>
      </c>
      <c r="G1153" s="156" t="inlineStr">
        <is>
          <t>L</t>
        </is>
      </c>
      <c r="H1153" s="156" t="inlineStr">
        <is>
          <t>Stetson</t>
        </is>
      </c>
      <c r="I1153" s="156" t="inlineStr">
        <is>
          <t>Blusa Denim Blanca con Bolsillos Sonrisa</t>
        </is>
      </c>
      <c r="J1153" s="156" t="inlineStr">
        <is>
          <t>Ropa</t>
        </is>
      </c>
      <c r="K1153" s="156" t="inlineStr">
        <is>
          <t>Camisas</t>
        </is>
      </c>
      <c r="L1153" s="156" t="inlineStr">
        <is>
          <t>Mujer</t>
        </is>
      </c>
      <c r="M1153" s="156" t="inlineStr">
        <is>
          <t>Stetson</t>
        </is>
      </c>
      <c r="N1153" s="156" t="inlineStr">
        <is>
          <t>SS26</t>
        </is>
      </c>
      <c r="O1153" s="156" t="inlineStr">
        <is>
          <t>Seasonal</t>
        </is>
      </c>
      <c r="P1153" s="156" t="inlineStr">
        <is>
          <t>Blanco</t>
        </is>
      </c>
      <c r="Q1153" s="156" t="inlineStr">
        <is>
          <t>Regular</t>
        </is>
      </c>
      <c r="R1153" s="156" t="n"/>
      <c r="S1153" s="156" t="inlineStr">
        <is>
          <t>65% Algodón 35% Viscosa</t>
        </is>
      </c>
      <c r="T1153" s="156" t="inlineStr">
        <is>
          <t>Blusa Denim Blanca con Bolsillos Sonrisa Regular</t>
        </is>
      </c>
      <c r="U1153" s="156" t="n"/>
      <c r="V1153" s="156" t="inlineStr">
        <is>
          <t>PZS</t>
        </is>
      </c>
      <c r="W1153" s="51" t="inlineStr">
        <is>
          <t>53101604</t>
        </is>
      </c>
      <c r="X1153" s="156" t="n"/>
      <c r="Y1153" s="54" t="n">
        <v>814.6551724</v>
      </c>
      <c r="Z1153" s="54" t="n">
        <v>1810.344828</v>
      </c>
      <c r="AA1153" s="55">
        <f>IF(AND(A1153="", B1153="", E1153=""), "", IF(AB1153="", "Válido", IF((LEN(AB1153)-LEN(SUBSTITUTE(AB1153,"; ","")))/2+1&gt;(LEN(AB1153)-LEN(SUBSTITUTE(AB1153,"[Aviso]","")))/7, "Con Incidencias", "Válido")))</f>
        <v/>
      </c>
      <c r="AB1153" s="56">
        <f>IF(AND(A1153="", B1153="", E1153=""), "", TEXTJOIN("; ", TRUE, IF(OR(TRIM(A1153&amp;"")="", ISNUMBER(SEARCH("FALTA", A1153))), "UPC faltante/inválido", ""), IF(AND(A1153&lt;&gt;"", IFERROR(_xlfn.XMATCH(A1153,$A$2:$A$2509,0,1)&lt;&gt;_xlfn.XMATCH(A1153,$A$2:$A$2509,0,-1),FALSE)), "Código de barras duplicado", ""), IF(AND(E1153&lt;&gt;"", COUNTIF($E$2:$E$2509, E1153)&gt;1), "SKU duplicado", ""), IF(OR(J1153="", J1153=""), "[Aviso] División no capturada ()", IF(ISNA(MATCH(J1153, Criterios!$A$123:$A$126, 0)), "División no válida", "")), IF(OR(K1153="", K1153=""), "[Aviso] Categoría no capturada ()", IF(ISNA(MATCH(K1153, Criterios!$A$81:$A$120, 0)), "Categoría no válida", IF(AND(J1153&lt;&gt;"", J1153&lt;&gt;"", J1153&lt;&gt;VLOOKUP(K1153, Criterios!$A$81:$B$120, 2, FALSE)), "División no coincide con Categoría", ""))), IF(OR(L1153="", L1153=""), "[Aviso] Género no capturado ()", IF(ISNA(MATCH(L1153, Criterios!$B$123:$B$127, 0)), "Género no válido", "")), IF(OR(N1153="", N1153=""), "[Aviso] Temporada no capturada ()", IF(ISNA(MATCH(N1153, Criterios!$C$123:$C$128, 0)), "Temporada no válida", "")), IF(OR(O1153="", O1153=""), "[Aviso] Ciclo de vida no capturado ()", IF(ISNA(MATCH(O1153, Criterios!$D$123:$D$124, 0)), "Ciclo de vida no válido", ""))))</f>
        <v/>
      </c>
      <c r="AC1153" s="56" t="n"/>
      <c r="AD1153" s="51" t="n">
        <v>-2</v>
      </c>
      <c r="AE1153" s="156" t="n"/>
      <c r="AF1153" s="51" t="n">
        <v>0</v>
      </c>
      <c r="AG1153" s="156" t="inlineStr">
        <is>
          <t>Catálogo existente</t>
        </is>
      </c>
      <c r="AH115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3" s="156" t="inlineStr">
        <is>
          <t>Sí</t>
        </is>
      </c>
      <c r="AJ1153" s="156" t="inlineStr">
        <is>
          <t>STETSON AMERICAS (-2)</t>
        </is>
      </c>
      <c r="AK1153" s="155" t="inlineStr">
        <is>
          <t>Criterios: J [R]; G1522_Extraccion_Articulos_NetSuite_2026-09-30.xlsx: fila 58490 [S] | Shopify Stetson: producto 15051553833323 / variante 53350587105643</t>
        </is>
      </c>
      <c r="AL1153" s="58" t="n">
        <v>814.6551724</v>
      </c>
      <c r="AM1153" s="58" t="n">
        <v>1810.344828</v>
      </c>
      <c r="AN1153" s="155" t="inlineStr">
        <is>
          <t>Shopify Stetson México</t>
        </is>
      </c>
      <c r="AO1153" s="59" t="n">
        <v>0</v>
      </c>
      <c r="AP1153" s="59" t="n"/>
      <c r="AQ1153" s="59" t="n"/>
      <c r="AR1153" s="155" t="n"/>
    </row>
    <row r="1154">
      <c r="A1154" s="50" t="inlineStr">
        <is>
          <t>199168133177</t>
        </is>
      </c>
      <c r="B1154" s="51" t="inlineStr">
        <is>
          <t>110676</t>
        </is>
      </c>
      <c r="C1154" s="156" t="inlineStr">
        <is>
          <t>Multimarca</t>
        </is>
      </c>
      <c r="D1154" s="156" t="inlineStr">
        <is>
          <t>11-050-0565-3003</t>
        </is>
      </c>
      <c r="E1154" s="156" t="inlineStr">
        <is>
          <t>11-050-0565-3003-M</t>
        </is>
      </c>
      <c r="F1154" s="156" t="inlineStr">
        <is>
          <t>M</t>
        </is>
      </c>
      <c r="G1154" s="156" t="inlineStr">
        <is>
          <t>M</t>
        </is>
      </c>
      <c r="H1154" s="156" t="inlineStr">
        <is>
          <t>Stetson</t>
        </is>
      </c>
      <c r="I1154" s="156" t="inlineStr">
        <is>
          <t>Blusa Denim Blanca con Bolsillos Sonrisa</t>
        </is>
      </c>
      <c r="J1154" s="156" t="inlineStr">
        <is>
          <t>Ropa</t>
        </is>
      </c>
      <c r="K1154" s="156" t="inlineStr">
        <is>
          <t>Camisas</t>
        </is>
      </c>
      <c r="L1154" s="156" t="inlineStr">
        <is>
          <t>Mujer</t>
        </is>
      </c>
      <c r="M1154" s="156" t="inlineStr">
        <is>
          <t>Stetson</t>
        </is>
      </c>
      <c r="N1154" s="156" t="inlineStr">
        <is>
          <t>SS26</t>
        </is>
      </c>
      <c r="O1154" s="156" t="inlineStr">
        <is>
          <t>Seasonal</t>
        </is>
      </c>
      <c r="P1154" s="156" t="inlineStr">
        <is>
          <t>Blanco</t>
        </is>
      </c>
      <c r="Q1154" s="156" t="inlineStr">
        <is>
          <t>Regular</t>
        </is>
      </c>
      <c r="R1154" s="156" t="n"/>
      <c r="S1154" s="156" t="inlineStr">
        <is>
          <t>65% Algodón 35% Viscosa</t>
        </is>
      </c>
      <c r="T1154" s="156" t="inlineStr">
        <is>
          <t>Blusa Denim Blanca con Bolsillos Sonrisa Regular</t>
        </is>
      </c>
      <c r="U1154" s="156" t="n"/>
      <c r="V1154" s="156" t="inlineStr">
        <is>
          <t>PZS</t>
        </is>
      </c>
      <c r="W1154" s="51" t="inlineStr">
        <is>
          <t>53101604</t>
        </is>
      </c>
      <c r="X1154" s="156" t="n"/>
      <c r="Y1154" s="54" t="n">
        <v>814.6551724</v>
      </c>
      <c r="Z1154" s="54" t="n">
        <v>1810.344828</v>
      </c>
      <c r="AA1154" s="55">
        <f>IF(AND(A1154="", B1154="", E1154=""), "", IF(AB1154="", "Válido", IF((LEN(AB1154)-LEN(SUBSTITUTE(AB1154,"; ","")))/2+1&gt;(LEN(AB1154)-LEN(SUBSTITUTE(AB1154,"[Aviso]","")))/7, "Con Incidencias", "Válido")))</f>
        <v/>
      </c>
      <c r="AB1154" s="56">
        <f>IF(AND(A1154="", B1154="", E1154=""), "", TEXTJOIN("; ", TRUE, IF(OR(TRIM(A1154&amp;"")="", ISNUMBER(SEARCH("FALTA", A1154))), "UPC faltante/inválido", ""), IF(AND(A1154&lt;&gt;"", IFERROR(_xlfn.XMATCH(A1154,$A$2:$A$2509,0,1)&lt;&gt;_xlfn.XMATCH(A1154,$A$2:$A$2509,0,-1),FALSE)), "Código de barras duplicado", ""), IF(AND(E1154&lt;&gt;"", COUNTIF($E$2:$E$2509, E1154)&gt;1), "SKU duplicado", ""), IF(OR(J1154="", J1154=""), "[Aviso] División no capturada ()", IF(ISNA(MATCH(J1154, Criterios!$A$123:$A$126, 0)), "División no válida", "")), IF(OR(K1154="", K1154=""), "[Aviso] Categoría no capturada ()", IF(ISNA(MATCH(K1154, Criterios!$A$81:$A$120, 0)), "Categoría no válida", IF(AND(J1154&lt;&gt;"", J1154&lt;&gt;"", J1154&lt;&gt;VLOOKUP(K1154, Criterios!$A$81:$B$120, 2, FALSE)), "División no coincide con Categoría", ""))), IF(OR(L1154="", L1154=""), "[Aviso] Género no capturado ()", IF(ISNA(MATCH(L1154, Criterios!$B$123:$B$127, 0)), "Género no válido", "")), IF(OR(N1154="", N1154=""), "[Aviso] Temporada no capturada ()", IF(ISNA(MATCH(N1154, Criterios!$C$123:$C$128, 0)), "Temporada no válida", "")), IF(OR(O1154="", O1154=""), "[Aviso] Ciclo de vida no capturado ()", IF(ISNA(MATCH(O1154, Criterios!$D$123:$D$124, 0)), "Ciclo de vida no válido", ""))))</f>
        <v/>
      </c>
      <c r="AC1154" s="56" t="n"/>
      <c r="AD1154" s="51" t="n">
        <v>-2</v>
      </c>
      <c r="AE1154" s="156" t="n"/>
      <c r="AF1154" s="51" t="n">
        <v>0</v>
      </c>
      <c r="AG1154" s="156" t="inlineStr">
        <is>
          <t>Catálogo existente</t>
        </is>
      </c>
      <c r="AH115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4" s="156" t="inlineStr">
        <is>
          <t>Sí</t>
        </is>
      </c>
      <c r="AJ1154" s="156" t="inlineStr">
        <is>
          <t>STETSON AMERICAS (-2)</t>
        </is>
      </c>
      <c r="AK1154" s="155" t="inlineStr">
        <is>
          <t>Criterios: J [R]; G1522_Extraccion_Articulos_NetSuite_2026-09-30.xlsx: fila 58491 [S] | Shopify Stetson: producto 15051553833323 / variante 53350587072875</t>
        </is>
      </c>
      <c r="AL1154" s="58" t="n">
        <v>814.6551724</v>
      </c>
      <c r="AM1154" s="58" t="n">
        <v>1810.344828</v>
      </c>
      <c r="AN1154" s="155" t="inlineStr">
        <is>
          <t>Shopify Stetson México</t>
        </is>
      </c>
      <c r="AO1154" s="59" t="n">
        <v>0</v>
      </c>
      <c r="AP1154" s="59" t="n"/>
      <c r="AQ1154" s="59" t="n"/>
      <c r="AR1154" s="155" t="n"/>
    </row>
    <row r="1155">
      <c r="A1155" s="50" t="inlineStr">
        <is>
          <t>199168133184</t>
        </is>
      </c>
      <c r="B1155" s="51" t="inlineStr">
        <is>
          <t>110677</t>
        </is>
      </c>
      <c r="C1155" s="156" t="inlineStr">
        <is>
          <t>Multimarca</t>
        </is>
      </c>
      <c r="D1155" s="156" t="inlineStr">
        <is>
          <t>11-050-0565-3003</t>
        </is>
      </c>
      <c r="E1155" s="156" t="inlineStr">
        <is>
          <t>11-050-0565-3003-S</t>
        </is>
      </c>
      <c r="F1155" s="156" t="inlineStr">
        <is>
          <t>S</t>
        </is>
      </c>
      <c r="G1155" s="156" t="inlineStr">
        <is>
          <t>S</t>
        </is>
      </c>
      <c r="H1155" s="156" t="inlineStr">
        <is>
          <t>Stetson</t>
        </is>
      </c>
      <c r="I1155" s="156" t="inlineStr">
        <is>
          <t>Blusa Denim Blanca con Bolsillos Sonrisa</t>
        </is>
      </c>
      <c r="J1155" s="156" t="inlineStr">
        <is>
          <t>Ropa</t>
        </is>
      </c>
      <c r="K1155" s="156" t="inlineStr">
        <is>
          <t>Camisas</t>
        </is>
      </c>
      <c r="L1155" s="156" t="inlineStr">
        <is>
          <t>Mujer</t>
        </is>
      </c>
      <c r="M1155" s="156" t="inlineStr">
        <is>
          <t>Stetson</t>
        </is>
      </c>
      <c r="N1155" s="156" t="inlineStr">
        <is>
          <t>SS26</t>
        </is>
      </c>
      <c r="O1155" s="156" t="inlineStr">
        <is>
          <t>Seasonal</t>
        </is>
      </c>
      <c r="P1155" s="156" t="inlineStr">
        <is>
          <t>Blanco</t>
        </is>
      </c>
      <c r="Q1155" s="156" t="inlineStr">
        <is>
          <t>Regular</t>
        </is>
      </c>
      <c r="R1155" s="156" t="n"/>
      <c r="S1155" s="156" t="inlineStr">
        <is>
          <t>65% Algodón 35% Viscosa</t>
        </is>
      </c>
      <c r="T1155" s="156" t="inlineStr">
        <is>
          <t>Blusa Denim Blanca con Bolsillos Sonrisa Regular</t>
        </is>
      </c>
      <c r="U1155" s="156" t="n"/>
      <c r="V1155" s="156" t="inlineStr">
        <is>
          <t>PZS</t>
        </is>
      </c>
      <c r="W1155" s="51" t="inlineStr">
        <is>
          <t>53101604</t>
        </is>
      </c>
      <c r="X1155" s="156" t="n"/>
      <c r="Y1155" s="54" t="n">
        <v>814.6551724</v>
      </c>
      <c r="Z1155" s="54" t="n">
        <v>1810.344828</v>
      </c>
      <c r="AA1155" s="55">
        <f>IF(AND(A1155="", B1155="", E1155=""), "", IF(AB1155="", "Válido", IF((LEN(AB1155)-LEN(SUBSTITUTE(AB1155,"; ","")))/2+1&gt;(LEN(AB1155)-LEN(SUBSTITUTE(AB1155,"[Aviso]","")))/7, "Con Incidencias", "Válido")))</f>
        <v/>
      </c>
      <c r="AB1155" s="56">
        <f>IF(AND(A1155="", B1155="", E1155=""), "", TEXTJOIN("; ", TRUE, IF(OR(TRIM(A1155&amp;"")="", ISNUMBER(SEARCH("FALTA", A1155))), "UPC faltante/inválido", ""), IF(AND(A1155&lt;&gt;"", IFERROR(_xlfn.XMATCH(A1155,$A$2:$A$2509,0,1)&lt;&gt;_xlfn.XMATCH(A1155,$A$2:$A$2509,0,-1),FALSE)), "Código de barras duplicado", ""), IF(AND(E1155&lt;&gt;"", COUNTIF($E$2:$E$2509, E1155)&gt;1), "SKU duplicado", ""), IF(OR(J1155="", J1155=""), "[Aviso] División no capturada ()", IF(ISNA(MATCH(J1155, Criterios!$A$123:$A$126, 0)), "División no válida", "")), IF(OR(K1155="", K1155=""), "[Aviso] Categoría no capturada ()", IF(ISNA(MATCH(K1155, Criterios!$A$81:$A$120, 0)), "Categoría no válida", IF(AND(J1155&lt;&gt;"", J1155&lt;&gt;"", J1155&lt;&gt;VLOOKUP(K1155, Criterios!$A$81:$B$120, 2, FALSE)), "División no coincide con Categoría", ""))), IF(OR(L1155="", L1155=""), "[Aviso] Género no capturado ()", IF(ISNA(MATCH(L1155, Criterios!$B$123:$B$127, 0)), "Género no válido", "")), IF(OR(N1155="", N1155=""), "[Aviso] Temporada no capturada ()", IF(ISNA(MATCH(N1155, Criterios!$C$123:$C$128, 0)), "Temporada no válida", "")), IF(OR(O1155="", O1155=""), "[Aviso] Ciclo de vida no capturado ()", IF(ISNA(MATCH(O1155, Criterios!$D$123:$D$124, 0)), "Ciclo de vida no válido", ""))))</f>
        <v/>
      </c>
      <c r="AC1155" s="56" t="n"/>
      <c r="AD1155" s="51" t="n">
        <v>-2</v>
      </c>
      <c r="AE1155" s="156" t="n"/>
      <c r="AF1155" s="51" t="n">
        <v>0</v>
      </c>
      <c r="AG1155" s="156" t="inlineStr">
        <is>
          <t>Catálogo existente</t>
        </is>
      </c>
      <c r="AH115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5" s="156" t="inlineStr">
        <is>
          <t>Sí</t>
        </is>
      </c>
      <c r="AJ1155" s="156" t="inlineStr">
        <is>
          <t>STETSON AMERICAS (-2)</t>
        </is>
      </c>
      <c r="AK1155" s="155" t="inlineStr">
        <is>
          <t>Criterios: J [R]; G1522_Extraccion_Articulos_NetSuite_2026-09-30.xlsx: fila 58492 [S] | Shopify Stetson: producto 15051553833323 / variante 53350587040107</t>
        </is>
      </c>
      <c r="AL1155" s="58" t="n">
        <v>814.6551724</v>
      </c>
      <c r="AM1155" s="58" t="n">
        <v>1810.344828</v>
      </c>
      <c r="AN1155" s="155" t="inlineStr">
        <is>
          <t>Shopify Stetson México</t>
        </is>
      </c>
      <c r="AO1155" s="59" t="n">
        <v>0</v>
      </c>
      <c r="AP1155" s="59" t="n"/>
      <c r="AQ1155" s="59" t="n"/>
      <c r="AR1155" s="155" t="n"/>
    </row>
    <row r="1156">
      <c r="A1156" s="50" t="inlineStr">
        <is>
          <t>199168133191</t>
        </is>
      </c>
      <c r="B1156" s="51" t="inlineStr">
        <is>
          <t>110678</t>
        </is>
      </c>
      <c r="C1156" s="156" t="inlineStr">
        <is>
          <t>Multimarca</t>
        </is>
      </c>
      <c r="D1156" s="156" t="inlineStr">
        <is>
          <t>11-050-0565-3003</t>
        </is>
      </c>
      <c r="E1156" s="156" t="inlineStr">
        <is>
          <t>11-050-0565-3003-XL</t>
        </is>
      </c>
      <c r="F1156" s="156" t="inlineStr">
        <is>
          <t>XL</t>
        </is>
      </c>
      <c r="G1156" s="156" t="inlineStr">
        <is>
          <t>XL</t>
        </is>
      </c>
      <c r="H1156" s="156" t="inlineStr">
        <is>
          <t>Stetson</t>
        </is>
      </c>
      <c r="I1156" s="156" t="inlineStr">
        <is>
          <t>Blusa Denim Blanca con Bolsillos Sonrisa</t>
        </is>
      </c>
      <c r="J1156" s="156" t="inlineStr">
        <is>
          <t>Ropa</t>
        </is>
      </c>
      <c r="K1156" s="156" t="inlineStr">
        <is>
          <t>Camisas</t>
        </is>
      </c>
      <c r="L1156" s="156" t="inlineStr">
        <is>
          <t>Mujer</t>
        </is>
      </c>
      <c r="M1156" s="156" t="inlineStr">
        <is>
          <t>Stetson</t>
        </is>
      </c>
      <c r="N1156" s="156" t="inlineStr">
        <is>
          <t>SS26</t>
        </is>
      </c>
      <c r="O1156" s="156" t="inlineStr">
        <is>
          <t>Seasonal</t>
        </is>
      </c>
      <c r="P1156" s="156" t="inlineStr">
        <is>
          <t>Blanco</t>
        </is>
      </c>
      <c r="Q1156" s="156" t="inlineStr">
        <is>
          <t>Regular</t>
        </is>
      </c>
      <c r="R1156" s="156" t="n"/>
      <c r="S1156" s="156" t="inlineStr">
        <is>
          <t>65% Algodón 35% Viscosa</t>
        </is>
      </c>
      <c r="T1156" s="156" t="inlineStr">
        <is>
          <t>Blusa Denim Blanca con Bolsillos Sonrisa Regular</t>
        </is>
      </c>
      <c r="U1156" s="156" t="n"/>
      <c r="V1156" s="156" t="inlineStr">
        <is>
          <t>PZS</t>
        </is>
      </c>
      <c r="W1156" s="51" t="inlineStr">
        <is>
          <t>53101604</t>
        </is>
      </c>
      <c r="X1156" s="156" t="n"/>
      <c r="Y1156" s="54" t="n">
        <v>814.6551724</v>
      </c>
      <c r="Z1156" s="54" t="n">
        <v>1810.344828</v>
      </c>
      <c r="AA1156" s="55">
        <f>IF(AND(A1156="", B1156="", E1156=""), "", IF(AB1156="", "Válido", IF((LEN(AB1156)-LEN(SUBSTITUTE(AB1156,"; ","")))/2+1&gt;(LEN(AB1156)-LEN(SUBSTITUTE(AB1156,"[Aviso]","")))/7, "Con Incidencias", "Válido")))</f>
        <v/>
      </c>
      <c r="AB1156" s="56">
        <f>IF(AND(A1156="", B1156="", E1156=""), "", TEXTJOIN("; ", TRUE, IF(OR(TRIM(A1156&amp;"")="", ISNUMBER(SEARCH("FALTA", A1156))), "UPC faltante/inválido", ""), IF(AND(A1156&lt;&gt;"", IFERROR(_xlfn.XMATCH(A1156,$A$2:$A$2509,0,1)&lt;&gt;_xlfn.XMATCH(A1156,$A$2:$A$2509,0,-1),FALSE)), "Código de barras duplicado", ""), IF(AND(E1156&lt;&gt;"", COUNTIF($E$2:$E$2509, E1156)&gt;1), "SKU duplicado", ""), IF(OR(J1156="", J1156=""), "[Aviso] División no capturada ()", IF(ISNA(MATCH(J1156, Criterios!$A$123:$A$126, 0)), "División no válida", "")), IF(OR(K1156="", K1156=""), "[Aviso] Categoría no capturada ()", IF(ISNA(MATCH(K1156, Criterios!$A$81:$A$120, 0)), "Categoría no válida", IF(AND(J1156&lt;&gt;"", J1156&lt;&gt;"", J1156&lt;&gt;VLOOKUP(K1156, Criterios!$A$81:$B$120, 2, FALSE)), "División no coincide con Categoría", ""))), IF(OR(L1156="", L1156=""), "[Aviso] Género no capturado ()", IF(ISNA(MATCH(L1156, Criterios!$B$123:$B$127, 0)), "Género no válido", "")), IF(OR(N1156="", N1156=""), "[Aviso] Temporada no capturada ()", IF(ISNA(MATCH(N1156, Criterios!$C$123:$C$128, 0)), "Temporada no válida", "")), IF(OR(O1156="", O1156=""), "[Aviso] Ciclo de vida no capturado ()", IF(ISNA(MATCH(O1156, Criterios!$D$123:$D$124, 0)), "Ciclo de vida no válido", ""))))</f>
        <v/>
      </c>
      <c r="AC1156" s="56" t="n"/>
      <c r="AD1156" s="51" t="n">
        <v>-1</v>
      </c>
      <c r="AE1156" s="156" t="n"/>
      <c r="AF1156" s="51" t="n">
        <v>0</v>
      </c>
      <c r="AG1156" s="156" t="inlineStr">
        <is>
          <t>Catálogo existente</t>
        </is>
      </c>
      <c r="AH115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6" s="156" t="inlineStr">
        <is>
          <t>Sí</t>
        </is>
      </c>
      <c r="AJ1156" s="156" t="inlineStr">
        <is>
          <t>STETSON AMERICAS (-1)</t>
        </is>
      </c>
      <c r="AK1156" s="155" t="inlineStr">
        <is>
          <t>Criterios: J [R]; G1522_Extraccion_Articulos_NetSuite_2026-09-30.xlsx: fila 58493 [S] | Shopify Stetson: producto 15051553833323 / variante 53350587138411</t>
        </is>
      </c>
      <c r="AL1156" s="58" t="n">
        <v>814.6551724</v>
      </c>
      <c r="AM1156" s="58" t="n">
        <v>1810.344828</v>
      </c>
      <c r="AN1156" s="155" t="inlineStr">
        <is>
          <t>Shopify Stetson México</t>
        </is>
      </c>
      <c r="AO1156" s="59" t="n">
        <v>0</v>
      </c>
      <c r="AP1156" s="59" t="n"/>
      <c r="AQ1156" s="59" t="n"/>
      <c r="AR1156" s="155" t="n"/>
    </row>
    <row r="1157">
      <c r="A1157" s="50" t="inlineStr">
        <is>
          <t>199168133207</t>
        </is>
      </c>
      <c r="B1157" s="51" t="inlineStr">
        <is>
          <t>110679</t>
        </is>
      </c>
      <c r="C1157" s="156" t="inlineStr">
        <is>
          <t>Multimarca</t>
        </is>
      </c>
      <c r="D1157" s="156" t="inlineStr">
        <is>
          <t>11-050-0565-3003</t>
        </is>
      </c>
      <c r="E1157" s="156" t="inlineStr">
        <is>
          <t>11-050-0565-3003-XS</t>
        </is>
      </c>
      <c r="F1157" s="156" t="inlineStr">
        <is>
          <t>XS</t>
        </is>
      </c>
      <c r="G1157" s="156" t="inlineStr">
        <is>
          <t>XS</t>
        </is>
      </c>
      <c r="H1157" s="156" t="inlineStr">
        <is>
          <t>Stetson</t>
        </is>
      </c>
      <c r="I1157" s="156" t="inlineStr">
        <is>
          <t>Blusa Denim Blanca con Bolsillos Sonrisa</t>
        </is>
      </c>
      <c r="J1157" s="156" t="inlineStr">
        <is>
          <t>Ropa</t>
        </is>
      </c>
      <c r="K1157" s="156" t="inlineStr">
        <is>
          <t>Camisas</t>
        </is>
      </c>
      <c r="L1157" s="156" t="inlineStr">
        <is>
          <t>Mujer</t>
        </is>
      </c>
      <c r="M1157" s="156" t="inlineStr">
        <is>
          <t>Stetson</t>
        </is>
      </c>
      <c r="N1157" s="156" t="inlineStr">
        <is>
          <t>SS26</t>
        </is>
      </c>
      <c r="O1157" s="156" t="inlineStr">
        <is>
          <t>Seasonal</t>
        </is>
      </c>
      <c r="P1157" s="156" t="inlineStr">
        <is>
          <t>Blanco</t>
        </is>
      </c>
      <c r="Q1157" s="156" t="inlineStr">
        <is>
          <t>Regular</t>
        </is>
      </c>
      <c r="R1157" s="156" t="n"/>
      <c r="S1157" s="156" t="inlineStr">
        <is>
          <t>65% Algodón 35% Viscosa</t>
        </is>
      </c>
      <c r="T1157" s="156" t="inlineStr">
        <is>
          <t>Blusa Denim Blanca con Bolsillos Sonrisa Regular</t>
        </is>
      </c>
      <c r="U1157" s="156" t="n"/>
      <c r="V1157" s="156" t="inlineStr">
        <is>
          <t>PZS</t>
        </is>
      </c>
      <c r="W1157" s="51" t="inlineStr">
        <is>
          <t>53101604</t>
        </is>
      </c>
      <c r="X1157" s="156" t="n"/>
      <c r="Y1157" s="54" t="n">
        <v>814.6551724</v>
      </c>
      <c r="Z1157" s="54" t="n">
        <v>1810.344828</v>
      </c>
      <c r="AA1157" s="55">
        <f>IF(AND(A1157="", B1157="", E1157=""), "", IF(AB1157="", "Válido", IF((LEN(AB1157)-LEN(SUBSTITUTE(AB1157,"; ","")))/2+1&gt;(LEN(AB1157)-LEN(SUBSTITUTE(AB1157,"[Aviso]","")))/7, "Con Incidencias", "Válido")))</f>
        <v/>
      </c>
      <c r="AB1157" s="56">
        <f>IF(AND(A1157="", B1157="", E1157=""), "", TEXTJOIN("; ", TRUE, IF(OR(TRIM(A1157&amp;"")="", ISNUMBER(SEARCH("FALTA", A1157))), "UPC faltante/inválido", ""), IF(AND(A1157&lt;&gt;"", IFERROR(_xlfn.XMATCH(A1157,$A$2:$A$2509,0,1)&lt;&gt;_xlfn.XMATCH(A1157,$A$2:$A$2509,0,-1),FALSE)), "Código de barras duplicado", ""), IF(AND(E1157&lt;&gt;"", COUNTIF($E$2:$E$2509, E1157)&gt;1), "SKU duplicado", ""), IF(OR(J1157="", J1157=""), "[Aviso] División no capturada ()", IF(ISNA(MATCH(J1157, Criterios!$A$123:$A$126, 0)), "División no válida", "")), IF(OR(K1157="", K1157=""), "[Aviso] Categoría no capturada ()", IF(ISNA(MATCH(K1157, Criterios!$A$81:$A$120, 0)), "Categoría no válida", IF(AND(J1157&lt;&gt;"", J1157&lt;&gt;"", J1157&lt;&gt;VLOOKUP(K1157, Criterios!$A$81:$B$120, 2, FALSE)), "División no coincide con Categoría", ""))), IF(OR(L1157="", L1157=""), "[Aviso] Género no capturado ()", IF(ISNA(MATCH(L1157, Criterios!$B$123:$B$127, 0)), "Género no válido", "")), IF(OR(N1157="", N1157=""), "[Aviso] Temporada no capturada ()", IF(ISNA(MATCH(N1157, Criterios!$C$123:$C$128, 0)), "Temporada no válida", "")), IF(OR(O1157="", O1157=""), "[Aviso] Ciclo de vida no capturado ()", IF(ISNA(MATCH(O1157, Criterios!$D$123:$D$124, 0)), "Ciclo de vida no válido", ""))))</f>
        <v/>
      </c>
      <c r="AC1157" s="56" t="n"/>
      <c r="AD1157" s="51" t="n">
        <v>-2</v>
      </c>
      <c r="AE1157" s="156" t="n"/>
      <c r="AF1157" s="51" t="n">
        <v>0</v>
      </c>
      <c r="AG1157" s="156" t="inlineStr">
        <is>
          <t>Catálogo existente</t>
        </is>
      </c>
      <c r="AH1157"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7" s="156" t="inlineStr">
        <is>
          <t>Sí</t>
        </is>
      </c>
      <c r="AJ1157" s="156" t="inlineStr">
        <is>
          <t>STETSON AMERICAS (-2)</t>
        </is>
      </c>
      <c r="AK1157" s="155" t="inlineStr">
        <is>
          <t>Criterios: J [R]; G1522_Extraccion_Articulos_NetSuite_2026-09-30.xlsx: fila 58494 [S] | Shopify Stetson: producto 15051553833323 / variante 53350587007339</t>
        </is>
      </c>
      <c r="AL1157" s="58" t="n">
        <v>814.6551724</v>
      </c>
      <c r="AM1157" s="58" t="n">
        <v>1810.344828</v>
      </c>
      <c r="AN1157" s="155" t="inlineStr">
        <is>
          <t>Shopify Stetson México</t>
        </is>
      </c>
      <c r="AO1157" s="59" t="n">
        <v>0</v>
      </c>
      <c r="AP1157" s="59" t="n"/>
      <c r="AQ1157" s="59" t="n"/>
      <c r="AR1157" s="155" t="n"/>
    </row>
    <row r="1158">
      <c r="A1158" s="50" t="inlineStr">
        <is>
          <t>199168135171</t>
        </is>
      </c>
      <c r="B1158" s="51" t="inlineStr">
        <is>
          <t>110699</t>
        </is>
      </c>
      <c r="C1158" s="156" t="inlineStr">
        <is>
          <t>Multimarca</t>
        </is>
      </c>
      <c r="D1158" s="156" t="inlineStr">
        <is>
          <t>11-054-0751-0205</t>
        </is>
      </c>
      <c r="E1158" s="156" t="inlineStr">
        <is>
          <t>11-054-0751-0205-2R</t>
        </is>
      </c>
      <c r="F1158" s="156" t="inlineStr">
        <is>
          <t>5</t>
        </is>
      </c>
      <c r="G1158" s="156" t="inlineStr">
        <is>
          <t>2</t>
        </is>
      </c>
      <c r="H1158" s="156" t="inlineStr">
        <is>
          <t>Stetson</t>
        </is>
      </c>
      <c r="I1158" s="156" t="inlineStr">
        <is>
          <t>Jean Mujer Bolsa Lisa con Trabilla Keystone</t>
        </is>
      </c>
      <c r="J1158" s="156" t="inlineStr">
        <is>
          <t>Denim</t>
        </is>
      </c>
      <c r="K1158" s="156" t="inlineStr">
        <is>
          <t>Jeans</t>
        </is>
      </c>
      <c r="L1158" s="156" t="inlineStr">
        <is>
          <t>Mujer</t>
        </is>
      </c>
      <c r="M1158" s="156" t="inlineStr">
        <is>
          <t>Stetson</t>
        </is>
      </c>
      <c r="N1158" s="156" t="inlineStr">
        <is>
          <t>SS26</t>
        </is>
      </c>
      <c r="O1158" s="156" t="inlineStr">
        <is>
          <t>Seasonal</t>
        </is>
      </c>
      <c r="P1158" s="156" t="inlineStr">
        <is>
          <t>Azul</t>
        </is>
      </c>
      <c r="Q1158" s="156" t="inlineStr">
        <is>
          <t>Slim</t>
        </is>
      </c>
      <c r="R1158" s="156" t="inlineStr">
        <is>
          <t>Recto</t>
        </is>
      </c>
      <c r="S1158" s="156" t="inlineStr">
        <is>
          <t>96% Algodón 3% Poliéster 1% Elastano</t>
        </is>
      </c>
      <c r="T1158" s="156" t="inlineStr">
        <is>
          <t>Jean Mujer Bolsa Lisa con Trabilla Keystone Fitted</t>
        </is>
      </c>
      <c r="U1158" s="156" t="n"/>
      <c r="V1158" s="156" t="inlineStr">
        <is>
          <t>PZS</t>
        </is>
      </c>
      <c r="W1158" s="51" t="inlineStr">
        <is>
          <t>53101503</t>
        </is>
      </c>
      <c r="X1158" s="156" t="n"/>
      <c r="Y1158" s="54" t="n">
        <v>814.6551724</v>
      </c>
      <c r="Z1158" s="54" t="n">
        <v>1810.344828</v>
      </c>
      <c r="AA1158" s="55">
        <f>IF(AND(A1158="", B1158="", E1158=""), "", IF(AB1158="", "Válido", IF((LEN(AB1158)-LEN(SUBSTITUTE(AB1158,"; ","")))/2+1&gt;(LEN(AB1158)-LEN(SUBSTITUTE(AB1158,"[Aviso]","")))/7, "Con Incidencias", "Válido")))</f>
        <v/>
      </c>
      <c r="AB1158" s="56">
        <f>IF(AND(A1158="", B1158="", E1158=""), "", TEXTJOIN("; ", TRUE, IF(OR(TRIM(A1158&amp;"")="", ISNUMBER(SEARCH("FALTA", A1158))), "UPC faltante/inválido", ""), IF(AND(A1158&lt;&gt;"", IFERROR(_xlfn.XMATCH(A1158,$A$2:$A$2509,0,1)&lt;&gt;_xlfn.XMATCH(A1158,$A$2:$A$2509,0,-1),FALSE)), "Código de barras duplicado", ""), IF(AND(E1158&lt;&gt;"", COUNTIF($E$2:$E$2509, E1158)&gt;1), "SKU duplicado", ""), IF(OR(J1158="", J1158=""), "[Aviso] División no capturada ()", IF(ISNA(MATCH(J1158, Criterios!$A$123:$A$126, 0)), "División no válida", "")), IF(OR(K1158="", K1158=""), "[Aviso] Categoría no capturada ()", IF(ISNA(MATCH(K1158, Criterios!$A$81:$A$120, 0)), "Categoría no válida", IF(AND(J1158&lt;&gt;"", J1158&lt;&gt;"", J1158&lt;&gt;VLOOKUP(K1158, Criterios!$A$81:$B$120, 2, FALSE)), "División no coincide con Categoría", ""))), IF(OR(L1158="", L1158=""), "[Aviso] Género no capturado ()", IF(ISNA(MATCH(L1158, Criterios!$B$123:$B$127, 0)), "Género no válido", "")), IF(OR(N1158="", N1158=""), "[Aviso] Temporada no capturada ()", IF(ISNA(MATCH(N1158, Criterios!$C$123:$C$128, 0)), "Temporada no válida", "")), IF(OR(O1158="", O1158=""), "[Aviso] Ciclo de vida no capturado ()", IF(ISNA(MATCH(O1158, Criterios!$D$123:$D$124, 0)), "Ciclo de vida no válido", ""))))</f>
        <v/>
      </c>
      <c r="AC1158" s="56" t="n"/>
      <c r="AD1158" s="51" t="n">
        <v>-2</v>
      </c>
      <c r="AE1158" s="156" t="n"/>
      <c r="AF1158" s="51" t="n">
        <v>0</v>
      </c>
      <c r="AG1158" s="156" t="inlineStr">
        <is>
          <t>Catálogo existente</t>
        </is>
      </c>
      <c r="AH1158" s="156" t="inlineStr">
        <is>
          <t>Stock negativo en sistema: revisar en conteo</t>
        </is>
      </c>
      <c r="AI1158" s="156" t="inlineStr">
        <is>
          <t>Sí</t>
        </is>
      </c>
      <c r="AJ1158" s="156" t="inlineStr">
        <is>
          <t>STETSON AMERICAS (-2)</t>
        </is>
      </c>
      <c r="AK1158" s="155" t="inlineStr">
        <is>
          <t>Shopify Stetson: producto 15051555275115 / variante 53342130078059 | Odoo: producto 29918 / plantilla 38622</t>
        </is>
      </c>
      <c r="AL1158" s="58" t="n">
        <v>814.6551724</v>
      </c>
      <c r="AM1158" s="58" t="n">
        <v>1810.344828</v>
      </c>
      <c r="AN1158" s="155" t="inlineStr">
        <is>
          <t>Shopify Stetson México | Odoo Universal Unique Brands</t>
        </is>
      </c>
      <c r="AO1158" s="59" t="n">
        <v>0</v>
      </c>
      <c r="AP1158" s="59" t="n"/>
      <c r="AQ1158" s="59" t="n">
        <v>2</v>
      </c>
      <c r="AR1158" s="155" t="inlineStr">
        <is>
          <t>Odoo Universal Unique Brands › Bodega 25 › Bodega 25/General: 2</t>
        </is>
      </c>
    </row>
    <row r="1159">
      <c r="A1159" s="50" t="inlineStr">
        <is>
          <t>199168135225</t>
        </is>
      </c>
      <c r="B1159" s="51" t="inlineStr">
        <is>
          <t>110700</t>
        </is>
      </c>
      <c r="C1159" s="156" t="inlineStr">
        <is>
          <t>Multimarca</t>
        </is>
      </c>
      <c r="D1159" s="156" t="inlineStr">
        <is>
          <t>11-054-0751-0205</t>
        </is>
      </c>
      <c r="E1159" s="156" t="inlineStr">
        <is>
          <t>11-054-0751-0205-4R</t>
        </is>
      </c>
      <c r="F1159" s="156" t="inlineStr">
        <is>
          <t>7</t>
        </is>
      </c>
      <c r="G1159" s="156" t="inlineStr">
        <is>
          <t>4</t>
        </is>
      </c>
      <c r="H1159" s="156" t="inlineStr">
        <is>
          <t>Stetson</t>
        </is>
      </c>
      <c r="I1159" s="156" t="inlineStr">
        <is>
          <t>Jean Mujer Bolsa Lisa con Trabilla Keystone</t>
        </is>
      </c>
      <c r="J1159" s="156" t="inlineStr">
        <is>
          <t>Denim</t>
        </is>
      </c>
      <c r="K1159" s="156" t="inlineStr">
        <is>
          <t>Jeans</t>
        </is>
      </c>
      <c r="L1159" s="156" t="inlineStr">
        <is>
          <t>Mujer</t>
        </is>
      </c>
      <c r="M1159" s="156" t="inlineStr">
        <is>
          <t>Stetson</t>
        </is>
      </c>
      <c r="N1159" s="156" t="inlineStr">
        <is>
          <t>SS26</t>
        </is>
      </c>
      <c r="O1159" s="156" t="inlineStr">
        <is>
          <t>Seasonal</t>
        </is>
      </c>
      <c r="P1159" s="156" t="inlineStr">
        <is>
          <t>Azul</t>
        </is>
      </c>
      <c r="Q1159" s="156" t="inlineStr">
        <is>
          <t>Slim</t>
        </is>
      </c>
      <c r="R1159" s="156" t="inlineStr">
        <is>
          <t>Recto</t>
        </is>
      </c>
      <c r="S1159" s="156" t="inlineStr">
        <is>
          <t>96% Algodón 3% Poliéster 1% Elastano</t>
        </is>
      </c>
      <c r="T1159" s="156" t="inlineStr">
        <is>
          <t>Jean Mujer Bolsa Lisa con Trabilla Keystone Fitted</t>
        </is>
      </c>
      <c r="U1159" s="156" t="n"/>
      <c r="V1159" s="156" t="inlineStr">
        <is>
          <t>PZS</t>
        </is>
      </c>
      <c r="W1159" s="51" t="inlineStr">
        <is>
          <t>53101503</t>
        </is>
      </c>
      <c r="X1159" s="156" t="n"/>
      <c r="Y1159" s="54" t="n">
        <v>814.6551724</v>
      </c>
      <c r="Z1159" s="54" t="n">
        <v>1810.344828</v>
      </c>
      <c r="AA1159" s="55">
        <f>IF(AND(A1159="", B1159="", E1159=""), "", IF(AB1159="", "Válido", IF((LEN(AB1159)-LEN(SUBSTITUTE(AB1159,"; ","")))/2+1&gt;(LEN(AB1159)-LEN(SUBSTITUTE(AB1159,"[Aviso]","")))/7, "Con Incidencias", "Válido")))</f>
        <v/>
      </c>
      <c r="AB1159" s="56">
        <f>IF(AND(A1159="", B1159="", E1159=""), "", TEXTJOIN("; ", TRUE, IF(OR(TRIM(A1159&amp;"")="", ISNUMBER(SEARCH("FALTA", A1159))), "UPC faltante/inválido", ""), IF(AND(A1159&lt;&gt;"", IFERROR(_xlfn.XMATCH(A1159,$A$2:$A$2509,0,1)&lt;&gt;_xlfn.XMATCH(A1159,$A$2:$A$2509,0,-1),FALSE)), "Código de barras duplicado", ""), IF(AND(E1159&lt;&gt;"", COUNTIF($E$2:$E$2509, E1159)&gt;1), "SKU duplicado", ""), IF(OR(J1159="", J1159=""), "[Aviso] División no capturada ()", IF(ISNA(MATCH(J1159, Criterios!$A$123:$A$126, 0)), "División no válida", "")), IF(OR(K1159="", K1159=""), "[Aviso] Categoría no capturada ()", IF(ISNA(MATCH(K1159, Criterios!$A$81:$A$120, 0)), "Categoría no válida", IF(AND(J1159&lt;&gt;"", J1159&lt;&gt;"", J1159&lt;&gt;VLOOKUP(K1159, Criterios!$A$81:$B$120, 2, FALSE)), "División no coincide con Categoría", ""))), IF(OR(L1159="", L1159=""), "[Aviso] Género no capturado ()", IF(ISNA(MATCH(L1159, Criterios!$B$123:$B$127, 0)), "Género no válido", "")), IF(OR(N1159="", N1159=""), "[Aviso] Temporada no capturada ()", IF(ISNA(MATCH(N1159, Criterios!$C$123:$C$128, 0)), "Temporada no válida", "")), IF(OR(O1159="", O1159=""), "[Aviso] Ciclo de vida no capturado ()", IF(ISNA(MATCH(O1159, Criterios!$D$123:$D$124, 0)), "Ciclo de vida no válido", ""))))</f>
        <v/>
      </c>
      <c r="AC1159" s="56" t="n"/>
      <c r="AD1159" s="51" t="n">
        <v>-2</v>
      </c>
      <c r="AE1159" s="156" t="n"/>
      <c r="AF1159" s="51" t="n">
        <v>0</v>
      </c>
      <c r="AG1159" s="156" t="inlineStr">
        <is>
          <t>Catálogo existente</t>
        </is>
      </c>
      <c r="AH1159" s="156" t="inlineStr">
        <is>
          <t>Stock negativo en sistema: revisar en conteo</t>
        </is>
      </c>
      <c r="AI1159" s="156" t="inlineStr">
        <is>
          <t>Sí</t>
        </is>
      </c>
      <c r="AJ1159" s="156" t="inlineStr">
        <is>
          <t>STETSON AMERICAS (-2)</t>
        </is>
      </c>
      <c r="AK1159" s="155" t="inlineStr">
        <is>
          <t>Shopify Stetson: producto 15051555275115 / variante 53342130110827 | Odoo: producto 29919 / plantilla 38623</t>
        </is>
      </c>
      <c r="AL1159" s="58" t="n">
        <v>814.6551724</v>
      </c>
      <c r="AM1159" s="58" t="n">
        <v>1810.344828</v>
      </c>
      <c r="AN1159" s="155" t="inlineStr">
        <is>
          <t>Shopify Stetson México | Odoo Universal Unique Brands</t>
        </is>
      </c>
      <c r="AO1159" s="59" t="n">
        <v>0</v>
      </c>
      <c r="AP1159" s="59" t="n"/>
      <c r="AQ1159" s="59" t="n">
        <v>2</v>
      </c>
      <c r="AR1159" s="155" t="inlineStr">
        <is>
          <t>Odoo Universal Unique Brands › Bodega 25 › Bodega 25/General: 2</t>
        </is>
      </c>
    </row>
    <row r="1160">
      <c r="A1160" s="50" t="inlineStr">
        <is>
          <t>199168135270</t>
        </is>
      </c>
      <c r="B1160" s="51" t="inlineStr">
        <is>
          <t>110701</t>
        </is>
      </c>
      <c r="C1160" s="156" t="inlineStr">
        <is>
          <t>Multimarca</t>
        </is>
      </c>
      <c r="D1160" s="156" t="inlineStr">
        <is>
          <t>11-054-0751-0205</t>
        </is>
      </c>
      <c r="E1160" s="156" t="inlineStr">
        <is>
          <t>11-054-0751-0205-6R</t>
        </is>
      </c>
      <c r="F1160" s="156" t="inlineStr">
        <is>
          <t>9</t>
        </is>
      </c>
      <c r="G1160" s="156" t="inlineStr">
        <is>
          <t>6</t>
        </is>
      </c>
      <c r="H1160" s="156" t="inlineStr">
        <is>
          <t>Stetson</t>
        </is>
      </c>
      <c r="I1160" s="156" t="inlineStr">
        <is>
          <t>Jean Mujer Bolsa Lisa con Trabilla Keystone</t>
        </is>
      </c>
      <c r="J1160" s="156" t="inlineStr">
        <is>
          <t>Denim</t>
        </is>
      </c>
      <c r="K1160" s="156" t="inlineStr">
        <is>
          <t>Jeans</t>
        </is>
      </c>
      <c r="L1160" s="156" t="inlineStr">
        <is>
          <t>Mujer</t>
        </is>
      </c>
      <c r="M1160" s="156" t="inlineStr">
        <is>
          <t>Stetson</t>
        </is>
      </c>
      <c r="N1160" s="156" t="inlineStr">
        <is>
          <t>SS26</t>
        </is>
      </c>
      <c r="O1160" s="156" t="inlineStr">
        <is>
          <t>Seasonal</t>
        </is>
      </c>
      <c r="P1160" s="156" t="inlineStr">
        <is>
          <t>Azul</t>
        </is>
      </c>
      <c r="Q1160" s="156" t="inlineStr">
        <is>
          <t>Slim</t>
        </is>
      </c>
      <c r="R1160" s="156" t="inlineStr">
        <is>
          <t>Recto</t>
        </is>
      </c>
      <c r="S1160" s="156" t="inlineStr">
        <is>
          <t>96% Algodón 3% Poliéster 1% Elastano</t>
        </is>
      </c>
      <c r="T1160" s="156" t="inlineStr">
        <is>
          <t>Jean Mujer Bolsa Lisa con Trabilla Keystone Fitted</t>
        </is>
      </c>
      <c r="U1160" s="156" t="n"/>
      <c r="V1160" s="156" t="inlineStr">
        <is>
          <t>PZS</t>
        </is>
      </c>
      <c r="W1160" s="51" t="inlineStr">
        <is>
          <t>53101503</t>
        </is>
      </c>
      <c r="X1160" s="156" t="n"/>
      <c r="Y1160" s="54" t="n">
        <v>814.6551724</v>
      </c>
      <c r="Z1160" s="54" t="n">
        <v>1810.344828</v>
      </c>
      <c r="AA1160" s="55">
        <f>IF(AND(A1160="", B1160="", E1160=""), "", IF(AB1160="", "Válido", IF((LEN(AB1160)-LEN(SUBSTITUTE(AB1160,"; ","")))/2+1&gt;(LEN(AB1160)-LEN(SUBSTITUTE(AB1160,"[Aviso]","")))/7, "Con Incidencias", "Válido")))</f>
        <v/>
      </c>
      <c r="AB1160" s="56">
        <f>IF(AND(A1160="", B1160="", E1160=""), "", TEXTJOIN("; ", TRUE, IF(OR(TRIM(A1160&amp;"")="", ISNUMBER(SEARCH("FALTA", A1160))), "UPC faltante/inválido", ""), IF(AND(A1160&lt;&gt;"", IFERROR(_xlfn.XMATCH(A1160,$A$2:$A$2509,0,1)&lt;&gt;_xlfn.XMATCH(A1160,$A$2:$A$2509,0,-1),FALSE)), "Código de barras duplicado", ""), IF(AND(E1160&lt;&gt;"", COUNTIF($E$2:$E$2509, E1160)&gt;1), "SKU duplicado", ""), IF(OR(J1160="", J1160=""), "[Aviso] División no capturada ()", IF(ISNA(MATCH(J1160, Criterios!$A$123:$A$126, 0)), "División no válida", "")), IF(OR(K1160="", K1160=""), "[Aviso] Categoría no capturada ()", IF(ISNA(MATCH(K1160, Criterios!$A$81:$A$120, 0)), "Categoría no válida", IF(AND(J1160&lt;&gt;"", J1160&lt;&gt;"", J1160&lt;&gt;VLOOKUP(K1160, Criterios!$A$81:$B$120, 2, FALSE)), "División no coincide con Categoría", ""))), IF(OR(L1160="", L1160=""), "[Aviso] Género no capturado ()", IF(ISNA(MATCH(L1160, Criterios!$B$123:$B$127, 0)), "Género no válido", "")), IF(OR(N1160="", N1160=""), "[Aviso] Temporada no capturada ()", IF(ISNA(MATCH(N1160, Criterios!$C$123:$C$128, 0)), "Temporada no válida", "")), IF(OR(O1160="", O1160=""), "[Aviso] Ciclo de vida no capturado ()", IF(ISNA(MATCH(O1160, Criterios!$D$123:$D$124, 0)), "Ciclo de vida no válido", ""))))</f>
        <v/>
      </c>
      <c r="AC1160" s="56" t="n"/>
      <c r="AD1160" s="51" t="n">
        <v>-1</v>
      </c>
      <c r="AE1160" s="156" t="n"/>
      <c r="AF1160" s="51" t="n">
        <v>0</v>
      </c>
      <c r="AG1160" s="156" t="inlineStr">
        <is>
          <t>Catálogo existente</t>
        </is>
      </c>
      <c r="AH1160" s="156" t="inlineStr">
        <is>
          <t>Stock negativo en sistema: revisar en conteo</t>
        </is>
      </c>
      <c r="AI1160" s="156" t="inlineStr">
        <is>
          <t>Sí</t>
        </is>
      </c>
      <c r="AJ1160" s="156" t="inlineStr">
        <is>
          <t>STETSON AMERICAS (-1)</t>
        </is>
      </c>
      <c r="AK1160" s="155" t="inlineStr">
        <is>
          <t>Shopify Stetson: producto 15051555275115 / variante 53342130143595 | Odoo: producto 29920 / plantilla 38624</t>
        </is>
      </c>
      <c r="AL1160" s="58" t="n">
        <v>814.6551724</v>
      </c>
      <c r="AM1160" s="58" t="n">
        <v>1810.344828</v>
      </c>
      <c r="AN1160" s="155" t="inlineStr">
        <is>
          <t>Shopify Stetson México | Odoo Universal Unique Brands</t>
        </is>
      </c>
      <c r="AO1160" s="59" t="n">
        <v>1</v>
      </c>
      <c r="AP1160" s="59" t="n"/>
      <c r="AQ1160" s="59" t="n">
        <v>2</v>
      </c>
      <c r="AR1160" s="155" t="inlineStr">
        <is>
          <t>Shopify Stetson México › Stetson Americas: 1 | Odoo Universal Unique Brands › Bodega 25 › Bodega 25/General: 2</t>
        </is>
      </c>
    </row>
    <row r="1161">
      <c r="A1161" s="50" t="inlineStr">
        <is>
          <t>199168135324</t>
        </is>
      </c>
      <c r="B1161" s="51" t="inlineStr">
        <is>
          <t>110702</t>
        </is>
      </c>
      <c r="C1161" s="156" t="inlineStr">
        <is>
          <t>Multimarca</t>
        </is>
      </c>
      <c r="D1161" s="156" t="inlineStr">
        <is>
          <t>11-054-0751-0205</t>
        </is>
      </c>
      <c r="E1161" s="156" t="inlineStr">
        <is>
          <t>11-054-0751-0205-8R</t>
        </is>
      </c>
      <c r="F1161" s="156" t="inlineStr">
        <is>
          <t>11</t>
        </is>
      </c>
      <c r="G1161" s="156" t="inlineStr">
        <is>
          <t>8</t>
        </is>
      </c>
      <c r="H1161" s="156" t="inlineStr">
        <is>
          <t>Stetson</t>
        </is>
      </c>
      <c r="I1161" s="156" t="inlineStr">
        <is>
          <t>Jean Mujer Bolsa Lisa con Trabilla Keystone</t>
        </is>
      </c>
      <c r="J1161" s="156" t="inlineStr">
        <is>
          <t>Denim</t>
        </is>
      </c>
      <c r="K1161" s="156" t="inlineStr">
        <is>
          <t>Jeans</t>
        </is>
      </c>
      <c r="L1161" s="156" t="inlineStr">
        <is>
          <t>Mujer</t>
        </is>
      </c>
      <c r="M1161" s="156" t="inlineStr">
        <is>
          <t>Stetson</t>
        </is>
      </c>
      <c r="N1161" s="156" t="inlineStr">
        <is>
          <t>SS26</t>
        </is>
      </c>
      <c r="O1161" s="156" t="inlineStr">
        <is>
          <t>Seasonal</t>
        </is>
      </c>
      <c r="P1161" s="156" t="inlineStr">
        <is>
          <t>Azul</t>
        </is>
      </c>
      <c r="Q1161" s="156" t="inlineStr">
        <is>
          <t>Slim</t>
        </is>
      </c>
      <c r="R1161" s="156" t="inlineStr">
        <is>
          <t>Recto</t>
        </is>
      </c>
      <c r="S1161" s="156" t="inlineStr">
        <is>
          <t>96% Algodón 3% Poliéster 1% Elastano</t>
        </is>
      </c>
      <c r="T1161" s="156" t="inlineStr">
        <is>
          <t>Jean Mujer Bolsa Lisa con Trabilla Keystone Fitted</t>
        </is>
      </c>
      <c r="U1161" s="156" t="n"/>
      <c r="V1161" s="156" t="inlineStr">
        <is>
          <t>PZS</t>
        </is>
      </c>
      <c r="W1161" s="51" t="inlineStr">
        <is>
          <t>53101503</t>
        </is>
      </c>
      <c r="X1161" s="156" t="n"/>
      <c r="Y1161" s="54" t="n">
        <v>814.6551724</v>
      </c>
      <c r="Z1161" s="54" t="n">
        <v>1810.344828</v>
      </c>
      <c r="AA1161" s="55">
        <f>IF(AND(A1161="", B1161="", E1161=""), "", IF(AB1161="", "Válido", IF((LEN(AB1161)-LEN(SUBSTITUTE(AB1161,"; ","")))/2+1&gt;(LEN(AB1161)-LEN(SUBSTITUTE(AB1161,"[Aviso]","")))/7, "Con Incidencias", "Válido")))</f>
        <v/>
      </c>
      <c r="AB1161" s="56">
        <f>IF(AND(A1161="", B1161="", E1161=""), "", TEXTJOIN("; ", TRUE, IF(OR(TRIM(A1161&amp;"")="", ISNUMBER(SEARCH("FALTA", A1161))), "UPC faltante/inválido", ""), IF(AND(A1161&lt;&gt;"", IFERROR(_xlfn.XMATCH(A1161,$A$2:$A$2509,0,1)&lt;&gt;_xlfn.XMATCH(A1161,$A$2:$A$2509,0,-1),FALSE)), "Código de barras duplicado", ""), IF(AND(E1161&lt;&gt;"", COUNTIF($E$2:$E$2509, E1161)&gt;1), "SKU duplicado", ""), IF(OR(J1161="", J1161=""), "[Aviso] División no capturada ()", IF(ISNA(MATCH(J1161, Criterios!$A$123:$A$126, 0)), "División no válida", "")), IF(OR(K1161="", K1161=""), "[Aviso] Categoría no capturada ()", IF(ISNA(MATCH(K1161, Criterios!$A$81:$A$120, 0)), "Categoría no válida", IF(AND(J1161&lt;&gt;"", J1161&lt;&gt;"", J1161&lt;&gt;VLOOKUP(K1161, Criterios!$A$81:$B$120, 2, FALSE)), "División no coincide con Categoría", ""))), IF(OR(L1161="", L1161=""), "[Aviso] Género no capturado ()", IF(ISNA(MATCH(L1161, Criterios!$B$123:$B$127, 0)), "Género no válido", "")), IF(OR(N1161="", N1161=""), "[Aviso] Temporada no capturada ()", IF(ISNA(MATCH(N1161, Criterios!$C$123:$C$128, 0)), "Temporada no válida", "")), IF(OR(O1161="", O1161=""), "[Aviso] Ciclo de vida no capturado ()", IF(ISNA(MATCH(O1161, Criterios!$D$123:$D$124, 0)), "Ciclo de vida no válido", ""))))</f>
        <v/>
      </c>
      <c r="AC1161" s="56" t="n"/>
      <c r="AD1161" s="51" t="n">
        <v>0</v>
      </c>
      <c r="AE1161" s="156" t="n"/>
      <c r="AF1161" s="51" t="n">
        <v>0</v>
      </c>
      <c r="AG1161" s="156" t="inlineStr">
        <is>
          <t>Catálogo existente</t>
        </is>
      </c>
      <c r="AH1161" s="156" t="n"/>
      <c r="AI1161" s="156" t="inlineStr">
        <is>
          <t>No</t>
        </is>
      </c>
      <c r="AJ1161" s="156" t="n"/>
      <c r="AK1161" s="155" t="inlineStr">
        <is>
          <t>Shopify Stetson: producto 15051555275115 / variante 53342130176363 | Odoo: producto 29921 / plantilla 38625</t>
        </is>
      </c>
      <c r="AL1161" s="58" t="n">
        <v>814.6551724</v>
      </c>
      <c r="AM1161" s="58" t="n">
        <v>1810.344828</v>
      </c>
      <c r="AN1161" s="155" t="inlineStr">
        <is>
          <t>Shopify Stetson México | Odoo Universal Unique Brands</t>
        </is>
      </c>
      <c r="AO1161" s="59" t="n">
        <v>2</v>
      </c>
      <c r="AP1161" s="59" t="n"/>
      <c r="AQ1161" s="59" t="n">
        <v>2</v>
      </c>
      <c r="AR1161" s="155" t="inlineStr">
        <is>
          <t>Shopify Stetson México › Stetson Americas: 2 | Odoo Universal Unique Brands › Bodega 25 › Bodega 25/General: 2</t>
        </is>
      </c>
    </row>
    <row r="1162">
      <c r="A1162" s="50" t="inlineStr">
        <is>
          <t>199168135416</t>
        </is>
      </c>
      <c r="B1162" s="51" t="inlineStr">
        <is>
          <t>110745</t>
        </is>
      </c>
      <c r="C1162" s="156" t="inlineStr">
        <is>
          <t>Multimarca</t>
        </is>
      </c>
      <c r="D1162" s="156" t="inlineStr">
        <is>
          <t>11-057-0565-3002</t>
        </is>
      </c>
      <c r="E1162" s="156" t="inlineStr">
        <is>
          <t>11-057-0565-3002-L</t>
        </is>
      </c>
      <c r="F1162" s="156" t="inlineStr">
        <is>
          <t>L</t>
        </is>
      </c>
      <c r="G1162" s="156" t="inlineStr">
        <is>
          <t>L</t>
        </is>
      </c>
      <c r="H1162" s="156" t="inlineStr">
        <is>
          <t>Stetson</t>
        </is>
      </c>
      <c r="I1162" s="156" t="inlineStr">
        <is>
          <t>Vestido Algodón Lawn con Ojetes</t>
        </is>
      </c>
      <c r="J1162" s="156" t="inlineStr">
        <is>
          <t>Ropa</t>
        </is>
      </c>
      <c r="K1162" s="156" t="inlineStr">
        <is>
          <t>Vestidos</t>
        </is>
      </c>
      <c r="L1162" s="156" t="inlineStr">
        <is>
          <t>Mujer</t>
        </is>
      </c>
      <c r="M1162" s="156" t="inlineStr">
        <is>
          <t>Stetson</t>
        </is>
      </c>
      <c r="N1162" s="156" t="inlineStr">
        <is>
          <t>SS26</t>
        </is>
      </c>
      <c r="O1162" s="156" t="inlineStr">
        <is>
          <t>Seasonal</t>
        </is>
      </c>
      <c r="P1162" s="156" t="inlineStr">
        <is>
          <t>Negro</t>
        </is>
      </c>
      <c r="Q1162" s="156" t="inlineStr">
        <is>
          <t>Regular</t>
        </is>
      </c>
      <c r="R1162" s="156" t="n"/>
      <c r="S1162" s="156" t="inlineStr">
        <is>
          <t>100% Algodón</t>
        </is>
      </c>
      <c r="T1162" s="156" t="inlineStr">
        <is>
          <t>Vestido Algodón Lawn con Ojetes Regular</t>
        </is>
      </c>
      <c r="U1162" s="156" t="n"/>
      <c r="V1162" s="156" t="inlineStr">
        <is>
          <t>PZS</t>
        </is>
      </c>
      <c r="W1162" s="51" t="inlineStr">
        <is>
          <t>53101504</t>
        </is>
      </c>
      <c r="X1162" s="156" t="n"/>
      <c r="Y1162" s="54" t="n">
        <v>1357.758621</v>
      </c>
      <c r="Z1162" s="54" t="n">
        <v>3017.241379</v>
      </c>
      <c r="AA1162" s="55">
        <f>IF(AND(A1162="", B1162="", E1162=""), "", IF(AB1162="", "Válido", IF((LEN(AB1162)-LEN(SUBSTITUTE(AB1162,"; ","")))/2+1&gt;(LEN(AB1162)-LEN(SUBSTITUTE(AB1162,"[Aviso]","")))/7, "Con Incidencias", "Válido")))</f>
        <v/>
      </c>
      <c r="AB1162" s="56">
        <f>IF(AND(A1162="", B1162="", E1162=""), "", TEXTJOIN("; ", TRUE, IF(OR(TRIM(A1162&amp;"")="", ISNUMBER(SEARCH("FALTA", A1162))), "UPC faltante/inválido", ""), IF(AND(A1162&lt;&gt;"", IFERROR(_xlfn.XMATCH(A1162,$A$2:$A$2509,0,1)&lt;&gt;_xlfn.XMATCH(A1162,$A$2:$A$2509,0,-1),FALSE)), "Código de barras duplicado", ""), IF(AND(E1162&lt;&gt;"", COUNTIF($E$2:$E$2509, E1162)&gt;1), "SKU duplicado", ""), IF(OR(J1162="", J1162=""), "[Aviso] División no capturada ()", IF(ISNA(MATCH(J1162, Criterios!$A$123:$A$126, 0)), "División no válida", "")), IF(OR(K1162="", K1162=""), "[Aviso] Categoría no capturada ()", IF(ISNA(MATCH(K1162, Criterios!$A$81:$A$120, 0)), "Categoría no válida", IF(AND(J1162&lt;&gt;"", J1162&lt;&gt;"", J1162&lt;&gt;VLOOKUP(K1162, Criterios!$A$81:$B$120, 2, FALSE)), "División no coincide con Categoría", ""))), IF(OR(L1162="", L1162=""), "[Aviso] Género no capturado ()", IF(ISNA(MATCH(L1162, Criterios!$B$123:$B$127, 0)), "Género no válido", "")), IF(OR(N1162="", N1162=""), "[Aviso] Temporada no capturada ()", IF(ISNA(MATCH(N1162, Criterios!$C$123:$C$128, 0)), "Temporada no válida", "")), IF(OR(O1162="", O1162=""), "[Aviso] Ciclo de vida no capturado ()", IF(ISNA(MATCH(O1162, Criterios!$D$123:$D$124, 0)), "Ciclo de vida no válido", ""))))</f>
        <v/>
      </c>
      <c r="AC1162" s="56" t="n"/>
      <c r="AD1162" s="51" t="n">
        <v>0</v>
      </c>
      <c r="AE1162" s="156" t="n"/>
      <c r="AF1162" s="51" t="n">
        <v>0</v>
      </c>
      <c r="AG1162" s="156" t="inlineStr">
        <is>
          <t>Catálogo existente</t>
        </is>
      </c>
      <c r="AH1162" s="156" t="inlineStr">
        <is>
          <t>Revisión 29/09/2026: Campos sin respaldo: U, X; Auditoría NetSuite 30/09/2026: llenado desde NetSuite [S] | 01/10/2026: complementado desde Shopify Stetson México (match por código de barras): WB Silueta</t>
        </is>
      </c>
      <c r="AI1162" s="156" t="inlineStr">
        <is>
          <t>No</t>
        </is>
      </c>
      <c r="AJ1162" s="156" t="n"/>
      <c r="AK1162" s="155" t="inlineStr">
        <is>
          <t>Criterios: J [R]; G1522_Extraccion_Articulos_NetSuite_2026-09-30.xlsx: fila 58560 [S] | Shopify Stetson: producto 15051551998315 / variante 53350590415211</t>
        </is>
      </c>
      <c r="AL1162" s="58" t="n">
        <v>1357.758621</v>
      </c>
      <c r="AM1162" s="58" t="n">
        <v>3017.241379</v>
      </c>
      <c r="AN1162" s="155" t="inlineStr">
        <is>
          <t>Shopify Stetson México</t>
        </is>
      </c>
      <c r="AO1162" s="59" t="n">
        <v>2</v>
      </c>
      <c r="AP1162" s="59" t="n"/>
      <c r="AQ1162" s="59" t="n"/>
      <c r="AR1162" s="155" t="inlineStr">
        <is>
          <t>Shopify Stetson México › Stetson Americas: 2</t>
        </is>
      </c>
    </row>
    <row r="1163">
      <c r="A1163" s="50" t="inlineStr">
        <is>
          <t>199168135423</t>
        </is>
      </c>
      <c r="B1163" s="51" t="inlineStr">
        <is>
          <t>110746</t>
        </is>
      </c>
      <c r="C1163" s="156" t="inlineStr">
        <is>
          <t>Multimarca</t>
        </is>
      </c>
      <c r="D1163" s="156" t="inlineStr">
        <is>
          <t>11-057-0565-3002</t>
        </is>
      </c>
      <c r="E1163" s="156" t="inlineStr">
        <is>
          <t>11-057-0565-3002-M</t>
        </is>
      </c>
      <c r="F1163" s="156" t="inlineStr">
        <is>
          <t>M</t>
        </is>
      </c>
      <c r="G1163" s="156" t="inlineStr">
        <is>
          <t>M</t>
        </is>
      </c>
      <c r="H1163" s="156" t="inlineStr">
        <is>
          <t>Stetson</t>
        </is>
      </c>
      <c r="I1163" s="156" t="inlineStr">
        <is>
          <t>Vestido Algodón Lawn con Ojetes</t>
        </is>
      </c>
      <c r="J1163" s="156" t="inlineStr">
        <is>
          <t>Ropa</t>
        </is>
      </c>
      <c r="K1163" s="156" t="inlineStr">
        <is>
          <t>Vestidos</t>
        </is>
      </c>
      <c r="L1163" s="156" t="inlineStr">
        <is>
          <t>Mujer</t>
        </is>
      </c>
      <c r="M1163" s="156" t="inlineStr">
        <is>
          <t>Stetson</t>
        </is>
      </c>
      <c r="N1163" s="156" t="inlineStr">
        <is>
          <t>SS26</t>
        </is>
      </c>
      <c r="O1163" s="156" t="inlineStr">
        <is>
          <t>Seasonal</t>
        </is>
      </c>
      <c r="P1163" s="156" t="inlineStr">
        <is>
          <t>Negro</t>
        </is>
      </c>
      <c r="Q1163" s="156" t="inlineStr">
        <is>
          <t>Regular</t>
        </is>
      </c>
      <c r="R1163" s="156" t="n"/>
      <c r="S1163" s="156" t="inlineStr">
        <is>
          <t>100% Algodón</t>
        </is>
      </c>
      <c r="T1163" s="156" t="inlineStr">
        <is>
          <t>Vestido Algodón Lawn con Ojetes Regular</t>
        </is>
      </c>
      <c r="U1163" s="156" t="n"/>
      <c r="V1163" s="156" t="inlineStr">
        <is>
          <t>PZS</t>
        </is>
      </c>
      <c r="W1163" s="51" t="inlineStr">
        <is>
          <t>53101504</t>
        </is>
      </c>
      <c r="X1163" s="156" t="n"/>
      <c r="Y1163" s="54" t="n">
        <v>1357.758621</v>
      </c>
      <c r="Z1163" s="54" t="n">
        <v>3017.241379</v>
      </c>
      <c r="AA1163" s="55">
        <f>IF(AND(A1163="", B1163="", E1163=""), "", IF(AB1163="", "Válido", IF((LEN(AB1163)-LEN(SUBSTITUTE(AB1163,"; ","")))/2+1&gt;(LEN(AB1163)-LEN(SUBSTITUTE(AB1163,"[Aviso]","")))/7, "Con Incidencias", "Válido")))</f>
        <v/>
      </c>
      <c r="AB1163" s="56">
        <f>IF(AND(A1163="", B1163="", E1163=""), "", TEXTJOIN("; ", TRUE, IF(OR(TRIM(A1163&amp;"")="", ISNUMBER(SEARCH("FALTA", A1163))), "UPC faltante/inválido", ""), IF(AND(A1163&lt;&gt;"", IFERROR(_xlfn.XMATCH(A1163,$A$2:$A$2509,0,1)&lt;&gt;_xlfn.XMATCH(A1163,$A$2:$A$2509,0,-1),FALSE)), "Código de barras duplicado", ""), IF(AND(E1163&lt;&gt;"", COUNTIF($E$2:$E$2509, E1163)&gt;1), "SKU duplicado", ""), IF(OR(J1163="", J1163=""), "[Aviso] División no capturada ()", IF(ISNA(MATCH(J1163, Criterios!$A$123:$A$126, 0)), "División no válida", "")), IF(OR(K1163="", K1163=""), "[Aviso] Categoría no capturada ()", IF(ISNA(MATCH(K1163, Criterios!$A$81:$A$120, 0)), "Categoría no válida", IF(AND(J1163&lt;&gt;"", J1163&lt;&gt;"", J1163&lt;&gt;VLOOKUP(K1163, Criterios!$A$81:$B$120, 2, FALSE)), "División no coincide con Categoría", ""))), IF(OR(L1163="", L1163=""), "[Aviso] Género no capturado ()", IF(ISNA(MATCH(L1163, Criterios!$B$123:$B$127, 0)), "Género no válido", "")), IF(OR(N1163="", N1163=""), "[Aviso] Temporada no capturada ()", IF(ISNA(MATCH(N1163, Criterios!$C$123:$C$128, 0)), "Temporada no válida", "")), IF(OR(O1163="", O1163=""), "[Aviso] Ciclo de vida no capturado ()", IF(ISNA(MATCH(O1163, Criterios!$D$123:$D$124, 0)), "Ciclo de vida no válido", ""))))</f>
        <v/>
      </c>
      <c r="AC1163" s="56" t="n"/>
      <c r="AD1163" s="51" t="n">
        <v>-1</v>
      </c>
      <c r="AE1163" s="156" t="n"/>
      <c r="AF1163" s="51" t="n">
        <v>0</v>
      </c>
      <c r="AG1163" s="156" t="inlineStr">
        <is>
          <t>Catálogo existente</t>
        </is>
      </c>
      <c r="AH1163" s="156" t="inlineStr">
        <is>
          <t>Stock negativo en sistema: revisar en conteo | Revisión 29/09/2026: Campos sin respaldo: U, X; Auditoría NetSuite 30/09/2026: llenado desde NetSuite [S] | 01/10/2026: complementado desde Shopify Stetson México (match por código de barras): WB Silueta</t>
        </is>
      </c>
      <c r="AI1163" s="156" t="inlineStr">
        <is>
          <t>Sí</t>
        </is>
      </c>
      <c r="AJ1163" s="156" t="inlineStr">
        <is>
          <t>STETSON AMERICAS (-1)</t>
        </is>
      </c>
      <c r="AK1163" s="155" t="inlineStr">
        <is>
          <t>Criterios: J [R]; G1522_Extraccion_Articulos_NetSuite_2026-09-30.xlsx: fila 58561 [S] | Shopify Stetson: producto 15051551998315 / variante 53350590382443</t>
        </is>
      </c>
      <c r="AL1163" s="58" t="n">
        <v>1357.758621</v>
      </c>
      <c r="AM1163" s="58" t="n">
        <v>3017.241379</v>
      </c>
      <c r="AN1163" s="155" t="inlineStr">
        <is>
          <t>Shopify Stetson México</t>
        </is>
      </c>
      <c r="AO1163" s="59" t="n">
        <v>2</v>
      </c>
      <c r="AP1163" s="59" t="n"/>
      <c r="AQ1163" s="59" t="n"/>
      <c r="AR1163" s="155" t="inlineStr">
        <is>
          <t>Shopify Stetson México › Stetson Americas: 2</t>
        </is>
      </c>
    </row>
    <row r="1164">
      <c r="A1164" s="50" t="inlineStr">
        <is>
          <t>199168135430</t>
        </is>
      </c>
      <c r="B1164" s="51" t="inlineStr">
        <is>
          <t>110747</t>
        </is>
      </c>
      <c r="C1164" s="156" t="inlineStr">
        <is>
          <t>Multimarca</t>
        </is>
      </c>
      <c r="D1164" s="156" t="inlineStr">
        <is>
          <t>11-057-0565-3002</t>
        </is>
      </c>
      <c r="E1164" s="156" t="inlineStr">
        <is>
          <t>11-057-0565-3002-S</t>
        </is>
      </c>
      <c r="F1164" s="156" t="inlineStr">
        <is>
          <t>S</t>
        </is>
      </c>
      <c r="G1164" s="156" t="inlineStr">
        <is>
          <t>S</t>
        </is>
      </c>
      <c r="H1164" s="156" t="inlineStr">
        <is>
          <t>Stetson</t>
        </is>
      </c>
      <c r="I1164" s="156" t="inlineStr">
        <is>
          <t>Vestido Algodón Lawn con Ojetes</t>
        </is>
      </c>
      <c r="J1164" s="156" t="inlineStr">
        <is>
          <t>Ropa</t>
        </is>
      </c>
      <c r="K1164" s="156" t="inlineStr">
        <is>
          <t>Vestidos</t>
        </is>
      </c>
      <c r="L1164" s="156" t="inlineStr">
        <is>
          <t>Mujer</t>
        </is>
      </c>
      <c r="M1164" s="156" t="inlineStr">
        <is>
          <t>Stetson</t>
        </is>
      </c>
      <c r="N1164" s="156" t="inlineStr">
        <is>
          <t>SS26</t>
        </is>
      </c>
      <c r="O1164" s="156" t="inlineStr">
        <is>
          <t>Seasonal</t>
        </is>
      </c>
      <c r="P1164" s="156" t="inlineStr">
        <is>
          <t>Negro</t>
        </is>
      </c>
      <c r="Q1164" s="156" t="inlineStr">
        <is>
          <t>Regular</t>
        </is>
      </c>
      <c r="R1164" s="156" t="n"/>
      <c r="S1164" s="156" t="inlineStr">
        <is>
          <t>100% Algodón</t>
        </is>
      </c>
      <c r="T1164" s="156" t="inlineStr">
        <is>
          <t>Vestido Algodón Lawn con Ojetes Regular</t>
        </is>
      </c>
      <c r="U1164" s="156" t="n"/>
      <c r="V1164" s="156" t="inlineStr">
        <is>
          <t>PZS</t>
        </is>
      </c>
      <c r="W1164" s="51" t="inlineStr">
        <is>
          <t>53101504</t>
        </is>
      </c>
      <c r="X1164" s="156" t="n"/>
      <c r="Y1164" s="54" t="n">
        <v>1357.758621</v>
      </c>
      <c r="Z1164" s="54" t="n">
        <v>3017.241379</v>
      </c>
      <c r="AA1164" s="55">
        <f>IF(AND(A1164="", B1164="", E1164=""), "", IF(AB1164="", "Válido", IF((LEN(AB1164)-LEN(SUBSTITUTE(AB1164,"; ","")))/2+1&gt;(LEN(AB1164)-LEN(SUBSTITUTE(AB1164,"[Aviso]","")))/7, "Con Incidencias", "Válido")))</f>
        <v/>
      </c>
      <c r="AB1164" s="56">
        <f>IF(AND(A1164="", B1164="", E1164=""), "", TEXTJOIN("; ", TRUE, IF(OR(TRIM(A1164&amp;"")="", ISNUMBER(SEARCH("FALTA", A1164))), "UPC faltante/inválido", ""), IF(AND(A1164&lt;&gt;"", IFERROR(_xlfn.XMATCH(A1164,$A$2:$A$2509,0,1)&lt;&gt;_xlfn.XMATCH(A1164,$A$2:$A$2509,0,-1),FALSE)), "Código de barras duplicado", ""), IF(AND(E1164&lt;&gt;"", COUNTIF($E$2:$E$2509, E1164)&gt;1), "SKU duplicado", ""), IF(OR(J1164="", J1164=""), "[Aviso] División no capturada ()", IF(ISNA(MATCH(J1164, Criterios!$A$123:$A$126, 0)), "División no válida", "")), IF(OR(K1164="", K1164=""), "[Aviso] Categoría no capturada ()", IF(ISNA(MATCH(K1164, Criterios!$A$81:$A$120, 0)), "Categoría no válida", IF(AND(J1164&lt;&gt;"", J1164&lt;&gt;"", J1164&lt;&gt;VLOOKUP(K1164, Criterios!$A$81:$B$120, 2, FALSE)), "División no coincide con Categoría", ""))), IF(OR(L1164="", L1164=""), "[Aviso] Género no capturado ()", IF(ISNA(MATCH(L1164, Criterios!$B$123:$B$127, 0)), "Género no válido", "")), IF(OR(N1164="", N1164=""), "[Aviso] Temporada no capturada ()", IF(ISNA(MATCH(N1164, Criterios!$C$123:$C$128, 0)), "Temporada no válida", "")), IF(OR(O1164="", O1164=""), "[Aviso] Ciclo de vida no capturado ()", IF(ISNA(MATCH(O1164, Criterios!$D$123:$D$124, 0)), "Ciclo de vida no válido", ""))))</f>
        <v/>
      </c>
      <c r="AC1164" s="56" t="n"/>
      <c r="AD1164" s="51" t="n">
        <v>-1</v>
      </c>
      <c r="AE1164" s="156" t="n"/>
      <c r="AF1164" s="51" t="n">
        <v>0</v>
      </c>
      <c r="AG1164" s="156" t="inlineStr">
        <is>
          <t>Catálogo existente</t>
        </is>
      </c>
      <c r="AH1164" s="156" t="inlineStr">
        <is>
          <t>Stock negativo en sistema: revisar en conteo | Revisión 29/09/2026: Campos sin respaldo: U, X; Auditoría NetSuite 30/09/2026: llenado desde NetSuite [S] | 01/10/2026: complementado desde Shopify Stetson México (match por código de barras): WB Silueta</t>
        </is>
      </c>
      <c r="AI1164" s="156" t="inlineStr">
        <is>
          <t>Sí</t>
        </is>
      </c>
      <c r="AJ1164" s="156" t="inlineStr">
        <is>
          <t>STETSON AMERICAS (-1)</t>
        </is>
      </c>
      <c r="AK1164" s="155" t="inlineStr">
        <is>
          <t>Criterios: J [R]; G1522_Extraccion_Articulos_NetSuite_2026-09-30.xlsx: fila 58562 [S] | Shopify Stetson: producto 15051551998315 / variante 53350590349675</t>
        </is>
      </c>
      <c r="AL1164" s="58" t="n">
        <v>1357.758621</v>
      </c>
      <c r="AM1164" s="58" t="n">
        <v>3017.241379</v>
      </c>
      <c r="AN1164" s="155" t="inlineStr">
        <is>
          <t>Shopify Stetson México</t>
        </is>
      </c>
      <c r="AO1164" s="59" t="n">
        <v>3</v>
      </c>
      <c r="AP1164" s="59" t="n"/>
      <c r="AQ1164" s="59" t="n"/>
      <c r="AR1164" s="155" t="inlineStr">
        <is>
          <t>Shopify Stetson México › Stetson Americas: 3</t>
        </is>
      </c>
    </row>
    <row r="1165">
      <c r="A1165" s="50" t="inlineStr">
        <is>
          <t>199168135447</t>
        </is>
      </c>
      <c r="B1165" s="51" t="inlineStr">
        <is>
          <t>110748</t>
        </is>
      </c>
      <c r="C1165" s="156" t="inlineStr">
        <is>
          <t>Multimarca</t>
        </is>
      </c>
      <c r="D1165" s="156" t="inlineStr">
        <is>
          <t>11-057-0565-3002</t>
        </is>
      </c>
      <c r="E1165" s="156" t="inlineStr">
        <is>
          <t>11-057-0565-3002-XL</t>
        </is>
      </c>
      <c r="F1165" s="156" t="inlineStr">
        <is>
          <t>XL</t>
        </is>
      </c>
      <c r="G1165" s="156" t="inlineStr">
        <is>
          <t>XL</t>
        </is>
      </c>
      <c r="H1165" s="156" t="inlineStr">
        <is>
          <t>Stetson</t>
        </is>
      </c>
      <c r="I1165" s="156" t="inlineStr">
        <is>
          <t>Vestido Algodón Lawn con Ojetes</t>
        </is>
      </c>
      <c r="J1165" s="156" t="inlineStr">
        <is>
          <t>Ropa</t>
        </is>
      </c>
      <c r="K1165" s="156" t="inlineStr">
        <is>
          <t>Vestidos</t>
        </is>
      </c>
      <c r="L1165" s="156" t="inlineStr">
        <is>
          <t>Mujer</t>
        </is>
      </c>
      <c r="M1165" s="156" t="inlineStr">
        <is>
          <t>Stetson</t>
        </is>
      </c>
      <c r="N1165" s="156" t="inlineStr">
        <is>
          <t>SS26</t>
        </is>
      </c>
      <c r="O1165" s="156" t="inlineStr">
        <is>
          <t>Seasonal</t>
        </is>
      </c>
      <c r="P1165" s="156" t="inlineStr">
        <is>
          <t>Negro</t>
        </is>
      </c>
      <c r="Q1165" s="156" t="inlineStr">
        <is>
          <t>Regular</t>
        </is>
      </c>
      <c r="R1165" s="156" t="n"/>
      <c r="S1165" s="156" t="inlineStr">
        <is>
          <t>100% Algodón</t>
        </is>
      </c>
      <c r="T1165" s="156" t="inlineStr">
        <is>
          <t>Vestido Algodón Lawn con Ojetes Regular</t>
        </is>
      </c>
      <c r="U1165" s="156" t="n"/>
      <c r="V1165" s="156" t="inlineStr">
        <is>
          <t>PZS</t>
        </is>
      </c>
      <c r="W1165" s="51" t="inlineStr">
        <is>
          <t>53101504</t>
        </is>
      </c>
      <c r="X1165" s="156" t="n"/>
      <c r="Y1165" s="54" t="n">
        <v>1357.758621</v>
      </c>
      <c r="Z1165" s="54" t="n">
        <v>3017.241379</v>
      </c>
      <c r="AA1165" s="55">
        <f>IF(AND(A1165="", B1165="", E1165=""), "", IF(AB1165="", "Válido", IF((LEN(AB1165)-LEN(SUBSTITUTE(AB1165,"; ","")))/2+1&gt;(LEN(AB1165)-LEN(SUBSTITUTE(AB1165,"[Aviso]","")))/7, "Con Incidencias", "Válido")))</f>
        <v/>
      </c>
      <c r="AB1165" s="56">
        <f>IF(AND(A1165="", B1165="", E1165=""), "", TEXTJOIN("; ", TRUE, IF(OR(TRIM(A1165&amp;"")="", ISNUMBER(SEARCH("FALTA", A1165))), "UPC faltante/inválido", ""), IF(AND(A1165&lt;&gt;"", IFERROR(_xlfn.XMATCH(A1165,$A$2:$A$2509,0,1)&lt;&gt;_xlfn.XMATCH(A1165,$A$2:$A$2509,0,-1),FALSE)), "Código de barras duplicado", ""), IF(AND(E1165&lt;&gt;"", COUNTIF($E$2:$E$2509, E1165)&gt;1), "SKU duplicado", ""), IF(OR(J1165="", J1165=""), "[Aviso] División no capturada ()", IF(ISNA(MATCH(J1165, Criterios!$A$123:$A$126, 0)), "División no válida", "")), IF(OR(K1165="", K1165=""), "[Aviso] Categoría no capturada ()", IF(ISNA(MATCH(K1165, Criterios!$A$81:$A$120, 0)), "Categoría no válida", IF(AND(J1165&lt;&gt;"", J1165&lt;&gt;"", J1165&lt;&gt;VLOOKUP(K1165, Criterios!$A$81:$B$120, 2, FALSE)), "División no coincide con Categoría", ""))), IF(OR(L1165="", L1165=""), "[Aviso] Género no capturado ()", IF(ISNA(MATCH(L1165, Criterios!$B$123:$B$127, 0)), "Género no válido", "")), IF(OR(N1165="", N1165=""), "[Aviso] Temporada no capturada ()", IF(ISNA(MATCH(N1165, Criterios!$C$123:$C$128, 0)), "Temporada no válida", "")), IF(OR(O1165="", O1165=""), "[Aviso] Ciclo de vida no capturado ()", IF(ISNA(MATCH(O1165, Criterios!$D$123:$D$124, 0)), "Ciclo de vida no válido", ""))))</f>
        <v/>
      </c>
      <c r="AC1165" s="56" t="n"/>
      <c r="AD1165" s="51" t="n">
        <v>0</v>
      </c>
      <c r="AE1165" s="156" t="n"/>
      <c r="AF1165" s="51" t="n">
        <v>0</v>
      </c>
      <c r="AG1165" s="156" t="inlineStr">
        <is>
          <t>Catálogo existente</t>
        </is>
      </c>
      <c r="AH1165" s="156" t="inlineStr">
        <is>
          <t>Revisión 29/09/2026: Campos sin respaldo: U, X; Auditoría NetSuite 30/09/2026: llenado desde NetSuite [S] | 01/10/2026: complementado desde Shopify Stetson México (match por código de barras): WB Silueta</t>
        </is>
      </c>
      <c r="AI1165" s="156" t="inlineStr">
        <is>
          <t>No</t>
        </is>
      </c>
      <c r="AJ1165" s="156" t="n"/>
      <c r="AK1165" s="155" t="inlineStr">
        <is>
          <t>Criterios: J [R]; G1522_Extraccion_Articulos_NetSuite_2026-09-30.xlsx: fila 58563 [S] | Shopify Stetson: producto 15051551998315 / variante 53350590447979</t>
        </is>
      </c>
      <c r="AL1165" s="58" t="n">
        <v>1357.758621</v>
      </c>
      <c r="AM1165" s="58" t="n">
        <v>3017.241379</v>
      </c>
      <c r="AN1165" s="155" t="inlineStr">
        <is>
          <t>Shopify Stetson México</t>
        </is>
      </c>
      <c r="AO1165" s="59" t="n">
        <v>1</v>
      </c>
      <c r="AP1165" s="59" t="n"/>
      <c r="AQ1165" s="59" t="n"/>
      <c r="AR1165" s="155" t="inlineStr">
        <is>
          <t>Shopify Stetson México › Stetson Americas: 1</t>
        </is>
      </c>
    </row>
    <row r="1166">
      <c r="A1166" s="50" t="inlineStr">
        <is>
          <t>199168135614</t>
        </is>
      </c>
      <c r="B1166" s="51" t="inlineStr">
        <is>
          <t>110754</t>
        </is>
      </c>
      <c r="C1166" s="156" t="inlineStr">
        <is>
          <t>Multimarca</t>
        </is>
      </c>
      <c r="D1166" s="156" t="inlineStr">
        <is>
          <t>11-057-0590-3004</t>
        </is>
      </c>
      <c r="E1166" s="156" t="inlineStr">
        <is>
          <t>11-057-0590-3004-L</t>
        </is>
      </c>
      <c r="F1166" s="156" t="inlineStr">
        <is>
          <t>L</t>
        </is>
      </c>
      <c r="G1166" s="156" t="inlineStr">
        <is>
          <t>L</t>
        </is>
      </c>
      <c r="H1166" s="156" t="inlineStr">
        <is>
          <t>Stetson</t>
        </is>
      </c>
      <c r="I1166" s="156" t="inlineStr">
        <is>
          <t>Vestido Polyester Crepe Estampado Desert Toile</t>
        </is>
      </c>
      <c r="J1166" s="156" t="inlineStr">
        <is>
          <t>Ropa</t>
        </is>
      </c>
      <c r="K1166" s="156" t="inlineStr">
        <is>
          <t>Vestidos</t>
        </is>
      </c>
      <c r="L1166" s="156" t="inlineStr">
        <is>
          <t>Mujer</t>
        </is>
      </c>
      <c r="M1166" s="156" t="inlineStr">
        <is>
          <t>Stetson</t>
        </is>
      </c>
      <c r="N1166" s="156" t="inlineStr">
        <is>
          <t>SS26</t>
        </is>
      </c>
      <c r="O1166" s="156" t="inlineStr">
        <is>
          <t>Seasonal</t>
        </is>
      </c>
      <c r="P1166" s="156" t="inlineStr">
        <is>
          <t>Blanco</t>
        </is>
      </c>
      <c r="Q1166" s="156" t="inlineStr">
        <is>
          <t>Regular</t>
        </is>
      </c>
      <c r="R1166" s="156" t="n"/>
      <c r="S1166" s="156" t="inlineStr">
        <is>
          <t>65% Viscosa 35% Poliéster</t>
        </is>
      </c>
      <c r="T1166" s="156" t="inlineStr">
        <is>
          <t>Vestido Polyester Crepe Estampado Desert Toile Regular</t>
        </is>
      </c>
      <c r="U1166" s="156" t="n"/>
      <c r="V1166" s="156" t="inlineStr">
        <is>
          <t>PZS</t>
        </is>
      </c>
      <c r="W1166" s="51" t="inlineStr">
        <is>
          <t>53101504</t>
        </is>
      </c>
      <c r="X1166" s="156" t="n"/>
      <c r="Y1166" s="54" t="n">
        <v>1357.758621</v>
      </c>
      <c r="Z1166" s="54" t="n">
        <v>3017.241379</v>
      </c>
      <c r="AA1166" s="55">
        <f>IF(AND(A1166="", B1166="", E1166=""), "", IF(AB1166="", "Válido", IF((LEN(AB1166)-LEN(SUBSTITUTE(AB1166,"; ","")))/2+1&gt;(LEN(AB1166)-LEN(SUBSTITUTE(AB1166,"[Aviso]","")))/7, "Con Incidencias", "Válido")))</f>
        <v/>
      </c>
      <c r="AB1166" s="56">
        <f>IF(AND(A1166="", B1166="", E1166=""), "", TEXTJOIN("; ", TRUE, IF(OR(TRIM(A1166&amp;"")="", ISNUMBER(SEARCH("FALTA", A1166))), "UPC faltante/inválido", ""), IF(AND(A1166&lt;&gt;"", IFERROR(_xlfn.XMATCH(A1166,$A$2:$A$2509,0,1)&lt;&gt;_xlfn.XMATCH(A1166,$A$2:$A$2509,0,-1),FALSE)), "Código de barras duplicado", ""), IF(AND(E1166&lt;&gt;"", COUNTIF($E$2:$E$2509, E1166)&gt;1), "SKU duplicado", ""), IF(OR(J1166="", J1166=""), "[Aviso] División no capturada ()", IF(ISNA(MATCH(J1166, Criterios!$A$123:$A$126, 0)), "División no válida", "")), IF(OR(K1166="", K1166=""), "[Aviso] Categoría no capturada ()", IF(ISNA(MATCH(K1166, Criterios!$A$81:$A$120, 0)), "Categoría no válida", IF(AND(J1166&lt;&gt;"", J1166&lt;&gt;"", J1166&lt;&gt;VLOOKUP(K1166, Criterios!$A$81:$B$120, 2, FALSE)), "División no coincide con Categoría", ""))), IF(OR(L1166="", L1166=""), "[Aviso] Género no capturado ()", IF(ISNA(MATCH(L1166, Criterios!$B$123:$B$127, 0)), "Género no válido", "")), IF(OR(N1166="", N1166=""), "[Aviso] Temporada no capturada ()", IF(ISNA(MATCH(N1166, Criterios!$C$123:$C$128, 0)), "Temporada no válida", "")), IF(OR(O1166="", O1166=""), "[Aviso] Ciclo de vida no capturado ()", IF(ISNA(MATCH(O1166, Criterios!$D$123:$D$124, 0)), "Ciclo de vida no válido", ""))))</f>
        <v/>
      </c>
      <c r="AC1166" s="56" t="n"/>
      <c r="AD1166" s="51" t="n">
        <v>0</v>
      </c>
      <c r="AE1166" s="156" t="n"/>
      <c r="AF1166" s="51" t="n">
        <v>0</v>
      </c>
      <c r="AG1166" s="156" t="inlineStr">
        <is>
          <t>Catálogo existente</t>
        </is>
      </c>
      <c r="AH1166" s="156" t="inlineStr">
        <is>
          <t>Revisión 29/09/2026: Campos sin respaldo: U, X; Auditoría NetSuite 30/09/2026: llenado desde NetSuite [S] | 01/10/2026: complementado desde Shopify Stetson México (match por código de barras): WB Silueta</t>
        </is>
      </c>
      <c r="AI1166" s="156" t="inlineStr">
        <is>
          <t>No</t>
        </is>
      </c>
      <c r="AJ1166" s="156" t="n"/>
      <c r="AK1166" s="155" t="inlineStr">
        <is>
          <t>Criterios: J [R]; G1522_Extraccion_Articulos_NetSuite_2026-09-30.xlsx: fila 58569 [S] | Shopify Stetson: producto 15051552129387 / variante 53350590120299</t>
        </is>
      </c>
      <c r="AL1166" s="58" t="n">
        <v>1357.758621</v>
      </c>
      <c r="AM1166" s="58" t="n">
        <v>3017.241379</v>
      </c>
      <c r="AN1166" s="155" t="inlineStr">
        <is>
          <t>Shopify Stetson México</t>
        </is>
      </c>
      <c r="AO1166" s="59" t="n">
        <v>1</v>
      </c>
      <c r="AP1166" s="59" t="n"/>
      <c r="AQ1166" s="59" t="n"/>
      <c r="AR1166" s="155" t="inlineStr">
        <is>
          <t>Shopify Stetson México › Stetson Americas: 1</t>
        </is>
      </c>
    </row>
    <row r="1167">
      <c r="A1167" s="50" t="inlineStr">
        <is>
          <t>199168135621</t>
        </is>
      </c>
      <c r="B1167" s="51" t="inlineStr">
        <is>
          <t>110755</t>
        </is>
      </c>
      <c r="C1167" s="156" t="inlineStr">
        <is>
          <t>Multimarca</t>
        </is>
      </c>
      <c r="D1167" s="156" t="inlineStr">
        <is>
          <t>11-057-0590-3004</t>
        </is>
      </c>
      <c r="E1167" s="156" t="inlineStr">
        <is>
          <t>11-057-0590-3004-M</t>
        </is>
      </c>
      <c r="F1167" s="156" t="inlineStr">
        <is>
          <t>M</t>
        </is>
      </c>
      <c r="G1167" s="156" t="inlineStr">
        <is>
          <t>M</t>
        </is>
      </c>
      <c r="H1167" s="156" t="inlineStr">
        <is>
          <t>Stetson</t>
        </is>
      </c>
      <c r="I1167" s="156" t="inlineStr">
        <is>
          <t>Vestido Polyester Crepe Estampado Desert Toile</t>
        </is>
      </c>
      <c r="J1167" s="156" t="inlineStr">
        <is>
          <t>Ropa</t>
        </is>
      </c>
      <c r="K1167" s="156" t="inlineStr">
        <is>
          <t>Vestidos</t>
        </is>
      </c>
      <c r="L1167" s="156" t="inlineStr">
        <is>
          <t>Mujer</t>
        </is>
      </c>
      <c r="M1167" s="156" t="inlineStr">
        <is>
          <t>Stetson</t>
        </is>
      </c>
      <c r="N1167" s="156" t="inlineStr">
        <is>
          <t>SS26</t>
        </is>
      </c>
      <c r="O1167" s="156" t="inlineStr">
        <is>
          <t>Seasonal</t>
        </is>
      </c>
      <c r="P1167" s="156" t="inlineStr">
        <is>
          <t>Blanco</t>
        </is>
      </c>
      <c r="Q1167" s="156" t="inlineStr">
        <is>
          <t>Regular</t>
        </is>
      </c>
      <c r="R1167" s="156" t="n"/>
      <c r="S1167" s="156" t="inlineStr">
        <is>
          <t>65% Viscosa 35% Poliéster</t>
        </is>
      </c>
      <c r="T1167" s="156" t="inlineStr">
        <is>
          <t>Vestido Polyester Crepe Estampado Desert Toile Regular</t>
        </is>
      </c>
      <c r="U1167" s="156" t="n"/>
      <c r="V1167" s="156" t="inlineStr">
        <is>
          <t>PZS</t>
        </is>
      </c>
      <c r="W1167" s="51" t="inlineStr">
        <is>
          <t>53101504</t>
        </is>
      </c>
      <c r="X1167" s="156" t="n"/>
      <c r="Y1167" s="54" t="n">
        <v>1357.758621</v>
      </c>
      <c r="Z1167" s="54" t="n">
        <v>3017.241379</v>
      </c>
      <c r="AA1167" s="55">
        <f>IF(AND(A1167="", B1167="", E1167=""), "", IF(AB1167="", "Válido", IF((LEN(AB1167)-LEN(SUBSTITUTE(AB1167,"; ","")))/2+1&gt;(LEN(AB1167)-LEN(SUBSTITUTE(AB1167,"[Aviso]","")))/7, "Con Incidencias", "Válido")))</f>
        <v/>
      </c>
      <c r="AB1167" s="56">
        <f>IF(AND(A1167="", B1167="", E1167=""), "", TEXTJOIN("; ", TRUE, IF(OR(TRIM(A1167&amp;"")="", ISNUMBER(SEARCH("FALTA", A1167))), "UPC faltante/inválido", ""), IF(AND(A1167&lt;&gt;"", IFERROR(_xlfn.XMATCH(A1167,$A$2:$A$2509,0,1)&lt;&gt;_xlfn.XMATCH(A1167,$A$2:$A$2509,0,-1),FALSE)), "Código de barras duplicado", ""), IF(AND(E1167&lt;&gt;"", COUNTIF($E$2:$E$2509, E1167)&gt;1), "SKU duplicado", ""), IF(OR(J1167="", J1167=""), "[Aviso] División no capturada ()", IF(ISNA(MATCH(J1167, Criterios!$A$123:$A$126, 0)), "División no válida", "")), IF(OR(K1167="", K1167=""), "[Aviso] Categoría no capturada ()", IF(ISNA(MATCH(K1167, Criterios!$A$81:$A$120, 0)), "Categoría no válida", IF(AND(J1167&lt;&gt;"", J1167&lt;&gt;"", J1167&lt;&gt;VLOOKUP(K1167, Criterios!$A$81:$B$120, 2, FALSE)), "División no coincide con Categoría", ""))), IF(OR(L1167="", L1167=""), "[Aviso] Género no capturado ()", IF(ISNA(MATCH(L1167, Criterios!$B$123:$B$127, 0)), "Género no válido", "")), IF(OR(N1167="", N1167=""), "[Aviso] Temporada no capturada ()", IF(ISNA(MATCH(N1167, Criterios!$C$123:$C$128, 0)), "Temporada no válida", "")), IF(OR(O1167="", O1167=""), "[Aviso] Ciclo de vida no capturado ()", IF(ISNA(MATCH(O1167, Criterios!$D$123:$D$124, 0)), "Ciclo de vida no válido", ""))))</f>
        <v/>
      </c>
      <c r="AC1167" s="56" t="n"/>
      <c r="AD1167" s="51" t="n">
        <v>-1</v>
      </c>
      <c r="AE1167" s="156" t="n"/>
      <c r="AF1167" s="51" t="n">
        <v>0</v>
      </c>
      <c r="AG1167" s="156" t="inlineStr">
        <is>
          <t>Catálogo existente</t>
        </is>
      </c>
      <c r="AH1167" s="156" t="inlineStr">
        <is>
          <t>Stock negativo en sistema: revisar en conteo | Revisión 29/09/2026: Campos sin respaldo: U, X; Auditoría NetSuite 30/09/2026: llenado desde NetSuite [S] | 01/10/2026: complementado desde Shopify Stetson México (match por código de barras): WB Silueta</t>
        </is>
      </c>
      <c r="AI1167" s="156" t="inlineStr">
        <is>
          <t>Sí</t>
        </is>
      </c>
      <c r="AJ1167" s="156" t="inlineStr">
        <is>
          <t>STETSON AMERICAS (-1)</t>
        </is>
      </c>
      <c r="AK1167" s="155" t="inlineStr">
        <is>
          <t>Criterios: J [R]; G1522_Extraccion_Articulos_NetSuite_2026-09-30.xlsx: fila 58570 [S] | Shopify Stetson: producto 15051552129387 / variante 53350590087531</t>
        </is>
      </c>
      <c r="AL1167" s="58" t="n">
        <v>1357.758621</v>
      </c>
      <c r="AM1167" s="58" t="n">
        <v>3017.241379</v>
      </c>
      <c r="AN1167" s="155" t="inlineStr">
        <is>
          <t>Shopify Stetson México</t>
        </is>
      </c>
      <c r="AO1167" s="59" t="n">
        <v>1</v>
      </c>
      <c r="AP1167" s="59" t="n"/>
      <c r="AQ1167" s="59" t="n"/>
      <c r="AR1167" s="155" t="inlineStr">
        <is>
          <t>Shopify Stetson México › Stetson Americas: 1</t>
        </is>
      </c>
    </row>
    <row r="1168">
      <c r="A1168" s="50" t="inlineStr">
        <is>
          <t>199168135638</t>
        </is>
      </c>
      <c r="B1168" s="51" t="inlineStr">
        <is>
          <t>110756</t>
        </is>
      </c>
      <c r="C1168" s="156" t="inlineStr">
        <is>
          <t>Multimarca</t>
        </is>
      </c>
      <c r="D1168" s="156" t="inlineStr">
        <is>
          <t>11-057-0590-3004</t>
        </is>
      </c>
      <c r="E1168" s="156" t="inlineStr">
        <is>
          <t>11-057-0590-3004-S</t>
        </is>
      </c>
      <c r="F1168" s="156" t="inlineStr">
        <is>
          <t>S</t>
        </is>
      </c>
      <c r="G1168" s="156" t="inlineStr">
        <is>
          <t>S</t>
        </is>
      </c>
      <c r="H1168" s="156" t="inlineStr">
        <is>
          <t>Stetson</t>
        </is>
      </c>
      <c r="I1168" s="156" t="inlineStr">
        <is>
          <t>Vestido Polyester Crepe Estampado Desert Toile</t>
        </is>
      </c>
      <c r="J1168" s="156" t="inlineStr">
        <is>
          <t>Ropa</t>
        </is>
      </c>
      <c r="K1168" s="156" t="inlineStr">
        <is>
          <t>Vestidos</t>
        </is>
      </c>
      <c r="L1168" s="156" t="inlineStr">
        <is>
          <t>Mujer</t>
        </is>
      </c>
      <c r="M1168" s="156" t="inlineStr">
        <is>
          <t>Stetson</t>
        </is>
      </c>
      <c r="N1168" s="156" t="inlineStr">
        <is>
          <t>SS26</t>
        </is>
      </c>
      <c r="O1168" s="156" t="inlineStr">
        <is>
          <t>Seasonal</t>
        </is>
      </c>
      <c r="P1168" s="156" t="inlineStr">
        <is>
          <t>Blanco</t>
        </is>
      </c>
      <c r="Q1168" s="156" t="inlineStr">
        <is>
          <t>Regular</t>
        </is>
      </c>
      <c r="R1168" s="156" t="n"/>
      <c r="S1168" s="156" t="inlineStr">
        <is>
          <t>65% Viscosa 35% Poliéster</t>
        </is>
      </c>
      <c r="T1168" s="156" t="inlineStr">
        <is>
          <t>Vestido Polyester Crepe Estampado Desert Toile Regular</t>
        </is>
      </c>
      <c r="U1168" s="156" t="n"/>
      <c r="V1168" s="156" t="inlineStr">
        <is>
          <t>PZS</t>
        </is>
      </c>
      <c r="W1168" s="51" t="inlineStr">
        <is>
          <t>53101504</t>
        </is>
      </c>
      <c r="X1168" s="156" t="n"/>
      <c r="Y1168" s="54" t="n">
        <v>1357.758621</v>
      </c>
      <c r="Z1168" s="54" t="n">
        <v>3017.241379</v>
      </c>
      <c r="AA1168" s="55">
        <f>IF(AND(A1168="", B1168="", E1168=""), "", IF(AB1168="", "Válido", IF((LEN(AB1168)-LEN(SUBSTITUTE(AB1168,"; ","")))/2+1&gt;(LEN(AB1168)-LEN(SUBSTITUTE(AB1168,"[Aviso]","")))/7, "Con Incidencias", "Válido")))</f>
        <v/>
      </c>
      <c r="AB1168" s="56">
        <f>IF(AND(A1168="", B1168="", E1168=""), "", TEXTJOIN("; ", TRUE, IF(OR(TRIM(A1168&amp;"")="", ISNUMBER(SEARCH("FALTA", A1168))), "UPC faltante/inválido", ""), IF(AND(A1168&lt;&gt;"", IFERROR(_xlfn.XMATCH(A1168,$A$2:$A$2509,0,1)&lt;&gt;_xlfn.XMATCH(A1168,$A$2:$A$2509,0,-1),FALSE)), "Código de barras duplicado", ""), IF(AND(E1168&lt;&gt;"", COUNTIF($E$2:$E$2509, E1168)&gt;1), "SKU duplicado", ""), IF(OR(J1168="", J1168=""), "[Aviso] División no capturada ()", IF(ISNA(MATCH(J1168, Criterios!$A$123:$A$126, 0)), "División no válida", "")), IF(OR(K1168="", K1168=""), "[Aviso] Categoría no capturada ()", IF(ISNA(MATCH(K1168, Criterios!$A$81:$A$120, 0)), "Categoría no válida", IF(AND(J1168&lt;&gt;"", J1168&lt;&gt;"", J1168&lt;&gt;VLOOKUP(K1168, Criterios!$A$81:$B$120, 2, FALSE)), "División no coincide con Categoría", ""))), IF(OR(L1168="", L1168=""), "[Aviso] Género no capturado ()", IF(ISNA(MATCH(L1168, Criterios!$B$123:$B$127, 0)), "Género no válido", "")), IF(OR(N1168="", N1168=""), "[Aviso] Temporada no capturada ()", IF(ISNA(MATCH(N1168, Criterios!$C$123:$C$128, 0)), "Temporada no válida", "")), IF(OR(O1168="", O1168=""), "[Aviso] Ciclo de vida no capturado ()", IF(ISNA(MATCH(O1168, Criterios!$D$123:$D$124, 0)), "Ciclo de vida no válido", ""))))</f>
        <v/>
      </c>
      <c r="AC1168" s="56" t="n"/>
      <c r="AD1168" s="51" t="n">
        <v>-2</v>
      </c>
      <c r="AE1168" s="156" t="n"/>
      <c r="AF1168" s="51" t="n">
        <v>0</v>
      </c>
      <c r="AG1168" s="156" t="inlineStr">
        <is>
          <t>Catálogo existente</t>
        </is>
      </c>
      <c r="AH1168" s="156" t="inlineStr">
        <is>
          <t>Stock negativo en sistema: revisar en conteo | Revisión 29/09/2026: Campos sin respaldo: U, X; Auditoría NetSuite 30/09/2026: llenado desde NetSuite [S] | 01/10/2026: complementado desde Shopify Stetson México (match por código de barras): WB Silueta</t>
        </is>
      </c>
      <c r="AI1168" s="156" t="inlineStr">
        <is>
          <t>Sí</t>
        </is>
      </c>
      <c r="AJ1168" s="156" t="inlineStr">
        <is>
          <t>STETSON AMERICAS (-2)</t>
        </is>
      </c>
      <c r="AK1168" s="155" t="inlineStr">
        <is>
          <t>Criterios: J [R]; G1522_Extraccion_Articulos_NetSuite_2026-09-30.xlsx: fila 58571 [S] | Shopify Stetson: producto 15051552129387 / variante 53350590054763</t>
        </is>
      </c>
      <c r="AL1168" s="58" t="n">
        <v>1357.758621</v>
      </c>
      <c r="AM1168" s="58" t="n">
        <v>3017.241379</v>
      </c>
      <c r="AN1168" s="155" t="inlineStr">
        <is>
          <t>Shopify Stetson México</t>
        </is>
      </c>
      <c r="AO1168" s="59" t="n">
        <v>1</v>
      </c>
      <c r="AP1168" s="59" t="n"/>
      <c r="AQ1168" s="59" t="n"/>
      <c r="AR1168" s="155" t="inlineStr">
        <is>
          <t>Shopify Stetson México › Stetson Americas: 1</t>
        </is>
      </c>
    </row>
    <row r="1169">
      <c r="A1169" s="50" t="inlineStr">
        <is>
          <t>199168135645</t>
        </is>
      </c>
      <c r="B1169" s="51" t="inlineStr">
        <is>
          <t>110757</t>
        </is>
      </c>
      <c r="C1169" s="156" t="inlineStr">
        <is>
          <t>Multimarca</t>
        </is>
      </c>
      <c r="D1169" s="156" t="inlineStr">
        <is>
          <t>11-057-0590-3004</t>
        </is>
      </c>
      <c r="E1169" s="156" t="inlineStr">
        <is>
          <t>11-057-0590-3004-XL</t>
        </is>
      </c>
      <c r="F1169" s="156" t="inlineStr">
        <is>
          <t>XL</t>
        </is>
      </c>
      <c r="G1169" s="156" t="inlineStr">
        <is>
          <t>XL</t>
        </is>
      </c>
      <c r="H1169" s="156" t="inlineStr">
        <is>
          <t>Stetson</t>
        </is>
      </c>
      <c r="I1169" s="156" t="inlineStr">
        <is>
          <t>Vestido Polyester Crepe Estampado Desert Toile</t>
        </is>
      </c>
      <c r="J1169" s="156" t="inlineStr">
        <is>
          <t>Ropa</t>
        </is>
      </c>
      <c r="K1169" s="156" t="inlineStr">
        <is>
          <t>Vestidos</t>
        </is>
      </c>
      <c r="L1169" s="156" t="inlineStr">
        <is>
          <t>Mujer</t>
        </is>
      </c>
      <c r="M1169" s="156" t="inlineStr">
        <is>
          <t>Stetson</t>
        </is>
      </c>
      <c r="N1169" s="156" t="inlineStr">
        <is>
          <t>SS26</t>
        </is>
      </c>
      <c r="O1169" s="156" t="inlineStr">
        <is>
          <t>Seasonal</t>
        </is>
      </c>
      <c r="P1169" s="156" t="inlineStr">
        <is>
          <t>Blanco</t>
        </is>
      </c>
      <c r="Q1169" s="156" t="inlineStr">
        <is>
          <t>Regular</t>
        </is>
      </c>
      <c r="R1169" s="156" t="n"/>
      <c r="S1169" s="156" t="inlineStr">
        <is>
          <t>65% Viscosa 35% Poliéster</t>
        </is>
      </c>
      <c r="T1169" s="156" t="inlineStr">
        <is>
          <t>Vestido Polyester Crepe Estampado Desert Toile Regular</t>
        </is>
      </c>
      <c r="U1169" s="156" t="n"/>
      <c r="V1169" s="156" t="inlineStr">
        <is>
          <t>PZS</t>
        </is>
      </c>
      <c r="W1169" s="51" t="inlineStr">
        <is>
          <t>53101504</t>
        </is>
      </c>
      <c r="X1169" s="156" t="n"/>
      <c r="Y1169" s="54" t="n">
        <v>1357.758621</v>
      </c>
      <c r="Z1169" s="54" t="n">
        <v>3017.241379</v>
      </c>
      <c r="AA1169" s="55">
        <f>IF(AND(A1169="", B1169="", E1169=""), "", IF(AB1169="", "Válido", IF((LEN(AB1169)-LEN(SUBSTITUTE(AB1169,"; ","")))/2+1&gt;(LEN(AB1169)-LEN(SUBSTITUTE(AB1169,"[Aviso]","")))/7, "Con Incidencias", "Válido")))</f>
        <v/>
      </c>
      <c r="AB1169" s="56">
        <f>IF(AND(A1169="", B1169="", E1169=""), "", TEXTJOIN("; ", TRUE, IF(OR(TRIM(A1169&amp;"")="", ISNUMBER(SEARCH("FALTA", A1169))), "UPC faltante/inválido", ""), IF(AND(A1169&lt;&gt;"", IFERROR(_xlfn.XMATCH(A1169,$A$2:$A$2509,0,1)&lt;&gt;_xlfn.XMATCH(A1169,$A$2:$A$2509,0,-1),FALSE)), "Código de barras duplicado", ""), IF(AND(E1169&lt;&gt;"", COUNTIF($E$2:$E$2509, E1169)&gt;1), "SKU duplicado", ""), IF(OR(J1169="", J1169=""), "[Aviso] División no capturada ()", IF(ISNA(MATCH(J1169, Criterios!$A$123:$A$126, 0)), "División no válida", "")), IF(OR(K1169="", K1169=""), "[Aviso] Categoría no capturada ()", IF(ISNA(MATCH(K1169, Criterios!$A$81:$A$120, 0)), "Categoría no válida", IF(AND(J1169&lt;&gt;"", J1169&lt;&gt;"", J1169&lt;&gt;VLOOKUP(K1169, Criterios!$A$81:$B$120, 2, FALSE)), "División no coincide con Categoría", ""))), IF(OR(L1169="", L1169=""), "[Aviso] Género no capturado ()", IF(ISNA(MATCH(L1169, Criterios!$B$123:$B$127, 0)), "Género no válido", "")), IF(OR(N1169="", N1169=""), "[Aviso] Temporada no capturada ()", IF(ISNA(MATCH(N1169, Criterios!$C$123:$C$128, 0)), "Temporada no válida", "")), IF(OR(O1169="", O1169=""), "[Aviso] Ciclo de vida no capturado ()", IF(ISNA(MATCH(O1169, Criterios!$D$123:$D$124, 0)), "Ciclo de vida no válido", ""))))</f>
        <v/>
      </c>
      <c r="AC1169" s="56" t="n"/>
      <c r="AD1169" s="51" t="n">
        <v>0</v>
      </c>
      <c r="AE1169" s="156" t="n"/>
      <c r="AF1169" s="51" t="n">
        <v>0</v>
      </c>
      <c r="AG1169" s="156" t="inlineStr">
        <is>
          <t>Catálogo existente</t>
        </is>
      </c>
      <c r="AH1169" s="156" t="inlineStr">
        <is>
          <t>Revisión 29/09/2026: Campos sin respaldo: U, X; Auditoría NetSuite 30/09/2026: llenado desde NetSuite [S] | 01/10/2026: complementado desde Shopify Stetson México (match por código de barras): WB Silueta</t>
        </is>
      </c>
      <c r="AI1169" s="156" t="inlineStr">
        <is>
          <t>No</t>
        </is>
      </c>
      <c r="AJ1169" s="156" t="n"/>
      <c r="AK1169" s="155" t="inlineStr">
        <is>
          <t>Criterios: J [R]; G1522_Extraccion_Articulos_NetSuite_2026-09-30.xlsx: fila 58572 [S] | Shopify Stetson: producto 15051552129387 / variante 53350590153067</t>
        </is>
      </c>
      <c r="AL1169" s="58" t="n">
        <v>1357.758621</v>
      </c>
      <c r="AM1169" s="58" t="n">
        <v>3017.241379</v>
      </c>
      <c r="AN1169" s="155" t="inlineStr">
        <is>
          <t>Shopify Stetson México</t>
        </is>
      </c>
      <c r="AO1169" s="59" t="n">
        <v>1</v>
      </c>
      <c r="AP1169" s="59" t="n"/>
      <c r="AQ1169" s="59" t="n"/>
      <c r="AR1169" s="155" t="inlineStr">
        <is>
          <t>Shopify Stetson México › Stetson Americas: 1</t>
        </is>
      </c>
    </row>
    <row r="1170">
      <c r="A1170" s="50" t="inlineStr">
        <is>
          <t>199168135652</t>
        </is>
      </c>
      <c r="B1170" s="51" t="inlineStr">
        <is>
          <t>110758</t>
        </is>
      </c>
      <c r="C1170" s="156" t="inlineStr">
        <is>
          <t>Multimarca</t>
        </is>
      </c>
      <c r="D1170" s="156" t="inlineStr">
        <is>
          <t>11-057-0590-3004</t>
        </is>
      </c>
      <c r="E1170" s="156" t="inlineStr">
        <is>
          <t>11-057-0590-3004-XS</t>
        </is>
      </c>
      <c r="F1170" s="156" t="inlineStr">
        <is>
          <t>XS</t>
        </is>
      </c>
      <c r="G1170" s="156" t="inlineStr">
        <is>
          <t>XS</t>
        </is>
      </c>
      <c r="H1170" s="156" t="inlineStr">
        <is>
          <t>Stetson</t>
        </is>
      </c>
      <c r="I1170" s="156" t="inlineStr">
        <is>
          <t>Vestido Polyester Crepe Estampado Desert Toile</t>
        </is>
      </c>
      <c r="J1170" s="156" t="inlineStr">
        <is>
          <t>Ropa</t>
        </is>
      </c>
      <c r="K1170" s="156" t="inlineStr">
        <is>
          <t>Vestidos</t>
        </is>
      </c>
      <c r="L1170" s="156" t="inlineStr">
        <is>
          <t>Mujer</t>
        </is>
      </c>
      <c r="M1170" s="156" t="inlineStr">
        <is>
          <t>Stetson</t>
        </is>
      </c>
      <c r="N1170" s="156" t="inlineStr">
        <is>
          <t>SS26</t>
        </is>
      </c>
      <c r="O1170" s="156" t="inlineStr">
        <is>
          <t>Seasonal</t>
        </is>
      </c>
      <c r="P1170" s="156" t="inlineStr">
        <is>
          <t>Blanco</t>
        </is>
      </c>
      <c r="Q1170" s="156" t="inlineStr">
        <is>
          <t>Regular</t>
        </is>
      </c>
      <c r="R1170" s="156" t="n"/>
      <c r="S1170" s="156" t="inlineStr">
        <is>
          <t>65% Viscosa 35% Poliéster</t>
        </is>
      </c>
      <c r="T1170" s="156" t="inlineStr">
        <is>
          <t>Vestido Polyester Crepe Estampado Desert Toile Regular</t>
        </is>
      </c>
      <c r="U1170" s="156" t="n"/>
      <c r="V1170" s="156" t="inlineStr">
        <is>
          <t>PZS</t>
        </is>
      </c>
      <c r="W1170" s="51" t="inlineStr">
        <is>
          <t>53101504</t>
        </is>
      </c>
      <c r="X1170" s="156" t="n"/>
      <c r="Y1170" s="54" t="n">
        <v>1357.758621</v>
      </c>
      <c r="Z1170" s="54" t="n">
        <v>3017.241379</v>
      </c>
      <c r="AA1170" s="55">
        <f>IF(AND(A1170="", B1170="", E1170=""), "", IF(AB1170="", "Válido", IF((LEN(AB1170)-LEN(SUBSTITUTE(AB1170,"; ","")))/2+1&gt;(LEN(AB1170)-LEN(SUBSTITUTE(AB1170,"[Aviso]","")))/7, "Con Incidencias", "Válido")))</f>
        <v/>
      </c>
      <c r="AB1170" s="56">
        <f>IF(AND(A1170="", B1170="", E1170=""), "", TEXTJOIN("; ", TRUE, IF(OR(TRIM(A1170&amp;"")="", ISNUMBER(SEARCH("FALTA", A1170))), "UPC faltante/inválido", ""), IF(AND(A1170&lt;&gt;"", IFERROR(_xlfn.XMATCH(A1170,$A$2:$A$2509,0,1)&lt;&gt;_xlfn.XMATCH(A1170,$A$2:$A$2509,0,-1),FALSE)), "Código de barras duplicado", ""), IF(AND(E1170&lt;&gt;"", COUNTIF($E$2:$E$2509, E1170)&gt;1), "SKU duplicado", ""), IF(OR(J1170="", J1170=""), "[Aviso] División no capturada ()", IF(ISNA(MATCH(J1170, Criterios!$A$123:$A$126, 0)), "División no válida", "")), IF(OR(K1170="", K1170=""), "[Aviso] Categoría no capturada ()", IF(ISNA(MATCH(K1170, Criterios!$A$81:$A$120, 0)), "Categoría no válida", IF(AND(J1170&lt;&gt;"", J1170&lt;&gt;"", J1170&lt;&gt;VLOOKUP(K1170, Criterios!$A$81:$B$120, 2, FALSE)), "División no coincide con Categoría", ""))), IF(OR(L1170="", L1170=""), "[Aviso] Género no capturado ()", IF(ISNA(MATCH(L1170, Criterios!$B$123:$B$127, 0)), "Género no válido", "")), IF(OR(N1170="", N1170=""), "[Aviso] Temporada no capturada ()", IF(ISNA(MATCH(N1170, Criterios!$C$123:$C$128, 0)), "Temporada no válida", "")), IF(OR(O1170="", O1170=""), "[Aviso] Ciclo de vida no capturado ()", IF(ISNA(MATCH(O1170, Criterios!$D$123:$D$124, 0)), "Ciclo de vida no válido", ""))))</f>
        <v/>
      </c>
      <c r="AC1170" s="56" t="n"/>
      <c r="AD1170" s="51" t="n">
        <v>-1</v>
      </c>
      <c r="AE1170" s="156" t="n"/>
      <c r="AF1170" s="51" t="n">
        <v>0</v>
      </c>
      <c r="AG1170" s="156" t="inlineStr">
        <is>
          <t>Catálogo existente</t>
        </is>
      </c>
      <c r="AH1170" s="156" t="inlineStr">
        <is>
          <t>Stock negativo en sistema: revisar en conteo | Revisión 29/09/2026: Campos sin respaldo: U, X; Auditoría NetSuite 30/09/2026: llenado desde NetSuite [S] | 01/10/2026: complementado desde Shopify Stetson México (match por código de barras): WB Silueta</t>
        </is>
      </c>
      <c r="AI1170" s="156" t="inlineStr">
        <is>
          <t>Sí</t>
        </is>
      </c>
      <c r="AJ1170" s="156" t="inlineStr">
        <is>
          <t>STETSON AMERICAS (-1)</t>
        </is>
      </c>
      <c r="AK1170" s="155" t="inlineStr">
        <is>
          <t>Criterios: J [R]; G1522_Extraccion_Articulos_NetSuite_2026-09-30.xlsx: fila 58573 [S] | Shopify Stetson: producto 15051552129387 / variante 53350590021995</t>
        </is>
      </c>
      <c r="AL1170" s="58" t="n">
        <v>1357.758621</v>
      </c>
      <c r="AM1170" s="58" t="n">
        <v>3017.241379</v>
      </c>
      <c r="AN1170" s="155" t="inlineStr">
        <is>
          <t>Shopify Stetson México</t>
        </is>
      </c>
      <c r="AO1170" s="59" t="n">
        <v>1</v>
      </c>
      <c r="AP1170" s="59" t="n"/>
      <c r="AQ1170" s="59" t="n"/>
      <c r="AR1170" s="155" t="inlineStr">
        <is>
          <t>Shopify Stetson México › Stetson Americas: 1</t>
        </is>
      </c>
    </row>
    <row r="1171">
      <c r="A1171" s="50" t="inlineStr">
        <is>
          <t>199168182014</t>
        </is>
      </c>
      <c r="B1171" s="51" t="inlineStr">
        <is>
          <t>110735</t>
        </is>
      </c>
      <c r="C1171" s="156" t="inlineStr">
        <is>
          <t>Multimarca</t>
        </is>
      </c>
      <c r="D1171" s="156" t="inlineStr">
        <is>
          <t>11-057-0202-9160</t>
        </is>
      </c>
      <c r="E1171" s="156" t="inlineStr">
        <is>
          <t>11-057-0202-9160-L</t>
        </is>
      </c>
      <c r="F1171" s="156" t="inlineStr">
        <is>
          <t>L</t>
        </is>
      </c>
      <c r="G1171" s="156" t="inlineStr">
        <is>
          <t>L</t>
        </is>
      </c>
      <c r="H1171" s="156" t="inlineStr">
        <is>
          <t>Stetson</t>
        </is>
      </c>
      <c r="I1171" s="156" t="inlineStr">
        <is>
          <t>Vestido Denim con Bordado y Botones</t>
        </is>
      </c>
      <c r="J1171" s="156" t="inlineStr">
        <is>
          <t>Ropa</t>
        </is>
      </c>
      <c r="K1171" s="156" t="inlineStr">
        <is>
          <t>Vestidos</t>
        </is>
      </c>
      <c r="L1171" s="156" t="inlineStr">
        <is>
          <t>Mujer</t>
        </is>
      </c>
      <c r="M1171" s="156" t="inlineStr">
        <is>
          <t>Stetson</t>
        </is>
      </c>
      <c r="N1171" s="156" t="inlineStr">
        <is>
          <t>SS26</t>
        </is>
      </c>
      <c r="O1171" s="156" t="inlineStr">
        <is>
          <t>Seasonal</t>
        </is>
      </c>
      <c r="P1171" s="156" t="inlineStr">
        <is>
          <t>Azul</t>
        </is>
      </c>
      <c r="Q1171" s="156" t="inlineStr">
        <is>
          <t>Regular</t>
        </is>
      </c>
      <c r="R1171" s="156" t="n"/>
      <c r="S1171" s="156" t="inlineStr">
        <is>
          <t>99% Algodón 1% Elastano</t>
        </is>
      </c>
      <c r="T1171" s="156" t="inlineStr">
        <is>
          <t>Vestido Denim con Bordado y Botones Regular</t>
        </is>
      </c>
      <c r="U1171" s="156" t="n"/>
      <c r="V1171" s="156" t="inlineStr">
        <is>
          <t>PZS</t>
        </is>
      </c>
      <c r="W1171" s="51" t="inlineStr">
        <is>
          <t>53101504</t>
        </is>
      </c>
      <c r="X1171" s="156" t="n"/>
      <c r="Y1171" s="54" t="n">
        <v>1357.758621</v>
      </c>
      <c r="Z1171" s="54" t="n">
        <v>3017.241379</v>
      </c>
      <c r="AA1171" s="55">
        <f>IF(AND(A1171="", B1171="", E1171=""), "", IF(AB1171="", "Válido", IF((LEN(AB1171)-LEN(SUBSTITUTE(AB1171,"; ","")))/2+1&gt;(LEN(AB1171)-LEN(SUBSTITUTE(AB1171,"[Aviso]","")))/7, "Con Incidencias", "Válido")))</f>
        <v/>
      </c>
      <c r="AB1171" s="56">
        <f>IF(AND(A1171="", B1171="", E1171=""), "", TEXTJOIN("; ", TRUE, IF(OR(TRIM(A1171&amp;"")="", ISNUMBER(SEARCH("FALTA", A1171))), "UPC faltante/inválido", ""), IF(AND(A1171&lt;&gt;"", IFERROR(_xlfn.XMATCH(A1171,$A$2:$A$2509,0,1)&lt;&gt;_xlfn.XMATCH(A1171,$A$2:$A$2509,0,-1),FALSE)), "Código de barras duplicado", ""), IF(AND(E1171&lt;&gt;"", COUNTIF($E$2:$E$2509, E1171)&gt;1), "SKU duplicado", ""), IF(OR(J1171="", J1171=""), "[Aviso] División no capturada ()", IF(ISNA(MATCH(J1171, Criterios!$A$123:$A$126, 0)), "División no válida", "")), IF(OR(K1171="", K1171=""), "[Aviso] Categoría no capturada ()", IF(ISNA(MATCH(K1171, Criterios!$A$81:$A$120, 0)), "Categoría no válida", IF(AND(J1171&lt;&gt;"", J1171&lt;&gt;"", J1171&lt;&gt;VLOOKUP(K1171, Criterios!$A$81:$B$120, 2, FALSE)), "División no coincide con Categoría", ""))), IF(OR(L1171="", L1171=""), "[Aviso] Género no capturado ()", IF(ISNA(MATCH(L1171, Criterios!$B$123:$B$127, 0)), "Género no válido", "")), IF(OR(N1171="", N1171=""), "[Aviso] Temporada no capturada ()", IF(ISNA(MATCH(N1171, Criterios!$C$123:$C$128, 0)), "Temporada no válida", "")), IF(OR(O1171="", O1171=""), "[Aviso] Ciclo de vida no capturado ()", IF(ISNA(MATCH(O1171, Criterios!$D$123:$D$124, 0)), "Ciclo de vida no válido", ""))))</f>
        <v/>
      </c>
      <c r="AC1171" s="56" t="n"/>
      <c r="AD1171" s="51" t="n">
        <v>-1</v>
      </c>
      <c r="AE1171" s="156" t="n"/>
      <c r="AF1171" s="51" t="n">
        <v>0</v>
      </c>
      <c r="AG1171" s="156" t="inlineStr">
        <is>
          <t>Catálogo existente</t>
        </is>
      </c>
      <c r="AH1171" s="156" t="inlineStr">
        <is>
          <t>Stock negativo en sistema: revisar en conteo | Revisión 29/09/2026: Campos sin respaldo: U, X; Auditoría NetSuite 30/09/2026: llenado desde NetSuite [S] | 01/10/2026: complementado desde Shopify Stetson México (match por código de barras): WB Silueta</t>
        </is>
      </c>
      <c r="AI1171" s="156" t="inlineStr">
        <is>
          <t>Sí</t>
        </is>
      </c>
      <c r="AJ1171" s="156" t="inlineStr">
        <is>
          <t>STETSON AMERICAS (-1)</t>
        </is>
      </c>
      <c r="AK1171" s="155" t="inlineStr">
        <is>
          <t>Criterios: J [R]; G1522_Extraccion_Articulos_NetSuite_2026-09-30.xlsx: fila 58550 [S] | Shopify Stetson: producto 15051551801707 / variante 53350590775659</t>
        </is>
      </c>
      <c r="AL1171" s="58" t="n">
        <v>1357.758621</v>
      </c>
      <c r="AM1171" s="58" t="n">
        <v>3017.241379</v>
      </c>
      <c r="AN1171" s="155" t="inlineStr">
        <is>
          <t>Shopify Stetson México</t>
        </is>
      </c>
      <c r="AO1171" s="59" t="n">
        <v>3</v>
      </c>
      <c r="AP1171" s="59" t="n"/>
      <c r="AQ1171" s="59" t="n"/>
      <c r="AR1171" s="155" t="inlineStr">
        <is>
          <t>Shopify Stetson México › Stetson Americas: 3</t>
        </is>
      </c>
    </row>
    <row r="1172">
      <c r="A1172" s="50" t="inlineStr">
        <is>
          <t>199168182021</t>
        </is>
      </c>
      <c r="B1172" s="51" t="inlineStr">
        <is>
          <t>110736</t>
        </is>
      </c>
      <c r="C1172" s="156" t="inlineStr">
        <is>
          <t>Multimarca</t>
        </is>
      </c>
      <c r="D1172" s="156" t="inlineStr">
        <is>
          <t>11-057-0202-9160</t>
        </is>
      </c>
      <c r="E1172" s="156" t="inlineStr">
        <is>
          <t>11-057-0202-9160-M</t>
        </is>
      </c>
      <c r="F1172" s="156" t="inlineStr">
        <is>
          <t>M</t>
        </is>
      </c>
      <c r="G1172" s="156" t="inlineStr">
        <is>
          <t>M</t>
        </is>
      </c>
      <c r="H1172" s="156" t="inlineStr">
        <is>
          <t>Stetson</t>
        </is>
      </c>
      <c r="I1172" s="156" t="inlineStr">
        <is>
          <t>Vestido Denim con Bordado y Botones</t>
        </is>
      </c>
      <c r="J1172" s="156" t="inlineStr">
        <is>
          <t>Ropa</t>
        </is>
      </c>
      <c r="K1172" s="156" t="inlineStr">
        <is>
          <t>Vestidos</t>
        </is>
      </c>
      <c r="L1172" s="156" t="inlineStr">
        <is>
          <t>Mujer</t>
        </is>
      </c>
      <c r="M1172" s="156" t="inlineStr">
        <is>
          <t>Stetson</t>
        </is>
      </c>
      <c r="N1172" s="156" t="inlineStr">
        <is>
          <t>SS26</t>
        </is>
      </c>
      <c r="O1172" s="156" t="inlineStr">
        <is>
          <t>Seasonal</t>
        </is>
      </c>
      <c r="P1172" s="156" t="inlineStr">
        <is>
          <t>Azul</t>
        </is>
      </c>
      <c r="Q1172" s="156" t="inlineStr">
        <is>
          <t>Regular</t>
        </is>
      </c>
      <c r="R1172" s="156" t="n"/>
      <c r="S1172" s="156" t="inlineStr">
        <is>
          <t>99% Algodón 1% Elastano</t>
        </is>
      </c>
      <c r="T1172" s="156" t="inlineStr">
        <is>
          <t>Vestido Denim con Bordado y Botones Regular</t>
        </is>
      </c>
      <c r="U1172" s="156" t="n"/>
      <c r="V1172" s="156" t="inlineStr">
        <is>
          <t>PZS</t>
        </is>
      </c>
      <c r="W1172" s="51" t="inlineStr">
        <is>
          <t>53101504</t>
        </is>
      </c>
      <c r="X1172" s="156" t="n"/>
      <c r="Y1172" s="54" t="n">
        <v>1357.758621</v>
      </c>
      <c r="Z1172" s="54" t="n">
        <v>3017.241379</v>
      </c>
      <c r="AA1172" s="55">
        <f>IF(AND(A1172="", B1172="", E1172=""), "", IF(AB1172="", "Válido", IF((LEN(AB1172)-LEN(SUBSTITUTE(AB1172,"; ","")))/2+1&gt;(LEN(AB1172)-LEN(SUBSTITUTE(AB1172,"[Aviso]","")))/7, "Con Incidencias", "Válido")))</f>
        <v/>
      </c>
      <c r="AB1172" s="56">
        <f>IF(AND(A1172="", B1172="", E1172=""), "", TEXTJOIN("; ", TRUE, IF(OR(TRIM(A1172&amp;"")="", ISNUMBER(SEARCH("FALTA", A1172))), "UPC faltante/inválido", ""), IF(AND(A1172&lt;&gt;"", IFERROR(_xlfn.XMATCH(A1172,$A$2:$A$2509,0,1)&lt;&gt;_xlfn.XMATCH(A1172,$A$2:$A$2509,0,-1),FALSE)), "Código de barras duplicado", ""), IF(AND(E1172&lt;&gt;"", COUNTIF($E$2:$E$2509, E1172)&gt;1), "SKU duplicado", ""), IF(OR(J1172="", J1172=""), "[Aviso] División no capturada ()", IF(ISNA(MATCH(J1172, Criterios!$A$123:$A$126, 0)), "División no válida", "")), IF(OR(K1172="", K1172=""), "[Aviso] Categoría no capturada ()", IF(ISNA(MATCH(K1172, Criterios!$A$81:$A$120, 0)), "Categoría no válida", IF(AND(J1172&lt;&gt;"", J1172&lt;&gt;"", J1172&lt;&gt;VLOOKUP(K1172, Criterios!$A$81:$B$120, 2, FALSE)), "División no coincide con Categoría", ""))), IF(OR(L1172="", L1172=""), "[Aviso] Género no capturado ()", IF(ISNA(MATCH(L1172, Criterios!$B$123:$B$127, 0)), "Género no válido", "")), IF(OR(N1172="", N1172=""), "[Aviso] Temporada no capturada ()", IF(ISNA(MATCH(N1172, Criterios!$C$123:$C$128, 0)), "Temporada no válida", "")), IF(OR(O1172="", O1172=""), "[Aviso] Ciclo de vida no capturado ()", IF(ISNA(MATCH(O1172, Criterios!$D$123:$D$124, 0)), "Ciclo de vida no válido", ""))))</f>
        <v/>
      </c>
      <c r="AC1172" s="56" t="n"/>
      <c r="AD1172" s="51" t="n">
        <v>-1</v>
      </c>
      <c r="AE1172" s="156" t="n"/>
      <c r="AF1172" s="51" t="n">
        <v>0</v>
      </c>
      <c r="AG1172" s="156" t="inlineStr">
        <is>
          <t>Catálogo existente</t>
        </is>
      </c>
      <c r="AH1172" s="156" t="inlineStr">
        <is>
          <t>Stock negativo en sistema: revisar en conteo | Revisión 29/09/2026: Campos sin respaldo: U, X; Auditoría NetSuite 30/09/2026: llenado desde NetSuite [S] | 01/10/2026: complementado desde Shopify Stetson México (match por código de barras): WB Silueta</t>
        </is>
      </c>
      <c r="AI1172" s="156" t="inlineStr">
        <is>
          <t>Sí</t>
        </is>
      </c>
      <c r="AJ1172" s="156" t="inlineStr">
        <is>
          <t>STETSON AMERICAS (-1)</t>
        </is>
      </c>
      <c r="AK1172" s="155" t="inlineStr">
        <is>
          <t>Criterios: J [R]; G1522_Extraccion_Articulos_NetSuite_2026-09-30.xlsx: fila 58551 [S] | Shopify Stetson: producto 15051551801707 / variante 53350590742891</t>
        </is>
      </c>
      <c r="AL1172" s="58" t="n">
        <v>1357.758621</v>
      </c>
      <c r="AM1172" s="58" t="n">
        <v>3017.241379</v>
      </c>
      <c r="AN1172" s="155" t="inlineStr">
        <is>
          <t>Shopify Stetson México</t>
        </is>
      </c>
      <c r="AO1172" s="59" t="n">
        <v>7</v>
      </c>
      <c r="AP1172" s="59" t="n"/>
      <c r="AQ1172" s="59" t="n"/>
      <c r="AR1172" s="155" t="inlineStr">
        <is>
          <t>Shopify Stetson México › Stetson Americas: 7</t>
        </is>
      </c>
    </row>
    <row r="1173">
      <c r="A1173" s="50" t="inlineStr">
        <is>
          <t>199168182038</t>
        </is>
      </c>
      <c r="B1173" s="51" t="inlineStr">
        <is>
          <t>110737</t>
        </is>
      </c>
      <c r="C1173" s="156" t="inlineStr">
        <is>
          <t>Multimarca</t>
        </is>
      </c>
      <c r="D1173" s="156" t="inlineStr">
        <is>
          <t>11-057-0202-9160</t>
        </is>
      </c>
      <c r="E1173" s="156" t="inlineStr">
        <is>
          <t>11-057-0202-9160-S</t>
        </is>
      </c>
      <c r="F1173" s="156" t="inlineStr">
        <is>
          <t>S</t>
        </is>
      </c>
      <c r="G1173" s="156" t="inlineStr">
        <is>
          <t>S</t>
        </is>
      </c>
      <c r="H1173" s="156" t="inlineStr">
        <is>
          <t>Stetson</t>
        </is>
      </c>
      <c r="I1173" s="156" t="inlineStr">
        <is>
          <t>Vestido Denim con Bordado y Botones</t>
        </is>
      </c>
      <c r="J1173" s="156" t="inlineStr">
        <is>
          <t>Ropa</t>
        </is>
      </c>
      <c r="K1173" s="156" t="inlineStr">
        <is>
          <t>Vestidos</t>
        </is>
      </c>
      <c r="L1173" s="156" t="inlineStr">
        <is>
          <t>Mujer</t>
        </is>
      </c>
      <c r="M1173" s="156" t="inlineStr">
        <is>
          <t>Stetson</t>
        </is>
      </c>
      <c r="N1173" s="156" t="inlineStr">
        <is>
          <t>SS26</t>
        </is>
      </c>
      <c r="O1173" s="156" t="inlineStr">
        <is>
          <t>Seasonal</t>
        </is>
      </c>
      <c r="P1173" s="156" t="inlineStr">
        <is>
          <t>Azul</t>
        </is>
      </c>
      <c r="Q1173" s="156" t="inlineStr">
        <is>
          <t>Regular</t>
        </is>
      </c>
      <c r="R1173" s="156" t="n"/>
      <c r="S1173" s="156" t="inlineStr">
        <is>
          <t>99% Algodón 1% Elastano</t>
        </is>
      </c>
      <c r="T1173" s="156" t="inlineStr">
        <is>
          <t>Vestido Denim con Bordado y Botones Regular</t>
        </is>
      </c>
      <c r="U1173" s="156" t="n"/>
      <c r="V1173" s="156" t="inlineStr">
        <is>
          <t>PZS</t>
        </is>
      </c>
      <c r="W1173" s="51" t="inlineStr">
        <is>
          <t>53101504</t>
        </is>
      </c>
      <c r="X1173" s="156" t="n"/>
      <c r="Y1173" s="54" t="n">
        <v>1357.758621</v>
      </c>
      <c r="Z1173" s="54" t="n">
        <v>3017.241379</v>
      </c>
      <c r="AA1173" s="55">
        <f>IF(AND(A1173="", B1173="", E1173=""), "", IF(AB1173="", "Válido", IF((LEN(AB1173)-LEN(SUBSTITUTE(AB1173,"; ","")))/2+1&gt;(LEN(AB1173)-LEN(SUBSTITUTE(AB1173,"[Aviso]","")))/7, "Con Incidencias", "Válido")))</f>
        <v/>
      </c>
      <c r="AB1173" s="56">
        <f>IF(AND(A1173="", B1173="", E1173=""), "", TEXTJOIN("; ", TRUE, IF(OR(TRIM(A1173&amp;"")="", ISNUMBER(SEARCH("FALTA", A1173))), "UPC faltante/inválido", ""), IF(AND(A1173&lt;&gt;"", IFERROR(_xlfn.XMATCH(A1173,$A$2:$A$2509,0,1)&lt;&gt;_xlfn.XMATCH(A1173,$A$2:$A$2509,0,-1),FALSE)), "Código de barras duplicado", ""), IF(AND(E1173&lt;&gt;"", COUNTIF($E$2:$E$2509, E1173)&gt;1), "SKU duplicado", ""), IF(OR(J1173="", J1173=""), "[Aviso] División no capturada ()", IF(ISNA(MATCH(J1173, Criterios!$A$123:$A$126, 0)), "División no válida", "")), IF(OR(K1173="", K1173=""), "[Aviso] Categoría no capturada ()", IF(ISNA(MATCH(K1173, Criterios!$A$81:$A$120, 0)), "Categoría no válida", IF(AND(J1173&lt;&gt;"", J1173&lt;&gt;"", J1173&lt;&gt;VLOOKUP(K1173, Criterios!$A$81:$B$120, 2, FALSE)), "División no coincide con Categoría", ""))), IF(OR(L1173="", L1173=""), "[Aviso] Género no capturado ()", IF(ISNA(MATCH(L1173, Criterios!$B$123:$B$127, 0)), "Género no válido", "")), IF(OR(N1173="", N1173=""), "[Aviso] Temporada no capturada ()", IF(ISNA(MATCH(N1173, Criterios!$C$123:$C$128, 0)), "Temporada no válida", "")), IF(OR(O1173="", O1173=""), "[Aviso] Ciclo de vida no capturado ()", IF(ISNA(MATCH(O1173, Criterios!$D$123:$D$124, 0)), "Ciclo de vida no válido", ""))))</f>
        <v/>
      </c>
      <c r="AC1173" s="56" t="n"/>
      <c r="AD1173" s="51" t="n">
        <v>-1</v>
      </c>
      <c r="AE1173" s="156" t="n"/>
      <c r="AF1173" s="51" t="n">
        <v>0</v>
      </c>
      <c r="AG1173" s="156" t="inlineStr">
        <is>
          <t>Catálogo existente</t>
        </is>
      </c>
      <c r="AH1173" s="156" t="inlineStr">
        <is>
          <t>Stock negativo en sistema: revisar en conteo | Revisión 29/09/2026: Campos sin respaldo: U, X; Auditoría NetSuite 30/09/2026: llenado desde NetSuite [S] | 01/10/2026: complementado desde Shopify Stetson México (match por código de barras): WB Silueta</t>
        </is>
      </c>
      <c r="AI1173" s="156" t="inlineStr">
        <is>
          <t>Sí</t>
        </is>
      </c>
      <c r="AJ1173" s="156" t="inlineStr">
        <is>
          <t>STETSON AMERICAS (-1)</t>
        </is>
      </c>
      <c r="AK1173" s="155" t="inlineStr">
        <is>
          <t>Criterios: J [R]; G1522_Extraccion_Articulos_NetSuite_2026-09-30.xlsx: fila 58552 [S] | Shopify Stetson: producto 15051551801707 / variante 53350590710123</t>
        </is>
      </c>
      <c r="AL1173" s="58" t="n">
        <v>1357.758621</v>
      </c>
      <c r="AM1173" s="58" t="n">
        <v>3017.241379</v>
      </c>
      <c r="AN1173" s="155" t="inlineStr">
        <is>
          <t>Shopify Stetson México</t>
        </is>
      </c>
      <c r="AO1173" s="59" t="n">
        <v>7</v>
      </c>
      <c r="AP1173" s="59" t="n"/>
      <c r="AQ1173" s="59" t="n"/>
      <c r="AR1173" s="155" t="inlineStr">
        <is>
          <t>Shopify Stetson México › Stetson Americas: 7</t>
        </is>
      </c>
    </row>
    <row r="1174">
      <c r="A1174" s="50" t="inlineStr">
        <is>
          <t>199168182045</t>
        </is>
      </c>
      <c r="B1174" s="51" t="inlineStr">
        <is>
          <t>110738</t>
        </is>
      </c>
      <c r="C1174" s="156" t="inlineStr">
        <is>
          <t>Multimarca</t>
        </is>
      </c>
      <c r="D1174" s="156" t="inlineStr">
        <is>
          <t>11-057-0202-9160</t>
        </is>
      </c>
      <c r="E1174" s="156" t="inlineStr">
        <is>
          <t>11-057-0202-9160-XL</t>
        </is>
      </c>
      <c r="F1174" s="156" t="inlineStr">
        <is>
          <t>XL</t>
        </is>
      </c>
      <c r="G1174" s="156" t="inlineStr">
        <is>
          <t>XL</t>
        </is>
      </c>
      <c r="H1174" s="156" t="inlineStr">
        <is>
          <t>Stetson</t>
        </is>
      </c>
      <c r="I1174" s="156" t="inlineStr">
        <is>
          <t>Vestido Denim con Bordado y Botones</t>
        </is>
      </c>
      <c r="J1174" s="156" t="inlineStr">
        <is>
          <t>Ropa</t>
        </is>
      </c>
      <c r="K1174" s="156" t="inlineStr">
        <is>
          <t>Vestidos</t>
        </is>
      </c>
      <c r="L1174" s="156" t="inlineStr">
        <is>
          <t>Mujer</t>
        </is>
      </c>
      <c r="M1174" s="156" t="inlineStr">
        <is>
          <t>Stetson</t>
        </is>
      </c>
      <c r="N1174" s="156" t="inlineStr">
        <is>
          <t>SS26</t>
        </is>
      </c>
      <c r="O1174" s="156" t="inlineStr">
        <is>
          <t>Seasonal</t>
        </is>
      </c>
      <c r="P1174" s="156" t="inlineStr">
        <is>
          <t>Azul</t>
        </is>
      </c>
      <c r="Q1174" s="156" t="inlineStr">
        <is>
          <t>Regular</t>
        </is>
      </c>
      <c r="R1174" s="156" t="n"/>
      <c r="S1174" s="156" t="inlineStr">
        <is>
          <t>99% Algodón 1% Elastano</t>
        </is>
      </c>
      <c r="T1174" s="156" t="inlineStr">
        <is>
          <t>Vestido Denim con Bordado y Botones Regular</t>
        </is>
      </c>
      <c r="U1174" s="156" t="n"/>
      <c r="V1174" s="156" t="inlineStr">
        <is>
          <t>PZS</t>
        </is>
      </c>
      <c r="W1174" s="51" t="inlineStr">
        <is>
          <t>53101504</t>
        </is>
      </c>
      <c r="X1174" s="156" t="n"/>
      <c r="Y1174" s="54" t="n">
        <v>1357.758621</v>
      </c>
      <c r="Z1174" s="54" t="n">
        <v>3017.241379</v>
      </c>
      <c r="AA1174" s="55">
        <f>IF(AND(A1174="", B1174="", E1174=""), "", IF(AB1174="", "Válido", IF((LEN(AB1174)-LEN(SUBSTITUTE(AB1174,"; ","")))/2+1&gt;(LEN(AB1174)-LEN(SUBSTITUTE(AB1174,"[Aviso]","")))/7, "Con Incidencias", "Válido")))</f>
        <v/>
      </c>
      <c r="AB1174" s="56">
        <f>IF(AND(A1174="", B1174="", E1174=""), "", TEXTJOIN("; ", TRUE, IF(OR(TRIM(A1174&amp;"")="", ISNUMBER(SEARCH("FALTA", A1174))), "UPC faltante/inválido", ""), IF(AND(A1174&lt;&gt;"", IFERROR(_xlfn.XMATCH(A1174,$A$2:$A$2509,0,1)&lt;&gt;_xlfn.XMATCH(A1174,$A$2:$A$2509,0,-1),FALSE)), "Código de barras duplicado", ""), IF(AND(E1174&lt;&gt;"", COUNTIF($E$2:$E$2509, E1174)&gt;1), "SKU duplicado", ""), IF(OR(J1174="", J1174=""), "[Aviso] División no capturada ()", IF(ISNA(MATCH(J1174, Criterios!$A$123:$A$126, 0)), "División no válida", "")), IF(OR(K1174="", K1174=""), "[Aviso] Categoría no capturada ()", IF(ISNA(MATCH(K1174, Criterios!$A$81:$A$120, 0)), "Categoría no válida", IF(AND(J1174&lt;&gt;"", J1174&lt;&gt;"", J1174&lt;&gt;VLOOKUP(K1174, Criterios!$A$81:$B$120, 2, FALSE)), "División no coincide con Categoría", ""))), IF(OR(L1174="", L1174=""), "[Aviso] Género no capturado ()", IF(ISNA(MATCH(L1174, Criterios!$B$123:$B$127, 0)), "Género no válido", "")), IF(OR(N1174="", N1174=""), "[Aviso] Temporada no capturada ()", IF(ISNA(MATCH(N1174, Criterios!$C$123:$C$128, 0)), "Temporada no válida", "")), IF(OR(O1174="", O1174=""), "[Aviso] Ciclo de vida no capturado ()", IF(ISNA(MATCH(O1174, Criterios!$D$123:$D$124, 0)), "Ciclo de vida no válido", ""))))</f>
        <v/>
      </c>
      <c r="AC1174" s="56" t="n"/>
      <c r="AD1174" s="51" t="n">
        <v>-1</v>
      </c>
      <c r="AE1174" s="156" t="n"/>
      <c r="AF1174" s="51" t="n">
        <v>0</v>
      </c>
      <c r="AG1174" s="156" t="inlineStr">
        <is>
          <t>Catálogo existente</t>
        </is>
      </c>
      <c r="AH1174" s="156" t="inlineStr">
        <is>
          <t>Stock negativo en sistema: revisar en conteo | Revisión 29/09/2026: Campos sin respaldo: U, X; Auditoría NetSuite 30/09/2026: llenado desde NetSuite [S] | 01/10/2026: complementado desde Shopify Stetson México (match por código de barras): WB Silueta</t>
        </is>
      </c>
      <c r="AI1174" s="156" t="inlineStr">
        <is>
          <t>Sí</t>
        </is>
      </c>
      <c r="AJ1174" s="156" t="inlineStr">
        <is>
          <t>STETSON AMERICAS (-1)</t>
        </is>
      </c>
      <c r="AK1174" s="155" t="inlineStr">
        <is>
          <t>Criterios: J [R]; G1522_Extraccion_Articulos_NetSuite_2026-09-30.xlsx: fila 58553 [S] | Shopify Stetson: producto 15051551801707 / variante 53350590808427</t>
        </is>
      </c>
      <c r="AL1174" s="58" t="n">
        <v>1357.758621</v>
      </c>
      <c r="AM1174" s="58" t="n">
        <v>3017.241379</v>
      </c>
      <c r="AN1174" s="155" t="inlineStr">
        <is>
          <t>Shopify Stetson México</t>
        </is>
      </c>
      <c r="AO1174" s="59" t="n">
        <v>1</v>
      </c>
      <c r="AP1174" s="59" t="n"/>
      <c r="AQ1174" s="59" t="n"/>
      <c r="AR1174" s="155" t="inlineStr">
        <is>
          <t>Shopify Stetson México › Stetson Americas: 1</t>
        </is>
      </c>
    </row>
    <row r="1175">
      <c r="A1175" s="50" t="inlineStr">
        <is>
          <t>199168182052</t>
        </is>
      </c>
      <c r="B1175" s="51" t="inlineStr">
        <is>
          <t>110739</t>
        </is>
      </c>
      <c r="C1175" s="156" t="inlineStr">
        <is>
          <t>Multimarca</t>
        </is>
      </c>
      <c r="D1175" s="156" t="inlineStr">
        <is>
          <t>11-057-0202-9160</t>
        </is>
      </c>
      <c r="E1175" s="156" t="inlineStr">
        <is>
          <t>11-057-0202-9160-XS</t>
        </is>
      </c>
      <c r="F1175" s="156" t="inlineStr">
        <is>
          <t>XS</t>
        </is>
      </c>
      <c r="G1175" s="156" t="inlineStr">
        <is>
          <t>XS</t>
        </is>
      </c>
      <c r="H1175" s="156" t="inlineStr">
        <is>
          <t>Stetson</t>
        </is>
      </c>
      <c r="I1175" s="156" t="inlineStr">
        <is>
          <t>Vestido Denim con Bordado y Botones</t>
        </is>
      </c>
      <c r="J1175" s="156" t="inlineStr">
        <is>
          <t>Ropa</t>
        </is>
      </c>
      <c r="K1175" s="156" t="inlineStr">
        <is>
          <t>Vestidos</t>
        </is>
      </c>
      <c r="L1175" s="156" t="inlineStr">
        <is>
          <t>Mujer</t>
        </is>
      </c>
      <c r="M1175" s="156" t="inlineStr">
        <is>
          <t>Stetson</t>
        </is>
      </c>
      <c r="N1175" s="156" t="inlineStr">
        <is>
          <t>SS26</t>
        </is>
      </c>
      <c r="O1175" s="156" t="inlineStr">
        <is>
          <t>Seasonal</t>
        </is>
      </c>
      <c r="P1175" s="156" t="inlineStr">
        <is>
          <t>Azul</t>
        </is>
      </c>
      <c r="Q1175" s="156" t="inlineStr">
        <is>
          <t>Regular</t>
        </is>
      </c>
      <c r="R1175" s="156" t="n"/>
      <c r="S1175" s="156" t="inlineStr">
        <is>
          <t>99% Algodón 1% Elastano</t>
        </is>
      </c>
      <c r="T1175" s="156" t="inlineStr">
        <is>
          <t>Vestido Denim con Bordado y Botones Regular</t>
        </is>
      </c>
      <c r="U1175" s="156" t="n"/>
      <c r="V1175" s="156" t="inlineStr">
        <is>
          <t>PZS</t>
        </is>
      </c>
      <c r="W1175" s="51" t="inlineStr">
        <is>
          <t>53101504</t>
        </is>
      </c>
      <c r="X1175" s="156" t="n"/>
      <c r="Y1175" s="54" t="n">
        <v>1357.758621</v>
      </c>
      <c r="Z1175" s="54" t="n">
        <v>3017.241379</v>
      </c>
      <c r="AA1175" s="55">
        <f>IF(AND(A1175="", B1175="", E1175=""), "", IF(AB1175="", "Válido", IF((LEN(AB1175)-LEN(SUBSTITUTE(AB1175,"; ","")))/2+1&gt;(LEN(AB1175)-LEN(SUBSTITUTE(AB1175,"[Aviso]","")))/7, "Con Incidencias", "Válido")))</f>
        <v/>
      </c>
      <c r="AB1175" s="56">
        <f>IF(AND(A1175="", B1175="", E1175=""), "", TEXTJOIN("; ", TRUE, IF(OR(TRIM(A1175&amp;"")="", ISNUMBER(SEARCH("FALTA", A1175))), "UPC faltante/inválido", ""), IF(AND(A1175&lt;&gt;"", IFERROR(_xlfn.XMATCH(A1175,$A$2:$A$2509,0,1)&lt;&gt;_xlfn.XMATCH(A1175,$A$2:$A$2509,0,-1),FALSE)), "Código de barras duplicado", ""), IF(AND(E1175&lt;&gt;"", COUNTIF($E$2:$E$2509, E1175)&gt;1), "SKU duplicado", ""), IF(OR(J1175="", J1175=""), "[Aviso] División no capturada ()", IF(ISNA(MATCH(J1175, Criterios!$A$123:$A$126, 0)), "División no válida", "")), IF(OR(K1175="", K1175=""), "[Aviso] Categoría no capturada ()", IF(ISNA(MATCH(K1175, Criterios!$A$81:$A$120, 0)), "Categoría no válida", IF(AND(J1175&lt;&gt;"", J1175&lt;&gt;"", J1175&lt;&gt;VLOOKUP(K1175, Criterios!$A$81:$B$120, 2, FALSE)), "División no coincide con Categoría", ""))), IF(OR(L1175="", L1175=""), "[Aviso] Género no capturado ()", IF(ISNA(MATCH(L1175, Criterios!$B$123:$B$127, 0)), "Género no válido", "")), IF(OR(N1175="", N1175=""), "[Aviso] Temporada no capturada ()", IF(ISNA(MATCH(N1175, Criterios!$C$123:$C$128, 0)), "Temporada no válida", "")), IF(OR(O1175="", O1175=""), "[Aviso] Ciclo de vida no capturado ()", IF(ISNA(MATCH(O1175, Criterios!$D$123:$D$124, 0)), "Ciclo de vida no válido", ""))))</f>
        <v/>
      </c>
      <c r="AC1175" s="56" t="n"/>
      <c r="AD1175" s="51" t="n">
        <v>-5</v>
      </c>
      <c r="AE1175" s="156" t="n"/>
      <c r="AF1175" s="51" t="n">
        <v>0</v>
      </c>
      <c r="AG1175" s="156" t="inlineStr">
        <is>
          <t>Catálogo existente</t>
        </is>
      </c>
      <c r="AH1175" s="156" t="inlineStr">
        <is>
          <t>Stock negativo en sistema: revisar en conteo | Revisión 29/09/2026: Campos sin respaldo: U, X; Auditoría NetSuite 30/09/2026: llenado desde NetSuite [S] | 01/10/2026: complementado desde Shopify Stetson México (match por código de barras): WB Silueta</t>
        </is>
      </c>
      <c r="AI1175" s="156" t="inlineStr">
        <is>
          <t>Sí</t>
        </is>
      </c>
      <c r="AJ1175" s="156" t="inlineStr">
        <is>
          <t>STETSON AMERICAS (-5)</t>
        </is>
      </c>
      <c r="AK1175" s="155" t="inlineStr">
        <is>
          <t>Criterios: J [R]; G1522_Extraccion_Articulos_NetSuite_2026-09-30.xlsx: fila 58554 [S] | Shopify Stetson: producto 15051551801707 / variante 53350590677355</t>
        </is>
      </c>
      <c r="AL1175" s="58" t="n">
        <v>1357.758621</v>
      </c>
      <c r="AM1175" s="58" t="n">
        <v>3017.241379</v>
      </c>
      <c r="AN1175" s="155" t="inlineStr">
        <is>
          <t>Shopify Stetson México</t>
        </is>
      </c>
      <c r="AO1175" s="59" t="n">
        <v>0</v>
      </c>
      <c r="AP1175" s="59" t="n"/>
      <c r="AQ1175" s="59" t="n"/>
      <c r="AR1175" s="155" t="n"/>
    </row>
    <row r="1176">
      <c r="A1176" s="50" t="inlineStr">
        <is>
          <t>199168182120</t>
        </is>
      </c>
      <c r="B1176" s="51" t="inlineStr">
        <is>
          <t>110801</t>
        </is>
      </c>
      <c r="C1176" s="156" t="inlineStr">
        <is>
          <t>Multimarca</t>
        </is>
      </c>
      <c r="D1176" s="156" t="inlineStr">
        <is>
          <t>11-097-0670-9160</t>
        </is>
      </c>
      <c r="E1176" s="156" t="inlineStr">
        <is>
          <t>11-097-0670-9160-L</t>
        </is>
      </c>
      <c r="F1176" s="156" t="inlineStr">
        <is>
          <t>L</t>
        </is>
      </c>
      <c r="G1176" s="156" t="inlineStr">
        <is>
          <t>L</t>
        </is>
      </c>
      <c r="H1176" s="156" t="inlineStr">
        <is>
          <t>Stetson</t>
        </is>
      </c>
      <c r="I1176" s="156" t="inlineStr">
        <is>
          <t>Chamarra Denim Crudo con Cuello Gamuza Café</t>
        </is>
      </c>
      <c r="J1176" s="156" t="inlineStr">
        <is>
          <t>Ropa</t>
        </is>
      </c>
      <c r="K1176" s="156" t="inlineStr">
        <is>
          <t>Chamarras</t>
        </is>
      </c>
      <c r="L1176" s="156" t="inlineStr">
        <is>
          <t>Hombre</t>
        </is>
      </c>
      <c r="M1176" s="156" t="inlineStr">
        <is>
          <t>Stetson</t>
        </is>
      </c>
      <c r="N1176" s="156" t="inlineStr">
        <is>
          <t>SS26</t>
        </is>
      </c>
      <c r="O1176" s="156" t="inlineStr">
        <is>
          <t>Seasonal</t>
        </is>
      </c>
      <c r="P1176" s="156" t="inlineStr">
        <is>
          <t>Azul</t>
        </is>
      </c>
      <c r="Q1176" s="156" t="inlineStr">
        <is>
          <t>Regular</t>
        </is>
      </c>
      <c r="R1176" s="156" t="n"/>
      <c r="S1176" s="156" t="inlineStr">
        <is>
          <t>100% Algodón</t>
        </is>
      </c>
      <c r="T1176" s="156" t="inlineStr">
        <is>
          <t>Chamarra Denim Crudo con Cuello Gamuza Café Regular</t>
        </is>
      </c>
      <c r="U1176" s="156" t="n"/>
      <c r="V1176" s="156" t="inlineStr">
        <is>
          <t>PZS</t>
        </is>
      </c>
      <c r="W1176" s="51" t="inlineStr">
        <is>
          <t>53101802</t>
        </is>
      </c>
      <c r="X1176" s="156" t="n"/>
      <c r="Y1176" s="54" t="n">
        <v>1396.551724</v>
      </c>
      <c r="Z1176" s="54" t="n">
        <v>3103.448276</v>
      </c>
      <c r="AA1176" s="55">
        <f>IF(AND(A1176="", B1176="", E1176=""), "", IF(AB1176="", "Válido", IF((LEN(AB1176)-LEN(SUBSTITUTE(AB1176,"; ","")))/2+1&gt;(LEN(AB1176)-LEN(SUBSTITUTE(AB1176,"[Aviso]","")))/7, "Con Incidencias", "Válido")))</f>
        <v/>
      </c>
      <c r="AB1176" s="56">
        <f>IF(AND(A1176="", B1176="", E1176=""), "", TEXTJOIN("; ", TRUE, IF(OR(TRIM(A1176&amp;"")="", ISNUMBER(SEARCH("FALTA", A1176))), "UPC faltante/inválido", ""), IF(AND(A1176&lt;&gt;"", IFERROR(_xlfn.XMATCH(A1176,$A$2:$A$2509,0,1)&lt;&gt;_xlfn.XMATCH(A1176,$A$2:$A$2509,0,-1),FALSE)), "Código de barras duplicado", ""), IF(AND(E1176&lt;&gt;"", COUNTIF($E$2:$E$2509, E1176)&gt;1), "SKU duplicado", ""), IF(OR(J1176="", J1176=""), "[Aviso] División no capturada ()", IF(ISNA(MATCH(J1176, Criterios!$A$123:$A$126, 0)), "División no válida", "")), IF(OR(K1176="", K1176=""), "[Aviso] Categoría no capturada ()", IF(ISNA(MATCH(K1176, Criterios!$A$81:$A$120, 0)), "Categoría no válida", IF(AND(J1176&lt;&gt;"", J1176&lt;&gt;"", J1176&lt;&gt;VLOOKUP(K1176, Criterios!$A$81:$B$120, 2, FALSE)), "División no coincide con Categoría", ""))), IF(OR(L1176="", L1176=""), "[Aviso] Género no capturado ()", IF(ISNA(MATCH(L1176, Criterios!$B$123:$B$127, 0)), "Género no válido", "")), IF(OR(N1176="", N1176=""), "[Aviso] Temporada no capturada ()", IF(ISNA(MATCH(N1176, Criterios!$C$123:$C$128, 0)), "Temporada no válida", "")), IF(OR(O1176="", O1176=""), "[Aviso] Ciclo de vida no capturado ()", IF(ISNA(MATCH(O1176, Criterios!$D$123:$D$124, 0)), "Ciclo de vida no válido", ""))))</f>
        <v/>
      </c>
      <c r="AC1176" s="56" t="n"/>
      <c r="AD1176" s="51" t="n">
        <v>-2</v>
      </c>
      <c r="AE1176" s="156" t="n"/>
      <c r="AF1176" s="51" t="n">
        <v>0</v>
      </c>
      <c r="AG1176" s="156" t="inlineStr">
        <is>
          <t>Catálogo existente</t>
        </is>
      </c>
      <c r="AH1176" s="156" t="inlineStr">
        <is>
          <t>Stock negativo en sistema: revisar en conteo | Revisión 29/09/2026: Campos sin respaldo: U, X; Auditoría NetSuite 30/09/2026: llenado desde NetSuite [S] | 01/10/2026: complementado desde Shopify Stetson México (match por código de barras): WB Silueta</t>
        </is>
      </c>
      <c r="AI1176" s="156" t="inlineStr">
        <is>
          <t>Sí</t>
        </is>
      </c>
      <c r="AJ1176" s="156" t="inlineStr">
        <is>
          <t>STETSON AMERICAS (-2)</t>
        </is>
      </c>
      <c r="AK1176" s="155" t="inlineStr">
        <is>
          <t>Criterios: J [R]; G1522_Extraccion_Articulos_NetSuite_2026-09-30.xlsx: fila 58616 [S] | Shopify Stetson: producto 15051552981355 / variante 53350588711275 | Odoo: producto 29699 / plantilla 38403</t>
        </is>
      </c>
      <c r="AL1176" s="58" t="n">
        <v>1396.551724</v>
      </c>
      <c r="AM1176" s="58" t="n">
        <v>3103.448276</v>
      </c>
      <c r="AN1176" s="155" t="inlineStr">
        <is>
          <t>Shopify Stetson México | Odoo Universal Unique Brands</t>
        </is>
      </c>
      <c r="AO1176" s="59" t="n">
        <v>0</v>
      </c>
      <c r="AP1176" s="59" t="n"/>
      <c r="AQ1176" s="59" t="n">
        <v>2</v>
      </c>
      <c r="AR1176" s="155" t="inlineStr">
        <is>
          <t>Odoo Universal Unique Brands › Bodega 25 › Bodega 25/General: 2</t>
        </is>
      </c>
    </row>
    <row r="1177">
      <c r="A1177" s="50" t="inlineStr">
        <is>
          <t>199168182137</t>
        </is>
      </c>
      <c r="B1177" s="51" t="inlineStr">
        <is>
          <t>110802</t>
        </is>
      </c>
      <c r="C1177" s="156" t="inlineStr">
        <is>
          <t>Multimarca</t>
        </is>
      </c>
      <c r="D1177" s="156" t="inlineStr">
        <is>
          <t>11-097-0670-9160</t>
        </is>
      </c>
      <c r="E1177" s="156" t="inlineStr">
        <is>
          <t>11-097-0670-9160-M</t>
        </is>
      </c>
      <c r="F1177" s="156" t="inlineStr">
        <is>
          <t>M</t>
        </is>
      </c>
      <c r="G1177" s="156" t="inlineStr">
        <is>
          <t>M</t>
        </is>
      </c>
      <c r="H1177" s="156" t="inlineStr">
        <is>
          <t>Stetson</t>
        </is>
      </c>
      <c r="I1177" s="156" t="inlineStr">
        <is>
          <t>Chamarra Denim Crudo con Cuello Gamuza Café</t>
        </is>
      </c>
      <c r="J1177" s="156" t="inlineStr">
        <is>
          <t>Ropa</t>
        </is>
      </c>
      <c r="K1177" s="156" t="inlineStr">
        <is>
          <t>Chamarras</t>
        </is>
      </c>
      <c r="L1177" s="156" t="inlineStr">
        <is>
          <t>Hombre</t>
        </is>
      </c>
      <c r="M1177" s="156" t="inlineStr">
        <is>
          <t>Stetson</t>
        </is>
      </c>
      <c r="N1177" s="156" t="inlineStr">
        <is>
          <t>SS26</t>
        </is>
      </c>
      <c r="O1177" s="156" t="inlineStr">
        <is>
          <t>Seasonal</t>
        </is>
      </c>
      <c r="P1177" s="156" t="inlineStr">
        <is>
          <t>Azul</t>
        </is>
      </c>
      <c r="Q1177" s="156" t="inlineStr">
        <is>
          <t>Regular</t>
        </is>
      </c>
      <c r="R1177" s="156" t="n"/>
      <c r="S1177" s="156" t="inlineStr">
        <is>
          <t>100% Algodón</t>
        </is>
      </c>
      <c r="T1177" s="156" t="inlineStr">
        <is>
          <t>Chamarra Denim Crudo con Cuello Gamuza Café Regular</t>
        </is>
      </c>
      <c r="U1177" s="156" t="n"/>
      <c r="V1177" s="156" t="inlineStr">
        <is>
          <t>PZS</t>
        </is>
      </c>
      <c r="W1177" s="51" t="inlineStr">
        <is>
          <t>53101802</t>
        </is>
      </c>
      <c r="X1177" s="156" t="n"/>
      <c r="Y1177" s="54" t="n">
        <v>1396.551724</v>
      </c>
      <c r="Z1177" s="54" t="n">
        <v>3103.448276</v>
      </c>
      <c r="AA1177" s="55">
        <f>IF(AND(A1177="", B1177="", E1177=""), "", IF(AB1177="", "Válido", IF((LEN(AB1177)-LEN(SUBSTITUTE(AB1177,"; ","")))/2+1&gt;(LEN(AB1177)-LEN(SUBSTITUTE(AB1177,"[Aviso]","")))/7, "Con Incidencias", "Válido")))</f>
        <v/>
      </c>
      <c r="AB1177" s="56">
        <f>IF(AND(A1177="", B1177="", E1177=""), "", TEXTJOIN("; ", TRUE, IF(OR(TRIM(A1177&amp;"")="", ISNUMBER(SEARCH("FALTA", A1177))), "UPC faltante/inválido", ""), IF(AND(A1177&lt;&gt;"", IFERROR(_xlfn.XMATCH(A1177,$A$2:$A$2509,0,1)&lt;&gt;_xlfn.XMATCH(A1177,$A$2:$A$2509,0,-1),FALSE)), "Código de barras duplicado", ""), IF(AND(E1177&lt;&gt;"", COUNTIF($E$2:$E$2509, E1177)&gt;1), "SKU duplicado", ""), IF(OR(J1177="", J1177=""), "[Aviso] División no capturada ()", IF(ISNA(MATCH(J1177, Criterios!$A$123:$A$126, 0)), "División no válida", "")), IF(OR(K1177="", K1177=""), "[Aviso] Categoría no capturada ()", IF(ISNA(MATCH(K1177, Criterios!$A$81:$A$120, 0)), "Categoría no válida", IF(AND(J1177&lt;&gt;"", J1177&lt;&gt;"", J1177&lt;&gt;VLOOKUP(K1177, Criterios!$A$81:$B$120, 2, FALSE)), "División no coincide con Categoría", ""))), IF(OR(L1177="", L1177=""), "[Aviso] Género no capturado ()", IF(ISNA(MATCH(L1177, Criterios!$B$123:$B$127, 0)), "Género no válido", "")), IF(OR(N1177="", N1177=""), "[Aviso] Temporada no capturada ()", IF(ISNA(MATCH(N1177, Criterios!$C$123:$C$128, 0)), "Temporada no válida", "")), IF(OR(O1177="", O1177=""), "[Aviso] Ciclo de vida no capturado ()", IF(ISNA(MATCH(O1177, Criterios!$D$123:$D$124, 0)), "Ciclo de vida no válido", ""))))</f>
        <v/>
      </c>
      <c r="AC1177" s="56" t="n"/>
      <c r="AD1177" s="51" t="n">
        <v>-2</v>
      </c>
      <c r="AE1177" s="156" t="n"/>
      <c r="AF1177" s="51" t="n">
        <v>0</v>
      </c>
      <c r="AG1177" s="156" t="inlineStr">
        <is>
          <t>Catálogo existente</t>
        </is>
      </c>
      <c r="AH1177" s="156" t="inlineStr">
        <is>
          <t>Stock negativo en sistema: revisar en conteo | Revisión 29/09/2026: Campos sin respaldo: U, X; Auditoría NetSuite 30/09/2026: llenado desde NetSuite [S] | 01/10/2026: complementado desde Shopify Stetson México (match por código de barras): WB Silueta</t>
        </is>
      </c>
      <c r="AI1177" s="156" t="inlineStr">
        <is>
          <t>Sí</t>
        </is>
      </c>
      <c r="AJ1177" s="156" t="inlineStr">
        <is>
          <t>STETSON AMERICAS (-2)</t>
        </is>
      </c>
      <c r="AK1177" s="155" t="inlineStr">
        <is>
          <t>Criterios: J [R]; G1522_Extraccion_Articulos_NetSuite_2026-09-30.xlsx: fila 58617 [S] | Shopify Stetson: producto 15051552981355 / variante 53350588678507 | Odoo: producto 29698 / plantilla 38402</t>
        </is>
      </c>
      <c r="AL1177" s="58" t="n">
        <v>1396.551724</v>
      </c>
      <c r="AM1177" s="58" t="n">
        <v>3103.448276</v>
      </c>
      <c r="AN1177" s="155" t="inlineStr">
        <is>
          <t>Shopify Stetson México | Odoo Universal Unique Brands</t>
        </is>
      </c>
      <c r="AO1177" s="59" t="n">
        <v>0</v>
      </c>
      <c r="AP1177" s="59" t="n"/>
      <c r="AQ1177" s="59" t="n">
        <v>2</v>
      </c>
      <c r="AR1177" s="155" t="inlineStr">
        <is>
          <t>Odoo Universal Unique Brands › Bodega 25 › Bodega 25/General: 2</t>
        </is>
      </c>
    </row>
    <row r="1178">
      <c r="A1178" s="50" t="inlineStr">
        <is>
          <t>199168182144</t>
        </is>
      </c>
      <c r="B1178" s="51" t="inlineStr">
        <is>
          <t>110803</t>
        </is>
      </c>
      <c r="C1178" s="156" t="inlineStr">
        <is>
          <t>Multimarca</t>
        </is>
      </c>
      <c r="D1178" s="156" t="inlineStr">
        <is>
          <t>11-097-0670-9160</t>
        </is>
      </c>
      <c r="E1178" s="156" t="inlineStr">
        <is>
          <t>11-097-0670-9160-S</t>
        </is>
      </c>
      <c r="F1178" s="156" t="inlineStr">
        <is>
          <t>S</t>
        </is>
      </c>
      <c r="G1178" s="156" t="inlineStr">
        <is>
          <t>S</t>
        </is>
      </c>
      <c r="H1178" s="156" t="inlineStr">
        <is>
          <t>Stetson</t>
        </is>
      </c>
      <c r="I1178" s="156" t="inlineStr">
        <is>
          <t>Chamarra Denim Crudo con Cuello Gamuza Café</t>
        </is>
      </c>
      <c r="J1178" s="156" t="inlineStr">
        <is>
          <t>Ropa</t>
        </is>
      </c>
      <c r="K1178" s="156" t="inlineStr">
        <is>
          <t>Chamarras</t>
        </is>
      </c>
      <c r="L1178" s="156" t="inlineStr">
        <is>
          <t>Hombre</t>
        </is>
      </c>
      <c r="M1178" s="156" t="inlineStr">
        <is>
          <t>Stetson</t>
        </is>
      </c>
      <c r="N1178" s="156" t="inlineStr">
        <is>
          <t>SS26</t>
        </is>
      </c>
      <c r="O1178" s="156" t="inlineStr">
        <is>
          <t>Seasonal</t>
        </is>
      </c>
      <c r="P1178" s="156" t="inlineStr">
        <is>
          <t>Azul</t>
        </is>
      </c>
      <c r="Q1178" s="156" t="inlineStr">
        <is>
          <t>Regular</t>
        </is>
      </c>
      <c r="R1178" s="156" t="n"/>
      <c r="S1178" s="156" t="inlineStr">
        <is>
          <t>100% Algodón</t>
        </is>
      </c>
      <c r="T1178" s="156" t="inlineStr">
        <is>
          <t>Chamarra Denim Crudo con Cuello Gamuza Café Regular</t>
        </is>
      </c>
      <c r="U1178" s="156" t="n"/>
      <c r="V1178" s="156" t="inlineStr">
        <is>
          <t>PZS</t>
        </is>
      </c>
      <c r="W1178" s="51" t="inlineStr">
        <is>
          <t>53101802</t>
        </is>
      </c>
      <c r="X1178" s="156" t="n"/>
      <c r="Y1178" s="54" t="n">
        <v>1396.551724</v>
      </c>
      <c r="Z1178" s="54" t="n">
        <v>3103.448276</v>
      </c>
      <c r="AA1178" s="55">
        <f>IF(AND(A1178="", B1178="", E1178=""), "", IF(AB1178="", "Válido", IF((LEN(AB1178)-LEN(SUBSTITUTE(AB1178,"; ","")))/2+1&gt;(LEN(AB1178)-LEN(SUBSTITUTE(AB1178,"[Aviso]","")))/7, "Con Incidencias", "Válido")))</f>
        <v/>
      </c>
      <c r="AB1178" s="56">
        <f>IF(AND(A1178="", B1178="", E1178=""), "", TEXTJOIN("; ", TRUE, IF(OR(TRIM(A1178&amp;"")="", ISNUMBER(SEARCH("FALTA", A1178))), "UPC faltante/inválido", ""), IF(AND(A1178&lt;&gt;"", IFERROR(_xlfn.XMATCH(A1178,$A$2:$A$2509,0,1)&lt;&gt;_xlfn.XMATCH(A1178,$A$2:$A$2509,0,-1),FALSE)), "Código de barras duplicado", ""), IF(AND(E1178&lt;&gt;"", COUNTIF($E$2:$E$2509, E1178)&gt;1), "SKU duplicado", ""), IF(OR(J1178="", J1178=""), "[Aviso] División no capturada ()", IF(ISNA(MATCH(J1178, Criterios!$A$123:$A$126, 0)), "División no válida", "")), IF(OR(K1178="", K1178=""), "[Aviso] Categoría no capturada ()", IF(ISNA(MATCH(K1178, Criterios!$A$81:$A$120, 0)), "Categoría no válida", IF(AND(J1178&lt;&gt;"", J1178&lt;&gt;"", J1178&lt;&gt;VLOOKUP(K1178, Criterios!$A$81:$B$120, 2, FALSE)), "División no coincide con Categoría", ""))), IF(OR(L1178="", L1178=""), "[Aviso] Género no capturado ()", IF(ISNA(MATCH(L1178, Criterios!$B$123:$B$127, 0)), "Género no válido", "")), IF(OR(N1178="", N1178=""), "[Aviso] Temporada no capturada ()", IF(ISNA(MATCH(N1178, Criterios!$C$123:$C$128, 0)), "Temporada no válida", "")), IF(OR(O1178="", O1178=""), "[Aviso] Ciclo de vida no capturado ()", IF(ISNA(MATCH(O1178, Criterios!$D$123:$D$124, 0)), "Ciclo de vida no válido", ""))))</f>
        <v/>
      </c>
      <c r="AC1178" s="56" t="n"/>
      <c r="AD1178" s="51" t="n">
        <v>-1</v>
      </c>
      <c r="AE1178" s="156" t="n"/>
      <c r="AF1178" s="51" t="n">
        <v>0</v>
      </c>
      <c r="AG1178" s="156" t="inlineStr">
        <is>
          <t>Catálogo existente</t>
        </is>
      </c>
      <c r="AH1178" s="156" t="inlineStr">
        <is>
          <t>Stock negativo en sistema: revisar en conteo | Revisión 29/09/2026: Campos sin respaldo: U, X; Auditoría NetSuite 30/09/2026: llenado desde NetSuite [S] | 01/10/2026: complementado desde Shopify Stetson México (match por código de barras): WB Silueta</t>
        </is>
      </c>
      <c r="AI1178" s="156" t="inlineStr">
        <is>
          <t>Sí</t>
        </is>
      </c>
      <c r="AJ1178" s="156" t="inlineStr">
        <is>
          <t>STETSON AMERICAS (-1)</t>
        </is>
      </c>
      <c r="AK1178" s="155" t="inlineStr">
        <is>
          <t>Criterios: J [R]; G1522_Extraccion_Articulos_NetSuite_2026-09-30.xlsx: fila 58618 [S] | Shopify Stetson: producto 15051552981355 / variante 53350588645739 | Odoo: producto 29697 / plantilla 38401</t>
        </is>
      </c>
      <c r="AL1178" s="58" t="n">
        <v>1396.551724</v>
      </c>
      <c r="AM1178" s="58" t="n">
        <v>3103.448276</v>
      </c>
      <c r="AN1178" s="155" t="inlineStr">
        <is>
          <t>Shopify Stetson México | Odoo Universal Unique Brands</t>
        </is>
      </c>
      <c r="AO1178" s="59" t="n">
        <v>0</v>
      </c>
      <c r="AP1178" s="59" t="n"/>
      <c r="AQ1178" s="59" t="n">
        <v>1</v>
      </c>
      <c r="AR1178" s="155" t="inlineStr">
        <is>
          <t>Odoo Universal Unique Brands › Bodega 25 › Bodega 25/General: 1</t>
        </is>
      </c>
    </row>
    <row r="1179">
      <c r="A1179" s="50" t="inlineStr">
        <is>
          <t>199168182151</t>
        </is>
      </c>
      <c r="B1179" s="51" t="inlineStr">
        <is>
          <t>110804</t>
        </is>
      </c>
      <c r="C1179" s="156" t="inlineStr">
        <is>
          <t>Multimarca</t>
        </is>
      </c>
      <c r="D1179" s="156" t="inlineStr">
        <is>
          <t>11-097-0670-9160</t>
        </is>
      </c>
      <c r="E1179" s="156" t="inlineStr">
        <is>
          <t>11-097-0670-9160-XL</t>
        </is>
      </c>
      <c r="F1179" s="156" t="inlineStr">
        <is>
          <t>XL</t>
        </is>
      </c>
      <c r="G1179" s="156" t="inlineStr">
        <is>
          <t>XL</t>
        </is>
      </c>
      <c r="H1179" s="156" t="inlineStr">
        <is>
          <t>Stetson</t>
        </is>
      </c>
      <c r="I1179" s="156" t="inlineStr">
        <is>
          <t>Chamarra Denim Crudo con Cuello Gamuza Café</t>
        </is>
      </c>
      <c r="J1179" s="156" t="inlineStr">
        <is>
          <t>Ropa</t>
        </is>
      </c>
      <c r="K1179" s="156" t="inlineStr">
        <is>
          <t>Chamarras</t>
        </is>
      </c>
      <c r="L1179" s="156" t="inlineStr">
        <is>
          <t>Hombre</t>
        </is>
      </c>
      <c r="M1179" s="156" t="inlineStr">
        <is>
          <t>Stetson</t>
        </is>
      </c>
      <c r="N1179" s="156" t="inlineStr">
        <is>
          <t>SS26</t>
        </is>
      </c>
      <c r="O1179" s="156" t="inlineStr">
        <is>
          <t>Seasonal</t>
        </is>
      </c>
      <c r="P1179" s="156" t="inlineStr">
        <is>
          <t>Azul</t>
        </is>
      </c>
      <c r="Q1179" s="156" t="inlineStr">
        <is>
          <t>Regular</t>
        </is>
      </c>
      <c r="R1179" s="156" t="n"/>
      <c r="S1179" s="156" t="inlineStr">
        <is>
          <t>100% Algodón</t>
        </is>
      </c>
      <c r="T1179" s="156" t="inlineStr">
        <is>
          <t>Chamarra Denim Crudo con Cuello Gamuza Café Regular</t>
        </is>
      </c>
      <c r="U1179" s="156" t="n"/>
      <c r="V1179" s="156" t="inlineStr">
        <is>
          <t>PZS</t>
        </is>
      </c>
      <c r="W1179" s="51" t="inlineStr">
        <is>
          <t>53101802</t>
        </is>
      </c>
      <c r="X1179" s="156" t="n"/>
      <c r="Y1179" s="54" t="n">
        <v>1396.551724</v>
      </c>
      <c r="Z1179" s="54" t="n">
        <v>3103.448276</v>
      </c>
      <c r="AA1179" s="55">
        <f>IF(AND(A1179="", B1179="", E1179=""), "", IF(AB1179="", "Válido", IF((LEN(AB1179)-LEN(SUBSTITUTE(AB1179,"; ","")))/2+1&gt;(LEN(AB1179)-LEN(SUBSTITUTE(AB1179,"[Aviso]","")))/7, "Con Incidencias", "Válido")))</f>
        <v/>
      </c>
      <c r="AB1179" s="56">
        <f>IF(AND(A1179="", B1179="", E1179=""), "", TEXTJOIN("; ", TRUE, IF(OR(TRIM(A1179&amp;"")="", ISNUMBER(SEARCH("FALTA", A1179))), "UPC faltante/inválido", ""), IF(AND(A1179&lt;&gt;"", IFERROR(_xlfn.XMATCH(A1179,$A$2:$A$2509,0,1)&lt;&gt;_xlfn.XMATCH(A1179,$A$2:$A$2509,0,-1),FALSE)), "Código de barras duplicado", ""), IF(AND(E1179&lt;&gt;"", COUNTIF($E$2:$E$2509, E1179)&gt;1), "SKU duplicado", ""), IF(OR(J1179="", J1179=""), "[Aviso] División no capturada ()", IF(ISNA(MATCH(J1179, Criterios!$A$123:$A$126, 0)), "División no válida", "")), IF(OR(K1179="", K1179=""), "[Aviso] Categoría no capturada ()", IF(ISNA(MATCH(K1179, Criterios!$A$81:$A$120, 0)), "Categoría no válida", IF(AND(J1179&lt;&gt;"", J1179&lt;&gt;"", J1179&lt;&gt;VLOOKUP(K1179, Criterios!$A$81:$B$120, 2, FALSE)), "División no coincide con Categoría", ""))), IF(OR(L1179="", L1179=""), "[Aviso] Género no capturado ()", IF(ISNA(MATCH(L1179, Criterios!$B$123:$B$127, 0)), "Género no válido", "")), IF(OR(N1179="", N1179=""), "[Aviso] Temporada no capturada ()", IF(ISNA(MATCH(N1179, Criterios!$C$123:$C$128, 0)), "Temporada no válida", "")), IF(OR(O1179="", O1179=""), "[Aviso] Ciclo de vida no capturado ()", IF(ISNA(MATCH(O1179, Criterios!$D$123:$D$124, 0)), "Ciclo de vida no válido", ""))))</f>
        <v/>
      </c>
      <c r="AC1179" s="56" t="n"/>
      <c r="AD1179" s="51" t="n">
        <v>-1</v>
      </c>
      <c r="AE1179" s="156" t="n"/>
      <c r="AF1179" s="51" t="n">
        <v>0</v>
      </c>
      <c r="AG1179" s="156" t="inlineStr">
        <is>
          <t>Catálogo existente</t>
        </is>
      </c>
      <c r="AH1179" s="156" t="inlineStr">
        <is>
          <t>Stock negativo en sistema: revisar en conteo | Revisión 29/09/2026: Campos sin respaldo: U, X; Auditoría NetSuite 30/09/2026: llenado desde NetSuite [S] | 01/10/2026: complementado desde Shopify Stetson México (match por código de barras): WB Silueta</t>
        </is>
      </c>
      <c r="AI1179" s="156" t="inlineStr">
        <is>
          <t>Sí</t>
        </is>
      </c>
      <c r="AJ1179" s="156" t="inlineStr">
        <is>
          <t>STETSON AMERICAS (-1)</t>
        </is>
      </c>
      <c r="AK1179" s="155" t="inlineStr">
        <is>
          <t>Criterios: J [R]; G1522_Extraccion_Articulos_NetSuite_2026-09-30.xlsx: fila 58619 [S] | Shopify Stetson: producto 15051552981355 / variante 53350588744043 | Odoo: producto 29700 / plantilla 38404</t>
        </is>
      </c>
      <c r="AL1179" s="58" t="n">
        <v>1396.551724</v>
      </c>
      <c r="AM1179" s="58" t="n">
        <v>3103.448276</v>
      </c>
      <c r="AN1179" s="155" t="inlineStr">
        <is>
          <t>Shopify Stetson México | Odoo Universal Unique Brands</t>
        </is>
      </c>
      <c r="AO1179" s="59" t="n">
        <v>0</v>
      </c>
      <c r="AP1179" s="59" t="n"/>
      <c r="AQ1179" s="59" t="n">
        <v>1</v>
      </c>
      <c r="AR1179" s="155" t="inlineStr">
        <is>
          <t>Odoo Universal Unique Brands › Bodega 25 › Bodega 25/General: 1</t>
        </is>
      </c>
    </row>
    <row r="1180">
      <c r="A1180" s="50" t="inlineStr">
        <is>
          <t>199168182236</t>
        </is>
      </c>
      <c r="B1180" s="51" t="inlineStr">
        <is>
          <t>110900</t>
        </is>
      </c>
      <c r="C1180" s="156" t="inlineStr">
        <is>
          <t>Multimarca</t>
        </is>
      </c>
      <c r="D1180" s="156" t="inlineStr">
        <is>
          <t>11-098-0539-9161</t>
        </is>
      </c>
      <c r="E1180" s="156" t="inlineStr">
        <is>
          <t>11-098-0539-9161-L</t>
        </is>
      </c>
      <c r="F1180" s="156" t="inlineStr">
        <is>
          <t>L</t>
        </is>
      </c>
      <c r="G1180" s="156" t="inlineStr">
        <is>
          <t>L</t>
        </is>
      </c>
      <c r="H1180" s="156" t="inlineStr">
        <is>
          <t>Stetson</t>
        </is>
      </c>
      <c r="I1180" s="156" t="inlineStr">
        <is>
          <t>Chamarra Gamuza Hueso con Flecos Frente y Espalda</t>
        </is>
      </c>
      <c r="J1180" s="156" t="inlineStr">
        <is>
          <t>Ropa</t>
        </is>
      </c>
      <c r="K1180" s="156" t="inlineStr">
        <is>
          <t>Chamarras</t>
        </is>
      </c>
      <c r="L1180" s="156" t="inlineStr">
        <is>
          <t>Mujer</t>
        </is>
      </c>
      <c r="M1180" s="156" t="inlineStr">
        <is>
          <t>Stetson</t>
        </is>
      </c>
      <c r="N1180" s="156" t="inlineStr">
        <is>
          <t>SS26</t>
        </is>
      </c>
      <c r="O1180" s="156" t="inlineStr">
        <is>
          <t>Seasonal</t>
        </is>
      </c>
      <c r="P1180" s="156" t="inlineStr">
        <is>
          <t>Blanco</t>
        </is>
      </c>
      <c r="Q1180" s="156" t="inlineStr">
        <is>
          <t>Regular</t>
        </is>
      </c>
      <c r="R1180" s="156" t="n"/>
      <c r="S1180" s="156" t="inlineStr">
        <is>
          <t>Cuero</t>
        </is>
      </c>
      <c r="T1180" s="156" t="inlineStr">
        <is>
          <t>Chamarra Gamuza Hueso con Flecos Frente y Espalda Regular</t>
        </is>
      </c>
      <c r="U1180" s="156" t="n"/>
      <c r="V1180" s="156" t="inlineStr">
        <is>
          <t>PZS</t>
        </is>
      </c>
      <c r="W1180" s="51" t="inlineStr">
        <is>
          <t>53101804</t>
        </is>
      </c>
      <c r="X1180" s="156" t="n"/>
      <c r="Y1180" s="54" t="n">
        <v>3607.758621</v>
      </c>
      <c r="Z1180" s="54" t="n">
        <v>8017.241379</v>
      </c>
      <c r="AA1180" s="55">
        <f>IF(AND(A1180="", B1180="", E1180=""), "", IF(AB1180="", "Válido", IF((LEN(AB1180)-LEN(SUBSTITUTE(AB1180,"; ","")))/2+1&gt;(LEN(AB1180)-LEN(SUBSTITUTE(AB1180,"[Aviso]","")))/7, "Con Incidencias", "Válido")))</f>
        <v/>
      </c>
      <c r="AB1180" s="56">
        <f>IF(AND(A1180="", B1180="", E1180=""), "", TEXTJOIN("; ", TRUE, IF(OR(TRIM(A1180&amp;"")="", ISNUMBER(SEARCH("FALTA", A1180))), "UPC faltante/inválido", ""), IF(AND(A1180&lt;&gt;"", IFERROR(_xlfn.XMATCH(A1180,$A$2:$A$2509,0,1)&lt;&gt;_xlfn.XMATCH(A1180,$A$2:$A$2509,0,-1),FALSE)), "Código de barras duplicado", ""), IF(AND(E1180&lt;&gt;"", COUNTIF($E$2:$E$2509, E1180)&gt;1), "SKU duplicado", ""), IF(OR(J1180="", J1180=""), "[Aviso] División no capturada ()", IF(ISNA(MATCH(J1180, Criterios!$A$123:$A$126, 0)), "División no válida", "")), IF(OR(K1180="", K1180=""), "[Aviso] Categoría no capturada ()", IF(ISNA(MATCH(K1180, Criterios!$A$81:$A$120, 0)), "Categoría no válida", IF(AND(J1180&lt;&gt;"", J1180&lt;&gt;"", J1180&lt;&gt;VLOOKUP(K1180, Criterios!$A$81:$B$120, 2, FALSE)), "División no coincide con Categoría", ""))), IF(OR(L1180="", L1180=""), "[Aviso] Género no capturado ()", IF(ISNA(MATCH(L1180, Criterios!$B$123:$B$127, 0)), "Género no válido", "")), IF(OR(N1180="", N1180=""), "[Aviso] Temporada no capturada ()", IF(ISNA(MATCH(N1180, Criterios!$C$123:$C$128, 0)), "Temporada no válida", "")), IF(OR(O1180="", O1180=""), "[Aviso] Ciclo de vida no capturado ()", IF(ISNA(MATCH(O1180, Criterios!$D$123:$D$124, 0)), "Ciclo de vida no válido", ""))))</f>
        <v/>
      </c>
      <c r="AC1180" s="56" t="n"/>
      <c r="AD1180" s="51" t="n">
        <v>0</v>
      </c>
      <c r="AE1180" s="156" t="n"/>
      <c r="AF1180" s="51" t="n">
        <v>0</v>
      </c>
      <c r="AG1180" s="156" t="inlineStr">
        <is>
          <t>Catálogo existente</t>
        </is>
      </c>
      <c r="AH1180"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80" s="156" t="inlineStr">
        <is>
          <t>No</t>
        </is>
      </c>
      <c r="AJ1180" s="156" t="n"/>
      <c r="AK1180" s="155" t="inlineStr">
        <is>
          <t>ProductosCatalogoEstandar907.xlsx: fila 50017 [U] | Criterios: J [R]; G1522_Extraccion_Articulos_NetSuite_2026-09-30.xlsx: fila 58642 [V,S] | Shopify Stetson: producto 15051553407339 / variante 53350587924843</t>
        </is>
      </c>
      <c r="AL1180" s="58" t="n">
        <v>3607.758621</v>
      </c>
      <c r="AM1180" s="58" t="n">
        <v>8017.241379</v>
      </c>
      <c r="AN1180" s="155" t="inlineStr">
        <is>
          <t>Shopify Stetson México</t>
        </is>
      </c>
      <c r="AO1180" s="59" t="n">
        <v>1</v>
      </c>
      <c r="AP1180" s="59" t="n"/>
      <c r="AQ1180" s="59" t="n"/>
      <c r="AR1180" s="155" t="inlineStr">
        <is>
          <t>Shopify Stetson México › Stetson Americas: 1</t>
        </is>
      </c>
    </row>
    <row r="1181">
      <c r="A1181" s="50" t="inlineStr">
        <is>
          <t>199168182243</t>
        </is>
      </c>
      <c r="B1181" s="51" t="inlineStr">
        <is>
          <t>110901</t>
        </is>
      </c>
      <c r="C1181" s="156" t="inlineStr">
        <is>
          <t>Multimarca</t>
        </is>
      </c>
      <c r="D1181" s="156" t="inlineStr">
        <is>
          <t>11-098-0539-9161</t>
        </is>
      </c>
      <c r="E1181" s="156" t="inlineStr">
        <is>
          <t>11-098-0539-9161-M</t>
        </is>
      </c>
      <c r="F1181" s="156" t="inlineStr">
        <is>
          <t>M</t>
        </is>
      </c>
      <c r="G1181" s="156" t="inlineStr">
        <is>
          <t>M</t>
        </is>
      </c>
      <c r="H1181" s="156" t="inlineStr">
        <is>
          <t>Stetson</t>
        </is>
      </c>
      <c r="I1181" s="156" t="inlineStr">
        <is>
          <t>Chamarra Gamuza Hueso con Flecos Frente y Espalda</t>
        </is>
      </c>
      <c r="J1181" s="156" t="inlineStr">
        <is>
          <t>Ropa</t>
        </is>
      </c>
      <c r="K1181" s="156" t="inlineStr">
        <is>
          <t>Chamarras</t>
        </is>
      </c>
      <c r="L1181" s="156" t="inlineStr">
        <is>
          <t>Mujer</t>
        </is>
      </c>
      <c r="M1181" s="156" t="inlineStr">
        <is>
          <t>Stetson</t>
        </is>
      </c>
      <c r="N1181" s="156" t="inlineStr">
        <is>
          <t>SS26</t>
        </is>
      </c>
      <c r="O1181" s="156" t="inlineStr">
        <is>
          <t>Seasonal</t>
        </is>
      </c>
      <c r="P1181" s="156" t="inlineStr">
        <is>
          <t>Blanco</t>
        </is>
      </c>
      <c r="Q1181" s="156" t="inlineStr">
        <is>
          <t>Regular</t>
        </is>
      </c>
      <c r="R1181" s="156" t="n"/>
      <c r="S1181" s="156" t="inlineStr">
        <is>
          <t>Cuero</t>
        </is>
      </c>
      <c r="T1181" s="156" t="inlineStr">
        <is>
          <t>Chamarra Gamuza Hueso con Flecos Frente y Espalda Regular</t>
        </is>
      </c>
      <c r="U1181" s="156" t="n"/>
      <c r="V1181" s="156" t="inlineStr">
        <is>
          <t>PZS</t>
        </is>
      </c>
      <c r="W1181" s="51" t="inlineStr">
        <is>
          <t>53101804</t>
        </is>
      </c>
      <c r="X1181" s="156" t="n"/>
      <c r="Y1181" s="54" t="n">
        <v>3607.758621</v>
      </c>
      <c r="Z1181" s="54" t="n">
        <v>8017.241379</v>
      </c>
      <c r="AA1181" s="55">
        <f>IF(AND(A1181="", B1181="", E1181=""), "", IF(AB1181="", "Válido", IF((LEN(AB1181)-LEN(SUBSTITUTE(AB1181,"; ","")))/2+1&gt;(LEN(AB1181)-LEN(SUBSTITUTE(AB1181,"[Aviso]","")))/7, "Con Incidencias", "Válido")))</f>
        <v/>
      </c>
      <c r="AB1181" s="56">
        <f>IF(AND(A1181="", B1181="", E1181=""), "", TEXTJOIN("; ", TRUE, IF(OR(TRIM(A1181&amp;"")="", ISNUMBER(SEARCH("FALTA", A1181))), "UPC faltante/inválido", ""), IF(AND(A1181&lt;&gt;"", IFERROR(_xlfn.XMATCH(A1181,$A$2:$A$2509,0,1)&lt;&gt;_xlfn.XMATCH(A1181,$A$2:$A$2509,0,-1),FALSE)), "Código de barras duplicado", ""), IF(AND(E1181&lt;&gt;"", COUNTIF($E$2:$E$2509, E1181)&gt;1), "SKU duplicado", ""), IF(OR(J1181="", J1181=""), "[Aviso] División no capturada ()", IF(ISNA(MATCH(J1181, Criterios!$A$123:$A$126, 0)), "División no válida", "")), IF(OR(K1181="", K1181=""), "[Aviso] Categoría no capturada ()", IF(ISNA(MATCH(K1181, Criterios!$A$81:$A$120, 0)), "Categoría no válida", IF(AND(J1181&lt;&gt;"", J1181&lt;&gt;"", J1181&lt;&gt;VLOOKUP(K1181, Criterios!$A$81:$B$120, 2, FALSE)), "División no coincide con Categoría", ""))), IF(OR(L1181="", L1181=""), "[Aviso] Género no capturado ()", IF(ISNA(MATCH(L1181, Criterios!$B$123:$B$127, 0)), "Género no válido", "")), IF(OR(N1181="", N1181=""), "[Aviso] Temporada no capturada ()", IF(ISNA(MATCH(N1181, Criterios!$C$123:$C$128, 0)), "Temporada no válida", "")), IF(OR(O1181="", O1181=""), "[Aviso] Ciclo de vida no capturado ()", IF(ISNA(MATCH(O1181, Criterios!$D$123:$D$124, 0)), "Ciclo de vida no válido", ""))))</f>
        <v/>
      </c>
      <c r="AC1181" s="56" t="n"/>
      <c r="AD1181" s="51" t="n">
        <v>-1</v>
      </c>
      <c r="AE1181" s="156" t="n"/>
      <c r="AF1181" s="51" t="n">
        <v>0</v>
      </c>
      <c r="AG1181" s="156" t="inlineStr">
        <is>
          <t>Catálogo existente</t>
        </is>
      </c>
      <c r="AH1181"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81" s="156" t="inlineStr">
        <is>
          <t>Sí</t>
        </is>
      </c>
      <c r="AJ1181" s="156" t="inlineStr">
        <is>
          <t>STETSON AMERICAS (-1)</t>
        </is>
      </c>
      <c r="AK1181" s="155" t="inlineStr">
        <is>
          <t>ProductosCatalogoEstandar907.xlsx: fila 50018 [U] | Criterios: J [R]; G1522_Extraccion_Articulos_NetSuite_2026-09-30.xlsx: fila 58643 [V,S] | Shopify Stetson: producto 15051553407339 / variante 53350587892075</t>
        </is>
      </c>
      <c r="AL1181" s="58" t="n">
        <v>3607.758621</v>
      </c>
      <c r="AM1181" s="58" t="n">
        <v>8017.241379</v>
      </c>
      <c r="AN1181" s="155" t="inlineStr">
        <is>
          <t>Shopify Stetson México</t>
        </is>
      </c>
      <c r="AO1181" s="59" t="n">
        <v>1</v>
      </c>
      <c r="AP1181" s="59" t="n"/>
      <c r="AQ1181" s="59" t="n"/>
      <c r="AR1181" s="155" t="inlineStr">
        <is>
          <t>Shopify Stetson México › Stetson Americas: 1</t>
        </is>
      </c>
    </row>
    <row r="1182">
      <c r="A1182" s="50" t="inlineStr">
        <is>
          <t>199168182250</t>
        </is>
      </c>
      <c r="B1182" s="51" t="inlineStr">
        <is>
          <t>110902</t>
        </is>
      </c>
      <c r="C1182" s="156" t="inlineStr">
        <is>
          <t>Multimarca</t>
        </is>
      </c>
      <c r="D1182" s="156" t="inlineStr">
        <is>
          <t>11-098-0539-9161</t>
        </is>
      </c>
      <c r="E1182" s="156" t="inlineStr">
        <is>
          <t>11-098-0539-9161-S</t>
        </is>
      </c>
      <c r="F1182" s="156" t="inlineStr">
        <is>
          <t>S</t>
        </is>
      </c>
      <c r="G1182" s="156" t="inlineStr">
        <is>
          <t>S</t>
        </is>
      </c>
      <c r="H1182" s="156" t="inlineStr">
        <is>
          <t>Stetson</t>
        </is>
      </c>
      <c r="I1182" s="156" t="inlineStr">
        <is>
          <t>Chamarra Gamuza Hueso con Flecos Frente y Espalda</t>
        </is>
      </c>
      <c r="J1182" s="156" t="inlineStr">
        <is>
          <t>Ropa</t>
        </is>
      </c>
      <c r="K1182" s="156" t="inlineStr">
        <is>
          <t>Chamarras</t>
        </is>
      </c>
      <c r="L1182" s="156" t="inlineStr">
        <is>
          <t>Mujer</t>
        </is>
      </c>
      <c r="M1182" s="156" t="inlineStr">
        <is>
          <t>Stetson</t>
        </is>
      </c>
      <c r="N1182" s="156" t="inlineStr">
        <is>
          <t>SS26</t>
        </is>
      </c>
      <c r="O1182" s="156" t="inlineStr">
        <is>
          <t>Seasonal</t>
        </is>
      </c>
      <c r="P1182" s="156" t="inlineStr">
        <is>
          <t>Blanco</t>
        </is>
      </c>
      <c r="Q1182" s="156" t="inlineStr">
        <is>
          <t>Regular</t>
        </is>
      </c>
      <c r="R1182" s="156" t="n"/>
      <c r="S1182" s="156" t="inlineStr">
        <is>
          <t>Cuero</t>
        </is>
      </c>
      <c r="T1182" s="156" t="inlineStr">
        <is>
          <t>Chamarra Gamuza Hueso con Flecos Frente y Espalda Regular</t>
        </is>
      </c>
      <c r="U1182" s="156" t="n"/>
      <c r="V1182" s="156" t="inlineStr">
        <is>
          <t>PZS</t>
        </is>
      </c>
      <c r="W1182" s="51" t="inlineStr">
        <is>
          <t>53101804</t>
        </is>
      </c>
      <c r="X1182" s="156" t="n"/>
      <c r="Y1182" s="54" t="n">
        <v>3607.758621</v>
      </c>
      <c r="Z1182" s="54" t="n">
        <v>8017.241379</v>
      </c>
      <c r="AA1182" s="55">
        <f>IF(AND(A1182="", B1182="", E1182=""), "", IF(AB1182="", "Válido", IF((LEN(AB1182)-LEN(SUBSTITUTE(AB1182,"; ","")))/2+1&gt;(LEN(AB1182)-LEN(SUBSTITUTE(AB1182,"[Aviso]","")))/7, "Con Incidencias", "Válido")))</f>
        <v/>
      </c>
      <c r="AB1182" s="56">
        <f>IF(AND(A1182="", B1182="", E1182=""), "", TEXTJOIN("; ", TRUE, IF(OR(TRIM(A1182&amp;"")="", ISNUMBER(SEARCH("FALTA", A1182))), "UPC faltante/inválido", ""), IF(AND(A1182&lt;&gt;"", IFERROR(_xlfn.XMATCH(A1182,$A$2:$A$2509,0,1)&lt;&gt;_xlfn.XMATCH(A1182,$A$2:$A$2509,0,-1),FALSE)), "Código de barras duplicado", ""), IF(AND(E1182&lt;&gt;"", COUNTIF($E$2:$E$2509, E1182)&gt;1), "SKU duplicado", ""), IF(OR(J1182="", J1182=""), "[Aviso] División no capturada ()", IF(ISNA(MATCH(J1182, Criterios!$A$123:$A$126, 0)), "División no válida", "")), IF(OR(K1182="", K1182=""), "[Aviso] Categoría no capturada ()", IF(ISNA(MATCH(K1182, Criterios!$A$81:$A$120, 0)), "Categoría no válida", IF(AND(J1182&lt;&gt;"", J1182&lt;&gt;"", J1182&lt;&gt;VLOOKUP(K1182, Criterios!$A$81:$B$120, 2, FALSE)), "División no coincide con Categoría", ""))), IF(OR(L1182="", L1182=""), "[Aviso] Género no capturado ()", IF(ISNA(MATCH(L1182, Criterios!$B$123:$B$127, 0)), "Género no válido", "")), IF(OR(N1182="", N1182=""), "[Aviso] Temporada no capturada ()", IF(ISNA(MATCH(N1182, Criterios!$C$123:$C$128, 0)), "Temporada no válida", "")), IF(OR(O1182="", O1182=""), "[Aviso] Ciclo de vida no capturado ()", IF(ISNA(MATCH(O1182, Criterios!$D$123:$D$124, 0)), "Ciclo de vida no válido", ""))))</f>
        <v/>
      </c>
      <c r="AC1182" s="56" t="n"/>
      <c r="AD1182" s="51" t="n">
        <v>-2</v>
      </c>
      <c r="AE1182" s="156" t="n"/>
      <c r="AF1182" s="51" t="n">
        <v>0</v>
      </c>
      <c r="AG1182" s="156" t="inlineStr">
        <is>
          <t>Catálogo existente</t>
        </is>
      </c>
      <c r="AH1182"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82" s="156" t="inlineStr">
        <is>
          <t>Sí</t>
        </is>
      </c>
      <c r="AJ1182" s="156" t="inlineStr">
        <is>
          <t>STETSON AMERICAS (-2)</t>
        </is>
      </c>
      <c r="AK1182" s="155" t="inlineStr">
        <is>
          <t>ProductosCatalogoEstandar907.xlsx: fila 50019 [U] | Criterios: J [R]; G1522_Extraccion_Articulos_NetSuite_2026-09-30.xlsx: fila 58644 [V,S] | Shopify Stetson: producto 15051553407339 / variante 53350587859307</t>
        </is>
      </c>
      <c r="AL1182" s="58" t="n">
        <v>3607.758621</v>
      </c>
      <c r="AM1182" s="58" t="n">
        <v>8017.241379</v>
      </c>
      <c r="AN1182" s="155" t="inlineStr">
        <is>
          <t>Shopify Stetson México</t>
        </is>
      </c>
      <c r="AO1182" s="59" t="n">
        <v>0</v>
      </c>
      <c r="AP1182" s="59" t="n"/>
      <c r="AQ1182" s="59" t="n"/>
      <c r="AR1182" s="155" t="n"/>
    </row>
    <row r="1183">
      <c r="A1183" s="50" t="inlineStr">
        <is>
          <t>199168182274</t>
        </is>
      </c>
      <c r="B1183" s="51" t="inlineStr">
        <is>
          <t>110903</t>
        </is>
      </c>
      <c r="C1183" s="156" t="inlineStr">
        <is>
          <t>Multimarca</t>
        </is>
      </c>
      <c r="D1183" s="156" t="inlineStr">
        <is>
          <t>11-098-0539-9161</t>
        </is>
      </c>
      <c r="E1183" s="156" t="inlineStr">
        <is>
          <t>11-098-0539-9161-XS</t>
        </is>
      </c>
      <c r="F1183" s="156" t="inlineStr">
        <is>
          <t>XS</t>
        </is>
      </c>
      <c r="G1183" s="156" t="inlineStr">
        <is>
          <t>XS</t>
        </is>
      </c>
      <c r="H1183" s="156" t="inlineStr">
        <is>
          <t>Stetson</t>
        </is>
      </c>
      <c r="I1183" s="156" t="inlineStr">
        <is>
          <t>Chamarra Gamuza Hueso con Flecos Frente y Espalda</t>
        </is>
      </c>
      <c r="J1183" s="156" t="inlineStr">
        <is>
          <t>Ropa</t>
        </is>
      </c>
      <c r="K1183" s="156" t="inlineStr">
        <is>
          <t>Chamarras</t>
        </is>
      </c>
      <c r="L1183" s="156" t="inlineStr">
        <is>
          <t>Mujer</t>
        </is>
      </c>
      <c r="M1183" s="156" t="inlineStr">
        <is>
          <t>Stetson</t>
        </is>
      </c>
      <c r="N1183" s="156" t="inlineStr">
        <is>
          <t>SS26</t>
        </is>
      </c>
      <c r="O1183" s="156" t="inlineStr">
        <is>
          <t>Seasonal</t>
        </is>
      </c>
      <c r="P1183" s="156" t="inlineStr">
        <is>
          <t>Blanco</t>
        </is>
      </c>
      <c r="Q1183" s="156" t="inlineStr">
        <is>
          <t>Regular</t>
        </is>
      </c>
      <c r="R1183" s="156" t="n"/>
      <c r="S1183" s="156" t="inlineStr">
        <is>
          <t>Cuero</t>
        </is>
      </c>
      <c r="T1183" s="156" t="inlineStr">
        <is>
          <t>Chamarra Gamuza Hueso con Flecos Frente y Espalda Regular</t>
        </is>
      </c>
      <c r="U1183" s="156" t="n"/>
      <c r="V1183" s="156" t="inlineStr">
        <is>
          <t>PZS</t>
        </is>
      </c>
      <c r="W1183" s="51" t="inlineStr">
        <is>
          <t>53101804</t>
        </is>
      </c>
      <c r="X1183" s="156" t="n"/>
      <c r="Y1183" s="54" t="n">
        <v>3607.758621</v>
      </c>
      <c r="Z1183" s="54" t="n">
        <v>8017.241379</v>
      </c>
      <c r="AA1183" s="55">
        <f>IF(AND(A1183="", B1183="", E1183=""), "", IF(AB1183="", "Válido", IF((LEN(AB1183)-LEN(SUBSTITUTE(AB1183,"; ","")))/2+1&gt;(LEN(AB1183)-LEN(SUBSTITUTE(AB1183,"[Aviso]","")))/7, "Con Incidencias", "Válido")))</f>
        <v/>
      </c>
      <c r="AB1183" s="56">
        <f>IF(AND(A1183="", B1183="", E1183=""), "", TEXTJOIN("; ", TRUE, IF(OR(TRIM(A1183&amp;"")="", ISNUMBER(SEARCH("FALTA", A1183))), "UPC faltante/inválido", ""), IF(AND(A1183&lt;&gt;"", IFERROR(_xlfn.XMATCH(A1183,$A$2:$A$2509,0,1)&lt;&gt;_xlfn.XMATCH(A1183,$A$2:$A$2509,0,-1),FALSE)), "Código de barras duplicado", ""), IF(AND(E1183&lt;&gt;"", COUNTIF($E$2:$E$2509, E1183)&gt;1), "SKU duplicado", ""), IF(OR(J1183="", J1183=""), "[Aviso] División no capturada ()", IF(ISNA(MATCH(J1183, Criterios!$A$123:$A$126, 0)), "División no válida", "")), IF(OR(K1183="", K1183=""), "[Aviso] Categoría no capturada ()", IF(ISNA(MATCH(K1183, Criterios!$A$81:$A$120, 0)), "Categoría no válida", IF(AND(J1183&lt;&gt;"", J1183&lt;&gt;"", J1183&lt;&gt;VLOOKUP(K1183, Criterios!$A$81:$B$120, 2, FALSE)), "División no coincide con Categoría", ""))), IF(OR(L1183="", L1183=""), "[Aviso] Género no capturado ()", IF(ISNA(MATCH(L1183, Criterios!$B$123:$B$127, 0)), "Género no válido", "")), IF(OR(N1183="", N1183=""), "[Aviso] Temporada no capturada ()", IF(ISNA(MATCH(N1183, Criterios!$C$123:$C$128, 0)), "Temporada no válida", "")), IF(OR(O1183="", O1183=""), "[Aviso] Ciclo de vida no capturado ()", IF(ISNA(MATCH(O1183, Criterios!$D$123:$D$124, 0)), "Ciclo de vida no válido", ""))))</f>
        <v/>
      </c>
      <c r="AC1183" s="56" t="n"/>
      <c r="AD1183" s="51" t="n">
        <v>0</v>
      </c>
      <c r="AE1183" s="156" t="n"/>
      <c r="AF1183" s="51" t="n">
        <v>0</v>
      </c>
      <c r="AG1183" s="156" t="inlineStr">
        <is>
          <t>Catálogo existente</t>
        </is>
      </c>
      <c r="AH1183"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t>
        </is>
      </c>
      <c r="AI1183" s="156" t="inlineStr">
        <is>
          <t>No</t>
        </is>
      </c>
      <c r="AJ1183" s="156" t="n"/>
      <c r="AK1183" s="155" t="inlineStr">
        <is>
          <t>ProductosCatalogoEstandar907.xlsx: fila 50020 [U] | Criterios: J [R]; G1522_Extraccion_Articulos_NetSuite_2026-09-30.xlsx: fila 58645 [V,S] | Shopify Stetson: producto 15051553407339 / variante 53350587826539</t>
        </is>
      </c>
      <c r="AL1183" s="58" t="n">
        <v>3607.758621</v>
      </c>
      <c r="AM1183" s="58" t="n">
        <v>8017.241379</v>
      </c>
      <c r="AN1183" s="155" t="inlineStr">
        <is>
          <t>Shopify Stetson México</t>
        </is>
      </c>
      <c r="AO1183" s="59" t="n">
        <v>1</v>
      </c>
      <c r="AP1183" s="59" t="n"/>
      <c r="AQ1183" s="59" t="n"/>
      <c r="AR1183" s="155" t="inlineStr">
        <is>
          <t>Shopify Stetson México › Stetson Americas: 1</t>
        </is>
      </c>
    </row>
    <row r="1184">
      <c r="A1184" s="50" t="inlineStr">
        <is>
          <t>717220920321</t>
        </is>
      </c>
      <c r="B1184" s="51" t="inlineStr">
        <is>
          <t>110165</t>
        </is>
      </c>
      <c r="C1184" s="156" t="inlineStr">
        <is>
          <t>Multimarca</t>
        </is>
      </c>
      <c r="D1184" s="156" t="inlineStr">
        <is>
          <t>SSGAIN-684281</t>
        </is>
      </c>
      <c r="E1184" s="156" t="inlineStr">
        <is>
          <t>SSGAIN-68428170</t>
        </is>
      </c>
      <c r="F1184" s="156" t="inlineStr">
        <is>
          <t>7</t>
        </is>
      </c>
      <c r="G1184" s="156" t="inlineStr">
        <is>
          <t>7</t>
        </is>
      </c>
      <c r="H1184" s="156" t="inlineStr">
        <is>
          <t>Stetson</t>
        </is>
      </c>
      <c r="I1184" s="156" t="inlineStr">
        <is>
          <t>Texana Stetson Gaines Natural</t>
        </is>
      </c>
      <c r="J1184" s="156" t="inlineStr">
        <is>
          <t>Accesorios</t>
        </is>
      </c>
      <c r="K1184" s="156" t="inlineStr">
        <is>
          <t>Sombreros</t>
        </is>
      </c>
      <c r="L1184" s="156" t="inlineStr">
        <is>
          <t>Unisex</t>
        </is>
      </c>
      <c r="M1184" s="156" t="inlineStr">
        <is>
          <t>Stetson</t>
        </is>
      </c>
      <c r="N1184" s="156" t="inlineStr">
        <is>
          <t>SS26</t>
        </is>
      </c>
      <c r="O1184" s="156" t="inlineStr">
        <is>
          <t>Seasonal</t>
        </is>
      </c>
      <c r="P1184" s="156" t="inlineStr">
        <is>
          <t>Beige</t>
        </is>
      </c>
      <c r="Q1184" s="156" t="n"/>
      <c r="R1184" s="156" t="inlineStr">
        <is>
          <t>Copa Cattleman</t>
        </is>
      </c>
      <c r="S1184" s="156" t="inlineStr">
        <is>
          <t>100% Fieltro de lana</t>
        </is>
      </c>
      <c r="T1184"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4" s="156" t="inlineStr">
        <is>
          <t>Estados Unidos</t>
        </is>
      </c>
      <c r="V1184" s="156" t="inlineStr">
        <is>
          <t>PZS</t>
        </is>
      </c>
      <c r="W1184" s="51" t="inlineStr">
        <is>
          <t>53102503</t>
        </is>
      </c>
      <c r="X1184" s="156" t="inlineStr">
        <is>
          <t>https://cdn.shopify.com/s/files/1/0888/3250/8267/files/SSGAIN-684281-011_55c754d3-aee3-4b72-88ad-51b53326887a.jpg?v=1759863843</t>
        </is>
      </c>
      <c r="Y1184" s="54" t="n">
        <v>1338.75</v>
      </c>
      <c r="Z1184" s="54" t="n">
        <v>3275.862069</v>
      </c>
      <c r="AA1184" s="55">
        <f>IF(AND(A1184="", B1184="", E1184=""), "", IF(AB1184="", "Válido", IF((LEN(AB1184)-LEN(SUBSTITUTE(AB1184,"; ","")))/2+1&gt;(LEN(AB1184)-LEN(SUBSTITUTE(AB1184,"[Aviso]","")))/7, "Con Incidencias", "Válido")))</f>
        <v/>
      </c>
      <c r="AB1184" s="56">
        <f>IF(AND(A1184="", B1184="", E1184=""), "", TEXTJOIN("; ", TRUE, IF(OR(TRIM(A1184&amp;"")="", ISNUMBER(SEARCH("FALTA", A1184))), "UPC faltante/inválido", ""), IF(AND(A1184&lt;&gt;"", IFERROR(_xlfn.XMATCH(A1184,$A$2:$A$2509,0,1)&lt;&gt;_xlfn.XMATCH(A1184,$A$2:$A$2509,0,-1),FALSE)), "Código de barras duplicado", ""), IF(AND(E1184&lt;&gt;"", COUNTIF($E$2:$E$2509, E1184)&gt;1), "SKU duplicado", ""), IF(OR(J1184="", J1184=""), "[Aviso] División no capturada ()", IF(ISNA(MATCH(J1184, Criterios!$A$123:$A$126, 0)), "División no válida", "")), IF(OR(K1184="", K1184=""), "[Aviso] Categoría no capturada ()", IF(ISNA(MATCH(K1184, Criterios!$A$81:$A$120, 0)), "Categoría no válida", IF(AND(J1184&lt;&gt;"", J1184&lt;&gt;"", J1184&lt;&gt;VLOOKUP(K1184, Criterios!$A$81:$B$120, 2, FALSE)), "División no coincide con Categoría", ""))), IF(OR(L1184="", L1184=""), "[Aviso] Género no capturado ()", IF(ISNA(MATCH(L1184, Criterios!$B$123:$B$127, 0)), "Género no válido", "")), IF(OR(N1184="", N1184=""), "[Aviso] Temporada no capturada ()", IF(ISNA(MATCH(N1184, Criterios!$C$123:$C$128, 0)), "Temporada no válida", "")), IF(OR(O1184="", O1184=""), "[Aviso] Ciclo de vida no capturado ()", IF(ISNA(MATCH(O1184, Criterios!$D$123:$D$124, 0)), "Ciclo de vida no válido", ""))))</f>
        <v/>
      </c>
      <c r="AC1184" s="56" t="n"/>
      <c r="AD1184" s="51" t="n">
        <v>0</v>
      </c>
      <c r="AE1184" s="156" t="inlineStr">
        <is>
          <t>B25 STETSON.MX (1)</t>
        </is>
      </c>
      <c r="AF1184" s="51" t="n">
        <v>1</v>
      </c>
      <c r="AG1184" s="156" t="inlineStr">
        <is>
          <t>Catálogo existente</t>
        </is>
      </c>
      <c r="AH118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4" s="156" t="inlineStr">
        <is>
          <t>Sí</t>
        </is>
      </c>
      <c r="AJ1184" s="156" t="inlineStr">
        <is>
          <t>STETSON AMERICAS (-1)</t>
        </is>
      </c>
      <c r="AK1184" s="155" t="inlineStr">
        <is>
          <t>Criterios: I [Q] | Shopify Stetson: producto 14788761878891 / variante 53350608306539</t>
        </is>
      </c>
      <c r="AL1184" s="58" t="n">
        <v>1338.75</v>
      </c>
      <c r="AM1184" s="58" t="n">
        <v>3275.862069</v>
      </c>
      <c r="AN1184" s="155" t="inlineStr">
        <is>
          <t>Shopify Stetson México</t>
        </is>
      </c>
      <c r="AO1184" s="59" t="n">
        <v>3</v>
      </c>
      <c r="AP1184" s="59" t="n"/>
      <c r="AQ1184" s="59" t="n"/>
      <c r="AR1184" s="155" t="inlineStr">
        <is>
          <t>Shopify Stetson México › Stetson México: 2 | Shopify Stetson México › Stetson Americas: 1</t>
        </is>
      </c>
    </row>
    <row r="1185">
      <c r="A1185" s="50" t="inlineStr">
        <is>
          <t>717220920338</t>
        </is>
      </c>
      <c r="B1185" s="51" t="inlineStr">
        <is>
          <t>110166</t>
        </is>
      </c>
      <c r="C1185" s="156" t="inlineStr">
        <is>
          <t>Multimarca</t>
        </is>
      </c>
      <c r="D1185" s="156" t="inlineStr">
        <is>
          <t>SSGAIN-684281</t>
        </is>
      </c>
      <c r="E1185" s="156" t="inlineStr">
        <is>
          <t>SSGAIN-68428171</t>
        </is>
      </c>
      <c r="F1185" s="156" t="inlineStr">
        <is>
          <t>7 1/8</t>
        </is>
      </c>
      <c r="G1185" s="156" t="inlineStr">
        <is>
          <t>7 1/8</t>
        </is>
      </c>
      <c r="H1185" s="156" t="inlineStr">
        <is>
          <t>Stetson</t>
        </is>
      </c>
      <c r="I1185" s="156" t="inlineStr">
        <is>
          <t>Texana Stetson Gaines Natural</t>
        </is>
      </c>
      <c r="J1185" s="156" t="inlineStr">
        <is>
          <t>Accesorios</t>
        </is>
      </c>
      <c r="K1185" s="156" t="inlineStr">
        <is>
          <t>Sombreros</t>
        </is>
      </c>
      <c r="L1185" s="156" t="inlineStr">
        <is>
          <t>Unisex</t>
        </is>
      </c>
      <c r="M1185" s="156" t="inlineStr">
        <is>
          <t>Stetson</t>
        </is>
      </c>
      <c r="N1185" s="156" t="inlineStr">
        <is>
          <t>SS26</t>
        </is>
      </c>
      <c r="O1185" s="156" t="inlineStr">
        <is>
          <t>Seasonal</t>
        </is>
      </c>
      <c r="P1185" s="156" t="inlineStr">
        <is>
          <t>Beige</t>
        </is>
      </c>
      <c r="Q1185" s="156" t="n"/>
      <c r="R1185" s="156" t="inlineStr">
        <is>
          <t>Copa Cattleman</t>
        </is>
      </c>
      <c r="S1185" s="156" t="inlineStr">
        <is>
          <t>100% Fieltro de lana</t>
        </is>
      </c>
      <c r="T1185"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5" s="156" t="inlineStr">
        <is>
          <t>Estados Unidos</t>
        </is>
      </c>
      <c r="V1185" s="156" t="inlineStr">
        <is>
          <t>PZS</t>
        </is>
      </c>
      <c r="W1185" s="51" t="inlineStr">
        <is>
          <t>53102503</t>
        </is>
      </c>
      <c r="X1185" s="156" t="inlineStr">
        <is>
          <t>https://cdn.shopify.com/s/files/1/0888/3250/8267/files/SSGAIN-684281-02_3e0e1f55-e35e-4ce7-a5bd-0ddbc9853d33.jpg?v=1759863853</t>
        </is>
      </c>
      <c r="Y1185" s="54" t="n">
        <v>1338.75</v>
      </c>
      <c r="Z1185" s="54" t="n">
        <v>3275.862069</v>
      </c>
      <c r="AA1185" s="55">
        <f>IF(AND(A1185="", B1185="", E1185=""), "", IF(AB1185="", "Válido", IF((LEN(AB1185)-LEN(SUBSTITUTE(AB1185,"; ","")))/2+1&gt;(LEN(AB1185)-LEN(SUBSTITUTE(AB1185,"[Aviso]","")))/7, "Con Incidencias", "Válido")))</f>
        <v/>
      </c>
      <c r="AB1185" s="56">
        <f>IF(AND(A1185="", B1185="", E1185=""), "", TEXTJOIN("; ", TRUE, IF(OR(TRIM(A1185&amp;"")="", ISNUMBER(SEARCH("FALTA", A1185))), "UPC faltante/inválido", ""), IF(AND(A1185&lt;&gt;"", IFERROR(_xlfn.XMATCH(A1185,$A$2:$A$2509,0,1)&lt;&gt;_xlfn.XMATCH(A1185,$A$2:$A$2509,0,-1),FALSE)), "Código de barras duplicado", ""), IF(AND(E1185&lt;&gt;"", COUNTIF($E$2:$E$2509, E1185)&gt;1), "SKU duplicado", ""), IF(OR(J1185="", J1185=""), "[Aviso] División no capturada ()", IF(ISNA(MATCH(J1185, Criterios!$A$123:$A$126, 0)), "División no válida", "")), IF(OR(K1185="", K1185=""), "[Aviso] Categoría no capturada ()", IF(ISNA(MATCH(K1185, Criterios!$A$81:$A$120, 0)), "Categoría no válida", IF(AND(J1185&lt;&gt;"", J1185&lt;&gt;"", J1185&lt;&gt;VLOOKUP(K1185, Criterios!$A$81:$B$120, 2, FALSE)), "División no coincide con Categoría", ""))), IF(OR(L1185="", L1185=""), "[Aviso] Género no capturado ()", IF(ISNA(MATCH(L1185, Criterios!$B$123:$B$127, 0)), "Género no válido", "")), IF(OR(N1185="", N1185=""), "[Aviso] Temporada no capturada ()", IF(ISNA(MATCH(N1185, Criterios!$C$123:$C$128, 0)), "Temporada no válida", "")), IF(OR(O1185="", O1185=""), "[Aviso] Ciclo de vida no capturado ()", IF(ISNA(MATCH(O1185, Criterios!$D$123:$D$124, 0)), "Ciclo de vida no válido", ""))))</f>
        <v/>
      </c>
      <c r="AC1185" s="56" t="n"/>
      <c r="AD1185" s="51" t="n">
        <v>3</v>
      </c>
      <c r="AE1185" s="156" t="inlineStr">
        <is>
          <t>B25 STETSON.MX (4)</t>
        </is>
      </c>
      <c r="AF1185" s="51" t="n">
        <v>4</v>
      </c>
      <c r="AG1185" s="156" t="inlineStr">
        <is>
          <t>Catálogo existente</t>
        </is>
      </c>
      <c r="AH118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5" s="156" t="inlineStr">
        <is>
          <t>Sí</t>
        </is>
      </c>
      <c r="AJ1185" s="156" t="inlineStr">
        <is>
          <t>STETSON AMERICAS (-1)</t>
        </is>
      </c>
      <c r="AK1185" s="155" t="inlineStr">
        <is>
          <t>Criterios: I [Q] | Shopify Stetson: producto 14788761878891 / variante 53350608339307</t>
        </is>
      </c>
      <c r="AL1185" s="58" t="n">
        <v>1338.75</v>
      </c>
      <c r="AM1185" s="58" t="n">
        <v>3275.862069</v>
      </c>
      <c r="AN1185" s="155" t="inlineStr">
        <is>
          <t>Shopify Stetson México</t>
        </is>
      </c>
      <c r="AO1185" s="59" t="n">
        <v>10</v>
      </c>
      <c r="AP1185" s="59" t="n"/>
      <c r="AQ1185" s="59" t="n"/>
      <c r="AR1185" s="155" t="inlineStr">
        <is>
          <t>Shopify Stetson México › Stetson México: 8 | Shopify Stetson México › Stetson Americas: 2</t>
        </is>
      </c>
    </row>
    <row r="1186">
      <c r="A1186" s="50" t="inlineStr">
        <is>
          <t>717220920345</t>
        </is>
      </c>
      <c r="B1186" s="51" t="inlineStr">
        <is>
          <t>110167</t>
        </is>
      </c>
      <c r="C1186" s="156" t="inlineStr">
        <is>
          <t>Multimarca</t>
        </is>
      </c>
      <c r="D1186" s="156" t="inlineStr">
        <is>
          <t>SSGAIN-684281</t>
        </is>
      </c>
      <c r="E1186" s="156" t="inlineStr">
        <is>
          <t>SSGAIN-68428172</t>
        </is>
      </c>
      <c r="F1186" s="156" t="inlineStr">
        <is>
          <t>7 1/4</t>
        </is>
      </c>
      <c r="G1186" s="156" t="inlineStr">
        <is>
          <t>7 1/4</t>
        </is>
      </c>
      <c r="H1186" s="156" t="inlineStr">
        <is>
          <t>Stetson</t>
        </is>
      </c>
      <c r="I1186" s="156" t="inlineStr">
        <is>
          <t>Texana Stetson Gaines Natural</t>
        </is>
      </c>
      <c r="J1186" s="156" t="inlineStr">
        <is>
          <t>Accesorios</t>
        </is>
      </c>
      <c r="K1186" s="156" t="inlineStr">
        <is>
          <t>Sombreros</t>
        </is>
      </c>
      <c r="L1186" s="156" t="inlineStr">
        <is>
          <t>Unisex</t>
        </is>
      </c>
      <c r="M1186" s="156" t="inlineStr">
        <is>
          <t>Stetson</t>
        </is>
      </c>
      <c r="N1186" s="156" t="inlineStr">
        <is>
          <t>SS26</t>
        </is>
      </c>
      <c r="O1186" s="156" t="inlineStr">
        <is>
          <t>Seasonal</t>
        </is>
      </c>
      <c r="P1186" s="156" t="inlineStr">
        <is>
          <t>Beige</t>
        </is>
      </c>
      <c r="Q1186" s="156" t="n"/>
      <c r="R1186" s="156" t="inlineStr">
        <is>
          <t>Copa Cattleman</t>
        </is>
      </c>
      <c r="S1186" s="156" t="inlineStr">
        <is>
          <t>100% Fieltro de lana</t>
        </is>
      </c>
      <c r="T1186"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6" s="156" t="inlineStr">
        <is>
          <t>Estados Unidos</t>
        </is>
      </c>
      <c r="V1186" s="156" t="inlineStr">
        <is>
          <t>PZS</t>
        </is>
      </c>
      <c r="W1186" s="51" t="inlineStr">
        <is>
          <t>53102503</t>
        </is>
      </c>
      <c r="X1186" s="156" t="inlineStr">
        <is>
          <t>https://cdn.shopify.com/s/files/1/0888/3250/8267/files/SSGAIN-684281-03_7b6551bc-6364-4bcb-8377-53a3fd5406b9.jpg?v=1759863853</t>
        </is>
      </c>
      <c r="Y1186" s="54" t="n">
        <v>1338.75</v>
      </c>
      <c r="Z1186" s="54" t="n">
        <v>3275.862069</v>
      </c>
      <c r="AA1186" s="55">
        <f>IF(AND(A1186="", B1186="", E1186=""), "", IF(AB1186="", "Válido", IF((LEN(AB1186)-LEN(SUBSTITUTE(AB1186,"; ","")))/2+1&gt;(LEN(AB1186)-LEN(SUBSTITUTE(AB1186,"[Aviso]","")))/7, "Con Incidencias", "Válido")))</f>
        <v/>
      </c>
      <c r="AB1186" s="56">
        <f>IF(AND(A1186="", B1186="", E1186=""), "", TEXTJOIN("; ", TRUE, IF(OR(TRIM(A1186&amp;"")="", ISNUMBER(SEARCH("FALTA", A1186))), "UPC faltante/inválido", ""), IF(AND(A1186&lt;&gt;"", IFERROR(_xlfn.XMATCH(A1186,$A$2:$A$2509,0,1)&lt;&gt;_xlfn.XMATCH(A1186,$A$2:$A$2509,0,-1),FALSE)), "Código de barras duplicado", ""), IF(AND(E1186&lt;&gt;"", COUNTIF($E$2:$E$2509, E1186)&gt;1), "SKU duplicado", ""), IF(OR(J1186="", J1186=""), "[Aviso] División no capturada ()", IF(ISNA(MATCH(J1186, Criterios!$A$123:$A$126, 0)), "División no válida", "")), IF(OR(K1186="", K1186=""), "[Aviso] Categoría no capturada ()", IF(ISNA(MATCH(K1186, Criterios!$A$81:$A$120, 0)), "Categoría no válida", IF(AND(J1186&lt;&gt;"", J1186&lt;&gt;"", J1186&lt;&gt;VLOOKUP(K1186, Criterios!$A$81:$B$120, 2, FALSE)), "División no coincide con Categoría", ""))), IF(OR(L1186="", L1186=""), "[Aviso] Género no capturado ()", IF(ISNA(MATCH(L1186, Criterios!$B$123:$B$127, 0)), "Género no válido", "")), IF(OR(N1186="", N1186=""), "[Aviso] Temporada no capturada ()", IF(ISNA(MATCH(N1186, Criterios!$C$123:$C$128, 0)), "Temporada no válida", "")), IF(OR(O1186="", O1186=""), "[Aviso] Ciclo de vida no capturado ()", IF(ISNA(MATCH(O1186, Criterios!$D$123:$D$124, 0)), "Ciclo de vida no válido", ""))))</f>
        <v/>
      </c>
      <c r="AC1186" s="56" t="n"/>
      <c r="AD1186" s="51" t="n">
        <v>0</v>
      </c>
      <c r="AE1186" s="156" t="inlineStr">
        <is>
          <t>STETSON AMERICAS (1); B25 STETSON.MX (1)</t>
        </is>
      </c>
      <c r="AF1186" s="51" t="n">
        <v>2</v>
      </c>
      <c r="AG1186" s="156" t="inlineStr">
        <is>
          <t>Catálogo existente</t>
        </is>
      </c>
      <c r="AH118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6" s="156" t="inlineStr">
        <is>
          <t>Sí</t>
        </is>
      </c>
      <c r="AJ1186" s="156" t="inlineStr">
        <is>
          <t>PUNTO DE VENTA (-1); B25 CEDIS (-1)</t>
        </is>
      </c>
      <c r="AK1186" s="155" t="inlineStr">
        <is>
          <t>Criterios: I [Q] | Shopify Stetson: producto 14788761878891 / variante 53350608372075</t>
        </is>
      </c>
      <c r="AL1186" s="58" t="n">
        <v>1338.75</v>
      </c>
      <c r="AM1186" s="58" t="n">
        <v>3275.862069</v>
      </c>
      <c r="AN1186" s="155" t="inlineStr">
        <is>
          <t>Shopify Stetson México</t>
        </is>
      </c>
      <c r="AO1186" s="59" t="n">
        <v>3</v>
      </c>
      <c r="AP1186" s="59" t="n"/>
      <c r="AQ1186" s="59" t="n"/>
      <c r="AR1186" s="155" t="inlineStr">
        <is>
          <t>Shopify Stetson México › Stetson México: 1 | Shopify Stetson México › Stetson Americas: 2</t>
        </is>
      </c>
    </row>
    <row r="1187">
      <c r="A1187" s="50" t="inlineStr">
        <is>
          <t>717220920352</t>
        </is>
      </c>
      <c r="B1187" s="51" t="inlineStr">
        <is>
          <t>110168</t>
        </is>
      </c>
      <c r="C1187" s="156" t="inlineStr">
        <is>
          <t>Multimarca</t>
        </is>
      </c>
      <c r="D1187" s="156" t="inlineStr">
        <is>
          <t>SSGAIN-684281</t>
        </is>
      </c>
      <c r="E1187" s="156" t="inlineStr">
        <is>
          <t>SSGAIN-68428173</t>
        </is>
      </c>
      <c r="F1187" s="156" t="inlineStr">
        <is>
          <t>7 3/8</t>
        </is>
      </c>
      <c r="G1187" s="156" t="inlineStr">
        <is>
          <t>7 3/8</t>
        </is>
      </c>
      <c r="H1187" s="156" t="inlineStr">
        <is>
          <t>Stetson</t>
        </is>
      </c>
      <c r="I1187" s="156" t="inlineStr">
        <is>
          <t>Texana Stetson Gaines Natural</t>
        </is>
      </c>
      <c r="J1187" s="156" t="inlineStr">
        <is>
          <t>Accesorios</t>
        </is>
      </c>
      <c r="K1187" s="156" t="inlineStr">
        <is>
          <t>Sombreros</t>
        </is>
      </c>
      <c r="L1187" s="156" t="inlineStr">
        <is>
          <t>Unisex</t>
        </is>
      </c>
      <c r="M1187" s="156" t="inlineStr">
        <is>
          <t>Stetson</t>
        </is>
      </c>
      <c r="N1187" s="156" t="inlineStr">
        <is>
          <t>SS26</t>
        </is>
      </c>
      <c r="O1187" s="156" t="inlineStr">
        <is>
          <t>Seasonal</t>
        </is>
      </c>
      <c r="P1187" s="156" t="inlineStr">
        <is>
          <t>Beige</t>
        </is>
      </c>
      <c r="Q1187" s="156" t="n"/>
      <c r="R1187" s="156" t="inlineStr">
        <is>
          <t>Copa Cattleman</t>
        </is>
      </c>
      <c r="S1187" s="156" t="inlineStr">
        <is>
          <t>100% Fieltro de lana</t>
        </is>
      </c>
      <c r="T1187"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7" s="156" t="inlineStr">
        <is>
          <t>Estados Unidos</t>
        </is>
      </c>
      <c r="V1187" s="156" t="inlineStr">
        <is>
          <t>PZS</t>
        </is>
      </c>
      <c r="W1187" s="51" t="inlineStr">
        <is>
          <t>53102503</t>
        </is>
      </c>
      <c r="X1187" s="156" t="inlineStr">
        <is>
          <t>https://cdn.shopify.com/s/files/1/0888/3250/8267/files/SSGAIN-684281-04_389a017b-1daf-4560-bdb1-6daca0f08c6d.jpg?v=1759863853</t>
        </is>
      </c>
      <c r="Y1187" s="54" t="n">
        <v>1338.75</v>
      </c>
      <c r="Z1187" s="54" t="n">
        <v>3275.862069</v>
      </c>
      <c r="AA1187" s="55">
        <f>IF(AND(A1187="", B1187="", E1187=""), "", IF(AB1187="", "Válido", IF((LEN(AB1187)-LEN(SUBSTITUTE(AB1187,"; ","")))/2+1&gt;(LEN(AB1187)-LEN(SUBSTITUTE(AB1187,"[Aviso]","")))/7, "Con Incidencias", "Válido")))</f>
        <v/>
      </c>
      <c r="AB1187" s="56">
        <f>IF(AND(A1187="", B1187="", E1187=""), "", TEXTJOIN("; ", TRUE, IF(OR(TRIM(A1187&amp;"")="", ISNUMBER(SEARCH("FALTA", A1187))), "UPC faltante/inválido", ""), IF(AND(A1187&lt;&gt;"", IFERROR(_xlfn.XMATCH(A1187,$A$2:$A$2509,0,1)&lt;&gt;_xlfn.XMATCH(A1187,$A$2:$A$2509,0,-1),FALSE)), "Código de barras duplicado", ""), IF(AND(E1187&lt;&gt;"", COUNTIF($E$2:$E$2509, E1187)&gt;1), "SKU duplicado", ""), IF(OR(J1187="", J1187=""), "[Aviso] División no capturada ()", IF(ISNA(MATCH(J1187, Criterios!$A$123:$A$126, 0)), "División no válida", "")), IF(OR(K1187="", K1187=""), "[Aviso] Categoría no capturada ()", IF(ISNA(MATCH(K1187, Criterios!$A$81:$A$120, 0)), "Categoría no válida", IF(AND(J1187&lt;&gt;"", J1187&lt;&gt;"", J1187&lt;&gt;VLOOKUP(K1187, Criterios!$A$81:$B$120, 2, FALSE)), "División no coincide con Categoría", ""))), IF(OR(L1187="", L1187=""), "[Aviso] Género no capturado ()", IF(ISNA(MATCH(L1187, Criterios!$B$123:$B$127, 0)), "Género no válido", "")), IF(OR(N1187="", N1187=""), "[Aviso] Temporada no capturada ()", IF(ISNA(MATCH(N1187, Criterios!$C$123:$C$128, 0)), "Temporada no válida", "")), IF(OR(O1187="", O1187=""), "[Aviso] Ciclo de vida no capturado ()", IF(ISNA(MATCH(O1187, Criterios!$D$123:$D$124, 0)), "Ciclo de vida no válido", ""))))</f>
        <v/>
      </c>
      <c r="AC1187" s="56" t="n"/>
      <c r="AD1187" s="51" t="n">
        <v>0</v>
      </c>
      <c r="AE1187" s="156" t="inlineStr">
        <is>
          <t>B25 STETSON.MX (2)</t>
        </is>
      </c>
      <c r="AF1187" s="51" t="n">
        <v>2</v>
      </c>
      <c r="AG1187" s="156" t="inlineStr">
        <is>
          <t>Catálogo existente</t>
        </is>
      </c>
      <c r="AH118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7" s="156" t="inlineStr">
        <is>
          <t>Sí</t>
        </is>
      </c>
      <c r="AJ1187" s="156" t="inlineStr">
        <is>
          <t>STETSON AMERICAS (-1); PUNTO DE VENTA (-1)</t>
        </is>
      </c>
      <c r="AK1187" s="155" t="inlineStr">
        <is>
          <t>Criterios: I [Q] | Shopify Stetson: producto 14788761878891 / variante 53350608404843</t>
        </is>
      </c>
      <c r="AL1187" s="58" t="n">
        <v>1338.75</v>
      </c>
      <c r="AM1187" s="58" t="n">
        <v>3275.862069</v>
      </c>
      <c r="AN1187" s="155" t="inlineStr">
        <is>
          <t>Shopify Stetson México</t>
        </is>
      </c>
      <c r="AO1187" s="59" t="n">
        <v>1</v>
      </c>
      <c r="AP1187" s="59" t="n"/>
      <c r="AQ1187" s="59" t="n"/>
      <c r="AR1187" s="155" t="inlineStr">
        <is>
          <t>Shopify Stetson México › Stetson Americas: 1</t>
        </is>
      </c>
    </row>
    <row r="1188">
      <c r="A1188" s="50" t="inlineStr">
        <is>
          <t>717220920369</t>
        </is>
      </c>
      <c r="B1188" s="51" t="inlineStr">
        <is>
          <t>110169</t>
        </is>
      </c>
      <c r="C1188" s="156" t="inlineStr">
        <is>
          <t>Multimarca</t>
        </is>
      </c>
      <c r="D1188" s="156" t="inlineStr">
        <is>
          <t>SSGAIN-684281</t>
        </is>
      </c>
      <c r="E1188" s="156" t="inlineStr">
        <is>
          <t>SSGAIN-68428174</t>
        </is>
      </c>
      <c r="F1188" s="156" t="inlineStr">
        <is>
          <t>7 1/2</t>
        </is>
      </c>
      <c r="G1188" s="156" t="inlineStr">
        <is>
          <t>7 1/2</t>
        </is>
      </c>
      <c r="H1188" s="156" t="inlineStr">
        <is>
          <t>Stetson</t>
        </is>
      </c>
      <c r="I1188" s="156" t="inlineStr">
        <is>
          <t>Texana Stetson Gaines Natural</t>
        </is>
      </c>
      <c r="J1188" s="156" t="inlineStr">
        <is>
          <t>Accesorios</t>
        </is>
      </c>
      <c r="K1188" s="156" t="inlineStr">
        <is>
          <t>Sombreros</t>
        </is>
      </c>
      <c r="L1188" s="156" t="inlineStr">
        <is>
          <t>Unisex</t>
        </is>
      </c>
      <c r="M1188" s="156" t="inlineStr">
        <is>
          <t>Stetson</t>
        </is>
      </c>
      <c r="N1188" s="156" t="inlineStr">
        <is>
          <t>SS26</t>
        </is>
      </c>
      <c r="O1188" s="156" t="inlineStr">
        <is>
          <t>Seasonal</t>
        </is>
      </c>
      <c r="P1188" s="156" t="inlineStr">
        <is>
          <t>Beige</t>
        </is>
      </c>
      <c r="Q1188" s="156" t="n"/>
      <c r="R1188" s="156" t="inlineStr">
        <is>
          <t>Copa Cattleman</t>
        </is>
      </c>
      <c r="S1188" s="156" t="inlineStr">
        <is>
          <t>100% Fieltro de lana</t>
        </is>
      </c>
      <c r="T1188"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8" s="156" t="inlineStr">
        <is>
          <t>Estados Unidos</t>
        </is>
      </c>
      <c r="V1188" s="156" t="inlineStr">
        <is>
          <t>PZS</t>
        </is>
      </c>
      <c r="W1188" s="51" t="inlineStr">
        <is>
          <t>53102503</t>
        </is>
      </c>
      <c r="X1188" s="156" t="inlineStr">
        <is>
          <t>https://cdn.shopify.com/s/files/1/0888/3250/8267/files/SSGAIN-684281-05_ddd9994b-75ec-4070-8201-fc90a8c97b1e.jpg?v=1759863853</t>
        </is>
      </c>
      <c r="Y1188" s="54" t="n">
        <v>1338.75</v>
      </c>
      <c r="Z1188" s="54" t="n">
        <v>3275.862069</v>
      </c>
      <c r="AA1188" s="55">
        <f>IF(AND(A1188="", B1188="", E1188=""), "", IF(AB1188="", "Válido", IF((LEN(AB1188)-LEN(SUBSTITUTE(AB1188,"; ","")))/2+1&gt;(LEN(AB1188)-LEN(SUBSTITUTE(AB1188,"[Aviso]","")))/7, "Con Incidencias", "Válido")))</f>
        <v/>
      </c>
      <c r="AB1188" s="56">
        <f>IF(AND(A1188="", B1188="", E1188=""), "", TEXTJOIN("; ", TRUE, IF(OR(TRIM(A1188&amp;"")="", ISNUMBER(SEARCH("FALTA", A1188))), "UPC faltante/inválido", ""), IF(AND(A1188&lt;&gt;"", IFERROR(_xlfn.XMATCH(A1188,$A$2:$A$2509,0,1)&lt;&gt;_xlfn.XMATCH(A1188,$A$2:$A$2509,0,-1),FALSE)), "Código de barras duplicado", ""), IF(AND(E1188&lt;&gt;"", COUNTIF($E$2:$E$2509, E1188)&gt;1), "SKU duplicado", ""), IF(OR(J1188="", J1188=""), "[Aviso] División no capturada ()", IF(ISNA(MATCH(J1188, Criterios!$A$123:$A$126, 0)), "División no válida", "")), IF(OR(K1188="", K1188=""), "[Aviso] Categoría no capturada ()", IF(ISNA(MATCH(K1188, Criterios!$A$81:$A$120, 0)), "Categoría no válida", IF(AND(J1188&lt;&gt;"", J1188&lt;&gt;"", J1188&lt;&gt;VLOOKUP(K1188, Criterios!$A$81:$B$120, 2, FALSE)), "División no coincide con Categoría", ""))), IF(OR(L1188="", L1188=""), "[Aviso] Género no capturado ()", IF(ISNA(MATCH(L1188, Criterios!$B$123:$B$127, 0)), "Género no válido", "")), IF(OR(N1188="", N1188=""), "[Aviso] Temporada no capturada ()", IF(ISNA(MATCH(N1188, Criterios!$C$123:$C$128, 0)), "Temporada no válida", "")), IF(OR(O1188="", O1188=""), "[Aviso] Ciclo de vida no capturado ()", IF(ISNA(MATCH(O1188, Criterios!$D$123:$D$124, 0)), "Ciclo de vida no válido", ""))))</f>
        <v/>
      </c>
      <c r="AC1188" s="56" t="n"/>
      <c r="AD1188" s="51" t="n">
        <v>-1</v>
      </c>
      <c r="AE1188" s="156" t="n"/>
      <c r="AF1188" s="51" t="n">
        <v>0</v>
      </c>
      <c r="AG1188" s="156" t="inlineStr">
        <is>
          <t>Catálogo existente</t>
        </is>
      </c>
      <c r="AH118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88" s="156" t="inlineStr">
        <is>
          <t>Sí</t>
        </is>
      </c>
      <c r="AJ1188" s="156" t="inlineStr">
        <is>
          <t>STETSON AMERICAS (-1)</t>
        </is>
      </c>
      <c r="AK1188" s="155" t="inlineStr">
        <is>
          <t>Criterios: I [Q] | Shopify Stetson: producto 14788761878891 / variante 53350608437611</t>
        </is>
      </c>
      <c r="AL1188" s="58" t="n">
        <v>1338.75</v>
      </c>
      <c r="AM1188" s="58" t="n">
        <v>3275.862069</v>
      </c>
      <c r="AN1188" s="155" t="inlineStr">
        <is>
          <t>Shopify Stetson México</t>
        </is>
      </c>
      <c r="AO1188" s="59" t="n">
        <v>1</v>
      </c>
      <c r="AP1188" s="59" t="n"/>
      <c r="AQ1188" s="59" t="n"/>
      <c r="AR1188" s="155" t="inlineStr">
        <is>
          <t>Shopify Stetson México › Stetson Americas: 1</t>
        </is>
      </c>
    </row>
    <row r="1189">
      <c r="A1189" s="50" t="inlineStr">
        <is>
          <t>717220920376</t>
        </is>
      </c>
      <c r="B1189" s="51" t="inlineStr">
        <is>
          <t>110170</t>
        </is>
      </c>
      <c r="C1189" s="156" t="inlineStr">
        <is>
          <t>Multimarca</t>
        </is>
      </c>
      <c r="D1189" s="156" t="inlineStr">
        <is>
          <t>SSGAIN-684281</t>
        </is>
      </c>
      <c r="E1189" s="156" t="inlineStr">
        <is>
          <t>SSGAIN-68428175</t>
        </is>
      </c>
      <c r="F1189" s="156" t="inlineStr">
        <is>
          <t>7 5/8</t>
        </is>
      </c>
      <c r="G1189" s="156" t="inlineStr">
        <is>
          <t>7 5/8</t>
        </is>
      </c>
      <c r="H1189" s="156" t="inlineStr">
        <is>
          <t>Stetson</t>
        </is>
      </c>
      <c r="I1189" s="156" t="inlineStr">
        <is>
          <t>Texana Stetson Gaines Natural</t>
        </is>
      </c>
      <c r="J1189" s="156" t="inlineStr">
        <is>
          <t>Accesorios</t>
        </is>
      </c>
      <c r="K1189" s="156" t="inlineStr">
        <is>
          <t>Sombreros</t>
        </is>
      </c>
      <c r="L1189" s="156" t="inlineStr">
        <is>
          <t>Unisex</t>
        </is>
      </c>
      <c r="M1189" s="156" t="inlineStr">
        <is>
          <t>Stetson</t>
        </is>
      </c>
      <c r="N1189" s="156" t="inlineStr">
        <is>
          <t>SS26</t>
        </is>
      </c>
      <c r="O1189" s="156" t="inlineStr">
        <is>
          <t>Seasonal</t>
        </is>
      </c>
      <c r="P1189" s="156" t="inlineStr">
        <is>
          <t>Beige</t>
        </is>
      </c>
      <c r="Q1189" s="156" t="n"/>
      <c r="R1189" s="156" t="inlineStr">
        <is>
          <t>Copa Cattleman</t>
        </is>
      </c>
      <c r="S1189" s="156" t="inlineStr">
        <is>
          <t>100% Fieltro de lana</t>
        </is>
      </c>
      <c r="T1189"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9" s="156" t="inlineStr">
        <is>
          <t>Estados Unidos</t>
        </is>
      </c>
      <c r="V1189" s="156" t="inlineStr">
        <is>
          <t>PZS</t>
        </is>
      </c>
      <c r="W1189" s="51" t="inlineStr">
        <is>
          <t>53102503</t>
        </is>
      </c>
      <c r="X1189" s="156" t="inlineStr">
        <is>
          <t>https://cdn.shopify.com/s/files/1/0888/3250/8267/files/SSGAIN-684281-011_55c754d3-aee3-4b72-88ad-51b53326887a.jpg?v=1759863843</t>
        </is>
      </c>
      <c r="Y1189" s="54" t="n">
        <v>1338.75</v>
      </c>
      <c r="Z1189" s="54" t="n">
        <v>3275.862069</v>
      </c>
      <c r="AA1189" s="55">
        <f>IF(AND(A1189="", B1189="", E1189=""), "", IF(AB1189="", "Válido", IF((LEN(AB1189)-LEN(SUBSTITUTE(AB1189,"; ","")))/2+1&gt;(LEN(AB1189)-LEN(SUBSTITUTE(AB1189,"[Aviso]","")))/7, "Con Incidencias", "Válido")))</f>
        <v/>
      </c>
      <c r="AB1189" s="56">
        <f>IF(AND(A1189="", B1189="", E1189=""), "", TEXTJOIN("; ", TRUE, IF(OR(TRIM(A1189&amp;"")="", ISNUMBER(SEARCH("FALTA", A1189))), "UPC faltante/inválido", ""), IF(AND(A1189&lt;&gt;"", IFERROR(_xlfn.XMATCH(A1189,$A$2:$A$2509,0,1)&lt;&gt;_xlfn.XMATCH(A1189,$A$2:$A$2509,0,-1),FALSE)), "Código de barras duplicado", ""), IF(AND(E1189&lt;&gt;"", COUNTIF($E$2:$E$2509, E1189)&gt;1), "SKU duplicado", ""), IF(OR(J1189="", J1189=""), "[Aviso] División no capturada ()", IF(ISNA(MATCH(J1189, Criterios!$A$123:$A$126, 0)), "División no válida", "")), IF(OR(K1189="", K1189=""), "[Aviso] Categoría no capturada ()", IF(ISNA(MATCH(K1189, Criterios!$A$81:$A$120, 0)), "Categoría no válida", IF(AND(J1189&lt;&gt;"", J1189&lt;&gt;"", J1189&lt;&gt;VLOOKUP(K1189, Criterios!$A$81:$B$120, 2, FALSE)), "División no coincide con Categoría", ""))), IF(OR(L1189="", L1189=""), "[Aviso] Género no capturado ()", IF(ISNA(MATCH(L1189, Criterios!$B$123:$B$127, 0)), "Género no válido", "")), IF(OR(N1189="", N1189=""), "[Aviso] Temporada no capturada ()", IF(ISNA(MATCH(N1189, Criterios!$C$123:$C$128, 0)), "Temporada no válida", "")), IF(OR(O1189="", O1189=""), "[Aviso] Ciclo de vida no capturado ()", IF(ISNA(MATCH(O1189, Criterios!$D$123:$D$124, 0)), "Ciclo de vida no válido", ""))))</f>
        <v/>
      </c>
      <c r="AC1189" s="56" t="n"/>
      <c r="AD1189" s="51" t="n">
        <v>-1</v>
      </c>
      <c r="AE1189" s="156" t="n"/>
      <c r="AF1189" s="51" t="n">
        <v>0</v>
      </c>
      <c r="AG1189" s="156" t="inlineStr">
        <is>
          <t>Catálogo existente</t>
        </is>
      </c>
      <c r="AH1189"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189" s="156" t="inlineStr">
        <is>
          <t>Sí</t>
        </is>
      </c>
      <c r="AJ1189" s="156" t="inlineStr">
        <is>
          <t>STETSON AMERICAS (-1)</t>
        </is>
      </c>
      <c r="AK1189" s="155" t="inlineStr">
        <is>
          <t>Criterios: I [Q] | Shopify Stetson: producto 14788761878891 / variante 53350608470379</t>
        </is>
      </c>
      <c r="AL1189" s="58" t="n">
        <v>1338.75</v>
      </c>
      <c r="AM1189" s="58" t="n">
        <v>3275.862069</v>
      </c>
      <c r="AN1189" s="155" t="inlineStr">
        <is>
          <t>Shopify Stetson México</t>
        </is>
      </c>
      <c r="AO1189" s="59" t="n">
        <v>0</v>
      </c>
      <c r="AP1189" s="59" t="n"/>
      <c r="AQ1189" s="59" t="n"/>
      <c r="AR1189" s="155" t="n"/>
    </row>
    <row r="1190">
      <c r="A1190" s="50" t="inlineStr">
        <is>
          <t>717220928181</t>
        </is>
      </c>
      <c r="B1190" s="51" t="inlineStr">
        <is>
          <t>117747</t>
        </is>
      </c>
      <c r="C1190" s="156" t="inlineStr">
        <is>
          <t>Multimarca</t>
        </is>
      </c>
      <c r="D1190" s="156" t="inlineStr">
        <is>
          <t>SFPRES-014022</t>
        </is>
      </c>
      <c r="E1190" s="156" t="inlineStr">
        <is>
          <t>SFPRES-01402271</t>
        </is>
      </c>
      <c r="F1190" s="156" t="inlineStr">
        <is>
          <t>7 1/8</t>
        </is>
      </c>
      <c r="G1190" s="156" t="inlineStr">
        <is>
          <t>7 1/8</t>
        </is>
      </c>
      <c r="H1190" s="156" t="inlineStr">
        <is>
          <t>Stetson</t>
        </is>
      </c>
      <c r="I1190" s="156" t="inlineStr">
        <is>
          <t>Texana Stetson el Presidente Chocolate</t>
        </is>
      </c>
      <c r="J1190" s="156" t="inlineStr">
        <is>
          <t>Accesorios</t>
        </is>
      </c>
      <c r="K1190" s="156" t="inlineStr">
        <is>
          <t>Sombreros</t>
        </is>
      </c>
      <c r="L1190" s="156" t="inlineStr">
        <is>
          <t>Unisex</t>
        </is>
      </c>
      <c r="M1190" s="156" t="inlineStr">
        <is>
          <t>Stetson</t>
        </is>
      </c>
      <c r="N1190" s="156" t="inlineStr">
        <is>
          <t>FW26</t>
        </is>
      </c>
      <c r="O1190" s="156" t="inlineStr">
        <is>
          <t>Core</t>
        </is>
      </c>
      <c r="P1190" s="156" t="inlineStr">
        <is>
          <t>Cafe</t>
        </is>
      </c>
      <c r="Q1190" s="156" t="n"/>
      <c r="R1190" s="156" t="inlineStr">
        <is>
          <t>Copa Cattleman</t>
        </is>
      </c>
      <c r="S1190" s="156" t="inlineStr">
        <is>
          <t>100% Fieltro de lana</t>
        </is>
      </c>
      <c r="T1190"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12,7 cm (5").
 • Ala de aprox. 10,1 cm (4").
 • Toquilla de fieltro al tono con hebilla de oro de 10K de tres piezas.
 • Banda interior de piel Roan Premier cosida a mano.
 • Forro interior completo de satín.
 • Estuche de viaje Stetson.
 Modelo: Stetson El Presidente 100X – copa 5"
 Color: Chocolate (color oficial Stetson: Chocolate)
 Material: Fieltro de pelo calidad 100X
 Fabricación: Hecho a mano en EE. UU.</t>
        </is>
      </c>
      <c r="U1190" s="156" t="inlineStr">
        <is>
          <t>Estados Unidos</t>
        </is>
      </c>
      <c r="V1190" s="156" t="inlineStr">
        <is>
          <t>PZS</t>
        </is>
      </c>
      <c r="W1190" s="51" t="inlineStr">
        <is>
          <t>53102503</t>
        </is>
      </c>
      <c r="X1190" s="156" t="n"/>
      <c r="Y1190" s="54" t="n">
        <v>10237.5</v>
      </c>
      <c r="Z1190" s="54" t="n">
        <v>24568.96552</v>
      </c>
      <c r="AA1190" s="55">
        <f>IF(AND(A1190="", B1190="", E1190=""), "", IF(AB1190="", "Válido", IF((LEN(AB1190)-LEN(SUBSTITUTE(AB1190,"; ","")))/2+1&gt;(LEN(AB1190)-LEN(SUBSTITUTE(AB1190,"[Aviso]","")))/7, "Con Incidencias", "Válido")))</f>
        <v/>
      </c>
      <c r="AB1190" s="56">
        <f>IF(AND(A1190="", B1190="", E1190=""), "", TEXTJOIN("; ", TRUE, IF(OR(TRIM(A1190&amp;"")="", ISNUMBER(SEARCH("FALTA", A1190))), "UPC faltante/inválido", ""), IF(AND(A1190&lt;&gt;"", IFERROR(_xlfn.XMATCH(A1190,$A$2:$A$2509,0,1)&lt;&gt;_xlfn.XMATCH(A1190,$A$2:$A$2509,0,-1),FALSE)), "Código de barras duplicado", ""), IF(AND(E1190&lt;&gt;"", COUNTIF($E$2:$E$2509, E1190)&gt;1), "SKU duplicado", ""), IF(OR(J1190="", J1190=""), "[Aviso] División no capturada ()", IF(ISNA(MATCH(J1190, Criterios!$A$123:$A$126, 0)), "División no válida", "")), IF(OR(K1190="", K1190=""), "[Aviso] Categoría no capturada ()", IF(ISNA(MATCH(K1190, Criterios!$A$81:$A$120, 0)), "Categoría no válida", IF(AND(J1190&lt;&gt;"", J1190&lt;&gt;"", J1190&lt;&gt;VLOOKUP(K1190, Criterios!$A$81:$B$120, 2, FALSE)), "División no coincide con Categoría", ""))), IF(OR(L1190="", L1190=""), "[Aviso] Género no capturado ()", IF(ISNA(MATCH(L1190, Criterios!$B$123:$B$127, 0)), "Género no válido", "")), IF(OR(N1190="", N1190=""), "[Aviso] Temporada no capturada ()", IF(ISNA(MATCH(N1190, Criterios!$C$123:$C$128, 0)), "Temporada no válida", "")), IF(OR(O1190="", O1190=""), "[Aviso] Ciclo de vida no capturado ()", IF(ISNA(MATCH(O1190, Criterios!$D$123:$D$124, 0)), "Ciclo de vida no válido", ""))))</f>
        <v/>
      </c>
      <c r="AC1190" s="56" t="n"/>
      <c r="AD1190" s="51" t="n">
        <v>0</v>
      </c>
      <c r="AE1190" s="156" t="n"/>
      <c r="AF1190" s="51" t="n">
        <v>0</v>
      </c>
      <c r="AG1190" s="156" t="inlineStr">
        <is>
          <t>Catálogo existente</t>
        </is>
      </c>
      <c r="AH1190" s="156" t="inlineStr">
        <is>
          <t>Revisión 29/09/2026: Campos sin respaldo: X | 01/10/2026: complementado desde Shopify Stetson México (match por código de barras): WB Fit, WB Silueta</t>
        </is>
      </c>
      <c r="AI1190" s="156" t="inlineStr">
        <is>
          <t>No</t>
        </is>
      </c>
      <c r="AJ1190" s="156" t="n"/>
      <c r="AK1190" s="155" t="inlineStr">
        <is>
          <t>Criterios: I [Q] | Shopify Stetson: producto 15227650015595 / variante 53791837716843</t>
        </is>
      </c>
      <c r="AL1190" s="58" t="n">
        <v>10237.5</v>
      </c>
      <c r="AM1190" s="58" t="n">
        <v>24568.96552</v>
      </c>
      <c r="AN1190" s="155" t="inlineStr">
        <is>
          <t>Shopify Stetson México</t>
        </is>
      </c>
      <c r="AO1190" s="59" t="n">
        <v>0</v>
      </c>
      <c r="AP1190" s="59" t="n"/>
      <c r="AQ1190" s="59" t="n"/>
      <c r="AR1190" s="155" t="n"/>
    </row>
    <row r="1191">
      <c r="A1191" s="50" t="inlineStr">
        <is>
          <t>717220928297</t>
        </is>
      </c>
      <c r="B1191" s="51" t="inlineStr">
        <is>
          <t>117560</t>
        </is>
      </c>
      <c r="C1191" s="156" t="inlineStr">
        <is>
          <t>Multimarca</t>
        </is>
      </c>
      <c r="D1191" s="156" t="inlineStr">
        <is>
          <t>SFPRES-484022</t>
        </is>
      </c>
      <c r="E1191" s="156" t="inlineStr">
        <is>
          <t>SFPRES-48402270</t>
        </is>
      </c>
      <c r="F1191" s="156" t="inlineStr">
        <is>
          <t>7</t>
        </is>
      </c>
      <c r="G1191" s="156" t="inlineStr">
        <is>
          <t>7</t>
        </is>
      </c>
      <c r="H1191" s="156" t="inlineStr">
        <is>
          <t>Stetson</t>
        </is>
      </c>
      <c r="I1191" s="156" t="inlineStr">
        <is>
          <t>Texana Stetson El Presidente Chocolate</t>
        </is>
      </c>
      <c r="J1191" s="156" t="inlineStr">
        <is>
          <t>Accesorios</t>
        </is>
      </c>
      <c r="K1191" s="156" t="inlineStr">
        <is>
          <t>Sombreros</t>
        </is>
      </c>
      <c r="L1191" s="156" t="inlineStr">
        <is>
          <t>Unisex</t>
        </is>
      </c>
      <c r="M1191" s="156" t="inlineStr">
        <is>
          <t>Stetson</t>
        </is>
      </c>
      <c r="N1191" s="156" t="inlineStr">
        <is>
          <t>FW26</t>
        </is>
      </c>
      <c r="O1191" s="156" t="inlineStr">
        <is>
          <t>Seasonal</t>
        </is>
      </c>
      <c r="P1191" s="156" t="inlineStr">
        <is>
          <t>Cafe</t>
        </is>
      </c>
      <c r="Q1191" s="156" t="n"/>
      <c r="R1191" s="156" t="inlineStr">
        <is>
          <t>Copa Cattleman</t>
        </is>
      </c>
      <c r="S1191" s="156" t="inlineStr">
        <is>
          <t>Fieltro de pelo 100X</t>
        </is>
      </c>
      <c r="T1191"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1" s="156" t="inlineStr">
        <is>
          <t>Estados Unidos</t>
        </is>
      </c>
      <c r="V1191" s="156" t="inlineStr">
        <is>
          <t>PZS</t>
        </is>
      </c>
      <c r="W1191" s="51" t="inlineStr">
        <is>
          <t>53102516</t>
        </is>
      </c>
      <c r="X1191" s="156" t="n"/>
      <c r="Y1191" s="54" t="n">
        <v>10237.5</v>
      </c>
      <c r="Z1191" s="54" t="n">
        <v>24568.96552</v>
      </c>
      <c r="AA1191" s="55">
        <f>IF(AND(A1191="", B1191="", E1191=""), "", IF(AB1191="", "Válido", IF((LEN(AB1191)-LEN(SUBSTITUTE(AB1191,"; ","")))/2+1&gt;(LEN(AB1191)-LEN(SUBSTITUTE(AB1191,"[Aviso]","")))/7, "Con Incidencias", "Válido")))</f>
        <v/>
      </c>
      <c r="AB1191" s="56">
        <f>IF(AND(A1191="", B1191="", E1191=""), "", TEXTJOIN("; ", TRUE, IF(OR(TRIM(A1191&amp;"")="", ISNUMBER(SEARCH("FALTA", A1191))), "UPC faltante/inválido", ""), IF(AND(A1191&lt;&gt;"", IFERROR(_xlfn.XMATCH(A1191,$A$2:$A$2509,0,1)&lt;&gt;_xlfn.XMATCH(A1191,$A$2:$A$2509,0,-1),FALSE)), "Código de barras duplicado", ""), IF(AND(E1191&lt;&gt;"", COUNTIF($E$2:$E$2509, E1191)&gt;1), "SKU duplicado", ""), IF(OR(J1191="", J1191=""), "[Aviso] División no capturada ()", IF(ISNA(MATCH(J1191, Criterios!$A$123:$A$126, 0)), "División no válida", "")), IF(OR(K1191="", K1191=""), "[Aviso] Categoría no capturada ()", IF(ISNA(MATCH(K1191, Criterios!$A$81:$A$120, 0)), "Categoría no válida", IF(AND(J1191&lt;&gt;"", J1191&lt;&gt;"", J1191&lt;&gt;VLOOKUP(K1191, Criterios!$A$81:$B$120, 2, FALSE)), "División no coincide con Categoría", ""))), IF(OR(L1191="", L1191=""), "[Aviso] Género no capturado ()", IF(ISNA(MATCH(L1191, Criterios!$B$123:$B$127, 0)), "Género no válido", "")), IF(OR(N1191="", N1191=""), "[Aviso] Temporada no capturada ()", IF(ISNA(MATCH(N1191, Criterios!$C$123:$C$128, 0)), "Temporada no válida", "")), IF(OR(O1191="", O1191=""), "[Aviso] Ciclo de vida no capturado ()", IF(ISNA(MATCH(O1191, Criterios!$D$123:$D$124, 0)), "Ciclo de vida no válido", ""))))</f>
        <v/>
      </c>
      <c r="AC1191" s="56" t="n"/>
      <c r="AD1191" s="51" t="n">
        <v>0</v>
      </c>
      <c r="AE1191" s="156" t="inlineStr">
        <is>
          <t>STETSON AMERICAS (1)</t>
        </is>
      </c>
      <c r="AF1191" s="51" t="n">
        <v>1</v>
      </c>
      <c r="AG1191" s="156" t="inlineStr">
        <is>
          <t>Catálogo existente</t>
        </is>
      </c>
      <c r="AH1191" s="156" t="inlineStr">
        <is>
          <t>Revisión 29/09/2026: Campos sin respaldo: X; Auditoría NetSuite 30/09/2026: Silueta NetSuite vacía | 01/10/2026: complementado desde Shopify Stetson México (match por código de barras): WB Fit, WB Silueta</t>
        </is>
      </c>
      <c r="AI1191" s="156" t="inlineStr">
        <is>
          <t>Sí</t>
        </is>
      </c>
      <c r="AJ1191" s="156" t="inlineStr">
        <is>
          <t>PUNTO DE VENTA (-1)</t>
        </is>
      </c>
      <c r="AK1191" s="155" t="inlineStr">
        <is>
          <t>Criterios: I [Q] | Shopify Stetson: producto 15227650048363 / variante 53791837749611</t>
        </is>
      </c>
      <c r="AL1191" s="58" t="n">
        <v>10237.5</v>
      </c>
      <c r="AM1191" s="58" t="n">
        <v>24568.96552</v>
      </c>
      <c r="AN1191" s="155" t="inlineStr">
        <is>
          <t>Shopify Stetson México</t>
        </is>
      </c>
      <c r="AO1191" s="59" t="n">
        <v>1</v>
      </c>
      <c r="AP1191" s="59" t="n"/>
      <c r="AQ1191" s="59" t="n"/>
      <c r="AR1191" s="155" t="inlineStr">
        <is>
          <t>Shopify Stetson México › Stetson Americas: 1</t>
        </is>
      </c>
    </row>
    <row r="1192">
      <c r="A1192" s="50" t="inlineStr">
        <is>
          <t>717220928303</t>
        </is>
      </c>
      <c r="B1192" s="51" t="inlineStr">
        <is>
          <t>117563</t>
        </is>
      </c>
      <c r="C1192" s="156" t="inlineStr">
        <is>
          <t>Multimarca</t>
        </is>
      </c>
      <c r="D1192" s="156" t="inlineStr">
        <is>
          <t>SFPRES-484022</t>
        </is>
      </c>
      <c r="E1192" s="156" t="inlineStr">
        <is>
          <t>SFPRES-48402271</t>
        </is>
      </c>
      <c r="F1192" s="156" t="inlineStr">
        <is>
          <t>7 1/8</t>
        </is>
      </c>
      <c r="G1192" s="156" t="inlineStr">
        <is>
          <t>7 1/8</t>
        </is>
      </c>
      <c r="H1192" s="156" t="inlineStr">
        <is>
          <t>Stetson</t>
        </is>
      </c>
      <c r="I1192" s="156" t="inlineStr">
        <is>
          <t>Texana Stetson El Presidente Chocolate</t>
        </is>
      </c>
      <c r="J1192" s="156" t="inlineStr">
        <is>
          <t>Accesorios</t>
        </is>
      </c>
      <c r="K1192" s="156" t="inlineStr">
        <is>
          <t>Sombreros</t>
        </is>
      </c>
      <c r="L1192" s="156" t="inlineStr">
        <is>
          <t>Unisex</t>
        </is>
      </c>
      <c r="M1192" s="156" t="inlineStr">
        <is>
          <t>Stetson</t>
        </is>
      </c>
      <c r="N1192" s="156" t="inlineStr">
        <is>
          <t>FW26</t>
        </is>
      </c>
      <c r="O1192" s="156" t="inlineStr">
        <is>
          <t>Seasonal</t>
        </is>
      </c>
      <c r="P1192" s="156" t="inlineStr">
        <is>
          <t>Cafe</t>
        </is>
      </c>
      <c r="Q1192" s="156" t="n"/>
      <c r="R1192" s="156" t="inlineStr">
        <is>
          <t>Copa Cattleman</t>
        </is>
      </c>
      <c r="S1192" s="156" t="inlineStr">
        <is>
          <t>Fieltro de pelo 100X</t>
        </is>
      </c>
      <c r="T1192"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2" s="156" t="inlineStr">
        <is>
          <t>Estados Unidos</t>
        </is>
      </c>
      <c r="V1192" s="156" t="inlineStr">
        <is>
          <t>PZS</t>
        </is>
      </c>
      <c r="W1192" s="51" t="inlineStr">
        <is>
          <t>53102516</t>
        </is>
      </c>
      <c r="X1192" s="156" t="n"/>
      <c r="Y1192" s="54" t="n">
        <v>10237.5</v>
      </c>
      <c r="Z1192" s="54" t="n">
        <v>24568.96552</v>
      </c>
      <c r="AA1192" s="55">
        <f>IF(AND(A1192="", B1192="", E1192=""), "", IF(AB1192="", "Válido", IF((LEN(AB1192)-LEN(SUBSTITUTE(AB1192,"; ","")))/2+1&gt;(LEN(AB1192)-LEN(SUBSTITUTE(AB1192,"[Aviso]","")))/7, "Con Incidencias", "Válido")))</f>
        <v/>
      </c>
      <c r="AB1192" s="56">
        <f>IF(AND(A1192="", B1192="", E1192=""), "", TEXTJOIN("; ", TRUE, IF(OR(TRIM(A1192&amp;"")="", ISNUMBER(SEARCH("FALTA", A1192))), "UPC faltante/inválido", ""), IF(AND(A1192&lt;&gt;"", IFERROR(_xlfn.XMATCH(A1192,$A$2:$A$2509,0,1)&lt;&gt;_xlfn.XMATCH(A1192,$A$2:$A$2509,0,-1),FALSE)), "Código de barras duplicado", ""), IF(AND(E1192&lt;&gt;"", COUNTIF($E$2:$E$2509, E1192)&gt;1), "SKU duplicado", ""), IF(OR(J1192="", J1192=""), "[Aviso] División no capturada ()", IF(ISNA(MATCH(J1192, Criterios!$A$123:$A$126, 0)), "División no válida", "")), IF(OR(K1192="", K1192=""), "[Aviso] Categoría no capturada ()", IF(ISNA(MATCH(K1192, Criterios!$A$81:$A$120, 0)), "Categoría no válida", IF(AND(J1192&lt;&gt;"", J1192&lt;&gt;"", J1192&lt;&gt;VLOOKUP(K1192, Criterios!$A$81:$B$120, 2, FALSE)), "División no coincide con Categoría", ""))), IF(OR(L1192="", L1192=""), "[Aviso] Género no capturado ()", IF(ISNA(MATCH(L1192, Criterios!$B$123:$B$127, 0)), "Género no válido", "")), IF(OR(N1192="", N1192=""), "[Aviso] Temporada no capturada ()", IF(ISNA(MATCH(N1192, Criterios!$C$123:$C$128, 0)), "Temporada no válida", "")), IF(OR(O1192="", O1192=""), "[Aviso] Ciclo de vida no capturado ()", IF(ISNA(MATCH(O1192, Criterios!$D$123:$D$124, 0)), "Ciclo de vida no válido", ""))))</f>
        <v/>
      </c>
      <c r="AC1192" s="56" t="n"/>
      <c r="AD1192" s="51" t="n">
        <v>0</v>
      </c>
      <c r="AE1192" s="156" t="inlineStr">
        <is>
          <t>STETSON AMERICAS (2)</t>
        </is>
      </c>
      <c r="AF1192" s="51" t="n">
        <v>2</v>
      </c>
      <c r="AG1192" s="156" t="inlineStr">
        <is>
          <t>Catálogo existente</t>
        </is>
      </c>
      <c r="AH1192" s="156" t="inlineStr">
        <is>
          <t>Revisión 29/09/2026: Campos sin respaldo: X; Auditoría NetSuite 30/09/2026: Silueta NetSuite vacía | 01/10/2026: complementado desde Shopify Stetson México (match por código de barras): WB Fit, WB Silueta</t>
        </is>
      </c>
      <c r="AI1192" s="156" t="inlineStr">
        <is>
          <t>Sí</t>
        </is>
      </c>
      <c r="AJ1192" s="156" t="inlineStr">
        <is>
          <t>PUNTO DE VENTA (-2)</t>
        </is>
      </c>
      <c r="AK1192" s="155" t="inlineStr">
        <is>
          <t>Criterios: I [Q] | Shopify Stetson: producto 15227650048363 / variante 53791837782379</t>
        </is>
      </c>
      <c r="AL1192" s="58" t="n">
        <v>10237.5</v>
      </c>
      <c r="AM1192" s="58" t="n">
        <v>24568.96552</v>
      </c>
      <c r="AN1192" s="155" t="inlineStr">
        <is>
          <t>Shopify Stetson México</t>
        </is>
      </c>
      <c r="AO1192" s="59" t="n">
        <v>2</v>
      </c>
      <c r="AP1192" s="59" t="n"/>
      <c r="AQ1192" s="59" t="n"/>
      <c r="AR1192" s="155" t="inlineStr">
        <is>
          <t>Shopify Stetson México › Stetson Americas: 2</t>
        </is>
      </c>
    </row>
    <row r="1193">
      <c r="A1193" s="50" t="inlineStr">
        <is>
          <t>717220928310</t>
        </is>
      </c>
      <c r="B1193" s="51" t="inlineStr">
        <is>
          <t>117562</t>
        </is>
      </c>
      <c r="C1193" s="156" t="inlineStr">
        <is>
          <t>Multimarca</t>
        </is>
      </c>
      <c r="D1193" s="156" t="inlineStr">
        <is>
          <t>SFPRES-484022</t>
        </is>
      </c>
      <c r="E1193" s="156" t="inlineStr">
        <is>
          <t>SFPRES-48402272</t>
        </is>
      </c>
      <c r="F1193" s="156" t="inlineStr">
        <is>
          <t>7 1/4</t>
        </is>
      </c>
      <c r="G1193" s="156" t="inlineStr">
        <is>
          <t>7 1/4</t>
        </is>
      </c>
      <c r="H1193" s="156" t="inlineStr">
        <is>
          <t>Stetson</t>
        </is>
      </c>
      <c r="I1193" s="156" t="inlineStr">
        <is>
          <t>Texana Stetson El Presidente Chocolate</t>
        </is>
      </c>
      <c r="J1193" s="156" t="inlineStr">
        <is>
          <t>Accesorios</t>
        </is>
      </c>
      <c r="K1193" s="156" t="inlineStr">
        <is>
          <t>Sombreros</t>
        </is>
      </c>
      <c r="L1193" s="156" t="inlineStr">
        <is>
          <t>Unisex</t>
        </is>
      </c>
      <c r="M1193" s="156" t="inlineStr">
        <is>
          <t>Stetson</t>
        </is>
      </c>
      <c r="N1193" s="156" t="inlineStr">
        <is>
          <t>FW26</t>
        </is>
      </c>
      <c r="O1193" s="156" t="inlineStr">
        <is>
          <t>Seasonal</t>
        </is>
      </c>
      <c r="P1193" s="156" t="inlineStr">
        <is>
          <t>Cafe</t>
        </is>
      </c>
      <c r="Q1193" s="156" t="n"/>
      <c r="R1193" s="156" t="inlineStr">
        <is>
          <t>Copa Cattleman</t>
        </is>
      </c>
      <c r="S1193" s="156" t="inlineStr">
        <is>
          <t>Fieltro de pelo 100X</t>
        </is>
      </c>
      <c r="T1193"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3" s="156" t="inlineStr">
        <is>
          <t>Estados Unidos</t>
        </is>
      </c>
      <c r="V1193" s="156" t="inlineStr">
        <is>
          <t>PZS</t>
        </is>
      </c>
      <c r="W1193" s="51" t="inlineStr">
        <is>
          <t>53102516</t>
        </is>
      </c>
      <c r="X1193" s="156" t="n"/>
      <c r="Y1193" s="54" t="n">
        <v>10237.5</v>
      </c>
      <c r="Z1193" s="54" t="n">
        <v>24568.96552</v>
      </c>
      <c r="AA1193" s="55">
        <f>IF(AND(A1193="", B1193="", E1193=""), "", IF(AB1193="", "Válido", IF((LEN(AB1193)-LEN(SUBSTITUTE(AB1193,"; ","")))/2+1&gt;(LEN(AB1193)-LEN(SUBSTITUTE(AB1193,"[Aviso]","")))/7, "Con Incidencias", "Válido")))</f>
        <v/>
      </c>
      <c r="AB1193" s="56">
        <f>IF(AND(A1193="", B1193="", E1193=""), "", TEXTJOIN("; ", TRUE, IF(OR(TRIM(A1193&amp;"")="", ISNUMBER(SEARCH("FALTA", A1193))), "UPC faltante/inválido", ""), IF(AND(A1193&lt;&gt;"", IFERROR(_xlfn.XMATCH(A1193,$A$2:$A$2509,0,1)&lt;&gt;_xlfn.XMATCH(A1193,$A$2:$A$2509,0,-1),FALSE)), "Código de barras duplicado", ""), IF(AND(E1193&lt;&gt;"", COUNTIF($E$2:$E$2509, E1193)&gt;1), "SKU duplicado", ""), IF(OR(J1193="", J1193=""), "[Aviso] División no capturada ()", IF(ISNA(MATCH(J1193, Criterios!$A$123:$A$126, 0)), "División no válida", "")), IF(OR(K1193="", K1193=""), "[Aviso] Categoría no capturada ()", IF(ISNA(MATCH(K1193, Criterios!$A$81:$A$120, 0)), "Categoría no válida", IF(AND(J1193&lt;&gt;"", J1193&lt;&gt;"", J1193&lt;&gt;VLOOKUP(K1193, Criterios!$A$81:$B$120, 2, FALSE)), "División no coincide con Categoría", ""))), IF(OR(L1193="", L1193=""), "[Aviso] Género no capturado ()", IF(ISNA(MATCH(L1193, Criterios!$B$123:$B$127, 0)), "Género no válido", "")), IF(OR(N1193="", N1193=""), "[Aviso] Temporada no capturada ()", IF(ISNA(MATCH(N1193, Criterios!$C$123:$C$128, 0)), "Temporada no válida", "")), IF(OR(O1193="", O1193=""), "[Aviso] Ciclo de vida no capturado ()", IF(ISNA(MATCH(O1193, Criterios!$D$123:$D$124, 0)), "Ciclo de vida no válido", ""))))</f>
        <v/>
      </c>
      <c r="AC1193" s="56" t="n"/>
      <c r="AD1193" s="51" t="n">
        <v>0</v>
      </c>
      <c r="AE1193" s="156" t="inlineStr">
        <is>
          <t>STETSON AMERICAS (2)</t>
        </is>
      </c>
      <c r="AF1193" s="51" t="n">
        <v>2</v>
      </c>
      <c r="AG1193" s="156" t="inlineStr">
        <is>
          <t>Catálogo existente</t>
        </is>
      </c>
      <c r="AH1193" s="156" t="inlineStr">
        <is>
          <t>Revisión 29/09/2026: Campos sin respaldo: X; Auditoría NetSuite 30/09/2026: Silueta NetSuite vacía | 01/10/2026: complementado desde Shopify Stetson México (match por código de barras): WB Fit, WB Silueta</t>
        </is>
      </c>
      <c r="AI1193" s="156" t="inlineStr">
        <is>
          <t>Sí</t>
        </is>
      </c>
      <c r="AJ1193" s="156" t="inlineStr">
        <is>
          <t>PUNTO DE VENTA (-2)</t>
        </is>
      </c>
      <c r="AK1193" s="155" t="inlineStr">
        <is>
          <t>Criterios: I [Q] | Shopify Stetson: producto 15227650048363 / variante 53791837815147</t>
        </is>
      </c>
      <c r="AL1193" s="58" t="n">
        <v>10237.5</v>
      </c>
      <c r="AM1193" s="58" t="n">
        <v>24568.96552</v>
      </c>
      <c r="AN1193" s="155" t="inlineStr">
        <is>
          <t>Shopify Stetson México</t>
        </is>
      </c>
      <c r="AO1193" s="59" t="n">
        <v>2</v>
      </c>
      <c r="AP1193" s="59" t="n"/>
      <c r="AQ1193" s="59" t="n"/>
      <c r="AR1193" s="155" t="inlineStr">
        <is>
          <t>Shopify Stetson México › Stetson Americas: 2</t>
        </is>
      </c>
    </row>
    <row r="1194">
      <c r="A1194" s="50" t="inlineStr">
        <is>
          <t>717220928327</t>
        </is>
      </c>
      <c r="B1194" s="51" t="inlineStr">
        <is>
          <t>117561</t>
        </is>
      </c>
      <c r="C1194" s="156" t="inlineStr">
        <is>
          <t>Multimarca</t>
        </is>
      </c>
      <c r="D1194" s="156" t="inlineStr">
        <is>
          <t>SFPRES-484022</t>
        </is>
      </c>
      <c r="E1194" s="156" t="inlineStr">
        <is>
          <t>SFPRES-48402273</t>
        </is>
      </c>
      <c r="F1194" s="156" t="inlineStr">
        <is>
          <t>7 3/8</t>
        </is>
      </c>
      <c r="G1194" s="156" t="inlineStr">
        <is>
          <t>7 3/8</t>
        </is>
      </c>
      <c r="H1194" s="156" t="inlineStr">
        <is>
          <t>Stetson</t>
        </is>
      </c>
      <c r="I1194" s="156" t="inlineStr">
        <is>
          <t>Texana Stetson El Presidente Chocolate</t>
        </is>
      </c>
      <c r="J1194" s="156" t="inlineStr">
        <is>
          <t>Accesorios</t>
        </is>
      </c>
      <c r="K1194" s="156" t="inlineStr">
        <is>
          <t>Sombreros</t>
        </is>
      </c>
      <c r="L1194" s="156" t="inlineStr">
        <is>
          <t>Unisex</t>
        </is>
      </c>
      <c r="M1194" s="156" t="inlineStr">
        <is>
          <t>Stetson</t>
        </is>
      </c>
      <c r="N1194" s="156" t="inlineStr">
        <is>
          <t>FW26</t>
        </is>
      </c>
      <c r="O1194" s="156" t="inlineStr">
        <is>
          <t>Seasonal</t>
        </is>
      </c>
      <c r="P1194" s="156" t="inlineStr">
        <is>
          <t>Cafe</t>
        </is>
      </c>
      <c r="Q1194" s="156" t="n"/>
      <c r="R1194" s="156" t="inlineStr">
        <is>
          <t>Copa Cattleman</t>
        </is>
      </c>
      <c r="S1194" s="156" t="inlineStr">
        <is>
          <t>Fieltro de pelo 100X</t>
        </is>
      </c>
      <c r="T1194"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4" s="156" t="inlineStr">
        <is>
          <t>Estados Unidos</t>
        </is>
      </c>
      <c r="V1194" s="156" t="inlineStr">
        <is>
          <t>PZS</t>
        </is>
      </c>
      <c r="W1194" s="51" t="inlineStr">
        <is>
          <t>53102516</t>
        </is>
      </c>
      <c r="X1194" s="156" t="n"/>
      <c r="Y1194" s="54" t="n">
        <v>10237.5</v>
      </c>
      <c r="Z1194" s="54" t="n">
        <v>24568.96552</v>
      </c>
      <c r="AA1194" s="55">
        <f>IF(AND(A1194="", B1194="", E1194=""), "", IF(AB1194="", "Válido", IF((LEN(AB1194)-LEN(SUBSTITUTE(AB1194,"; ","")))/2+1&gt;(LEN(AB1194)-LEN(SUBSTITUTE(AB1194,"[Aviso]","")))/7, "Con Incidencias", "Válido")))</f>
        <v/>
      </c>
      <c r="AB1194" s="56">
        <f>IF(AND(A1194="", B1194="", E1194=""), "", TEXTJOIN("; ", TRUE, IF(OR(TRIM(A1194&amp;"")="", ISNUMBER(SEARCH("FALTA", A1194))), "UPC faltante/inválido", ""), IF(AND(A1194&lt;&gt;"", IFERROR(_xlfn.XMATCH(A1194,$A$2:$A$2509,0,1)&lt;&gt;_xlfn.XMATCH(A1194,$A$2:$A$2509,0,-1),FALSE)), "Código de barras duplicado", ""), IF(AND(E1194&lt;&gt;"", COUNTIF($E$2:$E$2509, E1194)&gt;1), "SKU duplicado", ""), IF(OR(J1194="", J1194=""), "[Aviso] División no capturada ()", IF(ISNA(MATCH(J1194, Criterios!$A$123:$A$126, 0)), "División no válida", "")), IF(OR(K1194="", K1194=""), "[Aviso] Categoría no capturada ()", IF(ISNA(MATCH(K1194, Criterios!$A$81:$A$120, 0)), "Categoría no válida", IF(AND(J1194&lt;&gt;"", J1194&lt;&gt;"", J1194&lt;&gt;VLOOKUP(K1194, Criterios!$A$81:$B$120, 2, FALSE)), "División no coincide con Categoría", ""))), IF(OR(L1194="", L1194=""), "[Aviso] Género no capturado ()", IF(ISNA(MATCH(L1194, Criterios!$B$123:$B$127, 0)), "Género no válido", "")), IF(OR(N1194="", N1194=""), "[Aviso] Temporada no capturada ()", IF(ISNA(MATCH(N1194, Criterios!$C$123:$C$128, 0)), "Temporada no válida", "")), IF(OR(O1194="", O1194=""), "[Aviso] Ciclo de vida no capturado ()", IF(ISNA(MATCH(O1194, Criterios!$D$123:$D$124, 0)), "Ciclo de vida no válido", ""))))</f>
        <v/>
      </c>
      <c r="AC1194" s="56" t="n"/>
      <c r="AD1194" s="51" t="n">
        <v>0</v>
      </c>
      <c r="AE1194" s="156" t="inlineStr">
        <is>
          <t>STETSON AMERICAS (1)</t>
        </is>
      </c>
      <c r="AF1194" s="51" t="n">
        <v>1</v>
      </c>
      <c r="AG1194" s="156" t="inlineStr">
        <is>
          <t>Catálogo existente</t>
        </is>
      </c>
      <c r="AH1194" s="156" t="inlineStr">
        <is>
          <t>Revisión 29/09/2026: Campos sin respaldo: X; Auditoría NetSuite 30/09/2026: Silueta NetSuite vacía | 01/10/2026: complementado desde Shopify Stetson México (match por código de barras): WB Fit, WB Silueta</t>
        </is>
      </c>
      <c r="AI1194" s="156" t="inlineStr">
        <is>
          <t>Sí</t>
        </is>
      </c>
      <c r="AJ1194" s="156" t="inlineStr">
        <is>
          <t>PUNTO DE VENTA (-1)</t>
        </is>
      </c>
      <c r="AK1194" s="155" t="inlineStr">
        <is>
          <t>Criterios: I [Q] | Shopify Stetson: producto 15227650048363 / variante 53791837847915</t>
        </is>
      </c>
      <c r="AL1194" s="58" t="n">
        <v>10237.5</v>
      </c>
      <c r="AM1194" s="58" t="n">
        <v>24568.96552</v>
      </c>
      <c r="AN1194" s="155" t="inlineStr">
        <is>
          <t>Shopify Stetson México</t>
        </is>
      </c>
      <c r="AO1194" s="59" t="n">
        <v>1</v>
      </c>
      <c r="AP1194" s="59" t="n"/>
      <c r="AQ1194" s="59" t="n"/>
      <c r="AR1194" s="155" t="inlineStr">
        <is>
          <t>Shopify Stetson México › Stetson Americas: 1</t>
        </is>
      </c>
    </row>
    <row r="1195">
      <c r="A1195" s="50" t="inlineStr">
        <is>
          <t>719280016051</t>
        </is>
      </c>
      <c r="B1195" s="51" t="inlineStr">
        <is>
          <t>110205</t>
        </is>
      </c>
      <c r="C1195" s="156" t="inlineStr">
        <is>
          <t>Multimarca</t>
        </is>
      </c>
      <c r="D1195" s="156" t="inlineStr">
        <is>
          <t>SSRNCHK013481</t>
        </is>
      </c>
      <c r="E1195" s="156" t="inlineStr">
        <is>
          <t>SSRNCHK01348167</t>
        </is>
      </c>
      <c r="F1195" s="156" t="inlineStr">
        <is>
          <t>6 7/8</t>
        </is>
      </c>
      <c r="G1195" s="156" t="inlineStr">
        <is>
          <t>6 7/8</t>
        </is>
      </c>
      <c r="H1195" s="156" t="inlineStr">
        <is>
          <t>Stetson</t>
        </is>
      </c>
      <c r="I1195" s="156" t="inlineStr">
        <is>
          <t>Sombrero Stetson Rancher 81 Negro Eye Natural</t>
        </is>
      </c>
      <c r="J1195" s="156" t="inlineStr">
        <is>
          <t>Accesorios</t>
        </is>
      </c>
      <c r="K1195" s="156" t="inlineStr">
        <is>
          <t>Sombreros</t>
        </is>
      </c>
      <c r="L1195" s="156" t="inlineStr">
        <is>
          <t>Unisex</t>
        </is>
      </c>
      <c r="M1195" s="156" t="inlineStr">
        <is>
          <t>Stetson</t>
        </is>
      </c>
      <c r="N1195" s="156" t="inlineStr">
        <is>
          <t>SS26</t>
        </is>
      </c>
      <c r="O1195" s="156" t="inlineStr">
        <is>
          <t>Seasonal</t>
        </is>
      </c>
      <c r="P1195" s="156" t="inlineStr">
        <is>
          <t>Beige</t>
        </is>
      </c>
      <c r="Q1195" s="156" t="n"/>
      <c r="R1195" s="156" t="inlineStr">
        <is>
          <t>Copa Rancher</t>
        </is>
      </c>
      <c r="S1195" s="156" t="inlineStr">
        <is>
          <t>100% Paja</t>
        </is>
      </c>
      <c r="T1195"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5" s="156" t="inlineStr">
        <is>
          <t>Estados Unidos</t>
        </is>
      </c>
      <c r="V1195" s="156" t="inlineStr">
        <is>
          <t>PZS</t>
        </is>
      </c>
      <c r="W1195" s="51" t="inlineStr">
        <is>
          <t>53102503</t>
        </is>
      </c>
      <c r="X1195" s="156" t="inlineStr">
        <is>
          <t>https://cdn.shopify.com/s/files/1/0888/3250/8267/files/SSRNCHK0140-81-65-01_f64f99ff-3d5f-4f1b-85c3-d5ad0a90c4e8.png?v=1760382208</t>
        </is>
      </c>
      <c r="Y1195" s="54" t="n">
        <v>1260</v>
      </c>
      <c r="Z1195" s="54" t="n">
        <v>3103.448276</v>
      </c>
      <c r="AA1195" s="55">
        <f>IF(AND(A1195="", B1195="", E1195=""), "", IF(AB1195="", "Válido", IF((LEN(AB1195)-LEN(SUBSTITUTE(AB1195,"; ","")))/2+1&gt;(LEN(AB1195)-LEN(SUBSTITUTE(AB1195,"[Aviso]","")))/7, "Con Incidencias", "Válido")))</f>
        <v/>
      </c>
      <c r="AB1195" s="56">
        <f>IF(AND(A1195="", B1195="", E1195=""), "", TEXTJOIN("; ", TRUE, IF(OR(TRIM(A1195&amp;"")="", ISNUMBER(SEARCH("FALTA", A1195))), "UPC faltante/inválido", ""), IF(AND(A1195&lt;&gt;"", IFERROR(_xlfn.XMATCH(A1195,$A$2:$A$2509,0,1)&lt;&gt;_xlfn.XMATCH(A1195,$A$2:$A$2509,0,-1),FALSE)), "Código de barras duplicado", ""), IF(AND(E1195&lt;&gt;"", COUNTIF($E$2:$E$2509, E1195)&gt;1), "SKU duplicado", ""), IF(OR(J1195="", J1195=""), "[Aviso] División no capturada ()", IF(ISNA(MATCH(J1195, Criterios!$A$123:$A$126, 0)), "División no válida", "")), IF(OR(K1195="", K1195=""), "[Aviso] Categoría no capturada ()", IF(ISNA(MATCH(K1195, Criterios!$A$81:$A$120, 0)), "Categoría no válida", IF(AND(J1195&lt;&gt;"", J1195&lt;&gt;"", J1195&lt;&gt;VLOOKUP(K1195, Criterios!$A$81:$B$120, 2, FALSE)), "División no coincide con Categoría", ""))), IF(OR(L1195="", L1195=""), "[Aviso] Género no capturado ()", IF(ISNA(MATCH(L1195, Criterios!$B$123:$B$127, 0)), "Género no válido", "")), IF(OR(N1195="", N1195=""), "[Aviso] Temporada no capturada ()", IF(ISNA(MATCH(N1195, Criterios!$C$123:$C$128, 0)), "Temporada no válida", "")), IF(OR(O1195="", O1195=""), "[Aviso] Ciclo de vida no capturado ()", IF(ISNA(MATCH(O1195, Criterios!$D$123:$D$124, 0)), "Ciclo de vida no válido", ""))))</f>
        <v/>
      </c>
      <c r="AC1195" s="56" t="n"/>
      <c r="AD1195" s="51" t="n">
        <v>-1</v>
      </c>
      <c r="AE1195" s="156" t="n"/>
      <c r="AF1195" s="51" t="n">
        <v>0</v>
      </c>
      <c r="AG1195" s="156" t="inlineStr">
        <is>
          <t>Catálogo existente</t>
        </is>
      </c>
      <c r="AH119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5" s="156" t="inlineStr">
        <is>
          <t>Sí</t>
        </is>
      </c>
      <c r="AJ1195" s="156" t="inlineStr">
        <is>
          <t>STETSON AMERICAS (-1)</t>
        </is>
      </c>
      <c r="AK1195" s="155" t="inlineStr">
        <is>
          <t>Criterios: I [Q] | Shopify Stetson: producto 14791369523563 / variante 53350603030891</t>
        </is>
      </c>
      <c r="AL1195" s="58" t="n">
        <v>1260</v>
      </c>
      <c r="AM1195" s="58" t="n">
        <v>3103.448276</v>
      </c>
      <c r="AN1195" s="155" t="inlineStr">
        <is>
          <t>Shopify Stetson México</t>
        </is>
      </c>
      <c r="AO1195" s="59" t="n">
        <v>0</v>
      </c>
      <c r="AP1195" s="59" t="n"/>
      <c r="AQ1195" s="59" t="n"/>
      <c r="AR1195" s="155" t="n"/>
    </row>
    <row r="1196">
      <c r="A1196" s="50" t="inlineStr">
        <is>
          <t>719280016068</t>
        </is>
      </c>
      <c r="B1196" s="51" t="inlineStr">
        <is>
          <t>110206</t>
        </is>
      </c>
      <c r="C1196" s="156" t="inlineStr">
        <is>
          <t>Multimarca</t>
        </is>
      </c>
      <c r="D1196" s="156" t="inlineStr">
        <is>
          <t>SSRNCHK013481</t>
        </is>
      </c>
      <c r="E1196" s="156" t="inlineStr">
        <is>
          <t>SSRNCHK01348170</t>
        </is>
      </c>
      <c r="F1196" s="156" t="inlineStr">
        <is>
          <t>7</t>
        </is>
      </c>
      <c r="G1196" s="156" t="inlineStr">
        <is>
          <t>7</t>
        </is>
      </c>
      <c r="H1196" s="156" t="inlineStr">
        <is>
          <t>Stetson</t>
        </is>
      </c>
      <c r="I1196" s="156" t="inlineStr">
        <is>
          <t>Sombrero Stetson Rancher 81 Negro Eye Natural</t>
        </is>
      </c>
      <c r="J1196" s="156" t="inlineStr">
        <is>
          <t>Accesorios</t>
        </is>
      </c>
      <c r="K1196" s="156" t="inlineStr">
        <is>
          <t>Sombreros</t>
        </is>
      </c>
      <c r="L1196" s="156" t="inlineStr">
        <is>
          <t>Unisex</t>
        </is>
      </c>
      <c r="M1196" s="156" t="inlineStr">
        <is>
          <t>Stetson</t>
        </is>
      </c>
      <c r="N1196" s="156" t="inlineStr">
        <is>
          <t>SS26</t>
        </is>
      </c>
      <c r="O1196" s="156" t="inlineStr">
        <is>
          <t>Seasonal</t>
        </is>
      </c>
      <c r="P1196" s="156" t="inlineStr">
        <is>
          <t>Beige</t>
        </is>
      </c>
      <c r="Q1196" s="156" t="n"/>
      <c r="R1196" s="156" t="inlineStr">
        <is>
          <t>Copa Rancher</t>
        </is>
      </c>
      <c r="S1196" s="156" t="inlineStr">
        <is>
          <t>100% Paja</t>
        </is>
      </c>
      <c r="T1196"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6" s="156" t="inlineStr">
        <is>
          <t>Estados Unidos</t>
        </is>
      </c>
      <c r="V1196" s="156" t="inlineStr">
        <is>
          <t>PZS</t>
        </is>
      </c>
      <c r="W1196" s="51" t="inlineStr">
        <is>
          <t>53102503</t>
        </is>
      </c>
      <c r="X1196" s="156" t="inlineStr">
        <is>
          <t>https://cdn.shopify.com/s/files/1/0888/3250/8267/files/SSRNCHK0140-81-65-03_f1d4aaef-a80d-4eb3-b697-dd043ad8c5a1.png?v=1760382251</t>
        </is>
      </c>
      <c r="Y1196" s="54" t="n">
        <v>1260</v>
      </c>
      <c r="Z1196" s="54" t="n">
        <v>3103.448276</v>
      </c>
      <c r="AA1196" s="55">
        <f>IF(AND(A1196="", B1196="", E1196=""), "", IF(AB1196="", "Válido", IF((LEN(AB1196)-LEN(SUBSTITUTE(AB1196,"; ","")))/2+1&gt;(LEN(AB1196)-LEN(SUBSTITUTE(AB1196,"[Aviso]","")))/7, "Con Incidencias", "Válido")))</f>
        <v/>
      </c>
      <c r="AB1196" s="56">
        <f>IF(AND(A1196="", B1196="", E1196=""), "", TEXTJOIN("; ", TRUE, IF(OR(TRIM(A1196&amp;"")="", ISNUMBER(SEARCH("FALTA", A1196))), "UPC faltante/inválido", ""), IF(AND(A1196&lt;&gt;"", IFERROR(_xlfn.XMATCH(A1196,$A$2:$A$2509,0,1)&lt;&gt;_xlfn.XMATCH(A1196,$A$2:$A$2509,0,-1),FALSE)), "Código de barras duplicado", ""), IF(AND(E1196&lt;&gt;"", COUNTIF($E$2:$E$2509, E1196)&gt;1), "SKU duplicado", ""), IF(OR(J1196="", J1196=""), "[Aviso] División no capturada ()", IF(ISNA(MATCH(J1196, Criterios!$A$123:$A$126, 0)), "División no válida", "")), IF(OR(K1196="", K1196=""), "[Aviso] Categoría no capturada ()", IF(ISNA(MATCH(K1196, Criterios!$A$81:$A$120, 0)), "Categoría no válida", IF(AND(J1196&lt;&gt;"", J1196&lt;&gt;"", J1196&lt;&gt;VLOOKUP(K1196, Criterios!$A$81:$B$120, 2, FALSE)), "División no coincide con Categoría", ""))), IF(OR(L1196="", L1196=""), "[Aviso] Género no capturado ()", IF(ISNA(MATCH(L1196, Criterios!$B$123:$B$127, 0)), "Género no válido", "")), IF(OR(N1196="", N1196=""), "[Aviso] Temporada no capturada ()", IF(ISNA(MATCH(N1196, Criterios!$C$123:$C$128, 0)), "Temporada no válida", "")), IF(OR(O1196="", O1196=""), "[Aviso] Ciclo de vida no capturado ()", IF(ISNA(MATCH(O1196, Criterios!$D$123:$D$124, 0)), "Ciclo de vida no válido", ""))))</f>
        <v/>
      </c>
      <c r="AC1196" s="56" t="n"/>
      <c r="AD1196" s="51" t="n">
        <v>-1</v>
      </c>
      <c r="AE1196" s="156" t="n"/>
      <c r="AF1196" s="51" t="n">
        <v>0</v>
      </c>
      <c r="AG1196" s="156" t="inlineStr">
        <is>
          <t>Catálogo existente</t>
        </is>
      </c>
      <c r="AH119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6" s="156" t="inlineStr">
        <is>
          <t>Sí</t>
        </is>
      </c>
      <c r="AJ1196" s="156" t="inlineStr">
        <is>
          <t>STETSON AMERICAS (-1)</t>
        </is>
      </c>
      <c r="AK1196" s="155" t="inlineStr">
        <is>
          <t>Criterios: I [Q] | Shopify Stetson: producto 14791369523563 / variante 53350603063659</t>
        </is>
      </c>
      <c r="AL1196" s="58" t="n">
        <v>1260</v>
      </c>
      <c r="AM1196" s="58" t="n">
        <v>3103.448276</v>
      </c>
      <c r="AN1196" s="155" t="inlineStr">
        <is>
          <t>Shopify Stetson México</t>
        </is>
      </c>
      <c r="AO1196" s="59" t="n">
        <v>0</v>
      </c>
      <c r="AP1196" s="59" t="n"/>
      <c r="AQ1196" s="59" t="n"/>
      <c r="AR1196" s="155" t="n"/>
    </row>
    <row r="1197">
      <c r="A1197" s="50" t="inlineStr">
        <is>
          <t>719280016075</t>
        </is>
      </c>
      <c r="B1197" s="51" t="inlineStr">
        <is>
          <t>110207</t>
        </is>
      </c>
      <c r="C1197" s="156" t="inlineStr">
        <is>
          <t>Multimarca</t>
        </is>
      </c>
      <c r="D1197" s="156" t="inlineStr">
        <is>
          <t>SSRNCHK013481</t>
        </is>
      </c>
      <c r="E1197" s="156" t="inlineStr">
        <is>
          <t>SSRNCHK01348171</t>
        </is>
      </c>
      <c r="F1197" s="156" t="inlineStr">
        <is>
          <t>7 1/8</t>
        </is>
      </c>
      <c r="G1197" s="156" t="inlineStr">
        <is>
          <t>7 1/8</t>
        </is>
      </c>
      <c r="H1197" s="156" t="inlineStr">
        <is>
          <t>Stetson</t>
        </is>
      </c>
      <c r="I1197" s="156" t="inlineStr">
        <is>
          <t>Sombrero Stetson Rancher 81 Negro Eye Natural</t>
        </is>
      </c>
      <c r="J1197" s="156" t="inlineStr">
        <is>
          <t>Accesorios</t>
        </is>
      </c>
      <c r="K1197" s="156" t="inlineStr">
        <is>
          <t>Sombreros</t>
        </is>
      </c>
      <c r="L1197" s="156" t="inlineStr">
        <is>
          <t>Unisex</t>
        </is>
      </c>
      <c r="M1197" s="156" t="inlineStr">
        <is>
          <t>Stetson</t>
        </is>
      </c>
      <c r="N1197" s="156" t="inlineStr">
        <is>
          <t>SS26</t>
        </is>
      </c>
      <c r="O1197" s="156" t="inlineStr">
        <is>
          <t>Seasonal</t>
        </is>
      </c>
      <c r="P1197" s="156" t="inlineStr">
        <is>
          <t>Beige</t>
        </is>
      </c>
      <c r="Q1197" s="156" t="n"/>
      <c r="R1197" s="156" t="inlineStr">
        <is>
          <t>Copa Rancher</t>
        </is>
      </c>
      <c r="S1197" s="156" t="inlineStr">
        <is>
          <t>100% Paja</t>
        </is>
      </c>
      <c r="T1197"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7" s="156" t="inlineStr">
        <is>
          <t>Estados Unidos</t>
        </is>
      </c>
      <c r="V1197" s="156" t="inlineStr">
        <is>
          <t>PZS</t>
        </is>
      </c>
      <c r="W1197" s="51" t="inlineStr">
        <is>
          <t>53102503</t>
        </is>
      </c>
      <c r="X1197" s="156" t="inlineStr">
        <is>
          <t>https://cdn.shopify.com/s/files/1/0888/3250/8267/files/SSRNCHK0140-81-65-02_6773d743-f91f-49ed-8315-b4e2814ce7ec.png?v=1760382251</t>
        </is>
      </c>
      <c r="Y1197" s="54" t="n">
        <v>1260</v>
      </c>
      <c r="Z1197" s="54" t="n">
        <v>3103.448276</v>
      </c>
      <c r="AA1197" s="55">
        <f>IF(AND(A1197="", B1197="", E1197=""), "", IF(AB1197="", "Válido", IF((LEN(AB1197)-LEN(SUBSTITUTE(AB1197,"; ","")))/2+1&gt;(LEN(AB1197)-LEN(SUBSTITUTE(AB1197,"[Aviso]","")))/7, "Con Incidencias", "Válido")))</f>
        <v/>
      </c>
      <c r="AB1197" s="56">
        <f>IF(AND(A1197="", B1197="", E1197=""), "", TEXTJOIN("; ", TRUE, IF(OR(TRIM(A1197&amp;"")="", ISNUMBER(SEARCH("FALTA", A1197))), "UPC faltante/inválido", ""), IF(AND(A1197&lt;&gt;"", IFERROR(_xlfn.XMATCH(A1197,$A$2:$A$2509,0,1)&lt;&gt;_xlfn.XMATCH(A1197,$A$2:$A$2509,0,-1),FALSE)), "Código de barras duplicado", ""), IF(AND(E1197&lt;&gt;"", COUNTIF($E$2:$E$2509, E1197)&gt;1), "SKU duplicado", ""), IF(OR(J1197="", J1197=""), "[Aviso] División no capturada ()", IF(ISNA(MATCH(J1197, Criterios!$A$123:$A$126, 0)), "División no válida", "")), IF(OR(K1197="", K1197=""), "[Aviso] Categoría no capturada ()", IF(ISNA(MATCH(K1197, Criterios!$A$81:$A$120, 0)), "Categoría no válida", IF(AND(J1197&lt;&gt;"", J1197&lt;&gt;"", J1197&lt;&gt;VLOOKUP(K1197, Criterios!$A$81:$B$120, 2, FALSE)), "División no coincide con Categoría", ""))), IF(OR(L1197="", L1197=""), "[Aviso] Género no capturado ()", IF(ISNA(MATCH(L1197, Criterios!$B$123:$B$127, 0)), "Género no válido", "")), IF(OR(N1197="", N1197=""), "[Aviso] Temporada no capturada ()", IF(ISNA(MATCH(N1197, Criterios!$C$123:$C$128, 0)), "Temporada no válida", "")), IF(OR(O1197="", O1197=""), "[Aviso] Ciclo de vida no capturado ()", IF(ISNA(MATCH(O1197, Criterios!$D$123:$D$124, 0)), "Ciclo de vida no válido", ""))))</f>
        <v/>
      </c>
      <c r="AC1197" s="56" t="n"/>
      <c r="AD1197" s="51" t="n">
        <v>0</v>
      </c>
      <c r="AE1197" s="156" t="n"/>
      <c r="AF1197" s="51" t="n">
        <v>0</v>
      </c>
      <c r="AG1197" s="156" t="inlineStr">
        <is>
          <t>Catálogo existente</t>
        </is>
      </c>
      <c r="AH119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97" s="156" t="inlineStr">
        <is>
          <t>No</t>
        </is>
      </c>
      <c r="AJ1197" s="156" t="n"/>
      <c r="AK1197" s="155" t="inlineStr">
        <is>
          <t>Criterios: I [Q] | Shopify Stetson: producto 14791369523563 / variante 53350603096427</t>
        </is>
      </c>
      <c r="AL1197" s="58" t="n">
        <v>1260</v>
      </c>
      <c r="AM1197" s="58" t="n">
        <v>3103.448276</v>
      </c>
      <c r="AN1197" s="155" t="inlineStr">
        <is>
          <t>Shopify Stetson México</t>
        </is>
      </c>
      <c r="AO1197" s="59" t="n">
        <v>0</v>
      </c>
      <c r="AP1197" s="59" t="n"/>
      <c r="AQ1197" s="59" t="n"/>
      <c r="AR1197" s="155" t="n"/>
    </row>
    <row r="1198">
      <c r="A1198" s="50" t="inlineStr">
        <is>
          <t>719280016082</t>
        </is>
      </c>
      <c r="B1198" s="51" t="inlineStr">
        <is>
          <t>110208</t>
        </is>
      </c>
      <c r="C1198" s="156" t="inlineStr">
        <is>
          <t>Multimarca</t>
        </is>
      </c>
      <c r="D1198" s="156" t="inlineStr">
        <is>
          <t>SSRNCHK013481</t>
        </is>
      </c>
      <c r="E1198" s="156" t="inlineStr">
        <is>
          <t>SSRNCHK01348172</t>
        </is>
      </c>
      <c r="F1198" s="156" t="inlineStr">
        <is>
          <t>7 1/4</t>
        </is>
      </c>
      <c r="G1198" s="156" t="inlineStr">
        <is>
          <t>7 1/4</t>
        </is>
      </c>
      <c r="H1198" s="156" t="inlineStr">
        <is>
          <t>Stetson</t>
        </is>
      </c>
      <c r="I1198" s="156" t="inlineStr">
        <is>
          <t>Sombrero Stetson Rancher 81 Negro Eye Natural</t>
        </is>
      </c>
      <c r="J1198" s="156" t="inlineStr">
        <is>
          <t>Accesorios</t>
        </is>
      </c>
      <c r="K1198" s="156" t="inlineStr">
        <is>
          <t>Sombreros</t>
        </is>
      </c>
      <c r="L1198" s="156" t="inlineStr">
        <is>
          <t>Unisex</t>
        </is>
      </c>
      <c r="M1198" s="156" t="inlineStr">
        <is>
          <t>Stetson</t>
        </is>
      </c>
      <c r="N1198" s="156" t="inlineStr">
        <is>
          <t>SS26</t>
        </is>
      </c>
      <c r="O1198" s="156" t="inlineStr">
        <is>
          <t>Seasonal</t>
        </is>
      </c>
      <c r="P1198" s="156" t="inlineStr">
        <is>
          <t>Beige</t>
        </is>
      </c>
      <c r="Q1198" s="156" t="n"/>
      <c r="R1198" s="156" t="inlineStr">
        <is>
          <t>Copa Rancher</t>
        </is>
      </c>
      <c r="S1198" s="156" t="inlineStr">
        <is>
          <t>100% Paja</t>
        </is>
      </c>
      <c r="T1198"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8" s="156" t="inlineStr">
        <is>
          <t>Estados Unidos</t>
        </is>
      </c>
      <c r="V1198" s="156" t="inlineStr">
        <is>
          <t>PZS</t>
        </is>
      </c>
      <c r="W1198" s="51" t="inlineStr">
        <is>
          <t>53102503</t>
        </is>
      </c>
      <c r="X1198" s="156" t="inlineStr">
        <is>
          <t>https://cdn.shopify.com/s/files/1/0888/3250/8267/files/SSRNCHK0140-81-65-04_078f8567-ad67-4c9b-8c3c-b9edc16f9c01.png?v=1760382209</t>
        </is>
      </c>
      <c r="Y1198" s="54" t="n">
        <v>1260</v>
      </c>
      <c r="Z1198" s="54" t="n">
        <v>3103.448276</v>
      </c>
      <c r="AA1198" s="55">
        <f>IF(AND(A1198="", B1198="", E1198=""), "", IF(AB1198="", "Válido", IF((LEN(AB1198)-LEN(SUBSTITUTE(AB1198,"; ","")))/2+1&gt;(LEN(AB1198)-LEN(SUBSTITUTE(AB1198,"[Aviso]","")))/7, "Con Incidencias", "Válido")))</f>
        <v/>
      </c>
      <c r="AB1198" s="56">
        <f>IF(AND(A1198="", B1198="", E1198=""), "", TEXTJOIN("; ", TRUE, IF(OR(TRIM(A1198&amp;"")="", ISNUMBER(SEARCH("FALTA", A1198))), "UPC faltante/inválido", ""), IF(AND(A1198&lt;&gt;"", IFERROR(_xlfn.XMATCH(A1198,$A$2:$A$2509,0,1)&lt;&gt;_xlfn.XMATCH(A1198,$A$2:$A$2509,0,-1),FALSE)), "Código de barras duplicado", ""), IF(AND(E1198&lt;&gt;"", COUNTIF($E$2:$E$2509, E1198)&gt;1), "SKU duplicado", ""), IF(OR(J1198="", J1198=""), "[Aviso] División no capturada ()", IF(ISNA(MATCH(J1198, Criterios!$A$123:$A$126, 0)), "División no válida", "")), IF(OR(K1198="", K1198=""), "[Aviso] Categoría no capturada ()", IF(ISNA(MATCH(K1198, Criterios!$A$81:$A$120, 0)), "Categoría no válida", IF(AND(J1198&lt;&gt;"", J1198&lt;&gt;"", J1198&lt;&gt;VLOOKUP(K1198, Criterios!$A$81:$B$120, 2, FALSE)), "División no coincide con Categoría", ""))), IF(OR(L1198="", L1198=""), "[Aviso] Género no capturado ()", IF(ISNA(MATCH(L1198, Criterios!$B$123:$B$127, 0)), "Género no válido", "")), IF(OR(N1198="", N1198=""), "[Aviso] Temporada no capturada ()", IF(ISNA(MATCH(N1198, Criterios!$C$123:$C$128, 0)), "Temporada no válida", "")), IF(OR(O1198="", O1198=""), "[Aviso] Ciclo de vida no capturado ()", IF(ISNA(MATCH(O1198, Criterios!$D$123:$D$124, 0)), "Ciclo de vida no válido", ""))))</f>
        <v/>
      </c>
      <c r="AC1198" s="56" t="n"/>
      <c r="AD1198" s="51" t="n">
        <v>-1</v>
      </c>
      <c r="AE1198" s="156" t="n"/>
      <c r="AF1198" s="51" t="n">
        <v>0</v>
      </c>
      <c r="AG1198" s="156" t="inlineStr">
        <is>
          <t>Catálogo existente</t>
        </is>
      </c>
      <c r="AH119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8" s="156" t="inlineStr">
        <is>
          <t>Sí</t>
        </is>
      </c>
      <c r="AJ1198" s="156" t="inlineStr">
        <is>
          <t>STETSON AMERICAS (-1)</t>
        </is>
      </c>
      <c r="AK1198" s="155" t="inlineStr">
        <is>
          <t>Criterios: I [Q] | Shopify Stetson: producto 14791369523563 / variante 53350603129195</t>
        </is>
      </c>
      <c r="AL1198" s="58" t="n">
        <v>1260</v>
      </c>
      <c r="AM1198" s="58" t="n">
        <v>3103.448276</v>
      </c>
      <c r="AN1198" s="155" t="inlineStr">
        <is>
          <t>Shopify Stetson México</t>
        </is>
      </c>
      <c r="AO1198" s="59" t="n">
        <v>0</v>
      </c>
      <c r="AP1198" s="59" t="n"/>
      <c r="AQ1198" s="59" t="n"/>
      <c r="AR1198" s="155" t="n"/>
    </row>
    <row r="1199">
      <c r="A1199" s="50" t="inlineStr">
        <is>
          <t>719280016099</t>
        </is>
      </c>
      <c r="B1199" s="51" t="inlineStr">
        <is>
          <t>110209</t>
        </is>
      </c>
      <c r="C1199" s="156" t="inlineStr">
        <is>
          <t>Multimarca</t>
        </is>
      </c>
      <c r="D1199" s="156" t="inlineStr">
        <is>
          <t>SSRNCHK013481</t>
        </is>
      </c>
      <c r="E1199" s="156" t="inlineStr">
        <is>
          <t>SSRNCHK01348173</t>
        </is>
      </c>
      <c r="F1199" s="156" t="inlineStr">
        <is>
          <t>7 3/8</t>
        </is>
      </c>
      <c r="G1199" s="156" t="inlineStr">
        <is>
          <t>7 3/8</t>
        </is>
      </c>
      <c r="H1199" s="156" t="inlineStr">
        <is>
          <t>Stetson</t>
        </is>
      </c>
      <c r="I1199" s="156" t="inlineStr">
        <is>
          <t>Sombrero Stetson Rancher 81 Negro Eye Natural</t>
        </is>
      </c>
      <c r="J1199" s="156" t="inlineStr">
        <is>
          <t>Accesorios</t>
        </is>
      </c>
      <c r="K1199" s="156" t="inlineStr">
        <is>
          <t>Sombreros</t>
        </is>
      </c>
      <c r="L1199" s="156" t="inlineStr">
        <is>
          <t>Unisex</t>
        </is>
      </c>
      <c r="M1199" s="156" t="inlineStr">
        <is>
          <t>Stetson</t>
        </is>
      </c>
      <c r="N1199" s="156" t="inlineStr">
        <is>
          <t>SS26</t>
        </is>
      </c>
      <c r="O1199" s="156" t="inlineStr">
        <is>
          <t>Seasonal</t>
        </is>
      </c>
      <c r="P1199" s="156" t="inlineStr">
        <is>
          <t>Beige</t>
        </is>
      </c>
      <c r="Q1199" s="156" t="n"/>
      <c r="R1199" s="156" t="inlineStr">
        <is>
          <t>Copa Rancher</t>
        </is>
      </c>
      <c r="S1199" s="156" t="inlineStr">
        <is>
          <t>100% Paja</t>
        </is>
      </c>
      <c r="T1199"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9" s="156" t="inlineStr">
        <is>
          <t>Estados Unidos</t>
        </is>
      </c>
      <c r="V1199" s="156" t="inlineStr">
        <is>
          <t>PZS</t>
        </is>
      </c>
      <c r="W1199" s="51" t="inlineStr">
        <is>
          <t>53102503</t>
        </is>
      </c>
      <c r="X1199" s="156" t="inlineStr">
        <is>
          <t>https://cdn.shopify.com/s/files/1/0888/3250/8267/files/SSRNCHK0140-81-65-05_7822cade-8269-4aa9-bf7b-e933510a394f.png?v=1760382209</t>
        </is>
      </c>
      <c r="Y1199" s="54" t="n">
        <v>1260</v>
      </c>
      <c r="Z1199" s="54" t="n">
        <v>3103.448276</v>
      </c>
      <c r="AA1199" s="55">
        <f>IF(AND(A1199="", B1199="", E1199=""), "", IF(AB1199="", "Válido", IF((LEN(AB1199)-LEN(SUBSTITUTE(AB1199,"; ","")))/2+1&gt;(LEN(AB1199)-LEN(SUBSTITUTE(AB1199,"[Aviso]","")))/7, "Con Incidencias", "Válido")))</f>
        <v/>
      </c>
      <c r="AB1199" s="56">
        <f>IF(AND(A1199="", B1199="", E1199=""), "", TEXTJOIN("; ", TRUE, IF(OR(TRIM(A1199&amp;"")="", ISNUMBER(SEARCH("FALTA", A1199))), "UPC faltante/inválido", ""), IF(AND(A1199&lt;&gt;"", IFERROR(_xlfn.XMATCH(A1199,$A$2:$A$2509,0,1)&lt;&gt;_xlfn.XMATCH(A1199,$A$2:$A$2509,0,-1),FALSE)), "Código de barras duplicado", ""), IF(AND(E1199&lt;&gt;"", COUNTIF($E$2:$E$2509, E1199)&gt;1), "SKU duplicado", ""), IF(OR(J1199="", J1199=""), "[Aviso] División no capturada ()", IF(ISNA(MATCH(J1199, Criterios!$A$123:$A$126, 0)), "División no válida", "")), IF(OR(K1199="", K1199=""), "[Aviso] Categoría no capturada ()", IF(ISNA(MATCH(K1199, Criterios!$A$81:$A$120, 0)), "Categoría no válida", IF(AND(J1199&lt;&gt;"", J1199&lt;&gt;"", J1199&lt;&gt;VLOOKUP(K1199, Criterios!$A$81:$B$120, 2, FALSE)), "División no coincide con Categoría", ""))), IF(OR(L1199="", L1199=""), "[Aviso] Género no capturado ()", IF(ISNA(MATCH(L1199, Criterios!$B$123:$B$127, 0)), "Género no válido", "")), IF(OR(N1199="", N1199=""), "[Aviso] Temporada no capturada ()", IF(ISNA(MATCH(N1199, Criterios!$C$123:$C$128, 0)), "Temporada no válida", "")), IF(OR(O1199="", O1199=""), "[Aviso] Ciclo de vida no capturado ()", IF(ISNA(MATCH(O1199, Criterios!$D$123:$D$124, 0)), "Ciclo de vida no válido", ""))))</f>
        <v/>
      </c>
      <c r="AC1199" s="56" t="n"/>
      <c r="AD1199" s="51" t="n">
        <v>-1</v>
      </c>
      <c r="AE1199" s="156" t="n"/>
      <c r="AF1199" s="51" t="n">
        <v>0</v>
      </c>
      <c r="AG1199" s="156" t="inlineStr">
        <is>
          <t>Catálogo existente</t>
        </is>
      </c>
      <c r="AH119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9" s="156" t="inlineStr">
        <is>
          <t>Sí</t>
        </is>
      </c>
      <c r="AJ1199" s="156" t="inlineStr">
        <is>
          <t>STETSON AMERICAS (-1)</t>
        </is>
      </c>
      <c r="AK1199" s="155" t="inlineStr">
        <is>
          <t>Criterios: I [Q] | Shopify Stetson: producto 14791369523563 / variante 53350603161963</t>
        </is>
      </c>
      <c r="AL1199" s="58" t="n">
        <v>1260</v>
      </c>
      <c r="AM1199" s="58" t="n">
        <v>3103.448276</v>
      </c>
      <c r="AN1199" s="155" t="inlineStr">
        <is>
          <t>Shopify Stetson México</t>
        </is>
      </c>
      <c r="AO1199" s="59" t="n">
        <v>0</v>
      </c>
      <c r="AP1199" s="59" t="n"/>
      <c r="AQ1199" s="59" t="n"/>
      <c r="AR1199" s="155" t="n"/>
    </row>
    <row r="1200">
      <c r="A1200" s="50" t="inlineStr">
        <is>
          <t>719280016105</t>
        </is>
      </c>
      <c r="B1200" s="51" t="inlineStr">
        <is>
          <t>110210</t>
        </is>
      </c>
      <c r="C1200" s="156" t="inlineStr">
        <is>
          <t>Multimarca</t>
        </is>
      </c>
      <c r="D1200" s="156" t="inlineStr">
        <is>
          <t>SSRNCHK013481</t>
        </is>
      </c>
      <c r="E1200" s="156" t="inlineStr">
        <is>
          <t>SSRNCHK01348174</t>
        </is>
      </c>
      <c r="F1200" s="156" t="inlineStr">
        <is>
          <t>7 1/2</t>
        </is>
      </c>
      <c r="G1200" s="156" t="inlineStr">
        <is>
          <t>7 1/2</t>
        </is>
      </c>
      <c r="H1200" s="156" t="inlineStr">
        <is>
          <t>Stetson</t>
        </is>
      </c>
      <c r="I1200" s="156" t="inlineStr">
        <is>
          <t>Sombrero Stetson Rancher 81 Negro Eye Natural</t>
        </is>
      </c>
      <c r="J1200" s="156" t="inlineStr">
        <is>
          <t>Accesorios</t>
        </is>
      </c>
      <c r="K1200" s="156" t="inlineStr">
        <is>
          <t>Sombreros</t>
        </is>
      </c>
      <c r="L1200" s="156" t="inlineStr">
        <is>
          <t>Unisex</t>
        </is>
      </c>
      <c r="M1200" s="156" t="inlineStr">
        <is>
          <t>Stetson</t>
        </is>
      </c>
      <c r="N1200" s="156" t="inlineStr">
        <is>
          <t>SS26</t>
        </is>
      </c>
      <c r="O1200" s="156" t="inlineStr">
        <is>
          <t>Seasonal</t>
        </is>
      </c>
      <c r="P1200" s="156" t="inlineStr">
        <is>
          <t>Beige</t>
        </is>
      </c>
      <c r="Q1200" s="156" t="n"/>
      <c r="R1200" s="156" t="inlineStr">
        <is>
          <t>Copa Rancher</t>
        </is>
      </c>
      <c r="S1200" s="156" t="inlineStr">
        <is>
          <t>100% Paja</t>
        </is>
      </c>
      <c r="T1200"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200" s="156" t="inlineStr">
        <is>
          <t>Estados Unidos</t>
        </is>
      </c>
      <c r="V1200" s="156" t="inlineStr">
        <is>
          <t>PZS</t>
        </is>
      </c>
      <c r="W1200" s="51" t="inlineStr">
        <is>
          <t>53102503</t>
        </is>
      </c>
      <c r="X1200" s="156" t="inlineStr">
        <is>
          <t>https://cdn.shopify.com/s/files/1/0888/3250/8267/files/SSRNCHK0140-81-65-06_9255cae6-704e-44ba-84ff-167c6919f818.png?v=1760382209</t>
        </is>
      </c>
      <c r="Y1200" s="54" t="n">
        <v>1260</v>
      </c>
      <c r="Z1200" s="54" t="n">
        <v>3103.448276</v>
      </c>
      <c r="AA1200" s="55">
        <f>IF(AND(A1200="", B1200="", E1200=""), "", IF(AB1200="", "Válido", IF((LEN(AB1200)-LEN(SUBSTITUTE(AB1200,"; ","")))/2+1&gt;(LEN(AB1200)-LEN(SUBSTITUTE(AB1200,"[Aviso]","")))/7, "Con Incidencias", "Válido")))</f>
        <v/>
      </c>
      <c r="AB1200" s="56">
        <f>IF(AND(A1200="", B1200="", E1200=""), "", TEXTJOIN("; ", TRUE, IF(OR(TRIM(A1200&amp;"")="", ISNUMBER(SEARCH("FALTA", A1200))), "UPC faltante/inválido", ""), IF(AND(A1200&lt;&gt;"", IFERROR(_xlfn.XMATCH(A1200,$A$2:$A$2509,0,1)&lt;&gt;_xlfn.XMATCH(A1200,$A$2:$A$2509,0,-1),FALSE)), "Código de barras duplicado", ""), IF(AND(E1200&lt;&gt;"", COUNTIF($E$2:$E$2509, E1200)&gt;1), "SKU duplicado", ""), IF(OR(J1200="", J1200=""), "[Aviso] División no capturada ()", IF(ISNA(MATCH(J1200, Criterios!$A$123:$A$126, 0)), "División no válida", "")), IF(OR(K1200="", K1200=""), "[Aviso] Categoría no capturada ()", IF(ISNA(MATCH(K1200, Criterios!$A$81:$A$120, 0)), "Categoría no válida", IF(AND(J1200&lt;&gt;"", J1200&lt;&gt;"", J1200&lt;&gt;VLOOKUP(K1200, Criterios!$A$81:$B$120, 2, FALSE)), "División no coincide con Categoría", ""))), IF(OR(L1200="", L1200=""), "[Aviso] Género no capturado ()", IF(ISNA(MATCH(L1200, Criterios!$B$123:$B$127, 0)), "Género no válido", "")), IF(OR(N1200="", N1200=""), "[Aviso] Temporada no capturada ()", IF(ISNA(MATCH(N1200, Criterios!$C$123:$C$128, 0)), "Temporada no válida", "")), IF(OR(O1200="", O1200=""), "[Aviso] Ciclo de vida no capturado ()", IF(ISNA(MATCH(O1200, Criterios!$D$123:$D$124, 0)), "Ciclo de vida no válido", ""))))</f>
        <v/>
      </c>
      <c r="AC1200" s="56" t="n"/>
      <c r="AD1200" s="51" t="n">
        <v>0</v>
      </c>
      <c r="AE1200" s="156" t="n"/>
      <c r="AF1200" s="51" t="n">
        <v>0</v>
      </c>
      <c r="AG1200" s="156" t="inlineStr">
        <is>
          <t>Catálogo existente</t>
        </is>
      </c>
      <c r="AH120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0" s="156" t="inlineStr">
        <is>
          <t>No</t>
        </is>
      </c>
      <c r="AJ1200" s="156" t="n"/>
      <c r="AK1200" s="155" t="inlineStr">
        <is>
          <t>Criterios: I [Q] | Shopify Stetson: producto 14791369523563 / variante 53350603194731</t>
        </is>
      </c>
      <c r="AL1200" s="58" t="n">
        <v>1260</v>
      </c>
      <c r="AM1200" s="58" t="n">
        <v>3103.448276</v>
      </c>
      <c r="AN1200" s="155" t="inlineStr">
        <is>
          <t>Shopify Stetson México</t>
        </is>
      </c>
      <c r="AO1200" s="59" t="n">
        <v>0</v>
      </c>
      <c r="AP1200" s="59" t="n"/>
      <c r="AQ1200" s="59" t="n"/>
      <c r="AR1200" s="155" t="n"/>
    </row>
    <row r="1201">
      <c r="A1201" s="50" t="inlineStr">
        <is>
          <t>719280047246</t>
        </is>
      </c>
      <c r="B1201" s="51" t="inlineStr">
        <is>
          <t>110211</t>
        </is>
      </c>
      <c r="C1201" s="156" t="inlineStr">
        <is>
          <t>Multimarca</t>
        </is>
      </c>
      <c r="D1201" s="156" t="inlineStr">
        <is>
          <t>SSRNCHK014081</t>
        </is>
      </c>
      <c r="E1201" s="156" t="inlineStr">
        <is>
          <t>SSRNCHK01408167</t>
        </is>
      </c>
      <c r="F1201" s="156" t="inlineStr">
        <is>
          <t>6 7/8</t>
        </is>
      </c>
      <c r="G1201" s="156" t="inlineStr">
        <is>
          <t>6 7/8</t>
        </is>
      </c>
      <c r="H1201" s="156" t="inlineStr">
        <is>
          <t>Stetson</t>
        </is>
      </c>
      <c r="I1201" s="156" t="inlineStr">
        <is>
          <t>Texana Stetson Rancher 81 Negro Eye Natural</t>
        </is>
      </c>
      <c r="J1201" s="156" t="inlineStr">
        <is>
          <t>Accesorios</t>
        </is>
      </c>
      <c r="K1201" s="156" t="inlineStr">
        <is>
          <t>Sombreros</t>
        </is>
      </c>
      <c r="L1201" s="156" t="inlineStr">
        <is>
          <t>Unisex</t>
        </is>
      </c>
      <c r="M1201" s="156" t="inlineStr">
        <is>
          <t>Stetson</t>
        </is>
      </c>
      <c r="N1201" s="156" t="inlineStr">
        <is>
          <t>SS26</t>
        </is>
      </c>
      <c r="O1201" s="156" t="inlineStr">
        <is>
          <t>Seasonal</t>
        </is>
      </c>
      <c r="P1201" s="156" t="inlineStr">
        <is>
          <t>Beige</t>
        </is>
      </c>
      <c r="Q1201" s="156" t="n"/>
      <c r="R1201" s="156" t="inlineStr">
        <is>
          <t>Copa Rancher</t>
        </is>
      </c>
      <c r="S1201" s="156" t="inlineStr">
        <is>
          <t>100% Fieltro de lana</t>
        </is>
      </c>
      <c r="T1201"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1" s="156" t="inlineStr">
        <is>
          <t>Estados Unidos</t>
        </is>
      </c>
      <c r="V1201" s="156" t="inlineStr">
        <is>
          <t>PZS</t>
        </is>
      </c>
      <c r="W1201" s="51" t="inlineStr">
        <is>
          <t>53102503</t>
        </is>
      </c>
      <c r="X1201" s="156" t="inlineStr">
        <is>
          <t>https://cdn.shopify.com/s/files/1/0888/3250/8267/files/SSRNCHK0140-81-65-01.png?v=1760014810</t>
        </is>
      </c>
      <c r="Y1201" s="54" t="n">
        <v>1260</v>
      </c>
      <c r="Z1201" s="54" t="n">
        <v>3103.448276</v>
      </c>
      <c r="AA1201" s="55">
        <f>IF(AND(A1201="", B1201="", E1201=""), "", IF(AB1201="", "Válido", IF((LEN(AB1201)-LEN(SUBSTITUTE(AB1201,"; ","")))/2+1&gt;(LEN(AB1201)-LEN(SUBSTITUTE(AB1201,"[Aviso]","")))/7, "Con Incidencias", "Válido")))</f>
        <v/>
      </c>
      <c r="AB1201" s="56">
        <f>IF(AND(A1201="", B1201="", E1201=""), "", TEXTJOIN("; ", TRUE, IF(OR(TRIM(A1201&amp;"")="", ISNUMBER(SEARCH("FALTA", A1201))), "UPC faltante/inválido", ""), IF(AND(A1201&lt;&gt;"", IFERROR(_xlfn.XMATCH(A1201,$A$2:$A$2509,0,1)&lt;&gt;_xlfn.XMATCH(A1201,$A$2:$A$2509,0,-1),FALSE)), "Código de barras duplicado", ""), IF(AND(E1201&lt;&gt;"", COUNTIF($E$2:$E$2509, E1201)&gt;1), "SKU duplicado", ""), IF(OR(J1201="", J1201=""), "[Aviso] División no capturada ()", IF(ISNA(MATCH(J1201, Criterios!$A$123:$A$126, 0)), "División no válida", "")), IF(OR(K1201="", K1201=""), "[Aviso] Categoría no capturada ()", IF(ISNA(MATCH(K1201, Criterios!$A$81:$A$120, 0)), "Categoría no válida", IF(AND(J1201&lt;&gt;"", J1201&lt;&gt;"", J1201&lt;&gt;VLOOKUP(K1201, Criterios!$A$81:$B$120, 2, FALSE)), "División no coincide con Categoría", ""))), IF(OR(L1201="", L1201=""), "[Aviso] Género no capturado ()", IF(ISNA(MATCH(L1201, Criterios!$B$123:$B$127, 0)), "Género no válido", "")), IF(OR(N1201="", N1201=""), "[Aviso] Temporada no capturada ()", IF(ISNA(MATCH(N1201, Criterios!$C$123:$C$128, 0)), "Temporada no válida", "")), IF(OR(O1201="", O1201=""), "[Aviso] Ciclo de vida no capturado ()", IF(ISNA(MATCH(O1201, Criterios!$D$123:$D$124, 0)), "Ciclo de vida no válido", ""))))</f>
        <v/>
      </c>
      <c r="AC1201" s="56" t="n"/>
      <c r="AD1201" s="51" t="n">
        <v>-1</v>
      </c>
      <c r="AE1201" s="156" t="n"/>
      <c r="AF1201" s="51" t="n">
        <v>0</v>
      </c>
      <c r="AG1201" s="156" t="inlineStr">
        <is>
          <t>Catálogo existente</t>
        </is>
      </c>
      <c r="AH12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201" s="156" t="inlineStr">
        <is>
          <t>Sí</t>
        </is>
      </c>
      <c r="AJ1201" s="156" t="inlineStr">
        <is>
          <t>STETSON AMERICAS (-1)</t>
        </is>
      </c>
      <c r="AK1201" s="155" t="inlineStr">
        <is>
          <t>Criterios: I [Q] | Shopify Stetson: producto 14789606211947 / variante 53350606012779</t>
        </is>
      </c>
      <c r="AL1201" s="58" t="n">
        <v>1260</v>
      </c>
      <c r="AM1201" s="58" t="n">
        <v>3103.448276</v>
      </c>
      <c r="AN1201" s="155" t="inlineStr">
        <is>
          <t>Shopify Stetson México</t>
        </is>
      </c>
      <c r="AO1201" s="59" t="n">
        <v>0</v>
      </c>
      <c r="AP1201" s="59" t="n"/>
      <c r="AQ1201" s="59" t="n"/>
      <c r="AR1201" s="155" t="n"/>
    </row>
    <row r="1202">
      <c r="A1202" s="50" t="inlineStr">
        <is>
          <t>719280047253</t>
        </is>
      </c>
      <c r="B1202" s="51" t="inlineStr">
        <is>
          <t>110212</t>
        </is>
      </c>
      <c r="C1202" s="156" t="inlineStr">
        <is>
          <t>Multimarca</t>
        </is>
      </c>
      <c r="D1202" s="156" t="inlineStr">
        <is>
          <t>SSRNCHK014081</t>
        </is>
      </c>
      <c r="E1202" s="156" t="inlineStr">
        <is>
          <t>SSRNCHK01408170</t>
        </is>
      </c>
      <c r="F1202" s="156" t="inlineStr">
        <is>
          <t>7</t>
        </is>
      </c>
      <c r="G1202" s="156" t="inlineStr">
        <is>
          <t>7</t>
        </is>
      </c>
      <c r="H1202" s="156" t="inlineStr">
        <is>
          <t>Stetson</t>
        </is>
      </c>
      <c r="I1202" s="156" t="inlineStr">
        <is>
          <t>Texana Stetson Rancher 81 Negro Eye Natural</t>
        </is>
      </c>
      <c r="J1202" s="156" t="inlineStr">
        <is>
          <t>Accesorios</t>
        </is>
      </c>
      <c r="K1202" s="156" t="inlineStr">
        <is>
          <t>Sombreros</t>
        </is>
      </c>
      <c r="L1202" s="156" t="inlineStr">
        <is>
          <t>Unisex</t>
        </is>
      </c>
      <c r="M1202" s="156" t="inlineStr">
        <is>
          <t>Stetson</t>
        </is>
      </c>
      <c r="N1202" s="156" t="inlineStr">
        <is>
          <t>SS26</t>
        </is>
      </c>
      <c r="O1202" s="156" t="inlineStr">
        <is>
          <t>Seasonal</t>
        </is>
      </c>
      <c r="P1202" s="156" t="inlineStr">
        <is>
          <t>Beige</t>
        </is>
      </c>
      <c r="Q1202" s="156" t="n"/>
      <c r="R1202" s="156" t="inlineStr">
        <is>
          <t>Copa Rancher</t>
        </is>
      </c>
      <c r="S1202" s="156" t="inlineStr">
        <is>
          <t>100% Fieltro de lana</t>
        </is>
      </c>
      <c r="T1202"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2" s="156" t="inlineStr">
        <is>
          <t>Estados Unidos</t>
        </is>
      </c>
      <c r="V1202" s="156" t="inlineStr">
        <is>
          <t>PZS</t>
        </is>
      </c>
      <c r="W1202" s="51" t="inlineStr">
        <is>
          <t>53102503</t>
        </is>
      </c>
      <c r="X1202" s="156" t="inlineStr">
        <is>
          <t>https://cdn.shopify.com/s/files/1/0888/3250/8267/files/SSRNCHK0140-81-65-02.png?v=1760014810</t>
        </is>
      </c>
      <c r="Y1202" s="54" t="n">
        <v>1260</v>
      </c>
      <c r="Z1202" s="54" t="n">
        <v>3103.448276</v>
      </c>
      <c r="AA1202" s="55">
        <f>IF(AND(A1202="", B1202="", E1202=""), "", IF(AB1202="", "Válido", IF((LEN(AB1202)-LEN(SUBSTITUTE(AB1202,"; ","")))/2+1&gt;(LEN(AB1202)-LEN(SUBSTITUTE(AB1202,"[Aviso]","")))/7, "Con Incidencias", "Válido")))</f>
        <v/>
      </c>
      <c r="AB1202" s="56">
        <f>IF(AND(A1202="", B1202="", E1202=""), "", TEXTJOIN("; ", TRUE, IF(OR(TRIM(A1202&amp;"")="", ISNUMBER(SEARCH("FALTA", A1202))), "UPC faltante/inválido", ""), IF(AND(A1202&lt;&gt;"", IFERROR(_xlfn.XMATCH(A1202,$A$2:$A$2509,0,1)&lt;&gt;_xlfn.XMATCH(A1202,$A$2:$A$2509,0,-1),FALSE)), "Código de barras duplicado", ""), IF(AND(E1202&lt;&gt;"", COUNTIF($E$2:$E$2509, E1202)&gt;1), "SKU duplicado", ""), IF(OR(J1202="", J1202=""), "[Aviso] División no capturada ()", IF(ISNA(MATCH(J1202, Criterios!$A$123:$A$126, 0)), "División no válida", "")), IF(OR(K1202="", K1202=""), "[Aviso] Categoría no capturada ()", IF(ISNA(MATCH(K1202, Criterios!$A$81:$A$120, 0)), "Categoría no válida", IF(AND(J1202&lt;&gt;"", J1202&lt;&gt;"", J1202&lt;&gt;VLOOKUP(K1202, Criterios!$A$81:$B$120, 2, FALSE)), "División no coincide con Categoría", ""))), IF(OR(L1202="", L1202=""), "[Aviso] Género no capturado ()", IF(ISNA(MATCH(L1202, Criterios!$B$123:$B$127, 0)), "Género no válido", "")), IF(OR(N1202="", N1202=""), "[Aviso] Temporada no capturada ()", IF(ISNA(MATCH(N1202, Criterios!$C$123:$C$128, 0)), "Temporada no válida", "")), IF(OR(O1202="", O1202=""), "[Aviso] Ciclo de vida no capturado ()", IF(ISNA(MATCH(O1202, Criterios!$D$123:$D$124, 0)), "Ciclo de vida no válido", ""))))</f>
        <v/>
      </c>
      <c r="AC1202" s="56" t="n"/>
      <c r="AD1202" s="51" t="n">
        <v>-1</v>
      </c>
      <c r="AE1202" s="156" t="inlineStr">
        <is>
          <t>B25 STETSON.MX (1)</t>
        </is>
      </c>
      <c r="AF1202" s="51" t="n">
        <v>1</v>
      </c>
      <c r="AG1202" s="156" t="inlineStr">
        <is>
          <t>Catálogo existente</t>
        </is>
      </c>
      <c r="AH120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202" s="156" t="inlineStr">
        <is>
          <t>Sí</t>
        </is>
      </c>
      <c r="AJ1202" s="156" t="inlineStr">
        <is>
          <t>STETSON AMERICAS (-2)</t>
        </is>
      </c>
      <c r="AK1202" s="155" t="inlineStr">
        <is>
          <t>Criterios: I [Q] | Shopify Stetson: producto 14789606211947 / variante 53350606045547</t>
        </is>
      </c>
      <c r="AL1202" s="58" t="n">
        <v>1260</v>
      </c>
      <c r="AM1202" s="58" t="n">
        <v>3103.448276</v>
      </c>
      <c r="AN1202" s="155" t="inlineStr">
        <is>
          <t>Shopify Stetson México</t>
        </is>
      </c>
      <c r="AO1202" s="59" t="n">
        <v>2</v>
      </c>
      <c r="AP1202" s="59" t="n"/>
      <c r="AQ1202" s="59" t="n"/>
      <c r="AR1202" s="155" t="inlineStr">
        <is>
          <t>Shopify Stetson México › Stetson México: 2</t>
        </is>
      </c>
    </row>
    <row r="1203">
      <c r="A1203" s="50" t="inlineStr">
        <is>
          <t>719280047260</t>
        </is>
      </c>
      <c r="B1203" s="51" t="inlineStr">
        <is>
          <t>110213</t>
        </is>
      </c>
      <c r="C1203" s="156" t="inlineStr">
        <is>
          <t>Multimarca</t>
        </is>
      </c>
      <c r="D1203" s="156" t="inlineStr">
        <is>
          <t>SSRNCHK014081</t>
        </is>
      </c>
      <c r="E1203" s="156" t="inlineStr">
        <is>
          <t>SSRNCHK01408171</t>
        </is>
      </c>
      <c r="F1203" s="156" t="inlineStr">
        <is>
          <t>7 1/8</t>
        </is>
      </c>
      <c r="G1203" s="156" t="inlineStr">
        <is>
          <t>7 1/8</t>
        </is>
      </c>
      <c r="H1203" s="156" t="inlineStr">
        <is>
          <t>Stetson</t>
        </is>
      </c>
      <c r="I1203" s="156" t="inlineStr">
        <is>
          <t>Texana Stetson Rancher 81 Negro Eye Natural</t>
        </is>
      </c>
      <c r="J1203" s="156" t="inlineStr">
        <is>
          <t>Accesorios</t>
        </is>
      </c>
      <c r="K1203" s="156" t="inlineStr">
        <is>
          <t>Sombreros</t>
        </is>
      </c>
      <c r="L1203" s="156" t="inlineStr">
        <is>
          <t>Unisex</t>
        </is>
      </c>
      <c r="M1203" s="156" t="inlineStr">
        <is>
          <t>Stetson</t>
        </is>
      </c>
      <c r="N1203" s="156" t="inlineStr">
        <is>
          <t>SS26</t>
        </is>
      </c>
      <c r="O1203" s="156" t="inlineStr">
        <is>
          <t>Seasonal</t>
        </is>
      </c>
      <c r="P1203" s="156" t="inlineStr">
        <is>
          <t>Beige</t>
        </is>
      </c>
      <c r="Q1203" s="156" t="n"/>
      <c r="R1203" s="156" t="inlineStr">
        <is>
          <t>Copa Rancher</t>
        </is>
      </c>
      <c r="S1203" s="156" t="inlineStr">
        <is>
          <t>100% Fieltro de lana</t>
        </is>
      </c>
      <c r="T1203"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3" s="156" t="inlineStr">
        <is>
          <t>Estados Unidos</t>
        </is>
      </c>
      <c r="V1203" s="156" t="inlineStr">
        <is>
          <t>PZS</t>
        </is>
      </c>
      <c r="W1203" s="51" t="inlineStr">
        <is>
          <t>53102503</t>
        </is>
      </c>
      <c r="X1203" s="156" t="inlineStr">
        <is>
          <t>https://cdn.shopify.com/s/files/1/0888/3250/8267/files/SSRNCHK0140-81-65-03.png?v=1760014810</t>
        </is>
      </c>
      <c r="Y1203" s="54" t="n">
        <v>1260</v>
      </c>
      <c r="Z1203" s="54" t="n">
        <v>3103.448276</v>
      </c>
      <c r="AA1203" s="55">
        <f>IF(AND(A1203="", B1203="", E1203=""), "", IF(AB1203="", "Válido", IF((LEN(AB1203)-LEN(SUBSTITUTE(AB1203,"; ","")))/2+1&gt;(LEN(AB1203)-LEN(SUBSTITUTE(AB1203,"[Aviso]","")))/7, "Con Incidencias", "Válido")))</f>
        <v/>
      </c>
      <c r="AB1203" s="56">
        <f>IF(AND(A1203="", B1203="", E1203=""), "", TEXTJOIN("; ", TRUE, IF(OR(TRIM(A1203&amp;"")="", ISNUMBER(SEARCH("FALTA", A1203))), "UPC faltante/inválido", ""), IF(AND(A1203&lt;&gt;"", IFERROR(_xlfn.XMATCH(A1203,$A$2:$A$2509,0,1)&lt;&gt;_xlfn.XMATCH(A1203,$A$2:$A$2509,0,-1),FALSE)), "Código de barras duplicado", ""), IF(AND(E1203&lt;&gt;"", COUNTIF($E$2:$E$2509, E1203)&gt;1), "SKU duplicado", ""), IF(OR(J1203="", J1203=""), "[Aviso] División no capturada ()", IF(ISNA(MATCH(J1203, Criterios!$A$123:$A$126, 0)), "División no válida", "")), IF(OR(K1203="", K1203=""), "[Aviso] Categoría no capturada ()", IF(ISNA(MATCH(K1203, Criterios!$A$81:$A$120, 0)), "Categoría no válida", IF(AND(J1203&lt;&gt;"", J1203&lt;&gt;"", J1203&lt;&gt;VLOOKUP(K1203, Criterios!$A$81:$B$120, 2, FALSE)), "División no coincide con Categoría", ""))), IF(OR(L1203="", L1203=""), "[Aviso] Género no capturado ()", IF(ISNA(MATCH(L1203, Criterios!$B$123:$B$127, 0)), "Género no válido", "")), IF(OR(N1203="", N1203=""), "[Aviso] Temporada no capturada ()", IF(ISNA(MATCH(N1203, Criterios!$C$123:$C$128, 0)), "Temporada no válida", "")), IF(OR(O1203="", O1203=""), "[Aviso] Ciclo de vida no capturado ()", IF(ISNA(MATCH(O1203, Criterios!$D$123:$D$124, 0)), "Ciclo de vida no válido", ""))))</f>
        <v/>
      </c>
      <c r="AC1203" s="56" t="n"/>
      <c r="AD1203" s="51" t="n">
        <v>0</v>
      </c>
      <c r="AE1203" s="156" t="inlineStr">
        <is>
          <t>B25 STETSON.MX (2)</t>
        </is>
      </c>
      <c r="AF1203" s="51" t="n">
        <v>2</v>
      </c>
      <c r="AG1203" s="156" t="inlineStr">
        <is>
          <t>Catálogo existente</t>
        </is>
      </c>
      <c r="AH120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3" s="156" t="inlineStr">
        <is>
          <t>Sí</t>
        </is>
      </c>
      <c r="AJ1203" s="156" t="inlineStr">
        <is>
          <t>STETSON AMERICAS (-2)</t>
        </is>
      </c>
      <c r="AK1203" s="155" t="inlineStr">
        <is>
          <t>Criterios: I [Q] | Shopify Stetson: producto 14789606211947 / variante 53350606078315</t>
        </is>
      </c>
      <c r="AL1203" s="58" t="n">
        <v>1260</v>
      </c>
      <c r="AM1203" s="58" t="n">
        <v>3103.448276</v>
      </c>
      <c r="AN1203" s="155" t="inlineStr">
        <is>
          <t>Shopify Stetson México</t>
        </is>
      </c>
      <c r="AO1203" s="59" t="n">
        <v>2</v>
      </c>
      <c r="AP1203" s="59" t="n"/>
      <c r="AQ1203" s="59" t="n"/>
      <c r="AR1203" s="155" t="inlineStr">
        <is>
          <t>Shopify Stetson México › Stetson México: 2</t>
        </is>
      </c>
    </row>
    <row r="1204">
      <c r="A1204" s="50" t="inlineStr">
        <is>
          <t>719280047277</t>
        </is>
      </c>
      <c r="B1204" s="51" t="inlineStr">
        <is>
          <t>110214</t>
        </is>
      </c>
      <c r="C1204" s="156" t="inlineStr">
        <is>
          <t>Multimarca</t>
        </is>
      </c>
      <c r="D1204" s="156" t="inlineStr">
        <is>
          <t>SSRNCHK014081</t>
        </is>
      </c>
      <c r="E1204" s="156" t="inlineStr">
        <is>
          <t>SSRNCHK01408172</t>
        </is>
      </c>
      <c r="F1204" s="156" t="inlineStr">
        <is>
          <t>7 1/4</t>
        </is>
      </c>
      <c r="G1204" s="156" t="inlineStr">
        <is>
          <t>7 1/4</t>
        </is>
      </c>
      <c r="H1204" s="156" t="inlineStr">
        <is>
          <t>Stetson</t>
        </is>
      </c>
      <c r="I1204" s="156" t="inlineStr">
        <is>
          <t>Texana Stetson Rancher 81 Negro Eye Natural</t>
        </is>
      </c>
      <c r="J1204" s="156" t="inlineStr">
        <is>
          <t>Accesorios</t>
        </is>
      </c>
      <c r="K1204" s="156" t="inlineStr">
        <is>
          <t>Sombreros</t>
        </is>
      </c>
      <c r="L1204" s="156" t="inlineStr">
        <is>
          <t>Unisex</t>
        </is>
      </c>
      <c r="M1204" s="156" t="inlineStr">
        <is>
          <t>Stetson</t>
        </is>
      </c>
      <c r="N1204" s="156" t="inlineStr">
        <is>
          <t>SS26</t>
        </is>
      </c>
      <c r="O1204" s="156" t="inlineStr">
        <is>
          <t>Seasonal</t>
        </is>
      </c>
      <c r="P1204" s="156" t="inlineStr">
        <is>
          <t>Beige</t>
        </is>
      </c>
      <c r="Q1204" s="156" t="n"/>
      <c r="R1204" s="156" t="inlineStr">
        <is>
          <t>Copa Rancher</t>
        </is>
      </c>
      <c r="S1204" s="156" t="inlineStr">
        <is>
          <t>100% Fieltro de lana</t>
        </is>
      </c>
      <c r="T1204"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4" s="156" t="inlineStr">
        <is>
          <t>Estados Unidos</t>
        </is>
      </c>
      <c r="V1204" s="156" t="inlineStr">
        <is>
          <t>PZS</t>
        </is>
      </c>
      <c r="W1204" s="51" t="inlineStr">
        <is>
          <t>53102503</t>
        </is>
      </c>
      <c r="X1204" s="156" t="inlineStr">
        <is>
          <t>https://cdn.shopify.com/s/files/1/0888/3250/8267/files/SSRNCHK0140-81-65-04.png?v=1760014809</t>
        </is>
      </c>
      <c r="Y1204" s="54" t="n">
        <v>1260</v>
      </c>
      <c r="Z1204" s="54" t="n">
        <v>3103.448276</v>
      </c>
      <c r="AA1204" s="55">
        <f>IF(AND(A1204="", B1204="", E1204=""), "", IF(AB1204="", "Válido", IF((LEN(AB1204)-LEN(SUBSTITUTE(AB1204,"; ","")))/2+1&gt;(LEN(AB1204)-LEN(SUBSTITUTE(AB1204,"[Aviso]","")))/7, "Con Incidencias", "Válido")))</f>
        <v/>
      </c>
      <c r="AB1204" s="56">
        <f>IF(AND(A1204="", B1204="", E1204=""), "", TEXTJOIN("; ", TRUE, IF(OR(TRIM(A1204&amp;"")="", ISNUMBER(SEARCH("FALTA", A1204))), "UPC faltante/inválido", ""), IF(AND(A1204&lt;&gt;"", IFERROR(_xlfn.XMATCH(A1204,$A$2:$A$2509,0,1)&lt;&gt;_xlfn.XMATCH(A1204,$A$2:$A$2509,0,-1),FALSE)), "Código de barras duplicado", ""), IF(AND(E1204&lt;&gt;"", COUNTIF($E$2:$E$2509, E1204)&gt;1), "SKU duplicado", ""), IF(OR(J1204="", J1204=""), "[Aviso] División no capturada ()", IF(ISNA(MATCH(J1204, Criterios!$A$123:$A$126, 0)), "División no válida", "")), IF(OR(K1204="", K1204=""), "[Aviso] Categoría no capturada ()", IF(ISNA(MATCH(K1204, Criterios!$A$81:$A$120, 0)), "Categoría no válida", IF(AND(J1204&lt;&gt;"", J1204&lt;&gt;"", J1204&lt;&gt;VLOOKUP(K1204, Criterios!$A$81:$B$120, 2, FALSE)), "División no coincide con Categoría", ""))), IF(OR(L1204="", L1204=""), "[Aviso] Género no capturado ()", IF(ISNA(MATCH(L1204, Criterios!$B$123:$B$127, 0)), "Género no válido", "")), IF(OR(N1204="", N1204=""), "[Aviso] Temporada no capturada ()", IF(ISNA(MATCH(N1204, Criterios!$C$123:$C$128, 0)), "Temporada no válida", "")), IF(OR(O1204="", O1204=""), "[Aviso] Ciclo de vida no capturado ()", IF(ISNA(MATCH(O1204, Criterios!$D$123:$D$124, 0)), "Ciclo de vida no válido", ""))))</f>
        <v/>
      </c>
      <c r="AC1204" s="56" t="n"/>
      <c r="AD1204" s="51" t="n">
        <v>4</v>
      </c>
      <c r="AE1204" s="156" t="inlineStr">
        <is>
          <t>B25 STETSON.MX (5)</t>
        </is>
      </c>
      <c r="AF1204" s="51" t="n">
        <v>5</v>
      </c>
      <c r="AG1204" s="156" t="inlineStr">
        <is>
          <t>Catálogo existente</t>
        </is>
      </c>
      <c r="AH120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4" s="156" t="inlineStr">
        <is>
          <t>Sí</t>
        </is>
      </c>
      <c r="AJ1204" s="156" t="inlineStr">
        <is>
          <t>STETSON AMERICAS (-1)</t>
        </is>
      </c>
      <c r="AK1204" s="155" t="inlineStr">
        <is>
          <t>Criterios: I [Q] | Shopify Stetson: producto 14789606211947 / variante 53350606111083</t>
        </is>
      </c>
      <c r="AL1204" s="58" t="n">
        <v>1260</v>
      </c>
      <c r="AM1204" s="58" t="n">
        <v>3103.448276</v>
      </c>
      <c r="AN1204" s="155" t="inlineStr">
        <is>
          <t>Shopify Stetson México</t>
        </is>
      </c>
      <c r="AO1204" s="59" t="n">
        <v>4</v>
      </c>
      <c r="AP1204" s="59" t="n"/>
      <c r="AQ1204" s="59" t="n"/>
      <c r="AR1204" s="155" t="inlineStr">
        <is>
          <t>Shopify Stetson México › Stetson México: 4</t>
        </is>
      </c>
    </row>
    <row r="1205">
      <c r="A1205" s="50" t="inlineStr">
        <is>
          <t>719280047284</t>
        </is>
      </c>
      <c r="B1205" s="51" t="inlineStr">
        <is>
          <t>110215</t>
        </is>
      </c>
      <c r="C1205" s="156" t="inlineStr">
        <is>
          <t>Multimarca</t>
        </is>
      </c>
      <c r="D1205" s="156" t="inlineStr">
        <is>
          <t>SSRNCHK014081</t>
        </is>
      </c>
      <c r="E1205" s="156" t="inlineStr">
        <is>
          <t>SSRNCHK01408173</t>
        </is>
      </c>
      <c r="F1205" s="156" t="inlineStr">
        <is>
          <t>7 3/8</t>
        </is>
      </c>
      <c r="G1205" s="156" t="inlineStr">
        <is>
          <t>7 3/8</t>
        </is>
      </c>
      <c r="H1205" s="156" t="inlineStr">
        <is>
          <t>Stetson</t>
        </is>
      </c>
      <c r="I1205" s="156" t="inlineStr">
        <is>
          <t>Texana Stetson Rancher 81 Negro Eye Natural</t>
        </is>
      </c>
      <c r="J1205" s="156" t="inlineStr">
        <is>
          <t>Accesorios</t>
        </is>
      </c>
      <c r="K1205" s="156" t="inlineStr">
        <is>
          <t>Sombreros</t>
        </is>
      </c>
      <c r="L1205" s="156" t="inlineStr">
        <is>
          <t>Unisex</t>
        </is>
      </c>
      <c r="M1205" s="156" t="inlineStr">
        <is>
          <t>Stetson</t>
        </is>
      </c>
      <c r="N1205" s="156" t="inlineStr">
        <is>
          <t>SS26</t>
        </is>
      </c>
      <c r="O1205" s="156" t="inlineStr">
        <is>
          <t>Seasonal</t>
        </is>
      </c>
      <c r="P1205" s="156" t="inlineStr">
        <is>
          <t>Beige</t>
        </is>
      </c>
      <c r="Q1205" s="156" t="n"/>
      <c r="R1205" s="156" t="inlineStr">
        <is>
          <t>Copa Rancher</t>
        </is>
      </c>
      <c r="S1205" s="156" t="inlineStr">
        <is>
          <t>100% Fieltro de lana</t>
        </is>
      </c>
      <c r="T1205"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5" s="156" t="inlineStr">
        <is>
          <t>Estados Unidos</t>
        </is>
      </c>
      <c r="V1205" s="156" t="inlineStr">
        <is>
          <t>PZS</t>
        </is>
      </c>
      <c r="W1205" s="51" t="inlineStr">
        <is>
          <t>53102503</t>
        </is>
      </c>
      <c r="X1205" s="156" t="inlineStr">
        <is>
          <t>https://cdn.shopify.com/s/files/1/0888/3250/8267/files/SSRNCHK0140-81-65-05.png?v=1760014810</t>
        </is>
      </c>
      <c r="Y1205" s="54" t="n">
        <v>1260</v>
      </c>
      <c r="Z1205" s="54" t="n">
        <v>3103.448276</v>
      </c>
      <c r="AA1205" s="55">
        <f>IF(AND(A1205="", B1205="", E1205=""), "", IF(AB1205="", "Válido", IF((LEN(AB1205)-LEN(SUBSTITUTE(AB1205,"; ","")))/2+1&gt;(LEN(AB1205)-LEN(SUBSTITUTE(AB1205,"[Aviso]","")))/7, "Con Incidencias", "Válido")))</f>
        <v/>
      </c>
      <c r="AB1205" s="56">
        <f>IF(AND(A1205="", B1205="", E1205=""), "", TEXTJOIN("; ", TRUE, IF(OR(TRIM(A1205&amp;"")="", ISNUMBER(SEARCH("FALTA", A1205))), "UPC faltante/inválido", ""), IF(AND(A1205&lt;&gt;"", IFERROR(_xlfn.XMATCH(A1205,$A$2:$A$2509,0,1)&lt;&gt;_xlfn.XMATCH(A1205,$A$2:$A$2509,0,-1),FALSE)), "Código de barras duplicado", ""), IF(AND(E1205&lt;&gt;"", COUNTIF($E$2:$E$2509, E1205)&gt;1), "SKU duplicado", ""), IF(OR(J1205="", J1205=""), "[Aviso] División no capturada ()", IF(ISNA(MATCH(J1205, Criterios!$A$123:$A$126, 0)), "División no válida", "")), IF(OR(K1205="", K1205=""), "[Aviso] Categoría no capturada ()", IF(ISNA(MATCH(K1205, Criterios!$A$81:$A$120, 0)), "Categoría no válida", IF(AND(J1205&lt;&gt;"", J1205&lt;&gt;"", J1205&lt;&gt;VLOOKUP(K1205, Criterios!$A$81:$B$120, 2, FALSE)), "División no coincide con Categoría", ""))), IF(OR(L1205="", L1205=""), "[Aviso] Género no capturado ()", IF(ISNA(MATCH(L1205, Criterios!$B$123:$B$127, 0)), "Género no válido", "")), IF(OR(N1205="", N1205=""), "[Aviso] Temporada no capturada ()", IF(ISNA(MATCH(N1205, Criterios!$C$123:$C$128, 0)), "Temporada no válida", "")), IF(OR(O1205="", O1205=""), "[Aviso] Ciclo de vida no capturado ()", IF(ISNA(MATCH(O1205, Criterios!$D$123:$D$124, 0)), "Ciclo de vida no válido", ""))))</f>
        <v/>
      </c>
      <c r="AC1205" s="56" t="n"/>
      <c r="AD1205" s="51" t="n">
        <v>3</v>
      </c>
      <c r="AE1205" s="156" t="inlineStr">
        <is>
          <t>B25 STETSON.MX (4)</t>
        </is>
      </c>
      <c r="AF1205" s="51" t="n">
        <v>4</v>
      </c>
      <c r="AG1205" s="156" t="inlineStr">
        <is>
          <t>Catálogo existente</t>
        </is>
      </c>
      <c r="AH120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5" s="156" t="inlineStr">
        <is>
          <t>Sí</t>
        </is>
      </c>
      <c r="AJ1205" s="156" t="inlineStr">
        <is>
          <t>STETSON AMERICAS (-1)</t>
        </is>
      </c>
      <c r="AK1205" s="155" t="inlineStr">
        <is>
          <t>Criterios: I [Q] | Shopify Stetson: producto 14789606211947 / variante 53350606143851</t>
        </is>
      </c>
      <c r="AL1205" s="58" t="n">
        <v>1260</v>
      </c>
      <c r="AM1205" s="58" t="n">
        <v>3103.448276</v>
      </c>
      <c r="AN1205" s="155" t="inlineStr">
        <is>
          <t>Shopify Stetson México</t>
        </is>
      </c>
      <c r="AO1205" s="59" t="n">
        <v>5</v>
      </c>
      <c r="AP1205" s="59" t="n"/>
      <c r="AQ1205" s="59" t="n"/>
      <c r="AR1205" s="155" t="inlineStr">
        <is>
          <t>Shopify Stetson México › Stetson México: 5</t>
        </is>
      </c>
    </row>
    <row r="1206">
      <c r="A1206" s="50" t="inlineStr">
        <is>
          <t>719280047291</t>
        </is>
      </c>
      <c r="B1206" s="51" t="inlineStr">
        <is>
          <t>110216</t>
        </is>
      </c>
      <c r="C1206" s="156" t="inlineStr">
        <is>
          <t>Multimarca</t>
        </is>
      </c>
      <c r="D1206" s="156" t="inlineStr">
        <is>
          <t>SSRNCHK014081</t>
        </is>
      </c>
      <c r="E1206" s="156" t="inlineStr">
        <is>
          <t>SSRNCHK01408174</t>
        </is>
      </c>
      <c r="F1206" s="156" t="inlineStr">
        <is>
          <t>7 1/2</t>
        </is>
      </c>
      <c r="G1206" s="156" t="inlineStr">
        <is>
          <t>7 1/2</t>
        </is>
      </c>
      <c r="H1206" s="156" t="inlineStr">
        <is>
          <t>Stetson</t>
        </is>
      </c>
      <c r="I1206" s="156" t="inlineStr">
        <is>
          <t>Texana Stetson Rancher 81 Negro Eye Natural</t>
        </is>
      </c>
      <c r="J1206" s="156" t="inlineStr">
        <is>
          <t>Accesorios</t>
        </is>
      </c>
      <c r="K1206" s="156" t="inlineStr">
        <is>
          <t>Sombreros</t>
        </is>
      </c>
      <c r="L1206" s="156" t="inlineStr">
        <is>
          <t>Unisex</t>
        </is>
      </c>
      <c r="M1206" s="156" t="inlineStr">
        <is>
          <t>Stetson</t>
        </is>
      </c>
      <c r="N1206" s="156" t="inlineStr">
        <is>
          <t>SS26</t>
        </is>
      </c>
      <c r="O1206" s="156" t="inlineStr">
        <is>
          <t>Seasonal</t>
        </is>
      </c>
      <c r="P1206" s="156" t="inlineStr">
        <is>
          <t>Beige</t>
        </is>
      </c>
      <c r="Q1206" s="156" t="n"/>
      <c r="R1206" s="156" t="inlineStr">
        <is>
          <t>Copa Rancher</t>
        </is>
      </c>
      <c r="S1206" s="156" t="inlineStr">
        <is>
          <t>100% Fieltro de lana</t>
        </is>
      </c>
      <c r="T1206"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6" s="156" t="inlineStr">
        <is>
          <t>Estados Unidos</t>
        </is>
      </c>
      <c r="V1206" s="156" t="inlineStr">
        <is>
          <t>PZS</t>
        </is>
      </c>
      <c r="W1206" s="51" t="inlineStr">
        <is>
          <t>53102503</t>
        </is>
      </c>
      <c r="X1206" s="156" t="inlineStr">
        <is>
          <t>https://cdn.shopify.com/s/files/1/0888/3250/8267/files/SSRNCHK0140-81-65-06.png?v=1760014810</t>
        </is>
      </c>
      <c r="Y1206" s="54" t="n">
        <v>1260</v>
      </c>
      <c r="Z1206" s="54" t="n">
        <v>3103.448276</v>
      </c>
      <c r="AA1206" s="55">
        <f>IF(AND(A1206="", B1206="", E1206=""), "", IF(AB1206="", "Válido", IF((LEN(AB1206)-LEN(SUBSTITUTE(AB1206,"; ","")))/2+1&gt;(LEN(AB1206)-LEN(SUBSTITUTE(AB1206,"[Aviso]","")))/7, "Con Incidencias", "Válido")))</f>
        <v/>
      </c>
      <c r="AB1206" s="56">
        <f>IF(AND(A1206="", B1206="", E1206=""), "", TEXTJOIN("; ", TRUE, IF(OR(TRIM(A1206&amp;"")="", ISNUMBER(SEARCH("FALTA", A1206))), "UPC faltante/inválido", ""), IF(AND(A1206&lt;&gt;"", IFERROR(_xlfn.XMATCH(A1206,$A$2:$A$2509,0,1)&lt;&gt;_xlfn.XMATCH(A1206,$A$2:$A$2509,0,-1),FALSE)), "Código de barras duplicado", ""), IF(AND(E1206&lt;&gt;"", COUNTIF($E$2:$E$2509, E1206)&gt;1), "SKU duplicado", ""), IF(OR(J1206="", J1206=""), "[Aviso] División no capturada ()", IF(ISNA(MATCH(J1206, Criterios!$A$123:$A$126, 0)), "División no válida", "")), IF(OR(K1206="", K1206=""), "[Aviso] Categoría no capturada ()", IF(ISNA(MATCH(K1206, Criterios!$A$81:$A$120, 0)), "Categoría no válida", IF(AND(J1206&lt;&gt;"", J1206&lt;&gt;"", J1206&lt;&gt;VLOOKUP(K1206, Criterios!$A$81:$B$120, 2, FALSE)), "División no coincide con Categoría", ""))), IF(OR(L1206="", L1206=""), "[Aviso] Género no capturado ()", IF(ISNA(MATCH(L1206, Criterios!$B$123:$B$127, 0)), "Género no válido", "")), IF(OR(N1206="", N1206=""), "[Aviso] Temporada no capturada ()", IF(ISNA(MATCH(N1206, Criterios!$C$123:$C$128, 0)), "Temporada no válida", "")), IF(OR(O1206="", O1206=""), "[Aviso] Ciclo de vida no capturado ()", IF(ISNA(MATCH(O1206, Criterios!$D$123:$D$124, 0)), "Ciclo de vida no válido", ""))))</f>
        <v/>
      </c>
      <c r="AC1206" s="56" t="n"/>
      <c r="AD1206" s="51" t="n">
        <v>0</v>
      </c>
      <c r="AE1206" s="156" t="n"/>
      <c r="AF1206" s="51" t="n">
        <v>0</v>
      </c>
      <c r="AG1206" s="156" t="inlineStr">
        <is>
          <t>Catálogo existente</t>
        </is>
      </c>
      <c r="AH120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6" s="156" t="inlineStr">
        <is>
          <t>No</t>
        </is>
      </c>
      <c r="AJ1206" s="156" t="n"/>
      <c r="AK1206" s="155" t="inlineStr">
        <is>
          <t>Criterios: I [Q] | Shopify Stetson: producto 14789606211947 / variante 53350606176619</t>
        </is>
      </c>
      <c r="AL1206" s="58" t="n">
        <v>1260</v>
      </c>
      <c r="AM1206" s="58" t="n">
        <v>3103.448276</v>
      </c>
      <c r="AN1206" s="155" t="inlineStr">
        <is>
          <t>Shopify Stetson México</t>
        </is>
      </c>
      <c r="AO1206" s="59" t="n">
        <v>0</v>
      </c>
      <c r="AP1206" s="59" t="n"/>
      <c r="AQ1206" s="59" t="n"/>
      <c r="AR1206" s="155" t="n"/>
    </row>
    <row r="1207">
      <c r="A1207" s="50" t="inlineStr">
        <is>
          <t>719280112845</t>
        </is>
      </c>
      <c r="B1207" s="51" t="inlineStr">
        <is>
          <t>110192</t>
        </is>
      </c>
      <c r="C1207" s="156" t="inlineStr">
        <is>
          <t>Multimarca</t>
        </is>
      </c>
      <c r="D1207" s="156" t="inlineStr">
        <is>
          <t>SSMDCM-664081</t>
        </is>
      </c>
      <c r="E1207" s="156" t="inlineStr">
        <is>
          <t>SSMDCM-66408171</t>
        </is>
      </c>
      <c r="F1207" s="156" t="inlineStr">
        <is>
          <t>7 1/8</t>
        </is>
      </c>
      <c r="G1207" s="156" t="inlineStr">
        <is>
          <t>7 1/8</t>
        </is>
      </c>
      <c r="H1207" s="156" t="inlineStr">
        <is>
          <t>Stetson</t>
        </is>
      </c>
      <c r="I1207" s="156" t="inlineStr">
        <is>
          <t>Sombrero Stetson Maddock Natural</t>
        </is>
      </c>
      <c r="J1207" s="156" t="inlineStr">
        <is>
          <t>Accesorios</t>
        </is>
      </c>
      <c r="K1207" s="156" t="inlineStr">
        <is>
          <t>Sombreros</t>
        </is>
      </c>
      <c r="L1207" s="156" t="inlineStr">
        <is>
          <t>Unisex</t>
        </is>
      </c>
      <c r="M1207" s="156" t="inlineStr">
        <is>
          <t>Stetson</t>
        </is>
      </c>
      <c r="N1207" s="156" t="inlineStr">
        <is>
          <t>SS26</t>
        </is>
      </c>
      <c r="O1207" s="156" t="inlineStr">
        <is>
          <t>Seasonal</t>
        </is>
      </c>
      <c r="P1207" s="156" t="inlineStr">
        <is>
          <t>Beige</t>
        </is>
      </c>
      <c r="Q1207" s="156" t="n"/>
      <c r="R1207" s="156" t="inlineStr">
        <is>
          <t>Copa Cattleman</t>
        </is>
      </c>
      <c r="S1207" s="156" t="inlineStr">
        <is>
          <t>100% Paja</t>
        </is>
      </c>
      <c r="T1207"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7" s="156" t="inlineStr">
        <is>
          <t>Estados Unidos</t>
        </is>
      </c>
      <c r="V1207" s="156" t="inlineStr">
        <is>
          <t>PZS</t>
        </is>
      </c>
      <c r="W1207" s="51" t="inlineStr">
        <is>
          <t>53102503</t>
        </is>
      </c>
      <c r="X1207" s="156" t="inlineStr">
        <is>
          <t>https://cdn.shopify.com/s/files/1/0888/3250/8267/files/SSMDCM-66408173_1.png?v=1759949226</t>
        </is>
      </c>
      <c r="Y1207" s="54" t="n">
        <v>1338.75</v>
      </c>
      <c r="Z1207" s="54" t="n">
        <v>3275.862069</v>
      </c>
      <c r="AA1207" s="55">
        <f>IF(AND(A1207="", B1207="", E1207=""), "", IF(AB1207="", "Válido", IF((LEN(AB1207)-LEN(SUBSTITUTE(AB1207,"; ","")))/2+1&gt;(LEN(AB1207)-LEN(SUBSTITUTE(AB1207,"[Aviso]","")))/7, "Con Incidencias", "Válido")))</f>
        <v/>
      </c>
      <c r="AB1207" s="56">
        <f>IF(AND(A1207="", B1207="", E1207=""), "", TEXTJOIN("; ", TRUE, IF(OR(TRIM(A1207&amp;"")="", ISNUMBER(SEARCH("FALTA", A1207))), "UPC faltante/inválido", ""), IF(AND(A1207&lt;&gt;"", IFERROR(_xlfn.XMATCH(A1207,$A$2:$A$2509,0,1)&lt;&gt;_xlfn.XMATCH(A1207,$A$2:$A$2509,0,-1),FALSE)), "Código de barras duplicado", ""), IF(AND(E1207&lt;&gt;"", COUNTIF($E$2:$E$2509, E1207)&gt;1), "SKU duplicado", ""), IF(OR(J1207="", J1207=""), "[Aviso] División no capturada ()", IF(ISNA(MATCH(J1207, Criterios!$A$123:$A$126, 0)), "División no válida", "")), IF(OR(K1207="", K1207=""), "[Aviso] Categoría no capturada ()", IF(ISNA(MATCH(K1207, Criterios!$A$81:$A$120, 0)), "Categoría no válida", IF(AND(J1207&lt;&gt;"", J1207&lt;&gt;"", J1207&lt;&gt;VLOOKUP(K1207, Criterios!$A$81:$B$120, 2, FALSE)), "División no coincide con Categoría", ""))), IF(OR(L1207="", L1207=""), "[Aviso] Género no capturado ()", IF(ISNA(MATCH(L1207, Criterios!$B$123:$B$127, 0)), "Género no válido", "")), IF(OR(N1207="", N1207=""), "[Aviso] Temporada no capturada ()", IF(ISNA(MATCH(N1207, Criterios!$C$123:$C$128, 0)), "Temporada no válida", "")), IF(OR(O1207="", O1207=""), "[Aviso] Ciclo de vida no capturado ()", IF(ISNA(MATCH(O1207, Criterios!$D$123:$D$124, 0)), "Ciclo de vida no válido", ""))))</f>
        <v/>
      </c>
      <c r="AC1207" s="56" t="n"/>
      <c r="AD1207" s="51" t="n">
        <v>0</v>
      </c>
      <c r="AE1207" s="156" t="n"/>
      <c r="AF1207" s="51" t="n">
        <v>0</v>
      </c>
      <c r="AG1207" s="156" t="inlineStr">
        <is>
          <t>Catálogo existente</t>
        </is>
      </c>
      <c r="AH1207"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07" s="156" t="inlineStr">
        <is>
          <t>No</t>
        </is>
      </c>
      <c r="AJ1207" s="156" t="n"/>
      <c r="AK1207" s="155" t="inlineStr">
        <is>
          <t>Criterios: I [Q] | Shopify Stetson: producto 14789227184491 / variante 53350607323499</t>
        </is>
      </c>
      <c r="AL1207" s="58" t="n">
        <v>1338.75</v>
      </c>
      <c r="AM1207" s="58" t="n">
        <v>3275.862069</v>
      </c>
      <c r="AN1207" s="155" t="inlineStr">
        <is>
          <t>Shopify Stetson México</t>
        </is>
      </c>
      <c r="AO1207" s="59" t="n">
        <v>1</v>
      </c>
      <c r="AP1207" s="59" t="n"/>
      <c r="AQ1207" s="59" t="n"/>
      <c r="AR1207" s="155" t="inlineStr">
        <is>
          <t>Shopify Stetson México › Stetson Americas: 1</t>
        </is>
      </c>
    </row>
    <row r="1208">
      <c r="A1208" s="50" t="inlineStr">
        <is>
          <t>719280112852</t>
        </is>
      </c>
      <c r="B1208" s="51" t="inlineStr">
        <is>
          <t>110193</t>
        </is>
      </c>
      <c r="C1208" s="156" t="inlineStr">
        <is>
          <t>Multimarca</t>
        </is>
      </c>
      <c r="D1208" s="156" t="inlineStr">
        <is>
          <t>SSMDCM-664081</t>
        </is>
      </c>
      <c r="E1208" s="156" t="inlineStr">
        <is>
          <t>SSMDCM-66408172</t>
        </is>
      </c>
      <c r="F1208" s="156" t="inlineStr">
        <is>
          <t>7 1/4</t>
        </is>
      </c>
      <c r="G1208" s="156" t="inlineStr">
        <is>
          <t>7 1/4</t>
        </is>
      </c>
      <c r="H1208" s="156" t="inlineStr">
        <is>
          <t>Stetson</t>
        </is>
      </c>
      <c r="I1208" s="156" t="inlineStr">
        <is>
          <t>Sombrero Stetson Maddock Natural</t>
        </is>
      </c>
      <c r="J1208" s="156" t="inlineStr">
        <is>
          <t>Accesorios</t>
        </is>
      </c>
      <c r="K1208" s="156" t="inlineStr">
        <is>
          <t>Sombreros</t>
        </is>
      </c>
      <c r="L1208" s="156" t="inlineStr">
        <is>
          <t>Unisex</t>
        </is>
      </c>
      <c r="M1208" s="156" t="inlineStr">
        <is>
          <t>Stetson</t>
        </is>
      </c>
      <c r="N1208" s="156" t="inlineStr">
        <is>
          <t>SS26</t>
        </is>
      </c>
      <c r="O1208" s="156" t="inlineStr">
        <is>
          <t>Seasonal</t>
        </is>
      </c>
      <c r="P1208" s="156" t="inlineStr">
        <is>
          <t>Beige</t>
        </is>
      </c>
      <c r="Q1208" s="156" t="n"/>
      <c r="R1208" s="156" t="inlineStr">
        <is>
          <t>Copa Cattleman</t>
        </is>
      </c>
      <c r="S1208" s="156" t="inlineStr">
        <is>
          <t>100% Paja</t>
        </is>
      </c>
      <c r="T1208"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8" s="156" t="inlineStr">
        <is>
          <t>Estados Unidos</t>
        </is>
      </c>
      <c r="V1208" s="156" t="inlineStr">
        <is>
          <t>PZS</t>
        </is>
      </c>
      <c r="W1208" s="51" t="inlineStr">
        <is>
          <t>53102503</t>
        </is>
      </c>
      <c r="X1208" s="156" t="inlineStr">
        <is>
          <t>https://cdn.shopify.com/s/files/1/0888/3250/8267/files/SSMDCM-66408173_2.png?v=1759949226</t>
        </is>
      </c>
      <c r="Y1208" s="54" t="n">
        <v>1338.75</v>
      </c>
      <c r="Z1208" s="54" t="n">
        <v>3275.862069</v>
      </c>
      <c r="AA1208" s="55">
        <f>IF(AND(A1208="", B1208="", E1208=""), "", IF(AB1208="", "Válido", IF((LEN(AB1208)-LEN(SUBSTITUTE(AB1208,"; ","")))/2+1&gt;(LEN(AB1208)-LEN(SUBSTITUTE(AB1208,"[Aviso]","")))/7, "Con Incidencias", "Válido")))</f>
        <v/>
      </c>
      <c r="AB1208" s="56">
        <f>IF(AND(A1208="", B1208="", E1208=""), "", TEXTJOIN("; ", TRUE, IF(OR(TRIM(A1208&amp;"")="", ISNUMBER(SEARCH("FALTA", A1208))), "UPC faltante/inválido", ""), IF(AND(A1208&lt;&gt;"", IFERROR(_xlfn.XMATCH(A1208,$A$2:$A$2509,0,1)&lt;&gt;_xlfn.XMATCH(A1208,$A$2:$A$2509,0,-1),FALSE)), "Código de barras duplicado", ""), IF(AND(E1208&lt;&gt;"", COUNTIF($E$2:$E$2509, E1208)&gt;1), "SKU duplicado", ""), IF(OR(J1208="", J1208=""), "[Aviso] División no capturada ()", IF(ISNA(MATCH(J1208, Criterios!$A$123:$A$126, 0)), "División no válida", "")), IF(OR(K1208="", K1208=""), "[Aviso] Categoría no capturada ()", IF(ISNA(MATCH(K1208, Criterios!$A$81:$A$120, 0)), "Categoría no válida", IF(AND(J1208&lt;&gt;"", J1208&lt;&gt;"", J1208&lt;&gt;VLOOKUP(K1208, Criterios!$A$81:$B$120, 2, FALSE)), "División no coincide con Categoría", ""))), IF(OR(L1208="", L1208=""), "[Aviso] Género no capturado ()", IF(ISNA(MATCH(L1208, Criterios!$B$123:$B$127, 0)), "Género no válido", "")), IF(OR(N1208="", N1208=""), "[Aviso] Temporada no capturada ()", IF(ISNA(MATCH(N1208, Criterios!$C$123:$C$128, 0)), "Temporada no válida", "")), IF(OR(O1208="", O1208=""), "[Aviso] Ciclo de vida no capturado ()", IF(ISNA(MATCH(O1208, Criterios!$D$123:$D$124, 0)), "Ciclo de vida no válido", ""))))</f>
        <v/>
      </c>
      <c r="AC1208" s="56" t="n"/>
      <c r="AD1208" s="51" t="n">
        <v>-1</v>
      </c>
      <c r="AE1208" s="156" t="n"/>
      <c r="AF1208" s="51" t="n">
        <v>0</v>
      </c>
      <c r="AG1208" s="156" t="inlineStr">
        <is>
          <t>Catálogo existente</t>
        </is>
      </c>
      <c r="AH120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08" s="156" t="inlineStr">
        <is>
          <t>Sí</t>
        </is>
      </c>
      <c r="AJ1208" s="156" t="inlineStr">
        <is>
          <t>STETSON AMERICAS (-1)</t>
        </is>
      </c>
      <c r="AK1208" s="155" t="inlineStr">
        <is>
          <t>Criterios: I [Q] | Shopify Stetson: producto 14789227184491 / variante 53350607356267</t>
        </is>
      </c>
      <c r="AL1208" s="58" t="n">
        <v>1338.75</v>
      </c>
      <c r="AM1208" s="58" t="n">
        <v>3275.862069</v>
      </c>
      <c r="AN1208" s="155" t="inlineStr">
        <is>
          <t>Shopify Stetson México</t>
        </is>
      </c>
      <c r="AO1208" s="59" t="n">
        <v>0</v>
      </c>
      <c r="AP1208" s="59" t="n"/>
      <c r="AQ1208" s="59" t="n"/>
      <c r="AR1208" s="155" t="n"/>
    </row>
    <row r="1209">
      <c r="A1209" s="50" t="inlineStr">
        <is>
          <t>719280112869</t>
        </is>
      </c>
      <c r="B1209" s="51" t="inlineStr">
        <is>
          <t>110194</t>
        </is>
      </c>
      <c r="C1209" s="156" t="inlineStr">
        <is>
          <t>Multimarca</t>
        </is>
      </c>
      <c r="D1209" s="156" t="inlineStr">
        <is>
          <t>SSMDCM-664081</t>
        </is>
      </c>
      <c r="E1209" s="156" t="inlineStr">
        <is>
          <t>SSMDCM-66408173</t>
        </is>
      </c>
      <c r="F1209" s="156" t="inlineStr">
        <is>
          <t>7 3/8</t>
        </is>
      </c>
      <c r="G1209" s="156" t="inlineStr">
        <is>
          <t>7 3/8</t>
        </is>
      </c>
      <c r="H1209" s="156" t="inlineStr">
        <is>
          <t>Stetson</t>
        </is>
      </c>
      <c r="I1209" s="156" t="inlineStr">
        <is>
          <t>Sombrero Stetson Maddock Natural</t>
        </is>
      </c>
      <c r="J1209" s="156" t="inlineStr">
        <is>
          <t>Accesorios</t>
        </is>
      </c>
      <c r="K1209" s="156" t="inlineStr">
        <is>
          <t>Sombreros</t>
        </is>
      </c>
      <c r="L1209" s="156" t="inlineStr">
        <is>
          <t>Unisex</t>
        </is>
      </c>
      <c r="M1209" s="156" t="inlineStr">
        <is>
          <t>Stetson</t>
        </is>
      </c>
      <c r="N1209" s="156" t="inlineStr">
        <is>
          <t>SS26</t>
        </is>
      </c>
      <c r="O1209" s="156" t="inlineStr">
        <is>
          <t>Seasonal</t>
        </is>
      </c>
      <c r="P1209" s="156" t="inlineStr">
        <is>
          <t>Beige</t>
        </is>
      </c>
      <c r="Q1209" s="156" t="n"/>
      <c r="R1209" s="156" t="inlineStr">
        <is>
          <t>Copa Cattleman</t>
        </is>
      </c>
      <c r="S1209" s="156" t="inlineStr">
        <is>
          <t>100% Paja</t>
        </is>
      </c>
      <c r="T1209"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9" s="156" t="inlineStr">
        <is>
          <t>Estados Unidos</t>
        </is>
      </c>
      <c r="V1209" s="156" t="inlineStr">
        <is>
          <t>PZS</t>
        </is>
      </c>
      <c r="W1209" s="51" t="inlineStr">
        <is>
          <t>53102503</t>
        </is>
      </c>
      <c r="X1209" s="156" t="inlineStr">
        <is>
          <t>https://cdn.shopify.com/s/files/1/0888/3250/8267/files/SSMDCM-66408173_3.png?v=1759949226</t>
        </is>
      </c>
      <c r="Y1209" s="54" t="n">
        <v>1338.75</v>
      </c>
      <c r="Z1209" s="54" t="n">
        <v>3275.862069</v>
      </c>
      <c r="AA1209" s="55">
        <f>IF(AND(A1209="", B1209="", E1209=""), "", IF(AB1209="", "Válido", IF((LEN(AB1209)-LEN(SUBSTITUTE(AB1209,"; ","")))/2+1&gt;(LEN(AB1209)-LEN(SUBSTITUTE(AB1209,"[Aviso]","")))/7, "Con Incidencias", "Válido")))</f>
        <v/>
      </c>
      <c r="AB1209" s="56">
        <f>IF(AND(A1209="", B1209="", E1209=""), "", TEXTJOIN("; ", TRUE, IF(OR(TRIM(A1209&amp;"")="", ISNUMBER(SEARCH("FALTA", A1209))), "UPC faltante/inválido", ""), IF(AND(A1209&lt;&gt;"", IFERROR(_xlfn.XMATCH(A1209,$A$2:$A$2509,0,1)&lt;&gt;_xlfn.XMATCH(A1209,$A$2:$A$2509,0,-1),FALSE)), "Código de barras duplicado", ""), IF(AND(E1209&lt;&gt;"", COUNTIF($E$2:$E$2509, E1209)&gt;1), "SKU duplicado", ""), IF(OR(J1209="", J1209=""), "[Aviso] División no capturada ()", IF(ISNA(MATCH(J1209, Criterios!$A$123:$A$126, 0)), "División no válida", "")), IF(OR(K1209="", K1209=""), "[Aviso] Categoría no capturada ()", IF(ISNA(MATCH(K1209, Criterios!$A$81:$A$120, 0)), "Categoría no válida", IF(AND(J1209&lt;&gt;"", J1209&lt;&gt;"", J1209&lt;&gt;VLOOKUP(K1209, Criterios!$A$81:$B$120, 2, FALSE)), "División no coincide con Categoría", ""))), IF(OR(L1209="", L1209=""), "[Aviso] Género no capturado ()", IF(ISNA(MATCH(L1209, Criterios!$B$123:$B$127, 0)), "Género no válido", "")), IF(OR(N1209="", N1209=""), "[Aviso] Temporada no capturada ()", IF(ISNA(MATCH(N1209, Criterios!$C$123:$C$128, 0)), "Temporada no válida", "")), IF(OR(O1209="", O1209=""), "[Aviso] Ciclo de vida no capturado ()", IF(ISNA(MATCH(O1209, Criterios!$D$123:$D$124, 0)), "Ciclo de vida no válido", ""))))</f>
        <v/>
      </c>
      <c r="AC1209" s="56" t="n"/>
      <c r="AD1209" s="51" t="n">
        <v>-1</v>
      </c>
      <c r="AE1209" s="156" t="n"/>
      <c r="AF1209" s="51" t="n">
        <v>0</v>
      </c>
      <c r="AG1209" s="156" t="inlineStr">
        <is>
          <t>Catálogo existente</t>
        </is>
      </c>
      <c r="AH120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 | 01/10/2026: Odoo Universal Unique Brands trae Color «Varios» — se conservó el valor de Productos</t>
        </is>
      </c>
      <c r="AI1209" s="156" t="inlineStr">
        <is>
          <t>Sí</t>
        </is>
      </c>
      <c r="AJ1209" s="156" t="inlineStr">
        <is>
          <t>STETSON AMERICAS (-1)</t>
        </is>
      </c>
      <c r="AK1209" s="155" t="inlineStr">
        <is>
          <t>Criterios: I [Q] | Shopify Stetson: producto 14789227184491 / variante 53350607389035 | Odoo: producto 13015 / plantilla 16592</t>
        </is>
      </c>
      <c r="AL1209" s="58" t="n">
        <v>1338.75</v>
      </c>
      <c r="AM1209" s="58" t="n">
        <v>3275.862069</v>
      </c>
      <c r="AN1209" s="155" t="inlineStr">
        <is>
          <t>Shopify Stetson México | Odoo Universal Unique Brands</t>
        </is>
      </c>
      <c r="AO1209" s="59" t="n">
        <v>0</v>
      </c>
      <c r="AP1209" s="59" t="n"/>
      <c r="AQ1209" s="59" t="n">
        <v>1</v>
      </c>
      <c r="AR1209" s="155" t="inlineStr">
        <is>
          <t>Odoo Universal Unique Brands › Stetson Americas › Stetson Americas/Stock: 1</t>
        </is>
      </c>
    </row>
    <row r="1210">
      <c r="A1210" s="50" t="inlineStr">
        <is>
          <t>719280342105</t>
        </is>
      </c>
      <c r="B1210" s="51" t="inlineStr">
        <is>
          <t>110217</t>
        </is>
      </c>
      <c r="C1210" s="156" t="inlineStr">
        <is>
          <t>Multimarca</t>
        </is>
      </c>
      <c r="D1210" s="156" t="inlineStr">
        <is>
          <t>SSROJR-B23481</t>
        </is>
      </c>
      <c r="E1210" s="156" t="inlineStr">
        <is>
          <t>SSROJR-B23481AL</t>
        </is>
      </c>
      <c r="F1210" s="156" t="inlineStr">
        <is>
          <t>Talla única</t>
        </is>
      </c>
      <c r="G1210" s="156" t="inlineStr">
        <is>
          <t>One Size</t>
        </is>
      </c>
      <c r="H1210" s="156" t="inlineStr">
        <is>
          <t>Stetson</t>
        </is>
      </c>
      <c r="I1210" s="156" t="inlineStr">
        <is>
          <t>Sombrero Stetson Rodeo Jr Eyelets Natural</t>
        </is>
      </c>
      <c r="J1210" s="156" t="inlineStr">
        <is>
          <t>Accesorios</t>
        </is>
      </c>
      <c r="K1210" s="156" t="inlineStr">
        <is>
          <t>Sombreros</t>
        </is>
      </c>
      <c r="L1210" s="156" t="inlineStr">
        <is>
          <t>Unisex</t>
        </is>
      </c>
      <c r="M1210" s="156" t="inlineStr">
        <is>
          <t>Stetson</t>
        </is>
      </c>
      <c r="N1210" s="156" t="inlineStr">
        <is>
          <t>SS26</t>
        </is>
      </c>
      <c r="O1210" s="156" t="inlineStr">
        <is>
          <t>Seasonal</t>
        </is>
      </c>
      <c r="P1210" s="156" t="inlineStr">
        <is>
          <t>Beige</t>
        </is>
      </c>
      <c r="Q1210" s="156" t="n"/>
      <c r="R1210" s="156" t="inlineStr">
        <is>
          <t>Copa Cattleman</t>
        </is>
      </c>
      <c r="S1210" s="156" t="inlineStr">
        <is>
          <t>100% Paja</t>
        </is>
      </c>
      <c r="T1210" s="156" t="inlineStr">
        <is>
          <t>Hecho a mano una hebra a la vez en EE. UU., este sombrero juvenil combina artesanía tradicional con comodidad y estilo clásico. Fabricado con 100% Shantung Straw de alta calidad, cuenta con una copa Cattleman oval regular de 4 ¼” y un ala de 3 ½” con borde curvado, proporcionando un perfil auténtico de vaquero.
 La banda de 2 capas de grosgrain incluye el pin de la marca JBS, mientras que los ojales en la copa ofrecen ventilación adicional. La banda interior elástica está diseñada para ajustarse cómodamente a la mayoría de los jóvenes, con un tamaño de cabeza de hasta 54 cm.
 Características:
 • Copa: 4 ¼” Regular Oval Cattleman
 • Ala: 3 ½” curva con borde afilado
 • Ojales para ventilación
 • Banda externa: 2-ply Grosgrain con pin JBS
 • Banda interna: Elástica, ajustable
 • Material: 100% Shantung Straw
 • Hecho a mano en EE. UU.
 Un sombrero juvenil que combina estilo clásico de vaquero, confort y durabilidad, ideal para pequeños vaqueros que buscan un look auténtico.</t>
        </is>
      </c>
      <c r="U1210" s="156" t="inlineStr">
        <is>
          <t>Estados Unidos</t>
        </is>
      </c>
      <c r="V1210" s="156" t="inlineStr">
        <is>
          <t>PZS</t>
        </is>
      </c>
      <c r="W1210" s="51" t="inlineStr">
        <is>
          <t>53102503</t>
        </is>
      </c>
      <c r="X1210" s="156" t="inlineStr">
        <is>
          <t>https://cdn.shopify.com/s/files/1/0888/3250/8267/files/SSROJR-B23481AL_1.png?v=1759531825</t>
        </is>
      </c>
      <c r="Y1210" s="54" t="n">
        <v>315</v>
      </c>
      <c r="Z1210" s="54" t="n">
        <v>818.9655172</v>
      </c>
      <c r="AA1210" s="55">
        <f>IF(AND(A1210="", B1210="", E1210=""), "", IF(AB1210="", "Válido", IF((LEN(AB1210)-LEN(SUBSTITUTE(AB1210,"; ","")))/2+1&gt;(LEN(AB1210)-LEN(SUBSTITUTE(AB1210,"[Aviso]","")))/7, "Con Incidencias", "Válido")))</f>
        <v/>
      </c>
      <c r="AB1210" s="56">
        <f>IF(AND(A1210="", B1210="", E1210=""), "", TEXTJOIN("; ", TRUE, IF(OR(TRIM(A1210&amp;"")="", ISNUMBER(SEARCH("FALTA", A1210))), "UPC faltante/inválido", ""), IF(AND(A1210&lt;&gt;"", IFERROR(_xlfn.XMATCH(A1210,$A$2:$A$2509,0,1)&lt;&gt;_xlfn.XMATCH(A1210,$A$2:$A$2509,0,-1),FALSE)), "Código de barras duplicado", ""), IF(AND(E1210&lt;&gt;"", COUNTIF($E$2:$E$2509, E1210)&gt;1), "SKU duplicado", ""), IF(OR(J1210="", J1210=""), "[Aviso] División no capturada ()", IF(ISNA(MATCH(J1210, Criterios!$A$123:$A$126, 0)), "División no válida", "")), IF(OR(K1210="", K1210=""), "[Aviso] Categoría no capturada ()", IF(ISNA(MATCH(K1210, Criterios!$A$81:$A$120, 0)), "Categoría no válida", IF(AND(J1210&lt;&gt;"", J1210&lt;&gt;"", J1210&lt;&gt;VLOOKUP(K1210, Criterios!$A$81:$B$120, 2, FALSE)), "División no coincide con Categoría", ""))), IF(OR(L1210="", L1210=""), "[Aviso] Género no capturado ()", IF(ISNA(MATCH(L1210, Criterios!$B$123:$B$127, 0)), "Género no válido", "")), IF(OR(N1210="", N1210=""), "[Aviso] Temporada no capturada ()", IF(ISNA(MATCH(N1210, Criterios!$C$123:$C$128, 0)), "Temporada no válida", "")), IF(OR(O1210="", O1210=""), "[Aviso] Ciclo de vida no capturado ()", IF(ISNA(MATCH(O1210, Criterios!$D$123:$D$124, 0)), "Ciclo de vida no válido", ""))))</f>
        <v/>
      </c>
      <c r="AC1210" s="56" t="n"/>
      <c r="AD1210" s="51" t="n">
        <v>-2</v>
      </c>
      <c r="AE1210" s="156" t="inlineStr">
        <is>
          <t>B25 STETSON.MX (1)</t>
        </is>
      </c>
      <c r="AF1210" s="51" t="n">
        <v>1</v>
      </c>
      <c r="AG1210" s="156" t="inlineStr">
        <is>
          <t>Catálogo existente</t>
        </is>
      </c>
      <c r="AH1210" s="156" t="inlineStr">
        <is>
          <t>Stock negativo en sistema: revisar en conteo | Revisión 29/09/2026: Talla fuente Talla única sin equivalencia exacta en Criterios para Talla Sombrero; Campos sin respaldo: U | 01/10/2026: complementado desde Shopify Stetson México (match por código de barras): WB Fit, WB Silueta | 01/10/2026: Shopify Stetson México trae Género «Niño», Color «Varios» — se conservó el valor de Productos | 01/10/2026: Odoo Universal Unique Brands trae Color «Varios» — se conservó el valor de Productos | Homologación G1522 06/10/2026: WB País de origen: «» → «Estados Unidos» (Completado por investigación en línea)</t>
        </is>
      </c>
      <c r="AI1210" s="156" t="inlineStr">
        <is>
          <t>Sí</t>
        </is>
      </c>
      <c r="AJ1210" s="156" t="inlineStr">
        <is>
          <t>STETSON AMERICAS (-3)</t>
        </is>
      </c>
      <c r="AK1210" s="155" t="inlineStr">
        <is>
          <t>Criterios: I [Q] | Shopify Stetson: producto 14786737242475 / variante 53350610862443 | Odoo: producto 13058 / plantilla 16635 | Investigación en línea 06/10/2026: https://www.stetson.com/products/rodeo-jr-youth-straw-cowboy-hat</t>
        </is>
      </c>
      <c r="AL1210" s="58" t="n">
        <v>315</v>
      </c>
      <c r="AM1210" s="58" t="n">
        <v>818.9655172</v>
      </c>
      <c r="AN1210" s="155" t="inlineStr">
        <is>
          <t>Shopify Stetson México | Odoo Universal Unique Brands</t>
        </is>
      </c>
      <c r="AO1210" s="59" t="n">
        <v>1</v>
      </c>
      <c r="AP1210" s="59" t="n"/>
      <c r="AQ1210" s="59" t="n">
        <v>7</v>
      </c>
      <c r="AR1210" s="155" t="inlineStr">
        <is>
          <t>Shopify Stetson México › Stetson México: 1 | Odoo Universal Unique Brands › Bodega 25 › Bodega 25/General: 7</t>
        </is>
      </c>
    </row>
    <row r="1211">
      <c r="A1211" s="50" t="inlineStr">
        <is>
          <t>719280424245</t>
        </is>
      </c>
      <c r="B1211" s="51" t="inlineStr">
        <is>
          <t>110219</t>
        </is>
      </c>
      <c r="C1211" s="156" t="inlineStr">
        <is>
          <t>Multimarca</t>
        </is>
      </c>
      <c r="D1211" s="156" t="inlineStr">
        <is>
          <t>SSSTGJ-703681</t>
        </is>
      </c>
      <c r="E1211" s="156" t="inlineStr">
        <is>
          <t>SSSTGJ-703681AL</t>
        </is>
      </c>
      <c r="F1211" s="156" t="inlineStr">
        <is>
          <t>Talla única</t>
        </is>
      </c>
      <c r="G1211" s="156" t="inlineStr">
        <is>
          <t>One Size</t>
        </is>
      </c>
      <c r="H1211" s="156" t="inlineStr">
        <is>
          <t>Stetson</t>
        </is>
      </c>
      <c r="I1211" s="156" t="inlineStr">
        <is>
          <t>Texana Stetson Short Go Jr Eyelets Natural</t>
        </is>
      </c>
      <c r="J1211" s="156" t="inlineStr">
        <is>
          <t>Accesorios</t>
        </is>
      </c>
      <c r="K1211" s="156" t="inlineStr">
        <is>
          <t>Sombreros</t>
        </is>
      </c>
      <c r="L1211" s="156" t="inlineStr">
        <is>
          <t>Unisex</t>
        </is>
      </c>
      <c r="M1211" s="156" t="inlineStr">
        <is>
          <t>Stetson</t>
        </is>
      </c>
      <c r="N1211" s="156" t="inlineStr">
        <is>
          <t>SS26</t>
        </is>
      </c>
      <c r="O1211" s="156" t="inlineStr">
        <is>
          <t>Seasonal</t>
        </is>
      </c>
      <c r="P1211" s="156" t="inlineStr">
        <is>
          <t>Beige</t>
        </is>
      </c>
      <c r="Q1211" s="156" t="n"/>
      <c r="R1211" s="156" t="inlineStr">
        <is>
          <t>Copa Cattleman</t>
        </is>
      </c>
      <c r="S1211" s="156" t="inlineStr">
        <is>
          <t>100% Fieltro de lana</t>
        </is>
      </c>
      <c r="T1211" s="156" t="inlineStr">
        <is>
          <t>Texana Stetson Short Go Jr Eyelets Natural.
 Composición: 100% Fieltro de lana.
 Color: Natural.</t>
        </is>
      </c>
      <c r="U1211" s="156" t="n"/>
      <c r="V1211" s="156" t="inlineStr">
        <is>
          <t>PZS</t>
        </is>
      </c>
      <c r="W1211" s="51" t="inlineStr">
        <is>
          <t>53102503</t>
        </is>
      </c>
      <c r="X1211" s="156" t="inlineStr">
        <is>
          <t>https://cdn.shopify.com/s/files/1/0089/1541/9195/files/medium_35831462-5330-4292-a8cb-a56e4d791c85.jpg?v=1765644319</t>
        </is>
      </c>
      <c r="Y1211" s="54" t="n">
        <v>315</v>
      </c>
      <c r="Z1211" s="54" t="n">
        <v>818.9655172</v>
      </c>
      <c r="AA1211" s="55">
        <f>IF(AND(A1211="", B1211="", E1211=""), "", IF(AB1211="", "Válido", IF((LEN(AB1211)-LEN(SUBSTITUTE(AB1211,"; ","")))/2+1&gt;(LEN(AB1211)-LEN(SUBSTITUTE(AB1211,"[Aviso]","")))/7, "Con Incidencias", "Válido")))</f>
        <v/>
      </c>
      <c r="AB1211" s="56">
        <f>IF(AND(A1211="", B1211="", E1211=""), "", TEXTJOIN("; ", TRUE, IF(OR(TRIM(A1211&amp;"")="", ISNUMBER(SEARCH("FALTA", A1211))), "UPC faltante/inválido", ""), IF(AND(A1211&lt;&gt;"", IFERROR(_xlfn.XMATCH(A1211,$A$2:$A$2509,0,1)&lt;&gt;_xlfn.XMATCH(A1211,$A$2:$A$2509,0,-1),FALSE)), "Código de barras duplicado", ""), IF(AND(E1211&lt;&gt;"", COUNTIF($E$2:$E$2509, E1211)&gt;1), "SKU duplicado", ""), IF(OR(J1211="", J1211=""), "[Aviso] División no capturada ()", IF(ISNA(MATCH(J1211, Criterios!$A$123:$A$126, 0)), "División no válida", "")), IF(OR(K1211="", K1211=""), "[Aviso] Categoría no capturada ()", IF(ISNA(MATCH(K1211, Criterios!$A$81:$A$120, 0)), "Categoría no válida", IF(AND(J1211&lt;&gt;"", J1211&lt;&gt;"", J1211&lt;&gt;VLOOKUP(K1211, Criterios!$A$81:$B$120, 2, FALSE)), "División no coincide con Categoría", ""))), IF(OR(L1211="", L1211=""), "[Aviso] Género no capturado ()", IF(ISNA(MATCH(L1211, Criterios!$B$123:$B$127, 0)), "Género no válido", "")), IF(OR(N1211="", N1211=""), "[Aviso] Temporada no capturada ()", IF(ISNA(MATCH(N1211, Criterios!$C$123:$C$128, 0)), "Temporada no válida", "")), IF(OR(O1211="", O1211=""), "[Aviso] Ciclo de vida no capturado ()", IF(ISNA(MATCH(O1211, Criterios!$D$123:$D$124, 0)), "Ciclo de vida no válido", ""))))</f>
        <v/>
      </c>
      <c r="AC1211" s="56" t="n"/>
      <c r="AD1211" s="51" t="n">
        <v>5</v>
      </c>
      <c r="AE1211" s="156" t="inlineStr">
        <is>
          <t>B25 STETSON.MX (7)</t>
        </is>
      </c>
      <c r="AF1211" s="51" t="n">
        <v>7</v>
      </c>
      <c r="AG1211" s="156" t="inlineStr">
        <is>
          <t>Catálogo existente</t>
        </is>
      </c>
      <c r="AH1211" s="156" t="inlineStr">
        <is>
          <t>Revisión 29/09/2026: Talla fuente Talla única sin equivalencia exacta en Criterios para Talla Sombrero; Campos sin respaldo: U, X | 01/10/2026: complementado desde Shopify Stetson México (match por código de barras): WB Fit | 01/10/2026: complementado desde Odoo Universal Unique Brands (match por código de barras): WB Silueta | 01/10/2026: Odoo Universal Unique Brands trae Categoría «Shorts» — se conservó el valor de Productos | Homologación G1522 06/10/2026: WB Silueta: «» → «Copa Cattleman» (Completado por investigación en línea) · Enlace de imagen: «» → «https://cdn.shopify.com/s/files/1/0089/1541/9195/files/medium_35831462-5330-4292-a8cb-a56e4d791c85.jpg?v=1765644319» (Completado por investigación en línea)</t>
        </is>
      </c>
      <c r="AI1211" s="156" t="inlineStr">
        <is>
          <t>Sí</t>
        </is>
      </c>
      <c r="AJ1211" s="156" t="inlineStr">
        <is>
          <t>STETSON AMERICAS (-2)</t>
        </is>
      </c>
      <c r="AK1211" s="155" t="inlineStr">
        <is>
          <t>Criterios: I [Q] | Shopify Stetson: producto 15056329146731 / variante 53357913080171 | Odoo: producto 14354 / plantilla 17931 | Investigación en línea 06/10/2026: https://www.willowlanehats.com/products/stetson-short-go-jr-childrens-straw-cowboy-hat</t>
        </is>
      </c>
      <c r="AL1211" s="58" t="n">
        <v>315</v>
      </c>
      <c r="AM1211" s="58" t="n">
        <v>818.9655172</v>
      </c>
      <c r="AN1211" s="155" t="inlineStr">
        <is>
          <t>Shopify Stetson México | Odoo Universal Unique Brands</t>
        </is>
      </c>
      <c r="AO1211" s="59" t="n">
        <v>1</v>
      </c>
      <c r="AP1211" s="59" t="n"/>
      <c r="AQ1211" s="59" t="n">
        <v>10</v>
      </c>
      <c r="AR1211" s="155" t="inlineStr">
        <is>
          <t>Shopify Stetson México › Stetson Americas: 1 | Odoo Universal Unique Brands › Bodega 25 › Bodega 25/General: 10</t>
        </is>
      </c>
    </row>
    <row r="1212">
      <c r="A1212" s="50" t="inlineStr">
        <is>
          <t>719280453405</t>
        </is>
      </c>
      <c r="B1212" s="51" t="inlineStr">
        <is>
          <t>110134</t>
        </is>
      </c>
      <c r="C1212" s="156" t="inlineStr">
        <is>
          <t>Multimarca</t>
        </is>
      </c>
      <c r="D1212" s="156" t="inlineStr">
        <is>
          <t>SSANGSN284081</t>
        </is>
      </c>
      <c r="E1212" s="156" t="inlineStr">
        <is>
          <t>SSANGSN28408170</t>
        </is>
      </c>
      <c r="F1212" s="156" t="inlineStr">
        <is>
          <t>7</t>
        </is>
      </c>
      <c r="G1212" s="156" t="inlineStr">
        <is>
          <t>7</t>
        </is>
      </c>
      <c r="H1212" s="156" t="inlineStr">
        <is>
          <t>Stetson</t>
        </is>
      </c>
      <c r="I1212" s="156" t="inlineStr">
        <is>
          <t>Sombrero Stetson Angus Natural</t>
        </is>
      </c>
      <c r="J1212" s="156" t="inlineStr">
        <is>
          <t>Accesorios</t>
        </is>
      </c>
      <c r="K1212" s="156" t="inlineStr">
        <is>
          <t>Sombreros</t>
        </is>
      </c>
      <c r="L1212" s="156" t="inlineStr">
        <is>
          <t>Unisex</t>
        </is>
      </c>
      <c r="M1212" s="156" t="inlineStr">
        <is>
          <t>Stetson</t>
        </is>
      </c>
      <c r="N1212" s="156" t="inlineStr">
        <is>
          <t>SS26</t>
        </is>
      </c>
      <c r="O1212" s="156" t="inlineStr">
        <is>
          <t>Seasonal</t>
        </is>
      </c>
      <c r="P1212" s="156" t="inlineStr">
        <is>
          <t>Beige</t>
        </is>
      </c>
      <c r="Q1212" s="156" t="n"/>
      <c r="R1212" s="156" t="inlineStr">
        <is>
          <t>Copa Cattleman</t>
        </is>
      </c>
      <c r="S1212" s="156" t="inlineStr">
        <is>
          <t>100% Paja</t>
        </is>
      </c>
      <c r="T1212"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2" s="156" t="inlineStr">
        <is>
          <t>Estados Unidos</t>
        </is>
      </c>
      <c r="V1212" s="156" t="inlineStr">
        <is>
          <t>PZS</t>
        </is>
      </c>
      <c r="W1212" s="51" t="inlineStr">
        <is>
          <t>53102503</t>
        </is>
      </c>
      <c r="X1212" s="156" t="inlineStr">
        <is>
          <t>https://cdn.shopify.com/s/files/1/0888/3250/8267/files/SSANGSN284081-01.jpg?v=1759848022</t>
        </is>
      </c>
      <c r="Y1212" s="54" t="n">
        <v>1338.75</v>
      </c>
      <c r="Z1212" s="54" t="n">
        <v>3275.862069</v>
      </c>
      <c r="AA1212" s="55">
        <f>IF(AND(A1212="", B1212="", E1212=""), "", IF(AB1212="", "Válido", IF((LEN(AB1212)-LEN(SUBSTITUTE(AB1212,"; ","")))/2+1&gt;(LEN(AB1212)-LEN(SUBSTITUTE(AB1212,"[Aviso]","")))/7, "Con Incidencias", "Válido")))</f>
        <v/>
      </c>
      <c r="AB1212" s="56">
        <f>IF(AND(A1212="", B1212="", E1212=""), "", TEXTJOIN("; ", TRUE, IF(OR(TRIM(A1212&amp;"")="", ISNUMBER(SEARCH("FALTA", A1212))), "UPC faltante/inválido", ""), IF(AND(A1212&lt;&gt;"", IFERROR(_xlfn.XMATCH(A1212,$A$2:$A$2509,0,1)&lt;&gt;_xlfn.XMATCH(A1212,$A$2:$A$2509,0,-1),FALSE)), "Código de barras duplicado", ""), IF(AND(E1212&lt;&gt;"", COUNTIF($E$2:$E$2509, E1212)&gt;1), "SKU duplicado", ""), IF(OR(J1212="", J1212=""), "[Aviso] División no capturada ()", IF(ISNA(MATCH(J1212, Criterios!$A$123:$A$126, 0)), "División no válida", "")), IF(OR(K1212="", K1212=""), "[Aviso] Categoría no capturada ()", IF(ISNA(MATCH(K1212, Criterios!$A$81:$A$120, 0)), "Categoría no válida", IF(AND(J1212&lt;&gt;"", J1212&lt;&gt;"", J1212&lt;&gt;VLOOKUP(K1212, Criterios!$A$81:$B$120, 2, FALSE)), "División no coincide con Categoría", ""))), IF(OR(L1212="", L1212=""), "[Aviso] Género no capturado ()", IF(ISNA(MATCH(L1212, Criterios!$B$123:$B$127, 0)), "Género no válido", "")), IF(OR(N1212="", N1212=""), "[Aviso] Temporada no capturada ()", IF(ISNA(MATCH(N1212, Criterios!$C$123:$C$128, 0)), "Temporada no válida", "")), IF(OR(O1212="", O1212=""), "[Aviso] Ciclo de vida no capturado ()", IF(ISNA(MATCH(O1212, Criterios!$D$123:$D$124, 0)), "Ciclo de vida no válido", ""))))</f>
        <v/>
      </c>
      <c r="AC1212" s="56" t="n"/>
      <c r="AD1212" s="51" t="n">
        <v>0</v>
      </c>
      <c r="AE1212" s="156" t="n"/>
      <c r="AF1212" s="51" t="n">
        <v>0</v>
      </c>
      <c r="AG1212" s="156" t="inlineStr">
        <is>
          <t>Catálogo existente</t>
        </is>
      </c>
      <c r="AH121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12" s="156" t="inlineStr">
        <is>
          <t>No</t>
        </is>
      </c>
      <c r="AJ1212" s="156" t="n"/>
      <c r="AK1212" s="155" t="inlineStr">
        <is>
          <t>Criterios: I [Q] | Shopify Stetson: producto 14788696834411 / variante 53350608863595</t>
        </is>
      </c>
      <c r="AL1212" s="58" t="n">
        <v>1338.75</v>
      </c>
      <c r="AM1212" s="58" t="n">
        <v>3275.862069</v>
      </c>
      <c r="AN1212" s="155" t="inlineStr">
        <is>
          <t>Shopify Stetson México</t>
        </is>
      </c>
      <c r="AO1212" s="59" t="n">
        <v>0</v>
      </c>
      <c r="AP1212" s="59" t="n"/>
      <c r="AQ1212" s="59" t="n"/>
      <c r="AR1212" s="155" t="n"/>
    </row>
    <row r="1213">
      <c r="A1213" s="50" t="inlineStr">
        <is>
          <t>719280453412</t>
        </is>
      </c>
      <c r="B1213" s="51" t="inlineStr">
        <is>
          <t>110135</t>
        </is>
      </c>
      <c r="C1213" s="156" t="inlineStr">
        <is>
          <t>Multimarca</t>
        </is>
      </c>
      <c r="D1213" s="156" t="inlineStr">
        <is>
          <t>SSANGSN284081</t>
        </is>
      </c>
      <c r="E1213" s="156" t="inlineStr">
        <is>
          <t>SSANGSN28408171</t>
        </is>
      </c>
      <c r="F1213" s="156" t="inlineStr">
        <is>
          <t>7 1/8</t>
        </is>
      </c>
      <c r="G1213" s="156" t="inlineStr">
        <is>
          <t>7 1/8</t>
        </is>
      </c>
      <c r="H1213" s="156" t="inlineStr">
        <is>
          <t>Stetson</t>
        </is>
      </c>
      <c r="I1213" s="156" t="inlineStr">
        <is>
          <t>Sombrero Stetson Angus Natural</t>
        </is>
      </c>
      <c r="J1213" s="156" t="inlineStr">
        <is>
          <t>Accesorios</t>
        </is>
      </c>
      <c r="K1213" s="156" t="inlineStr">
        <is>
          <t>Sombreros</t>
        </is>
      </c>
      <c r="L1213" s="156" t="inlineStr">
        <is>
          <t>Unisex</t>
        </is>
      </c>
      <c r="M1213" s="156" t="inlineStr">
        <is>
          <t>Stetson</t>
        </is>
      </c>
      <c r="N1213" s="156" t="inlineStr">
        <is>
          <t>SS26</t>
        </is>
      </c>
      <c r="O1213" s="156" t="inlineStr">
        <is>
          <t>Seasonal</t>
        </is>
      </c>
      <c r="P1213" s="156" t="inlineStr">
        <is>
          <t>Beige</t>
        </is>
      </c>
      <c r="Q1213" s="156" t="n"/>
      <c r="R1213" s="156" t="inlineStr">
        <is>
          <t>Copa Cattleman</t>
        </is>
      </c>
      <c r="S1213" s="156" t="inlineStr">
        <is>
          <t>100% Paja</t>
        </is>
      </c>
      <c r="T1213"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3" s="156" t="inlineStr">
        <is>
          <t>Estados Unidos</t>
        </is>
      </c>
      <c r="V1213" s="156" t="inlineStr">
        <is>
          <t>PZS</t>
        </is>
      </c>
      <c r="W1213" s="51" t="inlineStr">
        <is>
          <t>53102503</t>
        </is>
      </c>
      <c r="X1213" s="156" t="inlineStr">
        <is>
          <t>https://cdn.shopify.com/s/files/1/0888/3250/8267/files/SSANGSN284081-02.jpg?v=1759848022</t>
        </is>
      </c>
      <c r="Y1213" s="54" t="n">
        <v>1338.75</v>
      </c>
      <c r="Z1213" s="54" t="n">
        <v>3275.862069</v>
      </c>
      <c r="AA1213" s="55">
        <f>IF(AND(A1213="", B1213="", E1213=""), "", IF(AB1213="", "Válido", IF((LEN(AB1213)-LEN(SUBSTITUTE(AB1213,"; ","")))/2+1&gt;(LEN(AB1213)-LEN(SUBSTITUTE(AB1213,"[Aviso]","")))/7, "Con Incidencias", "Válido")))</f>
        <v/>
      </c>
      <c r="AB1213" s="56">
        <f>IF(AND(A1213="", B1213="", E1213=""), "", TEXTJOIN("; ", TRUE, IF(OR(TRIM(A1213&amp;"")="", ISNUMBER(SEARCH("FALTA", A1213))), "UPC faltante/inválido", ""), IF(AND(A1213&lt;&gt;"", IFERROR(_xlfn.XMATCH(A1213,$A$2:$A$2509,0,1)&lt;&gt;_xlfn.XMATCH(A1213,$A$2:$A$2509,0,-1),FALSE)), "Código de barras duplicado", ""), IF(AND(E1213&lt;&gt;"", COUNTIF($E$2:$E$2509, E1213)&gt;1), "SKU duplicado", ""), IF(OR(J1213="", J1213=""), "[Aviso] División no capturada ()", IF(ISNA(MATCH(J1213, Criterios!$A$123:$A$126, 0)), "División no válida", "")), IF(OR(K1213="", K1213=""), "[Aviso] Categoría no capturada ()", IF(ISNA(MATCH(K1213, Criterios!$A$81:$A$120, 0)), "Categoría no válida", IF(AND(J1213&lt;&gt;"", J1213&lt;&gt;"", J1213&lt;&gt;VLOOKUP(K1213, Criterios!$A$81:$B$120, 2, FALSE)), "División no coincide con Categoría", ""))), IF(OR(L1213="", L1213=""), "[Aviso] Género no capturado ()", IF(ISNA(MATCH(L1213, Criterios!$B$123:$B$127, 0)), "Género no válido", "")), IF(OR(N1213="", N1213=""), "[Aviso] Temporada no capturada ()", IF(ISNA(MATCH(N1213, Criterios!$C$123:$C$128, 0)), "Temporada no válida", "")), IF(OR(O1213="", O1213=""), "[Aviso] Ciclo de vida no capturado ()", IF(ISNA(MATCH(O1213, Criterios!$D$123:$D$124, 0)), "Ciclo de vida no válido", ""))))</f>
        <v/>
      </c>
      <c r="AC1213" s="56" t="n"/>
      <c r="AD1213" s="51" t="n">
        <v>-1</v>
      </c>
      <c r="AE1213" s="156" t="n"/>
      <c r="AF1213" s="51" t="n">
        <v>0</v>
      </c>
      <c r="AG1213" s="156" t="inlineStr">
        <is>
          <t>Catálogo existente</t>
        </is>
      </c>
      <c r="AH121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213" s="156" t="inlineStr">
        <is>
          <t>Sí</t>
        </is>
      </c>
      <c r="AJ1213" s="156" t="inlineStr">
        <is>
          <t>STETSON AMERICAS (-1)</t>
        </is>
      </c>
      <c r="AK1213" s="155" t="inlineStr">
        <is>
          <t>Criterios: I [Q] | Shopify Stetson: producto 14788696834411 / variante 53350608896363 | Odoo: producto 12974 / plantilla 16551</t>
        </is>
      </c>
      <c r="AL1213" s="58" t="n">
        <v>1338.75</v>
      </c>
      <c r="AM1213" s="58" t="n">
        <v>3275.862069</v>
      </c>
      <c r="AN1213" s="155" t="inlineStr">
        <is>
          <t>Shopify Stetson México | Odoo Universal Unique Brands</t>
        </is>
      </c>
      <c r="AO1213" s="59" t="n">
        <v>0</v>
      </c>
      <c r="AP1213" s="59" t="n"/>
      <c r="AQ1213" s="59" t="n">
        <v>1</v>
      </c>
      <c r="AR1213" s="155" t="inlineStr">
        <is>
          <t>Odoo Universal Unique Brands › Stetson Americas › Stetson Americas/Stock: 1</t>
        </is>
      </c>
    </row>
    <row r="1214">
      <c r="A1214" s="50" t="inlineStr">
        <is>
          <t>719280453429</t>
        </is>
      </c>
      <c r="B1214" s="51" t="inlineStr">
        <is>
          <t>110136</t>
        </is>
      </c>
      <c r="C1214" s="156" t="inlineStr">
        <is>
          <t>Multimarca</t>
        </is>
      </c>
      <c r="D1214" s="156" t="inlineStr">
        <is>
          <t>SSANGSN284081</t>
        </is>
      </c>
      <c r="E1214" s="156" t="inlineStr">
        <is>
          <t>SSANGSN28408172</t>
        </is>
      </c>
      <c r="F1214" s="156" t="inlineStr">
        <is>
          <t>7 1/4</t>
        </is>
      </c>
      <c r="G1214" s="156" t="inlineStr">
        <is>
          <t>7 1/4</t>
        </is>
      </c>
      <c r="H1214" s="156" t="inlineStr">
        <is>
          <t>Stetson</t>
        </is>
      </c>
      <c r="I1214" s="156" t="inlineStr">
        <is>
          <t>Sombrero Stetson Angus Natural</t>
        </is>
      </c>
      <c r="J1214" s="156" t="inlineStr">
        <is>
          <t>Accesorios</t>
        </is>
      </c>
      <c r="K1214" s="156" t="inlineStr">
        <is>
          <t>Sombreros</t>
        </is>
      </c>
      <c r="L1214" s="156" t="inlineStr">
        <is>
          <t>Unisex</t>
        </is>
      </c>
      <c r="M1214" s="156" t="inlineStr">
        <is>
          <t>Stetson</t>
        </is>
      </c>
      <c r="N1214" s="156" t="inlineStr">
        <is>
          <t>SS26</t>
        </is>
      </c>
      <c r="O1214" s="156" t="inlineStr">
        <is>
          <t>Seasonal</t>
        </is>
      </c>
      <c r="P1214" s="156" t="inlineStr">
        <is>
          <t>Beige</t>
        </is>
      </c>
      <c r="Q1214" s="156" t="n"/>
      <c r="R1214" s="156" t="inlineStr">
        <is>
          <t>Copa Cattleman</t>
        </is>
      </c>
      <c r="S1214" s="156" t="inlineStr">
        <is>
          <t>100% Paja</t>
        </is>
      </c>
      <c r="T1214"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4" s="156" t="inlineStr">
        <is>
          <t>Estados Unidos</t>
        </is>
      </c>
      <c r="V1214" s="156" t="inlineStr">
        <is>
          <t>PZS</t>
        </is>
      </c>
      <c r="W1214" s="51" t="inlineStr">
        <is>
          <t>53102503</t>
        </is>
      </c>
      <c r="X1214" s="156" t="inlineStr">
        <is>
          <t>https://cdn.shopify.com/s/files/1/0888/3250/8267/files/SSANGSN284081-03.jpg?v=1759848022</t>
        </is>
      </c>
      <c r="Y1214" s="54" t="n">
        <v>1338.75</v>
      </c>
      <c r="Z1214" s="54" t="n">
        <v>3275.862069</v>
      </c>
      <c r="AA1214" s="55">
        <f>IF(AND(A1214="", B1214="", E1214=""), "", IF(AB1214="", "Válido", IF((LEN(AB1214)-LEN(SUBSTITUTE(AB1214,"; ","")))/2+1&gt;(LEN(AB1214)-LEN(SUBSTITUTE(AB1214,"[Aviso]","")))/7, "Con Incidencias", "Válido")))</f>
        <v/>
      </c>
      <c r="AB1214" s="56">
        <f>IF(AND(A1214="", B1214="", E1214=""), "", TEXTJOIN("; ", TRUE, IF(OR(TRIM(A1214&amp;"")="", ISNUMBER(SEARCH("FALTA", A1214))), "UPC faltante/inválido", ""), IF(AND(A1214&lt;&gt;"", IFERROR(_xlfn.XMATCH(A1214,$A$2:$A$2509,0,1)&lt;&gt;_xlfn.XMATCH(A1214,$A$2:$A$2509,0,-1),FALSE)), "Código de barras duplicado", ""), IF(AND(E1214&lt;&gt;"", COUNTIF($E$2:$E$2509, E1214)&gt;1), "SKU duplicado", ""), IF(OR(J1214="", J1214=""), "[Aviso] División no capturada ()", IF(ISNA(MATCH(J1214, Criterios!$A$123:$A$126, 0)), "División no válida", "")), IF(OR(K1214="", K1214=""), "[Aviso] Categoría no capturada ()", IF(ISNA(MATCH(K1214, Criterios!$A$81:$A$120, 0)), "Categoría no válida", IF(AND(J1214&lt;&gt;"", J1214&lt;&gt;"", J1214&lt;&gt;VLOOKUP(K1214, Criterios!$A$81:$B$120, 2, FALSE)), "División no coincide con Categoría", ""))), IF(OR(L1214="", L1214=""), "[Aviso] Género no capturado ()", IF(ISNA(MATCH(L1214, Criterios!$B$123:$B$127, 0)), "Género no válido", "")), IF(OR(N1214="", N1214=""), "[Aviso] Temporada no capturada ()", IF(ISNA(MATCH(N1214, Criterios!$C$123:$C$128, 0)), "Temporada no válida", "")), IF(OR(O1214="", O1214=""), "[Aviso] Ciclo de vida no capturado ()", IF(ISNA(MATCH(O1214, Criterios!$D$123:$D$124, 0)), "Ciclo de vida no válido", ""))))</f>
        <v/>
      </c>
      <c r="AC1214" s="56" t="n"/>
      <c r="AD1214" s="51" t="n">
        <v>-1</v>
      </c>
      <c r="AE1214" s="156" t="n"/>
      <c r="AF1214" s="51" t="n">
        <v>0</v>
      </c>
      <c r="AG1214" s="156" t="inlineStr">
        <is>
          <t>Catálogo existente</t>
        </is>
      </c>
      <c r="AH121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214" s="156" t="inlineStr">
        <is>
          <t>Sí</t>
        </is>
      </c>
      <c r="AJ1214" s="156" t="inlineStr">
        <is>
          <t>STETSON AMERICAS (-1)</t>
        </is>
      </c>
      <c r="AK1214" s="155" t="inlineStr">
        <is>
          <t>Criterios: I [Q] | Shopify Stetson: producto 14788696834411 / variante 53350608929131 | Odoo: producto 12975 / plantilla 16552</t>
        </is>
      </c>
      <c r="AL1214" s="58" t="n">
        <v>1338.75</v>
      </c>
      <c r="AM1214" s="58" t="n">
        <v>3275.862069</v>
      </c>
      <c r="AN1214" s="155" t="inlineStr">
        <is>
          <t>Shopify Stetson México | Odoo Universal Unique Brands</t>
        </is>
      </c>
      <c r="AO1214" s="59" t="n">
        <v>0</v>
      </c>
      <c r="AP1214" s="59" t="n"/>
      <c r="AQ1214" s="59" t="n">
        <v>1</v>
      </c>
      <c r="AR1214" s="155" t="inlineStr">
        <is>
          <t>Odoo Universal Unique Brands › Stetson Americas › Stetson Americas/Stock: 1</t>
        </is>
      </c>
    </row>
    <row r="1215">
      <c r="A1215" s="50" t="inlineStr">
        <is>
          <t>719280463145</t>
        </is>
      </c>
      <c r="B1215" s="51" t="inlineStr">
        <is>
          <t>110129</t>
        </is>
      </c>
      <c r="C1215" s="156" t="inlineStr">
        <is>
          <t>Multimarca</t>
        </is>
      </c>
      <c r="D1215" s="156" t="inlineStr">
        <is>
          <t>SSALMO-304081</t>
        </is>
      </c>
      <c r="E1215" s="156" t="inlineStr">
        <is>
          <t>SSALMO-30408170</t>
        </is>
      </c>
      <c r="F1215" s="156" t="inlineStr">
        <is>
          <t>7</t>
        </is>
      </c>
      <c r="G1215" s="156" t="inlineStr">
        <is>
          <t>7</t>
        </is>
      </c>
      <c r="H1215" s="156" t="inlineStr">
        <is>
          <t>Stetson</t>
        </is>
      </c>
      <c r="I1215" s="156" t="inlineStr">
        <is>
          <t>Texana Stetson Alamo Natural</t>
        </is>
      </c>
      <c r="J1215" s="156" t="inlineStr">
        <is>
          <t>Accesorios</t>
        </is>
      </c>
      <c r="K1215" s="156" t="inlineStr">
        <is>
          <t>Sombreros</t>
        </is>
      </c>
      <c r="L1215" s="156" t="inlineStr">
        <is>
          <t>Unisex</t>
        </is>
      </c>
      <c r="M1215" s="156" t="inlineStr">
        <is>
          <t>Stetson</t>
        </is>
      </c>
      <c r="N1215" s="156" t="inlineStr">
        <is>
          <t>SS26</t>
        </is>
      </c>
      <c r="O1215" s="156" t="inlineStr">
        <is>
          <t>Seasonal</t>
        </is>
      </c>
      <c r="P1215" s="156" t="inlineStr">
        <is>
          <t>Beige</t>
        </is>
      </c>
      <c r="Q1215" s="156" t="n"/>
      <c r="R1215" s="156" t="inlineStr">
        <is>
          <t>Copa Cattleman</t>
        </is>
      </c>
      <c r="S1215" s="156" t="inlineStr">
        <is>
          <t>100% Fieltro de lana</t>
        </is>
      </c>
      <c r="T1215"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5" s="156" t="inlineStr">
        <is>
          <t>Estados Unidos</t>
        </is>
      </c>
      <c r="V1215" s="156" t="inlineStr">
        <is>
          <t>PZS</t>
        </is>
      </c>
      <c r="W1215" s="51" t="inlineStr">
        <is>
          <t>53102503</t>
        </is>
      </c>
      <c r="X1215" s="156" t="inlineStr">
        <is>
          <t>https://cdn.shopify.com/s/files/1/0888/3250/8267/files/SSALMO-304081-01.jpg?v=1759844504</t>
        </is>
      </c>
      <c r="Y1215" s="54" t="n">
        <v>1338.75</v>
      </c>
      <c r="Z1215" s="54" t="n">
        <v>3275.862069</v>
      </c>
      <c r="AA1215" s="55">
        <f>IF(AND(A1215="", B1215="", E1215=""), "", IF(AB1215="", "Válido", IF((LEN(AB1215)-LEN(SUBSTITUTE(AB1215,"; ","")))/2+1&gt;(LEN(AB1215)-LEN(SUBSTITUTE(AB1215,"[Aviso]","")))/7, "Con Incidencias", "Válido")))</f>
        <v/>
      </c>
      <c r="AB1215" s="56">
        <f>IF(AND(A1215="", B1215="", E1215=""), "", TEXTJOIN("; ", TRUE, IF(OR(TRIM(A1215&amp;"")="", ISNUMBER(SEARCH("FALTA", A1215))), "UPC faltante/inválido", ""), IF(AND(A1215&lt;&gt;"", IFERROR(_xlfn.XMATCH(A1215,$A$2:$A$2509,0,1)&lt;&gt;_xlfn.XMATCH(A1215,$A$2:$A$2509,0,-1),FALSE)), "Código de barras duplicado", ""), IF(AND(E1215&lt;&gt;"", COUNTIF($E$2:$E$2509, E1215)&gt;1), "SKU duplicado", ""), IF(OR(J1215="", J1215=""), "[Aviso] División no capturada ()", IF(ISNA(MATCH(J1215, Criterios!$A$123:$A$126, 0)), "División no válida", "")), IF(OR(K1215="", K1215=""), "[Aviso] Categoría no capturada ()", IF(ISNA(MATCH(K1215, Criterios!$A$81:$A$120, 0)), "Categoría no válida", IF(AND(J1215&lt;&gt;"", J1215&lt;&gt;"", J1215&lt;&gt;VLOOKUP(K1215, Criterios!$A$81:$B$120, 2, FALSE)), "División no coincide con Categoría", ""))), IF(OR(L1215="", L1215=""), "[Aviso] Género no capturado ()", IF(ISNA(MATCH(L1215, Criterios!$B$123:$B$127, 0)), "Género no válido", "")), IF(OR(N1215="", N1215=""), "[Aviso] Temporada no capturada ()", IF(ISNA(MATCH(N1215, Criterios!$C$123:$C$128, 0)), "Temporada no válida", "")), IF(OR(O1215="", O1215=""), "[Aviso] Ciclo de vida no capturado ()", IF(ISNA(MATCH(O1215, Criterios!$D$123:$D$124, 0)), "Ciclo de vida no válido", ""))))</f>
        <v/>
      </c>
      <c r="AC1215" s="56" t="n"/>
      <c r="AD1215" s="51" t="n">
        <v>0</v>
      </c>
      <c r="AE1215" s="156" t="inlineStr">
        <is>
          <t>B25 STETSON.MX (2)</t>
        </is>
      </c>
      <c r="AF1215" s="51" t="n">
        <v>2</v>
      </c>
      <c r="AG1215" s="156" t="inlineStr">
        <is>
          <t>Catálogo existente</t>
        </is>
      </c>
      <c r="AH1215"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5" s="156" t="inlineStr">
        <is>
          <t>Sí</t>
        </is>
      </c>
      <c r="AJ1215" s="156" t="inlineStr">
        <is>
          <t>STETSON AMERICAS (-2)</t>
        </is>
      </c>
      <c r="AK1215" s="155" t="inlineStr">
        <is>
          <t>Criterios: I [Q] | Shopify Stetson: producto 14788687135083 / variante 53350608961899 | Investigación en línea 06/10/2026: https://www.stetson.com/products/alamo-8x-straw-cowboy-hat-natural</t>
        </is>
      </c>
      <c r="AL1215" s="58" t="n">
        <v>1338.75</v>
      </c>
      <c r="AM1215" s="58" t="n">
        <v>3275.862069</v>
      </c>
      <c r="AN1215" s="155" t="inlineStr">
        <is>
          <t>Shopify Stetson México</t>
        </is>
      </c>
      <c r="AO1215" s="59" t="n">
        <v>1</v>
      </c>
      <c r="AP1215" s="59" t="n"/>
      <c r="AQ1215" s="59" t="n"/>
      <c r="AR1215" s="155" t="inlineStr">
        <is>
          <t>Shopify Stetson México › Stetson México: 1</t>
        </is>
      </c>
    </row>
    <row r="1216">
      <c r="A1216" s="50" t="inlineStr">
        <is>
          <t>719280463152</t>
        </is>
      </c>
      <c r="B1216" s="51" t="inlineStr">
        <is>
          <t>110130</t>
        </is>
      </c>
      <c r="C1216" s="156" t="inlineStr">
        <is>
          <t>Multimarca</t>
        </is>
      </c>
      <c r="D1216" s="156" t="inlineStr">
        <is>
          <t>SSALMO-304081</t>
        </is>
      </c>
      <c r="E1216" s="156" t="inlineStr">
        <is>
          <t>SSALMO-30408171</t>
        </is>
      </c>
      <c r="F1216" s="156" t="inlineStr">
        <is>
          <t>7 1/8</t>
        </is>
      </c>
      <c r="G1216" s="156" t="inlineStr">
        <is>
          <t>7 1/8</t>
        </is>
      </c>
      <c r="H1216" s="156" t="inlineStr">
        <is>
          <t>Stetson</t>
        </is>
      </c>
      <c r="I1216" s="156" t="inlineStr">
        <is>
          <t>Texana Stetson Alamo Natural</t>
        </is>
      </c>
      <c r="J1216" s="156" t="inlineStr">
        <is>
          <t>Accesorios</t>
        </is>
      </c>
      <c r="K1216" s="156" t="inlineStr">
        <is>
          <t>Sombreros</t>
        </is>
      </c>
      <c r="L1216" s="156" t="inlineStr">
        <is>
          <t>Unisex</t>
        </is>
      </c>
      <c r="M1216" s="156" t="inlineStr">
        <is>
          <t>Stetson</t>
        </is>
      </c>
      <c r="N1216" s="156" t="inlineStr">
        <is>
          <t>SS26</t>
        </is>
      </c>
      <c r="O1216" s="156" t="inlineStr">
        <is>
          <t>Seasonal</t>
        </is>
      </c>
      <c r="P1216" s="156" t="inlineStr">
        <is>
          <t>Beige</t>
        </is>
      </c>
      <c r="Q1216" s="156" t="n"/>
      <c r="R1216" s="156" t="inlineStr">
        <is>
          <t>Copa Cattleman</t>
        </is>
      </c>
      <c r="S1216" s="156" t="inlineStr">
        <is>
          <t>100% Fieltro de lana</t>
        </is>
      </c>
      <c r="T1216"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6" s="156" t="inlineStr">
        <is>
          <t>Estados Unidos</t>
        </is>
      </c>
      <c r="V1216" s="156" t="inlineStr">
        <is>
          <t>PZS</t>
        </is>
      </c>
      <c r="W1216" s="51" t="inlineStr">
        <is>
          <t>53102503</t>
        </is>
      </c>
      <c r="X1216" s="156" t="inlineStr">
        <is>
          <t>https://cdn.shopify.com/s/files/1/0888/3250/8267/files/SSALMO-304081-02.jpg?v=1759844503</t>
        </is>
      </c>
      <c r="Y1216" s="54" t="n">
        <v>1338.75</v>
      </c>
      <c r="Z1216" s="54" t="n">
        <v>3275.862069</v>
      </c>
      <c r="AA1216" s="55">
        <f>IF(AND(A1216="", B1216="", E1216=""), "", IF(AB1216="", "Válido", IF((LEN(AB1216)-LEN(SUBSTITUTE(AB1216,"; ","")))/2+1&gt;(LEN(AB1216)-LEN(SUBSTITUTE(AB1216,"[Aviso]","")))/7, "Con Incidencias", "Válido")))</f>
        <v/>
      </c>
      <c r="AB1216" s="56">
        <f>IF(AND(A1216="", B1216="", E1216=""), "", TEXTJOIN("; ", TRUE, IF(OR(TRIM(A1216&amp;"")="", ISNUMBER(SEARCH("FALTA", A1216))), "UPC faltante/inválido", ""), IF(AND(A1216&lt;&gt;"", IFERROR(_xlfn.XMATCH(A1216,$A$2:$A$2509,0,1)&lt;&gt;_xlfn.XMATCH(A1216,$A$2:$A$2509,0,-1),FALSE)), "Código de barras duplicado", ""), IF(AND(E1216&lt;&gt;"", COUNTIF($E$2:$E$2509, E1216)&gt;1), "SKU duplicado", ""), IF(OR(J1216="", J1216=""), "[Aviso] División no capturada ()", IF(ISNA(MATCH(J1216, Criterios!$A$123:$A$126, 0)), "División no válida", "")), IF(OR(K1216="", K1216=""), "[Aviso] Categoría no capturada ()", IF(ISNA(MATCH(K1216, Criterios!$A$81:$A$120, 0)), "Categoría no válida", IF(AND(J1216&lt;&gt;"", J1216&lt;&gt;"", J1216&lt;&gt;VLOOKUP(K1216, Criterios!$A$81:$B$120, 2, FALSE)), "División no coincide con Categoría", ""))), IF(OR(L1216="", L1216=""), "[Aviso] Género no capturado ()", IF(ISNA(MATCH(L1216, Criterios!$B$123:$B$127, 0)), "Género no válido", "")), IF(OR(N1216="", N1216=""), "[Aviso] Temporada no capturada ()", IF(ISNA(MATCH(N1216, Criterios!$C$123:$C$128, 0)), "Temporada no válida", "")), IF(OR(O1216="", O1216=""), "[Aviso] Ciclo de vida no capturado ()", IF(ISNA(MATCH(O1216, Criterios!$D$123:$D$124, 0)), "Ciclo de vida no válido", ""))))</f>
        <v/>
      </c>
      <c r="AC1216" s="56" t="n"/>
      <c r="AD1216" s="51" t="n">
        <v>1</v>
      </c>
      <c r="AE1216" s="156" t="inlineStr">
        <is>
          <t>B25 STETSON.MX (3)</t>
        </is>
      </c>
      <c r="AF1216" s="51" t="n">
        <v>3</v>
      </c>
      <c r="AG1216" s="156" t="inlineStr">
        <is>
          <t>Catálogo existente</t>
        </is>
      </c>
      <c r="AH1216"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6" s="156" t="inlineStr">
        <is>
          <t>Sí</t>
        </is>
      </c>
      <c r="AJ1216" s="156" t="inlineStr">
        <is>
          <t>STETSON AMERICAS (-2)</t>
        </is>
      </c>
      <c r="AK1216" s="155" t="inlineStr">
        <is>
          <t>Criterios: I [Q] | Shopify Stetson: producto 14788687135083 / variante 53350608994667 | Investigación en línea 06/10/2026: https://www.stetson.com/products/alamo-8x-straw-cowboy-hat-natural</t>
        </is>
      </c>
      <c r="AL1216" s="58" t="n">
        <v>1338.75</v>
      </c>
      <c r="AM1216" s="58" t="n">
        <v>3275.862069</v>
      </c>
      <c r="AN1216" s="155" t="inlineStr">
        <is>
          <t>Shopify Stetson México</t>
        </is>
      </c>
      <c r="AO1216" s="59" t="n">
        <v>3</v>
      </c>
      <c r="AP1216" s="59" t="n"/>
      <c r="AQ1216" s="59" t="n"/>
      <c r="AR1216" s="155" t="inlineStr">
        <is>
          <t>Shopify Stetson México › Stetson México: 3</t>
        </is>
      </c>
    </row>
    <row r="1217">
      <c r="A1217" s="50" t="inlineStr">
        <is>
          <t>719280463169</t>
        </is>
      </c>
      <c r="B1217" s="51" t="inlineStr">
        <is>
          <t>110131</t>
        </is>
      </c>
      <c r="C1217" s="156" t="inlineStr">
        <is>
          <t>Multimarca</t>
        </is>
      </c>
      <c r="D1217" s="156" t="inlineStr">
        <is>
          <t>SSALMO-304081</t>
        </is>
      </c>
      <c r="E1217" s="156" t="inlineStr">
        <is>
          <t>SSALMO-30408172</t>
        </is>
      </c>
      <c r="F1217" s="156" t="inlineStr">
        <is>
          <t>7 1/4</t>
        </is>
      </c>
      <c r="G1217" s="156" t="inlineStr">
        <is>
          <t>7 1/4</t>
        </is>
      </c>
      <c r="H1217" s="156" t="inlineStr">
        <is>
          <t>Stetson</t>
        </is>
      </c>
      <c r="I1217" s="156" t="inlineStr">
        <is>
          <t>Texana Stetson Alamo Natural</t>
        </is>
      </c>
      <c r="J1217" s="156" t="inlineStr">
        <is>
          <t>Accesorios</t>
        </is>
      </c>
      <c r="K1217" s="156" t="inlineStr">
        <is>
          <t>Sombreros</t>
        </is>
      </c>
      <c r="L1217" s="156" t="inlineStr">
        <is>
          <t>Unisex</t>
        </is>
      </c>
      <c r="M1217" s="156" t="inlineStr">
        <is>
          <t>Stetson</t>
        </is>
      </c>
      <c r="N1217" s="156" t="inlineStr">
        <is>
          <t>SS26</t>
        </is>
      </c>
      <c r="O1217" s="156" t="inlineStr">
        <is>
          <t>Seasonal</t>
        </is>
      </c>
      <c r="P1217" s="156" t="inlineStr">
        <is>
          <t>Beige</t>
        </is>
      </c>
      <c r="Q1217" s="156" t="n"/>
      <c r="R1217" s="156" t="inlineStr">
        <is>
          <t>Copa Cattleman</t>
        </is>
      </c>
      <c r="S1217" s="156" t="inlineStr">
        <is>
          <t>100% Fieltro de lana</t>
        </is>
      </c>
      <c r="T1217"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7" s="156" t="inlineStr">
        <is>
          <t>Estados Unidos</t>
        </is>
      </c>
      <c r="V1217" s="156" t="inlineStr">
        <is>
          <t>PZS</t>
        </is>
      </c>
      <c r="W1217" s="51" t="inlineStr">
        <is>
          <t>53102503</t>
        </is>
      </c>
      <c r="X1217" s="156" t="inlineStr">
        <is>
          <t>https://cdn.shopify.com/s/files/1/0888/3250/8267/files/SSALMO-304081-03.jpg?v=1759844503</t>
        </is>
      </c>
      <c r="Y1217" s="54" t="n">
        <v>1338.75</v>
      </c>
      <c r="Z1217" s="54" t="n">
        <v>3275.862069</v>
      </c>
      <c r="AA1217" s="55">
        <f>IF(AND(A1217="", B1217="", E1217=""), "", IF(AB1217="", "Válido", IF((LEN(AB1217)-LEN(SUBSTITUTE(AB1217,"; ","")))/2+1&gt;(LEN(AB1217)-LEN(SUBSTITUTE(AB1217,"[Aviso]","")))/7, "Con Incidencias", "Válido")))</f>
        <v/>
      </c>
      <c r="AB1217" s="56">
        <f>IF(AND(A1217="", B1217="", E1217=""), "", TEXTJOIN("; ", TRUE, IF(OR(TRIM(A1217&amp;"")="", ISNUMBER(SEARCH("FALTA", A1217))), "UPC faltante/inválido", ""), IF(AND(A1217&lt;&gt;"", IFERROR(_xlfn.XMATCH(A1217,$A$2:$A$2509,0,1)&lt;&gt;_xlfn.XMATCH(A1217,$A$2:$A$2509,0,-1),FALSE)), "Código de barras duplicado", ""), IF(AND(E1217&lt;&gt;"", COUNTIF($E$2:$E$2509, E1217)&gt;1), "SKU duplicado", ""), IF(OR(J1217="", J1217=""), "[Aviso] División no capturada ()", IF(ISNA(MATCH(J1217, Criterios!$A$123:$A$126, 0)), "División no válida", "")), IF(OR(K1217="", K1217=""), "[Aviso] Categoría no capturada ()", IF(ISNA(MATCH(K1217, Criterios!$A$81:$A$120, 0)), "Categoría no válida", IF(AND(J1217&lt;&gt;"", J1217&lt;&gt;"", J1217&lt;&gt;VLOOKUP(K1217, Criterios!$A$81:$B$120, 2, FALSE)), "División no coincide con Categoría", ""))), IF(OR(L1217="", L1217=""), "[Aviso] Género no capturado ()", IF(ISNA(MATCH(L1217, Criterios!$B$123:$B$127, 0)), "Género no válido", "")), IF(OR(N1217="", N1217=""), "[Aviso] Temporada no capturada ()", IF(ISNA(MATCH(N1217, Criterios!$C$123:$C$128, 0)), "Temporada no válida", "")), IF(OR(O1217="", O1217=""), "[Aviso] Ciclo de vida no capturado ()", IF(ISNA(MATCH(O1217, Criterios!$D$123:$D$124, 0)), "Ciclo de vida no válido", ""))))</f>
        <v/>
      </c>
      <c r="AC1217" s="56" t="n"/>
      <c r="AD1217" s="51" t="n">
        <v>0</v>
      </c>
      <c r="AE1217" s="156" t="inlineStr">
        <is>
          <t>B25 STETSON.MX (2)</t>
        </is>
      </c>
      <c r="AF1217" s="51" t="n">
        <v>2</v>
      </c>
      <c r="AG1217" s="156" t="inlineStr">
        <is>
          <t>Catálogo existente</t>
        </is>
      </c>
      <c r="AH121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7" s="156" t="inlineStr">
        <is>
          <t>Sí</t>
        </is>
      </c>
      <c r="AJ1217" s="156" t="inlineStr">
        <is>
          <t>STETSON AMERICAS (-2)</t>
        </is>
      </c>
      <c r="AK1217" s="155" t="inlineStr">
        <is>
          <t>Criterios: I [Q] | Shopify Stetson: producto 14788687135083 / variante 53350609027435 | Investigación en línea 06/10/2026: https://www.stetson.com/products/alamo-8x-straw-cowboy-hat-natural</t>
        </is>
      </c>
      <c r="AL1217" s="58" t="n">
        <v>1338.75</v>
      </c>
      <c r="AM1217" s="58" t="n">
        <v>3275.862069</v>
      </c>
      <c r="AN1217" s="155" t="inlineStr">
        <is>
          <t>Shopify Stetson México</t>
        </is>
      </c>
      <c r="AO1217" s="59" t="n">
        <v>2</v>
      </c>
      <c r="AP1217" s="59" t="n"/>
      <c r="AQ1217" s="59" t="n"/>
      <c r="AR1217" s="155" t="inlineStr">
        <is>
          <t>Shopify Stetson México › Stetson México: 2</t>
        </is>
      </c>
    </row>
    <row r="1218">
      <c r="A1218" s="50" t="inlineStr">
        <is>
          <t>719280463176</t>
        </is>
      </c>
      <c r="B1218" s="51" t="inlineStr">
        <is>
          <t>110132</t>
        </is>
      </c>
      <c r="C1218" s="156" t="inlineStr">
        <is>
          <t>Multimarca</t>
        </is>
      </c>
      <c r="D1218" s="156" t="inlineStr">
        <is>
          <t>SSALMO-304081</t>
        </is>
      </c>
      <c r="E1218" s="156" t="inlineStr">
        <is>
          <t>SSALMO-30408173</t>
        </is>
      </c>
      <c r="F1218" s="156" t="inlineStr">
        <is>
          <t>7 3/8</t>
        </is>
      </c>
      <c r="G1218" s="156" t="inlineStr">
        <is>
          <t>7 3/8</t>
        </is>
      </c>
      <c r="H1218" s="156" t="inlineStr">
        <is>
          <t>Stetson</t>
        </is>
      </c>
      <c r="I1218" s="156" t="inlineStr">
        <is>
          <t>Texana Stetson Alamo Natural</t>
        </is>
      </c>
      <c r="J1218" s="156" t="inlineStr">
        <is>
          <t>Accesorios</t>
        </is>
      </c>
      <c r="K1218" s="156" t="inlineStr">
        <is>
          <t>Sombreros</t>
        </is>
      </c>
      <c r="L1218" s="156" t="inlineStr">
        <is>
          <t>Unisex</t>
        </is>
      </c>
      <c r="M1218" s="156" t="inlineStr">
        <is>
          <t>Stetson</t>
        </is>
      </c>
      <c r="N1218" s="156" t="inlineStr">
        <is>
          <t>SS26</t>
        </is>
      </c>
      <c r="O1218" s="156" t="inlineStr">
        <is>
          <t>Seasonal</t>
        </is>
      </c>
      <c r="P1218" s="156" t="inlineStr">
        <is>
          <t>Beige</t>
        </is>
      </c>
      <c r="Q1218" s="156" t="n"/>
      <c r="R1218" s="156" t="inlineStr">
        <is>
          <t>Copa Cattleman</t>
        </is>
      </c>
      <c r="S1218" s="156" t="inlineStr">
        <is>
          <t>100% Fieltro de lana</t>
        </is>
      </c>
      <c r="T1218"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8" s="156" t="inlineStr">
        <is>
          <t>Estados Unidos</t>
        </is>
      </c>
      <c r="V1218" s="156" t="inlineStr">
        <is>
          <t>PZS</t>
        </is>
      </c>
      <c r="W1218" s="51" t="inlineStr">
        <is>
          <t>53102503</t>
        </is>
      </c>
      <c r="X1218" s="156" t="inlineStr">
        <is>
          <t>https://cdn.shopify.com/s/files/1/0888/3250/8267/files/SSALMO-304081-04.jpg?v=1759844503</t>
        </is>
      </c>
      <c r="Y1218" s="54" t="n">
        <v>1338.75</v>
      </c>
      <c r="Z1218" s="54" t="n">
        <v>3275.862069</v>
      </c>
      <c r="AA1218" s="55">
        <f>IF(AND(A1218="", B1218="", E1218=""), "", IF(AB1218="", "Válido", IF((LEN(AB1218)-LEN(SUBSTITUTE(AB1218,"; ","")))/2+1&gt;(LEN(AB1218)-LEN(SUBSTITUTE(AB1218,"[Aviso]","")))/7, "Con Incidencias", "Válido")))</f>
        <v/>
      </c>
      <c r="AB1218" s="56">
        <f>IF(AND(A1218="", B1218="", E1218=""), "", TEXTJOIN("; ", TRUE, IF(OR(TRIM(A1218&amp;"")="", ISNUMBER(SEARCH("FALTA", A1218))), "UPC faltante/inválido", ""), IF(AND(A1218&lt;&gt;"", IFERROR(_xlfn.XMATCH(A1218,$A$2:$A$2509,0,1)&lt;&gt;_xlfn.XMATCH(A1218,$A$2:$A$2509,0,-1),FALSE)), "Código de barras duplicado", ""), IF(AND(E1218&lt;&gt;"", COUNTIF($E$2:$E$2509, E1218)&gt;1), "SKU duplicado", ""), IF(OR(J1218="", J1218=""), "[Aviso] División no capturada ()", IF(ISNA(MATCH(J1218, Criterios!$A$123:$A$126, 0)), "División no válida", "")), IF(OR(K1218="", K1218=""), "[Aviso] Categoría no capturada ()", IF(ISNA(MATCH(K1218, Criterios!$A$81:$A$120, 0)), "Categoría no válida", IF(AND(J1218&lt;&gt;"", J1218&lt;&gt;"", J1218&lt;&gt;VLOOKUP(K1218, Criterios!$A$81:$B$120, 2, FALSE)), "División no coincide con Categoría", ""))), IF(OR(L1218="", L1218=""), "[Aviso] Género no capturado ()", IF(ISNA(MATCH(L1218, Criterios!$B$123:$B$127, 0)), "Género no válido", "")), IF(OR(N1218="", N1218=""), "[Aviso] Temporada no capturada ()", IF(ISNA(MATCH(N1218, Criterios!$C$123:$C$128, 0)), "Temporada no válida", "")), IF(OR(O1218="", O1218=""), "[Aviso] Ciclo de vida no capturado ()", IF(ISNA(MATCH(O1218, Criterios!$D$123:$D$124, 0)), "Ciclo de vida no válido", ""))))</f>
        <v/>
      </c>
      <c r="AC1218" s="56" t="n"/>
      <c r="AD1218" s="51" t="n">
        <v>1</v>
      </c>
      <c r="AE1218" s="156" t="inlineStr">
        <is>
          <t>B25 STETSON.MX (3)</t>
        </is>
      </c>
      <c r="AF1218" s="51" t="n">
        <v>3</v>
      </c>
      <c r="AG1218" s="156" t="inlineStr">
        <is>
          <t>Catálogo existente</t>
        </is>
      </c>
      <c r="AH121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8" s="156" t="inlineStr">
        <is>
          <t>Sí</t>
        </is>
      </c>
      <c r="AJ1218" s="156" t="inlineStr">
        <is>
          <t>STETSON AMERICAS (-2)</t>
        </is>
      </c>
      <c r="AK1218" s="155" t="inlineStr">
        <is>
          <t>Criterios: I [Q] | Shopify Stetson: producto 14788687135083 / variante 53350609060203 | Investigación en línea 06/10/2026: https://www.stetson.com/products/alamo-8x-straw-cowboy-hat-natural</t>
        </is>
      </c>
      <c r="AL1218" s="58" t="n">
        <v>1338.75</v>
      </c>
      <c r="AM1218" s="58" t="n">
        <v>3275.862069</v>
      </c>
      <c r="AN1218" s="155" t="inlineStr">
        <is>
          <t>Shopify Stetson México</t>
        </is>
      </c>
      <c r="AO1218" s="59" t="n">
        <v>3</v>
      </c>
      <c r="AP1218" s="59" t="n"/>
      <c r="AQ1218" s="59" t="n"/>
      <c r="AR1218" s="155" t="inlineStr">
        <is>
          <t>Shopify Stetson México › Stetson México: 3</t>
        </is>
      </c>
    </row>
    <row r="1219">
      <c r="A1219" s="50" t="inlineStr">
        <is>
          <t>719280463183</t>
        </is>
      </c>
      <c r="B1219" s="51" t="inlineStr">
        <is>
          <t>110133</t>
        </is>
      </c>
      <c r="C1219" s="156" t="inlineStr">
        <is>
          <t>Multimarca</t>
        </is>
      </c>
      <c r="D1219" s="156" t="inlineStr">
        <is>
          <t>SSALMO-304081</t>
        </is>
      </c>
      <c r="E1219" s="156" t="inlineStr">
        <is>
          <t>SSALMO-30408174</t>
        </is>
      </c>
      <c r="F1219" s="156" t="inlineStr">
        <is>
          <t>7 1/2</t>
        </is>
      </c>
      <c r="G1219" s="156" t="inlineStr">
        <is>
          <t>7 1/2</t>
        </is>
      </c>
      <c r="H1219" s="156" t="inlineStr">
        <is>
          <t>Stetson</t>
        </is>
      </c>
      <c r="I1219" s="156" t="inlineStr">
        <is>
          <t>Texana Stetson Alamo Natural</t>
        </is>
      </c>
      <c r="J1219" s="156" t="inlineStr">
        <is>
          <t>Accesorios</t>
        </is>
      </c>
      <c r="K1219" s="156" t="inlineStr">
        <is>
          <t>Sombreros</t>
        </is>
      </c>
      <c r="L1219" s="156" t="inlineStr">
        <is>
          <t>Unisex</t>
        </is>
      </c>
      <c r="M1219" s="156" t="inlineStr">
        <is>
          <t>Stetson</t>
        </is>
      </c>
      <c r="N1219" s="156" t="inlineStr">
        <is>
          <t>SS26</t>
        </is>
      </c>
      <c r="O1219" s="156" t="inlineStr">
        <is>
          <t>Seasonal</t>
        </is>
      </c>
      <c r="P1219" s="156" t="inlineStr">
        <is>
          <t>Beige</t>
        </is>
      </c>
      <c r="Q1219" s="156" t="n"/>
      <c r="R1219" s="156" t="inlineStr">
        <is>
          <t>Copa Cattleman</t>
        </is>
      </c>
      <c r="S1219" s="156" t="inlineStr">
        <is>
          <t>100% Fieltro de lana</t>
        </is>
      </c>
      <c r="T1219"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9" s="156" t="inlineStr">
        <is>
          <t>Estados Unidos</t>
        </is>
      </c>
      <c r="V1219" s="156" t="inlineStr">
        <is>
          <t>PZS</t>
        </is>
      </c>
      <c r="W1219" s="51" t="inlineStr">
        <is>
          <t>53102503</t>
        </is>
      </c>
      <c r="X1219" s="156" t="inlineStr">
        <is>
          <t>https://cdn.shopify.com/s/files/1/0888/3250/8267/files/SSALMO-304081-05.jpg?v=1759844503</t>
        </is>
      </c>
      <c r="Y1219" s="54" t="n">
        <v>1338.75</v>
      </c>
      <c r="Z1219" s="54" t="n">
        <v>3275.862069</v>
      </c>
      <c r="AA1219" s="55">
        <f>IF(AND(A1219="", B1219="", E1219=""), "", IF(AB1219="", "Válido", IF((LEN(AB1219)-LEN(SUBSTITUTE(AB1219,"; ","")))/2+1&gt;(LEN(AB1219)-LEN(SUBSTITUTE(AB1219,"[Aviso]","")))/7, "Con Incidencias", "Válido")))</f>
        <v/>
      </c>
      <c r="AB1219" s="56">
        <f>IF(AND(A1219="", B1219="", E1219=""), "", TEXTJOIN("; ", TRUE, IF(OR(TRIM(A1219&amp;"")="", ISNUMBER(SEARCH("FALTA", A1219))), "UPC faltante/inválido", ""), IF(AND(A1219&lt;&gt;"", IFERROR(_xlfn.XMATCH(A1219,$A$2:$A$2509,0,1)&lt;&gt;_xlfn.XMATCH(A1219,$A$2:$A$2509,0,-1),FALSE)), "Código de barras duplicado", ""), IF(AND(E1219&lt;&gt;"", COUNTIF($E$2:$E$2509, E1219)&gt;1), "SKU duplicado", ""), IF(OR(J1219="", J1219=""), "[Aviso] División no capturada ()", IF(ISNA(MATCH(J1219, Criterios!$A$123:$A$126, 0)), "División no válida", "")), IF(OR(K1219="", K1219=""), "[Aviso] Categoría no capturada ()", IF(ISNA(MATCH(K1219, Criterios!$A$81:$A$120, 0)), "Categoría no válida", IF(AND(J1219&lt;&gt;"", J1219&lt;&gt;"", J1219&lt;&gt;VLOOKUP(K1219, Criterios!$A$81:$B$120, 2, FALSE)), "División no coincide con Categoría", ""))), IF(OR(L1219="", L1219=""), "[Aviso] Género no capturado ()", IF(ISNA(MATCH(L1219, Criterios!$B$123:$B$127, 0)), "Género no válido", "")), IF(OR(N1219="", N1219=""), "[Aviso] Temporada no capturada ()", IF(ISNA(MATCH(N1219, Criterios!$C$123:$C$128, 0)), "Temporada no válida", "")), IF(OR(O1219="", O1219=""), "[Aviso] Ciclo de vida no capturado ()", IF(ISNA(MATCH(O1219, Criterios!$D$123:$D$124, 0)), "Ciclo de vida no válido", ""))))</f>
        <v/>
      </c>
      <c r="AC1219" s="56" t="n"/>
      <c r="AD1219" s="51" t="n">
        <v>1</v>
      </c>
      <c r="AE1219" s="156" t="inlineStr">
        <is>
          <t>B25 STETSON.MX (2)</t>
        </is>
      </c>
      <c r="AF1219" s="51" t="n">
        <v>2</v>
      </c>
      <c r="AG1219" s="156" t="inlineStr">
        <is>
          <t>Catálogo existente</t>
        </is>
      </c>
      <c r="AH1219"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9" s="156" t="inlineStr">
        <is>
          <t>Sí</t>
        </is>
      </c>
      <c r="AJ1219" s="156" t="inlineStr">
        <is>
          <t>STETSON AMERICAS (-1)</t>
        </is>
      </c>
      <c r="AK1219" s="155" t="inlineStr">
        <is>
          <t>Criterios: I [Q] | Shopify Stetson: producto 14788687135083 / variante 53350609092971 | Investigación en línea 06/10/2026: https://www.stetson.com/products/alamo-8x-straw-cowboy-hat-natural</t>
        </is>
      </c>
      <c r="AL1219" s="58" t="n">
        <v>1338.75</v>
      </c>
      <c r="AM1219" s="58" t="n">
        <v>3275.862069</v>
      </c>
      <c r="AN1219" s="155" t="inlineStr">
        <is>
          <t>Shopify Stetson México</t>
        </is>
      </c>
      <c r="AO1219" s="59" t="n">
        <v>3</v>
      </c>
      <c r="AP1219" s="59" t="n"/>
      <c r="AQ1219" s="59" t="n"/>
      <c r="AR1219" s="155" t="inlineStr">
        <is>
          <t>Shopify Stetson México › Stetson México: 2 | Shopify Stetson México › Stetson Americas: 1</t>
        </is>
      </c>
    </row>
    <row r="1220">
      <c r="A1220" s="50" t="inlineStr">
        <is>
          <t>719280486823</t>
        </is>
      </c>
      <c r="B1220" s="51" t="inlineStr">
        <is>
          <t>110220</t>
        </is>
      </c>
      <c r="C1220" s="156" t="inlineStr">
        <is>
          <t>Multimarca</t>
        </is>
      </c>
      <c r="D1220" s="156" t="inlineStr">
        <is>
          <t>SSSTPT-684481</t>
        </is>
      </c>
      <c r="E1220" s="156" t="inlineStr">
        <is>
          <t>SSSTPT-68448167</t>
        </is>
      </c>
      <c r="F1220" s="156" t="inlineStr">
        <is>
          <t>6 7/8</t>
        </is>
      </c>
      <c r="G1220" s="156" t="inlineStr">
        <is>
          <t>6 7/8</t>
        </is>
      </c>
      <c r="H1220" s="156" t="inlineStr">
        <is>
          <t>Stetson</t>
        </is>
      </c>
      <c r="I1220" s="156" t="inlineStr">
        <is>
          <t>Sombrero Stetson South Point Natural</t>
        </is>
      </c>
      <c r="J1220" s="156" t="inlineStr">
        <is>
          <t>Accesorios</t>
        </is>
      </c>
      <c r="K1220" s="156" t="inlineStr">
        <is>
          <t>Sombreros</t>
        </is>
      </c>
      <c r="L1220" s="156" t="inlineStr">
        <is>
          <t>Unisex</t>
        </is>
      </c>
      <c r="M1220" s="156" t="inlineStr">
        <is>
          <t>Stetson</t>
        </is>
      </c>
      <c r="N1220" s="156" t="inlineStr">
        <is>
          <t>SS26</t>
        </is>
      </c>
      <c r="O1220" s="156" t="inlineStr">
        <is>
          <t>Seasonal</t>
        </is>
      </c>
      <c r="P1220" s="156" t="inlineStr">
        <is>
          <t>Beige</t>
        </is>
      </c>
      <c r="Q1220" s="156" t="n"/>
      <c r="R1220" s="156" t="inlineStr">
        <is>
          <t>Copa Cattleman</t>
        </is>
      </c>
      <c r="S1220" s="156" t="inlineStr">
        <is>
          <t>100% Paja</t>
        </is>
      </c>
      <c r="T1220"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0" s="156" t="inlineStr">
        <is>
          <t>Estados Unidos</t>
        </is>
      </c>
      <c r="V1220" s="156" t="inlineStr">
        <is>
          <t>PZS</t>
        </is>
      </c>
      <c r="W1220" s="51" t="inlineStr">
        <is>
          <t>53102503</t>
        </is>
      </c>
      <c r="X1220" s="156" t="inlineStr">
        <is>
          <t>https://cdn.shopify.com/s/files/1/0888/3250/8267/files/SSSTPT-6844-81-66_6.png?v=1759960797</t>
        </is>
      </c>
      <c r="Y1220" s="54" t="n">
        <v>1338.75</v>
      </c>
      <c r="Z1220" s="54" t="n">
        <v>3275.862069</v>
      </c>
      <c r="AA1220" s="55">
        <f>IF(AND(A1220="", B1220="", E1220=""), "", IF(AB1220="", "Válido", IF((LEN(AB1220)-LEN(SUBSTITUTE(AB1220,"; ","")))/2+1&gt;(LEN(AB1220)-LEN(SUBSTITUTE(AB1220,"[Aviso]","")))/7, "Con Incidencias", "Válido")))</f>
        <v/>
      </c>
      <c r="AB1220" s="56">
        <f>IF(AND(A1220="", B1220="", E1220=""), "", TEXTJOIN("; ", TRUE, IF(OR(TRIM(A1220&amp;"")="", ISNUMBER(SEARCH("FALTA", A1220))), "UPC faltante/inválido", ""), IF(AND(A1220&lt;&gt;"", IFERROR(_xlfn.XMATCH(A1220,$A$2:$A$2509,0,1)&lt;&gt;_xlfn.XMATCH(A1220,$A$2:$A$2509,0,-1),FALSE)), "Código de barras duplicado", ""), IF(AND(E1220&lt;&gt;"", COUNTIF($E$2:$E$2509, E1220)&gt;1), "SKU duplicado", ""), IF(OR(J1220="", J1220=""), "[Aviso] División no capturada ()", IF(ISNA(MATCH(J1220, Criterios!$A$123:$A$126, 0)), "División no válida", "")), IF(OR(K1220="", K1220=""), "[Aviso] Categoría no capturada ()", IF(ISNA(MATCH(K1220, Criterios!$A$81:$A$120, 0)), "Categoría no válida", IF(AND(J1220&lt;&gt;"", J1220&lt;&gt;"", J1220&lt;&gt;VLOOKUP(K1220, Criterios!$A$81:$B$120, 2, FALSE)), "División no coincide con Categoría", ""))), IF(OR(L1220="", L1220=""), "[Aviso] Género no capturado ()", IF(ISNA(MATCH(L1220, Criterios!$B$123:$B$127, 0)), "Género no válido", "")), IF(OR(N1220="", N1220=""), "[Aviso] Temporada no capturada ()", IF(ISNA(MATCH(N1220, Criterios!$C$123:$C$128, 0)), "Temporada no válida", "")), IF(OR(O1220="", O1220=""), "[Aviso] Ciclo de vida no capturado ()", IF(ISNA(MATCH(O1220, Criterios!$D$123:$D$124, 0)), "Ciclo de vida no válido", ""))))</f>
        <v/>
      </c>
      <c r="AC1220" s="56" t="n"/>
      <c r="AD1220" s="51" t="n">
        <v>-1</v>
      </c>
      <c r="AE1220" s="156" t="n"/>
      <c r="AF1220" s="51" t="n">
        <v>0</v>
      </c>
      <c r="AG1220" s="156" t="inlineStr">
        <is>
          <t>Catálogo existente</t>
        </is>
      </c>
      <c r="AH122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0" s="156" t="inlineStr">
        <is>
          <t>Sí</t>
        </is>
      </c>
      <c r="AJ1220" s="156" t="inlineStr">
        <is>
          <t>STETSON AMERICAS (-1)</t>
        </is>
      </c>
      <c r="AK1220" s="155" t="inlineStr">
        <is>
          <t>Criterios: I [Q] | Shopify Stetson: producto 14789251137899 / variante 53350606799211</t>
        </is>
      </c>
      <c r="AL1220" s="58" t="n">
        <v>1338.75</v>
      </c>
      <c r="AM1220" s="58" t="n">
        <v>3275.862069</v>
      </c>
      <c r="AN1220" s="155" t="inlineStr">
        <is>
          <t>Shopify Stetson México</t>
        </is>
      </c>
      <c r="AO1220" s="59" t="n">
        <v>0</v>
      </c>
      <c r="AP1220" s="59" t="n"/>
      <c r="AQ1220" s="59" t="n"/>
      <c r="AR1220" s="155" t="n"/>
    </row>
    <row r="1221">
      <c r="A1221" s="50" t="inlineStr">
        <is>
          <t>719280486830</t>
        </is>
      </c>
      <c r="B1221" s="51" t="inlineStr">
        <is>
          <t>110221</t>
        </is>
      </c>
      <c r="C1221" s="156" t="inlineStr">
        <is>
          <t>Multimarca</t>
        </is>
      </c>
      <c r="D1221" s="156" t="inlineStr">
        <is>
          <t>SSSTPT-684481</t>
        </is>
      </c>
      <c r="E1221" s="156" t="inlineStr">
        <is>
          <t>SSSTPT-68448170</t>
        </is>
      </c>
      <c r="F1221" s="156" t="inlineStr">
        <is>
          <t>7</t>
        </is>
      </c>
      <c r="G1221" s="156" t="inlineStr">
        <is>
          <t>7</t>
        </is>
      </c>
      <c r="H1221" s="156" t="inlineStr">
        <is>
          <t>Stetson</t>
        </is>
      </c>
      <c r="I1221" s="156" t="inlineStr">
        <is>
          <t>Sombrero Stetson South Point Natural</t>
        </is>
      </c>
      <c r="J1221" s="156" t="inlineStr">
        <is>
          <t>Accesorios</t>
        </is>
      </c>
      <c r="K1221" s="156" t="inlineStr">
        <is>
          <t>Sombreros</t>
        </is>
      </c>
      <c r="L1221" s="156" t="inlineStr">
        <is>
          <t>Unisex</t>
        </is>
      </c>
      <c r="M1221" s="156" t="inlineStr">
        <is>
          <t>Stetson</t>
        </is>
      </c>
      <c r="N1221" s="156" t="inlineStr">
        <is>
          <t>SS26</t>
        </is>
      </c>
      <c r="O1221" s="156" t="inlineStr">
        <is>
          <t>Seasonal</t>
        </is>
      </c>
      <c r="P1221" s="156" t="inlineStr">
        <is>
          <t>Beige</t>
        </is>
      </c>
      <c r="Q1221" s="156" t="n"/>
      <c r="R1221" s="156" t="inlineStr">
        <is>
          <t>Copa Cattleman</t>
        </is>
      </c>
      <c r="S1221" s="156" t="inlineStr">
        <is>
          <t>100% Paja</t>
        </is>
      </c>
      <c r="T1221"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1" s="156" t="inlineStr">
        <is>
          <t>Estados Unidos</t>
        </is>
      </c>
      <c r="V1221" s="156" t="inlineStr">
        <is>
          <t>PZS</t>
        </is>
      </c>
      <c r="W1221" s="51" t="inlineStr">
        <is>
          <t>53102503</t>
        </is>
      </c>
      <c r="X1221" s="156" t="inlineStr">
        <is>
          <t>https://cdn.shopify.com/s/files/1/0888/3250/8267/files/SSSTPT-6844-81-66_1.png?v=1759960805</t>
        </is>
      </c>
      <c r="Y1221" s="54" t="n">
        <v>1338.75</v>
      </c>
      <c r="Z1221" s="54" t="n">
        <v>3275.862069</v>
      </c>
      <c r="AA1221" s="55">
        <f>IF(AND(A1221="", B1221="", E1221=""), "", IF(AB1221="", "Válido", IF((LEN(AB1221)-LEN(SUBSTITUTE(AB1221,"; ","")))/2+1&gt;(LEN(AB1221)-LEN(SUBSTITUTE(AB1221,"[Aviso]","")))/7, "Con Incidencias", "Válido")))</f>
        <v/>
      </c>
      <c r="AB1221" s="56">
        <f>IF(AND(A1221="", B1221="", E1221=""), "", TEXTJOIN("; ", TRUE, IF(OR(TRIM(A1221&amp;"")="", ISNUMBER(SEARCH("FALTA", A1221))), "UPC faltante/inválido", ""), IF(AND(A1221&lt;&gt;"", IFERROR(_xlfn.XMATCH(A1221,$A$2:$A$2509,0,1)&lt;&gt;_xlfn.XMATCH(A1221,$A$2:$A$2509,0,-1),FALSE)), "Código de barras duplicado", ""), IF(AND(E1221&lt;&gt;"", COUNTIF($E$2:$E$2509, E1221)&gt;1), "SKU duplicado", ""), IF(OR(J1221="", J1221=""), "[Aviso] División no capturada ()", IF(ISNA(MATCH(J1221, Criterios!$A$123:$A$126, 0)), "División no válida", "")), IF(OR(K1221="", K1221=""), "[Aviso] Categoría no capturada ()", IF(ISNA(MATCH(K1221, Criterios!$A$81:$A$120, 0)), "Categoría no válida", IF(AND(J1221&lt;&gt;"", J1221&lt;&gt;"", J1221&lt;&gt;VLOOKUP(K1221, Criterios!$A$81:$B$120, 2, FALSE)), "División no coincide con Categoría", ""))), IF(OR(L1221="", L1221=""), "[Aviso] Género no capturado ()", IF(ISNA(MATCH(L1221, Criterios!$B$123:$B$127, 0)), "Género no válido", "")), IF(OR(N1221="", N1221=""), "[Aviso] Temporada no capturada ()", IF(ISNA(MATCH(N1221, Criterios!$C$123:$C$128, 0)), "Temporada no válida", "")), IF(OR(O1221="", O1221=""), "[Aviso] Ciclo de vida no capturado ()", IF(ISNA(MATCH(O1221, Criterios!$D$123:$D$124, 0)), "Ciclo de vida no válido", ""))))</f>
        <v/>
      </c>
      <c r="AC1221" s="56" t="n"/>
      <c r="AD1221" s="51" t="n">
        <v>0</v>
      </c>
      <c r="AE1221" s="156" t="n"/>
      <c r="AF1221" s="51" t="n">
        <v>0</v>
      </c>
      <c r="AG1221" s="156" t="inlineStr">
        <is>
          <t>Catálogo existente</t>
        </is>
      </c>
      <c r="AH1221"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1" s="156" t="inlineStr">
        <is>
          <t>No</t>
        </is>
      </c>
      <c r="AJ1221" s="156" t="n"/>
      <c r="AK1221" s="155" t="inlineStr">
        <is>
          <t>Criterios: I [Q] | Shopify Stetson: producto 14789251137899 / variante 53350606831979</t>
        </is>
      </c>
      <c r="AL1221" s="58" t="n">
        <v>1338.75</v>
      </c>
      <c r="AM1221" s="58" t="n">
        <v>3275.862069</v>
      </c>
      <c r="AN1221" s="155" t="inlineStr">
        <is>
          <t>Shopify Stetson México</t>
        </is>
      </c>
      <c r="AO1221" s="59" t="n">
        <v>0</v>
      </c>
      <c r="AP1221" s="59" t="n"/>
      <c r="AQ1221" s="59" t="n"/>
      <c r="AR1221" s="155" t="n"/>
    </row>
    <row r="1222">
      <c r="A1222" s="50" t="inlineStr">
        <is>
          <t>719280486847</t>
        </is>
      </c>
      <c r="B1222" s="51" t="inlineStr">
        <is>
          <t>110222</t>
        </is>
      </c>
      <c r="C1222" s="156" t="inlineStr">
        <is>
          <t>Multimarca</t>
        </is>
      </c>
      <c r="D1222" s="156" t="inlineStr">
        <is>
          <t>SSSTPT-684481</t>
        </is>
      </c>
      <c r="E1222" s="156" t="inlineStr">
        <is>
          <t>SSSTPT-68448171</t>
        </is>
      </c>
      <c r="F1222" s="156" t="inlineStr">
        <is>
          <t>7 1/8</t>
        </is>
      </c>
      <c r="G1222" s="156" t="inlineStr">
        <is>
          <t>7 1/8</t>
        </is>
      </c>
      <c r="H1222" s="156" t="inlineStr">
        <is>
          <t>Stetson</t>
        </is>
      </c>
      <c r="I1222" s="156" t="inlineStr">
        <is>
          <t>Sombrero Stetson South Point Natural</t>
        </is>
      </c>
      <c r="J1222" s="156" t="inlineStr">
        <is>
          <t>Accesorios</t>
        </is>
      </c>
      <c r="K1222" s="156" t="inlineStr">
        <is>
          <t>Sombreros</t>
        </is>
      </c>
      <c r="L1222" s="156" t="inlineStr">
        <is>
          <t>Unisex</t>
        </is>
      </c>
      <c r="M1222" s="156" t="inlineStr">
        <is>
          <t>Stetson</t>
        </is>
      </c>
      <c r="N1222" s="156" t="inlineStr">
        <is>
          <t>SS26</t>
        </is>
      </c>
      <c r="O1222" s="156" t="inlineStr">
        <is>
          <t>Seasonal</t>
        </is>
      </c>
      <c r="P1222" s="156" t="inlineStr">
        <is>
          <t>Beige</t>
        </is>
      </c>
      <c r="Q1222" s="156" t="n"/>
      <c r="R1222" s="156" t="inlineStr">
        <is>
          <t>Copa Cattleman</t>
        </is>
      </c>
      <c r="S1222" s="156" t="inlineStr">
        <is>
          <t>100% Paja</t>
        </is>
      </c>
      <c r="T1222"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2" s="156" t="inlineStr">
        <is>
          <t>Estados Unidos</t>
        </is>
      </c>
      <c r="V1222" s="156" t="inlineStr">
        <is>
          <t>PZS</t>
        </is>
      </c>
      <c r="W1222" s="51" t="inlineStr">
        <is>
          <t>53102503</t>
        </is>
      </c>
      <c r="X1222" s="156" t="inlineStr">
        <is>
          <t>https://cdn.shopify.com/s/files/1/0888/3250/8267/files/SSSTPT-6844-81-66_2.png?v=1759960805</t>
        </is>
      </c>
      <c r="Y1222" s="54" t="n">
        <v>1338.75</v>
      </c>
      <c r="Z1222" s="54" t="n">
        <v>3275.862069</v>
      </c>
      <c r="AA1222" s="55">
        <f>IF(AND(A1222="", B1222="", E1222=""), "", IF(AB1222="", "Válido", IF((LEN(AB1222)-LEN(SUBSTITUTE(AB1222,"; ","")))/2+1&gt;(LEN(AB1222)-LEN(SUBSTITUTE(AB1222,"[Aviso]","")))/7, "Con Incidencias", "Válido")))</f>
        <v/>
      </c>
      <c r="AB1222" s="56">
        <f>IF(AND(A1222="", B1222="", E1222=""), "", TEXTJOIN("; ", TRUE, IF(OR(TRIM(A1222&amp;"")="", ISNUMBER(SEARCH("FALTA", A1222))), "UPC faltante/inválido", ""), IF(AND(A1222&lt;&gt;"", IFERROR(_xlfn.XMATCH(A1222,$A$2:$A$2509,0,1)&lt;&gt;_xlfn.XMATCH(A1222,$A$2:$A$2509,0,-1),FALSE)), "Código de barras duplicado", ""), IF(AND(E1222&lt;&gt;"", COUNTIF($E$2:$E$2509, E1222)&gt;1), "SKU duplicado", ""), IF(OR(J1222="", J1222=""), "[Aviso] División no capturada ()", IF(ISNA(MATCH(J1222, Criterios!$A$123:$A$126, 0)), "División no válida", "")), IF(OR(K1222="", K1222=""), "[Aviso] Categoría no capturada ()", IF(ISNA(MATCH(K1222, Criterios!$A$81:$A$120, 0)), "Categoría no válida", IF(AND(J1222&lt;&gt;"", J1222&lt;&gt;"", J1222&lt;&gt;VLOOKUP(K1222, Criterios!$A$81:$B$120, 2, FALSE)), "División no coincide con Categoría", ""))), IF(OR(L1222="", L1222=""), "[Aviso] Género no capturado ()", IF(ISNA(MATCH(L1222, Criterios!$B$123:$B$127, 0)), "Género no válido", "")), IF(OR(N1222="", N1222=""), "[Aviso] Temporada no capturada ()", IF(ISNA(MATCH(N1222, Criterios!$C$123:$C$128, 0)), "Temporada no válida", "")), IF(OR(O1222="", O1222=""), "[Aviso] Ciclo de vida no capturado ()", IF(ISNA(MATCH(O1222, Criterios!$D$123:$D$124, 0)), "Ciclo de vida no válido", ""))))</f>
        <v/>
      </c>
      <c r="AC1222" s="56" t="n"/>
      <c r="AD1222" s="51" t="n">
        <v>0</v>
      </c>
      <c r="AE1222" s="156" t="inlineStr">
        <is>
          <t>B25 STETSON.MX (2)</t>
        </is>
      </c>
      <c r="AF1222" s="51" t="n">
        <v>2</v>
      </c>
      <c r="AG1222" s="156" t="inlineStr">
        <is>
          <t>Catálogo existente</t>
        </is>
      </c>
      <c r="AH122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2" s="156" t="inlineStr">
        <is>
          <t>Sí</t>
        </is>
      </c>
      <c r="AJ1222" s="156" t="inlineStr">
        <is>
          <t>STETSON AMERICAS (-2)</t>
        </is>
      </c>
      <c r="AK1222" s="155" t="inlineStr">
        <is>
          <t>Criterios: I [Q] | Shopify Stetson: producto 14789251137899 / variante 53350606864747</t>
        </is>
      </c>
      <c r="AL1222" s="58" t="n">
        <v>1338.75</v>
      </c>
      <c r="AM1222" s="58" t="n">
        <v>3275.862069</v>
      </c>
      <c r="AN1222" s="155" t="inlineStr">
        <is>
          <t>Shopify Stetson México</t>
        </is>
      </c>
      <c r="AO1222" s="59" t="n">
        <v>4</v>
      </c>
      <c r="AP1222" s="59" t="n"/>
      <c r="AQ1222" s="59" t="n"/>
      <c r="AR1222" s="155" t="inlineStr">
        <is>
          <t>Shopify Stetson México › Stetson México: 4</t>
        </is>
      </c>
    </row>
    <row r="1223">
      <c r="A1223" s="50" t="inlineStr">
        <is>
          <t>719280486854</t>
        </is>
      </c>
      <c r="B1223" s="51" t="inlineStr">
        <is>
          <t>110223</t>
        </is>
      </c>
      <c r="C1223" s="156" t="inlineStr">
        <is>
          <t>Multimarca</t>
        </is>
      </c>
      <c r="D1223" s="156" t="inlineStr">
        <is>
          <t>SSSTPT-684481</t>
        </is>
      </c>
      <c r="E1223" s="156" t="inlineStr">
        <is>
          <t>SSSTPT-68448172</t>
        </is>
      </c>
      <c r="F1223" s="156" t="inlineStr">
        <is>
          <t>7 1/4</t>
        </is>
      </c>
      <c r="G1223" s="156" t="inlineStr">
        <is>
          <t>7 1/4</t>
        </is>
      </c>
      <c r="H1223" s="156" t="inlineStr">
        <is>
          <t>Stetson</t>
        </is>
      </c>
      <c r="I1223" s="156" t="inlineStr">
        <is>
          <t>Sombrero Stetson South Point Natural</t>
        </is>
      </c>
      <c r="J1223" s="156" t="inlineStr">
        <is>
          <t>Accesorios</t>
        </is>
      </c>
      <c r="K1223" s="156" t="inlineStr">
        <is>
          <t>Sombreros</t>
        </is>
      </c>
      <c r="L1223" s="156" t="inlineStr">
        <is>
          <t>Unisex</t>
        </is>
      </c>
      <c r="M1223" s="156" t="inlineStr">
        <is>
          <t>Stetson</t>
        </is>
      </c>
      <c r="N1223" s="156" t="inlineStr">
        <is>
          <t>SS26</t>
        </is>
      </c>
      <c r="O1223" s="156" t="inlineStr">
        <is>
          <t>Seasonal</t>
        </is>
      </c>
      <c r="P1223" s="156" t="inlineStr">
        <is>
          <t>Beige</t>
        </is>
      </c>
      <c r="Q1223" s="156" t="n"/>
      <c r="R1223" s="156" t="inlineStr">
        <is>
          <t>Copa Cattleman</t>
        </is>
      </c>
      <c r="S1223" s="156" t="inlineStr">
        <is>
          <t>100% Paja</t>
        </is>
      </c>
      <c r="T1223"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3" s="156" t="inlineStr">
        <is>
          <t>Estados Unidos</t>
        </is>
      </c>
      <c r="V1223" s="156" t="inlineStr">
        <is>
          <t>PZS</t>
        </is>
      </c>
      <c r="W1223" s="51" t="inlineStr">
        <is>
          <t>53102503</t>
        </is>
      </c>
      <c r="X1223" s="156" t="inlineStr">
        <is>
          <t>https://cdn.shopify.com/s/files/1/0888/3250/8267/files/SSSTPT-6844-81-66_3.png?v=1759960805</t>
        </is>
      </c>
      <c r="Y1223" s="54" t="n">
        <v>1338.75</v>
      </c>
      <c r="Z1223" s="54" t="n">
        <v>3275.862069</v>
      </c>
      <c r="AA1223" s="55">
        <f>IF(AND(A1223="", B1223="", E1223=""), "", IF(AB1223="", "Válido", IF((LEN(AB1223)-LEN(SUBSTITUTE(AB1223,"; ","")))/2+1&gt;(LEN(AB1223)-LEN(SUBSTITUTE(AB1223,"[Aviso]","")))/7, "Con Incidencias", "Válido")))</f>
        <v/>
      </c>
      <c r="AB1223" s="56">
        <f>IF(AND(A1223="", B1223="", E1223=""), "", TEXTJOIN("; ", TRUE, IF(OR(TRIM(A1223&amp;"")="", ISNUMBER(SEARCH("FALTA", A1223))), "UPC faltante/inválido", ""), IF(AND(A1223&lt;&gt;"", IFERROR(_xlfn.XMATCH(A1223,$A$2:$A$2509,0,1)&lt;&gt;_xlfn.XMATCH(A1223,$A$2:$A$2509,0,-1),FALSE)), "Código de barras duplicado", ""), IF(AND(E1223&lt;&gt;"", COUNTIF($E$2:$E$2509, E1223)&gt;1), "SKU duplicado", ""), IF(OR(J1223="", J1223=""), "[Aviso] División no capturada ()", IF(ISNA(MATCH(J1223, Criterios!$A$123:$A$126, 0)), "División no válida", "")), IF(OR(K1223="", K1223=""), "[Aviso] Categoría no capturada ()", IF(ISNA(MATCH(K1223, Criterios!$A$81:$A$120, 0)), "Categoría no válida", IF(AND(J1223&lt;&gt;"", J1223&lt;&gt;"", J1223&lt;&gt;VLOOKUP(K1223, Criterios!$A$81:$B$120, 2, FALSE)), "División no coincide con Categoría", ""))), IF(OR(L1223="", L1223=""), "[Aviso] Género no capturado ()", IF(ISNA(MATCH(L1223, Criterios!$B$123:$B$127, 0)), "Género no válido", "")), IF(OR(N1223="", N1223=""), "[Aviso] Temporada no capturada ()", IF(ISNA(MATCH(N1223, Criterios!$C$123:$C$128, 0)), "Temporada no válida", "")), IF(OR(O1223="", O1223=""), "[Aviso] Ciclo de vida no capturado ()", IF(ISNA(MATCH(O1223, Criterios!$D$123:$D$124, 0)), "Ciclo de vida no válido", ""))))</f>
        <v/>
      </c>
      <c r="AC1223" s="56" t="n"/>
      <c r="AD1223" s="51" t="n">
        <v>2</v>
      </c>
      <c r="AE1223" s="156" t="inlineStr">
        <is>
          <t>PUNTO DE VENTA (1); B25 STETSON.MX (1)</t>
        </is>
      </c>
      <c r="AF1223" s="51" t="n">
        <v>2</v>
      </c>
      <c r="AG1223" s="156" t="inlineStr">
        <is>
          <t>Catálogo existente</t>
        </is>
      </c>
      <c r="AH122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3" s="156" t="inlineStr">
        <is>
          <t>No</t>
        </is>
      </c>
      <c r="AJ1223" s="156" t="n"/>
      <c r="AK1223" s="155" t="inlineStr">
        <is>
          <t>Criterios: I [Q] | Shopify Stetson: producto 14789251137899 / variante 53350606897515</t>
        </is>
      </c>
      <c r="AL1223" s="58" t="n">
        <v>1338.75</v>
      </c>
      <c r="AM1223" s="58" t="n">
        <v>3275.862069</v>
      </c>
      <c r="AN1223" s="155" t="inlineStr">
        <is>
          <t>Shopify Stetson México</t>
        </is>
      </c>
      <c r="AO1223" s="59" t="n">
        <v>3</v>
      </c>
      <c r="AP1223" s="59" t="n"/>
      <c r="AQ1223" s="59" t="n"/>
      <c r="AR1223" s="155" t="inlineStr">
        <is>
          <t>Shopify Stetson México › Stetson México: 1 | Shopify Stetson México › Stetson Americas: 2</t>
        </is>
      </c>
    </row>
    <row r="1224">
      <c r="A1224" s="50" t="inlineStr">
        <is>
          <t>719280486861</t>
        </is>
      </c>
      <c r="B1224" s="51" t="inlineStr">
        <is>
          <t>110224</t>
        </is>
      </c>
      <c r="C1224" s="156" t="inlineStr">
        <is>
          <t>Multimarca</t>
        </is>
      </c>
      <c r="D1224" s="156" t="inlineStr">
        <is>
          <t>SSSTPT-684481</t>
        </is>
      </c>
      <c r="E1224" s="156" t="inlineStr">
        <is>
          <t>SSSTPT-68448173</t>
        </is>
      </c>
      <c r="F1224" s="156" t="inlineStr">
        <is>
          <t>7 3/8</t>
        </is>
      </c>
      <c r="G1224" s="156" t="inlineStr">
        <is>
          <t>7 3/8</t>
        </is>
      </c>
      <c r="H1224" s="156" t="inlineStr">
        <is>
          <t>Stetson</t>
        </is>
      </c>
      <c r="I1224" s="156" t="inlineStr">
        <is>
          <t>Sombrero Stetson South Point Natural</t>
        </is>
      </c>
      <c r="J1224" s="156" t="inlineStr">
        <is>
          <t>Accesorios</t>
        </is>
      </c>
      <c r="K1224" s="156" t="inlineStr">
        <is>
          <t>Sombreros</t>
        </is>
      </c>
      <c r="L1224" s="156" t="inlineStr">
        <is>
          <t>Unisex</t>
        </is>
      </c>
      <c r="M1224" s="156" t="inlineStr">
        <is>
          <t>Stetson</t>
        </is>
      </c>
      <c r="N1224" s="156" t="inlineStr">
        <is>
          <t>SS26</t>
        </is>
      </c>
      <c r="O1224" s="156" t="inlineStr">
        <is>
          <t>Seasonal</t>
        </is>
      </c>
      <c r="P1224" s="156" t="inlineStr">
        <is>
          <t>Beige</t>
        </is>
      </c>
      <c r="Q1224" s="156" t="n"/>
      <c r="R1224" s="156" t="inlineStr">
        <is>
          <t>Copa Cattleman</t>
        </is>
      </c>
      <c r="S1224" s="156" t="inlineStr">
        <is>
          <t>100% Paja</t>
        </is>
      </c>
      <c r="T1224"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4" s="156" t="inlineStr">
        <is>
          <t>Estados Unidos</t>
        </is>
      </c>
      <c r="V1224" s="156" t="inlineStr">
        <is>
          <t>PZS</t>
        </is>
      </c>
      <c r="W1224" s="51" t="inlineStr">
        <is>
          <t>53102503</t>
        </is>
      </c>
      <c r="X1224" s="156" t="inlineStr">
        <is>
          <t>https://cdn.shopify.com/s/files/1/0888/3250/8267/files/SSSTPT-6844-81-66_4.png?v=1759960804</t>
        </is>
      </c>
      <c r="Y1224" s="54" t="n">
        <v>1338.75</v>
      </c>
      <c r="Z1224" s="54" t="n">
        <v>3275.862069</v>
      </c>
      <c r="AA1224" s="55">
        <f>IF(AND(A1224="", B1224="", E1224=""), "", IF(AB1224="", "Válido", IF((LEN(AB1224)-LEN(SUBSTITUTE(AB1224,"; ","")))/2+1&gt;(LEN(AB1224)-LEN(SUBSTITUTE(AB1224,"[Aviso]","")))/7, "Con Incidencias", "Válido")))</f>
        <v/>
      </c>
      <c r="AB1224" s="56">
        <f>IF(AND(A1224="", B1224="", E1224=""), "", TEXTJOIN("; ", TRUE, IF(OR(TRIM(A1224&amp;"")="", ISNUMBER(SEARCH("FALTA", A1224))), "UPC faltante/inválido", ""), IF(AND(A1224&lt;&gt;"", IFERROR(_xlfn.XMATCH(A1224,$A$2:$A$2509,0,1)&lt;&gt;_xlfn.XMATCH(A1224,$A$2:$A$2509,0,-1),FALSE)), "Código de barras duplicado", ""), IF(AND(E1224&lt;&gt;"", COUNTIF($E$2:$E$2509, E1224)&gt;1), "SKU duplicado", ""), IF(OR(J1224="", J1224=""), "[Aviso] División no capturada ()", IF(ISNA(MATCH(J1224, Criterios!$A$123:$A$126, 0)), "División no válida", "")), IF(OR(K1224="", K1224=""), "[Aviso] Categoría no capturada ()", IF(ISNA(MATCH(K1224, Criterios!$A$81:$A$120, 0)), "Categoría no válida", IF(AND(J1224&lt;&gt;"", J1224&lt;&gt;"", J1224&lt;&gt;VLOOKUP(K1224, Criterios!$A$81:$B$120, 2, FALSE)), "División no coincide con Categoría", ""))), IF(OR(L1224="", L1224=""), "[Aviso] Género no capturado ()", IF(ISNA(MATCH(L1224, Criterios!$B$123:$B$127, 0)), "Género no válido", "")), IF(OR(N1224="", N1224=""), "[Aviso] Temporada no capturada ()", IF(ISNA(MATCH(N1224, Criterios!$C$123:$C$128, 0)), "Temporada no válida", "")), IF(OR(O1224="", O1224=""), "[Aviso] Ciclo de vida no capturado ()", IF(ISNA(MATCH(O1224, Criterios!$D$123:$D$124, 0)), "Ciclo de vida no válido", ""))))</f>
        <v/>
      </c>
      <c r="AC1224" s="56" t="n"/>
      <c r="AD1224" s="51" t="n">
        <v>0</v>
      </c>
      <c r="AE1224" s="156" t="n"/>
      <c r="AF1224" s="51" t="n">
        <v>0</v>
      </c>
      <c r="AG1224" s="156" t="inlineStr">
        <is>
          <t>Catálogo existente</t>
        </is>
      </c>
      <c r="AH1224"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4" s="156" t="inlineStr">
        <is>
          <t>No</t>
        </is>
      </c>
      <c r="AJ1224" s="156" t="n"/>
      <c r="AK1224" s="155" t="inlineStr">
        <is>
          <t>Criterios: I [Q] | Shopify Stetson: producto 14789251137899 / variante 53350606930283</t>
        </is>
      </c>
      <c r="AL1224" s="58" t="n">
        <v>1338.75</v>
      </c>
      <c r="AM1224" s="58" t="n">
        <v>3275.862069</v>
      </c>
      <c r="AN1224" s="155" t="inlineStr">
        <is>
          <t>Shopify Stetson México</t>
        </is>
      </c>
      <c r="AO1224" s="59" t="n">
        <v>1</v>
      </c>
      <c r="AP1224" s="59" t="n"/>
      <c r="AQ1224" s="59" t="n"/>
      <c r="AR1224" s="155" t="inlineStr">
        <is>
          <t>Shopify Stetson México › Stetson Americas: 1</t>
        </is>
      </c>
    </row>
    <row r="1225">
      <c r="A1225" s="50" t="inlineStr">
        <is>
          <t>719280486878</t>
        </is>
      </c>
      <c r="B1225" s="51" t="inlineStr">
        <is>
          <t>110225</t>
        </is>
      </c>
      <c r="C1225" s="156" t="inlineStr">
        <is>
          <t>Multimarca</t>
        </is>
      </c>
      <c r="D1225" s="156" t="inlineStr">
        <is>
          <t>SSSTPT-684481</t>
        </is>
      </c>
      <c r="E1225" s="156" t="inlineStr">
        <is>
          <t>SSSTPT-68448174</t>
        </is>
      </c>
      <c r="F1225" s="156" t="inlineStr">
        <is>
          <t>7 1/2</t>
        </is>
      </c>
      <c r="G1225" s="156" t="inlineStr">
        <is>
          <t>7 1/2</t>
        </is>
      </c>
      <c r="H1225" s="156" t="inlineStr">
        <is>
          <t>Stetson</t>
        </is>
      </c>
      <c r="I1225" s="156" t="inlineStr">
        <is>
          <t>Sombrero Stetson South Point Natural</t>
        </is>
      </c>
      <c r="J1225" s="156" t="inlineStr">
        <is>
          <t>Accesorios</t>
        </is>
      </c>
      <c r="K1225" s="156" t="inlineStr">
        <is>
          <t>Sombreros</t>
        </is>
      </c>
      <c r="L1225" s="156" t="inlineStr">
        <is>
          <t>Unisex</t>
        </is>
      </c>
      <c r="M1225" s="156" t="inlineStr">
        <is>
          <t>Stetson</t>
        </is>
      </c>
      <c r="N1225" s="156" t="inlineStr">
        <is>
          <t>SS26</t>
        </is>
      </c>
      <c r="O1225" s="156" t="inlineStr">
        <is>
          <t>Seasonal</t>
        </is>
      </c>
      <c r="P1225" s="156" t="inlineStr">
        <is>
          <t>Beige</t>
        </is>
      </c>
      <c r="Q1225" s="156" t="n"/>
      <c r="R1225" s="156" t="inlineStr">
        <is>
          <t>Copa Cattleman</t>
        </is>
      </c>
      <c r="S1225" s="156" t="inlineStr">
        <is>
          <t>100% Paja</t>
        </is>
      </c>
      <c r="T1225"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5" s="156" t="inlineStr">
        <is>
          <t>Estados Unidos</t>
        </is>
      </c>
      <c r="V1225" s="156" t="inlineStr">
        <is>
          <t>PZS</t>
        </is>
      </c>
      <c r="W1225" s="51" t="inlineStr">
        <is>
          <t>53102503</t>
        </is>
      </c>
      <c r="X1225" s="156" t="inlineStr">
        <is>
          <t>https://cdn.shopify.com/s/files/1/0888/3250/8267/files/SSSTPT-6844-81-66_5.png?v=1759960804</t>
        </is>
      </c>
      <c r="Y1225" s="54" t="n">
        <v>1338.75</v>
      </c>
      <c r="Z1225" s="54" t="n">
        <v>3275.862069</v>
      </c>
      <c r="AA1225" s="55">
        <f>IF(AND(A1225="", B1225="", E1225=""), "", IF(AB1225="", "Válido", IF((LEN(AB1225)-LEN(SUBSTITUTE(AB1225,"; ","")))/2+1&gt;(LEN(AB1225)-LEN(SUBSTITUTE(AB1225,"[Aviso]","")))/7, "Con Incidencias", "Válido")))</f>
        <v/>
      </c>
      <c r="AB1225" s="56">
        <f>IF(AND(A1225="", B1225="", E1225=""), "", TEXTJOIN("; ", TRUE, IF(OR(TRIM(A1225&amp;"")="", ISNUMBER(SEARCH("FALTA", A1225))), "UPC faltante/inválido", ""), IF(AND(A1225&lt;&gt;"", IFERROR(_xlfn.XMATCH(A1225,$A$2:$A$2509,0,1)&lt;&gt;_xlfn.XMATCH(A1225,$A$2:$A$2509,0,-1),FALSE)), "Código de barras duplicado", ""), IF(AND(E1225&lt;&gt;"", COUNTIF($E$2:$E$2509, E1225)&gt;1), "SKU duplicado", ""), IF(OR(J1225="", J1225=""), "[Aviso] División no capturada ()", IF(ISNA(MATCH(J1225, Criterios!$A$123:$A$126, 0)), "División no válida", "")), IF(OR(K1225="", K1225=""), "[Aviso] Categoría no capturada ()", IF(ISNA(MATCH(K1225, Criterios!$A$81:$A$120, 0)), "Categoría no válida", IF(AND(J1225&lt;&gt;"", J1225&lt;&gt;"", J1225&lt;&gt;VLOOKUP(K1225, Criterios!$A$81:$B$120, 2, FALSE)), "División no coincide con Categoría", ""))), IF(OR(L1225="", L1225=""), "[Aviso] Género no capturado ()", IF(ISNA(MATCH(L1225, Criterios!$B$123:$B$127, 0)), "Género no válido", "")), IF(OR(N1225="", N1225=""), "[Aviso] Temporada no capturada ()", IF(ISNA(MATCH(N1225, Criterios!$C$123:$C$128, 0)), "Temporada no válida", "")), IF(OR(O1225="", O1225=""), "[Aviso] Ciclo de vida no capturado ()", IF(ISNA(MATCH(O1225, Criterios!$D$123:$D$124, 0)), "Ciclo de vida no válido", ""))))</f>
        <v/>
      </c>
      <c r="AC1225" s="56" t="n"/>
      <c r="AD1225" s="51" t="n">
        <v>0</v>
      </c>
      <c r="AE1225" s="156" t="inlineStr">
        <is>
          <t>B25 STETSON.MX (1)</t>
        </is>
      </c>
      <c r="AF1225" s="51" t="n">
        <v>1</v>
      </c>
      <c r="AG1225" s="156" t="inlineStr">
        <is>
          <t>Catálogo existente</t>
        </is>
      </c>
      <c r="AH1225"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5" s="156" t="inlineStr">
        <is>
          <t>Sí</t>
        </is>
      </c>
      <c r="AJ1225" s="156" t="inlineStr">
        <is>
          <t>STETSON AMERICAS (-1)</t>
        </is>
      </c>
      <c r="AK1225" s="155" t="inlineStr">
        <is>
          <t>Criterios: I [Q] | Shopify Stetson: producto 14789251137899 / variante 53350606963051</t>
        </is>
      </c>
      <c r="AL1225" s="58" t="n">
        <v>1338.75</v>
      </c>
      <c r="AM1225" s="58" t="n">
        <v>3275.862069</v>
      </c>
      <c r="AN1225" s="155" t="inlineStr">
        <is>
          <t>Shopify Stetson México</t>
        </is>
      </c>
      <c r="AO1225" s="59" t="n">
        <v>1</v>
      </c>
      <c r="AP1225" s="59" t="n"/>
      <c r="AQ1225" s="59" t="n"/>
      <c r="AR1225" s="155" t="inlineStr">
        <is>
          <t>Shopify Stetson México › Stetson México: 1</t>
        </is>
      </c>
    </row>
    <row r="1226">
      <c r="A1226" s="50" t="inlineStr">
        <is>
          <t>719280497133</t>
        </is>
      </c>
      <c r="B1226" s="51" t="inlineStr">
        <is>
          <t>110181</t>
        </is>
      </c>
      <c r="C1226" s="156" t="inlineStr">
        <is>
          <t>Multimarca</t>
        </is>
      </c>
      <c r="D1226" s="156" t="inlineStr">
        <is>
          <t>SSLLNO-304281</t>
        </is>
      </c>
      <c r="E1226" s="156" t="inlineStr">
        <is>
          <t>SSLLNO-30428170</t>
        </is>
      </c>
      <c r="F1226" s="156" t="inlineStr">
        <is>
          <t>7</t>
        </is>
      </c>
      <c r="G1226" s="156" t="inlineStr">
        <is>
          <t>7</t>
        </is>
      </c>
      <c r="H1226" s="156" t="inlineStr">
        <is>
          <t>Stetson</t>
        </is>
      </c>
      <c r="I1226" s="156" t="inlineStr">
        <is>
          <t>Texana Stetson Llano Natural</t>
        </is>
      </c>
      <c r="J1226" s="156" t="inlineStr">
        <is>
          <t>Accesorios</t>
        </is>
      </c>
      <c r="K1226" s="156" t="inlineStr">
        <is>
          <t>Sombreros</t>
        </is>
      </c>
      <c r="L1226" s="156" t="inlineStr">
        <is>
          <t>Unisex</t>
        </is>
      </c>
      <c r="M1226" s="156" t="inlineStr">
        <is>
          <t>Stetson</t>
        </is>
      </c>
      <c r="N1226" s="156" t="inlineStr">
        <is>
          <t>SS26</t>
        </is>
      </c>
      <c r="O1226" s="156" t="inlineStr">
        <is>
          <t>Seasonal</t>
        </is>
      </c>
      <c r="P1226" s="156" t="inlineStr">
        <is>
          <t>Beige</t>
        </is>
      </c>
      <c r="Q1226" s="156" t="n"/>
      <c r="R1226" s="156" t="inlineStr">
        <is>
          <t>Copa Cattleman</t>
        </is>
      </c>
      <c r="S1226" s="156" t="inlineStr">
        <is>
          <t>100% Fieltro de lana</t>
        </is>
      </c>
      <c r="T1226"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6" s="156" t="n"/>
      <c r="V1226" s="156" t="inlineStr">
        <is>
          <t>PZS</t>
        </is>
      </c>
      <c r="W1226" s="51" t="inlineStr">
        <is>
          <t>53102503</t>
        </is>
      </c>
      <c r="X1226" s="156" t="inlineStr">
        <is>
          <t>https://cdn.shopify.com/s/files/1/0888/3250/8267/files/SSLLNO-304281-01.jpg?v=1759872553</t>
        </is>
      </c>
      <c r="Y1226" s="54" t="n">
        <v>1338.75</v>
      </c>
      <c r="Z1226" s="54" t="n">
        <v>3275.862069</v>
      </c>
      <c r="AA1226" s="55">
        <f>IF(AND(A1226="", B1226="", E1226=""), "", IF(AB1226="", "Válido", IF((LEN(AB1226)-LEN(SUBSTITUTE(AB1226,"; ","")))/2+1&gt;(LEN(AB1226)-LEN(SUBSTITUTE(AB1226,"[Aviso]","")))/7, "Con Incidencias", "Válido")))</f>
        <v/>
      </c>
      <c r="AB1226" s="56">
        <f>IF(AND(A1226="", B1226="", E1226=""), "", TEXTJOIN("; ", TRUE, IF(OR(TRIM(A1226&amp;"")="", ISNUMBER(SEARCH("FALTA", A1226))), "UPC faltante/inválido", ""), IF(AND(A1226&lt;&gt;"", IFERROR(_xlfn.XMATCH(A1226,$A$2:$A$2509,0,1)&lt;&gt;_xlfn.XMATCH(A1226,$A$2:$A$2509,0,-1),FALSE)), "Código de barras duplicado", ""), IF(AND(E1226&lt;&gt;"", COUNTIF($E$2:$E$2509, E1226)&gt;1), "SKU duplicado", ""), IF(OR(J1226="", J1226=""), "[Aviso] División no capturada ()", IF(ISNA(MATCH(J1226, Criterios!$A$123:$A$126, 0)), "División no válida", "")), IF(OR(K1226="", K1226=""), "[Aviso] Categoría no capturada ()", IF(ISNA(MATCH(K1226, Criterios!$A$81:$A$120, 0)), "Categoría no válida", IF(AND(J1226&lt;&gt;"", J1226&lt;&gt;"", J1226&lt;&gt;VLOOKUP(K1226, Criterios!$A$81:$B$120, 2, FALSE)), "División no coincide con Categoría", ""))), IF(OR(L1226="", L1226=""), "[Aviso] Género no capturado ()", IF(ISNA(MATCH(L1226, Criterios!$B$123:$B$127, 0)), "Género no válido", "")), IF(OR(N1226="", N1226=""), "[Aviso] Temporada no capturada ()", IF(ISNA(MATCH(N1226, Criterios!$C$123:$C$128, 0)), "Temporada no válida", "")), IF(OR(O1226="", O1226=""), "[Aviso] Ciclo de vida no capturado ()", IF(ISNA(MATCH(O1226, Criterios!$D$123:$D$124, 0)), "Ciclo de vida no válido", ""))))</f>
        <v/>
      </c>
      <c r="AC1226" s="56" t="n"/>
      <c r="AD1226" s="51" t="n">
        <v>-2</v>
      </c>
      <c r="AE1226" s="156" t="n"/>
      <c r="AF1226" s="51" t="n">
        <v>0</v>
      </c>
      <c r="AG1226" s="156" t="inlineStr">
        <is>
          <t>Catálogo existente</t>
        </is>
      </c>
      <c r="AH122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6" s="156" t="inlineStr">
        <is>
          <t>Sí</t>
        </is>
      </c>
      <c r="AJ1226" s="156" t="inlineStr">
        <is>
          <t>STETSON AMERICAS (-2)</t>
        </is>
      </c>
      <c r="AK1226" s="155" t="inlineStr">
        <is>
          <t>Criterios: I [Q] | Shopify Stetson: producto 14788919525739 / variante 53350607782251</t>
        </is>
      </c>
      <c r="AL1226" s="58" t="n">
        <v>1338.75</v>
      </c>
      <c r="AM1226" s="58" t="n">
        <v>3275.862069</v>
      </c>
      <c r="AN1226" s="155" t="inlineStr">
        <is>
          <t>Shopify Stetson México</t>
        </is>
      </c>
      <c r="AO1226" s="59" t="n">
        <v>0</v>
      </c>
      <c r="AP1226" s="59" t="n"/>
      <c r="AQ1226" s="59" t="n"/>
      <c r="AR1226" s="155" t="n"/>
    </row>
    <row r="1227">
      <c r="A1227" s="50" t="inlineStr">
        <is>
          <t>719280497140</t>
        </is>
      </c>
      <c r="B1227" s="51" t="inlineStr">
        <is>
          <t>110182</t>
        </is>
      </c>
      <c r="C1227" s="156" t="inlineStr">
        <is>
          <t>Multimarca</t>
        </is>
      </c>
      <c r="D1227" s="156" t="inlineStr">
        <is>
          <t>SSLLNO-304281</t>
        </is>
      </c>
      <c r="E1227" s="156" t="inlineStr">
        <is>
          <t>SSLLNO-30428171</t>
        </is>
      </c>
      <c r="F1227" s="156" t="inlineStr">
        <is>
          <t>7 1/8</t>
        </is>
      </c>
      <c r="G1227" s="156" t="inlineStr">
        <is>
          <t>7 1/8</t>
        </is>
      </c>
      <c r="H1227" s="156" t="inlineStr">
        <is>
          <t>Stetson</t>
        </is>
      </c>
      <c r="I1227" s="156" t="inlineStr">
        <is>
          <t>Texana Stetson Llano Natural</t>
        </is>
      </c>
      <c r="J1227" s="156" t="inlineStr">
        <is>
          <t>Accesorios</t>
        </is>
      </c>
      <c r="K1227" s="156" t="inlineStr">
        <is>
          <t>Sombreros</t>
        </is>
      </c>
      <c r="L1227" s="156" t="inlineStr">
        <is>
          <t>Unisex</t>
        </is>
      </c>
      <c r="M1227" s="156" t="inlineStr">
        <is>
          <t>Stetson</t>
        </is>
      </c>
      <c r="N1227" s="156" t="inlineStr">
        <is>
          <t>SS26</t>
        </is>
      </c>
      <c r="O1227" s="156" t="inlineStr">
        <is>
          <t>Seasonal</t>
        </is>
      </c>
      <c r="P1227" s="156" t="inlineStr">
        <is>
          <t>Beige</t>
        </is>
      </c>
      <c r="Q1227" s="156" t="n"/>
      <c r="R1227" s="156" t="inlineStr">
        <is>
          <t>Copa Cattleman</t>
        </is>
      </c>
      <c r="S1227" s="156" t="inlineStr">
        <is>
          <t>100% Fieltro de lana</t>
        </is>
      </c>
      <c r="T1227"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7" s="156" t="n"/>
      <c r="V1227" s="156" t="inlineStr">
        <is>
          <t>PZS</t>
        </is>
      </c>
      <c r="W1227" s="51" t="inlineStr">
        <is>
          <t>53102503</t>
        </is>
      </c>
      <c r="X1227" s="156" t="inlineStr">
        <is>
          <t>https://cdn.shopify.com/s/files/1/0888/3250/8267/files/SSLLNO-304281-02.jpg?v=1759872553</t>
        </is>
      </c>
      <c r="Y1227" s="54" t="n">
        <v>1338.75</v>
      </c>
      <c r="Z1227" s="54" t="n">
        <v>3275.862069</v>
      </c>
      <c r="AA1227" s="55">
        <f>IF(AND(A1227="", B1227="", E1227=""), "", IF(AB1227="", "Válido", IF((LEN(AB1227)-LEN(SUBSTITUTE(AB1227,"; ","")))/2+1&gt;(LEN(AB1227)-LEN(SUBSTITUTE(AB1227,"[Aviso]","")))/7, "Con Incidencias", "Válido")))</f>
        <v/>
      </c>
      <c r="AB1227" s="56">
        <f>IF(AND(A1227="", B1227="", E1227=""), "", TEXTJOIN("; ", TRUE, IF(OR(TRIM(A1227&amp;"")="", ISNUMBER(SEARCH("FALTA", A1227))), "UPC faltante/inválido", ""), IF(AND(A1227&lt;&gt;"", IFERROR(_xlfn.XMATCH(A1227,$A$2:$A$2509,0,1)&lt;&gt;_xlfn.XMATCH(A1227,$A$2:$A$2509,0,-1),FALSE)), "Código de barras duplicado", ""), IF(AND(E1227&lt;&gt;"", COUNTIF($E$2:$E$2509, E1227)&gt;1), "SKU duplicado", ""), IF(OR(J1227="", J1227=""), "[Aviso] División no capturada ()", IF(ISNA(MATCH(J1227, Criterios!$A$123:$A$126, 0)), "División no válida", "")), IF(OR(K1227="", K1227=""), "[Aviso] Categoría no capturada ()", IF(ISNA(MATCH(K1227, Criterios!$A$81:$A$120, 0)), "Categoría no válida", IF(AND(J1227&lt;&gt;"", J1227&lt;&gt;"", J1227&lt;&gt;VLOOKUP(K1227, Criterios!$A$81:$B$120, 2, FALSE)), "División no coincide con Categoría", ""))), IF(OR(L1227="", L1227=""), "[Aviso] Género no capturado ()", IF(ISNA(MATCH(L1227, Criterios!$B$123:$B$127, 0)), "Género no válido", "")), IF(OR(N1227="", N1227=""), "[Aviso] Temporada no capturada ()", IF(ISNA(MATCH(N1227, Criterios!$C$123:$C$128, 0)), "Temporada no válida", "")), IF(OR(O1227="", O1227=""), "[Aviso] Ciclo de vida no capturado ()", IF(ISNA(MATCH(O1227, Criterios!$D$123:$D$124, 0)), "Ciclo de vida no válido", ""))))</f>
        <v/>
      </c>
      <c r="AC1227" s="56" t="n"/>
      <c r="AD1227" s="51" t="n">
        <v>-2</v>
      </c>
      <c r="AE1227" s="156" t="inlineStr">
        <is>
          <t>B25 STETSON.MX (1)</t>
        </is>
      </c>
      <c r="AF1227" s="51" t="n">
        <v>1</v>
      </c>
      <c r="AG1227" s="156" t="inlineStr">
        <is>
          <t>Catálogo existente</t>
        </is>
      </c>
      <c r="AH1227"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7" s="156" t="inlineStr">
        <is>
          <t>Sí</t>
        </is>
      </c>
      <c r="AJ1227" s="156" t="inlineStr">
        <is>
          <t>STETSON AMERICAS (-2); PUNTO DE VENTA (-1)</t>
        </is>
      </c>
      <c r="AK1227" s="155" t="inlineStr">
        <is>
          <t>Criterios: I [Q] | Shopify Stetson: producto 14788919525739 / variante 53350607815019</t>
        </is>
      </c>
      <c r="AL1227" s="58" t="n">
        <v>1338.75</v>
      </c>
      <c r="AM1227" s="58" t="n">
        <v>3275.862069</v>
      </c>
      <c r="AN1227" s="155" t="inlineStr">
        <is>
          <t>Shopify Stetson México</t>
        </is>
      </c>
      <c r="AO1227" s="59" t="n">
        <v>0</v>
      </c>
      <c r="AP1227" s="59" t="n"/>
      <c r="AQ1227" s="59" t="n"/>
      <c r="AR1227" s="155" t="n"/>
    </row>
    <row r="1228">
      <c r="A1228" s="50" t="inlineStr">
        <is>
          <t>719280497157</t>
        </is>
      </c>
      <c r="B1228" s="51" t="inlineStr">
        <is>
          <t>110183</t>
        </is>
      </c>
      <c r="C1228" s="156" t="inlineStr">
        <is>
          <t>Multimarca</t>
        </is>
      </c>
      <c r="D1228" s="156" t="inlineStr">
        <is>
          <t>SSLLNO-304281</t>
        </is>
      </c>
      <c r="E1228" s="156" t="inlineStr">
        <is>
          <t>SSLLNO-30428172</t>
        </is>
      </c>
      <c r="F1228" s="156" t="inlineStr">
        <is>
          <t>7 1/4</t>
        </is>
      </c>
      <c r="G1228" s="156" t="inlineStr">
        <is>
          <t>7 1/4</t>
        </is>
      </c>
      <c r="H1228" s="156" t="inlineStr">
        <is>
          <t>Stetson</t>
        </is>
      </c>
      <c r="I1228" s="156" t="inlineStr">
        <is>
          <t>Texana Stetson Llano Natural</t>
        </is>
      </c>
      <c r="J1228" s="156" t="inlineStr">
        <is>
          <t>Accesorios</t>
        </is>
      </c>
      <c r="K1228" s="156" t="inlineStr">
        <is>
          <t>Sombreros</t>
        </is>
      </c>
      <c r="L1228" s="156" t="inlineStr">
        <is>
          <t>Unisex</t>
        </is>
      </c>
      <c r="M1228" s="156" t="inlineStr">
        <is>
          <t>Stetson</t>
        </is>
      </c>
      <c r="N1228" s="156" t="inlineStr">
        <is>
          <t>SS26</t>
        </is>
      </c>
      <c r="O1228" s="156" t="inlineStr">
        <is>
          <t>Seasonal</t>
        </is>
      </c>
      <c r="P1228" s="156" t="inlineStr">
        <is>
          <t>Beige</t>
        </is>
      </c>
      <c r="Q1228" s="156" t="n"/>
      <c r="R1228" s="156" t="inlineStr">
        <is>
          <t>Copa Cattleman</t>
        </is>
      </c>
      <c r="S1228" s="156" t="inlineStr">
        <is>
          <t>100% Fieltro de lana</t>
        </is>
      </c>
      <c r="T1228"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8" s="156" t="n"/>
      <c r="V1228" s="156" t="inlineStr">
        <is>
          <t>PZS</t>
        </is>
      </c>
      <c r="W1228" s="51" t="inlineStr">
        <is>
          <t>53102503</t>
        </is>
      </c>
      <c r="X1228" s="156" t="inlineStr">
        <is>
          <t>https://cdn.shopify.com/s/files/1/0888/3250/8267/files/SSLLNO-304281-03.jpg?v=1759872553</t>
        </is>
      </c>
      <c r="Y1228" s="54" t="n">
        <v>1338.75</v>
      </c>
      <c r="Z1228" s="54" t="n">
        <v>3275.862069</v>
      </c>
      <c r="AA1228" s="55">
        <f>IF(AND(A1228="", B1228="", E1228=""), "", IF(AB1228="", "Válido", IF((LEN(AB1228)-LEN(SUBSTITUTE(AB1228,"; ","")))/2+1&gt;(LEN(AB1228)-LEN(SUBSTITUTE(AB1228,"[Aviso]","")))/7, "Con Incidencias", "Válido")))</f>
        <v/>
      </c>
      <c r="AB1228" s="56">
        <f>IF(AND(A1228="", B1228="", E1228=""), "", TEXTJOIN("; ", TRUE, IF(OR(TRIM(A1228&amp;"")="", ISNUMBER(SEARCH("FALTA", A1228))), "UPC faltante/inválido", ""), IF(AND(A1228&lt;&gt;"", IFERROR(_xlfn.XMATCH(A1228,$A$2:$A$2509,0,1)&lt;&gt;_xlfn.XMATCH(A1228,$A$2:$A$2509,0,-1),FALSE)), "Código de barras duplicado", ""), IF(AND(E1228&lt;&gt;"", COUNTIF($E$2:$E$2509, E1228)&gt;1), "SKU duplicado", ""), IF(OR(J1228="", J1228=""), "[Aviso] División no capturada ()", IF(ISNA(MATCH(J1228, Criterios!$A$123:$A$126, 0)), "División no válida", "")), IF(OR(K1228="", K1228=""), "[Aviso] Categoría no capturada ()", IF(ISNA(MATCH(K1228, Criterios!$A$81:$A$120, 0)), "Categoría no válida", IF(AND(J1228&lt;&gt;"", J1228&lt;&gt;"", J1228&lt;&gt;VLOOKUP(K1228, Criterios!$A$81:$B$120, 2, FALSE)), "División no coincide con Categoría", ""))), IF(OR(L1228="", L1228=""), "[Aviso] Género no capturado ()", IF(ISNA(MATCH(L1228, Criterios!$B$123:$B$127, 0)), "Género no válido", "")), IF(OR(N1228="", N1228=""), "[Aviso] Temporada no capturada ()", IF(ISNA(MATCH(N1228, Criterios!$C$123:$C$128, 0)), "Temporada no válida", "")), IF(OR(O1228="", O1228=""), "[Aviso] Ciclo de vida no capturado ()", IF(ISNA(MATCH(O1228, Criterios!$D$123:$D$124, 0)), "Ciclo de vida no válido", ""))))</f>
        <v/>
      </c>
      <c r="AC1228" s="56" t="n"/>
      <c r="AD1228" s="51" t="n">
        <v>0</v>
      </c>
      <c r="AE1228" s="156" t="inlineStr">
        <is>
          <t>B25 STETSON.MX (2)</t>
        </is>
      </c>
      <c r="AF1228" s="51" t="n">
        <v>2</v>
      </c>
      <c r="AG1228" s="156" t="inlineStr">
        <is>
          <t>Catálogo existente</t>
        </is>
      </c>
      <c r="AH1228" s="156" t="inlineStr">
        <is>
          <t>Revisión 29/09/2026: Campos sin respaldo: U | 01/10/2026: complementado desde Shopify Stetson México (match por código de barras): WB Fit, WB Silueta | 01/10/2026: Shopify Stetson México trae Color «Varios» — se conservó el valor de Productos</t>
        </is>
      </c>
      <c r="AI1228" s="156" t="inlineStr">
        <is>
          <t>Sí</t>
        </is>
      </c>
      <c r="AJ1228" s="156" t="inlineStr">
        <is>
          <t>STETSON AMERICAS (-2)</t>
        </is>
      </c>
      <c r="AK1228" s="155" t="inlineStr">
        <is>
          <t>Criterios: I [Q] | Shopify Stetson: producto 14788919525739 / variante 53350607847787</t>
        </is>
      </c>
      <c r="AL1228" s="58" t="n">
        <v>1338.75</v>
      </c>
      <c r="AM1228" s="58" t="n">
        <v>3275.862069</v>
      </c>
      <c r="AN1228" s="155" t="inlineStr">
        <is>
          <t>Shopify Stetson México</t>
        </is>
      </c>
      <c r="AO1228" s="59" t="n">
        <v>3</v>
      </c>
      <c r="AP1228" s="59" t="n"/>
      <c r="AQ1228" s="59" t="n"/>
      <c r="AR1228" s="155" t="inlineStr">
        <is>
          <t>Shopify Stetson México › Stetson México: 3</t>
        </is>
      </c>
    </row>
    <row r="1229">
      <c r="A1229" s="50" t="inlineStr">
        <is>
          <t>719280497164</t>
        </is>
      </c>
      <c r="B1229" s="51" t="inlineStr">
        <is>
          <t>110184</t>
        </is>
      </c>
      <c r="C1229" s="156" t="inlineStr">
        <is>
          <t>Multimarca</t>
        </is>
      </c>
      <c r="D1229" s="156" t="inlineStr">
        <is>
          <t>SSLLNO-304281</t>
        </is>
      </c>
      <c r="E1229" s="156" t="inlineStr">
        <is>
          <t>SSLLNO-30428173</t>
        </is>
      </c>
      <c r="F1229" s="156" t="inlineStr">
        <is>
          <t>7 3/8</t>
        </is>
      </c>
      <c r="G1229" s="156" t="inlineStr">
        <is>
          <t>7 3/8</t>
        </is>
      </c>
      <c r="H1229" s="156" t="inlineStr">
        <is>
          <t>Stetson</t>
        </is>
      </c>
      <c r="I1229" s="156" t="inlineStr">
        <is>
          <t>Texana Stetson Llano Natural</t>
        </is>
      </c>
      <c r="J1229" s="156" t="inlineStr">
        <is>
          <t>Accesorios</t>
        </is>
      </c>
      <c r="K1229" s="156" t="inlineStr">
        <is>
          <t>Sombreros</t>
        </is>
      </c>
      <c r="L1229" s="156" t="inlineStr">
        <is>
          <t>Unisex</t>
        </is>
      </c>
      <c r="M1229" s="156" t="inlineStr">
        <is>
          <t>Stetson</t>
        </is>
      </c>
      <c r="N1229" s="156" t="inlineStr">
        <is>
          <t>SS26</t>
        </is>
      </c>
      <c r="O1229" s="156" t="inlineStr">
        <is>
          <t>Seasonal</t>
        </is>
      </c>
      <c r="P1229" s="156" t="inlineStr">
        <is>
          <t>Beige</t>
        </is>
      </c>
      <c r="Q1229" s="156" t="n"/>
      <c r="R1229" s="156" t="inlineStr">
        <is>
          <t>Copa Cattleman</t>
        </is>
      </c>
      <c r="S1229" s="156" t="inlineStr">
        <is>
          <t>100% Fieltro de lana</t>
        </is>
      </c>
      <c r="T1229"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9" s="156" t="n"/>
      <c r="V1229" s="156" t="inlineStr">
        <is>
          <t>PZS</t>
        </is>
      </c>
      <c r="W1229" s="51" t="inlineStr">
        <is>
          <t>53102503</t>
        </is>
      </c>
      <c r="X1229" s="156" t="inlineStr">
        <is>
          <t>https://cdn.shopify.com/s/files/1/0888/3250/8267/files/SSLLNO-304281-04.jpg?v=1759872553</t>
        </is>
      </c>
      <c r="Y1229" s="54" t="n">
        <v>1338.75</v>
      </c>
      <c r="Z1229" s="54" t="n">
        <v>3275.862069</v>
      </c>
      <c r="AA1229" s="55">
        <f>IF(AND(A1229="", B1229="", E1229=""), "", IF(AB1229="", "Válido", IF((LEN(AB1229)-LEN(SUBSTITUTE(AB1229,"; ","")))/2+1&gt;(LEN(AB1229)-LEN(SUBSTITUTE(AB1229,"[Aviso]","")))/7, "Con Incidencias", "Válido")))</f>
        <v/>
      </c>
      <c r="AB1229" s="56">
        <f>IF(AND(A1229="", B1229="", E1229=""), "", TEXTJOIN("; ", TRUE, IF(OR(TRIM(A1229&amp;"")="", ISNUMBER(SEARCH("FALTA", A1229))), "UPC faltante/inválido", ""), IF(AND(A1229&lt;&gt;"", IFERROR(_xlfn.XMATCH(A1229,$A$2:$A$2509,0,1)&lt;&gt;_xlfn.XMATCH(A1229,$A$2:$A$2509,0,-1),FALSE)), "Código de barras duplicado", ""), IF(AND(E1229&lt;&gt;"", COUNTIF($E$2:$E$2509, E1229)&gt;1), "SKU duplicado", ""), IF(OR(J1229="", J1229=""), "[Aviso] División no capturada ()", IF(ISNA(MATCH(J1229, Criterios!$A$123:$A$126, 0)), "División no válida", "")), IF(OR(K1229="", K1229=""), "[Aviso] Categoría no capturada ()", IF(ISNA(MATCH(K1229, Criterios!$A$81:$A$120, 0)), "Categoría no válida", IF(AND(J1229&lt;&gt;"", J1229&lt;&gt;"", J1229&lt;&gt;VLOOKUP(K1229, Criterios!$A$81:$B$120, 2, FALSE)), "División no coincide con Categoría", ""))), IF(OR(L1229="", L1229=""), "[Aviso] Género no capturado ()", IF(ISNA(MATCH(L1229, Criterios!$B$123:$B$127, 0)), "Género no válido", "")), IF(OR(N1229="", N1229=""), "[Aviso] Temporada no capturada ()", IF(ISNA(MATCH(N1229, Criterios!$C$123:$C$128, 0)), "Temporada no válida", "")), IF(OR(O1229="", O1229=""), "[Aviso] Ciclo de vida no capturado ()", IF(ISNA(MATCH(O1229, Criterios!$D$123:$D$124, 0)), "Ciclo de vida no válido", ""))))</f>
        <v/>
      </c>
      <c r="AC1229" s="56" t="n"/>
      <c r="AD1229" s="51" t="n">
        <v>-1</v>
      </c>
      <c r="AE1229" s="156" t="n"/>
      <c r="AF1229" s="51" t="n">
        <v>0</v>
      </c>
      <c r="AG1229" s="156" t="inlineStr">
        <is>
          <t>Catálogo existente</t>
        </is>
      </c>
      <c r="AH1229"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9" s="156" t="inlineStr">
        <is>
          <t>Sí</t>
        </is>
      </c>
      <c r="AJ1229" s="156" t="inlineStr">
        <is>
          <t>STETSON AMERICAS (-1)</t>
        </is>
      </c>
      <c r="AK1229" s="155" t="inlineStr">
        <is>
          <t>Criterios: I [Q] | Shopify Stetson: producto 14788919525739 / variante 53350607880555</t>
        </is>
      </c>
      <c r="AL1229" s="58" t="n">
        <v>1338.75</v>
      </c>
      <c r="AM1229" s="58" t="n">
        <v>3275.862069</v>
      </c>
      <c r="AN1229" s="155" t="inlineStr">
        <is>
          <t>Shopify Stetson México</t>
        </is>
      </c>
      <c r="AO1229" s="59" t="n">
        <v>0</v>
      </c>
      <c r="AP1229" s="59" t="n"/>
      <c r="AQ1229" s="59" t="n"/>
      <c r="AR1229" s="155" t="n"/>
    </row>
    <row r="1230">
      <c r="A1230" s="50" t="inlineStr">
        <is>
          <t>719280497171</t>
        </is>
      </c>
      <c r="B1230" s="51" t="inlineStr">
        <is>
          <t>110185</t>
        </is>
      </c>
      <c r="C1230" s="156" t="inlineStr">
        <is>
          <t>Multimarca</t>
        </is>
      </c>
      <c r="D1230" s="156" t="inlineStr">
        <is>
          <t>SSLLNO-304281</t>
        </is>
      </c>
      <c r="E1230" s="156" t="inlineStr">
        <is>
          <t>SSLLNO-30428174</t>
        </is>
      </c>
      <c r="F1230" s="156" t="inlineStr">
        <is>
          <t>7 1/2</t>
        </is>
      </c>
      <c r="G1230" s="156" t="inlineStr">
        <is>
          <t>7 1/2</t>
        </is>
      </c>
      <c r="H1230" s="156" t="inlineStr">
        <is>
          <t>Stetson</t>
        </is>
      </c>
      <c r="I1230" s="156" t="inlineStr">
        <is>
          <t>Texana Stetson Llano Natural</t>
        </is>
      </c>
      <c r="J1230" s="156" t="inlineStr">
        <is>
          <t>Accesorios</t>
        </is>
      </c>
      <c r="K1230" s="156" t="inlineStr">
        <is>
          <t>Sombreros</t>
        </is>
      </c>
      <c r="L1230" s="156" t="inlineStr">
        <is>
          <t>Unisex</t>
        </is>
      </c>
      <c r="M1230" s="156" t="inlineStr">
        <is>
          <t>Stetson</t>
        </is>
      </c>
      <c r="N1230" s="156" t="inlineStr">
        <is>
          <t>SS26</t>
        </is>
      </c>
      <c r="O1230" s="156" t="inlineStr">
        <is>
          <t>Seasonal</t>
        </is>
      </c>
      <c r="P1230" s="156" t="inlineStr">
        <is>
          <t>Beige</t>
        </is>
      </c>
      <c r="Q1230" s="156" t="n"/>
      <c r="R1230" s="156" t="inlineStr">
        <is>
          <t>Copa Cattleman</t>
        </is>
      </c>
      <c r="S1230" s="156" t="inlineStr">
        <is>
          <t>100% Fieltro de lana</t>
        </is>
      </c>
      <c r="T1230"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30" s="156" t="n"/>
      <c r="V1230" s="156" t="inlineStr">
        <is>
          <t>PZS</t>
        </is>
      </c>
      <c r="W1230" s="51" t="inlineStr">
        <is>
          <t>53102503</t>
        </is>
      </c>
      <c r="X1230" s="156" t="inlineStr">
        <is>
          <t>https://cdn.shopify.com/s/files/1/0888/3250/8267/files/SSLLNO-304281-05.jpg?v=1759872553</t>
        </is>
      </c>
      <c r="Y1230" s="54" t="n">
        <v>1338.75</v>
      </c>
      <c r="Z1230" s="54" t="n">
        <v>3275.862069</v>
      </c>
      <c r="AA1230" s="55">
        <f>IF(AND(A1230="", B1230="", E1230=""), "", IF(AB1230="", "Válido", IF((LEN(AB1230)-LEN(SUBSTITUTE(AB1230,"; ","")))/2+1&gt;(LEN(AB1230)-LEN(SUBSTITUTE(AB1230,"[Aviso]","")))/7, "Con Incidencias", "Válido")))</f>
        <v/>
      </c>
      <c r="AB1230" s="56">
        <f>IF(AND(A1230="", B1230="", E1230=""), "", TEXTJOIN("; ", TRUE, IF(OR(TRIM(A1230&amp;"")="", ISNUMBER(SEARCH("FALTA", A1230))), "UPC faltante/inválido", ""), IF(AND(A1230&lt;&gt;"", IFERROR(_xlfn.XMATCH(A1230,$A$2:$A$2509,0,1)&lt;&gt;_xlfn.XMATCH(A1230,$A$2:$A$2509,0,-1),FALSE)), "Código de barras duplicado", ""), IF(AND(E1230&lt;&gt;"", COUNTIF($E$2:$E$2509, E1230)&gt;1), "SKU duplicado", ""), IF(OR(J1230="", J1230=""), "[Aviso] División no capturada ()", IF(ISNA(MATCH(J1230, Criterios!$A$123:$A$126, 0)), "División no válida", "")), IF(OR(K1230="", K1230=""), "[Aviso] Categoría no capturada ()", IF(ISNA(MATCH(K1230, Criterios!$A$81:$A$120, 0)), "Categoría no válida", IF(AND(J1230&lt;&gt;"", J1230&lt;&gt;"", J1230&lt;&gt;VLOOKUP(K1230, Criterios!$A$81:$B$120, 2, FALSE)), "División no coincide con Categoría", ""))), IF(OR(L1230="", L1230=""), "[Aviso] Género no capturado ()", IF(ISNA(MATCH(L1230, Criterios!$B$123:$B$127, 0)), "Género no válido", "")), IF(OR(N1230="", N1230=""), "[Aviso] Temporada no capturada ()", IF(ISNA(MATCH(N1230, Criterios!$C$123:$C$128, 0)), "Temporada no válida", "")), IF(OR(O1230="", O1230=""), "[Aviso] Ciclo de vida no capturado ()", IF(ISNA(MATCH(O1230, Criterios!$D$123:$D$124, 0)), "Ciclo de vida no válido", ""))))</f>
        <v/>
      </c>
      <c r="AC1230" s="56" t="n"/>
      <c r="AD1230" s="51" t="n">
        <v>0</v>
      </c>
      <c r="AE1230" s="156" t="inlineStr">
        <is>
          <t>B25 STETSON.MX (2)</t>
        </is>
      </c>
      <c r="AF1230" s="51" t="n">
        <v>2</v>
      </c>
      <c r="AG1230" s="156" t="inlineStr">
        <is>
          <t>Catálogo existente</t>
        </is>
      </c>
      <c r="AH1230" s="156" t="inlineStr">
        <is>
          <t>Revisión 29/09/2026: Campos sin respaldo: U | 01/10/2026: complementado desde Shopify Stetson México (match por código de barras): WB Fit, WB Silueta | 01/10/2026: Shopify Stetson México trae Color «Varios» — se conservó el valor de Productos</t>
        </is>
      </c>
      <c r="AI1230" s="156" t="inlineStr">
        <is>
          <t>Sí</t>
        </is>
      </c>
      <c r="AJ1230" s="156" t="inlineStr">
        <is>
          <t>STETSON AMERICAS (-2)</t>
        </is>
      </c>
      <c r="AK1230" s="155" t="inlineStr">
        <is>
          <t>Criterios: I [Q] | Shopify Stetson: producto 14788919525739 / variante 53350607913323</t>
        </is>
      </c>
      <c r="AL1230" s="58" t="n">
        <v>1338.75</v>
      </c>
      <c r="AM1230" s="58" t="n">
        <v>3275.862069</v>
      </c>
      <c r="AN1230" s="155" t="inlineStr">
        <is>
          <t>Shopify Stetson México</t>
        </is>
      </c>
      <c r="AO1230" s="59" t="n">
        <v>2</v>
      </c>
      <c r="AP1230" s="59" t="n"/>
      <c r="AQ1230" s="59" t="n"/>
      <c r="AR1230" s="155" t="inlineStr">
        <is>
          <t>Shopify Stetson México › Stetson México: 2</t>
        </is>
      </c>
    </row>
    <row r="1231">
      <c r="A1231" s="50" t="inlineStr">
        <is>
          <t>719280497188</t>
        </is>
      </c>
      <c r="B1231" s="51" t="inlineStr">
        <is>
          <t>110186</t>
        </is>
      </c>
      <c r="C1231" s="156" t="inlineStr">
        <is>
          <t>Multimarca</t>
        </is>
      </c>
      <c r="D1231" s="156" t="inlineStr">
        <is>
          <t>SSLLNO-304281</t>
        </is>
      </c>
      <c r="E1231" s="156" t="inlineStr">
        <is>
          <t>SSLLNO-30428175</t>
        </is>
      </c>
      <c r="F1231" s="156" t="inlineStr">
        <is>
          <t>7 5/8</t>
        </is>
      </c>
      <c r="G1231" s="156" t="inlineStr">
        <is>
          <t>7 5/8</t>
        </is>
      </c>
      <c r="H1231" s="156" t="inlineStr">
        <is>
          <t>Stetson</t>
        </is>
      </c>
      <c r="I1231" s="156" t="inlineStr">
        <is>
          <t>Texana Stetson Llano Natural</t>
        </is>
      </c>
      <c r="J1231" s="156" t="inlineStr">
        <is>
          <t>Accesorios</t>
        </is>
      </c>
      <c r="K1231" s="156" t="inlineStr">
        <is>
          <t>Sombreros</t>
        </is>
      </c>
      <c r="L1231" s="156" t="inlineStr">
        <is>
          <t>Unisex</t>
        </is>
      </c>
      <c r="M1231" s="156" t="inlineStr">
        <is>
          <t>Stetson</t>
        </is>
      </c>
      <c r="N1231" s="156" t="inlineStr">
        <is>
          <t>SS26</t>
        </is>
      </c>
      <c r="O1231" s="156" t="inlineStr">
        <is>
          <t>Seasonal</t>
        </is>
      </c>
      <c r="P1231" s="156" t="inlineStr">
        <is>
          <t>Beige</t>
        </is>
      </c>
      <c r="Q1231" s="156" t="n"/>
      <c r="R1231" s="156" t="inlineStr">
        <is>
          <t>Copa Cattleman</t>
        </is>
      </c>
      <c r="S1231" s="156" t="inlineStr">
        <is>
          <t>100% Fieltro de lana</t>
        </is>
      </c>
      <c r="T1231"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31" s="156" t="n"/>
      <c r="V1231" s="156" t="inlineStr">
        <is>
          <t>PZS</t>
        </is>
      </c>
      <c r="W1231" s="51" t="inlineStr">
        <is>
          <t>53102503</t>
        </is>
      </c>
      <c r="X1231" s="156" t="inlineStr">
        <is>
          <t>https://cdn.shopify.com/s/files/1/0888/3250/8267/files/SSLLNO-304281-06.jpg?v=1759872553</t>
        </is>
      </c>
      <c r="Y1231" s="54" t="n">
        <v>1338.75</v>
      </c>
      <c r="Z1231" s="54" t="n">
        <v>3275.862069</v>
      </c>
      <c r="AA1231" s="55">
        <f>IF(AND(A1231="", B1231="", E1231=""), "", IF(AB1231="", "Válido", IF((LEN(AB1231)-LEN(SUBSTITUTE(AB1231,"; ","")))/2+1&gt;(LEN(AB1231)-LEN(SUBSTITUTE(AB1231,"[Aviso]","")))/7, "Con Incidencias", "Válido")))</f>
        <v/>
      </c>
      <c r="AB1231" s="56">
        <f>IF(AND(A1231="", B1231="", E1231=""), "", TEXTJOIN("; ", TRUE, IF(OR(TRIM(A1231&amp;"")="", ISNUMBER(SEARCH("FALTA", A1231))), "UPC faltante/inválido", ""), IF(AND(A1231&lt;&gt;"", IFERROR(_xlfn.XMATCH(A1231,$A$2:$A$2509,0,1)&lt;&gt;_xlfn.XMATCH(A1231,$A$2:$A$2509,0,-1),FALSE)), "Código de barras duplicado", ""), IF(AND(E1231&lt;&gt;"", COUNTIF($E$2:$E$2509, E1231)&gt;1), "SKU duplicado", ""), IF(OR(J1231="", J1231=""), "[Aviso] División no capturada ()", IF(ISNA(MATCH(J1231, Criterios!$A$123:$A$126, 0)), "División no válida", "")), IF(OR(K1231="", K1231=""), "[Aviso] Categoría no capturada ()", IF(ISNA(MATCH(K1231, Criterios!$A$81:$A$120, 0)), "Categoría no válida", IF(AND(J1231&lt;&gt;"", J1231&lt;&gt;"", J1231&lt;&gt;VLOOKUP(K1231, Criterios!$A$81:$B$120, 2, FALSE)), "División no coincide con Categoría", ""))), IF(OR(L1231="", L1231=""), "[Aviso] Género no capturado ()", IF(ISNA(MATCH(L1231, Criterios!$B$123:$B$127, 0)), "Género no válido", "")), IF(OR(N1231="", N1231=""), "[Aviso] Temporada no capturada ()", IF(ISNA(MATCH(N1231, Criterios!$C$123:$C$128, 0)), "Temporada no válida", "")), IF(OR(O1231="", O1231=""), "[Aviso] Ciclo de vida no capturado ()", IF(ISNA(MATCH(O1231, Criterios!$D$123:$D$124, 0)), "Ciclo de vida no válido", ""))))</f>
        <v/>
      </c>
      <c r="AC1231" s="56" t="n"/>
      <c r="AD1231" s="51" t="n">
        <v>-1</v>
      </c>
      <c r="AE1231" s="156" t="n"/>
      <c r="AF1231" s="51" t="n">
        <v>0</v>
      </c>
      <c r="AG1231" s="156" t="inlineStr">
        <is>
          <t>Catálogo existente</t>
        </is>
      </c>
      <c r="AH1231"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31" s="156" t="inlineStr">
        <is>
          <t>Sí</t>
        </is>
      </c>
      <c r="AJ1231" s="156" t="inlineStr">
        <is>
          <t>STETSON AMERICAS (-1)</t>
        </is>
      </c>
      <c r="AK1231" s="155" t="inlineStr">
        <is>
          <t>Criterios: I [Q] | Shopify Stetson: producto 14788919525739 / variante 53350607946091</t>
        </is>
      </c>
      <c r="AL1231" s="58" t="n">
        <v>1338.75</v>
      </c>
      <c r="AM1231" s="58" t="n">
        <v>3275.862069</v>
      </c>
      <c r="AN1231" s="155" t="inlineStr">
        <is>
          <t>Shopify Stetson México</t>
        </is>
      </c>
      <c r="AO1231" s="59" t="n">
        <v>0</v>
      </c>
      <c r="AP1231" s="59" t="n"/>
      <c r="AQ1231" s="59" t="n"/>
      <c r="AR1231" s="155" t="n"/>
    </row>
    <row r="1232">
      <c r="A1232" s="50" t="inlineStr">
        <is>
          <t>719280504817</t>
        </is>
      </c>
      <c r="B1232" s="51" t="inlineStr">
        <is>
          <t>117411</t>
        </is>
      </c>
      <c r="C1232" s="156" t="inlineStr">
        <is>
          <t>Multimarca</t>
        </is>
      </c>
      <c r="D1232" s="156" t="inlineStr">
        <is>
          <t>SSEVOR-484081</t>
        </is>
      </c>
      <c r="E1232" s="156" t="inlineStr">
        <is>
          <t>SSEVOR-48408167</t>
        </is>
      </c>
      <c r="F1232" s="156" t="inlineStr">
        <is>
          <t>6 7/8</t>
        </is>
      </c>
      <c r="G1232" s="156" t="inlineStr">
        <is>
          <t>6 7/8</t>
        </is>
      </c>
      <c r="H1232" s="156" t="inlineStr">
        <is>
          <t>Stetson</t>
        </is>
      </c>
      <c r="I1232" s="156" t="inlineStr">
        <is>
          <t>Sombrero Stetson Evor 1000X Gris</t>
        </is>
      </c>
      <c r="J1232" s="156" t="inlineStr">
        <is>
          <t>Accesorios</t>
        </is>
      </c>
      <c r="K1232" s="156" t="inlineStr">
        <is>
          <t>Sombreros</t>
        </is>
      </c>
      <c r="L1232" s="156" t="inlineStr">
        <is>
          <t>Unisex</t>
        </is>
      </c>
      <c r="M1232" s="156" t="inlineStr">
        <is>
          <t>Stetson</t>
        </is>
      </c>
      <c r="N1232" s="156" t="inlineStr">
        <is>
          <t>FW26</t>
        </is>
      </c>
      <c r="O1232" s="156" t="inlineStr">
        <is>
          <t>Seasonal</t>
        </is>
      </c>
      <c r="P1232" s="156" t="inlineStr">
        <is>
          <t>Gris</t>
        </is>
      </c>
      <c r="Q1232" s="156" t="n"/>
      <c r="R1232" s="156" t="inlineStr">
        <is>
          <t>Copa Cattleman</t>
        </is>
      </c>
      <c r="S1232" s="156" t="inlineStr">
        <is>
          <t>Palma/Paja</t>
        </is>
      </c>
      <c r="T1232"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2" s="156" t="inlineStr">
        <is>
          <t>Estados Unidos</t>
        </is>
      </c>
      <c r="V1232" s="156" t="inlineStr">
        <is>
          <t>PZS</t>
        </is>
      </c>
      <c r="W1232" s="51" t="inlineStr">
        <is>
          <t>53102503</t>
        </is>
      </c>
      <c r="X1232" s="156" t="n"/>
      <c r="Y1232" s="54" t="n">
        <v>2913.75</v>
      </c>
      <c r="Z1232" s="54" t="n">
        <v>7068.965517</v>
      </c>
      <c r="AA1232" s="55">
        <f>IF(AND(A1232="", B1232="", E1232=""), "", IF(AB1232="", "Válido", IF((LEN(AB1232)-LEN(SUBSTITUTE(AB1232,"; ","")))/2+1&gt;(LEN(AB1232)-LEN(SUBSTITUTE(AB1232,"[Aviso]","")))/7, "Con Incidencias", "Válido")))</f>
        <v/>
      </c>
      <c r="AB1232" s="56">
        <f>IF(AND(A1232="", B1232="", E1232=""), "", TEXTJOIN("; ", TRUE, IF(OR(TRIM(A1232&amp;"")="", ISNUMBER(SEARCH("FALTA", A1232))), "UPC faltante/inválido", ""), IF(AND(A1232&lt;&gt;"", IFERROR(_xlfn.XMATCH(A1232,$A$2:$A$2509,0,1)&lt;&gt;_xlfn.XMATCH(A1232,$A$2:$A$2509,0,-1),FALSE)), "Código de barras duplicado", ""), IF(AND(E1232&lt;&gt;"", COUNTIF($E$2:$E$2509, E1232)&gt;1), "SKU duplicado", ""), IF(OR(J1232="", J1232=""), "[Aviso] División no capturada ()", IF(ISNA(MATCH(J1232, Criterios!$A$123:$A$126, 0)), "División no válida", "")), IF(OR(K1232="", K1232=""), "[Aviso] Categoría no capturada ()", IF(ISNA(MATCH(K1232, Criterios!$A$81:$A$120, 0)), "Categoría no válida", IF(AND(J1232&lt;&gt;"", J1232&lt;&gt;"", J1232&lt;&gt;VLOOKUP(K1232, Criterios!$A$81:$B$120, 2, FALSE)), "División no coincide con Categoría", ""))), IF(OR(L1232="", L1232=""), "[Aviso] Género no capturado ()", IF(ISNA(MATCH(L1232, Criterios!$B$123:$B$127, 0)), "Género no válido", "")), IF(OR(N1232="", N1232=""), "[Aviso] Temporada no capturada ()", IF(ISNA(MATCH(N1232, Criterios!$C$123:$C$128, 0)), "Temporada no válida", "")), IF(OR(O1232="", O1232=""), "[Aviso] Ciclo de vida no capturado ()", IF(ISNA(MATCH(O1232, Criterios!$D$123:$D$124, 0)), "Ciclo de vida no válido", ""))))</f>
        <v/>
      </c>
      <c r="AC1232" s="56" t="n"/>
      <c r="AD1232" s="51" t="n">
        <v>0</v>
      </c>
      <c r="AE1232" s="156" t="inlineStr">
        <is>
          <t>STETSON AMERICAS (1)</t>
        </is>
      </c>
      <c r="AF1232" s="51" t="n">
        <v>1</v>
      </c>
      <c r="AG1232" s="156" t="inlineStr">
        <is>
          <t>Catálogo existente</t>
        </is>
      </c>
      <c r="AH1232" s="156" t="inlineStr">
        <is>
          <t>Revisión 29/09/2026: Campos sin respaldo: X | 01/10/2026: complementado desde Shopify Stetson México (match por código de barras): WB Fit, WB Silueta</t>
        </is>
      </c>
      <c r="AI1232" s="156" t="inlineStr">
        <is>
          <t>Sí</t>
        </is>
      </c>
      <c r="AJ1232" s="156" t="inlineStr">
        <is>
          <t>B25 CEDIS (-1)</t>
        </is>
      </c>
      <c r="AK1232" s="155" t="inlineStr">
        <is>
          <t>Criterios: I [Q] | Shopify Stetson: producto 15227650638187 / variante 53791839912299</t>
        </is>
      </c>
      <c r="AL1232" s="58" t="n">
        <v>2913.75</v>
      </c>
      <c r="AM1232" s="58" t="n">
        <v>7068.965517</v>
      </c>
      <c r="AN1232" s="155" t="inlineStr">
        <is>
          <t>Shopify Stetson México</t>
        </is>
      </c>
      <c r="AO1232" s="59" t="n">
        <v>1</v>
      </c>
      <c r="AP1232" s="59" t="n"/>
      <c r="AQ1232" s="59" t="n"/>
      <c r="AR1232" s="155" t="inlineStr">
        <is>
          <t>Shopify Stetson México › Stetson Americas: 1</t>
        </is>
      </c>
    </row>
    <row r="1233">
      <c r="A1233" s="50" t="inlineStr">
        <is>
          <t>719280504824</t>
        </is>
      </c>
      <c r="B1233" s="51" t="inlineStr">
        <is>
          <t>117412</t>
        </is>
      </c>
      <c r="C1233" s="156" t="inlineStr">
        <is>
          <t>Multimarca</t>
        </is>
      </c>
      <c r="D1233" s="156" t="inlineStr">
        <is>
          <t>SSEVOR-484081</t>
        </is>
      </c>
      <c r="E1233" s="156" t="inlineStr">
        <is>
          <t>SSEVOR-48408170</t>
        </is>
      </c>
      <c r="F1233" s="156" t="inlineStr">
        <is>
          <t>7</t>
        </is>
      </c>
      <c r="G1233" s="156" t="inlineStr">
        <is>
          <t>7</t>
        </is>
      </c>
      <c r="H1233" s="156" t="inlineStr">
        <is>
          <t>Stetson</t>
        </is>
      </c>
      <c r="I1233" s="156" t="inlineStr">
        <is>
          <t>Sombrero Stetson Evor 1000X Gris</t>
        </is>
      </c>
      <c r="J1233" s="156" t="inlineStr">
        <is>
          <t>Accesorios</t>
        </is>
      </c>
      <c r="K1233" s="156" t="inlineStr">
        <is>
          <t>Sombreros</t>
        </is>
      </c>
      <c r="L1233" s="156" t="inlineStr">
        <is>
          <t>Unisex</t>
        </is>
      </c>
      <c r="M1233" s="156" t="inlineStr">
        <is>
          <t>Stetson</t>
        </is>
      </c>
      <c r="N1233" s="156" t="inlineStr">
        <is>
          <t>FW26</t>
        </is>
      </c>
      <c r="O1233" s="156" t="inlineStr">
        <is>
          <t>Seasonal</t>
        </is>
      </c>
      <c r="P1233" s="156" t="inlineStr">
        <is>
          <t>Gris</t>
        </is>
      </c>
      <c r="Q1233" s="156" t="n"/>
      <c r="R1233" s="156" t="inlineStr">
        <is>
          <t>Copa Cattleman</t>
        </is>
      </c>
      <c r="S1233" s="156" t="inlineStr">
        <is>
          <t>Palma/Paja</t>
        </is>
      </c>
      <c r="T1233"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3" s="156" t="inlineStr">
        <is>
          <t>Estados Unidos</t>
        </is>
      </c>
      <c r="V1233" s="156" t="inlineStr">
        <is>
          <t>PZS</t>
        </is>
      </c>
      <c r="W1233" s="51" t="inlineStr">
        <is>
          <t>53102503</t>
        </is>
      </c>
      <c r="X1233" s="156" t="n"/>
      <c r="Y1233" s="54" t="n">
        <v>2913.75</v>
      </c>
      <c r="Z1233" s="54" t="n">
        <v>7068.965517</v>
      </c>
      <c r="AA1233" s="55">
        <f>IF(AND(A1233="", B1233="", E1233=""), "", IF(AB1233="", "Válido", IF((LEN(AB1233)-LEN(SUBSTITUTE(AB1233,"; ","")))/2+1&gt;(LEN(AB1233)-LEN(SUBSTITUTE(AB1233,"[Aviso]","")))/7, "Con Incidencias", "Válido")))</f>
        <v/>
      </c>
      <c r="AB1233" s="56">
        <f>IF(AND(A1233="", B1233="", E1233=""), "", TEXTJOIN("; ", TRUE, IF(OR(TRIM(A1233&amp;"")="", ISNUMBER(SEARCH("FALTA", A1233))), "UPC faltante/inválido", ""), IF(AND(A1233&lt;&gt;"", IFERROR(_xlfn.XMATCH(A1233,$A$2:$A$2509,0,1)&lt;&gt;_xlfn.XMATCH(A1233,$A$2:$A$2509,0,-1),FALSE)), "Código de barras duplicado", ""), IF(AND(E1233&lt;&gt;"", COUNTIF($E$2:$E$2509, E1233)&gt;1), "SKU duplicado", ""), IF(OR(J1233="", J1233=""), "[Aviso] División no capturada ()", IF(ISNA(MATCH(J1233, Criterios!$A$123:$A$126, 0)), "División no válida", "")), IF(OR(K1233="", K1233=""), "[Aviso] Categoría no capturada ()", IF(ISNA(MATCH(K1233, Criterios!$A$81:$A$120, 0)), "Categoría no válida", IF(AND(J1233&lt;&gt;"", J1233&lt;&gt;"", J1233&lt;&gt;VLOOKUP(K1233, Criterios!$A$81:$B$120, 2, FALSE)), "División no coincide con Categoría", ""))), IF(OR(L1233="", L1233=""), "[Aviso] Género no capturado ()", IF(ISNA(MATCH(L1233, Criterios!$B$123:$B$127, 0)), "Género no válido", "")), IF(OR(N1233="", N1233=""), "[Aviso] Temporada no capturada ()", IF(ISNA(MATCH(N1233, Criterios!$C$123:$C$128, 0)), "Temporada no válida", "")), IF(OR(O1233="", O1233=""), "[Aviso] Ciclo de vida no capturado ()", IF(ISNA(MATCH(O1233, Criterios!$D$123:$D$124, 0)), "Ciclo de vida no válido", ""))))</f>
        <v/>
      </c>
      <c r="AC1233" s="56" t="n"/>
      <c r="AD1233" s="51" t="n">
        <v>-1</v>
      </c>
      <c r="AE1233" s="156" t="inlineStr">
        <is>
          <t>STETSON AMERICAS (1)</t>
        </is>
      </c>
      <c r="AF1233" s="51" t="n">
        <v>1</v>
      </c>
      <c r="AG1233" s="156" t="inlineStr">
        <is>
          <t>Catálogo existente</t>
        </is>
      </c>
      <c r="AH1233" s="156" t="inlineStr">
        <is>
          <t>Stock negativo en sistema: revisar en conteo | Revisión 29/09/2026: Campos sin respaldo: X | 01/10/2026: complementado desde Shopify Stetson México (match por código de barras): WB Fit, WB Silueta</t>
        </is>
      </c>
      <c r="AI1233" s="156" t="inlineStr">
        <is>
          <t>Sí</t>
        </is>
      </c>
      <c r="AJ1233" s="156" t="inlineStr">
        <is>
          <t>PUNTO DE VENTA (-1); B25 CEDIS (-1)</t>
        </is>
      </c>
      <c r="AK1233" s="155" t="inlineStr">
        <is>
          <t>Criterios: I [Q] | Shopify Stetson: producto 15227650638187 / variante 53791839945067</t>
        </is>
      </c>
      <c r="AL1233" s="58" t="n">
        <v>2913.75</v>
      </c>
      <c r="AM1233" s="58" t="n">
        <v>7068.965517</v>
      </c>
      <c r="AN1233" s="155" t="inlineStr">
        <is>
          <t>Shopify Stetson México</t>
        </is>
      </c>
      <c r="AO1233" s="59" t="n">
        <v>1</v>
      </c>
      <c r="AP1233" s="59" t="n"/>
      <c r="AQ1233" s="59" t="n"/>
      <c r="AR1233" s="155" t="inlineStr">
        <is>
          <t>Shopify Stetson México › Stetson Americas: 1</t>
        </is>
      </c>
    </row>
    <row r="1234">
      <c r="A1234" s="50" t="inlineStr">
        <is>
          <t>719280504848</t>
        </is>
      </c>
      <c r="B1234" s="51" t="inlineStr">
        <is>
          <t>117413</t>
        </is>
      </c>
      <c r="C1234" s="156" t="inlineStr">
        <is>
          <t>Multimarca</t>
        </is>
      </c>
      <c r="D1234" s="156" t="inlineStr">
        <is>
          <t>SSEVOR-484081</t>
        </is>
      </c>
      <c r="E1234" s="156" t="inlineStr">
        <is>
          <t>SSEVOR-48408172</t>
        </is>
      </c>
      <c r="F1234" s="156" t="inlineStr">
        <is>
          <t>7 1/4</t>
        </is>
      </c>
      <c r="G1234" s="156" t="inlineStr">
        <is>
          <t>7 1/4</t>
        </is>
      </c>
      <c r="H1234" s="156" t="inlineStr">
        <is>
          <t>Stetson</t>
        </is>
      </c>
      <c r="I1234" s="156" t="inlineStr">
        <is>
          <t>Sombrero Stetson Evor 1000X Gris</t>
        </is>
      </c>
      <c r="J1234" s="156" t="inlineStr">
        <is>
          <t>Accesorios</t>
        </is>
      </c>
      <c r="K1234" s="156" t="inlineStr">
        <is>
          <t>Sombreros</t>
        </is>
      </c>
      <c r="L1234" s="156" t="inlineStr">
        <is>
          <t>Unisex</t>
        </is>
      </c>
      <c r="M1234" s="156" t="inlineStr">
        <is>
          <t>Stetson</t>
        </is>
      </c>
      <c r="N1234" s="156" t="inlineStr">
        <is>
          <t>FW26</t>
        </is>
      </c>
      <c r="O1234" s="156" t="inlineStr">
        <is>
          <t>Seasonal</t>
        </is>
      </c>
      <c r="P1234" s="156" t="inlineStr">
        <is>
          <t>Gris</t>
        </is>
      </c>
      <c r="Q1234" s="156" t="n"/>
      <c r="R1234" s="156" t="inlineStr">
        <is>
          <t>Copa Cattleman</t>
        </is>
      </c>
      <c r="S1234" s="156" t="inlineStr">
        <is>
          <t>Palma/Paja</t>
        </is>
      </c>
      <c r="T1234"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4" s="156" t="inlineStr">
        <is>
          <t>Estados Unidos</t>
        </is>
      </c>
      <c r="V1234" s="156" t="inlineStr">
        <is>
          <t>PZS</t>
        </is>
      </c>
      <c r="W1234" s="51" t="inlineStr">
        <is>
          <t>53102503</t>
        </is>
      </c>
      <c r="X1234" s="156" t="n"/>
      <c r="Y1234" s="54" t="n">
        <v>2913.75</v>
      </c>
      <c r="Z1234" s="54" t="n">
        <v>7068.965517</v>
      </c>
      <c r="AA1234" s="55">
        <f>IF(AND(A1234="", B1234="", E1234=""), "", IF(AB1234="", "Válido", IF((LEN(AB1234)-LEN(SUBSTITUTE(AB1234,"; ","")))/2+1&gt;(LEN(AB1234)-LEN(SUBSTITUTE(AB1234,"[Aviso]","")))/7, "Con Incidencias", "Válido")))</f>
        <v/>
      </c>
      <c r="AB1234" s="56">
        <f>IF(AND(A1234="", B1234="", E1234=""), "", TEXTJOIN("; ", TRUE, IF(OR(TRIM(A1234&amp;"")="", ISNUMBER(SEARCH("FALTA", A1234))), "UPC faltante/inválido", ""), IF(AND(A1234&lt;&gt;"", IFERROR(_xlfn.XMATCH(A1234,$A$2:$A$2509,0,1)&lt;&gt;_xlfn.XMATCH(A1234,$A$2:$A$2509,0,-1),FALSE)), "Código de barras duplicado", ""), IF(AND(E1234&lt;&gt;"", COUNTIF($E$2:$E$2509, E1234)&gt;1), "SKU duplicado", ""), IF(OR(J1234="", J1234=""), "[Aviso] División no capturada ()", IF(ISNA(MATCH(J1234, Criterios!$A$123:$A$126, 0)), "División no válida", "")), IF(OR(K1234="", K1234=""), "[Aviso] Categoría no capturada ()", IF(ISNA(MATCH(K1234, Criterios!$A$81:$A$120, 0)), "Categoría no válida", IF(AND(J1234&lt;&gt;"", J1234&lt;&gt;"", J1234&lt;&gt;VLOOKUP(K1234, Criterios!$A$81:$B$120, 2, FALSE)), "División no coincide con Categoría", ""))), IF(OR(L1234="", L1234=""), "[Aviso] Género no capturado ()", IF(ISNA(MATCH(L1234, Criterios!$B$123:$B$127, 0)), "Género no válido", "")), IF(OR(N1234="", N1234=""), "[Aviso] Temporada no capturada ()", IF(ISNA(MATCH(N1234, Criterios!$C$123:$C$128, 0)), "Temporada no válida", "")), IF(OR(O1234="", O1234=""), "[Aviso] Ciclo de vida no capturado ()", IF(ISNA(MATCH(O1234, Criterios!$D$123:$D$124, 0)), "Ciclo de vida no válido", ""))))</f>
        <v/>
      </c>
      <c r="AC1234" s="56" t="n"/>
      <c r="AD1234" s="51" t="n">
        <v>0</v>
      </c>
      <c r="AE1234" s="156" t="inlineStr">
        <is>
          <t>STETSON AMERICAS (1)</t>
        </is>
      </c>
      <c r="AF1234" s="51" t="n">
        <v>1</v>
      </c>
      <c r="AG1234" s="156" t="inlineStr">
        <is>
          <t>Catálogo existente</t>
        </is>
      </c>
      <c r="AH1234" s="156" t="inlineStr">
        <is>
          <t>Revisión 29/09/2026: Campos sin respaldo: X | 01/10/2026: complementado desde Shopify Stetson México (match por código de barras): WB Fit, WB Silueta</t>
        </is>
      </c>
      <c r="AI1234" s="156" t="inlineStr">
        <is>
          <t>Sí</t>
        </is>
      </c>
      <c r="AJ1234" s="156" t="inlineStr">
        <is>
          <t>B25 CEDIS (-1)</t>
        </is>
      </c>
      <c r="AK1234" s="155" t="inlineStr">
        <is>
          <t>Criterios: I [Q] | Shopify Stetson: producto 15227650638187 / variante 53791839977835</t>
        </is>
      </c>
      <c r="AL1234" s="58" t="n">
        <v>2913.75</v>
      </c>
      <c r="AM1234" s="58" t="n">
        <v>7068.965517</v>
      </c>
      <c r="AN1234" s="155" t="inlineStr">
        <is>
          <t>Shopify Stetson México</t>
        </is>
      </c>
      <c r="AO1234" s="59" t="n">
        <v>1</v>
      </c>
      <c r="AP1234" s="59" t="n"/>
      <c r="AQ1234" s="59" t="n"/>
      <c r="AR1234" s="155" t="inlineStr">
        <is>
          <t>Shopify Stetson México › Stetson Americas: 1</t>
        </is>
      </c>
    </row>
    <row r="1235">
      <c r="A1235" s="50" t="inlineStr">
        <is>
          <t>719280504855</t>
        </is>
      </c>
      <c r="B1235" s="51" t="inlineStr">
        <is>
          <t>117414</t>
        </is>
      </c>
      <c r="C1235" s="156" t="inlineStr">
        <is>
          <t>Multimarca</t>
        </is>
      </c>
      <c r="D1235" s="156" t="inlineStr">
        <is>
          <t>SSEVOR-484081</t>
        </is>
      </c>
      <c r="E1235" s="156" t="inlineStr">
        <is>
          <t>SSEVOR-48408173</t>
        </is>
      </c>
      <c r="F1235" s="156" t="inlineStr">
        <is>
          <t>7 3/8</t>
        </is>
      </c>
      <c r="G1235" s="156" t="inlineStr">
        <is>
          <t>7 3/8</t>
        </is>
      </c>
      <c r="H1235" s="156" t="inlineStr">
        <is>
          <t>Stetson</t>
        </is>
      </c>
      <c r="I1235" s="156" t="inlineStr">
        <is>
          <t>Sombrero Stetson Evor 1000X Gris</t>
        </is>
      </c>
      <c r="J1235" s="156" t="inlineStr">
        <is>
          <t>Accesorios</t>
        </is>
      </c>
      <c r="K1235" s="156" t="inlineStr">
        <is>
          <t>Sombreros</t>
        </is>
      </c>
      <c r="L1235" s="156" t="inlineStr">
        <is>
          <t>Unisex</t>
        </is>
      </c>
      <c r="M1235" s="156" t="inlineStr">
        <is>
          <t>Stetson</t>
        </is>
      </c>
      <c r="N1235" s="156" t="inlineStr">
        <is>
          <t>FW26</t>
        </is>
      </c>
      <c r="O1235" s="156" t="inlineStr">
        <is>
          <t>Seasonal</t>
        </is>
      </c>
      <c r="P1235" s="156" t="inlineStr">
        <is>
          <t>Gris</t>
        </is>
      </c>
      <c r="Q1235" s="156" t="n"/>
      <c r="R1235" s="156" t="inlineStr">
        <is>
          <t>Copa Cattleman</t>
        </is>
      </c>
      <c r="S1235" s="156" t="inlineStr">
        <is>
          <t>Palma/Paja</t>
        </is>
      </c>
      <c r="T1235"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5" s="156" t="inlineStr">
        <is>
          <t>Estados Unidos</t>
        </is>
      </c>
      <c r="V1235" s="156" t="inlineStr">
        <is>
          <t>PZS</t>
        </is>
      </c>
      <c r="W1235" s="51" t="inlineStr">
        <is>
          <t>53102503</t>
        </is>
      </c>
      <c r="X1235" s="156" t="n"/>
      <c r="Y1235" s="54" t="n">
        <v>2913.75</v>
      </c>
      <c r="Z1235" s="54" t="n">
        <v>7068.965517</v>
      </c>
      <c r="AA1235" s="55">
        <f>IF(AND(A1235="", B1235="", E1235=""), "", IF(AB1235="", "Válido", IF((LEN(AB1235)-LEN(SUBSTITUTE(AB1235,"; ","")))/2+1&gt;(LEN(AB1235)-LEN(SUBSTITUTE(AB1235,"[Aviso]","")))/7, "Con Incidencias", "Válido")))</f>
        <v/>
      </c>
      <c r="AB1235" s="56">
        <f>IF(AND(A1235="", B1235="", E1235=""), "", TEXTJOIN("; ", TRUE, IF(OR(TRIM(A1235&amp;"")="", ISNUMBER(SEARCH("FALTA", A1235))), "UPC faltante/inválido", ""), IF(AND(A1235&lt;&gt;"", IFERROR(_xlfn.XMATCH(A1235,$A$2:$A$2509,0,1)&lt;&gt;_xlfn.XMATCH(A1235,$A$2:$A$2509,0,-1),FALSE)), "Código de barras duplicado", ""), IF(AND(E1235&lt;&gt;"", COUNTIF($E$2:$E$2509, E1235)&gt;1), "SKU duplicado", ""), IF(OR(J1235="", J1235=""), "[Aviso] División no capturada ()", IF(ISNA(MATCH(J1235, Criterios!$A$123:$A$126, 0)), "División no válida", "")), IF(OR(K1235="", K1235=""), "[Aviso] Categoría no capturada ()", IF(ISNA(MATCH(K1235, Criterios!$A$81:$A$120, 0)), "Categoría no válida", IF(AND(J1235&lt;&gt;"", J1235&lt;&gt;"", J1235&lt;&gt;VLOOKUP(K1235, Criterios!$A$81:$B$120, 2, FALSE)), "División no coincide con Categoría", ""))), IF(OR(L1235="", L1235=""), "[Aviso] Género no capturado ()", IF(ISNA(MATCH(L1235, Criterios!$B$123:$B$127, 0)), "Género no válido", "")), IF(OR(N1235="", N1235=""), "[Aviso] Temporada no capturada ()", IF(ISNA(MATCH(N1235, Criterios!$C$123:$C$128, 0)), "Temporada no válida", "")), IF(OR(O1235="", O1235=""), "[Aviso] Ciclo de vida no capturado ()", IF(ISNA(MATCH(O1235, Criterios!$D$123:$D$124, 0)), "Ciclo de vida no válido", ""))))</f>
        <v/>
      </c>
      <c r="AC1235" s="56" t="n"/>
      <c r="AD1235" s="51" t="n">
        <v>-1</v>
      </c>
      <c r="AE1235" s="156" t="n"/>
      <c r="AF1235" s="51" t="n">
        <v>0</v>
      </c>
      <c r="AG1235" s="156" t="inlineStr">
        <is>
          <t>Catálogo existente</t>
        </is>
      </c>
      <c r="AH1235" s="156" t="inlineStr">
        <is>
          <t>Stock negativo en sistema: revisar en conteo | Revisión 29/09/2026: Campos sin respaldo: X | 01/10/2026: complementado desde Shopify Stetson México (match por código de barras): WB Fit, WB Silueta</t>
        </is>
      </c>
      <c r="AI1235" s="156" t="inlineStr">
        <is>
          <t>Sí</t>
        </is>
      </c>
      <c r="AJ1235" s="156" t="inlineStr">
        <is>
          <t>B25 CEDIS (-1)</t>
        </is>
      </c>
      <c r="AK1235" s="155" t="inlineStr">
        <is>
          <t>Criterios: I [Q] | Shopify Stetson: producto 15227650638187 / variante 53791840010603</t>
        </is>
      </c>
      <c r="AL1235" s="58" t="n">
        <v>2913.75</v>
      </c>
      <c r="AM1235" s="58" t="n">
        <v>7068.965517</v>
      </c>
      <c r="AN1235" s="155" t="inlineStr">
        <is>
          <t>Shopify Stetson México</t>
        </is>
      </c>
      <c r="AO1235" s="59" t="n">
        <v>0</v>
      </c>
      <c r="AP1235" s="59" t="n"/>
      <c r="AQ1235" s="59" t="n"/>
      <c r="AR1235" s="155" t="n"/>
    </row>
    <row r="1236">
      <c r="A1236" s="50" t="inlineStr">
        <is>
          <t>719280507405</t>
        </is>
      </c>
      <c r="B1236" s="51" t="inlineStr">
        <is>
          <t>117415</t>
        </is>
      </c>
      <c r="C1236" s="156" t="inlineStr">
        <is>
          <t>Multimarca</t>
        </is>
      </c>
      <c r="D1236" s="156" t="inlineStr">
        <is>
          <t>SSGRFN-304281</t>
        </is>
      </c>
      <c r="E1236" s="156" t="inlineStr">
        <is>
          <t>SSGRFN-30428170</t>
        </is>
      </c>
      <c r="F1236" s="156" t="inlineStr">
        <is>
          <t>7</t>
        </is>
      </c>
      <c r="G1236" s="156" t="inlineStr">
        <is>
          <t>7</t>
        </is>
      </c>
      <c r="H1236" s="156" t="inlineStr">
        <is>
          <t>Stetson</t>
        </is>
      </c>
      <c r="I1236" s="156" t="inlineStr">
        <is>
          <t>Sombrero Stetson Griffin Straw 100X Beige</t>
        </is>
      </c>
      <c r="J1236" s="156" t="inlineStr">
        <is>
          <t>Accesorios</t>
        </is>
      </c>
      <c r="K1236" s="156" t="inlineStr">
        <is>
          <t>Sombreros</t>
        </is>
      </c>
      <c r="L1236" s="156" t="inlineStr">
        <is>
          <t>Unisex</t>
        </is>
      </c>
      <c r="M1236" s="156" t="inlineStr">
        <is>
          <t>Stetson</t>
        </is>
      </c>
      <c r="N1236" s="156" t="inlineStr">
        <is>
          <t>FW26</t>
        </is>
      </c>
      <c r="O1236" s="156" t="inlineStr">
        <is>
          <t>Seasonal</t>
        </is>
      </c>
      <c r="P1236" s="156" t="inlineStr">
        <is>
          <t>Beige</t>
        </is>
      </c>
      <c r="Q1236" s="156" t="n"/>
      <c r="R1236" s="156" t="inlineStr">
        <is>
          <t>Copa Cattleman</t>
        </is>
      </c>
      <c r="S1236" s="156" t="inlineStr">
        <is>
          <t>Palma/Paja</t>
        </is>
      </c>
      <c r="T1236"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6" s="156" t="inlineStr">
        <is>
          <t>Estados Unidos</t>
        </is>
      </c>
      <c r="V1236" s="156" t="inlineStr">
        <is>
          <t>PZS</t>
        </is>
      </c>
      <c r="W1236" s="51" t="inlineStr">
        <is>
          <t>53102503</t>
        </is>
      </c>
      <c r="X1236" s="156" t="inlineStr">
        <is>
          <t>https://cdn.shopify.com/s/files/1/0357/2432/9005/products/ssgrfn-3042_natural_1.jpg?v=1591075865</t>
        </is>
      </c>
      <c r="Y1236" s="54" t="n">
        <v>2047.5</v>
      </c>
      <c r="Z1236" s="54" t="n">
        <v>5000</v>
      </c>
      <c r="AA1236" s="55">
        <f>IF(AND(A1236="", B1236="", E1236=""), "", IF(AB1236="", "Válido", IF((LEN(AB1236)-LEN(SUBSTITUTE(AB1236,"; ","")))/2+1&gt;(LEN(AB1236)-LEN(SUBSTITUTE(AB1236,"[Aviso]","")))/7, "Con Incidencias", "Válido")))</f>
        <v/>
      </c>
      <c r="AB1236" s="56">
        <f>IF(AND(A1236="", B1236="", E1236=""), "", TEXTJOIN("; ", TRUE, IF(OR(TRIM(A1236&amp;"")="", ISNUMBER(SEARCH("FALTA", A1236))), "UPC faltante/inválido", ""), IF(AND(A1236&lt;&gt;"", IFERROR(_xlfn.XMATCH(A1236,$A$2:$A$2509,0,1)&lt;&gt;_xlfn.XMATCH(A1236,$A$2:$A$2509,0,-1),FALSE)), "Código de barras duplicado", ""), IF(AND(E1236&lt;&gt;"", COUNTIF($E$2:$E$2509, E1236)&gt;1), "SKU duplicado", ""), IF(OR(J1236="", J1236=""), "[Aviso] División no capturada ()", IF(ISNA(MATCH(J1236, Criterios!$A$123:$A$126, 0)), "División no válida", "")), IF(OR(K1236="", K1236=""), "[Aviso] Categoría no capturada ()", IF(ISNA(MATCH(K1236, Criterios!$A$81:$A$120, 0)), "Categoría no válida", IF(AND(J1236&lt;&gt;"", J1236&lt;&gt;"", J1236&lt;&gt;VLOOKUP(K1236, Criterios!$A$81:$B$120, 2, FALSE)), "División no coincide con Categoría", ""))), IF(OR(L1236="", L1236=""), "[Aviso] Género no capturado ()", IF(ISNA(MATCH(L1236, Criterios!$B$123:$B$127, 0)), "Género no válido", "")), IF(OR(N1236="", N1236=""), "[Aviso] Temporada no capturada ()", IF(ISNA(MATCH(N1236, Criterios!$C$123:$C$128, 0)), "Temporada no válida", "")), IF(OR(O1236="", O1236=""), "[Aviso] Ciclo de vida no capturado ()", IF(ISNA(MATCH(O1236, Criterios!$D$123:$D$124, 0)), "Ciclo de vida no válido", ""))))</f>
        <v/>
      </c>
      <c r="AC1236" s="56" t="n"/>
      <c r="AD1236" s="51" t="n">
        <v>-1</v>
      </c>
      <c r="AE1236" s="156" t="n"/>
      <c r="AF1236" s="51" t="n">
        <v>0</v>
      </c>
      <c r="AG1236" s="156" t="inlineStr">
        <is>
          <t>Catálogo existente</t>
        </is>
      </c>
      <c r="AH1236"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6" s="156" t="inlineStr">
        <is>
          <t>Sí</t>
        </is>
      </c>
      <c r="AJ1236" s="156" t="inlineStr">
        <is>
          <t>B25 CEDIS (-1)</t>
        </is>
      </c>
      <c r="AK1236" s="155" t="inlineStr">
        <is>
          <t>Criterios: I [Q] | Shopify Stetson: producto 15227650703723 / variante 53791840076139 | Investigación en línea 06/10/2026: https://www.stetson.com/products/griffin-100x-straw-cowboy-hat-natural</t>
        </is>
      </c>
      <c r="AL1236" s="58" t="n">
        <v>2047.5</v>
      </c>
      <c r="AM1236" s="58" t="n">
        <v>5000</v>
      </c>
      <c r="AN1236" s="155" t="inlineStr">
        <is>
          <t>Shopify Stetson México</t>
        </is>
      </c>
      <c r="AO1236" s="59" t="n">
        <v>0</v>
      </c>
      <c r="AP1236" s="59" t="n"/>
      <c r="AQ1236" s="59" t="n"/>
      <c r="AR1236" s="155" t="n"/>
    </row>
    <row r="1237">
      <c r="A1237" s="50" t="inlineStr">
        <is>
          <t>719280507412</t>
        </is>
      </c>
      <c r="B1237" s="51" t="inlineStr">
        <is>
          <t>117416</t>
        </is>
      </c>
      <c r="C1237" s="156" t="inlineStr">
        <is>
          <t>Multimarca</t>
        </is>
      </c>
      <c r="D1237" s="156" t="inlineStr">
        <is>
          <t>SSGRFN-304281</t>
        </is>
      </c>
      <c r="E1237" s="156" t="inlineStr">
        <is>
          <t>SSGRFN-30428171</t>
        </is>
      </c>
      <c r="F1237" s="156" t="inlineStr">
        <is>
          <t>7 1/8</t>
        </is>
      </c>
      <c r="G1237" s="156" t="inlineStr">
        <is>
          <t>7 1/8</t>
        </is>
      </c>
      <c r="H1237" s="156" t="inlineStr">
        <is>
          <t>Stetson</t>
        </is>
      </c>
      <c r="I1237" s="156" t="inlineStr">
        <is>
          <t>Sombrero Stetson Griffin Straw 100X Beige</t>
        </is>
      </c>
      <c r="J1237" s="156" t="inlineStr">
        <is>
          <t>Accesorios</t>
        </is>
      </c>
      <c r="K1237" s="156" t="inlineStr">
        <is>
          <t>Sombreros</t>
        </is>
      </c>
      <c r="L1237" s="156" t="inlineStr">
        <is>
          <t>Unisex</t>
        </is>
      </c>
      <c r="M1237" s="156" t="inlineStr">
        <is>
          <t>Stetson</t>
        </is>
      </c>
      <c r="N1237" s="156" t="inlineStr">
        <is>
          <t>FW26</t>
        </is>
      </c>
      <c r="O1237" s="156" t="inlineStr">
        <is>
          <t>Seasonal</t>
        </is>
      </c>
      <c r="P1237" s="156" t="inlineStr">
        <is>
          <t>Beige</t>
        </is>
      </c>
      <c r="Q1237" s="156" t="n"/>
      <c r="R1237" s="156" t="inlineStr">
        <is>
          <t>Copa Cattleman</t>
        </is>
      </c>
      <c r="S1237" s="156" t="inlineStr">
        <is>
          <t>Palma/Paja</t>
        </is>
      </c>
      <c r="T1237"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7" s="156" t="inlineStr">
        <is>
          <t>Estados Unidos</t>
        </is>
      </c>
      <c r="V1237" s="156" t="inlineStr">
        <is>
          <t>PZS</t>
        </is>
      </c>
      <c r="W1237" s="51" t="inlineStr">
        <is>
          <t>53102503</t>
        </is>
      </c>
      <c r="X1237" s="156" t="inlineStr">
        <is>
          <t>https://cdn.shopify.com/s/files/1/0357/2432/9005/products/ssgrfn-3042_natural_1.jpg?v=1591075865</t>
        </is>
      </c>
      <c r="Y1237" s="54" t="n">
        <v>2047.5</v>
      </c>
      <c r="Z1237" s="54" t="n">
        <v>5000</v>
      </c>
      <c r="AA1237" s="55">
        <f>IF(AND(A1237="", B1237="", E1237=""), "", IF(AB1237="", "Válido", IF((LEN(AB1237)-LEN(SUBSTITUTE(AB1237,"; ","")))/2+1&gt;(LEN(AB1237)-LEN(SUBSTITUTE(AB1237,"[Aviso]","")))/7, "Con Incidencias", "Válido")))</f>
        <v/>
      </c>
      <c r="AB1237" s="56">
        <f>IF(AND(A1237="", B1237="", E1237=""), "", TEXTJOIN("; ", TRUE, IF(OR(TRIM(A1237&amp;"")="", ISNUMBER(SEARCH("FALTA", A1237))), "UPC faltante/inválido", ""), IF(AND(A1237&lt;&gt;"", IFERROR(_xlfn.XMATCH(A1237,$A$2:$A$2509,0,1)&lt;&gt;_xlfn.XMATCH(A1237,$A$2:$A$2509,0,-1),FALSE)), "Código de barras duplicado", ""), IF(AND(E1237&lt;&gt;"", COUNTIF($E$2:$E$2509, E1237)&gt;1), "SKU duplicado", ""), IF(OR(J1237="", J1237=""), "[Aviso] División no capturada ()", IF(ISNA(MATCH(J1237, Criterios!$A$123:$A$126, 0)), "División no válida", "")), IF(OR(K1237="", K1237=""), "[Aviso] Categoría no capturada ()", IF(ISNA(MATCH(K1237, Criterios!$A$81:$A$120, 0)), "Categoría no válida", IF(AND(J1237&lt;&gt;"", J1237&lt;&gt;"", J1237&lt;&gt;VLOOKUP(K1237, Criterios!$A$81:$B$120, 2, FALSE)), "División no coincide con Categoría", ""))), IF(OR(L1237="", L1237=""), "[Aviso] Género no capturado ()", IF(ISNA(MATCH(L1237, Criterios!$B$123:$B$127, 0)), "Género no válido", "")), IF(OR(N1237="", N1237=""), "[Aviso] Temporada no capturada ()", IF(ISNA(MATCH(N1237, Criterios!$C$123:$C$128, 0)), "Temporada no válida", "")), IF(OR(O1237="", O1237=""), "[Aviso] Ciclo de vida no capturado ()", IF(ISNA(MATCH(O1237, Criterios!$D$123:$D$124, 0)), "Ciclo de vida no válido", ""))))</f>
        <v/>
      </c>
      <c r="AC1237" s="56" t="n"/>
      <c r="AD1237" s="51" t="n">
        <v>-1</v>
      </c>
      <c r="AE1237" s="156" t="n"/>
      <c r="AF1237" s="51" t="n">
        <v>0</v>
      </c>
      <c r="AG1237" s="156" t="inlineStr">
        <is>
          <t>Catálogo existente</t>
        </is>
      </c>
      <c r="AH1237"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7" s="156" t="inlineStr">
        <is>
          <t>Sí</t>
        </is>
      </c>
      <c r="AJ1237" s="156" t="inlineStr">
        <is>
          <t>B25 CEDIS (-1)</t>
        </is>
      </c>
      <c r="AK1237" s="155" t="inlineStr">
        <is>
          <t>Criterios: I [Q] | Shopify Stetson: producto 15227650703723 / variante 53791840108907 | Investigación en línea 06/10/2026: https://www.stetson.com/products/griffin-100x-straw-cowboy-hat-natural</t>
        </is>
      </c>
      <c r="AL1237" s="58" t="n">
        <v>2047.5</v>
      </c>
      <c r="AM1237" s="58" t="n">
        <v>5000</v>
      </c>
      <c r="AN1237" s="155" t="inlineStr">
        <is>
          <t>Shopify Stetson México</t>
        </is>
      </c>
      <c r="AO1237" s="59" t="n">
        <v>0</v>
      </c>
      <c r="AP1237" s="59" t="n"/>
      <c r="AQ1237" s="59" t="n"/>
      <c r="AR1237" s="155" t="n"/>
    </row>
    <row r="1238">
      <c r="A1238" s="50" t="inlineStr">
        <is>
          <t>719280507429</t>
        </is>
      </c>
      <c r="B1238" s="51" t="inlineStr">
        <is>
          <t>117417</t>
        </is>
      </c>
      <c r="C1238" s="156" t="inlineStr">
        <is>
          <t>Multimarca</t>
        </is>
      </c>
      <c r="D1238" s="156" t="inlineStr">
        <is>
          <t>SSGRFN-304281</t>
        </is>
      </c>
      <c r="E1238" s="156" t="inlineStr">
        <is>
          <t>SSGRFN-30428172</t>
        </is>
      </c>
      <c r="F1238" s="156" t="inlineStr">
        <is>
          <t>7 1/4</t>
        </is>
      </c>
      <c r="G1238" s="156" t="inlineStr">
        <is>
          <t>7 1/4</t>
        </is>
      </c>
      <c r="H1238" s="156" t="inlineStr">
        <is>
          <t>Stetson</t>
        </is>
      </c>
      <c r="I1238" s="156" t="inlineStr">
        <is>
          <t>Sombrero Stetson Griffin Straw 100X Beige</t>
        </is>
      </c>
      <c r="J1238" s="156" t="inlineStr">
        <is>
          <t>Accesorios</t>
        </is>
      </c>
      <c r="K1238" s="156" t="inlineStr">
        <is>
          <t>Sombreros</t>
        </is>
      </c>
      <c r="L1238" s="156" t="inlineStr">
        <is>
          <t>Unisex</t>
        </is>
      </c>
      <c r="M1238" s="156" t="inlineStr">
        <is>
          <t>Stetson</t>
        </is>
      </c>
      <c r="N1238" s="156" t="inlineStr">
        <is>
          <t>FW26</t>
        </is>
      </c>
      <c r="O1238" s="156" t="inlineStr">
        <is>
          <t>Seasonal</t>
        </is>
      </c>
      <c r="P1238" s="156" t="inlineStr">
        <is>
          <t>Beige</t>
        </is>
      </c>
      <c r="Q1238" s="156" t="n"/>
      <c r="R1238" s="156" t="inlineStr">
        <is>
          <t>Copa Cattleman</t>
        </is>
      </c>
      <c r="S1238" s="156" t="inlineStr">
        <is>
          <t>Palma/Paja</t>
        </is>
      </c>
      <c r="T1238"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8" s="156" t="inlineStr">
        <is>
          <t>Estados Unidos</t>
        </is>
      </c>
      <c r="V1238" s="156" t="inlineStr">
        <is>
          <t>PZS</t>
        </is>
      </c>
      <c r="W1238" s="51" t="inlineStr">
        <is>
          <t>53102503</t>
        </is>
      </c>
      <c r="X1238" s="156" t="inlineStr">
        <is>
          <t>https://cdn.shopify.com/s/files/1/0357/2432/9005/products/ssgrfn-3042_natural_1.jpg?v=1591075865</t>
        </is>
      </c>
      <c r="Y1238" s="54" t="n">
        <v>2047.5</v>
      </c>
      <c r="Z1238" s="54" t="n">
        <v>5000</v>
      </c>
      <c r="AA1238" s="55">
        <f>IF(AND(A1238="", B1238="", E1238=""), "", IF(AB1238="", "Válido", IF((LEN(AB1238)-LEN(SUBSTITUTE(AB1238,"; ","")))/2+1&gt;(LEN(AB1238)-LEN(SUBSTITUTE(AB1238,"[Aviso]","")))/7, "Con Incidencias", "Válido")))</f>
        <v/>
      </c>
      <c r="AB1238" s="56">
        <f>IF(AND(A1238="", B1238="", E1238=""), "", TEXTJOIN("; ", TRUE, IF(OR(TRIM(A1238&amp;"")="", ISNUMBER(SEARCH("FALTA", A1238))), "UPC faltante/inválido", ""), IF(AND(A1238&lt;&gt;"", IFERROR(_xlfn.XMATCH(A1238,$A$2:$A$2509,0,1)&lt;&gt;_xlfn.XMATCH(A1238,$A$2:$A$2509,0,-1),FALSE)), "Código de barras duplicado", ""), IF(AND(E1238&lt;&gt;"", COUNTIF($E$2:$E$2509, E1238)&gt;1), "SKU duplicado", ""), IF(OR(J1238="", J1238=""), "[Aviso] División no capturada ()", IF(ISNA(MATCH(J1238, Criterios!$A$123:$A$126, 0)), "División no válida", "")), IF(OR(K1238="", K1238=""), "[Aviso] Categoría no capturada ()", IF(ISNA(MATCH(K1238, Criterios!$A$81:$A$120, 0)), "Categoría no válida", IF(AND(J1238&lt;&gt;"", J1238&lt;&gt;"", J1238&lt;&gt;VLOOKUP(K1238, Criterios!$A$81:$B$120, 2, FALSE)), "División no coincide con Categoría", ""))), IF(OR(L1238="", L1238=""), "[Aviso] Género no capturado ()", IF(ISNA(MATCH(L1238, Criterios!$B$123:$B$127, 0)), "Género no válido", "")), IF(OR(N1238="", N1238=""), "[Aviso] Temporada no capturada ()", IF(ISNA(MATCH(N1238, Criterios!$C$123:$C$128, 0)), "Temporada no válida", "")), IF(OR(O1238="", O1238=""), "[Aviso] Ciclo de vida no capturado ()", IF(ISNA(MATCH(O1238, Criterios!$D$123:$D$124, 0)), "Ciclo de vida no válido", ""))))</f>
        <v/>
      </c>
      <c r="AC1238" s="56" t="n"/>
      <c r="AD1238" s="51" t="n">
        <v>0</v>
      </c>
      <c r="AE1238" s="156" t="inlineStr">
        <is>
          <t>STETSON AMERICAS (1)</t>
        </is>
      </c>
      <c r="AF1238" s="51" t="n">
        <v>1</v>
      </c>
      <c r="AG1238" s="156" t="inlineStr">
        <is>
          <t>Catálogo existente</t>
        </is>
      </c>
      <c r="AH1238" s="156" t="inlineStr">
        <is>
          <t>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8" s="156" t="inlineStr">
        <is>
          <t>Sí</t>
        </is>
      </c>
      <c r="AJ1238" s="156" t="inlineStr">
        <is>
          <t>B25 CEDIS (-1)</t>
        </is>
      </c>
      <c r="AK1238" s="155" t="inlineStr">
        <is>
          <t>Criterios: I [Q] | Shopify Stetson: producto 15227650703723 / variante 53791840141675 | Investigación en línea 06/10/2026: https://www.stetson.com/products/griffin-100x-straw-cowboy-hat-natural</t>
        </is>
      </c>
      <c r="AL1238" s="58" t="n">
        <v>2047.5</v>
      </c>
      <c r="AM1238" s="58" t="n">
        <v>5000</v>
      </c>
      <c r="AN1238" s="155" t="inlineStr">
        <is>
          <t>Shopify Stetson México</t>
        </is>
      </c>
      <c r="AO1238" s="59" t="n">
        <v>1</v>
      </c>
      <c r="AP1238" s="59" t="n"/>
      <c r="AQ1238" s="59" t="n"/>
      <c r="AR1238" s="155" t="inlineStr">
        <is>
          <t>Shopify Stetson México › Stetson Americas: 1</t>
        </is>
      </c>
    </row>
    <row r="1239">
      <c r="A1239" s="50" t="inlineStr">
        <is>
          <t>719280507436</t>
        </is>
      </c>
      <c r="B1239" s="51" t="inlineStr">
        <is>
          <t>117418</t>
        </is>
      </c>
      <c r="C1239" s="156" t="inlineStr">
        <is>
          <t>Multimarca</t>
        </is>
      </c>
      <c r="D1239" s="156" t="inlineStr">
        <is>
          <t>SSGRFN-304281</t>
        </is>
      </c>
      <c r="E1239" s="156" t="inlineStr">
        <is>
          <t>SSGRFN-30428173</t>
        </is>
      </c>
      <c r="F1239" s="156" t="inlineStr">
        <is>
          <t>7 3/8</t>
        </is>
      </c>
      <c r="G1239" s="156" t="inlineStr">
        <is>
          <t>7 3/8</t>
        </is>
      </c>
      <c r="H1239" s="156" t="inlineStr">
        <is>
          <t>Stetson</t>
        </is>
      </c>
      <c r="I1239" s="156" t="inlineStr">
        <is>
          <t>Sombrero Stetson Griffin Straw 100X Beige</t>
        </is>
      </c>
      <c r="J1239" s="156" t="inlineStr">
        <is>
          <t>Accesorios</t>
        </is>
      </c>
      <c r="K1239" s="156" t="inlineStr">
        <is>
          <t>Sombreros</t>
        </is>
      </c>
      <c r="L1239" s="156" t="inlineStr">
        <is>
          <t>Unisex</t>
        </is>
      </c>
      <c r="M1239" s="156" t="inlineStr">
        <is>
          <t>Stetson</t>
        </is>
      </c>
      <c r="N1239" s="156" t="inlineStr">
        <is>
          <t>FW26</t>
        </is>
      </c>
      <c r="O1239" s="156" t="inlineStr">
        <is>
          <t>Seasonal</t>
        </is>
      </c>
      <c r="P1239" s="156" t="inlineStr">
        <is>
          <t>Beige</t>
        </is>
      </c>
      <c r="Q1239" s="156" t="n"/>
      <c r="R1239" s="156" t="inlineStr">
        <is>
          <t>Copa Cattleman</t>
        </is>
      </c>
      <c r="S1239" s="156" t="inlineStr">
        <is>
          <t>Palma/Paja</t>
        </is>
      </c>
      <c r="T1239"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9" s="156" t="inlineStr">
        <is>
          <t>Estados Unidos</t>
        </is>
      </c>
      <c r="V1239" s="156" t="inlineStr">
        <is>
          <t>PZS</t>
        </is>
      </c>
      <c r="W1239" s="51" t="inlineStr">
        <is>
          <t>53102503</t>
        </is>
      </c>
      <c r="X1239" s="156" t="inlineStr">
        <is>
          <t>https://cdn.shopify.com/s/files/1/0357/2432/9005/products/ssgrfn-3042_natural_1.jpg?v=1591075865</t>
        </is>
      </c>
      <c r="Y1239" s="54" t="n">
        <v>2047.5</v>
      </c>
      <c r="Z1239" s="54" t="n">
        <v>5000</v>
      </c>
      <c r="AA1239" s="55">
        <f>IF(AND(A1239="", B1239="", E1239=""), "", IF(AB1239="", "Válido", IF((LEN(AB1239)-LEN(SUBSTITUTE(AB1239,"; ","")))/2+1&gt;(LEN(AB1239)-LEN(SUBSTITUTE(AB1239,"[Aviso]","")))/7, "Con Incidencias", "Válido")))</f>
        <v/>
      </c>
      <c r="AB1239" s="56">
        <f>IF(AND(A1239="", B1239="", E1239=""), "", TEXTJOIN("; ", TRUE, IF(OR(TRIM(A1239&amp;"")="", ISNUMBER(SEARCH("FALTA", A1239))), "UPC faltante/inválido", ""), IF(AND(A1239&lt;&gt;"", IFERROR(_xlfn.XMATCH(A1239,$A$2:$A$2509,0,1)&lt;&gt;_xlfn.XMATCH(A1239,$A$2:$A$2509,0,-1),FALSE)), "Código de barras duplicado", ""), IF(AND(E1239&lt;&gt;"", COUNTIF($E$2:$E$2509, E1239)&gt;1), "SKU duplicado", ""), IF(OR(J1239="", J1239=""), "[Aviso] División no capturada ()", IF(ISNA(MATCH(J1239, Criterios!$A$123:$A$126, 0)), "División no válida", "")), IF(OR(K1239="", K1239=""), "[Aviso] Categoría no capturada ()", IF(ISNA(MATCH(K1239, Criterios!$A$81:$A$120, 0)), "Categoría no válida", IF(AND(J1239&lt;&gt;"", J1239&lt;&gt;"", J1239&lt;&gt;VLOOKUP(K1239, Criterios!$A$81:$B$120, 2, FALSE)), "División no coincide con Categoría", ""))), IF(OR(L1239="", L1239=""), "[Aviso] Género no capturado ()", IF(ISNA(MATCH(L1239, Criterios!$B$123:$B$127, 0)), "Género no válido", "")), IF(OR(N1239="", N1239=""), "[Aviso] Temporada no capturada ()", IF(ISNA(MATCH(N1239, Criterios!$C$123:$C$128, 0)), "Temporada no válida", "")), IF(OR(O1239="", O1239=""), "[Aviso] Ciclo de vida no capturado ()", IF(ISNA(MATCH(O1239, Criterios!$D$123:$D$124, 0)), "Ciclo de vida no válido", ""))))</f>
        <v/>
      </c>
      <c r="AC1239" s="56" t="n"/>
      <c r="AD1239" s="51" t="n">
        <v>0</v>
      </c>
      <c r="AE1239" s="156" t="inlineStr">
        <is>
          <t>STETSON AMERICAS (1)</t>
        </is>
      </c>
      <c r="AF1239" s="51" t="n">
        <v>1</v>
      </c>
      <c r="AG1239" s="156" t="inlineStr">
        <is>
          <t>Catálogo existente</t>
        </is>
      </c>
      <c r="AH1239" s="156" t="inlineStr">
        <is>
          <t>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9" s="156" t="inlineStr">
        <is>
          <t>Sí</t>
        </is>
      </c>
      <c r="AJ1239" s="156" t="inlineStr">
        <is>
          <t>B25 CEDIS (-1)</t>
        </is>
      </c>
      <c r="AK1239" s="155" t="inlineStr">
        <is>
          <t>Criterios: I [Q] | Shopify Stetson: producto 15227650703723 / variante 53791840174443 | Investigación en línea 06/10/2026: https://www.stetson.com/products/griffin-100x-straw-cowboy-hat-natural</t>
        </is>
      </c>
      <c r="AL1239" s="58" t="n">
        <v>2047.5</v>
      </c>
      <c r="AM1239" s="58" t="n">
        <v>5000</v>
      </c>
      <c r="AN1239" s="155" t="inlineStr">
        <is>
          <t>Shopify Stetson México</t>
        </is>
      </c>
      <c r="AO1239" s="59" t="n">
        <v>1</v>
      </c>
      <c r="AP1239" s="59" t="n"/>
      <c r="AQ1239" s="59" t="n"/>
      <c r="AR1239" s="155" t="inlineStr">
        <is>
          <t>Shopify Stetson México › Stetson Americas: 1</t>
        </is>
      </c>
    </row>
    <row r="1240">
      <c r="A1240" s="50" t="inlineStr">
        <is>
          <t>724303723106</t>
        </is>
      </c>
      <c r="B1240" s="51" t="inlineStr">
        <is>
          <t>109753</t>
        </is>
      </c>
      <c r="C1240" s="156" t="inlineStr">
        <is>
          <t>Multimarca</t>
        </is>
      </c>
      <c r="D1240" s="156" t="inlineStr">
        <is>
          <t>9901500-204</t>
        </is>
      </c>
      <c r="E1240" s="156" t="inlineStr">
        <is>
          <t>9901500-204-36</t>
        </is>
      </c>
      <c r="F1240" s="156" t="inlineStr">
        <is>
          <t>36</t>
        </is>
      </c>
      <c r="G1240" s="156" t="inlineStr">
        <is>
          <t>36</t>
        </is>
      </c>
      <c r="H1240" s="156" t="inlineStr">
        <is>
          <t>Stetson</t>
        </is>
      </c>
      <c r="I1240" s="156" t="inlineStr">
        <is>
          <t>Cinturón Stetson Piel Café Oscuro</t>
        </is>
      </c>
      <c r="J1240" s="156" t="inlineStr">
        <is>
          <t>Accesorios</t>
        </is>
      </c>
      <c r="K1240" s="156" t="inlineStr">
        <is>
          <t>Cinturones</t>
        </is>
      </c>
      <c r="L1240" s="156" t="inlineStr">
        <is>
          <t>Hombre</t>
        </is>
      </c>
      <c r="M1240" s="156" t="inlineStr">
        <is>
          <t>Stetson</t>
        </is>
      </c>
      <c r="N1240" s="156" t="inlineStr">
        <is>
          <t>SS26</t>
        </is>
      </c>
      <c r="O1240" s="156" t="inlineStr">
        <is>
          <t>Seasonal</t>
        </is>
      </c>
      <c r="P1240" s="156" t="inlineStr">
        <is>
          <t>Cafe</t>
        </is>
      </c>
      <c r="Q1240" s="156" t="n"/>
      <c r="R1240" s="156" t="n"/>
      <c r="S1240" s="156" t="inlineStr">
        <is>
          <t>Cuero</t>
        </is>
      </c>
      <c r="T1240"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0" s="156" t="n"/>
      <c r="V1240" s="156" t="inlineStr">
        <is>
          <t>PZS</t>
        </is>
      </c>
      <c r="W1240" s="51" t="inlineStr">
        <is>
          <t>53102501</t>
        </is>
      </c>
      <c r="X1240" s="156" t="inlineStr">
        <is>
          <t>https://cdn.shopify.com/s/files/1/0888/3250/8267/files/9901500-204.jpg?v=1744906317</t>
        </is>
      </c>
      <c r="Y1240" s="54" t="n">
        <v>950.4310345</v>
      </c>
      <c r="Z1240" s="54" t="n">
        <v>2112.068966</v>
      </c>
      <c r="AA1240" s="55">
        <f>IF(AND(A1240="", B1240="", E1240=""), "", IF(AB1240="", "Válido", IF((LEN(AB1240)-LEN(SUBSTITUTE(AB1240,"; ","")))/2+1&gt;(LEN(AB1240)-LEN(SUBSTITUTE(AB1240,"[Aviso]","")))/7, "Con Incidencias", "Válido")))</f>
        <v/>
      </c>
      <c r="AB1240" s="56">
        <f>IF(AND(A1240="", B1240="", E1240=""), "", TEXTJOIN("; ", TRUE, IF(OR(TRIM(A1240&amp;"")="", ISNUMBER(SEARCH("FALTA", A1240))), "UPC faltante/inválido", ""), IF(AND(A1240&lt;&gt;"", IFERROR(_xlfn.XMATCH(A1240,$A$2:$A$2509,0,1)&lt;&gt;_xlfn.XMATCH(A1240,$A$2:$A$2509,0,-1),FALSE)), "Código de barras duplicado", ""), IF(AND(E1240&lt;&gt;"", COUNTIF($E$2:$E$2509, E1240)&gt;1), "SKU duplicado", ""), IF(OR(J1240="", J1240=""), "[Aviso] División no capturada ()", IF(ISNA(MATCH(J1240, Criterios!$A$123:$A$126, 0)), "División no válida", "")), IF(OR(K1240="", K1240=""), "[Aviso] Categoría no capturada ()", IF(ISNA(MATCH(K1240, Criterios!$A$81:$A$120, 0)), "Categoría no válida", IF(AND(J1240&lt;&gt;"", J1240&lt;&gt;"", J1240&lt;&gt;VLOOKUP(K1240, Criterios!$A$81:$B$120, 2, FALSE)), "División no coincide con Categoría", ""))), IF(OR(L1240="", L1240=""), "[Aviso] Género no capturado ()", IF(ISNA(MATCH(L1240, Criterios!$B$123:$B$127, 0)), "Género no válido", "")), IF(OR(N1240="", N1240=""), "[Aviso] Temporada no capturada ()", IF(ISNA(MATCH(N1240, Criterios!$C$123:$C$128, 0)), "Temporada no válida", "")), IF(OR(O1240="", O1240=""), "[Aviso] Ciclo de vida no capturado ()", IF(ISNA(MATCH(O1240, Criterios!$D$123:$D$124, 0)), "Ciclo de vida no válido", ""))))</f>
        <v/>
      </c>
      <c r="AC1240" s="56" t="n"/>
      <c r="AD1240" s="51" t="n">
        <v>4</v>
      </c>
      <c r="AE1240" s="156" t="inlineStr">
        <is>
          <t>WB OUTLET LERMA (1); B25 STETSON.MX (3)</t>
        </is>
      </c>
      <c r="AF1240" s="51" t="n">
        <v>4</v>
      </c>
      <c r="AG1240" s="156" t="inlineStr">
        <is>
          <t>Catálogo existente</t>
        </is>
      </c>
      <c r="AH1240" s="156" t="inlineStr">
        <is>
          <t>Revisión 29/09/2026: Campos sin respaldo: U, X; Auditoría NetSuite 30/09/2026: llenado desde NetSuite [S] | 01/10/2026: complementado desde Shopify Stetson México (match por código de barras): WB Fit, WB Silueta, Enlace de imagen</t>
        </is>
      </c>
      <c r="AI1240" s="156" t="inlineStr">
        <is>
          <t>No</t>
        </is>
      </c>
      <c r="AJ1240" s="156" t="n"/>
      <c r="AK1240" s="155" t="inlineStr">
        <is>
          <t>Criterios: I [Q] | Criterios: J [R]; G1522_Extraccion_Articulos_NetSuite_2026-09-30.xlsx: fila 57568 [S] | Shopify Stetson: producto 14696047051115 / variante 52008014741867 | Shopify WB: producto 10310238109881 / variante 50512090595513</t>
        </is>
      </c>
      <c r="AL1240" s="58" t="n">
        <v>950.4310345</v>
      </c>
      <c r="AM1240" s="58" t="n">
        <v>2112.068966</v>
      </c>
      <c r="AN1240" s="155" t="inlineStr">
        <is>
          <t>Shopify Stetson México | Shopify Western Brothers</t>
        </is>
      </c>
      <c r="AO1240" s="59" t="n">
        <v>4</v>
      </c>
      <c r="AP1240" s="59" t="n">
        <v>1</v>
      </c>
      <c r="AQ1240" s="59" t="n"/>
      <c r="AR1240" s="155" t="inlineStr">
        <is>
          <t>Shopify Stetson México › Stetson México: 3 | Shopify Stetson México › Eventos: 1 | Shopify Western Brothers › Western Brothers Outlet Lerma: 1</t>
        </is>
      </c>
    </row>
    <row r="1241">
      <c r="A1241" s="50" t="inlineStr">
        <is>
          <t>724303723113</t>
        </is>
      </c>
      <c r="B1241" s="51" t="inlineStr">
        <is>
          <t>109754</t>
        </is>
      </c>
      <c r="C1241" s="156" t="inlineStr">
        <is>
          <t>Multimarca</t>
        </is>
      </c>
      <c r="D1241" s="156" t="inlineStr">
        <is>
          <t>9901500-204</t>
        </is>
      </c>
      <c r="E1241" s="156" t="inlineStr">
        <is>
          <t>9901500-204-38</t>
        </is>
      </c>
      <c r="F1241" s="156" t="inlineStr">
        <is>
          <t>38</t>
        </is>
      </c>
      <c r="G1241" s="156" t="inlineStr">
        <is>
          <t>38</t>
        </is>
      </c>
      <c r="H1241" s="156" t="inlineStr">
        <is>
          <t>Stetson</t>
        </is>
      </c>
      <c r="I1241" s="156" t="inlineStr">
        <is>
          <t>Cinturón Stetson Piel Café Oscuro</t>
        </is>
      </c>
      <c r="J1241" s="156" t="inlineStr">
        <is>
          <t>Accesorios</t>
        </is>
      </c>
      <c r="K1241" s="156" t="inlineStr">
        <is>
          <t>Cinturones</t>
        </is>
      </c>
      <c r="L1241" s="156" t="inlineStr">
        <is>
          <t>Hombre</t>
        </is>
      </c>
      <c r="M1241" s="156" t="inlineStr">
        <is>
          <t>Stetson</t>
        </is>
      </c>
      <c r="N1241" s="156" t="inlineStr">
        <is>
          <t>SS26</t>
        </is>
      </c>
      <c r="O1241" s="156" t="inlineStr">
        <is>
          <t>Seasonal</t>
        </is>
      </c>
      <c r="P1241" s="156" t="inlineStr">
        <is>
          <t>Cafe</t>
        </is>
      </c>
      <c r="Q1241" s="156" t="n"/>
      <c r="R1241" s="156" t="n"/>
      <c r="S1241" s="156" t="inlineStr">
        <is>
          <t>Cuero</t>
        </is>
      </c>
      <c r="T1241"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1" s="156" t="n"/>
      <c r="V1241" s="156" t="inlineStr">
        <is>
          <t>PZS</t>
        </is>
      </c>
      <c r="W1241" s="51" t="inlineStr">
        <is>
          <t>53102501</t>
        </is>
      </c>
      <c r="X1241" s="156" t="inlineStr">
        <is>
          <t>https://cdn.shopify.com/s/files/1/0888/3250/8267/files/9901500-204.jpg?v=1744906317</t>
        </is>
      </c>
      <c r="Y1241" s="54" t="n">
        <v>950.4310345</v>
      </c>
      <c r="Z1241" s="54" t="n">
        <v>2112.068966</v>
      </c>
      <c r="AA1241" s="55">
        <f>IF(AND(A1241="", B1241="", E1241=""), "", IF(AB1241="", "Válido", IF((LEN(AB1241)-LEN(SUBSTITUTE(AB1241,"; ","")))/2+1&gt;(LEN(AB1241)-LEN(SUBSTITUTE(AB1241,"[Aviso]","")))/7, "Con Incidencias", "Válido")))</f>
        <v/>
      </c>
      <c r="AB1241" s="56">
        <f>IF(AND(A1241="", B1241="", E1241=""), "", TEXTJOIN("; ", TRUE, IF(OR(TRIM(A1241&amp;"")="", ISNUMBER(SEARCH("FALTA", A1241))), "UPC faltante/inválido", ""), IF(AND(A1241&lt;&gt;"", IFERROR(_xlfn.XMATCH(A1241,$A$2:$A$2509,0,1)&lt;&gt;_xlfn.XMATCH(A1241,$A$2:$A$2509,0,-1),FALSE)), "Código de barras duplicado", ""), IF(AND(E1241&lt;&gt;"", COUNTIF($E$2:$E$2509, E1241)&gt;1), "SKU duplicado", ""), IF(OR(J1241="", J1241=""), "[Aviso] División no capturada ()", IF(ISNA(MATCH(J1241, Criterios!$A$123:$A$126, 0)), "División no válida", "")), IF(OR(K1241="", K1241=""), "[Aviso] Categoría no capturada ()", IF(ISNA(MATCH(K1241, Criterios!$A$81:$A$120, 0)), "Categoría no válida", IF(AND(J1241&lt;&gt;"", J1241&lt;&gt;"", J1241&lt;&gt;VLOOKUP(K1241, Criterios!$A$81:$B$120, 2, FALSE)), "División no coincide con Categoría", ""))), IF(OR(L1241="", L1241=""), "[Aviso] Género no capturado ()", IF(ISNA(MATCH(L1241, Criterios!$B$123:$B$127, 0)), "Género no válido", "")), IF(OR(N1241="", N1241=""), "[Aviso] Temporada no capturada ()", IF(ISNA(MATCH(N1241, Criterios!$C$123:$C$128, 0)), "Temporada no válida", "")), IF(OR(O1241="", O1241=""), "[Aviso] Ciclo de vida no capturado ()", IF(ISNA(MATCH(O1241, Criterios!$D$123:$D$124, 0)), "Ciclo de vida no válido", ""))))</f>
        <v/>
      </c>
      <c r="AC1241" s="56" t="n"/>
      <c r="AD1241" s="51" t="n">
        <v>12</v>
      </c>
      <c r="AE1241" s="156" t="inlineStr">
        <is>
          <t>WB OUTLET LERMA (1); B25 STETSON.MX (11)</t>
        </is>
      </c>
      <c r="AF1241" s="51" t="n">
        <v>12</v>
      </c>
      <c r="AG1241" s="156" t="inlineStr">
        <is>
          <t>Catálogo existente</t>
        </is>
      </c>
      <c r="AH1241" s="156" t="inlineStr">
        <is>
          <t>Revisión 29/09/2026: Campos sin respaldo: U, X; Auditoría NetSuite 30/09/2026: llenado desde NetSuite [S] | 01/10/2026: complementado desde Shopify Stetson México (match por código de barras): WB Fit, WB Silueta, Enlace de imagen</t>
        </is>
      </c>
      <c r="AI1241" s="156" t="inlineStr">
        <is>
          <t>No</t>
        </is>
      </c>
      <c r="AJ1241" s="156" t="n"/>
      <c r="AK1241" s="155" t="inlineStr">
        <is>
          <t>Criterios: I [Q] | Criterios: J [R]; G1522_Extraccion_Articulos_NetSuite_2026-09-30.xlsx: fila 57569 [S] | Shopify Stetson: producto 14696047051115 / variante 52008014774635 | Shopify WB: producto 10310238109881 / variante 50512090628281</t>
        </is>
      </c>
      <c r="AL1241" s="58" t="n">
        <v>950.4310345</v>
      </c>
      <c r="AM1241" s="58" t="n">
        <v>2112.068966</v>
      </c>
      <c r="AN1241" s="155" t="inlineStr">
        <is>
          <t>Shopify Stetson México | Shopify Western Brothers</t>
        </is>
      </c>
      <c r="AO1241" s="59" t="n">
        <v>12</v>
      </c>
      <c r="AP1241" s="59" t="n">
        <v>1</v>
      </c>
      <c r="AQ1241" s="59" t="n"/>
      <c r="AR1241" s="155" t="inlineStr">
        <is>
          <t>Shopify Stetson México › Stetson México: 11 | Shopify Stetson México › Eventos: 1 | Shopify Western Brothers › Western Brothers Outlet Lerma: 1</t>
        </is>
      </c>
    </row>
    <row r="1242">
      <c r="A1242" s="50" t="inlineStr">
        <is>
          <t>724303723120</t>
        </is>
      </c>
      <c r="B1242" s="51" t="inlineStr">
        <is>
          <t>109755</t>
        </is>
      </c>
      <c r="C1242" s="156" t="inlineStr">
        <is>
          <t>Multimarca</t>
        </is>
      </c>
      <c r="D1242" s="156" t="inlineStr">
        <is>
          <t>9901500-204</t>
        </is>
      </c>
      <c r="E1242" s="156" t="inlineStr">
        <is>
          <t>9901500-204-40</t>
        </is>
      </c>
      <c r="F1242" s="156" t="inlineStr">
        <is>
          <t>40</t>
        </is>
      </c>
      <c r="G1242" s="156" t="inlineStr">
        <is>
          <t>40</t>
        </is>
      </c>
      <c r="H1242" s="156" t="inlineStr">
        <is>
          <t>Stetson</t>
        </is>
      </c>
      <c r="I1242" s="156" t="inlineStr">
        <is>
          <t>Cinturón Stetson Piel Café Oscuro</t>
        </is>
      </c>
      <c r="J1242" s="156" t="inlineStr">
        <is>
          <t>Accesorios</t>
        </is>
      </c>
      <c r="K1242" s="156" t="inlineStr">
        <is>
          <t>Cinturones</t>
        </is>
      </c>
      <c r="L1242" s="156" t="inlineStr">
        <is>
          <t>Hombre</t>
        </is>
      </c>
      <c r="M1242" s="156" t="inlineStr">
        <is>
          <t>Stetson</t>
        </is>
      </c>
      <c r="N1242" s="156" t="inlineStr">
        <is>
          <t>SS26</t>
        </is>
      </c>
      <c r="O1242" s="156" t="inlineStr">
        <is>
          <t>Seasonal</t>
        </is>
      </c>
      <c r="P1242" s="156" t="inlineStr">
        <is>
          <t>Cafe</t>
        </is>
      </c>
      <c r="Q1242" s="156" t="n"/>
      <c r="R1242" s="156" t="n"/>
      <c r="S1242" s="156" t="inlineStr">
        <is>
          <t>Cuero</t>
        </is>
      </c>
      <c r="T1242"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2" s="156" t="n"/>
      <c r="V1242" s="156" t="inlineStr">
        <is>
          <t>PZS</t>
        </is>
      </c>
      <c r="W1242" s="51" t="inlineStr">
        <is>
          <t>53102501</t>
        </is>
      </c>
      <c r="X1242" s="156" t="inlineStr">
        <is>
          <t>https://cdn.shopify.com/s/files/1/0888/3250/8267/files/9901500-204.jpg?v=1744906317</t>
        </is>
      </c>
      <c r="Y1242" s="54" t="n">
        <v>950.4310345</v>
      </c>
      <c r="Z1242" s="54" t="n">
        <v>2112.068966</v>
      </c>
      <c r="AA1242" s="55">
        <f>IF(AND(A1242="", B1242="", E1242=""), "", IF(AB1242="", "Válido", IF((LEN(AB1242)-LEN(SUBSTITUTE(AB1242,"; ","")))/2+1&gt;(LEN(AB1242)-LEN(SUBSTITUTE(AB1242,"[Aviso]","")))/7, "Con Incidencias", "Válido")))</f>
        <v/>
      </c>
      <c r="AB1242" s="56">
        <f>IF(AND(A1242="", B1242="", E1242=""), "", TEXTJOIN("; ", TRUE, IF(OR(TRIM(A1242&amp;"")="", ISNUMBER(SEARCH("FALTA", A1242))), "UPC faltante/inválido", ""), IF(AND(A1242&lt;&gt;"", IFERROR(_xlfn.XMATCH(A1242,$A$2:$A$2509,0,1)&lt;&gt;_xlfn.XMATCH(A1242,$A$2:$A$2509,0,-1),FALSE)), "Código de barras duplicado", ""), IF(AND(E1242&lt;&gt;"", COUNTIF($E$2:$E$2509, E1242)&gt;1), "SKU duplicado", ""), IF(OR(J1242="", J1242=""), "[Aviso] División no capturada ()", IF(ISNA(MATCH(J1242, Criterios!$A$123:$A$126, 0)), "División no válida", "")), IF(OR(K1242="", K1242=""), "[Aviso] Categoría no capturada ()", IF(ISNA(MATCH(K1242, Criterios!$A$81:$A$120, 0)), "Categoría no válida", IF(AND(J1242&lt;&gt;"", J1242&lt;&gt;"", J1242&lt;&gt;VLOOKUP(K1242, Criterios!$A$81:$B$120, 2, FALSE)), "División no coincide con Categoría", ""))), IF(OR(L1242="", L1242=""), "[Aviso] Género no capturado ()", IF(ISNA(MATCH(L1242, Criterios!$B$123:$B$127, 0)), "Género no válido", "")), IF(OR(N1242="", N1242=""), "[Aviso] Temporada no capturada ()", IF(ISNA(MATCH(N1242, Criterios!$C$123:$C$128, 0)), "Temporada no válida", "")), IF(OR(O1242="", O1242=""), "[Aviso] Ciclo de vida no capturado ()", IF(ISNA(MATCH(O1242, Criterios!$D$123:$D$124, 0)), "Ciclo de vida no válido", ""))))</f>
        <v/>
      </c>
      <c r="AC1242" s="56" t="n"/>
      <c r="AD1242" s="51" t="n">
        <v>9</v>
      </c>
      <c r="AE1242" s="156" t="inlineStr">
        <is>
          <t>B25 STETSON.MX (8); WB OUTLET LERMA (1)</t>
        </is>
      </c>
      <c r="AF1242" s="51" t="n">
        <v>9</v>
      </c>
      <c r="AG1242" s="156" t="inlineStr">
        <is>
          <t>Catálogo existente</t>
        </is>
      </c>
      <c r="AH1242" s="156" t="inlineStr">
        <is>
          <t>Revisión 29/09/2026: Campos sin respaldo: U, X; Auditoría NetSuite 30/09/2026: llenado desde NetSuite [S] | 01/10/2026: complementado desde Shopify Stetson México (match por código de barras): WB Fit, WB Silueta, Enlace de imagen</t>
        </is>
      </c>
      <c r="AI1242" s="156" t="inlineStr">
        <is>
          <t>No</t>
        </is>
      </c>
      <c r="AJ1242" s="156" t="n"/>
      <c r="AK1242" s="155" t="inlineStr">
        <is>
          <t>Criterios: I [Q] | Criterios: J [R]; G1522_Extraccion_Articulos_NetSuite_2026-09-30.xlsx: fila 57570 [S] | Shopify Stetson: producto 14696047051115 / variante 52008014807403 | Shopify WB: producto 10310238109881 / variante 50512090661049</t>
        </is>
      </c>
      <c r="AL1242" s="58" t="n">
        <v>950.4310345</v>
      </c>
      <c r="AM1242" s="58" t="n">
        <v>2112.068966</v>
      </c>
      <c r="AN1242" s="155" t="inlineStr">
        <is>
          <t>Shopify Stetson México | Shopify Western Brothers</t>
        </is>
      </c>
      <c r="AO1242" s="59" t="n">
        <v>11</v>
      </c>
      <c r="AP1242" s="59" t="n">
        <v>1</v>
      </c>
      <c r="AQ1242" s="59" t="n"/>
      <c r="AR1242" s="155" t="inlineStr">
        <is>
          <t>Shopify Stetson México › Stetson México: 8 | Shopify Stetson México › Stetson Americas: 2 | Shopify Stetson México › Eventos: 1 | Shopify Western Brothers › Western Brothers Outlet Lerma: 1</t>
        </is>
      </c>
    </row>
    <row r="1243">
      <c r="A1243" s="50" t="inlineStr">
        <is>
          <t>724303723137</t>
        </is>
      </c>
      <c r="B1243" s="51" t="inlineStr">
        <is>
          <t>109756</t>
        </is>
      </c>
      <c r="C1243" s="156" t="inlineStr">
        <is>
          <t>Multimarca</t>
        </is>
      </c>
      <c r="D1243" s="156" t="inlineStr">
        <is>
          <t>9901500-204</t>
        </is>
      </c>
      <c r="E1243" s="156" t="inlineStr">
        <is>
          <t>9901500-204-42</t>
        </is>
      </c>
      <c r="F1243" s="156" t="inlineStr">
        <is>
          <t>42</t>
        </is>
      </c>
      <c r="G1243" s="156" t="inlineStr">
        <is>
          <t>42</t>
        </is>
      </c>
      <c r="H1243" s="156" t="inlineStr">
        <is>
          <t>Stetson</t>
        </is>
      </c>
      <c r="I1243" s="156" t="inlineStr">
        <is>
          <t>Cinturón Stetson Piel Café Oscuro</t>
        </is>
      </c>
      <c r="J1243" s="156" t="inlineStr">
        <is>
          <t>Accesorios</t>
        </is>
      </c>
      <c r="K1243" s="156" t="inlineStr">
        <is>
          <t>Cinturones</t>
        </is>
      </c>
      <c r="L1243" s="156" t="inlineStr">
        <is>
          <t>Hombre</t>
        </is>
      </c>
      <c r="M1243" s="156" t="inlineStr">
        <is>
          <t>Stetson</t>
        </is>
      </c>
      <c r="N1243" s="156" t="inlineStr">
        <is>
          <t>SS26</t>
        </is>
      </c>
      <c r="O1243" s="156" t="inlineStr">
        <is>
          <t>Seasonal</t>
        </is>
      </c>
      <c r="P1243" s="156" t="inlineStr">
        <is>
          <t>Cafe</t>
        </is>
      </c>
      <c r="Q1243" s="156" t="n"/>
      <c r="R1243" s="156" t="n"/>
      <c r="S1243" s="156" t="inlineStr">
        <is>
          <t>Cuero</t>
        </is>
      </c>
      <c r="T1243"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3" s="156" t="n"/>
      <c r="V1243" s="156" t="inlineStr">
        <is>
          <t>PZS</t>
        </is>
      </c>
      <c r="W1243" s="51" t="inlineStr">
        <is>
          <t>53102501</t>
        </is>
      </c>
      <c r="X1243" s="156" t="inlineStr">
        <is>
          <t>https://cdn.shopify.com/s/files/1/0888/3250/8267/files/9901500-204.jpg?v=1744906317</t>
        </is>
      </c>
      <c r="Y1243" s="54" t="n">
        <v>950.4310345</v>
      </c>
      <c r="Z1243" s="54" t="n">
        <v>2112.068966</v>
      </c>
      <c r="AA1243" s="55">
        <f>IF(AND(A1243="", B1243="", E1243=""), "", IF(AB1243="", "Válido", IF((LEN(AB1243)-LEN(SUBSTITUTE(AB1243,"; ","")))/2+1&gt;(LEN(AB1243)-LEN(SUBSTITUTE(AB1243,"[Aviso]","")))/7, "Con Incidencias", "Válido")))</f>
        <v/>
      </c>
      <c r="AB1243" s="56">
        <f>IF(AND(A1243="", B1243="", E1243=""), "", TEXTJOIN("; ", TRUE, IF(OR(TRIM(A1243&amp;"")="", ISNUMBER(SEARCH("FALTA", A1243))), "UPC faltante/inválido", ""), IF(AND(A1243&lt;&gt;"", IFERROR(_xlfn.XMATCH(A1243,$A$2:$A$2509,0,1)&lt;&gt;_xlfn.XMATCH(A1243,$A$2:$A$2509,0,-1),FALSE)), "Código de barras duplicado", ""), IF(AND(E1243&lt;&gt;"", COUNTIF($E$2:$E$2509, E1243)&gt;1), "SKU duplicado", ""), IF(OR(J1243="", J1243=""), "[Aviso] División no capturada ()", IF(ISNA(MATCH(J1243, Criterios!$A$123:$A$126, 0)), "División no válida", "")), IF(OR(K1243="", K1243=""), "[Aviso] Categoría no capturada ()", IF(ISNA(MATCH(K1243, Criterios!$A$81:$A$120, 0)), "Categoría no válida", IF(AND(J1243&lt;&gt;"", J1243&lt;&gt;"", J1243&lt;&gt;VLOOKUP(K1243, Criterios!$A$81:$B$120, 2, FALSE)), "División no coincide con Categoría", ""))), IF(OR(L1243="", L1243=""), "[Aviso] Género no capturado ()", IF(ISNA(MATCH(L1243, Criterios!$B$123:$B$127, 0)), "Género no válido", "")), IF(OR(N1243="", N1243=""), "[Aviso] Temporada no capturada ()", IF(ISNA(MATCH(N1243, Criterios!$C$123:$C$128, 0)), "Temporada no válida", "")), IF(OR(O1243="", O1243=""), "[Aviso] Ciclo de vida no capturado ()", IF(ISNA(MATCH(O1243, Criterios!$D$123:$D$124, 0)), "Ciclo de vida no válido", ""))))</f>
        <v/>
      </c>
      <c r="AC1243" s="56" t="n"/>
      <c r="AD1243" s="51" t="n">
        <v>12</v>
      </c>
      <c r="AE1243" s="156" t="inlineStr">
        <is>
          <t>B25 STETSON.MX (11); WB OUTLET LERMA (1)</t>
        </is>
      </c>
      <c r="AF1243" s="51" t="n">
        <v>12</v>
      </c>
      <c r="AG1243" s="156" t="inlineStr">
        <is>
          <t>Catálogo existente</t>
        </is>
      </c>
      <c r="AH1243" s="156" t="inlineStr">
        <is>
          <t>Revisión 29/09/2026: Campos sin respaldo: U, X; Auditoría NetSuite 30/09/2026: llenado desde NetSuite [S] | 01/10/2026: complementado desde Shopify Stetson México (match por código de barras): WB Fit, WB Silueta, Enlace de imagen</t>
        </is>
      </c>
      <c r="AI1243" s="156" t="inlineStr">
        <is>
          <t>No</t>
        </is>
      </c>
      <c r="AJ1243" s="156" t="n"/>
      <c r="AK1243" s="155" t="inlineStr">
        <is>
          <t>Criterios: I [Q] | Criterios: J [R]; G1522_Extraccion_Articulos_NetSuite_2026-09-30.xlsx: fila 57571 [S] | Shopify Stetson: producto 14696047051115 / variante 52008014840171 | Shopify WB: producto 10310238109881 / variante 50512090693817</t>
        </is>
      </c>
      <c r="AL1243" s="58" t="n">
        <v>950.4310345</v>
      </c>
      <c r="AM1243" s="58" t="n">
        <v>2112.068966</v>
      </c>
      <c r="AN1243" s="155" t="inlineStr">
        <is>
          <t>Shopify Stetson México | Shopify Western Brothers</t>
        </is>
      </c>
      <c r="AO1243" s="59" t="n">
        <v>14</v>
      </c>
      <c r="AP1243" s="59" t="n">
        <v>1</v>
      </c>
      <c r="AQ1243" s="59" t="n"/>
      <c r="AR1243" s="155" t="inlineStr">
        <is>
          <t>Shopify Stetson México › Stetson México: 11 | Shopify Stetson México › Stetson Americas: 2 | Shopify Stetson México › Eventos: 1 | Shopify Western Brothers › Western Brothers Outlet Lerma: 1</t>
        </is>
      </c>
    </row>
    <row r="1244">
      <c r="A1244" s="50" t="inlineStr">
        <is>
          <t>724303723144</t>
        </is>
      </c>
      <c r="B1244" s="51" t="inlineStr">
        <is>
          <t>109757</t>
        </is>
      </c>
      <c r="C1244" s="156" t="inlineStr">
        <is>
          <t>Multimarca</t>
        </is>
      </c>
      <c r="D1244" s="156" t="inlineStr">
        <is>
          <t>9901500-204</t>
        </is>
      </c>
      <c r="E1244" s="156" t="inlineStr">
        <is>
          <t>9901500-204-44</t>
        </is>
      </c>
      <c r="F1244" s="156" t="inlineStr">
        <is>
          <t>44</t>
        </is>
      </c>
      <c r="G1244" s="156" t="inlineStr">
        <is>
          <t>44</t>
        </is>
      </c>
      <c r="H1244" s="156" t="inlineStr">
        <is>
          <t>Stetson</t>
        </is>
      </c>
      <c r="I1244" s="156" t="inlineStr">
        <is>
          <t>Cinturón Stetson Piel Café Oscuro</t>
        </is>
      </c>
      <c r="J1244" s="156" t="inlineStr">
        <is>
          <t>Accesorios</t>
        </is>
      </c>
      <c r="K1244" s="156" t="inlineStr">
        <is>
          <t>Cinturones</t>
        </is>
      </c>
      <c r="L1244" s="156" t="inlineStr">
        <is>
          <t>Hombre</t>
        </is>
      </c>
      <c r="M1244" s="156" t="inlineStr">
        <is>
          <t>Stetson</t>
        </is>
      </c>
      <c r="N1244" s="156" t="inlineStr">
        <is>
          <t>SS26</t>
        </is>
      </c>
      <c r="O1244" s="156" t="inlineStr">
        <is>
          <t>Seasonal</t>
        </is>
      </c>
      <c r="P1244" s="156" t="inlineStr">
        <is>
          <t>Cafe</t>
        </is>
      </c>
      <c r="Q1244" s="156" t="n"/>
      <c r="R1244" s="156" t="n"/>
      <c r="S1244" s="156" t="inlineStr">
        <is>
          <t>Cuero</t>
        </is>
      </c>
      <c r="T1244"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4" s="156" t="n"/>
      <c r="V1244" s="156" t="inlineStr">
        <is>
          <t>PZS</t>
        </is>
      </c>
      <c r="W1244" s="51" t="inlineStr">
        <is>
          <t>53102501</t>
        </is>
      </c>
      <c r="X1244" s="156" t="inlineStr">
        <is>
          <t>https://cdn.shopify.com/s/files/1/0888/3250/8267/files/9901500-204.jpg?v=1744906317</t>
        </is>
      </c>
      <c r="Y1244" s="54" t="n">
        <v>950.4310345</v>
      </c>
      <c r="Z1244" s="54" t="n">
        <v>2112.068966</v>
      </c>
      <c r="AA1244" s="55">
        <f>IF(AND(A1244="", B1244="", E1244=""), "", IF(AB1244="", "Válido", IF((LEN(AB1244)-LEN(SUBSTITUTE(AB1244,"; ","")))/2+1&gt;(LEN(AB1244)-LEN(SUBSTITUTE(AB1244,"[Aviso]","")))/7, "Con Incidencias", "Válido")))</f>
        <v/>
      </c>
      <c r="AB1244" s="56">
        <f>IF(AND(A1244="", B1244="", E1244=""), "", TEXTJOIN("; ", TRUE, IF(OR(TRIM(A1244&amp;"")="", ISNUMBER(SEARCH("FALTA", A1244))), "UPC faltante/inválido", ""), IF(AND(A1244&lt;&gt;"", IFERROR(_xlfn.XMATCH(A1244,$A$2:$A$2509,0,1)&lt;&gt;_xlfn.XMATCH(A1244,$A$2:$A$2509,0,-1),FALSE)), "Código de barras duplicado", ""), IF(AND(E1244&lt;&gt;"", COUNTIF($E$2:$E$2509, E1244)&gt;1), "SKU duplicado", ""), IF(OR(J1244="", J1244=""), "[Aviso] División no capturada ()", IF(ISNA(MATCH(J1244, Criterios!$A$123:$A$126, 0)), "División no válida", "")), IF(OR(K1244="", K1244=""), "[Aviso] Categoría no capturada ()", IF(ISNA(MATCH(K1244, Criterios!$A$81:$A$120, 0)), "Categoría no válida", IF(AND(J1244&lt;&gt;"", J1244&lt;&gt;"", J1244&lt;&gt;VLOOKUP(K1244, Criterios!$A$81:$B$120, 2, FALSE)), "División no coincide con Categoría", ""))), IF(OR(L1244="", L1244=""), "[Aviso] Género no capturado ()", IF(ISNA(MATCH(L1244, Criterios!$B$123:$B$127, 0)), "Género no válido", "")), IF(OR(N1244="", N1244=""), "[Aviso] Temporada no capturada ()", IF(ISNA(MATCH(N1244, Criterios!$C$123:$C$128, 0)), "Temporada no válida", "")), IF(OR(O1244="", O1244=""), "[Aviso] Ciclo de vida no capturado ()", IF(ISNA(MATCH(O1244, Criterios!$D$123:$D$124, 0)), "Ciclo de vida no válido", ""))))</f>
        <v/>
      </c>
      <c r="AC1244" s="56" t="n"/>
      <c r="AD1244" s="51" t="n">
        <v>8</v>
      </c>
      <c r="AE1244" s="156" t="inlineStr">
        <is>
          <t>PUNTO DE VENTA (1); B25 STETSON.MX (7)</t>
        </is>
      </c>
      <c r="AF1244" s="51" t="n">
        <v>8</v>
      </c>
      <c r="AG1244" s="156" t="inlineStr">
        <is>
          <t>Catálogo existente</t>
        </is>
      </c>
      <c r="AH1244" s="156" t="inlineStr">
        <is>
          <t>Revisión 29/09/2026: Campos sin respaldo: U, X; Auditoría NetSuite 30/09/2026: llenado desde NetSuite [S] | 01/10/2026: complementado desde Shopify Stetson México (match por código de barras): WB Fit, WB Silueta, Enlace de imagen</t>
        </is>
      </c>
      <c r="AI1244" s="156" t="inlineStr">
        <is>
          <t>No</t>
        </is>
      </c>
      <c r="AJ1244" s="156" t="n"/>
      <c r="AK1244" s="155" t="inlineStr">
        <is>
          <t>Criterios: I [Q] | Criterios: J [R]; G1522_Extraccion_Articulos_NetSuite_2026-09-30.xlsx: fila 57572 [S] | Shopify Stetson: producto 14696047051115 / variante 52008014872939</t>
        </is>
      </c>
      <c r="AL1244" s="58" t="n">
        <v>950.4310345</v>
      </c>
      <c r="AM1244" s="58" t="n">
        <v>2112.068966</v>
      </c>
      <c r="AN1244" s="155" t="inlineStr">
        <is>
          <t>Shopify Stetson México</t>
        </is>
      </c>
      <c r="AO1244" s="59" t="n">
        <v>8</v>
      </c>
      <c r="AP1244" s="59" t="n"/>
      <c r="AQ1244" s="59" t="n"/>
      <c r="AR1244" s="155" t="inlineStr">
        <is>
          <t>Shopify Stetson México › Stetson México: 7 | Shopify Stetson México › Eventos: 1</t>
        </is>
      </c>
    </row>
    <row r="1245">
      <c r="A1245" s="50" t="inlineStr">
        <is>
          <t>724303723151</t>
        </is>
      </c>
      <c r="B1245" s="51" t="inlineStr">
        <is>
          <t>109758</t>
        </is>
      </c>
      <c r="C1245" s="156" t="inlineStr">
        <is>
          <t>Multimarca</t>
        </is>
      </c>
      <c r="D1245" s="156" t="inlineStr">
        <is>
          <t>9901500-204</t>
        </is>
      </c>
      <c r="E1245" s="156" t="inlineStr">
        <is>
          <t>9901500-204-46</t>
        </is>
      </c>
      <c r="F1245" s="156" t="inlineStr">
        <is>
          <t>46</t>
        </is>
      </c>
      <c r="G1245" s="156" t="inlineStr">
        <is>
          <t>46</t>
        </is>
      </c>
      <c r="H1245" s="156" t="inlineStr">
        <is>
          <t>Stetson</t>
        </is>
      </c>
      <c r="I1245" s="156" t="inlineStr">
        <is>
          <t>Cinturón Stetson Piel Café Oscuro</t>
        </is>
      </c>
      <c r="J1245" s="156" t="inlineStr">
        <is>
          <t>Accesorios</t>
        </is>
      </c>
      <c r="K1245" s="156" t="inlineStr">
        <is>
          <t>Cinturones</t>
        </is>
      </c>
      <c r="L1245" s="156" t="inlineStr">
        <is>
          <t>Hombre</t>
        </is>
      </c>
      <c r="M1245" s="156" t="inlineStr">
        <is>
          <t>Stetson</t>
        </is>
      </c>
      <c r="N1245" s="156" t="inlineStr">
        <is>
          <t>SS26</t>
        </is>
      </c>
      <c r="O1245" s="156" t="inlineStr">
        <is>
          <t>Seasonal</t>
        </is>
      </c>
      <c r="P1245" s="156" t="inlineStr">
        <is>
          <t>Cafe</t>
        </is>
      </c>
      <c r="Q1245" s="156" t="n"/>
      <c r="R1245" s="156" t="n"/>
      <c r="S1245" s="156" t="inlineStr">
        <is>
          <t>Cuero</t>
        </is>
      </c>
      <c r="T1245"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5" s="156" t="n"/>
      <c r="V1245" s="156" t="inlineStr">
        <is>
          <t>PZS</t>
        </is>
      </c>
      <c r="W1245" s="51" t="inlineStr">
        <is>
          <t>53102501</t>
        </is>
      </c>
      <c r="X1245" s="156" t="inlineStr">
        <is>
          <t>https://cdn.shopify.com/s/files/1/0888/3250/8267/files/9901500-204.jpg?v=1744906317</t>
        </is>
      </c>
      <c r="Y1245" s="54" t="n">
        <v>950.4310345</v>
      </c>
      <c r="Z1245" s="54" t="n">
        <v>2112.068966</v>
      </c>
      <c r="AA1245" s="55">
        <f>IF(AND(A1245="", B1245="", E1245=""), "", IF(AB1245="", "Válido", IF((LEN(AB1245)-LEN(SUBSTITUTE(AB1245,"; ","")))/2+1&gt;(LEN(AB1245)-LEN(SUBSTITUTE(AB1245,"[Aviso]","")))/7, "Con Incidencias", "Válido")))</f>
        <v/>
      </c>
      <c r="AB1245" s="56">
        <f>IF(AND(A1245="", B1245="", E1245=""), "", TEXTJOIN("; ", TRUE, IF(OR(TRIM(A1245&amp;"")="", ISNUMBER(SEARCH("FALTA", A1245))), "UPC faltante/inválido", ""), IF(AND(A1245&lt;&gt;"", IFERROR(_xlfn.XMATCH(A1245,$A$2:$A$2509,0,1)&lt;&gt;_xlfn.XMATCH(A1245,$A$2:$A$2509,0,-1),FALSE)), "Código de barras duplicado", ""), IF(AND(E1245&lt;&gt;"", COUNTIF($E$2:$E$2509, E1245)&gt;1), "SKU duplicado", ""), IF(OR(J1245="", J1245=""), "[Aviso] División no capturada ()", IF(ISNA(MATCH(J1245, Criterios!$A$123:$A$126, 0)), "División no válida", "")), IF(OR(K1245="", K1245=""), "[Aviso] Categoría no capturada ()", IF(ISNA(MATCH(K1245, Criterios!$A$81:$A$120, 0)), "Categoría no válida", IF(AND(J1245&lt;&gt;"", J1245&lt;&gt;"", J1245&lt;&gt;VLOOKUP(K1245, Criterios!$A$81:$B$120, 2, FALSE)), "División no coincide con Categoría", ""))), IF(OR(L1245="", L1245=""), "[Aviso] Género no capturado ()", IF(ISNA(MATCH(L1245, Criterios!$B$123:$B$127, 0)), "Género no válido", "")), IF(OR(N1245="", N1245=""), "[Aviso] Temporada no capturada ()", IF(ISNA(MATCH(N1245, Criterios!$C$123:$C$128, 0)), "Temporada no válida", "")), IF(OR(O1245="", O1245=""), "[Aviso] Ciclo de vida no capturado ()", IF(ISNA(MATCH(O1245, Criterios!$D$123:$D$124, 0)), "Ciclo de vida no válido", ""))))</f>
        <v/>
      </c>
      <c r="AC1245" s="56" t="n"/>
      <c r="AD1245" s="51" t="n">
        <v>3</v>
      </c>
      <c r="AE1245" s="156" t="inlineStr">
        <is>
          <t>PUNTO DE VENTA (1); B25 STETSON.MX (2)</t>
        </is>
      </c>
      <c r="AF1245" s="51" t="n">
        <v>3</v>
      </c>
      <c r="AG1245" s="156" t="inlineStr">
        <is>
          <t>Catálogo existente</t>
        </is>
      </c>
      <c r="AH1245" s="156" t="inlineStr">
        <is>
          <t>Revisión 29/09/2026: Campos sin respaldo: U, X; Auditoría NetSuite 30/09/2026: llenado desde NetSuite [S] | 01/10/2026: complementado desde Shopify Stetson México (match por código de barras): WB Fit, WB Silueta, Enlace de imagen</t>
        </is>
      </c>
      <c r="AI1245" s="156" t="inlineStr">
        <is>
          <t>No</t>
        </is>
      </c>
      <c r="AJ1245" s="156" t="n"/>
      <c r="AK1245" s="155" t="inlineStr">
        <is>
          <t>Criterios: I [Q] | Criterios: J [R]; G1522_Extraccion_Articulos_NetSuite_2026-09-30.xlsx: fila 57573 [S] | Shopify Stetson: producto 14696047051115 / variante 52008014905707</t>
        </is>
      </c>
      <c r="AL1245" s="58" t="n">
        <v>950.4310345</v>
      </c>
      <c r="AM1245" s="58" t="n">
        <v>2112.068966</v>
      </c>
      <c r="AN1245" s="155" t="inlineStr">
        <is>
          <t>Shopify Stetson México</t>
        </is>
      </c>
      <c r="AO1245" s="59" t="n">
        <v>3</v>
      </c>
      <c r="AP1245" s="59" t="n"/>
      <c r="AQ1245" s="59" t="n"/>
      <c r="AR1245" s="155" t="inlineStr">
        <is>
          <t>Shopify Stetson México › Stetson México: 2 | Shopify Stetson México › Eventos: 1</t>
        </is>
      </c>
    </row>
    <row r="1246">
      <c r="A1246" s="50" t="inlineStr">
        <is>
          <t>724303723281</t>
        </is>
      </c>
      <c r="B1246" s="51" t="inlineStr">
        <is>
          <t>109765</t>
        </is>
      </c>
      <c r="C1246" s="156" t="inlineStr">
        <is>
          <t>Multimarca</t>
        </is>
      </c>
      <c r="D1246" s="156" t="inlineStr">
        <is>
          <t>9907500-204</t>
        </is>
      </c>
      <c r="E1246" s="156" t="inlineStr">
        <is>
          <t>9907500-204-36</t>
        </is>
      </c>
      <c r="F1246" s="156" t="inlineStr">
        <is>
          <t>36</t>
        </is>
      </c>
      <c r="G1246" s="156" t="inlineStr">
        <is>
          <t>36</t>
        </is>
      </c>
      <c r="H1246" s="156" t="inlineStr">
        <is>
          <t>Stetson</t>
        </is>
      </c>
      <c r="I1246" s="156" t="inlineStr">
        <is>
          <t>Cinturón Stetson Piel Café Oscuro</t>
        </is>
      </c>
      <c r="J1246" s="156" t="inlineStr">
        <is>
          <t>Accesorios</t>
        </is>
      </c>
      <c r="K1246" s="156" t="inlineStr">
        <is>
          <t>Cinturones</t>
        </is>
      </c>
      <c r="L1246" s="156" t="inlineStr">
        <is>
          <t>Hombre</t>
        </is>
      </c>
      <c r="M1246" s="156" t="inlineStr">
        <is>
          <t>Stetson</t>
        </is>
      </c>
      <c r="N1246" s="156" t="inlineStr">
        <is>
          <t>SS26</t>
        </is>
      </c>
      <c r="O1246" s="156" t="inlineStr">
        <is>
          <t>Seasonal</t>
        </is>
      </c>
      <c r="P1246" s="156" t="inlineStr">
        <is>
          <t>Cafe</t>
        </is>
      </c>
      <c r="Q1246" s="156" t="n"/>
      <c r="R1246" s="156" t="n"/>
      <c r="S1246" s="156" t="inlineStr">
        <is>
          <t>Cuero</t>
        </is>
      </c>
      <c r="T1246"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6" s="156" t="n"/>
      <c r="V1246" s="156" t="inlineStr">
        <is>
          <t>PZS</t>
        </is>
      </c>
      <c r="W1246" s="51" t="inlineStr">
        <is>
          <t>53102501</t>
        </is>
      </c>
      <c r="X1246" s="156" t="inlineStr">
        <is>
          <t>https://cdn.shopify.com/s/files/1/0888/3250/8267/files/9907500-204_alt1.jpg?v=1761947323</t>
        </is>
      </c>
      <c r="Y1246" s="54" t="n">
        <v>756.4655172</v>
      </c>
      <c r="Z1246" s="54" t="n">
        <v>1681.034483</v>
      </c>
      <c r="AA1246" s="55">
        <f>IF(AND(A1246="", B1246="", E1246=""), "", IF(AB1246="", "Válido", IF((LEN(AB1246)-LEN(SUBSTITUTE(AB1246,"; ","")))/2+1&gt;(LEN(AB1246)-LEN(SUBSTITUTE(AB1246,"[Aviso]","")))/7, "Con Incidencias", "Válido")))</f>
        <v/>
      </c>
      <c r="AB1246" s="56">
        <f>IF(AND(A1246="", B1246="", E1246=""), "", TEXTJOIN("; ", TRUE, IF(OR(TRIM(A1246&amp;"")="", ISNUMBER(SEARCH("FALTA", A1246))), "UPC faltante/inválido", ""), IF(AND(A1246&lt;&gt;"", IFERROR(_xlfn.XMATCH(A1246,$A$2:$A$2509,0,1)&lt;&gt;_xlfn.XMATCH(A1246,$A$2:$A$2509,0,-1),FALSE)), "Código de barras duplicado", ""), IF(AND(E1246&lt;&gt;"", COUNTIF($E$2:$E$2509, E1246)&gt;1), "SKU duplicado", ""), IF(OR(J1246="", J1246=""), "[Aviso] División no capturada ()", IF(ISNA(MATCH(J1246, Criterios!$A$123:$A$126, 0)), "División no válida", "")), IF(OR(K1246="", K1246=""), "[Aviso] Categoría no capturada ()", IF(ISNA(MATCH(K1246, Criterios!$A$81:$A$120, 0)), "Categoría no válida", IF(AND(J1246&lt;&gt;"", J1246&lt;&gt;"", J1246&lt;&gt;VLOOKUP(K1246, Criterios!$A$81:$B$120, 2, FALSE)), "División no coincide con Categoría", ""))), IF(OR(L1246="", L1246=""), "[Aviso] Género no capturado ()", IF(ISNA(MATCH(L1246, Criterios!$B$123:$B$127, 0)), "Género no válido", "")), IF(OR(N1246="", N1246=""), "[Aviso] Temporada no capturada ()", IF(ISNA(MATCH(N1246, Criterios!$C$123:$C$128, 0)), "Temporada no válida", "")), IF(OR(O1246="", O1246=""), "[Aviso] Ciclo de vida no capturado ()", IF(ISNA(MATCH(O1246, Criterios!$D$123:$D$124, 0)), "Ciclo de vida no válido", ""))))</f>
        <v/>
      </c>
      <c r="AC1246" s="56" t="n"/>
      <c r="AD1246" s="51" t="n">
        <v>-1</v>
      </c>
      <c r="AE1246" s="156" t="n"/>
      <c r="AF1246" s="51" t="n">
        <v>0</v>
      </c>
      <c r="AG1246" s="156" t="inlineStr">
        <is>
          <t>Catálogo existente</t>
        </is>
      </c>
      <c r="AH1246" s="156" t="inlineStr">
        <is>
          <t>Stock negativo en sistema: revisar en conteo | Revisión 29/09/2026: Campos sin respaldo: U; Auditoría NetSuite 30/09/2026: llenado desde NetSuite [S] | 01/10/2026: complementado desde Shopify Stetson México (match por código de barras): WB Fit, WB Silueta</t>
        </is>
      </c>
      <c r="AI1246" s="156" t="inlineStr">
        <is>
          <t>Sí</t>
        </is>
      </c>
      <c r="AJ1246" s="156" t="inlineStr">
        <is>
          <t>PUNTO DE VENTA (-1)</t>
        </is>
      </c>
      <c r="AK1246" s="155" t="inlineStr">
        <is>
          <t>Criterios: I [Q] | Criterios: J [R]; G1522_Extraccion_Articulos_NetSuite_2026-09-30.xlsx: fila 57580 [S] | Shopify Stetson: producto 14697965453675 / variante 52013824115051</t>
        </is>
      </c>
      <c r="AL1246" s="58" t="n">
        <v>756.4655172</v>
      </c>
      <c r="AM1246" s="58" t="n">
        <v>1681.034483</v>
      </c>
      <c r="AN1246" s="155" t="inlineStr">
        <is>
          <t>Shopify Stetson México</t>
        </is>
      </c>
      <c r="AO1246" s="59" t="n">
        <v>0</v>
      </c>
      <c r="AP1246" s="59" t="n"/>
      <c r="AQ1246" s="59" t="n"/>
      <c r="AR1246" s="155" t="n"/>
    </row>
    <row r="1247">
      <c r="A1247" s="50" t="inlineStr">
        <is>
          <t>724303723298</t>
        </is>
      </c>
      <c r="B1247" s="51" t="inlineStr">
        <is>
          <t>109766</t>
        </is>
      </c>
      <c r="C1247" s="156" t="inlineStr">
        <is>
          <t>Multimarca</t>
        </is>
      </c>
      <c r="D1247" s="156" t="inlineStr">
        <is>
          <t>9907500-204</t>
        </is>
      </c>
      <c r="E1247" s="156" t="inlineStr">
        <is>
          <t>9907500-204-38</t>
        </is>
      </c>
      <c r="F1247" s="156" t="inlineStr">
        <is>
          <t>38</t>
        </is>
      </c>
      <c r="G1247" s="156" t="inlineStr">
        <is>
          <t>38</t>
        </is>
      </c>
      <c r="H1247" s="156" t="inlineStr">
        <is>
          <t>Stetson</t>
        </is>
      </c>
      <c r="I1247" s="156" t="inlineStr">
        <is>
          <t>Cinturón Stetson Piel Café Oscuro</t>
        </is>
      </c>
      <c r="J1247" s="156" t="inlineStr">
        <is>
          <t>Accesorios</t>
        </is>
      </c>
      <c r="K1247" s="156" t="inlineStr">
        <is>
          <t>Cinturones</t>
        </is>
      </c>
      <c r="L1247" s="156" t="inlineStr">
        <is>
          <t>Hombre</t>
        </is>
      </c>
      <c r="M1247" s="156" t="inlineStr">
        <is>
          <t>Stetson</t>
        </is>
      </c>
      <c r="N1247" s="156" t="inlineStr">
        <is>
          <t>SS26</t>
        </is>
      </c>
      <c r="O1247" s="156" t="inlineStr">
        <is>
          <t>Seasonal</t>
        </is>
      </c>
      <c r="P1247" s="156" t="inlineStr">
        <is>
          <t>Cafe</t>
        </is>
      </c>
      <c r="Q1247" s="156" t="n"/>
      <c r="R1247" s="156" t="n"/>
      <c r="S1247" s="156" t="inlineStr">
        <is>
          <t>Cuero</t>
        </is>
      </c>
      <c r="T1247"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7" s="156" t="n"/>
      <c r="V1247" s="156" t="inlineStr">
        <is>
          <t>PZS</t>
        </is>
      </c>
      <c r="W1247" s="51" t="inlineStr">
        <is>
          <t>53102501</t>
        </is>
      </c>
      <c r="X1247" s="156" t="inlineStr">
        <is>
          <t>https://cdn.shopify.com/s/files/1/0888/3250/8267/files/9907500-204_Dark_Brown_2.jpg?v=1761947328</t>
        </is>
      </c>
      <c r="Y1247" s="54" t="n">
        <v>756.4655172</v>
      </c>
      <c r="Z1247" s="54" t="n">
        <v>1681.034483</v>
      </c>
      <c r="AA1247" s="55">
        <f>IF(AND(A1247="", B1247="", E1247=""), "", IF(AB1247="", "Válido", IF((LEN(AB1247)-LEN(SUBSTITUTE(AB1247,"; ","")))/2+1&gt;(LEN(AB1247)-LEN(SUBSTITUTE(AB1247,"[Aviso]","")))/7, "Con Incidencias", "Válido")))</f>
        <v/>
      </c>
      <c r="AB1247" s="56">
        <f>IF(AND(A1247="", B1247="", E1247=""), "", TEXTJOIN("; ", TRUE, IF(OR(TRIM(A1247&amp;"")="", ISNUMBER(SEARCH("FALTA", A1247))), "UPC faltante/inválido", ""), IF(AND(A1247&lt;&gt;"", IFERROR(_xlfn.XMATCH(A1247,$A$2:$A$2509,0,1)&lt;&gt;_xlfn.XMATCH(A1247,$A$2:$A$2509,0,-1),FALSE)), "Código de barras duplicado", ""), IF(AND(E1247&lt;&gt;"", COUNTIF($E$2:$E$2509, E1247)&gt;1), "SKU duplicado", ""), IF(OR(J1247="", J1247=""), "[Aviso] División no capturada ()", IF(ISNA(MATCH(J1247, Criterios!$A$123:$A$126, 0)), "División no válida", "")), IF(OR(K1247="", K1247=""), "[Aviso] Categoría no capturada ()", IF(ISNA(MATCH(K1247, Criterios!$A$81:$A$120, 0)), "Categoría no válida", IF(AND(J1247&lt;&gt;"", J1247&lt;&gt;"", J1247&lt;&gt;VLOOKUP(K1247, Criterios!$A$81:$B$120, 2, FALSE)), "División no coincide con Categoría", ""))), IF(OR(L1247="", L1247=""), "[Aviso] Género no capturado ()", IF(ISNA(MATCH(L1247, Criterios!$B$123:$B$127, 0)), "Género no válido", "")), IF(OR(N1247="", N1247=""), "[Aviso] Temporada no capturada ()", IF(ISNA(MATCH(N1247, Criterios!$C$123:$C$128, 0)), "Temporada no válida", "")), IF(OR(O1247="", O1247=""), "[Aviso] Ciclo de vida no capturado ()", IF(ISNA(MATCH(O1247, Criterios!$D$123:$D$124, 0)), "Ciclo de vida no válido", ""))))</f>
        <v/>
      </c>
      <c r="AC1247" s="56" t="n"/>
      <c r="AD1247" s="51" t="n">
        <v>7</v>
      </c>
      <c r="AE1247" s="156" t="inlineStr">
        <is>
          <t>B25 STETSON.MX (6); PUNTO DE VENTA (1)</t>
        </is>
      </c>
      <c r="AF1247" s="51" t="n">
        <v>7</v>
      </c>
      <c r="AG1247" s="156" t="inlineStr">
        <is>
          <t>Catálogo existente</t>
        </is>
      </c>
      <c r="AH1247" s="156" t="inlineStr">
        <is>
          <t>Revisión 29/09/2026: Campos sin respaldo: U; Auditoría NetSuite 30/09/2026: llenado desde NetSuite [S] | 01/10/2026: complementado desde Shopify Stetson México (match por código de barras): WB Fit, WB Silueta</t>
        </is>
      </c>
      <c r="AI1247" s="156" t="inlineStr">
        <is>
          <t>No</t>
        </is>
      </c>
      <c r="AJ1247" s="156" t="n"/>
      <c r="AK1247" s="155" t="inlineStr">
        <is>
          <t>Criterios: I [Q] | Criterios: J [R]; G1522_Extraccion_Articulos_NetSuite_2026-09-30.xlsx: fila 57581 [S] | Shopify Stetson: producto 14697965453675 / variante 52013824147819</t>
        </is>
      </c>
      <c r="AL1247" s="58" t="n">
        <v>756.4655172</v>
      </c>
      <c r="AM1247" s="58" t="n">
        <v>1681.034483</v>
      </c>
      <c r="AN1247" s="155" t="inlineStr">
        <is>
          <t>Shopify Stetson México</t>
        </is>
      </c>
      <c r="AO1247" s="59" t="n">
        <v>7</v>
      </c>
      <c r="AP1247" s="59" t="n"/>
      <c r="AQ1247" s="59" t="n"/>
      <c r="AR1247" s="155" t="inlineStr">
        <is>
          <t>Shopify Stetson México › Stetson México: 6 | Shopify Stetson México › Eventos: 1</t>
        </is>
      </c>
    </row>
    <row r="1248">
      <c r="A1248" s="50" t="inlineStr">
        <is>
          <t>724303723304</t>
        </is>
      </c>
      <c r="B1248" s="51" t="inlineStr">
        <is>
          <t>109767</t>
        </is>
      </c>
      <c r="C1248" s="156" t="inlineStr">
        <is>
          <t>Multimarca</t>
        </is>
      </c>
      <c r="D1248" s="156" t="inlineStr">
        <is>
          <t>9907500-204</t>
        </is>
      </c>
      <c r="E1248" s="156" t="inlineStr">
        <is>
          <t>9907500-204-40</t>
        </is>
      </c>
      <c r="F1248" s="156" t="inlineStr">
        <is>
          <t>40</t>
        </is>
      </c>
      <c r="G1248" s="156" t="inlineStr">
        <is>
          <t>40</t>
        </is>
      </c>
      <c r="H1248" s="156" t="inlineStr">
        <is>
          <t>Stetson</t>
        </is>
      </c>
      <c r="I1248" s="156" t="inlineStr">
        <is>
          <t>Cinturón Stetson Piel Café Oscuro</t>
        </is>
      </c>
      <c r="J1248" s="156" t="inlineStr">
        <is>
          <t>Accesorios</t>
        </is>
      </c>
      <c r="K1248" s="156" t="inlineStr">
        <is>
          <t>Cinturones</t>
        </is>
      </c>
      <c r="L1248" s="156" t="inlineStr">
        <is>
          <t>Hombre</t>
        </is>
      </c>
      <c r="M1248" s="156" t="inlineStr">
        <is>
          <t>Stetson</t>
        </is>
      </c>
      <c r="N1248" s="156" t="inlineStr">
        <is>
          <t>SS26</t>
        </is>
      </c>
      <c r="O1248" s="156" t="inlineStr">
        <is>
          <t>Seasonal</t>
        </is>
      </c>
      <c r="P1248" s="156" t="inlineStr">
        <is>
          <t>Cafe</t>
        </is>
      </c>
      <c r="Q1248" s="156" t="n"/>
      <c r="R1248" s="156" t="n"/>
      <c r="S1248" s="156" t="inlineStr">
        <is>
          <t>Cuero</t>
        </is>
      </c>
      <c r="T1248"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8" s="156" t="n"/>
      <c r="V1248" s="156" t="inlineStr">
        <is>
          <t>PZS</t>
        </is>
      </c>
      <c r="W1248" s="51" t="inlineStr">
        <is>
          <t>53102501</t>
        </is>
      </c>
      <c r="X1248" s="156" t="inlineStr">
        <is>
          <t>https://cdn.shopify.com/s/files/1/0888/3250/8267/files/9907500-204_Dark_Brown_3.jpg?v=1761947336</t>
        </is>
      </c>
      <c r="Y1248" s="54" t="n">
        <v>756.4655172</v>
      </c>
      <c r="Z1248" s="54" t="n">
        <v>1681.034483</v>
      </c>
      <c r="AA1248" s="55">
        <f>IF(AND(A1248="", B1248="", E1248=""), "", IF(AB1248="", "Válido", IF((LEN(AB1248)-LEN(SUBSTITUTE(AB1248,"; ","")))/2+1&gt;(LEN(AB1248)-LEN(SUBSTITUTE(AB1248,"[Aviso]","")))/7, "Con Incidencias", "Válido")))</f>
        <v/>
      </c>
      <c r="AB1248" s="56">
        <f>IF(AND(A1248="", B1248="", E1248=""), "", TEXTJOIN("; ", TRUE, IF(OR(TRIM(A1248&amp;"")="", ISNUMBER(SEARCH("FALTA", A1248))), "UPC faltante/inválido", ""), IF(AND(A1248&lt;&gt;"", IFERROR(_xlfn.XMATCH(A1248,$A$2:$A$2509,0,1)&lt;&gt;_xlfn.XMATCH(A1248,$A$2:$A$2509,0,-1),FALSE)), "Código de barras duplicado", ""), IF(AND(E1248&lt;&gt;"", COUNTIF($E$2:$E$2509, E1248)&gt;1), "SKU duplicado", ""), IF(OR(J1248="", J1248=""), "[Aviso] División no capturada ()", IF(ISNA(MATCH(J1248, Criterios!$A$123:$A$126, 0)), "División no válida", "")), IF(OR(K1248="", K1248=""), "[Aviso] Categoría no capturada ()", IF(ISNA(MATCH(K1248, Criterios!$A$81:$A$120, 0)), "Categoría no válida", IF(AND(J1248&lt;&gt;"", J1248&lt;&gt;"", J1248&lt;&gt;VLOOKUP(K1248, Criterios!$A$81:$B$120, 2, FALSE)), "División no coincide con Categoría", ""))), IF(OR(L1248="", L1248=""), "[Aviso] Género no capturado ()", IF(ISNA(MATCH(L1248, Criterios!$B$123:$B$127, 0)), "Género no válido", "")), IF(OR(N1248="", N1248=""), "[Aviso] Temporada no capturada ()", IF(ISNA(MATCH(N1248, Criterios!$C$123:$C$128, 0)), "Temporada no válida", "")), IF(OR(O1248="", O1248=""), "[Aviso] Ciclo de vida no capturado ()", IF(ISNA(MATCH(O1248, Criterios!$D$123:$D$124, 0)), "Ciclo de vida no válido", ""))))</f>
        <v/>
      </c>
      <c r="AC1248" s="56" t="n"/>
      <c r="AD1248" s="51" t="n">
        <v>14</v>
      </c>
      <c r="AE1248" s="156" t="inlineStr">
        <is>
          <t>PUNTO DE VENTA (1); B25 STETSON.MX (13)</t>
        </is>
      </c>
      <c r="AF1248" s="51" t="n">
        <v>14</v>
      </c>
      <c r="AG1248" s="156" t="inlineStr">
        <is>
          <t>Catálogo existente</t>
        </is>
      </c>
      <c r="AH1248" s="156" t="inlineStr">
        <is>
          <t>Revisión 29/09/2026: Campos sin respaldo: U; Auditoría NetSuite 30/09/2026: llenado desde NetSuite [S] | 01/10/2026: complementado desde Shopify Stetson México (match por código de barras): WB Fit, WB Silueta</t>
        </is>
      </c>
      <c r="AI1248" s="156" t="inlineStr">
        <is>
          <t>No</t>
        </is>
      </c>
      <c r="AJ1248" s="156" t="n"/>
      <c r="AK1248" s="155" t="inlineStr">
        <is>
          <t>Criterios: I [Q] | Criterios: J [R]; G1522_Extraccion_Articulos_NetSuite_2026-09-30.xlsx: fila 57582 [S] | Shopify Stetson: producto 14697965453675 / variante 52013824180587</t>
        </is>
      </c>
      <c r="AL1248" s="58" t="n">
        <v>756.4655172</v>
      </c>
      <c r="AM1248" s="58" t="n">
        <v>1681.034483</v>
      </c>
      <c r="AN1248" s="155" t="inlineStr">
        <is>
          <t>Shopify Stetson México</t>
        </is>
      </c>
      <c r="AO1248" s="59" t="n">
        <v>14</v>
      </c>
      <c r="AP1248" s="59" t="n"/>
      <c r="AQ1248" s="59" t="n"/>
      <c r="AR1248" s="155" t="inlineStr">
        <is>
          <t>Shopify Stetson México › Stetson México: 13 | Shopify Stetson México › Eventos: 1</t>
        </is>
      </c>
    </row>
    <row r="1249">
      <c r="A1249" s="50" t="inlineStr">
        <is>
          <t>724303723311</t>
        </is>
      </c>
      <c r="B1249" s="51" t="inlineStr">
        <is>
          <t>109768</t>
        </is>
      </c>
      <c r="C1249" s="156" t="inlineStr">
        <is>
          <t>Multimarca</t>
        </is>
      </c>
      <c r="D1249" s="156" t="inlineStr">
        <is>
          <t>9907500-204</t>
        </is>
      </c>
      <c r="E1249" s="156" t="inlineStr">
        <is>
          <t>9907500-204-42</t>
        </is>
      </c>
      <c r="F1249" s="156" t="inlineStr">
        <is>
          <t>42</t>
        </is>
      </c>
      <c r="G1249" s="156" t="inlineStr">
        <is>
          <t>42</t>
        </is>
      </c>
      <c r="H1249" s="156" t="inlineStr">
        <is>
          <t>Stetson</t>
        </is>
      </c>
      <c r="I1249" s="156" t="inlineStr">
        <is>
          <t>Cinturón Stetson Piel Café Oscuro</t>
        </is>
      </c>
      <c r="J1249" s="156" t="inlineStr">
        <is>
          <t>Accesorios</t>
        </is>
      </c>
      <c r="K1249" s="156" t="inlineStr">
        <is>
          <t>Cinturones</t>
        </is>
      </c>
      <c r="L1249" s="156" t="inlineStr">
        <is>
          <t>Hombre</t>
        </is>
      </c>
      <c r="M1249" s="156" t="inlineStr">
        <is>
          <t>Stetson</t>
        </is>
      </c>
      <c r="N1249" s="156" t="inlineStr">
        <is>
          <t>SS26</t>
        </is>
      </c>
      <c r="O1249" s="156" t="inlineStr">
        <is>
          <t>Seasonal</t>
        </is>
      </c>
      <c r="P1249" s="156" t="inlineStr">
        <is>
          <t>Cafe</t>
        </is>
      </c>
      <c r="Q1249" s="156" t="n"/>
      <c r="R1249" s="156" t="n"/>
      <c r="S1249" s="156" t="inlineStr">
        <is>
          <t>Cuero</t>
        </is>
      </c>
      <c r="T1249"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9" s="156" t="n"/>
      <c r="V1249" s="156" t="inlineStr">
        <is>
          <t>PZS</t>
        </is>
      </c>
      <c r="W1249" s="51" t="inlineStr">
        <is>
          <t>53102501</t>
        </is>
      </c>
      <c r="X1249" s="156" t="inlineStr">
        <is>
          <t>https://cdn.shopify.com/s/files/1/0888/3250/8267/files/9907500-204_Dark_Brown_4.jpg?v=1761947343</t>
        </is>
      </c>
      <c r="Y1249" s="54" t="n">
        <v>756.4655172</v>
      </c>
      <c r="Z1249" s="54" t="n">
        <v>1681.034483</v>
      </c>
      <c r="AA1249" s="55">
        <f>IF(AND(A1249="", B1249="", E1249=""), "", IF(AB1249="", "Válido", IF((LEN(AB1249)-LEN(SUBSTITUTE(AB1249,"; ","")))/2+1&gt;(LEN(AB1249)-LEN(SUBSTITUTE(AB1249,"[Aviso]","")))/7, "Con Incidencias", "Válido")))</f>
        <v/>
      </c>
      <c r="AB1249" s="56">
        <f>IF(AND(A1249="", B1249="", E1249=""), "", TEXTJOIN("; ", TRUE, IF(OR(TRIM(A1249&amp;"")="", ISNUMBER(SEARCH("FALTA", A1249))), "UPC faltante/inválido", ""), IF(AND(A1249&lt;&gt;"", IFERROR(_xlfn.XMATCH(A1249,$A$2:$A$2509,0,1)&lt;&gt;_xlfn.XMATCH(A1249,$A$2:$A$2509,0,-1),FALSE)), "Código de barras duplicado", ""), IF(AND(E1249&lt;&gt;"", COUNTIF($E$2:$E$2509, E1249)&gt;1), "SKU duplicado", ""), IF(OR(J1249="", J1249=""), "[Aviso] División no capturada ()", IF(ISNA(MATCH(J1249, Criterios!$A$123:$A$126, 0)), "División no válida", "")), IF(OR(K1249="", K1249=""), "[Aviso] Categoría no capturada ()", IF(ISNA(MATCH(K1249, Criterios!$A$81:$A$120, 0)), "Categoría no válida", IF(AND(J1249&lt;&gt;"", J1249&lt;&gt;"", J1249&lt;&gt;VLOOKUP(K1249, Criterios!$A$81:$B$120, 2, FALSE)), "División no coincide con Categoría", ""))), IF(OR(L1249="", L1249=""), "[Aviso] Género no capturado ()", IF(ISNA(MATCH(L1249, Criterios!$B$123:$B$127, 0)), "Género no válido", "")), IF(OR(N1249="", N1249=""), "[Aviso] Temporada no capturada ()", IF(ISNA(MATCH(N1249, Criterios!$C$123:$C$128, 0)), "Temporada no válida", "")), IF(OR(O1249="", O1249=""), "[Aviso] Ciclo de vida no capturado ()", IF(ISNA(MATCH(O1249, Criterios!$D$123:$D$124, 0)), "Ciclo de vida no válido", ""))))</f>
        <v/>
      </c>
      <c r="AC1249" s="56" t="n"/>
      <c r="AD1249" s="51" t="n">
        <v>12</v>
      </c>
      <c r="AE1249" s="156" t="inlineStr">
        <is>
          <t>PUNTO DE VENTA (1); B25 STETSON.MX (11)</t>
        </is>
      </c>
      <c r="AF1249" s="51" t="n">
        <v>12</v>
      </c>
      <c r="AG1249" s="156" t="inlineStr">
        <is>
          <t>Catálogo existente</t>
        </is>
      </c>
      <c r="AH1249" s="156" t="inlineStr">
        <is>
          <t>Revisión 29/09/2026: Campos sin respaldo: U; Auditoría NetSuite 30/09/2026: llenado desde NetSuite [S] | 01/10/2026: complementado desde Shopify Stetson México (match por código de barras): WB Fit, WB Silueta</t>
        </is>
      </c>
      <c r="AI1249" s="156" t="inlineStr">
        <is>
          <t>No</t>
        </is>
      </c>
      <c r="AJ1249" s="156" t="n"/>
      <c r="AK1249" s="155" t="inlineStr">
        <is>
          <t>Criterios: I [Q] | Criterios: J [R]; G1522_Extraccion_Articulos_NetSuite_2026-09-30.xlsx: fila 57583 [S] | Shopify Stetson: producto 14697965453675 / variante 52013824213355</t>
        </is>
      </c>
      <c r="AL1249" s="58" t="n">
        <v>756.4655172</v>
      </c>
      <c r="AM1249" s="58" t="n">
        <v>1681.034483</v>
      </c>
      <c r="AN1249" s="155" t="inlineStr">
        <is>
          <t>Shopify Stetson México</t>
        </is>
      </c>
      <c r="AO1249" s="59" t="n">
        <v>12</v>
      </c>
      <c r="AP1249" s="59" t="n"/>
      <c r="AQ1249" s="59" t="n"/>
      <c r="AR1249" s="155" t="inlineStr">
        <is>
          <t>Shopify Stetson México › Stetson México: 11 | Shopify Stetson México › Eventos: 1</t>
        </is>
      </c>
    </row>
    <row r="1250">
      <c r="A1250" s="50" t="inlineStr">
        <is>
          <t>724303723328</t>
        </is>
      </c>
      <c r="B1250" s="51" t="inlineStr">
        <is>
          <t>109769</t>
        </is>
      </c>
      <c r="C1250" s="156" t="inlineStr">
        <is>
          <t>Multimarca</t>
        </is>
      </c>
      <c r="D1250" s="156" t="inlineStr">
        <is>
          <t>9907500-204</t>
        </is>
      </c>
      <c r="E1250" s="156" t="inlineStr">
        <is>
          <t>9907500-204-44</t>
        </is>
      </c>
      <c r="F1250" s="156" t="inlineStr">
        <is>
          <t>44</t>
        </is>
      </c>
      <c r="G1250" s="156" t="inlineStr">
        <is>
          <t>44</t>
        </is>
      </c>
      <c r="H1250" s="156" t="inlineStr">
        <is>
          <t>Stetson</t>
        </is>
      </c>
      <c r="I1250" s="156" t="inlineStr">
        <is>
          <t>Cinturón Stetson Piel Café Oscuro</t>
        </is>
      </c>
      <c r="J1250" s="156" t="inlineStr">
        <is>
          <t>Accesorios</t>
        </is>
      </c>
      <c r="K1250" s="156" t="inlineStr">
        <is>
          <t>Cinturones</t>
        </is>
      </c>
      <c r="L1250" s="156" t="inlineStr">
        <is>
          <t>Hombre</t>
        </is>
      </c>
      <c r="M1250" s="156" t="inlineStr">
        <is>
          <t>Stetson</t>
        </is>
      </c>
      <c r="N1250" s="156" t="inlineStr">
        <is>
          <t>SS26</t>
        </is>
      </c>
      <c r="O1250" s="156" t="inlineStr">
        <is>
          <t>Seasonal</t>
        </is>
      </c>
      <c r="P1250" s="156" t="inlineStr">
        <is>
          <t>Cafe</t>
        </is>
      </c>
      <c r="Q1250" s="156" t="n"/>
      <c r="R1250" s="156" t="n"/>
      <c r="S1250" s="156" t="inlineStr">
        <is>
          <t>Cuero</t>
        </is>
      </c>
      <c r="T1250"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50" s="156" t="n"/>
      <c r="V1250" s="156" t="inlineStr">
        <is>
          <t>PZS</t>
        </is>
      </c>
      <c r="W1250" s="51" t="inlineStr">
        <is>
          <t>53102501</t>
        </is>
      </c>
      <c r="X1250" s="156" t="inlineStr">
        <is>
          <t>https://cdn.shopify.com/s/files/1/0888/3250/8267/files/9907500-204_Dark_Brown_5.jpg?v=1761947350</t>
        </is>
      </c>
      <c r="Y1250" s="54" t="n">
        <v>756.4655172</v>
      </c>
      <c r="Z1250" s="54" t="n">
        <v>1681.034483</v>
      </c>
      <c r="AA1250" s="55">
        <f>IF(AND(A1250="", B1250="", E1250=""), "", IF(AB1250="", "Válido", IF((LEN(AB1250)-LEN(SUBSTITUTE(AB1250,"; ","")))/2+1&gt;(LEN(AB1250)-LEN(SUBSTITUTE(AB1250,"[Aviso]","")))/7, "Con Incidencias", "Válido")))</f>
        <v/>
      </c>
      <c r="AB1250" s="56">
        <f>IF(AND(A1250="", B1250="", E1250=""), "", TEXTJOIN("; ", TRUE, IF(OR(TRIM(A1250&amp;"")="", ISNUMBER(SEARCH("FALTA", A1250))), "UPC faltante/inválido", ""), IF(AND(A1250&lt;&gt;"", IFERROR(_xlfn.XMATCH(A1250,$A$2:$A$2509,0,1)&lt;&gt;_xlfn.XMATCH(A1250,$A$2:$A$2509,0,-1),FALSE)), "Código de barras duplicado", ""), IF(AND(E1250&lt;&gt;"", COUNTIF($E$2:$E$2509, E1250)&gt;1), "SKU duplicado", ""), IF(OR(J1250="", J1250=""), "[Aviso] División no capturada ()", IF(ISNA(MATCH(J1250, Criterios!$A$123:$A$126, 0)), "División no válida", "")), IF(OR(K1250="", K1250=""), "[Aviso] Categoría no capturada ()", IF(ISNA(MATCH(K1250, Criterios!$A$81:$A$120, 0)), "Categoría no válida", IF(AND(J1250&lt;&gt;"", J1250&lt;&gt;"", J1250&lt;&gt;VLOOKUP(K1250, Criterios!$A$81:$B$120, 2, FALSE)), "División no coincide con Categoría", ""))), IF(OR(L1250="", L1250=""), "[Aviso] Género no capturado ()", IF(ISNA(MATCH(L1250, Criterios!$B$123:$B$127, 0)), "Género no válido", "")), IF(OR(N1250="", N1250=""), "[Aviso] Temporada no capturada ()", IF(ISNA(MATCH(N1250, Criterios!$C$123:$C$128, 0)), "Temporada no válida", "")), IF(OR(O1250="", O1250=""), "[Aviso] Ciclo de vida no capturado ()", IF(ISNA(MATCH(O1250, Criterios!$D$123:$D$124, 0)), "Ciclo de vida no válido", ""))))</f>
        <v/>
      </c>
      <c r="AC1250" s="56" t="n"/>
      <c r="AD1250" s="51" t="n">
        <v>5</v>
      </c>
      <c r="AE1250" s="156" t="inlineStr">
        <is>
          <t>PUNTO DE VENTA (1); B25 STETSON.MX (4)</t>
        </is>
      </c>
      <c r="AF1250" s="51" t="n">
        <v>5</v>
      </c>
      <c r="AG1250" s="156" t="inlineStr">
        <is>
          <t>Catálogo existente</t>
        </is>
      </c>
      <c r="AH1250" s="156" t="inlineStr">
        <is>
          <t>Revisión 29/09/2026: Campos sin respaldo: U; Auditoría NetSuite 30/09/2026: llenado desde NetSuite [S] | 01/10/2026: complementado desde Shopify Stetson México (match por código de barras): WB Fit, WB Silueta</t>
        </is>
      </c>
      <c r="AI1250" s="156" t="inlineStr">
        <is>
          <t>No</t>
        </is>
      </c>
      <c r="AJ1250" s="156" t="n"/>
      <c r="AK1250" s="155" t="inlineStr">
        <is>
          <t>Criterios: I [Q] | Criterios: J [R]; G1522_Extraccion_Articulos_NetSuite_2026-09-30.xlsx: fila 57584 [S] | Shopify Stetson: producto 14697965453675 / variante 52013824246123</t>
        </is>
      </c>
      <c r="AL1250" s="58" t="n">
        <v>756.4655172</v>
      </c>
      <c r="AM1250" s="58" t="n">
        <v>1681.034483</v>
      </c>
      <c r="AN1250" s="155" t="inlineStr">
        <is>
          <t>Shopify Stetson México</t>
        </is>
      </c>
      <c r="AO1250" s="59" t="n">
        <v>5</v>
      </c>
      <c r="AP1250" s="59" t="n"/>
      <c r="AQ1250" s="59" t="n"/>
      <c r="AR1250" s="155" t="inlineStr">
        <is>
          <t>Shopify Stetson México › Stetson México: 4 | Shopify Stetson México › Eventos: 1</t>
        </is>
      </c>
    </row>
    <row r="1251">
      <c r="A1251" s="50" t="inlineStr">
        <is>
          <t>724303723335</t>
        </is>
      </c>
      <c r="B1251" s="51" t="inlineStr">
        <is>
          <t>109770</t>
        </is>
      </c>
      <c r="C1251" s="156" t="inlineStr">
        <is>
          <t>Multimarca</t>
        </is>
      </c>
      <c r="D1251" s="156" t="inlineStr">
        <is>
          <t>9907500-204</t>
        </is>
      </c>
      <c r="E1251" s="156" t="inlineStr">
        <is>
          <t>9907500-204-46</t>
        </is>
      </c>
      <c r="F1251" s="156" t="inlineStr">
        <is>
          <t>46</t>
        </is>
      </c>
      <c r="G1251" s="156" t="inlineStr">
        <is>
          <t>46</t>
        </is>
      </c>
      <c r="H1251" s="156" t="inlineStr">
        <is>
          <t>Stetson</t>
        </is>
      </c>
      <c r="I1251" s="156" t="inlineStr">
        <is>
          <t>Cinturón Stetson Piel Café Oscuro</t>
        </is>
      </c>
      <c r="J1251" s="156" t="inlineStr">
        <is>
          <t>Accesorios</t>
        </is>
      </c>
      <c r="K1251" s="156" t="inlineStr">
        <is>
          <t>Cinturones</t>
        </is>
      </c>
      <c r="L1251" s="156" t="inlineStr">
        <is>
          <t>Hombre</t>
        </is>
      </c>
      <c r="M1251" s="156" t="inlineStr">
        <is>
          <t>Stetson</t>
        </is>
      </c>
      <c r="N1251" s="156" t="inlineStr">
        <is>
          <t>SS26</t>
        </is>
      </c>
      <c r="O1251" s="156" t="inlineStr">
        <is>
          <t>Seasonal</t>
        </is>
      </c>
      <c r="P1251" s="156" t="inlineStr">
        <is>
          <t>Cafe</t>
        </is>
      </c>
      <c r="Q1251" s="156" t="n"/>
      <c r="R1251" s="156" t="n"/>
      <c r="S1251" s="156" t="inlineStr">
        <is>
          <t>Cuero</t>
        </is>
      </c>
      <c r="T1251"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1251" s="156" t="n"/>
      <c r="V1251" s="156" t="inlineStr">
        <is>
          <t>PZS</t>
        </is>
      </c>
      <c r="W1251" s="51" t="inlineStr">
        <is>
          <t>53102501</t>
        </is>
      </c>
      <c r="X1251" s="156" t="inlineStr">
        <is>
          <t>https://cdn.shopify.com/s/files/1/0888/3250/8267/files/9907500-204_Dark_Brown_1.jpg?v=1761947310</t>
        </is>
      </c>
      <c r="Y1251" s="54" t="n">
        <v>756.4655172</v>
      </c>
      <c r="Z1251" s="54" t="n">
        <v>1681.034483</v>
      </c>
      <c r="AA1251" s="55">
        <f>IF(AND(A1251="", B1251="", E1251=""), "", IF(AB1251="", "Válido", IF((LEN(AB1251)-LEN(SUBSTITUTE(AB1251,"; ","")))/2+1&gt;(LEN(AB1251)-LEN(SUBSTITUTE(AB1251,"[Aviso]","")))/7, "Con Incidencias", "Válido")))</f>
        <v/>
      </c>
      <c r="AB1251" s="56">
        <f>IF(AND(A1251="", B1251="", E1251=""), "", TEXTJOIN("; ", TRUE, IF(OR(TRIM(A1251&amp;"")="", ISNUMBER(SEARCH("FALTA", A1251))), "UPC faltante/inválido", ""), IF(AND(A1251&lt;&gt;"", IFERROR(_xlfn.XMATCH(A1251,$A$2:$A$2509,0,1)&lt;&gt;_xlfn.XMATCH(A1251,$A$2:$A$2509,0,-1),FALSE)), "Código de barras duplicado", ""), IF(AND(E1251&lt;&gt;"", COUNTIF($E$2:$E$2509, E1251)&gt;1), "SKU duplicado", ""), IF(OR(J1251="", J1251=""), "[Aviso] División no capturada ()", IF(ISNA(MATCH(J1251, Criterios!$A$123:$A$126, 0)), "División no válida", "")), IF(OR(K1251="", K1251=""), "[Aviso] Categoría no capturada ()", IF(ISNA(MATCH(K1251, Criterios!$A$81:$A$120, 0)), "Categoría no válida", IF(AND(J1251&lt;&gt;"", J1251&lt;&gt;"", J1251&lt;&gt;VLOOKUP(K1251, Criterios!$A$81:$B$120, 2, FALSE)), "División no coincide con Categoría", ""))), IF(OR(L1251="", L1251=""), "[Aviso] Género no capturado ()", IF(ISNA(MATCH(L1251, Criterios!$B$123:$B$127, 0)), "Género no válido", "")), IF(OR(N1251="", N1251=""), "[Aviso] Temporada no capturada ()", IF(ISNA(MATCH(N1251, Criterios!$C$123:$C$128, 0)), "Temporada no válida", "")), IF(OR(O1251="", O1251=""), "[Aviso] Ciclo de vida no capturado ()", IF(ISNA(MATCH(O1251, Criterios!$D$123:$D$124, 0)), "Ciclo de vida no válido", ""))))</f>
        <v/>
      </c>
      <c r="AC1251" s="56" t="n"/>
      <c r="AD1251" s="51" t="n">
        <v>1</v>
      </c>
      <c r="AE1251" s="156" t="inlineStr">
        <is>
          <t>PUNTO DE VENTA (1)</t>
        </is>
      </c>
      <c r="AF1251" s="51" t="n">
        <v>1</v>
      </c>
      <c r="AG1251" s="156" t="inlineStr">
        <is>
          <t>Catálogo existente</t>
        </is>
      </c>
      <c r="AH1251" s="156" t="inlineStr">
        <is>
          <t>Revisión 29/09/2026: Campos sin respaldo: U, X; Auditoría NetSuite 30/09/2026: llenado desde NetSuite [S] | 01/10/2026: complementado desde Shopify Stetson México (match por código de barras): WB Fit, WB Silueta, Enlace de imagen</t>
        </is>
      </c>
      <c r="AI1251" s="156" t="inlineStr">
        <is>
          <t>No</t>
        </is>
      </c>
      <c r="AJ1251" s="156" t="n"/>
      <c r="AK1251" s="155" t="inlineStr">
        <is>
          <t>Criterios: I [Q] | Criterios: J [R]; G1522_Extraccion_Articulos_NetSuite_2026-09-30.xlsx: fila 57585 [S] | Shopify Stetson: producto 14697965453675 / variante 52013824278891</t>
        </is>
      </c>
      <c r="AL1251" s="58" t="n">
        <v>756.4655172</v>
      </c>
      <c r="AM1251" s="58" t="n">
        <v>1681.034483</v>
      </c>
      <c r="AN1251" s="155" t="inlineStr">
        <is>
          <t>Shopify Stetson México</t>
        </is>
      </c>
      <c r="AO1251" s="59" t="n">
        <v>1</v>
      </c>
      <c r="AP1251" s="59" t="n"/>
      <c r="AQ1251" s="59" t="n"/>
      <c r="AR1251" s="155" t="inlineStr">
        <is>
          <t>Shopify Stetson México › Eventos: 1</t>
        </is>
      </c>
    </row>
    <row r="1252">
      <c r="A1252" s="50" t="inlineStr">
        <is>
          <t>724303723649</t>
        </is>
      </c>
      <c r="B1252" s="51" t="inlineStr">
        <is>
          <t>109727</t>
        </is>
      </c>
      <c r="C1252" s="156" t="inlineStr">
        <is>
          <t>Multimarca</t>
        </is>
      </c>
      <c r="D1252" s="156" t="inlineStr">
        <is>
          <t>9801003-BL</t>
        </is>
      </c>
      <c r="E1252" s="156" t="inlineStr">
        <is>
          <t>9801003-BL</t>
        </is>
      </c>
      <c r="F1252" s="156" t="inlineStr">
        <is>
          <t>Talla única</t>
        </is>
      </c>
      <c r="G1252" s="156" t="inlineStr">
        <is>
          <t>One Size</t>
        </is>
      </c>
      <c r="H1252" s="156" t="inlineStr">
        <is>
          <t>Stetson</t>
        </is>
      </c>
      <c r="I1252" s="156" t="inlineStr">
        <is>
          <t>Cartera Stetson Chequera Negra</t>
        </is>
      </c>
      <c r="J1252" s="156" t="inlineStr">
        <is>
          <t>Accesorios</t>
        </is>
      </c>
      <c r="K1252" s="156" t="inlineStr">
        <is>
          <t>Carteras</t>
        </is>
      </c>
      <c r="L1252" s="156" t="inlineStr">
        <is>
          <t>Hombre</t>
        </is>
      </c>
      <c r="M1252" s="156" t="inlineStr">
        <is>
          <t>Stetson</t>
        </is>
      </c>
      <c r="N1252" s="156" t="inlineStr">
        <is>
          <t>SS26</t>
        </is>
      </c>
      <c r="O1252" s="156" t="inlineStr">
        <is>
          <t>Seasonal</t>
        </is>
      </c>
      <c r="P1252" s="156" t="inlineStr">
        <is>
          <t>Negro</t>
        </is>
      </c>
      <c r="Q1252" s="156" t="n"/>
      <c r="R1252" s="156" t="n"/>
      <c r="S1252" s="156" t="n"/>
      <c r="T1252" s="156" t="inlineStr">
        <is>
          <t>Cartera Stetson Negra de Dos Pliegues – Estilo Chequera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Modelo: Bi-Fold (dos pliegues) Color: Negra Material exterior: Piel genuina primera calidad tipo cocodrilo Distribución interna: • Múltiples compartimentos para tarjetas • Sección para billetes • Espacio con ventana para identificación Detalles adicionales: • Logo metálico Stetson en la parte frontal • Costuras reforzadas • Estilo Chequera</t>
        </is>
      </c>
      <c r="U1252" s="156" t="n"/>
      <c r="V1252" s="156" t="inlineStr">
        <is>
          <t>PZS</t>
        </is>
      </c>
      <c r="W1252" s="51" t="inlineStr">
        <is>
          <t>53121700</t>
        </is>
      </c>
      <c r="X1252" s="156" t="inlineStr">
        <is>
          <t>https://cdn.shopify.com/s/files/1/0888/3250/8267/files/9801003-001.jpg?v=1744824612</t>
        </is>
      </c>
      <c r="Y1252" s="54" t="n">
        <v>814.6551724</v>
      </c>
      <c r="Z1252" s="54" t="n">
        <v>1810.344828</v>
      </c>
      <c r="AA1252" s="55">
        <f>IF(AND(A1252="", B1252="", E1252=""), "", IF(AB1252="", "Válido", IF((LEN(AB1252)-LEN(SUBSTITUTE(AB1252,"; ","")))/2+1&gt;(LEN(AB1252)-LEN(SUBSTITUTE(AB1252,"[Aviso]","")))/7, "Con Incidencias", "Válido")))</f>
        <v/>
      </c>
      <c r="AB1252" s="56">
        <f>IF(AND(A1252="", B1252="", E1252=""), "", TEXTJOIN("; ", TRUE, IF(OR(TRIM(A1252&amp;"")="", ISNUMBER(SEARCH("FALTA", A1252))), "UPC faltante/inválido", ""), IF(AND(A1252&lt;&gt;"", IFERROR(_xlfn.XMATCH(A1252,$A$2:$A$2509,0,1)&lt;&gt;_xlfn.XMATCH(A1252,$A$2:$A$2509,0,-1),FALSE)), "Código de barras duplicado", ""), IF(AND(E1252&lt;&gt;"", COUNTIF($E$2:$E$2509, E1252)&gt;1), "SKU duplicado", ""), IF(OR(J1252="", J1252=""), "[Aviso] División no capturada ()", IF(ISNA(MATCH(J1252, Criterios!$A$123:$A$126, 0)), "División no válida", "")), IF(OR(K1252="", K1252=""), "[Aviso] Categoría no capturada ()", IF(ISNA(MATCH(K1252, Criterios!$A$81:$A$120, 0)), "Categoría no válida", IF(AND(J1252&lt;&gt;"", J1252&lt;&gt;"", J1252&lt;&gt;VLOOKUP(K1252, Criterios!$A$81:$B$120, 2, FALSE)), "División no coincide con Categoría", ""))), IF(OR(L1252="", L1252=""), "[Aviso] Género no capturado ()", IF(ISNA(MATCH(L1252, Criterios!$B$123:$B$127, 0)), "Género no válido", "")), IF(OR(N1252="", N1252=""), "[Aviso] Temporada no capturada ()", IF(ISNA(MATCH(N1252, Criterios!$C$123:$C$128, 0)), "Temporada no válida", "")), IF(OR(O1252="", O1252=""), "[Aviso] Ciclo de vida no capturado ()", IF(ISNA(MATCH(O1252, Criterios!$D$123:$D$124, 0)), "Ciclo de vida no válido", ""))))</f>
        <v/>
      </c>
      <c r="AC1252" s="56" t="n"/>
      <c r="AD1252" s="51" t="n">
        <v>-1</v>
      </c>
      <c r="AE1252" s="156" t="n"/>
      <c r="AF1252" s="51" t="n">
        <v>0</v>
      </c>
      <c r="AG1252" s="156" t="inlineStr">
        <is>
          <t>Catálogo existente</t>
        </is>
      </c>
      <c r="AH1252" s="156" t="inlineStr">
        <is>
          <t>Stock negativo en sistema: revisar en conteo | Revisión 29/09/2026: Campos sin respaldo: S, U | 01/10/2026: complementado desde Shopify Stetson México (match por código de barras): WB Fit, WB Silueta, WB Descripción larga</t>
        </is>
      </c>
      <c r="AI1252" s="156" t="inlineStr">
        <is>
          <t>Sí</t>
        </is>
      </c>
      <c r="AJ1252" s="156" t="inlineStr">
        <is>
          <t>STETSON AMERICAS (-1)</t>
        </is>
      </c>
      <c r="AK1252" s="155" t="inlineStr">
        <is>
          <t>Criterios: I [Q] | Criterios: J [R] | Shopify Stetson: producto 14695702397291 / variante 52005745164651</t>
        </is>
      </c>
      <c r="AL1252" s="58" t="n">
        <v>814.6551724</v>
      </c>
      <c r="AM1252" s="58" t="n">
        <v>1810.344828</v>
      </c>
      <c r="AN1252" s="155" t="inlineStr">
        <is>
          <t>Shopify Stetson México</t>
        </is>
      </c>
      <c r="AO1252" s="59" t="n">
        <v>0</v>
      </c>
      <c r="AP1252" s="59" t="n"/>
      <c r="AQ1252" s="59" t="n"/>
      <c r="AR1252" s="155" t="n"/>
    </row>
    <row r="1253">
      <c r="A1253" s="50" t="inlineStr">
        <is>
          <t>724303723656</t>
        </is>
      </c>
      <c r="B1253" s="51" t="inlineStr">
        <is>
          <t>109728</t>
        </is>
      </c>
      <c r="C1253" s="156" t="inlineStr">
        <is>
          <t>Multimarca</t>
        </is>
      </c>
      <c r="D1253" s="156" t="inlineStr">
        <is>
          <t>9801003-BR</t>
        </is>
      </c>
      <c r="E1253" s="156" t="inlineStr">
        <is>
          <t>9801003-BR</t>
        </is>
      </c>
      <c r="F1253" s="156" t="inlineStr">
        <is>
          <t>Talla única</t>
        </is>
      </c>
      <c r="G1253" s="156" t="inlineStr">
        <is>
          <t>One Size</t>
        </is>
      </c>
      <c r="H1253" s="156" t="inlineStr">
        <is>
          <t>Stetson</t>
        </is>
      </c>
      <c r="I1253" s="156" t="inlineStr">
        <is>
          <t>Cartera Stetson Chequera Coñac</t>
        </is>
      </c>
      <c r="J1253" s="156" t="inlineStr">
        <is>
          <t>Accesorios</t>
        </is>
      </c>
      <c r="K1253" s="156" t="inlineStr">
        <is>
          <t>Carteras</t>
        </is>
      </c>
      <c r="L1253" s="156" t="inlineStr">
        <is>
          <t>Hombre</t>
        </is>
      </c>
      <c r="M1253" s="156" t="inlineStr">
        <is>
          <t>Stetson</t>
        </is>
      </c>
      <c r="N1253" s="156" t="inlineStr">
        <is>
          <t>SS26</t>
        </is>
      </c>
      <c r="O1253" s="156" t="inlineStr">
        <is>
          <t>Seasonal</t>
        </is>
      </c>
      <c r="P1253" s="156" t="inlineStr">
        <is>
          <t>Cafe</t>
        </is>
      </c>
      <c r="Q1253" s="156" t="n"/>
      <c r="R1253" s="156" t="n"/>
      <c r="S1253" s="156" t="n"/>
      <c r="T1253" s="156" t="inlineStr">
        <is>
          <t>Cartera Stetson Coñac de Dos Pliegues – Estilo Chequera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Modelo: Bi-Fold (dos pliegues) Color: Coñac Material exterior: Piel genuina primera calidad tipo cocodrilo Distribución interna: • Múltiples compartimentos para tarjetas • Sección para billetes • Espacio con ventana para identificación Detalles adicionales: • Logo metálico Stetson en la parte frontal • Costuras reforzadas • Estilo Chequera</t>
        </is>
      </c>
      <c r="U1253" s="156" t="n"/>
      <c r="V1253" s="156" t="inlineStr">
        <is>
          <t>PZS</t>
        </is>
      </c>
      <c r="W1253" s="51" t="inlineStr">
        <is>
          <t>53121700</t>
        </is>
      </c>
      <c r="X1253" s="156" t="inlineStr">
        <is>
          <t>https://cdn.shopify.com/s/files/1/0888/3250/8267/files/9801003-233.jpg?v=1744825291</t>
        </is>
      </c>
      <c r="Y1253" s="54" t="n">
        <v>814.6551724</v>
      </c>
      <c r="Z1253" s="54" t="n">
        <v>1810.344828</v>
      </c>
      <c r="AA1253" s="55">
        <f>IF(AND(A1253="", B1253="", E1253=""), "", IF(AB1253="", "Válido", IF((LEN(AB1253)-LEN(SUBSTITUTE(AB1253,"; ","")))/2+1&gt;(LEN(AB1253)-LEN(SUBSTITUTE(AB1253,"[Aviso]","")))/7, "Con Incidencias", "Válido")))</f>
        <v/>
      </c>
      <c r="AB1253" s="56">
        <f>IF(AND(A1253="", B1253="", E1253=""), "", TEXTJOIN("; ", TRUE, IF(OR(TRIM(A1253&amp;"")="", ISNUMBER(SEARCH("FALTA", A1253))), "UPC faltante/inválido", ""), IF(AND(A1253&lt;&gt;"", IFERROR(_xlfn.XMATCH(A1253,$A$2:$A$2509,0,1)&lt;&gt;_xlfn.XMATCH(A1253,$A$2:$A$2509,0,-1),FALSE)), "Código de barras duplicado", ""), IF(AND(E1253&lt;&gt;"", COUNTIF($E$2:$E$2509, E1253)&gt;1), "SKU duplicado", ""), IF(OR(J1253="", J1253=""), "[Aviso] División no capturada ()", IF(ISNA(MATCH(J1253, Criterios!$A$123:$A$126, 0)), "División no válida", "")), IF(OR(K1253="", K1253=""), "[Aviso] Categoría no capturada ()", IF(ISNA(MATCH(K1253, Criterios!$A$81:$A$120, 0)), "Categoría no válida", IF(AND(J1253&lt;&gt;"", J1253&lt;&gt;"", J1253&lt;&gt;VLOOKUP(K1253, Criterios!$A$81:$B$120, 2, FALSE)), "División no coincide con Categoría", ""))), IF(OR(L1253="", L1253=""), "[Aviso] Género no capturado ()", IF(ISNA(MATCH(L1253, Criterios!$B$123:$B$127, 0)), "Género no válido", "")), IF(OR(N1253="", N1253=""), "[Aviso] Temporada no capturada ()", IF(ISNA(MATCH(N1253, Criterios!$C$123:$C$128, 0)), "Temporada no válida", "")), IF(OR(O1253="", O1253=""), "[Aviso] Ciclo de vida no capturado ()", IF(ISNA(MATCH(O1253, Criterios!$D$123:$D$124, 0)), "Ciclo de vida no válido", ""))))</f>
        <v/>
      </c>
      <c r="AC1253" s="56" t="n"/>
      <c r="AD1253" s="51" t="n">
        <v>-1</v>
      </c>
      <c r="AE1253" s="156" t="n"/>
      <c r="AF1253" s="51" t="n">
        <v>0</v>
      </c>
      <c r="AG1253" s="156" t="inlineStr">
        <is>
          <t>Catálogo existente</t>
        </is>
      </c>
      <c r="AH1253" s="156" t="inlineStr">
        <is>
          <t>Stock negativo en sistema: revisar en conteo | Revisión 29/09/2026: Campos sin respaldo: S, U | 01/10/2026: complementado desde Shopify Stetson México (match por código de barras): WB Fit, WB Silueta, WB Descripción larga</t>
        </is>
      </c>
      <c r="AI1253" s="156" t="inlineStr">
        <is>
          <t>Sí</t>
        </is>
      </c>
      <c r="AJ1253" s="156" t="inlineStr">
        <is>
          <t>STETSON AMERICAS (-1)</t>
        </is>
      </c>
      <c r="AK1253" s="155" t="inlineStr">
        <is>
          <t>Criterios: I [Q] | Criterios: J [R] | Shopify Stetson: producto 14695703740779 / variante 52005817614699</t>
        </is>
      </c>
      <c r="AL1253" s="58" t="n">
        <v>814.6551724</v>
      </c>
      <c r="AM1253" s="58" t="n">
        <v>1810.344828</v>
      </c>
      <c r="AN1253" s="155" t="inlineStr">
        <is>
          <t>Shopify Stetson México</t>
        </is>
      </c>
      <c r="AO1253" s="59" t="n">
        <v>0</v>
      </c>
      <c r="AP1253" s="59" t="n"/>
      <c r="AQ1253" s="59" t="n"/>
      <c r="AR1253" s="155" t="n"/>
    </row>
    <row r="1254">
      <c r="A1254" s="50" t="inlineStr">
        <is>
          <t>724303723892</t>
        </is>
      </c>
      <c r="B1254" s="51" t="inlineStr">
        <is>
          <t>109759</t>
        </is>
      </c>
      <c r="C1254" s="156" t="inlineStr">
        <is>
          <t>Multimarca</t>
        </is>
      </c>
      <c r="D1254" s="156" t="inlineStr">
        <is>
          <t>9903500-109</t>
        </is>
      </c>
      <c r="E1254" s="156" t="inlineStr">
        <is>
          <t>9903500-109-36</t>
        </is>
      </c>
      <c r="F1254" s="156" t="inlineStr">
        <is>
          <t>36</t>
        </is>
      </c>
      <c r="G1254" s="156" t="inlineStr">
        <is>
          <t>36</t>
        </is>
      </c>
      <c r="H1254" s="156" t="inlineStr">
        <is>
          <t>Stetson</t>
        </is>
      </c>
      <c r="I1254" s="156" t="inlineStr">
        <is>
          <t>Cinturón Stetson Piel Natural Café</t>
        </is>
      </c>
      <c r="J1254" s="156" t="inlineStr">
        <is>
          <t>Accesorios</t>
        </is>
      </c>
      <c r="K1254" s="156" t="inlineStr">
        <is>
          <t>Cinturones</t>
        </is>
      </c>
      <c r="L1254" s="156" t="inlineStr">
        <is>
          <t>Hombre</t>
        </is>
      </c>
      <c r="M1254" s="156" t="inlineStr">
        <is>
          <t>Stetson</t>
        </is>
      </c>
      <c r="N1254" s="156" t="inlineStr">
        <is>
          <t>SS26</t>
        </is>
      </c>
      <c r="O1254" s="156" t="inlineStr">
        <is>
          <t>Seasonal</t>
        </is>
      </c>
      <c r="P1254" s="156" t="inlineStr">
        <is>
          <t>Beige</t>
        </is>
      </c>
      <c r="Q1254" s="156" t="n"/>
      <c r="R1254" s="156" t="n"/>
      <c r="S1254" s="156" t="inlineStr">
        <is>
          <t>Cuero</t>
        </is>
      </c>
      <c r="T1254"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4" s="156" t="n"/>
      <c r="V1254" s="156" t="inlineStr">
        <is>
          <t>PZS</t>
        </is>
      </c>
      <c r="W1254" s="51" t="inlineStr">
        <is>
          <t>53102501</t>
        </is>
      </c>
      <c r="X1254" s="156" t="inlineStr">
        <is>
          <t>https://cdn.shopify.com/s/files/1/0888/3250/8267/files/9903500-109_alt1.jpg?v=1761947183</t>
        </is>
      </c>
      <c r="Y1254" s="54" t="n">
        <v>911.637931</v>
      </c>
      <c r="Z1254" s="54" t="n">
        <v>2025.862069</v>
      </c>
      <c r="AA1254" s="55">
        <f>IF(AND(A1254="", B1254="", E1254=""), "", IF(AB1254="", "Válido", IF((LEN(AB1254)-LEN(SUBSTITUTE(AB1254,"; ","")))/2+1&gt;(LEN(AB1254)-LEN(SUBSTITUTE(AB1254,"[Aviso]","")))/7, "Con Incidencias", "Válido")))</f>
        <v/>
      </c>
      <c r="AB1254" s="56">
        <f>IF(AND(A1254="", B1254="", E1254=""), "", TEXTJOIN("; ", TRUE, IF(OR(TRIM(A1254&amp;"")="", ISNUMBER(SEARCH("FALTA", A1254))), "UPC faltante/inválido", ""), IF(AND(A1254&lt;&gt;"", IFERROR(_xlfn.XMATCH(A1254,$A$2:$A$2509,0,1)&lt;&gt;_xlfn.XMATCH(A1254,$A$2:$A$2509,0,-1),FALSE)), "Código de barras duplicado", ""), IF(AND(E1254&lt;&gt;"", COUNTIF($E$2:$E$2509, E1254)&gt;1), "SKU duplicado", ""), IF(OR(J1254="", J1254=""), "[Aviso] División no capturada ()", IF(ISNA(MATCH(J1254, Criterios!$A$123:$A$126, 0)), "División no válida", "")), IF(OR(K1254="", K1254=""), "[Aviso] Categoría no capturada ()", IF(ISNA(MATCH(K1254, Criterios!$A$81:$A$120, 0)), "Categoría no válida", IF(AND(J1254&lt;&gt;"", J1254&lt;&gt;"", J1254&lt;&gt;VLOOKUP(K1254, Criterios!$A$81:$B$120, 2, FALSE)), "División no coincide con Categoría", ""))), IF(OR(L1254="", L1254=""), "[Aviso] Género no capturado ()", IF(ISNA(MATCH(L1254, Criterios!$B$123:$B$127, 0)), "Género no válido", "")), IF(OR(N1254="", N1254=""), "[Aviso] Temporada no capturada ()", IF(ISNA(MATCH(N1254, Criterios!$C$123:$C$128, 0)), "Temporada no válida", "")), IF(OR(O1254="", O1254=""), "[Aviso] Ciclo de vida no capturado ()", IF(ISNA(MATCH(O1254, Criterios!$D$123:$D$124, 0)), "Ciclo de vida no válido", ""))))</f>
        <v/>
      </c>
      <c r="AC1254" s="56" t="n"/>
      <c r="AD1254" s="51" t="n">
        <v>3</v>
      </c>
      <c r="AE1254" s="156" t="inlineStr">
        <is>
          <t>PUNTO DE VENTA (1); B25 STETSON.MX (2)</t>
        </is>
      </c>
      <c r="AF1254" s="51" t="n">
        <v>3</v>
      </c>
      <c r="AG1254" s="156" t="inlineStr">
        <is>
          <t>Catálogo existente</t>
        </is>
      </c>
      <c r="AH1254"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4" s="156" t="inlineStr">
        <is>
          <t>No</t>
        </is>
      </c>
      <c r="AJ1254" s="156" t="n"/>
      <c r="AK1254" s="155" t="inlineStr">
        <is>
          <t>Criterios: I [Q] | Criterios: J [R]; G1522_Extraccion_Articulos_NetSuite_2026-09-30.xlsx: fila 57574 [S] | Shopify Stetson: producto 14697963553131 / variante 52013817823595</t>
        </is>
      </c>
      <c r="AL1254" s="58" t="n">
        <v>911.637931</v>
      </c>
      <c r="AM1254" s="58" t="n">
        <v>2025.862069</v>
      </c>
      <c r="AN1254" s="155" t="inlineStr">
        <is>
          <t>Shopify Stetson México</t>
        </is>
      </c>
      <c r="AO1254" s="59" t="n">
        <v>3</v>
      </c>
      <c r="AP1254" s="59" t="n"/>
      <c r="AQ1254" s="59" t="n"/>
      <c r="AR1254" s="155" t="inlineStr">
        <is>
          <t>Shopify Stetson México › Stetson México: 2 | Shopify Stetson México › Eventos: 1</t>
        </is>
      </c>
    </row>
    <row r="1255">
      <c r="A1255" s="50" t="inlineStr">
        <is>
          <t>724303723908</t>
        </is>
      </c>
      <c r="B1255" s="51" t="inlineStr">
        <is>
          <t>109760</t>
        </is>
      </c>
      <c r="C1255" s="156" t="inlineStr">
        <is>
          <t>Multimarca</t>
        </is>
      </c>
      <c r="D1255" s="156" t="inlineStr">
        <is>
          <t>9903500-109</t>
        </is>
      </c>
      <c r="E1255" s="156" t="inlineStr">
        <is>
          <t>9903500-109-38</t>
        </is>
      </c>
      <c r="F1255" s="156" t="inlineStr">
        <is>
          <t>38</t>
        </is>
      </c>
      <c r="G1255" s="156" t="inlineStr">
        <is>
          <t>38</t>
        </is>
      </c>
      <c r="H1255" s="156" t="inlineStr">
        <is>
          <t>Stetson</t>
        </is>
      </c>
      <c r="I1255" s="156" t="inlineStr">
        <is>
          <t>Cinturón Stetson Piel Natural Café</t>
        </is>
      </c>
      <c r="J1255" s="156" t="inlineStr">
        <is>
          <t>Accesorios</t>
        </is>
      </c>
      <c r="K1255" s="156" t="inlineStr">
        <is>
          <t>Cinturones</t>
        </is>
      </c>
      <c r="L1255" s="156" t="inlineStr">
        <is>
          <t>Hombre</t>
        </is>
      </c>
      <c r="M1255" s="156" t="inlineStr">
        <is>
          <t>Stetson</t>
        </is>
      </c>
      <c r="N1255" s="156" t="inlineStr">
        <is>
          <t>SS26</t>
        </is>
      </c>
      <c r="O1255" s="156" t="inlineStr">
        <is>
          <t>Seasonal</t>
        </is>
      </c>
      <c r="P1255" s="156" t="inlineStr">
        <is>
          <t>Beige</t>
        </is>
      </c>
      <c r="Q1255" s="156" t="n"/>
      <c r="R1255" s="156" t="n"/>
      <c r="S1255" s="156" t="inlineStr">
        <is>
          <t>Cuero</t>
        </is>
      </c>
      <c r="T1255"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5" s="156" t="n"/>
      <c r="V1255" s="156" t="inlineStr">
        <is>
          <t>PZS</t>
        </is>
      </c>
      <c r="W1255" s="51" t="inlineStr">
        <is>
          <t>53102501</t>
        </is>
      </c>
      <c r="X1255" s="156" t="inlineStr">
        <is>
          <t>https://cdn.shopify.com/s/files/1/0888/3250/8267/files/9903500-109_Natural_Brown_2.jpg?v=1761947188</t>
        </is>
      </c>
      <c r="Y1255" s="54" t="n">
        <v>911.637931</v>
      </c>
      <c r="Z1255" s="54" t="n">
        <v>2025.862069</v>
      </c>
      <c r="AA1255" s="55">
        <f>IF(AND(A1255="", B1255="", E1255=""), "", IF(AB1255="", "Válido", IF((LEN(AB1255)-LEN(SUBSTITUTE(AB1255,"; ","")))/2+1&gt;(LEN(AB1255)-LEN(SUBSTITUTE(AB1255,"[Aviso]","")))/7, "Con Incidencias", "Válido")))</f>
        <v/>
      </c>
      <c r="AB1255" s="56">
        <f>IF(AND(A1255="", B1255="", E1255=""), "", TEXTJOIN("; ", TRUE, IF(OR(TRIM(A1255&amp;"")="", ISNUMBER(SEARCH("FALTA", A1255))), "UPC faltante/inválido", ""), IF(AND(A1255&lt;&gt;"", IFERROR(_xlfn.XMATCH(A1255,$A$2:$A$2509,0,1)&lt;&gt;_xlfn.XMATCH(A1255,$A$2:$A$2509,0,-1),FALSE)), "Código de barras duplicado", ""), IF(AND(E1255&lt;&gt;"", COUNTIF($E$2:$E$2509, E1255)&gt;1), "SKU duplicado", ""), IF(OR(J1255="", J1255=""), "[Aviso] División no capturada ()", IF(ISNA(MATCH(J1255, Criterios!$A$123:$A$126, 0)), "División no válida", "")), IF(OR(K1255="", K1255=""), "[Aviso] Categoría no capturada ()", IF(ISNA(MATCH(K1255, Criterios!$A$81:$A$120, 0)), "Categoría no válida", IF(AND(J1255&lt;&gt;"", J1255&lt;&gt;"", J1255&lt;&gt;VLOOKUP(K1255, Criterios!$A$81:$B$120, 2, FALSE)), "División no coincide con Categoría", ""))), IF(OR(L1255="", L1255=""), "[Aviso] Género no capturado ()", IF(ISNA(MATCH(L1255, Criterios!$B$123:$B$127, 0)), "Género no válido", "")), IF(OR(N1255="", N1255=""), "[Aviso] Temporada no capturada ()", IF(ISNA(MATCH(N1255, Criterios!$C$123:$C$128, 0)), "Temporada no válida", "")), IF(OR(O1255="", O1255=""), "[Aviso] Ciclo de vida no capturado ()", IF(ISNA(MATCH(O1255, Criterios!$D$123:$D$124, 0)), "Ciclo de vida no válido", ""))))</f>
        <v/>
      </c>
      <c r="AC1255" s="56" t="n"/>
      <c r="AD1255" s="51" t="n">
        <v>7</v>
      </c>
      <c r="AE1255" s="156" t="inlineStr">
        <is>
          <t>B25 STETSON.MX (6); PUNTO DE VENTA (1)</t>
        </is>
      </c>
      <c r="AF1255" s="51" t="n">
        <v>7</v>
      </c>
      <c r="AG1255" s="156" t="inlineStr">
        <is>
          <t>Catálogo existente</t>
        </is>
      </c>
      <c r="AH1255"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5" s="156" t="inlineStr">
        <is>
          <t>No</t>
        </is>
      </c>
      <c r="AJ1255" s="156" t="n"/>
      <c r="AK1255" s="155" t="inlineStr">
        <is>
          <t>Criterios: I [Q] | Criterios: J [R]; G1522_Extraccion_Articulos_NetSuite_2026-09-30.xlsx: fila 57575 [S] | Shopify Stetson: producto 14697963553131 / variante 52013817856363</t>
        </is>
      </c>
      <c r="AL1255" s="58" t="n">
        <v>911.637931</v>
      </c>
      <c r="AM1255" s="58" t="n">
        <v>2025.862069</v>
      </c>
      <c r="AN1255" s="155" t="inlineStr">
        <is>
          <t>Shopify Stetson México</t>
        </is>
      </c>
      <c r="AO1255" s="59" t="n">
        <v>7</v>
      </c>
      <c r="AP1255" s="59" t="n"/>
      <c r="AQ1255" s="59" t="n"/>
      <c r="AR1255" s="155" t="inlineStr">
        <is>
          <t>Shopify Stetson México › Stetson México: 6 | Shopify Stetson México › Eventos: 1</t>
        </is>
      </c>
    </row>
    <row r="1256">
      <c r="A1256" s="50" t="inlineStr">
        <is>
          <t>724303723915</t>
        </is>
      </c>
      <c r="B1256" s="51" t="inlineStr">
        <is>
          <t>109761</t>
        </is>
      </c>
      <c r="C1256" s="156" t="inlineStr">
        <is>
          <t>Multimarca</t>
        </is>
      </c>
      <c r="D1256" s="156" t="inlineStr">
        <is>
          <t>9903500-109</t>
        </is>
      </c>
      <c r="E1256" s="156" t="inlineStr">
        <is>
          <t>9903500-109-40</t>
        </is>
      </c>
      <c r="F1256" s="156" t="inlineStr">
        <is>
          <t>40</t>
        </is>
      </c>
      <c r="G1256" s="156" t="inlineStr">
        <is>
          <t>40</t>
        </is>
      </c>
      <c r="H1256" s="156" t="inlineStr">
        <is>
          <t>Stetson</t>
        </is>
      </c>
      <c r="I1256" s="156" t="inlineStr">
        <is>
          <t>Cinturón Stetson Piel Natural Café</t>
        </is>
      </c>
      <c r="J1256" s="156" t="inlineStr">
        <is>
          <t>Accesorios</t>
        </is>
      </c>
      <c r="K1256" s="156" t="inlineStr">
        <is>
          <t>Cinturones</t>
        </is>
      </c>
      <c r="L1256" s="156" t="inlineStr">
        <is>
          <t>Hombre</t>
        </is>
      </c>
      <c r="M1256" s="156" t="inlineStr">
        <is>
          <t>Stetson</t>
        </is>
      </c>
      <c r="N1256" s="156" t="inlineStr">
        <is>
          <t>SS26</t>
        </is>
      </c>
      <c r="O1256" s="156" t="inlineStr">
        <is>
          <t>Seasonal</t>
        </is>
      </c>
      <c r="P1256" s="156" t="inlineStr">
        <is>
          <t>Beige</t>
        </is>
      </c>
      <c r="Q1256" s="156" t="n"/>
      <c r="R1256" s="156" t="n"/>
      <c r="S1256" s="156" t="inlineStr">
        <is>
          <t>Cuero</t>
        </is>
      </c>
      <c r="T1256"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6" s="156" t="n"/>
      <c r="V1256" s="156" t="inlineStr">
        <is>
          <t>PZS</t>
        </is>
      </c>
      <c r="W1256" s="51" t="inlineStr">
        <is>
          <t>53102501</t>
        </is>
      </c>
      <c r="X1256" s="156" t="inlineStr">
        <is>
          <t>https://cdn.shopify.com/s/files/1/0888/3250/8267/files/9903500-109_Natural_Brown_3.jpg?v=1761947195</t>
        </is>
      </c>
      <c r="Y1256" s="54" t="n">
        <v>911.637931</v>
      </c>
      <c r="Z1256" s="54" t="n">
        <v>2025.862069</v>
      </c>
      <c r="AA1256" s="55">
        <f>IF(AND(A1256="", B1256="", E1256=""), "", IF(AB1256="", "Válido", IF((LEN(AB1256)-LEN(SUBSTITUTE(AB1256,"; ","")))/2+1&gt;(LEN(AB1256)-LEN(SUBSTITUTE(AB1256,"[Aviso]","")))/7, "Con Incidencias", "Válido")))</f>
        <v/>
      </c>
      <c r="AB1256" s="56">
        <f>IF(AND(A1256="", B1256="", E1256=""), "", TEXTJOIN("; ", TRUE, IF(OR(TRIM(A1256&amp;"")="", ISNUMBER(SEARCH("FALTA", A1256))), "UPC faltante/inválido", ""), IF(AND(A1256&lt;&gt;"", IFERROR(_xlfn.XMATCH(A1256,$A$2:$A$2509,0,1)&lt;&gt;_xlfn.XMATCH(A1256,$A$2:$A$2509,0,-1),FALSE)), "Código de barras duplicado", ""), IF(AND(E1256&lt;&gt;"", COUNTIF($E$2:$E$2509, E1256)&gt;1), "SKU duplicado", ""), IF(OR(J1256="", J1256=""), "[Aviso] División no capturada ()", IF(ISNA(MATCH(J1256, Criterios!$A$123:$A$126, 0)), "División no válida", "")), IF(OR(K1256="", K1256=""), "[Aviso] Categoría no capturada ()", IF(ISNA(MATCH(K1256, Criterios!$A$81:$A$120, 0)), "Categoría no válida", IF(AND(J1256&lt;&gt;"", J1256&lt;&gt;"", J1256&lt;&gt;VLOOKUP(K1256, Criterios!$A$81:$B$120, 2, FALSE)), "División no coincide con Categoría", ""))), IF(OR(L1256="", L1256=""), "[Aviso] Género no capturado ()", IF(ISNA(MATCH(L1256, Criterios!$B$123:$B$127, 0)), "Género no válido", "")), IF(OR(N1256="", N1256=""), "[Aviso] Temporada no capturada ()", IF(ISNA(MATCH(N1256, Criterios!$C$123:$C$128, 0)), "Temporada no válida", "")), IF(OR(O1256="", O1256=""), "[Aviso] Ciclo de vida no capturado ()", IF(ISNA(MATCH(O1256, Criterios!$D$123:$D$124, 0)), "Ciclo de vida no válido", ""))))</f>
        <v/>
      </c>
      <c r="AC1256" s="56" t="n"/>
      <c r="AD1256" s="51" t="n">
        <v>2</v>
      </c>
      <c r="AE1256" s="156" t="inlineStr">
        <is>
          <t>B25 STETSON.MX (1); PUNTO DE VENTA (1)</t>
        </is>
      </c>
      <c r="AF1256" s="51" t="n">
        <v>2</v>
      </c>
      <c r="AG1256" s="156" t="inlineStr">
        <is>
          <t>Catálogo existente</t>
        </is>
      </c>
      <c r="AH1256"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6" s="156" t="inlineStr">
        <is>
          <t>No</t>
        </is>
      </c>
      <c r="AJ1256" s="156" t="n"/>
      <c r="AK1256" s="155" t="inlineStr">
        <is>
          <t>Criterios: I [Q] | Criterios: J [R]; G1522_Extraccion_Articulos_NetSuite_2026-09-30.xlsx: fila 57576 [S] | Shopify Stetson: producto 14697963553131 / variante 52013817889131</t>
        </is>
      </c>
      <c r="AL1256" s="58" t="n">
        <v>911.637931</v>
      </c>
      <c r="AM1256" s="58" t="n">
        <v>2025.862069</v>
      </c>
      <c r="AN1256" s="155" t="inlineStr">
        <is>
          <t>Shopify Stetson México</t>
        </is>
      </c>
      <c r="AO1256" s="59" t="n">
        <v>6</v>
      </c>
      <c r="AP1256" s="59" t="n"/>
      <c r="AQ1256" s="59" t="n"/>
      <c r="AR1256" s="155" t="inlineStr">
        <is>
          <t>Shopify Stetson México › Stetson México: 1 | Shopify Stetson México › Stetson Americas: 4 | Shopify Stetson México › Eventos: 1</t>
        </is>
      </c>
    </row>
    <row r="1257">
      <c r="A1257" s="50" t="inlineStr">
        <is>
          <t>724303723922</t>
        </is>
      </c>
      <c r="B1257" s="51" t="inlineStr">
        <is>
          <t>109762</t>
        </is>
      </c>
      <c r="C1257" s="156" t="inlineStr">
        <is>
          <t>Multimarca</t>
        </is>
      </c>
      <c r="D1257" s="156" t="inlineStr">
        <is>
          <t>9903500-109</t>
        </is>
      </c>
      <c r="E1257" s="156" t="inlineStr">
        <is>
          <t>9903500-109-42</t>
        </is>
      </c>
      <c r="F1257" s="156" t="inlineStr">
        <is>
          <t>42</t>
        </is>
      </c>
      <c r="G1257" s="156" t="inlineStr">
        <is>
          <t>42</t>
        </is>
      </c>
      <c r="H1257" s="156" t="inlineStr">
        <is>
          <t>Stetson</t>
        </is>
      </c>
      <c r="I1257" s="156" t="inlineStr">
        <is>
          <t>Cinturón Stetson Piel Natural Café</t>
        </is>
      </c>
      <c r="J1257" s="156" t="inlineStr">
        <is>
          <t>Accesorios</t>
        </is>
      </c>
      <c r="K1257" s="156" t="inlineStr">
        <is>
          <t>Cinturones</t>
        </is>
      </c>
      <c r="L1257" s="156" t="inlineStr">
        <is>
          <t>Hombre</t>
        </is>
      </c>
      <c r="M1257" s="156" t="inlineStr">
        <is>
          <t>Stetson</t>
        </is>
      </c>
      <c r="N1257" s="156" t="inlineStr">
        <is>
          <t>SS26</t>
        </is>
      </c>
      <c r="O1257" s="156" t="inlineStr">
        <is>
          <t>Seasonal</t>
        </is>
      </c>
      <c r="P1257" s="156" t="inlineStr">
        <is>
          <t>Beige</t>
        </is>
      </c>
      <c r="Q1257" s="156" t="n"/>
      <c r="R1257" s="156" t="n"/>
      <c r="S1257" s="156" t="inlineStr">
        <is>
          <t>Cuero</t>
        </is>
      </c>
      <c r="T1257"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7" s="156" t="n"/>
      <c r="V1257" s="156" t="inlineStr">
        <is>
          <t>PZS</t>
        </is>
      </c>
      <c r="W1257" s="51" t="inlineStr">
        <is>
          <t>53102501</t>
        </is>
      </c>
      <c r="X1257" s="156" t="inlineStr">
        <is>
          <t>https://cdn.shopify.com/s/files/1/0888/3250/8267/files/9903500-109_Natural_Brown_4.jpg?v=1761947201</t>
        </is>
      </c>
      <c r="Y1257" s="54" t="n">
        <v>911.637931</v>
      </c>
      <c r="Z1257" s="54" t="n">
        <v>2025.862069</v>
      </c>
      <c r="AA1257" s="55">
        <f>IF(AND(A1257="", B1257="", E1257=""), "", IF(AB1257="", "Válido", IF((LEN(AB1257)-LEN(SUBSTITUTE(AB1257,"; ","")))/2+1&gt;(LEN(AB1257)-LEN(SUBSTITUTE(AB1257,"[Aviso]","")))/7, "Con Incidencias", "Válido")))</f>
        <v/>
      </c>
      <c r="AB1257" s="56">
        <f>IF(AND(A1257="", B1257="", E1257=""), "", TEXTJOIN("; ", TRUE, IF(OR(TRIM(A1257&amp;"")="", ISNUMBER(SEARCH("FALTA", A1257))), "UPC faltante/inválido", ""), IF(AND(A1257&lt;&gt;"", IFERROR(_xlfn.XMATCH(A1257,$A$2:$A$2509,0,1)&lt;&gt;_xlfn.XMATCH(A1257,$A$2:$A$2509,0,-1),FALSE)), "Código de barras duplicado", ""), IF(AND(E1257&lt;&gt;"", COUNTIF($E$2:$E$2509, E1257)&gt;1), "SKU duplicado", ""), IF(OR(J1257="", J1257=""), "[Aviso] División no capturada ()", IF(ISNA(MATCH(J1257, Criterios!$A$123:$A$126, 0)), "División no válida", "")), IF(OR(K1257="", K1257=""), "[Aviso] Categoría no capturada ()", IF(ISNA(MATCH(K1257, Criterios!$A$81:$A$120, 0)), "Categoría no válida", IF(AND(J1257&lt;&gt;"", J1257&lt;&gt;"", J1257&lt;&gt;VLOOKUP(K1257, Criterios!$A$81:$B$120, 2, FALSE)), "División no coincide con Categoría", ""))), IF(OR(L1257="", L1257=""), "[Aviso] Género no capturado ()", IF(ISNA(MATCH(L1257, Criterios!$B$123:$B$127, 0)), "Género no válido", "")), IF(OR(N1257="", N1257=""), "[Aviso] Temporada no capturada ()", IF(ISNA(MATCH(N1257, Criterios!$C$123:$C$128, 0)), "Temporada no válida", "")), IF(OR(O1257="", O1257=""), "[Aviso] Ciclo de vida no capturado ()", IF(ISNA(MATCH(O1257, Criterios!$D$123:$D$124, 0)), "Ciclo de vida no válido", ""))))</f>
        <v/>
      </c>
      <c r="AC1257" s="56" t="n"/>
      <c r="AD1257" s="51" t="n">
        <v>5</v>
      </c>
      <c r="AE1257" s="156" t="inlineStr">
        <is>
          <t>PUNTO DE VENTA (1); B25 STETSON.MX (4)</t>
        </is>
      </c>
      <c r="AF1257" s="51" t="n">
        <v>5</v>
      </c>
      <c r="AG1257" s="156" t="inlineStr">
        <is>
          <t>Catálogo existente</t>
        </is>
      </c>
      <c r="AH1257"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7" s="156" t="inlineStr">
        <is>
          <t>No</t>
        </is>
      </c>
      <c r="AJ1257" s="156" t="n"/>
      <c r="AK1257" s="155" t="inlineStr">
        <is>
          <t>Criterios: I [Q] | Criterios: J [R]; G1522_Extraccion_Articulos_NetSuite_2026-09-30.xlsx: fila 57577 [S] | Shopify Stetson: producto 14697963553131 / variante 52013817921899</t>
        </is>
      </c>
      <c r="AL1257" s="58" t="n">
        <v>911.637931</v>
      </c>
      <c r="AM1257" s="58" t="n">
        <v>2025.862069</v>
      </c>
      <c r="AN1257" s="155" t="inlineStr">
        <is>
          <t>Shopify Stetson México</t>
        </is>
      </c>
      <c r="AO1257" s="59" t="n">
        <v>6</v>
      </c>
      <c r="AP1257" s="59" t="n"/>
      <c r="AQ1257" s="59" t="n"/>
      <c r="AR1257" s="155" t="inlineStr">
        <is>
          <t>Shopify Stetson México › Stetson México: 4 | Shopify Stetson México › Stetson Americas: 1 | Shopify Stetson México › Eventos: 1</t>
        </is>
      </c>
    </row>
    <row r="1258">
      <c r="A1258" s="50" t="inlineStr">
        <is>
          <t>724303723939</t>
        </is>
      </c>
      <c r="B1258" s="51" t="inlineStr">
        <is>
          <t>109763</t>
        </is>
      </c>
      <c r="C1258" s="156" t="inlineStr">
        <is>
          <t>Multimarca</t>
        </is>
      </c>
      <c r="D1258" s="156" t="inlineStr">
        <is>
          <t>9903500-109</t>
        </is>
      </c>
      <c r="E1258" s="156" t="inlineStr">
        <is>
          <t>9903500-109-44</t>
        </is>
      </c>
      <c r="F1258" s="156" t="inlineStr">
        <is>
          <t>44</t>
        </is>
      </c>
      <c r="G1258" s="156" t="inlineStr">
        <is>
          <t>44</t>
        </is>
      </c>
      <c r="H1258" s="156" t="inlineStr">
        <is>
          <t>Stetson</t>
        </is>
      </c>
      <c r="I1258" s="156" t="inlineStr">
        <is>
          <t>Cinturón Stetson Piel Natural Café</t>
        </is>
      </c>
      <c r="J1258" s="156" t="inlineStr">
        <is>
          <t>Accesorios</t>
        </is>
      </c>
      <c r="K1258" s="156" t="inlineStr">
        <is>
          <t>Cinturones</t>
        </is>
      </c>
      <c r="L1258" s="156" t="inlineStr">
        <is>
          <t>Hombre</t>
        </is>
      </c>
      <c r="M1258" s="156" t="inlineStr">
        <is>
          <t>Stetson</t>
        </is>
      </c>
      <c r="N1258" s="156" t="inlineStr">
        <is>
          <t>SS26</t>
        </is>
      </c>
      <c r="O1258" s="156" t="inlineStr">
        <is>
          <t>Seasonal</t>
        </is>
      </c>
      <c r="P1258" s="156" t="inlineStr">
        <is>
          <t>Beige</t>
        </is>
      </c>
      <c r="Q1258" s="156" t="n"/>
      <c r="R1258" s="156" t="n"/>
      <c r="S1258" s="156" t="inlineStr">
        <is>
          <t>Cuero</t>
        </is>
      </c>
      <c r="T1258"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8" s="156" t="n"/>
      <c r="V1258" s="156" t="inlineStr">
        <is>
          <t>PZS</t>
        </is>
      </c>
      <c r="W1258" s="51" t="inlineStr">
        <is>
          <t>53102501</t>
        </is>
      </c>
      <c r="X1258" s="156" t="inlineStr">
        <is>
          <t>https://cdn.shopify.com/s/files/1/0888/3250/8267/files/9903500-109_Natural_Brown_5.jpg?v=1761947212</t>
        </is>
      </c>
      <c r="Y1258" s="54" t="n">
        <v>911.637931</v>
      </c>
      <c r="Z1258" s="54" t="n">
        <v>2025.862069</v>
      </c>
      <c r="AA1258" s="55">
        <f>IF(AND(A1258="", B1258="", E1258=""), "", IF(AB1258="", "Válido", IF((LEN(AB1258)-LEN(SUBSTITUTE(AB1258,"; ","")))/2+1&gt;(LEN(AB1258)-LEN(SUBSTITUTE(AB1258,"[Aviso]","")))/7, "Con Incidencias", "Válido")))</f>
        <v/>
      </c>
      <c r="AB1258" s="56">
        <f>IF(AND(A1258="", B1258="", E1258=""), "", TEXTJOIN("; ", TRUE, IF(OR(TRIM(A1258&amp;"")="", ISNUMBER(SEARCH("FALTA", A1258))), "UPC faltante/inválido", ""), IF(AND(A1258&lt;&gt;"", IFERROR(_xlfn.XMATCH(A1258,$A$2:$A$2509,0,1)&lt;&gt;_xlfn.XMATCH(A1258,$A$2:$A$2509,0,-1),FALSE)), "Código de barras duplicado", ""), IF(AND(E1258&lt;&gt;"", COUNTIF($E$2:$E$2509, E1258)&gt;1), "SKU duplicado", ""), IF(OR(J1258="", J1258=""), "[Aviso] División no capturada ()", IF(ISNA(MATCH(J1258, Criterios!$A$123:$A$126, 0)), "División no válida", "")), IF(OR(K1258="", K1258=""), "[Aviso] Categoría no capturada ()", IF(ISNA(MATCH(K1258, Criterios!$A$81:$A$120, 0)), "Categoría no válida", IF(AND(J1258&lt;&gt;"", J1258&lt;&gt;"", J1258&lt;&gt;VLOOKUP(K1258, Criterios!$A$81:$B$120, 2, FALSE)), "División no coincide con Categoría", ""))), IF(OR(L1258="", L1258=""), "[Aviso] Género no capturado ()", IF(ISNA(MATCH(L1258, Criterios!$B$123:$B$127, 0)), "Género no válido", "")), IF(OR(N1258="", N1258=""), "[Aviso] Temporada no capturada ()", IF(ISNA(MATCH(N1258, Criterios!$C$123:$C$128, 0)), "Temporada no válida", "")), IF(OR(O1258="", O1258=""), "[Aviso] Ciclo de vida no capturado ()", IF(ISNA(MATCH(O1258, Criterios!$D$123:$D$124, 0)), "Ciclo de vida no válido", ""))))</f>
        <v/>
      </c>
      <c r="AC1258" s="56" t="n"/>
      <c r="AD1258" s="51" t="n">
        <v>3</v>
      </c>
      <c r="AE1258" s="156" t="inlineStr">
        <is>
          <t>B25 STETSON.MX (2); PUNTO DE VENTA (1)</t>
        </is>
      </c>
      <c r="AF1258" s="51" t="n">
        <v>3</v>
      </c>
      <c r="AG1258" s="156" t="inlineStr">
        <is>
          <t>Catálogo existente</t>
        </is>
      </c>
      <c r="AH1258"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8" s="156" t="inlineStr">
        <is>
          <t>No</t>
        </is>
      </c>
      <c r="AJ1258" s="156" t="n"/>
      <c r="AK1258" s="155" t="inlineStr">
        <is>
          <t>Criterios: I [Q] | Criterios: J [R]; G1522_Extraccion_Articulos_NetSuite_2026-09-30.xlsx: fila 57578 [S] | Shopify Stetson: producto 14697963553131 / variante 52013817954667</t>
        </is>
      </c>
      <c r="AL1258" s="58" t="n">
        <v>911.637931</v>
      </c>
      <c r="AM1258" s="58" t="n">
        <v>2025.862069</v>
      </c>
      <c r="AN1258" s="155" t="inlineStr">
        <is>
          <t>Shopify Stetson México</t>
        </is>
      </c>
      <c r="AO1258" s="59" t="n">
        <v>3</v>
      </c>
      <c r="AP1258" s="59" t="n"/>
      <c r="AQ1258" s="59" t="n"/>
      <c r="AR1258" s="155" t="inlineStr">
        <is>
          <t>Shopify Stetson México › Stetson México: 2 | Shopify Stetson México › Eventos: 1</t>
        </is>
      </c>
    </row>
    <row r="1259">
      <c r="A1259" s="50" t="inlineStr">
        <is>
          <t>724303723946</t>
        </is>
      </c>
      <c r="B1259" s="51" t="inlineStr">
        <is>
          <t>109764</t>
        </is>
      </c>
      <c r="C1259" s="156" t="inlineStr">
        <is>
          <t>Multimarca</t>
        </is>
      </c>
      <c r="D1259" s="156" t="inlineStr">
        <is>
          <t>9903500-109</t>
        </is>
      </c>
      <c r="E1259" s="156" t="inlineStr">
        <is>
          <t>9903500-109-46</t>
        </is>
      </c>
      <c r="F1259" s="156" t="inlineStr">
        <is>
          <t>46</t>
        </is>
      </c>
      <c r="G1259" s="156" t="inlineStr">
        <is>
          <t>46</t>
        </is>
      </c>
      <c r="H1259" s="156" t="inlineStr">
        <is>
          <t>Stetson</t>
        </is>
      </c>
      <c r="I1259" s="156" t="inlineStr">
        <is>
          <t>Cinturón Stetson Piel Natural Café</t>
        </is>
      </c>
      <c r="J1259" s="156" t="inlineStr">
        <is>
          <t>Accesorios</t>
        </is>
      </c>
      <c r="K1259" s="156" t="inlineStr">
        <is>
          <t>Cinturones</t>
        </is>
      </c>
      <c r="L1259" s="156" t="inlineStr">
        <is>
          <t>Hombre</t>
        </is>
      </c>
      <c r="M1259" s="156" t="inlineStr">
        <is>
          <t>Stetson</t>
        </is>
      </c>
      <c r="N1259" s="156" t="inlineStr">
        <is>
          <t>SS26</t>
        </is>
      </c>
      <c r="O1259" s="156" t="inlineStr">
        <is>
          <t>Seasonal</t>
        </is>
      </c>
      <c r="P1259" s="156" t="inlineStr">
        <is>
          <t>Beige</t>
        </is>
      </c>
      <c r="Q1259" s="156" t="n"/>
      <c r="R1259" s="156" t="n"/>
      <c r="S1259" s="156" t="inlineStr">
        <is>
          <t>Cuero</t>
        </is>
      </c>
      <c r="T1259"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1259" s="156" t="n"/>
      <c r="V1259" s="156" t="inlineStr">
        <is>
          <t>PZS</t>
        </is>
      </c>
      <c r="W1259" s="51" t="inlineStr">
        <is>
          <t>53102501</t>
        </is>
      </c>
      <c r="X1259" s="156" t="inlineStr">
        <is>
          <t>https://cdn.shopify.com/s/files/1/0888/3250/8267/files/9903500-109_Natural_Brown_1.jpg?v=1761947167</t>
        </is>
      </c>
      <c r="Y1259" s="54" t="n">
        <v>911.637931</v>
      </c>
      <c r="Z1259" s="54" t="n">
        <v>2025.862069</v>
      </c>
      <c r="AA1259" s="55">
        <f>IF(AND(A1259="", B1259="", E1259=""), "", IF(AB1259="", "Válido", IF((LEN(AB1259)-LEN(SUBSTITUTE(AB1259,"; ","")))/2+1&gt;(LEN(AB1259)-LEN(SUBSTITUTE(AB1259,"[Aviso]","")))/7, "Con Incidencias", "Válido")))</f>
        <v/>
      </c>
      <c r="AB1259" s="56">
        <f>IF(AND(A1259="", B1259="", E1259=""), "", TEXTJOIN("; ", TRUE, IF(OR(TRIM(A1259&amp;"")="", ISNUMBER(SEARCH("FALTA", A1259))), "UPC faltante/inválido", ""), IF(AND(A1259&lt;&gt;"", IFERROR(_xlfn.XMATCH(A1259,$A$2:$A$2509,0,1)&lt;&gt;_xlfn.XMATCH(A1259,$A$2:$A$2509,0,-1),FALSE)), "Código de barras duplicado", ""), IF(AND(E1259&lt;&gt;"", COUNTIF($E$2:$E$2509, E1259)&gt;1), "SKU duplicado", ""), IF(OR(J1259="", J1259=""), "[Aviso] División no capturada ()", IF(ISNA(MATCH(J1259, Criterios!$A$123:$A$126, 0)), "División no válida", "")), IF(OR(K1259="", K1259=""), "[Aviso] Categoría no capturada ()", IF(ISNA(MATCH(K1259, Criterios!$A$81:$A$120, 0)), "Categoría no válida", IF(AND(J1259&lt;&gt;"", J1259&lt;&gt;"", J1259&lt;&gt;VLOOKUP(K1259, Criterios!$A$81:$B$120, 2, FALSE)), "División no coincide con Categoría", ""))), IF(OR(L1259="", L1259=""), "[Aviso] Género no capturado ()", IF(ISNA(MATCH(L1259, Criterios!$B$123:$B$127, 0)), "Género no válido", "")), IF(OR(N1259="", N1259=""), "[Aviso] Temporada no capturada ()", IF(ISNA(MATCH(N1259, Criterios!$C$123:$C$128, 0)), "Temporada no válida", "")), IF(OR(O1259="", O1259=""), "[Aviso] Ciclo de vida no capturado ()", IF(ISNA(MATCH(O1259, Criterios!$D$123:$D$124, 0)), "Ciclo de vida no válido", ""))))</f>
        <v/>
      </c>
      <c r="AC1259" s="56" t="n"/>
      <c r="AD1259" s="51" t="n">
        <v>1</v>
      </c>
      <c r="AE1259" s="156" t="inlineStr">
        <is>
          <t>PUNTO DE VENTA (1)</t>
        </is>
      </c>
      <c r="AF1259" s="51" t="n">
        <v>1</v>
      </c>
      <c r="AG1259" s="156" t="inlineStr">
        <is>
          <t>Catálogo existente</t>
        </is>
      </c>
      <c r="AH1259" s="156" t="inlineStr">
        <is>
          <t>Revisión 29/09/2026: Campos sin respaldo: U, X; Auditoría NetSuite 30/09/2026: llenado desde NetSuite [S] | 01/10/2026: complementado desde Shopify Stetson México (match por código de barras): WB Fit, WB Silueta, Enlace de imagen | 01/10/2026: Shopify Stetson México trae Color «Cafe» — se conservó el valor de Productos</t>
        </is>
      </c>
      <c r="AI1259" s="156" t="inlineStr">
        <is>
          <t>No</t>
        </is>
      </c>
      <c r="AJ1259" s="156" t="n"/>
      <c r="AK1259" s="155" t="inlineStr">
        <is>
          <t>Criterios: I [Q] | Criterios: J [R]; G1522_Extraccion_Articulos_NetSuite_2026-09-30.xlsx: fila 57579 [S] | Shopify Stetson: producto 14697963553131 / variante 52013817987435</t>
        </is>
      </c>
      <c r="AL1259" s="58" t="n">
        <v>911.637931</v>
      </c>
      <c r="AM1259" s="58" t="n">
        <v>2025.862069</v>
      </c>
      <c r="AN1259" s="155" t="inlineStr">
        <is>
          <t>Shopify Stetson México</t>
        </is>
      </c>
      <c r="AO1259" s="59" t="n">
        <v>1</v>
      </c>
      <c r="AP1259" s="59" t="n"/>
      <c r="AQ1259" s="59" t="n"/>
      <c r="AR1259" s="155" t="inlineStr">
        <is>
          <t>Shopify Stetson México › Eventos: 1</t>
        </is>
      </c>
    </row>
    <row r="1260">
      <c r="A1260" s="50" t="inlineStr">
        <is>
          <t>724303723984</t>
        </is>
      </c>
      <c r="B1260" s="51" t="inlineStr">
        <is>
          <t>109771</t>
        </is>
      </c>
      <c r="C1260" s="156" t="inlineStr">
        <is>
          <t>Multimarca</t>
        </is>
      </c>
      <c r="D1260" s="156" t="inlineStr">
        <is>
          <t>9908500-233</t>
        </is>
      </c>
      <c r="E1260" s="156" t="inlineStr">
        <is>
          <t>9908500-233-36</t>
        </is>
      </c>
      <c r="F1260" s="156" t="inlineStr">
        <is>
          <t>36</t>
        </is>
      </c>
      <c r="G1260" s="156" t="inlineStr">
        <is>
          <t>36</t>
        </is>
      </c>
      <c r="H1260" s="156" t="inlineStr">
        <is>
          <t>Stetson</t>
        </is>
      </c>
      <c r="I1260" s="156" t="inlineStr">
        <is>
          <t>Cinturón Stetson Piel Cognac</t>
        </is>
      </c>
      <c r="J1260" s="156" t="inlineStr">
        <is>
          <t>Accesorios</t>
        </is>
      </c>
      <c r="K1260" s="156" t="inlineStr">
        <is>
          <t>Cinturones</t>
        </is>
      </c>
      <c r="L1260" s="156" t="inlineStr">
        <is>
          <t>Hombre</t>
        </is>
      </c>
      <c r="M1260" s="156" t="inlineStr">
        <is>
          <t>Stetson</t>
        </is>
      </c>
      <c r="N1260" s="156" t="inlineStr">
        <is>
          <t>SS26</t>
        </is>
      </c>
      <c r="O1260" s="156" t="inlineStr">
        <is>
          <t>Seasonal</t>
        </is>
      </c>
      <c r="P1260" s="156" t="inlineStr">
        <is>
          <t>Cafe</t>
        </is>
      </c>
      <c r="Q1260" s="156" t="n"/>
      <c r="R1260" s="156" t="n"/>
      <c r="S1260" s="156" t="inlineStr">
        <is>
          <t>Cuero</t>
        </is>
      </c>
      <c r="T1260"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0" s="156" t="n"/>
      <c r="V1260" s="156" t="inlineStr">
        <is>
          <t>PZS</t>
        </is>
      </c>
      <c r="W1260" s="51" t="inlineStr">
        <is>
          <t>53102501</t>
        </is>
      </c>
      <c r="X1260" s="156" t="inlineStr">
        <is>
          <t>https://cdn.shopify.com/s/files/1/0888/3250/8267/files/9908500-233_Cognac_2.jpg?v=1761947925</t>
        </is>
      </c>
      <c r="Y1260" s="54" t="n">
        <v>775.862069</v>
      </c>
      <c r="Z1260" s="54" t="n">
        <v>1724.137931</v>
      </c>
      <c r="AA1260" s="55">
        <f>IF(AND(A1260="", B1260="", E1260=""), "", IF(AB1260="", "Válido", IF((LEN(AB1260)-LEN(SUBSTITUTE(AB1260,"; ","")))/2+1&gt;(LEN(AB1260)-LEN(SUBSTITUTE(AB1260,"[Aviso]","")))/7, "Con Incidencias", "Válido")))</f>
        <v/>
      </c>
      <c r="AB1260" s="56">
        <f>IF(AND(A1260="", B1260="", E1260=""), "", TEXTJOIN("; ", TRUE, IF(OR(TRIM(A1260&amp;"")="", ISNUMBER(SEARCH("FALTA", A1260))), "UPC faltante/inválido", ""), IF(AND(A1260&lt;&gt;"", IFERROR(_xlfn.XMATCH(A1260,$A$2:$A$2509,0,1)&lt;&gt;_xlfn.XMATCH(A1260,$A$2:$A$2509,0,-1),FALSE)), "Código de barras duplicado", ""), IF(AND(E1260&lt;&gt;"", COUNTIF($E$2:$E$2509, E1260)&gt;1), "SKU duplicado", ""), IF(OR(J1260="", J1260=""), "[Aviso] División no capturada ()", IF(ISNA(MATCH(J1260, Criterios!$A$123:$A$126, 0)), "División no válida", "")), IF(OR(K1260="", K1260=""), "[Aviso] Categoría no capturada ()", IF(ISNA(MATCH(K1260, Criterios!$A$81:$A$120, 0)), "Categoría no válida", IF(AND(J1260&lt;&gt;"", J1260&lt;&gt;"", J1260&lt;&gt;VLOOKUP(K1260, Criterios!$A$81:$B$120, 2, FALSE)), "División no coincide con Categoría", ""))), IF(OR(L1260="", L1260=""), "[Aviso] Género no capturado ()", IF(ISNA(MATCH(L1260, Criterios!$B$123:$B$127, 0)), "Género no válido", "")), IF(OR(N1260="", N1260=""), "[Aviso] Temporada no capturada ()", IF(ISNA(MATCH(N1260, Criterios!$C$123:$C$128, 0)), "Temporada no válida", "")), IF(OR(O1260="", O1260=""), "[Aviso] Ciclo de vida no capturado ()", IF(ISNA(MATCH(O1260, Criterios!$D$123:$D$124, 0)), "Ciclo de vida no válido", ""))))</f>
        <v/>
      </c>
      <c r="AC1260" s="56" t="n"/>
      <c r="AD1260" s="51" t="n">
        <v>3</v>
      </c>
      <c r="AE1260" s="156" t="inlineStr">
        <is>
          <t>B25 STETSON.MX (3)</t>
        </is>
      </c>
      <c r="AF1260" s="51" t="n">
        <v>3</v>
      </c>
      <c r="AG1260" s="156" t="inlineStr">
        <is>
          <t>Catálogo existente</t>
        </is>
      </c>
      <c r="AH1260" s="156" t="inlineStr">
        <is>
          <t>Revisión 29/09/2026: Campos sin respaldo: U; Auditoría NetSuite 30/09/2026: llenado desde NetSuite [S] | 01/10/2026: complementado desde Shopify Stetson México (match por código de barras): WB Fit, WB Silueta</t>
        </is>
      </c>
      <c r="AI1260" s="156" t="inlineStr">
        <is>
          <t>No</t>
        </is>
      </c>
      <c r="AJ1260" s="156" t="n"/>
      <c r="AK1260" s="155" t="inlineStr">
        <is>
          <t>Criterios: I [Q] | Criterios: J [R]; G1522_Extraccion_Articulos_NetSuite_2026-09-30.xlsx: fila 57586 [S] | Shopify Stetson: producto 14697968861547 / variante 52013830668651</t>
        </is>
      </c>
      <c r="AL1260" s="58" t="n">
        <v>775.862069</v>
      </c>
      <c r="AM1260" s="58" t="n">
        <v>1724.137931</v>
      </c>
      <c r="AN1260" s="155" t="inlineStr">
        <is>
          <t>Shopify Stetson México</t>
        </is>
      </c>
      <c r="AO1260" s="59" t="n">
        <v>3</v>
      </c>
      <c r="AP1260" s="59" t="n"/>
      <c r="AQ1260" s="59" t="n"/>
      <c r="AR1260" s="155" t="inlineStr">
        <is>
          <t>Shopify Stetson México › Stetson México: 3</t>
        </is>
      </c>
    </row>
    <row r="1261">
      <c r="A1261" s="50" t="inlineStr">
        <is>
          <t>724303723991</t>
        </is>
      </c>
      <c r="B1261" s="51" t="inlineStr">
        <is>
          <t>109772</t>
        </is>
      </c>
      <c r="C1261" s="156" t="inlineStr">
        <is>
          <t>Multimarca</t>
        </is>
      </c>
      <c r="D1261" s="156" t="inlineStr">
        <is>
          <t>9908500-233</t>
        </is>
      </c>
      <c r="E1261" s="156" t="inlineStr">
        <is>
          <t>9908500-233-38</t>
        </is>
      </c>
      <c r="F1261" s="156" t="inlineStr">
        <is>
          <t>38</t>
        </is>
      </c>
      <c r="G1261" s="156" t="inlineStr">
        <is>
          <t>38</t>
        </is>
      </c>
      <c r="H1261" s="156" t="inlineStr">
        <is>
          <t>Stetson</t>
        </is>
      </c>
      <c r="I1261" s="156" t="inlineStr">
        <is>
          <t>Cinturón Stetson Piel Cognac</t>
        </is>
      </c>
      <c r="J1261" s="156" t="inlineStr">
        <is>
          <t>Accesorios</t>
        </is>
      </c>
      <c r="K1261" s="156" t="inlineStr">
        <is>
          <t>Cinturones</t>
        </is>
      </c>
      <c r="L1261" s="156" t="inlineStr">
        <is>
          <t>Hombre</t>
        </is>
      </c>
      <c r="M1261" s="156" t="inlineStr">
        <is>
          <t>Stetson</t>
        </is>
      </c>
      <c r="N1261" s="156" t="inlineStr">
        <is>
          <t>SS26</t>
        </is>
      </c>
      <c r="O1261" s="156" t="inlineStr">
        <is>
          <t>Seasonal</t>
        </is>
      </c>
      <c r="P1261" s="156" t="inlineStr">
        <is>
          <t>Cafe</t>
        </is>
      </c>
      <c r="Q1261" s="156" t="n"/>
      <c r="R1261" s="156" t="n"/>
      <c r="S1261" s="156" t="inlineStr">
        <is>
          <t>Cuero</t>
        </is>
      </c>
      <c r="T1261"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1" s="156" t="n"/>
      <c r="V1261" s="156" t="inlineStr">
        <is>
          <t>PZS</t>
        </is>
      </c>
      <c r="W1261" s="51" t="inlineStr">
        <is>
          <t>53102501</t>
        </is>
      </c>
      <c r="X1261" s="156" t="inlineStr">
        <is>
          <t>https://cdn.shopify.com/s/files/1/0888/3250/8267/files/9908500-233_Cognac_3.jpg?v=1761947940</t>
        </is>
      </c>
      <c r="Y1261" s="54" t="n">
        <v>775.862069</v>
      </c>
      <c r="Z1261" s="54" t="n">
        <v>1724.137931</v>
      </c>
      <c r="AA1261" s="55">
        <f>IF(AND(A1261="", B1261="", E1261=""), "", IF(AB1261="", "Válido", IF((LEN(AB1261)-LEN(SUBSTITUTE(AB1261,"; ","")))/2+1&gt;(LEN(AB1261)-LEN(SUBSTITUTE(AB1261,"[Aviso]","")))/7, "Con Incidencias", "Válido")))</f>
        <v/>
      </c>
      <c r="AB1261" s="56">
        <f>IF(AND(A1261="", B1261="", E1261=""), "", TEXTJOIN("; ", TRUE, IF(OR(TRIM(A1261&amp;"")="", ISNUMBER(SEARCH("FALTA", A1261))), "UPC faltante/inválido", ""), IF(AND(A1261&lt;&gt;"", IFERROR(_xlfn.XMATCH(A1261,$A$2:$A$2509,0,1)&lt;&gt;_xlfn.XMATCH(A1261,$A$2:$A$2509,0,-1),FALSE)), "Código de barras duplicado", ""), IF(AND(E1261&lt;&gt;"", COUNTIF($E$2:$E$2509, E1261)&gt;1), "SKU duplicado", ""), IF(OR(J1261="", J1261=""), "[Aviso] División no capturada ()", IF(ISNA(MATCH(J1261, Criterios!$A$123:$A$126, 0)), "División no válida", "")), IF(OR(K1261="", K1261=""), "[Aviso] Categoría no capturada ()", IF(ISNA(MATCH(K1261, Criterios!$A$81:$A$120, 0)), "Categoría no válida", IF(AND(J1261&lt;&gt;"", J1261&lt;&gt;"", J1261&lt;&gt;VLOOKUP(K1261, Criterios!$A$81:$B$120, 2, FALSE)), "División no coincide con Categoría", ""))), IF(OR(L1261="", L1261=""), "[Aviso] Género no capturado ()", IF(ISNA(MATCH(L1261, Criterios!$B$123:$B$127, 0)), "Género no válido", "")), IF(OR(N1261="", N1261=""), "[Aviso] Temporada no capturada ()", IF(ISNA(MATCH(N1261, Criterios!$C$123:$C$128, 0)), "Temporada no válida", "")), IF(OR(O1261="", O1261=""), "[Aviso] Ciclo de vida no capturado ()", IF(ISNA(MATCH(O1261, Criterios!$D$123:$D$124, 0)), "Ciclo de vida no válido", ""))))</f>
        <v/>
      </c>
      <c r="AC1261" s="56" t="n"/>
      <c r="AD1261" s="51" t="n">
        <v>6</v>
      </c>
      <c r="AE1261" s="156" t="inlineStr">
        <is>
          <t>B25 STETSON.MX (6)</t>
        </is>
      </c>
      <c r="AF1261" s="51" t="n">
        <v>6</v>
      </c>
      <c r="AG1261" s="156" t="inlineStr">
        <is>
          <t>Catálogo existente</t>
        </is>
      </c>
      <c r="AH1261" s="156" t="inlineStr">
        <is>
          <t>Revisión 29/09/2026: Campos sin respaldo: U; Auditoría NetSuite 30/09/2026: llenado desde NetSuite [S] | 01/10/2026: complementado desde Shopify Stetson México (match por código de barras): WB Fit, WB Silueta</t>
        </is>
      </c>
      <c r="AI1261" s="156" t="inlineStr">
        <is>
          <t>No</t>
        </is>
      </c>
      <c r="AJ1261" s="156" t="n"/>
      <c r="AK1261" s="155" t="inlineStr">
        <is>
          <t>Criterios: I [Q] | Criterios: J [R]; G1522_Extraccion_Articulos_NetSuite_2026-09-30.xlsx: fila 57587 [S] | Shopify Stetson: producto 14697968861547 / variante 52013830701419</t>
        </is>
      </c>
      <c r="AL1261" s="58" t="n">
        <v>775.862069</v>
      </c>
      <c r="AM1261" s="58" t="n">
        <v>1724.137931</v>
      </c>
      <c r="AN1261" s="155" t="inlineStr">
        <is>
          <t>Shopify Stetson México</t>
        </is>
      </c>
      <c r="AO1261" s="59" t="n">
        <v>6</v>
      </c>
      <c r="AP1261" s="59" t="n"/>
      <c r="AQ1261" s="59" t="n"/>
      <c r="AR1261" s="155" t="inlineStr">
        <is>
          <t>Shopify Stetson México › Stetson México: 6</t>
        </is>
      </c>
    </row>
    <row r="1262">
      <c r="A1262" s="50" t="inlineStr">
        <is>
          <t>724303724004</t>
        </is>
      </c>
      <c r="B1262" s="51" t="inlineStr">
        <is>
          <t>109773</t>
        </is>
      </c>
      <c r="C1262" s="156" t="inlineStr">
        <is>
          <t>Multimarca</t>
        </is>
      </c>
      <c r="D1262" s="156" t="inlineStr">
        <is>
          <t>9908500-233</t>
        </is>
      </c>
      <c r="E1262" s="156" t="inlineStr">
        <is>
          <t>9908500-233-40</t>
        </is>
      </c>
      <c r="F1262" s="156" t="inlineStr">
        <is>
          <t>40</t>
        </is>
      </c>
      <c r="G1262" s="156" t="inlineStr">
        <is>
          <t>40</t>
        </is>
      </c>
      <c r="H1262" s="156" t="inlineStr">
        <is>
          <t>Stetson</t>
        </is>
      </c>
      <c r="I1262" s="156" t="inlineStr">
        <is>
          <t>Cinturón Stetson Piel Cognac</t>
        </is>
      </c>
      <c r="J1262" s="156" t="inlineStr">
        <is>
          <t>Accesorios</t>
        </is>
      </c>
      <c r="K1262" s="156" t="inlineStr">
        <is>
          <t>Cinturones</t>
        </is>
      </c>
      <c r="L1262" s="156" t="inlineStr">
        <is>
          <t>Hombre</t>
        </is>
      </c>
      <c r="M1262" s="156" t="inlineStr">
        <is>
          <t>Stetson</t>
        </is>
      </c>
      <c r="N1262" s="156" t="inlineStr">
        <is>
          <t>SS26</t>
        </is>
      </c>
      <c r="O1262" s="156" t="inlineStr">
        <is>
          <t>Seasonal</t>
        </is>
      </c>
      <c r="P1262" s="156" t="inlineStr">
        <is>
          <t>Cafe</t>
        </is>
      </c>
      <c r="Q1262" s="156" t="n"/>
      <c r="R1262" s="156" t="n"/>
      <c r="S1262" s="156" t="inlineStr">
        <is>
          <t>Cuero</t>
        </is>
      </c>
      <c r="T1262"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2" s="156" t="n"/>
      <c r="V1262" s="156" t="inlineStr">
        <is>
          <t>PZS</t>
        </is>
      </c>
      <c r="W1262" s="51" t="inlineStr">
        <is>
          <t>53102501</t>
        </is>
      </c>
      <c r="X1262" s="156" t="inlineStr">
        <is>
          <t>https://cdn.shopify.com/s/files/1/0888/3250/8267/files/9908500-233_Cognac_5.jpg?v=1761948011</t>
        </is>
      </c>
      <c r="Y1262" s="54" t="n">
        <v>775.862069</v>
      </c>
      <c r="Z1262" s="54" t="n">
        <v>1724.137931</v>
      </c>
      <c r="AA1262" s="55">
        <f>IF(AND(A1262="", B1262="", E1262=""), "", IF(AB1262="", "Válido", IF((LEN(AB1262)-LEN(SUBSTITUTE(AB1262,"; ","")))/2+1&gt;(LEN(AB1262)-LEN(SUBSTITUTE(AB1262,"[Aviso]","")))/7, "Con Incidencias", "Válido")))</f>
        <v/>
      </c>
      <c r="AB1262" s="56">
        <f>IF(AND(A1262="", B1262="", E1262=""), "", TEXTJOIN("; ", TRUE, IF(OR(TRIM(A1262&amp;"")="", ISNUMBER(SEARCH("FALTA", A1262))), "UPC faltante/inválido", ""), IF(AND(A1262&lt;&gt;"", IFERROR(_xlfn.XMATCH(A1262,$A$2:$A$2509,0,1)&lt;&gt;_xlfn.XMATCH(A1262,$A$2:$A$2509,0,-1),FALSE)), "Código de barras duplicado", ""), IF(AND(E1262&lt;&gt;"", COUNTIF($E$2:$E$2509, E1262)&gt;1), "SKU duplicado", ""), IF(OR(J1262="", J1262=""), "[Aviso] División no capturada ()", IF(ISNA(MATCH(J1262, Criterios!$A$123:$A$126, 0)), "División no válida", "")), IF(OR(K1262="", K1262=""), "[Aviso] Categoría no capturada ()", IF(ISNA(MATCH(K1262, Criterios!$A$81:$A$120, 0)), "Categoría no válida", IF(AND(J1262&lt;&gt;"", J1262&lt;&gt;"", J1262&lt;&gt;VLOOKUP(K1262, Criterios!$A$81:$B$120, 2, FALSE)), "División no coincide con Categoría", ""))), IF(OR(L1262="", L1262=""), "[Aviso] Género no capturado ()", IF(ISNA(MATCH(L1262, Criterios!$B$123:$B$127, 0)), "Género no válido", "")), IF(OR(N1262="", N1262=""), "[Aviso] Temporada no capturada ()", IF(ISNA(MATCH(N1262, Criterios!$C$123:$C$128, 0)), "Temporada no válida", "")), IF(OR(O1262="", O1262=""), "[Aviso] Ciclo de vida no capturado ()", IF(ISNA(MATCH(O1262, Criterios!$D$123:$D$124, 0)), "Ciclo de vida no válido", ""))))</f>
        <v/>
      </c>
      <c r="AC1262" s="56" t="n"/>
      <c r="AD1262" s="51" t="n">
        <v>4</v>
      </c>
      <c r="AE1262" s="156" t="inlineStr">
        <is>
          <t>B25 STETSON.MX (4)</t>
        </is>
      </c>
      <c r="AF1262" s="51" t="n">
        <v>4</v>
      </c>
      <c r="AG1262" s="156" t="inlineStr">
        <is>
          <t>Catálogo existente</t>
        </is>
      </c>
      <c r="AH1262" s="156" t="inlineStr">
        <is>
          <t>Revisión 29/09/2026: Campos sin respaldo: U; Auditoría NetSuite 30/09/2026: llenado desde NetSuite [S] | 01/10/2026: complementado desde Shopify Stetson México (match por código de barras): WB Fit, WB Silueta</t>
        </is>
      </c>
      <c r="AI1262" s="156" t="inlineStr">
        <is>
          <t>No</t>
        </is>
      </c>
      <c r="AJ1262" s="156" t="n"/>
      <c r="AK1262" s="155" t="inlineStr">
        <is>
          <t>Criterios: I [Q] | Criterios: J [R]; G1522_Extraccion_Articulos_NetSuite_2026-09-30.xlsx: fila 57588 [S] | Shopify Stetson: producto 14697968861547 / variante 52013830734187</t>
        </is>
      </c>
      <c r="AL1262" s="58" t="n">
        <v>775.862069</v>
      </c>
      <c r="AM1262" s="58" t="n">
        <v>1724.137931</v>
      </c>
      <c r="AN1262" s="155" t="inlineStr">
        <is>
          <t>Shopify Stetson México</t>
        </is>
      </c>
      <c r="AO1262" s="59" t="n">
        <v>8</v>
      </c>
      <c r="AP1262" s="59" t="n"/>
      <c r="AQ1262" s="59" t="n"/>
      <c r="AR1262" s="155" t="inlineStr">
        <is>
          <t>Shopify Stetson México › Stetson México: 4 | Shopify Stetson México › Stetson Americas: 4</t>
        </is>
      </c>
    </row>
    <row r="1263">
      <c r="A1263" s="50" t="inlineStr">
        <is>
          <t>724303724011</t>
        </is>
      </c>
      <c r="B1263" s="51" t="inlineStr">
        <is>
          <t>109774</t>
        </is>
      </c>
      <c r="C1263" s="156" t="inlineStr">
        <is>
          <t>Multimarca</t>
        </is>
      </c>
      <c r="D1263" s="156" t="inlineStr">
        <is>
          <t>9908500-233</t>
        </is>
      </c>
      <c r="E1263" s="156" t="inlineStr">
        <is>
          <t>9908500-233-42</t>
        </is>
      </c>
      <c r="F1263" s="156" t="inlineStr">
        <is>
          <t>42</t>
        </is>
      </c>
      <c r="G1263" s="156" t="inlineStr">
        <is>
          <t>42</t>
        </is>
      </c>
      <c r="H1263" s="156" t="inlineStr">
        <is>
          <t>Stetson</t>
        </is>
      </c>
      <c r="I1263" s="156" t="inlineStr">
        <is>
          <t>Cinturón Stetson Piel Cognac</t>
        </is>
      </c>
      <c r="J1263" s="156" t="inlineStr">
        <is>
          <t>Accesorios</t>
        </is>
      </c>
      <c r="K1263" s="156" t="inlineStr">
        <is>
          <t>Cinturones</t>
        </is>
      </c>
      <c r="L1263" s="156" t="inlineStr">
        <is>
          <t>Hombre</t>
        </is>
      </c>
      <c r="M1263" s="156" t="inlineStr">
        <is>
          <t>Stetson</t>
        </is>
      </c>
      <c r="N1263" s="156" t="inlineStr">
        <is>
          <t>SS26</t>
        </is>
      </c>
      <c r="O1263" s="156" t="inlineStr">
        <is>
          <t>Seasonal</t>
        </is>
      </c>
      <c r="P1263" s="156" t="inlineStr">
        <is>
          <t>Cafe</t>
        </is>
      </c>
      <c r="Q1263" s="156" t="n"/>
      <c r="R1263" s="156" t="n"/>
      <c r="S1263" s="156" t="inlineStr">
        <is>
          <t>Cuero</t>
        </is>
      </c>
      <c r="T1263"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3" s="156" t="n"/>
      <c r="V1263" s="156" t="inlineStr">
        <is>
          <t>PZS</t>
        </is>
      </c>
      <c r="W1263" s="51" t="inlineStr">
        <is>
          <t>53102501</t>
        </is>
      </c>
      <c r="X1263" s="156" t="inlineStr">
        <is>
          <t>https://cdn.shopify.com/s/files/1/0888/3250/8267/files/9908500-233_Cognac_1.jpg?v=1761947895</t>
        </is>
      </c>
      <c r="Y1263" s="54" t="n">
        <v>775.862069</v>
      </c>
      <c r="Z1263" s="54" t="n">
        <v>1724.137931</v>
      </c>
      <c r="AA1263" s="55">
        <f>IF(AND(A1263="", B1263="", E1263=""), "", IF(AB1263="", "Válido", IF((LEN(AB1263)-LEN(SUBSTITUTE(AB1263,"; ","")))/2+1&gt;(LEN(AB1263)-LEN(SUBSTITUTE(AB1263,"[Aviso]","")))/7, "Con Incidencias", "Válido")))</f>
        <v/>
      </c>
      <c r="AB1263" s="56">
        <f>IF(AND(A1263="", B1263="", E1263=""), "", TEXTJOIN("; ", TRUE, IF(OR(TRIM(A1263&amp;"")="", ISNUMBER(SEARCH("FALTA", A1263))), "UPC faltante/inválido", ""), IF(AND(A1263&lt;&gt;"", IFERROR(_xlfn.XMATCH(A1263,$A$2:$A$2509,0,1)&lt;&gt;_xlfn.XMATCH(A1263,$A$2:$A$2509,0,-1),FALSE)), "Código de barras duplicado", ""), IF(AND(E1263&lt;&gt;"", COUNTIF($E$2:$E$2509, E1263)&gt;1), "SKU duplicado", ""), IF(OR(J1263="", J1263=""), "[Aviso] División no capturada ()", IF(ISNA(MATCH(J1263, Criterios!$A$123:$A$126, 0)), "División no válida", "")), IF(OR(K1263="", K1263=""), "[Aviso] Categoría no capturada ()", IF(ISNA(MATCH(K1263, Criterios!$A$81:$A$120, 0)), "Categoría no válida", IF(AND(J1263&lt;&gt;"", J1263&lt;&gt;"", J1263&lt;&gt;VLOOKUP(K1263, Criterios!$A$81:$B$120, 2, FALSE)), "División no coincide con Categoría", ""))), IF(OR(L1263="", L1263=""), "[Aviso] Género no capturado ()", IF(ISNA(MATCH(L1263, Criterios!$B$123:$B$127, 0)), "Género no válido", "")), IF(OR(N1263="", N1263=""), "[Aviso] Temporada no capturada ()", IF(ISNA(MATCH(N1263, Criterios!$C$123:$C$128, 0)), "Temporada no válida", "")), IF(OR(O1263="", O1263=""), "[Aviso] Ciclo de vida no capturado ()", IF(ISNA(MATCH(O1263, Criterios!$D$123:$D$124, 0)), "Ciclo de vida no válido", ""))))</f>
        <v/>
      </c>
      <c r="AC1263" s="56" t="n"/>
      <c r="AD1263" s="51" t="n">
        <v>5</v>
      </c>
      <c r="AE1263" s="156" t="inlineStr">
        <is>
          <t>B25 STETSON.MX (5)</t>
        </is>
      </c>
      <c r="AF1263" s="51" t="n">
        <v>5</v>
      </c>
      <c r="AG1263" s="156" t="inlineStr">
        <is>
          <t>Catálogo existente</t>
        </is>
      </c>
      <c r="AH1263" s="156" t="inlineStr">
        <is>
          <t>Revisión 29/09/2026: Campos sin respaldo: U, X; Auditoría NetSuite 30/09/2026: llenado desde NetSuite [S] | 01/10/2026: complementado desde Shopify Stetson México (match por código de barras): WB Fit, WB Silueta, Enlace de imagen</t>
        </is>
      </c>
      <c r="AI1263" s="156" t="inlineStr">
        <is>
          <t>No</t>
        </is>
      </c>
      <c r="AJ1263" s="156" t="n"/>
      <c r="AK1263" s="155" t="inlineStr">
        <is>
          <t>Criterios: I [Q] | Criterios: J [R]; G1522_Extraccion_Articulos_NetSuite_2026-09-30.xlsx: fila 57589 [S] | Shopify Stetson: producto 14697968861547 / variante 52013830766955</t>
        </is>
      </c>
      <c r="AL1263" s="58" t="n">
        <v>775.862069</v>
      </c>
      <c r="AM1263" s="58" t="n">
        <v>1724.137931</v>
      </c>
      <c r="AN1263" s="155" t="inlineStr">
        <is>
          <t>Shopify Stetson México</t>
        </is>
      </c>
      <c r="AO1263" s="59" t="n">
        <v>5</v>
      </c>
      <c r="AP1263" s="59" t="n"/>
      <c r="AQ1263" s="59" t="n"/>
      <c r="AR1263" s="155" t="inlineStr">
        <is>
          <t>Shopify Stetson México › Stetson México: 5</t>
        </is>
      </c>
    </row>
    <row r="1264">
      <c r="A1264" s="50" t="inlineStr">
        <is>
          <t>724303724028</t>
        </is>
      </c>
      <c r="B1264" s="51" t="inlineStr">
        <is>
          <t>109775</t>
        </is>
      </c>
      <c r="C1264" s="156" t="inlineStr">
        <is>
          <t>Multimarca</t>
        </is>
      </c>
      <c r="D1264" s="156" t="inlineStr">
        <is>
          <t>9908500-233</t>
        </is>
      </c>
      <c r="E1264" s="156" t="inlineStr">
        <is>
          <t>9908500-233-44</t>
        </is>
      </c>
      <c r="F1264" s="156" t="inlineStr">
        <is>
          <t>44</t>
        </is>
      </c>
      <c r="G1264" s="156" t="inlineStr">
        <is>
          <t>44</t>
        </is>
      </c>
      <c r="H1264" s="156" t="inlineStr">
        <is>
          <t>Stetson</t>
        </is>
      </c>
      <c r="I1264" s="156" t="inlineStr">
        <is>
          <t>Cinturón Stetson Piel Cognac</t>
        </is>
      </c>
      <c r="J1264" s="156" t="inlineStr">
        <is>
          <t>Accesorios</t>
        </is>
      </c>
      <c r="K1264" s="156" t="inlineStr">
        <is>
          <t>Cinturones</t>
        </is>
      </c>
      <c r="L1264" s="156" t="inlineStr">
        <is>
          <t>Hombre</t>
        </is>
      </c>
      <c r="M1264" s="156" t="inlineStr">
        <is>
          <t>Stetson</t>
        </is>
      </c>
      <c r="N1264" s="156" t="inlineStr">
        <is>
          <t>SS26</t>
        </is>
      </c>
      <c r="O1264" s="156" t="inlineStr">
        <is>
          <t>Seasonal</t>
        </is>
      </c>
      <c r="P1264" s="156" t="inlineStr">
        <is>
          <t>Cafe</t>
        </is>
      </c>
      <c r="Q1264" s="156" t="n"/>
      <c r="R1264" s="156" t="n"/>
      <c r="S1264" s="156" t="inlineStr">
        <is>
          <t>Cuero</t>
        </is>
      </c>
      <c r="T1264"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4" s="156" t="n"/>
      <c r="V1264" s="156" t="inlineStr">
        <is>
          <t>PZS</t>
        </is>
      </c>
      <c r="W1264" s="51" t="inlineStr">
        <is>
          <t>53102501</t>
        </is>
      </c>
      <c r="X1264" s="156" t="inlineStr">
        <is>
          <t>https://cdn.shopify.com/s/files/1/0888/3250/8267/files/9908500-233_Cognac_1.jpg?v=1761947895</t>
        </is>
      </c>
      <c r="Y1264" s="54" t="n">
        <v>775.862069</v>
      </c>
      <c r="Z1264" s="54" t="n">
        <v>1724.137931</v>
      </c>
      <c r="AA1264" s="55">
        <f>IF(AND(A1264="", B1264="", E1264=""), "", IF(AB1264="", "Válido", IF((LEN(AB1264)-LEN(SUBSTITUTE(AB1264,"; ","")))/2+1&gt;(LEN(AB1264)-LEN(SUBSTITUTE(AB1264,"[Aviso]","")))/7, "Con Incidencias", "Válido")))</f>
        <v/>
      </c>
      <c r="AB1264" s="56">
        <f>IF(AND(A1264="", B1264="", E1264=""), "", TEXTJOIN("; ", TRUE, IF(OR(TRIM(A1264&amp;"")="", ISNUMBER(SEARCH("FALTA", A1264))), "UPC faltante/inválido", ""), IF(AND(A1264&lt;&gt;"", IFERROR(_xlfn.XMATCH(A1264,$A$2:$A$2509,0,1)&lt;&gt;_xlfn.XMATCH(A1264,$A$2:$A$2509,0,-1),FALSE)), "Código de barras duplicado", ""), IF(AND(E1264&lt;&gt;"", COUNTIF($E$2:$E$2509, E1264)&gt;1), "SKU duplicado", ""), IF(OR(J1264="", J1264=""), "[Aviso] División no capturada ()", IF(ISNA(MATCH(J1264, Criterios!$A$123:$A$126, 0)), "División no válida", "")), IF(OR(K1264="", K1264=""), "[Aviso] Categoría no capturada ()", IF(ISNA(MATCH(K1264, Criterios!$A$81:$A$120, 0)), "Categoría no válida", IF(AND(J1264&lt;&gt;"", J1264&lt;&gt;"", J1264&lt;&gt;VLOOKUP(K1264, Criterios!$A$81:$B$120, 2, FALSE)), "División no coincide con Categoría", ""))), IF(OR(L1264="", L1264=""), "[Aviso] Género no capturado ()", IF(ISNA(MATCH(L1264, Criterios!$B$123:$B$127, 0)), "Género no válido", "")), IF(OR(N1264="", N1264=""), "[Aviso] Temporada no capturada ()", IF(ISNA(MATCH(N1264, Criterios!$C$123:$C$128, 0)), "Temporada no válida", "")), IF(OR(O1264="", O1264=""), "[Aviso] Ciclo de vida no capturado ()", IF(ISNA(MATCH(O1264, Criterios!$D$123:$D$124, 0)), "Ciclo de vida no válido", ""))))</f>
        <v/>
      </c>
      <c r="AC1264" s="56" t="n"/>
      <c r="AD1264" s="51" t="n">
        <v>3</v>
      </c>
      <c r="AE1264" s="156" t="inlineStr">
        <is>
          <t>B25 STETSON.MX (3)</t>
        </is>
      </c>
      <c r="AF1264" s="51" t="n">
        <v>3</v>
      </c>
      <c r="AG1264" s="156" t="inlineStr">
        <is>
          <t>Catálogo existente</t>
        </is>
      </c>
      <c r="AH1264" s="156" t="inlineStr">
        <is>
          <t>Revisión 29/09/2026: Campos sin respaldo: U, X; Auditoría NetSuite 30/09/2026: llenado desde NetSuite [S] | 01/10/2026: complementado desde Shopify Stetson México (match por código de barras): WB Fit, WB Silueta, Enlace de imagen</t>
        </is>
      </c>
      <c r="AI1264" s="156" t="inlineStr">
        <is>
          <t>No</t>
        </is>
      </c>
      <c r="AJ1264" s="156" t="n"/>
      <c r="AK1264" s="155" t="inlineStr">
        <is>
          <t>Criterios: I [Q] | Criterios: J [R]; G1522_Extraccion_Articulos_NetSuite_2026-09-30.xlsx: fila 57590 [S] | Shopify Stetson: producto 14697968861547 / variante 52013830799723</t>
        </is>
      </c>
      <c r="AL1264" s="58" t="n">
        <v>775.862069</v>
      </c>
      <c r="AM1264" s="58" t="n">
        <v>1724.137931</v>
      </c>
      <c r="AN1264" s="155" t="inlineStr">
        <is>
          <t>Shopify Stetson México</t>
        </is>
      </c>
      <c r="AO1264" s="59" t="n">
        <v>3</v>
      </c>
      <c r="AP1264" s="59" t="n"/>
      <c r="AQ1264" s="59" t="n"/>
      <c r="AR1264" s="155" t="inlineStr">
        <is>
          <t>Shopify Stetson México › Stetson México: 3</t>
        </is>
      </c>
    </row>
    <row r="1265">
      <c r="A1265" s="50" t="inlineStr">
        <is>
          <t>724303724035</t>
        </is>
      </c>
      <c r="B1265" s="51" t="inlineStr">
        <is>
          <t>109776</t>
        </is>
      </c>
      <c r="C1265" s="156" t="inlineStr">
        <is>
          <t>Multimarca</t>
        </is>
      </c>
      <c r="D1265" s="156" t="inlineStr">
        <is>
          <t>9908500-233</t>
        </is>
      </c>
      <c r="E1265" s="156" t="inlineStr">
        <is>
          <t>9908500-233-46</t>
        </is>
      </c>
      <c r="F1265" s="156" t="inlineStr">
        <is>
          <t>46</t>
        </is>
      </c>
      <c r="G1265" s="156" t="inlineStr">
        <is>
          <t>46</t>
        </is>
      </c>
      <c r="H1265" s="156" t="inlineStr">
        <is>
          <t>Stetson</t>
        </is>
      </c>
      <c r="I1265" s="156" t="inlineStr">
        <is>
          <t>Cinturón Stetson Piel Cognac</t>
        </is>
      </c>
      <c r="J1265" s="156" t="inlineStr">
        <is>
          <t>Accesorios</t>
        </is>
      </c>
      <c r="K1265" s="156" t="inlineStr">
        <is>
          <t>Cinturones</t>
        </is>
      </c>
      <c r="L1265" s="156" t="inlineStr">
        <is>
          <t>Hombre</t>
        </is>
      </c>
      <c r="M1265" s="156" t="inlineStr">
        <is>
          <t>Stetson</t>
        </is>
      </c>
      <c r="N1265" s="156" t="inlineStr">
        <is>
          <t>SS26</t>
        </is>
      </c>
      <c r="O1265" s="156" t="inlineStr">
        <is>
          <t>Seasonal</t>
        </is>
      </c>
      <c r="P1265" s="156" t="inlineStr">
        <is>
          <t>Cafe</t>
        </is>
      </c>
      <c r="Q1265" s="156" t="n"/>
      <c r="R1265" s="156" t="n"/>
      <c r="S1265" s="156" t="inlineStr">
        <is>
          <t>Cuero</t>
        </is>
      </c>
      <c r="T1265"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5" s="156" t="n"/>
      <c r="V1265" s="156" t="inlineStr">
        <is>
          <t>PZS</t>
        </is>
      </c>
      <c r="W1265" s="51" t="inlineStr">
        <is>
          <t>53102501</t>
        </is>
      </c>
      <c r="X1265" s="156" t="inlineStr">
        <is>
          <t>https://cdn.shopify.com/s/files/1/0888/3250/8267/files/9908500-233_Cognac_1.jpg?v=1761947895</t>
        </is>
      </c>
      <c r="Y1265" s="54" t="n">
        <v>775.862069</v>
      </c>
      <c r="Z1265" s="54" t="n">
        <v>1724.137931</v>
      </c>
      <c r="AA1265" s="55">
        <f>IF(AND(A1265="", B1265="", E1265=""), "", IF(AB1265="", "Válido", IF((LEN(AB1265)-LEN(SUBSTITUTE(AB1265,"; ","")))/2+1&gt;(LEN(AB1265)-LEN(SUBSTITUTE(AB1265,"[Aviso]","")))/7, "Con Incidencias", "Válido")))</f>
        <v/>
      </c>
      <c r="AB1265" s="56">
        <f>IF(AND(A1265="", B1265="", E1265=""), "", TEXTJOIN("; ", TRUE, IF(OR(TRIM(A1265&amp;"")="", ISNUMBER(SEARCH("FALTA", A1265))), "UPC faltante/inválido", ""), IF(AND(A1265&lt;&gt;"", IFERROR(_xlfn.XMATCH(A1265,$A$2:$A$2509,0,1)&lt;&gt;_xlfn.XMATCH(A1265,$A$2:$A$2509,0,-1),FALSE)), "Código de barras duplicado", ""), IF(AND(E1265&lt;&gt;"", COUNTIF($E$2:$E$2509, E1265)&gt;1), "SKU duplicado", ""), IF(OR(J1265="", J1265=""), "[Aviso] División no capturada ()", IF(ISNA(MATCH(J1265, Criterios!$A$123:$A$126, 0)), "División no válida", "")), IF(OR(K1265="", K1265=""), "[Aviso] Categoría no capturada ()", IF(ISNA(MATCH(K1265, Criterios!$A$81:$A$120, 0)), "Categoría no válida", IF(AND(J1265&lt;&gt;"", J1265&lt;&gt;"", J1265&lt;&gt;VLOOKUP(K1265, Criterios!$A$81:$B$120, 2, FALSE)), "División no coincide con Categoría", ""))), IF(OR(L1265="", L1265=""), "[Aviso] Género no capturado ()", IF(ISNA(MATCH(L1265, Criterios!$B$123:$B$127, 0)), "Género no válido", "")), IF(OR(N1265="", N1265=""), "[Aviso] Temporada no capturada ()", IF(ISNA(MATCH(N1265, Criterios!$C$123:$C$128, 0)), "Temporada no válida", "")), IF(OR(O1265="", O1265=""), "[Aviso] Ciclo de vida no capturado ()", IF(ISNA(MATCH(O1265, Criterios!$D$123:$D$124, 0)), "Ciclo de vida no válido", ""))))</f>
        <v/>
      </c>
      <c r="AC1265" s="56" t="n"/>
      <c r="AD1265" s="51" t="n">
        <v>1</v>
      </c>
      <c r="AE1265" s="156" t="inlineStr">
        <is>
          <t>B25 STETSON.MX (1)</t>
        </is>
      </c>
      <c r="AF1265" s="51" t="n">
        <v>1</v>
      </c>
      <c r="AG1265" s="156" t="inlineStr">
        <is>
          <t>Catálogo existente</t>
        </is>
      </c>
      <c r="AH1265" s="156" t="inlineStr">
        <is>
          <t>Revisión 29/09/2026: Campos sin respaldo: U, X; Auditoría NetSuite 30/09/2026: llenado desde NetSuite [S] | 01/10/2026: complementado desde Shopify Stetson México (match por código de barras): WB Fit, WB Silueta, Enlace de imagen</t>
        </is>
      </c>
      <c r="AI1265" s="156" t="inlineStr">
        <is>
          <t>No</t>
        </is>
      </c>
      <c r="AJ1265" s="156" t="n"/>
      <c r="AK1265" s="155" t="inlineStr">
        <is>
          <t>Criterios: I [Q] | Criterios: J [R]; G1522_Extraccion_Articulos_NetSuite_2026-09-30.xlsx: fila 57591 [S] | Shopify Stetson: producto 14697968861547 / variante 52013830832491</t>
        </is>
      </c>
      <c r="AL1265" s="58" t="n">
        <v>775.862069</v>
      </c>
      <c r="AM1265" s="58" t="n">
        <v>1724.137931</v>
      </c>
      <c r="AN1265" s="155" t="inlineStr">
        <is>
          <t>Shopify Stetson México</t>
        </is>
      </c>
      <c r="AO1265" s="59" t="n">
        <v>3</v>
      </c>
      <c r="AP1265" s="59" t="n"/>
      <c r="AQ1265" s="59" t="n"/>
      <c r="AR1265" s="155" t="inlineStr">
        <is>
          <t>Shopify Stetson México › Stetson México: 1 | Shopify Stetson México › Stetson Americas: 2</t>
        </is>
      </c>
    </row>
    <row r="1266">
      <c r="A1266" s="50" t="inlineStr">
        <is>
          <t>724303724073</t>
        </is>
      </c>
      <c r="B1266" s="51" t="inlineStr">
        <is>
          <t>109777</t>
        </is>
      </c>
      <c r="C1266" s="156" t="inlineStr">
        <is>
          <t>Multimarca</t>
        </is>
      </c>
      <c r="D1266" s="156" t="inlineStr">
        <is>
          <t>9910500-233</t>
        </is>
      </c>
      <c r="E1266" s="156" t="inlineStr">
        <is>
          <t>9910500-233-36</t>
        </is>
      </c>
      <c r="F1266" s="156" t="inlineStr">
        <is>
          <t>36</t>
        </is>
      </c>
      <c r="G1266" s="156" t="inlineStr">
        <is>
          <t>36</t>
        </is>
      </c>
      <c r="H1266" s="156" t="inlineStr">
        <is>
          <t>Stetson</t>
        </is>
      </c>
      <c r="I1266" s="156" t="inlineStr">
        <is>
          <t>Cinturón Stetson Piel Cognac</t>
        </is>
      </c>
      <c r="J1266" s="156" t="inlineStr">
        <is>
          <t>Accesorios</t>
        </is>
      </c>
      <c r="K1266" s="156" t="inlineStr">
        <is>
          <t>Cinturones</t>
        </is>
      </c>
      <c r="L1266" s="156" t="inlineStr">
        <is>
          <t>Hombre</t>
        </is>
      </c>
      <c r="M1266" s="156" t="inlineStr">
        <is>
          <t>Stetson</t>
        </is>
      </c>
      <c r="N1266" s="156" t="inlineStr">
        <is>
          <t>SS26</t>
        </is>
      </c>
      <c r="O1266" s="156" t="inlineStr">
        <is>
          <t>Seasonal</t>
        </is>
      </c>
      <c r="P1266" s="156" t="inlineStr">
        <is>
          <t>Cafe</t>
        </is>
      </c>
      <c r="Q1266" s="156" t="n"/>
      <c r="R1266" s="156" t="n"/>
      <c r="S1266" s="156" t="inlineStr">
        <is>
          <t>Cuero</t>
        </is>
      </c>
      <c r="T1266"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6" s="156" t="n"/>
      <c r="V1266" s="156" t="inlineStr">
        <is>
          <t>PZS</t>
        </is>
      </c>
      <c r="W1266" s="51" t="inlineStr">
        <is>
          <t>53102501</t>
        </is>
      </c>
      <c r="X1266" s="156" t="inlineStr">
        <is>
          <t>https://cdn.shopify.com/s/files/1/0888/3250/8267/files/9910500-233_alt2.jpg?v=1761948399</t>
        </is>
      </c>
      <c r="Y1266" s="54" t="n">
        <v>775.862069</v>
      </c>
      <c r="Z1266" s="54" t="n">
        <v>1724.137931</v>
      </c>
      <c r="AA1266" s="55">
        <f>IF(AND(A1266="", B1266="", E1266=""), "", IF(AB1266="", "Válido", IF((LEN(AB1266)-LEN(SUBSTITUTE(AB1266,"; ","")))/2+1&gt;(LEN(AB1266)-LEN(SUBSTITUTE(AB1266,"[Aviso]","")))/7, "Con Incidencias", "Válido")))</f>
        <v/>
      </c>
      <c r="AB1266" s="56">
        <f>IF(AND(A1266="", B1266="", E1266=""), "", TEXTJOIN("; ", TRUE, IF(OR(TRIM(A1266&amp;"")="", ISNUMBER(SEARCH("FALTA", A1266))), "UPC faltante/inválido", ""), IF(AND(A1266&lt;&gt;"", IFERROR(_xlfn.XMATCH(A1266,$A$2:$A$2509,0,1)&lt;&gt;_xlfn.XMATCH(A1266,$A$2:$A$2509,0,-1),FALSE)), "Código de barras duplicado", ""), IF(AND(E1266&lt;&gt;"", COUNTIF($E$2:$E$2509, E1266)&gt;1), "SKU duplicado", ""), IF(OR(J1266="", J1266=""), "[Aviso] División no capturada ()", IF(ISNA(MATCH(J1266, Criterios!$A$123:$A$126, 0)), "División no válida", "")), IF(OR(K1266="", K1266=""), "[Aviso] Categoría no capturada ()", IF(ISNA(MATCH(K1266, Criterios!$A$81:$A$120, 0)), "Categoría no válida", IF(AND(J1266&lt;&gt;"", J1266&lt;&gt;"", J1266&lt;&gt;VLOOKUP(K1266, Criterios!$A$81:$B$120, 2, FALSE)), "División no coincide con Categoría", ""))), IF(OR(L1266="", L1266=""), "[Aviso] Género no capturado ()", IF(ISNA(MATCH(L1266, Criterios!$B$123:$B$127, 0)), "Género no válido", "")), IF(OR(N1266="", N1266=""), "[Aviso] Temporada no capturada ()", IF(ISNA(MATCH(N1266, Criterios!$C$123:$C$128, 0)), "Temporada no válida", "")), IF(OR(O1266="", O1266=""), "[Aviso] Ciclo de vida no capturado ()", IF(ISNA(MATCH(O1266, Criterios!$D$123:$D$124, 0)), "Ciclo de vida no válido", ""))))</f>
        <v/>
      </c>
      <c r="AC1266" s="56" t="n"/>
      <c r="AD1266" s="51" t="n">
        <v>0</v>
      </c>
      <c r="AE1266" s="156" t="inlineStr">
        <is>
          <t>B25 STETSON.MX (1)</t>
        </is>
      </c>
      <c r="AF1266" s="51" t="n">
        <v>1</v>
      </c>
      <c r="AG1266" s="156" t="inlineStr">
        <is>
          <t>Catálogo existente</t>
        </is>
      </c>
      <c r="AH1266" s="156" t="inlineStr">
        <is>
          <t>Revisión 29/09/2026: Campos sin respaldo: U; Auditoría NetSuite 30/09/2026: llenado desde NetSuite [S] | 01/10/2026: complementado desde Shopify Stetson México (match por código de barras): WB Fit, WB Silueta</t>
        </is>
      </c>
      <c r="AI1266" s="156" t="inlineStr">
        <is>
          <t>Sí</t>
        </is>
      </c>
      <c r="AJ1266" s="156" t="inlineStr">
        <is>
          <t>STETSON AMERICAS (-1)</t>
        </is>
      </c>
      <c r="AK1266" s="155" t="inlineStr">
        <is>
          <t>Criterios: I [Q] | Criterios: J [R]; G1522_Extraccion_Articulos_NetSuite_2026-09-30.xlsx: fila 57592 [S] | Shopify Stetson: producto 14697972367723 / variante 52013837844843</t>
        </is>
      </c>
      <c r="AL1266" s="58" t="n">
        <v>775.862069</v>
      </c>
      <c r="AM1266" s="58" t="n">
        <v>1724.137931</v>
      </c>
      <c r="AN1266" s="155" t="inlineStr">
        <is>
          <t>Shopify Stetson México</t>
        </is>
      </c>
      <c r="AO1266" s="59" t="n">
        <v>1</v>
      </c>
      <c r="AP1266" s="59" t="n"/>
      <c r="AQ1266" s="59" t="n"/>
      <c r="AR1266" s="155" t="inlineStr">
        <is>
          <t>Shopify Stetson México › Stetson México: 1</t>
        </is>
      </c>
    </row>
    <row r="1267">
      <c r="A1267" s="50" t="inlineStr">
        <is>
          <t>724303724080</t>
        </is>
      </c>
      <c r="B1267" s="51" t="inlineStr">
        <is>
          <t>109778</t>
        </is>
      </c>
      <c r="C1267" s="156" t="inlineStr">
        <is>
          <t>Multimarca</t>
        </is>
      </c>
      <c r="D1267" s="156" t="inlineStr">
        <is>
          <t>9910500-233</t>
        </is>
      </c>
      <c r="E1267" s="156" t="inlineStr">
        <is>
          <t>9910500-233-38</t>
        </is>
      </c>
      <c r="F1267" s="156" t="inlineStr">
        <is>
          <t>38</t>
        </is>
      </c>
      <c r="G1267" s="156" t="inlineStr">
        <is>
          <t>38</t>
        </is>
      </c>
      <c r="H1267" s="156" t="inlineStr">
        <is>
          <t>Stetson</t>
        </is>
      </c>
      <c r="I1267" s="156" t="inlineStr">
        <is>
          <t>Cinturón Stetson Piel Cognac</t>
        </is>
      </c>
      <c r="J1267" s="156" t="inlineStr">
        <is>
          <t>Accesorios</t>
        </is>
      </c>
      <c r="K1267" s="156" t="inlineStr">
        <is>
          <t>Cinturones</t>
        </is>
      </c>
      <c r="L1267" s="156" t="inlineStr">
        <is>
          <t>Hombre</t>
        </is>
      </c>
      <c r="M1267" s="156" t="inlineStr">
        <is>
          <t>Stetson</t>
        </is>
      </c>
      <c r="N1267" s="156" t="inlineStr">
        <is>
          <t>SS26</t>
        </is>
      </c>
      <c r="O1267" s="156" t="inlineStr">
        <is>
          <t>Seasonal</t>
        </is>
      </c>
      <c r="P1267" s="156" t="inlineStr">
        <is>
          <t>Cafe</t>
        </is>
      </c>
      <c r="Q1267" s="156" t="n"/>
      <c r="R1267" s="156" t="n"/>
      <c r="S1267" s="156" t="inlineStr">
        <is>
          <t>Cuero</t>
        </is>
      </c>
      <c r="T1267"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7" s="156" t="n"/>
      <c r="V1267" s="156" t="inlineStr">
        <is>
          <t>PZS</t>
        </is>
      </c>
      <c r="W1267" s="51" t="inlineStr">
        <is>
          <t>53102501</t>
        </is>
      </c>
      <c r="X1267" s="156" t="inlineStr">
        <is>
          <t>https://cdn.shopify.com/s/files/1/0888/3250/8267/files/9910500-233_Cognac_2.jpg?v=1761948406</t>
        </is>
      </c>
      <c r="Y1267" s="54" t="n">
        <v>775.862069</v>
      </c>
      <c r="Z1267" s="54" t="n">
        <v>1724.137931</v>
      </c>
      <c r="AA1267" s="55">
        <f>IF(AND(A1267="", B1267="", E1267=""), "", IF(AB1267="", "Válido", IF((LEN(AB1267)-LEN(SUBSTITUTE(AB1267,"; ","")))/2+1&gt;(LEN(AB1267)-LEN(SUBSTITUTE(AB1267,"[Aviso]","")))/7, "Con Incidencias", "Válido")))</f>
        <v/>
      </c>
      <c r="AB1267" s="56">
        <f>IF(AND(A1267="", B1267="", E1267=""), "", TEXTJOIN("; ", TRUE, IF(OR(TRIM(A1267&amp;"")="", ISNUMBER(SEARCH("FALTA", A1267))), "UPC faltante/inválido", ""), IF(AND(A1267&lt;&gt;"", IFERROR(_xlfn.XMATCH(A1267,$A$2:$A$2509,0,1)&lt;&gt;_xlfn.XMATCH(A1267,$A$2:$A$2509,0,-1),FALSE)), "Código de barras duplicado", ""), IF(AND(E1267&lt;&gt;"", COUNTIF($E$2:$E$2509, E1267)&gt;1), "SKU duplicado", ""), IF(OR(J1267="", J1267=""), "[Aviso] División no capturada ()", IF(ISNA(MATCH(J1267, Criterios!$A$123:$A$126, 0)), "División no válida", "")), IF(OR(K1267="", K1267=""), "[Aviso] Categoría no capturada ()", IF(ISNA(MATCH(K1267, Criterios!$A$81:$A$120, 0)), "Categoría no válida", IF(AND(J1267&lt;&gt;"", J1267&lt;&gt;"", J1267&lt;&gt;VLOOKUP(K1267, Criterios!$A$81:$B$120, 2, FALSE)), "División no coincide con Categoría", ""))), IF(OR(L1267="", L1267=""), "[Aviso] Género no capturado ()", IF(ISNA(MATCH(L1267, Criterios!$B$123:$B$127, 0)), "Género no válido", "")), IF(OR(N1267="", N1267=""), "[Aviso] Temporada no capturada ()", IF(ISNA(MATCH(N1267, Criterios!$C$123:$C$128, 0)), "Temporada no válida", "")), IF(OR(O1267="", O1267=""), "[Aviso] Ciclo de vida no capturado ()", IF(ISNA(MATCH(O1267, Criterios!$D$123:$D$124, 0)), "Ciclo de vida no válido", ""))))</f>
        <v/>
      </c>
      <c r="AC1267" s="56" t="n"/>
      <c r="AD1267" s="51" t="n">
        <v>6</v>
      </c>
      <c r="AE1267" s="156" t="inlineStr">
        <is>
          <t>B25 STETSON.MX (6)</t>
        </is>
      </c>
      <c r="AF1267" s="51" t="n">
        <v>6</v>
      </c>
      <c r="AG1267" s="156" t="inlineStr">
        <is>
          <t>Catálogo existente</t>
        </is>
      </c>
      <c r="AH1267" s="156" t="inlineStr">
        <is>
          <t>Revisión 29/09/2026: Campos sin respaldo: U; Auditoría NetSuite 30/09/2026: llenado desde NetSuite [S] | 01/10/2026: complementado desde Shopify Stetson México (match por código de barras): WB Fit, WB Silueta</t>
        </is>
      </c>
      <c r="AI1267" s="156" t="inlineStr">
        <is>
          <t>No</t>
        </is>
      </c>
      <c r="AJ1267" s="156" t="n"/>
      <c r="AK1267" s="155" t="inlineStr">
        <is>
          <t>Criterios: I [Q] | Criterios: J [R]; G1522_Extraccion_Articulos_NetSuite_2026-09-30.xlsx: fila 57593 [S] | Shopify Stetson: producto 14697972367723 / variante 52013837877611</t>
        </is>
      </c>
      <c r="AL1267" s="58" t="n">
        <v>775.862069</v>
      </c>
      <c r="AM1267" s="58" t="n">
        <v>1724.137931</v>
      </c>
      <c r="AN1267" s="155" t="inlineStr">
        <is>
          <t>Shopify Stetson México</t>
        </is>
      </c>
      <c r="AO1267" s="59" t="n">
        <v>6</v>
      </c>
      <c r="AP1267" s="59" t="n"/>
      <c r="AQ1267" s="59" t="n"/>
      <c r="AR1267" s="155" t="inlineStr">
        <is>
          <t>Shopify Stetson México › Stetson México: 6</t>
        </is>
      </c>
    </row>
    <row r="1268">
      <c r="A1268" s="50" t="inlineStr">
        <is>
          <t>724303724097</t>
        </is>
      </c>
      <c r="B1268" s="51" t="inlineStr">
        <is>
          <t>109779</t>
        </is>
      </c>
      <c r="C1268" s="156" t="inlineStr">
        <is>
          <t>Multimarca</t>
        </is>
      </c>
      <c r="D1268" s="156" t="inlineStr">
        <is>
          <t>9910500-233</t>
        </is>
      </c>
      <c r="E1268" s="156" t="inlineStr">
        <is>
          <t>9910500-233-40</t>
        </is>
      </c>
      <c r="F1268" s="156" t="inlineStr">
        <is>
          <t>40</t>
        </is>
      </c>
      <c r="G1268" s="156" t="inlineStr">
        <is>
          <t>40</t>
        </is>
      </c>
      <c r="H1268" s="156" t="inlineStr">
        <is>
          <t>Stetson</t>
        </is>
      </c>
      <c r="I1268" s="156" t="inlineStr">
        <is>
          <t>Cinturón Stetson Piel Cognac</t>
        </is>
      </c>
      <c r="J1268" s="156" t="inlineStr">
        <is>
          <t>Accesorios</t>
        </is>
      </c>
      <c r="K1268" s="156" t="inlineStr">
        <is>
          <t>Cinturones</t>
        </is>
      </c>
      <c r="L1268" s="156" t="inlineStr">
        <is>
          <t>Hombre</t>
        </is>
      </c>
      <c r="M1268" s="156" t="inlineStr">
        <is>
          <t>Stetson</t>
        </is>
      </c>
      <c r="N1268" s="156" t="inlineStr">
        <is>
          <t>SS26</t>
        </is>
      </c>
      <c r="O1268" s="156" t="inlineStr">
        <is>
          <t>Seasonal</t>
        </is>
      </c>
      <c r="P1268" s="156" t="inlineStr">
        <is>
          <t>Cafe</t>
        </is>
      </c>
      <c r="Q1268" s="156" t="n"/>
      <c r="R1268" s="156" t="n"/>
      <c r="S1268" s="156" t="inlineStr">
        <is>
          <t>Cuero</t>
        </is>
      </c>
      <c r="T1268"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8" s="156" t="n"/>
      <c r="V1268" s="156" t="inlineStr">
        <is>
          <t>PZS</t>
        </is>
      </c>
      <c r="W1268" s="51" t="inlineStr">
        <is>
          <t>53102501</t>
        </is>
      </c>
      <c r="X1268" s="156" t="inlineStr">
        <is>
          <t>https://cdn.shopify.com/s/files/1/0888/3250/8267/files/9910500-233_Cognac_3.jpg?v=1761948413</t>
        </is>
      </c>
      <c r="Y1268" s="54" t="n">
        <v>775.862069</v>
      </c>
      <c r="Z1268" s="54" t="n">
        <v>1724.137931</v>
      </c>
      <c r="AA1268" s="55">
        <f>IF(AND(A1268="", B1268="", E1268=""), "", IF(AB1268="", "Válido", IF((LEN(AB1268)-LEN(SUBSTITUTE(AB1268,"; ","")))/2+1&gt;(LEN(AB1268)-LEN(SUBSTITUTE(AB1268,"[Aviso]","")))/7, "Con Incidencias", "Válido")))</f>
        <v/>
      </c>
      <c r="AB1268" s="56">
        <f>IF(AND(A1268="", B1268="", E1268=""), "", TEXTJOIN("; ", TRUE, IF(OR(TRIM(A1268&amp;"")="", ISNUMBER(SEARCH("FALTA", A1268))), "UPC faltante/inválido", ""), IF(AND(A1268&lt;&gt;"", IFERROR(_xlfn.XMATCH(A1268,$A$2:$A$2509,0,1)&lt;&gt;_xlfn.XMATCH(A1268,$A$2:$A$2509,0,-1),FALSE)), "Código de barras duplicado", ""), IF(AND(E1268&lt;&gt;"", COUNTIF($E$2:$E$2509, E1268)&gt;1), "SKU duplicado", ""), IF(OR(J1268="", J1268=""), "[Aviso] División no capturada ()", IF(ISNA(MATCH(J1268, Criterios!$A$123:$A$126, 0)), "División no válida", "")), IF(OR(K1268="", K1268=""), "[Aviso] Categoría no capturada ()", IF(ISNA(MATCH(K1268, Criterios!$A$81:$A$120, 0)), "Categoría no válida", IF(AND(J1268&lt;&gt;"", J1268&lt;&gt;"", J1268&lt;&gt;VLOOKUP(K1268, Criterios!$A$81:$B$120, 2, FALSE)), "División no coincide con Categoría", ""))), IF(OR(L1268="", L1268=""), "[Aviso] Género no capturado ()", IF(ISNA(MATCH(L1268, Criterios!$B$123:$B$127, 0)), "Género no válido", "")), IF(OR(N1268="", N1268=""), "[Aviso] Temporada no capturada ()", IF(ISNA(MATCH(N1268, Criterios!$C$123:$C$128, 0)), "Temporada no válida", "")), IF(OR(O1268="", O1268=""), "[Aviso] Ciclo de vida no capturado ()", IF(ISNA(MATCH(O1268, Criterios!$D$123:$D$124, 0)), "Ciclo de vida no válido", ""))))</f>
        <v/>
      </c>
      <c r="AC1268" s="56" t="n"/>
      <c r="AD1268" s="51" t="n">
        <v>7</v>
      </c>
      <c r="AE1268" s="156" t="inlineStr">
        <is>
          <t>B25 STETSON.MX (7)</t>
        </is>
      </c>
      <c r="AF1268" s="51" t="n">
        <v>7</v>
      </c>
      <c r="AG1268" s="156" t="inlineStr">
        <is>
          <t>Catálogo existente</t>
        </is>
      </c>
      <c r="AH1268" s="156" t="inlineStr">
        <is>
          <t>Revisión 29/09/2026: Campos sin respaldo: U; Auditoría NetSuite 30/09/2026: llenado desde NetSuite [S] | 01/10/2026: complementado desde Shopify Stetson México (match por código de barras): WB Fit, WB Silueta</t>
        </is>
      </c>
      <c r="AI1268" s="156" t="inlineStr">
        <is>
          <t>No</t>
        </is>
      </c>
      <c r="AJ1268" s="156" t="n"/>
      <c r="AK1268" s="155" t="inlineStr">
        <is>
          <t>Criterios: I [Q] | Criterios: J [R]; G1522_Extraccion_Articulos_NetSuite_2026-09-30.xlsx: fila 57594 [S] | Shopify Stetson: producto 14697972367723 / variante 52013837910379</t>
        </is>
      </c>
      <c r="AL1268" s="58" t="n">
        <v>775.862069</v>
      </c>
      <c r="AM1268" s="58" t="n">
        <v>1724.137931</v>
      </c>
      <c r="AN1268" s="155" t="inlineStr">
        <is>
          <t>Shopify Stetson México</t>
        </is>
      </c>
      <c r="AO1268" s="59" t="n">
        <v>7</v>
      </c>
      <c r="AP1268" s="59" t="n"/>
      <c r="AQ1268" s="59" t="n"/>
      <c r="AR1268" s="155" t="inlineStr">
        <is>
          <t>Shopify Stetson México › Stetson México: 7</t>
        </is>
      </c>
    </row>
    <row r="1269">
      <c r="A1269" s="50" t="inlineStr">
        <is>
          <t>724303724103</t>
        </is>
      </c>
      <c r="B1269" s="51" t="inlineStr">
        <is>
          <t>109780</t>
        </is>
      </c>
      <c r="C1269" s="156" t="inlineStr">
        <is>
          <t>Multimarca</t>
        </is>
      </c>
      <c r="D1269" s="156" t="inlineStr">
        <is>
          <t>9910500-233</t>
        </is>
      </c>
      <c r="E1269" s="156" t="inlineStr">
        <is>
          <t>9910500-233-42</t>
        </is>
      </c>
      <c r="F1269" s="156" t="inlineStr">
        <is>
          <t>42</t>
        </is>
      </c>
      <c r="G1269" s="156" t="inlineStr">
        <is>
          <t>42</t>
        </is>
      </c>
      <c r="H1269" s="156" t="inlineStr">
        <is>
          <t>Stetson</t>
        </is>
      </c>
      <c r="I1269" s="156" t="inlineStr">
        <is>
          <t>Cinturón Stetson Piel Cognac</t>
        </is>
      </c>
      <c r="J1269" s="156" t="inlineStr">
        <is>
          <t>Accesorios</t>
        </is>
      </c>
      <c r="K1269" s="156" t="inlineStr">
        <is>
          <t>Cinturones</t>
        </is>
      </c>
      <c r="L1269" s="156" t="inlineStr">
        <is>
          <t>Hombre</t>
        </is>
      </c>
      <c r="M1269" s="156" t="inlineStr">
        <is>
          <t>Stetson</t>
        </is>
      </c>
      <c r="N1269" s="156" t="inlineStr">
        <is>
          <t>SS26</t>
        </is>
      </c>
      <c r="O1269" s="156" t="inlineStr">
        <is>
          <t>Seasonal</t>
        </is>
      </c>
      <c r="P1269" s="156" t="inlineStr">
        <is>
          <t>Cafe</t>
        </is>
      </c>
      <c r="Q1269" s="156" t="n"/>
      <c r="R1269" s="156" t="n"/>
      <c r="S1269" s="156" t="inlineStr">
        <is>
          <t>Cuero</t>
        </is>
      </c>
      <c r="T1269"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9" s="156" t="n"/>
      <c r="V1269" s="156" t="inlineStr">
        <is>
          <t>PZS</t>
        </is>
      </c>
      <c r="W1269" s="51" t="inlineStr">
        <is>
          <t>53102501</t>
        </is>
      </c>
      <c r="X1269" s="156" t="inlineStr">
        <is>
          <t>https://cdn.shopify.com/s/files/1/0888/3250/8267/files/9910500-233_Cognac_4.jpg?v=1761948418</t>
        </is>
      </c>
      <c r="Y1269" s="54" t="n">
        <v>775.862069</v>
      </c>
      <c r="Z1269" s="54" t="n">
        <v>1724.137931</v>
      </c>
      <c r="AA1269" s="55">
        <f>IF(AND(A1269="", B1269="", E1269=""), "", IF(AB1269="", "Válido", IF((LEN(AB1269)-LEN(SUBSTITUTE(AB1269,"; ","")))/2+1&gt;(LEN(AB1269)-LEN(SUBSTITUTE(AB1269,"[Aviso]","")))/7, "Con Incidencias", "Válido")))</f>
        <v/>
      </c>
      <c r="AB1269" s="56">
        <f>IF(AND(A1269="", B1269="", E1269=""), "", TEXTJOIN("; ", TRUE, IF(OR(TRIM(A1269&amp;"")="", ISNUMBER(SEARCH("FALTA", A1269))), "UPC faltante/inválido", ""), IF(AND(A1269&lt;&gt;"", IFERROR(_xlfn.XMATCH(A1269,$A$2:$A$2509,0,1)&lt;&gt;_xlfn.XMATCH(A1269,$A$2:$A$2509,0,-1),FALSE)), "Código de barras duplicado", ""), IF(AND(E1269&lt;&gt;"", COUNTIF($E$2:$E$2509, E1269)&gt;1), "SKU duplicado", ""), IF(OR(J1269="", J1269=""), "[Aviso] División no capturada ()", IF(ISNA(MATCH(J1269, Criterios!$A$123:$A$126, 0)), "División no válida", "")), IF(OR(K1269="", K1269=""), "[Aviso] Categoría no capturada ()", IF(ISNA(MATCH(K1269, Criterios!$A$81:$A$120, 0)), "Categoría no válida", IF(AND(J1269&lt;&gt;"", J1269&lt;&gt;"", J1269&lt;&gt;VLOOKUP(K1269, Criterios!$A$81:$B$120, 2, FALSE)), "División no coincide con Categoría", ""))), IF(OR(L1269="", L1269=""), "[Aviso] Género no capturado ()", IF(ISNA(MATCH(L1269, Criterios!$B$123:$B$127, 0)), "Género no válido", "")), IF(OR(N1269="", N1269=""), "[Aviso] Temporada no capturada ()", IF(ISNA(MATCH(N1269, Criterios!$C$123:$C$128, 0)), "Temporada no válida", "")), IF(OR(O1269="", O1269=""), "[Aviso] Ciclo de vida no capturado ()", IF(ISNA(MATCH(O1269, Criterios!$D$123:$D$124, 0)), "Ciclo de vida no válido", ""))))</f>
        <v/>
      </c>
      <c r="AC1269" s="56" t="n"/>
      <c r="AD1269" s="51" t="n">
        <v>4</v>
      </c>
      <c r="AE1269" s="156" t="inlineStr">
        <is>
          <t>B25 STETSON.MX (4)</t>
        </is>
      </c>
      <c r="AF1269" s="51" t="n">
        <v>4</v>
      </c>
      <c r="AG1269" s="156" t="inlineStr">
        <is>
          <t>Catálogo existente</t>
        </is>
      </c>
      <c r="AH1269" s="156" t="inlineStr">
        <is>
          <t>Revisión 29/09/2026: Campos sin respaldo: U; Auditoría NetSuite 30/09/2026: llenado desde NetSuite [S] | 01/10/2026: complementado desde Shopify Stetson México (match por código de barras): WB Fit, WB Silueta</t>
        </is>
      </c>
      <c r="AI1269" s="156" t="inlineStr">
        <is>
          <t>No</t>
        </is>
      </c>
      <c r="AJ1269" s="156" t="n"/>
      <c r="AK1269" s="155" t="inlineStr">
        <is>
          <t>Criterios: I [Q] | Criterios: J [R]; G1522_Extraccion_Articulos_NetSuite_2026-09-30.xlsx: fila 57595 [S] | Shopify Stetson: producto 14697972367723 / variante 52013837943147</t>
        </is>
      </c>
      <c r="AL1269" s="58" t="n">
        <v>775.862069</v>
      </c>
      <c r="AM1269" s="58" t="n">
        <v>1724.137931</v>
      </c>
      <c r="AN1269" s="155" t="inlineStr">
        <is>
          <t>Shopify Stetson México</t>
        </is>
      </c>
      <c r="AO1269" s="59" t="n">
        <v>4</v>
      </c>
      <c r="AP1269" s="59" t="n"/>
      <c r="AQ1269" s="59" t="n"/>
      <c r="AR1269" s="155" t="inlineStr">
        <is>
          <t>Shopify Stetson México › Stetson México: 4</t>
        </is>
      </c>
    </row>
    <row r="1270">
      <c r="A1270" s="50" t="inlineStr">
        <is>
          <t>724303724110</t>
        </is>
      </c>
      <c r="B1270" s="51" t="inlineStr">
        <is>
          <t>109781</t>
        </is>
      </c>
      <c r="C1270" s="156" t="inlineStr">
        <is>
          <t>Multimarca</t>
        </is>
      </c>
      <c r="D1270" s="156" t="inlineStr">
        <is>
          <t>9910500-233</t>
        </is>
      </c>
      <c r="E1270" s="156" t="inlineStr">
        <is>
          <t>9910500-233-44</t>
        </is>
      </c>
      <c r="F1270" s="156" t="inlineStr">
        <is>
          <t>44</t>
        </is>
      </c>
      <c r="G1270" s="156" t="inlineStr">
        <is>
          <t>44</t>
        </is>
      </c>
      <c r="H1270" s="156" t="inlineStr">
        <is>
          <t>Stetson</t>
        </is>
      </c>
      <c r="I1270" s="156" t="inlineStr">
        <is>
          <t>Cinturón Stetson Piel Cognac</t>
        </is>
      </c>
      <c r="J1270" s="156" t="inlineStr">
        <is>
          <t>Accesorios</t>
        </is>
      </c>
      <c r="K1270" s="156" t="inlineStr">
        <is>
          <t>Cinturones</t>
        </is>
      </c>
      <c r="L1270" s="156" t="inlineStr">
        <is>
          <t>Hombre</t>
        </is>
      </c>
      <c r="M1270" s="156" t="inlineStr">
        <is>
          <t>Stetson</t>
        </is>
      </c>
      <c r="N1270" s="156" t="inlineStr">
        <is>
          <t>SS26</t>
        </is>
      </c>
      <c r="O1270" s="156" t="inlineStr">
        <is>
          <t>Seasonal</t>
        </is>
      </c>
      <c r="P1270" s="156" t="inlineStr">
        <is>
          <t>Cafe</t>
        </is>
      </c>
      <c r="Q1270" s="156" t="n"/>
      <c r="R1270" s="156" t="n"/>
      <c r="S1270" s="156" t="inlineStr">
        <is>
          <t>Cuero</t>
        </is>
      </c>
      <c r="T1270"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70" s="156" t="n"/>
      <c r="V1270" s="156" t="inlineStr">
        <is>
          <t>PZS</t>
        </is>
      </c>
      <c r="W1270" s="51" t="inlineStr">
        <is>
          <t>53102501</t>
        </is>
      </c>
      <c r="X1270" s="156" t="inlineStr">
        <is>
          <t>https://cdn.shopify.com/s/files/1/0888/3250/8267/files/9910500-233_Cognac_5.jpg?v=1761948426</t>
        </is>
      </c>
      <c r="Y1270" s="54" t="n">
        <v>775.862069</v>
      </c>
      <c r="Z1270" s="54" t="n">
        <v>1724.137931</v>
      </c>
      <c r="AA1270" s="55">
        <f>IF(AND(A1270="", B1270="", E1270=""), "", IF(AB1270="", "Válido", IF((LEN(AB1270)-LEN(SUBSTITUTE(AB1270,"; ","")))/2+1&gt;(LEN(AB1270)-LEN(SUBSTITUTE(AB1270,"[Aviso]","")))/7, "Con Incidencias", "Válido")))</f>
        <v/>
      </c>
      <c r="AB1270" s="56">
        <f>IF(AND(A1270="", B1270="", E1270=""), "", TEXTJOIN("; ", TRUE, IF(OR(TRIM(A1270&amp;"")="", ISNUMBER(SEARCH("FALTA", A1270))), "UPC faltante/inválido", ""), IF(AND(A1270&lt;&gt;"", IFERROR(_xlfn.XMATCH(A1270,$A$2:$A$2509,0,1)&lt;&gt;_xlfn.XMATCH(A1270,$A$2:$A$2509,0,-1),FALSE)), "Código de barras duplicado", ""), IF(AND(E1270&lt;&gt;"", COUNTIF($E$2:$E$2509, E1270)&gt;1), "SKU duplicado", ""), IF(OR(J1270="", J1270=""), "[Aviso] División no capturada ()", IF(ISNA(MATCH(J1270, Criterios!$A$123:$A$126, 0)), "División no válida", "")), IF(OR(K1270="", K1270=""), "[Aviso] Categoría no capturada ()", IF(ISNA(MATCH(K1270, Criterios!$A$81:$A$120, 0)), "Categoría no válida", IF(AND(J1270&lt;&gt;"", J1270&lt;&gt;"", J1270&lt;&gt;VLOOKUP(K1270, Criterios!$A$81:$B$120, 2, FALSE)), "División no coincide con Categoría", ""))), IF(OR(L1270="", L1270=""), "[Aviso] Género no capturado ()", IF(ISNA(MATCH(L1270, Criterios!$B$123:$B$127, 0)), "Género no válido", "")), IF(OR(N1270="", N1270=""), "[Aviso] Temporada no capturada ()", IF(ISNA(MATCH(N1270, Criterios!$C$123:$C$128, 0)), "Temporada no válida", "")), IF(OR(O1270="", O1270=""), "[Aviso] Ciclo de vida no capturado ()", IF(ISNA(MATCH(O1270, Criterios!$D$123:$D$124, 0)), "Ciclo de vida no válido", ""))))</f>
        <v/>
      </c>
      <c r="AC1270" s="56" t="n"/>
      <c r="AD1270" s="51" t="n">
        <v>4</v>
      </c>
      <c r="AE1270" s="156" t="inlineStr">
        <is>
          <t>B25 STETSON.MX (4)</t>
        </is>
      </c>
      <c r="AF1270" s="51" t="n">
        <v>4</v>
      </c>
      <c r="AG1270" s="156" t="inlineStr">
        <is>
          <t>Catálogo existente</t>
        </is>
      </c>
      <c r="AH1270" s="156" t="inlineStr">
        <is>
          <t>Revisión 29/09/2026: Campos sin respaldo: U; Auditoría NetSuite 30/09/2026: llenado desde NetSuite [S] | 01/10/2026: complementado desde Shopify Stetson México (match por código de barras): WB Fit, WB Silueta</t>
        </is>
      </c>
      <c r="AI1270" s="156" t="inlineStr">
        <is>
          <t>No</t>
        </is>
      </c>
      <c r="AJ1270" s="156" t="n"/>
      <c r="AK1270" s="155" t="inlineStr">
        <is>
          <t>Criterios: I [Q] | Criterios: J [R]; G1522_Extraccion_Articulos_NetSuite_2026-09-30.xlsx: fila 57596 [S] | Shopify Stetson: producto 14697972367723 / variante 52013837975915</t>
        </is>
      </c>
      <c r="AL1270" s="58" t="n">
        <v>775.862069</v>
      </c>
      <c r="AM1270" s="58" t="n">
        <v>1724.137931</v>
      </c>
      <c r="AN1270" s="155" t="inlineStr">
        <is>
          <t>Shopify Stetson México</t>
        </is>
      </c>
      <c r="AO1270" s="59" t="n">
        <v>4</v>
      </c>
      <c r="AP1270" s="59" t="n"/>
      <c r="AQ1270" s="59" t="n"/>
      <c r="AR1270" s="155" t="inlineStr">
        <is>
          <t>Shopify Stetson México › Stetson México: 4</t>
        </is>
      </c>
    </row>
    <row r="1271">
      <c r="A1271" s="50" t="inlineStr">
        <is>
          <t>724303724127</t>
        </is>
      </c>
      <c r="B1271" s="51" t="inlineStr">
        <is>
          <t>109782</t>
        </is>
      </c>
      <c r="C1271" s="156" t="inlineStr">
        <is>
          <t>Multimarca</t>
        </is>
      </c>
      <c r="D1271" s="156" t="inlineStr">
        <is>
          <t>9910500-233</t>
        </is>
      </c>
      <c r="E1271" s="156" t="inlineStr">
        <is>
          <t>9910500-233-46</t>
        </is>
      </c>
      <c r="F1271" s="156" t="inlineStr">
        <is>
          <t>46</t>
        </is>
      </c>
      <c r="G1271" s="156" t="inlineStr">
        <is>
          <t>46</t>
        </is>
      </c>
      <c r="H1271" s="156" t="inlineStr">
        <is>
          <t>Stetson</t>
        </is>
      </c>
      <c r="I1271" s="156" t="inlineStr">
        <is>
          <t>Cinturón Stetson Piel Cognac</t>
        </is>
      </c>
      <c r="J1271" s="156" t="inlineStr">
        <is>
          <t>Accesorios</t>
        </is>
      </c>
      <c r="K1271" s="156" t="inlineStr">
        <is>
          <t>Cinturones</t>
        </is>
      </c>
      <c r="L1271" s="156" t="inlineStr">
        <is>
          <t>Hombre</t>
        </is>
      </c>
      <c r="M1271" s="156" t="inlineStr">
        <is>
          <t>Stetson</t>
        </is>
      </c>
      <c r="N1271" s="156" t="inlineStr">
        <is>
          <t>SS26</t>
        </is>
      </c>
      <c r="O1271" s="156" t="inlineStr">
        <is>
          <t>Seasonal</t>
        </is>
      </c>
      <c r="P1271" s="156" t="inlineStr">
        <is>
          <t>Cafe</t>
        </is>
      </c>
      <c r="Q1271" s="156" t="n"/>
      <c r="R1271" s="156" t="n"/>
      <c r="S1271" s="156" t="inlineStr">
        <is>
          <t>Cuero</t>
        </is>
      </c>
      <c r="T1271"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1271" s="156" t="n"/>
      <c r="V1271" s="156" t="inlineStr">
        <is>
          <t>PZS</t>
        </is>
      </c>
      <c r="W1271" s="51" t="inlineStr">
        <is>
          <t>53102501</t>
        </is>
      </c>
      <c r="X1271" s="156" t="inlineStr">
        <is>
          <t>https://cdn.shopify.com/s/files/1/0888/3250/8267/files/9910500-233_Cognac_1.jpg?v=1761948342</t>
        </is>
      </c>
      <c r="Y1271" s="54" t="n">
        <v>775.862069</v>
      </c>
      <c r="Z1271" s="54" t="n">
        <v>1724.137931</v>
      </c>
      <c r="AA1271" s="55">
        <f>IF(AND(A1271="", B1271="", E1271=""), "", IF(AB1271="", "Válido", IF((LEN(AB1271)-LEN(SUBSTITUTE(AB1271,"; ","")))/2+1&gt;(LEN(AB1271)-LEN(SUBSTITUTE(AB1271,"[Aviso]","")))/7, "Con Incidencias", "Válido")))</f>
        <v/>
      </c>
      <c r="AB1271" s="56">
        <f>IF(AND(A1271="", B1271="", E1271=""), "", TEXTJOIN("; ", TRUE, IF(OR(TRIM(A1271&amp;"")="", ISNUMBER(SEARCH("FALTA", A1271))), "UPC faltante/inválido", ""), IF(AND(A1271&lt;&gt;"", IFERROR(_xlfn.XMATCH(A1271,$A$2:$A$2509,0,1)&lt;&gt;_xlfn.XMATCH(A1271,$A$2:$A$2509,0,-1),FALSE)), "Código de barras duplicado", ""), IF(AND(E1271&lt;&gt;"", COUNTIF($E$2:$E$2509, E1271)&gt;1), "SKU duplicado", ""), IF(OR(J1271="", J1271=""), "[Aviso] División no capturada ()", IF(ISNA(MATCH(J1271, Criterios!$A$123:$A$126, 0)), "División no válida", "")), IF(OR(K1271="", K1271=""), "[Aviso] Categoría no capturada ()", IF(ISNA(MATCH(K1271, Criterios!$A$81:$A$120, 0)), "Categoría no válida", IF(AND(J1271&lt;&gt;"", J1271&lt;&gt;"", J1271&lt;&gt;VLOOKUP(K1271, Criterios!$A$81:$B$120, 2, FALSE)), "División no coincide con Categoría", ""))), IF(OR(L1271="", L1271=""), "[Aviso] Género no capturado ()", IF(ISNA(MATCH(L1271, Criterios!$B$123:$B$127, 0)), "Género no válido", "")), IF(OR(N1271="", N1271=""), "[Aviso] Temporada no capturada ()", IF(ISNA(MATCH(N1271, Criterios!$C$123:$C$128, 0)), "Temporada no válida", "")), IF(OR(O1271="", O1271=""), "[Aviso] Ciclo de vida no capturado ()", IF(ISNA(MATCH(O1271, Criterios!$D$123:$D$124, 0)), "Ciclo de vida no válido", ""))))</f>
        <v/>
      </c>
      <c r="AC1271" s="56" t="n"/>
      <c r="AD1271" s="51" t="n">
        <v>0</v>
      </c>
      <c r="AE1271" s="156" t="n"/>
      <c r="AF1271" s="51" t="n">
        <v>0</v>
      </c>
      <c r="AG1271" s="156" t="inlineStr">
        <is>
          <t>Catálogo existente</t>
        </is>
      </c>
      <c r="AH1271" s="156" t="inlineStr">
        <is>
          <t>Revisión 29/09/2026: Campos sin respaldo: U, X; Auditoría NetSuite 30/09/2026: llenado desde NetSuite [S] | 01/10/2026: complementado desde Shopify Stetson México (match por código de barras): WB Fit, WB Silueta, Enlace de imagen</t>
        </is>
      </c>
      <c r="AI1271" s="156" t="inlineStr">
        <is>
          <t>No</t>
        </is>
      </c>
      <c r="AJ1271" s="156" t="n"/>
      <c r="AK1271" s="155" t="inlineStr">
        <is>
          <t>Criterios: I [Q] | Criterios: J [R]; G1522_Extraccion_Articulos_NetSuite_2026-09-30.xlsx: fila 57597 [S] | Shopify Stetson: producto 14697972367723 / variante 52013838008683</t>
        </is>
      </c>
      <c r="AL1271" s="58" t="n">
        <v>775.862069</v>
      </c>
      <c r="AM1271" s="58" t="n">
        <v>1724.137931</v>
      </c>
      <c r="AN1271" s="155" t="inlineStr">
        <is>
          <t>Shopify Stetson México</t>
        </is>
      </c>
      <c r="AO1271" s="59" t="n">
        <v>0</v>
      </c>
      <c r="AP1271" s="59" t="n"/>
      <c r="AQ1271" s="59" t="n"/>
      <c r="AR1271" s="155" t="n"/>
    </row>
    <row r="1272">
      <c r="A1272" s="50" t="inlineStr">
        <is>
          <t>724303724257</t>
        </is>
      </c>
      <c r="B1272" s="51" t="inlineStr">
        <is>
          <t>109839</t>
        </is>
      </c>
      <c r="C1272" s="156" t="inlineStr">
        <is>
          <t>Multimarca</t>
        </is>
      </c>
      <c r="D1272" s="156" t="inlineStr">
        <is>
          <t>9918500-203</t>
        </is>
      </c>
      <c r="E1272" s="156" t="inlineStr">
        <is>
          <t>9918500-203-36</t>
        </is>
      </c>
      <c r="F1272" s="156" t="inlineStr">
        <is>
          <t>36</t>
        </is>
      </c>
      <c r="G1272" s="156" t="inlineStr">
        <is>
          <t>36</t>
        </is>
      </c>
      <c r="H1272" s="156" t="inlineStr">
        <is>
          <t>Stetson</t>
        </is>
      </c>
      <c r="I1272" s="156" t="inlineStr">
        <is>
          <t>Cinturón Stetson Piel Vintage Café</t>
        </is>
      </c>
      <c r="J1272" s="156" t="inlineStr">
        <is>
          <t>Accesorios</t>
        </is>
      </c>
      <c r="K1272" s="156" t="inlineStr">
        <is>
          <t>Cinturones</t>
        </is>
      </c>
      <c r="L1272" s="156" t="inlineStr">
        <is>
          <t>Hombre</t>
        </is>
      </c>
      <c r="M1272" s="156" t="inlineStr">
        <is>
          <t>Stetson</t>
        </is>
      </c>
      <c r="N1272" s="156" t="inlineStr">
        <is>
          <t>SS26</t>
        </is>
      </c>
      <c r="O1272" s="156" t="inlineStr">
        <is>
          <t>Seasonal</t>
        </is>
      </c>
      <c r="P1272" s="156" t="inlineStr">
        <is>
          <t>Cafe</t>
        </is>
      </c>
      <c r="Q1272" s="156" t="n"/>
      <c r="R1272" s="156" t="n"/>
      <c r="S1272" s="156" t="inlineStr">
        <is>
          <t>Piel</t>
        </is>
      </c>
      <c r="T1272"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1272" s="156" t="n"/>
      <c r="V1272" s="156" t="inlineStr">
        <is>
          <t>PZS</t>
        </is>
      </c>
      <c r="W1272" s="51" t="inlineStr">
        <is>
          <t>53102501</t>
        </is>
      </c>
      <c r="X1272" s="156" t="inlineStr">
        <is>
          <t>https://cdn.shopify.com/s/files/1/0888/3250/8267/files/9918500-203_alt1.jpg?v=1763143490</t>
        </is>
      </c>
      <c r="Y1272" s="54" t="n">
        <v>756.4655172</v>
      </c>
      <c r="Z1272" s="54" t="n">
        <v>1681.034483</v>
      </c>
      <c r="AA1272" s="55">
        <f>IF(AND(A1272="", B1272="", E1272=""), "", IF(AB1272="", "Válido", IF((LEN(AB1272)-LEN(SUBSTITUTE(AB1272,"; ","")))/2+1&gt;(LEN(AB1272)-LEN(SUBSTITUTE(AB1272,"[Aviso]","")))/7, "Con Incidencias", "Válido")))</f>
        <v/>
      </c>
      <c r="AB1272" s="56">
        <f>IF(AND(A1272="", B1272="", E1272=""), "", TEXTJOIN("; ", TRUE, IF(OR(TRIM(A1272&amp;"")="", ISNUMBER(SEARCH("FALTA", A1272))), "UPC faltante/inválido", ""), IF(AND(A1272&lt;&gt;"", IFERROR(_xlfn.XMATCH(A1272,$A$2:$A$2509,0,1)&lt;&gt;_xlfn.XMATCH(A1272,$A$2:$A$2509,0,-1),FALSE)), "Código de barras duplicado", ""), IF(AND(E1272&lt;&gt;"", COUNTIF($E$2:$E$2509, E1272)&gt;1), "SKU duplicado", ""), IF(OR(J1272="", J1272=""), "[Aviso] División no capturada ()", IF(ISNA(MATCH(J1272, Criterios!$A$123:$A$126, 0)), "División no válida", "")), IF(OR(K1272="", K1272=""), "[Aviso] Categoría no capturada ()", IF(ISNA(MATCH(K1272, Criterios!$A$81:$A$120, 0)), "Categoría no válida", IF(AND(J1272&lt;&gt;"", J1272&lt;&gt;"", J1272&lt;&gt;VLOOKUP(K1272, Criterios!$A$81:$B$120, 2, FALSE)), "División no coincide con Categoría", ""))), IF(OR(L1272="", L1272=""), "[Aviso] Género no capturado ()", IF(ISNA(MATCH(L1272, Criterios!$B$123:$B$127, 0)), "Género no válido", "")), IF(OR(N1272="", N1272=""), "[Aviso] Temporada no capturada ()", IF(ISNA(MATCH(N1272, Criterios!$C$123:$C$128, 0)), "Temporada no válida", "")), IF(OR(O1272="", O1272=""), "[Aviso] Ciclo de vida no capturado ()", IF(ISNA(MATCH(O1272, Criterios!$D$123:$D$124, 0)), "Ciclo de vida no válido", ""))))</f>
        <v/>
      </c>
      <c r="AC1272" s="56" t="n"/>
      <c r="AD1272" s="51" t="n">
        <v>-1</v>
      </c>
      <c r="AE1272" s="156" t="inlineStr">
        <is>
          <t>WB OUTLET LERMA (1)</t>
        </is>
      </c>
      <c r="AF1272" s="51" t="n">
        <v>1</v>
      </c>
      <c r="AG1272" s="156" t="inlineStr">
        <is>
          <t>Catálogo existente</t>
        </is>
      </c>
      <c r="AH1272" s="156" t="inlineStr">
        <is>
          <t>Stock negativo en sistema: revisar en conteo | Revisión 29/09/2026: Campos sin respaldo: U; Auditoría NetSuite 30/09/2026: llenado desde NetSuite [S] | 01/10/2026: complementado desde Shopify Stetson México (match por código de barras): WB Fit, WB Silueta</t>
        </is>
      </c>
      <c r="AI1272" s="156" t="inlineStr">
        <is>
          <t>Sí</t>
        </is>
      </c>
      <c r="AJ1272" s="156" t="inlineStr">
        <is>
          <t>STETSON AMERICAS (-2)</t>
        </is>
      </c>
      <c r="AK1272" s="155" t="inlineStr">
        <is>
          <t>Criterios: I [Q] | Criterios: J [R]; G1522_Extraccion_Articulos_NetSuite_2026-09-30.xlsx: fila 57654 [S] | Shopify Stetson: producto 14697993175403 / variante 52013901840747 | Shopify WB: producto 10310237847737 / variante 50512090103993</t>
        </is>
      </c>
      <c r="AL1272" s="58" t="n">
        <v>756.4655172</v>
      </c>
      <c r="AM1272" s="58" t="n">
        <v>1681.034483</v>
      </c>
      <c r="AN1272" s="155" t="inlineStr">
        <is>
          <t>Shopify Stetson México | Shopify Western Brothers</t>
        </is>
      </c>
      <c r="AO1272" s="59" t="n">
        <v>1</v>
      </c>
      <c r="AP1272" s="59" t="n">
        <v>1</v>
      </c>
      <c r="AQ1272" s="59" t="n"/>
      <c r="AR1272" s="155" t="inlineStr">
        <is>
          <t>Shopify Stetson México › Eventos: 1 | Shopify Western Brothers › Western Brothers Outlet Lerma: 1</t>
        </is>
      </c>
    </row>
    <row r="1273">
      <c r="A1273" s="50" t="inlineStr">
        <is>
          <t>724303724264</t>
        </is>
      </c>
      <c r="B1273" s="51" t="inlineStr">
        <is>
          <t>109840</t>
        </is>
      </c>
      <c r="C1273" s="156" t="inlineStr">
        <is>
          <t>Multimarca</t>
        </is>
      </c>
      <c r="D1273" s="156" t="inlineStr">
        <is>
          <t>9918500-203</t>
        </is>
      </c>
      <c r="E1273" s="156" t="inlineStr">
        <is>
          <t>9918500-203-38</t>
        </is>
      </c>
      <c r="F1273" s="156" t="inlineStr">
        <is>
          <t>38</t>
        </is>
      </c>
      <c r="G1273" s="156" t="inlineStr">
        <is>
          <t>38</t>
        </is>
      </c>
      <c r="H1273" s="156" t="inlineStr">
        <is>
          <t>Stetson</t>
        </is>
      </c>
      <c r="I1273" s="156" t="inlineStr">
        <is>
          <t>Cinturón Stetson Piel Vintage Café</t>
        </is>
      </c>
      <c r="J1273" s="156" t="inlineStr">
        <is>
          <t>Accesorios</t>
        </is>
      </c>
      <c r="K1273" s="156" t="inlineStr">
        <is>
          <t>Cinturones</t>
        </is>
      </c>
      <c r="L1273" s="156" t="inlineStr">
        <is>
          <t>Hombre</t>
        </is>
      </c>
      <c r="M1273" s="156" t="inlineStr">
        <is>
          <t>Stetson</t>
        </is>
      </c>
      <c r="N1273" s="156" t="inlineStr">
        <is>
          <t>SS26</t>
        </is>
      </c>
      <c r="O1273" s="156" t="inlineStr">
        <is>
          <t>Seasonal</t>
        </is>
      </c>
      <c r="P1273" s="156" t="inlineStr">
        <is>
          <t>Cafe</t>
        </is>
      </c>
      <c r="Q1273" s="156" t="n"/>
      <c r="R1273" s="156" t="n"/>
      <c r="S1273" s="156" t="inlineStr">
        <is>
          <t>Piel</t>
        </is>
      </c>
      <c r="T1273"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3" s="156" t="n"/>
      <c r="V1273" s="156" t="inlineStr">
        <is>
          <t>PZS</t>
        </is>
      </c>
      <c r="W1273" s="51" t="inlineStr">
        <is>
          <t>53102501</t>
        </is>
      </c>
      <c r="X1273" s="156" t="inlineStr">
        <is>
          <t>https://cdn.shopify.com/s/files/1/0888/3250/8267/files/9918500-203_Vintage_Brown_2.jpg?v=1763143496</t>
        </is>
      </c>
      <c r="Y1273" s="54" t="n">
        <v>756.4655172</v>
      </c>
      <c r="Z1273" s="54" t="n">
        <v>1681.034483</v>
      </c>
      <c r="AA1273" s="55">
        <f>IF(AND(A1273="", B1273="", E1273=""), "", IF(AB1273="", "Válido", IF((LEN(AB1273)-LEN(SUBSTITUTE(AB1273,"; ","")))/2+1&gt;(LEN(AB1273)-LEN(SUBSTITUTE(AB1273,"[Aviso]","")))/7, "Con Incidencias", "Válido")))</f>
        <v/>
      </c>
      <c r="AB1273" s="56">
        <f>IF(AND(A1273="", B1273="", E1273=""), "", TEXTJOIN("; ", TRUE, IF(OR(TRIM(A1273&amp;"")="", ISNUMBER(SEARCH("FALTA", A1273))), "UPC faltante/inválido", ""), IF(AND(A1273&lt;&gt;"", IFERROR(_xlfn.XMATCH(A1273,$A$2:$A$2509,0,1)&lt;&gt;_xlfn.XMATCH(A1273,$A$2:$A$2509,0,-1),FALSE)), "Código de barras duplicado", ""), IF(AND(E1273&lt;&gt;"", COUNTIF($E$2:$E$2509, E1273)&gt;1), "SKU duplicado", ""), IF(OR(J1273="", J1273=""), "[Aviso] División no capturada ()", IF(ISNA(MATCH(J1273, Criterios!$A$123:$A$126, 0)), "División no válida", "")), IF(OR(K1273="", K1273=""), "[Aviso] Categoría no capturada ()", IF(ISNA(MATCH(K1273, Criterios!$A$81:$A$120, 0)), "Categoría no válida", IF(AND(J1273&lt;&gt;"", J1273&lt;&gt;"", J1273&lt;&gt;VLOOKUP(K1273, Criterios!$A$81:$B$120, 2, FALSE)), "División no coincide con Categoría", ""))), IF(OR(L1273="", L1273=""), "[Aviso] Género no capturado ()", IF(ISNA(MATCH(L1273, Criterios!$B$123:$B$127, 0)), "Género no válido", "")), IF(OR(N1273="", N1273=""), "[Aviso] Temporada no capturada ()", IF(ISNA(MATCH(N1273, Criterios!$C$123:$C$128, 0)), "Temporada no válida", "")), IF(OR(O1273="", O1273=""), "[Aviso] Ciclo de vida no capturado ()", IF(ISNA(MATCH(O1273, Criterios!$D$123:$D$124, 0)), "Ciclo de vida no válido", ""))))</f>
        <v/>
      </c>
      <c r="AC1273" s="56" t="n"/>
      <c r="AD1273" s="51" t="n">
        <v>8</v>
      </c>
      <c r="AE1273" s="156" t="inlineStr">
        <is>
          <t>WB OUTLET LERMA (1); B25 STETSON.MX (10)</t>
        </is>
      </c>
      <c r="AF1273" s="51" t="n">
        <v>11</v>
      </c>
      <c r="AG1273" s="156" t="inlineStr">
        <is>
          <t>Catálogo existente</t>
        </is>
      </c>
      <c r="AH1273" s="156" t="inlineStr">
        <is>
          <t>Revisión 29/09/2026: Campos sin respaldo: U; Auditoría NetSuite 30/09/2026: llenado desde NetSuite [S] | 01/10/2026: complementado desde Shopify Stetson México (match por código de barras): WB Fit, WB Silueta</t>
        </is>
      </c>
      <c r="AI1273" s="156" t="inlineStr">
        <is>
          <t>Sí</t>
        </is>
      </c>
      <c r="AJ1273" s="156" t="inlineStr">
        <is>
          <t>STETSON AMERICAS (-3)</t>
        </is>
      </c>
      <c r="AK1273" s="155" t="inlineStr">
        <is>
          <t>Criterios: I [Q] | Criterios: J [R]; G1522_Extraccion_Articulos_NetSuite_2026-09-30.xlsx: fila 57655 [S] | Shopify Stetson: producto 14697993175403 / variante 52013901873515 | Shopify WB: producto 10310237847737 / variante 50512090136761</t>
        </is>
      </c>
      <c r="AL1273" s="58" t="n">
        <v>756.4655172</v>
      </c>
      <c r="AM1273" s="58" t="n">
        <v>1681.034483</v>
      </c>
      <c r="AN1273" s="155" t="inlineStr">
        <is>
          <t>Shopify Stetson México | Shopify Western Brothers</t>
        </is>
      </c>
      <c r="AO1273" s="59" t="n">
        <v>12</v>
      </c>
      <c r="AP1273" s="59" t="n">
        <v>1</v>
      </c>
      <c r="AQ1273" s="59" t="n"/>
      <c r="AR1273" s="155" t="inlineStr">
        <is>
          <t>Shopify Stetson México › Stetson México: 10 | Shopify Stetson México › Stetson Americas: 1 | Shopify Stetson México › Eventos: 1 | Shopify Western Brothers › Western Brothers Outlet Lerma: 1</t>
        </is>
      </c>
    </row>
    <row r="1274">
      <c r="A1274" s="50" t="inlineStr">
        <is>
          <t>724303724271</t>
        </is>
      </c>
      <c r="B1274" s="51" t="inlineStr">
        <is>
          <t>109841</t>
        </is>
      </c>
      <c r="C1274" s="156" t="inlineStr">
        <is>
          <t>Multimarca</t>
        </is>
      </c>
      <c r="D1274" s="156" t="inlineStr">
        <is>
          <t>9918500-203</t>
        </is>
      </c>
      <c r="E1274" s="156" t="inlineStr">
        <is>
          <t>9918500-203-40</t>
        </is>
      </c>
      <c r="F1274" s="156" t="inlineStr">
        <is>
          <t>40</t>
        </is>
      </c>
      <c r="G1274" s="156" t="inlineStr">
        <is>
          <t>40</t>
        </is>
      </c>
      <c r="H1274" s="156" t="inlineStr">
        <is>
          <t>Stetson</t>
        </is>
      </c>
      <c r="I1274" s="156" t="inlineStr">
        <is>
          <t>Cinturón Stetson Piel Vintage Café</t>
        </is>
      </c>
      <c r="J1274" s="156" t="inlineStr">
        <is>
          <t>Accesorios</t>
        </is>
      </c>
      <c r="K1274" s="156" t="inlineStr">
        <is>
          <t>Cinturones</t>
        </is>
      </c>
      <c r="L1274" s="156" t="inlineStr">
        <is>
          <t>Hombre</t>
        </is>
      </c>
      <c r="M1274" s="156" t="inlineStr">
        <is>
          <t>Stetson</t>
        </is>
      </c>
      <c r="N1274" s="156" t="inlineStr">
        <is>
          <t>SS26</t>
        </is>
      </c>
      <c r="O1274" s="156" t="inlineStr">
        <is>
          <t>Seasonal</t>
        </is>
      </c>
      <c r="P1274" s="156" t="inlineStr">
        <is>
          <t>Cafe</t>
        </is>
      </c>
      <c r="Q1274" s="156" t="n"/>
      <c r="R1274" s="156" t="n"/>
      <c r="S1274" s="156" t="inlineStr">
        <is>
          <t>Piel</t>
        </is>
      </c>
      <c r="T1274"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4" s="156" t="n"/>
      <c r="V1274" s="156" t="inlineStr">
        <is>
          <t>PZS</t>
        </is>
      </c>
      <c r="W1274" s="51" t="inlineStr">
        <is>
          <t>53102501</t>
        </is>
      </c>
      <c r="X1274" s="156" t="inlineStr">
        <is>
          <t>https://cdn.shopify.com/s/files/1/0888/3250/8267/files/9918500-203_Vintage_Brown_3.jpg?v=1763143503</t>
        </is>
      </c>
      <c r="Y1274" s="54" t="n">
        <v>756.4655172</v>
      </c>
      <c r="Z1274" s="54" t="n">
        <v>1681.034483</v>
      </c>
      <c r="AA1274" s="55">
        <f>IF(AND(A1274="", B1274="", E1274=""), "", IF(AB1274="", "Válido", IF((LEN(AB1274)-LEN(SUBSTITUTE(AB1274,"; ","")))/2+1&gt;(LEN(AB1274)-LEN(SUBSTITUTE(AB1274,"[Aviso]","")))/7, "Con Incidencias", "Válido")))</f>
        <v/>
      </c>
      <c r="AB1274" s="56">
        <f>IF(AND(A1274="", B1274="", E1274=""), "", TEXTJOIN("; ", TRUE, IF(OR(TRIM(A1274&amp;"")="", ISNUMBER(SEARCH("FALTA", A1274))), "UPC faltante/inválido", ""), IF(AND(A1274&lt;&gt;"", IFERROR(_xlfn.XMATCH(A1274,$A$2:$A$2509,0,1)&lt;&gt;_xlfn.XMATCH(A1274,$A$2:$A$2509,0,-1),FALSE)), "Código de barras duplicado", ""), IF(AND(E1274&lt;&gt;"", COUNTIF($E$2:$E$2509, E1274)&gt;1), "SKU duplicado", ""), IF(OR(J1274="", J1274=""), "[Aviso] División no capturada ()", IF(ISNA(MATCH(J1274, Criterios!$A$123:$A$126, 0)), "División no válida", "")), IF(OR(K1274="", K1274=""), "[Aviso] Categoría no capturada ()", IF(ISNA(MATCH(K1274, Criterios!$A$81:$A$120, 0)), "Categoría no válida", IF(AND(J1274&lt;&gt;"", J1274&lt;&gt;"", J1274&lt;&gt;VLOOKUP(K1274, Criterios!$A$81:$B$120, 2, FALSE)), "División no coincide con Categoría", ""))), IF(OR(L1274="", L1274=""), "[Aviso] Género no capturado ()", IF(ISNA(MATCH(L1274, Criterios!$B$123:$B$127, 0)), "Género no válido", "")), IF(OR(N1274="", N1274=""), "[Aviso] Temporada no capturada ()", IF(ISNA(MATCH(N1274, Criterios!$C$123:$C$128, 0)), "Temporada no válida", "")), IF(OR(O1274="", O1274=""), "[Aviso] Ciclo de vida no capturado ()", IF(ISNA(MATCH(O1274, Criterios!$D$123:$D$124, 0)), "Ciclo de vida no válido", ""))))</f>
        <v/>
      </c>
      <c r="AC1274" s="56" t="n"/>
      <c r="AD1274" s="51" t="n">
        <v>10</v>
      </c>
      <c r="AE1274" s="156" t="inlineStr">
        <is>
          <t>B25 STETSON.MX (10); WB OUTLET LERMA (1)</t>
        </is>
      </c>
      <c r="AF1274" s="51" t="n">
        <v>11</v>
      </c>
      <c r="AG1274" s="156" t="inlineStr">
        <is>
          <t>Catálogo existente</t>
        </is>
      </c>
      <c r="AH1274" s="156" t="inlineStr">
        <is>
          <t>Revisión 29/09/2026: Campos sin respaldo: U; Auditoría NetSuite 30/09/2026: llenado desde NetSuite [S] | 01/10/2026: complementado desde Shopify Stetson México (match por código de barras): WB Fit, WB Silueta</t>
        </is>
      </c>
      <c r="AI1274" s="156" t="inlineStr">
        <is>
          <t>Sí</t>
        </is>
      </c>
      <c r="AJ1274" s="156" t="inlineStr">
        <is>
          <t>STETSON AMERICAS (-1)</t>
        </is>
      </c>
      <c r="AK1274" s="155" t="inlineStr">
        <is>
          <t>Criterios: I [Q] | Criterios: J [R]; G1522_Extraccion_Articulos_NetSuite_2026-09-30.xlsx: fila 57656 [S] | Shopify Stetson: producto 14697993175403 / variante 52013901906283 | Shopify WB: producto 10310237847737 / variante 50512090169529</t>
        </is>
      </c>
      <c r="AL1274" s="58" t="n">
        <v>756.4655172</v>
      </c>
      <c r="AM1274" s="58" t="n">
        <v>1681.034483</v>
      </c>
      <c r="AN1274" s="155" t="inlineStr">
        <is>
          <t>Shopify Stetson México | Shopify Western Brothers</t>
        </is>
      </c>
      <c r="AO1274" s="59" t="n">
        <v>14</v>
      </c>
      <c r="AP1274" s="59" t="n">
        <v>1</v>
      </c>
      <c r="AQ1274" s="59" t="n"/>
      <c r="AR1274" s="155" t="inlineStr">
        <is>
          <t>Shopify Stetson México › Stetson México: 10 | Shopify Stetson México › Stetson Americas: 3 | Shopify Stetson México › Eventos: 1 | Shopify Western Brothers › Western Brothers Outlet Lerma: 1</t>
        </is>
      </c>
    </row>
    <row r="1275">
      <c r="A1275" s="50" t="inlineStr">
        <is>
          <t>724303724288</t>
        </is>
      </c>
      <c r="B1275" s="51" t="inlineStr">
        <is>
          <t>109842</t>
        </is>
      </c>
      <c r="C1275" s="156" t="inlineStr">
        <is>
          <t>Multimarca</t>
        </is>
      </c>
      <c r="D1275" s="156" t="inlineStr">
        <is>
          <t>9918500-203</t>
        </is>
      </c>
      <c r="E1275" s="156" t="inlineStr">
        <is>
          <t>9918500-203-42</t>
        </is>
      </c>
      <c r="F1275" s="156" t="inlineStr">
        <is>
          <t>42</t>
        </is>
      </c>
      <c r="G1275" s="156" t="inlineStr">
        <is>
          <t>42</t>
        </is>
      </c>
      <c r="H1275" s="156" t="inlineStr">
        <is>
          <t>Stetson</t>
        </is>
      </c>
      <c r="I1275" s="156" t="inlineStr">
        <is>
          <t>Cinturón Stetson Piel Vintage Café</t>
        </is>
      </c>
      <c r="J1275" s="156" t="inlineStr">
        <is>
          <t>Accesorios</t>
        </is>
      </c>
      <c r="K1275" s="156" t="inlineStr">
        <is>
          <t>Cinturones</t>
        </is>
      </c>
      <c r="L1275" s="156" t="inlineStr">
        <is>
          <t>Hombre</t>
        </is>
      </c>
      <c r="M1275" s="156" t="inlineStr">
        <is>
          <t>Stetson</t>
        </is>
      </c>
      <c r="N1275" s="156" t="inlineStr">
        <is>
          <t>SS26</t>
        </is>
      </c>
      <c r="O1275" s="156" t="inlineStr">
        <is>
          <t>Seasonal</t>
        </is>
      </c>
      <c r="P1275" s="156" t="inlineStr">
        <is>
          <t>Cafe</t>
        </is>
      </c>
      <c r="Q1275" s="156" t="n"/>
      <c r="R1275" s="156" t="n"/>
      <c r="S1275" s="156" t="inlineStr">
        <is>
          <t>Piel</t>
        </is>
      </c>
      <c r="T1275"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5" s="156" t="n"/>
      <c r="V1275" s="156" t="inlineStr">
        <is>
          <t>PZS</t>
        </is>
      </c>
      <c r="W1275" s="51" t="inlineStr">
        <is>
          <t>53102501</t>
        </is>
      </c>
      <c r="X1275" s="156" t="inlineStr">
        <is>
          <t>https://cdn.shopify.com/s/files/1/0888/3250/8267/files/9918500-203_Vintage_Brown_4.jpg?v=1763143510</t>
        </is>
      </c>
      <c r="Y1275" s="54" t="n">
        <v>756.4655172</v>
      </c>
      <c r="Z1275" s="54" t="n">
        <v>1681.034483</v>
      </c>
      <c r="AA1275" s="55">
        <f>IF(AND(A1275="", B1275="", E1275=""), "", IF(AB1275="", "Válido", IF((LEN(AB1275)-LEN(SUBSTITUTE(AB1275,"; ","")))/2+1&gt;(LEN(AB1275)-LEN(SUBSTITUTE(AB1275,"[Aviso]","")))/7, "Con Incidencias", "Válido")))</f>
        <v/>
      </c>
      <c r="AB1275" s="56">
        <f>IF(AND(A1275="", B1275="", E1275=""), "", TEXTJOIN("; ", TRUE, IF(OR(TRIM(A1275&amp;"")="", ISNUMBER(SEARCH("FALTA", A1275))), "UPC faltante/inválido", ""), IF(AND(A1275&lt;&gt;"", IFERROR(_xlfn.XMATCH(A1275,$A$2:$A$2509,0,1)&lt;&gt;_xlfn.XMATCH(A1275,$A$2:$A$2509,0,-1),FALSE)), "Código de barras duplicado", ""), IF(AND(E1275&lt;&gt;"", COUNTIF($E$2:$E$2509, E1275)&gt;1), "SKU duplicado", ""), IF(OR(J1275="", J1275=""), "[Aviso] División no capturada ()", IF(ISNA(MATCH(J1275, Criterios!$A$123:$A$126, 0)), "División no válida", "")), IF(OR(K1275="", K1275=""), "[Aviso] Categoría no capturada ()", IF(ISNA(MATCH(K1275, Criterios!$A$81:$A$120, 0)), "Categoría no válida", IF(AND(J1275&lt;&gt;"", J1275&lt;&gt;"", J1275&lt;&gt;VLOOKUP(K1275, Criterios!$A$81:$B$120, 2, FALSE)), "División no coincide con Categoría", ""))), IF(OR(L1275="", L1275=""), "[Aviso] Género no capturado ()", IF(ISNA(MATCH(L1275, Criterios!$B$123:$B$127, 0)), "Género no válido", "")), IF(OR(N1275="", N1275=""), "[Aviso] Temporada no capturada ()", IF(ISNA(MATCH(N1275, Criterios!$C$123:$C$128, 0)), "Temporada no válida", "")), IF(OR(O1275="", O1275=""), "[Aviso] Ciclo de vida no capturado ()", IF(ISNA(MATCH(O1275, Criterios!$D$123:$D$124, 0)), "Ciclo de vida no válido", ""))))</f>
        <v/>
      </c>
      <c r="AC1275" s="56" t="n"/>
      <c r="AD1275" s="51" t="n">
        <v>14</v>
      </c>
      <c r="AE1275" s="156" t="inlineStr">
        <is>
          <t>B25 STETSON.MX (13); WB OUTLET LERMA (1)</t>
        </is>
      </c>
      <c r="AF1275" s="51" t="n">
        <v>14</v>
      </c>
      <c r="AG1275" s="156" t="inlineStr">
        <is>
          <t>Catálogo existente</t>
        </is>
      </c>
      <c r="AH1275" s="156" t="inlineStr">
        <is>
          <t>Revisión 29/09/2026: Campos sin respaldo: U; Auditoría NetSuite 30/09/2026: llenado desde NetSuite [S] | 01/10/2026: complementado desde Shopify Stetson México (match por código de barras): WB Fit, WB Silueta</t>
        </is>
      </c>
      <c r="AI1275" s="156" t="inlineStr">
        <is>
          <t>No</t>
        </is>
      </c>
      <c r="AJ1275" s="156" t="n"/>
      <c r="AK1275" s="155" t="inlineStr">
        <is>
          <t>Criterios: I [Q] | Criterios: J [R]; G1522_Extraccion_Articulos_NetSuite_2026-09-30.xlsx: fila 57657 [S] | Shopify Stetson: producto 14697993175403 / variante 52013901939051 | Shopify WB: producto 10310237847737 / variante 50512090202297</t>
        </is>
      </c>
      <c r="AL1275" s="58" t="n">
        <v>756.4655172</v>
      </c>
      <c r="AM1275" s="58" t="n">
        <v>1681.034483</v>
      </c>
      <c r="AN1275" s="155" t="inlineStr">
        <is>
          <t>Shopify Stetson México | Shopify Western Brothers</t>
        </is>
      </c>
      <c r="AO1275" s="59" t="n">
        <v>16</v>
      </c>
      <c r="AP1275" s="59" t="n">
        <v>1</v>
      </c>
      <c r="AQ1275" s="59" t="n"/>
      <c r="AR1275" s="155" t="inlineStr">
        <is>
          <t>Shopify Stetson México › Stetson México: 13 | Shopify Stetson México › Stetson Americas: 2 | Shopify Stetson México › Eventos: 1 | Shopify Western Brothers › Western Brothers Outlet Lerma: 1</t>
        </is>
      </c>
    </row>
    <row r="1276">
      <c r="A1276" s="50" t="inlineStr">
        <is>
          <t>724303724295</t>
        </is>
      </c>
      <c r="B1276" s="51" t="inlineStr">
        <is>
          <t>109843</t>
        </is>
      </c>
      <c r="C1276" s="156" t="inlineStr">
        <is>
          <t>Multimarca</t>
        </is>
      </c>
      <c r="D1276" s="156" t="inlineStr">
        <is>
          <t>9918500-203</t>
        </is>
      </c>
      <c r="E1276" s="156" t="inlineStr">
        <is>
          <t>9918500-203-44</t>
        </is>
      </c>
      <c r="F1276" s="156" t="inlineStr">
        <is>
          <t>44</t>
        </is>
      </c>
      <c r="G1276" s="156" t="inlineStr">
        <is>
          <t>44</t>
        </is>
      </c>
      <c r="H1276" s="156" t="inlineStr">
        <is>
          <t>Stetson</t>
        </is>
      </c>
      <c r="I1276" s="156" t="inlineStr">
        <is>
          <t>Cinturón Stetson Piel Vintage Café</t>
        </is>
      </c>
      <c r="J1276" s="156" t="inlineStr">
        <is>
          <t>Accesorios</t>
        </is>
      </c>
      <c r="K1276" s="156" t="inlineStr">
        <is>
          <t>Cinturones</t>
        </is>
      </c>
      <c r="L1276" s="156" t="inlineStr">
        <is>
          <t>Hombre</t>
        </is>
      </c>
      <c r="M1276" s="156" t="inlineStr">
        <is>
          <t>Stetson</t>
        </is>
      </c>
      <c r="N1276" s="156" t="inlineStr">
        <is>
          <t>SS26</t>
        </is>
      </c>
      <c r="O1276" s="156" t="inlineStr">
        <is>
          <t>Seasonal</t>
        </is>
      </c>
      <c r="P1276" s="156" t="inlineStr">
        <is>
          <t>Cafe</t>
        </is>
      </c>
      <c r="Q1276" s="156" t="n"/>
      <c r="R1276" s="156" t="n"/>
      <c r="S1276" s="156" t="inlineStr">
        <is>
          <t>Piel</t>
        </is>
      </c>
      <c r="T1276"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6" s="156" t="n"/>
      <c r="V1276" s="156" t="inlineStr">
        <is>
          <t>PZS</t>
        </is>
      </c>
      <c r="W1276" s="51" t="inlineStr">
        <is>
          <t>53102501</t>
        </is>
      </c>
      <c r="X1276" s="156" t="inlineStr">
        <is>
          <t>https://cdn.shopify.com/s/files/1/0888/3250/8267/files/9918500-203_Vintage_Brown_5.jpg?v=1763143520</t>
        </is>
      </c>
      <c r="Y1276" s="54" t="n">
        <v>756.4655172</v>
      </c>
      <c r="Z1276" s="54" t="n">
        <v>1681.034483</v>
      </c>
      <c r="AA1276" s="55">
        <f>IF(AND(A1276="", B1276="", E1276=""), "", IF(AB1276="", "Válido", IF((LEN(AB1276)-LEN(SUBSTITUTE(AB1276,"; ","")))/2+1&gt;(LEN(AB1276)-LEN(SUBSTITUTE(AB1276,"[Aviso]","")))/7, "Con Incidencias", "Válido")))</f>
        <v/>
      </c>
      <c r="AB1276" s="56">
        <f>IF(AND(A1276="", B1276="", E1276=""), "", TEXTJOIN("; ", TRUE, IF(OR(TRIM(A1276&amp;"")="", ISNUMBER(SEARCH("FALTA", A1276))), "UPC faltante/inválido", ""), IF(AND(A1276&lt;&gt;"", IFERROR(_xlfn.XMATCH(A1276,$A$2:$A$2509,0,1)&lt;&gt;_xlfn.XMATCH(A1276,$A$2:$A$2509,0,-1),FALSE)), "Código de barras duplicado", ""), IF(AND(E1276&lt;&gt;"", COUNTIF($E$2:$E$2509, E1276)&gt;1), "SKU duplicado", ""), IF(OR(J1276="", J1276=""), "[Aviso] División no capturada ()", IF(ISNA(MATCH(J1276, Criterios!$A$123:$A$126, 0)), "División no válida", "")), IF(OR(K1276="", K1276=""), "[Aviso] Categoría no capturada ()", IF(ISNA(MATCH(K1276, Criterios!$A$81:$A$120, 0)), "Categoría no válida", IF(AND(J1276&lt;&gt;"", J1276&lt;&gt;"", J1276&lt;&gt;VLOOKUP(K1276, Criterios!$A$81:$B$120, 2, FALSE)), "División no coincide con Categoría", ""))), IF(OR(L1276="", L1276=""), "[Aviso] Género no capturado ()", IF(ISNA(MATCH(L1276, Criterios!$B$123:$B$127, 0)), "Género no válido", "")), IF(OR(N1276="", N1276=""), "[Aviso] Temporada no capturada ()", IF(ISNA(MATCH(N1276, Criterios!$C$123:$C$128, 0)), "Temporada no válida", "")), IF(OR(O1276="", O1276=""), "[Aviso] Ciclo de vida no capturado ()", IF(ISNA(MATCH(O1276, Criterios!$D$123:$D$124, 0)), "Ciclo de vida no válido", ""))))</f>
        <v/>
      </c>
      <c r="AC1276" s="56" t="n"/>
      <c r="AD1276" s="51" t="n">
        <v>8</v>
      </c>
      <c r="AE1276" s="156" t="inlineStr">
        <is>
          <t>B25 STETSON.MX (7); PUNTO DE VENTA (1)</t>
        </is>
      </c>
      <c r="AF1276" s="51" t="n">
        <v>8</v>
      </c>
      <c r="AG1276" s="156" t="inlineStr">
        <is>
          <t>Catálogo existente</t>
        </is>
      </c>
      <c r="AH1276" s="156" t="inlineStr">
        <is>
          <t>Revisión 29/09/2026: Campos sin respaldo: U; Auditoría NetSuite 30/09/2026: llenado desde NetSuite [S] | 01/10/2026: complementado desde Shopify Stetson México (match por código de barras): WB Fit, WB Silueta</t>
        </is>
      </c>
      <c r="AI1276" s="156" t="inlineStr">
        <is>
          <t>No</t>
        </is>
      </c>
      <c r="AJ1276" s="156" t="n"/>
      <c r="AK1276" s="155" t="inlineStr">
        <is>
          <t>Criterios: I [Q] | Criterios: J [R]; G1522_Extraccion_Articulos_NetSuite_2026-09-30.xlsx: fila 57658 [S] | Shopify Stetson: producto 14697993175403 / variante 52013901971819</t>
        </is>
      </c>
      <c r="AL1276" s="58" t="n">
        <v>756.4655172</v>
      </c>
      <c r="AM1276" s="58" t="n">
        <v>1681.034483</v>
      </c>
      <c r="AN1276" s="155" t="inlineStr">
        <is>
          <t>Shopify Stetson México</t>
        </is>
      </c>
      <c r="AO1276" s="59" t="n">
        <v>10</v>
      </c>
      <c r="AP1276" s="59" t="n"/>
      <c r="AQ1276" s="59" t="n"/>
      <c r="AR1276" s="155" t="inlineStr">
        <is>
          <t>Shopify Stetson México › Stetson México: 7 | Shopify Stetson México › Stetson Americas: 2 | Shopify Stetson México › Eventos: 1</t>
        </is>
      </c>
    </row>
    <row r="1277">
      <c r="A1277" s="50" t="inlineStr">
        <is>
          <t>724303724301</t>
        </is>
      </c>
      <c r="B1277" s="51" t="inlineStr">
        <is>
          <t>109844</t>
        </is>
      </c>
      <c r="C1277" s="156" t="inlineStr">
        <is>
          <t>Multimarca</t>
        </is>
      </c>
      <c r="D1277" s="156" t="inlineStr">
        <is>
          <t>9918500-203</t>
        </is>
      </c>
      <c r="E1277" s="156" t="inlineStr">
        <is>
          <t>9918500-203-46</t>
        </is>
      </c>
      <c r="F1277" s="156" t="inlineStr">
        <is>
          <t>46</t>
        </is>
      </c>
      <c r="G1277" s="156" t="inlineStr">
        <is>
          <t>46</t>
        </is>
      </c>
      <c r="H1277" s="156" t="inlineStr">
        <is>
          <t>Stetson</t>
        </is>
      </c>
      <c r="I1277" s="156" t="inlineStr">
        <is>
          <t>Cinturón Stetson Piel Vintage Café</t>
        </is>
      </c>
      <c r="J1277" s="156" t="inlineStr">
        <is>
          <t>Accesorios</t>
        </is>
      </c>
      <c r="K1277" s="156" t="inlineStr">
        <is>
          <t>Cinturones</t>
        </is>
      </c>
      <c r="L1277" s="156" t="inlineStr">
        <is>
          <t>Hombre</t>
        </is>
      </c>
      <c r="M1277" s="156" t="inlineStr">
        <is>
          <t>Stetson</t>
        </is>
      </c>
      <c r="N1277" s="156" t="inlineStr">
        <is>
          <t>SS26</t>
        </is>
      </c>
      <c r="O1277" s="156" t="inlineStr">
        <is>
          <t>Seasonal</t>
        </is>
      </c>
      <c r="P1277" s="156" t="inlineStr">
        <is>
          <t>Cafe</t>
        </is>
      </c>
      <c r="Q1277" s="156" t="n"/>
      <c r="R1277" s="156" t="n"/>
      <c r="S1277" s="156" t="inlineStr">
        <is>
          <t>Piel</t>
        </is>
      </c>
      <c r="T1277"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7" s="156" t="n"/>
      <c r="V1277" s="156" t="inlineStr">
        <is>
          <t>PZS</t>
        </is>
      </c>
      <c r="W1277" s="51" t="inlineStr">
        <is>
          <t>53102501</t>
        </is>
      </c>
      <c r="X1277" s="156" t="inlineStr">
        <is>
          <t>https://cdn.shopify.com/s/files/1/0888/3250/8267/files/9918500-203_Vintage_Brown_1.jpg?v=1763143475</t>
        </is>
      </c>
      <c r="Y1277" s="54" t="n">
        <v>756.4655172</v>
      </c>
      <c r="Z1277" s="54" t="n">
        <v>1681.034483</v>
      </c>
      <c r="AA1277" s="55">
        <f>IF(AND(A1277="", B1277="", E1277=""), "", IF(AB1277="", "Válido", IF((LEN(AB1277)-LEN(SUBSTITUTE(AB1277,"; ","")))/2+1&gt;(LEN(AB1277)-LEN(SUBSTITUTE(AB1277,"[Aviso]","")))/7, "Con Incidencias", "Válido")))</f>
        <v/>
      </c>
      <c r="AB1277" s="56">
        <f>IF(AND(A1277="", B1277="", E1277=""), "", TEXTJOIN("; ", TRUE, IF(OR(TRIM(A1277&amp;"")="", ISNUMBER(SEARCH("FALTA", A1277))), "UPC faltante/inválido", ""), IF(AND(A1277&lt;&gt;"", IFERROR(_xlfn.XMATCH(A1277,$A$2:$A$2509,0,1)&lt;&gt;_xlfn.XMATCH(A1277,$A$2:$A$2509,0,-1),FALSE)), "Código de barras duplicado", ""), IF(AND(E1277&lt;&gt;"", COUNTIF($E$2:$E$2509, E1277)&gt;1), "SKU duplicado", ""), IF(OR(J1277="", J1277=""), "[Aviso] División no capturada ()", IF(ISNA(MATCH(J1277, Criterios!$A$123:$A$126, 0)), "División no válida", "")), IF(OR(K1277="", K1277=""), "[Aviso] Categoría no capturada ()", IF(ISNA(MATCH(K1277, Criterios!$A$81:$A$120, 0)), "Categoría no válida", IF(AND(J1277&lt;&gt;"", J1277&lt;&gt;"", J1277&lt;&gt;VLOOKUP(K1277, Criterios!$A$81:$B$120, 2, FALSE)), "División no coincide con Categoría", ""))), IF(OR(L1277="", L1277=""), "[Aviso] Género no capturado ()", IF(ISNA(MATCH(L1277, Criterios!$B$123:$B$127, 0)), "Género no válido", "")), IF(OR(N1277="", N1277=""), "[Aviso] Temporada no capturada ()", IF(ISNA(MATCH(N1277, Criterios!$C$123:$C$128, 0)), "Temporada no válida", "")), IF(OR(O1277="", O1277=""), "[Aviso] Ciclo de vida no capturado ()", IF(ISNA(MATCH(O1277, Criterios!$D$123:$D$124, 0)), "Ciclo de vida no válido", ""))))</f>
        <v/>
      </c>
      <c r="AC1277" s="56" t="n"/>
      <c r="AD1277" s="51" t="n">
        <v>4</v>
      </c>
      <c r="AE1277" s="156" t="inlineStr">
        <is>
          <t>B25 STETSON.MX (3); PUNTO DE VENTA (1)</t>
        </is>
      </c>
      <c r="AF1277" s="51" t="n">
        <v>4</v>
      </c>
      <c r="AG1277" s="156" t="inlineStr">
        <is>
          <t>Catálogo existente</t>
        </is>
      </c>
      <c r="AH1277" s="156" t="inlineStr">
        <is>
          <t>Revisión 29/09/2026: Campos sin respaldo: U, X; Auditoría NetSuite 30/09/2026: llenado desde NetSuite [S] | 01/10/2026: complementado desde Shopify Stetson México (match por código de barras): WB Fit, WB Silueta, Enlace de imagen</t>
        </is>
      </c>
      <c r="AI1277" s="156" t="inlineStr">
        <is>
          <t>No</t>
        </is>
      </c>
      <c r="AJ1277" s="156" t="n"/>
      <c r="AK1277" s="155" t="inlineStr">
        <is>
          <t>Criterios: I [Q] | Criterios: J [R]; G1522_Extraccion_Articulos_NetSuite_2026-09-30.xlsx: fila 57659 [S] | Shopify Stetson: producto 14697993175403 / variante 52013902004587</t>
        </is>
      </c>
      <c r="AL1277" s="58" t="n">
        <v>756.4655172</v>
      </c>
      <c r="AM1277" s="58" t="n">
        <v>1681.034483</v>
      </c>
      <c r="AN1277" s="155" t="inlineStr">
        <is>
          <t>Shopify Stetson México</t>
        </is>
      </c>
      <c r="AO1277" s="59" t="n">
        <v>6</v>
      </c>
      <c r="AP1277" s="59" t="n"/>
      <c r="AQ1277" s="59" t="n"/>
      <c r="AR1277" s="155" t="inlineStr">
        <is>
          <t>Shopify Stetson México › Stetson México: 3 | Shopify Stetson México › Stetson Americas: 2 | Shopify Stetson México › Eventos: 1</t>
        </is>
      </c>
    </row>
    <row r="1278">
      <c r="A1278" s="50" t="inlineStr">
        <is>
          <t>724303724585</t>
        </is>
      </c>
      <c r="B1278" s="51" t="inlineStr">
        <is>
          <t>109736</t>
        </is>
      </c>
      <c r="C1278" s="156" t="inlineStr">
        <is>
          <t>Multimarca</t>
        </is>
      </c>
      <c r="D1278" s="156" t="inlineStr">
        <is>
          <t>9805001-200-NZ</t>
        </is>
      </c>
      <c r="E1278" s="156" t="inlineStr">
        <is>
          <t>9805001-200-NZ</t>
        </is>
      </c>
      <c r="F1278" s="156" t="inlineStr">
        <is>
          <t>Talla única</t>
        </is>
      </c>
      <c r="G1278" s="156" t="inlineStr">
        <is>
          <t>One Size</t>
        </is>
      </c>
      <c r="H1278" s="156" t="inlineStr">
        <is>
          <t>Stetson</t>
        </is>
      </c>
      <c r="I1278" s="156" t="inlineStr">
        <is>
          <t>Cartera Stetson Artesanal Western Triple Pliegue</t>
        </is>
      </c>
      <c r="J1278" s="156" t="inlineStr">
        <is>
          <t>Accesorios</t>
        </is>
      </c>
      <c r="K1278" s="156" t="inlineStr">
        <is>
          <t>Carteras</t>
        </is>
      </c>
      <c r="L1278" s="156" t="inlineStr">
        <is>
          <t>Hombre</t>
        </is>
      </c>
      <c r="M1278" s="156" t="inlineStr">
        <is>
          <t>Stetson</t>
        </is>
      </c>
      <c r="N1278" s="156" t="inlineStr">
        <is>
          <t>SS26</t>
        </is>
      </c>
      <c r="O1278" s="156" t="inlineStr">
        <is>
          <t>Seasonal</t>
        </is>
      </c>
      <c r="P1278" s="156" t="inlineStr">
        <is>
          <t>Cafe</t>
        </is>
      </c>
      <c r="Q1278" s="156" t="n"/>
      <c r="R1278" s="156" t="n"/>
      <c r="S1278" s="156" t="inlineStr">
        <is>
          <t>Piel</t>
        </is>
      </c>
      <c r="T1278" s="156" t="inlineStr">
        <is>
          <t>Cartera Tri-Fold Stetson Café – Estilo Western con Toque Artesanal Diseñada para el hombre con espíritu vaquero y gusto por lo auténtico. Esta cartera tri-fold Stetson está fabricada en cuero genuino de primera calidad, con una elegante sobreposición(más...)</t>
        </is>
      </c>
      <c r="U1278" s="156" t="n"/>
      <c r="V1278" s="156" t="inlineStr">
        <is>
          <t>PZS</t>
        </is>
      </c>
      <c r="W1278" s="51" t="inlineStr">
        <is>
          <t>53121700</t>
        </is>
      </c>
      <c r="X1278" s="156" t="inlineStr">
        <is>
          <t>https://cdn.shopify.com/s/files/1/0888/3250/8267/files/9805001-200.jpg?v=1744831140</t>
        </is>
      </c>
      <c r="Y1278" s="54" t="n">
        <v>620.6896551999999</v>
      </c>
      <c r="Z1278" s="54" t="n">
        <v>1379.310345</v>
      </c>
      <c r="AA1278" s="55">
        <f>IF(AND(A1278="", B1278="", E1278=""), "", IF(AB1278="", "Válido", IF((LEN(AB1278)-LEN(SUBSTITUTE(AB1278,"; ","")))/2+1&gt;(LEN(AB1278)-LEN(SUBSTITUTE(AB1278,"[Aviso]","")))/7, "Con Incidencias", "Válido")))</f>
        <v/>
      </c>
      <c r="AB1278" s="56">
        <f>IF(AND(A1278="", B1278="", E1278=""), "", TEXTJOIN("; ", TRUE, IF(OR(TRIM(A1278&amp;"")="", ISNUMBER(SEARCH("FALTA", A1278))), "UPC faltante/inválido", ""), IF(AND(A1278&lt;&gt;"", IFERROR(_xlfn.XMATCH(A1278,$A$2:$A$2509,0,1)&lt;&gt;_xlfn.XMATCH(A1278,$A$2:$A$2509,0,-1),FALSE)), "Código de barras duplicado", ""), IF(AND(E1278&lt;&gt;"", COUNTIF($E$2:$E$2509, E1278)&gt;1), "SKU duplicado", ""), IF(OR(J1278="", J1278=""), "[Aviso] División no capturada ()", IF(ISNA(MATCH(J1278, Criterios!$A$123:$A$126, 0)), "División no válida", "")), IF(OR(K1278="", K1278=""), "[Aviso] Categoría no capturada ()", IF(ISNA(MATCH(K1278, Criterios!$A$81:$A$120, 0)), "Categoría no válida", IF(AND(J1278&lt;&gt;"", J1278&lt;&gt;"", J1278&lt;&gt;VLOOKUP(K1278, Criterios!$A$81:$B$120, 2, FALSE)), "División no coincide con Categoría", ""))), IF(OR(L1278="", L1278=""), "[Aviso] Género no capturado ()", IF(ISNA(MATCH(L1278, Criterios!$B$123:$B$127, 0)), "Género no válido", "")), IF(OR(N1278="", N1278=""), "[Aviso] Temporada no capturada ()", IF(ISNA(MATCH(N1278, Criterios!$C$123:$C$128, 0)), "Temporada no válida", "")), IF(OR(O1278="", O1278=""), "[Aviso] Ciclo de vida no capturado ()", IF(ISNA(MATCH(O1278, Criterios!$D$123:$D$124, 0)), "Ciclo de vida no válido", ""))))</f>
        <v/>
      </c>
      <c r="AC1278" s="56" t="n"/>
      <c r="AD1278" s="51" t="n">
        <v>3</v>
      </c>
      <c r="AE1278" s="156" t="inlineStr">
        <is>
          <t>PUNTO DE VENTA (2); B25 STETSON.MX (1)</t>
        </is>
      </c>
      <c r="AF1278" s="51" t="n">
        <v>3</v>
      </c>
      <c r="AG1278" s="156" t="inlineStr">
        <is>
          <t>Catálogo existente</t>
        </is>
      </c>
      <c r="AH1278" s="156" t="inlineStr">
        <is>
          <t>Revisión 29/09/2026: Campos sin respaldo: U; Auditoría NetSuite 30/09/2026: llenado desde NetSuite [S] | 01/10/2026: complementado desde Shopify Stetson México (match por código de barras): WB Fit, WB Silueta</t>
        </is>
      </c>
      <c r="AI1278" s="156" t="inlineStr">
        <is>
          <t>No</t>
        </is>
      </c>
      <c r="AJ1278" s="156" t="n"/>
      <c r="AK1278" s="155" t="inlineStr">
        <is>
          <t>Criterios: I [Q] | Criterios: J [R]; G1522_Extraccion_Articulos_NetSuite_2026-09-30.xlsx: fila 57551 [S] | Shopify Stetson: producto 14695724974443 / variante 52006356615531</t>
        </is>
      </c>
      <c r="AL1278" s="58" t="n">
        <v>620.6896551999999</v>
      </c>
      <c r="AM1278" s="58" t="n">
        <v>1379.310345</v>
      </c>
      <c r="AN1278" s="155" t="inlineStr">
        <is>
          <t>Shopify Stetson México</t>
        </is>
      </c>
      <c r="AO1278" s="59" t="n">
        <v>13</v>
      </c>
      <c r="AP1278" s="59" t="n"/>
      <c r="AQ1278" s="59" t="n"/>
      <c r="AR1278" s="155" t="inlineStr">
        <is>
          <t>Shopify Stetson México › Stetson México: 1 | Shopify Stetson México › Stetson Americas: 10 | Shopify Stetson México › Eventos: 2</t>
        </is>
      </c>
    </row>
    <row r="1279">
      <c r="A1279" s="50" t="inlineStr">
        <is>
          <t>724303724707</t>
        </is>
      </c>
      <c r="B1279" s="51" t="inlineStr">
        <is>
          <t>109729</t>
        </is>
      </c>
      <c r="C1279" s="156" t="inlineStr">
        <is>
          <t>Multimarca</t>
        </is>
      </c>
      <c r="D1279" s="156" t="inlineStr">
        <is>
          <t>9803001-255-NZ</t>
        </is>
      </c>
      <c r="E1279" s="156" t="inlineStr">
        <is>
          <t>9803001-255-NZ</t>
        </is>
      </c>
      <c r="F1279" s="156" t="inlineStr">
        <is>
          <t>Talla única</t>
        </is>
      </c>
      <c r="G1279" s="156" t="inlineStr">
        <is>
          <t>One Size</t>
        </is>
      </c>
      <c r="H1279" s="156" t="inlineStr">
        <is>
          <t>Stetson</t>
        </is>
      </c>
      <c r="I1279" s="156" t="inlineStr">
        <is>
          <t>Cartera Piel Triple Pliegue Marrón Estilo Cocodrilo</t>
        </is>
      </c>
      <c r="J1279" s="156" t="inlineStr">
        <is>
          <t>Accesorios</t>
        </is>
      </c>
      <c r="K1279" s="156" t="inlineStr">
        <is>
          <t>Carteras</t>
        </is>
      </c>
      <c r="L1279" s="156" t="inlineStr">
        <is>
          <t>Hombre</t>
        </is>
      </c>
      <c r="M1279" s="156" t="inlineStr">
        <is>
          <t>Stetson</t>
        </is>
      </c>
      <c r="N1279" s="156" t="inlineStr">
        <is>
          <t>SS26</t>
        </is>
      </c>
      <c r="O1279" s="156" t="inlineStr">
        <is>
          <t>Seasonal</t>
        </is>
      </c>
      <c r="P1279" s="156" t="inlineStr">
        <is>
          <t>Cafe</t>
        </is>
      </c>
      <c r="Q1279" s="156" t="n"/>
      <c r="R1279" s="156" t="n"/>
      <c r="S1279" s="156" t="inlineStr">
        <is>
          <t>Piel</t>
        </is>
      </c>
      <c r="T1279" s="156" t="inlineStr">
        <is>
          <t>Cartera Stetson Marrón de Tres Pliegues – Estilo Elegante en Piel Texturizada
 Cartera para hombre Stetson de cuero de primera calidad con grabado en relieve de estampado de cocodrilo, bordes con costura tonal y remache con el logotipo de Stetson grabado.
 Refleja tu estilo con esta cartera tri-fold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Tri-Fold (Tres pliegues)
 • Color: Marrón
 • Material: Cuero de primera calidad (Top Grain Leather)
 • Distribución interna:
  - Múltiples compartimentos para tarjetas
  - Sección para billetes
  - Espacio con ventana para identificación
 • Detalles adicionales:
  - Sobreposición de cuero repujado a mano
  - Cuerpo con textura tipo cocodrilo
  - Costuras reforzadas
  - Estilo elegante
  - Logotipo Stetson en relieve pintado a mano</t>
        </is>
      </c>
      <c r="U1279" s="156" t="n"/>
      <c r="V1279" s="156" t="inlineStr">
        <is>
          <t>PZS</t>
        </is>
      </c>
      <c r="W1279" s="51" t="inlineStr">
        <is>
          <t>53121700</t>
        </is>
      </c>
      <c r="X1279" s="156" t="inlineStr">
        <is>
          <t>https://cdn.shopify.com/s/files/1/0888/3250/8267/files/9803001-255.jpg?v=1744826331</t>
        </is>
      </c>
      <c r="Y1279" s="54" t="n">
        <v>659.4827586</v>
      </c>
      <c r="Z1279" s="54" t="n">
        <v>1465.517241</v>
      </c>
      <c r="AA1279" s="55">
        <f>IF(AND(A1279="", B1279="", E1279=""), "", IF(AB1279="", "Válido", IF((LEN(AB1279)-LEN(SUBSTITUTE(AB1279,"; ","")))/2+1&gt;(LEN(AB1279)-LEN(SUBSTITUTE(AB1279,"[Aviso]","")))/7, "Con Incidencias", "Válido")))</f>
        <v/>
      </c>
      <c r="AB1279" s="56">
        <f>IF(AND(A1279="", B1279="", E1279=""), "", TEXTJOIN("; ", TRUE, IF(OR(TRIM(A1279&amp;"")="", ISNUMBER(SEARCH("FALTA", A1279))), "UPC faltante/inválido", ""), IF(AND(A1279&lt;&gt;"", IFERROR(_xlfn.XMATCH(A1279,$A$2:$A$2509,0,1)&lt;&gt;_xlfn.XMATCH(A1279,$A$2:$A$2509,0,-1),FALSE)), "Código de barras duplicado", ""), IF(AND(E1279&lt;&gt;"", COUNTIF($E$2:$E$2509, E1279)&gt;1), "SKU duplicado", ""), IF(OR(J1279="", J1279=""), "[Aviso] División no capturada ()", IF(ISNA(MATCH(J1279, Criterios!$A$123:$A$126, 0)), "División no válida", "")), IF(OR(K1279="", K1279=""), "[Aviso] Categoría no capturada ()", IF(ISNA(MATCH(K1279, Criterios!$A$81:$A$120, 0)), "Categoría no válida", IF(AND(J1279&lt;&gt;"", J1279&lt;&gt;"", J1279&lt;&gt;VLOOKUP(K1279, Criterios!$A$81:$B$120, 2, FALSE)), "División no coincide con Categoría", ""))), IF(OR(L1279="", L1279=""), "[Aviso] Género no capturado ()", IF(ISNA(MATCH(L1279, Criterios!$B$123:$B$127, 0)), "Género no válido", "")), IF(OR(N1279="", N1279=""), "[Aviso] Temporada no capturada ()", IF(ISNA(MATCH(N1279, Criterios!$C$123:$C$128, 0)), "Temporada no válida", "")), IF(OR(O1279="", O1279=""), "[Aviso] Ciclo de vida no capturado ()", IF(ISNA(MATCH(O1279, Criterios!$D$123:$D$124, 0)), "Ciclo de vida no válido", ""))))</f>
        <v/>
      </c>
      <c r="AC1279" s="56" t="n"/>
      <c r="AD1279" s="51" t="n">
        <v>-1</v>
      </c>
      <c r="AE1279" s="156" t="n"/>
      <c r="AF1279" s="51" t="n">
        <v>0</v>
      </c>
      <c r="AG1279" s="156" t="inlineStr">
        <is>
          <t>Catálogo existente</t>
        </is>
      </c>
      <c r="AH1279" s="156" t="inlineStr">
        <is>
          <t>Stock negativo en sistema: revisar en conteo | Revisión 29/09/2026: Campos sin respaldo: U; Auditoría NetSuite 30/09/2026: llenado desde NetSuite [S] | 01/10/2026: complementado desde Shopify Stetson México (match por código de barras): WB Fit, WB Silueta</t>
        </is>
      </c>
      <c r="AI1279" s="156" t="inlineStr">
        <is>
          <t>Sí</t>
        </is>
      </c>
      <c r="AJ1279" s="156" t="inlineStr">
        <is>
          <t>STETSON AMERICAS (-1)</t>
        </is>
      </c>
      <c r="AK1279" s="155" t="inlineStr">
        <is>
          <t>Criterios: I [Q] | Criterios: J [R]; G1522_Extraccion_Articulos_NetSuite_2026-09-30.xlsx: fila 57544 [S] | Shopify Stetson: producto 14695707214187 / variante 52005825610091</t>
        </is>
      </c>
      <c r="AL1279" s="58" t="n">
        <v>659.4827586</v>
      </c>
      <c r="AM1279" s="58" t="n">
        <v>1465.517241</v>
      </c>
      <c r="AN1279" s="155" t="inlineStr">
        <is>
          <t>Shopify Stetson México</t>
        </is>
      </c>
      <c r="AO1279" s="59" t="n">
        <v>8</v>
      </c>
      <c r="AP1279" s="59" t="n"/>
      <c r="AQ1279" s="59" t="n"/>
      <c r="AR1279" s="155" t="inlineStr">
        <is>
          <t>Shopify Stetson México › Stetson Americas: 8</t>
        </is>
      </c>
    </row>
    <row r="1280">
      <c r="A1280" s="50" t="inlineStr">
        <is>
          <t>724303724714</t>
        </is>
      </c>
      <c r="B1280" s="51" t="inlineStr">
        <is>
          <t>109730</t>
        </is>
      </c>
      <c r="C1280" s="156" t="inlineStr">
        <is>
          <t>Multimarca</t>
        </is>
      </c>
      <c r="D1280" s="156" t="inlineStr">
        <is>
          <t>9803002-255-NZ</t>
        </is>
      </c>
      <c r="E1280" s="156" t="inlineStr">
        <is>
          <t>9803002-255-NZ</t>
        </is>
      </c>
      <c r="F1280" s="156" t="inlineStr">
        <is>
          <t>Talla única</t>
        </is>
      </c>
      <c r="G1280" s="156" t="inlineStr">
        <is>
          <t>One Size</t>
        </is>
      </c>
      <c r="H1280" s="156" t="inlineStr">
        <is>
          <t>Stetson</t>
        </is>
      </c>
      <c r="I1280" s="156" t="inlineStr">
        <is>
          <t>Cartera Stetson Piel Doble Pliegue Marrón Estilo Cocodrilo</t>
        </is>
      </c>
      <c r="J1280" s="156" t="inlineStr">
        <is>
          <t>Accesorios</t>
        </is>
      </c>
      <c r="K1280" s="156" t="inlineStr">
        <is>
          <t>Carteras</t>
        </is>
      </c>
      <c r="L1280" s="156" t="inlineStr">
        <is>
          <t>Hombre</t>
        </is>
      </c>
      <c r="M1280" s="156" t="inlineStr">
        <is>
          <t>Stetson</t>
        </is>
      </c>
      <c r="N1280" s="156" t="inlineStr">
        <is>
          <t>SS26</t>
        </is>
      </c>
      <c r="O1280" s="156" t="inlineStr">
        <is>
          <t>Seasonal</t>
        </is>
      </c>
      <c r="P1280" s="156" t="inlineStr">
        <is>
          <t>Cafe</t>
        </is>
      </c>
      <c r="Q1280" s="156" t="n"/>
      <c r="R1280" s="156" t="n"/>
      <c r="S1280" s="156" t="inlineStr">
        <is>
          <t>Piel</t>
        </is>
      </c>
      <c r="T1280" s="156" t="inlineStr">
        <is>
          <t>Cartera Stetson Marrón de Dos Pliegues – Estilo Elegante en Piel Texturizada
 Cartera para hombre Stetson de cuero de primera calidad con grabado en relieve de estampado de cocodrilo, bordes con costura tonal y remache con el logotipo de Stetson grabado.
 Refleja tu estilo con esta cartera Bi-fold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Bi-Fold (Dos pliegues)
 • Color: Marrón
 • Material: Cuero de primera calidad (Top Grain Leather)
 Distribución interna:
 • Múltiples compartimentos para tarjetas
 • Sección para billetes
 • Espacio con ventana para identificación
 Detalles adicionales:
 • Sobreposición de cuero repujado a mano
 • Cuerpo con textura tipo cocodrilo</t>
        </is>
      </c>
      <c r="U1280" s="156" t="n"/>
      <c r="V1280" s="156" t="inlineStr">
        <is>
          <t>PZS</t>
        </is>
      </c>
      <c r="W1280" s="51" t="inlineStr">
        <is>
          <t>53121700</t>
        </is>
      </c>
      <c r="X1280" s="156" t="inlineStr">
        <is>
          <t>https://cdn.shopify.com/s/files/1/0888/3250/8267/files/9803002-255-01.jpg?v=1761935612</t>
        </is>
      </c>
      <c r="Y1280" s="54" t="n">
        <v>659.4827586</v>
      </c>
      <c r="Z1280" s="54" t="n">
        <v>1465.517241</v>
      </c>
      <c r="AA1280" s="55">
        <f>IF(AND(A1280="", B1280="", E1280=""), "", IF(AB1280="", "Válido", IF((LEN(AB1280)-LEN(SUBSTITUTE(AB1280,"; ","")))/2+1&gt;(LEN(AB1280)-LEN(SUBSTITUTE(AB1280,"[Aviso]","")))/7, "Con Incidencias", "Válido")))</f>
        <v/>
      </c>
      <c r="AB1280" s="56">
        <f>IF(AND(A1280="", B1280="", E1280=""), "", TEXTJOIN("; ", TRUE, IF(OR(TRIM(A1280&amp;"")="", ISNUMBER(SEARCH("FALTA", A1280))), "UPC faltante/inválido", ""), IF(AND(A1280&lt;&gt;"", IFERROR(_xlfn.XMATCH(A1280,$A$2:$A$2509,0,1)&lt;&gt;_xlfn.XMATCH(A1280,$A$2:$A$2509,0,-1),FALSE)), "Código de barras duplicado", ""), IF(AND(E1280&lt;&gt;"", COUNTIF($E$2:$E$2509, E1280)&gt;1), "SKU duplicado", ""), IF(OR(J1280="", J1280=""), "[Aviso] División no capturada ()", IF(ISNA(MATCH(J1280, Criterios!$A$123:$A$126, 0)), "División no válida", "")), IF(OR(K1280="", K1280=""), "[Aviso] Categoría no capturada ()", IF(ISNA(MATCH(K1280, Criterios!$A$81:$A$120, 0)), "Categoría no válida", IF(AND(J1280&lt;&gt;"", J1280&lt;&gt;"", J1280&lt;&gt;VLOOKUP(K1280, Criterios!$A$81:$B$120, 2, FALSE)), "División no coincide con Categoría", ""))), IF(OR(L1280="", L1280=""), "[Aviso] Género no capturado ()", IF(ISNA(MATCH(L1280, Criterios!$B$123:$B$127, 0)), "Género no válido", "")), IF(OR(N1280="", N1280=""), "[Aviso] Temporada no capturada ()", IF(ISNA(MATCH(N1280, Criterios!$C$123:$C$128, 0)), "Temporada no válida", "")), IF(OR(O1280="", O1280=""), "[Aviso] Ciclo de vida no capturado ()", IF(ISNA(MATCH(O1280, Criterios!$D$123:$D$124, 0)), "Ciclo de vida no válido", ""))))</f>
        <v/>
      </c>
      <c r="AC1280" s="56" t="n"/>
      <c r="AD1280" s="51" t="n">
        <v>2</v>
      </c>
      <c r="AE1280" s="156" t="inlineStr">
        <is>
          <t>WB OUTLET LERMA (1); PUNTO DE VENTA (2)</t>
        </is>
      </c>
      <c r="AF1280" s="51" t="n">
        <v>3</v>
      </c>
      <c r="AG1280" s="156" t="inlineStr">
        <is>
          <t>Catálogo existente</t>
        </is>
      </c>
      <c r="AH1280" s="156" t="inlineStr">
        <is>
          <t>Revisión 29/09/2026: Campos sin respaldo: U; Auditoría NetSuite 30/09/2026: llenado desde NetSuite [S] | 01/10/2026: complementado desde Shopify Stetson México (match por código de barras): WB Fit, WB Silueta</t>
        </is>
      </c>
      <c r="AI1280" s="156" t="inlineStr">
        <is>
          <t>Sí</t>
        </is>
      </c>
      <c r="AJ1280" s="156" t="inlineStr">
        <is>
          <t>STETSON AMERICAS (-1)</t>
        </is>
      </c>
      <c r="AK1280" s="155" t="inlineStr">
        <is>
          <t>Criterios: I [Q] | Criterios: J [R]; G1522_Extraccion_Articulos_NetSuite_2026-09-30.xlsx: fila 57545 [S] | Shopify Stetson: producto 14695708098923 / variante 52005862408555 | Shopify WB: producto 8579865673913 / variante 47802962608313</t>
        </is>
      </c>
      <c r="AL1280" s="58" t="n">
        <v>659.4827586</v>
      </c>
      <c r="AM1280" s="58" t="n">
        <v>1465.517241</v>
      </c>
      <c r="AN1280" s="155" t="inlineStr">
        <is>
          <t>Shopify Stetson México | Shopify Western Brothers</t>
        </is>
      </c>
      <c r="AO1280" s="59" t="n">
        <v>6</v>
      </c>
      <c r="AP1280" s="59" t="n">
        <v>1</v>
      </c>
      <c r="AQ1280" s="59" t="n"/>
      <c r="AR1280" s="155" t="inlineStr">
        <is>
          <t>Shopify Stetson México › Stetson Americas: 4 | Shopify Stetson México › Eventos: 2 | Shopify Western Brothers › Western Brothers Outlet Lerma: 1</t>
        </is>
      </c>
    </row>
    <row r="1281">
      <c r="A1281" s="50" t="inlineStr">
        <is>
          <t>724303724721</t>
        </is>
      </c>
      <c r="B1281" s="51" t="inlineStr">
        <is>
          <t>109731</t>
        </is>
      </c>
      <c r="C1281" s="156" t="inlineStr">
        <is>
          <t>Multimarca</t>
        </is>
      </c>
      <c r="D1281" s="156" t="inlineStr">
        <is>
          <t>9803003-255-NZ</t>
        </is>
      </c>
      <c r="E1281" s="156" t="inlineStr">
        <is>
          <t>9803003-255-NZ</t>
        </is>
      </c>
      <c r="F1281" s="156" t="inlineStr">
        <is>
          <t>Talla única</t>
        </is>
      </c>
      <c r="G1281" s="156" t="inlineStr">
        <is>
          <t>One Size</t>
        </is>
      </c>
      <c r="H1281" s="156" t="inlineStr">
        <is>
          <t>Stetson</t>
        </is>
      </c>
      <c r="I1281" s="156" t="inlineStr">
        <is>
          <t>Cartera Chequera Piel Doble Pliegue Marrón</t>
        </is>
      </c>
      <c r="J1281" s="156" t="inlineStr">
        <is>
          <t>Accesorios</t>
        </is>
      </c>
      <c r="K1281" s="156" t="inlineStr">
        <is>
          <t>Carteras</t>
        </is>
      </c>
      <c r="L1281" s="156" t="inlineStr">
        <is>
          <t>Hombre</t>
        </is>
      </c>
      <c r="M1281" s="156" t="inlineStr">
        <is>
          <t>Stetson</t>
        </is>
      </c>
      <c r="N1281" s="156" t="inlineStr">
        <is>
          <t>SS26</t>
        </is>
      </c>
      <c r="O1281" s="156" t="inlineStr">
        <is>
          <t>Seasonal</t>
        </is>
      </c>
      <c r="P1281" s="156" t="inlineStr">
        <is>
          <t>Cafe</t>
        </is>
      </c>
      <c r="Q1281" s="156" t="n"/>
      <c r="R1281" s="156" t="n"/>
      <c r="S1281" s="156" t="inlineStr">
        <is>
          <t>Piel</t>
        </is>
      </c>
      <c r="T1281" s="156" t="inlineStr">
        <is>
          <t>Cartera Chequera Stetson Marrón de Dos Pliegues – Estilo Elegante en Piel Texturizada
 Cartera para hombre Stetson de cuero de primera calidad con grabado en relieve de estampado de cocodrilo, bordes con costura tonal y remache con el logotipo de Stetson grabado.
 Refleja tu estilo con esta cartera Bi-fold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Chequera Bi-Fold (Dos pliegues)
 • Color: Marrón
 • Material: Cuero de primera calidad (Top Grain Leather)
 • Distribución interna:
  - Múltiples compartimentos para tarjetas
  - Sección para billetes
  - Espacio con ventana para identificación
 • Detalles adicionales:
  - Sobreposición de cuero repujado a mano
  - Cuerpo con textura tipo cocodrilo
  - Costuras reforzadas
  - Estilo elegante
  - Logotipo Stetson en relieve pintado a mano</t>
        </is>
      </c>
      <c r="U1281" s="156" t="n"/>
      <c r="V1281" s="156" t="inlineStr">
        <is>
          <t>PZS</t>
        </is>
      </c>
      <c r="W1281" s="51" t="inlineStr">
        <is>
          <t>53121700</t>
        </is>
      </c>
      <c r="X1281" s="156" t="inlineStr">
        <is>
          <t>https://cdn.shopify.com/s/files/1/0888/3250/8267/files/9803003-255.jpg?v=1744826717</t>
        </is>
      </c>
      <c r="Y1281" s="54" t="n">
        <v>795.2586207000001</v>
      </c>
      <c r="Z1281" s="54" t="n">
        <v>1767.241379</v>
      </c>
      <c r="AA1281" s="55">
        <f>IF(AND(A1281="", B1281="", E1281=""), "", IF(AB1281="", "Válido", IF((LEN(AB1281)-LEN(SUBSTITUTE(AB1281,"; ","")))/2+1&gt;(LEN(AB1281)-LEN(SUBSTITUTE(AB1281,"[Aviso]","")))/7, "Con Incidencias", "Válido")))</f>
        <v/>
      </c>
      <c r="AB1281" s="56">
        <f>IF(AND(A1281="", B1281="", E1281=""), "", TEXTJOIN("; ", TRUE, IF(OR(TRIM(A1281&amp;"")="", ISNUMBER(SEARCH("FALTA", A1281))), "UPC faltante/inválido", ""), IF(AND(A1281&lt;&gt;"", IFERROR(_xlfn.XMATCH(A1281,$A$2:$A$2509,0,1)&lt;&gt;_xlfn.XMATCH(A1281,$A$2:$A$2509,0,-1),FALSE)), "Código de barras duplicado", ""), IF(AND(E1281&lt;&gt;"", COUNTIF($E$2:$E$2509, E1281)&gt;1), "SKU duplicado", ""), IF(OR(J1281="", J1281=""), "[Aviso] División no capturada ()", IF(ISNA(MATCH(J1281, Criterios!$A$123:$A$126, 0)), "División no válida", "")), IF(OR(K1281="", K1281=""), "[Aviso] Categoría no capturada ()", IF(ISNA(MATCH(K1281, Criterios!$A$81:$A$120, 0)), "Categoría no válida", IF(AND(J1281&lt;&gt;"", J1281&lt;&gt;"", J1281&lt;&gt;VLOOKUP(K1281, Criterios!$A$81:$B$120, 2, FALSE)), "División no coincide con Categoría", ""))), IF(OR(L1281="", L1281=""), "[Aviso] Género no capturado ()", IF(ISNA(MATCH(L1281, Criterios!$B$123:$B$127, 0)), "Género no válido", "")), IF(OR(N1281="", N1281=""), "[Aviso] Temporada no capturada ()", IF(ISNA(MATCH(N1281, Criterios!$C$123:$C$128, 0)), "Temporada no válida", "")), IF(OR(O1281="", O1281=""), "[Aviso] Ciclo de vida no capturado ()", IF(ISNA(MATCH(O1281, Criterios!$D$123:$D$124, 0)), "Ciclo de vida no válido", ""))))</f>
        <v/>
      </c>
      <c r="AC1281" s="56" t="n"/>
      <c r="AD1281" s="51" t="n">
        <v>0</v>
      </c>
      <c r="AE1281" s="156" t="n"/>
      <c r="AF1281" s="51" t="n">
        <v>0</v>
      </c>
      <c r="AG1281" s="156" t="inlineStr">
        <is>
          <t>Catálogo existente</t>
        </is>
      </c>
      <c r="AH1281" s="156" t="inlineStr">
        <is>
          <t>Revisión 29/09/2026: Campos sin respaldo: U; Auditoría NetSuite 30/09/2026: llenado desde NetSuite [S] | 01/10/2026: complementado desde Shopify Stetson México (match por código de barras): WB Fit, WB Silueta</t>
        </is>
      </c>
      <c r="AI1281" s="156" t="inlineStr">
        <is>
          <t>No</t>
        </is>
      </c>
      <c r="AJ1281" s="156" t="n"/>
      <c r="AK1281" s="155" t="inlineStr">
        <is>
          <t>Criterios: I [Q] | Criterios: J [R]; G1522_Extraccion_Articulos_NetSuite_2026-09-30.xlsx: fila 57546 [S] | Shopify Stetson: producto 14695708426603 / variante 52005864604011</t>
        </is>
      </c>
      <c r="AL1281" s="58" t="n">
        <v>795.2586207000001</v>
      </c>
      <c r="AM1281" s="58" t="n">
        <v>1767.241379</v>
      </c>
      <c r="AN1281" s="155" t="inlineStr">
        <is>
          <t>Shopify Stetson México</t>
        </is>
      </c>
      <c r="AO1281" s="59" t="n">
        <v>0</v>
      </c>
      <c r="AP1281" s="59" t="n"/>
      <c r="AQ1281" s="59" t="n"/>
      <c r="AR1281" s="155" t="n"/>
    </row>
    <row r="1282">
      <c r="A1282" s="50" t="inlineStr">
        <is>
          <t>724303724882</t>
        </is>
      </c>
      <c r="B1282" s="51" t="inlineStr">
        <is>
          <t>109746</t>
        </is>
      </c>
      <c r="C1282" s="156" t="inlineStr">
        <is>
          <t>Multimarca</t>
        </is>
      </c>
      <c r="D1282" s="156" t="inlineStr">
        <is>
          <t>9807003-14-NZ</t>
        </is>
      </c>
      <c r="E1282" s="156" t="inlineStr">
        <is>
          <t>9807003-14-NZ</t>
        </is>
      </c>
      <c r="F1282" s="156" t="inlineStr">
        <is>
          <t>Talla única</t>
        </is>
      </c>
      <c r="G1282" s="156" t="inlineStr">
        <is>
          <t>One Size</t>
        </is>
      </c>
      <c r="H1282" s="156" t="inlineStr">
        <is>
          <t>Stetson</t>
        </is>
      </c>
      <c r="I1282" s="156" t="inlineStr">
        <is>
          <t>Cartera Stetson Checkbook Caiman</t>
        </is>
      </c>
      <c r="J1282" s="156" t="inlineStr">
        <is>
          <t>Accesorios</t>
        </is>
      </c>
      <c r="K1282" s="156" t="inlineStr">
        <is>
          <t>Carteras</t>
        </is>
      </c>
      <c r="L1282" s="156" t="inlineStr">
        <is>
          <t>Hombre</t>
        </is>
      </c>
      <c r="M1282" s="156" t="inlineStr">
        <is>
          <t>Stetson</t>
        </is>
      </c>
      <c r="N1282" s="156" t="inlineStr">
        <is>
          <t>SS26</t>
        </is>
      </c>
      <c r="O1282" s="156" t="inlineStr">
        <is>
          <t>Seasonal</t>
        </is>
      </c>
      <c r="P1282" s="156" t="inlineStr">
        <is>
          <t>Negro</t>
        </is>
      </c>
      <c r="Q1282" s="156" t="n"/>
      <c r="R1282" s="156" t="n"/>
      <c r="S1282" s="156" t="inlineStr">
        <is>
          <t>Piel</t>
        </is>
      </c>
      <c r="T1282" s="156" t="inlineStr">
        <is>
          <t>Cartera Stetson Checkbook Caiman</t>
        </is>
      </c>
      <c r="U1282" s="156" t="n"/>
      <c r="V1282" s="156" t="inlineStr">
        <is>
          <t>PZS</t>
        </is>
      </c>
      <c r="W1282" s="51" t="inlineStr">
        <is>
          <t>53121700</t>
        </is>
      </c>
      <c r="X1282" s="156" t="n"/>
      <c r="Y1282" s="54" t="n">
        <v>2463.362069</v>
      </c>
      <c r="Z1282" s="54" t="n">
        <v>5474.137931</v>
      </c>
      <c r="AA1282" s="55">
        <f>IF(AND(A1282="", B1282="", E1282=""), "", IF(AB1282="", "Válido", IF((LEN(AB1282)-LEN(SUBSTITUTE(AB1282,"; ","")))/2+1&gt;(LEN(AB1282)-LEN(SUBSTITUTE(AB1282,"[Aviso]","")))/7, "Con Incidencias", "Válido")))</f>
        <v/>
      </c>
      <c r="AB1282" s="56">
        <f>IF(AND(A1282="", B1282="", E1282=""), "", TEXTJOIN("; ", TRUE, IF(OR(TRIM(A1282&amp;"")="", ISNUMBER(SEARCH("FALTA", A1282))), "UPC faltante/inválido", ""), IF(AND(A1282&lt;&gt;"", IFERROR(_xlfn.XMATCH(A1282,$A$2:$A$2509,0,1)&lt;&gt;_xlfn.XMATCH(A1282,$A$2:$A$2509,0,-1),FALSE)), "Código de barras duplicado", ""), IF(AND(E1282&lt;&gt;"", COUNTIF($E$2:$E$2509, E1282)&gt;1), "SKU duplicado", ""), IF(OR(J1282="", J1282=""), "[Aviso] División no capturada ()", IF(ISNA(MATCH(J1282, Criterios!$A$123:$A$126, 0)), "División no válida", "")), IF(OR(K1282="", K1282=""), "[Aviso] Categoría no capturada ()", IF(ISNA(MATCH(K1282, Criterios!$A$81:$A$120, 0)), "Categoría no válida", IF(AND(J1282&lt;&gt;"", J1282&lt;&gt;"", J1282&lt;&gt;VLOOKUP(K1282, Criterios!$A$81:$B$120, 2, FALSE)), "División no coincide con Categoría", ""))), IF(OR(L1282="", L1282=""), "[Aviso] Género no capturado ()", IF(ISNA(MATCH(L1282, Criterios!$B$123:$B$127, 0)), "Género no válido", "")), IF(OR(N1282="", N1282=""), "[Aviso] Temporada no capturada ()", IF(ISNA(MATCH(N1282, Criterios!$C$123:$C$128, 0)), "Temporada no válida", "")), IF(OR(O1282="", O1282=""), "[Aviso] Ciclo de vida no capturado ()", IF(ISNA(MATCH(O1282, Criterios!$D$123:$D$124, 0)), "Ciclo de vida no válido", ""))))</f>
        <v/>
      </c>
      <c r="AC1282" s="56" t="n"/>
      <c r="AD1282" s="51" t="n">
        <v>2</v>
      </c>
      <c r="AE1282" s="156" t="inlineStr">
        <is>
          <t>WB OUTLET LERMA (3)</t>
        </is>
      </c>
      <c r="AF1282" s="51" t="n">
        <v>3</v>
      </c>
      <c r="AG1282" s="156" t="inlineStr">
        <is>
          <t>Catálogo existente</t>
        </is>
      </c>
      <c r="AH1282" s="156" t="inlineStr">
        <is>
          <t>Revisión 29/09/2026: Campos sin respaldo: U, X; Auditoría NetSuite 30/09/2026: llenado desde NetSuite [V,S] | 01/10/2026: complementado desde Shopify Stetson México (match por código de barras): WB Fit, WB Silueta</t>
        </is>
      </c>
      <c r="AI1282" s="156" t="inlineStr">
        <is>
          <t>Sí</t>
        </is>
      </c>
      <c r="AJ1282" s="156" t="inlineStr">
        <is>
          <t>STETSON AMERICAS (-1)</t>
        </is>
      </c>
      <c r="AK1282" s="155" t="inlineStr">
        <is>
          <t>Criterios: I [Q] | Criterios: J [R] | Descripción del registro fuente [T]; G1522_Extraccion_Articulos_NetSuite_2026-09-30.xlsx: fila 57561 [V,S] | Shopify Stetson: producto 15069732012395 / variante 53413005590891 | Shopify WB: producto 8579866132665 / variante 47802964050105</t>
        </is>
      </c>
      <c r="AL1282" s="58" t="n">
        <v>2463.362069</v>
      </c>
      <c r="AM1282" s="58" t="n">
        <v>5474.137931</v>
      </c>
      <c r="AN1282" s="155" t="inlineStr">
        <is>
          <t>Shopify Stetson México | Shopify Western Brothers</t>
        </is>
      </c>
      <c r="AO1282" s="59" t="n">
        <v>-1</v>
      </c>
      <c r="AP1282" s="59" t="n">
        <v>3</v>
      </c>
      <c r="AQ1282" s="59" t="n"/>
      <c r="AR1282" s="155" t="inlineStr">
        <is>
          <t>Shopify Western Brothers › Western Brothers Outlet Lerma: 3</t>
        </is>
      </c>
    </row>
    <row r="1283">
      <c r="A1283" s="50" t="inlineStr">
        <is>
          <t>724303724899</t>
        </is>
      </c>
      <c r="B1283" s="51" t="inlineStr">
        <is>
          <t>109747</t>
        </is>
      </c>
      <c r="C1283" s="156" t="inlineStr">
        <is>
          <t>Multimarca</t>
        </is>
      </c>
      <c r="D1283" s="156" t="inlineStr">
        <is>
          <t>9807003-232-NZ</t>
        </is>
      </c>
      <c r="E1283" s="156" t="inlineStr">
        <is>
          <t>9807003-232-NZ</t>
        </is>
      </c>
      <c r="F1283" s="156" t="inlineStr">
        <is>
          <t>Talla única</t>
        </is>
      </c>
      <c r="G1283" s="156" t="inlineStr">
        <is>
          <t>One Size</t>
        </is>
      </c>
      <c r="H1283" s="156" t="inlineStr">
        <is>
          <t>Stetson</t>
        </is>
      </c>
      <c r="I1283" s="156" t="inlineStr">
        <is>
          <t>Cartera chequera Stetson de caimán Cigar Classic</t>
        </is>
      </c>
      <c r="J1283" s="156" t="inlineStr">
        <is>
          <t>Accesorios</t>
        </is>
      </c>
      <c r="K1283" s="156" t="inlineStr">
        <is>
          <t>Carteras</t>
        </is>
      </c>
      <c r="L1283" s="156" t="inlineStr">
        <is>
          <t>Hombre</t>
        </is>
      </c>
      <c r="M1283" s="156" t="inlineStr">
        <is>
          <t>Stetson</t>
        </is>
      </c>
      <c r="N1283" s="156" t="inlineStr">
        <is>
          <t>SS26</t>
        </is>
      </c>
      <c r="O1283" s="156" t="inlineStr">
        <is>
          <t>Seasonal</t>
        </is>
      </c>
      <c r="P1283" s="156" t="inlineStr">
        <is>
          <t>Cafe</t>
        </is>
      </c>
      <c r="Q1283" s="156" t="n"/>
      <c r="R1283" s="156" t="n"/>
      <c r="S1283" s="156" t="inlineStr">
        <is>
          <t>Piel genuina de caimán</t>
        </is>
      </c>
      <c r="T1283" s="156" t="inlineStr">
        <is>
          <t>Cartera chequera Stetson de caimán Cigar Classic; chequera; piel genuina de caimán.</t>
        </is>
      </c>
      <c r="U1283" s="156" t="n"/>
      <c r="V1283" s="156" t="inlineStr">
        <is>
          <t>PZS</t>
        </is>
      </c>
      <c r="W1283" s="51" t="inlineStr">
        <is>
          <t>53121700</t>
        </is>
      </c>
      <c r="X1283" s="156" t="n"/>
      <c r="Y1283" s="54" t="n">
        <v>2463.362069</v>
      </c>
      <c r="Z1283" s="54" t="n">
        <v>5474.137931</v>
      </c>
      <c r="AA1283" s="55">
        <f>IF(AND(A1283="", B1283="", E1283=""), "", IF(AB1283="", "Válido", IF((LEN(AB1283)-LEN(SUBSTITUTE(AB1283,"; ","")))/2+1&gt;(LEN(AB1283)-LEN(SUBSTITUTE(AB1283,"[Aviso]","")))/7, "Con Incidencias", "Válido")))</f>
        <v/>
      </c>
      <c r="AB1283" s="56">
        <f>IF(AND(A1283="", B1283="", E1283=""), "", TEXTJOIN("; ", TRUE, IF(OR(TRIM(A1283&amp;"")="", ISNUMBER(SEARCH("FALTA", A1283))), "UPC faltante/inválido", ""), IF(AND(A1283&lt;&gt;"", IFERROR(_xlfn.XMATCH(A1283,$A$2:$A$2509,0,1)&lt;&gt;_xlfn.XMATCH(A1283,$A$2:$A$2509,0,-1),FALSE)), "Código de barras duplicado", ""), IF(AND(E1283&lt;&gt;"", COUNTIF($E$2:$E$2509, E1283)&gt;1), "SKU duplicado", ""), IF(OR(J1283="", J1283=""), "[Aviso] División no capturada ()", IF(ISNA(MATCH(J1283, Criterios!$A$123:$A$126, 0)), "División no válida", "")), IF(OR(K1283="", K1283=""), "[Aviso] Categoría no capturada ()", IF(ISNA(MATCH(K1283, Criterios!$A$81:$A$120, 0)), "Categoría no válida", IF(AND(J1283&lt;&gt;"", J1283&lt;&gt;"", J1283&lt;&gt;VLOOKUP(K1283, Criterios!$A$81:$B$120, 2, FALSE)), "División no coincide con Categoría", ""))), IF(OR(L1283="", L1283=""), "[Aviso] Género no capturado ()", IF(ISNA(MATCH(L1283, Criterios!$B$123:$B$127, 0)), "Género no válido", "")), IF(OR(N1283="", N1283=""), "[Aviso] Temporada no capturada ()", IF(ISNA(MATCH(N1283, Criterios!$C$123:$C$128, 0)), "Temporada no válida", "")), IF(OR(O1283="", O1283=""), "[Aviso] Ciclo de vida no capturado ()", IF(ISNA(MATCH(O1283, Criterios!$D$123:$D$124, 0)), "Ciclo de vida no válido", ""))))</f>
        <v/>
      </c>
      <c r="AC1283" s="56" t="n"/>
      <c r="AD1283" s="51" t="n">
        <v>3</v>
      </c>
      <c r="AE1283" s="156" t="inlineStr">
        <is>
          <t>WB OUTLET LERMA (3)</t>
        </is>
      </c>
      <c r="AF1283" s="51" t="n">
        <v>3</v>
      </c>
      <c r="AG1283" s="156" t="inlineStr">
        <is>
          <t>Catálogo existente</t>
        </is>
      </c>
      <c r="AH1283" s="156" t="inlineStr">
        <is>
          <t>Revisión 29/09/2026: Campos sin respaldo: U, X | 01/10/2026: complementado desde Shopify Stetson México (match por código de barras): WB Fit, WB Silueta</t>
        </is>
      </c>
      <c r="AI1283" s="156" t="inlineStr">
        <is>
          <t>No</t>
        </is>
      </c>
      <c r="AJ1283" s="156" t="n"/>
      <c r="AK1283" s="155" t="inlineStr">
        <is>
          <t>Criterios: I [Q] | Criterios: J [R] | Shopify Stetson: producto 15069732045163 / variante 53413005623659 | Shopify WB: producto 8579866198201 / variante 47802964443321</t>
        </is>
      </c>
      <c r="AL1283" s="58" t="n">
        <v>2463.362069</v>
      </c>
      <c r="AM1283" s="58" t="n">
        <v>5474.137931</v>
      </c>
      <c r="AN1283" s="155" t="inlineStr">
        <is>
          <t>Shopify Stetson México | Shopify Western Brothers</t>
        </is>
      </c>
      <c r="AO1283" s="59" t="n">
        <v>0</v>
      </c>
      <c r="AP1283" s="59" t="n">
        <v>3</v>
      </c>
      <c r="AQ1283" s="59" t="n"/>
      <c r="AR1283" s="155" t="inlineStr">
        <is>
          <t>Shopify Western Brothers › Western Brothers Outlet Lerma: 3</t>
        </is>
      </c>
    </row>
    <row r="1284">
      <c r="A1284" s="50" t="inlineStr">
        <is>
          <t>724303725117</t>
        </is>
      </c>
      <c r="B1284" s="51" t="inlineStr">
        <is>
          <t>109825</t>
        </is>
      </c>
      <c r="C1284" s="156" t="inlineStr">
        <is>
          <t>Multimarca</t>
        </is>
      </c>
      <c r="D1284" s="156" t="inlineStr">
        <is>
          <t>9917500-014</t>
        </is>
      </c>
      <c r="E1284" s="156" t="inlineStr">
        <is>
          <t>9917500-014-36</t>
        </is>
      </c>
      <c r="F1284" s="156" t="inlineStr">
        <is>
          <t>36</t>
        </is>
      </c>
      <c r="G1284" s="156" t="inlineStr">
        <is>
          <t>36</t>
        </is>
      </c>
      <c r="H1284" s="156" t="inlineStr">
        <is>
          <t>Stetson</t>
        </is>
      </c>
      <c r="I1284" s="156" t="inlineStr">
        <is>
          <t>Cinturón Stetson Caballero Negro Classic</t>
        </is>
      </c>
      <c r="J1284" s="156" t="inlineStr">
        <is>
          <t>Accesorios</t>
        </is>
      </c>
      <c r="K1284" s="156" t="inlineStr">
        <is>
          <t>Cinturones</t>
        </is>
      </c>
      <c r="L1284" s="156" t="inlineStr">
        <is>
          <t>Hombre</t>
        </is>
      </c>
      <c r="M1284" s="156" t="inlineStr">
        <is>
          <t>Stetson</t>
        </is>
      </c>
      <c r="N1284" s="156" t="inlineStr">
        <is>
          <t>SS26</t>
        </is>
      </c>
      <c r="O1284" s="156" t="inlineStr">
        <is>
          <t>Seasonal</t>
        </is>
      </c>
      <c r="P1284" s="156" t="inlineStr">
        <is>
          <t>Negro</t>
        </is>
      </c>
      <c r="Q1284" s="156" t="n"/>
      <c r="R1284" s="156" t="n"/>
      <c r="S1284" s="156" t="n"/>
      <c r="T1284"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4" s="156" t="n"/>
      <c r="V1284" s="156" t="inlineStr">
        <is>
          <t>PZS</t>
        </is>
      </c>
      <c r="W1284" s="51" t="inlineStr">
        <is>
          <t>53102501</t>
        </is>
      </c>
      <c r="X1284" s="156" t="inlineStr">
        <is>
          <t>https://cdn.shopify.com/s/files/1/0888/3250/8267/files/9917500-014.jpg?v=1745269327</t>
        </is>
      </c>
      <c r="Y1284" s="54" t="n">
        <v>2327.586207</v>
      </c>
      <c r="Z1284" s="54" t="n">
        <v>5172.413793</v>
      </c>
      <c r="AA1284" s="55">
        <f>IF(AND(A1284="", B1284="", E1284=""), "", IF(AB1284="", "Válido", IF((LEN(AB1284)-LEN(SUBSTITUTE(AB1284,"; ","")))/2+1&gt;(LEN(AB1284)-LEN(SUBSTITUTE(AB1284,"[Aviso]","")))/7, "Con Incidencias", "Válido")))</f>
        <v/>
      </c>
      <c r="AB1284" s="56">
        <f>IF(AND(A1284="", B1284="", E1284=""), "", TEXTJOIN("; ", TRUE, IF(OR(TRIM(A1284&amp;"")="", ISNUMBER(SEARCH("FALTA", A1284))), "UPC faltante/inválido", ""), IF(AND(A1284&lt;&gt;"", IFERROR(_xlfn.XMATCH(A1284,$A$2:$A$2509,0,1)&lt;&gt;_xlfn.XMATCH(A1284,$A$2:$A$2509,0,-1),FALSE)), "Código de barras duplicado", ""), IF(AND(E1284&lt;&gt;"", COUNTIF($E$2:$E$2509, E1284)&gt;1), "SKU duplicado", ""), IF(OR(J1284="", J1284=""), "[Aviso] División no capturada ()", IF(ISNA(MATCH(J1284, Criterios!$A$123:$A$126, 0)), "División no válida", "")), IF(OR(K1284="", K1284=""), "[Aviso] Categoría no capturada ()", IF(ISNA(MATCH(K1284, Criterios!$A$81:$A$120, 0)), "Categoría no válida", IF(AND(J1284&lt;&gt;"", J1284&lt;&gt;"", J1284&lt;&gt;VLOOKUP(K1284, Criterios!$A$81:$B$120, 2, FALSE)), "División no coincide con Categoría", ""))), IF(OR(L1284="", L1284=""), "[Aviso] Género no capturado ()", IF(ISNA(MATCH(L1284, Criterios!$B$123:$B$127, 0)), "Género no válido", "")), IF(OR(N1284="", N1284=""), "[Aviso] Temporada no capturada ()", IF(ISNA(MATCH(N1284, Criterios!$C$123:$C$128, 0)), "Temporada no válida", "")), IF(OR(O1284="", O1284=""), "[Aviso] Ciclo de vida no capturado ()", IF(ISNA(MATCH(O1284, Criterios!$D$123:$D$124, 0)), "Ciclo de vida no válido", ""))))</f>
        <v/>
      </c>
      <c r="AC1284" s="56" t="n"/>
      <c r="AD1284" s="51" t="n">
        <v>0</v>
      </c>
      <c r="AE1284" s="156" t="n"/>
      <c r="AF1284" s="51" t="n">
        <v>0</v>
      </c>
      <c r="AG1284" s="156" t="inlineStr">
        <is>
          <t>Catálogo existente</t>
        </is>
      </c>
      <c r="AH1284" s="156" t="inlineStr">
        <is>
          <t>Revisión 29/09/2026: Campos sin respaldo: S, U, X | 01/10/2026: complementado desde Shopify Stetson México (match por código de barras): WB Fit, WB Silueta, WB Descripción larga, Enlace de imagen</t>
        </is>
      </c>
      <c r="AI1284" s="156" t="inlineStr">
        <is>
          <t>No</t>
        </is>
      </c>
      <c r="AJ1284" s="156" t="n"/>
      <c r="AK1284" s="155" t="inlineStr">
        <is>
          <t>Criterios: I [Q] | Criterios: J [R] | Shopify Stetson: producto 14697991733611 / variante 52013896335723</t>
        </is>
      </c>
      <c r="AL1284" s="58" t="n">
        <v>2327.586207</v>
      </c>
      <c r="AM1284" s="58" t="n">
        <v>5172.413793</v>
      </c>
      <c r="AN1284" s="155" t="inlineStr">
        <is>
          <t>Shopify Stetson México</t>
        </is>
      </c>
      <c r="AO1284" s="59" t="n">
        <v>0</v>
      </c>
      <c r="AP1284" s="59" t="n"/>
      <c r="AQ1284" s="59" t="n"/>
      <c r="AR1284" s="155" t="n"/>
    </row>
    <row r="1285">
      <c r="A1285" s="50" t="inlineStr">
        <is>
          <t>724303725124</t>
        </is>
      </c>
      <c r="B1285" s="51" t="inlineStr">
        <is>
          <t>109826</t>
        </is>
      </c>
      <c r="C1285" s="156" t="inlineStr">
        <is>
          <t>Multimarca</t>
        </is>
      </c>
      <c r="D1285" s="156" t="inlineStr">
        <is>
          <t>9917500-014</t>
        </is>
      </c>
      <c r="E1285" s="156" t="inlineStr">
        <is>
          <t>9917500-014-38</t>
        </is>
      </c>
      <c r="F1285" s="156" t="inlineStr">
        <is>
          <t>38</t>
        </is>
      </c>
      <c r="G1285" s="156" t="inlineStr">
        <is>
          <t>38</t>
        </is>
      </c>
      <c r="H1285" s="156" t="inlineStr">
        <is>
          <t>Stetson</t>
        </is>
      </c>
      <c r="I1285" s="156" t="inlineStr">
        <is>
          <t>Cinturón Stetson Caballero Negro Classic</t>
        </is>
      </c>
      <c r="J1285" s="156" t="inlineStr">
        <is>
          <t>Accesorios</t>
        </is>
      </c>
      <c r="K1285" s="156" t="inlineStr">
        <is>
          <t>Cinturones</t>
        </is>
      </c>
      <c r="L1285" s="156" t="inlineStr">
        <is>
          <t>Hombre</t>
        </is>
      </c>
      <c r="M1285" s="156" t="inlineStr">
        <is>
          <t>Stetson</t>
        </is>
      </c>
      <c r="N1285" s="156" t="inlineStr">
        <is>
          <t>SS26</t>
        </is>
      </c>
      <c r="O1285" s="156" t="inlineStr">
        <is>
          <t>Seasonal</t>
        </is>
      </c>
      <c r="P1285" s="156" t="inlineStr">
        <is>
          <t>Negro</t>
        </is>
      </c>
      <c r="Q1285" s="156" t="n"/>
      <c r="R1285" s="156" t="n"/>
      <c r="S1285" s="156" t="n"/>
      <c r="T1285"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5" s="156" t="n"/>
      <c r="V1285" s="156" t="inlineStr">
        <is>
          <t>PZS</t>
        </is>
      </c>
      <c r="W1285" s="51" t="inlineStr">
        <is>
          <t>53102501</t>
        </is>
      </c>
      <c r="X1285" s="156" t="inlineStr">
        <is>
          <t>https://cdn.shopify.com/s/files/1/0888/3250/8267/files/9917500-014.jpg?v=1745269327</t>
        </is>
      </c>
      <c r="Y1285" s="54" t="n">
        <v>2327.586207</v>
      </c>
      <c r="Z1285" s="54" t="n">
        <v>5172.413793</v>
      </c>
      <c r="AA1285" s="55">
        <f>IF(AND(A1285="", B1285="", E1285=""), "", IF(AB1285="", "Válido", IF((LEN(AB1285)-LEN(SUBSTITUTE(AB1285,"; ","")))/2+1&gt;(LEN(AB1285)-LEN(SUBSTITUTE(AB1285,"[Aviso]","")))/7, "Con Incidencias", "Válido")))</f>
        <v/>
      </c>
      <c r="AB1285" s="56">
        <f>IF(AND(A1285="", B1285="", E1285=""), "", TEXTJOIN("; ", TRUE, IF(OR(TRIM(A1285&amp;"")="", ISNUMBER(SEARCH("FALTA", A1285))), "UPC faltante/inválido", ""), IF(AND(A1285&lt;&gt;"", IFERROR(_xlfn.XMATCH(A1285,$A$2:$A$2509,0,1)&lt;&gt;_xlfn.XMATCH(A1285,$A$2:$A$2509,0,-1),FALSE)), "Código de barras duplicado", ""), IF(AND(E1285&lt;&gt;"", COUNTIF($E$2:$E$2509, E1285)&gt;1), "SKU duplicado", ""), IF(OR(J1285="", J1285=""), "[Aviso] División no capturada ()", IF(ISNA(MATCH(J1285, Criterios!$A$123:$A$126, 0)), "División no válida", "")), IF(OR(K1285="", K1285=""), "[Aviso] Categoría no capturada ()", IF(ISNA(MATCH(K1285, Criterios!$A$81:$A$120, 0)), "Categoría no válida", IF(AND(J1285&lt;&gt;"", J1285&lt;&gt;"", J1285&lt;&gt;VLOOKUP(K1285, Criterios!$A$81:$B$120, 2, FALSE)), "División no coincide con Categoría", ""))), IF(OR(L1285="", L1285=""), "[Aviso] Género no capturado ()", IF(ISNA(MATCH(L1285, Criterios!$B$123:$B$127, 0)), "Género no válido", "")), IF(OR(N1285="", N1285=""), "[Aviso] Temporada no capturada ()", IF(ISNA(MATCH(N1285, Criterios!$C$123:$C$128, 0)), "Temporada no válida", "")), IF(OR(O1285="", O1285=""), "[Aviso] Ciclo de vida no capturado ()", IF(ISNA(MATCH(O1285, Criterios!$D$123:$D$124, 0)), "Ciclo de vida no válido", ""))))</f>
        <v/>
      </c>
      <c r="AC1285" s="56" t="n"/>
      <c r="AD1285" s="51" t="n">
        <v>-6</v>
      </c>
      <c r="AE1285" s="156" t="n"/>
      <c r="AF1285" s="51" t="n">
        <v>0</v>
      </c>
      <c r="AG1285" s="156" t="inlineStr">
        <is>
          <t>Catálogo existente</t>
        </is>
      </c>
      <c r="AH1285" s="156" t="inlineStr">
        <is>
          <t>Stock negativo en sistema: revisar en conteo | Revisión 29/09/2026: Campos sin respaldo: S, U, X | 01/10/2026: complementado desde Shopify Stetson México (match por código de barras): WB Fit, WB Silueta, WB Descripción larga, Enlace de imagen</t>
        </is>
      </c>
      <c r="AI1285" s="156" t="inlineStr">
        <is>
          <t>Sí</t>
        </is>
      </c>
      <c r="AJ1285" s="156" t="inlineStr">
        <is>
          <t>STETSON AMERICAS (-6)</t>
        </is>
      </c>
      <c r="AK1285" s="155" t="inlineStr">
        <is>
          <t>Criterios: I [Q] | Criterios: J [R] | Shopify Stetson: producto 14697991733611 / variante 52013896368491</t>
        </is>
      </c>
      <c r="AL1285" s="58" t="n">
        <v>2327.586207</v>
      </c>
      <c r="AM1285" s="58" t="n">
        <v>5172.413793</v>
      </c>
      <c r="AN1285" s="155" t="inlineStr">
        <is>
          <t>Shopify Stetson México</t>
        </is>
      </c>
      <c r="AO1285" s="59" t="n">
        <v>0</v>
      </c>
      <c r="AP1285" s="59" t="n"/>
      <c r="AQ1285" s="59" t="n"/>
      <c r="AR1285" s="155" t="n"/>
    </row>
    <row r="1286">
      <c r="A1286" s="50" t="inlineStr">
        <is>
          <t>724303725131</t>
        </is>
      </c>
      <c r="B1286" s="51" t="inlineStr">
        <is>
          <t>109827</t>
        </is>
      </c>
      <c r="C1286" s="156" t="inlineStr">
        <is>
          <t>Multimarca</t>
        </is>
      </c>
      <c r="D1286" s="156" t="inlineStr">
        <is>
          <t>9917500-014</t>
        </is>
      </c>
      <c r="E1286" s="156" t="inlineStr">
        <is>
          <t>9917500-014-40</t>
        </is>
      </c>
      <c r="F1286" s="156" t="inlineStr">
        <is>
          <t>40</t>
        </is>
      </c>
      <c r="G1286" s="156" t="inlineStr">
        <is>
          <t>40</t>
        </is>
      </c>
      <c r="H1286" s="156" t="inlineStr">
        <is>
          <t>Stetson</t>
        </is>
      </c>
      <c r="I1286" s="156" t="inlineStr">
        <is>
          <t>Cinturón Stetson Caballero Negro Classic</t>
        </is>
      </c>
      <c r="J1286" s="156" t="inlineStr">
        <is>
          <t>Accesorios</t>
        </is>
      </c>
      <c r="K1286" s="156" t="inlineStr">
        <is>
          <t>Cinturones</t>
        </is>
      </c>
      <c r="L1286" s="156" t="inlineStr">
        <is>
          <t>Hombre</t>
        </is>
      </c>
      <c r="M1286" s="156" t="inlineStr">
        <is>
          <t>Stetson</t>
        </is>
      </c>
      <c r="N1286" s="156" t="inlineStr">
        <is>
          <t>SS26</t>
        </is>
      </c>
      <c r="O1286" s="156" t="inlineStr">
        <is>
          <t>Seasonal</t>
        </is>
      </c>
      <c r="P1286" s="156" t="inlineStr">
        <is>
          <t>Negro</t>
        </is>
      </c>
      <c r="Q1286" s="156" t="n"/>
      <c r="R1286" s="156" t="n"/>
      <c r="S1286" s="156" t="n"/>
      <c r="T1286"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6" s="156" t="n"/>
      <c r="V1286" s="156" t="inlineStr">
        <is>
          <t>PZS</t>
        </is>
      </c>
      <c r="W1286" s="51" t="inlineStr">
        <is>
          <t>53102501</t>
        </is>
      </c>
      <c r="X1286" s="156" t="inlineStr">
        <is>
          <t>https://cdn.shopify.com/s/files/1/0888/3250/8267/files/9917500-014.jpg?v=1745269327</t>
        </is>
      </c>
      <c r="Y1286" s="54" t="n">
        <v>2327.586207</v>
      </c>
      <c r="Z1286" s="54" t="n">
        <v>5172.413793</v>
      </c>
      <c r="AA1286" s="55">
        <f>IF(AND(A1286="", B1286="", E1286=""), "", IF(AB1286="", "Válido", IF((LEN(AB1286)-LEN(SUBSTITUTE(AB1286,"; ","")))/2+1&gt;(LEN(AB1286)-LEN(SUBSTITUTE(AB1286,"[Aviso]","")))/7, "Con Incidencias", "Válido")))</f>
        <v/>
      </c>
      <c r="AB1286" s="56">
        <f>IF(AND(A1286="", B1286="", E1286=""), "", TEXTJOIN("; ", TRUE, IF(OR(TRIM(A1286&amp;"")="", ISNUMBER(SEARCH("FALTA", A1286))), "UPC faltante/inválido", ""), IF(AND(A1286&lt;&gt;"", IFERROR(_xlfn.XMATCH(A1286,$A$2:$A$2509,0,1)&lt;&gt;_xlfn.XMATCH(A1286,$A$2:$A$2509,0,-1),FALSE)), "Código de barras duplicado", ""), IF(AND(E1286&lt;&gt;"", COUNTIF($E$2:$E$2509, E1286)&gt;1), "SKU duplicado", ""), IF(OR(J1286="", J1286=""), "[Aviso] División no capturada ()", IF(ISNA(MATCH(J1286, Criterios!$A$123:$A$126, 0)), "División no válida", "")), IF(OR(K1286="", K1286=""), "[Aviso] Categoría no capturada ()", IF(ISNA(MATCH(K1286, Criterios!$A$81:$A$120, 0)), "Categoría no válida", IF(AND(J1286&lt;&gt;"", J1286&lt;&gt;"", J1286&lt;&gt;VLOOKUP(K1286, Criterios!$A$81:$B$120, 2, FALSE)), "División no coincide con Categoría", ""))), IF(OR(L1286="", L1286=""), "[Aviso] Género no capturado ()", IF(ISNA(MATCH(L1286, Criterios!$B$123:$B$127, 0)), "Género no válido", "")), IF(OR(N1286="", N1286=""), "[Aviso] Temporada no capturada ()", IF(ISNA(MATCH(N1286, Criterios!$C$123:$C$128, 0)), "Temporada no válida", "")), IF(OR(O1286="", O1286=""), "[Aviso] Ciclo de vida no capturado ()", IF(ISNA(MATCH(O1286, Criterios!$D$123:$D$124, 0)), "Ciclo de vida no válido", ""))))</f>
        <v/>
      </c>
      <c r="AC1286" s="56" t="n"/>
      <c r="AD1286" s="51" t="n">
        <v>2</v>
      </c>
      <c r="AE1286" s="156" t="inlineStr">
        <is>
          <t>WB OUTLET LERMA (3)</t>
        </is>
      </c>
      <c r="AF1286" s="51" t="n">
        <v>3</v>
      </c>
      <c r="AG1286" s="156" t="inlineStr">
        <is>
          <t>Catálogo existente</t>
        </is>
      </c>
      <c r="AH1286" s="156" t="inlineStr">
        <is>
          <t>Revisión 29/09/2026: Campos sin respaldo: S, U, X | 01/10/2026: complementado desde Shopify Stetson México (match por código de barras): WB Fit, WB Silueta, WB Descripción larga, Enlace de imagen</t>
        </is>
      </c>
      <c r="AI1286" s="156" t="inlineStr">
        <is>
          <t>Sí</t>
        </is>
      </c>
      <c r="AJ1286" s="156" t="inlineStr">
        <is>
          <t>STETSON AMERICAS (-1)</t>
        </is>
      </c>
      <c r="AK1286" s="155" t="inlineStr">
        <is>
          <t>Criterios: I [Q] | Criterios: J [R] | Shopify Stetson: producto 14697991733611 / variante 52013896401259 | Shopify WB: producto 10310238830777 / variante 50512091840697</t>
        </is>
      </c>
      <c r="AL1286" s="58" t="n">
        <v>2327.586207</v>
      </c>
      <c r="AM1286" s="58" t="n">
        <v>5172.413793</v>
      </c>
      <c r="AN1286" s="155" t="inlineStr">
        <is>
          <t>Shopify Stetson México | Shopify Western Brothers</t>
        </is>
      </c>
      <c r="AO1286" s="59" t="n">
        <v>5</v>
      </c>
      <c r="AP1286" s="59" t="n">
        <v>3</v>
      </c>
      <c r="AQ1286" s="59" t="n"/>
      <c r="AR1286" s="155" t="inlineStr">
        <is>
          <t>Shopify Stetson México › Stetson México: 3 | Shopify Stetson México › Stetson Americas: 2 | Shopify Western Brothers › Western Brothers Outlet Lerma: 3</t>
        </is>
      </c>
    </row>
    <row r="1287">
      <c r="A1287" s="50" t="inlineStr">
        <is>
          <t>724303725148</t>
        </is>
      </c>
      <c r="B1287" s="51" t="inlineStr">
        <is>
          <t>109828</t>
        </is>
      </c>
      <c r="C1287" s="156" t="inlineStr">
        <is>
          <t>Multimarca</t>
        </is>
      </c>
      <c r="D1287" s="156" t="inlineStr">
        <is>
          <t>9917500-014</t>
        </is>
      </c>
      <c r="E1287" s="156" t="inlineStr">
        <is>
          <t>9917500-014-42</t>
        </is>
      </c>
      <c r="F1287" s="156" t="inlineStr">
        <is>
          <t>42</t>
        </is>
      </c>
      <c r="G1287" s="156" t="inlineStr">
        <is>
          <t>42</t>
        </is>
      </c>
      <c r="H1287" s="156" t="inlineStr">
        <is>
          <t>Stetson</t>
        </is>
      </c>
      <c r="I1287" s="156" t="inlineStr">
        <is>
          <t>Cinturón Stetson Caballero Negro Classic</t>
        </is>
      </c>
      <c r="J1287" s="156" t="inlineStr">
        <is>
          <t>Accesorios</t>
        </is>
      </c>
      <c r="K1287" s="156" t="inlineStr">
        <is>
          <t>Cinturones</t>
        </is>
      </c>
      <c r="L1287" s="156" t="inlineStr">
        <is>
          <t>Hombre</t>
        </is>
      </c>
      <c r="M1287" s="156" t="inlineStr">
        <is>
          <t>Stetson</t>
        </is>
      </c>
      <c r="N1287" s="156" t="inlineStr">
        <is>
          <t>SS26</t>
        </is>
      </c>
      <c r="O1287" s="156" t="inlineStr">
        <is>
          <t>Seasonal</t>
        </is>
      </c>
      <c r="P1287" s="156" t="inlineStr">
        <is>
          <t>Negro</t>
        </is>
      </c>
      <c r="Q1287" s="156" t="n"/>
      <c r="R1287" s="156" t="n"/>
      <c r="S1287" s="156" t="n"/>
      <c r="T1287"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7" s="156" t="n"/>
      <c r="V1287" s="156" t="inlineStr">
        <is>
          <t>PZS</t>
        </is>
      </c>
      <c r="W1287" s="51" t="inlineStr">
        <is>
          <t>53102501</t>
        </is>
      </c>
      <c r="X1287" s="156" t="inlineStr">
        <is>
          <t>https://cdn.shopify.com/s/files/1/0888/3250/8267/files/9917500-014.jpg?v=1745269327</t>
        </is>
      </c>
      <c r="Y1287" s="54" t="n">
        <v>2327.586207</v>
      </c>
      <c r="Z1287" s="54" t="n">
        <v>5172.413793</v>
      </c>
      <c r="AA1287" s="55">
        <f>IF(AND(A1287="", B1287="", E1287=""), "", IF(AB1287="", "Válido", IF((LEN(AB1287)-LEN(SUBSTITUTE(AB1287,"; ","")))/2+1&gt;(LEN(AB1287)-LEN(SUBSTITUTE(AB1287,"[Aviso]","")))/7, "Con Incidencias", "Válido")))</f>
        <v/>
      </c>
      <c r="AB1287" s="56">
        <f>IF(AND(A1287="", B1287="", E1287=""), "", TEXTJOIN("; ", TRUE, IF(OR(TRIM(A1287&amp;"")="", ISNUMBER(SEARCH("FALTA", A1287))), "UPC faltante/inválido", ""), IF(AND(A1287&lt;&gt;"", IFERROR(_xlfn.XMATCH(A1287,$A$2:$A$2509,0,1)&lt;&gt;_xlfn.XMATCH(A1287,$A$2:$A$2509,0,-1),FALSE)), "Código de barras duplicado", ""), IF(AND(E1287&lt;&gt;"", COUNTIF($E$2:$E$2509, E1287)&gt;1), "SKU duplicado", ""), IF(OR(J1287="", J1287=""), "[Aviso] División no capturada ()", IF(ISNA(MATCH(J1287, Criterios!$A$123:$A$126, 0)), "División no válida", "")), IF(OR(K1287="", K1287=""), "[Aviso] Categoría no capturada ()", IF(ISNA(MATCH(K1287, Criterios!$A$81:$A$120, 0)), "Categoría no válida", IF(AND(J1287&lt;&gt;"", J1287&lt;&gt;"", J1287&lt;&gt;VLOOKUP(K1287, Criterios!$A$81:$B$120, 2, FALSE)), "División no coincide con Categoría", ""))), IF(OR(L1287="", L1287=""), "[Aviso] Género no capturado ()", IF(ISNA(MATCH(L1287, Criterios!$B$123:$B$127, 0)), "Género no válido", "")), IF(OR(N1287="", N1287=""), "[Aviso] Temporada no capturada ()", IF(ISNA(MATCH(N1287, Criterios!$C$123:$C$128, 0)), "Temporada no válida", "")), IF(OR(O1287="", O1287=""), "[Aviso] Ciclo de vida no capturado ()", IF(ISNA(MATCH(O1287, Criterios!$D$123:$D$124, 0)), "Ciclo de vida no válido", ""))))</f>
        <v/>
      </c>
      <c r="AC1287" s="56" t="n"/>
      <c r="AD1287" s="51" t="n">
        <v>1</v>
      </c>
      <c r="AE1287" s="156" t="inlineStr">
        <is>
          <t>WB OUTLET LERMA (1)</t>
        </is>
      </c>
      <c r="AF1287" s="51" t="n">
        <v>1</v>
      </c>
      <c r="AG1287" s="156" t="inlineStr">
        <is>
          <t>Catálogo existente</t>
        </is>
      </c>
      <c r="AH1287" s="156" t="inlineStr">
        <is>
          <t>Revisión 29/09/2026: Campos sin respaldo: S, U, X | 01/10/2026: complementado desde Shopify Stetson México (match por código de barras): WB Fit, WB Silueta, WB Descripción larga, Enlace de imagen</t>
        </is>
      </c>
      <c r="AI1287" s="156" t="inlineStr">
        <is>
          <t>No</t>
        </is>
      </c>
      <c r="AJ1287" s="156" t="n"/>
      <c r="AK1287" s="155" t="inlineStr">
        <is>
          <t>Criterios: I [Q] | Criterios: J [R] | Shopify Stetson: producto 14697991733611 / variante 52013896434027 | Shopify WB: producto 10310238830777 / variante 50512091873465</t>
        </is>
      </c>
      <c r="AL1287" s="58" t="n">
        <v>2327.586207</v>
      </c>
      <c r="AM1287" s="58" t="n">
        <v>5172.413793</v>
      </c>
      <c r="AN1287" s="155" t="inlineStr">
        <is>
          <t>Shopify Stetson México | Shopify Western Brothers</t>
        </is>
      </c>
      <c r="AO1287" s="59" t="n">
        <v>6</v>
      </c>
      <c r="AP1287" s="59" t="n">
        <v>1</v>
      </c>
      <c r="AQ1287" s="59" t="n"/>
      <c r="AR1287" s="155" t="inlineStr">
        <is>
          <t>Shopify Stetson México › Stetson México: 1 | Shopify Stetson México › Stetson Americas: 5 | Shopify Western Brothers › Western Brothers Outlet Lerma: 1</t>
        </is>
      </c>
    </row>
    <row r="1288">
      <c r="A1288" s="50" t="inlineStr">
        <is>
          <t>724303725155</t>
        </is>
      </c>
      <c r="B1288" s="51" t="inlineStr">
        <is>
          <t>109829</t>
        </is>
      </c>
      <c r="C1288" s="156" t="inlineStr">
        <is>
          <t>Multimarca</t>
        </is>
      </c>
      <c r="D1288" s="156" t="inlineStr">
        <is>
          <t>9917500-014</t>
        </is>
      </c>
      <c r="E1288" s="156" t="inlineStr">
        <is>
          <t>9917500-014-44</t>
        </is>
      </c>
      <c r="F1288" s="156" t="inlineStr">
        <is>
          <t>44</t>
        </is>
      </c>
      <c r="G1288" s="156" t="inlineStr">
        <is>
          <t>44</t>
        </is>
      </c>
      <c r="H1288" s="156" t="inlineStr">
        <is>
          <t>Stetson</t>
        </is>
      </c>
      <c r="I1288" s="156" t="inlineStr">
        <is>
          <t>Cinturón Stetson Caballero Negro Classic</t>
        </is>
      </c>
      <c r="J1288" s="156" t="inlineStr">
        <is>
          <t>Accesorios</t>
        </is>
      </c>
      <c r="K1288" s="156" t="inlineStr">
        <is>
          <t>Cinturones</t>
        </is>
      </c>
      <c r="L1288" s="156" t="inlineStr">
        <is>
          <t>Hombre</t>
        </is>
      </c>
      <c r="M1288" s="156" t="inlineStr">
        <is>
          <t>Stetson</t>
        </is>
      </c>
      <c r="N1288" s="156" t="inlineStr">
        <is>
          <t>SS26</t>
        </is>
      </c>
      <c r="O1288" s="156" t="inlineStr">
        <is>
          <t>Seasonal</t>
        </is>
      </c>
      <c r="P1288" s="156" t="inlineStr">
        <is>
          <t>Negro</t>
        </is>
      </c>
      <c r="Q1288" s="156" t="n"/>
      <c r="R1288" s="156" t="n"/>
      <c r="S1288" s="156" t="n"/>
      <c r="T1288"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8" s="156" t="n"/>
      <c r="V1288" s="156" t="inlineStr">
        <is>
          <t>PZS</t>
        </is>
      </c>
      <c r="W1288" s="51" t="inlineStr">
        <is>
          <t>53102501</t>
        </is>
      </c>
      <c r="X1288" s="156" t="inlineStr">
        <is>
          <t>https://cdn.shopify.com/s/files/1/0888/3250/8267/files/9917500-014.jpg?v=1745269327</t>
        </is>
      </c>
      <c r="Y1288" s="54" t="n">
        <v>2327.586207</v>
      </c>
      <c r="Z1288" s="54" t="n">
        <v>5172.413793</v>
      </c>
      <c r="AA1288" s="55">
        <f>IF(AND(A1288="", B1288="", E1288=""), "", IF(AB1288="", "Válido", IF((LEN(AB1288)-LEN(SUBSTITUTE(AB1288,"; ","")))/2+1&gt;(LEN(AB1288)-LEN(SUBSTITUTE(AB1288,"[Aviso]","")))/7, "Con Incidencias", "Válido")))</f>
        <v/>
      </c>
      <c r="AB1288" s="56">
        <f>IF(AND(A1288="", B1288="", E1288=""), "", TEXTJOIN("; ", TRUE, IF(OR(TRIM(A1288&amp;"")="", ISNUMBER(SEARCH("FALTA", A1288))), "UPC faltante/inválido", ""), IF(AND(A1288&lt;&gt;"", IFERROR(_xlfn.XMATCH(A1288,$A$2:$A$2509,0,1)&lt;&gt;_xlfn.XMATCH(A1288,$A$2:$A$2509,0,-1),FALSE)), "Código de barras duplicado", ""), IF(AND(E1288&lt;&gt;"", COUNTIF($E$2:$E$2509, E1288)&gt;1), "SKU duplicado", ""), IF(OR(J1288="", J1288=""), "[Aviso] División no capturada ()", IF(ISNA(MATCH(J1288, Criterios!$A$123:$A$126, 0)), "División no válida", "")), IF(OR(K1288="", K1288=""), "[Aviso] Categoría no capturada ()", IF(ISNA(MATCH(K1288, Criterios!$A$81:$A$120, 0)), "Categoría no válida", IF(AND(J1288&lt;&gt;"", J1288&lt;&gt;"", J1288&lt;&gt;VLOOKUP(K1288, Criterios!$A$81:$B$120, 2, FALSE)), "División no coincide con Categoría", ""))), IF(OR(L1288="", L1288=""), "[Aviso] Género no capturado ()", IF(ISNA(MATCH(L1288, Criterios!$B$123:$B$127, 0)), "Género no válido", "")), IF(OR(N1288="", N1288=""), "[Aviso] Temporada no capturada ()", IF(ISNA(MATCH(N1288, Criterios!$C$123:$C$128, 0)), "Temporada no válida", "")), IF(OR(O1288="", O1288=""), "[Aviso] Ciclo de vida no capturado ()", IF(ISNA(MATCH(O1288, Criterios!$D$123:$D$124, 0)), "Ciclo de vida no válido", ""))))</f>
        <v/>
      </c>
      <c r="AC1288" s="56" t="n"/>
      <c r="AD1288" s="51" t="n">
        <v>0</v>
      </c>
      <c r="AE1288" s="156" t="n"/>
      <c r="AF1288" s="51" t="n">
        <v>0</v>
      </c>
      <c r="AG1288" s="156" t="inlineStr">
        <is>
          <t>Catálogo existente</t>
        </is>
      </c>
      <c r="AH1288" s="156" t="inlineStr">
        <is>
          <t>Revisión 29/09/2026: Campos sin respaldo: S, U, X | 01/10/2026: complementado desde Shopify Stetson México (match por código de barras): WB Fit, WB Silueta, WB Descripción larga, Enlace de imagen</t>
        </is>
      </c>
      <c r="AI1288" s="156" t="inlineStr">
        <is>
          <t>No</t>
        </is>
      </c>
      <c r="AJ1288" s="156" t="n"/>
      <c r="AK1288" s="155" t="inlineStr">
        <is>
          <t>Criterios: I [Q] | Criterios: J [R] | Shopify Stetson: producto 14697991733611 / variante 52013896466795</t>
        </is>
      </c>
      <c r="AL1288" s="58" t="n">
        <v>2327.586207</v>
      </c>
      <c r="AM1288" s="58" t="n">
        <v>5172.413793</v>
      </c>
      <c r="AN1288" s="155" t="inlineStr">
        <is>
          <t>Shopify Stetson México</t>
        </is>
      </c>
      <c r="AO1288" s="59" t="n">
        <v>4</v>
      </c>
      <c r="AP1288" s="59" t="n"/>
      <c r="AQ1288" s="59" t="n"/>
      <c r="AR1288" s="155" t="inlineStr">
        <is>
          <t>Shopify Stetson México › Stetson Americas: 4</t>
        </is>
      </c>
    </row>
    <row r="1289">
      <c r="A1289" s="50" t="inlineStr">
        <is>
          <t>724303725162</t>
        </is>
      </c>
      <c r="B1289" s="51" t="inlineStr">
        <is>
          <t>109830</t>
        </is>
      </c>
      <c r="C1289" s="156" t="inlineStr">
        <is>
          <t>Multimarca</t>
        </is>
      </c>
      <c r="D1289" s="156" t="inlineStr">
        <is>
          <t>9917500-014</t>
        </is>
      </c>
      <c r="E1289" s="156" t="inlineStr">
        <is>
          <t>9917500-014-46</t>
        </is>
      </c>
      <c r="F1289" s="156" t="inlineStr">
        <is>
          <t>46</t>
        </is>
      </c>
      <c r="G1289" s="156" t="inlineStr">
        <is>
          <t>46</t>
        </is>
      </c>
      <c r="H1289" s="156" t="inlineStr">
        <is>
          <t>Stetson</t>
        </is>
      </c>
      <c r="I1289" s="156" t="inlineStr">
        <is>
          <t>Cinturón Stetson Caballero Negro Classic</t>
        </is>
      </c>
      <c r="J1289" s="156" t="inlineStr">
        <is>
          <t>Accesorios</t>
        </is>
      </c>
      <c r="K1289" s="156" t="inlineStr">
        <is>
          <t>Cinturones</t>
        </is>
      </c>
      <c r="L1289" s="156" t="inlineStr">
        <is>
          <t>Hombre</t>
        </is>
      </c>
      <c r="M1289" s="156" t="inlineStr">
        <is>
          <t>Stetson</t>
        </is>
      </c>
      <c r="N1289" s="156" t="inlineStr">
        <is>
          <t>SS26</t>
        </is>
      </c>
      <c r="O1289" s="156" t="inlineStr">
        <is>
          <t>Seasonal</t>
        </is>
      </c>
      <c r="P1289" s="156" t="inlineStr">
        <is>
          <t>Negro</t>
        </is>
      </c>
      <c r="Q1289" s="156" t="n"/>
      <c r="R1289" s="156" t="n"/>
      <c r="S1289" s="156" t="n"/>
      <c r="T1289"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9" s="156" t="n"/>
      <c r="V1289" s="156" t="inlineStr">
        <is>
          <t>PZS</t>
        </is>
      </c>
      <c r="W1289" s="51" t="inlineStr">
        <is>
          <t>53102501</t>
        </is>
      </c>
      <c r="X1289" s="156" t="inlineStr">
        <is>
          <t>https://cdn.shopify.com/s/files/1/0888/3250/8267/files/9917500-014.jpg?v=1745269327</t>
        </is>
      </c>
      <c r="Y1289" s="54" t="n">
        <v>2327.586207</v>
      </c>
      <c r="Z1289" s="54" t="n">
        <v>5172.413793</v>
      </c>
      <c r="AA1289" s="55">
        <f>IF(AND(A1289="", B1289="", E1289=""), "", IF(AB1289="", "Válido", IF((LEN(AB1289)-LEN(SUBSTITUTE(AB1289,"; ","")))/2+1&gt;(LEN(AB1289)-LEN(SUBSTITUTE(AB1289,"[Aviso]","")))/7, "Con Incidencias", "Válido")))</f>
        <v/>
      </c>
      <c r="AB1289" s="56">
        <f>IF(AND(A1289="", B1289="", E1289=""), "", TEXTJOIN("; ", TRUE, IF(OR(TRIM(A1289&amp;"")="", ISNUMBER(SEARCH("FALTA", A1289))), "UPC faltante/inválido", ""), IF(AND(A1289&lt;&gt;"", IFERROR(_xlfn.XMATCH(A1289,$A$2:$A$2509,0,1)&lt;&gt;_xlfn.XMATCH(A1289,$A$2:$A$2509,0,-1),FALSE)), "Código de barras duplicado", ""), IF(AND(E1289&lt;&gt;"", COUNTIF($E$2:$E$2509, E1289)&gt;1), "SKU duplicado", ""), IF(OR(J1289="", J1289=""), "[Aviso] División no capturada ()", IF(ISNA(MATCH(J1289, Criterios!$A$123:$A$126, 0)), "División no válida", "")), IF(OR(K1289="", K1289=""), "[Aviso] Categoría no capturada ()", IF(ISNA(MATCH(K1289, Criterios!$A$81:$A$120, 0)), "Categoría no válida", IF(AND(J1289&lt;&gt;"", J1289&lt;&gt;"", J1289&lt;&gt;VLOOKUP(K1289, Criterios!$A$81:$B$120, 2, FALSE)), "División no coincide con Categoría", ""))), IF(OR(L1289="", L1289=""), "[Aviso] Género no capturado ()", IF(ISNA(MATCH(L1289, Criterios!$B$123:$B$127, 0)), "Género no válido", "")), IF(OR(N1289="", N1289=""), "[Aviso] Temporada no capturada ()", IF(ISNA(MATCH(N1289, Criterios!$C$123:$C$128, 0)), "Temporada no válida", "")), IF(OR(O1289="", O1289=""), "[Aviso] Ciclo de vida no capturado ()", IF(ISNA(MATCH(O1289, Criterios!$D$123:$D$124, 0)), "Ciclo de vida no válido", ""))))</f>
        <v/>
      </c>
      <c r="AC1289" s="56" t="n"/>
      <c r="AD1289" s="51" t="n">
        <v>0</v>
      </c>
      <c r="AE1289" s="156" t="n"/>
      <c r="AF1289" s="51" t="n">
        <v>0</v>
      </c>
      <c r="AG1289" s="156" t="inlineStr">
        <is>
          <t>Catálogo existente</t>
        </is>
      </c>
      <c r="AH1289" s="156" t="inlineStr">
        <is>
          <t>Revisión 29/09/2026: Campos sin respaldo: S, U, X | 01/10/2026: complementado desde Shopify Stetson México (match por código de barras): WB Fit, WB Silueta, WB Descripción larga, Enlace de imagen</t>
        </is>
      </c>
      <c r="AI1289" s="156" t="inlineStr">
        <is>
          <t>No</t>
        </is>
      </c>
      <c r="AJ1289" s="156" t="n"/>
      <c r="AK1289" s="155" t="inlineStr">
        <is>
          <t>Criterios: I [Q] | Criterios: J [R] | Shopify Stetson: producto 14697991733611 / variante 52013896499563</t>
        </is>
      </c>
      <c r="AL1289" s="58" t="n">
        <v>2327.586207</v>
      </c>
      <c r="AM1289" s="58" t="n">
        <v>5172.413793</v>
      </c>
      <c r="AN1289" s="155" t="inlineStr">
        <is>
          <t>Shopify Stetson México</t>
        </is>
      </c>
      <c r="AO1289" s="59" t="n">
        <v>2</v>
      </c>
      <c r="AP1289" s="59" t="n"/>
      <c r="AQ1289" s="59" t="n"/>
      <c r="AR1289" s="155" t="inlineStr">
        <is>
          <t>Shopify Stetson México › Stetson Americas: 2</t>
        </is>
      </c>
    </row>
    <row r="1290">
      <c r="A1290" s="50" t="inlineStr">
        <is>
          <t>724303725476</t>
        </is>
      </c>
      <c r="B1290" s="51" t="inlineStr">
        <is>
          <t>109783</t>
        </is>
      </c>
      <c r="C1290" s="156" t="inlineStr">
        <is>
          <t>Multimarca</t>
        </is>
      </c>
      <c r="D1290" s="156" t="inlineStr">
        <is>
          <t>9912500-203</t>
        </is>
      </c>
      <c r="E1290" s="156" t="inlineStr">
        <is>
          <t>9912500-203-36</t>
        </is>
      </c>
      <c r="F1290" s="156" t="inlineStr">
        <is>
          <t>36</t>
        </is>
      </c>
      <c r="G1290" s="156" t="inlineStr">
        <is>
          <t>36</t>
        </is>
      </c>
      <c r="H1290" s="156" t="inlineStr">
        <is>
          <t>Stetson</t>
        </is>
      </c>
      <c r="I1290" s="156" t="inlineStr">
        <is>
          <t>Cinturón Stetson Piel Vintage Café</t>
        </is>
      </c>
      <c r="J1290" s="156" t="inlineStr">
        <is>
          <t>Accesorios</t>
        </is>
      </c>
      <c r="K1290" s="156" t="inlineStr">
        <is>
          <t>Cinturones</t>
        </is>
      </c>
      <c r="L1290" s="156" t="inlineStr">
        <is>
          <t>Hombre</t>
        </is>
      </c>
      <c r="M1290" s="156" t="inlineStr">
        <is>
          <t>Stetson</t>
        </is>
      </c>
      <c r="N1290" s="156" t="inlineStr">
        <is>
          <t>SS26</t>
        </is>
      </c>
      <c r="O1290" s="156" t="inlineStr">
        <is>
          <t>Seasonal</t>
        </is>
      </c>
      <c r="P1290" s="156" t="inlineStr">
        <is>
          <t>Cafe</t>
        </is>
      </c>
      <c r="Q1290" s="156" t="n"/>
      <c r="R1290" s="156" t="n"/>
      <c r="S1290" s="156" t="inlineStr">
        <is>
          <t>Cuero</t>
        </is>
      </c>
      <c r="T1290"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0" s="156" t="n"/>
      <c r="V1290" s="156" t="inlineStr">
        <is>
          <t>PZS</t>
        </is>
      </c>
      <c r="W1290" s="51" t="inlineStr">
        <is>
          <t>53102501</t>
        </is>
      </c>
      <c r="X1290" s="156" t="inlineStr">
        <is>
          <t>https://cdn.shopify.com/s/files/1/0888/3250/8267/files/9912500-203-38_alt2.jpg?v=1761948544</t>
        </is>
      </c>
      <c r="Y1290" s="54" t="n">
        <v>834.0517241</v>
      </c>
      <c r="Z1290" s="54" t="n">
        <v>1853.448276</v>
      </c>
      <c r="AA1290" s="55">
        <f>IF(AND(A1290="", B1290="", E1290=""), "", IF(AB1290="", "Válido", IF((LEN(AB1290)-LEN(SUBSTITUTE(AB1290,"; ","")))/2+1&gt;(LEN(AB1290)-LEN(SUBSTITUTE(AB1290,"[Aviso]","")))/7, "Con Incidencias", "Válido")))</f>
        <v/>
      </c>
      <c r="AB1290" s="56">
        <f>IF(AND(A1290="", B1290="", E1290=""), "", TEXTJOIN("; ", TRUE, IF(OR(TRIM(A1290&amp;"")="", ISNUMBER(SEARCH("FALTA", A1290))), "UPC faltante/inválido", ""), IF(AND(A1290&lt;&gt;"", IFERROR(_xlfn.XMATCH(A1290,$A$2:$A$2509,0,1)&lt;&gt;_xlfn.XMATCH(A1290,$A$2:$A$2509,0,-1),FALSE)), "Código de barras duplicado", ""), IF(AND(E1290&lt;&gt;"", COUNTIF($E$2:$E$2509, E1290)&gt;1), "SKU duplicado", ""), IF(OR(J1290="", J1290=""), "[Aviso] División no capturada ()", IF(ISNA(MATCH(J1290, Criterios!$A$123:$A$126, 0)), "División no válida", "")), IF(OR(K1290="", K1290=""), "[Aviso] Categoría no capturada ()", IF(ISNA(MATCH(K1290, Criterios!$A$81:$A$120, 0)), "Categoría no válida", IF(AND(J1290&lt;&gt;"", J1290&lt;&gt;"", J1290&lt;&gt;VLOOKUP(K1290, Criterios!$A$81:$B$120, 2, FALSE)), "División no coincide con Categoría", ""))), IF(OR(L1290="", L1290=""), "[Aviso] Género no capturado ()", IF(ISNA(MATCH(L1290, Criterios!$B$123:$B$127, 0)), "Género no válido", "")), IF(OR(N1290="", N1290=""), "[Aviso] Temporada no capturada ()", IF(ISNA(MATCH(N1290, Criterios!$C$123:$C$128, 0)), "Temporada no válida", "")), IF(OR(O1290="", O1290=""), "[Aviso] Ciclo de vida no capturado ()", IF(ISNA(MATCH(O1290, Criterios!$D$123:$D$124, 0)), "Ciclo de vida no válido", ""))))</f>
        <v/>
      </c>
      <c r="AC1290" s="56" t="n"/>
      <c r="AD1290" s="51" t="n">
        <v>1</v>
      </c>
      <c r="AE1290" s="156" t="inlineStr">
        <is>
          <t>WB OUTLET LERMA (1)</t>
        </is>
      </c>
      <c r="AF1290" s="51" t="n">
        <v>1</v>
      </c>
      <c r="AG1290" s="156" t="inlineStr">
        <is>
          <t>Catálogo existente</t>
        </is>
      </c>
      <c r="AH1290" s="156" t="inlineStr">
        <is>
          <t>Revisión 29/09/2026: Campos sin respaldo: U; Auditoría NetSuite 30/09/2026: llenado desde NetSuite [S] | 01/10/2026: complementado desde Shopify Stetson México (match por código de barras): WB Fit, WB Silueta</t>
        </is>
      </c>
      <c r="AI1290" s="156" t="inlineStr">
        <is>
          <t>No</t>
        </is>
      </c>
      <c r="AJ1290" s="156" t="n"/>
      <c r="AK1290" s="155" t="inlineStr">
        <is>
          <t>Criterios: I [Q] | Criterios: J [R]; G1522_Extraccion_Articulos_NetSuite_2026-09-30.xlsx: fila 57598 [S] | Shopify Stetson: producto 14697973875051 / variante 52013843448171 | Shopify WB: producto 10310238863545 / variante 50512091906233</t>
        </is>
      </c>
      <c r="AL1290" s="58" t="n">
        <v>834.0517241</v>
      </c>
      <c r="AM1290" s="58" t="n">
        <v>1853.448276</v>
      </c>
      <c r="AN1290" s="155" t="inlineStr">
        <is>
          <t>Shopify Stetson México | Shopify Western Brothers</t>
        </is>
      </c>
      <c r="AO1290" s="59" t="n">
        <v>0</v>
      </c>
      <c r="AP1290" s="59" t="n">
        <v>1</v>
      </c>
      <c r="AQ1290" s="59" t="n"/>
      <c r="AR1290" s="155" t="inlineStr">
        <is>
          <t>Shopify Western Brothers › Western Brothers Outlet Lerma: 1</t>
        </is>
      </c>
    </row>
    <row r="1291">
      <c r="A1291" s="50" t="inlineStr">
        <is>
          <t>724303725483</t>
        </is>
      </c>
      <c r="B1291" s="51" t="inlineStr">
        <is>
          <t>109784</t>
        </is>
      </c>
      <c r="C1291" s="156" t="inlineStr">
        <is>
          <t>Multimarca</t>
        </is>
      </c>
      <c r="D1291" s="156" t="inlineStr">
        <is>
          <t>9912500-203</t>
        </is>
      </c>
      <c r="E1291" s="156" t="inlineStr">
        <is>
          <t>9912500-203-38</t>
        </is>
      </c>
      <c r="F1291" s="156" t="inlineStr">
        <is>
          <t>38</t>
        </is>
      </c>
      <c r="G1291" s="156" t="inlineStr">
        <is>
          <t>38</t>
        </is>
      </c>
      <c r="H1291" s="156" t="inlineStr">
        <is>
          <t>Stetson</t>
        </is>
      </c>
      <c r="I1291" s="156" t="inlineStr">
        <is>
          <t>Cinturón Stetson Piel Vintage Café</t>
        </is>
      </c>
      <c r="J1291" s="156" t="inlineStr">
        <is>
          <t>Accesorios</t>
        </is>
      </c>
      <c r="K1291" s="156" t="inlineStr">
        <is>
          <t>Cinturones</t>
        </is>
      </c>
      <c r="L1291" s="156" t="inlineStr">
        <is>
          <t>Hombre</t>
        </is>
      </c>
      <c r="M1291" s="156" t="inlineStr">
        <is>
          <t>Stetson</t>
        </is>
      </c>
      <c r="N1291" s="156" t="inlineStr">
        <is>
          <t>SS26</t>
        </is>
      </c>
      <c r="O1291" s="156" t="inlineStr">
        <is>
          <t>Seasonal</t>
        </is>
      </c>
      <c r="P1291" s="156" t="inlineStr">
        <is>
          <t>Cafe</t>
        </is>
      </c>
      <c r="Q1291" s="156" t="n"/>
      <c r="R1291" s="156" t="n"/>
      <c r="S1291" s="156" t="inlineStr">
        <is>
          <t>Cuero</t>
        </is>
      </c>
      <c r="T1291"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1" s="156" t="n"/>
      <c r="V1291" s="156" t="inlineStr">
        <is>
          <t>PZS</t>
        </is>
      </c>
      <c r="W1291" s="51" t="inlineStr">
        <is>
          <t>53102501</t>
        </is>
      </c>
      <c r="X1291" s="156" t="inlineStr">
        <is>
          <t>https://cdn.shopify.com/s/files/1/0888/3250/8267/files/9912500-203_alt2.jpg?v=1761948550</t>
        </is>
      </c>
      <c r="Y1291" s="54" t="n">
        <v>834.0517241</v>
      </c>
      <c r="Z1291" s="54" t="n">
        <v>1853.448276</v>
      </c>
      <c r="AA1291" s="55">
        <f>IF(AND(A1291="", B1291="", E1291=""), "", IF(AB1291="", "Válido", IF((LEN(AB1291)-LEN(SUBSTITUTE(AB1291,"; ","")))/2+1&gt;(LEN(AB1291)-LEN(SUBSTITUTE(AB1291,"[Aviso]","")))/7, "Con Incidencias", "Válido")))</f>
        <v/>
      </c>
      <c r="AB1291" s="56">
        <f>IF(AND(A1291="", B1291="", E1291=""), "", TEXTJOIN("; ", TRUE, IF(OR(TRIM(A1291&amp;"")="", ISNUMBER(SEARCH("FALTA", A1291))), "UPC faltante/inválido", ""), IF(AND(A1291&lt;&gt;"", IFERROR(_xlfn.XMATCH(A1291,$A$2:$A$2509,0,1)&lt;&gt;_xlfn.XMATCH(A1291,$A$2:$A$2509,0,-1),FALSE)), "Código de barras duplicado", ""), IF(AND(E1291&lt;&gt;"", COUNTIF($E$2:$E$2509, E1291)&gt;1), "SKU duplicado", ""), IF(OR(J1291="", J1291=""), "[Aviso] División no capturada ()", IF(ISNA(MATCH(J1291, Criterios!$A$123:$A$126, 0)), "División no válida", "")), IF(OR(K1291="", K1291=""), "[Aviso] Categoría no capturada ()", IF(ISNA(MATCH(K1291, Criterios!$A$81:$A$120, 0)), "Categoría no válida", IF(AND(J1291&lt;&gt;"", J1291&lt;&gt;"", J1291&lt;&gt;VLOOKUP(K1291, Criterios!$A$81:$B$120, 2, FALSE)), "División no coincide con Categoría", ""))), IF(OR(L1291="", L1291=""), "[Aviso] Género no capturado ()", IF(ISNA(MATCH(L1291, Criterios!$B$123:$B$127, 0)), "Género no válido", "")), IF(OR(N1291="", N1291=""), "[Aviso] Temporada no capturada ()", IF(ISNA(MATCH(N1291, Criterios!$C$123:$C$128, 0)), "Temporada no válida", "")), IF(OR(O1291="", O1291=""), "[Aviso] Ciclo de vida no capturado ()", IF(ISNA(MATCH(O1291, Criterios!$D$123:$D$124, 0)), "Ciclo de vida no válido", ""))))</f>
        <v/>
      </c>
      <c r="AC1291" s="56" t="n"/>
      <c r="AD1291" s="51" t="n">
        <v>2</v>
      </c>
      <c r="AE1291" s="156" t="inlineStr">
        <is>
          <t>B25 STETSON.MX (3)</t>
        </is>
      </c>
      <c r="AF1291" s="51" t="n">
        <v>3</v>
      </c>
      <c r="AG1291" s="156" t="inlineStr">
        <is>
          <t>Catálogo existente</t>
        </is>
      </c>
      <c r="AH1291" s="156" t="inlineStr">
        <is>
          <t>Revisión 29/09/2026: Campos sin respaldo: U; Auditoría NetSuite 30/09/2026: llenado desde NetSuite [S] | 01/10/2026: complementado desde Shopify Stetson México (match por código de barras): WB Fit, WB Silueta</t>
        </is>
      </c>
      <c r="AI1291" s="156" t="inlineStr">
        <is>
          <t>Sí</t>
        </is>
      </c>
      <c r="AJ1291" s="156" t="inlineStr">
        <is>
          <t>STETSON AMERICAS (-1)</t>
        </is>
      </c>
      <c r="AK1291" s="155" t="inlineStr">
        <is>
          <t>Criterios: I [Q] | Criterios: J [R]; G1522_Extraccion_Articulos_NetSuite_2026-09-30.xlsx: fila 57599 [S] | Shopify Stetson: producto 14697973875051 / variante 52013843480939</t>
        </is>
      </c>
      <c r="AL1291" s="58" t="n">
        <v>834.0517241</v>
      </c>
      <c r="AM1291" s="58" t="n">
        <v>1853.448276</v>
      </c>
      <c r="AN1291" s="155" t="inlineStr">
        <is>
          <t>Shopify Stetson México</t>
        </is>
      </c>
      <c r="AO1291" s="59" t="n">
        <v>6</v>
      </c>
      <c r="AP1291" s="59" t="n"/>
      <c r="AQ1291" s="59" t="n"/>
      <c r="AR1291" s="155" t="inlineStr">
        <is>
          <t>Shopify Stetson México › Stetson México: 3 | Shopify Stetson México › Stetson Americas: 3</t>
        </is>
      </c>
    </row>
    <row r="1292">
      <c r="A1292" s="50" t="inlineStr">
        <is>
          <t>724303725490</t>
        </is>
      </c>
      <c r="B1292" s="51" t="inlineStr">
        <is>
          <t>109785</t>
        </is>
      </c>
      <c r="C1292" s="156" t="inlineStr">
        <is>
          <t>Multimarca</t>
        </is>
      </c>
      <c r="D1292" s="156" t="inlineStr">
        <is>
          <t>9912500-203</t>
        </is>
      </c>
      <c r="E1292" s="156" t="inlineStr">
        <is>
          <t>9912500-203-40</t>
        </is>
      </c>
      <c r="F1292" s="156" t="inlineStr">
        <is>
          <t>40</t>
        </is>
      </c>
      <c r="G1292" s="156" t="inlineStr">
        <is>
          <t>40</t>
        </is>
      </c>
      <c r="H1292" s="156" t="inlineStr">
        <is>
          <t>Stetson</t>
        </is>
      </c>
      <c r="I1292" s="156" t="inlineStr">
        <is>
          <t>Cinturón Stetson Piel Vintage Café</t>
        </is>
      </c>
      <c r="J1292" s="156" t="inlineStr">
        <is>
          <t>Accesorios</t>
        </is>
      </c>
      <c r="K1292" s="156" t="inlineStr">
        <is>
          <t>Cinturones</t>
        </is>
      </c>
      <c r="L1292" s="156" t="inlineStr">
        <is>
          <t>Hombre</t>
        </is>
      </c>
      <c r="M1292" s="156" t="inlineStr">
        <is>
          <t>Stetson</t>
        </is>
      </c>
      <c r="N1292" s="156" t="inlineStr">
        <is>
          <t>SS26</t>
        </is>
      </c>
      <c r="O1292" s="156" t="inlineStr">
        <is>
          <t>Seasonal</t>
        </is>
      </c>
      <c r="P1292" s="156" t="inlineStr">
        <is>
          <t>Cafe</t>
        </is>
      </c>
      <c r="Q1292" s="156" t="n"/>
      <c r="R1292" s="156" t="n"/>
      <c r="S1292" s="156" t="inlineStr">
        <is>
          <t>Cuero</t>
        </is>
      </c>
      <c r="T1292"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2" s="156" t="n"/>
      <c r="V1292" s="156" t="inlineStr">
        <is>
          <t>PZS</t>
        </is>
      </c>
      <c r="W1292" s="51" t="inlineStr">
        <is>
          <t>53102501</t>
        </is>
      </c>
      <c r="X1292" s="156" t="inlineStr">
        <is>
          <t>https://cdn.shopify.com/s/files/1/0888/3250/8267/files/9912500-203_alt1.jpg?v=1761948557</t>
        </is>
      </c>
      <c r="Y1292" s="54" t="n">
        <v>834.0517241</v>
      </c>
      <c r="Z1292" s="54" t="n">
        <v>1853.448276</v>
      </c>
      <c r="AA1292" s="55">
        <f>IF(AND(A1292="", B1292="", E1292=""), "", IF(AB1292="", "Válido", IF((LEN(AB1292)-LEN(SUBSTITUTE(AB1292,"; ","")))/2+1&gt;(LEN(AB1292)-LEN(SUBSTITUTE(AB1292,"[Aviso]","")))/7, "Con Incidencias", "Válido")))</f>
        <v/>
      </c>
      <c r="AB1292" s="56">
        <f>IF(AND(A1292="", B1292="", E1292=""), "", TEXTJOIN("; ", TRUE, IF(OR(TRIM(A1292&amp;"")="", ISNUMBER(SEARCH("FALTA", A1292))), "UPC faltante/inválido", ""), IF(AND(A1292&lt;&gt;"", IFERROR(_xlfn.XMATCH(A1292,$A$2:$A$2509,0,1)&lt;&gt;_xlfn.XMATCH(A1292,$A$2:$A$2509,0,-1),FALSE)), "Código de barras duplicado", ""), IF(AND(E1292&lt;&gt;"", COUNTIF($E$2:$E$2509, E1292)&gt;1), "SKU duplicado", ""), IF(OR(J1292="", J1292=""), "[Aviso] División no capturada ()", IF(ISNA(MATCH(J1292, Criterios!$A$123:$A$126, 0)), "División no válida", "")), IF(OR(K1292="", K1292=""), "[Aviso] Categoría no capturada ()", IF(ISNA(MATCH(K1292, Criterios!$A$81:$A$120, 0)), "Categoría no válida", IF(AND(J1292&lt;&gt;"", J1292&lt;&gt;"", J1292&lt;&gt;VLOOKUP(K1292, Criterios!$A$81:$B$120, 2, FALSE)), "División no coincide con Categoría", ""))), IF(OR(L1292="", L1292=""), "[Aviso] Género no capturado ()", IF(ISNA(MATCH(L1292, Criterios!$B$123:$B$127, 0)), "Género no válido", "")), IF(OR(N1292="", N1292=""), "[Aviso] Temporada no capturada ()", IF(ISNA(MATCH(N1292, Criterios!$C$123:$C$128, 0)), "Temporada no válida", "")), IF(OR(O1292="", O1292=""), "[Aviso] Ciclo de vida no capturado ()", IF(ISNA(MATCH(O1292, Criterios!$D$123:$D$124, 0)), "Ciclo de vida no válido", ""))))</f>
        <v/>
      </c>
      <c r="AC1292" s="56" t="n"/>
      <c r="AD1292" s="51" t="n">
        <v>4</v>
      </c>
      <c r="AE1292" s="156" t="inlineStr">
        <is>
          <t>B25 STETSON.MX (5); WB OUTLET LERMA (1)</t>
        </is>
      </c>
      <c r="AF1292" s="51" t="n">
        <v>6</v>
      </c>
      <c r="AG1292" s="156" t="inlineStr">
        <is>
          <t>Catálogo existente</t>
        </is>
      </c>
      <c r="AH1292" s="156" t="inlineStr">
        <is>
          <t>Revisión 29/09/2026: Campos sin respaldo: U; Auditoría NetSuite 30/09/2026: llenado desde NetSuite [S] | 01/10/2026: complementado desde Shopify Stetson México (match por código de barras): WB Fit, WB Silueta</t>
        </is>
      </c>
      <c r="AI1292" s="156" t="inlineStr">
        <is>
          <t>Sí</t>
        </is>
      </c>
      <c r="AJ1292" s="156" t="inlineStr">
        <is>
          <t>STETSON AMERICAS (-2)</t>
        </is>
      </c>
      <c r="AK1292" s="155" t="inlineStr">
        <is>
          <t>Criterios: I [Q] | Criterios: J [R]; G1522_Extraccion_Articulos_NetSuite_2026-09-30.xlsx: fila 57600 [S] | Shopify Stetson: producto 14697973875051 / variante 52013843513707 | Shopify WB: producto 10310238863545 / variante 50512091939001</t>
        </is>
      </c>
      <c r="AL1292" s="58" t="n">
        <v>834.0517241</v>
      </c>
      <c r="AM1292" s="58" t="n">
        <v>1853.448276</v>
      </c>
      <c r="AN1292" s="155" t="inlineStr">
        <is>
          <t>Shopify Stetson México | Shopify Western Brothers</t>
        </is>
      </c>
      <c r="AO1292" s="59" t="n">
        <v>7</v>
      </c>
      <c r="AP1292" s="59" t="n">
        <v>1</v>
      </c>
      <c r="AQ1292" s="59" t="n"/>
      <c r="AR1292" s="155" t="inlineStr">
        <is>
          <t>Shopify Stetson México › Stetson México: 5 | Shopify Stetson México › Stetson Americas: 2 | Shopify Western Brothers › Western Brothers Outlet Lerma: 1</t>
        </is>
      </c>
    </row>
    <row r="1293">
      <c r="A1293" s="50" t="inlineStr">
        <is>
          <t>724303725506</t>
        </is>
      </c>
      <c r="B1293" s="51" t="inlineStr">
        <is>
          <t>109786</t>
        </is>
      </c>
      <c r="C1293" s="156" t="inlineStr">
        <is>
          <t>Multimarca</t>
        </is>
      </c>
      <c r="D1293" s="156" t="inlineStr">
        <is>
          <t>9912500-203</t>
        </is>
      </c>
      <c r="E1293" s="156" t="inlineStr">
        <is>
          <t>9912500-203-42</t>
        </is>
      </c>
      <c r="F1293" s="156" t="inlineStr">
        <is>
          <t>42</t>
        </is>
      </c>
      <c r="G1293" s="156" t="inlineStr">
        <is>
          <t>42</t>
        </is>
      </c>
      <c r="H1293" s="156" t="inlineStr">
        <is>
          <t>Stetson</t>
        </is>
      </c>
      <c r="I1293" s="156" t="inlineStr">
        <is>
          <t>Cinturón Stetson Piel Vintage Café</t>
        </is>
      </c>
      <c r="J1293" s="156" t="inlineStr">
        <is>
          <t>Accesorios</t>
        </is>
      </c>
      <c r="K1293" s="156" t="inlineStr">
        <is>
          <t>Cinturones</t>
        </is>
      </c>
      <c r="L1293" s="156" t="inlineStr">
        <is>
          <t>Hombre</t>
        </is>
      </c>
      <c r="M1293" s="156" t="inlineStr">
        <is>
          <t>Stetson</t>
        </is>
      </c>
      <c r="N1293" s="156" t="inlineStr">
        <is>
          <t>SS26</t>
        </is>
      </c>
      <c r="O1293" s="156" t="inlineStr">
        <is>
          <t>Seasonal</t>
        </is>
      </c>
      <c r="P1293" s="156" t="inlineStr">
        <is>
          <t>Cafe</t>
        </is>
      </c>
      <c r="Q1293" s="156" t="n"/>
      <c r="R1293" s="156" t="n"/>
      <c r="S1293" s="156" t="inlineStr">
        <is>
          <t>Cuero</t>
        </is>
      </c>
      <c r="T1293"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3" s="156" t="n"/>
      <c r="V1293" s="156" t="inlineStr">
        <is>
          <t>PZS</t>
        </is>
      </c>
      <c r="W1293" s="51" t="inlineStr">
        <is>
          <t>53102501</t>
        </is>
      </c>
      <c r="X1293" s="156" t="inlineStr">
        <is>
          <t>https://cdn.shopify.com/s/files/1/0888/3250/8267/files/9912500-203_alt3.jpg?v=1761948562</t>
        </is>
      </c>
      <c r="Y1293" s="54" t="n">
        <v>834.0517241</v>
      </c>
      <c r="Z1293" s="54" t="n">
        <v>1853.448276</v>
      </c>
      <c r="AA1293" s="55">
        <f>IF(AND(A1293="", B1293="", E1293=""), "", IF(AB1293="", "Válido", IF((LEN(AB1293)-LEN(SUBSTITUTE(AB1293,"; ","")))/2+1&gt;(LEN(AB1293)-LEN(SUBSTITUTE(AB1293,"[Aviso]","")))/7, "Con Incidencias", "Válido")))</f>
        <v/>
      </c>
      <c r="AB1293" s="56">
        <f>IF(AND(A1293="", B1293="", E1293=""), "", TEXTJOIN("; ", TRUE, IF(OR(TRIM(A1293&amp;"")="", ISNUMBER(SEARCH("FALTA", A1293))), "UPC faltante/inválido", ""), IF(AND(A1293&lt;&gt;"", IFERROR(_xlfn.XMATCH(A1293,$A$2:$A$2509,0,1)&lt;&gt;_xlfn.XMATCH(A1293,$A$2:$A$2509,0,-1),FALSE)), "Código de barras duplicado", ""), IF(AND(E1293&lt;&gt;"", COUNTIF($E$2:$E$2509, E1293)&gt;1), "SKU duplicado", ""), IF(OR(J1293="", J1293=""), "[Aviso] División no capturada ()", IF(ISNA(MATCH(J1293, Criterios!$A$123:$A$126, 0)), "División no válida", "")), IF(OR(K1293="", K1293=""), "[Aviso] Categoría no capturada ()", IF(ISNA(MATCH(K1293, Criterios!$A$81:$A$120, 0)), "Categoría no válida", IF(AND(J1293&lt;&gt;"", J1293&lt;&gt;"", J1293&lt;&gt;VLOOKUP(K1293, Criterios!$A$81:$B$120, 2, FALSE)), "División no coincide con Categoría", ""))), IF(OR(L1293="", L1293=""), "[Aviso] Género no capturado ()", IF(ISNA(MATCH(L1293, Criterios!$B$123:$B$127, 0)), "Género no válido", "")), IF(OR(N1293="", N1293=""), "[Aviso] Temporada no capturada ()", IF(ISNA(MATCH(N1293, Criterios!$C$123:$C$128, 0)), "Temporada no válida", "")), IF(OR(O1293="", O1293=""), "[Aviso] Ciclo de vida no capturado ()", IF(ISNA(MATCH(O1293, Criterios!$D$123:$D$124, 0)), "Ciclo de vida no válido", ""))))</f>
        <v/>
      </c>
      <c r="AC1293" s="56" t="n"/>
      <c r="AD1293" s="51" t="n">
        <v>3</v>
      </c>
      <c r="AE1293" s="156" t="inlineStr">
        <is>
          <t>WB OUTLET LERMA (1); B25 STETSON.MX (3)</t>
        </is>
      </c>
      <c r="AF1293" s="51" t="n">
        <v>4</v>
      </c>
      <c r="AG1293" s="156" t="inlineStr">
        <is>
          <t>Catálogo existente</t>
        </is>
      </c>
      <c r="AH1293" s="156" t="inlineStr">
        <is>
          <t>Revisión 29/09/2026: Campos sin respaldo: U; Auditoría NetSuite 30/09/2026: llenado desde NetSuite [S] | 01/10/2026: complementado desde Shopify Stetson México (match por código de barras): WB Fit, WB Silueta</t>
        </is>
      </c>
      <c r="AI1293" s="156" t="inlineStr">
        <is>
          <t>Sí</t>
        </is>
      </c>
      <c r="AJ1293" s="156" t="inlineStr">
        <is>
          <t>STETSON AMERICAS (-1)</t>
        </is>
      </c>
      <c r="AK1293" s="155" t="inlineStr">
        <is>
          <t>Criterios: I [Q] | Criterios: J [R]; G1522_Extraccion_Articulos_NetSuite_2026-09-30.xlsx: fila 57601 [S] | Shopify Stetson: producto 14697973875051 / variante 52013843546475 | Shopify WB: producto 10310238863545 / variante 50512091971769</t>
        </is>
      </c>
      <c r="AL1293" s="58" t="n">
        <v>834.0517241</v>
      </c>
      <c r="AM1293" s="58" t="n">
        <v>1853.448276</v>
      </c>
      <c r="AN1293" s="155" t="inlineStr">
        <is>
          <t>Shopify Stetson México | Shopify Western Brothers</t>
        </is>
      </c>
      <c r="AO1293" s="59" t="n">
        <v>5</v>
      </c>
      <c r="AP1293" s="59" t="n">
        <v>1</v>
      </c>
      <c r="AQ1293" s="59" t="n"/>
      <c r="AR1293" s="155" t="inlineStr">
        <is>
          <t>Shopify Stetson México › Stetson México: 3 | Shopify Stetson México › Stetson Americas: 2 | Shopify Western Brothers › Western Brothers Outlet Lerma: 1</t>
        </is>
      </c>
    </row>
    <row r="1294">
      <c r="A1294" s="50" t="inlineStr">
        <is>
          <t>724303725513</t>
        </is>
      </c>
      <c r="B1294" s="51" t="inlineStr">
        <is>
          <t>109787</t>
        </is>
      </c>
      <c r="C1294" s="156" t="inlineStr">
        <is>
          <t>Multimarca</t>
        </is>
      </c>
      <c r="D1294" s="156" t="inlineStr">
        <is>
          <t>9912500-203</t>
        </is>
      </c>
      <c r="E1294" s="156" t="inlineStr">
        <is>
          <t>9912500-203-44</t>
        </is>
      </c>
      <c r="F1294" s="156" t="inlineStr">
        <is>
          <t>44</t>
        </is>
      </c>
      <c r="G1294" s="156" t="inlineStr">
        <is>
          <t>44</t>
        </is>
      </c>
      <c r="H1294" s="156" t="inlineStr">
        <is>
          <t>Stetson</t>
        </is>
      </c>
      <c r="I1294" s="156" t="inlineStr">
        <is>
          <t>Cinturón Stetson Piel Vintage Café</t>
        </is>
      </c>
      <c r="J1294" s="156" t="inlineStr">
        <is>
          <t>Accesorios</t>
        </is>
      </c>
      <c r="K1294" s="156" t="inlineStr">
        <is>
          <t>Cinturones</t>
        </is>
      </c>
      <c r="L1294" s="156" t="inlineStr">
        <is>
          <t>Hombre</t>
        </is>
      </c>
      <c r="M1294" s="156" t="inlineStr">
        <is>
          <t>Stetson</t>
        </is>
      </c>
      <c r="N1294" s="156" t="inlineStr">
        <is>
          <t>SS26</t>
        </is>
      </c>
      <c r="O1294" s="156" t="inlineStr">
        <is>
          <t>Seasonal</t>
        </is>
      </c>
      <c r="P1294" s="156" t="inlineStr">
        <is>
          <t>Cafe</t>
        </is>
      </c>
      <c r="Q1294" s="156" t="n"/>
      <c r="R1294" s="156" t="n"/>
      <c r="S1294" s="156" t="inlineStr">
        <is>
          <t>Cuero</t>
        </is>
      </c>
      <c r="T1294"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1294" s="156" t="n"/>
      <c r="V1294" s="156" t="inlineStr">
        <is>
          <t>PZS</t>
        </is>
      </c>
      <c r="W1294" s="51" t="inlineStr">
        <is>
          <t>53102501</t>
        </is>
      </c>
      <c r="X1294" s="156" t="inlineStr">
        <is>
          <t>https://cdn.shopify.com/s/files/1/0888/3250/8267/files/9912500-203_Vintage_Brown_2.jpg?v=1761948568</t>
        </is>
      </c>
      <c r="Y1294" s="54" t="n">
        <v>834.0517241</v>
      </c>
      <c r="Z1294" s="54" t="n">
        <v>1853.448276</v>
      </c>
      <c r="AA1294" s="55">
        <f>IF(AND(A1294="", B1294="", E1294=""), "", IF(AB1294="", "Válido", IF((LEN(AB1294)-LEN(SUBSTITUTE(AB1294,"; ","")))/2+1&gt;(LEN(AB1294)-LEN(SUBSTITUTE(AB1294,"[Aviso]","")))/7, "Con Incidencias", "Válido")))</f>
        <v/>
      </c>
      <c r="AB1294" s="56">
        <f>IF(AND(A1294="", B1294="", E1294=""), "", TEXTJOIN("; ", TRUE, IF(OR(TRIM(A1294&amp;"")="", ISNUMBER(SEARCH("FALTA", A1294))), "UPC faltante/inválido", ""), IF(AND(A1294&lt;&gt;"", IFERROR(_xlfn.XMATCH(A1294,$A$2:$A$2509,0,1)&lt;&gt;_xlfn.XMATCH(A1294,$A$2:$A$2509,0,-1),FALSE)), "Código de barras duplicado", ""), IF(AND(E1294&lt;&gt;"", COUNTIF($E$2:$E$2509, E1294)&gt;1), "SKU duplicado", ""), IF(OR(J1294="", J1294=""), "[Aviso] División no capturada ()", IF(ISNA(MATCH(J1294, Criterios!$A$123:$A$126, 0)), "División no válida", "")), IF(OR(K1294="", K1294=""), "[Aviso] Categoría no capturada ()", IF(ISNA(MATCH(K1294, Criterios!$A$81:$A$120, 0)), "Categoría no válida", IF(AND(J1294&lt;&gt;"", J1294&lt;&gt;"", J1294&lt;&gt;VLOOKUP(K1294, Criterios!$A$81:$B$120, 2, FALSE)), "División no coincide con Categoría", ""))), IF(OR(L1294="", L1294=""), "[Aviso] Género no capturado ()", IF(ISNA(MATCH(L1294, Criterios!$B$123:$B$127, 0)), "Género no válido", "")), IF(OR(N1294="", N1294=""), "[Aviso] Temporada no capturada ()", IF(ISNA(MATCH(N1294, Criterios!$C$123:$C$128, 0)), "Temporada no válida", "")), IF(OR(O1294="", O1294=""), "[Aviso] Ciclo de vida no capturado ()", IF(ISNA(MATCH(O1294, Criterios!$D$123:$D$124, 0)), "Ciclo de vida no válido", ""))))</f>
        <v/>
      </c>
      <c r="AC1294" s="56" t="n"/>
      <c r="AD1294" s="51" t="n">
        <v>0</v>
      </c>
      <c r="AE1294" s="156" t="n"/>
      <c r="AF1294" s="51" t="n">
        <v>0</v>
      </c>
      <c r="AG1294" s="156" t="inlineStr">
        <is>
          <t>Catálogo existente</t>
        </is>
      </c>
      <c r="AH1294" s="156" t="inlineStr">
        <is>
          <t>Revisión 29/09/2026: Campos sin respaldo: U; Auditoría NetSuite 30/09/2026: llenado desde NetSuite [S] | 01/10/2026: complementado desde Shopify Stetson México (match por código de barras): WB Fit, WB Silueta</t>
        </is>
      </c>
      <c r="AI1294" s="156" t="inlineStr">
        <is>
          <t>No</t>
        </is>
      </c>
      <c r="AJ1294" s="156" t="n"/>
      <c r="AK1294" s="155" t="inlineStr">
        <is>
          <t>Criterios: I [Q] | Criterios: J [R]; G1522_Extraccion_Articulos_NetSuite_2026-09-30.xlsx: fila 57602 [S] | Shopify Stetson: producto 14697973875051 / variante 52013843579243</t>
        </is>
      </c>
      <c r="AL1294" s="58" t="n">
        <v>834.0517241</v>
      </c>
      <c r="AM1294" s="58" t="n">
        <v>1853.448276</v>
      </c>
      <c r="AN1294" s="155" t="inlineStr">
        <is>
          <t>Shopify Stetson México</t>
        </is>
      </c>
      <c r="AO1294" s="59" t="n">
        <v>0</v>
      </c>
      <c r="AP1294" s="59" t="n"/>
      <c r="AQ1294" s="59" t="n"/>
      <c r="AR1294" s="155" t="n"/>
    </row>
    <row r="1295">
      <c r="A1295" s="50" t="inlineStr">
        <is>
          <t>724303725520</t>
        </is>
      </c>
      <c r="B1295" s="51" t="inlineStr">
        <is>
          <t>109788</t>
        </is>
      </c>
      <c r="C1295" s="156" t="inlineStr">
        <is>
          <t>Multimarca</t>
        </is>
      </c>
      <c r="D1295" s="156" t="inlineStr">
        <is>
          <t>9912500-203</t>
        </is>
      </c>
      <c r="E1295" s="156" t="inlineStr">
        <is>
          <t>9912500-203-46</t>
        </is>
      </c>
      <c r="F1295" s="156" t="inlineStr">
        <is>
          <t>46</t>
        </is>
      </c>
      <c r="G1295" s="156" t="inlineStr">
        <is>
          <t>46</t>
        </is>
      </c>
      <c r="H1295" s="156" t="inlineStr">
        <is>
          <t>Stetson</t>
        </is>
      </c>
      <c r="I1295" s="156" t="inlineStr">
        <is>
          <t>Cinturón Stetson Piel Vintage Café</t>
        </is>
      </c>
      <c r="J1295" s="156" t="inlineStr">
        <is>
          <t>Accesorios</t>
        </is>
      </c>
      <c r="K1295" s="156" t="inlineStr">
        <is>
          <t>Cinturones</t>
        </is>
      </c>
      <c r="L1295" s="156" t="inlineStr">
        <is>
          <t>Hombre</t>
        </is>
      </c>
      <c r="M1295" s="156" t="inlineStr">
        <is>
          <t>Stetson</t>
        </is>
      </c>
      <c r="N1295" s="156" t="inlineStr">
        <is>
          <t>SS26</t>
        </is>
      </c>
      <c r="O1295" s="156" t="inlineStr">
        <is>
          <t>Seasonal</t>
        </is>
      </c>
      <c r="P1295" s="156" t="inlineStr">
        <is>
          <t>Cafe</t>
        </is>
      </c>
      <c r="Q1295" s="156" t="n"/>
      <c r="R1295" s="156" t="n"/>
      <c r="S1295" s="156" t="inlineStr">
        <is>
          <t>Cuero</t>
        </is>
      </c>
      <c r="T1295"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5" s="156" t="n"/>
      <c r="V1295" s="156" t="inlineStr">
        <is>
          <t>PZS</t>
        </is>
      </c>
      <c r="W1295" s="51" t="inlineStr">
        <is>
          <t>53102501</t>
        </is>
      </c>
      <c r="X1295" s="156" t="inlineStr">
        <is>
          <t>https://cdn.shopify.com/s/files/1/0888/3250/8267/files/9912500-203_Vintage_Brown_3.jpg?v=1761948574</t>
        </is>
      </c>
      <c r="Y1295" s="54" t="n">
        <v>834.0517241</v>
      </c>
      <c r="Z1295" s="54" t="n">
        <v>1853.448276</v>
      </c>
      <c r="AA1295" s="55">
        <f>IF(AND(A1295="", B1295="", E1295=""), "", IF(AB1295="", "Válido", IF((LEN(AB1295)-LEN(SUBSTITUTE(AB1295,"; ","")))/2+1&gt;(LEN(AB1295)-LEN(SUBSTITUTE(AB1295,"[Aviso]","")))/7, "Con Incidencias", "Válido")))</f>
        <v/>
      </c>
      <c r="AB1295" s="56">
        <f>IF(AND(A1295="", B1295="", E1295=""), "", TEXTJOIN("; ", TRUE, IF(OR(TRIM(A1295&amp;"")="", ISNUMBER(SEARCH("FALTA", A1295))), "UPC faltante/inválido", ""), IF(AND(A1295&lt;&gt;"", IFERROR(_xlfn.XMATCH(A1295,$A$2:$A$2509,0,1)&lt;&gt;_xlfn.XMATCH(A1295,$A$2:$A$2509,0,-1),FALSE)), "Código de barras duplicado", ""), IF(AND(E1295&lt;&gt;"", COUNTIF($E$2:$E$2509, E1295)&gt;1), "SKU duplicado", ""), IF(OR(J1295="", J1295=""), "[Aviso] División no capturada ()", IF(ISNA(MATCH(J1295, Criterios!$A$123:$A$126, 0)), "División no válida", "")), IF(OR(K1295="", K1295=""), "[Aviso] Categoría no capturada ()", IF(ISNA(MATCH(K1295, Criterios!$A$81:$A$120, 0)), "Categoría no válida", IF(AND(J1295&lt;&gt;"", J1295&lt;&gt;"", J1295&lt;&gt;VLOOKUP(K1295, Criterios!$A$81:$B$120, 2, FALSE)), "División no coincide con Categoría", ""))), IF(OR(L1295="", L1295=""), "[Aviso] Género no capturado ()", IF(ISNA(MATCH(L1295, Criterios!$B$123:$B$127, 0)), "Género no válido", "")), IF(OR(N1295="", N1295=""), "[Aviso] Temporada no capturada ()", IF(ISNA(MATCH(N1295, Criterios!$C$123:$C$128, 0)), "Temporada no válida", "")), IF(OR(O1295="", O1295=""), "[Aviso] Ciclo de vida no capturado ()", IF(ISNA(MATCH(O1295, Criterios!$D$123:$D$124, 0)), "Ciclo de vida no válido", ""))))</f>
        <v/>
      </c>
      <c r="AC1295" s="56" t="n"/>
      <c r="AD1295" s="51" t="n">
        <v>3</v>
      </c>
      <c r="AE1295" s="156" t="inlineStr">
        <is>
          <t>B25 STETSON.MX (3)</t>
        </is>
      </c>
      <c r="AF1295" s="51" t="n">
        <v>3</v>
      </c>
      <c r="AG1295" s="156" t="inlineStr">
        <is>
          <t>Catálogo existente</t>
        </is>
      </c>
      <c r="AH1295" s="156" t="inlineStr">
        <is>
          <t>Revisión 29/09/2026: Campos sin respaldo: U; Auditoría NetSuite 30/09/2026: llenado desde NetSuite [S] | 01/10/2026: complementado desde Shopify Stetson México (match por código de barras): WB Fit, WB Silueta</t>
        </is>
      </c>
      <c r="AI1295" s="156" t="inlineStr">
        <is>
          <t>No</t>
        </is>
      </c>
      <c r="AJ1295" s="156" t="n"/>
      <c r="AK1295" s="155" t="inlineStr">
        <is>
          <t>Criterios: I [Q] | Criterios: J [R]; G1522_Extraccion_Articulos_NetSuite_2026-09-30.xlsx: fila 57603 [S] | Shopify Stetson: producto 14697973875051 / variante 52013843612011</t>
        </is>
      </c>
      <c r="AL1295" s="58" t="n">
        <v>834.0517241</v>
      </c>
      <c r="AM1295" s="58" t="n">
        <v>1853.448276</v>
      </c>
      <c r="AN1295" s="155" t="inlineStr">
        <is>
          <t>Shopify Stetson México</t>
        </is>
      </c>
      <c r="AO1295" s="59" t="n">
        <v>3</v>
      </c>
      <c r="AP1295" s="59" t="n"/>
      <c r="AQ1295" s="59" t="n"/>
      <c r="AR1295" s="155" t="inlineStr">
        <is>
          <t>Shopify Stetson México › Stetson México: 3</t>
        </is>
      </c>
    </row>
    <row r="1296">
      <c r="A1296" s="50" t="inlineStr">
        <is>
          <t>724303725629</t>
        </is>
      </c>
      <c r="B1296" s="51" t="inlineStr">
        <is>
          <t>109817</t>
        </is>
      </c>
      <c r="C1296" s="156" t="inlineStr">
        <is>
          <t>Multimarca</t>
        </is>
      </c>
      <c r="D1296" s="156" t="inlineStr">
        <is>
          <t>9916500-19</t>
        </is>
      </c>
      <c r="E1296" s="156" t="inlineStr">
        <is>
          <t>9916500-19-36</t>
        </is>
      </c>
      <c r="F1296" s="156" t="inlineStr">
        <is>
          <t>36</t>
        </is>
      </c>
      <c r="G1296" s="156" t="inlineStr">
        <is>
          <t>36</t>
        </is>
      </c>
      <c r="H1296" s="156" t="inlineStr">
        <is>
          <t>Stetson</t>
        </is>
      </c>
      <c r="I1296" s="156" t="inlineStr">
        <is>
          <t>Cinturón Stetson Caballero</t>
        </is>
      </c>
      <c r="J1296" s="156" t="inlineStr">
        <is>
          <t>Accesorios</t>
        </is>
      </c>
      <c r="K1296" s="156" t="inlineStr">
        <is>
          <t>Cinturones</t>
        </is>
      </c>
      <c r="L1296" s="156" t="inlineStr">
        <is>
          <t>Hombre</t>
        </is>
      </c>
      <c r="M1296" s="156" t="inlineStr">
        <is>
          <t>Stetson</t>
        </is>
      </c>
      <c r="N1296" s="156" t="inlineStr">
        <is>
          <t>SS26</t>
        </is>
      </c>
      <c r="O1296" s="156" t="inlineStr">
        <is>
          <t>Seasonal</t>
        </is>
      </c>
      <c r="P1296" s="156" t="inlineStr">
        <is>
          <t>Negro</t>
        </is>
      </c>
      <c r="Q1296" s="156" t="n"/>
      <c r="R1296" s="156" t="n"/>
      <c r="S1296" s="156" t="n"/>
      <c r="T1296"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6" s="156" t="n"/>
      <c r="V1296" s="156" t="inlineStr">
        <is>
          <t>PZS</t>
        </is>
      </c>
      <c r="W1296" s="51" t="inlineStr">
        <is>
          <t>53102501</t>
        </is>
      </c>
      <c r="X1296" s="156" t="inlineStr">
        <is>
          <t>https://cdn.shopify.com/s/files/1/0888/3250/8267/files/9916500-019_Black_Cowboy_Classic_2.jpg?v=1763142743</t>
        </is>
      </c>
      <c r="Y1296" s="54" t="n">
        <v>1900.862069</v>
      </c>
      <c r="Z1296" s="54" t="n">
        <v>4224.137931</v>
      </c>
      <c r="AA1296" s="55">
        <f>IF(AND(A1296="", B1296="", E1296=""), "", IF(AB1296="", "Válido", IF((LEN(AB1296)-LEN(SUBSTITUTE(AB1296,"; ","")))/2+1&gt;(LEN(AB1296)-LEN(SUBSTITUTE(AB1296,"[Aviso]","")))/7, "Con Incidencias", "Válido")))</f>
        <v/>
      </c>
      <c r="AB1296" s="56">
        <f>IF(AND(A1296="", B1296="", E1296=""), "", TEXTJOIN("; ", TRUE, IF(OR(TRIM(A1296&amp;"")="", ISNUMBER(SEARCH("FALTA", A1296))), "UPC faltante/inválido", ""), IF(AND(A1296&lt;&gt;"", IFERROR(_xlfn.XMATCH(A1296,$A$2:$A$2509,0,1)&lt;&gt;_xlfn.XMATCH(A1296,$A$2:$A$2509,0,-1),FALSE)), "Código de barras duplicado", ""), IF(AND(E1296&lt;&gt;"", COUNTIF($E$2:$E$2509, E1296)&gt;1), "SKU duplicado", ""), IF(OR(J1296="", J1296=""), "[Aviso] División no capturada ()", IF(ISNA(MATCH(J1296, Criterios!$A$123:$A$126, 0)), "División no válida", "")), IF(OR(K1296="", K1296=""), "[Aviso] Categoría no capturada ()", IF(ISNA(MATCH(K1296, Criterios!$A$81:$A$120, 0)), "Categoría no válida", IF(AND(J1296&lt;&gt;"", J1296&lt;&gt;"", J1296&lt;&gt;VLOOKUP(K1296, Criterios!$A$81:$B$120, 2, FALSE)), "División no coincide con Categoría", ""))), IF(OR(L1296="", L1296=""), "[Aviso] Género no capturado ()", IF(ISNA(MATCH(L1296, Criterios!$B$123:$B$127, 0)), "Género no válido", "")), IF(OR(N1296="", N1296=""), "[Aviso] Temporada no capturada ()", IF(ISNA(MATCH(N1296, Criterios!$C$123:$C$128, 0)), "Temporada no válida", "")), IF(OR(O1296="", O1296=""), "[Aviso] Ciclo de vida no capturado ()", IF(ISNA(MATCH(O1296, Criterios!$D$123:$D$124, 0)), "Ciclo de vida no válido", ""))))</f>
        <v/>
      </c>
      <c r="AC1296" s="56" t="n"/>
      <c r="AD1296" s="51" t="n">
        <v>0</v>
      </c>
      <c r="AE1296" s="156" t="inlineStr">
        <is>
          <t>WB OUTLET LERMA (1)</t>
        </is>
      </c>
      <c r="AF1296" s="51" t="n">
        <v>1</v>
      </c>
      <c r="AG1296" s="156" t="inlineStr">
        <is>
          <t>Catálogo existente</t>
        </is>
      </c>
      <c r="AH1296" s="156" t="inlineStr">
        <is>
          <t>Revisión 29/09/2026: Campos sin respaldo: S, U | 01/10/2026: complementado desde Shopify Stetson México (match por código de barras): WB Fit, WB Silueta, WB Descripción larga</t>
        </is>
      </c>
      <c r="AI1296" s="156" t="inlineStr">
        <is>
          <t>Sí</t>
        </is>
      </c>
      <c r="AJ1296" s="156" t="inlineStr">
        <is>
          <t>STETSON AMERICAS (-1)</t>
        </is>
      </c>
      <c r="AK1296" s="155" t="inlineStr">
        <is>
          <t>Criterios: I [Q] | Criterios: J [R] | Shopify Stetson: producto 14697978462571 / variante 52013855015275 | Shopify WB: producto 10310238896313 / variante 50512092004537</t>
        </is>
      </c>
      <c r="AL1296" s="58" t="n">
        <v>1900.862069</v>
      </c>
      <c r="AM1296" s="58" t="n">
        <v>4224.137931</v>
      </c>
      <c r="AN1296" s="155" t="inlineStr">
        <is>
          <t>Shopify Stetson México | Shopify Western Brothers</t>
        </is>
      </c>
      <c r="AO1296" s="59" t="n">
        <v>0</v>
      </c>
      <c r="AP1296" s="59" t="n">
        <v>1</v>
      </c>
      <c r="AQ1296" s="59" t="n"/>
      <c r="AR1296" s="155" t="inlineStr">
        <is>
          <t>Shopify Western Brothers › Western Brothers Outlet Lerma: 1</t>
        </is>
      </c>
    </row>
    <row r="1297">
      <c r="A1297" s="50" t="inlineStr">
        <is>
          <t>724303725636</t>
        </is>
      </c>
      <c r="B1297" s="51" t="inlineStr">
        <is>
          <t>109818</t>
        </is>
      </c>
      <c r="C1297" s="156" t="inlineStr">
        <is>
          <t>Multimarca</t>
        </is>
      </c>
      <c r="D1297" s="156" t="inlineStr">
        <is>
          <t>9916500-19</t>
        </is>
      </c>
      <c r="E1297" s="156" t="inlineStr">
        <is>
          <t>9916500-19-38</t>
        </is>
      </c>
      <c r="F1297" s="156" t="inlineStr">
        <is>
          <t>38</t>
        </is>
      </c>
      <c r="G1297" s="156" t="inlineStr">
        <is>
          <t>38</t>
        </is>
      </c>
      <c r="H1297" s="156" t="inlineStr">
        <is>
          <t>Stetson</t>
        </is>
      </c>
      <c r="I1297" s="156" t="inlineStr">
        <is>
          <t>Cinturón Stetson Caballero</t>
        </is>
      </c>
      <c r="J1297" s="156" t="inlineStr">
        <is>
          <t>Accesorios</t>
        </is>
      </c>
      <c r="K1297" s="156" t="inlineStr">
        <is>
          <t>Cinturones</t>
        </is>
      </c>
      <c r="L1297" s="156" t="inlineStr">
        <is>
          <t>Hombre</t>
        </is>
      </c>
      <c r="M1297" s="156" t="inlineStr">
        <is>
          <t>Stetson</t>
        </is>
      </c>
      <c r="N1297" s="156" t="inlineStr">
        <is>
          <t>SS26</t>
        </is>
      </c>
      <c r="O1297" s="156" t="inlineStr">
        <is>
          <t>Seasonal</t>
        </is>
      </c>
      <c r="P1297" s="156" t="inlineStr">
        <is>
          <t>Negro</t>
        </is>
      </c>
      <c r="Q1297" s="156" t="n"/>
      <c r="R1297" s="156" t="n"/>
      <c r="S1297" s="156" t="n"/>
      <c r="T1297"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7" s="156" t="n"/>
      <c r="V1297" s="156" t="inlineStr">
        <is>
          <t>PZS</t>
        </is>
      </c>
      <c r="W1297" s="51" t="inlineStr">
        <is>
          <t>53102501</t>
        </is>
      </c>
      <c r="X1297" s="156" t="inlineStr">
        <is>
          <t>https://cdn.shopify.com/s/files/1/0888/3250/8267/files/9916500-019_Black_Cowboy_Classic_3.jpg?v=1763142751</t>
        </is>
      </c>
      <c r="Y1297" s="54" t="n">
        <v>1900.862069</v>
      </c>
      <c r="Z1297" s="54" t="n">
        <v>4224.137931</v>
      </c>
      <c r="AA1297" s="55">
        <f>IF(AND(A1297="", B1297="", E1297=""), "", IF(AB1297="", "Válido", IF((LEN(AB1297)-LEN(SUBSTITUTE(AB1297,"; ","")))/2+1&gt;(LEN(AB1297)-LEN(SUBSTITUTE(AB1297,"[Aviso]","")))/7, "Con Incidencias", "Válido")))</f>
        <v/>
      </c>
      <c r="AB1297" s="56">
        <f>IF(AND(A1297="", B1297="", E1297=""), "", TEXTJOIN("; ", TRUE, IF(OR(TRIM(A1297&amp;"")="", ISNUMBER(SEARCH("FALTA", A1297))), "UPC faltante/inválido", ""), IF(AND(A1297&lt;&gt;"", IFERROR(_xlfn.XMATCH(A1297,$A$2:$A$2509,0,1)&lt;&gt;_xlfn.XMATCH(A1297,$A$2:$A$2509,0,-1),FALSE)), "Código de barras duplicado", ""), IF(AND(E1297&lt;&gt;"", COUNTIF($E$2:$E$2509, E1297)&gt;1), "SKU duplicado", ""), IF(OR(J1297="", J1297=""), "[Aviso] División no capturada ()", IF(ISNA(MATCH(J1297, Criterios!$A$123:$A$126, 0)), "División no válida", "")), IF(OR(K1297="", K1297=""), "[Aviso] Categoría no capturada ()", IF(ISNA(MATCH(K1297, Criterios!$A$81:$A$120, 0)), "Categoría no válida", IF(AND(J1297&lt;&gt;"", J1297&lt;&gt;"", J1297&lt;&gt;VLOOKUP(K1297, Criterios!$A$81:$B$120, 2, FALSE)), "División no coincide con Categoría", ""))), IF(OR(L1297="", L1297=""), "[Aviso] Género no capturado ()", IF(ISNA(MATCH(L1297, Criterios!$B$123:$B$127, 0)), "Género no válido", "")), IF(OR(N1297="", N1297=""), "[Aviso] Temporada no capturada ()", IF(ISNA(MATCH(N1297, Criterios!$C$123:$C$128, 0)), "Temporada no válida", "")), IF(OR(O1297="", O1297=""), "[Aviso] Ciclo de vida no capturado ()", IF(ISNA(MATCH(O1297, Criterios!$D$123:$D$124, 0)), "Ciclo de vida no válido", ""))))</f>
        <v/>
      </c>
      <c r="AC1297" s="56" t="n"/>
      <c r="AD1297" s="51" t="n">
        <v>1</v>
      </c>
      <c r="AE1297" s="156" t="inlineStr">
        <is>
          <t>B25 STETSON.MX (3)</t>
        </is>
      </c>
      <c r="AF1297" s="51" t="n">
        <v>3</v>
      </c>
      <c r="AG1297" s="156" t="inlineStr">
        <is>
          <t>Catálogo existente</t>
        </is>
      </c>
      <c r="AH1297" s="156" t="inlineStr">
        <is>
          <t>Revisión 29/09/2026: Campos sin respaldo: S, U | 01/10/2026: complementado desde Shopify Stetson México (match por código de barras): WB Fit, WB Silueta, WB Descripción larga</t>
        </is>
      </c>
      <c r="AI1297" s="156" t="inlineStr">
        <is>
          <t>Sí</t>
        </is>
      </c>
      <c r="AJ1297" s="156" t="inlineStr">
        <is>
          <t>STETSON AMERICAS (-2)</t>
        </is>
      </c>
      <c r="AK1297" s="155" t="inlineStr">
        <is>
          <t>Criterios: I [Q] | Criterios: J [R] | Shopify Stetson: producto 14697978462571 / variante 52013855048043</t>
        </is>
      </c>
      <c r="AL1297" s="58" t="n">
        <v>1900.862069</v>
      </c>
      <c r="AM1297" s="58" t="n">
        <v>4224.137931</v>
      </c>
      <c r="AN1297" s="155" t="inlineStr">
        <is>
          <t>Shopify Stetson México</t>
        </is>
      </c>
      <c r="AO1297" s="59" t="n">
        <v>4</v>
      </c>
      <c r="AP1297" s="59" t="n"/>
      <c r="AQ1297" s="59" t="n"/>
      <c r="AR1297" s="155" t="inlineStr">
        <is>
          <t>Shopify Stetson México › Stetson México: 3 | Shopify Stetson México › Stetson Americas: 1</t>
        </is>
      </c>
    </row>
    <row r="1298">
      <c r="A1298" s="50" t="inlineStr">
        <is>
          <t>724303725643</t>
        </is>
      </c>
      <c r="B1298" s="51" t="inlineStr">
        <is>
          <t>109813</t>
        </is>
      </c>
      <c r="C1298" s="156" t="inlineStr">
        <is>
          <t>Multimarca</t>
        </is>
      </c>
      <c r="D1298" s="156" t="inlineStr">
        <is>
          <t>9916500-19</t>
        </is>
      </c>
      <c r="E1298" s="156" t="inlineStr">
        <is>
          <t>9916500-19-40</t>
        </is>
      </c>
      <c r="F1298" s="156" t="inlineStr">
        <is>
          <t>40</t>
        </is>
      </c>
      <c r="G1298" s="156" t="inlineStr">
        <is>
          <t>40</t>
        </is>
      </c>
      <c r="H1298" s="156" t="inlineStr">
        <is>
          <t>Stetson</t>
        </is>
      </c>
      <c r="I1298" s="156" t="inlineStr">
        <is>
          <t>Cinturón Stetson Caballero</t>
        </is>
      </c>
      <c r="J1298" s="156" t="inlineStr">
        <is>
          <t>Accesorios</t>
        </is>
      </c>
      <c r="K1298" s="156" t="inlineStr">
        <is>
          <t>Cinturones</t>
        </is>
      </c>
      <c r="L1298" s="156" t="inlineStr">
        <is>
          <t>Hombre</t>
        </is>
      </c>
      <c r="M1298" s="156" t="inlineStr">
        <is>
          <t>Stetson</t>
        </is>
      </c>
      <c r="N1298" s="156" t="inlineStr">
        <is>
          <t>SS26</t>
        </is>
      </c>
      <c r="O1298" s="156" t="inlineStr">
        <is>
          <t>Seasonal</t>
        </is>
      </c>
      <c r="P1298" s="156" t="inlineStr">
        <is>
          <t>Negro</t>
        </is>
      </c>
      <c r="Q1298" s="156" t="n"/>
      <c r="R1298" s="156" t="n"/>
      <c r="S1298" s="156" t="n"/>
      <c r="T1298"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8" s="156" t="n"/>
      <c r="V1298" s="156" t="inlineStr">
        <is>
          <t>PZS</t>
        </is>
      </c>
      <c r="W1298" s="51" t="inlineStr">
        <is>
          <t>53102501</t>
        </is>
      </c>
      <c r="X1298" s="156" t="inlineStr">
        <is>
          <t>https://cdn.shopify.com/s/files/1/0888/3250/8267/files/9916500-019_Black_Cowboy_Classic_4.jpg?v=1763142760</t>
        </is>
      </c>
      <c r="Y1298" s="54" t="n">
        <v>1900.862069</v>
      </c>
      <c r="Z1298" s="54" t="n">
        <v>4224.137931</v>
      </c>
      <c r="AA1298" s="55">
        <f>IF(AND(A1298="", B1298="", E1298=""), "", IF(AB1298="", "Válido", IF((LEN(AB1298)-LEN(SUBSTITUTE(AB1298,"; ","")))/2+1&gt;(LEN(AB1298)-LEN(SUBSTITUTE(AB1298,"[Aviso]","")))/7, "Con Incidencias", "Válido")))</f>
        <v/>
      </c>
      <c r="AB1298" s="56">
        <f>IF(AND(A1298="", B1298="", E1298=""), "", TEXTJOIN("; ", TRUE, IF(OR(TRIM(A1298&amp;"")="", ISNUMBER(SEARCH("FALTA", A1298))), "UPC faltante/inválido", ""), IF(AND(A1298&lt;&gt;"", IFERROR(_xlfn.XMATCH(A1298,$A$2:$A$2509,0,1)&lt;&gt;_xlfn.XMATCH(A1298,$A$2:$A$2509,0,-1),FALSE)), "Código de barras duplicado", ""), IF(AND(E1298&lt;&gt;"", COUNTIF($E$2:$E$2509, E1298)&gt;1), "SKU duplicado", ""), IF(OR(J1298="", J1298=""), "[Aviso] División no capturada ()", IF(ISNA(MATCH(J1298, Criterios!$A$123:$A$126, 0)), "División no válida", "")), IF(OR(K1298="", K1298=""), "[Aviso] Categoría no capturada ()", IF(ISNA(MATCH(K1298, Criterios!$A$81:$A$120, 0)), "Categoría no válida", IF(AND(J1298&lt;&gt;"", J1298&lt;&gt;"", J1298&lt;&gt;VLOOKUP(K1298, Criterios!$A$81:$B$120, 2, FALSE)), "División no coincide con Categoría", ""))), IF(OR(L1298="", L1298=""), "[Aviso] Género no capturado ()", IF(ISNA(MATCH(L1298, Criterios!$B$123:$B$127, 0)), "Género no válido", "")), IF(OR(N1298="", N1298=""), "[Aviso] Temporada no capturada ()", IF(ISNA(MATCH(N1298, Criterios!$C$123:$C$128, 0)), "Temporada no válida", "")), IF(OR(O1298="", O1298=""), "[Aviso] Ciclo de vida no capturado ()", IF(ISNA(MATCH(O1298, Criterios!$D$123:$D$124, 0)), "Ciclo de vida no válido", ""))))</f>
        <v/>
      </c>
      <c r="AC1298" s="56" t="n"/>
      <c r="AD1298" s="51" t="n">
        <v>4</v>
      </c>
      <c r="AE1298" s="156" t="inlineStr">
        <is>
          <t>B25 STETSON.MX (3); WB OUTLET LERMA (1)</t>
        </is>
      </c>
      <c r="AF1298" s="51" t="n">
        <v>4</v>
      </c>
      <c r="AG1298" s="156" t="inlineStr">
        <is>
          <t>Catálogo existente</t>
        </is>
      </c>
      <c r="AH1298" s="156" t="inlineStr">
        <is>
          <t>Revisión 29/09/2026: Campos sin respaldo: S, U | 01/10/2026: complementado desde Shopify Stetson México (match por código de barras): WB Fit, WB Silueta, WB Descripción larga</t>
        </is>
      </c>
      <c r="AI1298" s="156" t="inlineStr">
        <is>
          <t>No</t>
        </is>
      </c>
      <c r="AJ1298" s="156" t="n"/>
      <c r="AK1298" s="155" t="inlineStr">
        <is>
          <t>Criterios: I [Q] | Criterios: J [R] | Shopify Stetson: producto 14697978462571 / variante 52013855080811 | Shopify WB: producto 10310238896313 / variante 50512092037305</t>
        </is>
      </c>
      <c r="AL1298" s="58" t="n">
        <v>1900.862069</v>
      </c>
      <c r="AM1298" s="58" t="n">
        <v>4224.137931</v>
      </c>
      <c r="AN1298" s="155" t="inlineStr">
        <is>
          <t>Shopify Stetson México | Shopify Western Brothers</t>
        </is>
      </c>
      <c r="AO1298" s="59" t="n">
        <v>3</v>
      </c>
      <c r="AP1298" s="59" t="n">
        <v>1</v>
      </c>
      <c r="AQ1298" s="59" t="n"/>
      <c r="AR1298" s="155" t="inlineStr">
        <is>
          <t>Shopify Stetson México › Stetson México: 3 | Shopify Western Brothers › Western Brothers Outlet Lerma: 1</t>
        </is>
      </c>
    </row>
    <row r="1299">
      <c r="A1299" s="50" t="inlineStr">
        <is>
          <t>724303725650</t>
        </is>
      </c>
      <c r="B1299" s="51" t="inlineStr">
        <is>
          <t>109815</t>
        </is>
      </c>
      <c r="C1299" s="156" t="inlineStr">
        <is>
          <t>Multimarca</t>
        </is>
      </c>
      <c r="D1299" s="156" t="inlineStr">
        <is>
          <t>9916500-19</t>
        </is>
      </c>
      <c r="E1299" s="156" t="inlineStr">
        <is>
          <t>9916500-19-42</t>
        </is>
      </c>
      <c r="F1299" s="156" t="inlineStr">
        <is>
          <t>42</t>
        </is>
      </c>
      <c r="G1299" s="156" t="inlineStr">
        <is>
          <t>42</t>
        </is>
      </c>
      <c r="H1299" s="156" t="inlineStr">
        <is>
          <t>Stetson</t>
        </is>
      </c>
      <c r="I1299" s="156" t="inlineStr">
        <is>
          <t>Cinturón Stetson Caballero</t>
        </is>
      </c>
      <c r="J1299" s="156" t="inlineStr">
        <is>
          <t>Accesorios</t>
        </is>
      </c>
      <c r="K1299" s="156" t="inlineStr">
        <is>
          <t>Cinturones</t>
        </is>
      </c>
      <c r="L1299" s="156" t="inlineStr">
        <is>
          <t>Hombre</t>
        </is>
      </c>
      <c r="M1299" s="156" t="inlineStr">
        <is>
          <t>Stetson</t>
        </is>
      </c>
      <c r="N1299" s="156" t="inlineStr">
        <is>
          <t>SS26</t>
        </is>
      </c>
      <c r="O1299" s="156" t="inlineStr">
        <is>
          <t>Seasonal</t>
        </is>
      </c>
      <c r="P1299" s="156" t="inlineStr">
        <is>
          <t>Negro</t>
        </is>
      </c>
      <c r="Q1299" s="156" t="n"/>
      <c r="R1299" s="156" t="n"/>
      <c r="S1299" s="156" t="n"/>
      <c r="T1299"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9" s="156" t="n"/>
      <c r="V1299" s="156" t="inlineStr">
        <is>
          <t>PZS</t>
        </is>
      </c>
      <c r="W1299" s="51" t="inlineStr">
        <is>
          <t>53102501</t>
        </is>
      </c>
      <c r="X1299" s="156" t="inlineStr">
        <is>
          <t>https://cdn.shopify.com/s/files/1/0888/3250/8267/files/9916500-019_Black_Cowboy_Classic_5.jpg?v=1763142768</t>
        </is>
      </c>
      <c r="Y1299" s="54" t="n">
        <v>1900.862069</v>
      </c>
      <c r="Z1299" s="54" t="n">
        <v>4224.137931</v>
      </c>
      <c r="AA1299" s="55">
        <f>IF(AND(A1299="", B1299="", E1299=""), "", IF(AB1299="", "Válido", IF((LEN(AB1299)-LEN(SUBSTITUTE(AB1299,"; ","")))/2+1&gt;(LEN(AB1299)-LEN(SUBSTITUTE(AB1299,"[Aviso]","")))/7, "Con Incidencias", "Válido")))</f>
        <v/>
      </c>
      <c r="AB1299" s="56">
        <f>IF(AND(A1299="", B1299="", E1299=""), "", TEXTJOIN("; ", TRUE, IF(OR(TRIM(A1299&amp;"")="", ISNUMBER(SEARCH("FALTA", A1299))), "UPC faltante/inválido", ""), IF(AND(A1299&lt;&gt;"", IFERROR(_xlfn.XMATCH(A1299,$A$2:$A$2509,0,1)&lt;&gt;_xlfn.XMATCH(A1299,$A$2:$A$2509,0,-1),FALSE)), "Código de barras duplicado", ""), IF(AND(E1299&lt;&gt;"", COUNTIF($E$2:$E$2509, E1299)&gt;1), "SKU duplicado", ""), IF(OR(J1299="", J1299=""), "[Aviso] División no capturada ()", IF(ISNA(MATCH(J1299, Criterios!$A$123:$A$126, 0)), "División no válida", "")), IF(OR(K1299="", K1299=""), "[Aviso] Categoría no capturada ()", IF(ISNA(MATCH(K1299, Criterios!$A$81:$A$120, 0)), "Categoría no válida", IF(AND(J1299&lt;&gt;"", J1299&lt;&gt;"", J1299&lt;&gt;VLOOKUP(K1299, Criterios!$A$81:$B$120, 2, FALSE)), "División no coincide con Categoría", ""))), IF(OR(L1299="", L1299=""), "[Aviso] Género no capturado ()", IF(ISNA(MATCH(L1299, Criterios!$B$123:$B$127, 0)), "Género no válido", "")), IF(OR(N1299="", N1299=""), "[Aviso] Temporada no capturada ()", IF(ISNA(MATCH(N1299, Criterios!$C$123:$C$128, 0)), "Temporada no válida", "")), IF(OR(O1299="", O1299=""), "[Aviso] Ciclo de vida no capturado ()", IF(ISNA(MATCH(O1299, Criterios!$D$123:$D$124, 0)), "Ciclo de vida no válido", ""))))</f>
        <v/>
      </c>
      <c r="AC1299" s="56" t="n"/>
      <c r="AD1299" s="51" t="n">
        <v>3</v>
      </c>
      <c r="AE1299" s="156" t="inlineStr">
        <is>
          <t>B25 STETSON.MX (4)</t>
        </is>
      </c>
      <c r="AF1299" s="51" t="n">
        <v>4</v>
      </c>
      <c r="AG1299" s="156" t="inlineStr">
        <is>
          <t>Catálogo existente</t>
        </is>
      </c>
      <c r="AH1299" s="156" t="inlineStr">
        <is>
          <t>Revisión 29/09/2026: Campos sin respaldo: S, U | 01/10/2026: complementado desde Shopify Stetson México (match por código de barras): WB Fit, WB Silueta, WB Descripción larga</t>
        </is>
      </c>
      <c r="AI1299" s="156" t="inlineStr">
        <is>
          <t>Sí</t>
        </is>
      </c>
      <c r="AJ1299" s="156" t="inlineStr">
        <is>
          <t>STETSON AMERICAS (-1)</t>
        </is>
      </c>
      <c r="AK1299" s="155" t="inlineStr">
        <is>
          <t>Criterios: I [Q] | Criterios: J [R] | Shopify Stetson: producto 14697978462571 / variante 52013855113579</t>
        </is>
      </c>
      <c r="AL1299" s="58" t="n">
        <v>1900.862069</v>
      </c>
      <c r="AM1299" s="58" t="n">
        <v>4224.137931</v>
      </c>
      <c r="AN1299" s="155" t="inlineStr">
        <is>
          <t>Shopify Stetson México</t>
        </is>
      </c>
      <c r="AO1299" s="59" t="n">
        <v>4</v>
      </c>
      <c r="AP1299" s="59" t="n"/>
      <c r="AQ1299" s="59" t="n"/>
      <c r="AR1299" s="155" t="inlineStr">
        <is>
          <t>Shopify Stetson México › Stetson México: 4</t>
        </is>
      </c>
    </row>
    <row r="1300">
      <c r="A1300" s="50" t="inlineStr">
        <is>
          <t>724303725667</t>
        </is>
      </c>
      <c r="B1300" s="51" t="inlineStr">
        <is>
          <t>109814</t>
        </is>
      </c>
      <c r="C1300" s="156" t="inlineStr">
        <is>
          <t>Multimarca</t>
        </is>
      </c>
      <c r="D1300" s="156" t="inlineStr">
        <is>
          <t>9916500-19</t>
        </is>
      </c>
      <c r="E1300" s="156" t="inlineStr">
        <is>
          <t>9916500-19-44</t>
        </is>
      </c>
      <c r="F1300" s="156" t="inlineStr">
        <is>
          <t>44</t>
        </is>
      </c>
      <c r="G1300" s="156" t="inlineStr">
        <is>
          <t>44</t>
        </is>
      </c>
      <c r="H1300" s="156" t="inlineStr">
        <is>
          <t>Stetson</t>
        </is>
      </c>
      <c r="I1300" s="156" t="inlineStr">
        <is>
          <t>Cinturón Stetson Caballero</t>
        </is>
      </c>
      <c r="J1300" s="156" t="inlineStr">
        <is>
          <t>Accesorios</t>
        </is>
      </c>
      <c r="K1300" s="156" t="inlineStr">
        <is>
          <t>Cinturones</t>
        </is>
      </c>
      <c r="L1300" s="156" t="inlineStr">
        <is>
          <t>Hombre</t>
        </is>
      </c>
      <c r="M1300" s="156" t="inlineStr">
        <is>
          <t>Stetson</t>
        </is>
      </c>
      <c r="N1300" s="156" t="inlineStr">
        <is>
          <t>SS26</t>
        </is>
      </c>
      <c r="O1300" s="156" t="inlineStr">
        <is>
          <t>Seasonal</t>
        </is>
      </c>
      <c r="P1300" s="156" t="inlineStr">
        <is>
          <t>Negro</t>
        </is>
      </c>
      <c r="Q1300" s="156" t="n"/>
      <c r="R1300" s="156" t="n"/>
      <c r="S1300" s="156" t="n"/>
      <c r="T1300"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300" s="156" t="n"/>
      <c r="V1300" s="156" t="inlineStr">
        <is>
          <t>PZS</t>
        </is>
      </c>
      <c r="W1300" s="51" t="inlineStr">
        <is>
          <t>53102501</t>
        </is>
      </c>
      <c r="X1300" s="156" t="inlineStr">
        <is>
          <t>https://cdn.shopify.com/s/files/1/0888/3250/8267/files/9916500-019_Black_Cowboy_Classic_1.jpg?v=1763142723</t>
        </is>
      </c>
      <c r="Y1300" s="54" t="n">
        <v>1900.862069</v>
      </c>
      <c r="Z1300" s="54" t="n">
        <v>4224.137931</v>
      </c>
      <c r="AA1300" s="55">
        <f>IF(AND(A1300="", B1300="", E1300=""), "", IF(AB1300="", "Válido", IF((LEN(AB1300)-LEN(SUBSTITUTE(AB1300,"; ","")))/2+1&gt;(LEN(AB1300)-LEN(SUBSTITUTE(AB1300,"[Aviso]","")))/7, "Con Incidencias", "Válido")))</f>
        <v/>
      </c>
      <c r="AB1300" s="56">
        <f>IF(AND(A1300="", B1300="", E1300=""), "", TEXTJOIN("; ", TRUE, IF(OR(TRIM(A1300&amp;"")="", ISNUMBER(SEARCH("FALTA", A1300))), "UPC faltante/inválido", ""), IF(AND(A1300&lt;&gt;"", IFERROR(_xlfn.XMATCH(A1300,$A$2:$A$2509,0,1)&lt;&gt;_xlfn.XMATCH(A1300,$A$2:$A$2509,0,-1),FALSE)), "Código de barras duplicado", ""), IF(AND(E1300&lt;&gt;"", COUNTIF($E$2:$E$2509, E1300)&gt;1), "SKU duplicado", ""), IF(OR(J1300="", J1300=""), "[Aviso] División no capturada ()", IF(ISNA(MATCH(J1300, Criterios!$A$123:$A$126, 0)), "División no válida", "")), IF(OR(K1300="", K1300=""), "[Aviso] Categoría no capturada ()", IF(ISNA(MATCH(K1300, Criterios!$A$81:$A$120, 0)), "Categoría no válida", IF(AND(J1300&lt;&gt;"", J1300&lt;&gt;"", J1300&lt;&gt;VLOOKUP(K1300, Criterios!$A$81:$B$120, 2, FALSE)), "División no coincide con Categoría", ""))), IF(OR(L1300="", L1300=""), "[Aviso] Género no capturado ()", IF(ISNA(MATCH(L1300, Criterios!$B$123:$B$127, 0)), "Género no válido", "")), IF(OR(N1300="", N1300=""), "[Aviso] Temporada no capturada ()", IF(ISNA(MATCH(N1300, Criterios!$C$123:$C$128, 0)), "Temporada no válida", "")), IF(OR(O1300="", O1300=""), "[Aviso] Ciclo de vida no capturado ()", IF(ISNA(MATCH(O1300, Criterios!$D$123:$D$124, 0)), "Ciclo de vida no válido", ""))))</f>
        <v/>
      </c>
      <c r="AC1300" s="56" t="n"/>
      <c r="AD1300" s="51" t="n">
        <v>2</v>
      </c>
      <c r="AE1300" s="156" t="inlineStr">
        <is>
          <t>WB OUTLET LERMA (2)</t>
        </is>
      </c>
      <c r="AF1300" s="51" t="n">
        <v>2</v>
      </c>
      <c r="AG1300" s="156" t="inlineStr">
        <is>
          <t>Catálogo existente</t>
        </is>
      </c>
      <c r="AH1300" s="156" t="inlineStr">
        <is>
          <t>Revisión 29/09/2026: Campos sin respaldo: S, U, X | 01/10/2026: complementado desde Shopify Stetson México (match por código de barras): WB Fit, WB Silueta, WB Descripción larga, Enlace de imagen</t>
        </is>
      </c>
      <c r="AI1300" s="156" t="inlineStr">
        <is>
          <t>No</t>
        </is>
      </c>
      <c r="AJ1300" s="156" t="n"/>
      <c r="AK1300" s="155" t="inlineStr">
        <is>
          <t>Criterios: I [Q] | Criterios: J [R] | Shopify Stetson: producto 14697978462571 / variante 52013855146347 | Shopify WB: producto 10310238896313 / variante 50512092070073</t>
        </is>
      </c>
      <c r="AL1300" s="58" t="n">
        <v>1900.862069</v>
      </c>
      <c r="AM1300" s="58" t="n">
        <v>4224.137931</v>
      </c>
      <c r="AN1300" s="155" t="inlineStr">
        <is>
          <t>Shopify Stetson México | Shopify Western Brothers</t>
        </is>
      </c>
      <c r="AO1300" s="59" t="n">
        <v>3</v>
      </c>
      <c r="AP1300" s="59" t="n">
        <v>2</v>
      </c>
      <c r="AQ1300" s="59" t="n"/>
      <c r="AR1300" s="155" t="inlineStr">
        <is>
          <t>Shopify Stetson México › Stetson México: 1 | Shopify Stetson México › Stetson Americas: 2 | Shopify Western Brothers › Western Brothers Outlet Lerma: 2</t>
        </is>
      </c>
    </row>
    <row r="1301">
      <c r="A1301" s="50" t="inlineStr">
        <is>
          <t>724303725674</t>
        </is>
      </c>
      <c r="B1301" s="51" t="inlineStr">
        <is>
          <t>109816</t>
        </is>
      </c>
      <c r="C1301" s="156" t="inlineStr">
        <is>
          <t>Multimarca</t>
        </is>
      </c>
      <c r="D1301" s="156" t="inlineStr">
        <is>
          <t>9916500-19</t>
        </is>
      </c>
      <c r="E1301" s="156" t="inlineStr">
        <is>
          <t>9916500-19-46</t>
        </is>
      </c>
      <c r="F1301" s="156" t="inlineStr">
        <is>
          <t>46</t>
        </is>
      </c>
      <c r="G1301" s="156" t="inlineStr">
        <is>
          <t>46</t>
        </is>
      </c>
      <c r="H1301" s="156" t="inlineStr">
        <is>
          <t>Stetson</t>
        </is>
      </c>
      <c r="I1301" s="156" t="inlineStr">
        <is>
          <t>Cinturón Stetson Caballero</t>
        </is>
      </c>
      <c r="J1301" s="156" t="inlineStr">
        <is>
          <t>Accesorios</t>
        </is>
      </c>
      <c r="K1301" s="156" t="inlineStr">
        <is>
          <t>Cinturones</t>
        </is>
      </c>
      <c r="L1301" s="156" t="inlineStr">
        <is>
          <t>Hombre</t>
        </is>
      </c>
      <c r="M1301" s="156" t="inlineStr">
        <is>
          <t>Stetson</t>
        </is>
      </c>
      <c r="N1301" s="156" t="inlineStr">
        <is>
          <t>SS26</t>
        </is>
      </c>
      <c r="O1301" s="156" t="inlineStr">
        <is>
          <t>Seasonal</t>
        </is>
      </c>
      <c r="P1301" s="156" t="inlineStr">
        <is>
          <t>Negro</t>
        </is>
      </c>
      <c r="Q1301" s="156" t="n"/>
      <c r="R1301" s="156" t="n"/>
      <c r="S1301" s="156" t="n"/>
      <c r="T1301"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301" s="156" t="n"/>
      <c r="V1301" s="156" t="inlineStr">
        <is>
          <t>PZS</t>
        </is>
      </c>
      <c r="W1301" s="51" t="inlineStr">
        <is>
          <t>53102501</t>
        </is>
      </c>
      <c r="X1301" s="156" t="inlineStr">
        <is>
          <t>https://cdn.shopify.com/s/files/1/0888/3250/8267/files/9916500-019_Black_Cowboy_Classic_1.jpg?v=1763142723</t>
        </is>
      </c>
      <c r="Y1301" s="54" t="n">
        <v>1900.862069</v>
      </c>
      <c r="Z1301" s="54" t="n">
        <v>4224.137931</v>
      </c>
      <c r="AA1301" s="55">
        <f>IF(AND(A1301="", B1301="", E1301=""), "", IF(AB1301="", "Válido", IF((LEN(AB1301)-LEN(SUBSTITUTE(AB1301,"; ","")))/2+1&gt;(LEN(AB1301)-LEN(SUBSTITUTE(AB1301,"[Aviso]","")))/7, "Con Incidencias", "Válido")))</f>
        <v/>
      </c>
      <c r="AB1301" s="56">
        <f>IF(AND(A1301="", B1301="", E1301=""), "", TEXTJOIN("; ", TRUE, IF(OR(TRIM(A1301&amp;"")="", ISNUMBER(SEARCH("FALTA", A1301))), "UPC faltante/inválido", ""), IF(AND(A1301&lt;&gt;"", IFERROR(_xlfn.XMATCH(A1301,$A$2:$A$2509,0,1)&lt;&gt;_xlfn.XMATCH(A1301,$A$2:$A$2509,0,-1),FALSE)), "Código de barras duplicado", ""), IF(AND(E1301&lt;&gt;"", COUNTIF($E$2:$E$2509, E1301)&gt;1), "SKU duplicado", ""), IF(OR(J1301="", J1301=""), "[Aviso] División no capturada ()", IF(ISNA(MATCH(J1301, Criterios!$A$123:$A$126, 0)), "División no válida", "")), IF(OR(K1301="", K1301=""), "[Aviso] Categoría no capturada ()", IF(ISNA(MATCH(K1301, Criterios!$A$81:$A$120, 0)), "Categoría no válida", IF(AND(J1301&lt;&gt;"", J1301&lt;&gt;"", J1301&lt;&gt;VLOOKUP(K1301, Criterios!$A$81:$B$120, 2, FALSE)), "División no coincide con Categoría", ""))), IF(OR(L1301="", L1301=""), "[Aviso] Género no capturado ()", IF(ISNA(MATCH(L1301, Criterios!$B$123:$B$127, 0)), "Género no válido", "")), IF(OR(N1301="", N1301=""), "[Aviso] Temporada no capturada ()", IF(ISNA(MATCH(N1301, Criterios!$C$123:$C$128, 0)), "Temporada no válida", "")), IF(OR(O1301="", O1301=""), "[Aviso] Ciclo de vida no capturado ()", IF(ISNA(MATCH(O1301, Criterios!$D$123:$D$124, 0)), "Ciclo de vida no válido", ""))))</f>
        <v/>
      </c>
      <c r="AC1301" s="56" t="n"/>
      <c r="AD1301" s="51" t="n">
        <v>1</v>
      </c>
      <c r="AE1301" s="156" t="inlineStr">
        <is>
          <t>B25 STETSON.MX (1)</t>
        </is>
      </c>
      <c r="AF1301" s="51" t="n">
        <v>1</v>
      </c>
      <c r="AG1301" s="156" t="inlineStr">
        <is>
          <t>Catálogo existente</t>
        </is>
      </c>
      <c r="AH1301" s="156" t="inlineStr">
        <is>
          <t>Revisión 29/09/2026: Campos sin respaldo: S, U, X | 01/10/2026: complementado desde Shopify Stetson México (match por código de barras): WB Fit, WB Silueta, WB Descripción larga, Enlace de imagen</t>
        </is>
      </c>
      <c r="AI1301" s="156" t="inlineStr">
        <is>
          <t>No</t>
        </is>
      </c>
      <c r="AJ1301" s="156" t="n"/>
      <c r="AK1301" s="155" t="inlineStr">
        <is>
          <t>Criterios: I [Q] | Criterios: J [R] | Shopify Stetson: producto 14697978462571 / variante 52013855179115</t>
        </is>
      </c>
      <c r="AL1301" s="58" t="n">
        <v>1900.862069</v>
      </c>
      <c r="AM1301" s="58" t="n">
        <v>4224.137931</v>
      </c>
      <c r="AN1301" s="155" t="inlineStr">
        <is>
          <t>Shopify Stetson México</t>
        </is>
      </c>
      <c r="AO1301" s="59" t="n">
        <v>2</v>
      </c>
      <c r="AP1301" s="59" t="n"/>
      <c r="AQ1301" s="59" t="n"/>
      <c r="AR1301" s="155" t="inlineStr">
        <is>
          <t>Shopify Stetson México › Stetson México: 1 | Shopify Stetson México › Stetson Americas: 1</t>
        </is>
      </c>
    </row>
    <row r="1302">
      <c r="A1302" s="50" t="inlineStr">
        <is>
          <t>724303725872</t>
        </is>
      </c>
      <c r="B1302" s="51" t="inlineStr">
        <is>
          <t>109750</t>
        </is>
      </c>
      <c r="C1302" s="156" t="inlineStr">
        <is>
          <t>Multimarca</t>
        </is>
      </c>
      <c r="D1302" s="156" t="inlineStr">
        <is>
          <t>9808003-19-NZ</t>
        </is>
      </c>
      <c r="E1302" s="156" t="inlineStr">
        <is>
          <t>9808003-19-NZ</t>
        </is>
      </c>
      <c r="F1302" s="156" t="inlineStr">
        <is>
          <t>Talla única</t>
        </is>
      </c>
      <c r="G1302" s="156" t="inlineStr">
        <is>
          <t>One Size</t>
        </is>
      </c>
      <c r="H1302" s="156" t="inlineStr">
        <is>
          <t>Stetson</t>
        </is>
      </c>
      <c r="I1302" s="156" t="inlineStr">
        <is>
          <t>Cartera chequera Stetson Black Cowboy Classic</t>
        </is>
      </c>
      <c r="J1302" s="156" t="inlineStr">
        <is>
          <t>Accesorios</t>
        </is>
      </c>
      <c r="K1302" s="156" t="inlineStr">
        <is>
          <t>Carteras</t>
        </is>
      </c>
      <c r="L1302" s="156" t="inlineStr">
        <is>
          <t>Hombre</t>
        </is>
      </c>
      <c r="M1302" s="156" t="inlineStr">
        <is>
          <t>Stetson</t>
        </is>
      </c>
      <c r="N1302" s="156" t="inlineStr">
        <is>
          <t>SS26</t>
        </is>
      </c>
      <c r="O1302" s="156" t="inlineStr">
        <is>
          <t>Seasonal</t>
        </is>
      </c>
      <c r="P1302" s="156" t="inlineStr">
        <is>
          <t>Negro</t>
        </is>
      </c>
      <c r="Q1302" s="156" t="n"/>
      <c r="R1302" s="156" t="n"/>
      <c r="S1302" s="156" t="inlineStr">
        <is>
          <t>Piel</t>
        </is>
      </c>
      <c r="T1302" s="156" t="inlineStr">
        <is>
          <t>Cartera chequera Stetson Black Cowboy Classic; chequera.</t>
        </is>
      </c>
      <c r="U1302" s="156" t="n"/>
      <c r="V1302" s="156" t="inlineStr">
        <is>
          <t>PZS</t>
        </is>
      </c>
      <c r="W1302" s="51" t="inlineStr">
        <is>
          <t>53121700</t>
        </is>
      </c>
      <c r="X1302" s="156" t="n"/>
      <c r="Y1302" s="54" t="n">
        <v>2346.982759</v>
      </c>
      <c r="Z1302" s="54" t="n">
        <v>5215.517241</v>
      </c>
      <c r="AA1302" s="55">
        <f>IF(AND(A1302="", B1302="", E1302=""), "", IF(AB1302="", "Válido", IF((LEN(AB1302)-LEN(SUBSTITUTE(AB1302,"; ","")))/2+1&gt;(LEN(AB1302)-LEN(SUBSTITUTE(AB1302,"[Aviso]","")))/7, "Con Incidencias", "Válido")))</f>
        <v/>
      </c>
      <c r="AB1302" s="56">
        <f>IF(AND(A1302="", B1302="", E1302=""), "", TEXTJOIN("; ", TRUE, IF(OR(TRIM(A1302&amp;"")="", ISNUMBER(SEARCH("FALTA", A1302))), "UPC faltante/inválido", ""), IF(AND(A1302&lt;&gt;"", IFERROR(_xlfn.XMATCH(A1302,$A$2:$A$2509,0,1)&lt;&gt;_xlfn.XMATCH(A1302,$A$2:$A$2509,0,-1),FALSE)), "Código de barras duplicado", ""), IF(AND(E1302&lt;&gt;"", COUNTIF($E$2:$E$2509, E1302)&gt;1), "SKU duplicado", ""), IF(OR(J1302="", J1302=""), "[Aviso] División no capturada ()", IF(ISNA(MATCH(J1302, Criterios!$A$123:$A$126, 0)), "División no válida", "")), IF(OR(K1302="", K1302=""), "[Aviso] Categoría no capturada ()", IF(ISNA(MATCH(K1302, Criterios!$A$81:$A$120, 0)), "Categoría no válida", IF(AND(J1302&lt;&gt;"", J1302&lt;&gt;"", J1302&lt;&gt;VLOOKUP(K1302, Criterios!$A$81:$B$120, 2, FALSE)), "División no coincide con Categoría", ""))), IF(OR(L1302="", L1302=""), "[Aviso] Género no capturado ()", IF(ISNA(MATCH(L1302, Criterios!$B$123:$B$127, 0)), "Género no válido", "")), IF(OR(N1302="", N1302=""), "[Aviso] Temporada no capturada ()", IF(ISNA(MATCH(N1302, Criterios!$C$123:$C$128, 0)), "Temporada no válida", "")), IF(OR(O1302="", O1302=""), "[Aviso] Ciclo de vida no capturado ()", IF(ISNA(MATCH(O1302, Criterios!$D$123:$D$124, 0)), "Ciclo de vida no válido", ""))))</f>
        <v/>
      </c>
      <c r="AC1302" s="56" t="n"/>
      <c r="AD1302" s="51" t="n">
        <v>4</v>
      </c>
      <c r="AE1302" s="156" t="inlineStr">
        <is>
          <t>WB OUTLET LERMA (3); B25 STETSON.MX (1)</t>
        </is>
      </c>
      <c r="AF1302" s="51" t="n">
        <v>4</v>
      </c>
      <c r="AG1302" s="156" t="inlineStr">
        <is>
          <t>Catálogo existente</t>
        </is>
      </c>
      <c r="AH1302" s="156" t="inlineStr">
        <is>
          <t>Revisión 29/09/2026: Campos sin respaldo: U, X; Auditoría NetSuite 30/09/2026: llenado desde NetSuite [S] | 01/10/2026: complementado desde Shopify Stetson México (match por código de barras): WB Fit, WB Silueta</t>
        </is>
      </c>
      <c r="AI1302" s="156" t="inlineStr">
        <is>
          <t>No</t>
        </is>
      </c>
      <c r="AJ1302" s="156" t="n"/>
      <c r="AK1302" s="155" t="inlineStr">
        <is>
          <t>Criterios: I [Q] | Criterios: J [R]; G1522_Extraccion_Articulos_NetSuite_2026-09-30.xlsx: fila 57565 [S] | Shopify Stetson: producto 15069732241771 / variante 53413005721963 | Shopify WB: producto 8579866263737 / variante 47802964672697</t>
        </is>
      </c>
      <c r="AL1302" s="58" t="n">
        <v>2346.982759</v>
      </c>
      <c r="AM1302" s="58" t="n">
        <v>5215.517241</v>
      </c>
      <c r="AN1302" s="155" t="inlineStr">
        <is>
          <t>Shopify Stetson México | Shopify Western Brothers</t>
        </is>
      </c>
      <c r="AO1302" s="59" t="n">
        <v>3</v>
      </c>
      <c r="AP1302" s="59" t="n">
        <v>3</v>
      </c>
      <c r="AQ1302" s="59" t="n"/>
      <c r="AR1302" s="155" t="inlineStr">
        <is>
          <t>Shopify Stetson México › Stetson México: 1 | Shopify Stetson México › Stetson Americas: 2 | Shopify Western Brothers › Western Brothers Outlet Lerma: 3</t>
        </is>
      </c>
    </row>
    <row r="1303">
      <c r="A1303" s="50" t="inlineStr">
        <is>
          <t>724303729139</t>
        </is>
      </c>
      <c r="B1303" s="51" t="inlineStr">
        <is>
          <t>109733</t>
        </is>
      </c>
      <c r="C1303" s="156" t="inlineStr">
        <is>
          <t>Multimarca</t>
        </is>
      </c>
      <c r="D1303" s="156" t="inlineStr">
        <is>
          <t>9804001-203-NZ</t>
        </is>
      </c>
      <c r="E1303" s="156" t="inlineStr">
        <is>
          <t>9804001-203-NZ</t>
        </is>
      </c>
      <c r="F1303" s="156" t="inlineStr">
        <is>
          <t>Talla única</t>
        </is>
      </c>
      <c r="G1303" s="156" t="inlineStr">
        <is>
          <t>One Size</t>
        </is>
      </c>
      <c r="H1303" s="156" t="inlineStr">
        <is>
          <t>Stetson</t>
        </is>
      </c>
      <c r="I1303" s="156" t="inlineStr">
        <is>
          <t>Cartera Artesanal Triple Pliegue Vintage</t>
        </is>
      </c>
      <c r="J1303" s="156" t="inlineStr">
        <is>
          <t>Accesorios</t>
        </is>
      </c>
      <c r="K1303" s="156" t="inlineStr">
        <is>
          <t>Carteras</t>
        </is>
      </c>
      <c r="L1303" s="156" t="inlineStr">
        <is>
          <t>Hombre</t>
        </is>
      </c>
      <c r="M1303" s="156" t="inlineStr">
        <is>
          <t>Stetson</t>
        </is>
      </c>
      <c r="N1303" s="156" t="inlineStr">
        <is>
          <t>SS26</t>
        </is>
      </c>
      <c r="O1303" s="156" t="inlineStr">
        <is>
          <t>Seasonal</t>
        </is>
      </c>
      <c r="P1303" s="156" t="inlineStr">
        <is>
          <t>Cafe</t>
        </is>
      </c>
      <c r="Q1303" s="156" t="n"/>
      <c r="R1303" s="156" t="n"/>
      <c r="S1303" s="156" t="inlineStr">
        <is>
          <t>Piel</t>
        </is>
      </c>
      <c r="T1303" s="156" t="inlineStr">
        <is>
          <t>Cartera Tri-Fold Stetson Vintage Café – Estilo Rústico y Detalle Artesanal Autenticidad y carácter en una sola pieza. Esta cartera tri-fold Stetson para hombre está elaborada en cuero genuino de primera calidad, con un diseño distintivo que combina u(más...)</t>
        </is>
      </c>
      <c r="U1303" s="156" t="n"/>
      <c r="V1303" s="156" t="inlineStr">
        <is>
          <t>PZS</t>
        </is>
      </c>
      <c r="W1303" s="51" t="inlineStr">
        <is>
          <t>53121700</t>
        </is>
      </c>
      <c r="X1303" s="156" t="inlineStr">
        <is>
          <t>https://cdn.shopify.com/s/files/1/0888/3250/8267/files/9804001-203.jpg?v=1744828409</t>
        </is>
      </c>
      <c r="Y1303" s="54" t="n">
        <v>640.0862069</v>
      </c>
      <c r="Z1303" s="54" t="n">
        <v>1422.413793</v>
      </c>
      <c r="AA1303" s="55">
        <f>IF(AND(A1303="", B1303="", E1303=""), "", IF(AB1303="", "Válido", IF((LEN(AB1303)-LEN(SUBSTITUTE(AB1303,"; ","")))/2+1&gt;(LEN(AB1303)-LEN(SUBSTITUTE(AB1303,"[Aviso]","")))/7, "Con Incidencias", "Válido")))</f>
        <v/>
      </c>
      <c r="AB1303" s="56">
        <f>IF(AND(A1303="", B1303="", E1303=""), "", TEXTJOIN("; ", TRUE, IF(OR(TRIM(A1303&amp;"")="", ISNUMBER(SEARCH("FALTA", A1303))), "UPC faltante/inválido", ""), IF(AND(A1303&lt;&gt;"", IFERROR(_xlfn.XMATCH(A1303,$A$2:$A$2509,0,1)&lt;&gt;_xlfn.XMATCH(A1303,$A$2:$A$2509,0,-1),FALSE)), "Código de barras duplicado", ""), IF(AND(E1303&lt;&gt;"", COUNTIF($E$2:$E$2509, E1303)&gt;1), "SKU duplicado", ""), IF(OR(J1303="", J1303=""), "[Aviso] División no capturada ()", IF(ISNA(MATCH(J1303, Criterios!$A$123:$A$126, 0)), "División no válida", "")), IF(OR(K1303="", K1303=""), "[Aviso] Categoría no capturada ()", IF(ISNA(MATCH(K1303, Criterios!$A$81:$A$120, 0)), "Categoría no válida", IF(AND(J1303&lt;&gt;"", J1303&lt;&gt;"", J1303&lt;&gt;VLOOKUP(K1303, Criterios!$A$81:$B$120, 2, FALSE)), "División no coincide con Categoría", ""))), IF(OR(L1303="", L1303=""), "[Aviso] Género no capturado ()", IF(ISNA(MATCH(L1303, Criterios!$B$123:$B$127, 0)), "Género no válido", "")), IF(OR(N1303="", N1303=""), "[Aviso] Temporada no capturada ()", IF(ISNA(MATCH(N1303, Criterios!$C$123:$C$128, 0)), "Temporada no válida", "")), IF(OR(O1303="", O1303=""), "[Aviso] Ciclo de vida no capturado ()", IF(ISNA(MATCH(O1303, Criterios!$D$123:$D$124, 0)), "Ciclo de vida no válido", ""))))</f>
        <v/>
      </c>
      <c r="AC1303" s="56" t="n"/>
      <c r="AD1303" s="51" t="n">
        <v>0</v>
      </c>
      <c r="AE1303" s="156" t="inlineStr">
        <is>
          <t>WB OUTLET LERMA (2)</t>
        </is>
      </c>
      <c r="AF1303" s="51" t="n">
        <v>2</v>
      </c>
      <c r="AG1303" s="156" t="inlineStr">
        <is>
          <t>Catálogo existente</t>
        </is>
      </c>
      <c r="AH1303" s="156" t="inlineStr">
        <is>
          <t>Revisión 29/09/2026: Campos sin respaldo: U; Auditoría NetSuite 30/09/2026: llenado desde NetSuite [S] | 01/10/2026: complementado desde Shopify Stetson México (match por código de barras): WB Fit, WB Silueta</t>
        </is>
      </c>
      <c r="AI1303" s="156" t="inlineStr">
        <is>
          <t>Sí</t>
        </is>
      </c>
      <c r="AJ1303" s="156" t="inlineStr">
        <is>
          <t>STETSON AMERICAS (-2)</t>
        </is>
      </c>
      <c r="AK1303" s="155" t="inlineStr">
        <is>
          <t>Criterios: I [Q] | Criterios: J [R]; G1522_Extraccion_Articulos_NetSuite_2026-09-30.xlsx: fila 57548 [S] | Shopify Stetson: producto 14695713767787 / variante 52005940167019 | Shopify WB: producto 10310238601401 / variante 50512091447481</t>
        </is>
      </c>
      <c r="AL1303" s="58" t="n">
        <v>640.0862069</v>
      </c>
      <c r="AM1303" s="58" t="n">
        <v>1422.413793</v>
      </c>
      <c r="AN1303" s="155" t="inlineStr">
        <is>
          <t>Shopify Stetson México | Shopify Western Brothers</t>
        </is>
      </c>
      <c r="AO1303" s="59" t="n">
        <v>8</v>
      </c>
      <c r="AP1303" s="59" t="n">
        <v>2</v>
      </c>
      <c r="AQ1303" s="59" t="n"/>
      <c r="AR1303" s="155" t="inlineStr">
        <is>
          <t>Shopify Stetson México › Stetson Americas: 8 | Shopify Western Brothers › Western Brothers Outlet Lerma: 2</t>
        </is>
      </c>
    </row>
    <row r="1304">
      <c r="A1304" s="50" t="inlineStr">
        <is>
          <t>724303739381</t>
        </is>
      </c>
      <c r="B1304" s="51" t="inlineStr">
        <is>
          <t>109819</t>
        </is>
      </c>
      <c r="C1304" s="156" t="inlineStr">
        <is>
          <t>Multimarca</t>
        </is>
      </c>
      <c r="D1304" s="156" t="inlineStr">
        <is>
          <t>9916500-260</t>
        </is>
      </c>
      <c r="E1304" s="156" t="inlineStr">
        <is>
          <t>9916500-260-36</t>
        </is>
      </c>
      <c r="F1304" s="156" t="inlineStr">
        <is>
          <t>36</t>
        </is>
      </c>
      <c r="G1304" s="156" t="inlineStr">
        <is>
          <t>36</t>
        </is>
      </c>
      <c r="H1304" s="156" t="inlineStr">
        <is>
          <t>Stetson</t>
        </is>
      </c>
      <c r="I1304" s="156" t="inlineStr">
        <is>
          <t>Cinturón Stetson Caballero Moca Café</t>
        </is>
      </c>
      <c r="J1304" s="156" t="inlineStr">
        <is>
          <t>Accesorios</t>
        </is>
      </c>
      <c r="K1304" s="156" t="inlineStr">
        <is>
          <t>Cinturones</t>
        </is>
      </c>
      <c r="L1304" s="156" t="inlineStr">
        <is>
          <t>Hombre</t>
        </is>
      </c>
      <c r="M1304" s="156" t="inlineStr">
        <is>
          <t>Stetson</t>
        </is>
      </c>
      <c r="N1304" s="156" t="inlineStr">
        <is>
          <t>SS26</t>
        </is>
      </c>
      <c r="O1304" s="156" t="inlineStr">
        <is>
          <t>Seasonal</t>
        </is>
      </c>
      <c r="P1304" s="156" t="inlineStr">
        <is>
          <t>Cafe</t>
        </is>
      </c>
      <c r="Q1304" s="156" t="n"/>
      <c r="R1304" s="156" t="n"/>
      <c r="S1304" s="156" t="n"/>
      <c r="T1304"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4" s="156" t="n"/>
      <c r="V1304" s="156" t="inlineStr">
        <is>
          <t>PZS</t>
        </is>
      </c>
      <c r="W1304" s="51" t="inlineStr">
        <is>
          <t>53102501</t>
        </is>
      </c>
      <c r="X1304" s="156" t="inlineStr">
        <is>
          <t>https://cdn.shopify.com/s/files/1/0888/3250/8267/files/9916500-243_Antique_Cognac_2.jpg?v=1763142884</t>
        </is>
      </c>
      <c r="Y1304" s="54" t="n">
        <v>1900.862069</v>
      </c>
      <c r="Z1304" s="54" t="n">
        <v>4224.137931</v>
      </c>
      <c r="AA1304" s="55">
        <f>IF(AND(A1304="", B1304="", E1304=""), "", IF(AB1304="", "Válido", IF((LEN(AB1304)-LEN(SUBSTITUTE(AB1304,"; ","")))/2+1&gt;(LEN(AB1304)-LEN(SUBSTITUTE(AB1304,"[Aviso]","")))/7, "Con Incidencias", "Válido")))</f>
        <v/>
      </c>
      <c r="AB1304" s="56">
        <f>IF(AND(A1304="", B1304="", E1304=""), "", TEXTJOIN("; ", TRUE, IF(OR(TRIM(A1304&amp;"")="", ISNUMBER(SEARCH("FALTA", A1304))), "UPC faltante/inválido", ""), IF(AND(A1304&lt;&gt;"", IFERROR(_xlfn.XMATCH(A1304,$A$2:$A$2509,0,1)&lt;&gt;_xlfn.XMATCH(A1304,$A$2:$A$2509,0,-1),FALSE)), "Código de barras duplicado", ""), IF(AND(E1304&lt;&gt;"", COUNTIF($E$2:$E$2509, E1304)&gt;1), "SKU duplicado", ""), IF(OR(J1304="", J1304=""), "[Aviso] División no capturada ()", IF(ISNA(MATCH(J1304, Criterios!$A$123:$A$126, 0)), "División no válida", "")), IF(OR(K1304="", K1304=""), "[Aviso] Categoría no capturada ()", IF(ISNA(MATCH(K1304, Criterios!$A$81:$A$120, 0)), "Categoría no válida", IF(AND(J1304&lt;&gt;"", J1304&lt;&gt;"", J1304&lt;&gt;VLOOKUP(K1304, Criterios!$A$81:$B$120, 2, FALSE)), "División no coincide con Categoría", ""))), IF(OR(L1304="", L1304=""), "[Aviso] Género no capturado ()", IF(ISNA(MATCH(L1304, Criterios!$B$123:$B$127, 0)), "Género no válido", "")), IF(OR(N1304="", N1304=""), "[Aviso] Temporada no capturada ()", IF(ISNA(MATCH(N1304, Criterios!$C$123:$C$128, 0)), "Temporada no válida", "")), IF(OR(O1304="", O1304=""), "[Aviso] Ciclo de vida no capturado ()", IF(ISNA(MATCH(O1304, Criterios!$D$123:$D$124, 0)), "Ciclo de vida no válido", ""))))</f>
        <v/>
      </c>
      <c r="AC1304" s="56" t="n"/>
      <c r="AD1304" s="51" t="n">
        <v>0</v>
      </c>
      <c r="AE1304" s="156" t="inlineStr">
        <is>
          <t>WB OUTLET LERMA (1)</t>
        </is>
      </c>
      <c r="AF1304" s="51" t="n">
        <v>1</v>
      </c>
      <c r="AG1304" s="156" t="inlineStr">
        <is>
          <t>Catálogo existente</t>
        </is>
      </c>
      <c r="AH1304" s="156" t="inlineStr">
        <is>
          <t>Revisión 29/09/2026: Campos sin respaldo: S, U | 01/10/2026: complementado desde Shopify Stetson México (match por código de barras): WB Fit, WB Silueta, WB Descripción larga</t>
        </is>
      </c>
      <c r="AI1304" s="156" t="inlineStr">
        <is>
          <t>Sí</t>
        </is>
      </c>
      <c r="AJ1304" s="156" t="inlineStr">
        <is>
          <t>STETSON AMERICAS (-1)</t>
        </is>
      </c>
      <c r="AK1304" s="155" t="inlineStr">
        <is>
          <t>Criterios: I [Q] | Criterios: J [R] | Shopify Stetson: producto 14697979707755 / variante 52013857374571 | Shopify WB: producto 10310238929081 / variante 50512092102841</t>
        </is>
      </c>
      <c r="AL1304" s="58" t="n">
        <v>1900.862069</v>
      </c>
      <c r="AM1304" s="58" t="n">
        <v>4224.137931</v>
      </c>
      <c r="AN1304" s="155" t="inlineStr">
        <is>
          <t>Shopify Stetson México | Shopify Western Brothers</t>
        </is>
      </c>
      <c r="AO1304" s="59" t="n">
        <v>0</v>
      </c>
      <c r="AP1304" s="59" t="n">
        <v>1</v>
      </c>
      <c r="AQ1304" s="59" t="n"/>
      <c r="AR1304" s="155" t="inlineStr">
        <is>
          <t>Shopify Western Brothers › Western Brothers Outlet Lerma: 1</t>
        </is>
      </c>
    </row>
    <row r="1305">
      <c r="A1305" s="50" t="inlineStr">
        <is>
          <t>724303739398</t>
        </is>
      </c>
      <c r="B1305" s="51" t="inlineStr">
        <is>
          <t>109820</t>
        </is>
      </c>
      <c r="C1305" s="156" t="inlineStr">
        <is>
          <t>Multimarca</t>
        </is>
      </c>
      <c r="D1305" s="156" t="inlineStr">
        <is>
          <t>9916500-260</t>
        </is>
      </c>
      <c r="E1305" s="156" t="inlineStr">
        <is>
          <t>9916500-260-38</t>
        </is>
      </c>
      <c r="F1305" s="156" t="inlineStr">
        <is>
          <t>38</t>
        </is>
      </c>
      <c r="G1305" s="156" t="inlineStr">
        <is>
          <t>38</t>
        </is>
      </c>
      <c r="H1305" s="156" t="inlineStr">
        <is>
          <t>Stetson</t>
        </is>
      </c>
      <c r="I1305" s="156" t="inlineStr">
        <is>
          <t>Cinturón Stetson Caballero Moca Café</t>
        </is>
      </c>
      <c r="J1305" s="156" t="inlineStr">
        <is>
          <t>Accesorios</t>
        </is>
      </c>
      <c r="K1305" s="156" t="inlineStr">
        <is>
          <t>Cinturones</t>
        </is>
      </c>
      <c r="L1305" s="156" t="inlineStr">
        <is>
          <t>Hombre</t>
        </is>
      </c>
      <c r="M1305" s="156" t="inlineStr">
        <is>
          <t>Stetson</t>
        </is>
      </c>
      <c r="N1305" s="156" t="inlineStr">
        <is>
          <t>SS26</t>
        </is>
      </c>
      <c r="O1305" s="156" t="inlineStr">
        <is>
          <t>Seasonal</t>
        </is>
      </c>
      <c r="P1305" s="156" t="inlineStr">
        <is>
          <t>Cafe</t>
        </is>
      </c>
      <c r="Q1305" s="156" t="n"/>
      <c r="R1305" s="156" t="n"/>
      <c r="S1305" s="156" t="n"/>
      <c r="T1305"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5" s="156" t="n"/>
      <c r="V1305" s="156" t="inlineStr">
        <is>
          <t>PZS</t>
        </is>
      </c>
      <c r="W1305" s="51" t="inlineStr">
        <is>
          <t>53102501</t>
        </is>
      </c>
      <c r="X1305" s="156" t="inlineStr">
        <is>
          <t>https://cdn.shopify.com/s/files/1/0888/3250/8267/files/9916500-243_Antique_Cognac_3.jpg?v=1763142891</t>
        </is>
      </c>
      <c r="Y1305" s="54" t="n">
        <v>1900.862069</v>
      </c>
      <c r="Z1305" s="54" t="n">
        <v>4224.137931</v>
      </c>
      <c r="AA1305" s="55">
        <f>IF(AND(A1305="", B1305="", E1305=""), "", IF(AB1305="", "Válido", IF((LEN(AB1305)-LEN(SUBSTITUTE(AB1305,"; ","")))/2+1&gt;(LEN(AB1305)-LEN(SUBSTITUTE(AB1305,"[Aviso]","")))/7, "Con Incidencias", "Válido")))</f>
        <v/>
      </c>
      <c r="AB1305" s="56">
        <f>IF(AND(A1305="", B1305="", E1305=""), "", TEXTJOIN("; ", TRUE, IF(OR(TRIM(A1305&amp;"")="", ISNUMBER(SEARCH("FALTA", A1305))), "UPC faltante/inválido", ""), IF(AND(A1305&lt;&gt;"", IFERROR(_xlfn.XMATCH(A1305,$A$2:$A$2509,0,1)&lt;&gt;_xlfn.XMATCH(A1305,$A$2:$A$2509,0,-1),FALSE)), "Código de barras duplicado", ""), IF(AND(E1305&lt;&gt;"", COUNTIF($E$2:$E$2509, E1305)&gt;1), "SKU duplicado", ""), IF(OR(J1305="", J1305=""), "[Aviso] División no capturada ()", IF(ISNA(MATCH(J1305, Criterios!$A$123:$A$126, 0)), "División no válida", "")), IF(OR(K1305="", K1305=""), "[Aviso] Categoría no capturada ()", IF(ISNA(MATCH(K1305, Criterios!$A$81:$A$120, 0)), "Categoría no válida", IF(AND(J1305&lt;&gt;"", J1305&lt;&gt;"", J1305&lt;&gt;VLOOKUP(K1305, Criterios!$A$81:$B$120, 2, FALSE)), "División no coincide con Categoría", ""))), IF(OR(L1305="", L1305=""), "[Aviso] Género no capturado ()", IF(ISNA(MATCH(L1305, Criterios!$B$123:$B$127, 0)), "Género no válido", "")), IF(OR(N1305="", N1305=""), "[Aviso] Temporada no capturada ()", IF(ISNA(MATCH(N1305, Criterios!$C$123:$C$128, 0)), "Temporada no válida", "")), IF(OR(O1305="", O1305=""), "[Aviso] Ciclo de vida no capturado ()", IF(ISNA(MATCH(O1305, Criterios!$D$123:$D$124, 0)), "Ciclo de vida no válido", ""))))</f>
        <v/>
      </c>
      <c r="AC1305" s="56" t="n"/>
      <c r="AD1305" s="51" t="n">
        <v>2</v>
      </c>
      <c r="AE1305" s="156" t="inlineStr">
        <is>
          <t>B25 STETSON.MX (4)</t>
        </is>
      </c>
      <c r="AF1305" s="51" t="n">
        <v>4</v>
      </c>
      <c r="AG1305" s="156" t="inlineStr">
        <is>
          <t>Catálogo existente</t>
        </is>
      </c>
      <c r="AH1305" s="156" t="inlineStr">
        <is>
          <t>Revisión 29/09/2026: Campos sin respaldo: S, U | 01/10/2026: complementado desde Shopify Stetson México (match por código de barras): WB Fit, WB Silueta, WB Descripción larga</t>
        </is>
      </c>
      <c r="AI1305" s="156" t="inlineStr">
        <is>
          <t>Sí</t>
        </is>
      </c>
      <c r="AJ1305" s="156" t="inlineStr">
        <is>
          <t>STETSON AMERICAS (-2)</t>
        </is>
      </c>
      <c r="AK1305" s="155" t="inlineStr">
        <is>
          <t>Criterios: I [Q] | Criterios: J [R] | Shopify Stetson: producto 14697979707755 / variante 52013857407339</t>
        </is>
      </c>
      <c r="AL1305" s="58" t="n">
        <v>1900.862069</v>
      </c>
      <c r="AM1305" s="58" t="n">
        <v>4224.137931</v>
      </c>
      <c r="AN1305" s="155" t="inlineStr">
        <is>
          <t>Shopify Stetson México</t>
        </is>
      </c>
      <c r="AO1305" s="59" t="n">
        <v>4</v>
      </c>
      <c r="AP1305" s="59" t="n"/>
      <c r="AQ1305" s="59" t="n"/>
      <c r="AR1305" s="155" t="inlineStr">
        <is>
          <t>Shopify Stetson México › Stetson México: 4</t>
        </is>
      </c>
    </row>
    <row r="1306">
      <c r="A1306" s="50" t="inlineStr">
        <is>
          <t>724303739404</t>
        </is>
      </c>
      <c r="B1306" s="51" t="inlineStr">
        <is>
          <t>109821</t>
        </is>
      </c>
      <c r="C1306" s="156" t="inlineStr">
        <is>
          <t>Multimarca</t>
        </is>
      </c>
      <c r="D1306" s="156" t="inlineStr">
        <is>
          <t>9916500-260</t>
        </is>
      </c>
      <c r="E1306" s="156" t="inlineStr">
        <is>
          <t>9916500-260-40</t>
        </is>
      </c>
      <c r="F1306" s="156" t="inlineStr">
        <is>
          <t>40</t>
        </is>
      </c>
      <c r="G1306" s="156" t="inlineStr">
        <is>
          <t>40</t>
        </is>
      </c>
      <c r="H1306" s="156" t="inlineStr">
        <is>
          <t>Stetson</t>
        </is>
      </c>
      <c r="I1306" s="156" t="inlineStr">
        <is>
          <t>Cinturón Stetson Caballero Moca Café</t>
        </is>
      </c>
      <c r="J1306" s="156" t="inlineStr">
        <is>
          <t>Accesorios</t>
        </is>
      </c>
      <c r="K1306" s="156" t="inlineStr">
        <is>
          <t>Cinturones</t>
        </is>
      </c>
      <c r="L1306" s="156" t="inlineStr">
        <is>
          <t>Hombre</t>
        </is>
      </c>
      <c r="M1306" s="156" t="inlineStr">
        <is>
          <t>Stetson</t>
        </is>
      </c>
      <c r="N1306" s="156" t="inlineStr">
        <is>
          <t>SS26</t>
        </is>
      </c>
      <c r="O1306" s="156" t="inlineStr">
        <is>
          <t>Seasonal</t>
        </is>
      </c>
      <c r="P1306" s="156" t="inlineStr">
        <is>
          <t>Cafe</t>
        </is>
      </c>
      <c r="Q1306" s="156" t="n"/>
      <c r="R1306" s="156" t="n"/>
      <c r="S1306" s="156" t="n"/>
      <c r="T1306"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6" s="156" t="n"/>
      <c r="V1306" s="156" t="inlineStr">
        <is>
          <t>PZS</t>
        </is>
      </c>
      <c r="W1306" s="51" t="inlineStr">
        <is>
          <t>53102501</t>
        </is>
      </c>
      <c r="X1306" s="156" t="inlineStr">
        <is>
          <t>https://cdn.shopify.com/s/files/1/0888/3250/8267/files/9916500-243_Antique_Cognac_4.jpg?v=1763142898</t>
        </is>
      </c>
      <c r="Y1306" s="54" t="n">
        <v>1900.862069</v>
      </c>
      <c r="Z1306" s="54" t="n">
        <v>4224.137931</v>
      </c>
      <c r="AA1306" s="55">
        <f>IF(AND(A1306="", B1306="", E1306=""), "", IF(AB1306="", "Válido", IF((LEN(AB1306)-LEN(SUBSTITUTE(AB1306,"; ","")))/2+1&gt;(LEN(AB1306)-LEN(SUBSTITUTE(AB1306,"[Aviso]","")))/7, "Con Incidencias", "Válido")))</f>
        <v/>
      </c>
      <c r="AB1306" s="56">
        <f>IF(AND(A1306="", B1306="", E1306=""), "", TEXTJOIN("; ", TRUE, IF(OR(TRIM(A1306&amp;"")="", ISNUMBER(SEARCH("FALTA", A1306))), "UPC faltante/inválido", ""), IF(AND(A1306&lt;&gt;"", IFERROR(_xlfn.XMATCH(A1306,$A$2:$A$2509,0,1)&lt;&gt;_xlfn.XMATCH(A1306,$A$2:$A$2509,0,-1),FALSE)), "Código de barras duplicado", ""), IF(AND(E1306&lt;&gt;"", COUNTIF($E$2:$E$2509, E1306)&gt;1), "SKU duplicado", ""), IF(OR(J1306="", J1306=""), "[Aviso] División no capturada ()", IF(ISNA(MATCH(J1306, Criterios!$A$123:$A$126, 0)), "División no válida", "")), IF(OR(K1306="", K1306=""), "[Aviso] Categoría no capturada ()", IF(ISNA(MATCH(K1306, Criterios!$A$81:$A$120, 0)), "Categoría no válida", IF(AND(J1306&lt;&gt;"", J1306&lt;&gt;"", J1306&lt;&gt;VLOOKUP(K1306, Criterios!$A$81:$B$120, 2, FALSE)), "División no coincide con Categoría", ""))), IF(OR(L1306="", L1306=""), "[Aviso] Género no capturado ()", IF(ISNA(MATCH(L1306, Criterios!$B$123:$B$127, 0)), "Género no válido", "")), IF(OR(N1306="", N1306=""), "[Aviso] Temporada no capturada ()", IF(ISNA(MATCH(N1306, Criterios!$C$123:$C$128, 0)), "Temporada no válida", "")), IF(OR(O1306="", O1306=""), "[Aviso] Ciclo de vida no capturado ()", IF(ISNA(MATCH(O1306, Criterios!$D$123:$D$124, 0)), "Ciclo de vida no válido", ""))))</f>
        <v/>
      </c>
      <c r="AC1306" s="56" t="n"/>
      <c r="AD1306" s="51" t="n">
        <v>0</v>
      </c>
      <c r="AE1306" s="156" t="n"/>
      <c r="AF1306" s="51" t="n">
        <v>0</v>
      </c>
      <c r="AG1306" s="156" t="inlineStr">
        <is>
          <t>Catálogo existente</t>
        </is>
      </c>
      <c r="AH1306" s="156" t="inlineStr">
        <is>
          <t>Revisión 29/09/2026: Campos sin respaldo: S, U | 01/10/2026: complementado desde Shopify Stetson México (match por código de barras): WB Fit, WB Silueta, WB Descripción larga</t>
        </is>
      </c>
      <c r="AI1306" s="156" t="inlineStr">
        <is>
          <t>No</t>
        </is>
      </c>
      <c r="AJ1306" s="156" t="n"/>
      <c r="AK1306" s="155" t="inlineStr">
        <is>
          <t>Criterios: I [Q] | Criterios: J [R] | Shopify Stetson: producto 14697979707755 / variante 52013857440107</t>
        </is>
      </c>
      <c r="AL1306" s="58" t="n">
        <v>1900.862069</v>
      </c>
      <c r="AM1306" s="58" t="n">
        <v>4224.137931</v>
      </c>
      <c r="AN1306" s="155" t="inlineStr">
        <is>
          <t>Shopify Stetson México</t>
        </is>
      </c>
      <c r="AO1306" s="59" t="n">
        <v>6</v>
      </c>
      <c r="AP1306" s="59" t="n"/>
      <c r="AQ1306" s="59" t="n"/>
      <c r="AR1306" s="155" t="inlineStr">
        <is>
          <t>Shopify Stetson México › Stetson Americas: 6</t>
        </is>
      </c>
    </row>
    <row r="1307">
      <c r="A1307" s="50" t="inlineStr">
        <is>
          <t>724303739411</t>
        </is>
      </c>
      <c r="B1307" s="51" t="inlineStr">
        <is>
          <t>109822</t>
        </is>
      </c>
      <c r="C1307" s="156" t="inlineStr">
        <is>
          <t>Multimarca</t>
        </is>
      </c>
      <c r="D1307" s="156" t="inlineStr">
        <is>
          <t>9916500-260</t>
        </is>
      </c>
      <c r="E1307" s="156" t="inlineStr">
        <is>
          <t>9916500-260-42</t>
        </is>
      </c>
      <c r="F1307" s="156" t="inlineStr">
        <is>
          <t>42</t>
        </is>
      </c>
      <c r="G1307" s="156" t="inlineStr">
        <is>
          <t>42</t>
        </is>
      </c>
      <c r="H1307" s="156" t="inlineStr">
        <is>
          <t>Stetson</t>
        </is>
      </c>
      <c r="I1307" s="156" t="inlineStr">
        <is>
          <t>Cinturón Stetson Caballero Moca Café</t>
        </is>
      </c>
      <c r="J1307" s="156" t="inlineStr">
        <is>
          <t>Accesorios</t>
        </is>
      </c>
      <c r="K1307" s="156" t="inlineStr">
        <is>
          <t>Cinturones</t>
        </is>
      </c>
      <c r="L1307" s="156" t="inlineStr">
        <is>
          <t>Hombre</t>
        </is>
      </c>
      <c r="M1307" s="156" t="inlineStr">
        <is>
          <t>Stetson</t>
        </is>
      </c>
      <c r="N1307" s="156" t="inlineStr">
        <is>
          <t>SS26</t>
        </is>
      </c>
      <c r="O1307" s="156" t="inlineStr">
        <is>
          <t>Seasonal</t>
        </is>
      </c>
      <c r="P1307" s="156" t="inlineStr">
        <is>
          <t>Cafe</t>
        </is>
      </c>
      <c r="Q1307" s="156" t="n"/>
      <c r="R1307" s="156" t="n"/>
      <c r="S1307" s="156" t="n"/>
      <c r="T1307"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7" s="156" t="n"/>
      <c r="V1307" s="156" t="inlineStr">
        <is>
          <t>PZS</t>
        </is>
      </c>
      <c r="W1307" s="51" t="inlineStr">
        <is>
          <t>53102501</t>
        </is>
      </c>
      <c r="X1307" s="156" t="inlineStr">
        <is>
          <t>https://cdn.shopify.com/s/files/1/0888/3250/8267/files/9916500-243_Antique_Cognac_5.jpg?v=1763142907</t>
        </is>
      </c>
      <c r="Y1307" s="54" t="n">
        <v>1900.862069</v>
      </c>
      <c r="Z1307" s="54" t="n">
        <v>4224.137931</v>
      </c>
      <c r="AA1307" s="55">
        <f>IF(AND(A1307="", B1307="", E1307=""), "", IF(AB1307="", "Válido", IF((LEN(AB1307)-LEN(SUBSTITUTE(AB1307,"; ","")))/2+1&gt;(LEN(AB1307)-LEN(SUBSTITUTE(AB1307,"[Aviso]","")))/7, "Con Incidencias", "Válido")))</f>
        <v/>
      </c>
      <c r="AB1307" s="56">
        <f>IF(AND(A1307="", B1307="", E1307=""), "", TEXTJOIN("; ", TRUE, IF(OR(TRIM(A1307&amp;"")="", ISNUMBER(SEARCH("FALTA", A1307))), "UPC faltante/inválido", ""), IF(AND(A1307&lt;&gt;"", IFERROR(_xlfn.XMATCH(A1307,$A$2:$A$2509,0,1)&lt;&gt;_xlfn.XMATCH(A1307,$A$2:$A$2509,0,-1),FALSE)), "Código de barras duplicado", ""), IF(AND(E1307&lt;&gt;"", COUNTIF($E$2:$E$2509, E1307)&gt;1), "SKU duplicado", ""), IF(OR(J1307="", J1307=""), "[Aviso] División no capturada ()", IF(ISNA(MATCH(J1307, Criterios!$A$123:$A$126, 0)), "División no válida", "")), IF(OR(K1307="", K1307=""), "[Aviso] Categoría no capturada ()", IF(ISNA(MATCH(K1307, Criterios!$A$81:$A$120, 0)), "Categoría no válida", IF(AND(J1307&lt;&gt;"", J1307&lt;&gt;"", J1307&lt;&gt;VLOOKUP(K1307, Criterios!$A$81:$B$120, 2, FALSE)), "División no coincide con Categoría", ""))), IF(OR(L1307="", L1307=""), "[Aviso] Género no capturado ()", IF(ISNA(MATCH(L1307, Criterios!$B$123:$B$127, 0)), "Género no válido", "")), IF(OR(N1307="", N1307=""), "[Aviso] Temporada no capturada ()", IF(ISNA(MATCH(N1307, Criterios!$C$123:$C$128, 0)), "Temporada no válida", "")), IF(OR(O1307="", O1307=""), "[Aviso] Ciclo de vida no capturado ()", IF(ISNA(MATCH(O1307, Criterios!$D$123:$D$124, 0)), "Ciclo de vida no válido", ""))))</f>
        <v/>
      </c>
      <c r="AC1307" s="56" t="n"/>
      <c r="AD1307" s="51" t="n">
        <v>4</v>
      </c>
      <c r="AE1307" s="156" t="inlineStr">
        <is>
          <t>B25 STETSON.MX (3); WB OUTLET LERMA (1)</t>
        </is>
      </c>
      <c r="AF1307" s="51" t="n">
        <v>4</v>
      </c>
      <c r="AG1307" s="156" t="inlineStr">
        <is>
          <t>Catálogo existente</t>
        </is>
      </c>
      <c r="AH1307" s="156" t="inlineStr">
        <is>
          <t>Revisión 29/09/2026: Campos sin respaldo: S, U | 01/10/2026: complementado desde Shopify Stetson México (match por código de barras): WB Fit, WB Silueta, WB Descripción larga</t>
        </is>
      </c>
      <c r="AI1307" s="156" t="inlineStr">
        <is>
          <t>No</t>
        </is>
      </c>
      <c r="AJ1307" s="156" t="n"/>
      <c r="AK1307" s="155" t="inlineStr">
        <is>
          <t>Criterios: I [Q] | Criterios: J [R] | Shopify Stetson: producto 14697979707755 / variante 52013857472875 | Shopify WB: producto 10310238929081 / variante 50512092135609</t>
        </is>
      </c>
      <c r="AL1307" s="58" t="n">
        <v>1900.862069</v>
      </c>
      <c r="AM1307" s="58" t="n">
        <v>4224.137931</v>
      </c>
      <c r="AN1307" s="155" t="inlineStr">
        <is>
          <t>Shopify Stetson México | Shopify Western Brothers</t>
        </is>
      </c>
      <c r="AO1307" s="59" t="n">
        <v>5</v>
      </c>
      <c r="AP1307" s="59" t="n">
        <v>1</v>
      </c>
      <c r="AQ1307" s="59" t="n"/>
      <c r="AR1307" s="155" t="inlineStr">
        <is>
          <t>Shopify Stetson México › Stetson México: 3 | Shopify Stetson México › Stetson Americas: 2 | Shopify Western Brothers › Western Brothers Outlet Lerma: 1</t>
        </is>
      </c>
    </row>
    <row r="1308">
      <c r="A1308" s="50" t="inlineStr">
        <is>
          <t>724303739428</t>
        </is>
      </c>
      <c r="B1308" s="51" t="inlineStr">
        <is>
          <t>109823</t>
        </is>
      </c>
      <c r="C1308" s="156" t="inlineStr">
        <is>
          <t>Multimarca</t>
        </is>
      </c>
      <c r="D1308" s="156" t="inlineStr">
        <is>
          <t>9916500-260</t>
        </is>
      </c>
      <c r="E1308" s="156" t="inlineStr">
        <is>
          <t>9916500-260-44</t>
        </is>
      </c>
      <c r="F1308" s="156" t="inlineStr">
        <is>
          <t>44</t>
        </is>
      </c>
      <c r="G1308" s="156" t="inlineStr">
        <is>
          <t>44</t>
        </is>
      </c>
      <c r="H1308" s="156" t="inlineStr">
        <is>
          <t>Stetson</t>
        </is>
      </c>
      <c r="I1308" s="156" t="inlineStr">
        <is>
          <t>Cinturón Stetson Caballero Moca Café</t>
        </is>
      </c>
      <c r="J1308" s="156" t="inlineStr">
        <is>
          <t>Accesorios</t>
        </is>
      </c>
      <c r="K1308" s="156" t="inlineStr">
        <is>
          <t>Cinturones</t>
        </is>
      </c>
      <c r="L1308" s="156" t="inlineStr">
        <is>
          <t>Hombre</t>
        </is>
      </c>
      <c r="M1308" s="156" t="inlineStr">
        <is>
          <t>Stetson</t>
        </is>
      </c>
      <c r="N1308" s="156" t="inlineStr">
        <is>
          <t>SS26</t>
        </is>
      </c>
      <c r="O1308" s="156" t="inlineStr">
        <is>
          <t>Seasonal</t>
        </is>
      </c>
      <c r="P1308" s="156" t="inlineStr">
        <is>
          <t>Cafe</t>
        </is>
      </c>
      <c r="Q1308" s="156" t="n"/>
      <c r="R1308" s="156" t="n"/>
      <c r="S1308" s="156" t="n"/>
      <c r="T1308"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8" s="156" t="n"/>
      <c r="V1308" s="156" t="inlineStr">
        <is>
          <t>PZS</t>
        </is>
      </c>
      <c r="W1308" s="51" t="inlineStr">
        <is>
          <t>53102501</t>
        </is>
      </c>
      <c r="X1308" s="156" t="inlineStr">
        <is>
          <t>https://cdn.shopify.com/s/files/1/0888/3250/8267/files/9916500-243_Antique_Cognac_1.jpg?v=1763142861</t>
        </is>
      </c>
      <c r="Y1308" s="54" t="n">
        <v>1900.862069</v>
      </c>
      <c r="Z1308" s="54" t="n">
        <v>4224.137931</v>
      </c>
      <c r="AA1308" s="55">
        <f>IF(AND(A1308="", B1308="", E1308=""), "", IF(AB1308="", "Válido", IF((LEN(AB1308)-LEN(SUBSTITUTE(AB1308,"; ","")))/2+1&gt;(LEN(AB1308)-LEN(SUBSTITUTE(AB1308,"[Aviso]","")))/7, "Con Incidencias", "Válido")))</f>
        <v/>
      </c>
      <c r="AB1308" s="56">
        <f>IF(AND(A1308="", B1308="", E1308=""), "", TEXTJOIN("; ", TRUE, IF(OR(TRIM(A1308&amp;"")="", ISNUMBER(SEARCH("FALTA", A1308))), "UPC faltante/inválido", ""), IF(AND(A1308&lt;&gt;"", IFERROR(_xlfn.XMATCH(A1308,$A$2:$A$2509,0,1)&lt;&gt;_xlfn.XMATCH(A1308,$A$2:$A$2509,0,-1),FALSE)), "Código de barras duplicado", ""), IF(AND(E1308&lt;&gt;"", COUNTIF($E$2:$E$2509, E1308)&gt;1), "SKU duplicado", ""), IF(OR(J1308="", J1308=""), "[Aviso] División no capturada ()", IF(ISNA(MATCH(J1308, Criterios!$A$123:$A$126, 0)), "División no válida", "")), IF(OR(K1308="", K1308=""), "[Aviso] Categoría no capturada ()", IF(ISNA(MATCH(K1308, Criterios!$A$81:$A$120, 0)), "Categoría no válida", IF(AND(J1308&lt;&gt;"", J1308&lt;&gt;"", J1308&lt;&gt;VLOOKUP(K1308, Criterios!$A$81:$B$120, 2, FALSE)), "División no coincide con Categoría", ""))), IF(OR(L1308="", L1308=""), "[Aviso] Género no capturado ()", IF(ISNA(MATCH(L1308, Criterios!$B$123:$B$127, 0)), "Género no válido", "")), IF(OR(N1308="", N1308=""), "[Aviso] Temporada no capturada ()", IF(ISNA(MATCH(N1308, Criterios!$C$123:$C$128, 0)), "Temporada no válida", "")), IF(OR(O1308="", O1308=""), "[Aviso] Ciclo de vida no capturado ()", IF(ISNA(MATCH(O1308, Criterios!$D$123:$D$124, 0)), "Ciclo de vida no válido", ""))))</f>
        <v/>
      </c>
      <c r="AC1308" s="56" t="n"/>
      <c r="AD1308" s="51" t="n">
        <v>4</v>
      </c>
      <c r="AE1308" s="156" t="inlineStr">
        <is>
          <t>WB OUTLET LERMA (1); B25 STETSON.MX (3)</t>
        </is>
      </c>
      <c r="AF1308" s="51" t="n">
        <v>4</v>
      </c>
      <c r="AG1308" s="156" t="inlineStr">
        <is>
          <t>Catálogo existente</t>
        </is>
      </c>
      <c r="AH1308" s="156" t="inlineStr">
        <is>
          <t>Revisión 29/09/2026: Campos sin respaldo: S, U, X | 01/10/2026: complementado desde Shopify Stetson México (match por código de barras): WB Fit, WB Silueta, WB Descripción larga, Enlace de imagen</t>
        </is>
      </c>
      <c r="AI1308" s="156" t="inlineStr">
        <is>
          <t>No</t>
        </is>
      </c>
      <c r="AJ1308" s="156" t="n"/>
      <c r="AK1308" s="155" t="inlineStr">
        <is>
          <t>Criterios: I [Q] | Criterios: J [R] | Shopify Stetson: producto 14697979707755 / variante 52013857505643 | Shopify WB: producto 10310238929081 / variante 50512092168377</t>
        </is>
      </c>
      <c r="AL1308" s="58" t="n">
        <v>1900.862069</v>
      </c>
      <c r="AM1308" s="58" t="n">
        <v>4224.137931</v>
      </c>
      <c r="AN1308" s="155" t="inlineStr">
        <is>
          <t>Shopify Stetson México | Shopify Western Brothers</t>
        </is>
      </c>
      <c r="AO1308" s="59" t="n">
        <v>3</v>
      </c>
      <c r="AP1308" s="59" t="n">
        <v>1</v>
      </c>
      <c r="AQ1308" s="59" t="n"/>
      <c r="AR1308" s="155" t="inlineStr">
        <is>
          <t>Shopify Stetson México › Stetson México: 3 | Shopify Western Brothers › Western Brothers Outlet Lerma: 1</t>
        </is>
      </c>
    </row>
    <row r="1309">
      <c r="A1309" s="50" t="inlineStr">
        <is>
          <t>724303739435</t>
        </is>
      </c>
      <c r="B1309" s="51" t="inlineStr">
        <is>
          <t>109824</t>
        </is>
      </c>
      <c r="C1309" s="156" t="inlineStr">
        <is>
          <t>Multimarca</t>
        </is>
      </c>
      <c r="D1309" s="156" t="inlineStr">
        <is>
          <t>9916500-260</t>
        </is>
      </c>
      <c r="E1309" s="156" t="inlineStr">
        <is>
          <t>9916500-260-46</t>
        </is>
      </c>
      <c r="F1309" s="156" t="inlineStr">
        <is>
          <t>46</t>
        </is>
      </c>
      <c r="G1309" s="156" t="inlineStr">
        <is>
          <t>46</t>
        </is>
      </c>
      <c r="H1309" s="156" t="inlineStr">
        <is>
          <t>Stetson</t>
        </is>
      </c>
      <c r="I1309" s="156" t="inlineStr">
        <is>
          <t>Cinturón Stetson Caballero Moca Café</t>
        </is>
      </c>
      <c r="J1309" s="156" t="inlineStr">
        <is>
          <t>Accesorios</t>
        </is>
      </c>
      <c r="K1309" s="156" t="inlineStr">
        <is>
          <t>Cinturones</t>
        </is>
      </c>
      <c r="L1309" s="156" t="inlineStr">
        <is>
          <t>Hombre</t>
        </is>
      </c>
      <c r="M1309" s="156" t="inlineStr">
        <is>
          <t>Stetson</t>
        </is>
      </c>
      <c r="N1309" s="156" t="inlineStr">
        <is>
          <t>SS26</t>
        </is>
      </c>
      <c r="O1309" s="156" t="inlineStr">
        <is>
          <t>Seasonal</t>
        </is>
      </c>
      <c r="P1309" s="156" t="inlineStr">
        <is>
          <t>Cafe</t>
        </is>
      </c>
      <c r="Q1309" s="156" t="n"/>
      <c r="R1309" s="156" t="n"/>
      <c r="S1309" s="156" t="n"/>
      <c r="T1309"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9" s="156" t="n"/>
      <c r="V1309" s="156" t="inlineStr">
        <is>
          <t>PZS</t>
        </is>
      </c>
      <c r="W1309" s="51" t="inlineStr">
        <is>
          <t>53102501</t>
        </is>
      </c>
      <c r="X1309" s="156" t="inlineStr">
        <is>
          <t>https://cdn.shopify.com/s/files/1/0888/3250/8267/files/9916500-243_Antique_Cognac_1.jpg?v=1763142861</t>
        </is>
      </c>
      <c r="Y1309" s="54" t="n">
        <v>1900.862069</v>
      </c>
      <c r="Z1309" s="54" t="n">
        <v>4224.137931</v>
      </c>
      <c r="AA1309" s="55">
        <f>IF(AND(A1309="", B1309="", E1309=""), "", IF(AB1309="", "Válido", IF((LEN(AB1309)-LEN(SUBSTITUTE(AB1309,"; ","")))/2+1&gt;(LEN(AB1309)-LEN(SUBSTITUTE(AB1309,"[Aviso]","")))/7, "Con Incidencias", "Válido")))</f>
        <v/>
      </c>
      <c r="AB1309" s="56">
        <f>IF(AND(A1309="", B1309="", E1309=""), "", TEXTJOIN("; ", TRUE, IF(OR(TRIM(A1309&amp;"")="", ISNUMBER(SEARCH("FALTA", A1309))), "UPC faltante/inválido", ""), IF(AND(A1309&lt;&gt;"", IFERROR(_xlfn.XMATCH(A1309,$A$2:$A$2509,0,1)&lt;&gt;_xlfn.XMATCH(A1309,$A$2:$A$2509,0,-1),FALSE)), "Código de barras duplicado", ""), IF(AND(E1309&lt;&gt;"", COUNTIF($E$2:$E$2509, E1309)&gt;1), "SKU duplicado", ""), IF(OR(J1309="", J1309=""), "[Aviso] División no capturada ()", IF(ISNA(MATCH(J1309, Criterios!$A$123:$A$126, 0)), "División no válida", "")), IF(OR(K1309="", K1309=""), "[Aviso] Categoría no capturada ()", IF(ISNA(MATCH(K1309, Criterios!$A$81:$A$120, 0)), "Categoría no válida", IF(AND(J1309&lt;&gt;"", J1309&lt;&gt;"", J1309&lt;&gt;VLOOKUP(K1309, Criterios!$A$81:$B$120, 2, FALSE)), "División no coincide con Categoría", ""))), IF(OR(L1309="", L1309=""), "[Aviso] Género no capturado ()", IF(ISNA(MATCH(L1309, Criterios!$B$123:$B$127, 0)), "Género no válido", "")), IF(OR(N1309="", N1309=""), "[Aviso] Temporada no capturada ()", IF(ISNA(MATCH(N1309, Criterios!$C$123:$C$128, 0)), "Temporada no válida", "")), IF(OR(O1309="", O1309=""), "[Aviso] Ciclo de vida no capturado ()", IF(ISNA(MATCH(O1309, Criterios!$D$123:$D$124, 0)), "Ciclo de vida no válido", ""))))</f>
        <v/>
      </c>
      <c r="AC1309" s="56" t="n"/>
      <c r="AD1309" s="51" t="n">
        <v>2</v>
      </c>
      <c r="AE1309" s="156" t="inlineStr">
        <is>
          <t>B25 STETSON.MX (2)</t>
        </is>
      </c>
      <c r="AF1309" s="51" t="n">
        <v>2</v>
      </c>
      <c r="AG1309" s="156" t="inlineStr">
        <is>
          <t>Catálogo existente</t>
        </is>
      </c>
      <c r="AH1309" s="156" t="inlineStr">
        <is>
          <t>Revisión 29/09/2026: Campos sin respaldo: S, U, X | 01/10/2026: complementado desde Shopify Stetson México (match por código de barras): WB Fit, WB Silueta, WB Descripción larga, Enlace de imagen</t>
        </is>
      </c>
      <c r="AI1309" s="156" t="inlineStr">
        <is>
          <t>No</t>
        </is>
      </c>
      <c r="AJ1309" s="156" t="n"/>
      <c r="AK1309" s="155" t="inlineStr">
        <is>
          <t>Criterios: I [Q] | Criterios: J [R] | Shopify Stetson: producto 14697979707755 / variante 52013857538411</t>
        </is>
      </c>
      <c r="AL1309" s="58" t="n">
        <v>1900.862069</v>
      </c>
      <c r="AM1309" s="58" t="n">
        <v>4224.137931</v>
      </c>
      <c r="AN1309" s="155" t="inlineStr">
        <is>
          <t>Shopify Stetson México</t>
        </is>
      </c>
      <c r="AO1309" s="59" t="n">
        <v>2</v>
      </c>
      <c r="AP1309" s="59" t="n"/>
      <c r="AQ1309" s="59" t="n"/>
      <c r="AR1309" s="155" t="inlineStr">
        <is>
          <t>Shopify Stetson México › Stetson México: 2</t>
        </is>
      </c>
    </row>
    <row r="1310">
      <c r="A1310" s="50" t="inlineStr">
        <is>
          <t>724303741087</t>
        </is>
      </c>
      <c r="B1310" s="51" t="inlineStr">
        <is>
          <t>109851</t>
        </is>
      </c>
      <c r="C1310" s="156" t="inlineStr">
        <is>
          <t>Multimarca</t>
        </is>
      </c>
      <c r="D1310" s="156" t="inlineStr">
        <is>
          <t>9923500-104</t>
        </is>
      </c>
      <c r="E1310" s="156" t="inlineStr">
        <is>
          <t>9923500-104-36</t>
        </is>
      </c>
      <c r="F1310" s="156" t="inlineStr">
        <is>
          <t>36</t>
        </is>
      </c>
      <c r="G1310" s="156" t="inlineStr">
        <is>
          <t>36</t>
        </is>
      </c>
      <c r="H1310" s="156" t="inlineStr">
        <is>
          <t>Stetson</t>
        </is>
      </c>
      <c r="I1310" s="156" t="inlineStr">
        <is>
          <t>Cinturón Stetson Piel Natural</t>
        </is>
      </c>
      <c r="J1310" s="156" t="inlineStr">
        <is>
          <t>Accesorios</t>
        </is>
      </c>
      <c r="K1310" s="156" t="inlineStr">
        <is>
          <t>Cinturones</t>
        </is>
      </c>
      <c r="L1310" s="156" t="inlineStr">
        <is>
          <t>Hombre</t>
        </is>
      </c>
      <c r="M1310" s="156" t="inlineStr">
        <is>
          <t>Stetson</t>
        </is>
      </c>
      <c r="N1310" s="156" t="inlineStr">
        <is>
          <t>SS26</t>
        </is>
      </c>
      <c r="O1310" s="156" t="inlineStr">
        <is>
          <t>Seasonal</t>
        </is>
      </c>
      <c r="P1310" s="156" t="inlineStr">
        <is>
          <t>Beige</t>
        </is>
      </c>
      <c r="Q1310" s="156" t="n"/>
      <c r="R1310" s="156" t="n"/>
      <c r="S1310" s="156" t="inlineStr">
        <is>
          <t>Cuero</t>
        </is>
      </c>
      <c r="T1310"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0" s="156" t="n"/>
      <c r="V1310" s="156" t="inlineStr">
        <is>
          <t>PZS</t>
        </is>
      </c>
      <c r="W1310" s="51" t="inlineStr">
        <is>
          <t>53102501</t>
        </is>
      </c>
      <c r="X1310" s="156" t="inlineStr">
        <is>
          <t>https://cdn.shopify.com/s/files/1/0888/3250/8267/files/9923500-104.jpg?v=1745271541</t>
        </is>
      </c>
      <c r="Y1310" s="54" t="n">
        <v>814.6551724</v>
      </c>
      <c r="Z1310" s="54" t="n">
        <v>1810.344828</v>
      </c>
      <c r="AA1310" s="55">
        <f>IF(AND(A1310="", B1310="", E1310=""), "", IF(AB1310="", "Válido", IF((LEN(AB1310)-LEN(SUBSTITUTE(AB1310,"; ","")))/2+1&gt;(LEN(AB1310)-LEN(SUBSTITUTE(AB1310,"[Aviso]","")))/7, "Con Incidencias", "Válido")))</f>
        <v/>
      </c>
      <c r="AB1310" s="56">
        <f>IF(AND(A1310="", B1310="", E1310=""), "", TEXTJOIN("; ", TRUE, IF(OR(TRIM(A1310&amp;"")="", ISNUMBER(SEARCH("FALTA", A1310))), "UPC faltante/inválido", ""), IF(AND(A1310&lt;&gt;"", IFERROR(_xlfn.XMATCH(A1310,$A$2:$A$2509,0,1)&lt;&gt;_xlfn.XMATCH(A1310,$A$2:$A$2509,0,-1),FALSE)), "Código de barras duplicado", ""), IF(AND(E1310&lt;&gt;"", COUNTIF($E$2:$E$2509, E1310)&gt;1), "SKU duplicado", ""), IF(OR(J1310="", J1310=""), "[Aviso] División no capturada ()", IF(ISNA(MATCH(J1310, Criterios!$A$123:$A$126, 0)), "División no válida", "")), IF(OR(K1310="", K1310=""), "[Aviso] Categoría no capturada ()", IF(ISNA(MATCH(K1310, Criterios!$A$81:$A$120, 0)), "Categoría no válida", IF(AND(J1310&lt;&gt;"", J1310&lt;&gt;"", J1310&lt;&gt;VLOOKUP(K1310, Criterios!$A$81:$B$120, 2, FALSE)), "División no coincide con Categoría", ""))), IF(OR(L1310="", L1310=""), "[Aviso] Género no capturado ()", IF(ISNA(MATCH(L1310, Criterios!$B$123:$B$127, 0)), "Género no válido", "")), IF(OR(N1310="", N1310=""), "[Aviso] Temporada no capturada ()", IF(ISNA(MATCH(N1310, Criterios!$C$123:$C$128, 0)), "Temporada no válida", "")), IF(OR(O1310="", O1310=""), "[Aviso] Ciclo de vida no capturado ()", IF(ISNA(MATCH(O1310, Criterios!$D$123:$D$124, 0)), "Ciclo de vida no válido", ""))))</f>
        <v/>
      </c>
      <c r="AC1310" s="56" t="n"/>
      <c r="AD1310" s="51" t="n">
        <v>3</v>
      </c>
      <c r="AE1310" s="156" t="inlineStr">
        <is>
          <t>WB OUTLET LERMA (1); B25 STETSON.MX (2)</t>
        </is>
      </c>
      <c r="AF1310" s="51" t="n">
        <v>3</v>
      </c>
      <c r="AG1310" s="156" t="inlineStr">
        <is>
          <t>Catálogo existente</t>
        </is>
      </c>
      <c r="AH1310" s="156" t="inlineStr">
        <is>
          <t>Revisión 29/09/2026: Campos sin respaldo: U, X; Auditoría NetSuite 30/09/2026: llenado desde NetSuite [S] | 01/10/2026: complementado desde Shopify Stetson México (match por código de barras): WB Fit, WB Silueta, Enlace de imagen</t>
        </is>
      </c>
      <c r="AI1310" s="156" t="inlineStr">
        <is>
          <t>No</t>
        </is>
      </c>
      <c r="AJ1310" s="156" t="n"/>
      <c r="AK1310" s="155" t="inlineStr">
        <is>
          <t>Criterios: I [Q] | Criterios: J [R]; G1522_Extraccion_Articulos_NetSuite_2026-09-30.xlsx: fila 57666 [S] | Shopify Stetson: producto 14697994748267 / variante 52013907575147 | Shopify WB: producto 10310238961849 / variante 50512092201145</t>
        </is>
      </c>
      <c r="AL1310" s="58" t="n">
        <v>814.6551724</v>
      </c>
      <c r="AM1310" s="58" t="n">
        <v>1810.344828</v>
      </c>
      <c r="AN1310" s="155" t="inlineStr">
        <is>
          <t>Shopify Stetson México | Shopify Western Brothers</t>
        </is>
      </c>
      <c r="AO1310" s="59" t="n">
        <v>3</v>
      </c>
      <c r="AP1310" s="59" t="n">
        <v>1</v>
      </c>
      <c r="AQ1310" s="59" t="n"/>
      <c r="AR1310" s="155" t="inlineStr">
        <is>
          <t>Shopify Stetson México › Stetson México: 3 | Shopify Western Brothers › Western Brothers Outlet Lerma: 1</t>
        </is>
      </c>
    </row>
    <row r="1311">
      <c r="A1311" s="50" t="inlineStr">
        <is>
          <t>724303741094</t>
        </is>
      </c>
      <c r="B1311" s="51" t="inlineStr">
        <is>
          <t>109852</t>
        </is>
      </c>
      <c r="C1311" s="156" t="inlineStr">
        <is>
          <t>Multimarca</t>
        </is>
      </c>
      <c r="D1311" s="156" t="inlineStr">
        <is>
          <t>9923500-104</t>
        </is>
      </c>
      <c r="E1311" s="156" t="inlineStr">
        <is>
          <t>9923500-104-38</t>
        </is>
      </c>
      <c r="F1311" s="156" t="inlineStr">
        <is>
          <t>38</t>
        </is>
      </c>
      <c r="G1311" s="156" t="inlineStr">
        <is>
          <t>38</t>
        </is>
      </c>
      <c r="H1311" s="156" t="inlineStr">
        <is>
          <t>Stetson</t>
        </is>
      </c>
      <c r="I1311" s="156" t="inlineStr">
        <is>
          <t>Cinturón Stetson Piel Natural</t>
        </is>
      </c>
      <c r="J1311" s="156" t="inlineStr">
        <is>
          <t>Accesorios</t>
        </is>
      </c>
      <c r="K1311" s="156" t="inlineStr">
        <is>
          <t>Cinturones</t>
        </is>
      </c>
      <c r="L1311" s="156" t="inlineStr">
        <is>
          <t>Hombre</t>
        </is>
      </c>
      <c r="M1311" s="156" t="inlineStr">
        <is>
          <t>Stetson</t>
        </is>
      </c>
      <c r="N1311" s="156" t="inlineStr">
        <is>
          <t>SS26</t>
        </is>
      </c>
      <c r="O1311" s="156" t="inlineStr">
        <is>
          <t>Seasonal</t>
        </is>
      </c>
      <c r="P1311" s="156" t="inlineStr">
        <is>
          <t>Beige</t>
        </is>
      </c>
      <c r="Q1311" s="156" t="n"/>
      <c r="R1311" s="156" t="n"/>
      <c r="S1311" s="156" t="inlineStr">
        <is>
          <t>Cuero</t>
        </is>
      </c>
      <c r="T1311"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1" s="156" t="n"/>
      <c r="V1311" s="156" t="inlineStr">
        <is>
          <t>PZS</t>
        </is>
      </c>
      <c r="W1311" s="51" t="inlineStr">
        <is>
          <t>53102501</t>
        </is>
      </c>
      <c r="X1311" s="156" t="inlineStr">
        <is>
          <t>https://cdn.shopify.com/s/files/1/0888/3250/8267/files/9923500-104.jpg?v=1745271541</t>
        </is>
      </c>
      <c r="Y1311" s="54" t="n">
        <v>814.6551724</v>
      </c>
      <c r="Z1311" s="54" t="n">
        <v>1810.344828</v>
      </c>
      <c r="AA1311" s="55">
        <f>IF(AND(A1311="", B1311="", E1311=""), "", IF(AB1311="", "Válido", IF((LEN(AB1311)-LEN(SUBSTITUTE(AB1311,"; ","")))/2+1&gt;(LEN(AB1311)-LEN(SUBSTITUTE(AB1311,"[Aviso]","")))/7, "Con Incidencias", "Válido")))</f>
        <v/>
      </c>
      <c r="AB1311" s="56">
        <f>IF(AND(A1311="", B1311="", E1311=""), "", TEXTJOIN("; ", TRUE, IF(OR(TRIM(A1311&amp;"")="", ISNUMBER(SEARCH("FALTA", A1311))), "UPC faltante/inválido", ""), IF(AND(A1311&lt;&gt;"", IFERROR(_xlfn.XMATCH(A1311,$A$2:$A$2509,0,1)&lt;&gt;_xlfn.XMATCH(A1311,$A$2:$A$2509,0,-1),FALSE)), "Código de barras duplicado", ""), IF(AND(E1311&lt;&gt;"", COUNTIF($E$2:$E$2509, E1311)&gt;1), "SKU duplicado", ""), IF(OR(J1311="", J1311=""), "[Aviso] División no capturada ()", IF(ISNA(MATCH(J1311, Criterios!$A$123:$A$126, 0)), "División no válida", "")), IF(OR(K1311="", K1311=""), "[Aviso] Categoría no capturada ()", IF(ISNA(MATCH(K1311, Criterios!$A$81:$A$120, 0)), "Categoría no válida", IF(AND(J1311&lt;&gt;"", J1311&lt;&gt;"", J1311&lt;&gt;VLOOKUP(K1311, Criterios!$A$81:$B$120, 2, FALSE)), "División no coincide con Categoría", ""))), IF(OR(L1311="", L1311=""), "[Aviso] Género no capturado ()", IF(ISNA(MATCH(L1311, Criterios!$B$123:$B$127, 0)), "Género no válido", "")), IF(OR(N1311="", N1311=""), "[Aviso] Temporada no capturada ()", IF(ISNA(MATCH(N1311, Criterios!$C$123:$C$128, 0)), "Temporada no válida", "")), IF(OR(O1311="", O1311=""), "[Aviso] Ciclo de vida no capturado ()", IF(ISNA(MATCH(O1311, Criterios!$D$123:$D$124, 0)), "Ciclo de vida no válido", ""))))</f>
        <v/>
      </c>
      <c r="AC1311" s="56" t="n"/>
      <c r="AD1311" s="51" t="n">
        <v>12</v>
      </c>
      <c r="AE1311" s="156" t="inlineStr">
        <is>
          <t>B25 STETSON.MX (12)</t>
        </is>
      </c>
      <c r="AF1311" s="51" t="n">
        <v>12</v>
      </c>
      <c r="AG1311" s="156" t="inlineStr">
        <is>
          <t>Catálogo existente</t>
        </is>
      </c>
      <c r="AH1311" s="156" t="inlineStr">
        <is>
          <t>Revisión 29/09/2026: Campos sin respaldo: U, X; Auditoría NetSuite 30/09/2026: llenado desde NetSuite [S] | 01/10/2026: complementado desde Shopify Stetson México (match por código de barras): WB Fit, WB Silueta, Enlace de imagen</t>
        </is>
      </c>
      <c r="AI1311" s="156" t="inlineStr">
        <is>
          <t>No</t>
        </is>
      </c>
      <c r="AJ1311" s="156" t="n"/>
      <c r="AK1311" s="155" t="inlineStr">
        <is>
          <t>Criterios: I [Q] | Criterios: J [R]; G1522_Extraccion_Articulos_NetSuite_2026-09-30.xlsx: fila 57667 [S] | Shopify Stetson: producto 14697994748267 / variante 52013907607915</t>
        </is>
      </c>
      <c r="AL1311" s="58" t="n">
        <v>814.6551724</v>
      </c>
      <c r="AM1311" s="58" t="n">
        <v>1810.344828</v>
      </c>
      <c r="AN1311" s="155" t="inlineStr">
        <is>
          <t>Shopify Stetson México</t>
        </is>
      </c>
      <c r="AO1311" s="59" t="n">
        <v>12</v>
      </c>
      <c r="AP1311" s="59" t="n"/>
      <c r="AQ1311" s="59" t="n"/>
      <c r="AR1311" s="155" t="inlineStr">
        <is>
          <t>Shopify Stetson México › Stetson México: 12</t>
        </is>
      </c>
    </row>
    <row r="1312">
      <c r="A1312" s="50" t="inlineStr">
        <is>
          <t>724303741100</t>
        </is>
      </c>
      <c r="B1312" s="51" t="inlineStr">
        <is>
          <t>109853</t>
        </is>
      </c>
      <c r="C1312" s="156" t="inlineStr">
        <is>
          <t>Multimarca</t>
        </is>
      </c>
      <c r="D1312" s="156" t="inlineStr">
        <is>
          <t>9923500-104</t>
        </is>
      </c>
      <c r="E1312" s="156" t="inlineStr">
        <is>
          <t>9923500-104-40</t>
        </is>
      </c>
      <c r="F1312" s="156" t="inlineStr">
        <is>
          <t>40</t>
        </is>
      </c>
      <c r="G1312" s="156" t="inlineStr">
        <is>
          <t>40</t>
        </is>
      </c>
      <c r="H1312" s="156" t="inlineStr">
        <is>
          <t>Stetson</t>
        </is>
      </c>
      <c r="I1312" s="156" t="inlineStr">
        <is>
          <t>Cinturón Stetson Piel Natural</t>
        </is>
      </c>
      <c r="J1312" s="156" t="inlineStr">
        <is>
          <t>Accesorios</t>
        </is>
      </c>
      <c r="K1312" s="156" t="inlineStr">
        <is>
          <t>Cinturones</t>
        </is>
      </c>
      <c r="L1312" s="156" t="inlineStr">
        <is>
          <t>Hombre</t>
        </is>
      </c>
      <c r="M1312" s="156" t="inlineStr">
        <is>
          <t>Stetson</t>
        </is>
      </c>
      <c r="N1312" s="156" t="inlineStr">
        <is>
          <t>SS26</t>
        </is>
      </c>
      <c r="O1312" s="156" t="inlineStr">
        <is>
          <t>Seasonal</t>
        </is>
      </c>
      <c r="P1312" s="156" t="inlineStr">
        <is>
          <t>Beige</t>
        </is>
      </c>
      <c r="Q1312" s="156" t="n"/>
      <c r="R1312" s="156" t="n"/>
      <c r="S1312" s="156" t="inlineStr">
        <is>
          <t>Cuero</t>
        </is>
      </c>
      <c r="T1312"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2" s="156" t="n"/>
      <c r="V1312" s="156" t="inlineStr">
        <is>
          <t>PZS</t>
        </is>
      </c>
      <c r="W1312" s="51" t="inlineStr">
        <is>
          <t>53102501</t>
        </is>
      </c>
      <c r="X1312" s="156" t="inlineStr">
        <is>
          <t>https://cdn.shopify.com/s/files/1/0888/3250/8267/files/9923500-104.jpg?v=1745271541</t>
        </is>
      </c>
      <c r="Y1312" s="54" t="n">
        <v>814.6551724</v>
      </c>
      <c r="Z1312" s="54" t="n">
        <v>1810.344828</v>
      </c>
      <c r="AA1312" s="55">
        <f>IF(AND(A1312="", B1312="", E1312=""), "", IF(AB1312="", "Válido", IF((LEN(AB1312)-LEN(SUBSTITUTE(AB1312,"; ","")))/2+1&gt;(LEN(AB1312)-LEN(SUBSTITUTE(AB1312,"[Aviso]","")))/7, "Con Incidencias", "Válido")))</f>
        <v/>
      </c>
      <c r="AB1312" s="56">
        <f>IF(AND(A1312="", B1312="", E1312=""), "", TEXTJOIN("; ", TRUE, IF(OR(TRIM(A1312&amp;"")="", ISNUMBER(SEARCH("FALTA", A1312))), "UPC faltante/inválido", ""), IF(AND(A1312&lt;&gt;"", IFERROR(_xlfn.XMATCH(A1312,$A$2:$A$2509,0,1)&lt;&gt;_xlfn.XMATCH(A1312,$A$2:$A$2509,0,-1),FALSE)), "Código de barras duplicado", ""), IF(AND(E1312&lt;&gt;"", COUNTIF($E$2:$E$2509, E1312)&gt;1), "SKU duplicado", ""), IF(OR(J1312="", J1312=""), "[Aviso] División no capturada ()", IF(ISNA(MATCH(J1312, Criterios!$A$123:$A$126, 0)), "División no válida", "")), IF(OR(K1312="", K1312=""), "[Aviso] Categoría no capturada ()", IF(ISNA(MATCH(K1312, Criterios!$A$81:$A$120, 0)), "Categoría no válida", IF(AND(J1312&lt;&gt;"", J1312&lt;&gt;"", J1312&lt;&gt;VLOOKUP(K1312, Criterios!$A$81:$B$120, 2, FALSE)), "División no coincide con Categoría", ""))), IF(OR(L1312="", L1312=""), "[Aviso] Género no capturado ()", IF(ISNA(MATCH(L1312, Criterios!$B$123:$B$127, 0)), "Género no válido", "")), IF(OR(N1312="", N1312=""), "[Aviso] Temporada no capturada ()", IF(ISNA(MATCH(N1312, Criterios!$C$123:$C$128, 0)), "Temporada no válida", "")), IF(OR(O1312="", O1312=""), "[Aviso] Ciclo de vida no capturado ()", IF(ISNA(MATCH(O1312, Criterios!$D$123:$D$124, 0)), "Ciclo de vida no válido", ""))))</f>
        <v/>
      </c>
      <c r="AC1312" s="56" t="n"/>
      <c r="AD1312" s="51" t="n">
        <v>14</v>
      </c>
      <c r="AE1312" s="156" t="inlineStr">
        <is>
          <t>B25 STETSON.MX (14)</t>
        </is>
      </c>
      <c r="AF1312" s="51" t="n">
        <v>14</v>
      </c>
      <c r="AG1312" s="156" t="inlineStr">
        <is>
          <t>Catálogo existente</t>
        </is>
      </c>
      <c r="AH1312" s="156" t="inlineStr">
        <is>
          <t>Revisión 29/09/2026: Campos sin respaldo: U, X; Auditoría NetSuite 30/09/2026: llenado desde NetSuite [S] | 01/10/2026: complementado desde Shopify Stetson México (match por código de barras): WB Fit, WB Silueta, Enlace de imagen</t>
        </is>
      </c>
      <c r="AI1312" s="156" t="inlineStr">
        <is>
          <t>No</t>
        </is>
      </c>
      <c r="AJ1312" s="156" t="n"/>
      <c r="AK1312" s="155" t="inlineStr">
        <is>
          <t>Criterios: I [Q] | Criterios: J [R]; G1522_Extraccion_Articulos_NetSuite_2026-09-30.xlsx: fila 57668 [S] | Shopify Stetson: producto 14697994748267 / variante 52013907640683</t>
        </is>
      </c>
      <c r="AL1312" s="58" t="n">
        <v>814.6551724</v>
      </c>
      <c r="AM1312" s="58" t="n">
        <v>1810.344828</v>
      </c>
      <c r="AN1312" s="155" t="inlineStr">
        <is>
          <t>Shopify Stetson México</t>
        </is>
      </c>
      <c r="AO1312" s="59" t="n">
        <v>15</v>
      </c>
      <c r="AP1312" s="59" t="n"/>
      <c r="AQ1312" s="59" t="n"/>
      <c r="AR1312" s="155" t="inlineStr">
        <is>
          <t>Shopify Stetson México › Stetson México: 14 | Shopify Stetson México › Stetson Americas: 1</t>
        </is>
      </c>
    </row>
    <row r="1313">
      <c r="A1313" s="50" t="inlineStr">
        <is>
          <t>724303741117</t>
        </is>
      </c>
      <c r="B1313" s="51" t="inlineStr">
        <is>
          <t>109854</t>
        </is>
      </c>
      <c r="C1313" s="156" t="inlineStr">
        <is>
          <t>Multimarca</t>
        </is>
      </c>
      <c r="D1313" s="156" t="inlineStr">
        <is>
          <t>9923500-104</t>
        </is>
      </c>
      <c r="E1313" s="156" t="inlineStr">
        <is>
          <t>9923500-104-42</t>
        </is>
      </c>
      <c r="F1313" s="156" t="inlineStr">
        <is>
          <t>42</t>
        </is>
      </c>
      <c r="G1313" s="156" t="inlineStr">
        <is>
          <t>42</t>
        </is>
      </c>
      <c r="H1313" s="156" t="inlineStr">
        <is>
          <t>Stetson</t>
        </is>
      </c>
      <c r="I1313" s="156" t="inlineStr">
        <is>
          <t>Cinturón Stetson Piel Natural</t>
        </is>
      </c>
      <c r="J1313" s="156" t="inlineStr">
        <is>
          <t>Accesorios</t>
        </is>
      </c>
      <c r="K1313" s="156" t="inlineStr">
        <is>
          <t>Cinturones</t>
        </is>
      </c>
      <c r="L1313" s="156" t="inlineStr">
        <is>
          <t>Hombre</t>
        </is>
      </c>
      <c r="M1313" s="156" t="inlineStr">
        <is>
          <t>Stetson</t>
        </is>
      </c>
      <c r="N1313" s="156" t="inlineStr">
        <is>
          <t>SS26</t>
        </is>
      </c>
      <c r="O1313" s="156" t="inlineStr">
        <is>
          <t>Seasonal</t>
        </is>
      </c>
      <c r="P1313" s="156" t="inlineStr">
        <is>
          <t>Beige</t>
        </is>
      </c>
      <c r="Q1313" s="156" t="n"/>
      <c r="R1313" s="156" t="n"/>
      <c r="S1313" s="156" t="inlineStr">
        <is>
          <t>Cuero</t>
        </is>
      </c>
      <c r="T1313"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3" s="156" t="n"/>
      <c r="V1313" s="156" t="inlineStr">
        <is>
          <t>PZS</t>
        </is>
      </c>
      <c r="W1313" s="51" t="inlineStr">
        <is>
          <t>53102501</t>
        </is>
      </c>
      <c r="X1313" s="156" t="inlineStr">
        <is>
          <t>https://cdn.shopify.com/s/files/1/0888/3250/8267/files/9923500-104.jpg?v=1745271541</t>
        </is>
      </c>
      <c r="Y1313" s="54" t="n">
        <v>814.6551724</v>
      </c>
      <c r="Z1313" s="54" t="n">
        <v>1810.344828</v>
      </c>
      <c r="AA1313" s="55">
        <f>IF(AND(A1313="", B1313="", E1313=""), "", IF(AB1313="", "Válido", IF((LEN(AB1313)-LEN(SUBSTITUTE(AB1313,"; ","")))/2+1&gt;(LEN(AB1313)-LEN(SUBSTITUTE(AB1313,"[Aviso]","")))/7, "Con Incidencias", "Válido")))</f>
        <v/>
      </c>
      <c r="AB1313" s="56">
        <f>IF(AND(A1313="", B1313="", E1313=""), "", TEXTJOIN("; ", TRUE, IF(OR(TRIM(A1313&amp;"")="", ISNUMBER(SEARCH("FALTA", A1313))), "UPC faltante/inválido", ""), IF(AND(A1313&lt;&gt;"", IFERROR(_xlfn.XMATCH(A1313,$A$2:$A$2509,0,1)&lt;&gt;_xlfn.XMATCH(A1313,$A$2:$A$2509,0,-1),FALSE)), "Código de barras duplicado", ""), IF(AND(E1313&lt;&gt;"", COUNTIF($E$2:$E$2509, E1313)&gt;1), "SKU duplicado", ""), IF(OR(J1313="", J1313=""), "[Aviso] División no capturada ()", IF(ISNA(MATCH(J1313, Criterios!$A$123:$A$126, 0)), "División no válida", "")), IF(OR(K1313="", K1313=""), "[Aviso] Categoría no capturada ()", IF(ISNA(MATCH(K1313, Criterios!$A$81:$A$120, 0)), "Categoría no válida", IF(AND(J1313&lt;&gt;"", J1313&lt;&gt;"", J1313&lt;&gt;VLOOKUP(K1313, Criterios!$A$81:$B$120, 2, FALSE)), "División no coincide con Categoría", ""))), IF(OR(L1313="", L1313=""), "[Aviso] Género no capturado ()", IF(ISNA(MATCH(L1313, Criterios!$B$123:$B$127, 0)), "Género no válido", "")), IF(OR(N1313="", N1313=""), "[Aviso] Temporada no capturada ()", IF(ISNA(MATCH(N1313, Criterios!$C$123:$C$128, 0)), "Temporada no válida", "")), IF(OR(O1313="", O1313=""), "[Aviso] Ciclo de vida no capturado ()", IF(ISNA(MATCH(O1313, Criterios!$D$123:$D$124, 0)), "Ciclo de vida no válido", ""))))</f>
        <v/>
      </c>
      <c r="AC1313" s="56" t="n"/>
      <c r="AD1313" s="51" t="n">
        <v>15</v>
      </c>
      <c r="AE1313" s="156" t="inlineStr">
        <is>
          <t>B25 STETSON.MX (15)</t>
        </is>
      </c>
      <c r="AF1313" s="51" t="n">
        <v>15</v>
      </c>
      <c r="AG1313" s="156" t="inlineStr">
        <is>
          <t>Catálogo existente</t>
        </is>
      </c>
      <c r="AH1313" s="156" t="inlineStr">
        <is>
          <t>Revisión 29/09/2026: Campos sin respaldo: U, X; Auditoría NetSuite 30/09/2026: llenado desde NetSuite [S] | 01/10/2026: complementado desde Shopify Stetson México (match por código de barras): WB Fit, WB Silueta, Enlace de imagen</t>
        </is>
      </c>
      <c r="AI1313" s="156" t="inlineStr">
        <is>
          <t>No</t>
        </is>
      </c>
      <c r="AJ1313" s="156" t="n"/>
      <c r="AK1313" s="155" t="inlineStr">
        <is>
          <t>Criterios: I [Q] | Criterios: J [R]; G1522_Extraccion_Articulos_NetSuite_2026-09-30.xlsx: fila 57669 [S] | Shopify Stetson: producto 14697994748267 / variante 52013907673451</t>
        </is>
      </c>
      <c r="AL1313" s="58" t="n">
        <v>814.6551724</v>
      </c>
      <c r="AM1313" s="58" t="n">
        <v>1810.344828</v>
      </c>
      <c r="AN1313" s="155" t="inlineStr">
        <is>
          <t>Shopify Stetson México</t>
        </is>
      </c>
      <c r="AO1313" s="59" t="n">
        <v>17</v>
      </c>
      <c r="AP1313" s="59" t="n"/>
      <c r="AQ1313" s="59" t="n"/>
      <c r="AR1313" s="155" t="inlineStr">
        <is>
          <t>Shopify Stetson México › Stetson México: 15 | Shopify Stetson México › Stetson Americas: 2</t>
        </is>
      </c>
    </row>
    <row r="1314">
      <c r="A1314" s="50" t="inlineStr">
        <is>
          <t>724303741124</t>
        </is>
      </c>
      <c r="B1314" s="51" t="inlineStr">
        <is>
          <t>109855</t>
        </is>
      </c>
      <c r="C1314" s="156" t="inlineStr">
        <is>
          <t>Multimarca</t>
        </is>
      </c>
      <c r="D1314" s="156" t="inlineStr">
        <is>
          <t>9923500-104</t>
        </is>
      </c>
      <c r="E1314" s="156" t="inlineStr">
        <is>
          <t>9923500-104-44</t>
        </is>
      </c>
      <c r="F1314" s="156" t="inlineStr">
        <is>
          <t>44</t>
        </is>
      </c>
      <c r="G1314" s="156" t="inlineStr">
        <is>
          <t>44</t>
        </is>
      </c>
      <c r="H1314" s="156" t="inlineStr">
        <is>
          <t>Stetson</t>
        </is>
      </c>
      <c r="I1314" s="156" t="inlineStr">
        <is>
          <t>Cinturón Stetson Piel Natural</t>
        </is>
      </c>
      <c r="J1314" s="156" t="inlineStr">
        <is>
          <t>Accesorios</t>
        </is>
      </c>
      <c r="K1314" s="156" t="inlineStr">
        <is>
          <t>Cinturones</t>
        </is>
      </c>
      <c r="L1314" s="156" t="inlineStr">
        <is>
          <t>Hombre</t>
        </is>
      </c>
      <c r="M1314" s="156" t="inlineStr">
        <is>
          <t>Stetson</t>
        </is>
      </c>
      <c r="N1314" s="156" t="inlineStr">
        <is>
          <t>SS26</t>
        </is>
      </c>
      <c r="O1314" s="156" t="inlineStr">
        <is>
          <t>Seasonal</t>
        </is>
      </c>
      <c r="P1314" s="156" t="inlineStr">
        <is>
          <t>Beige</t>
        </is>
      </c>
      <c r="Q1314" s="156" t="n"/>
      <c r="R1314" s="156" t="n"/>
      <c r="S1314" s="156" t="inlineStr">
        <is>
          <t>Cuero</t>
        </is>
      </c>
      <c r="T1314"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4" s="156" t="n"/>
      <c r="V1314" s="156" t="inlineStr">
        <is>
          <t>PZS</t>
        </is>
      </c>
      <c r="W1314" s="51" t="inlineStr">
        <is>
          <t>53102501</t>
        </is>
      </c>
      <c r="X1314" s="156" t="inlineStr">
        <is>
          <t>https://cdn.shopify.com/s/files/1/0888/3250/8267/files/9923500-104.jpg?v=1745271541</t>
        </is>
      </c>
      <c r="Y1314" s="54" t="n">
        <v>814.6551724</v>
      </c>
      <c r="Z1314" s="54" t="n">
        <v>1810.344828</v>
      </c>
      <c r="AA1314" s="55">
        <f>IF(AND(A1314="", B1314="", E1314=""), "", IF(AB1314="", "Válido", IF((LEN(AB1314)-LEN(SUBSTITUTE(AB1314,"; ","")))/2+1&gt;(LEN(AB1314)-LEN(SUBSTITUTE(AB1314,"[Aviso]","")))/7, "Con Incidencias", "Válido")))</f>
        <v/>
      </c>
      <c r="AB1314" s="56">
        <f>IF(AND(A1314="", B1314="", E1314=""), "", TEXTJOIN("; ", TRUE, IF(OR(TRIM(A1314&amp;"")="", ISNUMBER(SEARCH("FALTA", A1314))), "UPC faltante/inválido", ""), IF(AND(A1314&lt;&gt;"", IFERROR(_xlfn.XMATCH(A1314,$A$2:$A$2509,0,1)&lt;&gt;_xlfn.XMATCH(A1314,$A$2:$A$2509,0,-1),FALSE)), "Código de barras duplicado", ""), IF(AND(E1314&lt;&gt;"", COUNTIF($E$2:$E$2509, E1314)&gt;1), "SKU duplicado", ""), IF(OR(J1314="", J1314=""), "[Aviso] División no capturada ()", IF(ISNA(MATCH(J1314, Criterios!$A$123:$A$126, 0)), "División no válida", "")), IF(OR(K1314="", K1314=""), "[Aviso] Categoría no capturada ()", IF(ISNA(MATCH(K1314, Criterios!$A$81:$A$120, 0)), "Categoría no válida", IF(AND(J1314&lt;&gt;"", J1314&lt;&gt;"", J1314&lt;&gt;VLOOKUP(K1314, Criterios!$A$81:$B$120, 2, FALSE)), "División no coincide con Categoría", ""))), IF(OR(L1314="", L1314=""), "[Aviso] Género no capturado ()", IF(ISNA(MATCH(L1314, Criterios!$B$123:$B$127, 0)), "Género no válido", "")), IF(OR(N1314="", N1314=""), "[Aviso] Temporada no capturada ()", IF(ISNA(MATCH(N1314, Criterios!$C$123:$C$128, 0)), "Temporada no válida", "")), IF(OR(O1314="", O1314=""), "[Aviso] Ciclo de vida no capturado ()", IF(ISNA(MATCH(O1314, Criterios!$D$123:$D$124, 0)), "Ciclo de vida no válido", ""))))</f>
        <v/>
      </c>
      <c r="AC1314" s="56" t="n"/>
      <c r="AD1314" s="51" t="n">
        <v>10</v>
      </c>
      <c r="AE1314" s="156" t="inlineStr">
        <is>
          <t>B25 STETSON.MX (10)</t>
        </is>
      </c>
      <c r="AF1314" s="51" t="n">
        <v>10</v>
      </c>
      <c r="AG1314" s="156" t="inlineStr">
        <is>
          <t>Catálogo existente</t>
        </is>
      </c>
      <c r="AH1314" s="156" t="inlineStr">
        <is>
          <t>Revisión 29/09/2026: Campos sin respaldo: U, X; Auditoría NetSuite 30/09/2026: llenado desde NetSuite [S] | 01/10/2026: complementado desde Shopify Stetson México (match por código de barras): WB Fit, WB Silueta, Enlace de imagen</t>
        </is>
      </c>
      <c r="AI1314" s="156" t="inlineStr">
        <is>
          <t>No</t>
        </is>
      </c>
      <c r="AJ1314" s="156" t="n"/>
      <c r="AK1314" s="155" t="inlineStr">
        <is>
          <t>Criterios: I [Q] | Criterios: J [R]; G1522_Extraccion_Articulos_NetSuite_2026-09-30.xlsx: fila 57670 [S] | Shopify Stetson: producto 14697994748267 / variante 52013907706219</t>
        </is>
      </c>
      <c r="AL1314" s="58" t="n">
        <v>814.6551724</v>
      </c>
      <c r="AM1314" s="58" t="n">
        <v>1810.344828</v>
      </c>
      <c r="AN1314" s="155" t="inlineStr">
        <is>
          <t>Shopify Stetson México</t>
        </is>
      </c>
      <c r="AO1314" s="59" t="n">
        <v>10</v>
      </c>
      <c r="AP1314" s="59" t="n"/>
      <c r="AQ1314" s="59" t="n"/>
      <c r="AR1314" s="155" t="inlineStr">
        <is>
          <t>Shopify Stetson México › Stetson México: 10</t>
        </is>
      </c>
    </row>
    <row r="1315">
      <c r="A1315" s="50" t="inlineStr">
        <is>
          <t>724303741131</t>
        </is>
      </c>
      <c r="B1315" s="51" t="inlineStr">
        <is>
          <t>109856</t>
        </is>
      </c>
      <c r="C1315" s="156" t="inlineStr">
        <is>
          <t>Multimarca</t>
        </is>
      </c>
      <c r="D1315" s="156" t="inlineStr">
        <is>
          <t>9923500-104</t>
        </is>
      </c>
      <c r="E1315" s="156" t="inlineStr">
        <is>
          <t>9923500-104-46</t>
        </is>
      </c>
      <c r="F1315" s="156" t="inlineStr">
        <is>
          <t>46</t>
        </is>
      </c>
      <c r="G1315" s="156" t="inlineStr">
        <is>
          <t>46</t>
        </is>
      </c>
      <c r="H1315" s="156" t="inlineStr">
        <is>
          <t>Stetson</t>
        </is>
      </c>
      <c r="I1315" s="156" t="inlineStr">
        <is>
          <t>Cinturón Stetson Piel Natural</t>
        </is>
      </c>
      <c r="J1315" s="156" t="inlineStr">
        <is>
          <t>Accesorios</t>
        </is>
      </c>
      <c r="K1315" s="156" t="inlineStr">
        <is>
          <t>Cinturones</t>
        </is>
      </c>
      <c r="L1315" s="156" t="inlineStr">
        <is>
          <t>Hombre</t>
        </is>
      </c>
      <c r="M1315" s="156" t="inlineStr">
        <is>
          <t>Stetson</t>
        </is>
      </c>
      <c r="N1315" s="156" t="inlineStr">
        <is>
          <t>SS26</t>
        </is>
      </c>
      <c r="O1315" s="156" t="inlineStr">
        <is>
          <t>Seasonal</t>
        </is>
      </c>
      <c r="P1315" s="156" t="inlineStr">
        <is>
          <t>Beige</t>
        </is>
      </c>
      <c r="Q1315" s="156" t="n"/>
      <c r="R1315" s="156" t="n"/>
      <c r="S1315" s="156" t="inlineStr">
        <is>
          <t>Cuero</t>
        </is>
      </c>
      <c r="T1315"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5" s="156" t="n"/>
      <c r="V1315" s="156" t="inlineStr">
        <is>
          <t>PZS</t>
        </is>
      </c>
      <c r="W1315" s="51" t="inlineStr">
        <is>
          <t>53102501</t>
        </is>
      </c>
      <c r="X1315" s="156" t="inlineStr">
        <is>
          <t>https://cdn.shopify.com/s/files/1/0888/3250/8267/files/9923500-104.jpg?v=1745271541</t>
        </is>
      </c>
      <c r="Y1315" s="54" t="n">
        <v>814.6551724</v>
      </c>
      <c r="Z1315" s="54" t="n">
        <v>1810.344828</v>
      </c>
      <c r="AA1315" s="55">
        <f>IF(AND(A1315="", B1315="", E1315=""), "", IF(AB1315="", "Válido", IF((LEN(AB1315)-LEN(SUBSTITUTE(AB1315,"; ","")))/2+1&gt;(LEN(AB1315)-LEN(SUBSTITUTE(AB1315,"[Aviso]","")))/7, "Con Incidencias", "Válido")))</f>
        <v/>
      </c>
      <c r="AB1315" s="56">
        <f>IF(AND(A1315="", B1315="", E1315=""), "", TEXTJOIN("; ", TRUE, IF(OR(TRIM(A1315&amp;"")="", ISNUMBER(SEARCH("FALTA", A1315))), "UPC faltante/inválido", ""), IF(AND(A1315&lt;&gt;"", IFERROR(_xlfn.XMATCH(A1315,$A$2:$A$2509,0,1)&lt;&gt;_xlfn.XMATCH(A1315,$A$2:$A$2509,0,-1),FALSE)), "Código de barras duplicado", ""), IF(AND(E1315&lt;&gt;"", COUNTIF($E$2:$E$2509, E1315)&gt;1), "SKU duplicado", ""), IF(OR(J1315="", J1315=""), "[Aviso] División no capturada ()", IF(ISNA(MATCH(J1315, Criterios!$A$123:$A$126, 0)), "División no válida", "")), IF(OR(K1315="", K1315=""), "[Aviso] Categoría no capturada ()", IF(ISNA(MATCH(K1315, Criterios!$A$81:$A$120, 0)), "Categoría no válida", IF(AND(J1315&lt;&gt;"", J1315&lt;&gt;"", J1315&lt;&gt;VLOOKUP(K1315, Criterios!$A$81:$B$120, 2, FALSE)), "División no coincide con Categoría", ""))), IF(OR(L1315="", L1315=""), "[Aviso] Género no capturado ()", IF(ISNA(MATCH(L1315, Criterios!$B$123:$B$127, 0)), "Género no válido", "")), IF(OR(N1315="", N1315=""), "[Aviso] Temporada no capturada ()", IF(ISNA(MATCH(N1315, Criterios!$C$123:$C$128, 0)), "Temporada no válida", "")), IF(OR(O1315="", O1315=""), "[Aviso] Ciclo de vida no capturado ()", IF(ISNA(MATCH(O1315, Criterios!$D$123:$D$124, 0)), "Ciclo de vida no válido", ""))))</f>
        <v/>
      </c>
      <c r="AC1315" s="56" t="n"/>
      <c r="AD1315" s="51" t="n">
        <v>5</v>
      </c>
      <c r="AE1315" s="156" t="inlineStr">
        <is>
          <t>B25 STETSON.MX (5)</t>
        </is>
      </c>
      <c r="AF1315" s="51" t="n">
        <v>5</v>
      </c>
      <c r="AG1315" s="156" t="inlineStr">
        <is>
          <t>Catálogo existente</t>
        </is>
      </c>
      <c r="AH1315" s="156" t="inlineStr">
        <is>
          <t>Revisión 29/09/2026: Campos sin respaldo: U, X; Auditoría NetSuite 30/09/2026: llenado desde NetSuite [S] | 01/10/2026: complementado desde Shopify Stetson México (match por código de barras): WB Fit, WB Silueta, Enlace de imagen</t>
        </is>
      </c>
      <c r="AI1315" s="156" t="inlineStr">
        <is>
          <t>No</t>
        </is>
      </c>
      <c r="AJ1315" s="156" t="n"/>
      <c r="AK1315" s="155" t="inlineStr">
        <is>
          <t>Criterios: I [Q] | Criterios: J [R]; G1522_Extraccion_Articulos_NetSuite_2026-09-30.xlsx: fila 57671 [S] | Shopify Stetson: producto 14697994748267 / variante 52013907738987</t>
        </is>
      </c>
      <c r="AL1315" s="58" t="n">
        <v>814.6551724</v>
      </c>
      <c r="AM1315" s="58" t="n">
        <v>1810.344828</v>
      </c>
      <c r="AN1315" s="155" t="inlineStr">
        <is>
          <t>Shopify Stetson México</t>
        </is>
      </c>
      <c r="AO1315" s="59" t="n">
        <v>6</v>
      </c>
      <c r="AP1315" s="59" t="n"/>
      <c r="AQ1315" s="59" t="n"/>
      <c r="AR1315" s="155" t="inlineStr">
        <is>
          <t>Shopify Stetson México › Stetson México: 5 | Shopify Stetson México › Stetson Americas: 1</t>
        </is>
      </c>
    </row>
    <row r="1316">
      <c r="A1316" s="50" t="inlineStr">
        <is>
          <t>724303743869</t>
        </is>
      </c>
      <c r="B1316" s="51" t="inlineStr">
        <is>
          <t>109725</t>
        </is>
      </c>
      <c r="C1316" s="156" t="inlineStr">
        <is>
          <t>Multimarca</t>
        </is>
      </c>
      <c r="D1316" s="156" t="inlineStr">
        <is>
          <t>9513000-001-NZ</t>
        </is>
      </c>
      <c r="E1316" s="156" t="inlineStr">
        <is>
          <t>9513000-001-NZ</t>
        </is>
      </c>
      <c r="F1316" s="156" t="inlineStr">
        <is>
          <t>Talla única</t>
        </is>
      </c>
      <c r="G1316" s="156" t="inlineStr">
        <is>
          <t>One Size</t>
        </is>
      </c>
      <c r="H1316" s="156" t="inlineStr">
        <is>
          <t>Stetson</t>
        </is>
      </c>
      <c r="I1316" s="156" t="inlineStr">
        <is>
          <t>Cartera Stetson Tipo Clutch de Gamuza Flecos y Espiral</t>
        </is>
      </c>
      <c r="J1316" s="156" t="inlineStr">
        <is>
          <t>Accesorios</t>
        </is>
      </c>
      <c r="K1316" s="156" t="inlineStr">
        <is>
          <t>Carteras</t>
        </is>
      </c>
      <c r="L1316" s="156" t="inlineStr">
        <is>
          <t>Mujer</t>
        </is>
      </c>
      <c r="M1316" s="156" t="inlineStr">
        <is>
          <t>Stetson</t>
        </is>
      </c>
      <c r="N1316" s="156" t="inlineStr">
        <is>
          <t>SS26</t>
        </is>
      </c>
      <c r="O1316" s="156" t="inlineStr">
        <is>
          <t>Seasonal</t>
        </is>
      </c>
      <c r="P1316" s="156" t="inlineStr">
        <is>
          <t>Negro</t>
        </is>
      </c>
      <c r="Q1316" s="156" t="n"/>
      <c r="R1316" s="156" t="n"/>
      <c r="S1316" s="156" t="inlineStr">
        <is>
          <t>Cuero</t>
        </is>
      </c>
      <c r="T1316" s="156" t="inlineStr">
        <is>
          <t>Elaborado en gamuza suave y flexible, este clutch Stetson destaca por su detalle en espiral artesanal y flecos llamativos que aportan movimiento y estilo. En su interior cuenta con un monedero desplegable de tres cuerpos, con 14 ranuras para tarjet(más...)</t>
        </is>
      </c>
      <c r="U1316" s="156" t="n"/>
      <c r="V1316" s="156" t="inlineStr">
        <is>
          <t>PZS</t>
        </is>
      </c>
      <c r="W1316" s="51" t="inlineStr">
        <is>
          <t>53121700</t>
        </is>
      </c>
      <c r="X1316" s="156" t="inlineStr">
        <is>
          <t>https://cdn.shopify.com/s/files/1/0888/3250/8267/files/9513000-001-NZ-01.jpg?v=1761923835</t>
        </is>
      </c>
      <c r="Y1316" s="54" t="n">
        <v>1241.37931</v>
      </c>
      <c r="Z1316" s="54" t="n">
        <v>2758.62069</v>
      </c>
      <c r="AA1316" s="55">
        <f>IF(AND(A1316="", B1316="", E1316=""), "", IF(AB1316="", "Válido", IF((LEN(AB1316)-LEN(SUBSTITUTE(AB1316,"; ","")))/2+1&gt;(LEN(AB1316)-LEN(SUBSTITUTE(AB1316,"[Aviso]","")))/7, "Con Incidencias", "Válido")))</f>
        <v/>
      </c>
      <c r="AB1316" s="56">
        <f>IF(AND(A1316="", B1316="", E1316=""), "", TEXTJOIN("; ", TRUE, IF(OR(TRIM(A1316&amp;"")="", ISNUMBER(SEARCH("FALTA", A1316))), "UPC faltante/inválido", ""), IF(AND(A1316&lt;&gt;"", IFERROR(_xlfn.XMATCH(A1316,$A$2:$A$2509,0,1)&lt;&gt;_xlfn.XMATCH(A1316,$A$2:$A$2509,0,-1),FALSE)), "Código de barras duplicado", ""), IF(AND(E1316&lt;&gt;"", COUNTIF($E$2:$E$2509, E1316)&gt;1), "SKU duplicado", ""), IF(OR(J1316="", J1316=""), "[Aviso] División no capturada ()", IF(ISNA(MATCH(J1316, Criterios!$A$123:$A$126, 0)), "División no válida", "")), IF(OR(K1316="", K1316=""), "[Aviso] Categoría no capturada ()", IF(ISNA(MATCH(K1316, Criterios!$A$81:$A$120, 0)), "Categoría no válida", IF(AND(J1316&lt;&gt;"", J1316&lt;&gt;"", J1316&lt;&gt;VLOOKUP(K1316, Criterios!$A$81:$B$120, 2, FALSE)), "División no coincide con Categoría", ""))), IF(OR(L1316="", L1316=""), "[Aviso] Género no capturado ()", IF(ISNA(MATCH(L1316, Criterios!$B$123:$B$127, 0)), "Género no válido", "")), IF(OR(N1316="", N1316=""), "[Aviso] Temporada no capturada ()", IF(ISNA(MATCH(N1316, Criterios!$C$123:$C$128, 0)), "Temporada no válida", "")), IF(OR(O1316="", O1316=""), "[Aviso] Ciclo de vida no capturado ()", IF(ISNA(MATCH(O1316, Criterios!$D$123:$D$124, 0)), "Ciclo de vida no válido", ""))))</f>
        <v/>
      </c>
      <c r="AC1316" s="56" t="n"/>
      <c r="AD1316" s="51" t="n">
        <v>5</v>
      </c>
      <c r="AE1316" s="156" t="inlineStr">
        <is>
          <t>WB OUTLET LERMA (3); B25 STETSON.MX (3)</t>
        </is>
      </c>
      <c r="AF1316" s="51" t="n">
        <v>6</v>
      </c>
      <c r="AG1316" s="156" t="inlineStr">
        <is>
          <t>Catálogo existente</t>
        </is>
      </c>
      <c r="AH1316" s="156" t="inlineStr">
        <is>
          <t>Revisión 29/09/2026: Campos sin respaldo: U; Auditoría NetSuite 30/09/2026: llenado desde NetSuite [S] | 01/10/2026: complementado desde Shopify Stetson México (match por código de barras): WB Fit, WB Silueta</t>
        </is>
      </c>
      <c r="AI1316" s="156" t="inlineStr">
        <is>
          <t>Sí</t>
        </is>
      </c>
      <c r="AJ1316" s="156" t="inlineStr">
        <is>
          <t>STETSON AMERICAS (-1)</t>
        </is>
      </c>
      <c r="AK1316" s="155" t="inlineStr">
        <is>
          <t>Criterios: I [Q] | Criterios: J [R]; G1522_Extraccion_Articulos_NetSuite_2026-09-30.xlsx: fila 57540 [S] | Shopify Stetson: producto 14811694694763 / variante 53350602572139 | Shopify WB: producto 10310237716665 / variante 50512089972921</t>
        </is>
      </c>
      <c r="AL1316" s="58" t="n">
        <v>1241.37931</v>
      </c>
      <c r="AM1316" s="58" t="n">
        <v>2758.62069</v>
      </c>
      <c r="AN1316" s="155" t="inlineStr">
        <is>
          <t>Shopify Stetson México | Shopify Western Brothers</t>
        </is>
      </c>
      <c r="AO1316" s="59" t="n">
        <v>13</v>
      </c>
      <c r="AP1316" s="59" t="n">
        <v>3</v>
      </c>
      <c r="AQ1316" s="59" t="n"/>
      <c r="AR1316" s="155" t="inlineStr">
        <is>
          <t>Shopify Stetson México › Stetson México: 3 | Shopify Stetson México › Stetson Americas: 8 | Shopify Stetson México › Eventos: 2 | Shopify Western Brothers › Western Brothers Outlet Lerma: 3</t>
        </is>
      </c>
    </row>
    <row r="1317">
      <c r="A1317" s="50" t="inlineStr">
        <is>
          <t>724303743876</t>
        </is>
      </c>
      <c r="B1317" s="51" t="inlineStr">
        <is>
          <t>109726</t>
        </is>
      </c>
      <c r="C1317" s="156" t="inlineStr">
        <is>
          <t>Multimarca</t>
        </is>
      </c>
      <c r="D1317" s="156" t="inlineStr">
        <is>
          <t>9513000-934-NZ</t>
        </is>
      </c>
      <c r="E1317" s="156" t="inlineStr">
        <is>
          <t>9513000-934-NZ</t>
        </is>
      </c>
      <c r="F1317" s="156" t="inlineStr">
        <is>
          <t>Talla única</t>
        </is>
      </c>
      <c r="G1317" s="156" t="inlineStr">
        <is>
          <t>One Size</t>
        </is>
      </c>
      <c r="H1317" s="156" t="inlineStr">
        <is>
          <t>Stetson</t>
        </is>
      </c>
      <c r="I1317" s="156" t="inlineStr">
        <is>
          <t>Cartera Stetson Tipo Clutch de Gamuza Flecos y Espiral</t>
        </is>
      </c>
      <c r="J1317" s="156" t="inlineStr">
        <is>
          <t>Accesorios</t>
        </is>
      </c>
      <c r="K1317" s="156" t="inlineStr">
        <is>
          <t>Carteras</t>
        </is>
      </c>
      <c r="L1317" s="156" t="inlineStr">
        <is>
          <t>Mujer</t>
        </is>
      </c>
      <c r="M1317" s="156" t="inlineStr">
        <is>
          <t>Stetson</t>
        </is>
      </c>
      <c r="N1317" s="156" t="inlineStr">
        <is>
          <t>SS26</t>
        </is>
      </c>
      <c r="O1317" s="156" t="inlineStr">
        <is>
          <t>Seasonal</t>
        </is>
      </c>
      <c r="P1317" s="156" t="inlineStr">
        <is>
          <t>Beige</t>
        </is>
      </c>
      <c r="Q1317" s="156" t="n"/>
      <c r="R1317" s="156" t="n"/>
      <c r="S1317" s="156" t="inlineStr">
        <is>
          <t>Cuero</t>
        </is>
      </c>
      <c r="T1317" s="156" t="inlineStr">
        <is>
          <t>Elaborado en gamuza suave y flexible, este clutch Stetson destaca por su detalle en espiral artesanal y flecos llamativos que aportan movimiento y estilo. En su interior cuenta con un monedero desplegable de tres cuerpos, con 14 ranuras para tarjet(más...)</t>
        </is>
      </c>
      <c r="U1317" s="156" t="n"/>
      <c r="V1317" s="156" t="inlineStr">
        <is>
          <t>PZS</t>
        </is>
      </c>
      <c r="W1317" s="51" t="inlineStr">
        <is>
          <t>53121700</t>
        </is>
      </c>
      <c r="X1317" s="156" t="inlineStr">
        <is>
          <t>https://cdn.shopify.com/s/files/1/0888/3250/8267/files/9513000-001-NZ-02.jpg?v=1761923835</t>
        </is>
      </c>
      <c r="Y1317" s="54" t="n">
        <v>1241.37931</v>
      </c>
      <c r="Z1317" s="54" t="n">
        <v>2758.62069</v>
      </c>
      <c r="AA1317" s="55">
        <f>IF(AND(A1317="", B1317="", E1317=""), "", IF(AB1317="", "Válido", IF((LEN(AB1317)-LEN(SUBSTITUTE(AB1317,"; ","")))/2+1&gt;(LEN(AB1317)-LEN(SUBSTITUTE(AB1317,"[Aviso]","")))/7, "Con Incidencias", "Válido")))</f>
        <v/>
      </c>
      <c r="AB1317" s="56">
        <f>IF(AND(A1317="", B1317="", E1317=""), "", TEXTJOIN("; ", TRUE, IF(OR(TRIM(A1317&amp;"")="", ISNUMBER(SEARCH("FALTA", A1317))), "UPC faltante/inválido", ""), IF(AND(A1317&lt;&gt;"", IFERROR(_xlfn.XMATCH(A1317,$A$2:$A$2509,0,1)&lt;&gt;_xlfn.XMATCH(A1317,$A$2:$A$2509,0,-1),FALSE)), "Código de barras duplicado", ""), IF(AND(E1317&lt;&gt;"", COUNTIF($E$2:$E$2509, E1317)&gt;1), "SKU duplicado", ""), IF(OR(J1317="", J1317=""), "[Aviso] División no capturada ()", IF(ISNA(MATCH(J1317, Criterios!$A$123:$A$126, 0)), "División no válida", "")), IF(OR(K1317="", K1317=""), "[Aviso] Categoría no capturada ()", IF(ISNA(MATCH(K1317, Criterios!$A$81:$A$120, 0)), "Categoría no válida", IF(AND(J1317&lt;&gt;"", J1317&lt;&gt;"", J1317&lt;&gt;VLOOKUP(K1317, Criterios!$A$81:$B$120, 2, FALSE)), "División no coincide con Categoría", ""))), IF(OR(L1317="", L1317=""), "[Aviso] Género no capturado ()", IF(ISNA(MATCH(L1317, Criterios!$B$123:$B$127, 0)), "Género no válido", "")), IF(OR(N1317="", N1317=""), "[Aviso] Temporada no capturada ()", IF(ISNA(MATCH(N1317, Criterios!$C$123:$C$128, 0)), "Temporada no válida", "")), IF(OR(O1317="", O1317=""), "[Aviso] Ciclo de vida no capturado ()", IF(ISNA(MATCH(O1317, Criterios!$D$123:$D$124, 0)), "Ciclo de vida no válido", ""))))</f>
        <v/>
      </c>
      <c r="AC1317" s="56" t="n"/>
      <c r="AD1317" s="51" t="n">
        <v>2</v>
      </c>
      <c r="AE1317" s="156" t="inlineStr">
        <is>
          <t>WB OUTLET LERMA (4)</t>
        </is>
      </c>
      <c r="AF1317" s="51" t="n">
        <v>4</v>
      </c>
      <c r="AG1317" s="156" t="inlineStr">
        <is>
          <t>Catálogo existente</t>
        </is>
      </c>
      <c r="AH1317" s="156" t="inlineStr">
        <is>
          <t>Revisión 29/09/2026: Campos sin respaldo: U; Auditoría NetSuite 30/09/2026: llenado desde NetSuite [S] | 01/10/2026: complementado desde Shopify Stetson México (match por código de barras): WB Fit, WB Silueta</t>
        </is>
      </c>
      <c r="AI1317" s="156" t="inlineStr">
        <is>
          <t>Sí</t>
        </is>
      </c>
      <c r="AJ1317" s="156" t="inlineStr">
        <is>
          <t>STETSON AMERICAS (-2)</t>
        </is>
      </c>
      <c r="AK1317" s="155" t="inlineStr">
        <is>
          <t>Criterios: I [Q] | Criterios: J [R]; G1522_Extraccion_Articulos_NetSuite_2026-09-30.xlsx: fila 57541 [S] | Shopify Stetson: producto 14811694694763 / variante 53350602604907 | Shopify WB: producto 10310238666937 / variante 50512091513017</t>
        </is>
      </c>
      <c r="AL1317" s="58" t="n">
        <v>1241.37931</v>
      </c>
      <c r="AM1317" s="58" t="n">
        <v>2758.62069</v>
      </c>
      <c r="AN1317" s="155" t="inlineStr">
        <is>
          <t>Shopify Stetson México | Shopify Western Brothers</t>
        </is>
      </c>
      <c r="AO1317" s="59" t="n">
        <v>9</v>
      </c>
      <c r="AP1317" s="59" t="n">
        <v>4</v>
      </c>
      <c r="AQ1317" s="59" t="n"/>
      <c r="AR1317" s="155" t="inlineStr">
        <is>
          <t>Shopify Stetson México › Stetson Americas: 8 | Shopify Stetson México › Eventos: 1 | Shopify Western Brothers › Western Brothers Outlet Lerma: 4</t>
        </is>
      </c>
    </row>
    <row r="1318">
      <c r="A1318" s="50" t="inlineStr">
        <is>
          <t>724303743982</t>
        </is>
      </c>
      <c r="B1318" s="51" t="inlineStr">
        <is>
          <t>109718</t>
        </is>
      </c>
      <c r="C1318" s="156" t="inlineStr">
        <is>
          <t>Multimarca</t>
        </is>
      </c>
      <c r="D1318" s="156" t="inlineStr">
        <is>
          <t>9506000-600-NZ</t>
        </is>
      </c>
      <c r="E1318" s="156" t="inlineStr">
        <is>
          <t>9506000-600-NZ</t>
        </is>
      </c>
      <c r="F1318" s="156" t="inlineStr">
        <is>
          <t>Talla única</t>
        </is>
      </c>
      <c r="G1318" s="156" t="inlineStr">
        <is>
          <t>One Size</t>
        </is>
      </c>
      <c r="H1318" s="156" t="inlineStr">
        <is>
          <t>Stetson</t>
        </is>
      </c>
      <c r="I1318" s="156" t="inlineStr">
        <is>
          <t>Cartera Stetson Tipo Clutch Relieve de Cocodrilo</t>
        </is>
      </c>
      <c r="J1318" s="156" t="inlineStr">
        <is>
          <t>Accesorios</t>
        </is>
      </c>
      <c r="K1318" s="156" t="inlineStr">
        <is>
          <t>Carteras</t>
        </is>
      </c>
      <c r="L1318" s="156" t="inlineStr">
        <is>
          <t>Mujer</t>
        </is>
      </c>
      <c r="M1318" s="156" t="inlineStr">
        <is>
          <t>Stetson</t>
        </is>
      </c>
      <c r="N1318" s="156" t="inlineStr">
        <is>
          <t>SS26</t>
        </is>
      </c>
      <c r="O1318" s="156" t="inlineStr">
        <is>
          <t>Seasonal</t>
        </is>
      </c>
      <c r="P1318" s="156" t="inlineStr">
        <is>
          <t>Rojo</t>
        </is>
      </c>
      <c r="Q1318" s="156" t="n"/>
      <c r="R1318" s="156" t="n"/>
      <c r="S1318" s="156" t="inlineStr">
        <is>
          <t>Piel</t>
        </is>
      </c>
      <c r="T1318" s="156" t="inlineStr">
        <is>
          <t>Fabricada en cuero genuino de primera calidad, esta cartera tipo clutch destaca por su elegante relieve tipo cocodrilo y su hebilla metálica de tres piezas en tono plateado. Incluye 13 ranuras para tarjetas, 3 compartimentos para billetes, ventan(más...)</t>
        </is>
      </c>
      <c r="U1318" s="156" t="n"/>
      <c r="V1318" s="156" t="inlineStr">
        <is>
          <t>PZS</t>
        </is>
      </c>
      <c r="W1318" s="51" t="inlineStr">
        <is>
          <t>53121700</t>
        </is>
      </c>
      <c r="X1318" s="156" t="inlineStr">
        <is>
          <t>https://cdn.shopify.com/s/files/1/0888/3250/8267/files/9506000-600-NZ-01_59b3ae7c-801d-472a-af6d-5495b7ab7d6b.jpg?v=1761845314</t>
        </is>
      </c>
      <c r="Y1318" s="54" t="n">
        <v>2094.827586</v>
      </c>
      <c r="Z1318" s="54" t="n">
        <v>4655.172414</v>
      </c>
      <c r="AA1318" s="55">
        <f>IF(AND(A1318="", B1318="", E1318=""), "", IF(AB1318="", "Válido", IF((LEN(AB1318)-LEN(SUBSTITUTE(AB1318,"; ","")))/2+1&gt;(LEN(AB1318)-LEN(SUBSTITUTE(AB1318,"[Aviso]","")))/7, "Con Incidencias", "Válido")))</f>
        <v/>
      </c>
      <c r="AB1318" s="56">
        <f>IF(AND(A1318="", B1318="", E1318=""), "", TEXTJOIN("; ", TRUE, IF(OR(TRIM(A1318&amp;"")="", ISNUMBER(SEARCH("FALTA", A1318))), "UPC faltante/inválido", ""), IF(AND(A1318&lt;&gt;"", IFERROR(_xlfn.XMATCH(A1318,$A$2:$A$2509,0,1)&lt;&gt;_xlfn.XMATCH(A1318,$A$2:$A$2509,0,-1),FALSE)), "Código de barras duplicado", ""), IF(AND(E1318&lt;&gt;"", COUNTIF($E$2:$E$2509, E1318)&gt;1), "SKU duplicado", ""), IF(OR(J1318="", J1318=""), "[Aviso] División no capturada ()", IF(ISNA(MATCH(J1318, Criterios!$A$123:$A$126, 0)), "División no válida", "")), IF(OR(K1318="", K1318=""), "[Aviso] Categoría no capturada ()", IF(ISNA(MATCH(K1318, Criterios!$A$81:$A$120, 0)), "Categoría no válida", IF(AND(J1318&lt;&gt;"", J1318&lt;&gt;"", J1318&lt;&gt;VLOOKUP(K1318, Criterios!$A$81:$B$120, 2, FALSE)), "División no coincide con Categoría", ""))), IF(OR(L1318="", L1318=""), "[Aviso] Género no capturado ()", IF(ISNA(MATCH(L1318, Criterios!$B$123:$B$127, 0)), "Género no válido", "")), IF(OR(N1318="", N1318=""), "[Aviso] Temporada no capturada ()", IF(ISNA(MATCH(N1318, Criterios!$C$123:$C$128, 0)), "Temporada no válida", "")), IF(OR(O1318="", O1318=""), "[Aviso] Ciclo de vida no capturado ()", IF(ISNA(MATCH(O1318, Criterios!$D$123:$D$124, 0)), "Ciclo de vida no válido", ""))))</f>
        <v/>
      </c>
      <c r="AC1318" s="56" t="n"/>
      <c r="AD1318" s="51" t="n">
        <v>11</v>
      </c>
      <c r="AE1318" s="156" t="inlineStr">
        <is>
          <t>WB OUTLET LERMA (3); B25 STETSON.MX (9)</t>
        </is>
      </c>
      <c r="AF1318" s="51" t="n">
        <v>12</v>
      </c>
      <c r="AG1318" s="156" t="inlineStr">
        <is>
          <t>Catálogo existente</t>
        </is>
      </c>
      <c r="AH1318" s="156" t="inlineStr">
        <is>
          <t>Revisión 29/09/2026: Campos sin respaldo: U; Auditoría NetSuite 30/09/2026: llenado desde NetSuite [S] | 01/10/2026: complementado desde Shopify Stetson México (match por código de barras): WB Fit, WB Silueta</t>
        </is>
      </c>
      <c r="AI1318" s="156" t="inlineStr">
        <is>
          <t>Sí</t>
        </is>
      </c>
      <c r="AJ1318" s="156" t="inlineStr">
        <is>
          <t>STETSON AMERICAS (-1)</t>
        </is>
      </c>
      <c r="AK1318" s="155" t="inlineStr">
        <is>
          <t>Criterios: I [Q] | Criterios: J [R]; G1522_Extraccion_Articulos_NetSuite_2026-09-30.xlsx: fila 57533 [S] | Shopify Stetson: producto 14810783056235 / variante 52515485516139 | Shopify WB: producto 10310237749433 / variante 50512090005689</t>
        </is>
      </c>
      <c r="AL1318" s="58" t="n">
        <v>2094.827586</v>
      </c>
      <c r="AM1318" s="58" t="n">
        <v>4655.172414</v>
      </c>
      <c r="AN1318" s="155" t="inlineStr">
        <is>
          <t>Shopify Stetson México | Shopify Western Brothers</t>
        </is>
      </c>
      <c r="AO1318" s="59" t="n">
        <v>15</v>
      </c>
      <c r="AP1318" s="59" t="n">
        <v>3</v>
      </c>
      <c r="AQ1318" s="59" t="n"/>
      <c r="AR1318" s="155" t="inlineStr">
        <is>
          <t>Shopify Stetson México › Stetson México: 9 | Shopify Stetson México › Stetson Americas: 4 | Shopify Stetson México › Eventos: 2 | Shopify Western Brothers › Western Brothers Outlet Lerma: 3</t>
        </is>
      </c>
    </row>
    <row r="1319">
      <c r="A1319" s="50" t="inlineStr">
        <is>
          <t>724303743999</t>
        </is>
      </c>
      <c r="B1319" s="51" t="inlineStr">
        <is>
          <t>109717</t>
        </is>
      </c>
      <c r="C1319" s="156" t="inlineStr">
        <is>
          <t>Multimarca</t>
        </is>
      </c>
      <c r="D1319" s="156" t="inlineStr">
        <is>
          <t>9502000-600-NZ</t>
        </is>
      </c>
      <c r="E1319" s="156" t="inlineStr">
        <is>
          <t>9502000-600-NZ</t>
        </is>
      </c>
      <c r="F1319" s="156" t="inlineStr">
        <is>
          <t>Talla única</t>
        </is>
      </c>
      <c r="G1319" s="156" t="inlineStr">
        <is>
          <t>One Size</t>
        </is>
      </c>
      <c r="H1319" s="156" t="inlineStr">
        <is>
          <t>Stetson</t>
        </is>
      </c>
      <c r="I1319" s="156" t="inlineStr">
        <is>
          <t>Cartera Stetson roja con relieve tipo cocodrilo</t>
        </is>
      </c>
      <c r="J1319" s="156" t="inlineStr">
        <is>
          <t>Accesorios</t>
        </is>
      </c>
      <c r="K1319" s="156" t="inlineStr">
        <is>
          <t>Carteras</t>
        </is>
      </c>
      <c r="L1319" s="156" t="inlineStr">
        <is>
          <t>Mujer</t>
        </is>
      </c>
      <c r="M1319" s="156" t="inlineStr">
        <is>
          <t>Stetson</t>
        </is>
      </c>
      <c r="N1319" s="156" t="inlineStr">
        <is>
          <t>SS26</t>
        </is>
      </c>
      <c r="O1319" s="156" t="inlineStr">
        <is>
          <t>Seasonal</t>
        </is>
      </c>
      <c r="P1319" s="156" t="inlineStr">
        <is>
          <t>Rojo</t>
        </is>
      </c>
      <c r="Q1319" s="156" t="n"/>
      <c r="R1319" s="156" t="n"/>
      <c r="S1319" s="156" t="inlineStr">
        <is>
          <t>Piel</t>
        </is>
      </c>
      <c r="T1319" s="156" t="inlineStr">
        <is>
          <t>Fabricada en cuero genuino de primera calidad, esta cartera con cierre completo combina un grabado artesanal con un elegante relieve tipo cocodrilo en contraste. Presenta un diseño distintivo con concho metálico Stetson, 13 ranuras para tarjetas,(más...)</t>
        </is>
      </c>
      <c r="U1319" s="156" t="n"/>
      <c r="V1319" s="156" t="inlineStr">
        <is>
          <t>PZS</t>
        </is>
      </c>
      <c r="W1319" s="51" t="inlineStr">
        <is>
          <t>53121700</t>
        </is>
      </c>
      <c r="X1319" s="156" t="inlineStr">
        <is>
          <t>https://cdn.shopify.com/s/files/1/0888/3250/8267/files/9502000-600-NZ-01.jpg?v=1761844444</t>
        </is>
      </c>
      <c r="Y1319" s="54" t="n">
        <v>1551.724138</v>
      </c>
      <c r="Z1319" s="54" t="n">
        <v>3448.275862</v>
      </c>
      <c r="AA1319" s="55">
        <f>IF(AND(A1319="", B1319="", E1319=""), "", IF(AB1319="", "Válido", IF((LEN(AB1319)-LEN(SUBSTITUTE(AB1319,"; ","")))/2+1&gt;(LEN(AB1319)-LEN(SUBSTITUTE(AB1319,"[Aviso]","")))/7, "Con Incidencias", "Válido")))</f>
        <v/>
      </c>
      <c r="AB1319" s="56">
        <f>IF(AND(A1319="", B1319="", E1319=""), "", TEXTJOIN("; ", TRUE, IF(OR(TRIM(A1319&amp;"")="", ISNUMBER(SEARCH("FALTA", A1319))), "UPC faltante/inválido", ""), IF(AND(A1319&lt;&gt;"", IFERROR(_xlfn.XMATCH(A1319,$A$2:$A$2509,0,1)&lt;&gt;_xlfn.XMATCH(A1319,$A$2:$A$2509,0,-1),FALSE)), "Código de barras duplicado", ""), IF(AND(E1319&lt;&gt;"", COUNTIF($E$2:$E$2509, E1319)&gt;1), "SKU duplicado", ""), IF(OR(J1319="", J1319=""), "[Aviso] División no capturada ()", IF(ISNA(MATCH(J1319, Criterios!$A$123:$A$126, 0)), "División no válida", "")), IF(OR(K1319="", K1319=""), "[Aviso] Categoría no capturada ()", IF(ISNA(MATCH(K1319, Criterios!$A$81:$A$120, 0)), "Categoría no válida", IF(AND(J1319&lt;&gt;"", J1319&lt;&gt;"", J1319&lt;&gt;VLOOKUP(K1319, Criterios!$A$81:$B$120, 2, FALSE)), "División no coincide con Categoría", ""))), IF(OR(L1319="", L1319=""), "[Aviso] Género no capturado ()", IF(ISNA(MATCH(L1319, Criterios!$B$123:$B$127, 0)), "Género no válido", "")), IF(OR(N1319="", N1319=""), "[Aviso] Temporada no capturada ()", IF(ISNA(MATCH(N1319, Criterios!$C$123:$C$128, 0)), "Temporada no válida", "")), IF(OR(O1319="", O1319=""), "[Aviso] Ciclo de vida no capturado ()", IF(ISNA(MATCH(O1319, Criterios!$D$123:$D$124, 0)), "Ciclo de vida no válido", ""))))</f>
        <v/>
      </c>
      <c r="AC1319" s="56" t="n"/>
      <c r="AD1319" s="51" t="n">
        <v>12</v>
      </c>
      <c r="AE1319" s="156" t="inlineStr">
        <is>
          <t>WB OUTLET LERMA (3); B25 STETSON.MX (9)</t>
        </is>
      </c>
      <c r="AF1319" s="51" t="n">
        <v>12</v>
      </c>
      <c r="AG1319" s="156" t="inlineStr">
        <is>
          <t>Catálogo existente</t>
        </is>
      </c>
      <c r="AH1319" s="156" t="inlineStr">
        <is>
          <t>Revisión 29/09/2026: Campos sin respaldo: U; Auditoría NetSuite 30/09/2026: llenado desde NetSuite [S] | 01/10/2026: complementado desde Shopify Stetson México (match por código de barras): WB Fit, WB Silueta</t>
        </is>
      </c>
      <c r="AI1319" s="156" t="inlineStr">
        <is>
          <t>No</t>
        </is>
      </c>
      <c r="AJ1319" s="156" t="n"/>
      <c r="AK1319" s="155" t="inlineStr">
        <is>
          <t>Criterios: I [Q] | Criterios: J [R]; G1522_Extraccion_Articulos_NetSuite_2026-09-30.xlsx: fila 57532 [S] | Shopify Stetson: producto 14810782073195 / variante 52515472114027 | Shopify WB: producto 10310237782201 / variante 50512090038457</t>
        </is>
      </c>
      <c r="AL1319" s="58" t="n">
        <v>1551.724138</v>
      </c>
      <c r="AM1319" s="58" t="n">
        <v>3448.275862</v>
      </c>
      <c r="AN1319" s="155" t="inlineStr">
        <is>
          <t>Shopify Stetson México | Shopify Western Brothers</t>
        </is>
      </c>
      <c r="AO1319" s="59" t="n">
        <v>16</v>
      </c>
      <c r="AP1319" s="59" t="n">
        <v>3</v>
      </c>
      <c r="AQ1319" s="59" t="n"/>
      <c r="AR1319" s="155" t="inlineStr">
        <is>
          <t>Shopify Stetson México › Stetson México: 9 | Shopify Stetson México › Stetson Americas: 5 | Shopify Stetson México › Eventos: 2 | Shopify Western Brothers › Western Brothers Outlet Lerma: 3</t>
        </is>
      </c>
    </row>
    <row r="1320">
      <c r="A1320" s="50" t="inlineStr">
        <is>
          <t>724303747867</t>
        </is>
      </c>
      <c r="B1320" s="51" t="inlineStr">
        <is>
          <t>109857</t>
        </is>
      </c>
      <c r="C1320" s="156" t="inlineStr">
        <is>
          <t>Multimarca</t>
        </is>
      </c>
      <c r="D1320" s="156" t="inlineStr">
        <is>
          <t>9927500-001</t>
        </is>
      </c>
      <c r="E1320" s="156" t="inlineStr">
        <is>
          <t>9927500-001-36</t>
        </is>
      </c>
      <c r="F1320" s="156" t="inlineStr">
        <is>
          <t>36</t>
        </is>
      </c>
      <c r="G1320" s="156" t="inlineStr">
        <is>
          <t>36</t>
        </is>
      </c>
      <c r="H1320" s="156" t="inlineStr">
        <is>
          <t>Stetson</t>
        </is>
      </c>
      <c r="I1320" s="156" t="inlineStr">
        <is>
          <t>Cinturón Stetson Caballero Negro</t>
        </is>
      </c>
      <c r="J1320" s="156" t="inlineStr">
        <is>
          <t>Accesorios</t>
        </is>
      </c>
      <c r="K1320" s="156" t="inlineStr">
        <is>
          <t>Cinturones</t>
        </is>
      </c>
      <c r="L1320" s="156" t="inlineStr">
        <is>
          <t>Hombre</t>
        </is>
      </c>
      <c r="M1320" s="156" t="inlineStr">
        <is>
          <t>Stetson</t>
        </is>
      </c>
      <c r="N1320" s="156" t="inlineStr">
        <is>
          <t>SS26</t>
        </is>
      </c>
      <c r="O1320" s="156" t="inlineStr">
        <is>
          <t>Seasonal</t>
        </is>
      </c>
      <c r="P1320" s="156" t="inlineStr">
        <is>
          <t>Negro</t>
        </is>
      </c>
      <c r="Q1320" s="156" t="n"/>
      <c r="R1320" s="156" t="n"/>
      <c r="S1320" s="156" t="n"/>
      <c r="T1320" s="156" t="inlineStr">
        <is>
          <t>Cinturón Stetson Caballero Negro. Color: Negro.</t>
        </is>
      </c>
      <c r="U1320" s="156" t="n"/>
      <c r="V1320" s="156" t="inlineStr">
        <is>
          <t>PZS</t>
        </is>
      </c>
      <c r="W1320" s="51" t="inlineStr">
        <is>
          <t>53102501</t>
        </is>
      </c>
      <c r="X1320" s="156" t="n"/>
      <c r="Y1320" s="54" t="n">
        <v>969.8275862</v>
      </c>
      <c r="Z1320" s="54" t="n">
        <v>2155.172414</v>
      </c>
      <c r="AA1320" s="55">
        <f>IF(AND(A1320="", B1320="", E1320=""), "", IF(AB1320="", "Válido", IF((LEN(AB1320)-LEN(SUBSTITUTE(AB1320,"; ","")))/2+1&gt;(LEN(AB1320)-LEN(SUBSTITUTE(AB1320,"[Aviso]","")))/7, "Con Incidencias", "Válido")))</f>
        <v/>
      </c>
      <c r="AB1320" s="56">
        <f>IF(AND(A1320="", B1320="", E1320=""), "", TEXTJOIN("; ", TRUE, IF(OR(TRIM(A1320&amp;"")="", ISNUMBER(SEARCH("FALTA", A1320))), "UPC faltante/inválido", ""), IF(AND(A1320&lt;&gt;"", IFERROR(_xlfn.XMATCH(A1320,$A$2:$A$2509,0,1)&lt;&gt;_xlfn.XMATCH(A1320,$A$2:$A$2509,0,-1),FALSE)), "Código de barras duplicado", ""), IF(AND(E1320&lt;&gt;"", COUNTIF($E$2:$E$2509, E1320)&gt;1), "SKU duplicado", ""), IF(OR(J1320="", J1320=""), "[Aviso] División no capturada ()", IF(ISNA(MATCH(J1320, Criterios!$A$123:$A$126, 0)), "División no válida", "")), IF(OR(K1320="", K1320=""), "[Aviso] Categoría no capturada ()", IF(ISNA(MATCH(K1320, Criterios!$A$81:$A$120, 0)), "Categoría no válida", IF(AND(J1320&lt;&gt;"", J1320&lt;&gt;"", J1320&lt;&gt;VLOOKUP(K1320, Criterios!$A$81:$B$120, 2, FALSE)), "División no coincide con Categoría", ""))), IF(OR(L1320="", L1320=""), "[Aviso] Género no capturado ()", IF(ISNA(MATCH(L1320, Criterios!$B$123:$B$127, 0)), "Género no válido", "")), IF(OR(N1320="", N1320=""), "[Aviso] Temporada no capturada ()", IF(ISNA(MATCH(N1320, Criterios!$C$123:$C$128, 0)), "Temporada no válida", "")), IF(OR(O1320="", O1320=""), "[Aviso] Ciclo de vida no capturado ()", IF(ISNA(MATCH(O1320, Criterios!$D$123:$D$124, 0)), "Ciclo de vida no válido", ""))))</f>
        <v/>
      </c>
      <c r="AC1320" s="56" t="n"/>
      <c r="AD1320" s="51" t="n">
        <v>4</v>
      </c>
      <c r="AE1320" s="156" t="inlineStr">
        <is>
          <t>B25 STETSON.MX (4)</t>
        </is>
      </c>
      <c r="AF1320" s="51" t="n">
        <v>4</v>
      </c>
      <c r="AG1320" s="156" t="inlineStr">
        <is>
          <t>Catálogo existente</t>
        </is>
      </c>
      <c r="AH1320" s="156" t="inlineStr">
        <is>
          <t>Revisión 29/09/2026: Campos sin respaldo: S, U, X | 01/10/2026: complementado desde Shopify Stetson México (match por código de barras): WB Fit, WB Silueta, WB Descripción larga</t>
        </is>
      </c>
      <c r="AI1320" s="156" t="inlineStr">
        <is>
          <t>No</t>
        </is>
      </c>
      <c r="AJ1320" s="156" t="n"/>
      <c r="AK1320" s="155" t="inlineStr">
        <is>
          <t>Criterios: I [Q] | Criterios: J [R] | Shopify Stetson: producto 15056328819051 / variante 53357911376235</t>
        </is>
      </c>
      <c r="AL1320" s="58" t="n">
        <v>969.8275862</v>
      </c>
      <c r="AM1320" s="58" t="n">
        <v>2155.172414</v>
      </c>
      <c r="AN1320" s="155" t="inlineStr">
        <is>
          <t>Shopify Stetson México</t>
        </is>
      </c>
      <c r="AO1320" s="59" t="n">
        <v>6</v>
      </c>
      <c r="AP1320" s="59" t="n"/>
      <c r="AQ1320" s="59" t="n"/>
      <c r="AR1320" s="155" t="inlineStr">
        <is>
          <t>Shopify Stetson México › Stetson México: 4 | Shopify Stetson México › Stetson Americas: 2</t>
        </is>
      </c>
    </row>
    <row r="1321">
      <c r="A1321" s="50" t="inlineStr">
        <is>
          <t>724303747874</t>
        </is>
      </c>
      <c r="B1321" s="51" t="inlineStr">
        <is>
          <t>109858</t>
        </is>
      </c>
      <c r="C1321" s="156" t="inlineStr">
        <is>
          <t>Multimarca</t>
        </is>
      </c>
      <c r="D1321" s="156" t="inlineStr">
        <is>
          <t>9927500-001</t>
        </is>
      </c>
      <c r="E1321" s="156" t="inlineStr">
        <is>
          <t>9927500-001-38</t>
        </is>
      </c>
      <c r="F1321" s="156" t="inlineStr">
        <is>
          <t>38</t>
        </is>
      </c>
      <c r="G1321" s="156" t="inlineStr">
        <is>
          <t>38</t>
        </is>
      </c>
      <c r="H1321" s="156" t="inlineStr">
        <is>
          <t>Stetson</t>
        </is>
      </c>
      <c r="I1321" s="156" t="inlineStr">
        <is>
          <t>Cinturón Stetson Caballero Negro</t>
        </is>
      </c>
      <c r="J1321" s="156" t="inlineStr">
        <is>
          <t>Accesorios</t>
        </is>
      </c>
      <c r="K1321" s="156" t="inlineStr">
        <is>
          <t>Cinturones</t>
        </is>
      </c>
      <c r="L1321" s="156" t="inlineStr">
        <is>
          <t>Hombre</t>
        </is>
      </c>
      <c r="M1321" s="156" t="inlineStr">
        <is>
          <t>Stetson</t>
        </is>
      </c>
      <c r="N1321" s="156" t="inlineStr">
        <is>
          <t>SS26</t>
        </is>
      </c>
      <c r="O1321" s="156" t="inlineStr">
        <is>
          <t>Seasonal</t>
        </is>
      </c>
      <c r="P1321" s="156" t="inlineStr">
        <is>
          <t>Negro</t>
        </is>
      </c>
      <c r="Q1321" s="156" t="n"/>
      <c r="R1321" s="156" t="n"/>
      <c r="S1321" s="156" t="n"/>
      <c r="T1321" s="156" t="inlineStr">
        <is>
          <t>Cinturón Stetson Caballero Negro. Color: Negro.</t>
        </is>
      </c>
      <c r="U1321" s="156" t="n"/>
      <c r="V1321" s="156" t="inlineStr">
        <is>
          <t>PZS</t>
        </is>
      </c>
      <c r="W1321" s="51" t="inlineStr">
        <is>
          <t>53102501</t>
        </is>
      </c>
      <c r="X1321" s="156" t="n"/>
      <c r="Y1321" s="54" t="n">
        <v>969.8275862</v>
      </c>
      <c r="Z1321" s="54" t="n">
        <v>2155.172414</v>
      </c>
      <c r="AA1321" s="55">
        <f>IF(AND(A1321="", B1321="", E1321=""), "", IF(AB1321="", "Válido", IF((LEN(AB1321)-LEN(SUBSTITUTE(AB1321,"; ","")))/2+1&gt;(LEN(AB1321)-LEN(SUBSTITUTE(AB1321,"[Aviso]","")))/7, "Con Incidencias", "Válido")))</f>
        <v/>
      </c>
      <c r="AB1321" s="56">
        <f>IF(AND(A1321="", B1321="", E1321=""), "", TEXTJOIN("; ", TRUE, IF(OR(TRIM(A1321&amp;"")="", ISNUMBER(SEARCH("FALTA", A1321))), "UPC faltante/inválido", ""), IF(AND(A1321&lt;&gt;"", IFERROR(_xlfn.XMATCH(A1321,$A$2:$A$2509,0,1)&lt;&gt;_xlfn.XMATCH(A1321,$A$2:$A$2509,0,-1),FALSE)), "Código de barras duplicado", ""), IF(AND(E1321&lt;&gt;"", COUNTIF($E$2:$E$2509, E1321)&gt;1), "SKU duplicado", ""), IF(OR(J1321="", J1321=""), "[Aviso] División no capturada ()", IF(ISNA(MATCH(J1321, Criterios!$A$123:$A$126, 0)), "División no válida", "")), IF(OR(K1321="", K1321=""), "[Aviso] Categoría no capturada ()", IF(ISNA(MATCH(K1321, Criterios!$A$81:$A$120, 0)), "Categoría no válida", IF(AND(J1321&lt;&gt;"", J1321&lt;&gt;"", J1321&lt;&gt;VLOOKUP(K1321, Criterios!$A$81:$B$120, 2, FALSE)), "División no coincide con Categoría", ""))), IF(OR(L1321="", L1321=""), "[Aviso] Género no capturado ()", IF(ISNA(MATCH(L1321, Criterios!$B$123:$B$127, 0)), "Género no válido", "")), IF(OR(N1321="", N1321=""), "[Aviso] Temporada no capturada ()", IF(ISNA(MATCH(N1321, Criterios!$C$123:$C$128, 0)), "Temporada no válida", "")), IF(OR(O1321="", O1321=""), "[Aviso] Ciclo de vida no capturado ()", IF(ISNA(MATCH(O1321, Criterios!$D$123:$D$124, 0)), "Ciclo de vida no válido", ""))))</f>
        <v/>
      </c>
      <c r="AC1321" s="56" t="n"/>
      <c r="AD1321" s="51" t="n">
        <v>11</v>
      </c>
      <c r="AE1321" s="156" t="inlineStr">
        <is>
          <t>B25 STETSON.MX (12)</t>
        </is>
      </c>
      <c r="AF1321" s="51" t="n">
        <v>12</v>
      </c>
      <c r="AG1321" s="156" t="inlineStr">
        <is>
          <t>Catálogo existente</t>
        </is>
      </c>
      <c r="AH1321" s="156" t="inlineStr">
        <is>
          <t>Revisión 29/09/2026: Campos sin respaldo: S, U, X | 01/10/2026: complementado desde Shopify Stetson México (match por código de barras): WB Fit, WB Silueta, WB Descripción larga</t>
        </is>
      </c>
      <c r="AI1321" s="156" t="inlineStr">
        <is>
          <t>Sí</t>
        </is>
      </c>
      <c r="AJ1321" s="156" t="inlineStr">
        <is>
          <t>STETSON AMERICAS (-1)</t>
        </is>
      </c>
      <c r="AK1321" s="155" t="inlineStr">
        <is>
          <t>Criterios: I [Q] | Criterios: J [R] | Shopify Stetson: producto 15056328819051 / variante 53357911409003</t>
        </is>
      </c>
      <c r="AL1321" s="58" t="n">
        <v>969.8275862</v>
      </c>
      <c r="AM1321" s="58" t="n">
        <v>2155.172414</v>
      </c>
      <c r="AN1321" s="155" t="inlineStr">
        <is>
          <t>Shopify Stetson México</t>
        </is>
      </c>
      <c r="AO1321" s="59" t="n">
        <v>14</v>
      </c>
      <c r="AP1321" s="59" t="n"/>
      <c r="AQ1321" s="59" t="n"/>
      <c r="AR1321" s="155" t="inlineStr">
        <is>
          <t>Shopify Stetson México › Stetson México: 12 | Shopify Stetson México › Stetson Americas: 2</t>
        </is>
      </c>
    </row>
    <row r="1322">
      <c r="A1322" s="50" t="inlineStr">
        <is>
          <t>724303747881</t>
        </is>
      </c>
      <c r="B1322" s="51" t="inlineStr">
        <is>
          <t>109859</t>
        </is>
      </c>
      <c r="C1322" s="156" t="inlineStr">
        <is>
          <t>Multimarca</t>
        </is>
      </c>
      <c r="D1322" s="156" t="inlineStr">
        <is>
          <t>9927500-001</t>
        </is>
      </c>
      <c r="E1322" s="156" t="inlineStr">
        <is>
          <t>9927500-001-40</t>
        </is>
      </c>
      <c r="F1322" s="156" t="inlineStr">
        <is>
          <t>40</t>
        </is>
      </c>
      <c r="G1322" s="156" t="inlineStr">
        <is>
          <t>40</t>
        </is>
      </c>
      <c r="H1322" s="156" t="inlineStr">
        <is>
          <t>Stetson</t>
        </is>
      </c>
      <c r="I1322" s="156" t="inlineStr">
        <is>
          <t>Cinturón Stetson Caballero Negro</t>
        </is>
      </c>
      <c r="J1322" s="156" t="inlineStr">
        <is>
          <t>Accesorios</t>
        </is>
      </c>
      <c r="K1322" s="156" t="inlineStr">
        <is>
          <t>Cinturones</t>
        </is>
      </c>
      <c r="L1322" s="156" t="inlineStr">
        <is>
          <t>Hombre</t>
        </is>
      </c>
      <c r="M1322" s="156" t="inlineStr">
        <is>
          <t>Stetson</t>
        </is>
      </c>
      <c r="N1322" s="156" t="inlineStr">
        <is>
          <t>SS26</t>
        </is>
      </c>
      <c r="O1322" s="156" t="inlineStr">
        <is>
          <t>Seasonal</t>
        </is>
      </c>
      <c r="P1322" s="156" t="inlineStr">
        <is>
          <t>Negro</t>
        </is>
      </c>
      <c r="Q1322" s="156" t="n"/>
      <c r="R1322" s="156" t="n"/>
      <c r="S1322" s="156" t="n"/>
      <c r="T1322" s="156" t="inlineStr">
        <is>
          <t>Cinturón Stetson Caballero Negro. Color: Negro.</t>
        </is>
      </c>
      <c r="U1322" s="156" t="n"/>
      <c r="V1322" s="156" t="inlineStr">
        <is>
          <t>PZS</t>
        </is>
      </c>
      <c r="W1322" s="51" t="inlineStr">
        <is>
          <t>53102501</t>
        </is>
      </c>
      <c r="X1322" s="156" t="n"/>
      <c r="Y1322" s="54" t="n">
        <v>969.8275862</v>
      </c>
      <c r="Z1322" s="54" t="n">
        <v>2155.172414</v>
      </c>
      <c r="AA1322" s="55">
        <f>IF(AND(A1322="", B1322="", E1322=""), "", IF(AB1322="", "Válido", IF((LEN(AB1322)-LEN(SUBSTITUTE(AB1322,"; ","")))/2+1&gt;(LEN(AB1322)-LEN(SUBSTITUTE(AB1322,"[Aviso]","")))/7, "Con Incidencias", "Válido")))</f>
        <v/>
      </c>
      <c r="AB1322" s="56">
        <f>IF(AND(A1322="", B1322="", E1322=""), "", TEXTJOIN("; ", TRUE, IF(OR(TRIM(A1322&amp;"")="", ISNUMBER(SEARCH("FALTA", A1322))), "UPC faltante/inválido", ""), IF(AND(A1322&lt;&gt;"", IFERROR(_xlfn.XMATCH(A1322,$A$2:$A$2509,0,1)&lt;&gt;_xlfn.XMATCH(A1322,$A$2:$A$2509,0,-1),FALSE)), "Código de barras duplicado", ""), IF(AND(E1322&lt;&gt;"", COUNTIF($E$2:$E$2509, E1322)&gt;1), "SKU duplicado", ""), IF(OR(J1322="", J1322=""), "[Aviso] División no capturada ()", IF(ISNA(MATCH(J1322, Criterios!$A$123:$A$126, 0)), "División no válida", "")), IF(OR(K1322="", K1322=""), "[Aviso] Categoría no capturada ()", IF(ISNA(MATCH(K1322, Criterios!$A$81:$A$120, 0)), "Categoría no válida", IF(AND(J1322&lt;&gt;"", J1322&lt;&gt;"", J1322&lt;&gt;VLOOKUP(K1322, Criterios!$A$81:$B$120, 2, FALSE)), "División no coincide con Categoría", ""))), IF(OR(L1322="", L1322=""), "[Aviso] Género no capturado ()", IF(ISNA(MATCH(L1322, Criterios!$B$123:$B$127, 0)), "Género no válido", "")), IF(OR(N1322="", N1322=""), "[Aviso] Temporada no capturada ()", IF(ISNA(MATCH(N1322, Criterios!$C$123:$C$128, 0)), "Temporada no válida", "")), IF(OR(O1322="", O1322=""), "[Aviso] Ciclo de vida no capturado ()", IF(ISNA(MATCH(O1322, Criterios!$D$123:$D$124, 0)), "Ciclo de vida no válido", ""))))</f>
        <v/>
      </c>
      <c r="AC1322" s="56" t="n"/>
      <c r="AD1322" s="51" t="n">
        <v>10</v>
      </c>
      <c r="AE1322" s="156" t="inlineStr">
        <is>
          <t>B25 STETSON.MX (11)</t>
        </is>
      </c>
      <c r="AF1322" s="51" t="n">
        <v>11</v>
      </c>
      <c r="AG1322" s="156" t="inlineStr">
        <is>
          <t>Catálogo existente</t>
        </is>
      </c>
      <c r="AH1322" s="156" t="inlineStr">
        <is>
          <t>Revisión 29/09/2026: Campos sin respaldo: S, U, X | 01/10/2026: complementado desde Shopify Stetson México (match por código de barras): WB Fit, WB Silueta, WB Descripción larga</t>
        </is>
      </c>
      <c r="AI1322" s="156" t="inlineStr">
        <is>
          <t>Sí</t>
        </is>
      </c>
      <c r="AJ1322" s="156" t="inlineStr">
        <is>
          <t>STETSON AMERICAS (-1)</t>
        </is>
      </c>
      <c r="AK1322" s="155" t="inlineStr">
        <is>
          <t>Criterios: I [Q] | Criterios: J [R] | Shopify Stetson: producto 15056328819051 / variante 53357911441771</t>
        </is>
      </c>
      <c r="AL1322" s="58" t="n">
        <v>969.8275862</v>
      </c>
      <c r="AM1322" s="58" t="n">
        <v>2155.172414</v>
      </c>
      <c r="AN1322" s="155" t="inlineStr">
        <is>
          <t>Shopify Stetson México</t>
        </is>
      </c>
      <c r="AO1322" s="59" t="n">
        <v>13</v>
      </c>
      <c r="AP1322" s="59" t="n"/>
      <c r="AQ1322" s="59" t="n"/>
      <c r="AR1322" s="155" t="inlineStr">
        <is>
          <t>Shopify Stetson México › Stetson México: 11 | Shopify Stetson México › Stetson Americas: 2</t>
        </is>
      </c>
    </row>
    <row r="1323">
      <c r="A1323" s="50" t="inlineStr">
        <is>
          <t>724303747898</t>
        </is>
      </c>
      <c r="B1323" s="51" t="inlineStr">
        <is>
          <t>109860</t>
        </is>
      </c>
      <c r="C1323" s="156" t="inlineStr">
        <is>
          <t>Multimarca</t>
        </is>
      </c>
      <c r="D1323" s="156" t="inlineStr">
        <is>
          <t>9927500-001</t>
        </is>
      </c>
      <c r="E1323" s="156" t="inlineStr">
        <is>
          <t>9927500-001-42</t>
        </is>
      </c>
      <c r="F1323" s="156" t="inlineStr">
        <is>
          <t>42</t>
        </is>
      </c>
      <c r="G1323" s="156" t="inlineStr">
        <is>
          <t>42</t>
        </is>
      </c>
      <c r="H1323" s="156" t="inlineStr">
        <is>
          <t>Stetson</t>
        </is>
      </c>
      <c r="I1323" s="156" t="inlineStr">
        <is>
          <t>Cinturón Stetson Caballero Negro</t>
        </is>
      </c>
      <c r="J1323" s="156" t="inlineStr">
        <is>
          <t>Accesorios</t>
        </is>
      </c>
      <c r="K1323" s="156" t="inlineStr">
        <is>
          <t>Cinturones</t>
        </is>
      </c>
      <c r="L1323" s="156" t="inlineStr">
        <is>
          <t>Hombre</t>
        </is>
      </c>
      <c r="M1323" s="156" t="inlineStr">
        <is>
          <t>Stetson</t>
        </is>
      </c>
      <c r="N1323" s="156" t="inlineStr">
        <is>
          <t>SS26</t>
        </is>
      </c>
      <c r="O1323" s="156" t="inlineStr">
        <is>
          <t>Seasonal</t>
        </is>
      </c>
      <c r="P1323" s="156" t="inlineStr">
        <is>
          <t>Negro</t>
        </is>
      </c>
      <c r="Q1323" s="156" t="n"/>
      <c r="R1323" s="156" t="n"/>
      <c r="S1323" s="156" t="n"/>
      <c r="T1323" s="156" t="inlineStr">
        <is>
          <t>Cinturón Stetson Caballero Negro. Color: Negro.</t>
        </is>
      </c>
      <c r="U1323" s="156" t="n"/>
      <c r="V1323" s="156" t="inlineStr">
        <is>
          <t>PZS</t>
        </is>
      </c>
      <c r="W1323" s="51" t="inlineStr">
        <is>
          <t>53102501</t>
        </is>
      </c>
      <c r="X1323" s="156" t="n"/>
      <c r="Y1323" s="54" t="n">
        <v>969.8275862</v>
      </c>
      <c r="Z1323" s="54" t="n">
        <v>2155.172414</v>
      </c>
      <c r="AA1323" s="55">
        <f>IF(AND(A1323="", B1323="", E1323=""), "", IF(AB1323="", "Válido", IF((LEN(AB1323)-LEN(SUBSTITUTE(AB1323,"; ","")))/2+1&gt;(LEN(AB1323)-LEN(SUBSTITUTE(AB1323,"[Aviso]","")))/7, "Con Incidencias", "Válido")))</f>
        <v/>
      </c>
      <c r="AB1323" s="56">
        <f>IF(AND(A1323="", B1323="", E1323=""), "", TEXTJOIN("; ", TRUE, IF(OR(TRIM(A1323&amp;"")="", ISNUMBER(SEARCH("FALTA", A1323))), "UPC faltante/inválido", ""), IF(AND(A1323&lt;&gt;"", IFERROR(_xlfn.XMATCH(A1323,$A$2:$A$2509,0,1)&lt;&gt;_xlfn.XMATCH(A1323,$A$2:$A$2509,0,-1),FALSE)), "Código de barras duplicado", ""), IF(AND(E1323&lt;&gt;"", COUNTIF($E$2:$E$2509, E1323)&gt;1), "SKU duplicado", ""), IF(OR(J1323="", J1323=""), "[Aviso] División no capturada ()", IF(ISNA(MATCH(J1323, Criterios!$A$123:$A$126, 0)), "División no válida", "")), IF(OR(K1323="", K1323=""), "[Aviso] Categoría no capturada ()", IF(ISNA(MATCH(K1323, Criterios!$A$81:$A$120, 0)), "Categoría no válida", IF(AND(J1323&lt;&gt;"", J1323&lt;&gt;"", J1323&lt;&gt;VLOOKUP(K1323, Criterios!$A$81:$B$120, 2, FALSE)), "División no coincide con Categoría", ""))), IF(OR(L1323="", L1323=""), "[Aviso] Género no capturado ()", IF(ISNA(MATCH(L1323, Criterios!$B$123:$B$127, 0)), "Género no válido", "")), IF(OR(N1323="", N1323=""), "[Aviso] Temporada no capturada ()", IF(ISNA(MATCH(N1323, Criterios!$C$123:$C$128, 0)), "Temporada no válida", "")), IF(OR(O1323="", O1323=""), "[Aviso] Ciclo de vida no capturado ()", IF(ISNA(MATCH(O1323, Criterios!$D$123:$D$124, 0)), "Ciclo de vida no válido", ""))))</f>
        <v/>
      </c>
      <c r="AC1323" s="56" t="n"/>
      <c r="AD1323" s="51" t="n">
        <v>12</v>
      </c>
      <c r="AE1323" s="156" t="inlineStr">
        <is>
          <t>B25 STETSON.MX (12)</t>
        </is>
      </c>
      <c r="AF1323" s="51" t="n">
        <v>12</v>
      </c>
      <c r="AG1323" s="156" t="inlineStr">
        <is>
          <t>Catálogo existente</t>
        </is>
      </c>
      <c r="AH1323" s="156" t="inlineStr">
        <is>
          <t>Revisión 29/09/2026: Campos sin respaldo: S, U, X | 01/10/2026: complementado desde Shopify Stetson México (match por código de barras): WB Fit, WB Silueta, WB Descripción larga</t>
        </is>
      </c>
      <c r="AI1323" s="156" t="inlineStr">
        <is>
          <t>No</t>
        </is>
      </c>
      <c r="AJ1323" s="156" t="n"/>
      <c r="AK1323" s="155" t="inlineStr">
        <is>
          <t>Criterios: I [Q] | Criterios: J [R] | Shopify Stetson: producto 15056328819051 / variante 53357911474539</t>
        </is>
      </c>
      <c r="AL1323" s="58" t="n">
        <v>969.8275862</v>
      </c>
      <c r="AM1323" s="58" t="n">
        <v>2155.172414</v>
      </c>
      <c r="AN1323" s="155" t="inlineStr">
        <is>
          <t>Shopify Stetson México</t>
        </is>
      </c>
      <c r="AO1323" s="59" t="n">
        <v>16</v>
      </c>
      <c r="AP1323" s="59" t="n"/>
      <c r="AQ1323" s="59" t="n"/>
      <c r="AR1323" s="155" t="inlineStr">
        <is>
          <t>Shopify Stetson México › Stetson México: 12 | Shopify Stetson México › Stetson Americas: 4</t>
        </is>
      </c>
    </row>
    <row r="1324">
      <c r="A1324" s="50" t="inlineStr">
        <is>
          <t>724303747904</t>
        </is>
      </c>
      <c r="B1324" s="51" t="inlineStr">
        <is>
          <t>109861</t>
        </is>
      </c>
      <c r="C1324" s="156" t="inlineStr">
        <is>
          <t>Multimarca</t>
        </is>
      </c>
      <c r="D1324" s="156" t="inlineStr">
        <is>
          <t>9927500-001</t>
        </is>
      </c>
      <c r="E1324" s="156" t="inlineStr">
        <is>
          <t>9927500-001-44</t>
        </is>
      </c>
      <c r="F1324" s="156" t="inlineStr">
        <is>
          <t>44</t>
        </is>
      </c>
      <c r="G1324" s="156" t="inlineStr">
        <is>
          <t>44</t>
        </is>
      </c>
      <c r="H1324" s="156" t="inlineStr">
        <is>
          <t>Stetson</t>
        </is>
      </c>
      <c r="I1324" s="156" t="inlineStr">
        <is>
          <t>Cinturón Stetson Caballero Negro</t>
        </is>
      </c>
      <c r="J1324" s="156" t="inlineStr">
        <is>
          <t>Accesorios</t>
        </is>
      </c>
      <c r="K1324" s="156" t="inlineStr">
        <is>
          <t>Cinturones</t>
        </is>
      </c>
      <c r="L1324" s="156" t="inlineStr">
        <is>
          <t>Hombre</t>
        </is>
      </c>
      <c r="M1324" s="156" t="inlineStr">
        <is>
          <t>Stetson</t>
        </is>
      </c>
      <c r="N1324" s="156" t="inlineStr">
        <is>
          <t>SS26</t>
        </is>
      </c>
      <c r="O1324" s="156" t="inlineStr">
        <is>
          <t>Seasonal</t>
        </is>
      </c>
      <c r="P1324" s="156" t="inlineStr">
        <is>
          <t>Negro</t>
        </is>
      </c>
      <c r="Q1324" s="156" t="n"/>
      <c r="R1324" s="156" t="n"/>
      <c r="S1324" s="156" t="n"/>
      <c r="T1324" s="156" t="inlineStr">
        <is>
          <t>Cinturón Stetson Caballero Negro. Color: Negro.</t>
        </is>
      </c>
      <c r="U1324" s="156" t="n"/>
      <c r="V1324" s="156" t="inlineStr">
        <is>
          <t>PZS</t>
        </is>
      </c>
      <c r="W1324" s="51" t="inlineStr">
        <is>
          <t>53102501</t>
        </is>
      </c>
      <c r="X1324" s="156" t="n"/>
      <c r="Y1324" s="54" t="n">
        <v>969.8275862</v>
      </c>
      <c r="Z1324" s="54" t="n">
        <v>2155.172414</v>
      </c>
      <c r="AA1324" s="55">
        <f>IF(AND(A1324="", B1324="", E1324=""), "", IF(AB1324="", "Válido", IF((LEN(AB1324)-LEN(SUBSTITUTE(AB1324,"; ","")))/2+1&gt;(LEN(AB1324)-LEN(SUBSTITUTE(AB1324,"[Aviso]","")))/7, "Con Incidencias", "Válido")))</f>
        <v/>
      </c>
      <c r="AB1324" s="56">
        <f>IF(AND(A1324="", B1324="", E1324=""), "", TEXTJOIN("; ", TRUE, IF(OR(TRIM(A1324&amp;"")="", ISNUMBER(SEARCH("FALTA", A1324))), "UPC faltante/inválido", ""), IF(AND(A1324&lt;&gt;"", IFERROR(_xlfn.XMATCH(A1324,$A$2:$A$2509,0,1)&lt;&gt;_xlfn.XMATCH(A1324,$A$2:$A$2509,0,-1),FALSE)), "Código de barras duplicado", ""), IF(AND(E1324&lt;&gt;"", COUNTIF($E$2:$E$2509, E1324)&gt;1), "SKU duplicado", ""), IF(OR(J1324="", J1324=""), "[Aviso] División no capturada ()", IF(ISNA(MATCH(J1324, Criterios!$A$123:$A$126, 0)), "División no válida", "")), IF(OR(K1324="", K1324=""), "[Aviso] Categoría no capturada ()", IF(ISNA(MATCH(K1324, Criterios!$A$81:$A$120, 0)), "Categoría no válida", IF(AND(J1324&lt;&gt;"", J1324&lt;&gt;"", J1324&lt;&gt;VLOOKUP(K1324, Criterios!$A$81:$B$120, 2, FALSE)), "División no coincide con Categoría", ""))), IF(OR(L1324="", L1324=""), "[Aviso] Género no capturado ()", IF(ISNA(MATCH(L1324, Criterios!$B$123:$B$127, 0)), "Género no válido", "")), IF(OR(N1324="", N1324=""), "[Aviso] Temporada no capturada ()", IF(ISNA(MATCH(N1324, Criterios!$C$123:$C$128, 0)), "Temporada no válida", "")), IF(OR(O1324="", O1324=""), "[Aviso] Ciclo de vida no capturado ()", IF(ISNA(MATCH(O1324, Criterios!$D$123:$D$124, 0)), "Ciclo de vida no válido", ""))))</f>
        <v/>
      </c>
      <c r="AC1324" s="56" t="n"/>
      <c r="AD1324" s="51" t="n">
        <v>6</v>
      </c>
      <c r="AE1324" s="156" t="inlineStr">
        <is>
          <t>B25 STETSON.MX (6)</t>
        </is>
      </c>
      <c r="AF1324" s="51" t="n">
        <v>6</v>
      </c>
      <c r="AG1324" s="156" t="inlineStr">
        <is>
          <t>Catálogo existente</t>
        </is>
      </c>
      <c r="AH1324" s="156" t="inlineStr">
        <is>
          <t>Revisión 29/09/2026: Campos sin respaldo: S, U, X | 01/10/2026: complementado desde Shopify Stetson México (match por código de barras): WB Fit, WB Silueta, WB Descripción larga</t>
        </is>
      </c>
      <c r="AI1324" s="156" t="inlineStr">
        <is>
          <t>No</t>
        </is>
      </c>
      <c r="AJ1324" s="156" t="n"/>
      <c r="AK1324" s="155" t="inlineStr">
        <is>
          <t>Criterios: I [Q] | Criterios: J [R] | Shopify Stetson: producto 15056328819051 / variante 53357911507307</t>
        </is>
      </c>
      <c r="AL1324" s="58" t="n">
        <v>969.8275862</v>
      </c>
      <c r="AM1324" s="58" t="n">
        <v>2155.172414</v>
      </c>
      <c r="AN1324" s="155" t="inlineStr">
        <is>
          <t>Shopify Stetson México</t>
        </is>
      </c>
      <c r="AO1324" s="59" t="n">
        <v>10</v>
      </c>
      <c r="AP1324" s="59" t="n"/>
      <c r="AQ1324" s="59" t="n"/>
      <c r="AR1324" s="155" t="inlineStr">
        <is>
          <t>Shopify Stetson México › Stetson México: 6 | Shopify Stetson México › Stetson Americas: 4</t>
        </is>
      </c>
    </row>
    <row r="1325">
      <c r="A1325" s="50" t="inlineStr">
        <is>
          <t>724303747911</t>
        </is>
      </c>
      <c r="B1325" s="51" t="inlineStr">
        <is>
          <t>109862</t>
        </is>
      </c>
      <c r="C1325" s="156" t="inlineStr">
        <is>
          <t>Multimarca</t>
        </is>
      </c>
      <c r="D1325" s="156" t="inlineStr">
        <is>
          <t>9927500-001</t>
        </is>
      </c>
      <c r="E1325" s="156" t="inlineStr">
        <is>
          <t>9927500-001-46</t>
        </is>
      </c>
      <c r="F1325" s="156" t="inlineStr">
        <is>
          <t>46</t>
        </is>
      </c>
      <c r="G1325" s="156" t="inlineStr">
        <is>
          <t>46</t>
        </is>
      </c>
      <c r="H1325" s="156" t="inlineStr">
        <is>
          <t>Stetson</t>
        </is>
      </c>
      <c r="I1325" s="156" t="inlineStr">
        <is>
          <t>Cinturón Stetson Caballero Negro</t>
        </is>
      </c>
      <c r="J1325" s="156" t="inlineStr">
        <is>
          <t>Accesorios</t>
        </is>
      </c>
      <c r="K1325" s="156" t="inlineStr">
        <is>
          <t>Cinturones</t>
        </is>
      </c>
      <c r="L1325" s="156" t="inlineStr">
        <is>
          <t>Hombre</t>
        </is>
      </c>
      <c r="M1325" s="156" t="inlineStr">
        <is>
          <t>Stetson</t>
        </is>
      </c>
      <c r="N1325" s="156" t="inlineStr">
        <is>
          <t>SS26</t>
        </is>
      </c>
      <c r="O1325" s="156" t="inlineStr">
        <is>
          <t>Seasonal</t>
        </is>
      </c>
      <c r="P1325" s="156" t="inlineStr">
        <is>
          <t>Negro</t>
        </is>
      </c>
      <c r="Q1325" s="156" t="n"/>
      <c r="R1325" s="156" t="n"/>
      <c r="S1325" s="156" t="n"/>
      <c r="T1325" s="156" t="inlineStr">
        <is>
          <t>Cinturón Stetson Caballero Negro. Color: Negro.</t>
        </is>
      </c>
      <c r="U1325" s="156" t="n"/>
      <c r="V1325" s="156" t="inlineStr">
        <is>
          <t>PZS</t>
        </is>
      </c>
      <c r="W1325" s="51" t="inlineStr">
        <is>
          <t>53102501</t>
        </is>
      </c>
      <c r="X1325" s="156" t="n"/>
      <c r="Y1325" s="54" t="n">
        <v>969.8275862</v>
      </c>
      <c r="Z1325" s="54" t="n">
        <v>2155.172414</v>
      </c>
      <c r="AA1325" s="55">
        <f>IF(AND(A1325="", B1325="", E1325=""), "", IF(AB1325="", "Válido", IF((LEN(AB1325)-LEN(SUBSTITUTE(AB1325,"; ","")))/2+1&gt;(LEN(AB1325)-LEN(SUBSTITUTE(AB1325,"[Aviso]","")))/7, "Con Incidencias", "Válido")))</f>
        <v/>
      </c>
      <c r="AB1325" s="56">
        <f>IF(AND(A1325="", B1325="", E1325=""), "", TEXTJOIN("; ", TRUE, IF(OR(TRIM(A1325&amp;"")="", ISNUMBER(SEARCH("FALTA", A1325))), "UPC faltante/inválido", ""), IF(AND(A1325&lt;&gt;"", IFERROR(_xlfn.XMATCH(A1325,$A$2:$A$2509,0,1)&lt;&gt;_xlfn.XMATCH(A1325,$A$2:$A$2509,0,-1),FALSE)), "Código de barras duplicado", ""), IF(AND(E1325&lt;&gt;"", COUNTIF($E$2:$E$2509, E1325)&gt;1), "SKU duplicado", ""), IF(OR(J1325="", J1325=""), "[Aviso] División no capturada ()", IF(ISNA(MATCH(J1325, Criterios!$A$123:$A$126, 0)), "División no válida", "")), IF(OR(K1325="", K1325=""), "[Aviso] Categoría no capturada ()", IF(ISNA(MATCH(K1325, Criterios!$A$81:$A$120, 0)), "Categoría no válida", IF(AND(J1325&lt;&gt;"", J1325&lt;&gt;"", J1325&lt;&gt;VLOOKUP(K1325, Criterios!$A$81:$B$120, 2, FALSE)), "División no coincide con Categoría", ""))), IF(OR(L1325="", L1325=""), "[Aviso] Género no capturado ()", IF(ISNA(MATCH(L1325, Criterios!$B$123:$B$127, 0)), "Género no válido", "")), IF(OR(N1325="", N1325=""), "[Aviso] Temporada no capturada ()", IF(ISNA(MATCH(N1325, Criterios!$C$123:$C$128, 0)), "Temporada no válida", "")), IF(OR(O1325="", O1325=""), "[Aviso] Ciclo de vida no capturado ()", IF(ISNA(MATCH(O1325, Criterios!$D$123:$D$124, 0)), "Ciclo de vida no válido", ""))))</f>
        <v/>
      </c>
      <c r="AC1325" s="56" t="n"/>
      <c r="AD1325" s="51" t="n">
        <v>4</v>
      </c>
      <c r="AE1325" s="156" t="inlineStr">
        <is>
          <t>B25 STETSON.MX (4)</t>
        </is>
      </c>
      <c r="AF1325" s="51" t="n">
        <v>4</v>
      </c>
      <c r="AG1325" s="156" t="inlineStr">
        <is>
          <t>Catálogo existente</t>
        </is>
      </c>
      <c r="AH1325" s="156" t="inlineStr">
        <is>
          <t>Revisión 29/09/2026: Campos sin respaldo: S, U, X | 01/10/2026: complementado desde Shopify Stetson México (match por código de barras): WB Fit, WB Silueta, WB Descripción larga</t>
        </is>
      </c>
      <c r="AI1325" s="156" t="inlineStr">
        <is>
          <t>No</t>
        </is>
      </c>
      <c r="AJ1325" s="156" t="n"/>
      <c r="AK1325" s="155" t="inlineStr">
        <is>
          <t>Criterios: I [Q] | Criterios: J [R] | Shopify Stetson: producto 15056328819051 / variante 53357911540075</t>
        </is>
      </c>
      <c r="AL1325" s="58" t="n">
        <v>969.8275862</v>
      </c>
      <c r="AM1325" s="58" t="n">
        <v>2155.172414</v>
      </c>
      <c r="AN1325" s="155" t="inlineStr">
        <is>
          <t>Shopify Stetson México</t>
        </is>
      </c>
      <c r="AO1325" s="59" t="n">
        <v>6</v>
      </c>
      <c r="AP1325" s="59" t="n"/>
      <c r="AQ1325" s="59" t="n"/>
      <c r="AR1325" s="155" t="inlineStr">
        <is>
          <t>Shopify Stetson México › Stetson México: 4 | Shopify Stetson México › Stetson Americas: 2</t>
        </is>
      </c>
    </row>
    <row r="1326">
      <c r="A1326" s="50" t="inlineStr">
        <is>
          <t>724303748567</t>
        </is>
      </c>
      <c r="B1326" s="51" t="inlineStr">
        <is>
          <t>109863</t>
        </is>
      </c>
      <c r="C1326" s="156" t="inlineStr">
        <is>
          <t>Multimarca</t>
        </is>
      </c>
      <c r="D1326" s="156" t="inlineStr">
        <is>
          <t>9928500-104</t>
        </is>
      </c>
      <c r="E1326" s="156" t="inlineStr">
        <is>
          <t>9928500-104-36</t>
        </is>
      </c>
      <c r="F1326" s="156" t="inlineStr">
        <is>
          <t>36</t>
        </is>
      </c>
      <c r="G1326" s="156" t="inlineStr">
        <is>
          <t>36</t>
        </is>
      </c>
      <c r="H1326" s="156" t="inlineStr">
        <is>
          <t>Stetson</t>
        </is>
      </c>
      <c r="I1326" s="156" t="inlineStr">
        <is>
          <t>Cinturón Stetson Caballero Natural</t>
        </is>
      </c>
      <c r="J1326" s="156" t="inlineStr">
        <is>
          <t>Accesorios</t>
        </is>
      </c>
      <c r="K1326" s="156" t="inlineStr">
        <is>
          <t>Cinturones</t>
        </is>
      </c>
      <c r="L1326" s="156" t="inlineStr">
        <is>
          <t>Hombre</t>
        </is>
      </c>
      <c r="M1326" s="156" t="inlineStr">
        <is>
          <t>Stetson</t>
        </is>
      </c>
      <c r="N1326" s="156" t="inlineStr">
        <is>
          <t>SS26</t>
        </is>
      </c>
      <c r="O1326" s="156" t="inlineStr">
        <is>
          <t>Seasonal</t>
        </is>
      </c>
      <c r="P1326" s="156" t="inlineStr">
        <is>
          <t>Beige</t>
        </is>
      </c>
      <c r="Q1326" s="156" t="n"/>
      <c r="R1326" s="156" t="n"/>
      <c r="S1326" s="156" t="n"/>
      <c r="T1326" s="156" t="inlineStr">
        <is>
          <t>Cinturón Stetson Caballero Natural. Color: Natural.</t>
        </is>
      </c>
      <c r="U1326" s="156" t="n"/>
      <c r="V1326" s="156" t="inlineStr">
        <is>
          <t>PZS</t>
        </is>
      </c>
      <c r="W1326" s="51" t="inlineStr">
        <is>
          <t>53102501</t>
        </is>
      </c>
      <c r="X1326" s="156" t="n"/>
      <c r="Y1326" s="54" t="n">
        <v>1028.017241</v>
      </c>
      <c r="Z1326" s="54" t="n">
        <v>2284.482759</v>
      </c>
      <c r="AA1326" s="55">
        <f>IF(AND(A1326="", B1326="", E1326=""), "", IF(AB1326="", "Válido", IF((LEN(AB1326)-LEN(SUBSTITUTE(AB1326,"; ","")))/2+1&gt;(LEN(AB1326)-LEN(SUBSTITUTE(AB1326,"[Aviso]","")))/7, "Con Incidencias", "Válido")))</f>
        <v/>
      </c>
      <c r="AB1326" s="56">
        <f>IF(AND(A1326="", B1326="", E1326=""), "", TEXTJOIN("; ", TRUE, IF(OR(TRIM(A1326&amp;"")="", ISNUMBER(SEARCH("FALTA", A1326))), "UPC faltante/inválido", ""), IF(AND(A1326&lt;&gt;"", IFERROR(_xlfn.XMATCH(A1326,$A$2:$A$2509,0,1)&lt;&gt;_xlfn.XMATCH(A1326,$A$2:$A$2509,0,-1),FALSE)), "Código de barras duplicado", ""), IF(AND(E1326&lt;&gt;"", COUNTIF($E$2:$E$2509, E1326)&gt;1), "SKU duplicado", ""), IF(OR(J1326="", J1326=""), "[Aviso] División no capturada ()", IF(ISNA(MATCH(J1326, Criterios!$A$123:$A$126, 0)), "División no válida", "")), IF(OR(K1326="", K1326=""), "[Aviso] Categoría no capturada ()", IF(ISNA(MATCH(K1326, Criterios!$A$81:$A$120, 0)), "Categoría no válida", IF(AND(J1326&lt;&gt;"", J1326&lt;&gt;"", J1326&lt;&gt;VLOOKUP(K1326, Criterios!$A$81:$B$120, 2, FALSE)), "División no coincide con Categoría", ""))), IF(OR(L1326="", L1326=""), "[Aviso] Género no capturado ()", IF(ISNA(MATCH(L1326, Criterios!$B$123:$B$127, 0)), "Género no válido", "")), IF(OR(N1326="", N1326=""), "[Aviso] Temporada no capturada ()", IF(ISNA(MATCH(N1326, Criterios!$C$123:$C$128, 0)), "Temporada no válida", "")), IF(OR(O1326="", O1326=""), "[Aviso] Ciclo de vida no capturado ()", IF(ISNA(MATCH(O1326, Criterios!$D$123:$D$124, 0)), "Ciclo de vida no válido", ""))))</f>
        <v/>
      </c>
      <c r="AC1326" s="56" t="n"/>
      <c r="AD1326" s="51" t="n">
        <v>-1</v>
      </c>
      <c r="AE1326" s="156" t="n"/>
      <c r="AF1326" s="51" t="n">
        <v>0</v>
      </c>
      <c r="AG1326" s="156" t="inlineStr">
        <is>
          <t>Catálogo existente</t>
        </is>
      </c>
      <c r="AH1326" s="156" t="inlineStr">
        <is>
          <t>Stock negativo en sistema: revisar en conteo | Revisión 29/09/2026: Campos sin respaldo: S, U, X | 01/10/2026: complementado desde Shopify Stetson México (match por código de barras): WB Fit, WB Silueta, WB Descripción larga</t>
        </is>
      </c>
      <c r="AI1326" s="156" t="inlineStr">
        <is>
          <t>Sí</t>
        </is>
      </c>
      <c r="AJ1326" s="156" t="inlineStr">
        <is>
          <t>STETSON AMERICAS (-1)</t>
        </is>
      </c>
      <c r="AK1326" s="155" t="inlineStr">
        <is>
          <t>Criterios: I [Q] | Criterios: J [R] | Shopify Stetson: producto 15056328851819 / variante 53503550554475</t>
        </is>
      </c>
      <c r="AL1326" s="58" t="n">
        <v>1028.017241</v>
      </c>
      <c r="AM1326" s="58" t="n">
        <v>2284.482759</v>
      </c>
      <c r="AN1326" s="155" t="inlineStr">
        <is>
          <t>Shopify Stetson México</t>
        </is>
      </c>
      <c r="AO1326" s="59" t="n">
        <v>1</v>
      </c>
      <c r="AP1326" s="59" t="n"/>
      <c r="AQ1326" s="59" t="n"/>
      <c r="AR1326" s="155" t="inlineStr">
        <is>
          <t>Shopify Stetson México › Stetson Americas: 1</t>
        </is>
      </c>
    </row>
    <row r="1327">
      <c r="A1327" s="50" t="inlineStr">
        <is>
          <t>724303748574</t>
        </is>
      </c>
      <c r="B1327" s="51" t="inlineStr">
        <is>
          <t>109864</t>
        </is>
      </c>
      <c r="C1327" s="156" t="inlineStr">
        <is>
          <t>Multimarca</t>
        </is>
      </c>
      <c r="D1327" s="156" t="inlineStr">
        <is>
          <t>9928500-104</t>
        </is>
      </c>
      <c r="E1327" s="156" t="inlineStr">
        <is>
          <t>9928500-104-38</t>
        </is>
      </c>
      <c r="F1327" s="156" t="inlineStr">
        <is>
          <t>38</t>
        </is>
      </c>
      <c r="G1327" s="156" t="inlineStr">
        <is>
          <t>38</t>
        </is>
      </c>
      <c r="H1327" s="156" t="inlineStr">
        <is>
          <t>Stetson</t>
        </is>
      </c>
      <c r="I1327" s="156" t="inlineStr">
        <is>
          <t>Cinturón Stetson Caballero Natural</t>
        </is>
      </c>
      <c r="J1327" s="156" t="inlineStr">
        <is>
          <t>Accesorios</t>
        </is>
      </c>
      <c r="K1327" s="156" t="inlineStr">
        <is>
          <t>Cinturones</t>
        </is>
      </c>
      <c r="L1327" s="156" t="inlineStr">
        <is>
          <t>Hombre</t>
        </is>
      </c>
      <c r="M1327" s="156" t="inlineStr">
        <is>
          <t>Stetson</t>
        </is>
      </c>
      <c r="N1327" s="156" t="inlineStr">
        <is>
          <t>SS26</t>
        </is>
      </c>
      <c r="O1327" s="156" t="inlineStr">
        <is>
          <t>Seasonal</t>
        </is>
      </c>
      <c r="P1327" s="156" t="inlineStr">
        <is>
          <t>Beige</t>
        </is>
      </c>
      <c r="Q1327" s="156" t="n"/>
      <c r="R1327" s="156" t="n"/>
      <c r="S1327" s="156" t="n"/>
      <c r="T1327" s="156" t="inlineStr">
        <is>
          <t>Cinturón Stetson Caballero Natural. Color: Natural.</t>
        </is>
      </c>
      <c r="U1327" s="156" t="n"/>
      <c r="V1327" s="156" t="inlineStr">
        <is>
          <t>PZS</t>
        </is>
      </c>
      <c r="W1327" s="51" t="inlineStr">
        <is>
          <t>53102501</t>
        </is>
      </c>
      <c r="X1327" s="156" t="n"/>
      <c r="Y1327" s="54" t="n">
        <v>1028.017241</v>
      </c>
      <c r="Z1327" s="54" t="n">
        <v>2284.482759</v>
      </c>
      <c r="AA1327" s="55">
        <f>IF(AND(A1327="", B1327="", E1327=""), "", IF(AB1327="", "Válido", IF((LEN(AB1327)-LEN(SUBSTITUTE(AB1327,"; ","")))/2+1&gt;(LEN(AB1327)-LEN(SUBSTITUTE(AB1327,"[Aviso]","")))/7, "Con Incidencias", "Válido")))</f>
        <v/>
      </c>
      <c r="AB1327" s="56">
        <f>IF(AND(A1327="", B1327="", E1327=""), "", TEXTJOIN("; ", TRUE, IF(OR(TRIM(A1327&amp;"")="", ISNUMBER(SEARCH("FALTA", A1327))), "UPC faltante/inválido", ""), IF(AND(A1327&lt;&gt;"", IFERROR(_xlfn.XMATCH(A1327,$A$2:$A$2509,0,1)&lt;&gt;_xlfn.XMATCH(A1327,$A$2:$A$2509,0,-1),FALSE)), "Código de barras duplicado", ""), IF(AND(E1327&lt;&gt;"", COUNTIF($E$2:$E$2509, E1327)&gt;1), "SKU duplicado", ""), IF(OR(J1327="", J1327=""), "[Aviso] División no capturada ()", IF(ISNA(MATCH(J1327, Criterios!$A$123:$A$126, 0)), "División no válida", "")), IF(OR(K1327="", K1327=""), "[Aviso] Categoría no capturada ()", IF(ISNA(MATCH(K1327, Criterios!$A$81:$A$120, 0)), "Categoría no válida", IF(AND(J1327&lt;&gt;"", J1327&lt;&gt;"", J1327&lt;&gt;VLOOKUP(K1327, Criterios!$A$81:$B$120, 2, FALSE)), "División no coincide con Categoría", ""))), IF(OR(L1327="", L1327=""), "[Aviso] Género no capturado ()", IF(ISNA(MATCH(L1327, Criterios!$B$123:$B$127, 0)), "Género no válido", "")), IF(OR(N1327="", N1327=""), "[Aviso] Temporada no capturada ()", IF(ISNA(MATCH(N1327, Criterios!$C$123:$C$128, 0)), "Temporada no válida", "")), IF(OR(O1327="", O1327=""), "[Aviso] Ciclo de vida no capturado ()", IF(ISNA(MATCH(O1327, Criterios!$D$123:$D$124, 0)), "Ciclo de vida no válido", ""))))</f>
        <v/>
      </c>
      <c r="AC1327" s="56" t="n"/>
      <c r="AD1327" s="51" t="n">
        <v>0</v>
      </c>
      <c r="AE1327" s="156" t="n"/>
      <c r="AF1327" s="51" t="n">
        <v>0</v>
      </c>
      <c r="AG1327" s="156" t="inlineStr">
        <is>
          <t>Catálogo existente</t>
        </is>
      </c>
      <c r="AH1327" s="156" t="inlineStr">
        <is>
          <t>Revisión 29/09/2026: Campos sin respaldo: S, U, X | 01/10/2026: complementado desde Shopify Stetson México (match por código de barras): WB Fit, WB Silueta, WB Descripción larga</t>
        </is>
      </c>
      <c r="AI1327" s="156" t="inlineStr">
        <is>
          <t>No</t>
        </is>
      </c>
      <c r="AJ1327" s="156" t="n"/>
      <c r="AK1327" s="155" t="inlineStr">
        <is>
          <t>Criterios: I [Q] | Criterios: J [R] | Shopify Stetson: producto 15056328851819 / variante 53503550587243</t>
        </is>
      </c>
      <c r="AL1327" s="58" t="n">
        <v>1028.017241</v>
      </c>
      <c r="AM1327" s="58" t="n">
        <v>2284.482759</v>
      </c>
      <c r="AN1327" s="155" t="inlineStr">
        <is>
          <t>Shopify Stetson México</t>
        </is>
      </c>
      <c r="AO1327" s="59" t="n">
        <v>2</v>
      </c>
      <c r="AP1327" s="59" t="n"/>
      <c r="AQ1327" s="59" t="n"/>
      <c r="AR1327" s="155" t="inlineStr">
        <is>
          <t>Shopify Stetson México › Stetson Americas: 2</t>
        </is>
      </c>
    </row>
    <row r="1328">
      <c r="A1328" s="50" t="inlineStr">
        <is>
          <t>724303748581</t>
        </is>
      </c>
      <c r="B1328" s="51" t="inlineStr">
        <is>
          <t>109865</t>
        </is>
      </c>
      <c r="C1328" s="156" t="inlineStr">
        <is>
          <t>Multimarca</t>
        </is>
      </c>
      <c r="D1328" s="156" t="inlineStr">
        <is>
          <t>9928500-104</t>
        </is>
      </c>
      <c r="E1328" s="156" t="inlineStr">
        <is>
          <t>9928500-104-40</t>
        </is>
      </c>
      <c r="F1328" s="156" t="inlineStr">
        <is>
          <t>40</t>
        </is>
      </c>
      <c r="G1328" s="156" t="inlineStr">
        <is>
          <t>40</t>
        </is>
      </c>
      <c r="H1328" s="156" t="inlineStr">
        <is>
          <t>Stetson</t>
        </is>
      </c>
      <c r="I1328" s="156" t="inlineStr">
        <is>
          <t>Cinturón Stetson Caballero Natural</t>
        </is>
      </c>
      <c r="J1328" s="156" t="inlineStr">
        <is>
          <t>Accesorios</t>
        </is>
      </c>
      <c r="K1328" s="156" t="inlineStr">
        <is>
          <t>Cinturones</t>
        </is>
      </c>
      <c r="L1328" s="156" t="inlineStr">
        <is>
          <t>Hombre</t>
        </is>
      </c>
      <c r="M1328" s="156" t="inlineStr">
        <is>
          <t>Stetson</t>
        </is>
      </c>
      <c r="N1328" s="156" t="inlineStr">
        <is>
          <t>SS26</t>
        </is>
      </c>
      <c r="O1328" s="156" t="inlineStr">
        <is>
          <t>Seasonal</t>
        </is>
      </c>
      <c r="P1328" s="156" t="inlineStr">
        <is>
          <t>Beige</t>
        </is>
      </c>
      <c r="Q1328" s="156" t="n"/>
      <c r="R1328" s="156" t="n"/>
      <c r="S1328" s="156" t="n"/>
      <c r="T1328" s="156" t="inlineStr">
        <is>
          <t>Producto Cinturón Stetson Caballero Natural de la marca Stetson, ideal para uso diario. Fabricado con los mejores materiales para garantizar durabilidad y comodidad. Estilo western auténtico.</t>
        </is>
      </c>
      <c r="U1328" s="156" t="n"/>
      <c r="V1328" s="156" t="inlineStr">
        <is>
          <t>PZS</t>
        </is>
      </c>
      <c r="W1328" s="51" t="inlineStr">
        <is>
          <t>53102501</t>
        </is>
      </c>
      <c r="X1328" s="156" t="n"/>
      <c r="Y1328" s="54" t="n">
        <v>1028.017241</v>
      </c>
      <c r="Z1328" s="54" t="n">
        <v>2284.482759</v>
      </c>
      <c r="AA1328" s="55">
        <f>IF(AND(A1328="", B1328="", E1328=""), "", IF(AB1328="", "Válido", IF((LEN(AB1328)-LEN(SUBSTITUTE(AB1328,"; ","")))/2+1&gt;(LEN(AB1328)-LEN(SUBSTITUTE(AB1328,"[Aviso]","")))/7, "Con Incidencias", "Válido")))</f>
        <v/>
      </c>
      <c r="AB1328" s="56">
        <f>IF(AND(A1328="", B1328="", E1328=""), "", TEXTJOIN("; ", TRUE, IF(OR(TRIM(A1328&amp;"")="", ISNUMBER(SEARCH("FALTA", A1328))), "UPC faltante/inválido", ""), IF(AND(A1328&lt;&gt;"", IFERROR(_xlfn.XMATCH(A1328,$A$2:$A$2509,0,1)&lt;&gt;_xlfn.XMATCH(A1328,$A$2:$A$2509,0,-1),FALSE)), "Código de barras duplicado", ""), IF(AND(E1328&lt;&gt;"", COUNTIF($E$2:$E$2509, E1328)&gt;1), "SKU duplicado", ""), IF(OR(J1328="", J1328=""), "[Aviso] División no capturada ()", IF(ISNA(MATCH(J1328, Criterios!$A$123:$A$126, 0)), "División no válida", "")), IF(OR(K1328="", K1328=""), "[Aviso] Categoría no capturada ()", IF(ISNA(MATCH(K1328, Criterios!$A$81:$A$120, 0)), "Categoría no válida", IF(AND(J1328&lt;&gt;"", J1328&lt;&gt;"", J1328&lt;&gt;VLOOKUP(K1328, Criterios!$A$81:$B$120, 2, FALSE)), "División no coincide con Categoría", ""))), IF(OR(L1328="", L1328=""), "[Aviso] Género no capturado ()", IF(ISNA(MATCH(L1328, Criterios!$B$123:$B$127, 0)), "Género no válido", "")), IF(OR(N1328="", N1328=""), "[Aviso] Temporada no capturada ()", IF(ISNA(MATCH(N1328, Criterios!$C$123:$C$128, 0)), "Temporada no válida", "")), IF(OR(O1328="", O1328=""), "[Aviso] Ciclo de vida no capturado ()", IF(ISNA(MATCH(O1328, Criterios!$D$123:$D$124, 0)), "Ciclo de vida no válido", ""))))</f>
        <v/>
      </c>
      <c r="AC1328" s="56" t="n"/>
      <c r="AD1328" s="51" t="n">
        <v>11</v>
      </c>
      <c r="AE1328" s="156" t="inlineStr">
        <is>
          <t>WB OUTLET LERMA (1); B25 STETSON.MX (10)</t>
        </is>
      </c>
      <c r="AF1328" s="51" t="n">
        <v>11</v>
      </c>
      <c r="AG1328" s="156" t="inlineStr">
        <is>
          <t>Catálogo existente</t>
        </is>
      </c>
      <c r="AH1328" s="156" t="inlineStr">
        <is>
          <t>Revisión 29/09/2026: Campos sin respaldo: S, U, X | 01/10/2026: complementado desde Shopify Stetson México (match por código de barras): WB Fit, WB Silueta, WB Descripción larga | 01/10/2026: complementado desde Shopify Western Brothers (match por código de barras): WB Descripción larga (más completa)</t>
        </is>
      </c>
      <c r="AI1328" s="156" t="inlineStr">
        <is>
          <t>No</t>
        </is>
      </c>
      <c r="AJ1328" s="156" t="n"/>
      <c r="AK1328" s="155" t="inlineStr">
        <is>
          <t>Criterios: I [Q] | Criterios: J [R] | Shopify Stetson: producto 15056328851819 / variante 53357911572843 | Shopify WB: producto 10310238798009 / variante 50512091775161</t>
        </is>
      </c>
      <c r="AL1328" s="58" t="n">
        <v>1028.017241</v>
      </c>
      <c r="AM1328" s="58" t="n">
        <v>2284.482759</v>
      </c>
      <c r="AN1328" s="155" t="inlineStr">
        <is>
          <t>Shopify Stetson México | Shopify Western Brothers</t>
        </is>
      </c>
      <c r="AO1328" s="59" t="n">
        <v>16</v>
      </c>
      <c r="AP1328" s="59" t="n">
        <v>1</v>
      </c>
      <c r="AQ1328" s="59" t="n"/>
      <c r="AR1328" s="155" t="inlineStr">
        <is>
          <t>Shopify Stetson México › Stetson México: 10 | Shopify Stetson México › Stetson Americas: 6 | Shopify Western Brothers › Western Brothers Outlet Lerma: 1</t>
        </is>
      </c>
    </row>
    <row r="1329">
      <c r="A1329" s="50" t="inlineStr">
        <is>
          <t>724303748598</t>
        </is>
      </c>
      <c r="B1329" s="51" t="inlineStr">
        <is>
          <t>109866</t>
        </is>
      </c>
      <c r="C1329" s="156" t="inlineStr">
        <is>
          <t>Multimarca</t>
        </is>
      </c>
      <c r="D1329" s="156" t="inlineStr">
        <is>
          <t>9928500-104</t>
        </is>
      </c>
      <c r="E1329" s="156" t="inlineStr">
        <is>
          <t>9928500-104-42</t>
        </is>
      </c>
      <c r="F1329" s="156" t="inlineStr">
        <is>
          <t>42</t>
        </is>
      </c>
      <c r="G1329" s="156" t="inlineStr">
        <is>
          <t>42</t>
        </is>
      </c>
      <c r="H1329" s="156" t="inlineStr">
        <is>
          <t>Stetson</t>
        </is>
      </c>
      <c r="I1329" s="156" t="inlineStr">
        <is>
          <t>Cinturón Stetson Caballero Natural</t>
        </is>
      </c>
      <c r="J1329" s="156" t="inlineStr">
        <is>
          <t>Accesorios</t>
        </is>
      </c>
      <c r="K1329" s="156" t="inlineStr">
        <is>
          <t>Cinturones</t>
        </is>
      </c>
      <c r="L1329" s="156" t="inlineStr">
        <is>
          <t>Hombre</t>
        </is>
      </c>
      <c r="M1329" s="156" t="inlineStr">
        <is>
          <t>Stetson</t>
        </is>
      </c>
      <c r="N1329" s="156" t="inlineStr">
        <is>
          <t>SS26</t>
        </is>
      </c>
      <c r="O1329" s="156" t="inlineStr">
        <is>
          <t>Seasonal</t>
        </is>
      </c>
      <c r="P1329" s="156" t="inlineStr">
        <is>
          <t>Beige</t>
        </is>
      </c>
      <c r="Q1329" s="156" t="n"/>
      <c r="R1329" s="156" t="n"/>
      <c r="S1329" s="156" t="n"/>
      <c r="T1329" s="156" t="inlineStr">
        <is>
          <t>Cinturón Stetson Caballero Natural. Color: Natural.</t>
        </is>
      </c>
      <c r="U1329" s="156" t="n"/>
      <c r="V1329" s="156" t="inlineStr">
        <is>
          <t>PZS</t>
        </is>
      </c>
      <c r="W1329" s="51" t="inlineStr">
        <is>
          <t>53102501</t>
        </is>
      </c>
      <c r="X1329" s="156" t="n"/>
      <c r="Y1329" s="54" t="n">
        <v>1028.017241</v>
      </c>
      <c r="Z1329" s="54" t="n">
        <v>2284.482759</v>
      </c>
      <c r="AA1329" s="55">
        <f>IF(AND(A1329="", B1329="", E1329=""), "", IF(AB1329="", "Válido", IF((LEN(AB1329)-LEN(SUBSTITUTE(AB1329,"; ","")))/2+1&gt;(LEN(AB1329)-LEN(SUBSTITUTE(AB1329,"[Aviso]","")))/7, "Con Incidencias", "Válido")))</f>
        <v/>
      </c>
      <c r="AB1329" s="56">
        <f>IF(AND(A1329="", B1329="", E1329=""), "", TEXTJOIN("; ", TRUE, IF(OR(TRIM(A1329&amp;"")="", ISNUMBER(SEARCH("FALTA", A1329))), "UPC faltante/inválido", ""), IF(AND(A1329&lt;&gt;"", IFERROR(_xlfn.XMATCH(A1329,$A$2:$A$2509,0,1)&lt;&gt;_xlfn.XMATCH(A1329,$A$2:$A$2509,0,-1),FALSE)), "Código de barras duplicado", ""), IF(AND(E1329&lt;&gt;"", COUNTIF($E$2:$E$2509, E1329)&gt;1), "SKU duplicado", ""), IF(OR(J1329="", J1329=""), "[Aviso] División no capturada ()", IF(ISNA(MATCH(J1329, Criterios!$A$123:$A$126, 0)), "División no válida", "")), IF(OR(K1329="", K1329=""), "[Aviso] Categoría no capturada ()", IF(ISNA(MATCH(K1329, Criterios!$A$81:$A$120, 0)), "Categoría no válida", IF(AND(J1329&lt;&gt;"", J1329&lt;&gt;"", J1329&lt;&gt;VLOOKUP(K1329, Criterios!$A$81:$B$120, 2, FALSE)), "División no coincide con Categoría", ""))), IF(OR(L1329="", L1329=""), "[Aviso] Género no capturado ()", IF(ISNA(MATCH(L1329, Criterios!$B$123:$B$127, 0)), "Género no válido", "")), IF(OR(N1329="", N1329=""), "[Aviso] Temporada no capturada ()", IF(ISNA(MATCH(N1329, Criterios!$C$123:$C$128, 0)), "Temporada no válida", "")), IF(OR(O1329="", O1329=""), "[Aviso] Ciclo de vida no capturado ()", IF(ISNA(MATCH(O1329, Criterios!$D$123:$D$124, 0)), "Ciclo de vida no válido", ""))))</f>
        <v/>
      </c>
      <c r="AC1329" s="56" t="n"/>
      <c r="AD1329" s="51" t="n">
        <v>0</v>
      </c>
      <c r="AE1329" s="156" t="n"/>
      <c r="AF1329" s="51" t="n">
        <v>0</v>
      </c>
      <c r="AG1329" s="156" t="inlineStr">
        <is>
          <t>Catálogo existente</t>
        </is>
      </c>
      <c r="AH1329" s="156" t="inlineStr">
        <is>
          <t>Revisión 29/09/2026: Campos sin respaldo: S, U, X | 01/10/2026: complementado desde Shopify Stetson México (match por código de barras): WB Fit, WB Silueta, WB Descripción larga</t>
        </is>
      </c>
      <c r="AI1329" s="156" t="inlineStr">
        <is>
          <t>No</t>
        </is>
      </c>
      <c r="AJ1329" s="156" t="n"/>
      <c r="AK1329" s="155" t="inlineStr">
        <is>
          <t>Criterios: I [Q] | Criterios: J [R] | Shopify Stetson: producto 15056328851819 / variante 53503550620011</t>
        </is>
      </c>
      <c r="AL1329" s="58" t="n">
        <v>1028.017241</v>
      </c>
      <c r="AM1329" s="58" t="n">
        <v>2284.482759</v>
      </c>
      <c r="AN1329" s="155" t="inlineStr">
        <is>
          <t>Shopify Stetson México</t>
        </is>
      </c>
      <c r="AO1329" s="59" t="n">
        <v>4</v>
      </c>
      <c r="AP1329" s="59" t="n"/>
      <c r="AQ1329" s="59" t="n"/>
      <c r="AR1329" s="155" t="inlineStr">
        <is>
          <t>Shopify Stetson México › Stetson Americas: 4</t>
        </is>
      </c>
    </row>
    <row r="1330">
      <c r="A1330" s="50" t="inlineStr">
        <is>
          <t>724303748604</t>
        </is>
      </c>
      <c r="B1330" s="51" t="inlineStr">
        <is>
          <t>109867</t>
        </is>
      </c>
      <c r="C1330" s="156" t="inlineStr">
        <is>
          <t>Multimarca</t>
        </is>
      </c>
      <c r="D1330" s="156" t="inlineStr">
        <is>
          <t>9928500-104</t>
        </is>
      </c>
      <c r="E1330" s="156" t="inlineStr">
        <is>
          <t>9928500-104-44</t>
        </is>
      </c>
      <c r="F1330" s="156" t="inlineStr">
        <is>
          <t>44</t>
        </is>
      </c>
      <c r="G1330" s="156" t="inlineStr">
        <is>
          <t>44</t>
        </is>
      </c>
      <c r="H1330" s="156" t="inlineStr">
        <is>
          <t>Stetson</t>
        </is>
      </c>
      <c r="I1330" s="156" t="inlineStr">
        <is>
          <t>Cinturón Stetson Caballero Natural</t>
        </is>
      </c>
      <c r="J1330" s="156" t="inlineStr">
        <is>
          <t>Accesorios</t>
        </is>
      </c>
      <c r="K1330" s="156" t="inlineStr">
        <is>
          <t>Cinturones</t>
        </is>
      </c>
      <c r="L1330" s="156" t="inlineStr">
        <is>
          <t>Hombre</t>
        </is>
      </c>
      <c r="M1330" s="156" t="inlineStr">
        <is>
          <t>Stetson</t>
        </is>
      </c>
      <c r="N1330" s="156" t="inlineStr">
        <is>
          <t>SS26</t>
        </is>
      </c>
      <c r="O1330" s="156" t="inlineStr">
        <is>
          <t>Seasonal</t>
        </is>
      </c>
      <c r="P1330" s="156" t="inlineStr">
        <is>
          <t>Beige</t>
        </is>
      </c>
      <c r="Q1330" s="156" t="n"/>
      <c r="R1330" s="156" t="n"/>
      <c r="S1330" s="156" t="n"/>
      <c r="T1330" s="156" t="inlineStr">
        <is>
          <t>Producto Cinturón Stetson Caballero Natural de la marca Stetson, ideal para uso diario. Fabricado con los mejores materiales para garantizar durabilidad y comodidad. Estilo western auténtico.</t>
        </is>
      </c>
      <c r="U1330" s="156" t="n"/>
      <c r="V1330" s="156" t="inlineStr">
        <is>
          <t>PZS</t>
        </is>
      </c>
      <c r="W1330" s="51" t="inlineStr">
        <is>
          <t>53102501</t>
        </is>
      </c>
      <c r="X1330" s="156" t="n"/>
      <c r="Y1330" s="54" t="n">
        <v>1028.017241</v>
      </c>
      <c r="Z1330" s="54" t="n">
        <v>2284.482759</v>
      </c>
      <c r="AA1330" s="55">
        <f>IF(AND(A1330="", B1330="", E1330=""), "", IF(AB1330="", "Válido", IF((LEN(AB1330)-LEN(SUBSTITUTE(AB1330,"; ","")))/2+1&gt;(LEN(AB1330)-LEN(SUBSTITUTE(AB1330,"[Aviso]","")))/7, "Con Incidencias", "Válido")))</f>
        <v/>
      </c>
      <c r="AB1330" s="56">
        <f>IF(AND(A1330="", B1330="", E1330=""), "", TEXTJOIN("; ", TRUE, IF(OR(TRIM(A1330&amp;"")="", ISNUMBER(SEARCH("FALTA", A1330))), "UPC faltante/inválido", ""), IF(AND(A1330&lt;&gt;"", IFERROR(_xlfn.XMATCH(A1330,$A$2:$A$2509,0,1)&lt;&gt;_xlfn.XMATCH(A1330,$A$2:$A$2509,0,-1),FALSE)), "Código de barras duplicado", ""), IF(AND(E1330&lt;&gt;"", COUNTIF($E$2:$E$2509, E1330)&gt;1), "SKU duplicado", ""), IF(OR(J1330="", J1330=""), "[Aviso] División no capturada ()", IF(ISNA(MATCH(J1330, Criterios!$A$123:$A$126, 0)), "División no válida", "")), IF(OR(K1330="", K1330=""), "[Aviso] Categoría no capturada ()", IF(ISNA(MATCH(K1330, Criterios!$A$81:$A$120, 0)), "Categoría no válida", IF(AND(J1330&lt;&gt;"", J1330&lt;&gt;"", J1330&lt;&gt;VLOOKUP(K1330, Criterios!$A$81:$B$120, 2, FALSE)), "División no coincide con Categoría", ""))), IF(OR(L1330="", L1330=""), "[Aviso] Género no capturado ()", IF(ISNA(MATCH(L1330, Criterios!$B$123:$B$127, 0)), "Género no válido", "")), IF(OR(N1330="", N1330=""), "[Aviso] Temporada no capturada ()", IF(ISNA(MATCH(N1330, Criterios!$C$123:$C$128, 0)), "Temporada no válida", "")), IF(OR(O1330="", O1330=""), "[Aviso] Ciclo de vida no capturado ()", IF(ISNA(MATCH(O1330, Criterios!$D$123:$D$124, 0)), "Ciclo de vida no válido", ""))))</f>
        <v/>
      </c>
      <c r="AC1330" s="56" t="n"/>
      <c r="AD1330" s="51" t="n">
        <v>7</v>
      </c>
      <c r="AE1330" s="156" t="inlineStr">
        <is>
          <t>WB OUTLET LERMA (1); B25 STETSON.MX (6)</t>
        </is>
      </c>
      <c r="AF1330" s="51" t="n">
        <v>7</v>
      </c>
      <c r="AG1330" s="156" t="inlineStr">
        <is>
          <t>Catálogo existente</t>
        </is>
      </c>
      <c r="AH1330" s="156" t="inlineStr">
        <is>
          <t>Revisión 29/09/2026: Campos sin respaldo: S, U, X | 01/10/2026: complementado desde Shopify Stetson México (match por código de barras): WB Fit, WB Silueta, WB Descripción larga | 01/10/2026: complementado desde Shopify Western Brothers (match por código de barras): WB Descripción larga (más completa)</t>
        </is>
      </c>
      <c r="AI1330" s="156" t="inlineStr">
        <is>
          <t>No</t>
        </is>
      </c>
      <c r="AJ1330" s="156" t="n"/>
      <c r="AK1330" s="155" t="inlineStr">
        <is>
          <t>Criterios: I [Q] | Criterios: J [R] | Shopify Stetson: producto 15056328851819 / variante 53357911605611 | Shopify WB: producto 10310238798009 / variante 50512091807929</t>
        </is>
      </c>
      <c r="AL1330" s="58" t="n">
        <v>1028.017241</v>
      </c>
      <c r="AM1330" s="58" t="n">
        <v>2284.482759</v>
      </c>
      <c r="AN1330" s="155" t="inlineStr">
        <is>
          <t>Shopify Stetson México | Shopify Western Brothers</t>
        </is>
      </c>
      <c r="AO1330" s="59" t="n">
        <v>9</v>
      </c>
      <c r="AP1330" s="59" t="n">
        <v>1</v>
      </c>
      <c r="AQ1330" s="59" t="n"/>
      <c r="AR1330" s="155" t="inlineStr">
        <is>
          <t>Shopify Stetson México › Stetson México: 6 | Shopify Stetson México › Stetson Americas: 3 | Shopify Western Brothers › Western Brothers Outlet Lerma: 1</t>
        </is>
      </c>
    </row>
    <row r="1331">
      <c r="A1331" s="50" t="inlineStr">
        <is>
          <t>724303748611</t>
        </is>
      </c>
      <c r="B1331" s="51" t="inlineStr">
        <is>
          <t>109868</t>
        </is>
      </c>
      <c r="C1331" s="156" t="inlineStr">
        <is>
          <t>Multimarca</t>
        </is>
      </c>
      <c r="D1331" s="156" t="inlineStr">
        <is>
          <t>9928500-104</t>
        </is>
      </c>
      <c r="E1331" s="156" t="inlineStr">
        <is>
          <t>9928500-104-46</t>
        </is>
      </c>
      <c r="F1331" s="156" t="inlineStr">
        <is>
          <t>46</t>
        </is>
      </c>
      <c r="G1331" s="156" t="inlineStr">
        <is>
          <t>46</t>
        </is>
      </c>
      <c r="H1331" s="156" t="inlineStr">
        <is>
          <t>Stetson</t>
        </is>
      </c>
      <c r="I1331" s="156" t="inlineStr">
        <is>
          <t>Cinturón Stetson Caballero Natural</t>
        </is>
      </c>
      <c r="J1331" s="156" t="inlineStr">
        <is>
          <t>Accesorios</t>
        </is>
      </c>
      <c r="K1331" s="156" t="inlineStr">
        <is>
          <t>Cinturones</t>
        </is>
      </c>
      <c r="L1331" s="156" t="inlineStr">
        <is>
          <t>Hombre</t>
        </is>
      </c>
      <c r="M1331" s="156" t="inlineStr">
        <is>
          <t>Stetson</t>
        </is>
      </c>
      <c r="N1331" s="156" t="inlineStr">
        <is>
          <t>SS26</t>
        </is>
      </c>
      <c r="O1331" s="156" t="inlineStr">
        <is>
          <t>Seasonal</t>
        </is>
      </c>
      <c r="P1331" s="156" t="inlineStr">
        <is>
          <t>Beige</t>
        </is>
      </c>
      <c r="Q1331" s="156" t="n"/>
      <c r="R1331" s="156" t="n"/>
      <c r="S1331" s="156" t="n"/>
      <c r="T1331" s="156" t="inlineStr">
        <is>
          <t>Cinturón Stetson Caballero Natural. Color: Natural.</t>
        </is>
      </c>
      <c r="U1331" s="156" t="n"/>
      <c r="V1331" s="156" t="inlineStr">
        <is>
          <t>PZS</t>
        </is>
      </c>
      <c r="W1331" s="51" t="inlineStr">
        <is>
          <t>53102501</t>
        </is>
      </c>
      <c r="X1331" s="156" t="n"/>
      <c r="Y1331" s="54" t="n">
        <v>1028.017241</v>
      </c>
      <c r="Z1331" s="54" t="n">
        <v>2284.482759</v>
      </c>
      <c r="AA1331" s="55">
        <f>IF(AND(A1331="", B1331="", E1331=""), "", IF(AB1331="", "Válido", IF((LEN(AB1331)-LEN(SUBSTITUTE(AB1331,"; ","")))/2+1&gt;(LEN(AB1331)-LEN(SUBSTITUTE(AB1331,"[Aviso]","")))/7, "Con Incidencias", "Válido")))</f>
        <v/>
      </c>
      <c r="AB1331" s="56">
        <f>IF(AND(A1331="", B1331="", E1331=""), "", TEXTJOIN("; ", TRUE, IF(OR(TRIM(A1331&amp;"")="", ISNUMBER(SEARCH("FALTA", A1331))), "UPC faltante/inválido", ""), IF(AND(A1331&lt;&gt;"", IFERROR(_xlfn.XMATCH(A1331,$A$2:$A$2509,0,1)&lt;&gt;_xlfn.XMATCH(A1331,$A$2:$A$2509,0,-1),FALSE)), "Código de barras duplicado", ""), IF(AND(E1331&lt;&gt;"", COUNTIF($E$2:$E$2509, E1331)&gt;1), "SKU duplicado", ""), IF(OR(J1331="", J1331=""), "[Aviso] División no capturada ()", IF(ISNA(MATCH(J1331, Criterios!$A$123:$A$126, 0)), "División no válida", "")), IF(OR(K1331="", K1331=""), "[Aviso] Categoría no capturada ()", IF(ISNA(MATCH(K1331, Criterios!$A$81:$A$120, 0)), "Categoría no válida", IF(AND(J1331&lt;&gt;"", J1331&lt;&gt;"", J1331&lt;&gt;VLOOKUP(K1331, Criterios!$A$81:$B$120, 2, FALSE)), "División no coincide con Categoría", ""))), IF(OR(L1331="", L1331=""), "[Aviso] Género no capturado ()", IF(ISNA(MATCH(L1331, Criterios!$B$123:$B$127, 0)), "Género no válido", "")), IF(OR(N1331="", N1331=""), "[Aviso] Temporada no capturada ()", IF(ISNA(MATCH(N1331, Criterios!$C$123:$C$128, 0)), "Temporada no válida", "")), IF(OR(O1331="", O1331=""), "[Aviso] Ciclo de vida no capturado ()", IF(ISNA(MATCH(O1331, Criterios!$D$123:$D$124, 0)), "Ciclo de vida no válido", ""))))</f>
        <v/>
      </c>
      <c r="AC1331" s="56" t="n"/>
      <c r="AD1331" s="51" t="n">
        <v>3</v>
      </c>
      <c r="AE1331" s="156" t="inlineStr">
        <is>
          <t>B25 STETSON.MX (3)</t>
        </is>
      </c>
      <c r="AF1331" s="51" t="n">
        <v>3</v>
      </c>
      <c r="AG1331" s="156" t="inlineStr">
        <is>
          <t>Catálogo existente</t>
        </is>
      </c>
      <c r="AH1331" s="156" t="inlineStr">
        <is>
          <t>Revisión 29/09/2026: Campos sin respaldo: S, U, X | 01/10/2026: complementado desde Shopify Stetson México (match por código de barras): WB Fit, WB Silueta, WB Descripción larga</t>
        </is>
      </c>
      <c r="AI1331" s="156" t="inlineStr">
        <is>
          <t>No</t>
        </is>
      </c>
      <c r="AJ1331" s="156" t="n"/>
      <c r="AK1331" s="155" t="inlineStr">
        <is>
          <t>Criterios: I [Q] | Criterios: J [R] | Shopify Stetson: producto 15056328851819 / variante 53357911638379</t>
        </is>
      </c>
      <c r="AL1331" s="58" t="n">
        <v>1028.017241</v>
      </c>
      <c r="AM1331" s="58" t="n">
        <v>2284.482759</v>
      </c>
      <c r="AN1331" s="155" t="inlineStr">
        <is>
          <t>Shopify Stetson México</t>
        </is>
      </c>
      <c r="AO1331" s="59" t="n">
        <v>6</v>
      </c>
      <c r="AP1331" s="59" t="n"/>
      <c r="AQ1331" s="59" t="n"/>
      <c r="AR1331" s="155" t="inlineStr">
        <is>
          <t>Shopify Stetson México › Stetson México: 3 | Shopify Stetson México › Stetson Americas: 3</t>
        </is>
      </c>
    </row>
    <row r="1332">
      <c r="A1332" s="50" t="inlineStr">
        <is>
          <t>728028199888</t>
        </is>
      </c>
      <c r="B1332" s="51" t="inlineStr">
        <is>
          <t>117757</t>
        </is>
      </c>
      <c r="C1332" s="156" t="inlineStr">
        <is>
          <t>Multimarca</t>
        </is>
      </c>
      <c r="D1332" s="156" t="inlineStr">
        <is>
          <t>1360025</t>
        </is>
      </c>
      <c r="E1332" s="156" t="inlineStr">
        <is>
          <t>1360025</t>
        </is>
      </c>
      <c r="F1332" s="156" t="inlineStr">
        <is>
          <t>163 ml</t>
        </is>
      </c>
      <c r="G1332" s="156" t="inlineStr">
        <is>
          <t>5.5 fl oz</t>
        </is>
      </c>
      <c r="H1332" s="156" t="inlineStr">
        <is>
          <t>Stetson</t>
        </is>
      </c>
      <c r="I1332" s="156" t="inlineStr">
        <is>
          <t>Limpiador de sombreros Stetson</t>
        </is>
      </c>
      <c r="J1332" s="156" t="inlineStr">
        <is>
          <t>Accesorios</t>
        </is>
      </c>
      <c r="K1332" s="156" t="inlineStr">
        <is>
          <t>Cuidado de Sombreros</t>
        </is>
      </c>
      <c r="L1332" s="156" t="inlineStr">
        <is>
          <t>Unisex</t>
        </is>
      </c>
      <c r="M1332" s="156" t="inlineStr">
        <is>
          <t>Stetson</t>
        </is>
      </c>
      <c r="N1332" s="156" t="inlineStr">
        <is>
          <t>FW26</t>
        </is>
      </c>
      <c r="O1332" s="156" t="inlineStr">
        <is>
          <t>Core</t>
        </is>
      </c>
      <c r="P1332" s="156" t="inlineStr">
        <is>
          <t>Negro</t>
        </is>
      </c>
      <c r="Q1332" s="156" t="n"/>
      <c r="R1332" s="156" t="n"/>
      <c r="S1332" s="156" t="inlineStr">
        <is>
          <t>Químico limpiador</t>
        </is>
      </c>
      <c r="T1332" s="156" t="inlineStr">
        <is>
          <t>Limpiador de sombreros Stetson</t>
        </is>
      </c>
      <c r="U1332" s="156" t="inlineStr">
        <is>
          <t>Estados Unidos</t>
        </is>
      </c>
      <c r="V1332" s="156" t="inlineStr">
        <is>
          <t>PZS</t>
        </is>
      </c>
      <c r="W1332" s="51" t="inlineStr">
        <is>
          <t>47131800</t>
        </is>
      </c>
      <c r="X1332" s="156" t="n"/>
      <c r="Y1332" s="54" t="n">
        <v>157.5</v>
      </c>
      <c r="Z1332" s="54" t="n">
        <v>7068.965517</v>
      </c>
      <c r="AA1332" s="55">
        <f>IF(AND(A1332="", B1332="", E1332=""), "", IF(AB1332="", "Válido", IF((LEN(AB1332)-LEN(SUBSTITUTE(AB1332,"; ","")))/2+1&gt;(LEN(AB1332)-LEN(SUBSTITUTE(AB1332,"[Aviso]","")))/7, "Con Incidencias", "Válido")))</f>
        <v/>
      </c>
      <c r="AB1332" s="56">
        <f>IF(AND(A1332="", B1332="", E1332=""), "", TEXTJOIN("; ", TRUE, IF(OR(TRIM(A1332&amp;"")="", ISNUMBER(SEARCH("FALTA", A1332))), "UPC faltante/inválido", ""), IF(AND(A1332&lt;&gt;"", IFERROR(_xlfn.XMATCH(A1332,$A$2:$A$2509,0,1)&lt;&gt;_xlfn.XMATCH(A1332,$A$2:$A$2509,0,-1),FALSE)), "Código de barras duplicado", ""), IF(AND(E1332&lt;&gt;"", COUNTIF($E$2:$E$2509, E1332)&gt;1), "SKU duplicado", ""), IF(OR(J1332="", J1332=""), "[Aviso] División no capturada ()", IF(ISNA(MATCH(J1332, Criterios!$A$123:$A$126, 0)), "División no válida", "")), IF(OR(K1332="", K1332=""), "[Aviso] Categoría no capturada ()", IF(ISNA(MATCH(K1332, Criterios!$A$81:$A$120, 0)), "Categoría no válida", IF(AND(J1332&lt;&gt;"", J1332&lt;&gt;"", J1332&lt;&gt;VLOOKUP(K1332, Criterios!$A$81:$B$120, 2, FALSE)), "División no coincide con Categoría", ""))), IF(OR(L1332="", L1332=""), "[Aviso] Género no capturado ()", IF(ISNA(MATCH(L1332, Criterios!$B$123:$B$127, 0)), "Género no válido", "")), IF(OR(N1332="", N1332=""), "[Aviso] Temporada no capturada ()", IF(ISNA(MATCH(N1332, Criterios!$C$123:$C$128, 0)), "Temporada no válida", "")), IF(OR(O1332="", O1332=""), "[Aviso] Ciclo de vida no capturado ()", IF(ISNA(MATCH(O1332, Criterios!$D$123:$D$124, 0)), "Ciclo de vida no válido", ""))))</f>
        <v/>
      </c>
      <c r="AC1332" s="56" t="n"/>
      <c r="AD1332" s="51" t="n">
        <v>0</v>
      </c>
      <c r="AE1332" s="156" t="n"/>
      <c r="AF1332" s="51" t="n">
        <v>0</v>
      </c>
      <c r="AG1332" s="156" t="inlineStr">
        <is>
          <t>Catálogo existente</t>
        </is>
      </c>
      <c r="AH1332" s="156" t="inlineStr">
        <is>
          <t>Revisión 29/09/2026: Campos sin respaldo: X; Auditoría NetSuite 30/09/2026: llenado desde NetSuite [U,S] | Homologación G1522 06/10/2026: WB País de origen: «US» → «Estados Unidos» (Corrección aplicada)</t>
        </is>
      </c>
      <c r="AI1332" s="156" t="inlineStr">
        <is>
          <t>No</t>
        </is>
      </c>
      <c r="AJ1332" s="156" t="n"/>
      <c r="AK1332" s="155" t="inlineStr">
        <is>
          <t>Criterios: I [Q] | Criterios: J [R] | Descripción del registro fuente [T]; G1522_Extraccion_Articulos_NetSuite_2026-09-30.xlsx: fila 64005 [U,S]</t>
        </is>
      </c>
      <c r="AL1332" s="58" t="n">
        <v>157.5</v>
      </c>
      <c r="AM1332" s="58" t="n">
        <v>7068.965517</v>
      </c>
      <c r="AN1332" s="155" t="n"/>
      <c r="AO1332" s="59" t="n"/>
      <c r="AP1332" s="59" t="n"/>
      <c r="AQ1332" s="59" t="n"/>
      <c r="AR1332" s="155" t="n"/>
    </row>
    <row r="1333">
      <c r="A1333" s="50" t="inlineStr">
        <is>
          <t>7506136303129</t>
        </is>
      </c>
      <c r="B1333" s="51" t="inlineStr">
        <is>
          <t>110247</t>
        </is>
      </c>
      <c r="C1333" s="156" t="inlineStr">
        <is>
          <t>Multimarca</t>
        </is>
      </c>
      <c r="D1333" s="156" t="inlineStr">
        <is>
          <t>STS02</t>
        </is>
      </c>
      <c r="E1333" s="156" t="inlineStr">
        <is>
          <t>STS02</t>
        </is>
      </c>
      <c r="F1333" s="156" t="inlineStr">
        <is>
          <t>Talla única</t>
        </is>
      </c>
      <c r="G1333" s="156" t="inlineStr">
        <is>
          <t>One Size</t>
        </is>
      </c>
      <c r="H1333" s="156" t="inlineStr">
        <is>
          <t>Stetson</t>
        </is>
      </c>
      <c r="I1333" s="156" t="inlineStr">
        <is>
          <t>Gorra Stetson Trucker Café</t>
        </is>
      </c>
      <c r="J1333" s="156" t="inlineStr">
        <is>
          <t>Accesorios</t>
        </is>
      </c>
      <c r="K1333" s="156" t="inlineStr">
        <is>
          <t>Gorras</t>
        </is>
      </c>
      <c r="L1333" s="156" t="inlineStr">
        <is>
          <t>Hombre</t>
        </is>
      </c>
      <c r="M1333" s="156" t="inlineStr">
        <is>
          <t>Stetson</t>
        </is>
      </c>
      <c r="N1333" s="156" t="inlineStr">
        <is>
          <t>SS26</t>
        </is>
      </c>
      <c r="O1333" s="156" t="inlineStr">
        <is>
          <t>Seasonal</t>
        </is>
      </c>
      <c r="P1333" s="156" t="inlineStr">
        <is>
          <t>Cafe</t>
        </is>
      </c>
      <c r="Q1333" s="156" t="n"/>
      <c r="R1333" s="156" t="n"/>
      <c r="S1333" s="156" t="inlineStr">
        <is>
          <t>50% Algod</t>
        </is>
      </c>
      <c r="T1333"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3" s="156" t="n"/>
      <c r="V1333" s="156" t="inlineStr">
        <is>
          <t>PZS</t>
        </is>
      </c>
      <c r="W1333" s="51" t="inlineStr">
        <is>
          <t>53102516</t>
        </is>
      </c>
      <c r="X1333" s="156" t="inlineStr">
        <is>
          <t>https://cdn.shopify.com/s/files/1/0888/3250/8267/files/STS02-01.jpg?v=1758736722</t>
        </is>
      </c>
      <c r="Y1333" s="54" t="n">
        <v>310.3448276</v>
      </c>
      <c r="Z1333" s="54" t="n">
        <v>689.6551724</v>
      </c>
      <c r="AA1333" s="55">
        <f>IF(AND(A1333="", B1333="", E1333=""), "", IF(AB1333="", "Válido", IF((LEN(AB1333)-LEN(SUBSTITUTE(AB1333,"; ","")))/2+1&gt;(LEN(AB1333)-LEN(SUBSTITUTE(AB1333,"[Aviso]","")))/7, "Con Incidencias", "Válido")))</f>
        <v/>
      </c>
      <c r="AB1333" s="56">
        <f>IF(AND(A1333="", B1333="", E1333=""), "", TEXTJOIN("; ", TRUE, IF(OR(TRIM(A1333&amp;"")="", ISNUMBER(SEARCH("FALTA", A1333))), "UPC faltante/inválido", ""), IF(AND(A1333&lt;&gt;"", IFERROR(_xlfn.XMATCH(A1333,$A$2:$A$2509,0,1)&lt;&gt;_xlfn.XMATCH(A1333,$A$2:$A$2509,0,-1),FALSE)), "Código de barras duplicado", ""), IF(AND(E1333&lt;&gt;"", COUNTIF($E$2:$E$2509, E1333)&gt;1), "SKU duplicado", ""), IF(OR(J1333="", J1333=""), "[Aviso] División no capturada ()", IF(ISNA(MATCH(J1333, Criterios!$A$123:$A$126, 0)), "División no válida", "")), IF(OR(K1333="", K1333=""), "[Aviso] Categoría no capturada ()", IF(ISNA(MATCH(K1333, Criterios!$A$81:$A$120, 0)), "Categoría no válida", IF(AND(J1333&lt;&gt;"", J1333&lt;&gt;"", J1333&lt;&gt;VLOOKUP(K1333, Criterios!$A$81:$B$120, 2, FALSE)), "División no coincide con Categoría", ""))), IF(OR(L1333="", L1333=""), "[Aviso] Género no capturado ()", IF(ISNA(MATCH(L1333, Criterios!$B$123:$B$127, 0)), "Género no válido", "")), IF(OR(N1333="", N1333=""), "[Aviso] Temporada no capturada ()", IF(ISNA(MATCH(N1333, Criterios!$C$123:$C$128, 0)), "Temporada no válida", "")), IF(OR(O1333="", O1333=""), "[Aviso] Ciclo de vida no capturado ()", IF(ISNA(MATCH(O1333, Criterios!$D$123:$D$124, 0)), "Ciclo de vida no válido", ""))))</f>
        <v/>
      </c>
      <c r="AC1333" s="56" t="n"/>
      <c r="AD1333" s="51" t="n">
        <v>-2</v>
      </c>
      <c r="AE1333" s="156" t="n"/>
      <c r="AF1333" s="51" t="n">
        <v>0</v>
      </c>
      <c r="AG1333" s="156" t="inlineStr">
        <is>
          <t>Catálogo existente</t>
        </is>
      </c>
      <c r="AH1333"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3" s="156" t="inlineStr">
        <is>
          <t>Sí</t>
        </is>
      </c>
      <c r="AJ1333" s="156" t="inlineStr">
        <is>
          <t>STETSON AMERICAS (-2)</t>
        </is>
      </c>
      <c r="AK1333" s="155" t="inlineStr">
        <is>
          <t>Criterios: I [Q] | Criterios: J [R]; G1522_Extraccion_Articulos_NetSuite_2026-09-30.xlsx: fila 58062 [S] | Shopify Stetson: producto 14629180834155 / variante 51711202394475</t>
        </is>
      </c>
      <c r="AL1333" s="58" t="n">
        <v>310.3448276</v>
      </c>
      <c r="AM1333" s="58" t="n">
        <v>689.6551724</v>
      </c>
      <c r="AN1333" s="155" t="inlineStr">
        <is>
          <t>Shopify Stetson México</t>
        </is>
      </c>
      <c r="AO1333" s="59" t="n">
        <v>0</v>
      </c>
      <c r="AP1333" s="59" t="n"/>
      <c r="AQ1333" s="59" t="n"/>
      <c r="AR1333" s="155" t="n"/>
    </row>
    <row r="1334">
      <c r="A1334" s="50" t="inlineStr">
        <is>
          <t>7506136303136</t>
        </is>
      </c>
      <c r="B1334" s="51" t="inlineStr">
        <is>
          <t>107402</t>
        </is>
      </c>
      <c r="C1334" s="156" t="inlineStr">
        <is>
          <t>Multimarca</t>
        </is>
      </c>
      <c r="D1334" s="156" t="inlineStr">
        <is>
          <t>STS03</t>
        </is>
      </c>
      <c r="E1334" s="156" t="inlineStr">
        <is>
          <t>STS03</t>
        </is>
      </c>
      <c r="F1334" s="156" t="inlineStr">
        <is>
          <t>Talla única</t>
        </is>
      </c>
      <c r="G1334" s="156" t="inlineStr">
        <is>
          <t>One Size</t>
        </is>
      </c>
      <c r="H1334" s="156" t="inlineStr">
        <is>
          <t>Stetson</t>
        </is>
      </c>
      <c r="I1334" s="156" t="inlineStr">
        <is>
          <t>Gorra Stetson Trucker Gris / Rojo</t>
        </is>
      </c>
      <c r="J1334" s="156" t="inlineStr">
        <is>
          <t>Accesorios</t>
        </is>
      </c>
      <c r="K1334" s="156" t="inlineStr">
        <is>
          <t>Gorras</t>
        </is>
      </c>
      <c r="L1334" s="156" t="inlineStr">
        <is>
          <t>Hombre</t>
        </is>
      </c>
      <c r="M1334" s="156" t="inlineStr">
        <is>
          <t>Stetson</t>
        </is>
      </c>
      <c r="N1334" s="156" t="inlineStr">
        <is>
          <t>SS26</t>
        </is>
      </c>
      <c r="O1334" s="156" t="inlineStr">
        <is>
          <t>Seasonal</t>
        </is>
      </c>
      <c r="P1334" s="156" t="inlineStr">
        <is>
          <t>Gris</t>
        </is>
      </c>
      <c r="Q1334" s="156" t="n"/>
      <c r="R1334" s="156" t="n"/>
      <c r="S1334" s="156" t="inlineStr">
        <is>
          <t>50% Algod</t>
        </is>
      </c>
      <c r="T1334"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4" s="156" t="n"/>
      <c r="V1334" s="156" t="inlineStr">
        <is>
          <t>PZS</t>
        </is>
      </c>
      <c r="W1334" s="51" t="inlineStr">
        <is>
          <t>53102516</t>
        </is>
      </c>
      <c r="X1334" s="156" t="inlineStr">
        <is>
          <t>https://cdn.shopify.com/s/files/1/0888/3250/8267/files/STS03-01.jpg?v=1758736739</t>
        </is>
      </c>
      <c r="Y1334" s="54" t="n">
        <v>258.62</v>
      </c>
      <c r="Z1334" s="54" t="n">
        <v>430.1724138</v>
      </c>
      <c r="AA1334" s="55">
        <f>IF(AND(A1334="", B1334="", E1334=""), "", IF(AB1334="", "Válido", IF((LEN(AB1334)-LEN(SUBSTITUTE(AB1334,"; ","")))/2+1&gt;(LEN(AB1334)-LEN(SUBSTITUTE(AB1334,"[Aviso]","")))/7, "Con Incidencias", "Válido")))</f>
        <v/>
      </c>
      <c r="AB1334" s="56">
        <f>IF(AND(A1334="", B1334="", E1334=""), "", TEXTJOIN("; ", TRUE, IF(OR(TRIM(A1334&amp;"")="", ISNUMBER(SEARCH("FALTA", A1334))), "UPC faltante/inválido", ""), IF(AND(A1334&lt;&gt;"", IFERROR(_xlfn.XMATCH(A1334,$A$2:$A$2509,0,1)&lt;&gt;_xlfn.XMATCH(A1334,$A$2:$A$2509,0,-1),FALSE)), "Código de barras duplicado", ""), IF(AND(E1334&lt;&gt;"", COUNTIF($E$2:$E$2509, E1334)&gt;1), "SKU duplicado", ""), IF(OR(J1334="", J1334=""), "[Aviso] División no capturada ()", IF(ISNA(MATCH(J1334, Criterios!$A$123:$A$126, 0)), "División no válida", "")), IF(OR(K1334="", K1334=""), "[Aviso] Categoría no capturada ()", IF(ISNA(MATCH(K1334, Criterios!$A$81:$A$120, 0)), "Categoría no válida", IF(AND(J1334&lt;&gt;"", J1334&lt;&gt;"", J1334&lt;&gt;VLOOKUP(K1334, Criterios!$A$81:$B$120, 2, FALSE)), "División no coincide con Categoría", ""))), IF(OR(L1334="", L1334=""), "[Aviso] Género no capturado ()", IF(ISNA(MATCH(L1334, Criterios!$B$123:$B$127, 0)), "Género no válido", "")), IF(OR(N1334="", N1334=""), "[Aviso] Temporada no capturada ()", IF(ISNA(MATCH(N1334, Criterios!$C$123:$C$128, 0)), "Temporada no válida", "")), IF(OR(O1334="", O1334=""), "[Aviso] Ciclo de vida no capturado ()", IF(ISNA(MATCH(O1334, Criterios!$D$123:$D$124, 0)), "Ciclo de vida no válido", ""))))</f>
        <v/>
      </c>
      <c r="AC1334" s="56" t="n"/>
      <c r="AD1334" s="51" t="n">
        <v>7</v>
      </c>
      <c r="AE1334" s="156" t="inlineStr">
        <is>
          <t>B25 STETSON.MX (7)</t>
        </is>
      </c>
      <c r="AF1334" s="51" t="n">
        <v>7</v>
      </c>
      <c r="AG1334" s="156" t="inlineStr">
        <is>
          <t>Catálogo existente</t>
        </is>
      </c>
      <c r="AH1334" s="156" t="inlineStr">
        <is>
          <t>Revisión 29/09/2026: Campos sin respaldo: U; Auditoría NetSuite 30/09/2026: llenado desde NetSuite [S] | 01/10/2026: complementado desde Shopify Stetson México (match por código de barras): WB Fit, WB Silueta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1334" s="156" t="inlineStr">
        <is>
          <t>No</t>
        </is>
      </c>
      <c r="AJ1334" s="156" t="n"/>
      <c r="AK1334" s="155" t="inlineStr">
        <is>
          <t>Criterios: I [Q] | Criterios: J [R]; G1522_Extraccion_Articulos_NetSuite_2026-09-30.xlsx: fila 55898 [S] | Shopify Stetson: producto 14629183881579 / variante 51711209537899 | Shopify WB: producto 8469287043257 / variante 46869084504249</t>
        </is>
      </c>
      <c r="AL1334" s="58" t="n">
        <v>258.62</v>
      </c>
      <c r="AM1334" s="58" t="n">
        <v>430.1724138</v>
      </c>
      <c r="AN1334" s="155" t="inlineStr">
        <is>
          <t>Shopify Stetson México | Shopify Western Brothers</t>
        </is>
      </c>
      <c r="AO1334" s="59" t="n">
        <v>7</v>
      </c>
      <c r="AP1334" s="59" t="n">
        <v>0</v>
      </c>
      <c r="AQ1334" s="59" t="n"/>
      <c r="AR1334" s="155" t="inlineStr">
        <is>
          <t>Shopify Stetson México › Stetson México: 7</t>
        </is>
      </c>
    </row>
    <row r="1335">
      <c r="A1335" s="50" t="inlineStr">
        <is>
          <t>7506136303143</t>
        </is>
      </c>
      <c r="B1335" s="51" t="inlineStr">
        <is>
          <t>110248</t>
        </is>
      </c>
      <c r="C1335" s="156" t="inlineStr">
        <is>
          <t>Multimarca</t>
        </is>
      </c>
      <c r="D1335" s="156" t="inlineStr">
        <is>
          <t>STS04</t>
        </is>
      </c>
      <c r="E1335" s="156" t="inlineStr">
        <is>
          <t>STS04</t>
        </is>
      </c>
      <c r="F1335" s="156" t="inlineStr">
        <is>
          <t>Talla única</t>
        </is>
      </c>
      <c r="G1335" s="156" t="inlineStr">
        <is>
          <t>One Size</t>
        </is>
      </c>
      <c r="H1335" s="156" t="inlineStr">
        <is>
          <t>Stetson</t>
        </is>
      </c>
      <c r="I1335" s="156" t="inlineStr">
        <is>
          <t>Gorra Stetson Trucker Azul / Gris</t>
        </is>
      </c>
      <c r="J1335" s="156" t="inlineStr">
        <is>
          <t>Accesorios</t>
        </is>
      </c>
      <c r="K1335" s="156" t="inlineStr">
        <is>
          <t>Gorras</t>
        </is>
      </c>
      <c r="L1335" s="156" t="inlineStr">
        <is>
          <t>Hombre</t>
        </is>
      </c>
      <c r="M1335" s="156" t="inlineStr">
        <is>
          <t>Stetson</t>
        </is>
      </c>
      <c r="N1335" s="156" t="inlineStr">
        <is>
          <t>SS26</t>
        </is>
      </c>
      <c r="O1335" s="156" t="inlineStr">
        <is>
          <t>Seasonal</t>
        </is>
      </c>
      <c r="P1335" s="156" t="inlineStr">
        <is>
          <t>Azul</t>
        </is>
      </c>
      <c r="Q1335" s="156" t="n"/>
      <c r="R1335" s="156" t="n"/>
      <c r="S1335" s="156" t="inlineStr">
        <is>
          <t>50% Algod</t>
        </is>
      </c>
      <c r="T133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5" s="156" t="n"/>
      <c r="V1335" s="156" t="inlineStr">
        <is>
          <t>PZS</t>
        </is>
      </c>
      <c r="W1335" s="51" t="inlineStr">
        <is>
          <t>53102516</t>
        </is>
      </c>
      <c r="X1335" s="156" t="inlineStr">
        <is>
          <t>https://cdn.shopify.com/s/files/1/0888/3250/8267/files/STS04-01.jpg?v=1758736749</t>
        </is>
      </c>
      <c r="Y1335" s="54" t="n">
        <v>310.3448276</v>
      </c>
      <c r="Z1335" s="54" t="n">
        <v>689.6551724</v>
      </c>
      <c r="AA1335" s="55">
        <f>IF(AND(A1335="", B1335="", E1335=""), "", IF(AB1335="", "Válido", IF((LEN(AB1335)-LEN(SUBSTITUTE(AB1335,"; ","")))/2+1&gt;(LEN(AB1335)-LEN(SUBSTITUTE(AB1335,"[Aviso]","")))/7, "Con Incidencias", "Válido")))</f>
        <v/>
      </c>
      <c r="AB1335" s="56">
        <f>IF(AND(A1335="", B1335="", E1335=""), "", TEXTJOIN("; ", TRUE, IF(OR(TRIM(A1335&amp;"")="", ISNUMBER(SEARCH("FALTA", A1335))), "UPC faltante/inválido", ""), IF(AND(A1335&lt;&gt;"", IFERROR(_xlfn.XMATCH(A1335,$A$2:$A$2509,0,1)&lt;&gt;_xlfn.XMATCH(A1335,$A$2:$A$2509,0,-1),FALSE)), "Código de barras duplicado", ""), IF(AND(E1335&lt;&gt;"", COUNTIF($E$2:$E$2509, E1335)&gt;1), "SKU duplicado", ""), IF(OR(J1335="", J1335=""), "[Aviso] División no capturada ()", IF(ISNA(MATCH(J1335, Criterios!$A$123:$A$126, 0)), "División no válida", "")), IF(OR(K1335="", K1335=""), "[Aviso] Categoría no capturada ()", IF(ISNA(MATCH(K1335, Criterios!$A$81:$A$120, 0)), "Categoría no válida", IF(AND(J1335&lt;&gt;"", J1335&lt;&gt;"", J1335&lt;&gt;VLOOKUP(K1335, Criterios!$A$81:$B$120, 2, FALSE)), "División no coincide con Categoría", ""))), IF(OR(L1335="", L1335=""), "[Aviso] Género no capturado ()", IF(ISNA(MATCH(L1335, Criterios!$B$123:$B$127, 0)), "Género no válido", "")), IF(OR(N1335="", N1335=""), "[Aviso] Temporada no capturada ()", IF(ISNA(MATCH(N1335, Criterios!$C$123:$C$128, 0)), "Temporada no válida", "")), IF(OR(O1335="", O1335=""), "[Aviso] Ciclo de vida no capturado ()", IF(ISNA(MATCH(O1335, Criterios!$D$123:$D$124, 0)), "Ciclo de vida no válido", ""))))</f>
        <v/>
      </c>
      <c r="AC1335" s="56" t="n"/>
      <c r="AD1335" s="51" t="n">
        <v>3</v>
      </c>
      <c r="AE1335" s="156" t="inlineStr">
        <is>
          <t>B25 STETSON.MX (3)</t>
        </is>
      </c>
      <c r="AF1335" s="51" t="n">
        <v>3</v>
      </c>
      <c r="AG1335" s="156" t="inlineStr">
        <is>
          <t>Catálogo existente</t>
        </is>
      </c>
      <c r="AH133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5" s="156" t="inlineStr">
        <is>
          <t>No</t>
        </is>
      </c>
      <c r="AJ1335" s="156" t="n"/>
      <c r="AK1335" s="155" t="inlineStr">
        <is>
          <t>Criterios: I [Q] | Criterios: J [R]; G1522_Extraccion_Articulos_NetSuite_2026-09-30.xlsx: fila 58063 [S] | Shopify Stetson: producto 14629184110955 / variante 51711209603435</t>
        </is>
      </c>
      <c r="AL1335" s="58" t="n">
        <v>310.3448276</v>
      </c>
      <c r="AM1335" s="58" t="n">
        <v>689.6551724</v>
      </c>
      <c r="AN1335" s="155" t="inlineStr">
        <is>
          <t>Shopify Stetson México</t>
        </is>
      </c>
      <c r="AO1335" s="59" t="n">
        <v>3</v>
      </c>
      <c r="AP1335" s="59" t="n"/>
      <c r="AQ1335" s="59" t="n"/>
      <c r="AR1335" s="155" t="inlineStr">
        <is>
          <t>Shopify Stetson México › Stetson México: 3</t>
        </is>
      </c>
    </row>
    <row r="1336">
      <c r="A1336" s="50" t="inlineStr">
        <is>
          <t>7506136303150</t>
        </is>
      </c>
      <c r="B1336" s="51" t="inlineStr">
        <is>
          <t>107403</t>
        </is>
      </c>
      <c r="C1336" s="156" t="inlineStr">
        <is>
          <t>Multimarca</t>
        </is>
      </c>
      <c r="D1336" s="156" t="inlineStr">
        <is>
          <t>STS05</t>
        </is>
      </c>
      <c r="E1336" s="156" t="inlineStr">
        <is>
          <t>STS05</t>
        </is>
      </c>
      <c r="F1336" s="156" t="inlineStr">
        <is>
          <t>Talla única</t>
        </is>
      </c>
      <c r="G1336" s="156" t="inlineStr">
        <is>
          <t>One Size</t>
        </is>
      </c>
      <c r="H1336" s="156" t="inlineStr">
        <is>
          <t>Stetson</t>
        </is>
      </c>
      <c r="I1336" s="156" t="inlineStr">
        <is>
          <t>Gorra Stetson Trucker Vino / Gris</t>
        </is>
      </c>
      <c r="J1336" s="156" t="inlineStr">
        <is>
          <t>Accesorios</t>
        </is>
      </c>
      <c r="K1336" s="156" t="inlineStr">
        <is>
          <t>Gorras</t>
        </is>
      </c>
      <c r="L1336" s="156" t="inlineStr">
        <is>
          <t>Hombre</t>
        </is>
      </c>
      <c r="M1336" s="156" t="inlineStr">
        <is>
          <t>Stetson</t>
        </is>
      </c>
      <c r="N1336" s="156" t="inlineStr">
        <is>
          <t>SS26</t>
        </is>
      </c>
      <c r="O1336" s="156" t="inlineStr">
        <is>
          <t>Seasonal</t>
        </is>
      </c>
      <c r="P1336" s="156" t="inlineStr">
        <is>
          <t>Gris</t>
        </is>
      </c>
      <c r="Q1336" s="156" t="n"/>
      <c r="R1336" s="156" t="n"/>
      <c r="S1336" s="156" t="inlineStr">
        <is>
          <t>50% Algod</t>
        </is>
      </c>
      <c r="T1336"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6" s="156" t="n"/>
      <c r="V1336" s="156" t="inlineStr">
        <is>
          <t>PZS</t>
        </is>
      </c>
      <c r="W1336" s="51" t="inlineStr">
        <is>
          <t>53102516</t>
        </is>
      </c>
      <c r="X1336" s="156" t="inlineStr">
        <is>
          <t>https://cdn.shopify.com/s/files/1/0888/3250/8267/files/STS05-01.jpg?v=1758736766</t>
        </is>
      </c>
      <c r="Y1336" s="54" t="n">
        <v>258.62</v>
      </c>
      <c r="Z1336" s="54" t="n">
        <v>430.1724138</v>
      </c>
      <c r="AA1336" s="55">
        <f>IF(AND(A1336="", B1336="", E1336=""), "", IF(AB1336="", "Válido", IF((LEN(AB1336)-LEN(SUBSTITUTE(AB1336,"; ","")))/2+1&gt;(LEN(AB1336)-LEN(SUBSTITUTE(AB1336,"[Aviso]","")))/7, "Con Incidencias", "Válido")))</f>
        <v/>
      </c>
      <c r="AB1336" s="56">
        <f>IF(AND(A1336="", B1336="", E1336=""), "", TEXTJOIN("; ", TRUE, IF(OR(TRIM(A1336&amp;"")="", ISNUMBER(SEARCH("FALTA", A1336))), "UPC faltante/inválido", ""), IF(AND(A1336&lt;&gt;"", IFERROR(_xlfn.XMATCH(A1336,$A$2:$A$2509,0,1)&lt;&gt;_xlfn.XMATCH(A1336,$A$2:$A$2509,0,-1),FALSE)), "Código de barras duplicado", ""), IF(AND(E1336&lt;&gt;"", COUNTIF($E$2:$E$2509, E1336)&gt;1), "SKU duplicado", ""), IF(OR(J1336="", J1336=""), "[Aviso] División no capturada ()", IF(ISNA(MATCH(J1336, Criterios!$A$123:$A$126, 0)), "División no válida", "")), IF(OR(K1336="", K1336=""), "[Aviso] Categoría no capturada ()", IF(ISNA(MATCH(K1336, Criterios!$A$81:$A$120, 0)), "Categoría no válida", IF(AND(J1336&lt;&gt;"", J1336&lt;&gt;"", J1336&lt;&gt;VLOOKUP(K1336, Criterios!$A$81:$B$120, 2, FALSE)), "División no coincide con Categoría", ""))), IF(OR(L1336="", L1336=""), "[Aviso] Género no capturado ()", IF(ISNA(MATCH(L1336, Criterios!$B$123:$B$127, 0)), "Género no válido", "")), IF(OR(N1336="", N1336=""), "[Aviso] Temporada no capturada ()", IF(ISNA(MATCH(N1336, Criterios!$C$123:$C$128, 0)), "Temporada no válida", "")), IF(OR(O1336="", O1336=""), "[Aviso] Ciclo de vida no capturado ()", IF(ISNA(MATCH(O1336, Criterios!$D$123:$D$124, 0)), "Ciclo de vida no válido", ""))))</f>
        <v/>
      </c>
      <c r="AC1336" s="56" t="n"/>
      <c r="AD1336" s="51" t="n">
        <v>11</v>
      </c>
      <c r="AE1336" s="156" t="inlineStr">
        <is>
          <t>B25 STETSON.MX (11)</t>
        </is>
      </c>
      <c r="AF1336" s="51" t="n">
        <v>11</v>
      </c>
      <c r="AG1336" s="156" t="inlineStr">
        <is>
          <t>Catálogo existente</t>
        </is>
      </c>
      <c r="AH1336"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1336" s="156" t="inlineStr">
        <is>
          <t>No</t>
        </is>
      </c>
      <c r="AJ1336" s="156" t="n"/>
      <c r="AK1336" s="155" t="inlineStr">
        <is>
          <t>Criterios: I [Q] | Criterios: J [R]; G1522_Extraccion_Articulos_NetSuite_2026-09-30.xlsx: fila 55899 [S] | Shopify Stetson: producto 14629187223915 / variante 51711237489003 | Shopify WB: producto 8469287010489 / variante 46869084438713</t>
        </is>
      </c>
      <c r="AL1336" s="58" t="n">
        <v>258.62</v>
      </c>
      <c r="AM1336" s="58" t="n">
        <v>430.1724138</v>
      </c>
      <c r="AN1336" s="155" t="inlineStr">
        <is>
          <t>Shopify Stetson México | Shopify Western Brothers</t>
        </is>
      </c>
      <c r="AO1336" s="59" t="n">
        <v>11</v>
      </c>
      <c r="AP1336" s="59" t="n">
        <v>0</v>
      </c>
      <c r="AQ1336" s="59" t="n"/>
      <c r="AR1336" s="155" t="inlineStr">
        <is>
          <t>Shopify Stetson México › Stetson México: 11</t>
        </is>
      </c>
    </row>
    <row r="1337">
      <c r="A1337" s="50" t="inlineStr">
        <is>
          <t>7506136303174</t>
        </is>
      </c>
      <c r="B1337" s="51" t="inlineStr">
        <is>
          <t>110250</t>
        </is>
      </c>
      <c r="C1337" s="156" t="inlineStr">
        <is>
          <t>Multimarca</t>
        </is>
      </c>
      <c r="D1337" s="156" t="inlineStr">
        <is>
          <t>STS07</t>
        </is>
      </c>
      <c r="E1337" s="156" t="inlineStr">
        <is>
          <t>STS07</t>
        </is>
      </c>
      <c r="F1337" s="156" t="inlineStr">
        <is>
          <t>Talla única</t>
        </is>
      </c>
      <c r="G1337" s="156" t="inlineStr">
        <is>
          <t>One Size</t>
        </is>
      </c>
      <c r="H1337" s="156" t="inlineStr">
        <is>
          <t>Stetson</t>
        </is>
      </c>
      <c r="I1337" s="156" t="inlineStr">
        <is>
          <t>Gorra Stetson Gorrar Trucker Rojo / Azul</t>
        </is>
      </c>
      <c r="J1337" s="156" t="inlineStr">
        <is>
          <t>Accesorios</t>
        </is>
      </c>
      <c r="K1337" s="156" t="inlineStr">
        <is>
          <t>Gorras</t>
        </is>
      </c>
      <c r="L1337" s="156" t="inlineStr">
        <is>
          <t>Hombre</t>
        </is>
      </c>
      <c r="M1337" s="156" t="inlineStr">
        <is>
          <t>Stetson</t>
        </is>
      </c>
      <c r="N1337" s="156" t="inlineStr">
        <is>
          <t>SS26</t>
        </is>
      </c>
      <c r="O1337" s="156" t="inlineStr">
        <is>
          <t>Seasonal</t>
        </is>
      </c>
      <c r="P1337" s="156" t="inlineStr">
        <is>
          <t>Azul</t>
        </is>
      </c>
      <c r="Q1337" s="156" t="n"/>
      <c r="R1337" s="156" t="n"/>
      <c r="S1337" s="156" t="inlineStr">
        <is>
          <t>50% Algod</t>
        </is>
      </c>
      <c r="T133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7" s="156" t="n"/>
      <c r="V1337" s="156" t="inlineStr">
        <is>
          <t>PZS</t>
        </is>
      </c>
      <c r="W1337" s="51" t="inlineStr">
        <is>
          <t>53102516</t>
        </is>
      </c>
      <c r="X1337" s="156" t="inlineStr">
        <is>
          <t>https://cdn.shopify.com/s/files/1/0888/3250/8267/files/STS07-01.jpg?v=1758736820</t>
        </is>
      </c>
      <c r="Y1337" s="54" t="n">
        <v>310.3448276</v>
      </c>
      <c r="Z1337" s="54" t="n">
        <v>689.6551724</v>
      </c>
      <c r="AA1337" s="55">
        <f>IF(AND(A1337="", B1337="", E1337=""), "", IF(AB1337="", "Válido", IF((LEN(AB1337)-LEN(SUBSTITUTE(AB1337,"; ","")))/2+1&gt;(LEN(AB1337)-LEN(SUBSTITUTE(AB1337,"[Aviso]","")))/7, "Con Incidencias", "Válido")))</f>
        <v/>
      </c>
      <c r="AB1337" s="56">
        <f>IF(AND(A1337="", B1337="", E1337=""), "", TEXTJOIN("; ", TRUE, IF(OR(TRIM(A1337&amp;"")="", ISNUMBER(SEARCH("FALTA", A1337))), "UPC faltante/inválido", ""), IF(AND(A1337&lt;&gt;"", IFERROR(_xlfn.XMATCH(A1337,$A$2:$A$2509,0,1)&lt;&gt;_xlfn.XMATCH(A1337,$A$2:$A$2509,0,-1),FALSE)), "Código de barras duplicado", ""), IF(AND(E1337&lt;&gt;"", COUNTIF($E$2:$E$2509, E1337)&gt;1), "SKU duplicado", ""), IF(OR(J1337="", J1337=""), "[Aviso] División no capturada ()", IF(ISNA(MATCH(J1337, Criterios!$A$123:$A$126, 0)), "División no válida", "")), IF(OR(K1337="", K1337=""), "[Aviso] Categoría no capturada ()", IF(ISNA(MATCH(K1337, Criterios!$A$81:$A$120, 0)), "Categoría no válida", IF(AND(J1337&lt;&gt;"", J1337&lt;&gt;"", J1337&lt;&gt;VLOOKUP(K1337, Criterios!$A$81:$B$120, 2, FALSE)), "División no coincide con Categoría", ""))), IF(OR(L1337="", L1337=""), "[Aviso] Género no capturado ()", IF(ISNA(MATCH(L1337, Criterios!$B$123:$B$127, 0)), "Género no válido", "")), IF(OR(N1337="", N1337=""), "[Aviso] Temporada no capturada ()", IF(ISNA(MATCH(N1337, Criterios!$C$123:$C$128, 0)), "Temporada no válida", "")), IF(OR(O1337="", O1337=""), "[Aviso] Ciclo de vida no capturado ()", IF(ISNA(MATCH(O1337, Criterios!$D$123:$D$124, 0)), "Ciclo de vida no válido", ""))))</f>
        <v/>
      </c>
      <c r="AC1337" s="56" t="n"/>
      <c r="AD1337" s="51" t="n">
        <v>-3</v>
      </c>
      <c r="AE1337" s="156" t="n"/>
      <c r="AF1337" s="51" t="n">
        <v>0</v>
      </c>
      <c r="AG1337" s="156" t="inlineStr">
        <is>
          <t>Catálogo existente</t>
        </is>
      </c>
      <c r="AH1337"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 | Homologación G1522 06/10/2026: WB Composición: Los porcentajes no suman 100 % o el texto está truncado; confirmar con la etiqueta (Requiere revisión)</t>
        </is>
      </c>
      <c r="AI1337" s="156" t="inlineStr">
        <is>
          <t>Sí</t>
        </is>
      </c>
      <c r="AJ1337" s="156" t="inlineStr">
        <is>
          <t>STETSON AMERICAS (-3)</t>
        </is>
      </c>
      <c r="AK1337" s="155" t="inlineStr">
        <is>
          <t>Criterios: I [Q] | Criterios: J [R]; G1522_Extraccion_Articulos_NetSuite_2026-09-30.xlsx: fila 58065 [S] | Shopify Stetson: producto 14629197054315 / variante 51711335104875</t>
        </is>
      </c>
      <c r="AL1337" s="58" t="n">
        <v>310.3448276</v>
      </c>
      <c r="AM1337" s="58" t="n">
        <v>689.6551724</v>
      </c>
      <c r="AN1337" s="155" t="inlineStr">
        <is>
          <t>Shopify Stetson México</t>
        </is>
      </c>
      <c r="AO1337" s="59" t="n">
        <v>0</v>
      </c>
      <c r="AP1337" s="59" t="n"/>
      <c r="AQ1337" s="59" t="n"/>
      <c r="AR1337" s="155" t="n"/>
    </row>
    <row r="1338">
      <c r="A1338" s="50" t="inlineStr">
        <is>
          <t>7506136303204</t>
        </is>
      </c>
      <c r="B1338" s="51" t="inlineStr">
        <is>
          <t>110251</t>
        </is>
      </c>
      <c r="C1338" s="156" t="inlineStr">
        <is>
          <t>Multimarca</t>
        </is>
      </c>
      <c r="D1338" s="156" t="inlineStr">
        <is>
          <t>STS10</t>
        </is>
      </c>
      <c r="E1338" s="156" t="inlineStr">
        <is>
          <t>STS10</t>
        </is>
      </c>
      <c r="F1338" s="156" t="inlineStr">
        <is>
          <t>Talla única</t>
        </is>
      </c>
      <c r="G1338" s="156" t="inlineStr">
        <is>
          <t>One Size</t>
        </is>
      </c>
      <c r="H1338" s="156" t="inlineStr">
        <is>
          <t>Stetson</t>
        </is>
      </c>
      <c r="I1338" s="156" t="inlineStr">
        <is>
          <t>Gorra Stetson Trucker Beige / Café</t>
        </is>
      </c>
      <c r="J1338" s="156" t="inlineStr">
        <is>
          <t>Accesorios</t>
        </is>
      </c>
      <c r="K1338" s="156" t="inlineStr">
        <is>
          <t>Gorras</t>
        </is>
      </c>
      <c r="L1338" s="156" t="inlineStr">
        <is>
          <t>Hombre</t>
        </is>
      </c>
      <c r="M1338" s="156" t="inlineStr">
        <is>
          <t>Stetson</t>
        </is>
      </c>
      <c r="N1338" s="156" t="inlineStr">
        <is>
          <t>SS26</t>
        </is>
      </c>
      <c r="O1338" s="156" t="inlineStr">
        <is>
          <t>Seasonal</t>
        </is>
      </c>
      <c r="P1338" s="156" t="inlineStr">
        <is>
          <t>Beige</t>
        </is>
      </c>
      <c r="Q1338" s="156" t="n"/>
      <c r="R1338" s="156" t="n"/>
      <c r="S1338" s="156" t="inlineStr">
        <is>
          <t>50% Algod</t>
        </is>
      </c>
      <c r="T133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8" s="156" t="n"/>
      <c r="V1338" s="156" t="inlineStr">
        <is>
          <t>PZS</t>
        </is>
      </c>
      <c r="W1338" s="51" t="inlineStr">
        <is>
          <t>53102516</t>
        </is>
      </c>
      <c r="X1338" s="156" t="inlineStr">
        <is>
          <t>https://cdn.shopify.com/s/files/1/0888/3250/8267/files/STS10-01.jpg?v=1758736847</t>
        </is>
      </c>
      <c r="Y1338" s="54" t="n">
        <v>310.3448276</v>
      </c>
      <c r="Z1338" s="54" t="n">
        <v>689.6551724</v>
      </c>
      <c r="AA1338" s="55">
        <f>IF(AND(A1338="", B1338="", E1338=""), "", IF(AB1338="", "Válido", IF((LEN(AB1338)-LEN(SUBSTITUTE(AB1338,"; ","")))/2+1&gt;(LEN(AB1338)-LEN(SUBSTITUTE(AB1338,"[Aviso]","")))/7, "Con Incidencias", "Válido")))</f>
        <v/>
      </c>
      <c r="AB1338" s="56">
        <f>IF(AND(A1338="", B1338="", E1338=""), "", TEXTJOIN("; ", TRUE, IF(OR(TRIM(A1338&amp;"")="", ISNUMBER(SEARCH("FALTA", A1338))), "UPC faltante/inválido", ""), IF(AND(A1338&lt;&gt;"", IFERROR(_xlfn.XMATCH(A1338,$A$2:$A$2509,0,1)&lt;&gt;_xlfn.XMATCH(A1338,$A$2:$A$2509,0,-1),FALSE)), "Código de barras duplicado", ""), IF(AND(E1338&lt;&gt;"", COUNTIF($E$2:$E$2509, E1338)&gt;1), "SKU duplicado", ""), IF(OR(J1338="", J1338=""), "[Aviso] División no capturada ()", IF(ISNA(MATCH(J1338, Criterios!$A$123:$A$126, 0)), "División no válida", "")), IF(OR(K1338="", K1338=""), "[Aviso] Categoría no capturada ()", IF(ISNA(MATCH(K1338, Criterios!$A$81:$A$120, 0)), "Categoría no válida", IF(AND(J1338&lt;&gt;"", J1338&lt;&gt;"", J1338&lt;&gt;VLOOKUP(K1338, Criterios!$A$81:$B$120, 2, FALSE)), "División no coincide con Categoría", ""))), IF(OR(L1338="", L1338=""), "[Aviso] Género no capturado ()", IF(ISNA(MATCH(L1338, Criterios!$B$123:$B$127, 0)), "Género no válido", "")), IF(OR(N1338="", N1338=""), "[Aviso] Temporada no capturada ()", IF(ISNA(MATCH(N1338, Criterios!$C$123:$C$128, 0)), "Temporada no válida", "")), IF(OR(O1338="", O1338=""), "[Aviso] Ciclo de vida no capturado ()", IF(ISNA(MATCH(O1338, Criterios!$D$123:$D$124, 0)), "Ciclo de vida no válido", ""))))</f>
        <v/>
      </c>
      <c r="AC1338" s="56" t="n"/>
      <c r="AD1338" s="51" t="n">
        <v>-2</v>
      </c>
      <c r="AE1338" s="156" t="n"/>
      <c r="AF1338" s="51" t="n">
        <v>0</v>
      </c>
      <c r="AG1338" s="156" t="inlineStr">
        <is>
          <t>Catálogo existente</t>
        </is>
      </c>
      <c r="AH1338"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8" s="156" t="inlineStr">
        <is>
          <t>Sí</t>
        </is>
      </c>
      <c r="AJ1338" s="156" t="inlineStr">
        <is>
          <t>STETSON AMERICAS (-2)</t>
        </is>
      </c>
      <c r="AK1338" s="155" t="inlineStr">
        <is>
          <t>Criterios: I [Q] | Criterios: J [R]; G1522_Extraccion_Articulos_NetSuite_2026-09-30.xlsx: fila 58066 [S] | Shopify Stetson: producto 14629198037355 / variante 51711391662443</t>
        </is>
      </c>
      <c r="AL1338" s="58" t="n">
        <v>310.3448276</v>
      </c>
      <c r="AM1338" s="58" t="n">
        <v>689.6551724</v>
      </c>
      <c r="AN1338" s="155" t="inlineStr">
        <is>
          <t>Shopify Stetson México</t>
        </is>
      </c>
      <c r="AO1338" s="59" t="n">
        <v>0</v>
      </c>
      <c r="AP1338" s="59" t="n"/>
      <c r="AQ1338" s="59" t="n"/>
      <c r="AR1338" s="155" t="n"/>
    </row>
    <row r="1339">
      <c r="A1339" s="50" t="inlineStr">
        <is>
          <t>7506499569552</t>
        </is>
      </c>
      <c r="B1339" s="51" t="inlineStr">
        <is>
          <t>110410</t>
        </is>
      </c>
      <c r="C1339" s="156" t="inlineStr">
        <is>
          <t>Multimarca</t>
        </is>
      </c>
      <c r="D1339" s="156" t="inlineStr">
        <is>
          <t>ST-VR-SD-001-FW25-BM</t>
        </is>
      </c>
      <c r="E1339" s="156" t="inlineStr">
        <is>
          <t>ST-VR-SD-001-FW25-BM-S</t>
        </is>
      </c>
      <c r="F1339" s="156" t="inlineStr">
        <is>
          <t>S</t>
        </is>
      </c>
      <c r="G1339" s="156" t="inlineStr">
        <is>
          <t>S</t>
        </is>
      </c>
      <c r="H1339" s="156" t="inlineStr">
        <is>
          <t>Stetson</t>
        </is>
      </c>
      <c r="I1339" s="156" t="inlineStr">
        <is>
          <t>Camisa Stetson Vintage Range Denim</t>
        </is>
      </c>
      <c r="J1339" s="156" t="inlineStr">
        <is>
          <t>Ropa</t>
        </is>
      </c>
      <c r="K1339" s="156" t="inlineStr">
        <is>
          <t>Camisas</t>
        </is>
      </c>
      <c r="L1339" s="156" t="inlineStr">
        <is>
          <t>Hombre</t>
        </is>
      </c>
      <c r="M1339" s="156" t="inlineStr">
        <is>
          <t>Stetson</t>
        </is>
      </c>
      <c r="N1339" s="156" t="inlineStr">
        <is>
          <t>SS26</t>
        </is>
      </c>
      <c r="O1339" s="156" t="inlineStr">
        <is>
          <t>Seasonal</t>
        </is>
      </c>
      <c r="P1339" s="156" t="inlineStr">
        <is>
          <t>Azul</t>
        </is>
      </c>
      <c r="Q1339" s="156" t="inlineStr">
        <is>
          <t>Moderno</t>
        </is>
      </c>
      <c r="R1339" s="156" t="n"/>
      <c r="S1339" s="156" t="inlineStr">
        <is>
          <t>100% Algodón</t>
        </is>
      </c>
      <c r="T1339"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39" s="156" t="n"/>
      <c r="V1339" s="156" t="inlineStr">
        <is>
          <t>PZS</t>
        </is>
      </c>
      <c r="W1339" s="51" t="inlineStr">
        <is>
          <t>53101600</t>
        </is>
      </c>
      <c r="X1339" s="156" t="inlineStr">
        <is>
          <t>https://cdn.shopify.com/s/files/1/0888/3250/8267/files/ST-VR-SD-001-BM-01.jpg?v=1762209069</t>
        </is>
      </c>
      <c r="Y1339" s="54" t="n">
        <v>775.862069</v>
      </c>
      <c r="Z1339" s="54" t="n">
        <v>1724.137931</v>
      </c>
      <c r="AA1339" s="55">
        <f>IF(AND(A1339="", B1339="", E1339=""), "", IF(AB1339="", "Válido", IF((LEN(AB1339)-LEN(SUBSTITUTE(AB1339,"; ","")))/2+1&gt;(LEN(AB1339)-LEN(SUBSTITUTE(AB1339,"[Aviso]","")))/7, "Con Incidencias", "Válido")))</f>
        <v/>
      </c>
      <c r="AB1339" s="56">
        <f>IF(AND(A1339="", B1339="", E1339=""), "", TEXTJOIN("; ", TRUE, IF(OR(TRIM(A1339&amp;"")="", ISNUMBER(SEARCH("FALTA", A1339))), "UPC faltante/inválido", ""), IF(AND(A1339&lt;&gt;"", IFERROR(_xlfn.XMATCH(A1339,$A$2:$A$2509,0,1)&lt;&gt;_xlfn.XMATCH(A1339,$A$2:$A$2509,0,-1),FALSE)), "Código de barras duplicado", ""), IF(AND(E1339&lt;&gt;"", COUNTIF($E$2:$E$2509, E1339)&gt;1), "SKU duplicado", ""), IF(OR(J1339="", J1339=""), "[Aviso] División no capturada ()", IF(ISNA(MATCH(J1339, Criterios!$A$123:$A$126, 0)), "División no válida", "")), IF(OR(K1339="", K1339=""), "[Aviso] Categoría no capturada ()", IF(ISNA(MATCH(K1339, Criterios!$A$81:$A$120, 0)), "Categoría no válida", IF(AND(J1339&lt;&gt;"", J1339&lt;&gt;"", J1339&lt;&gt;VLOOKUP(K1339, Criterios!$A$81:$B$120, 2, FALSE)), "División no coincide con Categoría", ""))), IF(OR(L1339="", L1339=""), "[Aviso] Género no capturado ()", IF(ISNA(MATCH(L1339, Criterios!$B$123:$B$127, 0)), "Género no válido", "")), IF(OR(N1339="", N1339=""), "[Aviso] Temporada no capturada ()", IF(ISNA(MATCH(N1339, Criterios!$C$123:$C$128, 0)), "Temporada no válida", "")), IF(OR(O1339="", O1339=""), "[Aviso] Ciclo de vida no capturado ()", IF(ISNA(MATCH(O1339, Criterios!$D$123:$D$124, 0)), "Ciclo de vida no válido", ""))))</f>
        <v/>
      </c>
      <c r="AC1339" s="56" t="n"/>
      <c r="AD1339" s="51" t="n">
        <v>0</v>
      </c>
      <c r="AE1339" s="156" t="inlineStr">
        <is>
          <t>B25 STETSON.MX (4)</t>
        </is>
      </c>
      <c r="AF1339" s="51" t="n">
        <v>4</v>
      </c>
      <c r="AG1339" s="156" t="inlineStr">
        <is>
          <t>Catálogo existente</t>
        </is>
      </c>
      <c r="AH133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39" s="156" t="inlineStr">
        <is>
          <t>Sí</t>
        </is>
      </c>
      <c r="AJ1339" s="156" t="inlineStr">
        <is>
          <t>STETSON AMERICAS (-4)</t>
        </is>
      </c>
      <c r="AK1339" s="155" t="inlineStr">
        <is>
          <t>Criterios: J [R]; G1522_Extraccion_Articulos_NetSuite_2026-09-30.xlsx: fila 58225 [S] | Shopify Stetson: producto 14813175218539 / variante 53350598672747</t>
        </is>
      </c>
      <c r="AL1339" s="58" t="n">
        <v>775.862069</v>
      </c>
      <c r="AM1339" s="58" t="n">
        <v>1724.137931</v>
      </c>
      <c r="AN1339" s="155" t="inlineStr">
        <is>
          <t>Shopify Stetson México</t>
        </is>
      </c>
      <c r="AO1339" s="59" t="n">
        <v>4</v>
      </c>
      <c r="AP1339" s="59" t="n"/>
      <c r="AQ1339" s="59" t="n"/>
      <c r="AR1339" s="155" t="inlineStr">
        <is>
          <t>Shopify Stetson México › Stetson México: 4</t>
        </is>
      </c>
    </row>
    <row r="1340">
      <c r="A1340" s="50" t="inlineStr">
        <is>
          <t>7506499569569</t>
        </is>
      </c>
      <c r="B1340" s="51" t="inlineStr">
        <is>
          <t>110411</t>
        </is>
      </c>
      <c r="C1340" s="156" t="inlineStr">
        <is>
          <t>Multimarca</t>
        </is>
      </c>
      <c r="D1340" s="156" t="inlineStr">
        <is>
          <t>ST-VR-SD-001-FW25-BM</t>
        </is>
      </c>
      <c r="E1340" s="156" t="inlineStr">
        <is>
          <t>ST-VR-SD-001-FW25-BM-M</t>
        </is>
      </c>
      <c r="F1340" s="156" t="inlineStr">
        <is>
          <t>M</t>
        </is>
      </c>
      <c r="G1340" s="156" t="inlineStr">
        <is>
          <t>M</t>
        </is>
      </c>
      <c r="H1340" s="156" t="inlineStr">
        <is>
          <t>Stetson</t>
        </is>
      </c>
      <c r="I1340" s="156" t="inlineStr">
        <is>
          <t>Camisa Stetson Vintage Range Denim</t>
        </is>
      </c>
      <c r="J1340" s="156" t="inlineStr">
        <is>
          <t>Ropa</t>
        </is>
      </c>
      <c r="K1340" s="156" t="inlineStr">
        <is>
          <t>Camisas</t>
        </is>
      </c>
      <c r="L1340" s="156" t="inlineStr">
        <is>
          <t>Hombre</t>
        </is>
      </c>
      <c r="M1340" s="156" t="inlineStr">
        <is>
          <t>Stetson</t>
        </is>
      </c>
      <c r="N1340" s="156" t="inlineStr">
        <is>
          <t>SS26</t>
        </is>
      </c>
      <c r="O1340" s="156" t="inlineStr">
        <is>
          <t>Seasonal</t>
        </is>
      </c>
      <c r="P1340" s="156" t="inlineStr">
        <is>
          <t>Azul</t>
        </is>
      </c>
      <c r="Q1340" s="156" t="inlineStr">
        <is>
          <t>Moderno</t>
        </is>
      </c>
      <c r="R1340" s="156" t="n"/>
      <c r="S1340" s="156" t="inlineStr">
        <is>
          <t>100% Algodón</t>
        </is>
      </c>
      <c r="T1340"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0" s="156" t="n"/>
      <c r="V1340" s="156" t="inlineStr">
        <is>
          <t>PZS</t>
        </is>
      </c>
      <c r="W1340" s="51" t="inlineStr">
        <is>
          <t>53101600</t>
        </is>
      </c>
      <c r="X1340" s="156" t="inlineStr">
        <is>
          <t>https://cdn.shopify.com/s/files/1/0888/3250/8267/files/ST-VR-SD-001-BM-02.jpg?v=1762209069</t>
        </is>
      </c>
      <c r="Y1340" s="54" t="n">
        <v>775.862069</v>
      </c>
      <c r="Z1340" s="54" t="n">
        <v>1724.137931</v>
      </c>
      <c r="AA1340" s="55">
        <f>IF(AND(A1340="", B1340="", E1340=""), "", IF(AB1340="", "Válido", IF((LEN(AB1340)-LEN(SUBSTITUTE(AB1340,"; ","")))/2+1&gt;(LEN(AB1340)-LEN(SUBSTITUTE(AB1340,"[Aviso]","")))/7, "Con Incidencias", "Válido")))</f>
        <v/>
      </c>
      <c r="AB1340" s="56">
        <f>IF(AND(A1340="", B1340="", E1340=""), "", TEXTJOIN("; ", TRUE, IF(OR(TRIM(A1340&amp;"")="", ISNUMBER(SEARCH("FALTA", A1340))), "UPC faltante/inválido", ""), IF(AND(A1340&lt;&gt;"", IFERROR(_xlfn.XMATCH(A1340,$A$2:$A$2509,0,1)&lt;&gt;_xlfn.XMATCH(A1340,$A$2:$A$2509,0,-1),FALSE)), "Código de barras duplicado", ""), IF(AND(E1340&lt;&gt;"", COUNTIF($E$2:$E$2509, E1340)&gt;1), "SKU duplicado", ""), IF(OR(J1340="", J1340=""), "[Aviso] División no capturada ()", IF(ISNA(MATCH(J1340, Criterios!$A$123:$A$126, 0)), "División no válida", "")), IF(OR(K1340="", K1340=""), "[Aviso] Categoría no capturada ()", IF(ISNA(MATCH(K1340, Criterios!$A$81:$A$120, 0)), "Categoría no válida", IF(AND(J1340&lt;&gt;"", J1340&lt;&gt;"", J1340&lt;&gt;VLOOKUP(K1340, Criterios!$A$81:$B$120, 2, FALSE)), "División no coincide con Categoría", ""))), IF(OR(L1340="", L1340=""), "[Aviso] Género no capturado ()", IF(ISNA(MATCH(L1340, Criterios!$B$123:$B$127, 0)), "Género no válido", "")), IF(OR(N1340="", N1340=""), "[Aviso] Temporada no capturada ()", IF(ISNA(MATCH(N1340, Criterios!$C$123:$C$128, 0)), "Temporada no válida", "")), IF(OR(O1340="", O1340=""), "[Aviso] Ciclo de vida no capturado ()", IF(ISNA(MATCH(O1340, Criterios!$D$123:$D$124, 0)), "Ciclo de vida no válido", ""))))</f>
        <v/>
      </c>
      <c r="AC1340" s="56" t="n"/>
      <c r="AD1340" s="51" t="n">
        <v>1</v>
      </c>
      <c r="AE1340" s="156" t="inlineStr">
        <is>
          <t>B25 STETSON.MX (5)</t>
        </is>
      </c>
      <c r="AF1340" s="51" t="n">
        <v>5</v>
      </c>
      <c r="AG1340" s="156" t="inlineStr">
        <is>
          <t>Catálogo existente</t>
        </is>
      </c>
      <c r="AH134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0" s="156" t="inlineStr">
        <is>
          <t>Sí</t>
        </is>
      </c>
      <c r="AJ1340" s="156" t="inlineStr">
        <is>
          <t>STETSON AMERICAS (-4)</t>
        </is>
      </c>
      <c r="AK1340" s="155" t="inlineStr">
        <is>
          <t>Criterios: J [R]; G1522_Extraccion_Articulos_NetSuite_2026-09-30.xlsx: fila 58226 [S] | Shopify Stetson: producto 14813175218539 / variante 53350598705515</t>
        </is>
      </c>
      <c r="AL1340" s="58" t="n">
        <v>775.862069</v>
      </c>
      <c r="AM1340" s="58" t="n">
        <v>1724.137931</v>
      </c>
      <c r="AN1340" s="155" t="inlineStr">
        <is>
          <t>Shopify Stetson México</t>
        </is>
      </c>
      <c r="AO1340" s="59" t="n">
        <v>5</v>
      </c>
      <c r="AP1340" s="59" t="n"/>
      <c r="AQ1340" s="59" t="n"/>
      <c r="AR1340" s="155" t="inlineStr">
        <is>
          <t>Shopify Stetson México › Stetson México: 5</t>
        </is>
      </c>
    </row>
    <row r="1341">
      <c r="A1341" s="50" t="inlineStr">
        <is>
          <t>7506499569576</t>
        </is>
      </c>
      <c r="B1341" s="51" t="inlineStr">
        <is>
          <t>110412</t>
        </is>
      </c>
      <c r="C1341" s="156" t="inlineStr">
        <is>
          <t>Multimarca</t>
        </is>
      </c>
      <c r="D1341" s="156" t="inlineStr">
        <is>
          <t>ST-VR-SD-001-FW25-BM</t>
        </is>
      </c>
      <c r="E1341" s="156" t="inlineStr">
        <is>
          <t>ST-VR-SD-001-FW25-BM-L</t>
        </is>
      </c>
      <c r="F1341" s="156" t="inlineStr">
        <is>
          <t>L</t>
        </is>
      </c>
      <c r="G1341" s="156" t="inlineStr">
        <is>
          <t>L</t>
        </is>
      </c>
      <c r="H1341" s="156" t="inlineStr">
        <is>
          <t>Stetson</t>
        </is>
      </c>
      <c r="I1341" s="156" t="inlineStr">
        <is>
          <t>Camisa Stetson Vintage Range Denim</t>
        </is>
      </c>
      <c r="J1341" s="156" t="inlineStr">
        <is>
          <t>Ropa</t>
        </is>
      </c>
      <c r="K1341" s="156" t="inlineStr">
        <is>
          <t>Camisas</t>
        </is>
      </c>
      <c r="L1341" s="156" t="inlineStr">
        <is>
          <t>Hombre</t>
        </is>
      </c>
      <c r="M1341" s="156" t="inlineStr">
        <is>
          <t>Stetson</t>
        </is>
      </c>
      <c r="N1341" s="156" t="inlineStr">
        <is>
          <t>SS26</t>
        </is>
      </c>
      <c r="O1341" s="156" t="inlineStr">
        <is>
          <t>Seasonal</t>
        </is>
      </c>
      <c r="P1341" s="156" t="inlineStr">
        <is>
          <t>Azul</t>
        </is>
      </c>
      <c r="Q1341" s="156" t="inlineStr">
        <is>
          <t>Moderno</t>
        </is>
      </c>
      <c r="R1341" s="156" t="n"/>
      <c r="S1341" s="156" t="inlineStr">
        <is>
          <t>100% Algodón</t>
        </is>
      </c>
      <c r="T1341"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1" s="156" t="n"/>
      <c r="V1341" s="156" t="inlineStr">
        <is>
          <t>PZS</t>
        </is>
      </c>
      <c r="W1341" s="51" t="inlineStr">
        <is>
          <t>53101600</t>
        </is>
      </c>
      <c r="X1341" s="156" t="inlineStr">
        <is>
          <t>https://cdn.shopify.com/s/files/1/0888/3250/8267/files/ST-VR-SD-001-BM-03.jpg?v=1762209069</t>
        </is>
      </c>
      <c r="Y1341" s="54" t="n">
        <v>775.862069</v>
      </c>
      <c r="Z1341" s="54" t="n">
        <v>1724.137931</v>
      </c>
      <c r="AA1341" s="55">
        <f>IF(AND(A1341="", B1341="", E1341=""), "", IF(AB1341="", "Válido", IF((LEN(AB1341)-LEN(SUBSTITUTE(AB1341,"; ","")))/2+1&gt;(LEN(AB1341)-LEN(SUBSTITUTE(AB1341,"[Aviso]","")))/7, "Con Incidencias", "Válido")))</f>
        <v/>
      </c>
      <c r="AB1341" s="56">
        <f>IF(AND(A1341="", B1341="", E1341=""), "", TEXTJOIN("; ", TRUE, IF(OR(TRIM(A1341&amp;"")="", ISNUMBER(SEARCH("FALTA", A1341))), "UPC faltante/inválido", ""), IF(AND(A1341&lt;&gt;"", IFERROR(_xlfn.XMATCH(A1341,$A$2:$A$2509,0,1)&lt;&gt;_xlfn.XMATCH(A1341,$A$2:$A$2509,0,-1),FALSE)), "Código de barras duplicado", ""), IF(AND(E1341&lt;&gt;"", COUNTIF($E$2:$E$2509, E1341)&gt;1), "SKU duplicado", ""), IF(OR(J1341="", J1341=""), "[Aviso] División no capturada ()", IF(ISNA(MATCH(J1341, Criterios!$A$123:$A$126, 0)), "División no válida", "")), IF(OR(K1341="", K1341=""), "[Aviso] Categoría no capturada ()", IF(ISNA(MATCH(K1341, Criterios!$A$81:$A$120, 0)), "Categoría no válida", IF(AND(J1341&lt;&gt;"", J1341&lt;&gt;"", J1341&lt;&gt;VLOOKUP(K1341, Criterios!$A$81:$B$120, 2, FALSE)), "División no coincide con Categoría", ""))), IF(OR(L1341="", L1341=""), "[Aviso] Género no capturado ()", IF(ISNA(MATCH(L1341, Criterios!$B$123:$B$127, 0)), "Género no válido", "")), IF(OR(N1341="", N1341=""), "[Aviso] Temporada no capturada ()", IF(ISNA(MATCH(N1341, Criterios!$C$123:$C$128, 0)), "Temporada no válida", "")), IF(OR(O1341="", O1341=""), "[Aviso] Ciclo de vida no capturado ()", IF(ISNA(MATCH(O1341, Criterios!$D$123:$D$124, 0)), "Ciclo de vida no válido", ""))))</f>
        <v/>
      </c>
      <c r="AC1341" s="56" t="n"/>
      <c r="AD1341" s="51" t="n">
        <v>2</v>
      </c>
      <c r="AE1341" s="156" t="inlineStr">
        <is>
          <t>B25 STETSON.MX (6)</t>
        </is>
      </c>
      <c r="AF1341" s="51" t="n">
        <v>6</v>
      </c>
      <c r="AG1341" s="156" t="inlineStr">
        <is>
          <t>Catálogo existente</t>
        </is>
      </c>
      <c r="AH134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1" s="156" t="inlineStr">
        <is>
          <t>Sí</t>
        </is>
      </c>
      <c r="AJ1341" s="156" t="inlineStr">
        <is>
          <t>STETSON AMERICAS (-4)</t>
        </is>
      </c>
      <c r="AK1341" s="155" t="inlineStr">
        <is>
          <t>Criterios: J [R]; G1522_Extraccion_Articulos_NetSuite_2026-09-30.xlsx: fila 58227 [S] | Shopify Stetson: producto 14813175218539 / variante 53350598738283</t>
        </is>
      </c>
      <c r="AL1341" s="58" t="n">
        <v>775.862069</v>
      </c>
      <c r="AM1341" s="58" t="n">
        <v>1724.137931</v>
      </c>
      <c r="AN1341" s="155" t="inlineStr">
        <is>
          <t>Shopify Stetson México</t>
        </is>
      </c>
      <c r="AO1341" s="59" t="n">
        <v>7</v>
      </c>
      <c r="AP1341" s="59" t="n"/>
      <c r="AQ1341" s="59" t="n"/>
      <c r="AR1341" s="155" t="inlineStr">
        <is>
          <t>Shopify Stetson México › Stetson México: 6 | Shopify Stetson México › Stetson Americas: 1</t>
        </is>
      </c>
    </row>
    <row r="1342">
      <c r="A1342" s="50" t="inlineStr">
        <is>
          <t>7506499569583</t>
        </is>
      </c>
      <c r="B1342" s="51" t="inlineStr">
        <is>
          <t>110413</t>
        </is>
      </c>
      <c r="C1342" s="156" t="inlineStr">
        <is>
          <t>Multimarca</t>
        </is>
      </c>
      <c r="D1342" s="156" t="inlineStr">
        <is>
          <t>ST-VR-SD-001-FW25-BM</t>
        </is>
      </c>
      <c r="E1342" s="156" t="inlineStr">
        <is>
          <t>ST-VR-SD-001-FW25-BM-XL</t>
        </is>
      </c>
      <c r="F1342" s="156" t="inlineStr">
        <is>
          <t>XL</t>
        </is>
      </c>
      <c r="G1342" s="156" t="inlineStr">
        <is>
          <t>XL</t>
        </is>
      </c>
      <c r="H1342" s="156" t="inlineStr">
        <is>
          <t>Stetson</t>
        </is>
      </c>
      <c r="I1342" s="156" t="inlineStr">
        <is>
          <t>Camisa Stetson Vintage Range Denim</t>
        </is>
      </c>
      <c r="J1342" s="156" t="inlineStr">
        <is>
          <t>Ropa</t>
        </is>
      </c>
      <c r="K1342" s="156" t="inlineStr">
        <is>
          <t>Camisas</t>
        </is>
      </c>
      <c r="L1342" s="156" t="inlineStr">
        <is>
          <t>Hombre</t>
        </is>
      </c>
      <c r="M1342" s="156" t="inlineStr">
        <is>
          <t>Stetson</t>
        </is>
      </c>
      <c r="N1342" s="156" t="inlineStr">
        <is>
          <t>SS26</t>
        </is>
      </c>
      <c r="O1342" s="156" t="inlineStr">
        <is>
          <t>Seasonal</t>
        </is>
      </c>
      <c r="P1342" s="156" t="inlineStr">
        <is>
          <t>Azul</t>
        </is>
      </c>
      <c r="Q1342" s="156" t="inlineStr">
        <is>
          <t>Moderno</t>
        </is>
      </c>
      <c r="R1342" s="156" t="n"/>
      <c r="S1342" s="156" t="inlineStr">
        <is>
          <t>100% Algodón</t>
        </is>
      </c>
      <c r="T1342" s="156" t="inlineStr">
        <is>
          <t>La Camisa Vintage Range Denim de Stetson es una prenda fundamental que todo vaquero moderno debe poseer. Confeccionada en auténtica mezclilla, esta camisa combina la robustez histórica del denim con el diseño auténtico de Stetson, creando una pieza que mejora con el tiempo.
 Su color azul desgastado y sus detalles clásicos te darán una presencia fuerte y genuina, mientras que la calidad de su tejido garantiza que esta camisa será tu compañera por años. Elige la autenticidad y la leyenda de la mezclilla Stetson.
 • Tejido Auténtico de Mezclilla (Denim): Material icónico en el Oeste, conocido por su resistencia, durabilidad y por su capacidad de adquirir un carácter único con cada lavado.
 • Composición de Alto Rendimiento: 100% Algodón que garantiza máxima comodidad y transpirabilidad.
 • Tejido Twill (Sarga) de mezclilla.
 • Broches de Presión (Western Snaps): Cierres metálicos que facilitan el uso y refuerzan la estética vaquera.
 • Canelones de Estilo Vaquero: Costuras decorativas y funcionales en el pecho y la espalda, típicas de las camisas Western tradicionales.
 • Bolsillos Dobles: Dos bolsillos de parche con solapa para un estilo simétrico y funcional.
 • Sello Stetson: Distintivo de la marca sutilmente integrado en el diseño.</t>
        </is>
      </c>
      <c r="U1342" s="156" t="n"/>
      <c r="V1342" s="156" t="inlineStr">
        <is>
          <t>PZS</t>
        </is>
      </c>
      <c r="W1342" s="51" t="inlineStr">
        <is>
          <t>53101600</t>
        </is>
      </c>
      <c r="X1342" s="156" t="inlineStr">
        <is>
          <t>https://cdn.shopify.com/s/files/1/0888/3250/8267/files/ST-VR-SD-001-BM-01.jpg?v=1762209069</t>
        </is>
      </c>
      <c r="Y1342" s="54" t="n">
        <v>775.862069</v>
      </c>
      <c r="Z1342" s="54" t="n">
        <v>1724.137931</v>
      </c>
      <c r="AA1342" s="55">
        <f>IF(AND(A1342="", B1342="", E1342=""), "", IF(AB1342="", "Válido", IF((LEN(AB1342)-LEN(SUBSTITUTE(AB1342,"; ","")))/2+1&gt;(LEN(AB1342)-LEN(SUBSTITUTE(AB1342,"[Aviso]","")))/7, "Con Incidencias", "Válido")))</f>
        <v/>
      </c>
      <c r="AB1342" s="56">
        <f>IF(AND(A1342="", B1342="", E1342=""), "", TEXTJOIN("; ", TRUE, IF(OR(TRIM(A1342&amp;"")="", ISNUMBER(SEARCH("FALTA", A1342))), "UPC faltante/inválido", ""), IF(AND(A1342&lt;&gt;"", IFERROR(_xlfn.XMATCH(A1342,$A$2:$A$2509,0,1)&lt;&gt;_xlfn.XMATCH(A1342,$A$2:$A$2509,0,-1),FALSE)), "Código de barras duplicado", ""), IF(AND(E1342&lt;&gt;"", COUNTIF($E$2:$E$2509, E1342)&gt;1), "SKU duplicado", ""), IF(OR(J1342="", J1342=""), "[Aviso] División no capturada ()", IF(ISNA(MATCH(J1342, Criterios!$A$123:$A$126, 0)), "División no válida", "")), IF(OR(K1342="", K1342=""), "[Aviso] Categoría no capturada ()", IF(ISNA(MATCH(K1342, Criterios!$A$81:$A$120, 0)), "Categoría no válida", IF(AND(J1342&lt;&gt;"", J1342&lt;&gt;"", J1342&lt;&gt;VLOOKUP(K1342, Criterios!$A$81:$B$120, 2, FALSE)), "División no coincide con Categoría", ""))), IF(OR(L1342="", L1342=""), "[Aviso] Género no capturado ()", IF(ISNA(MATCH(L1342, Criterios!$B$123:$B$127, 0)), "Género no válido", "")), IF(OR(N1342="", N1342=""), "[Aviso] Temporada no capturada ()", IF(ISNA(MATCH(N1342, Criterios!$C$123:$C$128, 0)), "Temporada no válida", "")), IF(OR(O1342="", O1342=""), "[Aviso] Ciclo de vida no capturado ()", IF(ISNA(MATCH(O1342, Criterios!$D$123:$D$124, 0)), "Ciclo de vida no válido", ""))))</f>
        <v/>
      </c>
      <c r="AC1342" s="56" t="n"/>
      <c r="AD1342" s="51" t="n">
        <v>-5</v>
      </c>
      <c r="AE1342" s="156" t="n"/>
      <c r="AF1342" s="51" t="n">
        <v>0</v>
      </c>
      <c r="AG1342" s="156" t="inlineStr">
        <is>
          <t>Catálogo existente</t>
        </is>
      </c>
      <c r="AH1342"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2" s="156" t="inlineStr">
        <is>
          <t>Sí</t>
        </is>
      </c>
      <c r="AJ1342" s="156" t="inlineStr">
        <is>
          <t>STETSON AMERICAS (-5)</t>
        </is>
      </c>
      <c r="AK1342" s="155" t="inlineStr">
        <is>
          <t>Criterios: J [R]; G1522_Extraccion_Articulos_NetSuite_2026-09-30.xlsx: fila 58228 [S] | Shopify Stetson: producto 14813175218539 / variante 53350598771051</t>
        </is>
      </c>
      <c r="AL1342" s="58" t="n">
        <v>775.862069</v>
      </c>
      <c r="AM1342" s="58" t="n">
        <v>1724.137931</v>
      </c>
      <c r="AN1342" s="155" t="inlineStr">
        <is>
          <t>Shopify Stetson México</t>
        </is>
      </c>
      <c r="AO1342" s="59" t="n">
        <v>1</v>
      </c>
      <c r="AP1342" s="59" t="n"/>
      <c r="AQ1342" s="59" t="n"/>
      <c r="AR1342" s="155" t="inlineStr">
        <is>
          <t>Shopify Stetson México › Stetson Americas: 1</t>
        </is>
      </c>
    </row>
    <row r="1343">
      <c r="A1343" s="50" t="inlineStr">
        <is>
          <t>7506499569590</t>
        </is>
      </c>
      <c r="B1343" s="51" t="inlineStr">
        <is>
          <t>110414</t>
        </is>
      </c>
      <c r="C1343" s="156" t="inlineStr">
        <is>
          <t>Multimarca</t>
        </is>
      </c>
      <c r="D1343" s="156" t="inlineStr">
        <is>
          <t>ST-VR-SD-001-FW25-BM</t>
        </is>
      </c>
      <c r="E1343" s="156" t="inlineStr">
        <is>
          <t>ST-VR-SD-001-FW25-BM-XXL</t>
        </is>
      </c>
      <c r="F1343" s="156" t="inlineStr">
        <is>
          <t>XXL</t>
        </is>
      </c>
      <c r="G1343" s="156" t="inlineStr">
        <is>
          <t>XXL</t>
        </is>
      </c>
      <c r="H1343" s="156" t="inlineStr">
        <is>
          <t>Stetson</t>
        </is>
      </c>
      <c r="I1343" s="156" t="inlineStr">
        <is>
          <t>Camisa Stetson Vintage Range Denim</t>
        </is>
      </c>
      <c r="J1343" s="156" t="inlineStr">
        <is>
          <t>Ropa</t>
        </is>
      </c>
      <c r="K1343" s="156" t="inlineStr">
        <is>
          <t>Camisas</t>
        </is>
      </c>
      <c r="L1343" s="156" t="inlineStr">
        <is>
          <t>Hombre</t>
        </is>
      </c>
      <c r="M1343" s="156" t="inlineStr">
        <is>
          <t>Stetson</t>
        </is>
      </c>
      <c r="N1343" s="156" t="inlineStr">
        <is>
          <t>SS26</t>
        </is>
      </c>
      <c r="O1343" s="156" t="inlineStr">
        <is>
          <t>Seasonal</t>
        </is>
      </c>
      <c r="P1343" s="156" t="inlineStr">
        <is>
          <t>Azul</t>
        </is>
      </c>
      <c r="Q1343" s="156" t="inlineStr">
        <is>
          <t>Moderno</t>
        </is>
      </c>
      <c r="R1343" s="156" t="n"/>
      <c r="S1343" s="156" t="inlineStr">
        <is>
          <t>100% Algodón</t>
        </is>
      </c>
      <c r="T1343"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3" s="156" t="n"/>
      <c r="V1343" s="156" t="inlineStr">
        <is>
          <t>PZS</t>
        </is>
      </c>
      <c r="W1343" s="51" t="inlineStr">
        <is>
          <t>53101600</t>
        </is>
      </c>
      <c r="X1343" s="156" t="inlineStr">
        <is>
          <t>https://cdn.shopify.com/s/files/1/0888/3250/8267/files/ST-VR-SD-001-BM-01.jpg?v=1762209069</t>
        </is>
      </c>
      <c r="Y1343" s="54" t="n">
        <v>775.862069</v>
      </c>
      <c r="Z1343" s="54" t="n">
        <v>1724.137931</v>
      </c>
      <c r="AA1343" s="55">
        <f>IF(AND(A1343="", B1343="", E1343=""), "", IF(AB1343="", "Válido", IF((LEN(AB1343)-LEN(SUBSTITUTE(AB1343,"; ","")))/2+1&gt;(LEN(AB1343)-LEN(SUBSTITUTE(AB1343,"[Aviso]","")))/7, "Con Incidencias", "Válido")))</f>
        <v/>
      </c>
      <c r="AB1343" s="56">
        <f>IF(AND(A1343="", B1343="", E1343=""), "", TEXTJOIN("; ", TRUE, IF(OR(TRIM(A1343&amp;"")="", ISNUMBER(SEARCH("FALTA", A1343))), "UPC faltante/inválido", ""), IF(AND(A1343&lt;&gt;"", IFERROR(_xlfn.XMATCH(A1343,$A$2:$A$2509,0,1)&lt;&gt;_xlfn.XMATCH(A1343,$A$2:$A$2509,0,-1),FALSE)), "Código de barras duplicado", ""), IF(AND(E1343&lt;&gt;"", COUNTIF($E$2:$E$2509, E1343)&gt;1), "SKU duplicado", ""), IF(OR(J1343="", J1343=""), "[Aviso] División no capturada ()", IF(ISNA(MATCH(J1343, Criterios!$A$123:$A$126, 0)), "División no válida", "")), IF(OR(K1343="", K1343=""), "[Aviso] Categoría no capturada ()", IF(ISNA(MATCH(K1343, Criterios!$A$81:$A$120, 0)), "Categoría no válida", IF(AND(J1343&lt;&gt;"", J1343&lt;&gt;"", J1343&lt;&gt;VLOOKUP(K1343, Criterios!$A$81:$B$120, 2, FALSE)), "División no coincide con Categoría", ""))), IF(OR(L1343="", L1343=""), "[Aviso] Género no capturado ()", IF(ISNA(MATCH(L1343, Criterios!$B$123:$B$127, 0)), "Género no válido", "")), IF(OR(N1343="", N1343=""), "[Aviso] Temporada no capturada ()", IF(ISNA(MATCH(N1343, Criterios!$C$123:$C$128, 0)), "Temporada no válida", "")), IF(OR(O1343="", O1343=""), "[Aviso] Ciclo de vida no capturado ()", IF(ISNA(MATCH(O1343, Criterios!$D$123:$D$124, 0)), "Ciclo de vida no válido", ""))))</f>
        <v/>
      </c>
      <c r="AC1343" s="56" t="n"/>
      <c r="AD1343" s="51" t="n">
        <v>-2</v>
      </c>
      <c r="AE1343" s="156" t="inlineStr">
        <is>
          <t>B25 STETSON.MX (1)</t>
        </is>
      </c>
      <c r="AF1343" s="51" t="n">
        <v>1</v>
      </c>
      <c r="AG1343" s="156" t="inlineStr">
        <is>
          <t>Catálogo existente</t>
        </is>
      </c>
      <c r="AH1343"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3" s="156" t="inlineStr">
        <is>
          <t>Sí</t>
        </is>
      </c>
      <c r="AJ1343" s="156" t="inlineStr">
        <is>
          <t>STETSON AMERICAS (-3)</t>
        </is>
      </c>
      <c r="AK1343" s="155" t="inlineStr">
        <is>
          <t>Criterios: J [R]; G1522_Extraccion_Articulos_NetSuite_2026-09-30.xlsx: fila 58229 [S] | Shopify Stetson: producto 14813175218539 / variante 53350598803819</t>
        </is>
      </c>
      <c r="AL1343" s="58" t="n">
        <v>775.862069</v>
      </c>
      <c r="AM1343" s="58" t="n">
        <v>1724.137931</v>
      </c>
      <c r="AN1343" s="155" t="inlineStr">
        <is>
          <t>Shopify Stetson México</t>
        </is>
      </c>
      <c r="AO1343" s="59" t="n">
        <v>1</v>
      </c>
      <c r="AP1343" s="59" t="n"/>
      <c r="AQ1343" s="59" t="n"/>
      <c r="AR1343" s="155" t="inlineStr">
        <is>
          <t>Shopify Stetson México › Stetson México: 1</t>
        </is>
      </c>
    </row>
    <row r="1344">
      <c r="A1344" s="50" t="inlineStr">
        <is>
          <t>7506499570756</t>
        </is>
      </c>
      <c r="B1344" s="51" t="inlineStr">
        <is>
          <t>110368</t>
        </is>
      </c>
      <c r="C1344" s="156" t="inlineStr">
        <is>
          <t>Multimarca</t>
        </is>
      </c>
      <c r="D1344" s="156" t="inlineStr">
        <is>
          <t>ST-VR-P-016-FW25-GS</t>
        </is>
      </c>
      <c r="E1344" s="156" t="inlineStr">
        <is>
          <t>ST-VR-P-016-FW25-GS-S</t>
        </is>
      </c>
      <c r="F1344" s="156" t="inlineStr">
        <is>
          <t>S</t>
        </is>
      </c>
      <c r="G1344" s="156" t="inlineStr">
        <is>
          <t>S</t>
        </is>
      </c>
      <c r="H1344" s="156" t="inlineStr">
        <is>
          <t>Stetson</t>
        </is>
      </c>
      <c r="I1344" s="156" t="inlineStr">
        <is>
          <t>Camisa Stetson Vintage Range Verde Serpent</t>
        </is>
      </c>
      <c r="J1344" s="156" t="inlineStr">
        <is>
          <t>Ropa</t>
        </is>
      </c>
      <c r="K1344" s="156" t="inlineStr">
        <is>
          <t>Camisas</t>
        </is>
      </c>
      <c r="L1344" s="156" t="inlineStr">
        <is>
          <t>Hombre</t>
        </is>
      </c>
      <c r="M1344" s="156" t="inlineStr">
        <is>
          <t>Stetson</t>
        </is>
      </c>
      <c r="N1344" s="156" t="inlineStr">
        <is>
          <t>SS26</t>
        </is>
      </c>
      <c r="O1344" s="156" t="inlineStr">
        <is>
          <t>Seasonal</t>
        </is>
      </c>
      <c r="P1344" s="156" t="inlineStr">
        <is>
          <t>Verde</t>
        </is>
      </c>
      <c r="Q1344" s="156" t="inlineStr">
        <is>
          <t>Clásico</t>
        </is>
      </c>
      <c r="R1344" s="156" t="n"/>
      <c r="S1344" s="156" t="inlineStr">
        <is>
          <t>100% Algodón</t>
        </is>
      </c>
      <c r="T134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4" s="156" t="n"/>
      <c r="V1344" s="156" t="inlineStr">
        <is>
          <t>PZS</t>
        </is>
      </c>
      <c r="W1344" s="51" t="inlineStr">
        <is>
          <t>53101600</t>
        </is>
      </c>
      <c r="X1344" s="156" t="inlineStr">
        <is>
          <t>https://cdn.shopify.com/s/files/1/0888/3250/8267/files/ST-VR-P-016-GS-01.jpg?v=1762364722</t>
        </is>
      </c>
      <c r="Y1344" s="54" t="n">
        <v>678.8793103</v>
      </c>
      <c r="Z1344" s="54" t="n">
        <v>1508.62069</v>
      </c>
      <c r="AA1344" s="55">
        <f>IF(AND(A1344="", B1344="", E1344=""), "", IF(AB1344="", "Válido", IF((LEN(AB1344)-LEN(SUBSTITUTE(AB1344,"; ","")))/2+1&gt;(LEN(AB1344)-LEN(SUBSTITUTE(AB1344,"[Aviso]","")))/7, "Con Incidencias", "Válido")))</f>
        <v/>
      </c>
      <c r="AB1344" s="56">
        <f>IF(AND(A1344="", B1344="", E1344=""), "", TEXTJOIN("; ", TRUE, IF(OR(TRIM(A1344&amp;"")="", ISNUMBER(SEARCH("FALTA", A1344))), "UPC faltante/inválido", ""), IF(AND(A1344&lt;&gt;"", IFERROR(_xlfn.XMATCH(A1344,$A$2:$A$2509,0,1)&lt;&gt;_xlfn.XMATCH(A1344,$A$2:$A$2509,0,-1),FALSE)), "Código de barras duplicado", ""), IF(AND(E1344&lt;&gt;"", COUNTIF($E$2:$E$2509, E1344)&gt;1), "SKU duplicado", ""), IF(OR(J1344="", J1344=""), "[Aviso] División no capturada ()", IF(ISNA(MATCH(J1344, Criterios!$A$123:$A$126, 0)), "División no válida", "")), IF(OR(K1344="", K1344=""), "[Aviso] Categoría no capturada ()", IF(ISNA(MATCH(K1344, Criterios!$A$81:$A$120, 0)), "Categoría no válida", IF(AND(J1344&lt;&gt;"", J1344&lt;&gt;"", J1344&lt;&gt;VLOOKUP(K1344, Criterios!$A$81:$B$120, 2, FALSE)), "División no coincide con Categoría", ""))), IF(OR(L1344="", L1344=""), "[Aviso] Género no capturado ()", IF(ISNA(MATCH(L1344, Criterios!$B$123:$B$127, 0)), "Género no válido", "")), IF(OR(N1344="", N1344=""), "[Aviso] Temporada no capturada ()", IF(ISNA(MATCH(N1344, Criterios!$C$123:$C$128, 0)), "Temporada no válida", "")), IF(OR(O1344="", O1344=""), "[Aviso] Ciclo de vida no capturado ()", IF(ISNA(MATCH(O1344, Criterios!$D$123:$D$124, 0)), "Ciclo de vida no válido", ""))))</f>
        <v/>
      </c>
      <c r="AC1344" s="56" t="n"/>
      <c r="AD1344" s="51" t="n">
        <v>5</v>
      </c>
      <c r="AE1344" s="156" t="inlineStr">
        <is>
          <t>B25 STETSON.MX (6)</t>
        </is>
      </c>
      <c r="AF1344" s="51" t="n">
        <v>6</v>
      </c>
      <c r="AG1344" s="156" t="inlineStr">
        <is>
          <t>Catálogo existente</t>
        </is>
      </c>
      <c r="AH134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4" s="156" t="inlineStr">
        <is>
          <t>Sí</t>
        </is>
      </c>
      <c r="AJ1344" s="156" t="inlineStr">
        <is>
          <t>STETSON AMERICAS (-1)</t>
        </is>
      </c>
      <c r="AK1344" s="155" t="inlineStr">
        <is>
          <t>Criterios: J [R]; G1522_Extraccion_Articulos_NetSuite_2026-09-30.xlsx: fila 58183 [S] | Shopify Stetson: producto 14819762078059 / variante 53350596051307</t>
        </is>
      </c>
      <c r="AL1344" s="58" t="n">
        <v>678.8793103</v>
      </c>
      <c r="AM1344" s="58" t="n">
        <v>1508.62069</v>
      </c>
      <c r="AN1344" s="155" t="inlineStr">
        <is>
          <t>Shopify Stetson México</t>
        </is>
      </c>
      <c r="AO1344" s="59" t="n">
        <v>9</v>
      </c>
      <c r="AP1344" s="59" t="n"/>
      <c r="AQ1344" s="59" t="n"/>
      <c r="AR1344" s="155" t="inlineStr">
        <is>
          <t>Shopify Stetson México › Stetson México: 6 | Shopify Stetson México › Stetson Americas: 3</t>
        </is>
      </c>
    </row>
    <row r="1345">
      <c r="A1345" s="50" t="inlineStr">
        <is>
          <t>7506499570763</t>
        </is>
      </c>
      <c r="B1345" s="51" t="inlineStr">
        <is>
          <t>110369</t>
        </is>
      </c>
      <c r="C1345" s="156" t="inlineStr">
        <is>
          <t>Multimarca</t>
        </is>
      </c>
      <c r="D1345" s="156" t="inlineStr">
        <is>
          <t>ST-VR-P-016-FW25-GS</t>
        </is>
      </c>
      <c r="E1345" s="156" t="inlineStr">
        <is>
          <t>ST-VR-P-016-FW25-GS-M</t>
        </is>
      </c>
      <c r="F1345" s="156" t="inlineStr">
        <is>
          <t>M</t>
        </is>
      </c>
      <c r="G1345" s="156" t="inlineStr">
        <is>
          <t>M</t>
        </is>
      </c>
      <c r="H1345" s="156" t="inlineStr">
        <is>
          <t>Stetson</t>
        </is>
      </c>
      <c r="I1345" s="156" t="inlineStr">
        <is>
          <t>Camisa Stetson Vintage Range Verde Serpent</t>
        </is>
      </c>
      <c r="J1345" s="156" t="inlineStr">
        <is>
          <t>Ropa</t>
        </is>
      </c>
      <c r="K1345" s="156" t="inlineStr">
        <is>
          <t>Camisas</t>
        </is>
      </c>
      <c r="L1345" s="156" t="inlineStr">
        <is>
          <t>Hombre</t>
        </is>
      </c>
      <c r="M1345" s="156" t="inlineStr">
        <is>
          <t>Stetson</t>
        </is>
      </c>
      <c r="N1345" s="156" t="inlineStr">
        <is>
          <t>SS26</t>
        </is>
      </c>
      <c r="O1345" s="156" t="inlineStr">
        <is>
          <t>Seasonal</t>
        </is>
      </c>
      <c r="P1345" s="156" t="inlineStr">
        <is>
          <t>Verde</t>
        </is>
      </c>
      <c r="Q1345" s="156" t="inlineStr">
        <is>
          <t>Clásico</t>
        </is>
      </c>
      <c r="R1345" s="156" t="n"/>
      <c r="S1345" s="156" t="inlineStr">
        <is>
          <t>100% Algodón</t>
        </is>
      </c>
      <c r="T134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5" s="156" t="n"/>
      <c r="V1345" s="156" t="inlineStr">
        <is>
          <t>PZS</t>
        </is>
      </c>
      <c r="W1345" s="51" t="inlineStr">
        <is>
          <t>53101600</t>
        </is>
      </c>
      <c r="X1345" s="156" t="inlineStr">
        <is>
          <t>https://cdn.shopify.com/s/files/1/0888/3250/8267/files/ST-VR-P-016-GS-02.jpg?v=1762364722</t>
        </is>
      </c>
      <c r="Y1345" s="54" t="n">
        <v>678.8793103</v>
      </c>
      <c r="Z1345" s="54" t="n">
        <v>1508.62069</v>
      </c>
      <c r="AA1345" s="55">
        <f>IF(AND(A1345="", B1345="", E1345=""), "", IF(AB1345="", "Válido", IF((LEN(AB1345)-LEN(SUBSTITUTE(AB1345,"; ","")))/2+1&gt;(LEN(AB1345)-LEN(SUBSTITUTE(AB1345,"[Aviso]","")))/7, "Con Incidencias", "Válido")))</f>
        <v/>
      </c>
      <c r="AB1345" s="56">
        <f>IF(AND(A1345="", B1345="", E1345=""), "", TEXTJOIN("; ", TRUE, IF(OR(TRIM(A1345&amp;"")="", ISNUMBER(SEARCH("FALTA", A1345))), "UPC faltante/inválido", ""), IF(AND(A1345&lt;&gt;"", IFERROR(_xlfn.XMATCH(A1345,$A$2:$A$2509,0,1)&lt;&gt;_xlfn.XMATCH(A1345,$A$2:$A$2509,0,-1),FALSE)), "Código de barras duplicado", ""), IF(AND(E1345&lt;&gt;"", COUNTIF($E$2:$E$2509, E1345)&gt;1), "SKU duplicado", ""), IF(OR(J1345="", J1345=""), "[Aviso] División no capturada ()", IF(ISNA(MATCH(J1345, Criterios!$A$123:$A$126, 0)), "División no válida", "")), IF(OR(K1345="", K1345=""), "[Aviso] Categoría no capturada ()", IF(ISNA(MATCH(K1345, Criterios!$A$81:$A$120, 0)), "Categoría no válida", IF(AND(J1345&lt;&gt;"", J1345&lt;&gt;"", J1345&lt;&gt;VLOOKUP(K1345, Criterios!$A$81:$B$120, 2, FALSE)), "División no coincide con Categoría", ""))), IF(OR(L1345="", L1345=""), "[Aviso] Género no capturado ()", IF(ISNA(MATCH(L1345, Criterios!$B$123:$B$127, 0)), "Género no válido", "")), IF(OR(N1345="", N1345=""), "[Aviso] Temporada no capturada ()", IF(ISNA(MATCH(N1345, Criterios!$C$123:$C$128, 0)), "Temporada no válida", "")), IF(OR(O1345="", O1345=""), "[Aviso] Ciclo de vida no capturado ()", IF(ISNA(MATCH(O1345, Criterios!$D$123:$D$124, 0)), "Ciclo de vida no válido", ""))))</f>
        <v/>
      </c>
      <c r="AC1345" s="56" t="n"/>
      <c r="AD1345" s="51" t="n">
        <v>8</v>
      </c>
      <c r="AE1345" s="156" t="inlineStr">
        <is>
          <t>B25 STETSON.MX (10)</t>
        </is>
      </c>
      <c r="AF1345" s="51" t="n">
        <v>10</v>
      </c>
      <c r="AG1345" s="156" t="inlineStr">
        <is>
          <t>Catálogo existente</t>
        </is>
      </c>
      <c r="AH134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5" s="156" t="inlineStr">
        <is>
          <t>Sí</t>
        </is>
      </c>
      <c r="AJ1345" s="156" t="inlineStr">
        <is>
          <t>STETSON AMERICAS (-2)</t>
        </is>
      </c>
      <c r="AK1345" s="155" t="inlineStr">
        <is>
          <t>Criterios: J [R]; G1522_Extraccion_Articulos_NetSuite_2026-09-30.xlsx: fila 58184 [S] | Shopify Stetson: producto 14819762078059 / variante 53350596084075</t>
        </is>
      </c>
      <c r="AL1345" s="58" t="n">
        <v>678.8793103</v>
      </c>
      <c r="AM1345" s="58" t="n">
        <v>1508.62069</v>
      </c>
      <c r="AN1345" s="155" t="inlineStr">
        <is>
          <t>Shopify Stetson México</t>
        </is>
      </c>
      <c r="AO1345" s="59" t="n">
        <v>12</v>
      </c>
      <c r="AP1345" s="59" t="n"/>
      <c r="AQ1345" s="59" t="n"/>
      <c r="AR1345" s="155" t="inlineStr">
        <is>
          <t>Shopify Stetson México › Stetson México: 10 | Shopify Stetson México › Stetson Americas: 2</t>
        </is>
      </c>
    </row>
    <row r="1346">
      <c r="A1346" s="50" t="inlineStr">
        <is>
          <t>7506499570770</t>
        </is>
      </c>
      <c r="B1346" s="51" t="inlineStr">
        <is>
          <t>110370</t>
        </is>
      </c>
      <c r="C1346" s="156" t="inlineStr">
        <is>
          <t>Multimarca</t>
        </is>
      </c>
      <c r="D1346" s="156" t="inlineStr">
        <is>
          <t>ST-VR-P-016-FW25-GS</t>
        </is>
      </c>
      <c r="E1346" s="156" t="inlineStr">
        <is>
          <t>ST-VR-P-016-FW25-GS-L</t>
        </is>
      </c>
      <c r="F1346" s="156" t="inlineStr">
        <is>
          <t>L</t>
        </is>
      </c>
      <c r="G1346" s="156" t="inlineStr">
        <is>
          <t>L</t>
        </is>
      </c>
      <c r="H1346" s="156" t="inlineStr">
        <is>
          <t>Stetson</t>
        </is>
      </c>
      <c r="I1346" s="156" t="inlineStr">
        <is>
          <t>Camisa Stetson Vintage Range Verde Serpent</t>
        </is>
      </c>
      <c r="J1346" s="156" t="inlineStr">
        <is>
          <t>Ropa</t>
        </is>
      </c>
      <c r="K1346" s="156" t="inlineStr">
        <is>
          <t>Camisas</t>
        </is>
      </c>
      <c r="L1346" s="156" t="inlineStr">
        <is>
          <t>Hombre</t>
        </is>
      </c>
      <c r="M1346" s="156" t="inlineStr">
        <is>
          <t>Stetson</t>
        </is>
      </c>
      <c r="N1346" s="156" t="inlineStr">
        <is>
          <t>SS26</t>
        </is>
      </c>
      <c r="O1346" s="156" t="inlineStr">
        <is>
          <t>Seasonal</t>
        </is>
      </c>
      <c r="P1346" s="156" t="inlineStr">
        <is>
          <t>Verde</t>
        </is>
      </c>
      <c r="Q1346" s="156" t="inlineStr">
        <is>
          <t>Clásico</t>
        </is>
      </c>
      <c r="R1346" s="156" t="n"/>
      <c r="S1346" s="156" t="inlineStr">
        <is>
          <t>100% Algodón</t>
        </is>
      </c>
      <c r="T134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6" s="156" t="n"/>
      <c r="V1346" s="156" t="inlineStr">
        <is>
          <t>PZS</t>
        </is>
      </c>
      <c r="W1346" s="51" t="inlineStr">
        <is>
          <t>53101600</t>
        </is>
      </c>
      <c r="X1346" s="156" t="inlineStr">
        <is>
          <t>https://cdn.shopify.com/s/files/1/0888/3250/8267/files/ST-VR-P-016-GS-03.jpg?v=1762364722</t>
        </is>
      </c>
      <c r="Y1346" s="54" t="n">
        <v>678.8793103</v>
      </c>
      <c r="Z1346" s="54" t="n">
        <v>1508.62069</v>
      </c>
      <c r="AA1346" s="55">
        <f>IF(AND(A1346="", B1346="", E1346=""), "", IF(AB1346="", "Válido", IF((LEN(AB1346)-LEN(SUBSTITUTE(AB1346,"; ","")))/2+1&gt;(LEN(AB1346)-LEN(SUBSTITUTE(AB1346,"[Aviso]","")))/7, "Con Incidencias", "Válido")))</f>
        <v/>
      </c>
      <c r="AB1346" s="56">
        <f>IF(AND(A1346="", B1346="", E1346=""), "", TEXTJOIN("; ", TRUE, IF(OR(TRIM(A1346&amp;"")="", ISNUMBER(SEARCH("FALTA", A1346))), "UPC faltante/inválido", ""), IF(AND(A1346&lt;&gt;"", IFERROR(_xlfn.XMATCH(A1346,$A$2:$A$2509,0,1)&lt;&gt;_xlfn.XMATCH(A1346,$A$2:$A$2509,0,-1),FALSE)), "Código de barras duplicado", ""), IF(AND(E1346&lt;&gt;"", COUNTIF($E$2:$E$2509, E1346)&gt;1), "SKU duplicado", ""), IF(OR(J1346="", J1346=""), "[Aviso] División no capturada ()", IF(ISNA(MATCH(J1346, Criterios!$A$123:$A$126, 0)), "División no válida", "")), IF(OR(K1346="", K1346=""), "[Aviso] Categoría no capturada ()", IF(ISNA(MATCH(K1346, Criterios!$A$81:$A$120, 0)), "Categoría no válida", IF(AND(J1346&lt;&gt;"", J1346&lt;&gt;"", J1346&lt;&gt;VLOOKUP(K1346, Criterios!$A$81:$B$120, 2, FALSE)), "División no coincide con Categoría", ""))), IF(OR(L1346="", L1346=""), "[Aviso] Género no capturado ()", IF(ISNA(MATCH(L1346, Criterios!$B$123:$B$127, 0)), "Género no válido", "")), IF(OR(N1346="", N1346=""), "[Aviso] Temporada no capturada ()", IF(ISNA(MATCH(N1346, Criterios!$C$123:$C$128, 0)), "Temporada no válida", "")), IF(OR(O1346="", O1346=""), "[Aviso] Ciclo de vida no capturado ()", IF(ISNA(MATCH(O1346, Criterios!$D$123:$D$124, 0)), "Ciclo de vida no válido", ""))))</f>
        <v/>
      </c>
      <c r="AC1346" s="56" t="n"/>
      <c r="AD1346" s="51" t="n">
        <v>7</v>
      </c>
      <c r="AE1346" s="156" t="inlineStr">
        <is>
          <t>B25 STETSON.MX (8)</t>
        </is>
      </c>
      <c r="AF1346" s="51" t="n">
        <v>8</v>
      </c>
      <c r="AG1346" s="156" t="inlineStr">
        <is>
          <t>Catálogo existente</t>
        </is>
      </c>
      <c r="AH134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6" s="156" t="inlineStr">
        <is>
          <t>Sí</t>
        </is>
      </c>
      <c r="AJ1346" s="156" t="inlineStr">
        <is>
          <t>STETSON AMERICAS (-1)</t>
        </is>
      </c>
      <c r="AK1346" s="155" t="inlineStr">
        <is>
          <t>Criterios: J [R]; G1522_Extraccion_Articulos_NetSuite_2026-09-30.xlsx: fila 58185 [S] | Shopify Stetson: producto 14819762078059 / variante 53350596116843</t>
        </is>
      </c>
      <c r="AL1346" s="58" t="n">
        <v>678.8793103</v>
      </c>
      <c r="AM1346" s="58" t="n">
        <v>1508.62069</v>
      </c>
      <c r="AN1346" s="155" t="inlineStr">
        <is>
          <t>Shopify Stetson México</t>
        </is>
      </c>
      <c r="AO1346" s="59" t="n">
        <v>13</v>
      </c>
      <c r="AP1346" s="59" t="n"/>
      <c r="AQ1346" s="59" t="n"/>
      <c r="AR1346" s="155" t="inlineStr">
        <is>
          <t>Shopify Stetson México › Stetson México: 8 | Shopify Stetson México › Stetson Americas: 5</t>
        </is>
      </c>
    </row>
    <row r="1347">
      <c r="A1347" s="50" t="inlineStr">
        <is>
          <t>7506499570787</t>
        </is>
      </c>
      <c r="B1347" s="51" t="inlineStr">
        <is>
          <t>110371</t>
        </is>
      </c>
      <c r="C1347" s="156" t="inlineStr">
        <is>
          <t>Multimarca</t>
        </is>
      </c>
      <c r="D1347" s="156" t="inlineStr">
        <is>
          <t>ST-VR-P-016-FW25-GS</t>
        </is>
      </c>
      <c r="E1347" s="156" t="inlineStr">
        <is>
          <t>ST-VR-P-016-FW25-GS-XL</t>
        </is>
      </c>
      <c r="F1347" s="156" t="inlineStr">
        <is>
          <t>XL</t>
        </is>
      </c>
      <c r="G1347" s="156" t="inlineStr">
        <is>
          <t>XL</t>
        </is>
      </c>
      <c r="H1347" s="156" t="inlineStr">
        <is>
          <t>Stetson</t>
        </is>
      </c>
      <c r="I1347" s="156" t="inlineStr">
        <is>
          <t>Camisa Stetson Vintage Range Verde Serpent</t>
        </is>
      </c>
      <c r="J1347" s="156" t="inlineStr">
        <is>
          <t>Ropa</t>
        </is>
      </c>
      <c r="K1347" s="156" t="inlineStr">
        <is>
          <t>Camisas</t>
        </is>
      </c>
      <c r="L1347" s="156" t="inlineStr">
        <is>
          <t>Hombre</t>
        </is>
      </c>
      <c r="M1347" s="156" t="inlineStr">
        <is>
          <t>Stetson</t>
        </is>
      </c>
      <c r="N1347" s="156" t="inlineStr">
        <is>
          <t>SS26</t>
        </is>
      </c>
      <c r="O1347" s="156" t="inlineStr">
        <is>
          <t>Seasonal</t>
        </is>
      </c>
      <c r="P1347" s="156" t="inlineStr">
        <is>
          <t>Verde</t>
        </is>
      </c>
      <c r="Q1347" s="156" t="inlineStr">
        <is>
          <t>Clásico</t>
        </is>
      </c>
      <c r="R1347" s="156" t="n"/>
      <c r="S1347" s="156" t="inlineStr">
        <is>
          <t>100% Algodón</t>
        </is>
      </c>
      <c r="T134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7" s="156" t="n"/>
      <c r="V1347" s="156" t="inlineStr">
        <is>
          <t>PZS</t>
        </is>
      </c>
      <c r="W1347" s="51" t="inlineStr">
        <is>
          <t>53101600</t>
        </is>
      </c>
      <c r="X1347" s="156" t="inlineStr">
        <is>
          <t>https://cdn.shopify.com/s/files/1/0888/3250/8267/files/ST-VR-P-016-GS-01.jpg?v=1762364722</t>
        </is>
      </c>
      <c r="Y1347" s="54" t="n">
        <v>678.8793103</v>
      </c>
      <c r="Z1347" s="54" t="n">
        <v>1508.62069</v>
      </c>
      <c r="AA1347" s="55">
        <f>IF(AND(A1347="", B1347="", E1347=""), "", IF(AB1347="", "Válido", IF((LEN(AB1347)-LEN(SUBSTITUTE(AB1347,"; ","")))/2+1&gt;(LEN(AB1347)-LEN(SUBSTITUTE(AB1347,"[Aviso]","")))/7, "Con Incidencias", "Válido")))</f>
        <v/>
      </c>
      <c r="AB1347" s="56">
        <f>IF(AND(A1347="", B1347="", E1347=""), "", TEXTJOIN("; ", TRUE, IF(OR(TRIM(A1347&amp;"")="", ISNUMBER(SEARCH("FALTA", A1347))), "UPC faltante/inválido", ""), IF(AND(A1347&lt;&gt;"", IFERROR(_xlfn.XMATCH(A1347,$A$2:$A$2509,0,1)&lt;&gt;_xlfn.XMATCH(A1347,$A$2:$A$2509,0,-1),FALSE)), "Código de barras duplicado", ""), IF(AND(E1347&lt;&gt;"", COUNTIF($E$2:$E$2509, E1347)&gt;1), "SKU duplicado", ""), IF(OR(J1347="", J1347=""), "[Aviso] División no capturada ()", IF(ISNA(MATCH(J1347, Criterios!$A$123:$A$126, 0)), "División no válida", "")), IF(OR(K1347="", K1347=""), "[Aviso] Categoría no capturada ()", IF(ISNA(MATCH(K1347, Criterios!$A$81:$A$120, 0)), "Categoría no válida", IF(AND(J1347&lt;&gt;"", J1347&lt;&gt;"", J1347&lt;&gt;VLOOKUP(K1347, Criterios!$A$81:$B$120, 2, FALSE)), "División no coincide con Categoría", ""))), IF(OR(L1347="", L1347=""), "[Aviso] Género no capturado ()", IF(ISNA(MATCH(L1347, Criterios!$B$123:$B$127, 0)), "Género no válido", "")), IF(OR(N1347="", N1347=""), "[Aviso] Temporada no capturada ()", IF(ISNA(MATCH(N1347, Criterios!$C$123:$C$128, 0)), "Temporada no válida", "")), IF(OR(O1347="", O1347=""), "[Aviso] Ciclo de vida no capturado ()", IF(ISNA(MATCH(O1347, Criterios!$D$123:$D$124, 0)), "Ciclo de vida no válido", ""))))</f>
        <v/>
      </c>
      <c r="AC1347" s="56" t="n"/>
      <c r="AD1347" s="51" t="n">
        <v>-1</v>
      </c>
      <c r="AE1347" s="156" t="inlineStr">
        <is>
          <t>B25 STETSON.MX (2)</t>
        </is>
      </c>
      <c r="AF1347" s="51" t="n">
        <v>2</v>
      </c>
      <c r="AG1347" s="156" t="inlineStr">
        <is>
          <t>Catálogo existente</t>
        </is>
      </c>
      <c r="AH1347"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7" s="156" t="inlineStr">
        <is>
          <t>Sí</t>
        </is>
      </c>
      <c r="AJ1347" s="156" t="inlineStr">
        <is>
          <t>STETSON AMERICAS (-3)</t>
        </is>
      </c>
      <c r="AK1347" s="155" t="inlineStr">
        <is>
          <t>Criterios: J [R]; G1522_Extraccion_Articulos_NetSuite_2026-09-30.xlsx: fila 58186 [S] | Shopify Stetson: producto 14819762078059 / variante 53350596149611</t>
        </is>
      </c>
      <c r="AL1347" s="58" t="n">
        <v>678.8793103</v>
      </c>
      <c r="AM1347" s="58" t="n">
        <v>1508.62069</v>
      </c>
      <c r="AN1347" s="155" t="inlineStr">
        <is>
          <t>Shopify Stetson México</t>
        </is>
      </c>
      <c r="AO1347" s="59" t="n">
        <v>6</v>
      </c>
      <c r="AP1347" s="59" t="n"/>
      <c r="AQ1347" s="59" t="n"/>
      <c r="AR1347" s="155" t="inlineStr">
        <is>
          <t>Shopify Stetson México › Stetson México: 2 | Shopify Stetson México › Stetson Americas: 4</t>
        </is>
      </c>
    </row>
    <row r="1348">
      <c r="A1348" s="50" t="inlineStr">
        <is>
          <t>7506499570794</t>
        </is>
      </c>
      <c r="B1348" s="51" t="inlineStr">
        <is>
          <t>110372</t>
        </is>
      </c>
      <c r="C1348" s="156" t="inlineStr">
        <is>
          <t>Multimarca</t>
        </is>
      </c>
      <c r="D1348" s="156" t="inlineStr">
        <is>
          <t>ST-VR-P-016-FW25-GS</t>
        </is>
      </c>
      <c r="E1348" s="156" t="inlineStr">
        <is>
          <t>ST-VR-P-016-FW25-GS-XXL</t>
        </is>
      </c>
      <c r="F1348" s="156" t="inlineStr">
        <is>
          <t>XXL</t>
        </is>
      </c>
      <c r="G1348" s="156" t="inlineStr">
        <is>
          <t>XXL</t>
        </is>
      </c>
      <c r="H1348" s="156" t="inlineStr">
        <is>
          <t>Stetson</t>
        </is>
      </c>
      <c r="I1348" s="156" t="inlineStr">
        <is>
          <t>Camisa Stetson Vintage Range Verde Serpent</t>
        </is>
      </c>
      <c r="J1348" s="156" t="inlineStr">
        <is>
          <t>Ropa</t>
        </is>
      </c>
      <c r="K1348" s="156" t="inlineStr">
        <is>
          <t>Camisas</t>
        </is>
      </c>
      <c r="L1348" s="156" t="inlineStr">
        <is>
          <t>Hombre</t>
        </is>
      </c>
      <c r="M1348" s="156" t="inlineStr">
        <is>
          <t>Stetson</t>
        </is>
      </c>
      <c r="N1348" s="156" t="inlineStr">
        <is>
          <t>SS26</t>
        </is>
      </c>
      <c r="O1348" s="156" t="inlineStr">
        <is>
          <t>Seasonal</t>
        </is>
      </c>
      <c r="P1348" s="156" t="inlineStr">
        <is>
          <t>Verde</t>
        </is>
      </c>
      <c r="Q1348" s="156" t="inlineStr">
        <is>
          <t>Clásico</t>
        </is>
      </c>
      <c r="R1348" s="156" t="n"/>
      <c r="S1348" s="156" t="inlineStr">
        <is>
          <t>100% Algodón</t>
        </is>
      </c>
      <c r="T134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8" s="156" t="n"/>
      <c r="V1348" s="156" t="inlineStr">
        <is>
          <t>PZS</t>
        </is>
      </c>
      <c r="W1348" s="51" t="inlineStr">
        <is>
          <t>53101600</t>
        </is>
      </c>
      <c r="X1348" s="156" t="inlineStr">
        <is>
          <t>https://cdn.shopify.com/s/files/1/0888/3250/8267/files/ST-VR-P-016-GS-01.jpg?v=1762364722</t>
        </is>
      </c>
      <c r="Y1348" s="54" t="n">
        <v>678.8793103</v>
      </c>
      <c r="Z1348" s="54" t="n">
        <v>1508.62069</v>
      </c>
      <c r="AA1348" s="55">
        <f>IF(AND(A1348="", B1348="", E1348=""), "", IF(AB1348="", "Válido", IF((LEN(AB1348)-LEN(SUBSTITUTE(AB1348,"; ","")))/2+1&gt;(LEN(AB1348)-LEN(SUBSTITUTE(AB1348,"[Aviso]","")))/7, "Con Incidencias", "Válido")))</f>
        <v/>
      </c>
      <c r="AB1348" s="56">
        <f>IF(AND(A1348="", B1348="", E1348=""), "", TEXTJOIN("; ", TRUE, IF(OR(TRIM(A1348&amp;"")="", ISNUMBER(SEARCH("FALTA", A1348))), "UPC faltante/inválido", ""), IF(AND(A1348&lt;&gt;"", IFERROR(_xlfn.XMATCH(A1348,$A$2:$A$2509,0,1)&lt;&gt;_xlfn.XMATCH(A1348,$A$2:$A$2509,0,-1),FALSE)), "Código de barras duplicado", ""), IF(AND(E1348&lt;&gt;"", COUNTIF($E$2:$E$2509, E1348)&gt;1), "SKU duplicado", ""), IF(OR(J1348="", J1348=""), "[Aviso] División no capturada ()", IF(ISNA(MATCH(J1348, Criterios!$A$123:$A$126, 0)), "División no válida", "")), IF(OR(K1348="", K1348=""), "[Aviso] Categoría no capturada ()", IF(ISNA(MATCH(K1348, Criterios!$A$81:$A$120, 0)), "Categoría no válida", IF(AND(J1348&lt;&gt;"", J1348&lt;&gt;"", J1348&lt;&gt;VLOOKUP(K1348, Criterios!$A$81:$B$120, 2, FALSE)), "División no coincide con Categoría", ""))), IF(OR(L1348="", L1348=""), "[Aviso] Género no capturado ()", IF(ISNA(MATCH(L1348, Criterios!$B$123:$B$127, 0)), "Género no válido", "")), IF(OR(N1348="", N1348=""), "[Aviso] Temporada no capturada ()", IF(ISNA(MATCH(N1348, Criterios!$C$123:$C$128, 0)), "Temporada no válida", "")), IF(OR(O1348="", O1348=""), "[Aviso] Ciclo de vida no capturado ()", IF(ISNA(MATCH(O1348, Criterios!$D$123:$D$124, 0)), "Ciclo de vida no válido", ""))))</f>
        <v/>
      </c>
      <c r="AC1348" s="56" t="n"/>
      <c r="AD1348" s="51" t="n">
        <v>-1</v>
      </c>
      <c r="AE1348" s="156" t="inlineStr">
        <is>
          <t>B25 STETSON.MX (1)</t>
        </is>
      </c>
      <c r="AF1348" s="51" t="n">
        <v>1</v>
      </c>
      <c r="AG1348" s="156" t="inlineStr">
        <is>
          <t>Catálogo existente</t>
        </is>
      </c>
      <c r="AH1348"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8" s="156" t="inlineStr">
        <is>
          <t>Sí</t>
        </is>
      </c>
      <c r="AJ1348" s="156" t="inlineStr">
        <is>
          <t>STETSON AMERICAS (-2)</t>
        </is>
      </c>
      <c r="AK1348" s="155" t="inlineStr">
        <is>
          <t>Criterios: J [R]; G1522_Extraccion_Articulos_NetSuite_2026-09-30.xlsx: fila 58187 [S] | Shopify Stetson: producto 14819762078059 / variante 53350596182379</t>
        </is>
      </c>
      <c r="AL1348" s="58" t="n">
        <v>678.8793103</v>
      </c>
      <c r="AM1348" s="58" t="n">
        <v>1508.62069</v>
      </c>
      <c r="AN1348" s="155" t="inlineStr">
        <is>
          <t>Shopify Stetson México</t>
        </is>
      </c>
      <c r="AO1348" s="59" t="n">
        <v>2</v>
      </c>
      <c r="AP1348" s="59" t="n"/>
      <c r="AQ1348" s="59" t="n"/>
      <c r="AR1348" s="155" t="inlineStr">
        <is>
          <t>Shopify Stetson México › Stetson México: 1 | Shopify Stetson México › Stetson Americas: 1</t>
        </is>
      </c>
    </row>
    <row r="1349">
      <c r="A1349" s="50" t="inlineStr">
        <is>
          <t>7506499573979</t>
        </is>
      </c>
      <c r="B1349" s="51" t="inlineStr">
        <is>
          <t>110393</t>
        </is>
      </c>
      <c r="C1349" s="156" t="inlineStr">
        <is>
          <t>Multimarca</t>
        </is>
      </c>
      <c r="D1349" s="156" t="inlineStr">
        <is>
          <t>ST-VR-P-022-FW25-OG</t>
        </is>
      </c>
      <c r="E1349" s="156" t="inlineStr">
        <is>
          <t>ST-VR-P-022-FW25-OG-S</t>
        </is>
      </c>
      <c r="F1349" s="156" t="inlineStr">
        <is>
          <t>S</t>
        </is>
      </c>
      <c r="G1349" s="156" t="inlineStr">
        <is>
          <t>S</t>
        </is>
      </c>
      <c r="H1349" s="156" t="inlineStr">
        <is>
          <t>Stetson</t>
        </is>
      </c>
      <c r="I1349" s="156" t="inlineStr">
        <is>
          <t>Camisa Stetson Vintage Range Onyx Grecas</t>
        </is>
      </c>
      <c r="J1349" s="156" t="inlineStr">
        <is>
          <t>Ropa</t>
        </is>
      </c>
      <c r="K1349" s="156" t="inlineStr">
        <is>
          <t>Camisas</t>
        </is>
      </c>
      <c r="L1349" s="156" t="inlineStr">
        <is>
          <t>Hombre</t>
        </is>
      </c>
      <c r="M1349" s="156" t="inlineStr">
        <is>
          <t>Stetson</t>
        </is>
      </c>
      <c r="N1349" s="156" t="inlineStr">
        <is>
          <t>SS26</t>
        </is>
      </c>
      <c r="O1349" s="156" t="inlineStr">
        <is>
          <t>Seasonal</t>
        </is>
      </c>
      <c r="P1349" s="156" t="inlineStr">
        <is>
          <t>Negro</t>
        </is>
      </c>
      <c r="Q1349" s="156" t="inlineStr">
        <is>
          <t>Relajado</t>
        </is>
      </c>
      <c r="R1349" s="156" t="n"/>
      <c r="S1349" s="156" t="inlineStr">
        <is>
          <t>100% Algodón</t>
        </is>
      </c>
      <c r="T134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49" s="156" t="n"/>
      <c r="V1349" s="156" t="inlineStr">
        <is>
          <t>PZS</t>
        </is>
      </c>
      <c r="W1349" s="51" t="inlineStr">
        <is>
          <t>53101600</t>
        </is>
      </c>
      <c r="X1349" s="156" t="inlineStr">
        <is>
          <t>https://cdn.shopify.com/s/files/1/0888/3250/8267/files/ST-VR-P-022-OG-01.jpg?v=1762369866</t>
        </is>
      </c>
      <c r="Y1349" s="54" t="n">
        <v>678.8793103</v>
      </c>
      <c r="Z1349" s="54" t="n">
        <v>1508.62069</v>
      </c>
      <c r="AA1349" s="55">
        <f>IF(AND(A1349="", B1349="", E1349=""), "", IF(AB1349="", "Válido", IF((LEN(AB1349)-LEN(SUBSTITUTE(AB1349,"; ","")))/2+1&gt;(LEN(AB1349)-LEN(SUBSTITUTE(AB1349,"[Aviso]","")))/7, "Con Incidencias", "Válido")))</f>
        <v/>
      </c>
      <c r="AB1349" s="56">
        <f>IF(AND(A1349="", B1349="", E1349=""), "", TEXTJOIN("; ", TRUE, IF(OR(TRIM(A1349&amp;"")="", ISNUMBER(SEARCH("FALTA", A1349))), "UPC faltante/inválido", ""), IF(AND(A1349&lt;&gt;"", IFERROR(_xlfn.XMATCH(A1349,$A$2:$A$2509,0,1)&lt;&gt;_xlfn.XMATCH(A1349,$A$2:$A$2509,0,-1),FALSE)), "Código de barras duplicado", ""), IF(AND(E1349&lt;&gt;"", COUNTIF($E$2:$E$2509, E1349)&gt;1), "SKU duplicado", ""), IF(OR(J1349="", J1349=""), "[Aviso] División no capturada ()", IF(ISNA(MATCH(J1349, Criterios!$A$123:$A$126, 0)), "División no válida", "")), IF(OR(K1349="", K1349=""), "[Aviso] Categoría no capturada ()", IF(ISNA(MATCH(K1349, Criterios!$A$81:$A$120, 0)), "Categoría no válida", IF(AND(J1349&lt;&gt;"", J1349&lt;&gt;"", J1349&lt;&gt;VLOOKUP(K1349, Criterios!$A$81:$B$120, 2, FALSE)), "División no coincide con Categoría", ""))), IF(OR(L1349="", L1349=""), "[Aviso] Género no capturado ()", IF(ISNA(MATCH(L1349, Criterios!$B$123:$B$127, 0)), "Género no válido", "")), IF(OR(N1349="", N1349=""), "[Aviso] Temporada no capturada ()", IF(ISNA(MATCH(N1349, Criterios!$C$123:$C$128, 0)), "Temporada no válida", "")), IF(OR(O1349="", O1349=""), "[Aviso] Ciclo de vida no capturado ()", IF(ISNA(MATCH(O1349, Criterios!$D$123:$D$124, 0)), "Ciclo de vida no válido", ""))))</f>
        <v/>
      </c>
      <c r="AC1349" s="56" t="n"/>
      <c r="AD1349" s="51" t="n">
        <v>0</v>
      </c>
      <c r="AE1349" s="156" t="n"/>
      <c r="AF1349" s="51" t="n">
        <v>0</v>
      </c>
      <c r="AG1349" s="156" t="inlineStr">
        <is>
          <t>Catálogo existente</t>
        </is>
      </c>
      <c r="AH134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9" s="156" t="inlineStr">
        <is>
          <t>No</t>
        </is>
      </c>
      <c r="AJ1349" s="156" t="n"/>
      <c r="AK1349" s="155" t="inlineStr">
        <is>
          <t>Criterios: J [R]; G1522_Extraccion_Articulos_NetSuite_2026-09-30.xlsx: fila 58208 [S] | Shopify Stetson: producto 14819778101611 / variante 53350595002731</t>
        </is>
      </c>
      <c r="AL1349" s="58" t="n">
        <v>678.8793103</v>
      </c>
      <c r="AM1349" s="58" t="n">
        <v>1508.62069</v>
      </c>
      <c r="AN1349" s="155" t="inlineStr">
        <is>
          <t>Shopify Stetson México</t>
        </is>
      </c>
      <c r="AO1349" s="59" t="n">
        <v>4</v>
      </c>
      <c r="AP1349" s="59" t="n"/>
      <c r="AQ1349" s="59" t="n"/>
      <c r="AR1349" s="155" t="inlineStr">
        <is>
          <t>Shopify Stetson México › Stetson Americas: 4</t>
        </is>
      </c>
    </row>
    <row r="1350">
      <c r="A1350" s="50" t="inlineStr">
        <is>
          <t>7506499573986</t>
        </is>
      </c>
      <c r="B1350" s="51" t="inlineStr">
        <is>
          <t>110394</t>
        </is>
      </c>
      <c r="C1350" s="156" t="inlineStr">
        <is>
          <t>Multimarca</t>
        </is>
      </c>
      <c r="D1350" s="156" t="inlineStr">
        <is>
          <t>ST-VR-P-022-FW25-OG</t>
        </is>
      </c>
      <c r="E1350" s="156" t="inlineStr">
        <is>
          <t>ST-VR-P-022-FW25-OG-M</t>
        </is>
      </c>
      <c r="F1350" s="156" t="inlineStr">
        <is>
          <t>M</t>
        </is>
      </c>
      <c r="G1350" s="156" t="inlineStr">
        <is>
          <t>M</t>
        </is>
      </c>
      <c r="H1350" s="156" t="inlineStr">
        <is>
          <t>Stetson</t>
        </is>
      </c>
      <c r="I1350" s="156" t="inlineStr">
        <is>
          <t>Camisa Stetson Vintage Range Onyx Grecas</t>
        </is>
      </c>
      <c r="J1350" s="156" t="inlineStr">
        <is>
          <t>Ropa</t>
        </is>
      </c>
      <c r="K1350" s="156" t="inlineStr">
        <is>
          <t>Camisas</t>
        </is>
      </c>
      <c r="L1350" s="156" t="inlineStr">
        <is>
          <t>Hombre</t>
        </is>
      </c>
      <c r="M1350" s="156" t="inlineStr">
        <is>
          <t>Stetson</t>
        </is>
      </c>
      <c r="N1350" s="156" t="inlineStr">
        <is>
          <t>SS26</t>
        </is>
      </c>
      <c r="O1350" s="156" t="inlineStr">
        <is>
          <t>Seasonal</t>
        </is>
      </c>
      <c r="P1350" s="156" t="inlineStr">
        <is>
          <t>Negro</t>
        </is>
      </c>
      <c r="Q1350" s="156" t="inlineStr">
        <is>
          <t>Clásico</t>
        </is>
      </c>
      <c r="R1350" s="156" t="n"/>
      <c r="S1350" s="156" t="inlineStr">
        <is>
          <t>100% Algodón</t>
        </is>
      </c>
      <c r="T135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50" s="156" t="n"/>
      <c r="V1350" s="156" t="inlineStr">
        <is>
          <t>PZS</t>
        </is>
      </c>
      <c r="W1350" s="51" t="inlineStr">
        <is>
          <t>53101600</t>
        </is>
      </c>
      <c r="X1350" s="156" t="inlineStr">
        <is>
          <t>https://cdn.shopify.com/s/files/1/0888/3250/8267/files/ST-VR-P-022-OG-02.jpg?v=1762369866</t>
        </is>
      </c>
      <c r="Y1350" s="54" t="n">
        <v>678.8793103</v>
      </c>
      <c r="Z1350" s="54" t="n">
        <v>1508.62069</v>
      </c>
      <c r="AA1350" s="55">
        <f>IF(AND(A1350="", B1350="", E1350=""), "", IF(AB1350="", "Válido", IF((LEN(AB1350)-LEN(SUBSTITUTE(AB1350,"; ","")))/2+1&gt;(LEN(AB1350)-LEN(SUBSTITUTE(AB1350,"[Aviso]","")))/7, "Con Incidencias", "Válido")))</f>
        <v/>
      </c>
      <c r="AB1350" s="56">
        <f>IF(AND(A1350="", B1350="", E1350=""), "", TEXTJOIN("; ", TRUE, IF(OR(TRIM(A1350&amp;"")="", ISNUMBER(SEARCH("FALTA", A1350))), "UPC faltante/inválido", ""), IF(AND(A1350&lt;&gt;"", IFERROR(_xlfn.XMATCH(A1350,$A$2:$A$2509,0,1)&lt;&gt;_xlfn.XMATCH(A1350,$A$2:$A$2509,0,-1),FALSE)), "Código de barras duplicado", ""), IF(AND(E1350&lt;&gt;"", COUNTIF($E$2:$E$2509, E1350)&gt;1), "SKU duplicado", ""), IF(OR(J1350="", J1350=""), "[Aviso] División no capturada ()", IF(ISNA(MATCH(J1350, Criterios!$A$123:$A$126, 0)), "División no válida", "")), IF(OR(K1350="", K1350=""), "[Aviso] Categoría no capturada ()", IF(ISNA(MATCH(K1350, Criterios!$A$81:$A$120, 0)), "Categoría no válida", IF(AND(J1350&lt;&gt;"", J1350&lt;&gt;"", J1350&lt;&gt;VLOOKUP(K1350, Criterios!$A$81:$B$120, 2, FALSE)), "División no coincide con Categoría", ""))), IF(OR(L1350="", L1350=""), "[Aviso] Género no capturado ()", IF(ISNA(MATCH(L1350, Criterios!$B$123:$B$127, 0)), "Género no válido", "")), IF(OR(N1350="", N1350=""), "[Aviso] Temporada no capturada ()", IF(ISNA(MATCH(N1350, Criterios!$C$123:$C$128, 0)), "Temporada no válida", "")), IF(OR(O1350="", O1350=""), "[Aviso] Ciclo de vida no capturado ()", IF(ISNA(MATCH(O1350, Criterios!$D$123:$D$124, 0)), "Ciclo de vida no válido", ""))))</f>
        <v/>
      </c>
      <c r="AC1350" s="56" t="n"/>
      <c r="AD1350" s="51" t="n">
        <v>-1</v>
      </c>
      <c r="AE1350" s="156" t="inlineStr">
        <is>
          <t>B25 STETSON.MX (1)</t>
        </is>
      </c>
      <c r="AF1350" s="51" t="n">
        <v>1</v>
      </c>
      <c r="AG1350" s="156" t="inlineStr">
        <is>
          <t>Catálogo existente</t>
        </is>
      </c>
      <c r="AH1350"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50" s="156" t="inlineStr">
        <is>
          <t>Sí</t>
        </is>
      </c>
      <c r="AJ1350" s="156" t="inlineStr">
        <is>
          <t>STETSON AMERICAS (-2)</t>
        </is>
      </c>
      <c r="AK1350" s="155" t="inlineStr">
        <is>
          <t>Criterios: J [R]; G1522_Extraccion_Articulos_NetSuite_2026-09-30.xlsx: fila 58209 [S] | Shopify Stetson: producto 14819778101611 / variante 53350595035499</t>
        </is>
      </c>
      <c r="AL1350" s="58" t="n">
        <v>678.8793103</v>
      </c>
      <c r="AM1350" s="58" t="n">
        <v>1508.62069</v>
      </c>
      <c r="AN1350" s="155" t="inlineStr">
        <is>
          <t>Shopify Stetson México</t>
        </is>
      </c>
      <c r="AO1350" s="59" t="n">
        <v>4</v>
      </c>
      <c r="AP1350" s="59" t="n"/>
      <c r="AQ1350" s="59" t="n"/>
      <c r="AR1350" s="155" t="inlineStr">
        <is>
          <t>Shopify Stetson México › Stetson México: 1 | Shopify Stetson México › Stetson Americas: 3</t>
        </is>
      </c>
    </row>
    <row r="1351">
      <c r="A1351" s="50" t="inlineStr">
        <is>
          <t>7506499573993</t>
        </is>
      </c>
      <c r="B1351" s="51" t="inlineStr">
        <is>
          <t>110395</t>
        </is>
      </c>
      <c r="C1351" s="156" t="inlineStr">
        <is>
          <t>Multimarca</t>
        </is>
      </c>
      <c r="D1351" s="156" t="inlineStr">
        <is>
          <t>ST-VR-P-022-FW25-OG</t>
        </is>
      </c>
      <c r="E1351" s="156" t="inlineStr">
        <is>
          <t>ST-VR-P-022-FW25-OG-L</t>
        </is>
      </c>
      <c r="F1351" s="156" t="inlineStr">
        <is>
          <t>L</t>
        </is>
      </c>
      <c r="G1351" s="156" t="inlineStr">
        <is>
          <t>L</t>
        </is>
      </c>
      <c r="H1351" s="156" t="inlineStr">
        <is>
          <t>Stetson</t>
        </is>
      </c>
      <c r="I1351" s="156" t="inlineStr">
        <is>
          <t>Camisa Stetson Vintage Range Onyx Grecas</t>
        </is>
      </c>
      <c r="J1351" s="156" t="inlineStr">
        <is>
          <t>Ropa</t>
        </is>
      </c>
      <c r="K1351" s="156" t="inlineStr">
        <is>
          <t>Camisas</t>
        </is>
      </c>
      <c r="L1351" s="156" t="inlineStr">
        <is>
          <t>Hombre</t>
        </is>
      </c>
      <c r="M1351" s="156" t="inlineStr">
        <is>
          <t>Stetson</t>
        </is>
      </c>
      <c r="N1351" s="156" t="inlineStr">
        <is>
          <t>SS26</t>
        </is>
      </c>
      <c r="O1351" s="156" t="inlineStr">
        <is>
          <t>Seasonal</t>
        </is>
      </c>
      <c r="P1351" s="156" t="inlineStr">
        <is>
          <t>Negro</t>
        </is>
      </c>
      <c r="Q1351" s="156" t="inlineStr">
        <is>
          <t>Relajado</t>
        </is>
      </c>
      <c r="R1351" s="156" t="n"/>
      <c r="S1351" s="156" t="inlineStr">
        <is>
          <t>100% Algodón</t>
        </is>
      </c>
      <c r="T1351"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1" s="156" t="n"/>
      <c r="V1351" s="156" t="inlineStr">
        <is>
          <t>PZS</t>
        </is>
      </c>
      <c r="W1351" s="51" t="inlineStr">
        <is>
          <t>53101600</t>
        </is>
      </c>
      <c r="X1351" s="156" t="inlineStr">
        <is>
          <t>https://cdn.shopify.com/s/files/1/0888/3250/8267/files/ST-VR-P-022-OG-03.jpg?v=1762369867</t>
        </is>
      </c>
      <c r="Y1351" s="54" t="n">
        <v>678.8793103</v>
      </c>
      <c r="Z1351" s="54" t="n">
        <v>1508.62069</v>
      </c>
      <c r="AA1351" s="55">
        <f>IF(AND(A1351="", B1351="", E1351=""), "", IF(AB1351="", "Válido", IF((LEN(AB1351)-LEN(SUBSTITUTE(AB1351,"; ","")))/2+1&gt;(LEN(AB1351)-LEN(SUBSTITUTE(AB1351,"[Aviso]","")))/7, "Con Incidencias", "Válido")))</f>
        <v/>
      </c>
      <c r="AB1351" s="56">
        <f>IF(AND(A1351="", B1351="", E1351=""), "", TEXTJOIN("; ", TRUE, IF(OR(TRIM(A1351&amp;"")="", ISNUMBER(SEARCH("FALTA", A1351))), "UPC faltante/inválido", ""), IF(AND(A1351&lt;&gt;"", IFERROR(_xlfn.XMATCH(A1351,$A$2:$A$2509,0,1)&lt;&gt;_xlfn.XMATCH(A1351,$A$2:$A$2509,0,-1),FALSE)), "Código de barras duplicado", ""), IF(AND(E1351&lt;&gt;"", COUNTIF($E$2:$E$2509, E1351)&gt;1), "SKU duplicado", ""), IF(OR(J1351="", J1351=""), "[Aviso] División no capturada ()", IF(ISNA(MATCH(J1351, Criterios!$A$123:$A$126, 0)), "División no válida", "")), IF(OR(K1351="", K1351=""), "[Aviso] Categoría no capturada ()", IF(ISNA(MATCH(K1351, Criterios!$A$81:$A$120, 0)), "Categoría no válida", IF(AND(J1351&lt;&gt;"", J1351&lt;&gt;"", J1351&lt;&gt;VLOOKUP(K1351, Criterios!$A$81:$B$120, 2, FALSE)), "División no coincide con Categoría", ""))), IF(OR(L1351="", L1351=""), "[Aviso] Género no capturado ()", IF(ISNA(MATCH(L1351, Criterios!$B$123:$B$127, 0)), "Género no válido", "")), IF(OR(N1351="", N1351=""), "[Aviso] Temporada no capturada ()", IF(ISNA(MATCH(N1351, Criterios!$C$123:$C$128, 0)), "Temporada no válida", "")), IF(OR(O1351="", O1351=""), "[Aviso] Ciclo de vida no capturado ()", IF(ISNA(MATCH(O1351, Criterios!$D$123:$D$124, 0)), "Ciclo de vida no válido", ""))))</f>
        <v/>
      </c>
      <c r="AC1351" s="56" t="n"/>
      <c r="AD1351" s="51" t="n">
        <v>-3</v>
      </c>
      <c r="AE1351" s="156" t="n"/>
      <c r="AF1351" s="51" t="n">
        <v>0</v>
      </c>
      <c r="AG1351" s="156" t="inlineStr">
        <is>
          <t>Catálogo existente</t>
        </is>
      </c>
      <c r="AH1351"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51" s="156" t="inlineStr">
        <is>
          <t>Sí</t>
        </is>
      </c>
      <c r="AJ1351" s="156" t="inlineStr">
        <is>
          <t>STETSON AMERICAS (-3)</t>
        </is>
      </c>
      <c r="AK1351" s="155" t="inlineStr">
        <is>
          <t>Criterios: J [R]; G1522_Extraccion_Articulos_NetSuite_2026-09-30.xlsx: fila 58210 [S] | Shopify Stetson: producto 14819778101611 / variante 53350595068267</t>
        </is>
      </c>
      <c r="AL1351" s="58" t="n">
        <v>678.8793103</v>
      </c>
      <c r="AM1351" s="58" t="n">
        <v>1508.62069</v>
      </c>
      <c r="AN1351" s="155" t="inlineStr">
        <is>
          <t>Shopify Stetson México</t>
        </is>
      </c>
      <c r="AO1351" s="59" t="n">
        <v>2</v>
      </c>
      <c r="AP1351" s="59" t="n"/>
      <c r="AQ1351" s="59" t="n"/>
      <c r="AR1351" s="155" t="inlineStr">
        <is>
          <t>Shopify Stetson México › Stetson Americas: 2</t>
        </is>
      </c>
    </row>
    <row r="1352">
      <c r="A1352" s="50" t="inlineStr">
        <is>
          <t>7506499574006</t>
        </is>
      </c>
      <c r="B1352" s="51" t="inlineStr">
        <is>
          <t>110396</t>
        </is>
      </c>
      <c r="C1352" s="156" t="inlineStr">
        <is>
          <t>Multimarca</t>
        </is>
      </c>
      <c r="D1352" s="156" t="inlineStr">
        <is>
          <t>ST-VR-P-022-FW25-OG</t>
        </is>
      </c>
      <c r="E1352" s="156" t="inlineStr">
        <is>
          <t>ST-VR-P-022-FW25-OG-XL</t>
        </is>
      </c>
      <c r="F1352" s="156" t="inlineStr">
        <is>
          <t>XL</t>
        </is>
      </c>
      <c r="G1352" s="156" t="inlineStr">
        <is>
          <t>XL</t>
        </is>
      </c>
      <c r="H1352" s="156" t="inlineStr">
        <is>
          <t>Stetson</t>
        </is>
      </c>
      <c r="I1352" s="156" t="inlineStr">
        <is>
          <t>Camisa Stetson Vintage Range Onyx Grecas</t>
        </is>
      </c>
      <c r="J1352" s="156" t="inlineStr">
        <is>
          <t>Ropa</t>
        </is>
      </c>
      <c r="K1352" s="156" t="inlineStr">
        <is>
          <t>Camisas</t>
        </is>
      </c>
      <c r="L1352" s="156" t="inlineStr">
        <is>
          <t>Hombre</t>
        </is>
      </c>
      <c r="M1352" s="156" t="inlineStr">
        <is>
          <t>Stetson</t>
        </is>
      </c>
      <c r="N1352" s="156" t="inlineStr">
        <is>
          <t>SS26</t>
        </is>
      </c>
      <c r="O1352" s="156" t="inlineStr">
        <is>
          <t>Seasonal</t>
        </is>
      </c>
      <c r="P1352" s="156" t="inlineStr">
        <is>
          <t>Negro</t>
        </is>
      </c>
      <c r="Q1352" s="156" t="inlineStr">
        <is>
          <t>Relajado</t>
        </is>
      </c>
      <c r="R1352" s="156" t="n"/>
      <c r="S1352" s="156" t="inlineStr">
        <is>
          <t>100% Algodón</t>
        </is>
      </c>
      <c r="T1352"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2" s="156" t="n"/>
      <c r="V1352" s="156" t="inlineStr">
        <is>
          <t>PZS</t>
        </is>
      </c>
      <c r="W1352" s="51" t="inlineStr">
        <is>
          <t>53101600</t>
        </is>
      </c>
      <c r="X1352" s="156" t="inlineStr">
        <is>
          <t>https://cdn.shopify.com/s/files/1/0888/3250/8267/files/ST-VR-P-022-OG-01.jpg?v=1762369866</t>
        </is>
      </c>
      <c r="Y1352" s="54" t="n">
        <v>678.8793103</v>
      </c>
      <c r="Z1352" s="54" t="n">
        <v>1508.62069</v>
      </c>
      <c r="AA1352" s="55">
        <f>IF(AND(A1352="", B1352="", E1352=""), "", IF(AB1352="", "Válido", IF((LEN(AB1352)-LEN(SUBSTITUTE(AB1352,"; ","")))/2+1&gt;(LEN(AB1352)-LEN(SUBSTITUTE(AB1352,"[Aviso]","")))/7, "Con Incidencias", "Válido")))</f>
        <v/>
      </c>
      <c r="AB1352" s="56">
        <f>IF(AND(A1352="", B1352="", E1352=""), "", TEXTJOIN("; ", TRUE, IF(OR(TRIM(A1352&amp;"")="", ISNUMBER(SEARCH("FALTA", A1352))), "UPC faltante/inválido", ""), IF(AND(A1352&lt;&gt;"", IFERROR(_xlfn.XMATCH(A1352,$A$2:$A$2509,0,1)&lt;&gt;_xlfn.XMATCH(A1352,$A$2:$A$2509,0,-1),FALSE)), "Código de barras duplicado", ""), IF(AND(E1352&lt;&gt;"", COUNTIF($E$2:$E$2509, E1352)&gt;1), "SKU duplicado", ""), IF(OR(J1352="", J1352=""), "[Aviso] División no capturada ()", IF(ISNA(MATCH(J1352, Criterios!$A$123:$A$126, 0)), "División no válida", "")), IF(OR(K1352="", K1352=""), "[Aviso] Categoría no capturada ()", IF(ISNA(MATCH(K1352, Criterios!$A$81:$A$120, 0)), "Categoría no válida", IF(AND(J1352&lt;&gt;"", J1352&lt;&gt;"", J1352&lt;&gt;VLOOKUP(K1352, Criterios!$A$81:$B$120, 2, FALSE)), "División no coincide con Categoría", ""))), IF(OR(L1352="", L1352=""), "[Aviso] Género no capturado ()", IF(ISNA(MATCH(L1352, Criterios!$B$123:$B$127, 0)), "Género no válido", "")), IF(OR(N1352="", N1352=""), "[Aviso] Temporada no capturada ()", IF(ISNA(MATCH(N1352, Criterios!$C$123:$C$128, 0)), "Temporada no válida", "")), IF(OR(O1352="", O1352=""), "[Aviso] Ciclo de vida no capturado ()", IF(ISNA(MATCH(O1352, Criterios!$D$123:$D$124, 0)), "Ciclo de vida no válido", ""))))</f>
        <v/>
      </c>
      <c r="AC1352" s="56" t="n"/>
      <c r="AD1352" s="51" t="n">
        <v>-4</v>
      </c>
      <c r="AE1352" s="156" t="n"/>
      <c r="AF1352" s="51" t="n">
        <v>0</v>
      </c>
      <c r="AG1352" s="156" t="inlineStr">
        <is>
          <t>Catálogo existente</t>
        </is>
      </c>
      <c r="AH1352"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52" s="156" t="inlineStr">
        <is>
          <t>Sí</t>
        </is>
      </c>
      <c r="AJ1352" s="156" t="inlineStr">
        <is>
          <t>STETSON AMERICAS (-4)</t>
        </is>
      </c>
      <c r="AK1352" s="155" t="inlineStr">
        <is>
          <t>Criterios: J [R]; G1522_Extraccion_Articulos_NetSuite_2026-09-30.xlsx: fila 58211 [S] | Shopify Stetson: producto 14819778101611 / variante 53350595101035</t>
        </is>
      </c>
      <c r="AL1352" s="58" t="n">
        <v>678.8793103</v>
      </c>
      <c r="AM1352" s="58" t="n">
        <v>1508.62069</v>
      </c>
      <c r="AN1352" s="155" t="inlineStr">
        <is>
          <t>Shopify Stetson México</t>
        </is>
      </c>
      <c r="AO1352" s="59" t="n">
        <v>-1</v>
      </c>
      <c r="AP1352" s="59" t="n"/>
      <c r="AQ1352" s="59" t="n"/>
      <c r="AR1352" s="155" t="n"/>
    </row>
    <row r="1353">
      <c r="A1353" s="50" t="inlineStr">
        <is>
          <t>7506499574013</t>
        </is>
      </c>
      <c r="B1353" s="51" t="inlineStr">
        <is>
          <t>110397</t>
        </is>
      </c>
      <c r="C1353" s="156" t="inlineStr">
        <is>
          <t>Multimarca</t>
        </is>
      </c>
      <c r="D1353" s="156" t="inlineStr">
        <is>
          <t>ST-VR-P-022-FW25-OG</t>
        </is>
      </c>
      <c r="E1353" s="156" t="inlineStr">
        <is>
          <t>ST-VR-P-022-FW25-OG-XXL</t>
        </is>
      </c>
      <c r="F1353" s="156" t="inlineStr">
        <is>
          <t>XXL</t>
        </is>
      </c>
      <c r="G1353" s="156" t="inlineStr">
        <is>
          <t>XXL</t>
        </is>
      </c>
      <c r="H1353" s="156" t="inlineStr">
        <is>
          <t>Stetson</t>
        </is>
      </c>
      <c r="I1353" s="156" t="inlineStr">
        <is>
          <t>Camisa Stetson Vintage Range Onyx Grecas</t>
        </is>
      </c>
      <c r="J1353" s="156" t="inlineStr">
        <is>
          <t>Ropa</t>
        </is>
      </c>
      <c r="K1353" s="156" t="inlineStr">
        <is>
          <t>Camisas</t>
        </is>
      </c>
      <c r="L1353" s="156" t="inlineStr">
        <is>
          <t>Hombre</t>
        </is>
      </c>
      <c r="M1353" s="156" t="inlineStr">
        <is>
          <t>Stetson</t>
        </is>
      </c>
      <c r="N1353" s="156" t="inlineStr">
        <is>
          <t>SS26</t>
        </is>
      </c>
      <c r="O1353" s="156" t="inlineStr">
        <is>
          <t>Seasonal</t>
        </is>
      </c>
      <c r="P1353" s="156" t="inlineStr">
        <is>
          <t>Negro</t>
        </is>
      </c>
      <c r="Q1353" s="156" t="inlineStr">
        <is>
          <t>Relajado</t>
        </is>
      </c>
      <c r="R1353" s="156" t="n"/>
      <c r="S1353" s="156" t="inlineStr">
        <is>
          <t>100% Algodón</t>
        </is>
      </c>
      <c r="T1353"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3" s="156" t="n"/>
      <c r="V1353" s="156" t="inlineStr">
        <is>
          <t>PZS</t>
        </is>
      </c>
      <c r="W1353" s="51" t="inlineStr">
        <is>
          <t>53101600</t>
        </is>
      </c>
      <c r="X1353" s="156" t="inlineStr">
        <is>
          <t>https://cdn.shopify.com/s/files/1/0888/3250/8267/files/ST-VR-P-022-OG-01.jpg?v=1762369866</t>
        </is>
      </c>
      <c r="Y1353" s="54" t="n">
        <v>678.8793103</v>
      </c>
      <c r="Z1353" s="54" t="n">
        <v>1508.62069</v>
      </c>
      <c r="AA1353" s="55">
        <f>IF(AND(A1353="", B1353="", E1353=""), "", IF(AB1353="", "Válido", IF((LEN(AB1353)-LEN(SUBSTITUTE(AB1353,"; ","")))/2+1&gt;(LEN(AB1353)-LEN(SUBSTITUTE(AB1353,"[Aviso]","")))/7, "Con Incidencias", "Válido")))</f>
        <v/>
      </c>
      <c r="AB1353" s="56">
        <f>IF(AND(A1353="", B1353="", E1353=""), "", TEXTJOIN("; ", TRUE, IF(OR(TRIM(A1353&amp;"")="", ISNUMBER(SEARCH("FALTA", A1353))), "UPC faltante/inválido", ""), IF(AND(A1353&lt;&gt;"", IFERROR(_xlfn.XMATCH(A1353,$A$2:$A$2509,0,1)&lt;&gt;_xlfn.XMATCH(A1353,$A$2:$A$2509,0,-1),FALSE)), "Código de barras duplicado", ""), IF(AND(E1353&lt;&gt;"", COUNTIF($E$2:$E$2509, E1353)&gt;1), "SKU duplicado", ""), IF(OR(J1353="", J1353=""), "[Aviso] División no capturada ()", IF(ISNA(MATCH(J1353, Criterios!$A$123:$A$126, 0)), "División no válida", "")), IF(OR(K1353="", K1353=""), "[Aviso] Categoría no capturada ()", IF(ISNA(MATCH(K1353, Criterios!$A$81:$A$120, 0)), "Categoría no válida", IF(AND(J1353&lt;&gt;"", J1353&lt;&gt;"", J1353&lt;&gt;VLOOKUP(K1353, Criterios!$A$81:$B$120, 2, FALSE)), "División no coincide con Categoría", ""))), IF(OR(L1353="", L1353=""), "[Aviso] Género no capturado ()", IF(ISNA(MATCH(L1353, Criterios!$B$123:$B$127, 0)), "Género no válido", "")), IF(OR(N1353="", N1353=""), "[Aviso] Temporada no capturada ()", IF(ISNA(MATCH(N1353, Criterios!$C$123:$C$128, 0)), "Temporada no válida", "")), IF(OR(O1353="", O1353=""), "[Aviso] Ciclo de vida no capturado ()", IF(ISNA(MATCH(O1353, Criterios!$D$123:$D$124, 0)), "Ciclo de vida no válido", ""))))</f>
        <v/>
      </c>
      <c r="AC1353" s="56" t="n"/>
      <c r="AD1353" s="51" t="n">
        <v>0</v>
      </c>
      <c r="AE1353" s="156" t="n"/>
      <c r="AF1353" s="51" t="n">
        <v>0</v>
      </c>
      <c r="AG1353" s="156" t="inlineStr">
        <is>
          <t>Catálogo existente</t>
        </is>
      </c>
      <c r="AH1353"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53" s="156" t="inlineStr">
        <is>
          <t>No</t>
        </is>
      </c>
      <c r="AJ1353" s="156" t="n"/>
      <c r="AK1353" s="155" t="inlineStr">
        <is>
          <t>Criterios: J [R]; G1522_Extraccion_Articulos_NetSuite_2026-09-30.xlsx: fila 58212 [S] | Shopify Stetson: producto 14819778101611 / variante 53350595133803</t>
        </is>
      </c>
      <c r="AL1353" s="58" t="n">
        <v>678.8793103</v>
      </c>
      <c r="AM1353" s="58" t="n">
        <v>1508.62069</v>
      </c>
      <c r="AN1353" s="155" t="inlineStr">
        <is>
          <t>Shopify Stetson México</t>
        </is>
      </c>
      <c r="AO1353" s="59" t="n">
        <v>0</v>
      </c>
      <c r="AP1353" s="59" t="n"/>
      <c r="AQ1353" s="59" t="n"/>
      <c r="AR1353" s="155" t="n"/>
    </row>
    <row r="1354">
      <c r="A1354" s="50" t="inlineStr">
        <is>
          <t>7506552409931</t>
        </is>
      </c>
      <c r="B1354" s="51" t="inlineStr">
        <is>
          <t>110252</t>
        </is>
      </c>
      <c r="C1354" s="156" t="inlineStr">
        <is>
          <t>Multimarca</t>
        </is>
      </c>
      <c r="D1354" s="156" t="inlineStr">
        <is>
          <t>STS17</t>
        </is>
      </c>
      <c r="E1354" s="156" t="inlineStr">
        <is>
          <t>STS17</t>
        </is>
      </c>
      <c r="F1354" s="156" t="inlineStr">
        <is>
          <t>Talla única</t>
        </is>
      </c>
      <c r="G1354" s="156" t="inlineStr">
        <is>
          <t>One Size</t>
        </is>
      </c>
      <c r="H1354" s="156" t="inlineStr">
        <is>
          <t>Stetson</t>
        </is>
      </c>
      <c r="I1354" s="156" t="inlineStr">
        <is>
          <t>Gorra Stetson Gorrar Trucker Café</t>
        </is>
      </c>
      <c r="J1354" s="156" t="inlineStr">
        <is>
          <t>Accesorios</t>
        </is>
      </c>
      <c r="K1354" s="156" t="inlineStr">
        <is>
          <t>Gorras</t>
        </is>
      </c>
      <c r="L1354" s="156" t="inlineStr">
        <is>
          <t>Hombre</t>
        </is>
      </c>
      <c r="M1354" s="156" t="inlineStr">
        <is>
          <t>Stetson</t>
        </is>
      </c>
      <c r="N1354" s="156" t="inlineStr">
        <is>
          <t>SS26</t>
        </is>
      </c>
      <c r="O1354" s="156" t="inlineStr">
        <is>
          <t>Seasonal</t>
        </is>
      </c>
      <c r="P1354" s="156" t="inlineStr">
        <is>
          <t>Cafe</t>
        </is>
      </c>
      <c r="Q1354" s="156" t="n"/>
      <c r="R1354" s="156" t="n"/>
      <c r="S1354" s="156" t="inlineStr">
        <is>
          <t>50% Algod</t>
        </is>
      </c>
      <c r="T1354"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4" s="156" t="n"/>
      <c r="V1354" s="156" t="inlineStr">
        <is>
          <t>PZS</t>
        </is>
      </c>
      <c r="W1354" s="51" t="inlineStr">
        <is>
          <t>53102516</t>
        </is>
      </c>
      <c r="X1354" s="156" t="inlineStr">
        <is>
          <t>https://cdn.shopify.com/s/files/1/0888/3250/8267/files/STS17-01.jpg?v=1758731640</t>
        </is>
      </c>
      <c r="Y1354" s="54" t="n">
        <v>310.3448276</v>
      </c>
      <c r="Z1354" s="54" t="n">
        <v>689.6551724</v>
      </c>
      <c r="AA1354" s="55">
        <f>IF(AND(A1354="", B1354="", E1354=""), "", IF(AB1354="", "Válido", IF((LEN(AB1354)-LEN(SUBSTITUTE(AB1354,"; ","")))/2+1&gt;(LEN(AB1354)-LEN(SUBSTITUTE(AB1354,"[Aviso]","")))/7, "Con Incidencias", "Válido")))</f>
        <v/>
      </c>
      <c r="AB1354" s="56">
        <f>IF(AND(A1354="", B1354="", E1354=""), "", TEXTJOIN("; ", TRUE, IF(OR(TRIM(A1354&amp;"")="", ISNUMBER(SEARCH("FALTA", A1354))), "UPC faltante/inválido", ""), IF(AND(A1354&lt;&gt;"", IFERROR(_xlfn.XMATCH(A1354,$A$2:$A$2509,0,1)&lt;&gt;_xlfn.XMATCH(A1354,$A$2:$A$2509,0,-1),FALSE)), "Código de barras duplicado", ""), IF(AND(E1354&lt;&gt;"", COUNTIF($E$2:$E$2509, E1354)&gt;1), "SKU duplicado", ""), IF(OR(J1354="", J1354=""), "[Aviso] División no capturada ()", IF(ISNA(MATCH(J1354, Criterios!$A$123:$A$126, 0)), "División no válida", "")), IF(OR(K1354="", K1354=""), "[Aviso] Categoría no capturada ()", IF(ISNA(MATCH(K1354, Criterios!$A$81:$A$120, 0)), "Categoría no válida", IF(AND(J1354&lt;&gt;"", J1354&lt;&gt;"", J1354&lt;&gt;VLOOKUP(K1354, Criterios!$A$81:$B$120, 2, FALSE)), "División no coincide con Categoría", ""))), IF(OR(L1354="", L1354=""), "[Aviso] Género no capturado ()", IF(ISNA(MATCH(L1354, Criterios!$B$123:$B$127, 0)), "Género no válido", "")), IF(OR(N1354="", N1354=""), "[Aviso] Temporada no capturada ()", IF(ISNA(MATCH(N1354, Criterios!$C$123:$C$128, 0)), "Temporada no válida", "")), IF(OR(O1354="", O1354=""), "[Aviso] Ciclo de vida no capturado ()", IF(ISNA(MATCH(O1354, Criterios!$D$123:$D$124, 0)), "Ciclo de vida no válido", ""))))</f>
        <v/>
      </c>
      <c r="AC1354" s="56" t="n"/>
      <c r="AD1354" s="51" t="n">
        <v>-2</v>
      </c>
      <c r="AE1354" s="156" t="n"/>
      <c r="AF1354" s="51" t="n">
        <v>0</v>
      </c>
      <c r="AG1354" s="156" t="inlineStr">
        <is>
          <t>Catálogo existente</t>
        </is>
      </c>
      <c r="AH1354"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4" s="156" t="inlineStr">
        <is>
          <t>Sí</t>
        </is>
      </c>
      <c r="AJ1354" s="156" t="inlineStr">
        <is>
          <t>STETSON AMERICAS (-2)</t>
        </is>
      </c>
      <c r="AK1354" s="155" t="inlineStr">
        <is>
          <t>Criterios: I [Q] | Criterios: J [R]; G1522_Extraccion_Articulos_NetSuite_2026-09-30.xlsx: fila 58067 [S] | Shopify Stetson: producto 14782304092523 / variante 52418869592427</t>
        </is>
      </c>
      <c r="AL1354" s="58" t="n">
        <v>310.3448276</v>
      </c>
      <c r="AM1354" s="58" t="n">
        <v>689.6551724</v>
      </c>
      <c r="AN1354" s="155" t="inlineStr">
        <is>
          <t>Shopify Stetson México</t>
        </is>
      </c>
      <c r="AO1354" s="59" t="n">
        <v>0</v>
      </c>
      <c r="AP1354" s="59" t="n"/>
      <c r="AQ1354" s="59" t="n"/>
      <c r="AR1354" s="155" t="n"/>
    </row>
    <row r="1355">
      <c r="A1355" s="50" t="inlineStr">
        <is>
          <t>7506552409955</t>
        </is>
      </c>
      <c r="B1355" s="51" t="inlineStr">
        <is>
          <t>110253</t>
        </is>
      </c>
      <c r="C1355" s="156" t="inlineStr">
        <is>
          <t>Multimarca</t>
        </is>
      </c>
      <c r="D1355" s="156" t="inlineStr">
        <is>
          <t>STS19</t>
        </is>
      </c>
      <c r="E1355" s="156" t="inlineStr">
        <is>
          <t>STS19</t>
        </is>
      </c>
      <c r="F1355" s="156" t="inlineStr">
        <is>
          <t>Talla única</t>
        </is>
      </c>
      <c r="G1355" s="156" t="inlineStr">
        <is>
          <t>One Size</t>
        </is>
      </c>
      <c r="H1355" s="156" t="inlineStr">
        <is>
          <t>Stetson</t>
        </is>
      </c>
      <c r="I1355" s="156" t="inlineStr">
        <is>
          <t>Gorra Stetson Trucker Mostaza</t>
        </is>
      </c>
      <c r="J1355" s="156" t="inlineStr">
        <is>
          <t>Accesorios</t>
        </is>
      </c>
      <c r="K1355" s="156" t="inlineStr">
        <is>
          <t>Gorras</t>
        </is>
      </c>
      <c r="L1355" s="156" t="inlineStr">
        <is>
          <t>Hombre</t>
        </is>
      </c>
      <c r="M1355" s="156" t="inlineStr">
        <is>
          <t>Stetson</t>
        </is>
      </c>
      <c r="N1355" s="156" t="inlineStr">
        <is>
          <t>SS26</t>
        </is>
      </c>
      <c r="O1355" s="156" t="inlineStr">
        <is>
          <t>Seasonal</t>
        </is>
      </c>
      <c r="P1355" s="156" t="inlineStr">
        <is>
          <t>Amarillo</t>
        </is>
      </c>
      <c r="Q1355" s="156" t="n"/>
      <c r="R1355" s="156" t="n"/>
      <c r="S1355" s="156" t="inlineStr">
        <is>
          <t>50% Algod</t>
        </is>
      </c>
      <c r="T135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55" s="156" t="n"/>
      <c r="V1355" s="156" t="inlineStr">
        <is>
          <t>PZS</t>
        </is>
      </c>
      <c r="W1355" s="51" t="inlineStr">
        <is>
          <t>53102516</t>
        </is>
      </c>
      <c r="X1355" s="156" t="inlineStr">
        <is>
          <t>https://cdn.shopify.com/s/files/1/0888/3250/8267/files/STS19-01.jpg?v=1758732369</t>
        </is>
      </c>
      <c r="Y1355" s="54" t="n">
        <v>310.3448276</v>
      </c>
      <c r="Z1355" s="54" t="n">
        <v>689.6551724</v>
      </c>
      <c r="AA1355" s="55">
        <f>IF(AND(A1355="", B1355="", E1355=""), "", IF(AB1355="", "Válido", IF((LEN(AB1355)-LEN(SUBSTITUTE(AB1355,"; ","")))/2+1&gt;(LEN(AB1355)-LEN(SUBSTITUTE(AB1355,"[Aviso]","")))/7, "Con Incidencias", "Válido")))</f>
        <v/>
      </c>
      <c r="AB1355" s="56">
        <f>IF(AND(A1355="", B1355="", E1355=""), "", TEXTJOIN("; ", TRUE, IF(OR(TRIM(A1355&amp;"")="", ISNUMBER(SEARCH("FALTA", A1355))), "UPC faltante/inválido", ""), IF(AND(A1355&lt;&gt;"", IFERROR(_xlfn.XMATCH(A1355,$A$2:$A$2509,0,1)&lt;&gt;_xlfn.XMATCH(A1355,$A$2:$A$2509,0,-1),FALSE)), "Código de barras duplicado", ""), IF(AND(E1355&lt;&gt;"", COUNTIF($E$2:$E$2509, E1355)&gt;1), "SKU duplicado", ""), IF(OR(J1355="", J1355=""), "[Aviso] División no capturada ()", IF(ISNA(MATCH(J1355, Criterios!$A$123:$A$126, 0)), "División no válida", "")), IF(OR(K1355="", K1355=""), "[Aviso] Categoría no capturada ()", IF(ISNA(MATCH(K1355, Criterios!$A$81:$A$120, 0)), "Categoría no válida", IF(AND(J1355&lt;&gt;"", J1355&lt;&gt;"", J1355&lt;&gt;VLOOKUP(K1355, Criterios!$A$81:$B$120, 2, FALSE)), "División no coincide con Categoría", ""))), IF(OR(L1355="", L1355=""), "[Aviso] Género no capturado ()", IF(ISNA(MATCH(L1355, Criterios!$B$123:$B$127, 0)), "Género no válido", "")), IF(OR(N1355="", N1355=""), "[Aviso] Temporada no capturada ()", IF(ISNA(MATCH(N1355, Criterios!$C$123:$C$128, 0)), "Temporada no válida", "")), IF(OR(O1355="", O1355=""), "[Aviso] Ciclo de vida no capturado ()", IF(ISNA(MATCH(O1355, Criterios!$D$123:$D$124, 0)), "Ciclo de vida no válido", ""))))</f>
        <v/>
      </c>
      <c r="AC1355" s="56" t="n"/>
      <c r="AD1355" s="51" t="n">
        <v>2</v>
      </c>
      <c r="AE1355" s="156" t="inlineStr">
        <is>
          <t>B25 STETSON.MX (3)</t>
        </is>
      </c>
      <c r="AF1355" s="51" t="n">
        <v>3</v>
      </c>
      <c r="AG1355" s="156" t="inlineStr">
        <is>
          <t>Catálogo existente</t>
        </is>
      </c>
      <c r="AH135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5" s="156" t="inlineStr">
        <is>
          <t>Sí</t>
        </is>
      </c>
      <c r="AJ1355" s="156" t="inlineStr">
        <is>
          <t>STETSON AMERICAS (-1)</t>
        </is>
      </c>
      <c r="AK1355" s="155" t="inlineStr">
        <is>
          <t>Criterios: I [Q] | Criterios: J [R]; G1522_Extraccion_Articulos_NetSuite_2026-09-30.xlsx: fila 58068 [S] | Shopify Stetson: producto 14782306156907 / variante 52418879619435</t>
        </is>
      </c>
      <c r="AL1355" s="58" t="n">
        <v>310.3448276</v>
      </c>
      <c r="AM1355" s="58" t="n">
        <v>689.6551724</v>
      </c>
      <c r="AN1355" s="155" t="inlineStr">
        <is>
          <t>Shopify Stetson México</t>
        </is>
      </c>
      <c r="AO1355" s="59" t="n">
        <v>3</v>
      </c>
      <c r="AP1355" s="59" t="n"/>
      <c r="AQ1355" s="59" t="n"/>
      <c r="AR1355" s="155" t="inlineStr">
        <is>
          <t>Shopify Stetson México › Stetson México: 3</t>
        </is>
      </c>
    </row>
    <row r="1356">
      <c r="A1356" s="50" t="inlineStr">
        <is>
          <t>7506552409962</t>
        </is>
      </c>
      <c r="B1356" s="51" t="inlineStr">
        <is>
          <t>110254</t>
        </is>
      </c>
      <c r="C1356" s="156" t="inlineStr">
        <is>
          <t>Multimarca</t>
        </is>
      </c>
      <c r="D1356" s="156" t="inlineStr">
        <is>
          <t>STS20</t>
        </is>
      </c>
      <c r="E1356" s="156" t="inlineStr">
        <is>
          <t>STS20</t>
        </is>
      </c>
      <c r="F1356" s="156" t="inlineStr">
        <is>
          <t>Talla única</t>
        </is>
      </c>
      <c r="G1356" s="156" t="inlineStr">
        <is>
          <t>One Size</t>
        </is>
      </c>
      <c r="H1356" s="156" t="inlineStr">
        <is>
          <t>Stetson</t>
        </is>
      </c>
      <c r="I1356" s="156" t="inlineStr">
        <is>
          <t>Gorra Stetson Trucker Paja / Café</t>
        </is>
      </c>
      <c r="J1356" s="156" t="inlineStr">
        <is>
          <t>Accesorios</t>
        </is>
      </c>
      <c r="K1356" s="156" t="inlineStr">
        <is>
          <t>Gorras</t>
        </is>
      </c>
      <c r="L1356" s="156" t="inlineStr">
        <is>
          <t>Hombre</t>
        </is>
      </c>
      <c r="M1356" s="156" t="inlineStr">
        <is>
          <t>Stetson</t>
        </is>
      </c>
      <c r="N1356" s="156" t="inlineStr">
        <is>
          <t>SS26</t>
        </is>
      </c>
      <c r="O1356" s="156" t="inlineStr">
        <is>
          <t>Seasonal</t>
        </is>
      </c>
      <c r="P1356" s="156" t="inlineStr">
        <is>
          <t>Cafe</t>
        </is>
      </c>
      <c r="Q1356" s="156" t="n"/>
      <c r="R1356" s="156" t="n"/>
      <c r="S1356" s="156" t="inlineStr">
        <is>
          <t>50% Algodón</t>
        </is>
      </c>
      <c r="T1356"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6" s="156" t="n"/>
      <c r="V1356" s="156" t="inlineStr">
        <is>
          <t>PZS</t>
        </is>
      </c>
      <c r="W1356" s="51" t="inlineStr">
        <is>
          <t>53102516</t>
        </is>
      </c>
      <c r="X1356" s="156" t="inlineStr">
        <is>
          <t>https://cdn.shopify.com/s/files/1/0888/3250/8267/files/STS20-01.jpg?v=1758732576</t>
        </is>
      </c>
      <c r="Y1356" s="54" t="n">
        <v>310.3448276</v>
      </c>
      <c r="Z1356" s="54" t="n">
        <v>689.6551724</v>
      </c>
      <c r="AA1356" s="55">
        <f>IF(AND(A1356="", B1356="", E1356=""), "", IF(AB1356="", "Válido", IF((LEN(AB1356)-LEN(SUBSTITUTE(AB1356,"; ","")))/2+1&gt;(LEN(AB1356)-LEN(SUBSTITUTE(AB1356,"[Aviso]","")))/7, "Con Incidencias", "Válido")))</f>
        <v/>
      </c>
      <c r="AB1356" s="56">
        <f>IF(AND(A1356="", B1356="", E1356=""), "", TEXTJOIN("; ", TRUE, IF(OR(TRIM(A1356&amp;"")="", ISNUMBER(SEARCH("FALTA", A1356))), "UPC faltante/inválido", ""), IF(AND(A1356&lt;&gt;"", IFERROR(_xlfn.XMATCH(A1356,$A$2:$A$2509,0,1)&lt;&gt;_xlfn.XMATCH(A1356,$A$2:$A$2509,0,-1),FALSE)), "Código de barras duplicado", ""), IF(AND(E1356&lt;&gt;"", COUNTIF($E$2:$E$2509, E1356)&gt;1), "SKU duplicado", ""), IF(OR(J1356="", J1356=""), "[Aviso] División no capturada ()", IF(ISNA(MATCH(J1356, Criterios!$A$123:$A$126, 0)), "División no válida", "")), IF(OR(K1356="", K1356=""), "[Aviso] Categoría no capturada ()", IF(ISNA(MATCH(K1356, Criterios!$A$81:$A$120, 0)), "Categoría no válida", IF(AND(J1356&lt;&gt;"", J1356&lt;&gt;"", J1356&lt;&gt;VLOOKUP(K1356, Criterios!$A$81:$B$120, 2, FALSE)), "División no coincide con Categoría", ""))), IF(OR(L1356="", L1356=""), "[Aviso] Género no capturado ()", IF(ISNA(MATCH(L1356, Criterios!$B$123:$B$127, 0)), "Género no válido", "")), IF(OR(N1356="", N1356=""), "[Aviso] Temporada no capturada ()", IF(ISNA(MATCH(N1356, Criterios!$C$123:$C$128, 0)), "Temporada no válida", "")), IF(OR(O1356="", O1356=""), "[Aviso] Ciclo de vida no capturado ()", IF(ISNA(MATCH(O1356, Criterios!$D$123:$D$124, 0)), "Ciclo de vida no válido", ""))))</f>
        <v/>
      </c>
      <c r="AC1356" s="56" t="n"/>
      <c r="AD1356" s="51" t="n">
        <v>-2</v>
      </c>
      <c r="AE1356" s="156" t="n"/>
      <c r="AF1356" s="51" t="n">
        <v>0</v>
      </c>
      <c r="AG1356" s="156" t="inlineStr">
        <is>
          <t>Catálogo existente</t>
        </is>
      </c>
      <c r="AH1356"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«50% Algodon» → «50% Algodón» (Corrección aplicada) · WB Composición: Los porcentajes no suman 100 % o el texto está truncado; confirmar con la etiqueta (Requiere revisión)</t>
        </is>
      </c>
      <c r="AI1356" s="156" t="inlineStr">
        <is>
          <t>Sí</t>
        </is>
      </c>
      <c r="AJ1356" s="156" t="inlineStr">
        <is>
          <t>STETSON AMERICAS (-2)</t>
        </is>
      </c>
      <c r="AK1356" s="155" t="inlineStr">
        <is>
          <t>Criterios: I [Q] | Criterios: J [R]; G1522_Extraccion_Articulos_NetSuite_2026-09-30.xlsx: fila 58069 [S] | Shopify Stetson: producto 14782306419051 / variante 52418880668011</t>
        </is>
      </c>
      <c r="AL1356" s="58" t="n">
        <v>310.3448276</v>
      </c>
      <c r="AM1356" s="58" t="n">
        <v>689.6551724</v>
      </c>
      <c r="AN1356" s="155" t="inlineStr">
        <is>
          <t>Shopify Stetson México</t>
        </is>
      </c>
      <c r="AO1356" s="59" t="n">
        <v>0</v>
      </c>
      <c r="AP1356" s="59" t="n"/>
      <c r="AQ1356" s="59" t="n"/>
      <c r="AR1356" s="155" t="n"/>
    </row>
    <row r="1357">
      <c r="A1357" s="50" t="inlineStr">
        <is>
          <t>7506552409979</t>
        </is>
      </c>
      <c r="B1357" s="51" t="inlineStr">
        <is>
          <t>112181</t>
        </is>
      </c>
      <c r="C1357" s="156" t="inlineStr">
        <is>
          <t>Multimarca</t>
        </is>
      </c>
      <c r="D1357" s="156" t="inlineStr">
        <is>
          <t>STS21</t>
        </is>
      </c>
      <c r="E1357" s="156" t="inlineStr">
        <is>
          <t>STS21</t>
        </is>
      </c>
      <c r="F1357" s="156" t="inlineStr">
        <is>
          <t>Talla única</t>
        </is>
      </c>
      <c r="G1357" s="156" t="inlineStr">
        <is>
          <t>One Size</t>
        </is>
      </c>
      <c r="H1357" s="156" t="inlineStr">
        <is>
          <t>Stetson</t>
        </is>
      </c>
      <c r="I1357" s="156" t="inlineStr">
        <is>
          <t>Gorra Stetson Trucker Blanca / Azul</t>
        </is>
      </c>
      <c r="J1357" s="156" t="inlineStr">
        <is>
          <t>Accesorios</t>
        </is>
      </c>
      <c r="K1357" s="156" t="inlineStr">
        <is>
          <t>Gorras</t>
        </is>
      </c>
      <c r="L1357" s="156" t="inlineStr">
        <is>
          <t>Hombre</t>
        </is>
      </c>
      <c r="M1357" s="156" t="inlineStr">
        <is>
          <t>Stetson</t>
        </is>
      </c>
      <c r="N1357" s="156" t="inlineStr">
        <is>
          <t>SS26</t>
        </is>
      </c>
      <c r="O1357" s="156" t="inlineStr">
        <is>
          <t>Seasonal</t>
        </is>
      </c>
      <c r="P1357" s="156" t="inlineStr">
        <is>
          <t>Cafe</t>
        </is>
      </c>
      <c r="Q1357" s="156" t="n"/>
      <c r="R1357" s="156" t="n"/>
      <c r="S1357" s="156" t="inlineStr">
        <is>
          <t>50% Algodón</t>
        </is>
      </c>
      <c r="T135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7" s="156" t="n"/>
      <c r="V1357" s="156" t="inlineStr">
        <is>
          <t>PZS</t>
        </is>
      </c>
      <c r="W1357" s="51" t="inlineStr">
        <is>
          <t>53102516</t>
        </is>
      </c>
      <c r="X1357" s="156" t="inlineStr">
        <is>
          <t>https://cdn.shopify.com/s/files/1/0888/3250/8267/files/STS21-01.jpg?v=1758732934</t>
        </is>
      </c>
      <c r="Y1357" s="54" t="n">
        <v>310.3448276</v>
      </c>
      <c r="Z1357" s="54" t="n">
        <v>689.6551724</v>
      </c>
      <c r="AA1357" s="55">
        <f>IF(AND(A1357="", B1357="", E1357=""), "", IF(AB1357="", "Válido", IF((LEN(AB1357)-LEN(SUBSTITUTE(AB1357,"; ","")))/2+1&gt;(LEN(AB1357)-LEN(SUBSTITUTE(AB1357,"[Aviso]","")))/7, "Con Incidencias", "Válido")))</f>
        <v/>
      </c>
      <c r="AB1357" s="56">
        <f>IF(AND(A1357="", B1357="", E1357=""), "", TEXTJOIN("; ", TRUE, IF(OR(TRIM(A1357&amp;"")="", ISNUMBER(SEARCH("FALTA", A1357))), "UPC faltante/inválido", ""), IF(AND(A1357&lt;&gt;"", IFERROR(_xlfn.XMATCH(A1357,$A$2:$A$2509,0,1)&lt;&gt;_xlfn.XMATCH(A1357,$A$2:$A$2509,0,-1),FALSE)), "Código de barras duplicado", ""), IF(AND(E1357&lt;&gt;"", COUNTIF($E$2:$E$2509, E1357)&gt;1), "SKU duplicado", ""), IF(OR(J1357="", J1357=""), "[Aviso] División no capturada ()", IF(ISNA(MATCH(J1357, Criterios!$A$123:$A$126, 0)), "División no válida", "")), IF(OR(K1357="", K1357=""), "[Aviso] Categoría no capturada ()", IF(ISNA(MATCH(K1357, Criterios!$A$81:$A$120, 0)), "Categoría no válida", IF(AND(J1357&lt;&gt;"", J1357&lt;&gt;"", J1357&lt;&gt;VLOOKUP(K1357, Criterios!$A$81:$B$120, 2, FALSE)), "División no coincide con Categoría", ""))), IF(OR(L1357="", L1357=""), "[Aviso] Género no capturado ()", IF(ISNA(MATCH(L1357, Criterios!$B$123:$B$127, 0)), "Género no válido", "")), IF(OR(N1357="", N1357=""), "[Aviso] Temporada no capturada ()", IF(ISNA(MATCH(N1357, Criterios!$C$123:$C$128, 0)), "Temporada no válida", "")), IF(OR(O1357="", O1357=""), "[Aviso] Ciclo de vida no capturado ()", IF(ISNA(MATCH(O1357, Criterios!$D$123:$D$124, 0)), "Ciclo de vida no válido", ""))))</f>
        <v/>
      </c>
      <c r="AC1357" s="56" t="n"/>
      <c r="AD1357" s="51" t="n">
        <v>0</v>
      </c>
      <c r="AE1357" s="156" t="n"/>
      <c r="AF1357" s="51" t="n">
        <v>0</v>
      </c>
      <c r="AG1357" s="156" t="inlineStr">
        <is>
          <t>Catálogo existente</t>
        </is>
      </c>
      <c r="AH1357" s="156" t="inlineStr">
        <is>
          <t>Revisión 29/09/2026: Campos sin respaldo: U | Consolidado 30/09/2026 con 1 registro(s) duplicado(s) (ver hoja «Consolidación Duplicados»). Completado desde duplicado: ¿Alguna ubicación en negativo?. Valores alternos del duplicado (dos): Marca principal: Stetson | WB Descripcion: Gorra Stetson STS21 | WB Descripción larga: Gorra Stetson STS21. | Unidad: Pieza; Auditoría NetSuite 30/09/2026: llenado desde NetSuite [S] | 01/10/2026: complementado desde Shopify Stetson México (match por código de barras): WB Fit, WB Silueta | 01/10/2026: Shopify Stetson México trae Color «Blanco» — se conservó el valor de Productos | 01/10/2026: Odoo Universal Unique Brands trae Género «Unisex», Color «Blanco» — se conservó el valor de Productos | Homologación G1522 06/10/2026: WB Composición: «50% Algodon» → «50% Algodón» (Corrección aplicada) · WB Composición: Los porcentajes no suman 100 % o el texto está truncado; confirmar con la etiqueta (Requiere revisión)</t>
        </is>
      </c>
      <c r="AI1357" s="156" t="inlineStr">
        <is>
          <t>No</t>
        </is>
      </c>
      <c r="AJ1357" s="156" t="n"/>
      <c r="AK1357" s="155" t="inlineStr">
        <is>
          <t>Criterios: I [Q] | Criterios: J [R]; G1522_Extraccion_Articulos_NetSuite_2026-09-30.xlsx: fila 59427 [S] | Shopify Stetson: producto 14782306910571 / variante 52418887450987 | Odoo: producto 11764 / plantilla 15199</t>
        </is>
      </c>
      <c r="AL1357" s="58" t="n">
        <v>310.3448276</v>
      </c>
      <c r="AM1357" s="58" t="n">
        <v>689.6551724</v>
      </c>
      <c r="AN1357" s="155" t="inlineStr">
        <is>
          <t>Shopify Stetson México | Odoo Universal Unique Brands</t>
        </is>
      </c>
      <c r="AO1357" s="59" t="n">
        <v>0</v>
      </c>
      <c r="AP1357" s="59" t="n"/>
      <c r="AQ1357" s="59" t="n">
        <v>4</v>
      </c>
      <c r="AR1357" s="155" t="inlineStr">
        <is>
          <t>Odoo Universal Unique Brands › Bodega 25 › Bodega 25/General: 4</t>
        </is>
      </c>
    </row>
    <row r="1358">
      <c r="A1358" s="50" t="inlineStr">
        <is>
          <t>7506552409986</t>
        </is>
      </c>
      <c r="B1358" s="51" t="inlineStr">
        <is>
          <t>110255</t>
        </is>
      </c>
      <c r="C1358" s="156" t="inlineStr">
        <is>
          <t>Multimarca</t>
        </is>
      </c>
      <c r="D1358" s="156" t="inlineStr">
        <is>
          <t>STS22</t>
        </is>
      </c>
      <c r="E1358" s="156" t="inlineStr">
        <is>
          <t>STS22</t>
        </is>
      </c>
      <c r="F1358" s="156" t="inlineStr">
        <is>
          <t>Talla única</t>
        </is>
      </c>
      <c r="G1358" s="156" t="inlineStr">
        <is>
          <t>One Size</t>
        </is>
      </c>
      <c r="H1358" s="156" t="inlineStr">
        <is>
          <t>Stetson</t>
        </is>
      </c>
      <c r="I1358" s="156" t="inlineStr">
        <is>
          <t>Gorra Stetson Trucker Azul / Café</t>
        </is>
      </c>
      <c r="J1358" s="156" t="inlineStr">
        <is>
          <t>Accesorios</t>
        </is>
      </c>
      <c r="K1358" s="156" t="inlineStr">
        <is>
          <t>Gorras</t>
        </is>
      </c>
      <c r="L1358" s="156" t="inlineStr">
        <is>
          <t>Hombre</t>
        </is>
      </c>
      <c r="M1358" s="156" t="inlineStr">
        <is>
          <t>Stetson</t>
        </is>
      </c>
      <c r="N1358" s="156" t="inlineStr">
        <is>
          <t>SS26</t>
        </is>
      </c>
      <c r="O1358" s="156" t="inlineStr">
        <is>
          <t>Seasonal</t>
        </is>
      </c>
      <c r="P1358" s="156" t="inlineStr">
        <is>
          <t>Cafe</t>
        </is>
      </c>
      <c r="Q1358" s="156" t="n"/>
      <c r="R1358" s="156" t="n"/>
      <c r="S1358" s="156" t="inlineStr">
        <is>
          <t>50% Algodón</t>
        </is>
      </c>
      <c r="T135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8" s="156" t="n"/>
      <c r="V1358" s="156" t="inlineStr">
        <is>
          <t>PZS</t>
        </is>
      </c>
      <c r="W1358" s="51" t="inlineStr">
        <is>
          <t>53102516</t>
        </is>
      </c>
      <c r="X1358" s="156" t="inlineStr">
        <is>
          <t>https://cdn.shopify.com/s/files/1/0888/3250/8267/files/STS22-01.jpg?v=1758733111</t>
        </is>
      </c>
      <c r="Y1358" s="54" t="n">
        <v>310.3448276</v>
      </c>
      <c r="Z1358" s="54" t="n">
        <v>689.6551724</v>
      </c>
      <c r="AA1358" s="55">
        <f>IF(AND(A1358="", B1358="", E1358=""), "", IF(AB1358="", "Válido", IF((LEN(AB1358)-LEN(SUBSTITUTE(AB1358,"; ","")))/2+1&gt;(LEN(AB1358)-LEN(SUBSTITUTE(AB1358,"[Aviso]","")))/7, "Con Incidencias", "Válido")))</f>
        <v/>
      </c>
      <c r="AB1358" s="56">
        <f>IF(AND(A1358="", B1358="", E1358=""), "", TEXTJOIN("; ", TRUE, IF(OR(TRIM(A1358&amp;"")="", ISNUMBER(SEARCH("FALTA", A1358))), "UPC faltante/inválido", ""), IF(AND(A1358&lt;&gt;"", IFERROR(_xlfn.XMATCH(A1358,$A$2:$A$2509,0,1)&lt;&gt;_xlfn.XMATCH(A1358,$A$2:$A$2509,0,-1),FALSE)), "Código de barras duplicado", ""), IF(AND(E1358&lt;&gt;"", COUNTIF($E$2:$E$2509, E1358)&gt;1), "SKU duplicado", ""), IF(OR(J1358="", J1358=""), "[Aviso] División no capturada ()", IF(ISNA(MATCH(J1358, Criterios!$A$123:$A$126, 0)), "División no válida", "")), IF(OR(K1358="", K1358=""), "[Aviso] Categoría no capturada ()", IF(ISNA(MATCH(K1358, Criterios!$A$81:$A$120, 0)), "Categoría no válida", IF(AND(J1358&lt;&gt;"", J1358&lt;&gt;"", J1358&lt;&gt;VLOOKUP(K1358, Criterios!$A$81:$B$120, 2, FALSE)), "División no coincide con Categoría", ""))), IF(OR(L1358="", L1358=""), "[Aviso] Género no capturado ()", IF(ISNA(MATCH(L1358, Criterios!$B$123:$B$127, 0)), "Género no válido", "")), IF(OR(N1358="", N1358=""), "[Aviso] Temporada no capturada ()", IF(ISNA(MATCH(N1358, Criterios!$C$123:$C$128, 0)), "Temporada no válida", "")), IF(OR(O1358="", O1358=""), "[Aviso] Ciclo de vida no capturado ()", IF(ISNA(MATCH(O1358, Criterios!$D$123:$D$124, 0)), "Ciclo de vida no válido", ""))))</f>
        <v/>
      </c>
      <c r="AC1358" s="56" t="n"/>
      <c r="AD1358" s="51" t="n">
        <v>0</v>
      </c>
      <c r="AE1358" s="156" t="n"/>
      <c r="AF1358" s="51" t="n">
        <v>0</v>
      </c>
      <c r="AG1358" s="156" t="inlineStr">
        <is>
          <t>Catálogo existente</t>
        </is>
      </c>
      <c r="AH1358" s="156" t="inlineStr">
        <is>
          <t>Revisión 29/09/2026: Campos sin respaldo: U; Auditoría NetSuite 30/09/2026: llenado desde NetSuite [S] | 01/10/2026: complementado desde Shopify Stetson México (match por código de barras): WB Fit, WB Silueta | 01/10/2026: Shopify Stetson México trae Color «Azul» — se conservó el valor de Productos | Homologación G1522 06/10/2026: WB Composición: «50% Algodon» → «50% Algodón» (Corrección aplicada) · WB Composición: Los porcentajes no suman 100 % o el texto está truncado; confirmar con la etiqueta (Requiere revisión)</t>
        </is>
      </c>
      <c r="AI1358" s="156" t="inlineStr">
        <is>
          <t>No</t>
        </is>
      </c>
      <c r="AJ1358" s="156" t="n"/>
      <c r="AK1358" s="155" t="inlineStr">
        <is>
          <t>Criterios: I [Q] | Criterios: J [R]; G1522_Extraccion_Articulos_NetSuite_2026-09-30.xlsx: fila 58070 [S] | Shopify Stetson: producto 14782307139947 / variante 52418890924395</t>
        </is>
      </c>
      <c r="AL1358" s="58" t="n">
        <v>310.3448276</v>
      </c>
      <c r="AM1358" s="58" t="n">
        <v>689.6551724</v>
      </c>
      <c r="AN1358" s="155" t="inlineStr">
        <is>
          <t>Shopify Stetson México</t>
        </is>
      </c>
      <c r="AO1358" s="59" t="n">
        <v>0</v>
      </c>
      <c r="AP1358" s="59" t="n"/>
      <c r="AQ1358" s="59" t="n"/>
      <c r="AR1358" s="155" t="n"/>
    </row>
    <row r="1359">
      <c r="A1359" s="50" t="inlineStr">
        <is>
          <t>7506552409993</t>
        </is>
      </c>
      <c r="B1359" s="51" t="inlineStr">
        <is>
          <t>110256</t>
        </is>
      </c>
      <c r="C1359" s="156" t="inlineStr">
        <is>
          <t>Multimarca</t>
        </is>
      </c>
      <c r="D1359" s="156" t="inlineStr">
        <is>
          <t>STS23</t>
        </is>
      </c>
      <c r="E1359" s="156" t="inlineStr">
        <is>
          <t>STS23</t>
        </is>
      </c>
      <c r="F1359" s="156" t="inlineStr">
        <is>
          <t>Talla única</t>
        </is>
      </c>
      <c r="G1359" s="156" t="inlineStr">
        <is>
          <t>One Size</t>
        </is>
      </c>
      <c r="H1359" s="156" t="inlineStr">
        <is>
          <t>Stetson</t>
        </is>
      </c>
      <c r="I1359" s="156" t="inlineStr">
        <is>
          <t>Gorra Stetson Trucker Azul</t>
        </is>
      </c>
      <c r="J1359" s="156" t="inlineStr">
        <is>
          <t>Accesorios</t>
        </is>
      </c>
      <c r="K1359" s="156" t="inlineStr">
        <is>
          <t>Gorras</t>
        </is>
      </c>
      <c r="L1359" s="156" t="inlineStr">
        <is>
          <t>Hombre</t>
        </is>
      </c>
      <c r="M1359" s="156" t="inlineStr">
        <is>
          <t>Stetson</t>
        </is>
      </c>
      <c r="N1359" s="156" t="inlineStr">
        <is>
          <t>SS26</t>
        </is>
      </c>
      <c r="O1359" s="156" t="inlineStr">
        <is>
          <t>Seasonal</t>
        </is>
      </c>
      <c r="P1359" s="156" t="inlineStr">
        <is>
          <t>Azul</t>
        </is>
      </c>
      <c r="Q1359" s="156" t="n"/>
      <c r="R1359" s="156" t="n"/>
      <c r="S1359" s="156" t="inlineStr">
        <is>
          <t>50% Algod</t>
        </is>
      </c>
      <c r="T1359"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59" s="156" t="n"/>
      <c r="V1359" s="156" t="inlineStr">
        <is>
          <t>PZS</t>
        </is>
      </c>
      <c r="W1359" s="51" t="inlineStr">
        <is>
          <t>53102516</t>
        </is>
      </c>
      <c r="X1359" s="156" t="inlineStr">
        <is>
          <t>https://cdn.shopify.com/s/files/1/0888/3250/8267/files/STS23-01.jpg?v=1758733842</t>
        </is>
      </c>
      <c r="Y1359" s="54" t="n">
        <v>310.3448276</v>
      </c>
      <c r="Z1359" s="54" t="n">
        <v>689.6551724</v>
      </c>
      <c r="AA1359" s="55">
        <f>IF(AND(A1359="", B1359="", E1359=""), "", IF(AB1359="", "Válido", IF((LEN(AB1359)-LEN(SUBSTITUTE(AB1359,"; ","")))/2+1&gt;(LEN(AB1359)-LEN(SUBSTITUTE(AB1359,"[Aviso]","")))/7, "Con Incidencias", "Válido")))</f>
        <v/>
      </c>
      <c r="AB1359" s="56">
        <f>IF(AND(A1359="", B1359="", E1359=""), "", TEXTJOIN("; ", TRUE, IF(OR(TRIM(A1359&amp;"")="", ISNUMBER(SEARCH("FALTA", A1359))), "UPC faltante/inválido", ""), IF(AND(A1359&lt;&gt;"", IFERROR(_xlfn.XMATCH(A1359,$A$2:$A$2509,0,1)&lt;&gt;_xlfn.XMATCH(A1359,$A$2:$A$2509,0,-1),FALSE)), "Código de barras duplicado", ""), IF(AND(E1359&lt;&gt;"", COUNTIF($E$2:$E$2509, E1359)&gt;1), "SKU duplicado", ""), IF(OR(J1359="", J1359=""), "[Aviso] División no capturada ()", IF(ISNA(MATCH(J1359, Criterios!$A$123:$A$126, 0)), "División no válida", "")), IF(OR(K1359="", K1359=""), "[Aviso] Categoría no capturada ()", IF(ISNA(MATCH(K1359, Criterios!$A$81:$A$120, 0)), "Categoría no válida", IF(AND(J1359&lt;&gt;"", J1359&lt;&gt;"", J1359&lt;&gt;VLOOKUP(K1359, Criterios!$A$81:$B$120, 2, FALSE)), "División no coincide con Categoría", ""))), IF(OR(L1359="", L1359=""), "[Aviso] Género no capturado ()", IF(ISNA(MATCH(L1359, Criterios!$B$123:$B$127, 0)), "Género no válido", "")), IF(OR(N1359="", N1359=""), "[Aviso] Temporada no capturada ()", IF(ISNA(MATCH(N1359, Criterios!$C$123:$C$128, 0)), "Temporada no válida", "")), IF(OR(O1359="", O1359=""), "[Aviso] Ciclo de vida no capturado ()", IF(ISNA(MATCH(O1359, Criterios!$D$123:$D$124, 0)), "Ciclo de vida no válido", ""))))</f>
        <v/>
      </c>
      <c r="AC1359" s="56" t="n"/>
      <c r="AD1359" s="51" t="n">
        <v>3</v>
      </c>
      <c r="AE1359" s="156" t="inlineStr">
        <is>
          <t>B25 STETSON.MX (3)</t>
        </is>
      </c>
      <c r="AF1359" s="51" t="n">
        <v>3</v>
      </c>
      <c r="AG1359" s="156" t="inlineStr">
        <is>
          <t>Catálogo existente</t>
        </is>
      </c>
      <c r="AH1359"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9" s="156" t="inlineStr">
        <is>
          <t>No</t>
        </is>
      </c>
      <c r="AJ1359" s="156" t="n"/>
      <c r="AK1359" s="155" t="inlineStr">
        <is>
          <t>Criterios: I [Q] | Criterios: J [R]; G1522_Extraccion_Articulos_NetSuite_2026-09-30.xlsx: fila 58071 [S] | Shopify Stetson: producto 14782316282219 / variante 52418957214059</t>
        </is>
      </c>
      <c r="AL1359" s="58" t="n">
        <v>310.3448276</v>
      </c>
      <c r="AM1359" s="58" t="n">
        <v>689.6551724</v>
      </c>
      <c r="AN1359" s="155" t="inlineStr">
        <is>
          <t>Shopify Stetson México</t>
        </is>
      </c>
      <c r="AO1359" s="59" t="n">
        <v>3</v>
      </c>
      <c r="AP1359" s="59" t="n"/>
      <c r="AQ1359" s="59" t="n"/>
      <c r="AR1359" s="155" t="inlineStr">
        <is>
          <t>Shopify Stetson México › Stetson México: 3</t>
        </is>
      </c>
    </row>
    <row r="1360">
      <c r="A1360" s="50" t="inlineStr">
        <is>
          <t>7506552410005</t>
        </is>
      </c>
      <c r="B1360" s="51" t="inlineStr">
        <is>
          <t>110257</t>
        </is>
      </c>
      <c r="C1360" s="156" t="inlineStr">
        <is>
          <t>Multimarca</t>
        </is>
      </c>
      <c r="D1360" s="156" t="inlineStr">
        <is>
          <t>STS24</t>
        </is>
      </c>
      <c r="E1360" s="156" t="inlineStr">
        <is>
          <t>STS24</t>
        </is>
      </c>
      <c r="F1360" s="156" t="inlineStr">
        <is>
          <t>Talla única</t>
        </is>
      </c>
      <c r="G1360" s="156" t="inlineStr">
        <is>
          <t>One Size</t>
        </is>
      </c>
      <c r="H1360" s="156" t="inlineStr">
        <is>
          <t>Stetson</t>
        </is>
      </c>
      <c r="I1360" s="156" t="inlineStr">
        <is>
          <t>Gorra Stetson Trucker Negra / Verde</t>
        </is>
      </c>
      <c r="J1360" s="156" t="inlineStr">
        <is>
          <t>Accesorios</t>
        </is>
      </c>
      <c r="K1360" s="156" t="inlineStr">
        <is>
          <t>Gorras</t>
        </is>
      </c>
      <c r="L1360" s="156" t="inlineStr">
        <is>
          <t>Hombre</t>
        </is>
      </c>
      <c r="M1360" s="156" t="inlineStr">
        <is>
          <t>Stetson</t>
        </is>
      </c>
      <c r="N1360" s="156" t="inlineStr">
        <is>
          <t>SS26</t>
        </is>
      </c>
      <c r="O1360" s="156" t="inlineStr">
        <is>
          <t>Seasonal</t>
        </is>
      </c>
      <c r="P1360" s="156" t="inlineStr">
        <is>
          <t>Verde</t>
        </is>
      </c>
      <c r="Q1360" s="156" t="n"/>
      <c r="R1360" s="156" t="n"/>
      <c r="S1360" s="156" t="inlineStr">
        <is>
          <t>50% Algod</t>
        </is>
      </c>
      <c r="T1360"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0" s="156" t="n"/>
      <c r="V1360" s="156" t="inlineStr">
        <is>
          <t>PZS</t>
        </is>
      </c>
      <c r="W1360" s="51" t="inlineStr">
        <is>
          <t>53102516</t>
        </is>
      </c>
      <c r="X1360" s="156" t="inlineStr">
        <is>
          <t>https://cdn.shopify.com/s/files/1/0888/3250/8267/files/STS24-01.jpg?v=1758734041</t>
        </is>
      </c>
      <c r="Y1360" s="54" t="n">
        <v>310.3448276</v>
      </c>
      <c r="Z1360" s="54" t="n">
        <v>689.6551724</v>
      </c>
      <c r="AA1360" s="55">
        <f>IF(AND(A1360="", B1360="", E1360=""), "", IF(AB1360="", "Válido", IF((LEN(AB1360)-LEN(SUBSTITUTE(AB1360,"; ","")))/2+1&gt;(LEN(AB1360)-LEN(SUBSTITUTE(AB1360,"[Aviso]","")))/7, "Con Incidencias", "Válido")))</f>
        <v/>
      </c>
      <c r="AB1360" s="56">
        <f>IF(AND(A1360="", B1360="", E1360=""), "", TEXTJOIN("; ", TRUE, IF(OR(TRIM(A1360&amp;"")="", ISNUMBER(SEARCH("FALTA", A1360))), "UPC faltante/inválido", ""), IF(AND(A1360&lt;&gt;"", IFERROR(_xlfn.XMATCH(A1360,$A$2:$A$2509,0,1)&lt;&gt;_xlfn.XMATCH(A1360,$A$2:$A$2509,0,-1),FALSE)), "Código de barras duplicado", ""), IF(AND(E1360&lt;&gt;"", COUNTIF($E$2:$E$2509, E1360)&gt;1), "SKU duplicado", ""), IF(OR(J1360="", J1360=""), "[Aviso] División no capturada ()", IF(ISNA(MATCH(J1360, Criterios!$A$123:$A$126, 0)), "División no válida", "")), IF(OR(K1360="", K1360=""), "[Aviso] Categoría no capturada ()", IF(ISNA(MATCH(K1360, Criterios!$A$81:$A$120, 0)), "Categoría no válida", IF(AND(J1360&lt;&gt;"", J1360&lt;&gt;"", J1360&lt;&gt;VLOOKUP(K1360, Criterios!$A$81:$B$120, 2, FALSE)), "División no coincide con Categoría", ""))), IF(OR(L1360="", L1360=""), "[Aviso] Género no capturado ()", IF(ISNA(MATCH(L1360, Criterios!$B$123:$B$127, 0)), "Género no válido", "")), IF(OR(N1360="", N1360=""), "[Aviso] Temporada no capturada ()", IF(ISNA(MATCH(N1360, Criterios!$C$123:$C$128, 0)), "Temporada no válida", "")), IF(OR(O1360="", O1360=""), "[Aviso] Ciclo de vida no capturado ()", IF(ISNA(MATCH(O1360, Criterios!$D$123:$D$124, 0)), "Ciclo de vida no válido", ""))))</f>
        <v/>
      </c>
      <c r="AC1360" s="56" t="n"/>
      <c r="AD1360" s="51" t="n">
        <v>2</v>
      </c>
      <c r="AE1360" s="156" t="inlineStr">
        <is>
          <t>B25 STETSON.MX (3)</t>
        </is>
      </c>
      <c r="AF1360" s="51" t="n">
        <v>3</v>
      </c>
      <c r="AG1360" s="156" t="inlineStr">
        <is>
          <t>Catálogo existente</t>
        </is>
      </c>
      <c r="AH1360"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 | Homologación G1522 06/10/2026: WB Composición: Los porcentajes no suman 100 % o el texto está truncado; confirmar con la etiqueta (Requiere revisión)</t>
        </is>
      </c>
      <c r="AI1360" s="156" t="inlineStr">
        <is>
          <t>Sí</t>
        </is>
      </c>
      <c r="AJ1360" s="156" t="inlineStr">
        <is>
          <t>STETSON AMERICAS (-1)</t>
        </is>
      </c>
      <c r="AK1360" s="155" t="inlineStr">
        <is>
          <t>Criterios: I [Q] | Criterios: J [R]; G1522_Extraccion_Articulos_NetSuite_2026-09-30.xlsx: fila 58072 [S] | Shopify Stetson: producto 14782316544363 / variante 52418958328171</t>
        </is>
      </c>
      <c r="AL1360" s="58" t="n">
        <v>310.3448276</v>
      </c>
      <c r="AM1360" s="58" t="n">
        <v>689.6551724</v>
      </c>
      <c r="AN1360" s="155" t="inlineStr">
        <is>
          <t>Shopify Stetson México</t>
        </is>
      </c>
      <c r="AO1360" s="59" t="n">
        <v>3</v>
      </c>
      <c r="AP1360" s="59" t="n"/>
      <c r="AQ1360" s="59" t="n"/>
      <c r="AR1360" s="155" t="inlineStr">
        <is>
          <t>Shopify Stetson México › Stetson México: 3</t>
        </is>
      </c>
    </row>
    <row r="1361">
      <c r="A1361" s="50" t="inlineStr">
        <is>
          <t>7506552410012</t>
        </is>
      </c>
      <c r="B1361" s="51" t="inlineStr">
        <is>
          <t>110258</t>
        </is>
      </c>
      <c r="C1361" s="156" t="inlineStr">
        <is>
          <t>Multimarca</t>
        </is>
      </c>
      <c r="D1361" s="156" t="inlineStr">
        <is>
          <t>STS25</t>
        </is>
      </c>
      <c r="E1361" s="156" t="inlineStr">
        <is>
          <t>STS25</t>
        </is>
      </c>
      <c r="F1361" s="156" t="inlineStr">
        <is>
          <t>Talla única</t>
        </is>
      </c>
      <c r="G1361" s="156" t="inlineStr">
        <is>
          <t>One Size</t>
        </is>
      </c>
      <c r="H1361" s="156" t="inlineStr">
        <is>
          <t>Stetson</t>
        </is>
      </c>
      <c r="I1361" s="156" t="inlineStr">
        <is>
          <t>Gorra Stetson Trucker Paja / Beige</t>
        </is>
      </c>
      <c r="J1361" s="156" t="inlineStr">
        <is>
          <t>Accesorios</t>
        </is>
      </c>
      <c r="K1361" s="156" t="inlineStr">
        <is>
          <t>Gorras</t>
        </is>
      </c>
      <c r="L1361" s="156" t="inlineStr">
        <is>
          <t>Hombre</t>
        </is>
      </c>
      <c r="M1361" s="156" t="inlineStr">
        <is>
          <t>Stetson</t>
        </is>
      </c>
      <c r="N1361" s="156" t="inlineStr">
        <is>
          <t>SS26</t>
        </is>
      </c>
      <c r="O1361" s="156" t="inlineStr">
        <is>
          <t>Seasonal</t>
        </is>
      </c>
      <c r="P1361" s="156" t="inlineStr">
        <is>
          <t>Beige</t>
        </is>
      </c>
      <c r="Q1361" s="156" t="n"/>
      <c r="R1361" s="156" t="n"/>
      <c r="S1361" s="156" t="inlineStr">
        <is>
          <t>50% Algod</t>
        </is>
      </c>
      <c r="T136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1" s="156" t="n"/>
      <c r="V1361" s="156" t="inlineStr">
        <is>
          <t>PZS</t>
        </is>
      </c>
      <c r="W1361" s="51" t="inlineStr">
        <is>
          <t>53102516</t>
        </is>
      </c>
      <c r="X1361" s="156" t="inlineStr">
        <is>
          <t>https://cdn.shopify.com/s/files/1/0888/3250/8267/files/STS25-01.jpg?v=1758734143</t>
        </is>
      </c>
      <c r="Y1361" s="54" t="n">
        <v>310.3448276</v>
      </c>
      <c r="Z1361" s="54" t="n">
        <v>689.6551724</v>
      </c>
      <c r="AA1361" s="55">
        <f>IF(AND(A1361="", B1361="", E1361=""), "", IF(AB1361="", "Válido", IF((LEN(AB1361)-LEN(SUBSTITUTE(AB1361,"; ","")))/2+1&gt;(LEN(AB1361)-LEN(SUBSTITUTE(AB1361,"[Aviso]","")))/7, "Con Incidencias", "Válido")))</f>
        <v/>
      </c>
      <c r="AB1361" s="56">
        <f>IF(AND(A1361="", B1361="", E1361=""), "", TEXTJOIN("; ", TRUE, IF(OR(TRIM(A1361&amp;"")="", ISNUMBER(SEARCH("FALTA", A1361))), "UPC faltante/inválido", ""), IF(AND(A1361&lt;&gt;"", IFERROR(_xlfn.XMATCH(A1361,$A$2:$A$2509,0,1)&lt;&gt;_xlfn.XMATCH(A1361,$A$2:$A$2509,0,-1),FALSE)), "Código de barras duplicado", ""), IF(AND(E1361&lt;&gt;"", COUNTIF($E$2:$E$2509, E1361)&gt;1), "SKU duplicado", ""), IF(OR(J1361="", J1361=""), "[Aviso] División no capturada ()", IF(ISNA(MATCH(J1361, Criterios!$A$123:$A$126, 0)), "División no válida", "")), IF(OR(K1361="", K1361=""), "[Aviso] Categoría no capturada ()", IF(ISNA(MATCH(K1361, Criterios!$A$81:$A$120, 0)), "Categoría no válida", IF(AND(J1361&lt;&gt;"", J1361&lt;&gt;"", J1361&lt;&gt;VLOOKUP(K1361, Criterios!$A$81:$B$120, 2, FALSE)), "División no coincide con Categoría", ""))), IF(OR(L1361="", L1361=""), "[Aviso] Género no capturado ()", IF(ISNA(MATCH(L1361, Criterios!$B$123:$B$127, 0)), "Género no válido", "")), IF(OR(N1361="", N1361=""), "[Aviso] Temporada no capturada ()", IF(ISNA(MATCH(N1361, Criterios!$C$123:$C$128, 0)), "Temporada no válida", "")), IF(OR(O1361="", O1361=""), "[Aviso] Ciclo de vida no capturado ()", IF(ISNA(MATCH(O1361, Criterios!$D$123:$D$124, 0)), "Ciclo de vida no válido", ""))))</f>
        <v/>
      </c>
      <c r="AC1361" s="56" t="n"/>
      <c r="AD1361" s="51" t="n">
        <v>-3</v>
      </c>
      <c r="AE1361" s="156" t="n"/>
      <c r="AF1361" s="51" t="n">
        <v>0</v>
      </c>
      <c r="AG1361" s="156" t="inlineStr">
        <is>
          <t>Catálogo existente</t>
        </is>
      </c>
      <c r="AH1361"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1" s="156" t="inlineStr">
        <is>
          <t>Sí</t>
        </is>
      </c>
      <c r="AJ1361" s="156" t="inlineStr">
        <is>
          <t>STETSON AMERICAS (-3)</t>
        </is>
      </c>
      <c r="AK1361" s="155" t="inlineStr">
        <is>
          <t>Criterios: I [Q] | Criterios: J [R]; G1522_Extraccion_Articulos_NetSuite_2026-09-30.xlsx: fila 58073 [S] | Shopify Stetson: producto 14782316577131 / variante 52418958557547</t>
        </is>
      </c>
      <c r="AL1361" s="58" t="n">
        <v>310.3448276</v>
      </c>
      <c r="AM1361" s="58" t="n">
        <v>689.6551724</v>
      </c>
      <c r="AN1361" s="155" t="inlineStr">
        <is>
          <t>Shopify Stetson México</t>
        </is>
      </c>
      <c r="AO1361" s="59" t="n">
        <v>0</v>
      </c>
      <c r="AP1361" s="59" t="n"/>
      <c r="AQ1361" s="59" t="n"/>
      <c r="AR1361" s="155" t="n"/>
    </row>
    <row r="1362">
      <c r="A1362" s="50" t="inlineStr">
        <is>
          <t>7506552410067</t>
        </is>
      </c>
      <c r="B1362" s="51" t="inlineStr">
        <is>
          <t>110260</t>
        </is>
      </c>
      <c r="C1362" s="156" t="inlineStr">
        <is>
          <t>Multimarca</t>
        </is>
      </c>
      <c r="D1362" s="156" t="inlineStr">
        <is>
          <t>STS30</t>
        </is>
      </c>
      <c r="E1362" s="156" t="inlineStr">
        <is>
          <t>STS30</t>
        </is>
      </c>
      <c r="F1362" s="156" t="inlineStr">
        <is>
          <t>Talla única</t>
        </is>
      </c>
      <c r="G1362" s="156" t="inlineStr">
        <is>
          <t>One Size</t>
        </is>
      </c>
      <c r="H1362" s="156" t="inlineStr">
        <is>
          <t>Stetson</t>
        </is>
      </c>
      <c r="I1362" s="156" t="inlineStr">
        <is>
          <t>Gorra Stetson Trucker Blanca / Azul</t>
        </is>
      </c>
      <c r="J1362" s="156" t="inlineStr">
        <is>
          <t>Accesorios</t>
        </is>
      </c>
      <c r="K1362" s="156" t="inlineStr">
        <is>
          <t>Gorras</t>
        </is>
      </c>
      <c r="L1362" s="156" t="inlineStr">
        <is>
          <t>Hombre</t>
        </is>
      </c>
      <c r="M1362" s="156" t="inlineStr">
        <is>
          <t>Stetson</t>
        </is>
      </c>
      <c r="N1362" s="156" t="inlineStr">
        <is>
          <t>SS26</t>
        </is>
      </c>
      <c r="O1362" s="156" t="inlineStr">
        <is>
          <t>Seasonal</t>
        </is>
      </c>
      <c r="P1362" s="156" t="inlineStr">
        <is>
          <t>Azul</t>
        </is>
      </c>
      <c r="Q1362" s="156" t="n"/>
      <c r="R1362" s="156" t="n"/>
      <c r="S1362" s="156" t="inlineStr">
        <is>
          <t>50% Algod</t>
        </is>
      </c>
      <c r="T1362"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2" s="156" t="n"/>
      <c r="V1362" s="156" t="inlineStr">
        <is>
          <t>PZS</t>
        </is>
      </c>
      <c r="W1362" s="51" t="inlineStr">
        <is>
          <t>53102516</t>
        </is>
      </c>
      <c r="X1362" s="156" t="inlineStr">
        <is>
          <t>https://cdn.shopify.com/s/files/1/0888/3250/8267/files/STS30-01.jpg?v=1758734292</t>
        </is>
      </c>
      <c r="Y1362" s="54" t="n">
        <v>310.3448276</v>
      </c>
      <c r="Z1362" s="54" t="n">
        <v>689.6551724</v>
      </c>
      <c r="AA1362" s="55">
        <f>IF(AND(A1362="", B1362="", E1362=""), "", IF(AB1362="", "Válido", IF((LEN(AB1362)-LEN(SUBSTITUTE(AB1362,"; ","")))/2+1&gt;(LEN(AB1362)-LEN(SUBSTITUTE(AB1362,"[Aviso]","")))/7, "Con Incidencias", "Válido")))</f>
        <v/>
      </c>
      <c r="AB1362" s="56">
        <f>IF(AND(A1362="", B1362="", E1362=""), "", TEXTJOIN("; ", TRUE, IF(OR(TRIM(A1362&amp;"")="", ISNUMBER(SEARCH("FALTA", A1362))), "UPC faltante/inválido", ""), IF(AND(A1362&lt;&gt;"", IFERROR(_xlfn.XMATCH(A1362,$A$2:$A$2509,0,1)&lt;&gt;_xlfn.XMATCH(A1362,$A$2:$A$2509,0,-1),FALSE)), "Código de barras duplicado", ""), IF(AND(E1362&lt;&gt;"", COUNTIF($E$2:$E$2509, E1362)&gt;1), "SKU duplicado", ""), IF(OR(J1362="", J1362=""), "[Aviso] División no capturada ()", IF(ISNA(MATCH(J1362, Criterios!$A$123:$A$126, 0)), "División no válida", "")), IF(OR(K1362="", K1362=""), "[Aviso] Categoría no capturada ()", IF(ISNA(MATCH(K1362, Criterios!$A$81:$A$120, 0)), "Categoría no válida", IF(AND(J1362&lt;&gt;"", J1362&lt;&gt;"", J1362&lt;&gt;VLOOKUP(K1362, Criterios!$A$81:$B$120, 2, FALSE)), "División no coincide con Categoría", ""))), IF(OR(L1362="", L1362=""), "[Aviso] Género no capturado ()", IF(ISNA(MATCH(L1362, Criterios!$B$123:$B$127, 0)), "Género no válido", "")), IF(OR(N1362="", N1362=""), "[Aviso] Temporada no capturada ()", IF(ISNA(MATCH(N1362, Criterios!$C$123:$C$128, 0)), "Temporada no válida", "")), IF(OR(O1362="", O1362=""), "[Aviso] Ciclo de vida no capturado ()", IF(ISNA(MATCH(O1362, Criterios!$D$123:$D$124, 0)), "Ciclo de vida no válido", ""))))</f>
        <v/>
      </c>
      <c r="AC1362" s="56" t="n"/>
      <c r="AD1362" s="51" t="n">
        <v>2</v>
      </c>
      <c r="AE1362" s="156" t="inlineStr">
        <is>
          <t>B25 STETSON.MX (2)</t>
        </is>
      </c>
      <c r="AF1362" s="51" t="n">
        <v>2</v>
      </c>
      <c r="AG1362" s="156" t="inlineStr">
        <is>
          <t>Catálogo existente</t>
        </is>
      </c>
      <c r="AH1362" s="156" t="inlineStr">
        <is>
          <t>Revisión 29/09/2026: Campos sin respaldo: U; Auditoría NetSuite 30/09/2026: llenado desde NetSuite [S] | 01/10/2026: complementado desde Shopify Stetson México (match por código de barras): WB Fit, WB Silueta | 01/10/2026: Shopify Stetson México trae Color «Blanco» — se conservó el valor de Productos | Homologación G1522 06/10/2026: WB Composición: Los porcentajes no suman 100 % o el texto está truncado; confirmar con la etiqueta (Requiere revisión)</t>
        </is>
      </c>
      <c r="AI1362" s="156" t="inlineStr">
        <is>
          <t>No</t>
        </is>
      </c>
      <c r="AJ1362" s="156" t="n"/>
      <c r="AK1362" s="155" t="inlineStr">
        <is>
          <t>Criterios: I [Q] | Criterios: J [R]; G1522_Extraccion_Articulos_NetSuite_2026-09-30.xlsx: fila 58075 [S] | Shopify Stetson: producto 14782316773739 / variante 52418962489707</t>
        </is>
      </c>
      <c r="AL1362" s="58" t="n">
        <v>310.3448276</v>
      </c>
      <c r="AM1362" s="58" t="n">
        <v>689.6551724</v>
      </c>
      <c r="AN1362" s="155" t="inlineStr">
        <is>
          <t>Shopify Stetson México</t>
        </is>
      </c>
      <c r="AO1362" s="59" t="n">
        <v>2</v>
      </c>
      <c r="AP1362" s="59" t="n"/>
      <c r="AQ1362" s="59" t="n"/>
      <c r="AR1362" s="155" t="inlineStr">
        <is>
          <t>Shopify Stetson México › Stetson México: 2</t>
        </is>
      </c>
    </row>
    <row r="1363">
      <c r="A1363" s="50" t="inlineStr">
        <is>
          <t>7506552410074</t>
        </is>
      </c>
      <c r="B1363" s="51" t="inlineStr">
        <is>
          <t>110261</t>
        </is>
      </c>
      <c r="C1363" s="156" t="inlineStr">
        <is>
          <t>Multimarca</t>
        </is>
      </c>
      <c r="D1363" s="156" t="inlineStr">
        <is>
          <t>STS31</t>
        </is>
      </c>
      <c r="E1363" s="156" t="inlineStr">
        <is>
          <t>STS31</t>
        </is>
      </c>
      <c r="F1363" s="156" t="inlineStr">
        <is>
          <t>Talla única</t>
        </is>
      </c>
      <c r="G1363" s="156" t="inlineStr">
        <is>
          <t>One Size</t>
        </is>
      </c>
      <c r="H1363" s="156" t="inlineStr">
        <is>
          <t>Stetson</t>
        </is>
      </c>
      <c r="I1363" s="156" t="inlineStr">
        <is>
          <t>Gorra Stetson Trucker Paja / Negro</t>
        </is>
      </c>
      <c r="J1363" s="156" t="inlineStr">
        <is>
          <t>Accesorios</t>
        </is>
      </c>
      <c r="K1363" s="156" t="inlineStr">
        <is>
          <t>Gorras</t>
        </is>
      </c>
      <c r="L1363" s="156" t="inlineStr">
        <is>
          <t>Hombre</t>
        </is>
      </c>
      <c r="M1363" s="156" t="inlineStr">
        <is>
          <t>Stetson</t>
        </is>
      </c>
      <c r="N1363" s="156" t="inlineStr">
        <is>
          <t>SS26</t>
        </is>
      </c>
      <c r="O1363" s="156" t="inlineStr">
        <is>
          <t>Seasonal</t>
        </is>
      </c>
      <c r="P1363" s="156" t="inlineStr">
        <is>
          <t>Negro</t>
        </is>
      </c>
      <c r="Q1363" s="156" t="n"/>
      <c r="R1363" s="156" t="n"/>
      <c r="S1363" s="156" t="inlineStr">
        <is>
          <t>50% Algod</t>
        </is>
      </c>
      <c r="T1363"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3" s="156" t="n"/>
      <c r="V1363" s="156" t="inlineStr">
        <is>
          <t>PZS</t>
        </is>
      </c>
      <c r="W1363" s="51" t="inlineStr">
        <is>
          <t>53102516</t>
        </is>
      </c>
      <c r="X1363" s="156" t="inlineStr">
        <is>
          <t>https://cdn.shopify.com/s/files/1/0888/3250/8267/files/STS31-01.jpg?v=1758734439</t>
        </is>
      </c>
      <c r="Y1363" s="54" t="n">
        <v>310.3448276</v>
      </c>
      <c r="Z1363" s="54" t="n">
        <v>689.6551724</v>
      </c>
      <c r="AA1363" s="55">
        <f>IF(AND(A1363="", B1363="", E1363=""), "", IF(AB1363="", "Válido", IF((LEN(AB1363)-LEN(SUBSTITUTE(AB1363,"; ","")))/2+1&gt;(LEN(AB1363)-LEN(SUBSTITUTE(AB1363,"[Aviso]","")))/7, "Con Incidencias", "Válido")))</f>
        <v/>
      </c>
      <c r="AB1363" s="56">
        <f>IF(AND(A1363="", B1363="", E1363=""), "", TEXTJOIN("; ", TRUE, IF(OR(TRIM(A1363&amp;"")="", ISNUMBER(SEARCH("FALTA", A1363))), "UPC faltante/inválido", ""), IF(AND(A1363&lt;&gt;"", IFERROR(_xlfn.XMATCH(A1363,$A$2:$A$2509,0,1)&lt;&gt;_xlfn.XMATCH(A1363,$A$2:$A$2509,0,-1),FALSE)), "Código de barras duplicado", ""), IF(AND(E1363&lt;&gt;"", COUNTIF($E$2:$E$2509, E1363)&gt;1), "SKU duplicado", ""), IF(OR(J1363="", J1363=""), "[Aviso] División no capturada ()", IF(ISNA(MATCH(J1363, Criterios!$A$123:$A$126, 0)), "División no válida", "")), IF(OR(K1363="", K1363=""), "[Aviso] Categoría no capturada ()", IF(ISNA(MATCH(K1363, Criterios!$A$81:$A$120, 0)), "Categoría no válida", IF(AND(J1363&lt;&gt;"", J1363&lt;&gt;"", J1363&lt;&gt;VLOOKUP(K1363, Criterios!$A$81:$B$120, 2, FALSE)), "División no coincide con Categoría", ""))), IF(OR(L1363="", L1363=""), "[Aviso] Género no capturado ()", IF(ISNA(MATCH(L1363, Criterios!$B$123:$B$127, 0)), "Género no válido", "")), IF(OR(N1363="", N1363=""), "[Aviso] Temporada no capturada ()", IF(ISNA(MATCH(N1363, Criterios!$C$123:$C$128, 0)), "Temporada no válida", "")), IF(OR(O1363="", O1363=""), "[Aviso] Ciclo de vida no capturado ()", IF(ISNA(MATCH(O1363, Criterios!$D$123:$D$124, 0)), "Ciclo de vida no válido", ""))))</f>
        <v/>
      </c>
      <c r="AC1363" s="56" t="n"/>
      <c r="AD1363" s="51" t="n">
        <v>2</v>
      </c>
      <c r="AE1363" s="156" t="inlineStr">
        <is>
          <t>B25 STETSON.MX (3)</t>
        </is>
      </c>
      <c r="AF1363" s="51" t="n">
        <v>3</v>
      </c>
      <c r="AG1363" s="156" t="inlineStr">
        <is>
          <t>Catálogo existente</t>
        </is>
      </c>
      <c r="AH1363"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3" s="156" t="inlineStr">
        <is>
          <t>Sí</t>
        </is>
      </c>
      <c r="AJ1363" s="156" t="inlineStr">
        <is>
          <t>STETSON AMERICAS (-1)</t>
        </is>
      </c>
      <c r="AK1363" s="155" t="inlineStr">
        <is>
          <t>Criterios: I [Q] | Criterios: J [R]; G1522_Extraccion_Articulos_NetSuite_2026-09-30.xlsx: fila 58076 [S] | Shopify Stetson: producto 14782317003115 / variante 52418965766507</t>
        </is>
      </c>
      <c r="AL1363" s="58" t="n">
        <v>310.3448276</v>
      </c>
      <c r="AM1363" s="58" t="n">
        <v>689.6551724</v>
      </c>
      <c r="AN1363" s="155" t="inlineStr">
        <is>
          <t>Shopify Stetson México</t>
        </is>
      </c>
      <c r="AO1363" s="59" t="n">
        <v>3</v>
      </c>
      <c r="AP1363" s="59" t="n"/>
      <c r="AQ1363" s="59" t="n"/>
      <c r="AR1363" s="155" t="inlineStr">
        <is>
          <t>Shopify Stetson México › Stetson México: 3</t>
        </is>
      </c>
    </row>
    <row r="1364">
      <c r="A1364" s="50" t="inlineStr">
        <is>
          <t>7506552410111</t>
        </is>
      </c>
      <c r="B1364" s="51" t="inlineStr">
        <is>
          <t>110262</t>
        </is>
      </c>
      <c r="C1364" s="156" t="inlineStr">
        <is>
          <t>Multimarca</t>
        </is>
      </c>
      <c r="D1364" s="156" t="inlineStr">
        <is>
          <t>STS35</t>
        </is>
      </c>
      <c r="E1364" s="156" t="inlineStr">
        <is>
          <t>STS35</t>
        </is>
      </c>
      <c r="F1364" s="156" t="inlineStr">
        <is>
          <t>Talla única</t>
        </is>
      </c>
      <c r="G1364" s="156" t="inlineStr">
        <is>
          <t>One Size</t>
        </is>
      </c>
      <c r="H1364" s="156" t="inlineStr">
        <is>
          <t>Stetson</t>
        </is>
      </c>
      <c r="I1364" s="156" t="inlineStr">
        <is>
          <t>Gorra Stetson Gorrar Trucker Gris</t>
        </is>
      </c>
      <c r="J1364" s="156" t="inlineStr">
        <is>
          <t>Accesorios</t>
        </is>
      </c>
      <c r="K1364" s="156" t="inlineStr">
        <is>
          <t>Gorras</t>
        </is>
      </c>
      <c r="L1364" s="156" t="inlineStr">
        <is>
          <t>Hombre</t>
        </is>
      </c>
      <c r="M1364" s="156" t="inlineStr">
        <is>
          <t>Stetson</t>
        </is>
      </c>
      <c r="N1364" s="156" t="inlineStr">
        <is>
          <t>SS26</t>
        </is>
      </c>
      <c r="O1364" s="156" t="inlineStr">
        <is>
          <t>Seasonal</t>
        </is>
      </c>
      <c r="P1364" s="156" t="inlineStr">
        <is>
          <t>Gris</t>
        </is>
      </c>
      <c r="Q1364" s="156" t="n"/>
      <c r="R1364" s="156" t="n"/>
      <c r="S1364" s="156" t="inlineStr">
        <is>
          <t>50% Algod</t>
        </is>
      </c>
      <c r="T1364"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4" s="156" t="n"/>
      <c r="V1364" s="156" t="inlineStr">
        <is>
          <t>PZS</t>
        </is>
      </c>
      <c r="W1364" s="51" t="inlineStr">
        <is>
          <t>53102516</t>
        </is>
      </c>
      <c r="X1364" s="156" t="inlineStr">
        <is>
          <t>https://cdn.shopify.com/s/files/1/0888/3250/8267/files/STS35-01.jpg?v=1758734591</t>
        </is>
      </c>
      <c r="Y1364" s="54" t="n">
        <v>310.3448276</v>
      </c>
      <c r="Z1364" s="54" t="n">
        <v>689.6551724</v>
      </c>
      <c r="AA1364" s="55">
        <f>IF(AND(A1364="", B1364="", E1364=""), "", IF(AB1364="", "Válido", IF((LEN(AB1364)-LEN(SUBSTITUTE(AB1364,"; ","")))/2+1&gt;(LEN(AB1364)-LEN(SUBSTITUTE(AB1364,"[Aviso]","")))/7, "Con Incidencias", "Válido")))</f>
        <v/>
      </c>
      <c r="AB1364" s="56">
        <f>IF(AND(A1364="", B1364="", E1364=""), "", TEXTJOIN("; ", TRUE, IF(OR(TRIM(A1364&amp;"")="", ISNUMBER(SEARCH("FALTA", A1364))), "UPC faltante/inválido", ""), IF(AND(A1364&lt;&gt;"", IFERROR(_xlfn.XMATCH(A1364,$A$2:$A$2509,0,1)&lt;&gt;_xlfn.XMATCH(A1364,$A$2:$A$2509,0,-1),FALSE)), "Código de barras duplicado", ""), IF(AND(E1364&lt;&gt;"", COUNTIF($E$2:$E$2509, E1364)&gt;1), "SKU duplicado", ""), IF(OR(J1364="", J1364=""), "[Aviso] División no capturada ()", IF(ISNA(MATCH(J1364, Criterios!$A$123:$A$126, 0)), "División no válida", "")), IF(OR(K1364="", K1364=""), "[Aviso] Categoría no capturada ()", IF(ISNA(MATCH(K1364, Criterios!$A$81:$A$120, 0)), "Categoría no válida", IF(AND(J1364&lt;&gt;"", J1364&lt;&gt;"", J1364&lt;&gt;VLOOKUP(K1364, Criterios!$A$81:$B$120, 2, FALSE)), "División no coincide con Categoría", ""))), IF(OR(L1364="", L1364=""), "[Aviso] Género no capturado ()", IF(ISNA(MATCH(L1364, Criterios!$B$123:$B$127, 0)), "Género no válido", "")), IF(OR(N1364="", N1364=""), "[Aviso] Temporada no capturada ()", IF(ISNA(MATCH(N1364, Criterios!$C$123:$C$128, 0)), "Temporada no válida", "")), IF(OR(O1364="", O1364=""), "[Aviso] Ciclo de vida no capturado ()", IF(ISNA(MATCH(O1364, Criterios!$D$123:$D$124, 0)), "Ciclo de vida no válido", ""))))</f>
        <v/>
      </c>
      <c r="AC1364" s="56" t="n"/>
      <c r="AD1364" s="51" t="n">
        <v>-1</v>
      </c>
      <c r="AE1364" s="156" t="n"/>
      <c r="AF1364" s="51" t="n">
        <v>0</v>
      </c>
      <c r="AG1364" s="156" t="inlineStr">
        <is>
          <t>Catálogo existente</t>
        </is>
      </c>
      <c r="AH1364"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4" s="156" t="inlineStr">
        <is>
          <t>Sí</t>
        </is>
      </c>
      <c r="AJ1364" s="156" t="inlineStr">
        <is>
          <t>STETSON AMERICAS (-1)</t>
        </is>
      </c>
      <c r="AK1364" s="155" t="inlineStr">
        <is>
          <t>Criterios: I [Q] | Criterios: J [R]; G1522_Extraccion_Articulos_NetSuite_2026-09-30.xlsx: fila 58077 [S] | Shopify Stetson: producto 14782317429099 / variante 52418966192491</t>
        </is>
      </c>
      <c r="AL1364" s="58" t="n">
        <v>310.3448276</v>
      </c>
      <c r="AM1364" s="58" t="n">
        <v>689.6551724</v>
      </c>
      <c r="AN1364" s="155" t="inlineStr">
        <is>
          <t>Shopify Stetson México</t>
        </is>
      </c>
      <c r="AO1364" s="59" t="n">
        <v>0</v>
      </c>
      <c r="AP1364" s="59" t="n"/>
      <c r="AQ1364" s="59" t="n"/>
      <c r="AR1364" s="155" t="n"/>
    </row>
    <row r="1365">
      <c r="A1365" s="50" t="inlineStr">
        <is>
          <t>7506552410128</t>
        </is>
      </c>
      <c r="B1365" s="51" t="inlineStr">
        <is>
          <t>110263</t>
        </is>
      </c>
      <c r="C1365" s="156" t="inlineStr">
        <is>
          <t>Multimarca</t>
        </is>
      </c>
      <c r="D1365" s="156" t="inlineStr">
        <is>
          <t>STS36</t>
        </is>
      </c>
      <c r="E1365" s="156" t="inlineStr">
        <is>
          <t>STS36</t>
        </is>
      </c>
      <c r="F1365" s="156" t="inlineStr">
        <is>
          <t>Talla única</t>
        </is>
      </c>
      <c r="G1365" s="156" t="inlineStr">
        <is>
          <t>One Size</t>
        </is>
      </c>
      <c r="H1365" s="156" t="inlineStr">
        <is>
          <t>Stetson</t>
        </is>
      </c>
      <c r="I1365" s="156" t="inlineStr">
        <is>
          <t>Gorra Stetson Trucker Gris / Rojo</t>
        </is>
      </c>
      <c r="J1365" s="156" t="inlineStr">
        <is>
          <t>Accesorios</t>
        </is>
      </c>
      <c r="K1365" s="156" t="inlineStr">
        <is>
          <t>Gorras</t>
        </is>
      </c>
      <c r="L1365" s="156" t="inlineStr">
        <is>
          <t>Hombre</t>
        </is>
      </c>
      <c r="M1365" s="156" t="inlineStr">
        <is>
          <t>Stetson</t>
        </is>
      </c>
      <c r="N1365" s="156" t="inlineStr">
        <is>
          <t>SS26</t>
        </is>
      </c>
      <c r="O1365" s="156" t="inlineStr">
        <is>
          <t>Seasonal</t>
        </is>
      </c>
      <c r="P1365" s="156" t="inlineStr">
        <is>
          <t>Gris</t>
        </is>
      </c>
      <c r="Q1365" s="156" t="n"/>
      <c r="R1365" s="156" t="n"/>
      <c r="S1365" s="156" t="inlineStr">
        <is>
          <t>50% Algod</t>
        </is>
      </c>
      <c r="T1365"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5" s="156" t="n"/>
      <c r="V1365" s="156" t="inlineStr">
        <is>
          <t>PZS</t>
        </is>
      </c>
      <c r="W1365" s="51" t="inlineStr">
        <is>
          <t>53102516</t>
        </is>
      </c>
      <c r="X1365" s="156" t="inlineStr">
        <is>
          <t>https://cdn.shopify.com/s/files/1/0888/3250/8267/files/STS36-01.jpg?v=1758734755</t>
        </is>
      </c>
      <c r="Y1365" s="54" t="n">
        <v>310.3448276</v>
      </c>
      <c r="Z1365" s="54" t="n">
        <v>689.6551724</v>
      </c>
      <c r="AA1365" s="55">
        <f>IF(AND(A1365="", B1365="", E1365=""), "", IF(AB1365="", "Válido", IF((LEN(AB1365)-LEN(SUBSTITUTE(AB1365,"; ","")))/2+1&gt;(LEN(AB1365)-LEN(SUBSTITUTE(AB1365,"[Aviso]","")))/7, "Con Incidencias", "Válido")))</f>
        <v/>
      </c>
      <c r="AB1365" s="56">
        <f>IF(AND(A1365="", B1365="", E1365=""), "", TEXTJOIN("; ", TRUE, IF(OR(TRIM(A1365&amp;"")="", ISNUMBER(SEARCH("FALTA", A1365))), "UPC faltante/inválido", ""), IF(AND(A1365&lt;&gt;"", IFERROR(_xlfn.XMATCH(A1365,$A$2:$A$2509,0,1)&lt;&gt;_xlfn.XMATCH(A1365,$A$2:$A$2509,0,-1),FALSE)), "Código de barras duplicado", ""), IF(AND(E1365&lt;&gt;"", COUNTIF($E$2:$E$2509, E1365)&gt;1), "SKU duplicado", ""), IF(OR(J1365="", J1365=""), "[Aviso] División no capturada ()", IF(ISNA(MATCH(J1365, Criterios!$A$123:$A$126, 0)), "División no válida", "")), IF(OR(K1365="", K1365=""), "[Aviso] Categoría no capturada ()", IF(ISNA(MATCH(K1365, Criterios!$A$81:$A$120, 0)), "Categoría no válida", IF(AND(J1365&lt;&gt;"", J1365&lt;&gt;"", J1365&lt;&gt;VLOOKUP(K1365, Criterios!$A$81:$B$120, 2, FALSE)), "División no coincide con Categoría", ""))), IF(OR(L1365="", L1365=""), "[Aviso] Género no capturado ()", IF(ISNA(MATCH(L1365, Criterios!$B$123:$B$127, 0)), "Género no válido", "")), IF(OR(N1365="", N1365=""), "[Aviso] Temporada no capturada ()", IF(ISNA(MATCH(N1365, Criterios!$C$123:$C$128, 0)), "Temporada no válida", "")), IF(OR(O1365="", O1365=""), "[Aviso] Ciclo de vida no capturado ()", IF(ISNA(MATCH(O1365, Criterios!$D$123:$D$124, 0)), "Ciclo de vida no válido", ""))))</f>
        <v/>
      </c>
      <c r="AC1365" s="56" t="n"/>
      <c r="AD1365" s="51" t="n">
        <v>0</v>
      </c>
      <c r="AE1365" s="156" t="n"/>
      <c r="AF1365" s="51" t="n">
        <v>0</v>
      </c>
      <c r="AG1365" s="156" t="inlineStr">
        <is>
          <t>Catálogo existente</t>
        </is>
      </c>
      <c r="AH136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5" s="156" t="inlineStr">
        <is>
          <t>No</t>
        </is>
      </c>
      <c r="AJ1365" s="156" t="n"/>
      <c r="AK1365" s="155" t="inlineStr">
        <is>
          <t>Criterios: I [Q] | Criterios: J [R]; G1522_Extraccion_Articulos_NetSuite_2026-09-30.xlsx: fila 58078 [S] | Shopify Stetson: producto 14782317560171 / variante 52418969239915</t>
        </is>
      </c>
      <c r="AL1365" s="58" t="n">
        <v>310.3448276</v>
      </c>
      <c r="AM1365" s="58" t="n">
        <v>689.6551724</v>
      </c>
      <c r="AN1365" s="155" t="inlineStr">
        <is>
          <t>Shopify Stetson México</t>
        </is>
      </c>
      <c r="AO1365" s="59" t="n">
        <v>0</v>
      </c>
      <c r="AP1365" s="59" t="n"/>
      <c r="AQ1365" s="59" t="n"/>
      <c r="AR1365" s="155" t="n"/>
    </row>
    <row r="1366">
      <c r="A1366" s="50" t="inlineStr">
        <is>
          <t>7506552410135</t>
        </is>
      </c>
      <c r="B1366" s="51" t="inlineStr">
        <is>
          <t>110264</t>
        </is>
      </c>
      <c r="C1366" s="156" t="inlineStr">
        <is>
          <t>Multimarca</t>
        </is>
      </c>
      <c r="D1366" s="156" t="inlineStr">
        <is>
          <t>STS37</t>
        </is>
      </c>
      <c r="E1366" s="156" t="inlineStr">
        <is>
          <t>STS37</t>
        </is>
      </c>
      <c r="F1366" s="156" t="inlineStr">
        <is>
          <t>Talla única</t>
        </is>
      </c>
      <c r="G1366" s="156" t="inlineStr">
        <is>
          <t>One Size</t>
        </is>
      </c>
      <c r="H1366" s="156" t="inlineStr">
        <is>
          <t>Stetson</t>
        </is>
      </c>
      <c r="I1366" s="156" t="inlineStr">
        <is>
          <t>Gorra Stetson Trucker Paja / Negro</t>
        </is>
      </c>
      <c r="J1366" s="156" t="inlineStr">
        <is>
          <t>Accesorios</t>
        </is>
      </c>
      <c r="K1366" s="156" t="inlineStr">
        <is>
          <t>Gorras</t>
        </is>
      </c>
      <c r="L1366" s="156" t="inlineStr">
        <is>
          <t>Hombre</t>
        </is>
      </c>
      <c r="M1366" s="156" t="inlineStr">
        <is>
          <t>Stetson</t>
        </is>
      </c>
      <c r="N1366" s="156" t="inlineStr">
        <is>
          <t>SS26</t>
        </is>
      </c>
      <c r="O1366" s="156" t="inlineStr">
        <is>
          <t>Seasonal</t>
        </is>
      </c>
      <c r="P1366" s="156" t="inlineStr">
        <is>
          <t>Negro</t>
        </is>
      </c>
      <c r="Q1366" s="156" t="n"/>
      <c r="R1366" s="156" t="n"/>
      <c r="S1366" s="156" t="inlineStr">
        <is>
          <t>50% Algod</t>
        </is>
      </c>
      <c r="T1366"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6" s="156" t="n"/>
      <c r="V1366" s="156" t="inlineStr">
        <is>
          <t>PZS</t>
        </is>
      </c>
      <c r="W1366" s="51" t="inlineStr">
        <is>
          <t>53102516</t>
        </is>
      </c>
      <c r="X1366" s="156" t="inlineStr">
        <is>
          <t>https://cdn.shopify.com/s/files/1/0888/3250/8267/files/STS37-01.jpg?v=1758734907</t>
        </is>
      </c>
      <c r="Y1366" s="54" t="n">
        <v>310.3448276</v>
      </c>
      <c r="Z1366" s="54" t="n">
        <v>689.6551724</v>
      </c>
      <c r="AA1366" s="55">
        <f>IF(AND(A1366="", B1366="", E1366=""), "", IF(AB1366="", "Válido", IF((LEN(AB1366)-LEN(SUBSTITUTE(AB1366,"; ","")))/2+1&gt;(LEN(AB1366)-LEN(SUBSTITUTE(AB1366,"[Aviso]","")))/7, "Con Incidencias", "Válido")))</f>
        <v/>
      </c>
      <c r="AB1366" s="56">
        <f>IF(AND(A1366="", B1366="", E1366=""), "", TEXTJOIN("; ", TRUE, IF(OR(TRIM(A1366&amp;"")="", ISNUMBER(SEARCH("FALTA", A1366))), "UPC faltante/inválido", ""), IF(AND(A1366&lt;&gt;"", IFERROR(_xlfn.XMATCH(A1366,$A$2:$A$2509,0,1)&lt;&gt;_xlfn.XMATCH(A1366,$A$2:$A$2509,0,-1),FALSE)), "Código de barras duplicado", ""), IF(AND(E1366&lt;&gt;"", COUNTIF($E$2:$E$2509, E1366)&gt;1), "SKU duplicado", ""), IF(OR(J1366="", J1366=""), "[Aviso] División no capturada ()", IF(ISNA(MATCH(J1366, Criterios!$A$123:$A$126, 0)), "División no válida", "")), IF(OR(K1366="", K1366=""), "[Aviso] Categoría no capturada ()", IF(ISNA(MATCH(K1366, Criterios!$A$81:$A$120, 0)), "Categoría no válida", IF(AND(J1366&lt;&gt;"", J1366&lt;&gt;"", J1366&lt;&gt;VLOOKUP(K1366, Criterios!$A$81:$B$120, 2, FALSE)), "División no coincide con Categoría", ""))), IF(OR(L1366="", L1366=""), "[Aviso] Género no capturado ()", IF(ISNA(MATCH(L1366, Criterios!$B$123:$B$127, 0)), "Género no válido", "")), IF(OR(N1366="", N1366=""), "[Aviso] Temporada no capturada ()", IF(ISNA(MATCH(N1366, Criterios!$C$123:$C$128, 0)), "Temporada no válida", "")), IF(OR(O1366="", O1366=""), "[Aviso] Ciclo de vida no capturado ()", IF(ISNA(MATCH(O1366, Criterios!$D$123:$D$124, 0)), "Ciclo de vida no válido", ""))))</f>
        <v/>
      </c>
      <c r="AC1366" s="56" t="n"/>
      <c r="AD1366" s="51" t="n">
        <v>-2</v>
      </c>
      <c r="AE1366" s="156" t="n"/>
      <c r="AF1366" s="51" t="n">
        <v>0</v>
      </c>
      <c r="AG1366" s="156" t="inlineStr">
        <is>
          <t>Catálogo existente</t>
        </is>
      </c>
      <c r="AH1366"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6" s="156" t="inlineStr">
        <is>
          <t>Sí</t>
        </is>
      </c>
      <c r="AJ1366" s="156" t="inlineStr">
        <is>
          <t>STETSON AMERICAS (-2)</t>
        </is>
      </c>
      <c r="AK1366" s="155" t="inlineStr">
        <is>
          <t>Criterios: I [Q] | Criterios: J [R]; G1522_Extraccion_Articulos_NetSuite_2026-09-30.xlsx: fila 58079 [S] | Shopify Stetson: producto 14782317691243 / variante 52418969862507</t>
        </is>
      </c>
      <c r="AL1366" s="58" t="n">
        <v>310.3448276</v>
      </c>
      <c r="AM1366" s="58" t="n">
        <v>689.6551724</v>
      </c>
      <c r="AN1366" s="155" t="inlineStr">
        <is>
          <t>Shopify Stetson México</t>
        </is>
      </c>
      <c r="AO1366" s="59" t="n">
        <v>0</v>
      </c>
      <c r="AP1366" s="59" t="n"/>
      <c r="AQ1366" s="59" t="n"/>
      <c r="AR1366" s="155" t="n"/>
    </row>
    <row r="1367">
      <c r="A1367" s="50" t="inlineStr">
        <is>
          <t>7506552410173</t>
        </is>
      </c>
      <c r="B1367" s="51" t="inlineStr">
        <is>
          <t>110265</t>
        </is>
      </c>
      <c r="C1367" s="156" t="inlineStr">
        <is>
          <t>Multimarca</t>
        </is>
      </c>
      <c r="D1367" s="156" t="inlineStr">
        <is>
          <t>STS41</t>
        </is>
      </c>
      <c r="E1367" s="156" t="inlineStr">
        <is>
          <t>STS41</t>
        </is>
      </c>
      <c r="F1367" s="156" t="inlineStr">
        <is>
          <t>Talla única</t>
        </is>
      </c>
      <c r="G1367" s="156" t="inlineStr">
        <is>
          <t>One Size</t>
        </is>
      </c>
      <c r="H1367" s="156" t="inlineStr">
        <is>
          <t>Stetson</t>
        </is>
      </c>
      <c r="I1367" s="156" t="inlineStr">
        <is>
          <t>Gorra Stetson Trucker Verde</t>
        </is>
      </c>
      <c r="J1367" s="156" t="inlineStr">
        <is>
          <t>Accesorios</t>
        </is>
      </c>
      <c r="K1367" s="156" t="inlineStr">
        <is>
          <t>Gorras</t>
        </is>
      </c>
      <c r="L1367" s="156" t="inlineStr">
        <is>
          <t>Hombre</t>
        </is>
      </c>
      <c r="M1367" s="156" t="inlineStr">
        <is>
          <t>Stetson</t>
        </is>
      </c>
      <c r="N1367" s="156" t="inlineStr">
        <is>
          <t>SS26</t>
        </is>
      </c>
      <c r="O1367" s="156" t="inlineStr">
        <is>
          <t>Seasonal</t>
        </is>
      </c>
      <c r="P1367" s="156" t="inlineStr">
        <is>
          <t>Verde</t>
        </is>
      </c>
      <c r="Q1367" s="156" t="n"/>
      <c r="R1367" s="156" t="n"/>
      <c r="S1367" s="156" t="inlineStr">
        <is>
          <t>50% Algod</t>
        </is>
      </c>
      <c r="T136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7" s="156" t="n"/>
      <c r="V1367" s="156" t="inlineStr">
        <is>
          <t>PZS</t>
        </is>
      </c>
      <c r="W1367" s="51" t="inlineStr">
        <is>
          <t>53102516</t>
        </is>
      </c>
      <c r="X1367" s="156" t="inlineStr">
        <is>
          <t>https://cdn.shopify.com/s/files/1/0888/3250/8267/files/STS41-01.jpg?v=1758734988</t>
        </is>
      </c>
      <c r="Y1367" s="54" t="n">
        <v>310.3448276</v>
      </c>
      <c r="Z1367" s="54" t="n">
        <v>689.6551724</v>
      </c>
      <c r="AA1367" s="55">
        <f>IF(AND(A1367="", B1367="", E1367=""), "", IF(AB1367="", "Válido", IF((LEN(AB1367)-LEN(SUBSTITUTE(AB1367,"; ","")))/2+1&gt;(LEN(AB1367)-LEN(SUBSTITUTE(AB1367,"[Aviso]","")))/7, "Con Incidencias", "Válido")))</f>
        <v/>
      </c>
      <c r="AB1367" s="56">
        <f>IF(AND(A1367="", B1367="", E1367=""), "", TEXTJOIN("; ", TRUE, IF(OR(TRIM(A1367&amp;"")="", ISNUMBER(SEARCH("FALTA", A1367))), "UPC faltante/inválido", ""), IF(AND(A1367&lt;&gt;"", IFERROR(_xlfn.XMATCH(A1367,$A$2:$A$2509,0,1)&lt;&gt;_xlfn.XMATCH(A1367,$A$2:$A$2509,0,-1),FALSE)), "Código de barras duplicado", ""), IF(AND(E1367&lt;&gt;"", COUNTIF($E$2:$E$2509, E1367)&gt;1), "SKU duplicado", ""), IF(OR(J1367="", J1367=""), "[Aviso] División no capturada ()", IF(ISNA(MATCH(J1367, Criterios!$A$123:$A$126, 0)), "División no válida", "")), IF(OR(K1367="", K1367=""), "[Aviso] Categoría no capturada ()", IF(ISNA(MATCH(K1367, Criterios!$A$81:$A$120, 0)), "Categoría no válida", IF(AND(J1367&lt;&gt;"", J1367&lt;&gt;"", J1367&lt;&gt;VLOOKUP(K1367, Criterios!$A$81:$B$120, 2, FALSE)), "División no coincide con Categoría", ""))), IF(OR(L1367="", L1367=""), "[Aviso] Género no capturado ()", IF(ISNA(MATCH(L1367, Criterios!$B$123:$B$127, 0)), "Género no válido", "")), IF(OR(N1367="", N1367=""), "[Aviso] Temporada no capturada ()", IF(ISNA(MATCH(N1367, Criterios!$C$123:$C$128, 0)), "Temporada no válida", "")), IF(OR(O1367="", O1367=""), "[Aviso] Ciclo de vida no capturado ()", IF(ISNA(MATCH(O1367, Criterios!$D$123:$D$124, 0)), "Ciclo de vida no válido", ""))))</f>
        <v/>
      </c>
      <c r="AC1367" s="56" t="n"/>
      <c r="AD1367" s="51" t="n">
        <v>-1</v>
      </c>
      <c r="AE1367" s="156" t="n"/>
      <c r="AF1367" s="51" t="n">
        <v>0</v>
      </c>
      <c r="AG1367" s="156" t="inlineStr">
        <is>
          <t>Catálogo existente</t>
        </is>
      </c>
      <c r="AH1367"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7" s="156" t="inlineStr">
        <is>
          <t>Sí</t>
        </is>
      </c>
      <c r="AJ1367" s="156" t="inlineStr">
        <is>
          <t>STETSON AMERICAS (-1)</t>
        </is>
      </c>
      <c r="AK1367" s="155" t="inlineStr">
        <is>
          <t>Criterios: I [Q] | Criterios: J [R]; G1522_Extraccion_Articulos_NetSuite_2026-09-30.xlsx: fila 58080 [S] | Shopify Stetson: producto 14782317822315 / variante 52418976022891</t>
        </is>
      </c>
      <c r="AL1367" s="58" t="n">
        <v>310.3448276</v>
      </c>
      <c r="AM1367" s="58" t="n">
        <v>689.6551724</v>
      </c>
      <c r="AN1367" s="155" t="inlineStr">
        <is>
          <t>Shopify Stetson México</t>
        </is>
      </c>
      <c r="AO1367" s="59" t="n">
        <v>0</v>
      </c>
      <c r="AP1367" s="59" t="n"/>
      <c r="AQ1367" s="59" t="n"/>
      <c r="AR1367" s="155" t="n"/>
    </row>
    <row r="1368">
      <c r="A1368" s="50" t="inlineStr">
        <is>
          <t>7506552410180</t>
        </is>
      </c>
      <c r="B1368" s="51" t="inlineStr">
        <is>
          <t>110266</t>
        </is>
      </c>
      <c r="C1368" s="156" t="inlineStr">
        <is>
          <t>Multimarca</t>
        </is>
      </c>
      <c r="D1368" s="156" t="inlineStr">
        <is>
          <t>STS42</t>
        </is>
      </c>
      <c r="E1368" s="156" t="inlineStr">
        <is>
          <t>STS42</t>
        </is>
      </c>
      <c r="F1368" s="156" t="inlineStr">
        <is>
          <t>Talla única</t>
        </is>
      </c>
      <c r="G1368" s="156" t="inlineStr">
        <is>
          <t>One Size</t>
        </is>
      </c>
      <c r="H1368" s="156" t="inlineStr">
        <is>
          <t>Stetson</t>
        </is>
      </c>
      <c r="I1368" s="156" t="inlineStr">
        <is>
          <t>Gorra Stetson Trucker Azul / Blanco</t>
        </is>
      </c>
      <c r="J1368" s="156" t="inlineStr">
        <is>
          <t>Accesorios</t>
        </is>
      </c>
      <c r="K1368" s="156" t="inlineStr">
        <is>
          <t>Gorras</t>
        </is>
      </c>
      <c r="L1368" s="156" t="inlineStr">
        <is>
          <t>Hombre</t>
        </is>
      </c>
      <c r="M1368" s="156" t="inlineStr">
        <is>
          <t>Stetson</t>
        </is>
      </c>
      <c r="N1368" s="156" t="inlineStr">
        <is>
          <t>SS26</t>
        </is>
      </c>
      <c r="O1368" s="156" t="inlineStr">
        <is>
          <t>Seasonal</t>
        </is>
      </c>
      <c r="P1368" s="156" t="inlineStr">
        <is>
          <t>Blanco</t>
        </is>
      </c>
      <c r="Q1368" s="156" t="n"/>
      <c r="R1368" s="156" t="n"/>
      <c r="S1368" s="156" t="inlineStr">
        <is>
          <t>50% Algod</t>
        </is>
      </c>
      <c r="T136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8" s="156" t="n"/>
      <c r="V1368" s="156" t="inlineStr">
        <is>
          <t>PZS</t>
        </is>
      </c>
      <c r="W1368" s="51" t="inlineStr">
        <is>
          <t>53102516</t>
        </is>
      </c>
      <c r="X1368" s="156" t="inlineStr">
        <is>
          <t>https://cdn.shopify.com/s/files/1/0888/3250/8267/files/STS42-01.jpg?v=1758735363</t>
        </is>
      </c>
      <c r="Y1368" s="54" t="n">
        <v>310.3448276</v>
      </c>
      <c r="Z1368" s="54" t="n">
        <v>689.6551724</v>
      </c>
      <c r="AA1368" s="55">
        <f>IF(AND(A1368="", B1368="", E1368=""), "", IF(AB1368="", "Válido", IF((LEN(AB1368)-LEN(SUBSTITUTE(AB1368,"; ","")))/2+1&gt;(LEN(AB1368)-LEN(SUBSTITUTE(AB1368,"[Aviso]","")))/7, "Con Incidencias", "Válido")))</f>
        <v/>
      </c>
      <c r="AB1368" s="56">
        <f>IF(AND(A1368="", B1368="", E1368=""), "", TEXTJOIN("; ", TRUE, IF(OR(TRIM(A1368&amp;"")="", ISNUMBER(SEARCH("FALTA", A1368))), "UPC faltante/inválido", ""), IF(AND(A1368&lt;&gt;"", IFERROR(_xlfn.XMATCH(A1368,$A$2:$A$2509,0,1)&lt;&gt;_xlfn.XMATCH(A1368,$A$2:$A$2509,0,-1),FALSE)), "Código de barras duplicado", ""), IF(AND(E1368&lt;&gt;"", COUNTIF($E$2:$E$2509, E1368)&gt;1), "SKU duplicado", ""), IF(OR(J1368="", J1368=""), "[Aviso] División no capturada ()", IF(ISNA(MATCH(J1368, Criterios!$A$123:$A$126, 0)), "División no válida", "")), IF(OR(K1368="", K1368=""), "[Aviso] Categoría no capturada ()", IF(ISNA(MATCH(K1368, Criterios!$A$81:$A$120, 0)), "Categoría no válida", IF(AND(J1368&lt;&gt;"", J1368&lt;&gt;"", J1368&lt;&gt;VLOOKUP(K1368, Criterios!$A$81:$B$120, 2, FALSE)), "División no coincide con Categoría", ""))), IF(OR(L1368="", L1368=""), "[Aviso] Género no capturado ()", IF(ISNA(MATCH(L1368, Criterios!$B$123:$B$127, 0)), "Género no válido", "")), IF(OR(N1368="", N1368=""), "[Aviso] Temporada no capturada ()", IF(ISNA(MATCH(N1368, Criterios!$C$123:$C$128, 0)), "Temporada no válida", "")), IF(OR(O1368="", O1368=""), "[Aviso] Ciclo de vida no capturado ()", IF(ISNA(MATCH(O1368, Criterios!$D$123:$D$124, 0)), "Ciclo de vida no válido", ""))))</f>
        <v/>
      </c>
      <c r="AC1368" s="56" t="n"/>
      <c r="AD1368" s="51" t="n">
        <v>-2</v>
      </c>
      <c r="AE1368" s="156" t="n"/>
      <c r="AF1368" s="51" t="n">
        <v>0</v>
      </c>
      <c r="AG1368" s="156" t="inlineStr">
        <is>
          <t>Catálogo existente</t>
        </is>
      </c>
      <c r="AH1368"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«Azul» — se conservó el valor de Productos | Homologación G1522 06/10/2026: WB Composición: Los porcentajes no suman 100 % o el texto está truncado; confirmar con la etiqueta (Requiere revisión)</t>
        </is>
      </c>
      <c r="AI1368" s="156" t="inlineStr">
        <is>
          <t>Sí</t>
        </is>
      </c>
      <c r="AJ1368" s="156" t="inlineStr">
        <is>
          <t>STETSON AMERICAS (-2)</t>
        </is>
      </c>
      <c r="AK1368" s="155" t="inlineStr">
        <is>
          <t>Criterios: I [Q] | Criterios: J [R]; G1522_Extraccion_Articulos_NetSuite_2026-09-30.xlsx: fila 58081 [S] | Shopify Stetson: producto 14782318149995 / variante 52418977595755</t>
        </is>
      </c>
      <c r="AL1368" s="58" t="n">
        <v>310.3448276</v>
      </c>
      <c r="AM1368" s="58" t="n">
        <v>689.6551724</v>
      </c>
      <c r="AN1368" s="155" t="inlineStr">
        <is>
          <t>Shopify Stetson México</t>
        </is>
      </c>
      <c r="AO1368" s="59" t="n">
        <v>0</v>
      </c>
      <c r="AP1368" s="59" t="n"/>
      <c r="AQ1368" s="59" t="n"/>
      <c r="AR1368" s="155" t="n"/>
    </row>
    <row r="1369">
      <c r="A1369" s="50" t="inlineStr">
        <is>
          <t>7506552410210</t>
        </is>
      </c>
      <c r="B1369" s="51" t="inlineStr">
        <is>
          <t>110269</t>
        </is>
      </c>
      <c r="C1369" s="156" t="inlineStr">
        <is>
          <t>Multimarca</t>
        </is>
      </c>
      <c r="D1369" s="156" t="inlineStr">
        <is>
          <t>STS45</t>
        </is>
      </c>
      <c r="E1369" s="156" t="inlineStr">
        <is>
          <t>STS45</t>
        </is>
      </c>
      <c r="F1369" s="156" t="inlineStr">
        <is>
          <t>Talla única</t>
        </is>
      </c>
      <c r="G1369" s="156" t="inlineStr">
        <is>
          <t>One Size</t>
        </is>
      </c>
      <c r="H1369" s="156" t="inlineStr">
        <is>
          <t>Stetson</t>
        </is>
      </c>
      <c r="I1369" s="156" t="inlineStr">
        <is>
          <t>Gorra Stetson Trucker Verde Camión</t>
        </is>
      </c>
      <c r="J1369" s="156" t="inlineStr">
        <is>
          <t>Accesorios</t>
        </is>
      </c>
      <c r="K1369" s="156" t="inlineStr">
        <is>
          <t>Gorras</t>
        </is>
      </c>
      <c r="L1369" s="156" t="inlineStr">
        <is>
          <t>Hombre</t>
        </is>
      </c>
      <c r="M1369" s="156" t="inlineStr">
        <is>
          <t>Stetson</t>
        </is>
      </c>
      <c r="N1369" s="156" t="inlineStr">
        <is>
          <t>SS26</t>
        </is>
      </c>
      <c r="O1369" s="156" t="inlineStr">
        <is>
          <t>Seasonal</t>
        </is>
      </c>
      <c r="P1369" s="156" t="inlineStr">
        <is>
          <t>Verde</t>
        </is>
      </c>
      <c r="Q1369" s="156" t="n"/>
      <c r="R1369" s="156" t="n"/>
      <c r="S1369" s="156" t="inlineStr">
        <is>
          <t>50% Algod</t>
        </is>
      </c>
      <c r="T1369"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9" s="156" t="n"/>
      <c r="V1369" s="156" t="inlineStr">
        <is>
          <t>PZS</t>
        </is>
      </c>
      <c r="W1369" s="51" t="inlineStr">
        <is>
          <t>53102516</t>
        </is>
      </c>
      <c r="X1369" s="156" t="inlineStr">
        <is>
          <t>https://cdn.shopify.com/s/files/1/0888/3250/8267/files/STS45-01.jpg?v=1758735686</t>
        </is>
      </c>
      <c r="Y1369" s="54" t="n">
        <v>310.3448276</v>
      </c>
      <c r="Z1369" s="54" t="n">
        <v>689.6551724</v>
      </c>
      <c r="AA1369" s="55">
        <f>IF(AND(A1369="", B1369="", E1369=""), "", IF(AB1369="", "Válido", IF((LEN(AB1369)-LEN(SUBSTITUTE(AB1369,"; ","")))/2+1&gt;(LEN(AB1369)-LEN(SUBSTITUTE(AB1369,"[Aviso]","")))/7, "Con Incidencias", "Válido")))</f>
        <v/>
      </c>
      <c r="AB1369" s="56">
        <f>IF(AND(A1369="", B1369="", E1369=""), "", TEXTJOIN("; ", TRUE, IF(OR(TRIM(A1369&amp;"")="", ISNUMBER(SEARCH("FALTA", A1369))), "UPC faltante/inválido", ""), IF(AND(A1369&lt;&gt;"", IFERROR(_xlfn.XMATCH(A1369,$A$2:$A$2509,0,1)&lt;&gt;_xlfn.XMATCH(A1369,$A$2:$A$2509,0,-1),FALSE)), "Código de barras duplicado", ""), IF(AND(E1369&lt;&gt;"", COUNTIF($E$2:$E$2509, E1369)&gt;1), "SKU duplicado", ""), IF(OR(J1369="", J1369=""), "[Aviso] División no capturada ()", IF(ISNA(MATCH(J1369, Criterios!$A$123:$A$126, 0)), "División no válida", "")), IF(OR(K1369="", K1369=""), "[Aviso] Categoría no capturada ()", IF(ISNA(MATCH(K1369, Criterios!$A$81:$A$120, 0)), "Categoría no válida", IF(AND(J1369&lt;&gt;"", J1369&lt;&gt;"", J1369&lt;&gt;VLOOKUP(K1369, Criterios!$A$81:$B$120, 2, FALSE)), "División no coincide con Categoría", ""))), IF(OR(L1369="", L1369=""), "[Aviso] Género no capturado ()", IF(ISNA(MATCH(L1369, Criterios!$B$123:$B$127, 0)), "Género no válido", "")), IF(OR(N1369="", N1369=""), "[Aviso] Temporada no capturada ()", IF(ISNA(MATCH(N1369, Criterios!$C$123:$C$128, 0)), "Temporada no válida", "")), IF(OR(O1369="", O1369=""), "[Aviso] Ciclo de vida no capturado ()", IF(ISNA(MATCH(O1369, Criterios!$D$123:$D$124, 0)), "Ciclo de vida no válido", ""))))</f>
        <v/>
      </c>
      <c r="AC1369" s="56" t="n"/>
      <c r="AD1369" s="51" t="n">
        <v>2</v>
      </c>
      <c r="AE1369" s="156" t="inlineStr">
        <is>
          <t>B25 STETSON.MX (3)</t>
        </is>
      </c>
      <c r="AF1369" s="51" t="n">
        <v>3</v>
      </c>
      <c r="AG1369" s="156" t="inlineStr">
        <is>
          <t>Catálogo existente</t>
        </is>
      </c>
      <c r="AH1369"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9" s="156" t="inlineStr">
        <is>
          <t>Sí</t>
        </is>
      </c>
      <c r="AJ1369" s="156" t="inlineStr">
        <is>
          <t>STETSON AMERICAS (-1)</t>
        </is>
      </c>
      <c r="AK1369" s="155" t="inlineStr">
        <is>
          <t>Criterios: I [Q] | Criterios: J [R]; G1522_Extraccion_Articulos_NetSuite_2026-09-30.xlsx: fila 58084 [S] | Shopify Stetson: producto 14782318477675 / variante 52418978021739</t>
        </is>
      </c>
      <c r="AL1369" s="58" t="n">
        <v>310.3448276</v>
      </c>
      <c r="AM1369" s="58" t="n">
        <v>689.6551724</v>
      </c>
      <c r="AN1369" s="155" t="inlineStr">
        <is>
          <t>Shopify Stetson México</t>
        </is>
      </c>
      <c r="AO1369" s="59" t="n">
        <v>2</v>
      </c>
      <c r="AP1369" s="59" t="n"/>
      <c r="AQ1369" s="59" t="n"/>
      <c r="AR1369" s="155" t="inlineStr">
        <is>
          <t>Shopify Stetson México › Stetson México: 3</t>
        </is>
      </c>
    </row>
    <row r="1370">
      <c r="A1370" s="50" t="inlineStr">
        <is>
          <t>7506552410227</t>
        </is>
      </c>
      <c r="B1370" s="51" t="inlineStr">
        <is>
          <t>110270</t>
        </is>
      </c>
      <c r="C1370" s="156" t="inlineStr">
        <is>
          <t>Multimarca</t>
        </is>
      </c>
      <c r="D1370" s="156" t="inlineStr">
        <is>
          <t>STS46</t>
        </is>
      </c>
      <c r="E1370" s="156" t="inlineStr">
        <is>
          <t>STS46</t>
        </is>
      </c>
      <c r="F1370" s="156" t="inlineStr">
        <is>
          <t>Talla única</t>
        </is>
      </c>
      <c r="G1370" s="156" t="inlineStr">
        <is>
          <t>One Size</t>
        </is>
      </c>
      <c r="H1370" s="156" t="inlineStr">
        <is>
          <t>Stetson</t>
        </is>
      </c>
      <c r="I1370" s="156" t="inlineStr">
        <is>
          <t>Gorra Stetson Trucker Azul Camión</t>
        </is>
      </c>
      <c r="J1370" s="156" t="inlineStr">
        <is>
          <t>Accesorios</t>
        </is>
      </c>
      <c r="K1370" s="156" t="inlineStr">
        <is>
          <t>Gorras</t>
        </is>
      </c>
      <c r="L1370" s="156" t="inlineStr">
        <is>
          <t>Hombre</t>
        </is>
      </c>
      <c r="M1370" s="156" t="inlineStr">
        <is>
          <t>Stetson</t>
        </is>
      </c>
      <c r="N1370" s="156" t="inlineStr">
        <is>
          <t>SS26</t>
        </is>
      </c>
      <c r="O1370" s="156" t="inlineStr">
        <is>
          <t>Seasonal</t>
        </is>
      </c>
      <c r="P1370" s="156" t="inlineStr">
        <is>
          <t>Azul</t>
        </is>
      </c>
      <c r="Q1370" s="156" t="n"/>
      <c r="R1370" s="156" t="n"/>
      <c r="S1370" s="156" t="inlineStr">
        <is>
          <t>50% Algod</t>
        </is>
      </c>
      <c r="T1370"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0" s="156" t="n"/>
      <c r="V1370" s="156" t="inlineStr">
        <is>
          <t>PZS</t>
        </is>
      </c>
      <c r="W1370" s="51" t="inlineStr">
        <is>
          <t>53102516</t>
        </is>
      </c>
      <c r="X1370" s="156" t="inlineStr">
        <is>
          <t>https://cdn.shopify.com/s/files/1/0888/3250/8267/files/STS46-01.jpg?v=1758735777</t>
        </is>
      </c>
      <c r="Y1370" s="54" t="n">
        <v>310.3448276</v>
      </c>
      <c r="Z1370" s="54" t="n">
        <v>689.6551724</v>
      </c>
      <c r="AA1370" s="55">
        <f>IF(AND(A1370="", B1370="", E1370=""), "", IF(AB1370="", "Válido", IF((LEN(AB1370)-LEN(SUBSTITUTE(AB1370,"; ","")))/2+1&gt;(LEN(AB1370)-LEN(SUBSTITUTE(AB1370,"[Aviso]","")))/7, "Con Incidencias", "Válido")))</f>
        <v/>
      </c>
      <c r="AB1370" s="56">
        <f>IF(AND(A1370="", B1370="", E1370=""), "", TEXTJOIN("; ", TRUE, IF(OR(TRIM(A1370&amp;"")="", ISNUMBER(SEARCH("FALTA", A1370))), "UPC faltante/inválido", ""), IF(AND(A1370&lt;&gt;"", IFERROR(_xlfn.XMATCH(A1370,$A$2:$A$2509,0,1)&lt;&gt;_xlfn.XMATCH(A1370,$A$2:$A$2509,0,-1),FALSE)), "Código de barras duplicado", ""), IF(AND(E1370&lt;&gt;"", COUNTIF($E$2:$E$2509, E1370)&gt;1), "SKU duplicado", ""), IF(OR(J1370="", J1370=""), "[Aviso] División no capturada ()", IF(ISNA(MATCH(J1370, Criterios!$A$123:$A$126, 0)), "División no válida", "")), IF(OR(K1370="", K1370=""), "[Aviso] Categoría no capturada ()", IF(ISNA(MATCH(K1370, Criterios!$A$81:$A$120, 0)), "Categoría no válida", IF(AND(J1370&lt;&gt;"", J1370&lt;&gt;"", J1370&lt;&gt;VLOOKUP(K1370, Criterios!$A$81:$B$120, 2, FALSE)), "División no coincide con Categoría", ""))), IF(OR(L1370="", L1370=""), "[Aviso] Género no capturado ()", IF(ISNA(MATCH(L1370, Criterios!$B$123:$B$127, 0)), "Género no válido", "")), IF(OR(N1370="", N1370=""), "[Aviso] Temporada no capturada ()", IF(ISNA(MATCH(N1370, Criterios!$C$123:$C$128, 0)), "Temporada no válida", "")), IF(OR(O1370="", O1370=""), "[Aviso] Ciclo de vida no capturado ()", IF(ISNA(MATCH(O1370, Criterios!$D$123:$D$124, 0)), "Ciclo de vida no válido", ""))))</f>
        <v/>
      </c>
      <c r="AC1370" s="56" t="n"/>
      <c r="AD1370" s="51" t="n">
        <v>-3</v>
      </c>
      <c r="AE1370" s="156" t="n"/>
      <c r="AF1370" s="51" t="n">
        <v>0</v>
      </c>
      <c r="AG1370" s="156" t="inlineStr">
        <is>
          <t>Catálogo existente</t>
        </is>
      </c>
      <c r="AH1370"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0" s="156" t="inlineStr">
        <is>
          <t>Sí</t>
        </is>
      </c>
      <c r="AJ1370" s="156" t="inlineStr">
        <is>
          <t>STETSON AMERICAS (-3)</t>
        </is>
      </c>
      <c r="AK1370" s="155" t="inlineStr">
        <is>
          <t>Criterios: I [Q] | Criterios: J [R]; G1522_Extraccion_Articulos_NetSuite_2026-09-30.xlsx: fila 58085 [S] | Shopify Stetson: producto 14782318641515 / variante 52418978382187</t>
        </is>
      </c>
      <c r="AL1370" s="58" t="n">
        <v>310.3448276</v>
      </c>
      <c r="AM1370" s="58" t="n">
        <v>689.6551724</v>
      </c>
      <c r="AN1370" s="155" t="inlineStr">
        <is>
          <t>Shopify Stetson México</t>
        </is>
      </c>
      <c r="AO1370" s="59" t="n">
        <v>0</v>
      </c>
      <c r="AP1370" s="59" t="n"/>
      <c r="AQ1370" s="59" t="n"/>
      <c r="AR1370" s="155" t="n"/>
    </row>
    <row r="1371">
      <c r="A1371" s="50" t="inlineStr">
        <is>
          <t>7506552410241</t>
        </is>
      </c>
      <c r="B1371" s="51" t="inlineStr">
        <is>
          <t>110271</t>
        </is>
      </c>
      <c r="C1371" s="156" t="inlineStr">
        <is>
          <t>Multimarca</t>
        </is>
      </c>
      <c r="D1371" s="156" t="inlineStr">
        <is>
          <t>STS48</t>
        </is>
      </c>
      <c r="E1371" s="156" t="inlineStr">
        <is>
          <t>STS48</t>
        </is>
      </c>
      <c r="F1371" s="156" t="inlineStr">
        <is>
          <t>Talla única</t>
        </is>
      </c>
      <c r="G1371" s="156" t="inlineStr">
        <is>
          <t>One Size</t>
        </is>
      </c>
      <c r="H1371" s="156" t="inlineStr">
        <is>
          <t>Stetson</t>
        </is>
      </c>
      <c r="I1371" s="156" t="inlineStr">
        <is>
          <t>Gorra Stetson Trucker Verde Bull</t>
        </is>
      </c>
      <c r="J1371" s="156" t="inlineStr">
        <is>
          <t>Accesorios</t>
        </is>
      </c>
      <c r="K1371" s="156" t="inlineStr">
        <is>
          <t>Gorras</t>
        </is>
      </c>
      <c r="L1371" s="156" t="inlineStr">
        <is>
          <t>Hombre</t>
        </is>
      </c>
      <c r="M1371" s="156" t="inlineStr">
        <is>
          <t>Stetson</t>
        </is>
      </c>
      <c r="N1371" s="156" t="inlineStr">
        <is>
          <t>SS26</t>
        </is>
      </c>
      <c r="O1371" s="156" t="inlineStr">
        <is>
          <t>Seasonal</t>
        </is>
      </c>
      <c r="P1371" s="156" t="inlineStr">
        <is>
          <t>Verde</t>
        </is>
      </c>
      <c r="Q1371" s="156" t="n"/>
      <c r="R1371" s="156" t="n"/>
      <c r="S1371" s="156" t="inlineStr">
        <is>
          <t>50% Algod</t>
        </is>
      </c>
      <c r="T137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1" s="156" t="n"/>
      <c r="V1371" s="156" t="inlineStr">
        <is>
          <t>PZS</t>
        </is>
      </c>
      <c r="W1371" s="51" t="inlineStr">
        <is>
          <t>53102516</t>
        </is>
      </c>
      <c r="X1371" s="156" t="inlineStr">
        <is>
          <t>https://cdn.shopify.com/s/files/1/0888/3250/8267/files/STS48-01.jpg?v=1758735994</t>
        </is>
      </c>
      <c r="Y1371" s="54" t="n">
        <v>310.3448276</v>
      </c>
      <c r="Z1371" s="54" t="n">
        <v>689.6551724</v>
      </c>
      <c r="AA1371" s="55">
        <f>IF(AND(A1371="", B1371="", E1371=""), "", IF(AB1371="", "Válido", IF((LEN(AB1371)-LEN(SUBSTITUTE(AB1371,"; ","")))/2+1&gt;(LEN(AB1371)-LEN(SUBSTITUTE(AB1371,"[Aviso]","")))/7, "Con Incidencias", "Válido")))</f>
        <v/>
      </c>
      <c r="AB1371" s="56">
        <f>IF(AND(A1371="", B1371="", E1371=""), "", TEXTJOIN("; ", TRUE, IF(OR(TRIM(A1371&amp;"")="", ISNUMBER(SEARCH("FALTA", A1371))), "UPC faltante/inválido", ""), IF(AND(A1371&lt;&gt;"", IFERROR(_xlfn.XMATCH(A1371,$A$2:$A$2509,0,1)&lt;&gt;_xlfn.XMATCH(A1371,$A$2:$A$2509,0,-1),FALSE)), "Código de barras duplicado", ""), IF(AND(E1371&lt;&gt;"", COUNTIF($E$2:$E$2509, E1371)&gt;1), "SKU duplicado", ""), IF(OR(J1371="", J1371=""), "[Aviso] División no capturada ()", IF(ISNA(MATCH(J1371, Criterios!$A$123:$A$126, 0)), "División no válida", "")), IF(OR(K1371="", K1371=""), "[Aviso] Categoría no capturada ()", IF(ISNA(MATCH(K1371, Criterios!$A$81:$A$120, 0)), "Categoría no válida", IF(AND(J1371&lt;&gt;"", J1371&lt;&gt;"", J1371&lt;&gt;VLOOKUP(K1371, Criterios!$A$81:$B$120, 2, FALSE)), "División no coincide con Categoría", ""))), IF(OR(L1371="", L1371=""), "[Aviso] Género no capturado ()", IF(ISNA(MATCH(L1371, Criterios!$B$123:$B$127, 0)), "Género no válido", "")), IF(OR(N1371="", N1371=""), "[Aviso] Temporada no capturada ()", IF(ISNA(MATCH(N1371, Criterios!$C$123:$C$128, 0)), "Temporada no válida", "")), IF(OR(O1371="", O1371=""), "[Aviso] Ciclo de vida no capturado ()", IF(ISNA(MATCH(O1371, Criterios!$D$123:$D$124, 0)), "Ciclo de vida no válido", ""))))</f>
        <v/>
      </c>
      <c r="AC1371" s="56" t="n"/>
      <c r="AD1371" s="51" t="n">
        <v>-3</v>
      </c>
      <c r="AE1371" s="156" t="n"/>
      <c r="AF1371" s="51" t="n">
        <v>0</v>
      </c>
      <c r="AG1371" s="156" t="inlineStr">
        <is>
          <t>Catálogo existente</t>
        </is>
      </c>
      <c r="AH1371"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1" s="156" t="inlineStr">
        <is>
          <t>Sí</t>
        </is>
      </c>
      <c r="AJ1371" s="156" t="inlineStr">
        <is>
          <t>STETSON AMERICAS (-3)</t>
        </is>
      </c>
      <c r="AK1371" s="155" t="inlineStr">
        <is>
          <t>Criterios: I [Q] | Criterios: J [R]; G1522_Extraccion_Articulos_NetSuite_2026-09-30.xlsx: fila 58086 [S] | Shopify Stetson: producto 14782318707051 / variante 52418978513259</t>
        </is>
      </c>
      <c r="AL1371" s="58" t="n">
        <v>310.3448276</v>
      </c>
      <c r="AM1371" s="58" t="n">
        <v>689.6551724</v>
      </c>
      <c r="AN1371" s="155" t="inlineStr">
        <is>
          <t>Shopify Stetson México</t>
        </is>
      </c>
      <c r="AO1371" s="59" t="n">
        <v>0</v>
      </c>
      <c r="AP1371" s="59" t="n"/>
      <c r="AQ1371" s="59" t="n"/>
      <c r="AR1371" s="155" t="n"/>
    </row>
    <row r="1372">
      <c r="A1372" s="50" t="inlineStr">
        <is>
          <t>7506552410258</t>
        </is>
      </c>
      <c r="B1372" s="51" t="inlineStr">
        <is>
          <t>110272</t>
        </is>
      </c>
      <c r="C1372" s="156" t="inlineStr">
        <is>
          <t>Multimarca</t>
        </is>
      </c>
      <c r="D1372" s="156" t="inlineStr">
        <is>
          <t>STS49</t>
        </is>
      </c>
      <c r="E1372" s="156" t="inlineStr">
        <is>
          <t>STS49</t>
        </is>
      </c>
      <c r="F1372" s="156" t="inlineStr">
        <is>
          <t>Talla única</t>
        </is>
      </c>
      <c r="G1372" s="156" t="inlineStr">
        <is>
          <t>One Size</t>
        </is>
      </c>
      <c r="H1372" s="156" t="inlineStr">
        <is>
          <t>Stetson</t>
        </is>
      </c>
      <c r="I1372" s="156" t="inlineStr">
        <is>
          <t>Gorra Stetson Trucker Azul Bull</t>
        </is>
      </c>
      <c r="J1372" s="156" t="inlineStr">
        <is>
          <t>Accesorios</t>
        </is>
      </c>
      <c r="K1372" s="156" t="inlineStr">
        <is>
          <t>Gorras</t>
        </is>
      </c>
      <c r="L1372" s="156" t="inlineStr">
        <is>
          <t>Hombre</t>
        </is>
      </c>
      <c r="M1372" s="156" t="inlineStr">
        <is>
          <t>Stetson</t>
        </is>
      </c>
      <c r="N1372" s="156" t="inlineStr">
        <is>
          <t>SS26</t>
        </is>
      </c>
      <c r="O1372" s="156" t="inlineStr">
        <is>
          <t>Seasonal</t>
        </is>
      </c>
      <c r="P1372" s="156" t="inlineStr">
        <is>
          <t>Azul</t>
        </is>
      </c>
      <c r="Q1372" s="156" t="n"/>
      <c r="R1372" s="156" t="n"/>
      <c r="S1372" s="156" t="inlineStr">
        <is>
          <t>50% Algod</t>
        </is>
      </c>
      <c r="T1372"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2" s="156" t="n"/>
      <c r="V1372" s="156" t="inlineStr">
        <is>
          <t>PZS</t>
        </is>
      </c>
      <c r="W1372" s="51" t="inlineStr">
        <is>
          <t>53102516</t>
        </is>
      </c>
      <c r="X1372" s="156" t="inlineStr">
        <is>
          <t>https://cdn.shopify.com/s/files/1/0888/3250/8267/files/STS49-01.jpg?v=1758736517</t>
        </is>
      </c>
      <c r="Y1372" s="54" t="n">
        <v>310.3448276</v>
      </c>
      <c r="Z1372" s="54" t="n">
        <v>689.6551724</v>
      </c>
      <c r="AA1372" s="55">
        <f>IF(AND(A1372="", B1372="", E1372=""), "", IF(AB1372="", "Válido", IF((LEN(AB1372)-LEN(SUBSTITUTE(AB1372,"; ","")))/2+1&gt;(LEN(AB1372)-LEN(SUBSTITUTE(AB1372,"[Aviso]","")))/7, "Con Incidencias", "Válido")))</f>
        <v/>
      </c>
      <c r="AB1372" s="56">
        <f>IF(AND(A1372="", B1372="", E1372=""), "", TEXTJOIN("; ", TRUE, IF(OR(TRIM(A1372&amp;"")="", ISNUMBER(SEARCH("FALTA", A1372))), "UPC faltante/inválido", ""), IF(AND(A1372&lt;&gt;"", IFERROR(_xlfn.XMATCH(A1372,$A$2:$A$2509,0,1)&lt;&gt;_xlfn.XMATCH(A1372,$A$2:$A$2509,0,-1),FALSE)), "Código de barras duplicado", ""), IF(AND(E1372&lt;&gt;"", COUNTIF($E$2:$E$2509, E1372)&gt;1), "SKU duplicado", ""), IF(OR(J1372="", J1372=""), "[Aviso] División no capturada ()", IF(ISNA(MATCH(J1372, Criterios!$A$123:$A$126, 0)), "División no válida", "")), IF(OR(K1372="", K1372=""), "[Aviso] Categoría no capturada ()", IF(ISNA(MATCH(K1372, Criterios!$A$81:$A$120, 0)), "Categoría no válida", IF(AND(J1372&lt;&gt;"", J1372&lt;&gt;"", J1372&lt;&gt;VLOOKUP(K1372, Criterios!$A$81:$B$120, 2, FALSE)), "División no coincide con Categoría", ""))), IF(OR(L1372="", L1372=""), "[Aviso] Género no capturado ()", IF(ISNA(MATCH(L1372, Criterios!$B$123:$B$127, 0)), "Género no válido", "")), IF(OR(N1372="", N1372=""), "[Aviso] Temporada no capturada ()", IF(ISNA(MATCH(N1372, Criterios!$C$123:$C$128, 0)), "Temporada no válida", "")), IF(OR(O1372="", O1372=""), "[Aviso] Ciclo de vida no capturado ()", IF(ISNA(MATCH(O1372, Criterios!$D$123:$D$124, 0)), "Ciclo de vida no válido", ""))))</f>
        <v/>
      </c>
      <c r="AC1372" s="56" t="n"/>
      <c r="AD1372" s="51" t="n">
        <v>0</v>
      </c>
      <c r="AE1372" s="156" t="n"/>
      <c r="AF1372" s="51" t="n">
        <v>0</v>
      </c>
      <c r="AG1372" s="156" t="inlineStr">
        <is>
          <t>Catálogo existente</t>
        </is>
      </c>
      <c r="AH1372"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2" s="156" t="inlineStr">
        <is>
          <t>No</t>
        </is>
      </c>
      <c r="AJ1372" s="156" t="n"/>
      <c r="AK1372" s="155" t="inlineStr">
        <is>
          <t>Criterios: I [Q] | Criterios: J [R]; G1522_Extraccion_Articulos_NetSuite_2026-09-30.xlsx: fila 58087 [S] | Shopify Stetson: producto 14782319034731 / variante 52418980184427</t>
        </is>
      </c>
      <c r="AL1372" s="58" t="n">
        <v>310.3448276</v>
      </c>
      <c r="AM1372" s="58" t="n">
        <v>689.6551724</v>
      </c>
      <c r="AN1372" s="155" t="inlineStr">
        <is>
          <t>Shopify Stetson México</t>
        </is>
      </c>
      <c r="AO1372" s="59" t="n">
        <v>0</v>
      </c>
      <c r="AP1372" s="59" t="n"/>
      <c r="AQ1372" s="59" t="n"/>
      <c r="AR1372" s="155" t="n"/>
    </row>
    <row r="1373">
      <c r="A1373" s="50" t="inlineStr">
        <is>
          <t>7506552411781</t>
        </is>
      </c>
      <c r="B1373" s="51" t="inlineStr">
        <is>
          <t>110309</t>
        </is>
      </c>
      <c r="C1373" s="156" t="inlineStr">
        <is>
          <t>Multimarca</t>
        </is>
      </c>
      <c r="D1373" s="156" t="inlineStr">
        <is>
          <t>STTS12</t>
        </is>
      </c>
      <c r="E1373" s="156" t="inlineStr">
        <is>
          <t>STTS12-CH</t>
        </is>
      </c>
      <c r="F1373" s="156" t="inlineStr">
        <is>
          <t>S</t>
        </is>
      </c>
      <c r="G1373" s="156" t="inlineStr">
        <is>
          <t>S</t>
        </is>
      </c>
      <c r="H1373" s="156" t="inlineStr">
        <is>
          <t>Stetson</t>
        </is>
      </c>
      <c r="I1373" s="156" t="inlineStr">
        <is>
          <t>Playera Timeless Azul</t>
        </is>
      </c>
      <c r="J1373" s="156" t="inlineStr">
        <is>
          <t>Ropa</t>
        </is>
      </c>
      <c r="K1373" s="156" t="inlineStr">
        <is>
          <t>Playeras</t>
        </is>
      </c>
      <c r="L1373" s="156" t="inlineStr">
        <is>
          <t>Hombre</t>
        </is>
      </c>
      <c r="M1373" s="156" t="inlineStr">
        <is>
          <t>Stetson</t>
        </is>
      </c>
      <c r="N1373" s="156" t="inlineStr">
        <is>
          <t>SS26</t>
        </is>
      </c>
      <c r="O1373" s="156" t="inlineStr">
        <is>
          <t>Seasonal</t>
        </is>
      </c>
      <c r="P1373" s="156" t="inlineStr">
        <is>
          <t>Azul</t>
        </is>
      </c>
      <c r="Q1373" s="156" t="inlineStr">
        <is>
          <t>Regular</t>
        </is>
      </c>
      <c r="R1373" s="156" t="n"/>
      <c r="S1373" s="156" t="inlineStr">
        <is>
          <t>100% Algodón</t>
        </is>
      </c>
      <c r="T137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3" s="156" t="n"/>
      <c r="V1373" s="156" t="inlineStr">
        <is>
          <t>PZS</t>
        </is>
      </c>
      <c r="W1373" s="51" t="inlineStr">
        <is>
          <t>53103000</t>
        </is>
      </c>
      <c r="X1373" s="156" t="inlineStr">
        <is>
          <t>https://cdn.shopify.com/s/files/1/0888/3250/8267/files/STTS12-02.jpg?v=1759167201</t>
        </is>
      </c>
      <c r="Y1373" s="54" t="n">
        <v>252.1551724</v>
      </c>
      <c r="Z1373" s="54" t="n">
        <v>560.3448276</v>
      </c>
      <c r="AA1373" s="55">
        <f>IF(AND(A1373="", B1373="", E1373=""), "", IF(AB1373="", "Válido", IF((LEN(AB1373)-LEN(SUBSTITUTE(AB1373,"; ","")))/2+1&gt;(LEN(AB1373)-LEN(SUBSTITUTE(AB1373,"[Aviso]","")))/7, "Con Incidencias", "Válido")))</f>
        <v/>
      </c>
      <c r="AB1373" s="56">
        <f>IF(AND(A1373="", B1373="", E1373=""), "", TEXTJOIN("; ", TRUE, IF(OR(TRIM(A1373&amp;"")="", ISNUMBER(SEARCH("FALTA", A1373))), "UPC faltante/inválido", ""), IF(AND(A1373&lt;&gt;"", IFERROR(_xlfn.XMATCH(A1373,$A$2:$A$2509,0,1)&lt;&gt;_xlfn.XMATCH(A1373,$A$2:$A$2509,0,-1),FALSE)), "Código de barras duplicado", ""), IF(AND(E1373&lt;&gt;"", COUNTIF($E$2:$E$2509, E1373)&gt;1), "SKU duplicado", ""), IF(OR(J1373="", J1373=""), "[Aviso] División no capturada ()", IF(ISNA(MATCH(J1373, Criterios!$A$123:$A$126, 0)), "División no válida", "")), IF(OR(K1373="", K1373=""), "[Aviso] Categoría no capturada ()", IF(ISNA(MATCH(K1373, Criterios!$A$81:$A$120, 0)), "Categoría no válida", IF(AND(J1373&lt;&gt;"", J1373&lt;&gt;"", J1373&lt;&gt;VLOOKUP(K1373, Criterios!$A$81:$B$120, 2, FALSE)), "División no coincide con Categoría", ""))), IF(OR(L1373="", L1373=""), "[Aviso] Género no capturado ()", IF(ISNA(MATCH(L1373, Criterios!$B$123:$B$127, 0)), "Género no válido", "")), IF(OR(N1373="", N1373=""), "[Aviso] Temporada no capturada ()", IF(ISNA(MATCH(N1373, Criterios!$C$123:$C$128, 0)), "Temporada no válida", "")), IF(OR(O1373="", O1373=""), "[Aviso] Ciclo de vida no capturado ()", IF(ISNA(MATCH(O1373, Criterios!$D$123:$D$124, 0)), "Ciclo de vida no válido", ""))))</f>
        <v/>
      </c>
      <c r="AC1373" s="56" t="n"/>
      <c r="AD1373" s="51" t="n">
        <v>0</v>
      </c>
      <c r="AE1373" s="156" t="n"/>
      <c r="AF1373" s="51" t="n">
        <v>0</v>
      </c>
      <c r="AG1373" s="156" t="inlineStr">
        <is>
          <t>Catálogo existente</t>
        </is>
      </c>
      <c r="AH137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3" s="156" t="inlineStr">
        <is>
          <t>No</t>
        </is>
      </c>
      <c r="AJ1373" s="156" t="n"/>
      <c r="AK1373" s="155" t="inlineStr">
        <is>
          <t>Criterios: J [R]; G1522_Extraccion_Articulos_NetSuite_2026-09-30.xlsx: fila 58124 [S] | Shopify Stetson: producto 14783990366571 / variante 52426182918507</t>
        </is>
      </c>
      <c r="AL1373" s="58" t="n">
        <v>252.1551724</v>
      </c>
      <c r="AM1373" s="58" t="n">
        <v>560.3448276</v>
      </c>
      <c r="AN1373" s="155" t="inlineStr">
        <is>
          <t>Shopify Stetson México</t>
        </is>
      </c>
      <c r="AO1373" s="59" t="n">
        <v>0</v>
      </c>
      <c r="AP1373" s="59" t="n"/>
      <c r="AQ1373" s="59" t="n"/>
      <c r="AR1373" s="155" t="n"/>
    </row>
    <row r="1374">
      <c r="A1374" s="50" t="inlineStr">
        <is>
          <t>7506552411811</t>
        </is>
      </c>
      <c r="B1374" s="51" t="inlineStr">
        <is>
          <t>110305</t>
        </is>
      </c>
      <c r="C1374" s="156" t="inlineStr">
        <is>
          <t>Multimarca</t>
        </is>
      </c>
      <c r="D1374" s="156" t="inlineStr">
        <is>
          <t>STTS11</t>
        </is>
      </c>
      <c r="E1374" s="156" t="inlineStr">
        <is>
          <t>STTS11-CH</t>
        </is>
      </c>
      <c r="F1374" s="156" t="inlineStr">
        <is>
          <t>S</t>
        </is>
      </c>
      <c r="G1374" s="156" t="inlineStr">
        <is>
          <t>S</t>
        </is>
      </c>
      <c r="H1374" s="156" t="inlineStr">
        <is>
          <t>Stetson</t>
        </is>
      </c>
      <c r="I1374" s="156" t="inlineStr">
        <is>
          <t>Playera Castor Café</t>
        </is>
      </c>
      <c r="J1374" s="156" t="inlineStr">
        <is>
          <t>Ropa</t>
        </is>
      </c>
      <c r="K1374" s="156" t="inlineStr">
        <is>
          <t>Playeras</t>
        </is>
      </c>
      <c r="L1374" s="156" t="inlineStr">
        <is>
          <t>Hombre</t>
        </is>
      </c>
      <c r="M1374" s="156" t="inlineStr">
        <is>
          <t>Stetson</t>
        </is>
      </c>
      <c r="N1374" s="156" t="inlineStr">
        <is>
          <t>SS26</t>
        </is>
      </c>
      <c r="O1374" s="156" t="inlineStr">
        <is>
          <t>Seasonal</t>
        </is>
      </c>
      <c r="P1374" s="156" t="inlineStr">
        <is>
          <t>Cafe</t>
        </is>
      </c>
      <c r="Q1374" s="156" t="inlineStr">
        <is>
          <t>Regular</t>
        </is>
      </c>
      <c r="R1374" s="156" t="n"/>
      <c r="S1374" s="156" t="inlineStr">
        <is>
          <t>100% Algodón</t>
        </is>
      </c>
      <c r="T137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4" s="156" t="n"/>
      <c r="V1374" s="156" t="inlineStr">
        <is>
          <t>PZS</t>
        </is>
      </c>
      <c r="W1374" s="51" t="inlineStr">
        <is>
          <t>53103000</t>
        </is>
      </c>
      <c r="X1374" s="156" t="inlineStr">
        <is>
          <t>https://cdn.shopify.com/s/files/1/0888/3250/8267/files/STTS11-02.jpg?v=1759167220</t>
        </is>
      </c>
      <c r="Y1374" s="54" t="n">
        <v>252.1551724</v>
      </c>
      <c r="Z1374" s="54" t="n">
        <v>560.3448276</v>
      </c>
      <c r="AA1374" s="55">
        <f>IF(AND(A1374="", B1374="", E1374=""), "", IF(AB1374="", "Válido", IF((LEN(AB1374)-LEN(SUBSTITUTE(AB1374,"; ","")))/2+1&gt;(LEN(AB1374)-LEN(SUBSTITUTE(AB1374,"[Aviso]","")))/7, "Con Incidencias", "Válido")))</f>
        <v/>
      </c>
      <c r="AB1374" s="56">
        <f>IF(AND(A1374="", B1374="", E1374=""), "", TEXTJOIN("; ", TRUE, IF(OR(TRIM(A1374&amp;"")="", ISNUMBER(SEARCH("FALTA", A1374))), "UPC faltante/inválido", ""), IF(AND(A1374&lt;&gt;"", IFERROR(_xlfn.XMATCH(A1374,$A$2:$A$2509,0,1)&lt;&gt;_xlfn.XMATCH(A1374,$A$2:$A$2509,0,-1),FALSE)), "Código de barras duplicado", ""), IF(AND(E1374&lt;&gt;"", COUNTIF($E$2:$E$2509, E1374)&gt;1), "SKU duplicado", ""), IF(OR(J1374="", J1374=""), "[Aviso] División no capturada ()", IF(ISNA(MATCH(J1374, Criterios!$A$123:$A$126, 0)), "División no válida", "")), IF(OR(K1374="", K1374=""), "[Aviso] Categoría no capturada ()", IF(ISNA(MATCH(K1374, Criterios!$A$81:$A$120, 0)), "Categoría no válida", IF(AND(J1374&lt;&gt;"", J1374&lt;&gt;"", J1374&lt;&gt;VLOOKUP(K1374, Criterios!$A$81:$B$120, 2, FALSE)), "División no coincide con Categoría", ""))), IF(OR(L1374="", L1374=""), "[Aviso] Género no capturado ()", IF(ISNA(MATCH(L1374, Criterios!$B$123:$B$127, 0)), "Género no válido", "")), IF(OR(N1374="", N1374=""), "[Aviso] Temporada no capturada ()", IF(ISNA(MATCH(N1374, Criterios!$C$123:$C$128, 0)), "Temporada no válida", "")), IF(OR(O1374="", O1374=""), "[Aviso] Ciclo de vida no capturado ()", IF(ISNA(MATCH(O1374, Criterios!$D$123:$D$124, 0)), "Ciclo de vida no válido", ""))))</f>
        <v/>
      </c>
      <c r="AC1374" s="56" t="n"/>
      <c r="AD1374" s="51" t="n">
        <v>0</v>
      </c>
      <c r="AE1374" s="156" t="n"/>
      <c r="AF1374" s="51" t="n">
        <v>0</v>
      </c>
      <c r="AG1374" s="156" t="inlineStr">
        <is>
          <t>Catálogo existente</t>
        </is>
      </c>
      <c r="AH137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4" s="156" t="inlineStr">
        <is>
          <t>No</t>
        </is>
      </c>
      <c r="AJ1374" s="156" t="n"/>
      <c r="AK1374" s="155" t="inlineStr">
        <is>
          <t>Criterios: J [R]; G1522_Extraccion_Articulos_NetSuite_2026-09-30.xlsx: fila 58120 [S] | Shopify Stetson: producto 14783989743979 / variante 52426179445099</t>
        </is>
      </c>
      <c r="AL1374" s="58" t="n">
        <v>252.1551724</v>
      </c>
      <c r="AM1374" s="58" t="n">
        <v>560.3448276</v>
      </c>
      <c r="AN1374" s="155" t="inlineStr">
        <is>
          <t>Shopify Stetson México</t>
        </is>
      </c>
      <c r="AO1374" s="59" t="n">
        <v>0</v>
      </c>
      <c r="AP1374" s="59" t="n"/>
      <c r="AQ1374" s="59" t="n"/>
      <c r="AR1374" s="155" t="n"/>
    </row>
    <row r="1375">
      <c r="A1375" s="50" t="inlineStr">
        <is>
          <t>7506552411828</t>
        </is>
      </c>
      <c r="B1375" s="51" t="inlineStr">
        <is>
          <t>110301</t>
        </is>
      </c>
      <c r="C1375" s="156" t="inlineStr">
        <is>
          <t>Multimarca</t>
        </is>
      </c>
      <c r="D1375" s="156" t="inlineStr">
        <is>
          <t>STTS10</t>
        </is>
      </c>
      <c r="E1375" s="156" t="inlineStr">
        <is>
          <t>STTS10-CH</t>
        </is>
      </c>
      <c r="F1375" s="156" t="inlineStr">
        <is>
          <t>S</t>
        </is>
      </c>
      <c r="G1375" s="156" t="inlineStr">
        <is>
          <t>S</t>
        </is>
      </c>
      <c r="H1375" s="156" t="inlineStr">
        <is>
          <t>Stetson</t>
        </is>
      </c>
      <c r="I1375" s="156" t="inlineStr">
        <is>
          <t>Playera Bisonte Azul</t>
        </is>
      </c>
      <c r="J1375" s="156" t="inlineStr">
        <is>
          <t>Ropa</t>
        </is>
      </c>
      <c r="K1375" s="156" t="inlineStr">
        <is>
          <t>Playeras</t>
        </is>
      </c>
      <c r="L1375" s="156" t="inlineStr">
        <is>
          <t>Hombre</t>
        </is>
      </c>
      <c r="M1375" s="156" t="inlineStr">
        <is>
          <t>Stetson</t>
        </is>
      </c>
      <c r="N1375" s="156" t="inlineStr">
        <is>
          <t>SS26</t>
        </is>
      </c>
      <c r="O1375" s="156" t="inlineStr">
        <is>
          <t>Seasonal</t>
        </is>
      </c>
      <c r="P1375" s="156" t="inlineStr">
        <is>
          <t>Azul</t>
        </is>
      </c>
      <c r="Q1375" s="156" t="inlineStr">
        <is>
          <t>Regular</t>
        </is>
      </c>
      <c r="R1375" s="156" t="n"/>
      <c r="S1375" s="156" t="inlineStr">
        <is>
          <t>100% Algodón</t>
        </is>
      </c>
      <c r="T137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5" s="156" t="n"/>
      <c r="V1375" s="156" t="inlineStr">
        <is>
          <t>PZS</t>
        </is>
      </c>
      <c r="W1375" s="51" t="inlineStr">
        <is>
          <t>53103000</t>
        </is>
      </c>
      <c r="X1375" s="156" t="inlineStr">
        <is>
          <t>https://cdn.shopify.com/s/files/1/0888/3250/8267/files/STTS10-02.jpg?v=1759167216</t>
        </is>
      </c>
      <c r="Y1375" s="54" t="n">
        <v>252.1551724</v>
      </c>
      <c r="Z1375" s="54" t="n">
        <v>560.3448276</v>
      </c>
      <c r="AA1375" s="55">
        <f>IF(AND(A1375="", B1375="", E1375=""), "", IF(AB1375="", "Válido", IF((LEN(AB1375)-LEN(SUBSTITUTE(AB1375,"; ","")))/2+1&gt;(LEN(AB1375)-LEN(SUBSTITUTE(AB1375,"[Aviso]","")))/7, "Con Incidencias", "Válido")))</f>
        <v/>
      </c>
      <c r="AB1375" s="56">
        <f>IF(AND(A1375="", B1375="", E1375=""), "", TEXTJOIN("; ", TRUE, IF(OR(TRIM(A1375&amp;"")="", ISNUMBER(SEARCH("FALTA", A1375))), "UPC faltante/inválido", ""), IF(AND(A1375&lt;&gt;"", IFERROR(_xlfn.XMATCH(A1375,$A$2:$A$2509,0,1)&lt;&gt;_xlfn.XMATCH(A1375,$A$2:$A$2509,0,-1),FALSE)), "Código de barras duplicado", ""), IF(AND(E1375&lt;&gt;"", COUNTIF($E$2:$E$2509, E1375)&gt;1), "SKU duplicado", ""), IF(OR(J1375="", J1375=""), "[Aviso] División no capturada ()", IF(ISNA(MATCH(J1375, Criterios!$A$123:$A$126, 0)), "División no válida", "")), IF(OR(K1375="", K1375=""), "[Aviso] Categoría no capturada ()", IF(ISNA(MATCH(K1375, Criterios!$A$81:$A$120, 0)), "Categoría no válida", IF(AND(J1375&lt;&gt;"", J1375&lt;&gt;"", J1375&lt;&gt;VLOOKUP(K1375, Criterios!$A$81:$B$120, 2, FALSE)), "División no coincide con Categoría", ""))), IF(OR(L1375="", L1375=""), "[Aviso] Género no capturado ()", IF(ISNA(MATCH(L1375, Criterios!$B$123:$B$127, 0)), "Género no válido", "")), IF(OR(N1375="", N1375=""), "[Aviso] Temporada no capturada ()", IF(ISNA(MATCH(N1375, Criterios!$C$123:$C$128, 0)), "Temporada no válida", "")), IF(OR(O1375="", O1375=""), "[Aviso] Ciclo de vida no capturado ()", IF(ISNA(MATCH(O1375, Criterios!$D$123:$D$124, 0)), "Ciclo de vida no válido", ""))))</f>
        <v/>
      </c>
      <c r="AC1375" s="56" t="n"/>
      <c r="AD1375" s="51" t="n">
        <v>0</v>
      </c>
      <c r="AE1375" s="156" t="n"/>
      <c r="AF1375" s="51" t="n">
        <v>0</v>
      </c>
      <c r="AG1375" s="156" t="inlineStr">
        <is>
          <t>Catálogo existente</t>
        </is>
      </c>
      <c r="AH13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5" s="156" t="inlineStr">
        <is>
          <t>No</t>
        </is>
      </c>
      <c r="AJ1375" s="156" t="n"/>
      <c r="AK1375" s="155" t="inlineStr">
        <is>
          <t>Criterios: J [R]; G1522_Extraccion_Articulos_NetSuite_2026-09-30.xlsx: fila 58116 [S] | Shopify Stetson: producto 14783989481835 / variante 53350613844331</t>
        </is>
      </c>
      <c r="AL1375" s="58" t="n">
        <v>252.1551724</v>
      </c>
      <c r="AM1375" s="58" t="n">
        <v>560.3448276</v>
      </c>
      <c r="AN1375" s="155" t="inlineStr">
        <is>
          <t>Shopify Stetson México</t>
        </is>
      </c>
      <c r="AO1375" s="59" t="n">
        <v>0</v>
      </c>
      <c r="AP1375" s="59" t="n"/>
      <c r="AQ1375" s="59" t="n"/>
      <c r="AR1375" s="155" t="n"/>
    </row>
    <row r="1376">
      <c r="A1376" s="50" t="inlineStr">
        <is>
          <t>7506552411835</t>
        </is>
      </c>
      <c r="B1376" s="51" t="inlineStr">
        <is>
          <t>110293</t>
        </is>
      </c>
      <c r="C1376" s="156" t="inlineStr">
        <is>
          <t>Multimarca</t>
        </is>
      </c>
      <c r="D1376" s="156" t="inlineStr">
        <is>
          <t>STTS08</t>
        </is>
      </c>
      <c r="E1376" s="156" t="inlineStr">
        <is>
          <t>STTS08-CH</t>
        </is>
      </c>
      <c r="F1376" s="156" t="inlineStr">
        <is>
          <t>S</t>
        </is>
      </c>
      <c r="G1376" s="156" t="inlineStr">
        <is>
          <t>S</t>
        </is>
      </c>
      <c r="H1376" s="156" t="inlineStr">
        <is>
          <t>Stetson</t>
        </is>
      </c>
      <c r="I1376" s="156" t="inlineStr">
        <is>
          <t>Playera Old Truck Vison</t>
        </is>
      </c>
      <c r="J1376" s="156" t="inlineStr">
        <is>
          <t>Ropa</t>
        </is>
      </c>
      <c r="K1376" s="156" t="inlineStr">
        <is>
          <t>Playeras</t>
        </is>
      </c>
      <c r="L1376" s="156" t="inlineStr">
        <is>
          <t>Hombre</t>
        </is>
      </c>
      <c r="M1376" s="156" t="inlineStr">
        <is>
          <t>Stetson</t>
        </is>
      </c>
      <c r="N1376" s="156" t="inlineStr">
        <is>
          <t>SS26</t>
        </is>
      </c>
      <c r="O1376" s="156" t="inlineStr">
        <is>
          <t>Seasonal</t>
        </is>
      </c>
      <c r="P1376" s="156" t="inlineStr">
        <is>
          <t>Cafe</t>
        </is>
      </c>
      <c r="Q1376" s="156" t="inlineStr">
        <is>
          <t>Regular</t>
        </is>
      </c>
      <c r="R1376" s="156" t="n"/>
      <c r="S1376" s="156" t="inlineStr">
        <is>
          <t>100% Algodón</t>
        </is>
      </c>
      <c r="T137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6" s="156" t="n"/>
      <c r="V1376" s="156" t="inlineStr">
        <is>
          <t>PZS</t>
        </is>
      </c>
      <c r="W1376" s="51" t="inlineStr">
        <is>
          <t>53103000</t>
        </is>
      </c>
      <c r="X1376" s="156" t="inlineStr">
        <is>
          <t>https://cdn.shopify.com/s/files/1/0888/3250/8267/files/STTS08-02.jpg?v=1759167209</t>
        </is>
      </c>
      <c r="Y1376" s="54" t="n">
        <v>252.1551724</v>
      </c>
      <c r="Z1376" s="54" t="n">
        <v>560.3448276</v>
      </c>
      <c r="AA1376" s="55">
        <f>IF(AND(A1376="", B1376="", E1376=""), "", IF(AB1376="", "Válido", IF((LEN(AB1376)-LEN(SUBSTITUTE(AB1376,"; ","")))/2+1&gt;(LEN(AB1376)-LEN(SUBSTITUTE(AB1376,"[Aviso]","")))/7, "Con Incidencias", "Válido")))</f>
        <v/>
      </c>
      <c r="AB1376" s="56">
        <f>IF(AND(A1376="", B1376="", E1376=""), "", TEXTJOIN("; ", TRUE, IF(OR(TRIM(A1376&amp;"")="", ISNUMBER(SEARCH("FALTA", A1376))), "UPC faltante/inválido", ""), IF(AND(A1376&lt;&gt;"", IFERROR(_xlfn.XMATCH(A1376,$A$2:$A$2509,0,1)&lt;&gt;_xlfn.XMATCH(A1376,$A$2:$A$2509,0,-1),FALSE)), "Código de barras duplicado", ""), IF(AND(E1376&lt;&gt;"", COUNTIF($E$2:$E$2509, E1376)&gt;1), "SKU duplicado", ""), IF(OR(J1376="", J1376=""), "[Aviso] División no capturada ()", IF(ISNA(MATCH(J1376, Criterios!$A$123:$A$126, 0)), "División no válida", "")), IF(OR(K1376="", K1376=""), "[Aviso] Categoría no capturada ()", IF(ISNA(MATCH(K1376, Criterios!$A$81:$A$120, 0)), "Categoría no válida", IF(AND(J1376&lt;&gt;"", J1376&lt;&gt;"", J1376&lt;&gt;VLOOKUP(K1376, Criterios!$A$81:$B$120, 2, FALSE)), "División no coincide con Categoría", ""))), IF(OR(L1376="", L1376=""), "[Aviso] Género no capturado ()", IF(ISNA(MATCH(L1376, Criterios!$B$123:$B$127, 0)), "Género no válido", "")), IF(OR(N1376="", N1376=""), "[Aviso] Temporada no capturada ()", IF(ISNA(MATCH(N1376, Criterios!$C$123:$C$128, 0)), "Temporada no válida", "")), IF(OR(O1376="", O1376=""), "[Aviso] Ciclo de vida no capturado ()", IF(ISNA(MATCH(O1376, Criterios!$D$123:$D$124, 0)), "Ciclo de vida no válido", ""))))</f>
        <v/>
      </c>
      <c r="AC1376" s="56" t="n"/>
      <c r="AD1376" s="51" t="n">
        <v>0</v>
      </c>
      <c r="AE1376" s="156" t="n"/>
      <c r="AF1376" s="51" t="n">
        <v>0</v>
      </c>
      <c r="AG1376" s="156" t="inlineStr">
        <is>
          <t>Catálogo existente</t>
        </is>
      </c>
      <c r="AH137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6" s="156" t="inlineStr">
        <is>
          <t>No</t>
        </is>
      </c>
      <c r="AJ1376" s="156" t="n"/>
      <c r="AK1376" s="155" t="inlineStr">
        <is>
          <t>Criterios: J [R]; G1522_Extraccion_Articulos_NetSuite_2026-09-30.xlsx: fila 58108 [S] | Shopify Stetson: producto 14783987646827 / variante 52426156671339</t>
        </is>
      </c>
      <c r="AL1376" s="58" t="n">
        <v>252.1551724</v>
      </c>
      <c r="AM1376" s="58" t="n">
        <v>560.3448276</v>
      </c>
      <c r="AN1376" s="155" t="inlineStr">
        <is>
          <t>Shopify Stetson México</t>
        </is>
      </c>
      <c r="AO1376" s="59" t="n">
        <v>0</v>
      </c>
      <c r="AP1376" s="59" t="n"/>
      <c r="AQ1376" s="59" t="n"/>
      <c r="AR1376" s="155" t="n"/>
    </row>
    <row r="1377">
      <c r="A1377" s="50" t="inlineStr">
        <is>
          <t>7506552411842</t>
        </is>
      </c>
      <c r="B1377" s="51" t="inlineStr">
        <is>
          <t>110310</t>
        </is>
      </c>
      <c r="C1377" s="156" t="inlineStr">
        <is>
          <t>Multimarca</t>
        </is>
      </c>
      <c r="D1377" s="156" t="inlineStr">
        <is>
          <t>STTS12</t>
        </is>
      </c>
      <c r="E1377" s="156" t="inlineStr">
        <is>
          <t>STTS12-M</t>
        </is>
      </c>
      <c r="F1377" s="156" t="inlineStr">
        <is>
          <t>M</t>
        </is>
      </c>
      <c r="G1377" s="156" t="inlineStr">
        <is>
          <t>M</t>
        </is>
      </c>
      <c r="H1377" s="156" t="inlineStr">
        <is>
          <t>Stetson</t>
        </is>
      </c>
      <c r="I1377" s="156" t="inlineStr">
        <is>
          <t>Playera Timeless Azul</t>
        </is>
      </c>
      <c r="J1377" s="156" t="inlineStr">
        <is>
          <t>Ropa</t>
        </is>
      </c>
      <c r="K1377" s="156" t="inlineStr">
        <is>
          <t>Playeras</t>
        </is>
      </c>
      <c r="L1377" s="156" t="inlineStr">
        <is>
          <t>Hombre</t>
        </is>
      </c>
      <c r="M1377" s="156" t="inlineStr">
        <is>
          <t>Stetson</t>
        </is>
      </c>
      <c r="N1377" s="156" t="inlineStr">
        <is>
          <t>SS26</t>
        </is>
      </c>
      <c r="O1377" s="156" t="inlineStr">
        <is>
          <t>Seasonal</t>
        </is>
      </c>
      <c r="P1377" s="156" t="inlineStr">
        <is>
          <t>Azul</t>
        </is>
      </c>
      <c r="Q1377" s="156" t="inlineStr">
        <is>
          <t>Regular</t>
        </is>
      </c>
      <c r="R1377" s="156" t="n"/>
      <c r="S1377" s="156" t="inlineStr">
        <is>
          <t>100% Algodón</t>
        </is>
      </c>
      <c r="T137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7" s="156" t="n"/>
      <c r="V1377" s="156" t="inlineStr">
        <is>
          <t>PZS</t>
        </is>
      </c>
      <c r="W1377" s="51" t="inlineStr">
        <is>
          <t>53103000</t>
        </is>
      </c>
      <c r="X1377" s="156" t="inlineStr">
        <is>
          <t>https://cdn.shopify.com/s/files/1/0888/3250/8267/files/STTS12-01.jpg?v=1759167201</t>
        </is>
      </c>
      <c r="Y1377" s="54" t="n">
        <v>252.1551724</v>
      </c>
      <c r="Z1377" s="54" t="n">
        <v>560.3448276</v>
      </c>
      <c r="AA1377" s="55">
        <f>IF(AND(A1377="", B1377="", E1377=""), "", IF(AB1377="", "Válido", IF((LEN(AB1377)-LEN(SUBSTITUTE(AB1377,"; ","")))/2+1&gt;(LEN(AB1377)-LEN(SUBSTITUTE(AB1377,"[Aviso]","")))/7, "Con Incidencias", "Válido")))</f>
        <v/>
      </c>
      <c r="AB1377" s="56">
        <f>IF(AND(A1377="", B1377="", E1377=""), "", TEXTJOIN("; ", TRUE, IF(OR(TRIM(A1377&amp;"")="", ISNUMBER(SEARCH("FALTA", A1377))), "UPC faltante/inválido", ""), IF(AND(A1377&lt;&gt;"", IFERROR(_xlfn.XMATCH(A1377,$A$2:$A$2509,0,1)&lt;&gt;_xlfn.XMATCH(A1377,$A$2:$A$2509,0,-1),FALSE)), "Código de barras duplicado", ""), IF(AND(E1377&lt;&gt;"", COUNTIF($E$2:$E$2509, E1377)&gt;1), "SKU duplicado", ""), IF(OR(J1377="", J1377=""), "[Aviso] División no capturada ()", IF(ISNA(MATCH(J1377, Criterios!$A$123:$A$126, 0)), "División no válida", "")), IF(OR(K1377="", K1377=""), "[Aviso] Categoría no capturada ()", IF(ISNA(MATCH(K1377, Criterios!$A$81:$A$120, 0)), "Categoría no válida", IF(AND(J1377&lt;&gt;"", J1377&lt;&gt;"", J1377&lt;&gt;VLOOKUP(K1377, Criterios!$A$81:$B$120, 2, FALSE)), "División no coincide con Categoría", ""))), IF(OR(L1377="", L1377=""), "[Aviso] Género no capturado ()", IF(ISNA(MATCH(L1377, Criterios!$B$123:$B$127, 0)), "Género no válido", "")), IF(OR(N1377="", N1377=""), "[Aviso] Temporada no capturada ()", IF(ISNA(MATCH(N1377, Criterios!$C$123:$C$128, 0)), "Temporada no válida", "")), IF(OR(O1377="", O1377=""), "[Aviso] Ciclo de vida no capturado ()", IF(ISNA(MATCH(O1377, Criterios!$D$123:$D$124, 0)), "Ciclo de vida no válido", ""))))</f>
        <v/>
      </c>
      <c r="AC1377" s="56" t="n"/>
      <c r="AD1377" s="51" t="n">
        <v>0</v>
      </c>
      <c r="AE1377" s="156" t="n"/>
      <c r="AF1377" s="51" t="n">
        <v>0</v>
      </c>
      <c r="AG1377" s="156" t="inlineStr">
        <is>
          <t>Catálogo existente</t>
        </is>
      </c>
      <c r="AH1377"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7" s="156" t="inlineStr">
        <is>
          <t>No</t>
        </is>
      </c>
      <c r="AJ1377" s="156" t="n"/>
      <c r="AK1377" s="155" t="inlineStr">
        <is>
          <t>Criterios: J [R]; G1522_Extraccion_Articulos_NetSuite_2026-09-30.xlsx: fila 58125 [S] | Shopify Stetson: producto 14783990366571 / variante 52426182951275</t>
        </is>
      </c>
      <c r="AL1377" s="58" t="n">
        <v>252.1551724</v>
      </c>
      <c r="AM1377" s="58" t="n">
        <v>560.3448276</v>
      </c>
      <c r="AN1377" s="155" t="inlineStr">
        <is>
          <t>Shopify Stetson México</t>
        </is>
      </c>
      <c r="AO1377" s="59" t="n">
        <v>0</v>
      </c>
      <c r="AP1377" s="59" t="n"/>
      <c r="AQ1377" s="59" t="n"/>
      <c r="AR1377" s="155" t="n"/>
    </row>
    <row r="1378">
      <c r="A1378" s="50" t="inlineStr">
        <is>
          <t>7506552411859</t>
        </is>
      </c>
      <c r="B1378" s="51" t="inlineStr">
        <is>
          <t>110311</t>
        </is>
      </c>
      <c r="C1378" s="156" t="inlineStr">
        <is>
          <t>Multimarca</t>
        </is>
      </c>
      <c r="D1378" s="156" t="inlineStr">
        <is>
          <t>STTS12</t>
        </is>
      </c>
      <c r="E1378" s="156" t="inlineStr">
        <is>
          <t>STTS12-G</t>
        </is>
      </c>
      <c r="F1378" s="156" t="inlineStr">
        <is>
          <t>L</t>
        </is>
      </c>
      <c r="G1378" s="156" t="inlineStr">
        <is>
          <t>L</t>
        </is>
      </c>
      <c r="H1378" s="156" t="inlineStr">
        <is>
          <t>Stetson</t>
        </is>
      </c>
      <c r="I1378" s="156" t="inlineStr">
        <is>
          <t>Playera Timeless Azul</t>
        </is>
      </c>
      <c r="J1378" s="156" t="inlineStr">
        <is>
          <t>Ropa</t>
        </is>
      </c>
      <c r="K1378" s="156" t="inlineStr">
        <is>
          <t>Playeras</t>
        </is>
      </c>
      <c r="L1378" s="156" t="inlineStr">
        <is>
          <t>Hombre</t>
        </is>
      </c>
      <c r="M1378" s="156" t="inlineStr">
        <is>
          <t>Stetson</t>
        </is>
      </c>
      <c r="N1378" s="156" t="inlineStr">
        <is>
          <t>SS26</t>
        </is>
      </c>
      <c r="O1378" s="156" t="inlineStr">
        <is>
          <t>Seasonal</t>
        </is>
      </c>
      <c r="P1378" s="156" t="inlineStr">
        <is>
          <t>Azul</t>
        </is>
      </c>
      <c r="Q1378" s="156" t="inlineStr">
        <is>
          <t>Regular</t>
        </is>
      </c>
      <c r="R1378" s="156" t="n"/>
      <c r="S1378" s="156" t="inlineStr">
        <is>
          <t>100% Algodón</t>
        </is>
      </c>
      <c r="T137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8" s="156" t="n"/>
      <c r="V1378" s="156" t="inlineStr">
        <is>
          <t>PZS</t>
        </is>
      </c>
      <c r="W1378" s="51" t="inlineStr">
        <is>
          <t>53103000</t>
        </is>
      </c>
      <c r="X1378" s="156" t="inlineStr">
        <is>
          <t>https://cdn.shopify.com/s/files/1/0888/3250/8267/files/STTS12-03.jpg?v=1759161900</t>
        </is>
      </c>
      <c r="Y1378" s="54" t="n">
        <v>252.1551724</v>
      </c>
      <c r="Z1378" s="54" t="n">
        <v>560.3448276</v>
      </c>
      <c r="AA1378" s="55">
        <f>IF(AND(A1378="", B1378="", E1378=""), "", IF(AB1378="", "Válido", IF((LEN(AB1378)-LEN(SUBSTITUTE(AB1378,"; ","")))/2+1&gt;(LEN(AB1378)-LEN(SUBSTITUTE(AB1378,"[Aviso]","")))/7, "Con Incidencias", "Válido")))</f>
        <v/>
      </c>
      <c r="AB1378" s="56">
        <f>IF(AND(A1378="", B1378="", E1378=""), "", TEXTJOIN("; ", TRUE, IF(OR(TRIM(A1378&amp;"")="", ISNUMBER(SEARCH("FALTA", A1378))), "UPC faltante/inválido", ""), IF(AND(A1378&lt;&gt;"", IFERROR(_xlfn.XMATCH(A1378,$A$2:$A$2509,0,1)&lt;&gt;_xlfn.XMATCH(A1378,$A$2:$A$2509,0,-1),FALSE)), "Código de barras duplicado", ""), IF(AND(E1378&lt;&gt;"", COUNTIF($E$2:$E$2509, E1378)&gt;1), "SKU duplicado", ""), IF(OR(J1378="", J1378=""), "[Aviso] División no capturada ()", IF(ISNA(MATCH(J1378, Criterios!$A$123:$A$126, 0)), "División no válida", "")), IF(OR(K1378="", K1378=""), "[Aviso] Categoría no capturada ()", IF(ISNA(MATCH(K1378, Criterios!$A$81:$A$120, 0)), "Categoría no válida", IF(AND(J1378&lt;&gt;"", J1378&lt;&gt;"", J1378&lt;&gt;VLOOKUP(K1378, Criterios!$A$81:$B$120, 2, FALSE)), "División no coincide con Categoría", ""))), IF(OR(L1378="", L1378=""), "[Aviso] Género no capturado ()", IF(ISNA(MATCH(L1378, Criterios!$B$123:$B$127, 0)), "Género no válido", "")), IF(OR(N1378="", N1378=""), "[Aviso] Temporada no capturada ()", IF(ISNA(MATCH(N1378, Criterios!$C$123:$C$128, 0)), "Temporada no válida", "")), IF(OR(O1378="", O1378=""), "[Aviso] Ciclo de vida no capturado ()", IF(ISNA(MATCH(O1378, Criterios!$D$123:$D$124, 0)), "Ciclo de vida no válido", ""))))</f>
        <v/>
      </c>
      <c r="AC1378" s="56" t="n"/>
      <c r="AD1378" s="51" t="n">
        <v>0</v>
      </c>
      <c r="AE1378" s="156" t="n"/>
      <c r="AF1378" s="51" t="n">
        <v>0</v>
      </c>
      <c r="AG1378" s="156" t="inlineStr">
        <is>
          <t>Catálogo existente</t>
        </is>
      </c>
      <c r="AH137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8" s="156" t="inlineStr">
        <is>
          <t>No</t>
        </is>
      </c>
      <c r="AJ1378" s="156" t="n"/>
      <c r="AK1378" s="155" t="inlineStr">
        <is>
          <t>Criterios: J [R]; G1522_Extraccion_Articulos_NetSuite_2026-09-30.xlsx: fila 58126 [S] | Shopify Stetson: producto 14783990366571 / variante 52426182984043</t>
        </is>
      </c>
      <c r="AL1378" s="58" t="n">
        <v>252.1551724</v>
      </c>
      <c r="AM1378" s="58" t="n">
        <v>560.3448276</v>
      </c>
      <c r="AN1378" s="155" t="inlineStr">
        <is>
          <t>Shopify Stetson México</t>
        </is>
      </c>
      <c r="AO1378" s="59" t="n">
        <v>0</v>
      </c>
      <c r="AP1378" s="59" t="n"/>
      <c r="AQ1378" s="59" t="n"/>
      <c r="AR1378" s="155" t="n"/>
    </row>
    <row r="1379">
      <c r="A1379" s="50" t="inlineStr">
        <is>
          <t>7506552411866</t>
        </is>
      </c>
      <c r="B1379" s="51" t="inlineStr">
        <is>
          <t>110312</t>
        </is>
      </c>
      <c r="C1379" s="156" t="inlineStr">
        <is>
          <t>Multimarca</t>
        </is>
      </c>
      <c r="D1379" s="156" t="inlineStr">
        <is>
          <t>STTS12</t>
        </is>
      </c>
      <c r="E1379" s="156" t="inlineStr">
        <is>
          <t>STTS12-XG</t>
        </is>
      </c>
      <c r="F1379" s="156" t="inlineStr">
        <is>
          <t>XL</t>
        </is>
      </c>
      <c r="G1379" s="156" t="inlineStr">
        <is>
          <t>XL</t>
        </is>
      </c>
      <c r="H1379" s="156" t="inlineStr">
        <is>
          <t>Stetson</t>
        </is>
      </c>
      <c r="I1379" s="156" t="inlineStr">
        <is>
          <t>Playera Timeless Azul</t>
        </is>
      </c>
      <c r="J1379" s="156" t="inlineStr">
        <is>
          <t>Ropa</t>
        </is>
      </c>
      <c r="K1379" s="156" t="inlineStr">
        <is>
          <t>Playeras</t>
        </is>
      </c>
      <c r="L1379" s="156" t="inlineStr">
        <is>
          <t>Hombre</t>
        </is>
      </c>
      <c r="M1379" s="156" t="inlineStr">
        <is>
          <t>Stetson</t>
        </is>
      </c>
      <c r="N1379" s="156" t="inlineStr">
        <is>
          <t>SS26</t>
        </is>
      </c>
      <c r="O1379" s="156" t="inlineStr">
        <is>
          <t>Seasonal</t>
        </is>
      </c>
      <c r="P1379" s="156" t="inlineStr">
        <is>
          <t>Azul</t>
        </is>
      </c>
      <c r="Q1379" s="156" t="inlineStr">
        <is>
          <t>Regular</t>
        </is>
      </c>
      <c r="R1379" s="156" t="n"/>
      <c r="S1379" s="156" t="inlineStr">
        <is>
          <t>100% Algodón</t>
        </is>
      </c>
      <c r="T1379"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9" s="156" t="n"/>
      <c r="V1379" s="156" t="inlineStr">
        <is>
          <t>PZS</t>
        </is>
      </c>
      <c r="W1379" s="51" t="inlineStr">
        <is>
          <t>53103000</t>
        </is>
      </c>
      <c r="X1379" s="156" t="inlineStr">
        <is>
          <t>https://cdn.shopify.com/s/files/1/0888/3250/8267/files/STTS12-02.jpg?v=1759167201</t>
        </is>
      </c>
      <c r="Y1379" s="54" t="n">
        <v>252.1551724</v>
      </c>
      <c r="Z1379" s="54" t="n">
        <v>560.3448276</v>
      </c>
      <c r="AA1379" s="55">
        <f>IF(AND(A1379="", B1379="", E1379=""), "", IF(AB1379="", "Válido", IF((LEN(AB1379)-LEN(SUBSTITUTE(AB1379,"; ","")))/2+1&gt;(LEN(AB1379)-LEN(SUBSTITUTE(AB1379,"[Aviso]","")))/7, "Con Incidencias", "Válido")))</f>
        <v/>
      </c>
      <c r="AB1379" s="56">
        <f>IF(AND(A1379="", B1379="", E1379=""), "", TEXTJOIN("; ", TRUE, IF(OR(TRIM(A1379&amp;"")="", ISNUMBER(SEARCH("FALTA", A1379))), "UPC faltante/inválido", ""), IF(AND(A1379&lt;&gt;"", IFERROR(_xlfn.XMATCH(A1379,$A$2:$A$2509,0,1)&lt;&gt;_xlfn.XMATCH(A1379,$A$2:$A$2509,0,-1),FALSE)), "Código de barras duplicado", ""), IF(AND(E1379&lt;&gt;"", COUNTIF($E$2:$E$2509, E1379)&gt;1), "SKU duplicado", ""), IF(OR(J1379="", J1379=""), "[Aviso] División no capturada ()", IF(ISNA(MATCH(J1379, Criterios!$A$123:$A$126, 0)), "División no válida", "")), IF(OR(K1379="", K1379=""), "[Aviso] Categoría no capturada ()", IF(ISNA(MATCH(K1379, Criterios!$A$81:$A$120, 0)), "Categoría no válida", IF(AND(J1379&lt;&gt;"", J1379&lt;&gt;"", J1379&lt;&gt;VLOOKUP(K1379, Criterios!$A$81:$B$120, 2, FALSE)), "División no coincide con Categoría", ""))), IF(OR(L1379="", L1379=""), "[Aviso] Género no capturado ()", IF(ISNA(MATCH(L1379, Criterios!$B$123:$B$127, 0)), "Género no válido", "")), IF(OR(N1379="", N1379=""), "[Aviso] Temporada no capturada ()", IF(ISNA(MATCH(N1379, Criterios!$C$123:$C$128, 0)), "Temporada no válida", "")), IF(OR(O1379="", O1379=""), "[Aviso] Ciclo de vida no capturado ()", IF(ISNA(MATCH(O1379, Criterios!$D$123:$D$124, 0)), "Ciclo de vida no válido", ""))))</f>
        <v/>
      </c>
      <c r="AC1379" s="56" t="n"/>
      <c r="AD1379" s="51" t="n">
        <v>0</v>
      </c>
      <c r="AE1379" s="156" t="n"/>
      <c r="AF1379" s="51" t="n">
        <v>0</v>
      </c>
      <c r="AG1379" s="156" t="inlineStr">
        <is>
          <t>Catálogo existente</t>
        </is>
      </c>
      <c r="AH137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79" s="156" t="inlineStr">
        <is>
          <t>No</t>
        </is>
      </c>
      <c r="AJ1379" s="156" t="n"/>
      <c r="AK1379" s="155" t="inlineStr">
        <is>
          <t>Criterios: J [R]; G1522_Extraccion_Articulos_NetSuite_2026-09-30.xlsx: fila 58127 [S] | Shopify Stetson: producto 14783990366571 / variante 52426183016811</t>
        </is>
      </c>
      <c r="AL1379" s="58" t="n">
        <v>252.1551724</v>
      </c>
      <c r="AM1379" s="58" t="n">
        <v>560.3448276</v>
      </c>
      <c r="AN1379" s="155" t="inlineStr">
        <is>
          <t>Shopify Stetson México</t>
        </is>
      </c>
      <c r="AO1379" s="59" t="n">
        <v>0</v>
      </c>
      <c r="AP1379" s="59" t="n"/>
      <c r="AQ1379" s="59" t="n"/>
      <c r="AR1379" s="155" t="n"/>
    </row>
    <row r="1380">
      <c r="A1380" s="50" t="inlineStr">
        <is>
          <t>7506552411934</t>
        </is>
      </c>
      <c r="B1380" s="51" t="inlineStr">
        <is>
          <t>110306</t>
        </is>
      </c>
      <c r="C1380" s="156" t="inlineStr">
        <is>
          <t>Multimarca</t>
        </is>
      </c>
      <c r="D1380" s="156" t="inlineStr">
        <is>
          <t>STTS11</t>
        </is>
      </c>
      <c r="E1380" s="156" t="inlineStr">
        <is>
          <t>STTS11-M</t>
        </is>
      </c>
      <c r="F1380" s="156" t="inlineStr">
        <is>
          <t>M</t>
        </is>
      </c>
      <c r="G1380" s="156" t="inlineStr">
        <is>
          <t>M</t>
        </is>
      </c>
      <c r="H1380" s="156" t="inlineStr">
        <is>
          <t>Stetson</t>
        </is>
      </c>
      <c r="I1380" s="156" t="inlineStr">
        <is>
          <t>Playera Castor Café</t>
        </is>
      </c>
      <c r="J1380" s="156" t="inlineStr">
        <is>
          <t>Ropa</t>
        </is>
      </c>
      <c r="K1380" s="156" t="inlineStr">
        <is>
          <t>Playeras</t>
        </is>
      </c>
      <c r="L1380" s="156" t="inlineStr">
        <is>
          <t>Hombre</t>
        </is>
      </c>
      <c r="M1380" s="156" t="inlineStr">
        <is>
          <t>Stetson</t>
        </is>
      </c>
      <c r="N1380" s="156" t="inlineStr">
        <is>
          <t>SS26</t>
        </is>
      </c>
      <c r="O1380" s="156" t="inlineStr">
        <is>
          <t>Seasonal</t>
        </is>
      </c>
      <c r="P1380" s="156" t="inlineStr">
        <is>
          <t>Cafe</t>
        </is>
      </c>
      <c r="Q1380" s="156" t="inlineStr">
        <is>
          <t>Regular</t>
        </is>
      </c>
      <c r="R1380" s="156" t="n"/>
      <c r="S1380" s="156" t="inlineStr">
        <is>
          <t>100% Algodón</t>
        </is>
      </c>
      <c r="T1380"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0" s="156" t="n"/>
      <c r="V1380" s="156" t="inlineStr">
        <is>
          <t>PZS</t>
        </is>
      </c>
      <c r="W1380" s="51" t="inlineStr">
        <is>
          <t>53103000</t>
        </is>
      </c>
      <c r="X1380" s="156" t="inlineStr">
        <is>
          <t>https://cdn.shopify.com/s/files/1/0888/3250/8267/files/STTS11-01.jpg?v=1759167220</t>
        </is>
      </c>
      <c r="Y1380" s="54" t="n">
        <v>252.1551724</v>
      </c>
      <c r="Z1380" s="54" t="n">
        <v>560.3448276</v>
      </c>
      <c r="AA1380" s="55">
        <f>IF(AND(A1380="", B1380="", E1380=""), "", IF(AB1380="", "Válido", IF((LEN(AB1380)-LEN(SUBSTITUTE(AB1380,"; ","")))/2+1&gt;(LEN(AB1380)-LEN(SUBSTITUTE(AB1380,"[Aviso]","")))/7, "Con Incidencias", "Válido")))</f>
        <v/>
      </c>
      <c r="AB1380" s="56">
        <f>IF(AND(A1380="", B1380="", E1380=""), "", TEXTJOIN("; ", TRUE, IF(OR(TRIM(A1380&amp;"")="", ISNUMBER(SEARCH("FALTA", A1380))), "UPC faltante/inválido", ""), IF(AND(A1380&lt;&gt;"", IFERROR(_xlfn.XMATCH(A1380,$A$2:$A$2509,0,1)&lt;&gt;_xlfn.XMATCH(A1380,$A$2:$A$2509,0,-1),FALSE)), "Código de barras duplicado", ""), IF(AND(E1380&lt;&gt;"", COUNTIF($E$2:$E$2509, E1380)&gt;1), "SKU duplicado", ""), IF(OR(J1380="", J1380=""), "[Aviso] División no capturada ()", IF(ISNA(MATCH(J1380, Criterios!$A$123:$A$126, 0)), "División no válida", "")), IF(OR(K1380="", K1380=""), "[Aviso] Categoría no capturada ()", IF(ISNA(MATCH(K1380, Criterios!$A$81:$A$120, 0)), "Categoría no válida", IF(AND(J1380&lt;&gt;"", J1380&lt;&gt;"", J1380&lt;&gt;VLOOKUP(K1380, Criterios!$A$81:$B$120, 2, FALSE)), "División no coincide con Categoría", ""))), IF(OR(L1380="", L1380=""), "[Aviso] Género no capturado ()", IF(ISNA(MATCH(L1380, Criterios!$B$123:$B$127, 0)), "Género no válido", "")), IF(OR(N1380="", N1380=""), "[Aviso] Temporada no capturada ()", IF(ISNA(MATCH(N1380, Criterios!$C$123:$C$128, 0)), "Temporada no válida", "")), IF(OR(O1380="", O1380=""), "[Aviso] Ciclo de vida no capturado ()", IF(ISNA(MATCH(O1380, Criterios!$D$123:$D$124, 0)), "Ciclo de vida no válido", ""))))</f>
        <v/>
      </c>
      <c r="AC1380" s="56" t="n"/>
      <c r="AD1380" s="51" t="n">
        <v>-2</v>
      </c>
      <c r="AE1380" s="156" t="n"/>
      <c r="AF1380" s="51" t="n">
        <v>0</v>
      </c>
      <c r="AG1380" s="156" t="inlineStr">
        <is>
          <t>Catálogo existente</t>
        </is>
      </c>
      <c r="AH1380"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0" s="156" t="inlineStr">
        <is>
          <t>Sí</t>
        </is>
      </c>
      <c r="AJ1380" s="156" t="inlineStr">
        <is>
          <t>STETSON AMERICAS (-2)</t>
        </is>
      </c>
      <c r="AK1380" s="155" t="inlineStr">
        <is>
          <t>Criterios: J [R]; G1522_Extraccion_Articulos_NetSuite_2026-09-30.xlsx: fila 58121 [S] | Shopify Stetson: producto 14783989743979 / variante 52426179477867</t>
        </is>
      </c>
      <c r="AL1380" s="58" t="n">
        <v>252.1551724</v>
      </c>
      <c r="AM1380" s="58" t="n">
        <v>560.3448276</v>
      </c>
      <c r="AN1380" s="155" t="inlineStr">
        <is>
          <t>Shopify Stetson México</t>
        </is>
      </c>
      <c r="AO1380" s="59" t="n">
        <v>0</v>
      </c>
      <c r="AP1380" s="59" t="n"/>
      <c r="AQ1380" s="59" t="n"/>
      <c r="AR1380" s="155" t="n"/>
    </row>
    <row r="1381">
      <c r="A1381" s="50" t="inlineStr">
        <is>
          <t>7506552411941</t>
        </is>
      </c>
      <c r="B1381" s="51" t="inlineStr">
        <is>
          <t>110307</t>
        </is>
      </c>
      <c r="C1381" s="156" t="inlineStr">
        <is>
          <t>Multimarca</t>
        </is>
      </c>
      <c r="D1381" s="156" t="inlineStr">
        <is>
          <t>STTS11</t>
        </is>
      </c>
      <c r="E1381" s="156" t="inlineStr">
        <is>
          <t>STTS11-G</t>
        </is>
      </c>
      <c r="F1381" s="156" t="inlineStr">
        <is>
          <t>L</t>
        </is>
      </c>
      <c r="G1381" s="156" t="inlineStr">
        <is>
          <t>L</t>
        </is>
      </c>
      <c r="H1381" s="156" t="inlineStr">
        <is>
          <t>Stetson</t>
        </is>
      </c>
      <c r="I1381" s="156" t="inlineStr">
        <is>
          <t>Playera Castor Café</t>
        </is>
      </c>
      <c r="J1381" s="156" t="inlineStr">
        <is>
          <t>Ropa</t>
        </is>
      </c>
      <c r="K1381" s="156" t="inlineStr">
        <is>
          <t>Playeras</t>
        </is>
      </c>
      <c r="L1381" s="156" t="inlineStr">
        <is>
          <t>Hombre</t>
        </is>
      </c>
      <c r="M1381" s="156" t="inlineStr">
        <is>
          <t>Stetson</t>
        </is>
      </c>
      <c r="N1381" s="156" t="inlineStr">
        <is>
          <t>SS26</t>
        </is>
      </c>
      <c r="O1381" s="156" t="inlineStr">
        <is>
          <t>Seasonal</t>
        </is>
      </c>
      <c r="P1381" s="156" t="inlineStr">
        <is>
          <t>Cafe</t>
        </is>
      </c>
      <c r="Q1381" s="156" t="inlineStr">
        <is>
          <t>Regular</t>
        </is>
      </c>
      <c r="R1381" s="156" t="n"/>
      <c r="S1381" s="156" t="inlineStr">
        <is>
          <t>100% Algodón</t>
        </is>
      </c>
      <c r="T1381"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1" s="156" t="n"/>
      <c r="V1381" s="156" t="inlineStr">
        <is>
          <t>PZS</t>
        </is>
      </c>
      <c r="W1381" s="51" t="inlineStr">
        <is>
          <t>53103000</t>
        </is>
      </c>
      <c r="X1381" s="156" t="inlineStr">
        <is>
          <t>https://cdn.shopify.com/s/files/1/0888/3250/8267/files/STTS11-03.jpg?v=1759161606</t>
        </is>
      </c>
      <c r="Y1381" s="54" t="n">
        <v>252.1551724</v>
      </c>
      <c r="Z1381" s="54" t="n">
        <v>560.3448276</v>
      </c>
      <c r="AA1381" s="55">
        <f>IF(AND(A1381="", B1381="", E1381=""), "", IF(AB1381="", "Válido", IF((LEN(AB1381)-LEN(SUBSTITUTE(AB1381,"; ","")))/2+1&gt;(LEN(AB1381)-LEN(SUBSTITUTE(AB1381,"[Aviso]","")))/7, "Con Incidencias", "Válido")))</f>
        <v/>
      </c>
      <c r="AB1381" s="56">
        <f>IF(AND(A1381="", B1381="", E1381=""), "", TEXTJOIN("; ", TRUE, IF(OR(TRIM(A1381&amp;"")="", ISNUMBER(SEARCH("FALTA", A1381))), "UPC faltante/inválido", ""), IF(AND(A1381&lt;&gt;"", IFERROR(_xlfn.XMATCH(A1381,$A$2:$A$2509,0,1)&lt;&gt;_xlfn.XMATCH(A1381,$A$2:$A$2509,0,-1),FALSE)), "Código de barras duplicado", ""), IF(AND(E1381&lt;&gt;"", COUNTIF($E$2:$E$2509, E1381)&gt;1), "SKU duplicado", ""), IF(OR(J1381="", J1381=""), "[Aviso] División no capturada ()", IF(ISNA(MATCH(J1381, Criterios!$A$123:$A$126, 0)), "División no válida", "")), IF(OR(K1381="", K1381=""), "[Aviso] Categoría no capturada ()", IF(ISNA(MATCH(K1381, Criterios!$A$81:$A$120, 0)), "Categoría no válida", IF(AND(J1381&lt;&gt;"", J1381&lt;&gt;"", J1381&lt;&gt;VLOOKUP(K1381, Criterios!$A$81:$B$120, 2, FALSE)), "División no coincide con Categoría", ""))), IF(OR(L1381="", L1381=""), "[Aviso] Género no capturado ()", IF(ISNA(MATCH(L1381, Criterios!$B$123:$B$127, 0)), "Género no válido", "")), IF(OR(N1381="", N1381=""), "[Aviso] Temporada no capturada ()", IF(ISNA(MATCH(N1381, Criterios!$C$123:$C$128, 0)), "Temporada no válida", "")), IF(OR(O1381="", O1381=""), "[Aviso] Ciclo de vida no capturado ()", IF(ISNA(MATCH(O1381, Criterios!$D$123:$D$124, 0)), "Ciclo de vida no válido", ""))))</f>
        <v/>
      </c>
      <c r="AC1381" s="56" t="n"/>
      <c r="AD1381" s="51" t="n">
        <v>0</v>
      </c>
      <c r="AE1381" s="156" t="n"/>
      <c r="AF1381" s="51" t="n">
        <v>0</v>
      </c>
      <c r="AG1381" s="156" t="inlineStr">
        <is>
          <t>Catálogo existente</t>
        </is>
      </c>
      <c r="AH138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1" s="156" t="inlineStr">
        <is>
          <t>No</t>
        </is>
      </c>
      <c r="AJ1381" s="156" t="n"/>
      <c r="AK1381" s="155" t="inlineStr">
        <is>
          <t>Criterios: J [R]; G1522_Extraccion_Articulos_NetSuite_2026-09-30.xlsx: fila 58122 [S] | Shopify Stetson: producto 14783989743979 / variante 52426179510635</t>
        </is>
      </c>
      <c r="AL1381" s="58" t="n">
        <v>252.1551724</v>
      </c>
      <c r="AM1381" s="58" t="n">
        <v>560.3448276</v>
      </c>
      <c r="AN1381" s="155" t="inlineStr">
        <is>
          <t>Shopify Stetson México</t>
        </is>
      </c>
      <c r="AO1381" s="59" t="n">
        <v>0</v>
      </c>
      <c r="AP1381" s="59" t="n"/>
      <c r="AQ1381" s="59" t="n"/>
      <c r="AR1381" s="155" t="n"/>
    </row>
    <row r="1382">
      <c r="A1382" s="50" t="inlineStr">
        <is>
          <t>7506552411958</t>
        </is>
      </c>
      <c r="B1382" s="51" t="inlineStr">
        <is>
          <t>110308</t>
        </is>
      </c>
      <c r="C1382" s="156" t="inlineStr">
        <is>
          <t>Multimarca</t>
        </is>
      </c>
      <c r="D1382" s="156" t="inlineStr">
        <is>
          <t>STTS11</t>
        </is>
      </c>
      <c r="E1382" s="156" t="inlineStr">
        <is>
          <t>STTS11-XG</t>
        </is>
      </c>
      <c r="F1382" s="156" t="inlineStr">
        <is>
          <t>XL</t>
        </is>
      </c>
      <c r="G1382" s="156" t="inlineStr">
        <is>
          <t>XL</t>
        </is>
      </c>
      <c r="H1382" s="156" t="inlineStr">
        <is>
          <t>Stetson</t>
        </is>
      </c>
      <c r="I1382" s="156" t="inlineStr">
        <is>
          <t>Playera Castor Café</t>
        </is>
      </c>
      <c r="J1382" s="156" t="inlineStr">
        <is>
          <t>Ropa</t>
        </is>
      </c>
      <c r="K1382" s="156" t="inlineStr">
        <is>
          <t>Playeras</t>
        </is>
      </c>
      <c r="L1382" s="156" t="inlineStr">
        <is>
          <t>Hombre</t>
        </is>
      </c>
      <c r="M1382" s="156" t="inlineStr">
        <is>
          <t>Stetson</t>
        </is>
      </c>
      <c r="N1382" s="156" t="inlineStr">
        <is>
          <t>SS26</t>
        </is>
      </c>
      <c r="O1382" s="156" t="inlineStr">
        <is>
          <t>Seasonal</t>
        </is>
      </c>
      <c r="P1382" s="156" t="inlineStr">
        <is>
          <t>Cafe</t>
        </is>
      </c>
      <c r="Q1382" s="156" t="inlineStr">
        <is>
          <t>Regular</t>
        </is>
      </c>
      <c r="R1382" s="156" t="n"/>
      <c r="S1382" s="156" t="inlineStr">
        <is>
          <t>100% Algodón</t>
        </is>
      </c>
      <c r="T1382"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2" s="156" t="n"/>
      <c r="V1382" s="156" t="inlineStr">
        <is>
          <t>PZS</t>
        </is>
      </c>
      <c r="W1382" s="51" t="inlineStr">
        <is>
          <t>53103000</t>
        </is>
      </c>
      <c r="X1382" s="156" t="inlineStr">
        <is>
          <t>https://cdn.shopify.com/s/files/1/0888/3250/8267/files/STTS11-02.jpg?v=1759167220</t>
        </is>
      </c>
      <c r="Y1382" s="54" t="n">
        <v>252.1551724</v>
      </c>
      <c r="Z1382" s="54" t="n">
        <v>560.3448276</v>
      </c>
      <c r="AA1382" s="55">
        <f>IF(AND(A1382="", B1382="", E1382=""), "", IF(AB1382="", "Válido", IF((LEN(AB1382)-LEN(SUBSTITUTE(AB1382,"; ","")))/2+1&gt;(LEN(AB1382)-LEN(SUBSTITUTE(AB1382,"[Aviso]","")))/7, "Con Incidencias", "Válido")))</f>
        <v/>
      </c>
      <c r="AB1382" s="56">
        <f>IF(AND(A1382="", B1382="", E1382=""), "", TEXTJOIN("; ", TRUE, IF(OR(TRIM(A1382&amp;"")="", ISNUMBER(SEARCH("FALTA", A1382))), "UPC faltante/inválido", ""), IF(AND(A1382&lt;&gt;"", IFERROR(_xlfn.XMATCH(A1382,$A$2:$A$2509,0,1)&lt;&gt;_xlfn.XMATCH(A1382,$A$2:$A$2509,0,-1),FALSE)), "Código de barras duplicado", ""), IF(AND(E1382&lt;&gt;"", COUNTIF($E$2:$E$2509, E1382)&gt;1), "SKU duplicado", ""), IF(OR(J1382="", J1382=""), "[Aviso] División no capturada ()", IF(ISNA(MATCH(J1382, Criterios!$A$123:$A$126, 0)), "División no válida", "")), IF(OR(K1382="", K1382=""), "[Aviso] Categoría no capturada ()", IF(ISNA(MATCH(K1382, Criterios!$A$81:$A$120, 0)), "Categoría no válida", IF(AND(J1382&lt;&gt;"", J1382&lt;&gt;"", J1382&lt;&gt;VLOOKUP(K1382, Criterios!$A$81:$B$120, 2, FALSE)), "División no coincide con Categoría", ""))), IF(OR(L1382="", L1382=""), "[Aviso] Género no capturado ()", IF(ISNA(MATCH(L1382, Criterios!$B$123:$B$127, 0)), "Género no válido", "")), IF(OR(N1382="", N1382=""), "[Aviso] Temporada no capturada ()", IF(ISNA(MATCH(N1382, Criterios!$C$123:$C$128, 0)), "Temporada no válida", "")), IF(OR(O1382="", O1382=""), "[Aviso] Ciclo de vida no capturado ()", IF(ISNA(MATCH(O1382, Criterios!$D$123:$D$124, 0)), "Ciclo de vida no válido", ""))))</f>
        <v/>
      </c>
      <c r="AC1382" s="56" t="n"/>
      <c r="AD1382" s="51" t="n">
        <v>0</v>
      </c>
      <c r="AE1382" s="156" t="n"/>
      <c r="AF1382" s="51" t="n">
        <v>0</v>
      </c>
      <c r="AG1382" s="156" t="inlineStr">
        <is>
          <t>Catálogo existente</t>
        </is>
      </c>
      <c r="AH13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2" s="156" t="inlineStr">
        <is>
          <t>No</t>
        </is>
      </c>
      <c r="AJ1382" s="156" t="n"/>
      <c r="AK1382" s="155" t="inlineStr">
        <is>
          <t>Criterios: J [R]; G1522_Extraccion_Articulos_NetSuite_2026-09-30.xlsx: fila 58123 [S] | Shopify Stetson: producto 14783989743979 / variante 52426179543403</t>
        </is>
      </c>
      <c r="AL1382" s="58" t="n">
        <v>252.1551724</v>
      </c>
      <c r="AM1382" s="58" t="n">
        <v>560.3448276</v>
      </c>
      <c r="AN1382" s="155" t="inlineStr">
        <is>
          <t>Shopify Stetson México</t>
        </is>
      </c>
      <c r="AO1382" s="59" t="n">
        <v>0</v>
      </c>
      <c r="AP1382" s="59" t="n"/>
      <c r="AQ1382" s="59" t="n"/>
      <c r="AR1382" s="155" t="n"/>
    </row>
    <row r="1383">
      <c r="A1383" s="50" t="inlineStr">
        <is>
          <t>7506552411965</t>
        </is>
      </c>
      <c r="B1383" s="51" t="inlineStr">
        <is>
          <t>110302</t>
        </is>
      </c>
      <c r="C1383" s="156" t="inlineStr">
        <is>
          <t>Multimarca</t>
        </is>
      </c>
      <c r="D1383" s="156" t="inlineStr">
        <is>
          <t>STTS10</t>
        </is>
      </c>
      <c r="E1383" s="156" t="inlineStr">
        <is>
          <t>STTS10-M</t>
        </is>
      </c>
      <c r="F1383" s="156" t="inlineStr">
        <is>
          <t>M</t>
        </is>
      </c>
      <c r="G1383" s="156" t="inlineStr">
        <is>
          <t>M</t>
        </is>
      </c>
      <c r="H1383" s="156" t="inlineStr">
        <is>
          <t>Stetson</t>
        </is>
      </c>
      <c r="I1383" s="156" t="inlineStr">
        <is>
          <t>Playera Bisonte Azul</t>
        </is>
      </c>
      <c r="J1383" s="156" t="inlineStr">
        <is>
          <t>Ropa</t>
        </is>
      </c>
      <c r="K1383" s="156" t="inlineStr">
        <is>
          <t>Playeras</t>
        </is>
      </c>
      <c r="L1383" s="156" t="inlineStr">
        <is>
          <t>Hombre</t>
        </is>
      </c>
      <c r="M1383" s="156" t="inlineStr">
        <is>
          <t>Stetson</t>
        </is>
      </c>
      <c r="N1383" s="156" t="inlineStr">
        <is>
          <t>SS26</t>
        </is>
      </c>
      <c r="O1383" s="156" t="inlineStr">
        <is>
          <t>Seasonal</t>
        </is>
      </c>
      <c r="P1383" s="156" t="inlineStr">
        <is>
          <t>Azul</t>
        </is>
      </c>
      <c r="Q1383" s="156" t="inlineStr">
        <is>
          <t>Regular</t>
        </is>
      </c>
      <c r="R1383" s="156" t="n"/>
      <c r="S1383" s="156" t="inlineStr">
        <is>
          <t>100% Algodón</t>
        </is>
      </c>
      <c r="T138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3" s="156" t="n"/>
      <c r="V1383" s="156" t="inlineStr">
        <is>
          <t>PZS</t>
        </is>
      </c>
      <c r="W1383" s="51" t="inlineStr">
        <is>
          <t>53103000</t>
        </is>
      </c>
      <c r="X1383" s="156" t="inlineStr">
        <is>
          <t>https://cdn.shopify.com/s/files/1/0888/3250/8267/files/STTS10-01.jpg?v=1759167216</t>
        </is>
      </c>
      <c r="Y1383" s="54" t="n">
        <v>252.1551724</v>
      </c>
      <c r="Z1383" s="54" t="n">
        <v>560.3448276</v>
      </c>
      <c r="AA1383" s="55">
        <f>IF(AND(A1383="", B1383="", E1383=""), "", IF(AB1383="", "Válido", IF((LEN(AB1383)-LEN(SUBSTITUTE(AB1383,"; ","")))/2+1&gt;(LEN(AB1383)-LEN(SUBSTITUTE(AB1383,"[Aviso]","")))/7, "Con Incidencias", "Válido")))</f>
        <v/>
      </c>
      <c r="AB1383" s="56">
        <f>IF(AND(A1383="", B1383="", E1383=""), "", TEXTJOIN("; ", TRUE, IF(OR(TRIM(A1383&amp;"")="", ISNUMBER(SEARCH("FALTA", A1383))), "UPC faltante/inválido", ""), IF(AND(A1383&lt;&gt;"", IFERROR(_xlfn.XMATCH(A1383,$A$2:$A$2509,0,1)&lt;&gt;_xlfn.XMATCH(A1383,$A$2:$A$2509,0,-1),FALSE)), "Código de barras duplicado", ""), IF(AND(E1383&lt;&gt;"", COUNTIF($E$2:$E$2509, E1383)&gt;1), "SKU duplicado", ""), IF(OR(J1383="", J1383=""), "[Aviso] División no capturada ()", IF(ISNA(MATCH(J1383, Criterios!$A$123:$A$126, 0)), "División no válida", "")), IF(OR(K1383="", K1383=""), "[Aviso] Categoría no capturada ()", IF(ISNA(MATCH(K1383, Criterios!$A$81:$A$120, 0)), "Categoría no válida", IF(AND(J1383&lt;&gt;"", J1383&lt;&gt;"", J1383&lt;&gt;VLOOKUP(K1383, Criterios!$A$81:$B$120, 2, FALSE)), "División no coincide con Categoría", ""))), IF(OR(L1383="", L1383=""), "[Aviso] Género no capturado ()", IF(ISNA(MATCH(L1383, Criterios!$B$123:$B$127, 0)), "Género no válido", "")), IF(OR(N1383="", N1383=""), "[Aviso] Temporada no capturada ()", IF(ISNA(MATCH(N1383, Criterios!$C$123:$C$128, 0)), "Temporada no válida", "")), IF(OR(O1383="", O1383=""), "[Aviso] Ciclo de vida no capturado ()", IF(ISNA(MATCH(O1383, Criterios!$D$123:$D$124, 0)), "Ciclo de vida no válido", ""))))</f>
        <v/>
      </c>
      <c r="AC1383" s="56" t="n"/>
      <c r="AD1383" s="51" t="n">
        <v>-1</v>
      </c>
      <c r="AE1383" s="156" t="n"/>
      <c r="AF1383" s="51" t="n">
        <v>0</v>
      </c>
      <c r="AG1383" s="156" t="inlineStr">
        <is>
          <t>Catálogo existente</t>
        </is>
      </c>
      <c r="AH1383"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3" s="156" t="inlineStr">
        <is>
          <t>Sí</t>
        </is>
      </c>
      <c r="AJ1383" s="156" t="inlineStr">
        <is>
          <t>STETSON AMERICAS (-1)</t>
        </is>
      </c>
      <c r="AK1383" s="155" t="inlineStr">
        <is>
          <t>Criterios: J [R]; G1522_Extraccion_Articulos_NetSuite_2026-09-30.xlsx: fila 58117 [S] | Shopify Stetson: producto 14783989481835 / variante 53350613877099</t>
        </is>
      </c>
      <c r="AL1383" s="58" t="n">
        <v>252.1551724</v>
      </c>
      <c r="AM1383" s="58" t="n">
        <v>560.3448276</v>
      </c>
      <c r="AN1383" s="155" t="inlineStr">
        <is>
          <t>Shopify Stetson México</t>
        </is>
      </c>
      <c r="AO1383" s="59" t="n">
        <v>0</v>
      </c>
      <c r="AP1383" s="59" t="n"/>
      <c r="AQ1383" s="59" t="n"/>
      <c r="AR1383" s="155" t="n"/>
    </row>
    <row r="1384">
      <c r="A1384" s="50" t="inlineStr">
        <is>
          <t>7506552411972</t>
        </is>
      </c>
      <c r="B1384" s="51" t="inlineStr">
        <is>
          <t>110303</t>
        </is>
      </c>
      <c r="C1384" s="156" t="inlineStr">
        <is>
          <t>Multimarca</t>
        </is>
      </c>
      <c r="D1384" s="156" t="inlineStr">
        <is>
          <t>STTS10</t>
        </is>
      </c>
      <c r="E1384" s="156" t="inlineStr">
        <is>
          <t>STTS10-G</t>
        </is>
      </c>
      <c r="F1384" s="156" t="inlineStr">
        <is>
          <t>L</t>
        </is>
      </c>
      <c r="G1384" s="156" t="inlineStr">
        <is>
          <t>L</t>
        </is>
      </c>
      <c r="H1384" s="156" t="inlineStr">
        <is>
          <t>Stetson</t>
        </is>
      </c>
      <c r="I1384" s="156" t="inlineStr">
        <is>
          <t>Playera Bisonte Azul</t>
        </is>
      </c>
      <c r="J1384" s="156" t="inlineStr">
        <is>
          <t>Ropa</t>
        </is>
      </c>
      <c r="K1384" s="156" t="inlineStr">
        <is>
          <t>Playeras</t>
        </is>
      </c>
      <c r="L1384" s="156" t="inlineStr">
        <is>
          <t>Hombre</t>
        </is>
      </c>
      <c r="M1384" s="156" t="inlineStr">
        <is>
          <t>Stetson</t>
        </is>
      </c>
      <c r="N1384" s="156" t="inlineStr">
        <is>
          <t>SS26</t>
        </is>
      </c>
      <c r="O1384" s="156" t="inlineStr">
        <is>
          <t>Seasonal</t>
        </is>
      </c>
      <c r="P1384" s="156" t="inlineStr">
        <is>
          <t>Azul</t>
        </is>
      </c>
      <c r="Q1384" s="156" t="inlineStr">
        <is>
          <t>Regular</t>
        </is>
      </c>
      <c r="R1384" s="156" t="n"/>
      <c r="S1384" s="156" t="inlineStr">
        <is>
          <t>100% Algodón</t>
        </is>
      </c>
      <c r="T138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4" s="156" t="n"/>
      <c r="V1384" s="156" t="inlineStr">
        <is>
          <t>PZS</t>
        </is>
      </c>
      <c r="W1384" s="51" t="inlineStr">
        <is>
          <t>53103000</t>
        </is>
      </c>
      <c r="X1384" s="156" t="inlineStr">
        <is>
          <t>https://cdn.shopify.com/s/files/1/0888/3250/8267/files/STTS10-03.jpg?v=1759161397</t>
        </is>
      </c>
      <c r="Y1384" s="54" t="n">
        <v>252.1551724</v>
      </c>
      <c r="Z1384" s="54" t="n">
        <v>560.3448276</v>
      </c>
      <c r="AA1384" s="55">
        <f>IF(AND(A1384="", B1384="", E1384=""), "", IF(AB1384="", "Válido", IF((LEN(AB1384)-LEN(SUBSTITUTE(AB1384,"; ","")))/2+1&gt;(LEN(AB1384)-LEN(SUBSTITUTE(AB1384,"[Aviso]","")))/7, "Con Incidencias", "Válido")))</f>
        <v/>
      </c>
      <c r="AB1384" s="56">
        <f>IF(AND(A1384="", B1384="", E1384=""), "", TEXTJOIN("; ", TRUE, IF(OR(TRIM(A1384&amp;"")="", ISNUMBER(SEARCH("FALTA", A1384))), "UPC faltante/inválido", ""), IF(AND(A1384&lt;&gt;"", IFERROR(_xlfn.XMATCH(A1384,$A$2:$A$2509,0,1)&lt;&gt;_xlfn.XMATCH(A1384,$A$2:$A$2509,0,-1),FALSE)), "Código de barras duplicado", ""), IF(AND(E1384&lt;&gt;"", COUNTIF($E$2:$E$2509, E1384)&gt;1), "SKU duplicado", ""), IF(OR(J1384="", J1384=""), "[Aviso] División no capturada ()", IF(ISNA(MATCH(J1384, Criterios!$A$123:$A$126, 0)), "División no válida", "")), IF(OR(K1384="", K1384=""), "[Aviso] Categoría no capturada ()", IF(ISNA(MATCH(K1384, Criterios!$A$81:$A$120, 0)), "Categoría no válida", IF(AND(J1384&lt;&gt;"", J1384&lt;&gt;"", J1384&lt;&gt;VLOOKUP(K1384, Criterios!$A$81:$B$120, 2, FALSE)), "División no coincide con Categoría", ""))), IF(OR(L1384="", L1384=""), "[Aviso] Género no capturado ()", IF(ISNA(MATCH(L1384, Criterios!$B$123:$B$127, 0)), "Género no válido", "")), IF(OR(N1384="", N1384=""), "[Aviso] Temporada no capturada ()", IF(ISNA(MATCH(N1384, Criterios!$C$123:$C$128, 0)), "Temporada no válida", "")), IF(OR(O1384="", O1384=""), "[Aviso] Ciclo de vida no capturado ()", IF(ISNA(MATCH(O1384, Criterios!$D$123:$D$124, 0)), "Ciclo de vida no válido", ""))))</f>
        <v/>
      </c>
      <c r="AC1384" s="56" t="n"/>
      <c r="AD1384" s="51" t="n">
        <v>0</v>
      </c>
      <c r="AE1384" s="156" t="n"/>
      <c r="AF1384" s="51" t="n">
        <v>0</v>
      </c>
      <c r="AG1384" s="156" t="inlineStr">
        <is>
          <t>Catálogo existente</t>
        </is>
      </c>
      <c r="AH138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4" s="156" t="inlineStr">
        <is>
          <t>No</t>
        </is>
      </c>
      <c r="AJ1384" s="156" t="n"/>
      <c r="AK1384" s="155" t="inlineStr">
        <is>
          <t>Criterios: J [R]; G1522_Extraccion_Articulos_NetSuite_2026-09-30.xlsx: fila 58118 [S] | Shopify Stetson: producto 14783989481835 / variante 53350613909867</t>
        </is>
      </c>
      <c r="AL1384" s="58" t="n">
        <v>252.1551724</v>
      </c>
      <c r="AM1384" s="58" t="n">
        <v>560.3448276</v>
      </c>
      <c r="AN1384" s="155" t="inlineStr">
        <is>
          <t>Shopify Stetson México</t>
        </is>
      </c>
      <c r="AO1384" s="59" t="n">
        <v>0</v>
      </c>
      <c r="AP1384" s="59" t="n"/>
      <c r="AQ1384" s="59" t="n"/>
      <c r="AR1384" s="155" t="n"/>
    </row>
    <row r="1385">
      <c r="A1385" s="50" t="inlineStr">
        <is>
          <t>7506552411989</t>
        </is>
      </c>
      <c r="B1385" s="51" t="inlineStr">
        <is>
          <t>110304</t>
        </is>
      </c>
      <c r="C1385" s="156" t="inlineStr">
        <is>
          <t>Multimarca</t>
        </is>
      </c>
      <c r="D1385" s="156" t="inlineStr">
        <is>
          <t>STTS10</t>
        </is>
      </c>
      <c r="E1385" s="156" t="inlineStr">
        <is>
          <t>STTS10-XG</t>
        </is>
      </c>
      <c r="F1385" s="156" t="inlineStr">
        <is>
          <t>XL</t>
        </is>
      </c>
      <c r="G1385" s="156" t="inlineStr">
        <is>
          <t>XL</t>
        </is>
      </c>
      <c r="H1385" s="156" t="inlineStr">
        <is>
          <t>Stetson</t>
        </is>
      </c>
      <c r="I1385" s="156" t="inlineStr">
        <is>
          <t>Playera Bisonte Azul</t>
        </is>
      </c>
      <c r="J1385" s="156" t="inlineStr">
        <is>
          <t>Ropa</t>
        </is>
      </c>
      <c r="K1385" s="156" t="inlineStr">
        <is>
          <t>Playeras</t>
        </is>
      </c>
      <c r="L1385" s="156" t="inlineStr">
        <is>
          <t>Hombre</t>
        </is>
      </c>
      <c r="M1385" s="156" t="inlineStr">
        <is>
          <t>Stetson</t>
        </is>
      </c>
      <c r="N1385" s="156" t="inlineStr">
        <is>
          <t>SS26</t>
        </is>
      </c>
      <c r="O1385" s="156" t="inlineStr">
        <is>
          <t>Seasonal</t>
        </is>
      </c>
      <c r="P1385" s="156" t="inlineStr">
        <is>
          <t>Azul</t>
        </is>
      </c>
      <c r="Q1385" s="156" t="inlineStr">
        <is>
          <t>Regular</t>
        </is>
      </c>
      <c r="R1385" s="156" t="n"/>
      <c r="S1385" s="156" t="inlineStr">
        <is>
          <t>100% Algodón</t>
        </is>
      </c>
      <c r="T138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5" s="156" t="n"/>
      <c r="V1385" s="156" t="inlineStr">
        <is>
          <t>PZS</t>
        </is>
      </c>
      <c r="W1385" s="51" t="inlineStr">
        <is>
          <t>53103000</t>
        </is>
      </c>
      <c r="X1385" s="156" t="inlineStr">
        <is>
          <t>https://cdn.shopify.com/s/files/1/0888/3250/8267/files/STTS10-02.jpg?v=1759167216</t>
        </is>
      </c>
      <c r="Y1385" s="54" t="n">
        <v>252.1551724</v>
      </c>
      <c r="Z1385" s="54" t="n">
        <v>560.3448276</v>
      </c>
      <c r="AA1385" s="55">
        <f>IF(AND(A1385="", B1385="", E1385=""), "", IF(AB1385="", "Válido", IF((LEN(AB1385)-LEN(SUBSTITUTE(AB1385,"; ","")))/2+1&gt;(LEN(AB1385)-LEN(SUBSTITUTE(AB1385,"[Aviso]","")))/7, "Con Incidencias", "Válido")))</f>
        <v/>
      </c>
      <c r="AB1385" s="56">
        <f>IF(AND(A1385="", B1385="", E1385=""), "", TEXTJOIN("; ", TRUE, IF(OR(TRIM(A1385&amp;"")="", ISNUMBER(SEARCH("FALTA", A1385))), "UPC faltante/inválido", ""), IF(AND(A1385&lt;&gt;"", IFERROR(_xlfn.XMATCH(A1385,$A$2:$A$2509,0,1)&lt;&gt;_xlfn.XMATCH(A1385,$A$2:$A$2509,0,-1),FALSE)), "Código de barras duplicado", ""), IF(AND(E1385&lt;&gt;"", COUNTIF($E$2:$E$2509, E1385)&gt;1), "SKU duplicado", ""), IF(OR(J1385="", J1385=""), "[Aviso] División no capturada ()", IF(ISNA(MATCH(J1385, Criterios!$A$123:$A$126, 0)), "División no válida", "")), IF(OR(K1385="", K1385=""), "[Aviso] Categoría no capturada ()", IF(ISNA(MATCH(K1385, Criterios!$A$81:$A$120, 0)), "Categoría no válida", IF(AND(J1385&lt;&gt;"", J1385&lt;&gt;"", J1385&lt;&gt;VLOOKUP(K1385, Criterios!$A$81:$B$120, 2, FALSE)), "División no coincide con Categoría", ""))), IF(OR(L1385="", L1385=""), "[Aviso] Género no capturado ()", IF(ISNA(MATCH(L1385, Criterios!$B$123:$B$127, 0)), "Género no válido", "")), IF(OR(N1385="", N1385=""), "[Aviso] Temporada no capturada ()", IF(ISNA(MATCH(N1385, Criterios!$C$123:$C$128, 0)), "Temporada no válida", "")), IF(OR(O1385="", O1385=""), "[Aviso] Ciclo de vida no capturado ()", IF(ISNA(MATCH(O1385, Criterios!$D$123:$D$124, 0)), "Ciclo de vida no válido", ""))))</f>
        <v/>
      </c>
      <c r="AC1385" s="56" t="n"/>
      <c r="AD1385" s="51" t="n">
        <v>0</v>
      </c>
      <c r="AE1385" s="156" t="n"/>
      <c r="AF1385" s="51" t="n">
        <v>0</v>
      </c>
      <c r="AG1385" s="156" t="inlineStr">
        <is>
          <t>Catálogo existente</t>
        </is>
      </c>
      <c r="AH1385"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5" s="156" t="inlineStr">
        <is>
          <t>No</t>
        </is>
      </c>
      <c r="AJ1385" s="156" t="n"/>
      <c r="AK1385" s="155" t="inlineStr">
        <is>
          <t>Criterios: J [R]; G1522_Extraccion_Articulos_NetSuite_2026-09-30.xlsx: fila 58119 [S] | Shopify Stetson: producto 14783989481835 / variante 53350613942635</t>
        </is>
      </c>
      <c r="AL1385" s="58" t="n">
        <v>252.1551724</v>
      </c>
      <c r="AM1385" s="58" t="n">
        <v>560.3448276</v>
      </c>
      <c r="AN1385" s="155" t="inlineStr">
        <is>
          <t>Shopify Stetson México</t>
        </is>
      </c>
      <c r="AO1385" s="59" t="n">
        <v>0</v>
      </c>
      <c r="AP1385" s="59" t="n"/>
      <c r="AQ1385" s="59" t="n"/>
      <c r="AR1385" s="155" t="n"/>
    </row>
    <row r="1386">
      <c r="A1386" s="50" t="inlineStr">
        <is>
          <t>7506552411996</t>
        </is>
      </c>
      <c r="B1386" s="51" t="inlineStr">
        <is>
          <t>110294</t>
        </is>
      </c>
      <c r="C1386" s="156" t="inlineStr">
        <is>
          <t>Multimarca</t>
        </is>
      </c>
      <c r="D1386" s="156" t="inlineStr">
        <is>
          <t>STTS08</t>
        </is>
      </c>
      <c r="E1386" s="156" t="inlineStr">
        <is>
          <t>STTS08-M</t>
        </is>
      </c>
      <c r="F1386" s="156" t="inlineStr">
        <is>
          <t>M</t>
        </is>
      </c>
      <c r="G1386" s="156" t="inlineStr">
        <is>
          <t>M</t>
        </is>
      </c>
      <c r="H1386" s="156" t="inlineStr">
        <is>
          <t>Stetson</t>
        </is>
      </c>
      <c r="I1386" s="156" t="inlineStr">
        <is>
          <t>Playera Old Truck Vison</t>
        </is>
      </c>
      <c r="J1386" s="156" t="inlineStr">
        <is>
          <t>Ropa</t>
        </is>
      </c>
      <c r="K1386" s="156" t="inlineStr">
        <is>
          <t>Playeras</t>
        </is>
      </c>
      <c r="L1386" s="156" t="inlineStr">
        <is>
          <t>Hombre</t>
        </is>
      </c>
      <c r="M1386" s="156" t="inlineStr">
        <is>
          <t>Stetson</t>
        </is>
      </c>
      <c r="N1386" s="156" t="inlineStr">
        <is>
          <t>SS26</t>
        </is>
      </c>
      <c r="O1386" s="156" t="inlineStr">
        <is>
          <t>Seasonal</t>
        </is>
      </c>
      <c r="P1386" s="156" t="inlineStr">
        <is>
          <t>Cafe</t>
        </is>
      </c>
      <c r="Q1386" s="156" t="inlineStr">
        <is>
          <t>Regular</t>
        </is>
      </c>
      <c r="R1386" s="156" t="n"/>
      <c r="S1386" s="156" t="inlineStr">
        <is>
          <t>100% Algodón</t>
        </is>
      </c>
      <c r="T138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6" s="156" t="n"/>
      <c r="V1386" s="156" t="inlineStr">
        <is>
          <t>PZS</t>
        </is>
      </c>
      <c r="W1386" s="51" t="inlineStr">
        <is>
          <t>53103000</t>
        </is>
      </c>
      <c r="X1386" s="156" t="inlineStr">
        <is>
          <t>https://cdn.shopify.com/s/files/1/0888/3250/8267/files/STTS08-01.jpg?v=1759167209</t>
        </is>
      </c>
      <c r="Y1386" s="54" t="n">
        <v>252.1551724</v>
      </c>
      <c r="Z1386" s="54" t="n">
        <v>560.3448276</v>
      </c>
      <c r="AA1386" s="55">
        <f>IF(AND(A1386="", B1386="", E1386=""), "", IF(AB1386="", "Válido", IF((LEN(AB1386)-LEN(SUBSTITUTE(AB1386,"; ","")))/2+1&gt;(LEN(AB1386)-LEN(SUBSTITUTE(AB1386,"[Aviso]","")))/7, "Con Incidencias", "Válido")))</f>
        <v/>
      </c>
      <c r="AB1386" s="56">
        <f>IF(AND(A1386="", B1386="", E1386=""), "", TEXTJOIN("; ", TRUE, IF(OR(TRIM(A1386&amp;"")="", ISNUMBER(SEARCH("FALTA", A1386))), "UPC faltante/inválido", ""), IF(AND(A1386&lt;&gt;"", IFERROR(_xlfn.XMATCH(A1386,$A$2:$A$2509,0,1)&lt;&gt;_xlfn.XMATCH(A1386,$A$2:$A$2509,0,-1),FALSE)), "Código de barras duplicado", ""), IF(AND(E1386&lt;&gt;"", COUNTIF($E$2:$E$2509, E1386)&gt;1), "SKU duplicado", ""), IF(OR(J1386="", J1386=""), "[Aviso] División no capturada ()", IF(ISNA(MATCH(J1386, Criterios!$A$123:$A$126, 0)), "División no válida", "")), IF(OR(K1386="", K1386=""), "[Aviso] Categoría no capturada ()", IF(ISNA(MATCH(K1386, Criterios!$A$81:$A$120, 0)), "Categoría no válida", IF(AND(J1386&lt;&gt;"", J1386&lt;&gt;"", J1386&lt;&gt;VLOOKUP(K1386, Criterios!$A$81:$B$120, 2, FALSE)), "División no coincide con Categoría", ""))), IF(OR(L1386="", L1386=""), "[Aviso] Género no capturado ()", IF(ISNA(MATCH(L1386, Criterios!$B$123:$B$127, 0)), "Género no válido", "")), IF(OR(N1386="", N1386=""), "[Aviso] Temporada no capturada ()", IF(ISNA(MATCH(N1386, Criterios!$C$123:$C$128, 0)), "Temporada no válida", "")), IF(OR(O1386="", O1386=""), "[Aviso] Ciclo de vida no capturado ()", IF(ISNA(MATCH(O1386, Criterios!$D$123:$D$124, 0)), "Ciclo de vida no válido", ""))))</f>
        <v/>
      </c>
      <c r="AC1386" s="56" t="n"/>
      <c r="AD1386" s="51" t="n">
        <v>0</v>
      </c>
      <c r="AE1386" s="156" t="n"/>
      <c r="AF1386" s="51" t="n">
        <v>0</v>
      </c>
      <c r="AG1386" s="156" t="inlineStr">
        <is>
          <t>Catálogo existente</t>
        </is>
      </c>
      <c r="AH138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6" s="156" t="inlineStr">
        <is>
          <t>No</t>
        </is>
      </c>
      <c r="AJ1386" s="156" t="n"/>
      <c r="AK1386" s="155" t="inlineStr">
        <is>
          <t>Criterios: J [R]; G1522_Extraccion_Articulos_NetSuite_2026-09-30.xlsx: fila 58109 [S] | Shopify Stetson: producto 14783987646827 / variante 52426156704107</t>
        </is>
      </c>
      <c r="AL1386" s="58" t="n">
        <v>252.1551724</v>
      </c>
      <c r="AM1386" s="58" t="n">
        <v>560.3448276</v>
      </c>
      <c r="AN1386" s="155" t="inlineStr">
        <is>
          <t>Shopify Stetson México</t>
        </is>
      </c>
      <c r="AO1386" s="59" t="n">
        <v>0</v>
      </c>
      <c r="AP1386" s="59" t="n"/>
      <c r="AQ1386" s="59" t="n"/>
      <c r="AR1386" s="155" t="n"/>
    </row>
    <row r="1387">
      <c r="A1387" s="50" t="inlineStr">
        <is>
          <t>7506552412009</t>
        </is>
      </c>
      <c r="B1387" s="51" t="inlineStr">
        <is>
          <t>110295</t>
        </is>
      </c>
      <c r="C1387" s="156" t="inlineStr">
        <is>
          <t>Multimarca</t>
        </is>
      </c>
      <c r="D1387" s="156" t="inlineStr">
        <is>
          <t>STTS08</t>
        </is>
      </c>
      <c r="E1387" s="156" t="inlineStr">
        <is>
          <t>STTS08-G</t>
        </is>
      </c>
      <c r="F1387" s="156" t="inlineStr">
        <is>
          <t>L</t>
        </is>
      </c>
      <c r="G1387" s="156" t="inlineStr">
        <is>
          <t>L</t>
        </is>
      </c>
      <c r="H1387" s="156" t="inlineStr">
        <is>
          <t>Stetson</t>
        </is>
      </c>
      <c r="I1387" s="156" t="inlineStr">
        <is>
          <t>Playera Old Truck Vison</t>
        </is>
      </c>
      <c r="J1387" s="156" t="inlineStr">
        <is>
          <t>Ropa</t>
        </is>
      </c>
      <c r="K1387" s="156" t="inlineStr">
        <is>
          <t>Playeras</t>
        </is>
      </c>
      <c r="L1387" s="156" t="inlineStr">
        <is>
          <t>Hombre</t>
        </is>
      </c>
      <c r="M1387" s="156" t="inlineStr">
        <is>
          <t>Stetson</t>
        </is>
      </c>
      <c r="N1387" s="156" t="inlineStr">
        <is>
          <t>SS26</t>
        </is>
      </c>
      <c r="O1387" s="156" t="inlineStr">
        <is>
          <t>Seasonal</t>
        </is>
      </c>
      <c r="P1387" s="156" t="inlineStr">
        <is>
          <t>Cafe</t>
        </is>
      </c>
      <c r="Q1387" s="156" t="inlineStr">
        <is>
          <t>Regular</t>
        </is>
      </c>
      <c r="R1387" s="156" t="n"/>
      <c r="S1387" s="156" t="inlineStr">
        <is>
          <t>100% Algodón</t>
        </is>
      </c>
      <c r="T138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7" s="156" t="n"/>
      <c r="V1387" s="156" t="inlineStr">
        <is>
          <t>PZS</t>
        </is>
      </c>
      <c r="W1387" s="51" t="inlineStr">
        <is>
          <t>53103000</t>
        </is>
      </c>
      <c r="X1387" s="156" t="inlineStr">
        <is>
          <t>https://cdn.shopify.com/s/files/1/0888/3250/8267/files/STTS08-03.jpg?v=1759160817</t>
        </is>
      </c>
      <c r="Y1387" s="54" t="n">
        <v>252.1551724</v>
      </c>
      <c r="Z1387" s="54" t="n">
        <v>560.3448276</v>
      </c>
      <c r="AA1387" s="55">
        <f>IF(AND(A1387="", B1387="", E1387=""), "", IF(AB1387="", "Válido", IF((LEN(AB1387)-LEN(SUBSTITUTE(AB1387,"; ","")))/2+1&gt;(LEN(AB1387)-LEN(SUBSTITUTE(AB1387,"[Aviso]","")))/7, "Con Incidencias", "Válido")))</f>
        <v/>
      </c>
      <c r="AB1387" s="56">
        <f>IF(AND(A1387="", B1387="", E1387=""), "", TEXTJOIN("; ", TRUE, IF(OR(TRIM(A1387&amp;"")="", ISNUMBER(SEARCH("FALTA", A1387))), "UPC faltante/inválido", ""), IF(AND(A1387&lt;&gt;"", IFERROR(_xlfn.XMATCH(A1387,$A$2:$A$2509,0,1)&lt;&gt;_xlfn.XMATCH(A1387,$A$2:$A$2509,0,-1),FALSE)), "Código de barras duplicado", ""), IF(AND(E1387&lt;&gt;"", COUNTIF($E$2:$E$2509, E1387)&gt;1), "SKU duplicado", ""), IF(OR(J1387="", J1387=""), "[Aviso] División no capturada ()", IF(ISNA(MATCH(J1387, Criterios!$A$123:$A$126, 0)), "División no válida", "")), IF(OR(K1387="", K1387=""), "[Aviso] Categoría no capturada ()", IF(ISNA(MATCH(K1387, Criterios!$A$81:$A$120, 0)), "Categoría no válida", IF(AND(J1387&lt;&gt;"", J1387&lt;&gt;"", J1387&lt;&gt;VLOOKUP(K1387, Criterios!$A$81:$B$120, 2, FALSE)), "División no coincide con Categoría", ""))), IF(OR(L1387="", L1387=""), "[Aviso] Género no capturado ()", IF(ISNA(MATCH(L1387, Criterios!$B$123:$B$127, 0)), "Género no válido", "")), IF(OR(N1387="", N1387=""), "[Aviso] Temporada no capturada ()", IF(ISNA(MATCH(N1387, Criterios!$C$123:$C$128, 0)), "Temporada no válida", "")), IF(OR(O1387="", O1387=""), "[Aviso] Ciclo de vida no capturado ()", IF(ISNA(MATCH(O1387, Criterios!$D$123:$D$124, 0)), "Ciclo de vida no válido", ""))))</f>
        <v/>
      </c>
      <c r="AC1387" s="56" t="n"/>
      <c r="AD1387" s="51" t="n">
        <v>0</v>
      </c>
      <c r="AE1387" s="156" t="n"/>
      <c r="AF1387" s="51" t="n">
        <v>0</v>
      </c>
      <c r="AG1387" s="156" t="inlineStr">
        <is>
          <t>Catálogo existente</t>
        </is>
      </c>
      <c r="AH1387"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7" s="156" t="inlineStr">
        <is>
          <t>No</t>
        </is>
      </c>
      <c r="AJ1387" s="156" t="n"/>
      <c r="AK1387" s="155" t="inlineStr">
        <is>
          <t>Criterios: J [R]; G1522_Extraccion_Articulos_NetSuite_2026-09-30.xlsx: fila 58110 [S] | Shopify Stetson: producto 14783987646827 / variante 52426156736875</t>
        </is>
      </c>
      <c r="AL1387" s="58" t="n">
        <v>252.1551724</v>
      </c>
      <c r="AM1387" s="58" t="n">
        <v>560.3448276</v>
      </c>
      <c r="AN1387" s="155" t="inlineStr">
        <is>
          <t>Shopify Stetson México</t>
        </is>
      </c>
      <c r="AO1387" s="59" t="n">
        <v>0</v>
      </c>
      <c r="AP1387" s="59" t="n"/>
      <c r="AQ1387" s="59" t="n"/>
      <c r="AR1387" s="155" t="n"/>
    </row>
    <row r="1388">
      <c r="A1388" s="50" t="inlineStr">
        <is>
          <t>7506552412016</t>
        </is>
      </c>
      <c r="B1388" s="51" t="inlineStr">
        <is>
          <t>110296</t>
        </is>
      </c>
      <c r="C1388" s="156" t="inlineStr">
        <is>
          <t>Multimarca</t>
        </is>
      </c>
      <c r="D1388" s="156" t="inlineStr">
        <is>
          <t>STTS08</t>
        </is>
      </c>
      <c r="E1388" s="156" t="inlineStr">
        <is>
          <t>STTS08-XG</t>
        </is>
      </c>
      <c r="F1388" s="156" t="inlineStr">
        <is>
          <t>XL</t>
        </is>
      </c>
      <c r="G1388" s="156" t="inlineStr">
        <is>
          <t>XL</t>
        </is>
      </c>
      <c r="H1388" s="156" t="inlineStr">
        <is>
          <t>Stetson</t>
        </is>
      </c>
      <c r="I1388" s="156" t="inlineStr">
        <is>
          <t>Playera Old Truck Vison</t>
        </is>
      </c>
      <c r="J1388" s="156" t="inlineStr">
        <is>
          <t>Ropa</t>
        </is>
      </c>
      <c r="K1388" s="156" t="inlineStr">
        <is>
          <t>Playeras</t>
        </is>
      </c>
      <c r="L1388" s="156" t="inlineStr">
        <is>
          <t>Hombre</t>
        </is>
      </c>
      <c r="M1388" s="156" t="inlineStr">
        <is>
          <t>Stetson</t>
        </is>
      </c>
      <c r="N1388" s="156" t="inlineStr">
        <is>
          <t>SS26</t>
        </is>
      </c>
      <c r="O1388" s="156" t="inlineStr">
        <is>
          <t>Seasonal</t>
        </is>
      </c>
      <c r="P1388" s="156" t="inlineStr">
        <is>
          <t>Cafe</t>
        </is>
      </c>
      <c r="Q1388" s="156" t="inlineStr">
        <is>
          <t>Regular</t>
        </is>
      </c>
      <c r="R1388" s="156" t="n"/>
      <c r="S1388" s="156" t="inlineStr">
        <is>
          <t>100% Algodón</t>
        </is>
      </c>
      <c r="T138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8" s="156" t="n"/>
      <c r="V1388" s="156" t="inlineStr">
        <is>
          <t>PZS</t>
        </is>
      </c>
      <c r="W1388" s="51" t="inlineStr">
        <is>
          <t>53103000</t>
        </is>
      </c>
      <c r="X1388" s="156" t="inlineStr">
        <is>
          <t>https://cdn.shopify.com/s/files/1/0888/3250/8267/files/STTS08-02.jpg?v=1759167209</t>
        </is>
      </c>
      <c r="Y1388" s="54" t="n">
        <v>252.1551724</v>
      </c>
      <c r="Z1388" s="54" t="n">
        <v>560.3448276</v>
      </c>
      <c r="AA1388" s="55">
        <f>IF(AND(A1388="", B1388="", E1388=""), "", IF(AB1388="", "Válido", IF((LEN(AB1388)-LEN(SUBSTITUTE(AB1388,"; ","")))/2+1&gt;(LEN(AB1388)-LEN(SUBSTITUTE(AB1388,"[Aviso]","")))/7, "Con Incidencias", "Válido")))</f>
        <v/>
      </c>
      <c r="AB1388" s="56">
        <f>IF(AND(A1388="", B1388="", E1388=""), "", TEXTJOIN("; ", TRUE, IF(OR(TRIM(A1388&amp;"")="", ISNUMBER(SEARCH("FALTA", A1388))), "UPC faltante/inválido", ""), IF(AND(A1388&lt;&gt;"", IFERROR(_xlfn.XMATCH(A1388,$A$2:$A$2509,0,1)&lt;&gt;_xlfn.XMATCH(A1388,$A$2:$A$2509,0,-1),FALSE)), "Código de barras duplicado", ""), IF(AND(E1388&lt;&gt;"", COUNTIF($E$2:$E$2509, E1388)&gt;1), "SKU duplicado", ""), IF(OR(J1388="", J1388=""), "[Aviso] División no capturada ()", IF(ISNA(MATCH(J1388, Criterios!$A$123:$A$126, 0)), "División no válida", "")), IF(OR(K1388="", K1388=""), "[Aviso] Categoría no capturada ()", IF(ISNA(MATCH(K1388, Criterios!$A$81:$A$120, 0)), "Categoría no válida", IF(AND(J1388&lt;&gt;"", J1388&lt;&gt;"", J1388&lt;&gt;VLOOKUP(K1388, Criterios!$A$81:$B$120, 2, FALSE)), "División no coincide con Categoría", ""))), IF(OR(L1388="", L1388=""), "[Aviso] Género no capturado ()", IF(ISNA(MATCH(L1388, Criterios!$B$123:$B$127, 0)), "Género no válido", "")), IF(OR(N1388="", N1388=""), "[Aviso] Temporada no capturada ()", IF(ISNA(MATCH(N1388, Criterios!$C$123:$C$128, 0)), "Temporada no válida", "")), IF(OR(O1388="", O1388=""), "[Aviso] Ciclo de vida no capturado ()", IF(ISNA(MATCH(O1388, Criterios!$D$123:$D$124, 0)), "Ciclo de vida no válido", ""))))</f>
        <v/>
      </c>
      <c r="AC1388" s="56" t="n"/>
      <c r="AD1388" s="51" t="n">
        <v>0</v>
      </c>
      <c r="AE1388" s="156" t="n"/>
      <c r="AF1388" s="51" t="n">
        <v>0</v>
      </c>
      <c r="AG1388" s="156" t="inlineStr">
        <is>
          <t>Catálogo existente</t>
        </is>
      </c>
      <c r="AH138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8" s="156" t="inlineStr">
        <is>
          <t>No</t>
        </is>
      </c>
      <c r="AJ1388" s="156" t="n"/>
      <c r="AK1388" s="155" t="inlineStr">
        <is>
          <t>Criterios: J [R]; G1522_Extraccion_Articulos_NetSuite_2026-09-30.xlsx: fila 58111 [S] | Shopify Stetson: producto 14783987646827 / variante 52426156769643</t>
        </is>
      </c>
      <c r="AL1388" s="58" t="n">
        <v>252.1551724</v>
      </c>
      <c r="AM1388" s="58" t="n">
        <v>560.3448276</v>
      </c>
      <c r="AN1388" s="155" t="inlineStr">
        <is>
          <t>Shopify Stetson México</t>
        </is>
      </c>
      <c r="AO1388" s="59" t="n">
        <v>0</v>
      </c>
      <c r="AP1388" s="59" t="n"/>
      <c r="AQ1388" s="59" t="n"/>
      <c r="AR1388" s="155" t="n"/>
    </row>
    <row r="1389">
      <c r="A1389" s="50" t="inlineStr">
        <is>
          <t>751241000105</t>
        </is>
      </c>
      <c r="B1389" s="51" t="inlineStr">
        <is>
          <t>117755</t>
        </is>
      </c>
      <c r="C1389" s="156" t="inlineStr">
        <is>
          <t>Multimarca</t>
        </is>
      </c>
      <c r="D1389" s="156" t="inlineStr">
        <is>
          <t>1360022</t>
        </is>
      </c>
      <c r="E1389" s="156" t="inlineStr">
        <is>
          <t>1360022</t>
        </is>
      </c>
      <c r="F1389" s="156" t="inlineStr">
        <is>
          <t>163 ml</t>
        </is>
      </c>
      <c r="G1389" s="156" t="inlineStr">
        <is>
          <t>5.5 fl oz</t>
        </is>
      </c>
      <c r="H1389" s="156" t="inlineStr">
        <is>
          <t>Stetson</t>
        </is>
      </c>
      <c r="I1389" s="156" t="inlineStr">
        <is>
          <t>Endurecedor/repelente para sombrero Stetson</t>
        </is>
      </c>
      <c r="J1389" s="156" t="inlineStr">
        <is>
          <t>Accesorios</t>
        </is>
      </c>
      <c r="K1389" s="156" t="inlineStr">
        <is>
          <t>Cuidado de Sombreros</t>
        </is>
      </c>
      <c r="L1389" s="156" t="inlineStr">
        <is>
          <t>Unisex</t>
        </is>
      </c>
      <c r="M1389" s="156" t="inlineStr">
        <is>
          <t>Stetson</t>
        </is>
      </c>
      <c r="N1389" s="156" t="inlineStr">
        <is>
          <t>FW26</t>
        </is>
      </c>
      <c r="O1389" s="156" t="inlineStr">
        <is>
          <t>Core</t>
        </is>
      </c>
      <c r="P1389" s="156" t="inlineStr">
        <is>
          <t>Negro</t>
        </is>
      </c>
      <c r="Q1389" s="156" t="n"/>
      <c r="R1389" s="156" t="n"/>
      <c r="S1389" s="156" t="inlineStr">
        <is>
          <t>Químico en aerosol</t>
        </is>
      </c>
      <c r="T1389" s="156" t="inlineStr">
        <is>
          <t>Endurecedor/repelente para sombrero Stetson</t>
        </is>
      </c>
      <c r="U1389" s="156" t="inlineStr">
        <is>
          <t>Estados Unidos</t>
        </is>
      </c>
      <c r="V1389" s="156" t="inlineStr">
        <is>
          <t>PZS</t>
        </is>
      </c>
      <c r="W1389" s="51" t="inlineStr">
        <is>
          <t>12164905</t>
        </is>
      </c>
      <c r="X1389" s="156" t="n"/>
      <c r="Y1389" s="54" t="n">
        <v>157.5</v>
      </c>
      <c r="Z1389" s="54" t="n">
        <v>7068.965517</v>
      </c>
      <c r="AA1389" s="55">
        <f>IF(AND(A1389="", B1389="", E1389=""), "", IF(AB1389="", "Válido", IF((LEN(AB1389)-LEN(SUBSTITUTE(AB1389,"; ","")))/2+1&gt;(LEN(AB1389)-LEN(SUBSTITUTE(AB1389,"[Aviso]","")))/7, "Con Incidencias", "Válido")))</f>
        <v/>
      </c>
      <c r="AB1389" s="56">
        <f>IF(AND(A1389="", B1389="", E1389=""), "", TEXTJOIN("; ", TRUE, IF(OR(TRIM(A1389&amp;"")="", ISNUMBER(SEARCH("FALTA", A1389))), "UPC faltante/inválido", ""), IF(AND(A1389&lt;&gt;"", IFERROR(_xlfn.XMATCH(A1389,$A$2:$A$2509,0,1)&lt;&gt;_xlfn.XMATCH(A1389,$A$2:$A$2509,0,-1),FALSE)), "Código de barras duplicado", ""), IF(AND(E1389&lt;&gt;"", COUNTIF($E$2:$E$2509, E1389)&gt;1), "SKU duplicado", ""), IF(OR(J1389="", J1389=""), "[Aviso] División no capturada ()", IF(ISNA(MATCH(J1389, Criterios!$A$123:$A$126, 0)), "División no válida", "")), IF(OR(K1389="", K1389=""), "[Aviso] Categoría no capturada ()", IF(ISNA(MATCH(K1389, Criterios!$A$81:$A$120, 0)), "Categoría no válida", IF(AND(J1389&lt;&gt;"", J1389&lt;&gt;"", J1389&lt;&gt;VLOOKUP(K1389, Criterios!$A$81:$B$120, 2, FALSE)), "División no coincide con Categoría", ""))), IF(OR(L1389="", L1389=""), "[Aviso] Género no capturado ()", IF(ISNA(MATCH(L1389, Criterios!$B$123:$B$127, 0)), "Género no válido", "")), IF(OR(N1389="", N1389=""), "[Aviso] Temporada no capturada ()", IF(ISNA(MATCH(N1389, Criterios!$C$123:$C$128, 0)), "Temporada no válida", "")), IF(OR(O1389="", O1389=""), "[Aviso] Ciclo de vida no capturado ()", IF(ISNA(MATCH(O1389, Criterios!$D$123:$D$124, 0)), "Ciclo de vida no válido", ""))))</f>
        <v/>
      </c>
      <c r="AC1389" s="56" t="n"/>
      <c r="AD1389" s="51" t="n">
        <v>0</v>
      </c>
      <c r="AE1389" s="156" t="n"/>
      <c r="AF1389" s="51" t="n">
        <v>0</v>
      </c>
      <c r="AG1389" s="156" t="inlineStr">
        <is>
          <t>Catálogo existente</t>
        </is>
      </c>
      <c r="AH1389" s="156" t="inlineStr">
        <is>
          <t>Revisión 29/09/2026: Campos sin respaldo: X; Auditoría NetSuite 30/09/2026: llenado desde NetSuite [U,S] | Homologación G1522 06/10/2026: WB País de origen: «US» → «Estados Unidos» (Corrección aplicada)</t>
        </is>
      </c>
      <c r="AI1389" s="156" t="inlineStr">
        <is>
          <t>No</t>
        </is>
      </c>
      <c r="AJ1389" s="156" t="n"/>
      <c r="AK1389" s="155" t="inlineStr">
        <is>
          <t>Criterios: I [Q] | Criterios: J [R] | Descripción del registro fuente [T]; G1522_Extraccion_Articulos_NetSuite_2026-09-30.xlsx: fila 64003 [U,S]</t>
        </is>
      </c>
      <c r="AL1389" s="58" t="n">
        <v>157.5</v>
      </c>
      <c r="AM1389" s="58" t="n">
        <v>7068.965517</v>
      </c>
      <c r="AN1389" s="155" t="n"/>
      <c r="AO1389" s="59" t="n"/>
      <c r="AP1389" s="59" t="n"/>
      <c r="AQ1389" s="59" t="n"/>
      <c r="AR1389" s="155" t="n"/>
    </row>
    <row r="1390">
      <c r="A1390" s="50" t="inlineStr">
        <is>
          <t>751241000624</t>
        </is>
      </c>
      <c r="B1390" s="51" t="inlineStr">
        <is>
          <t>117756</t>
        </is>
      </c>
      <c r="C1390" s="156" t="inlineStr">
        <is>
          <t>Multimarca</t>
        </is>
      </c>
      <c r="D1390" s="156" t="inlineStr">
        <is>
          <t>1360026</t>
        </is>
      </c>
      <c r="E1390" s="156" t="inlineStr">
        <is>
          <t>1360026</t>
        </is>
      </c>
      <c r="F1390" s="156" t="inlineStr">
        <is>
          <t>237 ml</t>
        </is>
      </c>
      <c r="G1390" s="156" t="inlineStr">
        <is>
          <t>8 fl oz</t>
        </is>
      </c>
      <c r="H1390" s="156" t="inlineStr">
        <is>
          <t>Stetson</t>
        </is>
      </c>
      <c r="I1390" s="156" t="inlineStr">
        <is>
          <t>Endurecedor/repelente para sombrero Stetson</t>
        </is>
      </c>
      <c r="J1390" s="156" t="inlineStr">
        <is>
          <t>Accesorios</t>
        </is>
      </c>
      <c r="K1390" s="156" t="inlineStr">
        <is>
          <t>Cuidado de Sombreros</t>
        </is>
      </c>
      <c r="L1390" s="156" t="inlineStr">
        <is>
          <t>Unisex</t>
        </is>
      </c>
      <c r="M1390" s="156" t="inlineStr">
        <is>
          <t>Stetson</t>
        </is>
      </c>
      <c r="N1390" s="156" t="inlineStr">
        <is>
          <t>FW26</t>
        </is>
      </c>
      <c r="O1390" s="156" t="inlineStr">
        <is>
          <t>Core</t>
        </is>
      </c>
      <c r="P1390" s="156" t="inlineStr">
        <is>
          <t>Negro</t>
        </is>
      </c>
      <c r="Q1390" s="156" t="n"/>
      <c r="R1390" s="156" t="n"/>
      <c r="S1390" s="156" t="inlineStr">
        <is>
          <t>Químico en aerosol</t>
        </is>
      </c>
      <c r="T1390" s="156" t="inlineStr">
        <is>
          <t>Endurecedor/repelente para sombrero Stetson</t>
        </is>
      </c>
      <c r="U1390" s="156" t="inlineStr">
        <is>
          <t>Estados Unidos</t>
        </is>
      </c>
      <c r="V1390" s="156" t="inlineStr">
        <is>
          <t>PZS</t>
        </is>
      </c>
      <c r="W1390" s="51" t="inlineStr">
        <is>
          <t>12164905</t>
        </is>
      </c>
      <c r="X1390" s="156" t="n"/>
      <c r="Y1390" s="54" t="n">
        <v>157.5</v>
      </c>
      <c r="Z1390" s="54" t="n">
        <v>7068.965517</v>
      </c>
      <c r="AA1390" s="55">
        <f>IF(AND(A1390="", B1390="", E1390=""), "", IF(AB1390="", "Válido", IF((LEN(AB1390)-LEN(SUBSTITUTE(AB1390,"; ","")))/2+1&gt;(LEN(AB1390)-LEN(SUBSTITUTE(AB1390,"[Aviso]","")))/7, "Con Incidencias", "Válido")))</f>
        <v/>
      </c>
      <c r="AB1390" s="56">
        <f>IF(AND(A1390="", B1390="", E1390=""), "", TEXTJOIN("; ", TRUE, IF(OR(TRIM(A1390&amp;"")="", ISNUMBER(SEARCH("FALTA", A1390))), "UPC faltante/inválido", ""), IF(AND(A1390&lt;&gt;"", IFERROR(_xlfn.XMATCH(A1390,$A$2:$A$2509,0,1)&lt;&gt;_xlfn.XMATCH(A1390,$A$2:$A$2509,0,-1),FALSE)), "Código de barras duplicado", ""), IF(AND(E1390&lt;&gt;"", COUNTIF($E$2:$E$2509, E1390)&gt;1), "SKU duplicado", ""), IF(OR(J1390="", J1390=""), "[Aviso] División no capturada ()", IF(ISNA(MATCH(J1390, Criterios!$A$123:$A$126, 0)), "División no válida", "")), IF(OR(K1390="", K1390=""), "[Aviso] Categoría no capturada ()", IF(ISNA(MATCH(K1390, Criterios!$A$81:$A$120, 0)), "Categoría no válida", IF(AND(J1390&lt;&gt;"", J1390&lt;&gt;"", J1390&lt;&gt;VLOOKUP(K1390, Criterios!$A$81:$B$120, 2, FALSE)), "División no coincide con Categoría", ""))), IF(OR(L1390="", L1390=""), "[Aviso] Género no capturado ()", IF(ISNA(MATCH(L1390, Criterios!$B$123:$B$127, 0)), "Género no válido", "")), IF(OR(N1390="", N1390=""), "[Aviso] Temporada no capturada ()", IF(ISNA(MATCH(N1390, Criterios!$C$123:$C$128, 0)), "Temporada no válida", "")), IF(OR(O1390="", O1390=""), "[Aviso] Ciclo de vida no capturado ()", IF(ISNA(MATCH(O1390, Criterios!$D$123:$D$124, 0)), "Ciclo de vida no válido", ""))))</f>
        <v/>
      </c>
      <c r="AC1390" s="56" t="n"/>
      <c r="AD1390" s="51" t="n">
        <v>0</v>
      </c>
      <c r="AE1390" s="156" t="n"/>
      <c r="AF1390" s="51" t="n">
        <v>0</v>
      </c>
      <c r="AG1390" s="156" t="inlineStr">
        <is>
          <t>Catálogo existente</t>
        </is>
      </c>
      <c r="AH1390" s="156" t="inlineStr">
        <is>
          <t>Revisión 29/09/2026: Campos sin respaldo: X; Auditoría NetSuite 30/09/2026: llenado desde NetSuite [U,S] | Homologación G1522 06/10/2026: WB País de origen: «US» → «Estados Unidos» (Corrección aplicada)</t>
        </is>
      </c>
      <c r="AI1390" s="156" t="inlineStr">
        <is>
          <t>No</t>
        </is>
      </c>
      <c r="AJ1390" s="156" t="n"/>
      <c r="AK1390" s="155" t="inlineStr">
        <is>
          <t>Criterios: I [Q] | Criterios: J [R] | Descripción del registro fuente [T]; G1522_Extraccion_Articulos_NetSuite_2026-09-30.xlsx: fila 64004 [U,S]</t>
        </is>
      </c>
      <c r="AL1390" s="58" t="n">
        <v>157.5</v>
      </c>
      <c r="AM1390" s="58" t="n">
        <v>7068.965517</v>
      </c>
      <c r="AN1390" s="155" t="n"/>
      <c r="AO1390" s="59" t="n"/>
      <c r="AP1390" s="59" t="n"/>
      <c r="AQ1390" s="59" t="n"/>
      <c r="AR1390" s="155" t="n"/>
    </row>
    <row r="1391">
      <c r="A1391" s="50" t="inlineStr">
        <is>
          <t>795177049791</t>
        </is>
      </c>
      <c r="B1391" s="51" t="inlineStr">
        <is>
          <t>109990</t>
        </is>
      </c>
      <c r="C1391" s="156" t="inlineStr">
        <is>
          <t>Multimarca</t>
        </is>
      </c>
      <c r="D1391" s="156" t="inlineStr">
        <is>
          <t>SFPRES-014007</t>
        </is>
      </c>
      <c r="E1391" s="156" t="inlineStr">
        <is>
          <t>SFPRES-01400770</t>
        </is>
      </c>
      <c r="F1391" s="156" t="inlineStr">
        <is>
          <t>7</t>
        </is>
      </c>
      <c r="G1391" s="156" t="inlineStr">
        <is>
          <t>7</t>
        </is>
      </c>
      <c r="H1391" s="156" t="inlineStr">
        <is>
          <t>Stetson</t>
        </is>
      </c>
      <c r="I1391" s="156" t="inlineStr">
        <is>
          <t>Texana Stetson el Presidente Negro</t>
        </is>
      </c>
      <c r="J1391" s="156" t="inlineStr">
        <is>
          <t>Accesorios</t>
        </is>
      </c>
      <c r="K1391" s="156" t="inlineStr">
        <is>
          <t>Sombreros</t>
        </is>
      </c>
      <c r="L1391" s="156" t="inlineStr">
        <is>
          <t>Unisex</t>
        </is>
      </c>
      <c r="M1391" s="156" t="inlineStr">
        <is>
          <t>Stetson</t>
        </is>
      </c>
      <c r="N1391" s="156" t="inlineStr">
        <is>
          <t>SS26</t>
        </is>
      </c>
      <c r="O1391" s="156" t="inlineStr">
        <is>
          <t>Seasonal</t>
        </is>
      </c>
      <c r="P1391" s="156" t="inlineStr">
        <is>
          <t>Negro</t>
        </is>
      </c>
      <c r="Q1391" s="156" t="n"/>
      <c r="R1391" s="156" t="inlineStr">
        <is>
          <t>Copa Rancher</t>
        </is>
      </c>
      <c r="S1391" s="156" t="inlineStr">
        <is>
          <t>100% Fieltro de lana</t>
        </is>
      </c>
      <c r="T1391"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1" s="156" t="inlineStr">
        <is>
          <t>Estados Unidos</t>
        </is>
      </c>
      <c r="V1391" s="156" t="inlineStr">
        <is>
          <t>PZS</t>
        </is>
      </c>
      <c r="W1391" s="51" t="inlineStr">
        <is>
          <t>53102503</t>
        </is>
      </c>
      <c r="X1391" s="156" t="inlineStr">
        <is>
          <t>https://cdn.shopify.com/s/files/1/0888/3250/8267/files/SFPRES-4840-61-70_8.png?v=1760375699</t>
        </is>
      </c>
      <c r="Y1391" s="54" t="n">
        <v>10237.5</v>
      </c>
      <c r="Z1391" s="54" t="n">
        <v>24568.96552</v>
      </c>
      <c r="AA1391" s="55">
        <f>IF(AND(A1391="", B1391="", E1391=""), "", IF(AB1391="", "Válido", IF((LEN(AB1391)-LEN(SUBSTITUTE(AB1391,"; ","")))/2+1&gt;(LEN(AB1391)-LEN(SUBSTITUTE(AB1391,"[Aviso]","")))/7, "Con Incidencias", "Válido")))</f>
        <v/>
      </c>
      <c r="AB1391" s="56">
        <f>IF(AND(A1391="", B1391="", E1391=""), "", TEXTJOIN("; ", TRUE, IF(OR(TRIM(A1391&amp;"")="", ISNUMBER(SEARCH("FALTA", A1391))), "UPC faltante/inválido", ""), IF(AND(A1391&lt;&gt;"", IFERROR(_xlfn.XMATCH(A1391,$A$2:$A$2509,0,1)&lt;&gt;_xlfn.XMATCH(A1391,$A$2:$A$2509,0,-1),FALSE)), "Código de barras duplicado", ""), IF(AND(E1391&lt;&gt;"", COUNTIF($E$2:$E$2509, E1391)&gt;1), "SKU duplicado", ""), IF(OR(J1391="", J1391=""), "[Aviso] División no capturada ()", IF(ISNA(MATCH(J1391, Criterios!$A$123:$A$126, 0)), "División no válida", "")), IF(OR(K1391="", K1391=""), "[Aviso] Categoría no capturada ()", IF(ISNA(MATCH(K1391, Criterios!$A$81:$A$120, 0)), "Categoría no válida", IF(AND(J1391&lt;&gt;"", J1391&lt;&gt;"", J1391&lt;&gt;VLOOKUP(K1391, Criterios!$A$81:$B$120, 2, FALSE)), "División no coincide con Categoría", ""))), IF(OR(L1391="", L1391=""), "[Aviso] Género no capturado ()", IF(ISNA(MATCH(L1391, Criterios!$B$123:$B$127, 0)), "Género no válido", "")), IF(OR(N1391="", N1391=""), "[Aviso] Temporada no capturada ()", IF(ISNA(MATCH(N1391, Criterios!$C$123:$C$128, 0)), "Temporada no válida", "")), IF(OR(O1391="", O1391=""), "[Aviso] Ciclo de vida no capturado ()", IF(ISNA(MATCH(O1391, Criterios!$D$123:$D$124, 0)), "Ciclo de vida no válido", ""))))</f>
        <v/>
      </c>
      <c r="AC1391" s="56" t="n"/>
      <c r="AD1391" s="51" t="n">
        <v>-1</v>
      </c>
      <c r="AE1391" s="156" t="n"/>
      <c r="AF1391" s="51" t="n">
        <v>0</v>
      </c>
      <c r="AG1391" s="156" t="inlineStr">
        <is>
          <t>Catálogo existente</t>
        </is>
      </c>
      <c r="AH1391" s="156" t="inlineStr">
        <is>
          <t>Stock negativo en sistema: revisar en conteo | Revisión 29/09/2026: Cruce de catálogo y criterios sin pendientes detectados | 01/10/2026: complementado desde Shopify Stetson México (match por código de barras): WB Fit, WB Silueta</t>
        </is>
      </c>
      <c r="AI1391" s="156" t="inlineStr">
        <is>
          <t>Sí</t>
        </is>
      </c>
      <c r="AJ1391" s="156" t="inlineStr">
        <is>
          <t>STETSON AMERICAS (-1)</t>
        </is>
      </c>
      <c r="AK1391" s="155" t="inlineStr">
        <is>
          <t>Criterios: I [Q] | Shopify Stetson: producto 14791359889771 / variante 53494889087339 | Odoo: producto 19375 / plantilla 23862</t>
        </is>
      </c>
      <c r="AL1391" s="58" t="n">
        <v>10237.5</v>
      </c>
      <c r="AM1391" s="58" t="n">
        <v>24568.96552</v>
      </c>
      <c r="AN1391" s="155" t="inlineStr">
        <is>
          <t>Shopify Stetson México | Odoo Universal Unique Brands</t>
        </is>
      </c>
      <c r="AO1391" s="59" t="n">
        <v>0</v>
      </c>
      <c r="AP1391" s="59" t="n"/>
      <c r="AQ1391" s="59" t="n">
        <v>1</v>
      </c>
      <c r="AR1391" s="155" t="inlineStr">
        <is>
          <t>Odoo Universal Unique Brands › Bodega 25 › Bodega 25/General: 1</t>
        </is>
      </c>
    </row>
    <row r="1392">
      <c r="A1392" s="50" t="inlineStr">
        <is>
          <t>795177049807</t>
        </is>
      </c>
      <c r="B1392" s="51" t="inlineStr">
        <is>
          <t>109991</t>
        </is>
      </c>
      <c r="C1392" s="156" t="inlineStr">
        <is>
          <t>Multimarca</t>
        </is>
      </c>
      <c r="D1392" s="156" t="inlineStr">
        <is>
          <t>SFPRES-014007</t>
        </is>
      </c>
      <c r="E1392" s="156" t="inlineStr">
        <is>
          <t>SFPRES-01400771</t>
        </is>
      </c>
      <c r="F1392" s="156" t="inlineStr">
        <is>
          <t>7 1/8</t>
        </is>
      </c>
      <c r="G1392" s="156" t="inlineStr">
        <is>
          <t>7 1/8</t>
        </is>
      </c>
      <c r="H1392" s="156" t="inlineStr">
        <is>
          <t>Stetson</t>
        </is>
      </c>
      <c r="I1392" s="156" t="inlineStr">
        <is>
          <t>Texana Stetson el Presidente Negro</t>
        </is>
      </c>
      <c r="J1392" s="156" t="inlineStr">
        <is>
          <t>Accesorios</t>
        </is>
      </c>
      <c r="K1392" s="156" t="inlineStr">
        <is>
          <t>Sombreros</t>
        </is>
      </c>
      <c r="L1392" s="156" t="inlineStr">
        <is>
          <t>Unisex</t>
        </is>
      </c>
      <c r="M1392" s="156" t="inlineStr">
        <is>
          <t>Stetson</t>
        </is>
      </c>
      <c r="N1392" s="156" t="inlineStr">
        <is>
          <t>SS26</t>
        </is>
      </c>
      <c r="O1392" s="156" t="inlineStr">
        <is>
          <t>Seasonal</t>
        </is>
      </c>
      <c r="P1392" s="156" t="inlineStr">
        <is>
          <t>Negro</t>
        </is>
      </c>
      <c r="Q1392" s="156" t="n"/>
      <c r="R1392" s="156" t="inlineStr">
        <is>
          <t>Copa Rancher</t>
        </is>
      </c>
      <c r="S1392" s="156" t="inlineStr">
        <is>
          <t>100% Fieltro de lana</t>
        </is>
      </c>
      <c r="T1392"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2" s="156" t="inlineStr">
        <is>
          <t>Estados Unidos</t>
        </is>
      </c>
      <c r="V1392" s="156" t="inlineStr">
        <is>
          <t>PZS</t>
        </is>
      </c>
      <c r="W1392" s="51" t="inlineStr">
        <is>
          <t>53102503</t>
        </is>
      </c>
      <c r="X1392" s="156" t="inlineStr">
        <is>
          <t>https://cdn.shopify.com/s/files/1/0888/3250/8267/files/SFPRES-4840-61-70_2.png?v=1760375699</t>
        </is>
      </c>
      <c r="Y1392" s="54" t="n">
        <v>10237.5</v>
      </c>
      <c r="Z1392" s="54" t="n">
        <v>24568.96552</v>
      </c>
      <c r="AA1392" s="55">
        <f>IF(AND(A1392="", B1392="", E1392=""), "", IF(AB1392="", "Válido", IF((LEN(AB1392)-LEN(SUBSTITUTE(AB1392,"; ","")))/2+1&gt;(LEN(AB1392)-LEN(SUBSTITUTE(AB1392,"[Aviso]","")))/7, "Con Incidencias", "Válido")))</f>
        <v/>
      </c>
      <c r="AB1392" s="56">
        <f>IF(AND(A1392="", B1392="", E1392=""), "", TEXTJOIN("; ", TRUE, IF(OR(TRIM(A1392&amp;"")="", ISNUMBER(SEARCH("FALTA", A1392))), "UPC faltante/inválido", ""), IF(AND(A1392&lt;&gt;"", IFERROR(_xlfn.XMATCH(A1392,$A$2:$A$2509,0,1)&lt;&gt;_xlfn.XMATCH(A1392,$A$2:$A$2509,0,-1),FALSE)), "Código de barras duplicado", ""), IF(AND(E1392&lt;&gt;"", COUNTIF($E$2:$E$2509, E1392)&gt;1), "SKU duplicado", ""), IF(OR(J1392="", J1392=""), "[Aviso] División no capturada ()", IF(ISNA(MATCH(J1392, Criterios!$A$123:$A$126, 0)), "División no válida", "")), IF(OR(K1392="", K1392=""), "[Aviso] Categoría no capturada ()", IF(ISNA(MATCH(K1392, Criterios!$A$81:$A$120, 0)), "Categoría no válida", IF(AND(J1392&lt;&gt;"", J1392&lt;&gt;"", J1392&lt;&gt;VLOOKUP(K1392, Criterios!$A$81:$B$120, 2, FALSE)), "División no coincide con Categoría", ""))), IF(OR(L1392="", L1392=""), "[Aviso] Género no capturado ()", IF(ISNA(MATCH(L1392, Criterios!$B$123:$B$127, 0)), "Género no válido", "")), IF(OR(N1392="", N1392=""), "[Aviso] Temporada no capturada ()", IF(ISNA(MATCH(N1392, Criterios!$C$123:$C$128, 0)), "Temporada no válida", "")), IF(OR(O1392="", O1392=""), "[Aviso] Ciclo de vida no capturado ()", IF(ISNA(MATCH(O1392, Criterios!$D$123:$D$124, 0)), "Ciclo de vida no válido", ""))))</f>
        <v/>
      </c>
      <c r="AC1392" s="56" t="n"/>
      <c r="AD1392" s="51" t="n">
        <v>-1</v>
      </c>
      <c r="AE1392" s="156" t="n"/>
      <c r="AF1392" s="51" t="n">
        <v>0</v>
      </c>
      <c r="AG1392" s="156" t="inlineStr">
        <is>
          <t>Catálogo existente</t>
        </is>
      </c>
      <c r="AH1392" s="156" t="inlineStr">
        <is>
          <t>Stock negativo en sistema: revisar en conteo | Revisión 29/09/2026: Cruce de catálogo y criterios sin pendientes detectados | 01/10/2026: complementado desde Shopify Stetson México (match por código de barras): WB Fit, WB Silueta</t>
        </is>
      </c>
      <c r="AI1392" s="156" t="inlineStr">
        <is>
          <t>Sí</t>
        </is>
      </c>
      <c r="AJ1392" s="156" t="inlineStr">
        <is>
          <t>STETSON AMERICAS (-1)</t>
        </is>
      </c>
      <c r="AK1392" s="155" t="inlineStr">
        <is>
          <t>Criterios: I [Q] | Shopify Stetson: producto 14791359889771 / variante 53494889120107 | Odoo: producto 19376 / plantilla 23863</t>
        </is>
      </c>
      <c r="AL1392" s="58" t="n">
        <v>10237.5</v>
      </c>
      <c r="AM1392" s="58" t="n">
        <v>24568.96552</v>
      </c>
      <c r="AN1392" s="155" t="inlineStr">
        <is>
          <t>Shopify Stetson México | Odoo Universal Unique Brands</t>
        </is>
      </c>
      <c r="AO1392" s="59" t="n">
        <v>1</v>
      </c>
      <c r="AP1392" s="59" t="n"/>
      <c r="AQ1392" s="59" t="n">
        <v>2</v>
      </c>
      <c r="AR1392" s="155" t="inlineStr">
        <is>
          <t>Shopify Stetson México › Stetson México: 1 | Odoo Universal Unique Brands › Bodega 25 › Bodega 25/General: 2</t>
        </is>
      </c>
    </row>
    <row r="1393">
      <c r="A1393" s="50" t="inlineStr">
        <is>
          <t>795177049814</t>
        </is>
      </c>
      <c r="B1393" s="51" t="inlineStr">
        <is>
          <t>109992</t>
        </is>
      </c>
      <c r="C1393" s="156" t="inlineStr">
        <is>
          <t>Multimarca</t>
        </is>
      </c>
      <c r="D1393" s="156" t="inlineStr">
        <is>
          <t>SFPRES-014007</t>
        </is>
      </c>
      <c r="E1393" s="156" t="inlineStr">
        <is>
          <t>SFPRES-01400772</t>
        </is>
      </c>
      <c r="F1393" s="156" t="inlineStr">
        <is>
          <t>7 1/4</t>
        </is>
      </c>
      <c r="G1393" s="156" t="inlineStr">
        <is>
          <t>7 1/4</t>
        </is>
      </c>
      <c r="H1393" s="156" t="inlineStr">
        <is>
          <t>Stetson</t>
        </is>
      </c>
      <c r="I1393" s="156" t="inlineStr">
        <is>
          <t>Texana Stetson el Presidente Negro</t>
        </is>
      </c>
      <c r="J1393" s="156" t="inlineStr">
        <is>
          <t>Accesorios</t>
        </is>
      </c>
      <c r="K1393" s="156" t="inlineStr">
        <is>
          <t>Sombreros</t>
        </is>
      </c>
      <c r="L1393" s="156" t="inlineStr">
        <is>
          <t>Unisex</t>
        </is>
      </c>
      <c r="M1393" s="156" t="inlineStr">
        <is>
          <t>Stetson</t>
        </is>
      </c>
      <c r="N1393" s="156" t="inlineStr">
        <is>
          <t>SS26</t>
        </is>
      </c>
      <c r="O1393" s="156" t="inlineStr">
        <is>
          <t>Seasonal</t>
        </is>
      </c>
      <c r="P1393" s="156" t="inlineStr">
        <is>
          <t>Negro</t>
        </is>
      </c>
      <c r="Q1393" s="156" t="n"/>
      <c r="R1393" s="156" t="inlineStr">
        <is>
          <t>Copa Rancher</t>
        </is>
      </c>
      <c r="S1393" s="156" t="inlineStr">
        <is>
          <t>100% Fieltro de lana</t>
        </is>
      </c>
      <c r="T1393"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3" s="156" t="inlineStr">
        <is>
          <t>Estados Unidos</t>
        </is>
      </c>
      <c r="V1393" s="156" t="inlineStr">
        <is>
          <t>PZS</t>
        </is>
      </c>
      <c r="W1393" s="51" t="inlineStr">
        <is>
          <t>53102503</t>
        </is>
      </c>
      <c r="X1393" s="156" t="inlineStr">
        <is>
          <t>https://cdn.shopify.com/s/files/1/0888/3250/8267/files/SFPRES-4840-61-70_4.png?v=1760375699</t>
        </is>
      </c>
      <c r="Y1393" s="54" t="n">
        <v>10237.5</v>
      </c>
      <c r="Z1393" s="54" t="n">
        <v>24568.96552</v>
      </c>
      <c r="AA1393" s="55">
        <f>IF(AND(A1393="", B1393="", E1393=""), "", IF(AB1393="", "Válido", IF((LEN(AB1393)-LEN(SUBSTITUTE(AB1393,"; ","")))/2+1&gt;(LEN(AB1393)-LEN(SUBSTITUTE(AB1393,"[Aviso]","")))/7, "Con Incidencias", "Válido")))</f>
        <v/>
      </c>
      <c r="AB1393" s="56">
        <f>IF(AND(A1393="", B1393="", E1393=""), "", TEXTJOIN("; ", TRUE, IF(OR(TRIM(A1393&amp;"")="", ISNUMBER(SEARCH("FALTA", A1393))), "UPC faltante/inválido", ""), IF(AND(A1393&lt;&gt;"", IFERROR(_xlfn.XMATCH(A1393,$A$2:$A$2509,0,1)&lt;&gt;_xlfn.XMATCH(A1393,$A$2:$A$2509,0,-1),FALSE)), "Código de barras duplicado", ""), IF(AND(E1393&lt;&gt;"", COUNTIF($E$2:$E$2509, E1393)&gt;1), "SKU duplicado", ""), IF(OR(J1393="", J1393=""), "[Aviso] División no capturada ()", IF(ISNA(MATCH(J1393, Criterios!$A$123:$A$126, 0)), "División no válida", "")), IF(OR(K1393="", K1393=""), "[Aviso] Categoría no capturada ()", IF(ISNA(MATCH(K1393, Criterios!$A$81:$A$120, 0)), "Categoría no válida", IF(AND(J1393&lt;&gt;"", J1393&lt;&gt;"", J1393&lt;&gt;VLOOKUP(K1393, Criterios!$A$81:$B$120, 2, FALSE)), "División no coincide con Categoría", ""))), IF(OR(L1393="", L1393=""), "[Aviso] Género no capturado ()", IF(ISNA(MATCH(L1393, Criterios!$B$123:$B$127, 0)), "Género no válido", "")), IF(OR(N1393="", N1393=""), "[Aviso] Temporada no capturada ()", IF(ISNA(MATCH(N1393, Criterios!$C$123:$C$128, 0)), "Temporada no válida", "")), IF(OR(O1393="", O1393=""), "[Aviso] Ciclo de vida no capturado ()", IF(ISNA(MATCH(O1393, Criterios!$D$123:$D$124, 0)), "Ciclo de vida no válido", ""))))</f>
        <v/>
      </c>
      <c r="AC1393" s="56" t="n"/>
      <c r="AD1393" s="51" t="n">
        <v>-2</v>
      </c>
      <c r="AE1393" s="156" t="n"/>
      <c r="AF1393" s="51" t="n">
        <v>0</v>
      </c>
      <c r="AG1393" s="156" t="inlineStr">
        <is>
          <t>Catálogo existente</t>
        </is>
      </c>
      <c r="AH1393" s="156" t="inlineStr">
        <is>
          <t>Stock negativo en sistema: revisar en conteo | Revisión 29/09/2026: Cruce de catálogo y criterios sin pendientes detectados | 01/10/2026: complementado desde Shopify Stetson México (match por código de barras): WB Fit, WB Silueta</t>
        </is>
      </c>
      <c r="AI1393" s="156" t="inlineStr">
        <is>
          <t>Sí</t>
        </is>
      </c>
      <c r="AJ1393" s="156" t="inlineStr">
        <is>
          <t>STETSON AMERICAS (-2)</t>
        </is>
      </c>
      <c r="AK1393" s="155" t="inlineStr">
        <is>
          <t>Criterios: I [Q] | Shopify Stetson: producto 14791359889771 / variante 53494889152875 | Odoo: producto 19377 / plantilla 23864</t>
        </is>
      </c>
      <c r="AL1393" s="58" t="n">
        <v>10237.5</v>
      </c>
      <c r="AM1393" s="58" t="n">
        <v>24568.96552</v>
      </c>
      <c r="AN1393" s="155" t="inlineStr">
        <is>
          <t>Shopify Stetson México | Odoo Universal Unique Brands</t>
        </is>
      </c>
      <c r="AO1393" s="59" t="n">
        <v>0</v>
      </c>
      <c r="AP1393" s="59" t="n"/>
      <c r="AQ1393" s="59" t="n">
        <v>2</v>
      </c>
      <c r="AR1393" s="155" t="inlineStr">
        <is>
          <t>Shopify Stetson México › Stetson México: 1 | Odoo Universal Unique Brands › Bodega 25 › Bodega 25/General: 2</t>
        </is>
      </c>
    </row>
    <row r="1394">
      <c r="A1394" s="50" t="inlineStr">
        <is>
          <t>795177049821</t>
        </is>
      </c>
      <c r="B1394" s="51" t="inlineStr">
        <is>
          <t>109993</t>
        </is>
      </c>
      <c r="C1394" s="156" t="inlineStr">
        <is>
          <t>Multimarca</t>
        </is>
      </c>
      <c r="D1394" s="156" t="inlineStr">
        <is>
          <t>SFPRES-014007</t>
        </is>
      </c>
      <c r="E1394" s="156" t="inlineStr">
        <is>
          <t>SFPRES-01400773</t>
        </is>
      </c>
      <c r="F1394" s="156" t="inlineStr">
        <is>
          <t>7 3/8</t>
        </is>
      </c>
      <c r="G1394" s="156" t="inlineStr">
        <is>
          <t>7 3/8</t>
        </is>
      </c>
      <c r="H1394" s="156" t="inlineStr">
        <is>
          <t>Stetson</t>
        </is>
      </c>
      <c r="I1394" s="156" t="inlineStr">
        <is>
          <t>Texana Stetson el Presidente Negro</t>
        </is>
      </c>
      <c r="J1394" s="156" t="inlineStr">
        <is>
          <t>Accesorios</t>
        </is>
      </c>
      <c r="K1394" s="156" t="inlineStr">
        <is>
          <t>Sombreros</t>
        </is>
      </c>
      <c r="L1394" s="156" t="inlineStr">
        <is>
          <t>Unisex</t>
        </is>
      </c>
      <c r="M1394" s="156" t="inlineStr">
        <is>
          <t>Stetson</t>
        </is>
      </c>
      <c r="N1394" s="156" t="inlineStr">
        <is>
          <t>SS26</t>
        </is>
      </c>
      <c r="O1394" s="156" t="inlineStr">
        <is>
          <t>Seasonal</t>
        </is>
      </c>
      <c r="P1394" s="156" t="inlineStr">
        <is>
          <t>Negro</t>
        </is>
      </c>
      <c r="Q1394" s="156" t="n"/>
      <c r="R1394" s="156" t="inlineStr">
        <is>
          <t>Copa Cattleman</t>
        </is>
      </c>
      <c r="S1394" s="156" t="inlineStr">
        <is>
          <t>100% Fieltro de lana</t>
        </is>
      </c>
      <c r="T1394"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4" s="156" t="inlineStr">
        <is>
          <t>Estados Unidos</t>
        </is>
      </c>
      <c r="V1394" s="156" t="inlineStr">
        <is>
          <t>PZS</t>
        </is>
      </c>
      <c r="W1394" s="51" t="inlineStr">
        <is>
          <t>53102503</t>
        </is>
      </c>
      <c r="X1394" s="156" t="inlineStr">
        <is>
          <t>https://cdn.shopify.com/s/files/1/0888/3250/8267/files/SFPRES-4840-61-70_1.png?v=1760375681</t>
        </is>
      </c>
      <c r="Y1394" s="54" t="n">
        <v>10237.5</v>
      </c>
      <c r="Z1394" s="54" t="n">
        <v>24568.96552</v>
      </c>
      <c r="AA1394" s="55">
        <f>IF(AND(A1394="", B1394="", E1394=""), "", IF(AB1394="", "Válido", IF((LEN(AB1394)-LEN(SUBSTITUTE(AB1394,"; ","")))/2+1&gt;(LEN(AB1394)-LEN(SUBSTITUTE(AB1394,"[Aviso]","")))/7, "Con Incidencias", "Válido")))</f>
        <v/>
      </c>
      <c r="AB1394" s="56">
        <f>IF(AND(A1394="", B1394="", E1394=""), "", TEXTJOIN("; ", TRUE, IF(OR(TRIM(A1394&amp;"")="", ISNUMBER(SEARCH("FALTA", A1394))), "UPC faltante/inválido", ""), IF(AND(A1394&lt;&gt;"", IFERROR(_xlfn.XMATCH(A1394,$A$2:$A$2509,0,1)&lt;&gt;_xlfn.XMATCH(A1394,$A$2:$A$2509,0,-1),FALSE)), "Código de barras duplicado", ""), IF(AND(E1394&lt;&gt;"", COUNTIF($E$2:$E$2509, E1394)&gt;1), "SKU duplicado", ""), IF(OR(J1394="", J1394=""), "[Aviso] División no capturada ()", IF(ISNA(MATCH(J1394, Criterios!$A$123:$A$126, 0)), "División no válida", "")), IF(OR(K1394="", K1394=""), "[Aviso] Categoría no capturada ()", IF(ISNA(MATCH(K1394, Criterios!$A$81:$A$120, 0)), "Categoría no válida", IF(AND(J1394&lt;&gt;"", J1394&lt;&gt;"", J1394&lt;&gt;VLOOKUP(K1394, Criterios!$A$81:$B$120, 2, FALSE)), "División no coincide con Categoría", ""))), IF(OR(L1394="", L1394=""), "[Aviso] Género no capturado ()", IF(ISNA(MATCH(L1394, Criterios!$B$123:$B$127, 0)), "Género no válido", "")), IF(OR(N1394="", N1394=""), "[Aviso] Temporada no capturada ()", IF(ISNA(MATCH(N1394, Criterios!$C$123:$C$128, 0)), "Temporada no válida", "")), IF(OR(O1394="", O1394=""), "[Aviso] Ciclo de vida no capturado ()", IF(ISNA(MATCH(O1394, Criterios!$D$123:$D$124, 0)), "Ciclo de vida no válido", ""))))</f>
        <v/>
      </c>
      <c r="AC1394" s="56" t="n"/>
      <c r="AD1394" s="51" t="n">
        <v>0</v>
      </c>
      <c r="AE1394" s="156" t="n"/>
      <c r="AF1394" s="51" t="n">
        <v>0</v>
      </c>
      <c r="AG1394" s="156" t="inlineStr">
        <is>
          <t>Catálogo existente</t>
        </is>
      </c>
      <c r="AH1394" s="156" t="inlineStr">
        <is>
          <t>Revisión 29/09/2026: Campos sin respaldo: X | 01/10/2026: complementado desde Odoo Universal Unique Brands (match por código de barras): WB Fit | Homologación G1522 06/10/2026: WB Silueta: «» → «Copa Cattleman» (Completado por investigación en línea) · Enlace de imagen: «» → «https://cdn.shopify.com/s/files/1/0888/3250/8267/files/SFPRES-4840-61-70_1.png?v=1760375681» (Completado por investigación en línea)</t>
        </is>
      </c>
      <c r="AI1394" s="156" t="inlineStr">
        <is>
          <t>No</t>
        </is>
      </c>
      <c r="AJ1394" s="156" t="n"/>
      <c r="AK1394" s="155" t="inlineStr">
        <is>
          <t>Criterios: I [Q] | Odoo: producto 19378 / plantilla 23865 | Investigación en línea 06/10/2026: https://stetson.mx/products/el-presidente-100x-premier-stetson-r</t>
        </is>
      </c>
      <c r="AL1394" s="58" t="n">
        <v>10237.5</v>
      </c>
      <c r="AM1394" s="58" t="n">
        <v>24568.96552</v>
      </c>
      <c r="AN1394" s="155" t="inlineStr">
        <is>
          <t>Odoo Universal Unique Brands</t>
        </is>
      </c>
      <c r="AO1394" s="59" t="n"/>
      <c r="AP1394" s="59" t="n"/>
      <c r="AQ1394" s="59" t="n">
        <v>2</v>
      </c>
      <c r="AR1394" s="155" t="inlineStr">
        <is>
          <t>Odoo Universal Unique Brands › Bodega 25 › Bodega 25/General: 2</t>
        </is>
      </c>
    </row>
    <row r="1395">
      <c r="A1395" s="50" t="inlineStr">
        <is>
          <t>795177054344</t>
        </is>
      </c>
      <c r="B1395" s="51" t="inlineStr">
        <is>
          <t>109994</t>
        </is>
      </c>
      <c r="C1395" s="156" t="inlineStr">
        <is>
          <t>Multimarca</t>
        </is>
      </c>
      <c r="D1395" s="156" t="inlineStr">
        <is>
          <t>SFPRES-484007</t>
        </is>
      </c>
      <c r="E1395" s="156" t="inlineStr">
        <is>
          <t>SFPRES-48400770</t>
        </is>
      </c>
      <c r="F1395" s="156" t="inlineStr">
        <is>
          <t>7</t>
        </is>
      </c>
      <c r="G1395" s="156" t="inlineStr">
        <is>
          <t>7</t>
        </is>
      </c>
      <c r="H1395" s="156" t="inlineStr">
        <is>
          <t>Stetson</t>
        </is>
      </c>
      <c r="I1395" s="156" t="inlineStr">
        <is>
          <t>Texana Stetson el Presidente Negro</t>
        </is>
      </c>
      <c r="J1395" s="156" t="inlineStr">
        <is>
          <t>Accesorios</t>
        </is>
      </c>
      <c r="K1395" s="156" t="inlineStr">
        <is>
          <t>Sombreros</t>
        </is>
      </c>
      <c r="L1395" s="156" t="inlineStr">
        <is>
          <t>Unisex</t>
        </is>
      </c>
      <c r="M1395" s="156" t="inlineStr">
        <is>
          <t>Stetson</t>
        </is>
      </c>
      <c r="N1395" s="156" t="inlineStr">
        <is>
          <t>SS26</t>
        </is>
      </c>
      <c r="O1395" s="156" t="inlineStr">
        <is>
          <t>Seasonal</t>
        </is>
      </c>
      <c r="P1395" s="156" t="inlineStr">
        <is>
          <t>Negro</t>
        </is>
      </c>
      <c r="Q1395" s="156" t="n"/>
      <c r="R1395" s="156" t="inlineStr">
        <is>
          <t>Copa Cattleman</t>
        </is>
      </c>
      <c r="S1395" s="156" t="inlineStr">
        <is>
          <t>100% Fieltro de lana</t>
        </is>
      </c>
      <c r="T1395"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5" s="156" t="inlineStr">
        <is>
          <t>Estados Unidos</t>
        </is>
      </c>
      <c r="V1395" s="156" t="inlineStr">
        <is>
          <t>PZS</t>
        </is>
      </c>
      <c r="W1395" s="51" t="inlineStr">
        <is>
          <t>53102503</t>
        </is>
      </c>
      <c r="X1395" s="156" t="inlineStr">
        <is>
          <t>https://cdn.shopify.com/s/files/1/0357/2432/9005/products/sfpres-4840_black_1.jpg?v=1590802328</t>
        </is>
      </c>
      <c r="Y1395" s="54" t="n">
        <v>10237.5</v>
      </c>
      <c r="Z1395" s="54" t="n">
        <v>24568.96552</v>
      </c>
      <c r="AA1395" s="55">
        <f>IF(AND(A1395="", B1395="", E1395=""), "", IF(AB1395="", "Válido", IF((LEN(AB1395)-LEN(SUBSTITUTE(AB1395,"; ","")))/2+1&gt;(LEN(AB1395)-LEN(SUBSTITUTE(AB1395,"[Aviso]","")))/7, "Con Incidencias", "Válido")))</f>
        <v/>
      </c>
      <c r="AB1395" s="56">
        <f>IF(AND(A1395="", B1395="", E1395=""), "", TEXTJOIN("; ", TRUE, IF(OR(TRIM(A1395&amp;"")="", ISNUMBER(SEARCH("FALTA", A1395))), "UPC faltante/inválido", ""), IF(AND(A1395&lt;&gt;"", IFERROR(_xlfn.XMATCH(A1395,$A$2:$A$2509,0,1)&lt;&gt;_xlfn.XMATCH(A1395,$A$2:$A$2509,0,-1),FALSE)), "Código de barras duplicado", ""), IF(AND(E1395&lt;&gt;"", COUNTIF($E$2:$E$2509, E1395)&gt;1), "SKU duplicado", ""), IF(OR(J1395="", J1395=""), "[Aviso] División no capturada ()", IF(ISNA(MATCH(J1395, Criterios!$A$123:$A$126, 0)), "División no válida", "")), IF(OR(K1395="", K1395=""), "[Aviso] Categoría no capturada ()", IF(ISNA(MATCH(K1395, Criterios!$A$81:$A$120, 0)), "Categoría no válida", IF(AND(J1395&lt;&gt;"", J1395&lt;&gt;"", J1395&lt;&gt;VLOOKUP(K1395, Criterios!$A$81:$B$120, 2, FALSE)), "División no coincide con Categoría", ""))), IF(OR(L1395="", L1395=""), "[Aviso] Género no capturado ()", IF(ISNA(MATCH(L1395, Criterios!$B$123:$B$127, 0)), "Género no válido", "")), IF(OR(N1395="", N1395=""), "[Aviso] Temporada no capturada ()", IF(ISNA(MATCH(N1395, Criterios!$C$123:$C$128, 0)), "Temporada no válida", "")), IF(OR(O1395="", O1395=""), "[Aviso] Ciclo de vida no capturado ()", IF(ISNA(MATCH(O1395, Criterios!$D$123:$D$124, 0)), "Ciclo de vida no válido", ""))))</f>
        <v/>
      </c>
      <c r="AC1395" s="56" t="n"/>
      <c r="AD1395" s="51" t="n">
        <v>0</v>
      </c>
      <c r="AE1395" s="156" t="n"/>
      <c r="AF1395" s="51" t="n">
        <v>0</v>
      </c>
      <c r="AG1395" s="156" t="inlineStr">
        <is>
          <t>Catálogo existente</t>
        </is>
      </c>
      <c r="AH1395" s="156" t="inlineStr">
        <is>
          <t>Revisión 29/09/2026: Campos sin respaldo: X | Homologación G1522 06/10/2026: WB Silueta: «» → «Copa Cattleman» (Completado por investigación en línea) · Enlace de imagen: «» → «https://cdn.shopify.com/s/files/1/0357/2432/9005/products/sfpres-4840_black_1.jpg?v=1590802328» (Completado por investigación en línea)</t>
        </is>
      </c>
      <c r="AI1395" s="156" t="inlineStr">
        <is>
          <t>No</t>
        </is>
      </c>
      <c r="AJ1395" s="156" t="n"/>
      <c r="AK1395" s="155" t="inlineStr">
        <is>
          <t>Criterios: I [Q] | Investigación en línea 06/10/2026: https://www.stetson.com/products/el-presidente-100x-premier-cowboy-hat-black</t>
        </is>
      </c>
      <c r="AL1395" s="58" t="n">
        <v>10237.5</v>
      </c>
      <c r="AM1395" s="58" t="n">
        <v>24568.96552</v>
      </c>
      <c r="AN1395" s="155" t="n"/>
      <c r="AO1395" s="59" t="n"/>
      <c r="AP1395" s="59" t="n"/>
      <c r="AQ1395" s="59" t="n"/>
      <c r="AR1395" s="155" t="n"/>
    </row>
    <row r="1396">
      <c r="A1396" s="50" t="inlineStr">
        <is>
          <t>795177054351</t>
        </is>
      </c>
      <c r="B1396" s="51" t="inlineStr">
        <is>
          <t>117574</t>
        </is>
      </c>
      <c r="C1396" s="156" t="inlineStr">
        <is>
          <t>Multimarca</t>
        </is>
      </c>
      <c r="D1396" s="156" t="inlineStr">
        <is>
          <t>SFPRES-484034</t>
        </is>
      </c>
      <c r="E1396" s="156" t="inlineStr">
        <is>
          <t>SFPRES-48403471</t>
        </is>
      </c>
      <c r="F1396" s="156" t="inlineStr">
        <is>
          <t>7 1/8</t>
        </is>
      </c>
      <c r="G1396" s="156" t="inlineStr">
        <is>
          <t>7 1/8</t>
        </is>
      </c>
      <c r="H1396" s="156" t="inlineStr">
        <is>
          <t>Stetson</t>
        </is>
      </c>
      <c r="I1396" s="156" t="inlineStr">
        <is>
          <t>Texana Stetson El Presidente Gris Niebla</t>
        </is>
      </c>
      <c r="J1396" s="156" t="inlineStr">
        <is>
          <t>Accesorios</t>
        </is>
      </c>
      <c r="K1396" s="156" t="inlineStr">
        <is>
          <t>Sombreros</t>
        </is>
      </c>
      <c r="L1396" s="156" t="inlineStr">
        <is>
          <t>Unisex</t>
        </is>
      </c>
      <c r="M1396" s="156" t="inlineStr">
        <is>
          <t>Stetson</t>
        </is>
      </c>
      <c r="N1396" s="156" t="inlineStr">
        <is>
          <t>FW26</t>
        </is>
      </c>
      <c r="O1396" s="156" t="inlineStr">
        <is>
          <t>Seasonal</t>
        </is>
      </c>
      <c r="P1396" s="156" t="inlineStr">
        <is>
          <t>Gris</t>
        </is>
      </c>
      <c r="Q1396" s="156" t="n"/>
      <c r="R1396" s="156" t="inlineStr">
        <is>
          <t>Copa Rancher</t>
        </is>
      </c>
      <c r="S1396" s="156" t="inlineStr">
        <is>
          <t>Fieltro de pelo 100X</t>
        </is>
      </c>
      <c r="T1396"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6" s="156" t="inlineStr">
        <is>
          <t>Estados Unidos</t>
        </is>
      </c>
      <c r="V1396" s="156" t="inlineStr">
        <is>
          <t>PZS</t>
        </is>
      </c>
      <c r="W1396" s="51" t="inlineStr">
        <is>
          <t>53102516</t>
        </is>
      </c>
      <c r="X1396" s="156" t="inlineStr">
        <is>
          <t>https://cdn.shopify.com/s/files/1/0888/3250/8267/files/sfpres-4840_black_2.webp?v=1783638228</t>
        </is>
      </c>
      <c r="Y1396" s="54" t="n">
        <v>10237.5</v>
      </c>
      <c r="Z1396" s="54" t="n">
        <v>24568.96552</v>
      </c>
      <c r="AA1396" s="55">
        <f>IF(AND(A1396="", B1396="", E1396=""), "", IF(AB1396="", "Válido", IF((LEN(AB1396)-LEN(SUBSTITUTE(AB1396,"; ","")))/2+1&gt;(LEN(AB1396)-LEN(SUBSTITUTE(AB1396,"[Aviso]","")))/7, "Con Incidencias", "Válido")))</f>
        <v/>
      </c>
      <c r="AB1396" s="56">
        <f>IF(AND(A1396="", B1396="", E1396=""), "", TEXTJOIN("; ", TRUE, IF(OR(TRIM(A1396&amp;"")="", ISNUMBER(SEARCH("FALTA", A1396))), "UPC faltante/inválido", ""), IF(AND(A1396&lt;&gt;"", IFERROR(_xlfn.XMATCH(A1396,$A$2:$A$2509,0,1)&lt;&gt;_xlfn.XMATCH(A1396,$A$2:$A$2509,0,-1),FALSE)), "Código de barras duplicado", ""), IF(AND(E1396&lt;&gt;"", COUNTIF($E$2:$E$2509, E1396)&gt;1), "SKU duplicado", ""), IF(OR(J1396="", J1396=""), "[Aviso] División no capturada ()", IF(ISNA(MATCH(J1396, Criterios!$A$123:$A$126, 0)), "División no válida", "")), IF(OR(K1396="", K1396=""), "[Aviso] Categoría no capturada ()", IF(ISNA(MATCH(K1396, Criterios!$A$81:$A$120, 0)), "Categoría no válida", IF(AND(J1396&lt;&gt;"", J1396&lt;&gt;"", J1396&lt;&gt;VLOOKUP(K1396, Criterios!$A$81:$B$120, 2, FALSE)), "División no coincide con Categoría", ""))), IF(OR(L1396="", L1396=""), "[Aviso] Género no capturado ()", IF(ISNA(MATCH(L1396, Criterios!$B$123:$B$127, 0)), "Género no válido", "")), IF(OR(N1396="", N1396=""), "[Aviso] Temporada no capturada ()", IF(ISNA(MATCH(N1396, Criterios!$C$123:$C$128, 0)), "Temporada no válida", "")), IF(OR(O1396="", O1396=""), "[Aviso] Ciclo de vida no capturado ()", IF(ISNA(MATCH(O1396, Criterios!$D$123:$D$124, 0)), "Ciclo de vida no válido", ""))))</f>
        <v/>
      </c>
      <c r="AC1396" s="56" t="n"/>
      <c r="AD1396" s="51" t="n">
        <v>-1</v>
      </c>
      <c r="AE1396" s="156" t="inlineStr">
        <is>
          <t>STETSON AMERICAS (1)</t>
        </is>
      </c>
      <c r="AF1396" s="51" t="n">
        <v>1</v>
      </c>
      <c r="AG1396" s="156" t="inlineStr">
        <is>
          <t>Catálogo existente</t>
        </is>
      </c>
      <c r="AH1396" s="156" t="inlineStr">
        <is>
          <t>Stock negativo en sistema: revisar en conteo | Revisión 29/09/2026: Cruce de catálogo y criterios sin pendientes detectados | 01/10/2026: complementado desde Shopify Stetson México (match por código de barras): WB Fit, WB Silueta</t>
        </is>
      </c>
      <c r="AI1396" s="156" t="inlineStr">
        <is>
          <t>Sí</t>
        </is>
      </c>
      <c r="AJ1396" s="156" t="inlineStr">
        <is>
          <t>PUNTO DE VENTA (-2)</t>
        </is>
      </c>
      <c r="AK1396" s="155" t="inlineStr">
        <is>
          <t>Criterios: I [Q] | Shopify Stetson: producto 14791359889771 / variante 53836804194667</t>
        </is>
      </c>
      <c r="AL1396" s="58" t="n">
        <v>10237.5</v>
      </c>
      <c r="AM1396" s="58" t="n">
        <v>24568.96552</v>
      </c>
      <c r="AN1396" s="155" t="inlineStr">
        <is>
          <t>Shopify Stetson México</t>
        </is>
      </c>
      <c r="AO1396" s="59" t="n">
        <v>1</v>
      </c>
      <c r="AP1396" s="59" t="n"/>
      <c r="AQ1396" s="59" t="n"/>
      <c r="AR1396" s="155" t="inlineStr">
        <is>
          <t>Shopify Stetson México › Stetson Americas: 1</t>
        </is>
      </c>
    </row>
    <row r="1397">
      <c r="A1397" s="50" t="inlineStr">
        <is>
          <t>795177054368</t>
        </is>
      </c>
      <c r="B1397" s="51" t="inlineStr">
        <is>
          <t>117575</t>
        </is>
      </c>
      <c r="C1397" s="156" t="inlineStr">
        <is>
          <t>Multimarca</t>
        </is>
      </c>
      <c r="D1397" s="156" t="inlineStr">
        <is>
          <t>SFPRES-484034</t>
        </is>
      </c>
      <c r="E1397" s="156" t="inlineStr">
        <is>
          <t>SFPRES-48403472</t>
        </is>
      </c>
      <c r="F1397" s="156" t="inlineStr">
        <is>
          <t>7 1/4</t>
        </is>
      </c>
      <c r="G1397" s="156" t="inlineStr">
        <is>
          <t>7 1/4</t>
        </is>
      </c>
      <c r="H1397" s="156" t="inlineStr">
        <is>
          <t>Stetson</t>
        </is>
      </c>
      <c r="I1397" s="156" t="inlineStr">
        <is>
          <t>Texana Stetson El Presidente Gris Niebla</t>
        </is>
      </c>
      <c r="J1397" s="156" t="inlineStr">
        <is>
          <t>Accesorios</t>
        </is>
      </c>
      <c r="K1397" s="156" t="inlineStr">
        <is>
          <t>Sombreros</t>
        </is>
      </c>
      <c r="L1397" s="156" t="inlineStr">
        <is>
          <t>Unisex</t>
        </is>
      </c>
      <c r="M1397" s="156" t="inlineStr">
        <is>
          <t>Stetson</t>
        </is>
      </c>
      <c r="N1397" s="156" t="inlineStr">
        <is>
          <t>FW26</t>
        </is>
      </c>
      <c r="O1397" s="156" t="inlineStr">
        <is>
          <t>Seasonal</t>
        </is>
      </c>
      <c r="P1397" s="156" t="inlineStr">
        <is>
          <t>Gris</t>
        </is>
      </c>
      <c r="Q1397" s="156" t="n"/>
      <c r="R1397" s="156" t="inlineStr">
        <is>
          <t>Copa Rancher</t>
        </is>
      </c>
      <c r="S1397" s="156" t="inlineStr">
        <is>
          <t>Fieltro de pelo 100X</t>
        </is>
      </c>
      <c r="T1397"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7" s="156" t="inlineStr">
        <is>
          <t>Estados Unidos</t>
        </is>
      </c>
      <c r="V1397" s="156" t="inlineStr">
        <is>
          <t>PZS</t>
        </is>
      </c>
      <c r="W1397" s="51" t="inlineStr">
        <is>
          <t>53102516</t>
        </is>
      </c>
      <c r="X1397" s="156" t="inlineStr">
        <is>
          <t>https://cdn.shopify.com/s/files/1/0888/3250/8267/files/SFPRES-4840-61-70_1.png?v=1760375681</t>
        </is>
      </c>
      <c r="Y1397" s="54" t="n">
        <v>10237.5</v>
      </c>
      <c r="Z1397" s="54" t="n">
        <v>24568.96552</v>
      </c>
      <c r="AA1397" s="55">
        <f>IF(AND(A1397="", B1397="", E1397=""), "", IF(AB1397="", "Válido", IF((LEN(AB1397)-LEN(SUBSTITUTE(AB1397,"; ","")))/2+1&gt;(LEN(AB1397)-LEN(SUBSTITUTE(AB1397,"[Aviso]","")))/7, "Con Incidencias", "Válido")))</f>
        <v/>
      </c>
      <c r="AB1397" s="56">
        <f>IF(AND(A1397="", B1397="", E1397=""), "", TEXTJOIN("; ", TRUE, IF(OR(TRIM(A1397&amp;"")="", ISNUMBER(SEARCH("FALTA", A1397))), "UPC faltante/inválido", ""), IF(AND(A1397&lt;&gt;"", IFERROR(_xlfn.XMATCH(A1397,$A$2:$A$2509,0,1)&lt;&gt;_xlfn.XMATCH(A1397,$A$2:$A$2509,0,-1),FALSE)), "Código de barras duplicado", ""), IF(AND(E1397&lt;&gt;"", COUNTIF($E$2:$E$2509, E1397)&gt;1), "SKU duplicado", ""), IF(OR(J1397="", J1397=""), "[Aviso] División no capturada ()", IF(ISNA(MATCH(J1397, Criterios!$A$123:$A$126, 0)), "División no válida", "")), IF(OR(K1397="", K1397=""), "[Aviso] Categoría no capturada ()", IF(ISNA(MATCH(K1397, Criterios!$A$81:$A$120, 0)), "Categoría no válida", IF(AND(J1397&lt;&gt;"", J1397&lt;&gt;"", J1397&lt;&gt;VLOOKUP(K1397, Criterios!$A$81:$B$120, 2, FALSE)), "División no coincide con Categoría", ""))), IF(OR(L1397="", L1397=""), "[Aviso] Género no capturado ()", IF(ISNA(MATCH(L1397, Criterios!$B$123:$B$127, 0)), "Género no válido", "")), IF(OR(N1397="", N1397=""), "[Aviso] Temporada no capturada ()", IF(ISNA(MATCH(N1397, Criterios!$C$123:$C$128, 0)), "Temporada no válida", "")), IF(OR(O1397="", O1397=""), "[Aviso] Ciclo de vida no capturado ()", IF(ISNA(MATCH(O1397, Criterios!$D$123:$D$124, 0)), "Ciclo de vida no válido", ""))))</f>
        <v/>
      </c>
      <c r="AC1397" s="56" t="n"/>
      <c r="AD1397" s="51" t="n">
        <v>0</v>
      </c>
      <c r="AE1397" s="156" t="inlineStr">
        <is>
          <t>STETSON AMERICAS (2)</t>
        </is>
      </c>
      <c r="AF1397" s="51" t="n">
        <v>2</v>
      </c>
      <c r="AG1397" s="156" t="inlineStr">
        <is>
          <t>Catálogo existente</t>
        </is>
      </c>
      <c r="AH1397" s="156" t="inlineStr">
        <is>
          <t>Revisión 29/09/2026: Campos sin respaldo: X | 01/10/2026: complementado desde Shopify Stetson México (match por código de barras): WB Fit, WB Silueta, Enlace de imagen</t>
        </is>
      </c>
      <c r="AI1397" s="156" t="inlineStr">
        <is>
          <t>Sí</t>
        </is>
      </c>
      <c r="AJ1397" s="156" t="inlineStr">
        <is>
          <t>PUNTO DE VENTA (-2)</t>
        </is>
      </c>
      <c r="AK1397" s="155" t="inlineStr">
        <is>
          <t>Criterios: I [Q] | Shopify Stetson: producto 14791359889771 / variante 53836804227435</t>
        </is>
      </c>
      <c r="AL1397" s="58" t="n">
        <v>10237.5</v>
      </c>
      <c r="AM1397" s="58" t="n">
        <v>24568.96552</v>
      </c>
      <c r="AN1397" s="155" t="inlineStr">
        <is>
          <t>Shopify Stetson México</t>
        </is>
      </c>
      <c r="AO1397" s="59" t="n">
        <v>2</v>
      </c>
      <c r="AP1397" s="59" t="n"/>
      <c r="AQ1397" s="59" t="n"/>
      <c r="AR1397" s="155" t="inlineStr">
        <is>
          <t>Shopify Stetson México › Stetson Americas: 2</t>
        </is>
      </c>
    </row>
    <row r="1398">
      <c r="A1398" s="50" t="inlineStr">
        <is>
          <t>795177054375</t>
        </is>
      </c>
      <c r="B1398" s="51" t="inlineStr">
        <is>
          <t>117576</t>
        </is>
      </c>
      <c r="C1398" s="156" t="inlineStr">
        <is>
          <t>Multimarca</t>
        </is>
      </c>
      <c r="D1398" s="156" t="inlineStr">
        <is>
          <t>SFPRES-484034</t>
        </is>
      </c>
      <c r="E1398" s="156" t="inlineStr">
        <is>
          <t>SFPRES-48403473</t>
        </is>
      </c>
      <c r="F1398" s="156" t="inlineStr">
        <is>
          <t>7 3/8</t>
        </is>
      </c>
      <c r="G1398" s="156" t="inlineStr">
        <is>
          <t>7 3/8</t>
        </is>
      </c>
      <c r="H1398" s="156" t="inlineStr">
        <is>
          <t>Stetson</t>
        </is>
      </c>
      <c r="I1398" s="156" t="inlineStr">
        <is>
          <t>Texana Stetson El Presidente Gris Niebla</t>
        </is>
      </c>
      <c r="J1398" s="156" t="inlineStr">
        <is>
          <t>Accesorios</t>
        </is>
      </c>
      <c r="K1398" s="156" t="inlineStr">
        <is>
          <t>Sombreros</t>
        </is>
      </c>
      <c r="L1398" s="156" t="inlineStr">
        <is>
          <t>Unisex</t>
        </is>
      </c>
      <c r="M1398" s="156" t="inlineStr">
        <is>
          <t>Stetson</t>
        </is>
      </c>
      <c r="N1398" s="156" t="inlineStr">
        <is>
          <t>FW26</t>
        </is>
      </c>
      <c r="O1398" s="156" t="inlineStr">
        <is>
          <t>Seasonal</t>
        </is>
      </c>
      <c r="P1398" s="156" t="inlineStr">
        <is>
          <t>Gris</t>
        </is>
      </c>
      <c r="Q1398" s="156" t="n"/>
      <c r="R1398" s="156" t="inlineStr">
        <is>
          <t>Copa Rancher</t>
        </is>
      </c>
      <c r="S1398" s="156" t="inlineStr">
        <is>
          <t>Fieltro de pelo 100X</t>
        </is>
      </c>
      <c r="T1398"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8" s="156" t="inlineStr">
        <is>
          <t>Estados Unidos</t>
        </is>
      </c>
      <c r="V1398" s="156" t="inlineStr">
        <is>
          <t>PZS</t>
        </is>
      </c>
      <c r="W1398" s="51" t="inlineStr">
        <is>
          <t>53102516</t>
        </is>
      </c>
      <c r="X1398" s="156" t="inlineStr">
        <is>
          <t>https://cdn.shopify.com/s/files/1/0888/3250/8267/files/SFPRES-4840-61-70_1.png?v=1760375681</t>
        </is>
      </c>
      <c r="Y1398" s="54" t="n">
        <v>10237.5</v>
      </c>
      <c r="Z1398" s="54" t="n">
        <v>24568.96552</v>
      </c>
      <c r="AA1398" s="55">
        <f>IF(AND(A1398="", B1398="", E1398=""), "", IF(AB1398="", "Válido", IF((LEN(AB1398)-LEN(SUBSTITUTE(AB1398,"; ","")))/2+1&gt;(LEN(AB1398)-LEN(SUBSTITUTE(AB1398,"[Aviso]","")))/7, "Con Incidencias", "Válido")))</f>
        <v/>
      </c>
      <c r="AB1398" s="56">
        <f>IF(AND(A1398="", B1398="", E1398=""), "", TEXTJOIN("; ", TRUE, IF(OR(TRIM(A1398&amp;"")="", ISNUMBER(SEARCH("FALTA", A1398))), "UPC faltante/inválido", ""), IF(AND(A1398&lt;&gt;"", IFERROR(_xlfn.XMATCH(A1398,$A$2:$A$2509,0,1)&lt;&gt;_xlfn.XMATCH(A1398,$A$2:$A$2509,0,-1),FALSE)), "Código de barras duplicado", ""), IF(AND(E1398&lt;&gt;"", COUNTIF($E$2:$E$2509, E1398)&gt;1), "SKU duplicado", ""), IF(OR(J1398="", J1398=""), "[Aviso] División no capturada ()", IF(ISNA(MATCH(J1398, Criterios!$A$123:$A$126, 0)), "División no válida", "")), IF(OR(K1398="", K1398=""), "[Aviso] Categoría no capturada ()", IF(ISNA(MATCH(K1398, Criterios!$A$81:$A$120, 0)), "Categoría no válida", IF(AND(J1398&lt;&gt;"", J1398&lt;&gt;"", J1398&lt;&gt;VLOOKUP(K1398, Criterios!$A$81:$B$120, 2, FALSE)), "División no coincide con Categoría", ""))), IF(OR(L1398="", L1398=""), "[Aviso] Género no capturado ()", IF(ISNA(MATCH(L1398, Criterios!$B$123:$B$127, 0)), "Género no válido", "")), IF(OR(N1398="", N1398=""), "[Aviso] Temporada no capturada ()", IF(ISNA(MATCH(N1398, Criterios!$C$123:$C$128, 0)), "Temporada no válida", "")), IF(OR(O1398="", O1398=""), "[Aviso] Ciclo de vida no capturado ()", IF(ISNA(MATCH(O1398, Criterios!$D$123:$D$124, 0)), "Ciclo de vida no válido", ""))))</f>
        <v/>
      </c>
      <c r="AC1398" s="56" t="n"/>
      <c r="AD1398" s="51" t="n">
        <v>-1</v>
      </c>
      <c r="AE1398" s="156" t="n"/>
      <c r="AF1398" s="51" t="n">
        <v>0</v>
      </c>
      <c r="AG1398" s="156" t="inlineStr">
        <is>
          <t>Catálogo existente</t>
        </is>
      </c>
      <c r="AH1398" s="156" t="inlineStr">
        <is>
          <t>Stock negativo en sistema: revisar en conteo | Revisión 29/09/2026: Campos sin respaldo: X | 01/10/2026: complementado desde Shopify Stetson México (match por código de barras): WB Fit, WB Silueta, Enlace de imagen</t>
        </is>
      </c>
      <c r="AI1398" s="156" t="inlineStr">
        <is>
          <t>Sí</t>
        </is>
      </c>
      <c r="AJ1398" s="156" t="inlineStr">
        <is>
          <t>PUNTO DE VENTA (-1)</t>
        </is>
      </c>
      <c r="AK1398" s="155" t="inlineStr">
        <is>
          <t>Criterios: I [Q] | Shopify Stetson: producto 14791359889771 / variante 53836804260203</t>
        </is>
      </c>
      <c r="AL1398" s="58" t="n">
        <v>10237.5</v>
      </c>
      <c r="AM1398" s="58" t="n">
        <v>24568.96552</v>
      </c>
      <c r="AN1398" s="155" t="inlineStr">
        <is>
          <t>Shopify Stetson México</t>
        </is>
      </c>
      <c r="AO1398" s="59" t="n">
        <v>0</v>
      </c>
      <c r="AP1398" s="59" t="n"/>
      <c r="AQ1398" s="59" t="n"/>
      <c r="AR1398" s="155" t="n"/>
    </row>
    <row r="1399">
      <c r="A1399" s="50" t="inlineStr">
        <is>
          <t>795177054382</t>
        </is>
      </c>
      <c r="B1399" s="51" t="inlineStr">
        <is>
          <t>117758</t>
        </is>
      </c>
      <c r="C1399" s="156" t="inlineStr">
        <is>
          <t>Multimarca</t>
        </is>
      </c>
      <c r="D1399" s="156" t="inlineStr">
        <is>
          <t>SFPRES-484034</t>
        </is>
      </c>
      <c r="E1399" s="156" t="inlineStr">
        <is>
          <t>SFPRES-48403474</t>
        </is>
      </c>
      <c r="F1399" s="156" t="inlineStr">
        <is>
          <t>7 1/2</t>
        </is>
      </c>
      <c r="G1399" s="156" t="inlineStr">
        <is>
          <t>7 1/2</t>
        </is>
      </c>
      <c r="H1399" s="156" t="inlineStr">
        <is>
          <t>Stetson</t>
        </is>
      </c>
      <c r="I1399" s="156" t="inlineStr">
        <is>
          <t>Texana Stetson el Presidente Gris Niebla</t>
        </is>
      </c>
      <c r="J1399" s="156" t="inlineStr">
        <is>
          <t>Accesorios</t>
        </is>
      </c>
      <c r="K1399" s="156" t="inlineStr">
        <is>
          <t>Sombreros</t>
        </is>
      </c>
      <c r="L1399" s="156" t="inlineStr">
        <is>
          <t>Unisex</t>
        </is>
      </c>
      <c r="M1399" s="156" t="inlineStr">
        <is>
          <t>Stetson</t>
        </is>
      </c>
      <c r="N1399" s="156" t="inlineStr">
        <is>
          <t>FW26</t>
        </is>
      </c>
      <c r="O1399" s="156" t="inlineStr">
        <is>
          <t>Core</t>
        </is>
      </c>
      <c r="P1399" s="156" t="inlineStr">
        <is>
          <t>Gris</t>
        </is>
      </c>
      <c r="Q1399" s="156" t="n"/>
      <c r="R1399" s="156" t="inlineStr">
        <is>
          <t>Copa Cattleman</t>
        </is>
      </c>
      <c r="S1399" s="156" t="inlineStr">
        <is>
          <t>100% Fieltro de lana</t>
        </is>
      </c>
      <c r="T1399"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9" s="156" t="inlineStr">
        <is>
          <t>Estados Unidos</t>
        </is>
      </c>
      <c r="V1399" s="156" t="inlineStr">
        <is>
          <t>PZS</t>
        </is>
      </c>
      <c r="W1399" s="51" t="inlineStr">
        <is>
          <t>53102503</t>
        </is>
      </c>
      <c r="X1399" s="156" t="n"/>
      <c r="Y1399" s="54" t="n">
        <v>10237.5</v>
      </c>
      <c r="Z1399" s="54" t="n">
        <v>24568.96552</v>
      </c>
      <c r="AA1399" s="55">
        <f>IF(AND(A1399="", B1399="", E1399=""), "", IF(AB1399="", "Válido", IF((LEN(AB1399)-LEN(SUBSTITUTE(AB1399,"; ","")))/2+1&gt;(LEN(AB1399)-LEN(SUBSTITUTE(AB1399,"[Aviso]","")))/7, "Con Incidencias", "Válido")))</f>
        <v/>
      </c>
      <c r="AB1399" s="56">
        <f>IF(AND(A1399="", B1399="", E1399=""), "", TEXTJOIN("; ", TRUE, IF(OR(TRIM(A1399&amp;"")="", ISNUMBER(SEARCH("FALTA", A1399))), "UPC faltante/inválido", ""), IF(AND(A1399&lt;&gt;"", IFERROR(_xlfn.XMATCH(A1399,$A$2:$A$2509,0,1)&lt;&gt;_xlfn.XMATCH(A1399,$A$2:$A$2509,0,-1),FALSE)), "Código de barras duplicado", ""), IF(AND(E1399&lt;&gt;"", COUNTIF($E$2:$E$2509, E1399)&gt;1), "SKU duplicado", ""), IF(OR(J1399="", J1399=""), "[Aviso] División no capturada ()", IF(ISNA(MATCH(J1399, Criterios!$A$123:$A$126, 0)), "División no válida", "")), IF(OR(K1399="", K1399=""), "[Aviso] Categoría no capturada ()", IF(ISNA(MATCH(K1399, Criterios!$A$81:$A$120, 0)), "Categoría no válida", IF(AND(J1399&lt;&gt;"", J1399&lt;&gt;"", J1399&lt;&gt;VLOOKUP(K1399, Criterios!$A$81:$B$120, 2, FALSE)), "División no coincide con Categoría", ""))), IF(OR(L1399="", L1399=""), "[Aviso] Género no capturado ()", IF(ISNA(MATCH(L1399, Criterios!$B$123:$B$127, 0)), "Género no válido", "")), IF(OR(N1399="", N1399=""), "[Aviso] Temporada no capturada ()", IF(ISNA(MATCH(N1399, Criterios!$C$123:$C$128, 0)), "Temporada no válida", "")), IF(OR(O1399="", O1399=""), "[Aviso] Ciclo de vida no capturado ()", IF(ISNA(MATCH(O1399, Criterios!$D$123:$D$124, 0)), "Ciclo de vida no válido", ""))))</f>
        <v/>
      </c>
      <c r="AC1399" s="56" t="n"/>
      <c r="AD1399" s="51" t="n">
        <v>0</v>
      </c>
      <c r="AE1399" s="156" t="n"/>
      <c r="AF1399" s="51" t="n">
        <v>0</v>
      </c>
      <c r="AG1399" s="156" t="inlineStr">
        <is>
          <t>Catálogo existente</t>
        </is>
      </c>
      <c r="AH1399" s="156" t="inlineStr">
        <is>
          <t>Revisión 29/09/2026: Campos sin respaldo: X | Homologación G1522 06/10/2026: WB Silueta: «» → «Copa Cattleman» (Completado por regla)</t>
        </is>
      </c>
      <c r="AI1399" s="156" t="inlineStr">
        <is>
          <t>No</t>
        </is>
      </c>
      <c r="AJ1399" s="156" t="n"/>
      <c r="AK1399" s="155" t="inlineStr">
        <is>
          <t>Criterios: I [Q]</t>
        </is>
      </c>
      <c r="AL1399" s="58" t="n">
        <v>10237.5</v>
      </c>
      <c r="AM1399" s="58" t="n">
        <v>24568.96552</v>
      </c>
      <c r="AN1399" s="155" t="n"/>
      <c r="AO1399" s="59" t="n"/>
      <c r="AP1399" s="59" t="n"/>
      <c r="AQ1399" s="59" t="n"/>
      <c r="AR1399" s="155" t="n"/>
    </row>
    <row r="1400">
      <c r="A1400" s="50" t="inlineStr">
        <is>
          <t>795177054603</t>
        </is>
      </c>
      <c r="B1400" s="51" t="inlineStr">
        <is>
          <t>117573</t>
        </is>
      </c>
      <c r="C1400" s="156" t="inlineStr">
        <is>
          <t>Multimarca</t>
        </is>
      </c>
      <c r="D1400" s="156" t="inlineStr">
        <is>
          <t>SFPRES-484034</t>
        </is>
      </c>
      <c r="E1400" s="156" t="inlineStr">
        <is>
          <t>SFPRES-48403470</t>
        </is>
      </c>
      <c r="F1400" s="156" t="inlineStr">
        <is>
          <t>7</t>
        </is>
      </c>
      <c r="G1400" s="156" t="inlineStr">
        <is>
          <t>7</t>
        </is>
      </c>
      <c r="H1400" s="156" t="inlineStr">
        <is>
          <t>Stetson</t>
        </is>
      </c>
      <c r="I1400" s="156" t="inlineStr">
        <is>
          <t>Texana Stetson El Presidente Gris Niebla</t>
        </is>
      </c>
      <c r="J1400" s="156" t="inlineStr">
        <is>
          <t>Accesorios</t>
        </is>
      </c>
      <c r="K1400" s="156" t="inlineStr">
        <is>
          <t>Sombreros</t>
        </is>
      </c>
      <c r="L1400" s="156" t="inlineStr">
        <is>
          <t>Unisex</t>
        </is>
      </c>
      <c r="M1400" s="156" t="inlineStr">
        <is>
          <t>Stetson</t>
        </is>
      </c>
      <c r="N1400" s="156" t="inlineStr">
        <is>
          <t>FW26</t>
        </is>
      </c>
      <c r="O1400" s="156" t="inlineStr">
        <is>
          <t>Seasonal</t>
        </is>
      </c>
      <c r="P1400" s="156" t="inlineStr">
        <is>
          <t>Gris</t>
        </is>
      </c>
      <c r="Q1400" s="156" t="n"/>
      <c r="R1400" s="156" t="inlineStr">
        <is>
          <t>Copa Rancher</t>
        </is>
      </c>
      <c r="S1400" s="156" t="inlineStr">
        <is>
          <t>Fieltro de pelo 100X</t>
        </is>
      </c>
      <c r="T1400"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0" s="156" t="inlineStr">
        <is>
          <t>Estados Unidos</t>
        </is>
      </c>
      <c r="V1400" s="156" t="inlineStr">
        <is>
          <t>PZS</t>
        </is>
      </c>
      <c r="W1400" s="51" t="inlineStr">
        <is>
          <t>53102516</t>
        </is>
      </c>
      <c r="X1400" s="156" t="inlineStr">
        <is>
          <t>https://cdn.shopify.com/s/files/1/0888/3250/8267/files/SFPRES-4840-61-70_9.png?v=1760375681</t>
        </is>
      </c>
      <c r="Y1400" s="54" t="n">
        <v>10237.5</v>
      </c>
      <c r="Z1400" s="54" t="n">
        <v>24568.96552</v>
      </c>
      <c r="AA1400" s="55">
        <f>IF(AND(A1400="", B1400="", E1400=""), "", IF(AB1400="", "Válido", IF((LEN(AB1400)-LEN(SUBSTITUTE(AB1400,"; ","")))/2+1&gt;(LEN(AB1400)-LEN(SUBSTITUTE(AB1400,"[Aviso]","")))/7, "Con Incidencias", "Válido")))</f>
        <v/>
      </c>
      <c r="AB1400" s="56">
        <f>IF(AND(A1400="", B1400="", E1400=""), "", TEXTJOIN("; ", TRUE, IF(OR(TRIM(A1400&amp;"")="", ISNUMBER(SEARCH("FALTA", A1400))), "UPC faltante/inválido", ""), IF(AND(A1400&lt;&gt;"", IFERROR(_xlfn.XMATCH(A1400,$A$2:$A$2509,0,1)&lt;&gt;_xlfn.XMATCH(A1400,$A$2:$A$2509,0,-1),FALSE)), "Código de barras duplicado", ""), IF(AND(E1400&lt;&gt;"", COUNTIF($E$2:$E$2509, E1400)&gt;1), "SKU duplicado", ""), IF(OR(J1400="", J1400=""), "[Aviso] División no capturada ()", IF(ISNA(MATCH(J1400, Criterios!$A$123:$A$126, 0)), "División no válida", "")), IF(OR(K1400="", K1400=""), "[Aviso] Categoría no capturada ()", IF(ISNA(MATCH(K1400, Criterios!$A$81:$A$120, 0)), "Categoría no válida", IF(AND(J1400&lt;&gt;"", J1400&lt;&gt;"", J1400&lt;&gt;VLOOKUP(K1400, Criterios!$A$81:$B$120, 2, FALSE)), "División no coincide con Categoría", ""))), IF(OR(L1400="", L1400=""), "[Aviso] Género no capturado ()", IF(ISNA(MATCH(L1400, Criterios!$B$123:$B$127, 0)), "Género no válido", "")), IF(OR(N1400="", N1400=""), "[Aviso] Temporada no capturada ()", IF(ISNA(MATCH(N1400, Criterios!$C$123:$C$128, 0)), "Temporada no válida", "")), IF(OR(O1400="", O1400=""), "[Aviso] Ciclo de vida no capturado ()", IF(ISNA(MATCH(O1400, Criterios!$D$123:$D$124, 0)), "Ciclo de vida no válido", ""))))</f>
        <v/>
      </c>
      <c r="AC1400" s="56" t="n"/>
      <c r="AD1400" s="51" t="n">
        <v>0</v>
      </c>
      <c r="AE1400" s="156" t="inlineStr">
        <is>
          <t>STETSON AMERICAS (1)</t>
        </is>
      </c>
      <c r="AF1400" s="51" t="n">
        <v>1</v>
      </c>
      <c r="AG1400" s="156" t="inlineStr">
        <is>
          <t>Catálogo existente</t>
        </is>
      </c>
      <c r="AH1400" s="156" t="inlineStr">
        <is>
          <t>Revisión 29/09/2026: Cruce de catálogo y criterios sin pendientes detectados | 01/10/2026: complementado desde Shopify Stetson México (match por código de barras): WB Fit, WB Silueta</t>
        </is>
      </c>
      <c r="AI1400" s="156" t="inlineStr">
        <is>
          <t>Sí</t>
        </is>
      </c>
      <c r="AJ1400" s="156" t="inlineStr">
        <is>
          <t>PUNTO DE VENTA (-1)</t>
        </is>
      </c>
      <c r="AK1400" s="155" t="inlineStr">
        <is>
          <t>Criterios: I [Q] | Shopify Stetson: producto 14791359889771 / variante 53836804161899</t>
        </is>
      </c>
      <c r="AL1400" s="58" t="n">
        <v>10237.5</v>
      </c>
      <c r="AM1400" s="58" t="n">
        <v>24568.96552</v>
      </c>
      <c r="AN1400" s="155" t="inlineStr">
        <is>
          <t>Shopify Stetson México</t>
        </is>
      </c>
      <c r="AO1400" s="59" t="n">
        <v>1</v>
      </c>
      <c r="AP1400" s="59" t="n"/>
      <c r="AQ1400" s="59" t="n"/>
      <c r="AR1400" s="155" t="inlineStr">
        <is>
          <t>Shopify Stetson México › Stetson Americas: 1</t>
        </is>
      </c>
    </row>
    <row r="1401">
      <c r="A1401" s="50" t="inlineStr">
        <is>
          <t>795177054863</t>
        </is>
      </c>
      <c r="B1401" s="51" t="inlineStr">
        <is>
          <t>109995</t>
        </is>
      </c>
      <c r="C1401" s="156" t="inlineStr">
        <is>
          <t>Multimarca</t>
        </is>
      </c>
      <c r="D1401" s="156" t="inlineStr">
        <is>
          <t>SFPRES-484061</t>
        </is>
      </c>
      <c r="E1401" s="156" t="inlineStr">
        <is>
          <t>SFPRES-48406170</t>
        </is>
      </c>
      <c r="F1401" s="156" t="inlineStr">
        <is>
          <t>7</t>
        </is>
      </c>
      <c r="G1401" s="156" t="inlineStr">
        <is>
          <t>7</t>
        </is>
      </c>
      <c r="H1401" s="156" t="inlineStr">
        <is>
          <t>Stetson</t>
        </is>
      </c>
      <c r="I1401" s="156" t="inlineStr">
        <is>
          <t>Sombrero Stetson el Presidente 100X Premier</t>
        </is>
      </c>
      <c r="J1401" s="156" t="inlineStr">
        <is>
          <t>Accesorios</t>
        </is>
      </c>
      <c r="K1401" s="156" t="inlineStr">
        <is>
          <t>Sombreros</t>
        </is>
      </c>
      <c r="L1401" s="156" t="inlineStr">
        <is>
          <t>Unisex</t>
        </is>
      </c>
      <c r="M1401" s="156" t="inlineStr">
        <is>
          <t>Stetson</t>
        </is>
      </c>
      <c r="N1401" s="156" t="inlineStr">
        <is>
          <t>SS26</t>
        </is>
      </c>
      <c r="O1401" s="156" t="inlineStr">
        <is>
          <t>Seasonal</t>
        </is>
      </c>
      <c r="P1401" s="156" t="inlineStr">
        <is>
          <t>Gris</t>
        </is>
      </c>
      <c r="Q1401" s="156" t="n"/>
      <c r="R1401" s="156" t="inlineStr">
        <is>
          <t>Copa Rancher</t>
        </is>
      </c>
      <c r="S1401" s="156" t="inlineStr">
        <is>
          <t>100% Paja</t>
        </is>
      </c>
      <c r="T1401"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1" s="156" t="inlineStr">
        <is>
          <t>Estados Unidos</t>
        </is>
      </c>
      <c r="V1401" s="156" t="inlineStr">
        <is>
          <t>PZS</t>
        </is>
      </c>
      <c r="W1401" s="51" t="inlineStr">
        <is>
          <t>53102503</t>
        </is>
      </c>
      <c r="X1401" s="156" t="inlineStr">
        <is>
          <t>https://cdn.shopify.com/s/files/1/0888/3250/8267/files/SFPRES-4840-61-70_1.png?v=1760375681</t>
        </is>
      </c>
      <c r="Y1401" s="54" t="n">
        <v>10237.5</v>
      </c>
      <c r="Z1401" s="54" t="n">
        <v>24568.96552</v>
      </c>
      <c r="AA1401" s="55">
        <f>IF(AND(A1401="", B1401="", E1401=""), "", IF(AB1401="", "Válido", IF((LEN(AB1401)-LEN(SUBSTITUTE(AB1401,"; ","")))/2+1&gt;(LEN(AB1401)-LEN(SUBSTITUTE(AB1401,"[Aviso]","")))/7, "Con Incidencias", "Válido")))</f>
        <v/>
      </c>
      <c r="AB1401" s="56">
        <f>IF(AND(A1401="", B1401="", E1401=""), "", TEXTJOIN("; ", TRUE, IF(OR(TRIM(A1401&amp;"")="", ISNUMBER(SEARCH("FALTA", A1401))), "UPC faltante/inválido", ""), IF(AND(A1401&lt;&gt;"", IFERROR(_xlfn.XMATCH(A1401,$A$2:$A$2509,0,1)&lt;&gt;_xlfn.XMATCH(A1401,$A$2:$A$2509,0,-1),FALSE)), "Código de barras duplicado", ""), IF(AND(E1401&lt;&gt;"", COUNTIF($E$2:$E$2509, E1401)&gt;1), "SKU duplicado", ""), IF(OR(J1401="", J1401=""), "[Aviso] División no capturada ()", IF(ISNA(MATCH(J1401, Criterios!$A$123:$A$126, 0)), "División no válida", "")), IF(OR(K1401="", K1401=""), "[Aviso] Categoría no capturada ()", IF(ISNA(MATCH(K1401, Criterios!$A$81:$A$120, 0)), "Categoría no válida", IF(AND(J1401&lt;&gt;"", J1401&lt;&gt;"", J1401&lt;&gt;VLOOKUP(K1401, Criterios!$A$81:$B$120, 2, FALSE)), "División no coincide con Categoría", ""))), IF(OR(L1401="", L1401=""), "[Aviso] Género no capturado ()", IF(ISNA(MATCH(L1401, Criterios!$B$123:$B$127, 0)), "Género no válido", "")), IF(OR(N1401="", N1401=""), "[Aviso] Temporada no capturada ()", IF(ISNA(MATCH(N1401, Criterios!$C$123:$C$128, 0)), "Temporada no válida", "")), IF(OR(O1401="", O1401=""), "[Aviso] Ciclo de vida no capturado ()", IF(ISNA(MATCH(O1401, Criterios!$D$123:$D$124, 0)), "Ciclo de vida no válido", ""))))</f>
        <v/>
      </c>
      <c r="AC1401" s="56" t="n"/>
      <c r="AD1401" s="51" t="n">
        <v>-1</v>
      </c>
      <c r="AE1401" s="156" t="n"/>
      <c r="AF1401" s="51" t="n">
        <v>0</v>
      </c>
      <c r="AG1401" s="156" t="inlineStr">
        <is>
          <t>Catálogo existente</t>
        </is>
      </c>
      <c r="AH14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1" s="156" t="inlineStr">
        <is>
          <t>Sí</t>
        </is>
      </c>
      <c r="AJ1401" s="156" t="inlineStr">
        <is>
          <t>STETSON AMERICAS (-1)</t>
        </is>
      </c>
      <c r="AK1401" s="155" t="inlineStr">
        <is>
          <t>Criterios: I [Q] | Shopify Stetson: producto 14791359889771 / variante 53350604013931 | Odoo: producto 14220 / plantilla 17797</t>
        </is>
      </c>
      <c r="AL1401" s="58" t="n">
        <v>10237.5</v>
      </c>
      <c r="AM1401" s="58" t="n">
        <v>24568.96552</v>
      </c>
      <c r="AN1401" s="155" t="inlineStr">
        <is>
          <t>Shopify Stetson México | Odoo Universal Unique Brands</t>
        </is>
      </c>
      <c r="AO1401" s="59" t="n">
        <v>0</v>
      </c>
      <c r="AP1401" s="59" t="n"/>
      <c r="AQ1401" s="59" t="n">
        <v>1</v>
      </c>
      <c r="AR1401" s="155" t="inlineStr">
        <is>
          <t>Odoo Universal Unique Brands › Stetson Americas › Stetson Americas/Stock: 1</t>
        </is>
      </c>
    </row>
    <row r="1402">
      <c r="A1402" s="50" t="inlineStr">
        <is>
          <t>795177054870</t>
        </is>
      </c>
      <c r="B1402" s="51" t="inlineStr">
        <is>
          <t>109996</t>
        </is>
      </c>
      <c r="C1402" s="156" t="inlineStr">
        <is>
          <t>Multimarca</t>
        </is>
      </c>
      <c r="D1402" s="156" t="inlineStr">
        <is>
          <t>SFPRES-484061</t>
        </is>
      </c>
      <c r="E1402" s="156" t="inlineStr">
        <is>
          <t>SFPRES-48406171</t>
        </is>
      </c>
      <c r="F1402" s="156" t="inlineStr">
        <is>
          <t>7 1/8</t>
        </is>
      </c>
      <c r="G1402" s="156" t="inlineStr">
        <is>
          <t>7 1/8</t>
        </is>
      </c>
      <c r="H1402" s="156" t="inlineStr">
        <is>
          <t>Stetson</t>
        </is>
      </c>
      <c r="I1402" s="156" t="inlineStr">
        <is>
          <t>Sombrero Stetson el Presidente 100X Premier</t>
        </is>
      </c>
      <c r="J1402" s="156" t="inlineStr">
        <is>
          <t>Accesorios</t>
        </is>
      </c>
      <c r="K1402" s="156" t="inlineStr">
        <is>
          <t>Sombreros</t>
        </is>
      </c>
      <c r="L1402" s="156" t="inlineStr">
        <is>
          <t>Unisex</t>
        </is>
      </c>
      <c r="M1402" s="156" t="inlineStr">
        <is>
          <t>Stetson</t>
        </is>
      </c>
      <c r="N1402" s="156" t="inlineStr">
        <is>
          <t>SS26</t>
        </is>
      </c>
      <c r="O1402" s="156" t="inlineStr">
        <is>
          <t>Seasonal</t>
        </is>
      </c>
      <c r="P1402" s="156" t="inlineStr">
        <is>
          <t>Gris</t>
        </is>
      </c>
      <c r="Q1402" s="156" t="n"/>
      <c r="R1402" s="156" t="inlineStr">
        <is>
          <t>Copa Rancher</t>
        </is>
      </c>
      <c r="S1402" s="156" t="inlineStr">
        <is>
          <t>100% Paja</t>
        </is>
      </c>
      <c r="T1402"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2" s="156" t="inlineStr">
        <is>
          <t>Estados Unidos</t>
        </is>
      </c>
      <c r="V1402" s="156" t="inlineStr">
        <is>
          <t>PZS</t>
        </is>
      </c>
      <c r="W1402" s="51" t="inlineStr">
        <is>
          <t>53102503</t>
        </is>
      </c>
      <c r="X1402" s="156" t="inlineStr">
        <is>
          <t>https://cdn.shopify.com/s/files/1/0888/3250/8267/files/SFPRES-4840-61-70_3.png?v=1760375699</t>
        </is>
      </c>
      <c r="Y1402" s="54" t="n">
        <v>10237.5</v>
      </c>
      <c r="Z1402" s="54" t="n">
        <v>24568.96552</v>
      </c>
      <c r="AA1402" s="55">
        <f>IF(AND(A1402="", B1402="", E1402=""), "", IF(AB1402="", "Válido", IF((LEN(AB1402)-LEN(SUBSTITUTE(AB1402,"; ","")))/2+1&gt;(LEN(AB1402)-LEN(SUBSTITUTE(AB1402,"[Aviso]","")))/7, "Con Incidencias", "Válido")))</f>
        <v/>
      </c>
      <c r="AB1402" s="56">
        <f>IF(AND(A1402="", B1402="", E1402=""), "", TEXTJOIN("; ", TRUE, IF(OR(TRIM(A1402&amp;"")="", ISNUMBER(SEARCH("FALTA", A1402))), "UPC faltante/inválido", ""), IF(AND(A1402&lt;&gt;"", IFERROR(_xlfn.XMATCH(A1402,$A$2:$A$2509,0,1)&lt;&gt;_xlfn.XMATCH(A1402,$A$2:$A$2509,0,-1),FALSE)), "Código de barras duplicado", ""), IF(AND(E1402&lt;&gt;"", COUNTIF($E$2:$E$2509, E1402)&gt;1), "SKU duplicado", ""), IF(OR(J1402="", J1402=""), "[Aviso] División no capturada ()", IF(ISNA(MATCH(J1402, Criterios!$A$123:$A$126, 0)), "División no válida", "")), IF(OR(K1402="", K1402=""), "[Aviso] Categoría no capturada ()", IF(ISNA(MATCH(K1402, Criterios!$A$81:$A$120, 0)), "Categoría no válida", IF(AND(J1402&lt;&gt;"", J1402&lt;&gt;"", J1402&lt;&gt;VLOOKUP(K1402, Criterios!$A$81:$B$120, 2, FALSE)), "División no coincide con Categoría", ""))), IF(OR(L1402="", L1402=""), "[Aviso] Género no capturado ()", IF(ISNA(MATCH(L1402, Criterios!$B$123:$B$127, 0)), "Género no válido", "")), IF(OR(N1402="", N1402=""), "[Aviso] Temporada no capturada ()", IF(ISNA(MATCH(N1402, Criterios!$C$123:$C$128, 0)), "Temporada no válida", "")), IF(OR(O1402="", O1402=""), "[Aviso] Ciclo de vida no capturado ()", IF(ISNA(MATCH(O1402, Criterios!$D$123:$D$124, 0)), "Ciclo de vida no válido", ""))))</f>
        <v/>
      </c>
      <c r="AC1402" s="56" t="n"/>
      <c r="AD1402" s="51" t="n">
        <v>-2</v>
      </c>
      <c r="AE1402" s="156" t="n"/>
      <c r="AF1402" s="51" t="n">
        <v>0</v>
      </c>
      <c r="AG1402" s="156" t="inlineStr">
        <is>
          <t>Catálogo existente</t>
        </is>
      </c>
      <c r="AH140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2" s="156" t="inlineStr">
        <is>
          <t>Sí</t>
        </is>
      </c>
      <c r="AJ1402" s="156" t="inlineStr">
        <is>
          <t>STETSON AMERICAS (-2)</t>
        </is>
      </c>
      <c r="AK1402" s="155" t="inlineStr">
        <is>
          <t>Criterios: I [Q] | Shopify Stetson: producto 14791359889771 / variante 53350604046699 | Odoo: producto 19374 / plantilla 23861</t>
        </is>
      </c>
      <c r="AL1402" s="58" t="n">
        <v>10237.5</v>
      </c>
      <c r="AM1402" s="58" t="n">
        <v>24568.96552</v>
      </c>
      <c r="AN1402" s="155" t="inlineStr">
        <is>
          <t>Shopify Stetson México | Odoo Universal Unique Brands</t>
        </is>
      </c>
      <c r="AO1402" s="59" t="n">
        <v>-1</v>
      </c>
      <c r="AP1402" s="59" t="n"/>
      <c r="AQ1402" s="59" t="n">
        <v>2</v>
      </c>
      <c r="AR1402" s="155" t="inlineStr">
        <is>
          <t>Odoo Universal Unique Brands › Bodega 25 › Bodega 25/General: 1 | Odoo Universal Unique Brands › Stetson Americas › Stetson Americas/Stock: 1</t>
        </is>
      </c>
    </row>
    <row r="1403">
      <c r="A1403" s="50" t="inlineStr">
        <is>
          <t>795177054887</t>
        </is>
      </c>
      <c r="B1403" s="51" t="inlineStr">
        <is>
          <t>109997</t>
        </is>
      </c>
      <c r="C1403" s="156" t="inlineStr">
        <is>
          <t>Multimarca</t>
        </is>
      </c>
      <c r="D1403" s="156" t="inlineStr">
        <is>
          <t>SFPRES-484061</t>
        </is>
      </c>
      <c r="E1403" s="156" t="inlineStr">
        <is>
          <t>SFPRES-48406172</t>
        </is>
      </c>
      <c r="F1403" s="156" t="inlineStr">
        <is>
          <t>7 1/4</t>
        </is>
      </c>
      <c r="G1403" s="156" t="inlineStr">
        <is>
          <t>7 1/4</t>
        </is>
      </c>
      <c r="H1403" s="156" t="inlineStr">
        <is>
          <t>Stetson</t>
        </is>
      </c>
      <c r="I1403" s="156" t="inlineStr">
        <is>
          <t>Sombrero Stetson el Presidente 100X Premier</t>
        </is>
      </c>
      <c r="J1403" s="156" t="inlineStr">
        <is>
          <t>Accesorios</t>
        </is>
      </c>
      <c r="K1403" s="156" t="inlineStr">
        <is>
          <t>Sombreros</t>
        </is>
      </c>
      <c r="L1403" s="156" t="inlineStr">
        <is>
          <t>Unisex</t>
        </is>
      </c>
      <c r="M1403" s="156" t="inlineStr">
        <is>
          <t>Stetson</t>
        </is>
      </c>
      <c r="N1403" s="156" t="inlineStr">
        <is>
          <t>SS26</t>
        </is>
      </c>
      <c r="O1403" s="156" t="inlineStr">
        <is>
          <t>Seasonal</t>
        </is>
      </c>
      <c r="P1403" s="156" t="inlineStr">
        <is>
          <t>Gris</t>
        </is>
      </c>
      <c r="Q1403" s="156" t="n"/>
      <c r="R1403" s="156" t="inlineStr">
        <is>
          <t>Copa Rancher</t>
        </is>
      </c>
      <c r="S1403" s="156" t="inlineStr">
        <is>
          <t>100% Paja</t>
        </is>
      </c>
      <c r="T1403"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3" s="156" t="inlineStr">
        <is>
          <t>Estados Unidos</t>
        </is>
      </c>
      <c r="V1403" s="156" t="inlineStr">
        <is>
          <t>PZS</t>
        </is>
      </c>
      <c r="W1403" s="51" t="inlineStr">
        <is>
          <t>53102503</t>
        </is>
      </c>
      <c r="X1403" s="156" t="inlineStr">
        <is>
          <t>https://cdn.shopify.com/s/files/1/0888/3250/8267/files/SFPRES-4840-61-70_6.png?v=1760375699</t>
        </is>
      </c>
      <c r="Y1403" s="54" t="n">
        <v>10237.5</v>
      </c>
      <c r="Z1403" s="54" t="n">
        <v>24568.96552</v>
      </c>
      <c r="AA1403" s="55">
        <f>IF(AND(A1403="", B1403="", E1403=""), "", IF(AB1403="", "Válido", IF((LEN(AB1403)-LEN(SUBSTITUTE(AB1403,"; ","")))/2+1&gt;(LEN(AB1403)-LEN(SUBSTITUTE(AB1403,"[Aviso]","")))/7, "Con Incidencias", "Válido")))</f>
        <v/>
      </c>
      <c r="AB1403" s="56">
        <f>IF(AND(A1403="", B1403="", E1403=""), "", TEXTJOIN("; ", TRUE, IF(OR(TRIM(A1403&amp;"")="", ISNUMBER(SEARCH("FALTA", A1403))), "UPC faltante/inválido", ""), IF(AND(A1403&lt;&gt;"", IFERROR(_xlfn.XMATCH(A1403,$A$2:$A$2509,0,1)&lt;&gt;_xlfn.XMATCH(A1403,$A$2:$A$2509,0,-1),FALSE)), "Código de barras duplicado", ""), IF(AND(E1403&lt;&gt;"", COUNTIF($E$2:$E$2509, E1403)&gt;1), "SKU duplicado", ""), IF(OR(J1403="", J1403=""), "[Aviso] División no capturada ()", IF(ISNA(MATCH(J1403, Criterios!$A$123:$A$126, 0)), "División no válida", "")), IF(OR(K1403="", K1403=""), "[Aviso] Categoría no capturada ()", IF(ISNA(MATCH(K1403, Criterios!$A$81:$A$120, 0)), "Categoría no válida", IF(AND(J1403&lt;&gt;"", J1403&lt;&gt;"", J1403&lt;&gt;VLOOKUP(K1403, Criterios!$A$81:$B$120, 2, FALSE)), "División no coincide con Categoría", ""))), IF(OR(L1403="", L1403=""), "[Aviso] Género no capturado ()", IF(ISNA(MATCH(L1403, Criterios!$B$123:$B$127, 0)), "Género no válido", "")), IF(OR(N1403="", N1403=""), "[Aviso] Temporada no capturada ()", IF(ISNA(MATCH(N1403, Criterios!$C$123:$C$128, 0)), "Temporada no válida", "")), IF(OR(O1403="", O1403=""), "[Aviso] Ciclo de vida no capturado ()", IF(ISNA(MATCH(O1403, Criterios!$D$123:$D$124, 0)), "Ciclo de vida no válido", ""))))</f>
        <v/>
      </c>
      <c r="AC1403" s="56" t="n"/>
      <c r="AD1403" s="51" t="n">
        <v>1</v>
      </c>
      <c r="AE1403" s="156" t="inlineStr">
        <is>
          <t>B25 STETSON.MX (1)</t>
        </is>
      </c>
      <c r="AF1403" s="51" t="n">
        <v>1</v>
      </c>
      <c r="AG1403" s="156" t="inlineStr">
        <is>
          <t>Catálogo existente</t>
        </is>
      </c>
      <c r="AH140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3" s="156" t="inlineStr">
        <is>
          <t>No</t>
        </is>
      </c>
      <c r="AJ1403" s="156" t="n"/>
      <c r="AK1403" s="155" t="inlineStr">
        <is>
          <t>Criterios: I [Q] | Shopify Stetson: producto 14791359889771 / variante 53350604079467 | Odoo: producto 14221 / plantilla 17798</t>
        </is>
      </c>
      <c r="AL1403" s="58" t="n">
        <v>10237.5</v>
      </c>
      <c r="AM1403" s="58" t="n">
        <v>24568.96552</v>
      </c>
      <c r="AN1403" s="155" t="inlineStr">
        <is>
          <t>Shopify Stetson México | Odoo Universal Unique Brands</t>
        </is>
      </c>
      <c r="AO1403" s="59" t="n">
        <v>3</v>
      </c>
      <c r="AP1403" s="59" t="n"/>
      <c r="AQ1403" s="59" t="n">
        <v>2</v>
      </c>
      <c r="AR1403" s="155" t="inlineStr">
        <is>
          <t>Shopify Stetson México › Stetson México: 1 | Shopify Stetson México › Stetson Americas: 2 | Odoo Universal Unique Brands › Bodega 25 › Bodega 25/General: 1 | Odoo Universal Unique Brands › Stetson Americas › Stetson Americas/Stock: 1</t>
        </is>
      </c>
    </row>
    <row r="1404">
      <c r="A1404" s="50" t="inlineStr">
        <is>
          <t>795177054894</t>
        </is>
      </c>
      <c r="B1404" s="51" t="inlineStr">
        <is>
          <t>109998</t>
        </is>
      </c>
      <c r="C1404" s="156" t="inlineStr">
        <is>
          <t>Multimarca</t>
        </is>
      </c>
      <c r="D1404" s="156" t="inlineStr">
        <is>
          <t>SFPRES-484061</t>
        </is>
      </c>
      <c r="E1404" s="156" t="inlineStr">
        <is>
          <t>SFPRES-48406173</t>
        </is>
      </c>
      <c r="F1404" s="156" t="inlineStr">
        <is>
          <t>7 3/8</t>
        </is>
      </c>
      <c r="G1404" s="156" t="inlineStr">
        <is>
          <t>7 3/8</t>
        </is>
      </c>
      <c r="H1404" s="156" t="inlineStr">
        <is>
          <t>Stetson</t>
        </is>
      </c>
      <c r="I1404" s="156" t="inlineStr">
        <is>
          <t>Sombrero Stetson el Presidente 100X Premier</t>
        </is>
      </c>
      <c r="J1404" s="156" t="inlineStr">
        <is>
          <t>Accesorios</t>
        </is>
      </c>
      <c r="K1404" s="156" t="inlineStr">
        <is>
          <t>Sombreros</t>
        </is>
      </c>
      <c r="L1404" s="156" t="inlineStr">
        <is>
          <t>Unisex</t>
        </is>
      </c>
      <c r="M1404" s="156" t="inlineStr">
        <is>
          <t>Stetson</t>
        </is>
      </c>
      <c r="N1404" s="156" t="inlineStr">
        <is>
          <t>SS26</t>
        </is>
      </c>
      <c r="O1404" s="156" t="inlineStr">
        <is>
          <t>Seasonal</t>
        </is>
      </c>
      <c r="P1404" s="156" t="inlineStr">
        <is>
          <t>Gris</t>
        </is>
      </c>
      <c r="Q1404" s="156" t="n"/>
      <c r="R1404" s="156" t="inlineStr">
        <is>
          <t>Copa Rancher</t>
        </is>
      </c>
      <c r="S1404" s="156" t="inlineStr">
        <is>
          <t>100% Paja</t>
        </is>
      </c>
      <c r="T1404"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4" s="156" t="inlineStr">
        <is>
          <t>Estados Unidos</t>
        </is>
      </c>
      <c r="V1404" s="156" t="inlineStr">
        <is>
          <t>PZS</t>
        </is>
      </c>
      <c r="W1404" s="51" t="inlineStr">
        <is>
          <t>53102503</t>
        </is>
      </c>
      <c r="X1404" s="156" t="inlineStr">
        <is>
          <t>https://cdn.shopify.com/s/files/1/0888/3250/8267/files/SFPRES-4840-61-70_7.png?v=1760375699</t>
        </is>
      </c>
      <c r="Y1404" s="54" t="n">
        <v>10237.5</v>
      </c>
      <c r="Z1404" s="54" t="n">
        <v>24568.96552</v>
      </c>
      <c r="AA1404" s="55">
        <f>IF(AND(A1404="", B1404="", E1404=""), "", IF(AB1404="", "Válido", IF((LEN(AB1404)-LEN(SUBSTITUTE(AB1404,"; ","")))/2+1&gt;(LEN(AB1404)-LEN(SUBSTITUTE(AB1404,"[Aviso]","")))/7, "Con Incidencias", "Válido")))</f>
        <v/>
      </c>
      <c r="AB1404" s="56">
        <f>IF(AND(A1404="", B1404="", E1404=""), "", TEXTJOIN("; ", TRUE, IF(OR(TRIM(A1404&amp;"")="", ISNUMBER(SEARCH("FALTA", A1404))), "UPC faltante/inválido", ""), IF(AND(A1404&lt;&gt;"", IFERROR(_xlfn.XMATCH(A1404,$A$2:$A$2509,0,1)&lt;&gt;_xlfn.XMATCH(A1404,$A$2:$A$2509,0,-1),FALSE)), "Código de barras duplicado", ""), IF(AND(E1404&lt;&gt;"", COUNTIF($E$2:$E$2509, E1404)&gt;1), "SKU duplicado", ""), IF(OR(J1404="", J1404=""), "[Aviso] División no capturada ()", IF(ISNA(MATCH(J1404, Criterios!$A$123:$A$126, 0)), "División no válida", "")), IF(OR(K1404="", K1404=""), "[Aviso] Categoría no capturada ()", IF(ISNA(MATCH(K1404, Criterios!$A$81:$A$120, 0)), "Categoría no válida", IF(AND(J1404&lt;&gt;"", J1404&lt;&gt;"", J1404&lt;&gt;VLOOKUP(K1404, Criterios!$A$81:$B$120, 2, FALSE)), "División no coincide con Categoría", ""))), IF(OR(L1404="", L1404=""), "[Aviso] Género no capturado ()", IF(ISNA(MATCH(L1404, Criterios!$B$123:$B$127, 0)), "Género no válido", "")), IF(OR(N1404="", N1404=""), "[Aviso] Temporada no capturada ()", IF(ISNA(MATCH(N1404, Criterios!$C$123:$C$128, 0)), "Temporada no válida", "")), IF(OR(O1404="", O1404=""), "[Aviso] Ciclo de vida no capturado ()", IF(ISNA(MATCH(O1404, Criterios!$D$123:$D$124, 0)), "Ciclo de vida no válido", ""))))</f>
        <v/>
      </c>
      <c r="AC1404" s="56" t="n"/>
      <c r="AD1404" s="51" t="n">
        <v>-1</v>
      </c>
      <c r="AE1404" s="156" t="n"/>
      <c r="AF1404" s="51" t="n">
        <v>0</v>
      </c>
      <c r="AG1404" s="156" t="inlineStr">
        <is>
          <t>Catálogo existente</t>
        </is>
      </c>
      <c r="AH140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4" s="156" t="inlineStr">
        <is>
          <t>Sí</t>
        </is>
      </c>
      <c r="AJ1404" s="156" t="inlineStr">
        <is>
          <t>STETSON AMERICAS (-1)</t>
        </is>
      </c>
      <c r="AK1404" s="155" t="inlineStr">
        <is>
          <t>Criterios: I [Q] | Shopify Stetson: producto 14791359889771 / variante 53350604112235 | Odoo: producto 14222 / plantilla 17799</t>
        </is>
      </c>
      <c r="AL1404" s="58" t="n">
        <v>10237.5</v>
      </c>
      <c r="AM1404" s="58" t="n">
        <v>24568.96552</v>
      </c>
      <c r="AN1404" s="155" t="inlineStr">
        <is>
          <t>Shopify Stetson México | Odoo Universal Unique Brands</t>
        </is>
      </c>
      <c r="AO1404" s="59" t="n">
        <v>0</v>
      </c>
      <c r="AP1404" s="59" t="n"/>
      <c r="AQ1404" s="59" t="n">
        <v>1</v>
      </c>
      <c r="AR1404" s="155" t="inlineStr">
        <is>
          <t>Odoo Universal Unique Brands › Stetson Americas › Stetson Americas/Stock: 1</t>
        </is>
      </c>
    </row>
    <row r="1405">
      <c r="A1405" s="50" t="inlineStr">
        <is>
          <t>795177057710</t>
        </is>
      </c>
      <c r="B1405" s="51" t="inlineStr">
        <is>
          <t>110019</t>
        </is>
      </c>
      <c r="C1405" s="156" t="inlineStr">
        <is>
          <t>Multimarca</t>
        </is>
      </c>
      <c r="D1405" s="156" t="inlineStr">
        <is>
          <t>SFRNCH-014007</t>
        </is>
      </c>
      <c r="E1405" s="156" t="inlineStr">
        <is>
          <t>SFRNCH-01400767</t>
        </is>
      </c>
      <c r="F1405" s="156" t="inlineStr">
        <is>
          <t>6 7/8</t>
        </is>
      </c>
      <c r="G1405" s="156" t="inlineStr">
        <is>
          <t>6 7/8</t>
        </is>
      </c>
      <c r="H1405" s="156" t="inlineStr">
        <is>
          <t>Stetson</t>
        </is>
      </c>
      <c r="I1405" s="156" t="inlineStr">
        <is>
          <t>Texana Stetson 6X Rancher Negro</t>
        </is>
      </c>
      <c r="J1405" s="156" t="inlineStr">
        <is>
          <t>Accesorios</t>
        </is>
      </c>
      <c r="K1405" s="156" t="inlineStr">
        <is>
          <t>Sombreros</t>
        </is>
      </c>
      <c r="L1405" s="156" t="inlineStr">
        <is>
          <t>Unisex</t>
        </is>
      </c>
      <c r="M1405" s="156" t="inlineStr">
        <is>
          <t>Stetson</t>
        </is>
      </c>
      <c r="N1405" s="156" t="inlineStr">
        <is>
          <t>SS26</t>
        </is>
      </c>
      <c r="O1405" s="156" t="inlineStr">
        <is>
          <t>Seasonal</t>
        </is>
      </c>
      <c r="P1405" s="156" t="inlineStr">
        <is>
          <t>Negro</t>
        </is>
      </c>
      <c r="Q1405" s="156" t="n"/>
      <c r="R1405" s="156" t="inlineStr">
        <is>
          <t>Copa Rancher</t>
        </is>
      </c>
      <c r="S1405" s="156" t="inlineStr">
        <is>
          <t>100% Fieltro de lana</t>
        </is>
      </c>
      <c r="T1405"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5" s="156" t="inlineStr">
        <is>
          <t>Estados Unidos</t>
        </is>
      </c>
      <c r="V1405" s="156" t="inlineStr">
        <is>
          <t>PZS</t>
        </is>
      </c>
      <c r="W1405" s="51" t="inlineStr">
        <is>
          <t>53102503</t>
        </is>
      </c>
      <c r="X1405" s="156" t="inlineStr">
        <is>
          <t>https://cdn.shopify.com/s/files/1/0888/3250/8267/files/SFRNCH-014007-01_c042defb-35de-43b5-9406-769d256b571c.jpg?v=1759767890</t>
        </is>
      </c>
      <c r="Y1405" s="54" t="n">
        <v>2598.75</v>
      </c>
      <c r="Z1405" s="54" t="n">
        <v>6724.137931</v>
      </c>
      <c r="AA1405" s="55">
        <f>IF(AND(A1405="", B1405="", E1405=""), "", IF(AB1405="", "Válido", IF((LEN(AB1405)-LEN(SUBSTITUTE(AB1405,"; ","")))/2+1&gt;(LEN(AB1405)-LEN(SUBSTITUTE(AB1405,"[Aviso]","")))/7, "Con Incidencias", "Válido")))</f>
        <v/>
      </c>
      <c r="AB1405" s="56">
        <f>IF(AND(A1405="", B1405="", E1405=""), "", TEXTJOIN("; ", TRUE, IF(OR(TRIM(A1405&amp;"")="", ISNUMBER(SEARCH("FALTA", A1405))), "UPC faltante/inválido", ""), IF(AND(A1405&lt;&gt;"", IFERROR(_xlfn.XMATCH(A1405,$A$2:$A$2509,0,1)&lt;&gt;_xlfn.XMATCH(A1405,$A$2:$A$2509,0,-1),FALSE)), "Código de barras duplicado", ""), IF(AND(E1405&lt;&gt;"", COUNTIF($E$2:$E$2509, E1405)&gt;1), "SKU duplicado", ""), IF(OR(J1405="", J1405=""), "[Aviso] División no capturada ()", IF(ISNA(MATCH(J1405, Criterios!$A$123:$A$126, 0)), "División no válida", "")), IF(OR(K1405="", K1405=""), "[Aviso] Categoría no capturada ()", IF(ISNA(MATCH(K1405, Criterios!$A$81:$A$120, 0)), "Categoría no válida", IF(AND(J1405&lt;&gt;"", J1405&lt;&gt;"", J1405&lt;&gt;VLOOKUP(K1405, Criterios!$A$81:$B$120, 2, FALSE)), "División no coincide con Categoría", ""))), IF(OR(L1405="", L1405=""), "[Aviso] Género no capturado ()", IF(ISNA(MATCH(L1405, Criterios!$B$123:$B$127, 0)), "Género no válido", "")), IF(OR(N1405="", N1405=""), "[Aviso] Temporada no capturada ()", IF(ISNA(MATCH(N1405, Criterios!$C$123:$C$128, 0)), "Temporada no válida", "")), IF(OR(O1405="", O1405=""), "[Aviso] Ciclo de vida no capturado ()", IF(ISNA(MATCH(O1405, Criterios!$D$123:$D$124, 0)), "Ciclo de vida no válido", ""))))</f>
        <v/>
      </c>
      <c r="AC1405" s="56" t="n"/>
      <c r="AD1405" s="51" t="n">
        <v>-1</v>
      </c>
      <c r="AE1405" s="156" t="n"/>
      <c r="AF1405" s="51" t="n">
        <v>0</v>
      </c>
      <c r="AG1405" s="156" t="inlineStr">
        <is>
          <t>Catálogo existente</t>
        </is>
      </c>
      <c r="AH1405" s="156" t="inlineStr">
        <is>
          <t>Stock negativo en sistema: revisar en conteo | Revisión 29/09/2026: Cruce de catálogo y criterios sin pendientes detectados | 01/10/2026: complementado desde Shopify Stetson México (match por código de barras): WB Fit, WB Silueta</t>
        </is>
      </c>
      <c r="AI1405" s="156" t="inlineStr">
        <is>
          <t>Sí</t>
        </is>
      </c>
      <c r="AJ1405" s="156" t="inlineStr">
        <is>
          <t>STETSON AMERICAS (-1)</t>
        </is>
      </c>
      <c r="AK1405" s="155" t="inlineStr">
        <is>
          <t>Criterios: I [Q] | Shopify Stetson: producto 14785864204651 / variante 53350612894059</t>
        </is>
      </c>
      <c r="AL1405" s="58" t="n">
        <v>2598.75</v>
      </c>
      <c r="AM1405" s="58" t="n">
        <v>6724.137931</v>
      </c>
      <c r="AN1405" s="155" t="inlineStr">
        <is>
          <t>Shopify Stetson México</t>
        </is>
      </c>
      <c r="AO1405" s="59" t="n">
        <v>0</v>
      </c>
      <c r="AP1405" s="59" t="n"/>
      <c r="AQ1405" s="59" t="n"/>
      <c r="AR1405" s="155" t="n"/>
    </row>
    <row r="1406">
      <c r="A1406" s="50" t="inlineStr">
        <is>
          <t>795177057727</t>
        </is>
      </c>
      <c r="B1406" s="51" t="inlineStr">
        <is>
          <t>110020</t>
        </is>
      </c>
      <c r="C1406" s="156" t="inlineStr">
        <is>
          <t>Multimarca</t>
        </is>
      </c>
      <c r="D1406" s="156" t="inlineStr">
        <is>
          <t>SFRNCH-014007</t>
        </is>
      </c>
      <c r="E1406" s="156" t="inlineStr">
        <is>
          <t>SFRNCH-01400770</t>
        </is>
      </c>
      <c r="F1406" s="156" t="inlineStr">
        <is>
          <t>7</t>
        </is>
      </c>
      <c r="G1406" s="156" t="inlineStr">
        <is>
          <t>7</t>
        </is>
      </c>
      <c r="H1406" s="156" t="inlineStr">
        <is>
          <t>Stetson</t>
        </is>
      </c>
      <c r="I1406" s="156" t="inlineStr">
        <is>
          <t>Texana Stetson 6X Rancher Negro</t>
        </is>
      </c>
      <c r="J1406" s="156" t="inlineStr">
        <is>
          <t>Accesorios</t>
        </is>
      </c>
      <c r="K1406" s="156" t="inlineStr">
        <is>
          <t>Sombreros</t>
        </is>
      </c>
      <c r="L1406" s="156" t="inlineStr">
        <is>
          <t>Unisex</t>
        </is>
      </c>
      <c r="M1406" s="156" t="inlineStr">
        <is>
          <t>Stetson</t>
        </is>
      </c>
      <c r="N1406" s="156" t="inlineStr">
        <is>
          <t>SS26</t>
        </is>
      </c>
      <c r="O1406" s="156" t="inlineStr">
        <is>
          <t>Seasonal</t>
        </is>
      </c>
      <c r="P1406" s="156" t="inlineStr">
        <is>
          <t>Negro</t>
        </is>
      </c>
      <c r="Q1406" s="156" t="n"/>
      <c r="R1406" s="156" t="inlineStr">
        <is>
          <t>Copa Rancher</t>
        </is>
      </c>
      <c r="S1406" s="156" t="inlineStr">
        <is>
          <t>100% Fieltro de lana</t>
        </is>
      </c>
      <c r="T140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6" s="156" t="inlineStr">
        <is>
          <t>Estados Unidos</t>
        </is>
      </c>
      <c r="V1406" s="156" t="inlineStr">
        <is>
          <t>PZS</t>
        </is>
      </c>
      <c r="W1406" s="51" t="inlineStr">
        <is>
          <t>53102503</t>
        </is>
      </c>
      <c r="X1406" s="156" t="inlineStr">
        <is>
          <t>https://cdn.shopify.com/s/files/1/0888/3250/8267/files/SFRNCH-014007-02.jpg?v=1759767890</t>
        </is>
      </c>
      <c r="Y1406" s="54" t="n">
        <v>2598.75</v>
      </c>
      <c r="Z1406" s="54" t="n">
        <v>6724.137931</v>
      </c>
      <c r="AA1406" s="55">
        <f>IF(AND(A1406="", B1406="", E1406=""), "", IF(AB1406="", "Válido", IF((LEN(AB1406)-LEN(SUBSTITUTE(AB1406,"; ","")))/2+1&gt;(LEN(AB1406)-LEN(SUBSTITUTE(AB1406,"[Aviso]","")))/7, "Con Incidencias", "Válido")))</f>
        <v/>
      </c>
      <c r="AB1406" s="56">
        <f>IF(AND(A1406="", B1406="", E1406=""), "", TEXTJOIN("; ", TRUE, IF(OR(TRIM(A1406&amp;"")="", ISNUMBER(SEARCH("FALTA", A1406))), "UPC faltante/inválido", ""), IF(AND(A1406&lt;&gt;"", IFERROR(_xlfn.XMATCH(A1406,$A$2:$A$2509,0,1)&lt;&gt;_xlfn.XMATCH(A1406,$A$2:$A$2509,0,-1),FALSE)), "Código de barras duplicado", ""), IF(AND(E1406&lt;&gt;"", COUNTIF($E$2:$E$2509, E1406)&gt;1), "SKU duplicado", ""), IF(OR(J1406="", J1406=""), "[Aviso] División no capturada ()", IF(ISNA(MATCH(J1406, Criterios!$A$123:$A$126, 0)), "División no válida", "")), IF(OR(K1406="", K1406=""), "[Aviso] Categoría no capturada ()", IF(ISNA(MATCH(K1406, Criterios!$A$81:$A$120, 0)), "Categoría no válida", IF(AND(J1406&lt;&gt;"", J1406&lt;&gt;"", J1406&lt;&gt;VLOOKUP(K1406, Criterios!$A$81:$B$120, 2, FALSE)), "División no coincide con Categoría", ""))), IF(OR(L1406="", L1406=""), "[Aviso] Género no capturado ()", IF(ISNA(MATCH(L1406, Criterios!$B$123:$B$127, 0)), "Género no válido", "")), IF(OR(N1406="", N1406=""), "[Aviso] Temporada no capturada ()", IF(ISNA(MATCH(N1406, Criterios!$C$123:$C$128, 0)), "Temporada no válida", "")), IF(OR(O1406="", O1406=""), "[Aviso] Ciclo de vida no capturado ()", IF(ISNA(MATCH(O1406, Criterios!$D$123:$D$124, 0)), "Ciclo de vida no válido", ""))))</f>
        <v/>
      </c>
      <c r="AC1406" s="56" t="n"/>
      <c r="AD1406" s="51" t="n">
        <v>1</v>
      </c>
      <c r="AE1406" s="156" t="inlineStr">
        <is>
          <t>B25 STETSON.MX (1)</t>
        </is>
      </c>
      <c r="AF1406" s="51" t="n">
        <v>1</v>
      </c>
      <c r="AG1406" s="156" t="inlineStr">
        <is>
          <t>Catálogo existente</t>
        </is>
      </c>
      <c r="AH1406" s="156" t="inlineStr">
        <is>
          <t>Revisión 29/09/2026: Cruce de catálogo y criterios sin pendientes detectados | 01/10/2026: complementado desde Shopify Stetson México (match por código de barras): WB Fit, WB Silueta</t>
        </is>
      </c>
      <c r="AI1406" s="156" t="inlineStr">
        <is>
          <t>No</t>
        </is>
      </c>
      <c r="AJ1406" s="156" t="n"/>
      <c r="AK1406" s="155" t="inlineStr">
        <is>
          <t>Criterios: I [Q] | Shopify Stetson: producto 14785864204651 / variante 53350612926827</t>
        </is>
      </c>
      <c r="AL1406" s="58" t="n">
        <v>2598.75</v>
      </c>
      <c r="AM1406" s="58" t="n">
        <v>6724.137931</v>
      </c>
      <c r="AN1406" s="155" t="inlineStr">
        <is>
          <t>Shopify Stetson México</t>
        </is>
      </c>
      <c r="AO1406" s="59" t="n">
        <v>1</v>
      </c>
      <c r="AP1406" s="59" t="n"/>
      <c r="AQ1406" s="59" t="n"/>
      <c r="AR1406" s="155" t="inlineStr">
        <is>
          <t>Shopify Stetson México › Stetson México: 1</t>
        </is>
      </c>
    </row>
    <row r="1407">
      <c r="A1407" s="50" t="inlineStr">
        <is>
          <t>795177057734</t>
        </is>
      </c>
      <c r="B1407" s="51" t="inlineStr">
        <is>
          <t>110021</t>
        </is>
      </c>
      <c r="C1407" s="156" t="inlineStr">
        <is>
          <t>Multimarca</t>
        </is>
      </c>
      <c r="D1407" s="156" t="inlineStr">
        <is>
          <t>SFRNCH-014007</t>
        </is>
      </c>
      <c r="E1407" s="156" t="inlineStr">
        <is>
          <t>SFRNCH-01400771</t>
        </is>
      </c>
      <c r="F1407" s="156" t="inlineStr">
        <is>
          <t>7 1/8</t>
        </is>
      </c>
      <c r="G1407" s="156" t="inlineStr">
        <is>
          <t>7 1/8</t>
        </is>
      </c>
      <c r="H1407" s="156" t="inlineStr">
        <is>
          <t>Stetson</t>
        </is>
      </c>
      <c r="I1407" s="156" t="inlineStr">
        <is>
          <t>Texana Stetson 6X Rancher Negro</t>
        </is>
      </c>
      <c r="J1407" s="156" t="inlineStr">
        <is>
          <t>Accesorios</t>
        </is>
      </c>
      <c r="K1407" s="156" t="inlineStr">
        <is>
          <t>Sombreros</t>
        </is>
      </c>
      <c r="L1407" s="156" t="inlineStr">
        <is>
          <t>Unisex</t>
        </is>
      </c>
      <c r="M1407" s="156" t="inlineStr">
        <is>
          <t>Stetson</t>
        </is>
      </c>
      <c r="N1407" s="156" t="inlineStr">
        <is>
          <t>SS26</t>
        </is>
      </c>
      <c r="O1407" s="156" t="inlineStr">
        <is>
          <t>Seasonal</t>
        </is>
      </c>
      <c r="P1407" s="156" t="inlineStr">
        <is>
          <t>Negro</t>
        </is>
      </c>
      <c r="Q1407" s="156" t="n"/>
      <c r="R1407" s="156" t="inlineStr">
        <is>
          <t>Copa Rancher</t>
        </is>
      </c>
      <c r="S1407" s="156" t="inlineStr">
        <is>
          <t>100% Fieltro de lana</t>
        </is>
      </c>
      <c r="T140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7" s="156" t="inlineStr">
        <is>
          <t>Estados Unidos</t>
        </is>
      </c>
      <c r="V1407" s="156" t="inlineStr">
        <is>
          <t>PZS</t>
        </is>
      </c>
      <c r="W1407" s="51" t="inlineStr">
        <is>
          <t>53102503</t>
        </is>
      </c>
      <c r="X1407" s="156" t="inlineStr">
        <is>
          <t>https://cdn.shopify.com/s/files/1/0888/3250/8267/files/SFRNCH-014007-03.jpg?v=1759767890</t>
        </is>
      </c>
      <c r="Y1407" s="54" t="n">
        <v>2598.75</v>
      </c>
      <c r="Z1407" s="54" t="n">
        <v>6724.137931</v>
      </c>
      <c r="AA1407" s="55">
        <f>IF(AND(A1407="", B1407="", E1407=""), "", IF(AB1407="", "Válido", IF((LEN(AB1407)-LEN(SUBSTITUTE(AB1407,"; ","")))/2+1&gt;(LEN(AB1407)-LEN(SUBSTITUTE(AB1407,"[Aviso]","")))/7, "Con Incidencias", "Válido")))</f>
        <v/>
      </c>
      <c r="AB1407" s="56">
        <f>IF(AND(A1407="", B1407="", E1407=""), "", TEXTJOIN("; ", TRUE, IF(OR(TRIM(A1407&amp;"")="", ISNUMBER(SEARCH("FALTA", A1407))), "UPC faltante/inválido", ""), IF(AND(A1407&lt;&gt;"", IFERROR(_xlfn.XMATCH(A1407,$A$2:$A$2509,0,1)&lt;&gt;_xlfn.XMATCH(A1407,$A$2:$A$2509,0,-1),FALSE)), "Código de barras duplicado", ""), IF(AND(E1407&lt;&gt;"", COUNTIF($E$2:$E$2509, E1407)&gt;1), "SKU duplicado", ""), IF(OR(J1407="", J1407=""), "[Aviso] División no capturada ()", IF(ISNA(MATCH(J1407, Criterios!$A$123:$A$126, 0)), "División no válida", "")), IF(OR(K1407="", K1407=""), "[Aviso] Categoría no capturada ()", IF(ISNA(MATCH(K1407, Criterios!$A$81:$A$120, 0)), "Categoría no válida", IF(AND(J1407&lt;&gt;"", J1407&lt;&gt;"", J1407&lt;&gt;VLOOKUP(K1407, Criterios!$A$81:$B$120, 2, FALSE)), "División no coincide con Categoría", ""))), IF(OR(L1407="", L1407=""), "[Aviso] Género no capturado ()", IF(ISNA(MATCH(L1407, Criterios!$B$123:$B$127, 0)), "Género no válido", "")), IF(OR(N1407="", N1407=""), "[Aviso] Temporada no capturada ()", IF(ISNA(MATCH(N1407, Criterios!$C$123:$C$128, 0)), "Temporada no válida", "")), IF(OR(O1407="", O1407=""), "[Aviso] Ciclo de vida no capturado ()", IF(ISNA(MATCH(O1407, Criterios!$D$123:$D$124, 0)), "Ciclo de vida no válido", ""))))</f>
        <v/>
      </c>
      <c r="AC1407" s="56" t="n"/>
      <c r="AD1407" s="51" t="n">
        <v>3</v>
      </c>
      <c r="AE1407" s="156" t="inlineStr">
        <is>
          <t>B25 STETSON.MX (2); STETSON AMERICAS (1)</t>
        </is>
      </c>
      <c r="AF1407" s="51" t="n">
        <v>3</v>
      </c>
      <c r="AG1407" s="156" t="inlineStr">
        <is>
          <t>Catálogo existente</t>
        </is>
      </c>
      <c r="AH1407" s="156" t="inlineStr">
        <is>
          <t>Revisión 29/09/2026: Cruce de catálogo y criterios sin pendientes detectados | 01/10/2026: complementado desde Shopify Stetson México (match por código de barras): WB Fit, WB Silueta</t>
        </is>
      </c>
      <c r="AI1407" s="156" t="inlineStr">
        <is>
          <t>No</t>
        </is>
      </c>
      <c r="AJ1407" s="156" t="n"/>
      <c r="AK1407" s="155" t="inlineStr">
        <is>
          <t>Criterios: I [Q] | Shopify Stetson: producto 14785864204651 / variante 53350612959595</t>
        </is>
      </c>
      <c r="AL1407" s="58" t="n">
        <v>2598.75</v>
      </c>
      <c r="AM1407" s="58" t="n">
        <v>6724.137931</v>
      </c>
      <c r="AN1407" s="155" t="inlineStr">
        <is>
          <t>Shopify Stetson México</t>
        </is>
      </c>
      <c r="AO1407" s="59" t="n">
        <v>3</v>
      </c>
      <c r="AP1407" s="59" t="n"/>
      <c r="AQ1407" s="59" t="n"/>
      <c r="AR1407" s="155" t="inlineStr">
        <is>
          <t>Shopify Stetson México › Stetson México: 3</t>
        </is>
      </c>
    </row>
    <row r="1408">
      <c r="A1408" s="50" t="inlineStr">
        <is>
          <t>795177057741</t>
        </is>
      </c>
      <c r="B1408" s="51" t="inlineStr">
        <is>
          <t>110022</t>
        </is>
      </c>
      <c r="C1408" s="156" t="inlineStr">
        <is>
          <t>Multimarca</t>
        </is>
      </c>
      <c r="D1408" s="156" t="inlineStr">
        <is>
          <t>SFRNCH-014007</t>
        </is>
      </c>
      <c r="E1408" s="156" t="inlineStr">
        <is>
          <t>SFRNCH-01400772</t>
        </is>
      </c>
      <c r="F1408" s="156" t="inlineStr">
        <is>
          <t>7 1/4</t>
        </is>
      </c>
      <c r="G1408" s="156" t="inlineStr">
        <is>
          <t>7 1/4</t>
        </is>
      </c>
      <c r="H1408" s="156" t="inlineStr">
        <is>
          <t>Stetson</t>
        </is>
      </c>
      <c r="I1408" s="156" t="inlineStr">
        <is>
          <t>Texana Stetson 6X Rancher Negro</t>
        </is>
      </c>
      <c r="J1408" s="156" t="inlineStr">
        <is>
          <t>Accesorios</t>
        </is>
      </c>
      <c r="K1408" s="156" t="inlineStr">
        <is>
          <t>Sombreros</t>
        </is>
      </c>
      <c r="L1408" s="156" t="inlineStr">
        <is>
          <t>Unisex</t>
        </is>
      </c>
      <c r="M1408" s="156" t="inlineStr">
        <is>
          <t>Stetson</t>
        </is>
      </c>
      <c r="N1408" s="156" t="inlineStr">
        <is>
          <t>SS26</t>
        </is>
      </c>
      <c r="O1408" s="156" t="inlineStr">
        <is>
          <t>Seasonal</t>
        </is>
      </c>
      <c r="P1408" s="156" t="inlineStr">
        <is>
          <t>Negro</t>
        </is>
      </c>
      <c r="Q1408" s="156" t="n"/>
      <c r="R1408" s="156" t="inlineStr">
        <is>
          <t>Copa Rancher</t>
        </is>
      </c>
      <c r="S1408" s="156" t="inlineStr">
        <is>
          <t>100% Fieltro de lana</t>
        </is>
      </c>
      <c r="T140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8" s="156" t="inlineStr">
        <is>
          <t>Estados Unidos</t>
        </is>
      </c>
      <c r="V1408" s="156" t="inlineStr">
        <is>
          <t>PZS</t>
        </is>
      </c>
      <c r="W1408" s="51" t="inlineStr">
        <is>
          <t>53102503</t>
        </is>
      </c>
      <c r="X1408" s="156" t="inlineStr">
        <is>
          <t>https://cdn.shopify.com/s/files/1/0888/3250/8267/files/SFRNCH-014007-04.jpg?v=1759767890</t>
        </is>
      </c>
      <c r="Y1408" s="54" t="n">
        <v>2598.75</v>
      </c>
      <c r="Z1408" s="54" t="n">
        <v>6724.137931</v>
      </c>
      <c r="AA1408" s="55">
        <f>IF(AND(A1408="", B1408="", E1408=""), "", IF(AB1408="", "Válido", IF((LEN(AB1408)-LEN(SUBSTITUTE(AB1408,"; ","")))/2+1&gt;(LEN(AB1408)-LEN(SUBSTITUTE(AB1408,"[Aviso]","")))/7, "Con Incidencias", "Válido")))</f>
        <v/>
      </c>
      <c r="AB1408" s="56">
        <f>IF(AND(A1408="", B1408="", E1408=""), "", TEXTJOIN("; ", TRUE, IF(OR(TRIM(A1408&amp;"")="", ISNUMBER(SEARCH("FALTA", A1408))), "UPC faltante/inválido", ""), IF(AND(A1408&lt;&gt;"", IFERROR(_xlfn.XMATCH(A1408,$A$2:$A$2509,0,1)&lt;&gt;_xlfn.XMATCH(A1408,$A$2:$A$2509,0,-1),FALSE)), "Código de barras duplicado", ""), IF(AND(E1408&lt;&gt;"", COUNTIF($E$2:$E$2509, E1408)&gt;1), "SKU duplicado", ""), IF(OR(J1408="", J1408=""), "[Aviso] División no capturada ()", IF(ISNA(MATCH(J1408, Criterios!$A$123:$A$126, 0)), "División no válida", "")), IF(OR(K1408="", K1408=""), "[Aviso] Categoría no capturada ()", IF(ISNA(MATCH(K1408, Criterios!$A$81:$A$120, 0)), "Categoría no válida", IF(AND(J1408&lt;&gt;"", J1408&lt;&gt;"", J1408&lt;&gt;VLOOKUP(K1408, Criterios!$A$81:$B$120, 2, FALSE)), "División no coincide con Categoría", ""))), IF(OR(L1408="", L1408=""), "[Aviso] Género no capturado ()", IF(ISNA(MATCH(L1408, Criterios!$B$123:$B$127, 0)), "Género no válido", "")), IF(OR(N1408="", N1408=""), "[Aviso] Temporada no capturada ()", IF(ISNA(MATCH(N1408, Criterios!$C$123:$C$128, 0)), "Temporada no válida", "")), IF(OR(O1408="", O1408=""), "[Aviso] Ciclo de vida no capturado ()", IF(ISNA(MATCH(O1408, Criterios!$D$123:$D$124, 0)), "Ciclo de vida no válido", ""))))</f>
        <v/>
      </c>
      <c r="AC1408" s="56" t="n"/>
      <c r="AD1408" s="51" t="n">
        <v>1</v>
      </c>
      <c r="AE1408" s="156" t="inlineStr">
        <is>
          <t>B25 STETSON.MX (1)</t>
        </is>
      </c>
      <c r="AF1408" s="51" t="n">
        <v>1</v>
      </c>
      <c r="AG1408" s="156" t="inlineStr">
        <is>
          <t>Catálogo existente</t>
        </is>
      </c>
      <c r="AH1408" s="156" t="inlineStr">
        <is>
          <t>Revisión 29/09/2026: Cruce de catálogo y criterios sin pendientes detectados | 01/10/2026: complementado desde Shopify Stetson México (match por código de barras): WB Fit, WB Silueta</t>
        </is>
      </c>
      <c r="AI1408" s="156" t="inlineStr">
        <is>
          <t>No</t>
        </is>
      </c>
      <c r="AJ1408" s="156" t="n"/>
      <c r="AK1408" s="155" t="inlineStr">
        <is>
          <t>Criterios: I [Q] | Shopify Stetson: producto 14785864204651 / variante 53350612992363</t>
        </is>
      </c>
      <c r="AL1408" s="58" t="n">
        <v>2598.75</v>
      </c>
      <c r="AM1408" s="58" t="n">
        <v>6724.137931</v>
      </c>
      <c r="AN1408" s="155" t="inlineStr">
        <is>
          <t>Shopify Stetson México</t>
        </is>
      </c>
      <c r="AO1408" s="59" t="n">
        <v>2</v>
      </c>
      <c r="AP1408" s="59" t="n"/>
      <c r="AQ1408" s="59" t="n"/>
      <c r="AR1408" s="155" t="inlineStr">
        <is>
          <t>Shopify Stetson México › Stetson México: 1 | Shopify Stetson México › Stetson Americas: 1</t>
        </is>
      </c>
    </row>
    <row r="1409">
      <c r="A1409" s="50" t="inlineStr">
        <is>
          <t>795177057758</t>
        </is>
      </c>
      <c r="B1409" s="51" t="inlineStr">
        <is>
          <t>110023</t>
        </is>
      </c>
      <c r="C1409" s="156" t="inlineStr">
        <is>
          <t>Multimarca</t>
        </is>
      </c>
      <c r="D1409" s="156" t="inlineStr">
        <is>
          <t>SFRNCH-014007</t>
        </is>
      </c>
      <c r="E1409" s="156" t="inlineStr">
        <is>
          <t>SFRNCH-01400773</t>
        </is>
      </c>
      <c r="F1409" s="156" t="inlineStr">
        <is>
          <t>7 3/8</t>
        </is>
      </c>
      <c r="G1409" s="156" t="inlineStr">
        <is>
          <t>7 3/8</t>
        </is>
      </c>
      <c r="H1409" s="156" t="inlineStr">
        <is>
          <t>Stetson</t>
        </is>
      </c>
      <c r="I1409" s="156" t="inlineStr">
        <is>
          <t>Texana Stetson 6X Rancher Negro</t>
        </is>
      </c>
      <c r="J1409" s="156" t="inlineStr">
        <is>
          <t>Accesorios</t>
        </is>
      </c>
      <c r="K1409" s="156" t="inlineStr">
        <is>
          <t>Sombreros</t>
        </is>
      </c>
      <c r="L1409" s="156" t="inlineStr">
        <is>
          <t>Unisex</t>
        </is>
      </c>
      <c r="M1409" s="156" t="inlineStr">
        <is>
          <t>Stetson</t>
        </is>
      </c>
      <c r="N1409" s="156" t="inlineStr">
        <is>
          <t>SS26</t>
        </is>
      </c>
      <c r="O1409" s="156" t="inlineStr">
        <is>
          <t>Seasonal</t>
        </is>
      </c>
      <c r="P1409" s="156" t="inlineStr">
        <is>
          <t>Negro</t>
        </is>
      </c>
      <c r="Q1409" s="156" t="n"/>
      <c r="R1409" s="156" t="inlineStr">
        <is>
          <t>Copa Rancher</t>
        </is>
      </c>
      <c r="S1409" s="156" t="inlineStr">
        <is>
          <t>100% Fieltro de lana</t>
        </is>
      </c>
      <c r="T140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9" s="156" t="inlineStr">
        <is>
          <t>Estados Unidos</t>
        </is>
      </c>
      <c r="V1409" s="156" t="inlineStr">
        <is>
          <t>PZS</t>
        </is>
      </c>
      <c r="W1409" s="51" t="inlineStr">
        <is>
          <t>53102503</t>
        </is>
      </c>
      <c r="X1409" s="156" t="inlineStr">
        <is>
          <t>https://cdn.shopify.com/s/files/1/0888/3250/8267/files/SFRNCH-014007-05.jpg?v=1759767890</t>
        </is>
      </c>
      <c r="Y1409" s="54" t="n">
        <v>2598.75</v>
      </c>
      <c r="Z1409" s="54" t="n">
        <v>6724.137931</v>
      </c>
      <c r="AA1409" s="55">
        <f>IF(AND(A1409="", B1409="", E1409=""), "", IF(AB1409="", "Válido", IF((LEN(AB1409)-LEN(SUBSTITUTE(AB1409,"; ","")))/2+1&gt;(LEN(AB1409)-LEN(SUBSTITUTE(AB1409,"[Aviso]","")))/7, "Con Incidencias", "Válido")))</f>
        <v/>
      </c>
      <c r="AB1409" s="56">
        <f>IF(AND(A1409="", B1409="", E1409=""), "", TEXTJOIN("; ", TRUE, IF(OR(TRIM(A1409&amp;"")="", ISNUMBER(SEARCH("FALTA", A1409))), "UPC faltante/inválido", ""), IF(AND(A1409&lt;&gt;"", IFERROR(_xlfn.XMATCH(A1409,$A$2:$A$2509,0,1)&lt;&gt;_xlfn.XMATCH(A1409,$A$2:$A$2509,0,-1),FALSE)), "Código de barras duplicado", ""), IF(AND(E1409&lt;&gt;"", COUNTIF($E$2:$E$2509, E1409)&gt;1), "SKU duplicado", ""), IF(OR(J1409="", J1409=""), "[Aviso] División no capturada ()", IF(ISNA(MATCH(J1409, Criterios!$A$123:$A$126, 0)), "División no válida", "")), IF(OR(K1409="", K1409=""), "[Aviso] Categoría no capturada ()", IF(ISNA(MATCH(K1409, Criterios!$A$81:$A$120, 0)), "Categoría no válida", IF(AND(J1409&lt;&gt;"", J1409&lt;&gt;"", J1409&lt;&gt;VLOOKUP(K1409, Criterios!$A$81:$B$120, 2, FALSE)), "División no coincide con Categoría", ""))), IF(OR(L1409="", L1409=""), "[Aviso] Género no capturado ()", IF(ISNA(MATCH(L1409, Criterios!$B$123:$B$127, 0)), "Género no válido", "")), IF(OR(N1409="", N1409=""), "[Aviso] Temporada no capturada ()", IF(ISNA(MATCH(N1409, Criterios!$C$123:$C$128, 0)), "Temporada no válida", "")), IF(OR(O1409="", O1409=""), "[Aviso] Ciclo de vida no capturado ()", IF(ISNA(MATCH(O1409, Criterios!$D$123:$D$124, 0)), "Ciclo de vida no válido", ""))))</f>
        <v/>
      </c>
      <c r="AC1409" s="56" t="n"/>
      <c r="AD1409" s="51" t="n">
        <v>3</v>
      </c>
      <c r="AE1409" s="156" t="inlineStr">
        <is>
          <t>B25 STETSON.MX (3)</t>
        </is>
      </c>
      <c r="AF1409" s="51" t="n">
        <v>3</v>
      </c>
      <c r="AG1409" s="156" t="inlineStr">
        <is>
          <t>Catálogo existente</t>
        </is>
      </c>
      <c r="AH1409" s="156" t="inlineStr">
        <is>
          <t>Revisión 29/09/2026: Cruce de catálogo y criterios sin pendientes detectados | 01/10/2026: complementado desde Shopify Stetson México (match por código de barras): WB Fit, WB Silueta</t>
        </is>
      </c>
      <c r="AI1409" s="156" t="inlineStr">
        <is>
          <t>No</t>
        </is>
      </c>
      <c r="AJ1409" s="156" t="n"/>
      <c r="AK1409" s="155" t="inlineStr">
        <is>
          <t>Criterios: I [Q] | Shopify Stetson: producto 14785864204651 / variante 53350613025131 | Odoo: producto 14278 / plantilla 17855</t>
        </is>
      </c>
      <c r="AL1409" s="58" t="n">
        <v>2598.75</v>
      </c>
      <c r="AM1409" s="58" t="n">
        <v>6724.137931</v>
      </c>
      <c r="AN1409" s="155" t="inlineStr">
        <is>
          <t>Shopify Stetson México | Odoo Universal Unique Brands</t>
        </is>
      </c>
      <c r="AO1409" s="59" t="n">
        <v>4</v>
      </c>
      <c r="AP1409" s="59" t="n"/>
      <c r="AQ1409" s="59" t="n">
        <v>6</v>
      </c>
      <c r="AR1409" s="155" t="inlineStr">
        <is>
          <t>Shopify Stetson México › Stetson México: 3 | Shopify Stetson México › Stetson Americas: 1 | Odoo Universal Unique Brands › Bodega 25 › Bodega 25/General: 6</t>
        </is>
      </c>
    </row>
    <row r="1410">
      <c r="A1410" s="50" t="inlineStr">
        <is>
          <t>795177057765</t>
        </is>
      </c>
      <c r="B1410" s="51" t="inlineStr">
        <is>
          <t>110024</t>
        </is>
      </c>
      <c r="C1410" s="156" t="inlineStr">
        <is>
          <t>Multimarca</t>
        </is>
      </c>
      <c r="D1410" s="156" t="inlineStr">
        <is>
          <t>SFRNCH-014007</t>
        </is>
      </c>
      <c r="E1410" s="156" t="inlineStr">
        <is>
          <t>SFRNCH-01400774</t>
        </is>
      </c>
      <c r="F1410" s="156" t="inlineStr">
        <is>
          <t>7 1/2</t>
        </is>
      </c>
      <c r="G1410" s="156" t="inlineStr">
        <is>
          <t>7 1/2</t>
        </is>
      </c>
      <c r="H1410" s="156" t="inlineStr">
        <is>
          <t>Stetson</t>
        </is>
      </c>
      <c r="I1410" s="156" t="inlineStr">
        <is>
          <t>Texana Stetson 6X Rancher Negro</t>
        </is>
      </c>
      <c r="J1410" s="156" t="inlineStr">
        <is>
          <t>Accesorios</t>
        </is>
      </c>
      <c r="K1410" s="156" t="inlineStr">
        <is>
          <t>Sombreros</t>
        </is>
      </c>
      <c r="L1410" s="156" t="inlineStr">
        <is>
          <t>Unisex</t>
        </is>
      </c>
      <c r="M1410" s="156" t="inlineStr">
        <is>
          <t>Stetson</t>
        </is>
      </c>
      <c r="N1410" s="156" t="inlineStr">
        <is>
          <t>SS26</t>
        </is>
      </c>
      <c r="O1410" s="156" t="inlineStr">
        <is>
          <t>Seasonal</t>
        </is>
      </c>
      <c r="P1410" s="156" t="inlineStr">
        <is>
          <t>Negro</t>
        </is>
      </c>
      <c r="Q1410" s="156" t="n"/>
      <c r="R1410" s="156" t="inlineStr">
        <is>
          <t>Copa Rancher</t>
        </is>
      </c>
      <c r="S1410" s="156" t="inlineStr">
        <is>
          <t>100% Fieltro de lana</t>
        </is>
      </c>
      <c r="T141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0" s="156" t="inlineStr">
        <is>
          <t>Estados Unidos</t>
        </is>
      </c>
      <c r="V1410" s="156" t="inlineStr">
        <is>
          <t>PZS</t>
        </is>
      </c>
      <c r="W1410" s="51" t="inlineStr">
        <is>
          <t>53102503</t>
        </is>
      </c>
      <c r="X1410" s="156" t="inlineStr">
        <is>
          <t>https://cdn.shopify.com/s/files/1/0888/3250/8267/files/SFRNCH-014007-06.jpg?v=1759767890</t>
        </is>
      </c>
      <c r="Y1410" s="54" t="n">
        <v>2598.75</v>
      </c>
      <c r="Z1410" s="54" t="n">
        <v>6724.137931</v>
      </c>
      <c r="AA1410" s="55">
        <f>IF(AND(A1410="", B1410="", E1410=""), "", IF(AB1410="", "Válido", IF((LEN(AB1410)-LEN(SUBSTITUTE(AB1410,"; ","")))/2+1&gt;(LEN(AB1410)-LEN(SUBSTITUTE(AB1410,"[Aviso]","")))/7, "Con Incidencias", "Válido")))</f>
        <v/>
      </c>
      <c r="AB1410" s="56">
        <f>IF(AND(A1410="", B1410="", E1410=""), "", TEXTJOIN("; ", TRUE, IF(OR(TRIM(A1410&amp;"")="", ISNUMBER(SEARCH("FALTA", A1410))), "UPC faltante/inválido", ""), IF(AND(A1410&lt;&gt;"", IFERROR(_xlfn.XMATCH(A1410,$A$2:$A$2509,0,1)&lt;&gt;_xlfn.XMATCH(A1410,$A$2:$A$2509,0,-1),FALSE)), "Código de barras duplicado", ""), IF(AND(E1410&lt;&gt;"", COUNTIF($E$2:$E$2509, E1410)&gt;1), "SKU duplicado", ""), IF(OR(J1410="", J1410=""), "[Aviso] División no capturada ()", IF(ISNA(MATCH(J1410, Criterios!$A$123:$A$126, 0)), "División no válida", "")), IF(OR(K1410="", K1410=""), "[Aviso] Categoría no capturada ()", IF(ISNA(MATCH(K1410, Criterios!$A$81:$A$120, 0)), "Categoría no válida", IF(AND(J1410&lt;&gt;"", J1410&lt;&gt;"", J1410&lt;&gt;VLOOKUP(K1410, Criterios!$A$81:$B$120, 2, FALSE)), "División no coincide con Categoría", ""))), IF(OR(L1410="", L1410=""), "[Aviso] Género no capturado ()", IF(ISNA(MATCH(L1410, Criterios!$B$123:$B$127, 0)), "Género no válido", "")), IF(OR(N1410="", N1410=""), "[Aviso] Temporada no capturada ()", IF(ISNA(MATCH(N1410, Criterios!$C$123:$C$128, 0)), "Temporada no válida", "")), IF(OR(O1410="", O1410=""), "[Aviso] Ciclo de vida no capturado ()", IF(ISNA(MATCH(O1410, Criterios!$D$123:$D$124, 0)), "Ciclo de vida no válido", ""))))</f>
        <v/>
      </c>
      <c r="AC1410" s="56" t="n"/>
      <c r="AD1410" s="51" t="n">
        <v>0</v>
      </c>
      <c r="AE1410" s="156" t="inlineStr">
        <is>
          <t>B25 STETSON.MX (1)</t>
        </is>
      </c>
      <c r="AF1410" s="51" t="n">
        <v>1</v>
      </c>
      <c r="AG1410" s="156" t="inlineStr">
        <is>
          <t>Catálogo existente</t>
        </is>
      </c>
      <c r="AH1410" s="156" t="inlineStr">
        <is>
          <t>Revisión 29/09/2026: Cruce de catálogo y criterios sin pendientes detectados | 01/10/2026: complementado desde Shopify Stetson México (match por código de barras): WB Fit, WB Silueta</t>
        </is>
      </c>
      <c r="AI1410" s="156" t="inlineStr">
        <is>
          <t>Sí</t>
        </is>
      </c>
      <c r="AJ1410" s="156" t="inlineStr">
        <is>
          <t>STETSON AMERICAS (-1)</t>
        </is>
      </c>
      <c r="AK1410" s="155" t="inlineStr">
        <is>
          <t>Criterios: I [Q] | Shopify Stetson: producto 14785864204651 / variante 53350613057899 | Odoo: producto 14279 / plantilla 17856</t>
        </is>
      </c>
      <c r="AL1410" s="58" t="n">
        <v>2598.75</v>
      </c>
      <c r="AM1410" s="58" t="n">
        <v>6724.137931</v>
      </c>
      <c r="AN1410" s="155" t="inlineStr">
        <is>
          <t>Shopify Stetson México | Odoo Universal Unique Brands</t>
        </is>
      </c>
      <c r="AO1410" s="59" t="n">
        <v>0</v>
      </c>
      <c r="AP1410" s="59" t="n"/>
      <c r="AQ1410" s="59" t="n">
        <v>2</v>
      </c>
      <c r="AR1410" s="155" t="inlineStr">
        <is>
          <t>Odoo Universal Unique Brands › Bodega 25 › Bodega 25/General: 2</t>
        </is>
      </c>
    </row>
    <row r="1411">
      <c r="A1411" s="50" t="inlineStr">
        <is>
          <t>795177057772</t>
        </is>
      </c>
      <c r="B1411" s="51" t="inlineStr">
        <is>
          <t>110025</t>
        </is>
      </c>
      <c r="C1411" s="156" t="inlineStr">
        <is>
          <t>Multimarca</t>
        </is>
      </c>
      <c r="D1411" s="156" t="inlineStr">
        <is>
          <t>SFRNCH-014007</t>
        </is>
      </c>
      <c r="E1411" s="156" t="inlineStr">
        <is>
          <t>SFRNCH-01400775</t>
        </is>
      </c>
      <c r="F1411" s="156" t="inlineStr">
        <is>
          <t>7 5/8</t>
        </is>
      </c>
      <c r="G1411" s="156" t="inlineStr">
        <is>
          <t>7 5/8</t>
        </is>
      </c>
      <c r="H1411" s="156" t="inlineStr">
        <is>
          <t>Stetson</t>
        </is>
      </c>
      <c r="I1411" s="156" t="inlineStr">
        <is>
          <t>Texana Stetson 6X Rancher Negro</t>
        </is>
      </c>
      <c r="J1411" s="156" t="inlineStr">
        <is>
          <t>Accesorios</t>
        </is>
      </c>
      <c r="K1411" s="156" t="inlineStr">
        <is>
          <t>Sombreros</t>
        </is>
      </c>
      <c r="L1411" s="156" t="inlineStr">
        <is>
          <t>Unisex</t>
        </is>
      </c>
      <c r="M1411" s="156" t="inlineStr">
        <is>
          <t>Stetson</t>
        </is>
      </c>
      <c r="N1411" s="156" t="inlineStr">
        <is>
          <t>SS26</t>
        </is>
      </c>
      <c r="O1411" s="156" t="inlineStr">
        <is>
          <t>Seasonal</t>
        </is>
      </c>
      <c r="P1411" s="156" t="inlineStr">
        <is>
          <t>Negro</t>
        </is>
      </c>
      <c r="Q1411" s="156" t="n"/>
      <c r="R1411" s="156" t="inlineStr">
        <is>
          <t>Copa Rancher</t>
        </is>
      </c>
      <c r="S1411" s="156" t="inlineStr">
        <is>
          <t>100% Fieltro de lana</t>
        </is>
      </c>
      <c r="T141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1" s="156" t="inlineStr">
        <is>
          <t>Estados Unidos</t>
        </is>
      </c>
      <c r="V1411" s="156" t="inlineStr">
        <is>
          <t>PZS</t>
        </is>
      </c>
      <c r="W1411" s="51" t="inlineStr">
        <is>
          <t>53102503</t>
        </is>
      </c>
      <c r="X1411" s="156" t="inlineStr">
        <is>
          <t>https://cdn.shopify.com/s/files/1/0888/3250/8267/files/SFRNCH-014022-01_82263173-6168-4af6-828c-87c3307ef58e.jpg?v=1759767890</t>
        </is>
      </c>
      <c r="Y1411" s="54" t="n">
        <v>2598.75</v>
      </c>
      <c r="Z1411" s="54" t="n">
        <v>6724.137931</v>
      </c>
      <c r="AA1411" s="55">
        <f>IF(AND(A1411="", B1411="", E1411=""), "", IF(AB1411="", "Válido", IF((LEN(AB1411)-LEN(SUBSTITUTE(AB1411,"; ","")))/2+1&gt;(LEN(AB1411)-LEN(SUBSTITUTE(AB1411,"[Aviso]","")))/7, "Con Incidencias", "Válido")))</f>
        <v/>
      </c>
      <c r="AB1411" s="56">
        <f>IF(AND(A1411="", B1411="", E1411=""), "", TEXTJOIN("; ", TRUE, IF(OR(TRIM(A1411&amp;"")="", ISNUMBER(SEARCH("FALTA", A1411))), "UPC faltante/inválido", ""), IF(AND(A1411&lt;&gt;"", IFERROR(_xlfn.XMATCH(A1411,$A$2:$A$2509,0,1)&lt;&gt;_xlfn.XMATCH(A1411,$A$2:$A$2509,0,-1),FALSE)), "Código de barras duplicado", ""), IF(AND(E1411&lt;&gt;"", COUNTIF($E$2:$E$2509, E1411)&gt;1), "SKU duplicado", ""), IF(OR(J1411="", J1411=""), "[Aviso] División no capturada ()", IF(ISNA(MATCH(J1411, Criterios!$A$123:$A$126, 0)), "División no válida", "")), IF(OR(K1411="", K1411=""), "[Aviso] Categoría no capturada ()", IF(ISNA(MATCH(K1411, Criterios!$A$81:$A$120, 0)), "Categoría no válida", IF(AND(J1411&lt;&gt;"", J1411&lt;&gt;"", J1411&lt;&gt;VLOOKUP(K1411, Criterios!$A$81:$B$120, 2, FALSE)), "División no coincide con Categoría", ""))), IF(OR(L1411="", L1411=""), "[Aviso] Género no capturado ()", IF(ISNA(MATCH(L1411, Criterios!$B$123:$B$127, 0)), "Género no válido", "")), IF(OR(N1411="", N1411=""), "[Aviso] Temporada no capturada ()", IF(ISNA(MATCH(N1411, Criterios!$C$123:$C$128, 0)), "Temporada no válida", "")), IF(OR(O1411="", O1411=""), "[Aviso] Ciclo de vida no capturado ()", IF(ISNA(MATCH(O1411, Criterios!$D$123:$D$124, 0)), "Ciclo de vida no válido", ""))))</f>
        <v/>
      </c>
      <c r="AC1411" s="56" t="n"/>
      <c r="AD1411" s="51" t="n">
        <v>0</v>
      </c>
      <c r="AE1411" s="156" t="n"/>
      <c r="AF1411" s="51" t="n">
        <v>0</v>
      </c>
      <c r="AG1411" s="156" t="inlineStr">
        <is>
          <t>Catálogo existente</t>
        </is>
      </c>
      <c r="AH1411" s="156" t="inlineStr">
        <is>
          <t>Revisión 29/09/2026: Cruce de catálogo y criterios sin pendientes detectados | 01/10/2026: complementado desde Shopify Stetson México (match por código de barras): WB Fit, WB Silueta</t>
        </is>
      </c>
      <c r="AI1411" s="156" t="inlineStr">
        <is>
          <t>No</t>
        </is>
      </c>
      <c r="AJ1411" s="156" t="n"/>
      <c r="AK1411" s="155" t="inlineStr">
        <is>
          <t>Criterios: I [Q] | Shopify Stetson: producto 14785864204651 / variante 53350613090667 | Odoo: producto 14280 / plantilla 17857</t>
        </is>
      </c>
      <c r="AL1411" s="58" t="n">
        <v>2598.75</v>
      </c>
      <c r="AM1411" s="58" t="n">
        <v>6724.137931</v>
      </c>
      <c r="AN1411" s="155" t="inlineStr">
        <is>
          <t>Shopify Stetson México | Odoo Universal Unique Brands</t>
        </is>
      </c>
      <c r="AO1411" s="59" t="n">
        <v>1</v>
      </c>
      <c r="AP1411" s="59" t="n"/>
      <c r="AQ1411" s="59" t="n">
        <v>2</v>
      </c>
      <c r="AR1411" s="155" t="inlineStr">
        <is>
          <t>Shopify Stetson México › Stetson Americas: 1 | Odoo Universal Unique Brands › Bodega 25 › Bodega 25/General: 2</t>
        </is>
      </c>
    </row>
    <row r="1412">
      <c r="A1412" s="50" t="inlineStr">
        <is>
          <t>795177058243</t>
        </is>
      </c>
      <c r="B1412" s="51" t="inlineStr">
        <is>
          <t>110026</t>
        </is>
      </c>
      <c r="C1412" s="156" t="inlineStr">
        <is>
          <t>Multimarca</t>
        </is>
      </c>
      <c r="D1412" s="156" t="inlineStr">
        <is>
          <t>SFRNCH-014011</t>
        </is>
      </c>
      <c r="E1412" s="156" t="inlineStr">
        <is>
          <t>SFRNCH-01401170</t>
        </is>
      </c>
      <c r="F1412" s="156" t="inlineStr">
        <is>
          <t>7</t>
        </is>
      </c>
      <c r="G1412" s="156" t="inlineStr">
        <is>
          <t>7</t>
        </is>
      </c>
      <c r="H1412" s="156" t="inlineStr">
        <is>
          <t>Stetson</t>
        </is>
      </c>
      <c r="I1412" s="156" t="inlineStr">
        <is>
          <t>Sombrero Stetson Rancher 6X Re</t>
        </is>
      </c>
      <c r="J1412" s="156" t="inlineStr">
        <is>
          <t>Accesorios</t>
        </is>
      </c>
      <c r="K1412" s="156" t="inlineStr">
        <is>
          <t>Sombreros</t>
        </is>
      </c>
      <c r="L1412" s="156" t="inlineStr">
        <is>
          <t>Unisex</t>
        </is>
      </c>
      <c r="M1412" s="156" t="inlineStr">
        <is>
          <t>Stetson</t>
        </is>
      </c>
      <c r="N1412" s="156" t="inlineStr">
        <is>
          <t>SS26</t>
        </is>
      </c>
      <c r="O1412" s="156" t="inlineStr">
        <is>
          <t>Seasonal</t>
        </is>
      </c>
      <c r="P1412" s="156" t="inlineStr">
        <is>
          <t>Cafe</t>
        </is>
      </c>
      <c r="Q1412" s="156" t="n"/>
      <c r="R1412" s="156" t="inlineStr">
        <is>
          <t>Copa Rancher</t>
        </is>
      </c>
      <c r="S1412" s="156" t="inlineStr">
        <is>
          <t>100% Paja</t>
        </is>
      </c>
      <c r="T1412"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2" s="156" t="inlineStr">
        <is>
          <t>Estados Unidos</t>
        </is>
      </c>
      <c r="V1412" s="156" t="inlineStr">
        <is>
          <t>PZS</t>
        </is>
      </c>
      <c r="W1412" s="51" t="inlineStr">
        <is>
          <t>53102503</t>
        </is>
      </c>
      <c r="X1412" s="156" t="inlineStr">
        <is>
          <t>https://cdn.shopify.com/s/files/1/0888/3250/8267/files/SFRNCH-014022-02.jpg?v=1759767890</t>
        </is>
      </c>
      <c r="Y1412" s="54" t="n">
        <v>2598.75</v>
      </c>
      <c r="Z1412" s="54" t="n">
        <v>6724.137931</v>
      </c>
      <c r="AA1412" s="55">
        <f>IF(AND(A1412="", B1412="", E1412=""), "", IF(AB1412="", "Válido", IF((LEN(AB1412)-LEN(SUBSTITUTE(AB1412,"; ","")))/2+1&gt;(LEN(AB1412)-LEN(SUBSTITUTE(AB1412,"[Aviso]","")))/7, "Con Incidencias", "Válido")))</f>
        <v/>
      </c>
      <c r="AB1412" s="56">
        <f>IF(AND(A1412="", B1412="", E1412=""), "", TEXTJOIN("; ", TRUE, IF(OR(TRIM(A1412&amp;"")="", ISNUMBER(SEARCH("FALTA", A1412))), "UPC faltante/inválido", ""), IF(AND(A1412&lt;&gt;"", IFERROR(_xlfn.XMATCH(A1412,$A$2:$A$2509,0,1)&lt;&gt;_xlfn.XMATCH(A1412,$A$2:$A$2509,0,-1),FALSE)), "Código de barras duplicado", ""), IF(AND(E1412&lt;&gt;"", COUNTIF($E$2:$E$2509, E1412)&gt;1), "SKU duplicado", ""), IF(OR(J1412="", J1412=""), "[Aviso] División no capturada ()", IF(ISNA(MATCH(J1412, Criterios!$A$123:$A$126, 0)), "División no válida", "")), IF(OR(K1412="", K1412=""), "[Aviso] Categoría no capturada ()", IF(ISNA(MATCH(K1412, Criterios!$A$81:$A$120, 0)), "Categoría no válida", IF(AND(J1412&lt;&gt;"", J1412&lt;&gt;"", J1412&lt;&gt;VLOOKUP(K1412, Criterios!$A$81:$B$120, 2, FALSE)), "División no coincide con Categoría", ""))), IF(OR(L1412="", L1412=""), "[Aviso] Género no capturado ()", IF(ISNA(MATCH(L1412, Criterios!$B$123:$B$127, 0)), "Género no válido", "")), IF(OR(N1412="", N1412=""), "[Aviso] Temporada no capturada ()", IF(ISNA(MATCH(N1412, Criterios!$C$123:$C$128, 0)), "Temporada no válida", "")), IF(OR(O1412="", O1412=""), "[Aviso] Ciclo de vida no capturado ()", IF(ISNA(MATCH(O1412, Criterios!$D$123:$D$124, 0)), "Ciclo de vida no válido", ""))))</f>
        <v/>
      </c>
      <c r="AC1412" s="56" t="n"/>
      <c r="AD1412" s="51" t="n">
        <v>-1</v>
      </c>
      <c r="AE1412" s="156" t="n"/>
      <c r="AF1412" s="51" t="n">
        <v>0</v>
      </c>
      <c r="AG1412" s="156" t="inlineStr">
        <is>
          <t>Catálogo existente</t>
        </is>
      </c>
      <c r="AH141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12" s="156" t="inlineStr">
        <is>
          <t>Sí</t>
        </is>
      </c>
      <c r="AJ1412" s="156" t="inlineStr">
        <is>
          <t>STETSON AMERICAS (-1)</t>
        </is>
      </c>
      <c r="AK1412" s="155" t="inlineStr">
        <is>
          <t>Criterios: I [Q] | Shopify Stetson: producto 14785864204651 / variante 53350613123435</t>
        </is>
      </c>
      <c r="AL1412" s="58" t="n">
        <v>2598.75</v>
      </c>
      <c r="AM1412" s="58" t="n">
        <v>6724.137931</v>
      </c>
      <c r="AN1412" s="155" t="inlineStr">
        <is>
          <t>Shopify Stetson México</t>
        </is>
      </c>
      <c r="AO1412" s="59" t="n">
        <v>0</v>
      </c>
      <c r="AP1412" s="59" t="n"/>
      <c r="AQ1412" s="59" t="n"/>
      <c r="AR1412" s="155" t="n"/>
    </row>
    <row r="1413">
      <c r="A1413" s="50" t="inlineStr">
        <is>
          <t>795177058250</t>
        </is>
      </c>
      <c r="B1413" s="51" t="inlineStr">
        <is>
          <t>110027</t>
        </is>
      </c>
      <c r="C1413" s="156" t="inlineStr">
        <is>
          <t>Multimarca</t>
        </is>
      </c>
      <c r="D1413" s="156" t="inlineStr">
        <is>
          <t>SFRNCH-014011</t>
        </is>
      </c>
      <c r="E1413" s="156" t="inlineStr">
        <is>
          <t>SFRNCH-01401171</t>
        </is>
      </c>
      <c r="F1413" s="156" t="inlineStr">
        <is>
          <t>7 1/8</t>
        </is>
      </c>
      <c r="G1413" s="156" t="inlineStr">
        <is>
          <t>7 1/8</t>
        </is>
      </c>
      <c r="H1413" s="156" t="inlineStr">
        <is>
          <t>Stetson</t>
        </is>
      </c>
      <c r="I1413" s="156" t="inlineStr">
        <is>
          <t>Sombrero Stetson Rancher 6X Re</t>
        </is>
      </c>
      <c r="J1413" s="156" t="inlineStr">
        <is>
          <t>Accesorios</t>
        </is>
      </c>
      <c r="K1413" s="156" t="inlineStr">
        <is>
          <t>Sombreros</t>
        </is>
      </c>
      <c r="L1413" s="156" t="inlineStr">
        <is>
          <t>Unisex</t>
        </is>
      </c>
      <c r="M1413" s="156" t="inlineStr">
        <is>
          <t>Stetson</t>
        </is>
      </c>
      <c r="N1413" s="156" t="inlineStr">
        <is>
          <t>SS26</t>
        </is>
      </c>
      <c r="O1413" s="156" t="inlineStr">
        <is>
          <t>Seasonal</t>
        </is>
      </c>
      <c r="P1413" s="156" t="inlineStr">
        <is>
          <t>Cafe</t>
        </is>
      </c>
      <c r="Q1413" s="156" t="n"/>
      <c r="R1413" s="156" t="inlineStr">
        <is>
          <t>Copa Rancher</t>
        </is>
      </c>
      <c r="S1413" s="156" t="inlineStr">
        <is>
          <t>100% Paja</t>
        </is>
      </c>
      <c r="T1413"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3" s="156" t="inlineStr">
        <is>
          <t>Estados Unidos</t>
        </is>
      </c>
      <c r="V1413" s="156" t="inlineStr">
        <is>
          <t>PZS</t>
        </is>
      </c>
      <c r="W1413" s="51" t="inlineStr">
        <is>
          <t>53102503</t>
        </is>
      </c>
      <c r="X1413" s="156" t="inlineStr">
        <is>
          <t>https://cdn.shopify.com/s/files/1/0888/3250/8267/files/SFRNCH-014022-03.jpg?v=1759767890</t>
        </is>
      </c>
      <c r="Y1413" s="54" t="n">
        <v>2598.75</v>
      </c>
      <c r="Z1413" s="54" t="n">
        <v>6724.137931</v>
      </c>
      <c r="AA1413" s="55">
        <f>IF(AND(A1413="", B1413="", E1413=""), "", IF(AB1413="", "Válido", IF((LEN(AB1413)-LEN(SUBSTITUTE(AB1413,"; ","")))/2+1&gt;(LEN(AB1413)-LEN(SUBSTITUTE(AB1413,"[Aviso]","")))/7, "Con Incidencias", "Válido")))</f>
        <v/>
      </c>
      <c r="AB1413" s="56">
        <f>IF(AND(A1413="", B1413="", E1413=""), "", TEXTJOIN("; ", TRUE, IF(OR(TRIM(A1413&amp;"")="", ISNUMBER(SEARCH("FALTA", A1413))), "UPC faltante/inválido", ""), IF(AND(A1413&lt;&gt;"", IFERROR(_xlfn.XMATCH(A1413,$A$2:$A$2509,0,1)&lt;&gt;_xlfn.XMATCH(A1413,$A$2:$A$2509,0,-1),FALSE)), "Código de barras duplicado", ""), IF(AND(E1413&lt;&gt;"", COUNTIF($E$2:$E$2509, E1413)&gt;1), "SKU duplicado", ""), IF(OR(J1413="", J1413=""), "[Aviso] División no capturada ()", IF(ISNA(MATCH(J1413, Criterios!$A$123:$A$126, 0)), "División no válida", "")), IF(OR(K1413="", K1413=""), "[Aviso] Categoría no capturada ()", IF(ISNA(MATCH(K1413, Criterios!$A$81:$A$120, 0)), "Categoría no válida", IF(AND(J1413&lt;&gt;"", J1413&lt;&gt;"", J1413&lt;&gt;VLOOKUP(K1413, Criterios!$A$81:$B$120, 2, FALSE)), "División no coincide con Categoría", ""))), IF(OR(L1413="", L1413=""), "[Aviso] Género no capturado ()", IF(ISNA(MATCH(L1413, Criterios!$B$123:$B$127, 0)), "Género no válido", "")), IF(OR(N1413="", N1413=""), "[Aviso] Temporada no capturada ()", IF(ISNA(MATCH(N1413, Criterios!$C$123:$C$128, 0)), "Temporada no válida", "")), IF(OR(O1413="", O1413=""), "[Aviso] Ciclo de vida no capturado ()", IF(ISNA(MATCH(O1413, Criterios!$D$123:$D$124, 0)), "Ciclo de vida no válido", ""))))</f>
        <v/>
      </c>
      <c r="AC1413" s="56" t="n"/>
      <c r="AD1413" s="51" t="n">
        <v>0</v>
      </c>
      <c r="AE1413" s="156" t="n"/>
      <c r="AF1413" s="51" t="n">
        <v>0</v>
      </c>
      <c r="AG1413" s="156" t="inlineStr">
        <is>
          <t>Catálogo existente</t>
        </is>
      </c>
      <c r="AH141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3" s="156" t="inlineStr">
        <is>
          <t>No</t>
        </is>
      </c>
      <c r="AJ1413" s="156" t="n"/>
      <c r="AK1413" s="155" t="inlineStr">
        <is>
          <t>Criterios: I [Q] | Shopify Stetson: producto 14785864204651 / variante 53350613156203</t>
        </is>
      </c>
      <c r="AL1413" s="58" t="n">
        <v>2598.75</v>
      </c>
      <c r="AM1413" s="58" t="n">
        <v>6724.137931</v>
      </c>
      <c r="AN1413" s="155" t="inlineStr">
        <is>
          <t>Shopify Stetson México</t>
        </is>
      </c>
      <c r="AO1413" s="59" t="n">
        <v>0</v>
      </c>
      <c r="AP1413" s="59" t="n"/>
      <c r="AQ1413" s="59" t="n"/>
      <c r="AR1413" s="155" t="n"/>
    </row>
    <row r="1414">
      <c r="A1414" s="50" t="inlineStr">
        <is>
          <t>795177058267</t>
        </is>
      </c>
      <c r="B1414" s="51" t="inlineStr">
        <is>
          <t>110028</t>
        </is>
      </c>
      <c r="C1414" s="156" t="inlineStr">
        <is>
          <t>Multimarca</t>
        </is>
      </c>
      <c r="D1414" s="156" t="inlineStr">
        <is>
          <t>SFRNCH-014011</t>
        </is>
      </c>
      <c r="E1414" s="156" t="inlineStr">
        <is>
          <t>SFRNCH-01401172</t>
        </is>
      </c>
      <c r="F1414" s="156" t="inlineStr">
        <is>
          <t>7 1/4</t>
        </is>
      </c>
      <c r="G1414" s="156" t="inlineStr">
        <is>
          <t>7 1/4</t>
        </is>
      </c>
      <c r="H1414" s="156" t="inlineStr">
        <is>
          <t>Stetson</t>
        </is>
      </c>
      <c r="I1414" s="156" t="inlineStr">
        <is>
          <t>Sombrero Stetson Rancher 6X Re</t>
        </is>
      </c>
      <c r="J1414" s="156" t="inlineStr">
        <is>
          <t>Accesorios</t>
        </is>
      </c>
      <c r="K1414" s="156" t="inlineStr">
        <is>
          <t>Sombreros</t>
        </is>
      </c>
      <c r="L1414" s="156" t="inlineStr">
        <is>
          <t>Unisex</t>
        </is>
      </c>
      <c r="M1414" s="156" t="inlineStr">
        <is>
          <t>Stetson</t>
        </is>
      </c>
      <c r="N1414" s="156" t="inlineStr">
        <is>
          <t>SS26</t>
        </is>
      </c>
      <c r="O1414" s="156" t="inlineStr">
        <is>
          <t>Seasonal</t>
        </is>
      </c>
      <c r="P1414" s="156" t="inlineStr">
        <is>
          <t>Cafe</t>
        </is>
      </c>
      <c r="Q1414" s="156" t="n"/>
      <c r="R1414" s="156" t="inlineStr">
        <is>
          <t>Copa Rancher</t>
        </is>
      </c>
      <c r="S1414" s="156" t="inlineStr">
        <is>
          <t>100% Paja</t>
        </is>
      </c>
      <c r="T1414"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4" s="156" t="inlineStr">
        <is>
          <t>Estados Unidos</t>
        </is>
      </c>
      <c r="V1414" s="156" t="inlineStr">
        <is>
          <t>PZS</t>
        </is>
      </c>
      <c r="W1414" s="51" t="inlineStr">
        <is>
          <t>53102503</t>
        </is>
      </c>
      <c r="X1414" s="156" t="inlineStr">
        <is>
          <t>https://cdn.shopify.com/s/files/1/0888/3250/8267/files/SFRNCH-014022-04.jpg?v=1759767890</t>
        </is>
      </c>
      <c r="Y1414" s="54" t="n">
        <v>2598.75</v>
      </c>
      <c r="Z1414" s="54" t="n">
        <v>6724.137931</v>
      </c>
      <c r="AA1414" s="55">
        <f>IF(AND(A1414="", B1414="", E1414=""), "", IF(AB1414="", "Válido", IF((LEN(AB1414)-LEN(SUBSTITUTE(AB1414,"; ","")))/2+1&gt;(LEN(AB1414)-LEN(SUBSTITUTE(AB1414,"[Aviso]","")))/7, "Con Incidencias", "Válido")))</f>
        <v/>
      </c>
      <c r="AB1414" s="56">
        <f>IF(AND(A1414="", B1414="", E1414=""), "", TEXTJOIN("; ", TRUE, IF(OR(TRIM(A1414&amp;"")="", ISNUMBER(SEARCH("FALTA", A1414))), "UPC faltante/inválido", ""), IF(AND(A1414&lt;&gt;"", IFERROR(_xlfn.XMATCH(A1414,$A$2:$A$2509,0,1)&lt;&gt;_xlfn.XMATCH(A1414,$A$2:$A$2509,0,-1),FALSE)), "Código de barras duplicado", ""), IF(AND(E1414&lt;&gt;"", COUNTIF($E$2:$E$2509, E1414)&gt;1), "SKU duplicado", ""), IF(OR(J1414="", J1414=""), "[Aviso] División no capturada ()", IF(ISNA(MATCH(J1414, Criterios!$A$123:$A$126, 0)), "División no válida", "")), IF(OR(K1414="", K1414=""), "[Aviso] Categoría no capturada ()", IF(ISNA(MATCH(K1414, Criterios!$A$81:$A$120, 0)), "Categoría no válida", IF(AND(J1414&lt;&gt;"", J1414&lt;&gt;"", J1414&lt;&gt;VLOOKUP(K1414, Criterios!$A$81:$B$120, 2, FALSE)), "División no coincide con Categoría", ""))), IF(OR(L1414="", L1414=""), "[Aviso] Género no capturado ()", IF(ISNA(MATCH(L1414, Criterios!$B$123:$B$127, 0)), "Género no válido", "")), IF(OR(N1414="", N1414=""), "[Aviso] Temporada no capturada ()", IF(ISNA(MATCH(N1414, Criterios!$C$123:$C$128, 0)), "Temporada no válida", "")), IF(OR(O1414="", O1414=""), "[Aviso] Ciclo de vida no capturado ()", IF(ISNA(MATCH(O1414, Criterios!$D$123:$D$124, 0)), "Ciclo de vida no válido", ""))))</f>
        <v/>
      </c>
      <c r="AC1414" s="56" t="n"/>
      <c r="AD1414" s="51" t="n">
        <v>0</v>
      </c>
      <c r="AE1414" s="156" t="n"/>
      <c r="AF1414" s="51" t="n">
        <v>0</v>
      </c>
      <c r="AG1414" s="156" t="inlineStr">
        <is>
          <t>Catálogo existente</t>
        </is>
      </c>
      <c r="AH141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4" s="156" t="inlineStr">
        <is>
          <t>No</t>
        </is>
      </c>
      <c r="AJ1414" s="156" t="n"/>
      <c r="AK1414" s="155" t="inlineStr">
        <is>
          <t>Criterios: I [Q] | Shopify Stetson: producto 14785864204651 / variante 53350613188971</t>
        </is>
      </c>
      <c r="AL1414" s="58" t="n">
        <v>2598.75</v>
      </c>
      <c r="AM1414" s="58" t="n">
        <v>6724.137931</v>
      </c>
      <c r="AN1414" s="155" t="inlineStr">
        <is>
          <t>Shopify Stetson México</t>
        </is>
      </c>
      <c r="AO1414" s="59" t="n">
        <v>0</v>
      </c>
      <c r="AP1414" s="59" t="n"/>
      <c r="AQ1414" s="59" t="n"/>
      <c r="AR1414" s="155" t="n"/>
    </row>
    <row r="1415">
      <c r="A1415" s="50" t="inlineStr">
        <is>
          <t>795177058274</t>
        </is>
      </c>
      <c r="B1415" s="51" t="inlineStr">
        <is>
          <t>110029</t>
        </is>
      </c>
      <c r="C1415" s="156" t="inlineStr">
        <is>
          <t>Multimarca</t>
        </is>
      </c>
      <c r="D1415" s="156" t="inlineStr">
        <is>
          <t>SFRNCH-014011</t>
        </is>
      </c>
      <c r="E1415" s="156" t="inlineStr">
        <is>
          <t>SFRNCH-01401173</t>
        </is>
      </c>
      <c r="F1415" s="156" t="inlineStr">
        <is>
          <t>7 3/8</t>
        </is>
      </c>
      <c r="G1415" s="156" t="inlineStr">
        <is>
          <t>7 3/8</t>
        </is>
      </c>
      <c r="H1415" s="156" t="inlineStr">
        <is>
          <t>Stetson</t>
        </is>
      </c>
      <c r="I1415" s="156" t="inlineStr">
        <is>
          <t>Sombrero Stetson Rancher 6X Re</t>
        </is>
      </c>
      <c r="J1415" s="156" t="inlineStr">
        <is>
          <t>Accesorios</t>
        </is>
      </c>
      <c r="K1415" s="156" t="inlineStr">
        <is>
          <t>Sombreros</t>
        </is>
      </c>
      <c r="L1415" s="156" t="inlineStr">
        <is>
          <t>Unisex</t>
        </is>
      </c>
      <c r="M1415" s="156" t="inlineStr">
        <is>
          <t>Stetson</t>
        </is>
      </c>
      <c r="N1415" s="156" t="inlineStr">
        <is>
          <t>SS26</t>
        </is>
      </c>
      <c r="O1415" s="156" t="inlineStr">
        <is>
          <t>Seasonal</t>
        </is>
      </c>
      <c r="P1415" s="156" t="inlineStr">
        <is>
          <t>Cafe</t>
        </is>
      </c>
      <c r="Q1415" s="156" t="n"/>
      <c r="R1415" s="156" t="inlineStr">
        <is>
          <t>Copa Rancher</t>
        </is>
      </c>
      <c r="S1415" s="156" t="inlineStr">
        <is>
          <t>100% Paja</t>
        </is>
      </c>
      <c r="T1415"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5" s="156" t="inlineStr">
        <is>
          <t>Estados Unidos</t>
        </is>
      </c>
      <c r="V1415" s="156" t="inlineStr">
        <is>
          <t>PZS</t>
        </is>
      </c>
      <c r="W1415" s="51" t="inlineStr">
        <is>
          <t>53102503</t>
        </is>
      </c>
      <c r="X1415" s="156" t="inlineStr">
        <is>
          <t>https://cdn.shopify.com/s/files/1/0888/3250/8267/files/SFRNCH-014022-05.jpg?v=1759767890</t>
        </is>
      </c>
      <c r="Y1415" s="54" t="n">
        <v>2598.75</v>
      </c>
      <c r="Z1415" s="54" t="n">
        <v>6724.137931</v>
      </c>
      <c r="AA1415" s="55">
        <f>IF(AND(A1415="", B1415="", E1415=""), "", IF(AB1415="", "Válido", IF((LEN(AB1415)-LEN(SUBSTITUTE(AB1415,"; ","")))/2+1&gt;(LEN(AB1415)-LEN(SUBSTITUTE(AB1415,"[Aviso]","")))/7, "Con Incidencias", "Válido")))</f>
        <v/>
      </c>
      <c r="AB1415" s="56">
        <f>IF(AND(A1415="", B1415="", E1415=""), "", TEXTJOIN("; ", TRUE, IF(OR(TRIM(A1415&amp;"")="", ISNUMBER(SEARCH("FALTA", A1415))), "UPC faltante/inválido", ""), IF(AND(A1415&lt;&gt;"", IFERROR(_xlfn.XMATCH(A1415,$A$2:$A$2509,0,1)&lt;&gt;_xlfn.XMATCH(A1415,$A$2:$A$2509,0,-1),FALSE)), "Código de barras duplicado", ""), IF(AND(E1415&lt;&gt;"", COUNTIF($E$2:$E$2509, E1415)&gt;1), "SKU duplicado", ""), IF(OR(J1415="", J1415=""), "[Aviso] División no capturada ()", IF(ISNA(MATCH(J1415, Criterios!$A$123:$A$126, 0)), "División no válida", "")), IF(OR(K1415="", K1415=""), "[Aviso] Categoría no capturada ()", IF(ISNA(MATCH(K1415, Criterios!$A$81:$A$120, 0)), "Categoría no válida", IF(AND(J1415&lt;&gt;"", J1415&lt;&gt;"", J1415&lt;&gt;VLOOKUP(K1415, Criterios!$A$81:$B$120, 2, FALSE)), "División no coincide con Categoría", ""))), IF(OR(L1415="", L1415=""), "[Aviso] Género no capturado ()", IF(ISNA(MATCH(L1415, Criterios!$B$123:$B$127, 0)), "Género no válido", "")), IF(OR(N1415="", N1415=""), "[Aviso] Temporada no capturada ()", IF(ISNA(MATCH(N1415, Criterios!$C$123:$C$128, 0)), "Temporada no válida", "")), IF(OR(O1415="", O1415=""), "[Aviso] Ciclo de vida no capturado ()", IF(ISNA(MATCH(O1415, Criterios!$D$123:$D$124, 0)), "Ciclo de vida no válido", ""))))</f>
        <v/>
      </c>
      <c r="AC1415" s="56" t="n"/>
      <c r="AD1415" s="51" t="n">
        <v>0</v>
      </c>
      <c r="AE1415" s="156" t="inlineStr">
        <is>
          <t>STETSON AMERICAS (1)</t>
        </is>
      </c>
      <c r="AF1415" s="51" t="n">
        <v>1</v>
      </c>
      <c r="AG1415" s="156" t="inlineStr">
        <is>
          <t>Catálogo existente</t>
        </is>
      </c>
      <c r="AH141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5" s="156" t="inlineStr">
        <is>
          <t>Sí</t>
        </is>
      </c>
      <c r="AJ1415" s="156" t="inlineStr">
        <is>
          <t>PUNTO DE VENTA (-1)</t>
        </is>
      </c>
      <c r="AK1415" s="155" t="inlineStr">
        <is>
          <t>Criterios: I [Q] | Shopify Stetson: producto 14785864204651 / variante 53350613221739</t>
        </is>
      </c>
      <c r="AL1415" s="58" t="n">
        <v>2598.75</v>
      </c>
      <c r="AM1415" s="58" t="n">
        <v>6724.137931</v>
      </c>
      <c r="AN1415" s="155" t="inlineStr">
        <is>
          <t>Shopify Stetson México</t>
        </is>
      </c>
      <c r="AO1415" s="59" t="n">
        <v>0</v>
      </c>
      <c r="AP1415" s="59" t="n"/>
      <c r="AQ1415" s="59" t="n"/>
      <c r="AR1415" s="155" t="n"/>
    </row>
    <row r="1416">
      <c r="A1416" s="50" t="inlineStr">
        <is>
          <t>795177058755</t>
        </is>
      </c>
      <c r="B1416" s="51" t="inlineStr">
        <is>
          <t>110030</t>
        </is>
      </c>
      <c r="C1416" s="156" t="inlineStr">
        <is>
          <t>Multimarca</t>
        </is>
      </c>
      <c r="D1416" s="156" t="inlineStr">
        <is>
          <t>SFRNCH-014022</t>
        </is>
      </c>
      <c r="E1416" s="156" t="inlineStr">
        <is>
          <t>SFRNCH-01402267</t>
        </is>
      </c>
      <c r="F1416" s="156" t="inlineStr">
        <is>
          <t>6 7/8</t>
        </is>
      </c>
      <c r="G1416" s="156" t="inlineStr">
        <is>
          <t>6 7/8</t>
        </is>
      </c>
      <c r="H1416" s="156" t="inlineStr">
        <is>
          <t>Stetson</t>
        </is>
      </c>
      <c r="I1416" s="156" t="inlineStr">
        <is>
          <t>Sombrero Stetson Rancher 6X Re</t>
        </is>
      </c>
      <c r="J1416" s="156" t="inlineStr">
        <is>
          <t>Accesorios</t>
        </is>
      </c>
      <c r="K1416" s="156" t="inlineStr">
        <is>
          <t>Sombreros</t>
        </is>
      </c>
      <c r="L1416" s="156" t="inlineStr">
        <is>
          <t>Unisex</t>
        </is>
      </c>
      <c r="M1416" s="156" t="inlineStr">
        <is>
          <t>Stetson</t>
        </is>
      </c>
      <c r="N1416" s="156" t="inlineStr">
        <is>
          <t>SS26</t>
        </is>
      </c>
      <c r="O1416" s="156" t="inlineStr">
        <is>
          <t>Seasonal</t>
        </is>
      </c>
      <c r="P1416" s="156" t="inlineStr">
        <is>
          <t>Cafe</t>
        </is>
      </c>
      <c r="Q1416" s="156" t="n"/>
      <c r="R1416" s="156" t="inlineStr">
        <is>
          <t>Copa Rancher</t>
        </is>
      </c>
      <c r="S1416" s="156" t="inlineStr">
        <is>
          <t>100% Paja</t>
        </is>
      </c>
      <c r="T141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6" s="156" t="inlineStr">
        <is>
          <t>Estados Unidos</t>
        </is>
      </c>
      <c r="V1416" s="156" t="inlineStr">
        <is>
          <t>PZS</t>
        </is>
      </c>
      <c r="W1416" s="51" t="inlineStr">
        <is>
          <t>53102503</t>
        </is>
      </c>
      <c r="X1416" s="156" t="inlineStr">
        <is>
          <t>https://cdn.shopify.com/s/files/1/0888/3250/8267/files/SFRNCH-014022-06.jpg?v=1759767890</t>
        </is>
      </c>
      <c r="Y1416" s="54" t="n">
        <v>2598.75</v>
      </c>
      <c r="Z1416" s="54" t="n">
        <v>6724.137931</v>
      </c>
      <c r="AA1416" s="55">
        <f>IF(AND(A1416="", B1416="", E1416=""), "", IF(AB1416="", "Válido", IF((LEN(AB1416)-LEN(SUBSTITUTE(AB1416,"; ","")))/2+1&gt;(LEN(AB1416)-LEN(SUBSTITUTE(AB1416,"[Aviso]","")))/7, "Con Incidencias", "Válido")))</f>
        <v/>
      </c>
      <c r="AB1416" s="56">
        <f>IF(AND(A1416="", B1416="", E1416=""), "", TEXTJOIN("; ", TRUE, IF(OR(TRIM(A1416&amp;"")="", ISNUMBER(SEARCH("FALTA", A1416))), "UPC faltante/inválido", ""), IF(AND(A1416&lt;&gt;"", IFERROR(_xlfn.XMATCH(A1416,$A$2:$A$2509,0,1)&lt;&gt;_xlfn.XMATCH(A1416,$A$2:$A$2509,0,-1),FALSE)), "Código de barras duplicado", ""), IF(AND(E1416&lt;&gt;"", COUNTIF($E$2:$E$2509, E1416)&gt;1), "SKU duplicado", ""), IF(OR(J1416="", J1416=""), "[Aviso] División no capturada ()", IF(ISNA(MATCH(J1416, Criterios!$A$123:$A$126, 0)), "División no válida", "")), IF(OR(K1416="", K1416=""), "[Aviso] Categoría no capturada ()", IF(ISNA(MATCH(K1416, Criterios!$A$81:$A$120, 0)), "Categoría no válida", IF(AND(J1416&lt;&gt;"", J1416&lt;&gt;"", J1416&lt;&gt;VLOOKUP(K1416, Criterios!$A$81:$B$120, 2, FALSE)), "División no coincide con Categoría", ""))), IF(OR(L1416="", L1416=""), "[Aviso] Género no capturado ()", IF(ISNA(MATCH(L1416, Criterios!$B$123:$B$127, 0)), "Género no válido", "")), IF(OR(N1416="", N1416=""), "[Aviso] Temporada no capturada ()", IF(ISNA(MATCH(N1416, Criterios!$C$123:$C$128, 0)), "Temporada no válida", "")), IF(OR(O1416="", O1416=""), "[Aviso] Ciclo de vida no capturado ()", IF(ISNA(MATCH(O1416, Criterios!$D$123:$D$124, 0)), "Ciclo de vida no válido", ""))))</f>
        <v/>
      </c>
      <c r="AC1416" s="56" t="n"/>
      <c r="AD1416" s="51" t="n">
        <v>0</v>
      </c>
      <c r="AE1416" s="156" t="inlineStr">
        <is>
          <t>STETSON AMERICAS (1)</t>
        </is>
      </c>
      <c r="AF1416" s="51" t="n">
        <v>1</v>
      </c>
      <c r="AG1416" s="156" t="inlineStr">
        <is>
          <t>Catálogo existente</t>
        </is>
      </c>
      <c r="AH1416" s="156" t="inlineStr">
        <is>
          <t>Revisión 29/09/2026: Cruce de catálogo y criterios sin pendientes detectados | 01/10/2026: complementado desde Shopify Stetson México (match por código de barras): WB Fit, WB Silueta</t>
        </is>
      </c>
      <c r="AI1416" s="156" t="inlineStr">
        <is>
          <t>Sí</t>
        </is>
      </c>
      <c r="AJ1416" s="156" t="inlineStr">
        <is>
          <t>PUNTO DE VENTA (-1)</t>
        </is>
      </c>
      <c r="AK1416" s="155" t="inlineStr">
        <is>
          <t>Criterios: I [Q] | Shopify Stetson: producto 14785864204651 / variante 53350613254507</t>
        </is>
      </c>
      <c r="AL1416" s="58" t="n">
        <v>2598.75</v>
      </c>
      <c r="AM1416" s="58" t="n">
        <v>6724.137931</v>
      </c>
      <c r="AN1416" s="155" t="inlineStr">
        <is>
          <t>Shopify Stetson México</t>
        </is>
      </c>
      <c r="AO1416" s="59" t="n">
        <v>1</v>
      </c>
      <c r="AP1416" s="59" t="n"/>
      <c r="AQ1416" s="59" t="n"/>
      <c r="AR1416" s="155" t="inlineStr">
        <is>
          <t>Shopify Stetson México › Stetson Americas: 1</t>
        </is>
      </c>
    </row>
    <row r="1417">
      <c r="A1417" s="50" t="inlineStr">
        <is>
          <t>795177058762</t>
        </is>
      </c>
      <c r="B1417" s="51" t="inlineStr">
        <is>
          <t>110031</t>
        </is>
      </c>
      <c r="C1417" s="156" t="inlineStr">
        <is>
          <t>Multimarca</t>
        </is>
      </c>
      <c r="D1417" s="156" t="inlineStr">
        <is>
          <t>SFRNCH-014022</t>
        </is>
      </c>
      <c r="E1417" s="156" t="inlineStr">
        <is>
          <t>SFRNCH-01402270</t>
        </is>
      </c>
      <c r="F1417" s="156" t="inlineStr">
        <is>
          <t>7</t>
        </is>
      </c>
      <c r="G1417" s="156" t="inlineStr">
        <is>
          <t>7</t>
        </is>
      </c>
      <c r="H1417" s="156" t="inlineStr">
        <is>
          <t>Stetson</t>
        </is>
      </c>
      <c r="I1417" s="156" t="inlineStr">
        <is>
          <t>Sombrero Stetson Rancher 6X Re</t>
        </is>
      </c>
      <c r="J1417" s="156" t="inlineStr">
        <is>
          <t>Accesorios</t>
        </is>
      </c>
      <c r="K1417" s="156" t="inlineStr">
        <is>
          <t>Sombreros</t>
        </is>
      </c>
      <c r="L1417" s="156" t="inlineStr">
        <is>
          <t>Unisex</t>
        </is>
      </c>
      <c r="M1417" s="156" t="inlineStr">
        <is>
          <t>Stetson</t>
        </is>
      </c>
      <c r="N1417" s="156" t="inlineStr">
        <is>
          <t>SS26</t>
        </is>
      </c>
      <c r="O1417" s="156" t="inlineStr">
        <is>
          <t>Seasonal</t>
        </is>
      </c>
      <c r="P1417" s="156" t="inlineStr">
        <is>
          <t>Cafe</t>
        </is>
      </c>
      <c r="Q1417" s="156" t="n"/>
      <c r="R1417" s="156" t="inlineStr">
        <is>
          <t>Copa Rancher</t>
        </is>
      </c>
      <c r="S1417" s="156" t="inlineStr">
        <is>
          <t>100% Paja</t>
        </is>
      </c>
      <c r="T141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7" s="156" t="inlineStr">
        <is>
          <t>Estados Unidos</t>
        </is>
      </c>
      <c r="V1417" s="156" t="inlineStr">
        <is>
          <t>PZS</t>
        </is>
      </c>
      <c r="W1417" s="51" t="inlineStr">
        <is>
          <t>53102503</t>
        </is>
      </c>
      <c r="X1417" s="156" t="inlineStr">
        <is>
          <t>https://cdn.shopify.com/s/files/1/0888/3250/8267/files/SFRNCH-014061-01_48765ea7-8be0-4ae3-8382-f86f337ca384.jpg?v=1759767890</t>
        </is>
      </c>
      <c r="Y1417" s="54" t="n">
        <v>2598.75</v>
      </c>
      <c r="Z1417" s="54" t="n">
        <v>6724.137931</v>
      </c>
      <c r="AA1417" s="55">
        <f>IF(AND(A1417="", B1417="", E1417=""), "", IF(AB1417="", "Válido", IF((LEN(AB1417)-LEN(SUBSTITUTE(AB1417,"; ","")))/2+1&gt;(LEN(AB1417)-LEN(SUBSTITUTE(AB1417,"[Aviso]","")))/7, "Con Incidencias", "Válido")))</f>
        <v/>
      </c>
      <c r="AB1417" s="56">
        <f>IF(AND(A1417="", B1417="", E1417=""), "", TEXTJOIN("; ", TRUE, IF(OR(TRIM(A1417&amp;"")="", ISNUMBER(SEARCH("FALTA", A1417))), "UPC faltante/inválido", ""), IF(AND(A1417&lt;&gt;"", IFERROR(_xlfn.XMATCH(A1417,$A$2:$A$2509,0,1)&lt;&gt;_xlfn.XMATCH(A1417,$A$2:$A$2509,0,-1),FALSE)), "Código de barras duplicado", ""), IF(AND(E1417&lt;&gt;"", COUNTIF($E$2:$E$2509, E1417)&gt;1), "SKU duplicado", ""), IF(OR(J1417="", J1417=""), "[Aviso] División no capturada ()", IF(ISNA(MATCH(J1417, Criterios!$A$123:$A$126, 0)), "División no válida", "")), IF(OR(K1417="", K1417=""), "[Aviso] Categoría no capturada ()", IF(ISNA(MATCH(K1417, Criterios!$A$81:$A$120, 0)), "Categoría no válida", IF(AND(J1417&lt;&gt;"", J1417&lt;&gt;"", J1417&lt;&gt;VLOOKUP(K1417, Criterios!$A$81:$B$120, 2, FALSE)), "División no coincide con Categoría", ""))), IF(OR(L1417="", L1417=""), "[Aviso] Género no capturado ()", IF(ISNA(MATCH(L1417, Criterios!$B$123:$B$127, 0)), "Género no válido", "")), IF(OR(N1417="", N1417=""), "[Aviso] Temporada no capturada ()", IF(ISNA(MATCH(N1417, Criterios!$C$123:$C$128, 0)), "Temporada no válida", "")), IF(OR(O1417="", O1417=""), "[Aviso] Ciclo de vida no capturado ()", IF(ISNA(MATCH(O1417, Criterios!$D$123:$D$124, 0)), "Ciclo de vida no válido", ""))))</f>
        <v/>
      </c>
      <c r="AC1417" s="56" t="n"/>
      <c r="AD1417" s="51" t="n">
        <v>1</v>
      </c>
      <c r="AE1417" s="156" t="inlineStr">
        <is>
          <t>PUNTO DE VENTA (1); B25 STETSON.MX (1)</t>
        </is>
      </c>
      <c r="AF1417" s="51" t="n">
        <v>2</v>
      </c>
      <c r="AG1417" s="156" t="inlineStr">
        <is>
          <t>Catálogo existente</t>
        </is>
      </c>
      <c r="AH1417" s="156" t="inlineStr">
        <is>
          <t>Revisión 29/09/2026: Cruce de catálogo y criterios sin pendientes detectados | 01/10/2026: complementado desde Shopify Stetson México (match por código de barras): WB Fit, WB Silueta</t>
        </is>
      </c>
      <c r="AI1417" s="156" t="inlineStr">
        <is>
          <t>Sí</t>
        </is>
      </c>
      <c r="AJ1417" s="156" t="inlineStr">
        <is>
          <t>STETSON AMERICAS (-1)</t>
        </is>
      </c>
      <c r="AK1417" s="155" t="inlineStr">
        <is>
          <t>Criterios: I [Q] | Shopify Stetson: producto 14785864204651 / variante 53350613287275 | Odoo: producto 12908 / plantilla 16485</t>
        </is>
      </c>
      <c r="AL1417" s="58" t="n">
        <v>2598.75</v>
      </c>
      <c r="AM1417" s="58" t="n">
        <v>6724.137931</v>
      </c>
      <c r="AN1417" s="155" t="inlineStr">
        <is>
          <t>Shopify Stetson México | Odoo Universal Unique Brands</t>
        </is>
      </c>
      <c r="AO1417" s="59" t="n">
        <v>1</v>
      </c>
      <c r="AP1417" s="59" t="n"/>
      <c r="AQ1417" s="59" t="n">
        <v>1</v>
      </c>
      <c r="AR1417" s="155" t="inlineStr">
        <is>
          <t>Shopify Stetson México › Stetson México: 1 | Odoo Universal Unique Brands › Stetson Americas › Stetson Americas/Stock: 1</t>
        </is>
      </c>
    </row>
    <row r="1418">
      <c r="A1418" s="50" t="inlineStr">
        <is>
          <t>795177058779</t>
        </is>
      </c>
      <c r="B1418" s="51" t="inlineStr">
        <is>
          <t>110032</t>
        </is>
      </c>
      <c r="C1418" s="156" t="inlineStr">
        <is>
          <t>Multimarca</t>
        </is>
      </c>
      <c r="D1418" s="156" t="inlineStr">
        <is>
          <t>SFRNCH-014022</t>
        </is>
      </c>
      <c r="E1418" s="156" t="inlineStr">
        <is>
          <t>SFRNCH-01402271</t>
        </is>
      </c>
      <c r="F1418" s="156" t="inlineStr">
        <is>
          <t>7 1/8</t>
        </is>
      </c>
      <c r="G1418" s="156" t="inlineStr">
        <is>
          <t>7 1/8</t>
        </is>
      </c>
      <c r="H1418" s="156" t="inlineStr">
        <is>
          <t>Stetson</t>
        </is>
      </c>
      <c r="I1418" s="156" t="inlineStr">
        <is>
          <t>Sombrero Stetson Rancher 6X Re</t>
        </is>
      </c>
      <c r="J1418" s="156" t="inlineStr">
        <is>
          <t>Accesorios</t>
        </is>
      </c>
      <c r="K1418" s="156" t="inlineStr">
        <is>
          <t>Sombreros</t>
        </is>
      </c>
      <c r="L1418" s="156" t="inlineStr">
        <is>
          <t>Unisex</t>
        </is>
      </c>
      <c r="M1418" s="156" t="inlineStr">
        <is>
          <t>Stetson</t>
        </is>
      </c>
      <c r="N1418" s="156" t="inlineStr">
        <is>
          <t>SS26</t>
        </is>
      </c>
      <c r="O1418" s="156" t="inlineStr">
        <is>
          <t>Seasonal</t>
        </is>
      </c>
      <c r="P1418" s="156" t="inlineStr">
        <is>
          <t>Cafe</t>
        </is>
      </c>
      <c r="Q1418" s="156" t="n"/>
      <c r="R1418" s="156" t="inlineStr">
        <is>
          <t>Copa Rancher</t>
        </is>
      </c>
      <c r="S1418" s="156" t="inlineStr">
        <is>
          <t>100% Paja</t>
        </is>
      </c>
      <c r="T141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8" s="156" t="inlineStr">
        <is>
          <t>Estados Unidos</t>
        </is>
      </c>
      <c r="V1418" s="156" t="inlineStr">
        <is>
          <t>PZS</t>
        </is>
      </c>
      <c r="W1418" s="51" t="inlineStr">
        <is>
          <t>53102503</t>
        </is>
      </c>
      <c r="X1418" s="156" t="inlineStr">
        <is>
          <t>https://cdn.shopify.com/s/files/1/0888/3250/8267/files/SFRNCH-014061-03.jpg?v=1759767890</t>
        </is>
      </c>
      <c r="Y1418" s="54" t="n">
        <v>2598.75</v>
      </c>
      <c r="Z1418" s="54" t="n">
        <v>6724.137931</v>
      </c>
      <c r="AA1418" s="55">
        <f>IF(AND(A1418="", B1418="", E1418=""), "", IF(AB1418="", "Válido", IF((LEN(AB1418)-LEN(SUBSTITUTE(AB1418,"; ","")))/2+1&gt;(LEN(AB1418)-LEN(SUBSTITUTE(AB1418,"[Aviso]","")))/7, "Con Incidencias", "Válido")))</f>
        <v/>
      </c>
      <c r="AB1418" s="56">
        <f>IF(AND(A1418="", B1418="", E1418=""), "", TEXTJOIN("; ", TRUE, IF(OR(TRIM(A1418&amp;"")="", ISNUMBER(SEARCH("FALTA", A1418))), "UPC faltante/inválido", ""), IF(AND(A1418&lt;&gt;"", IFERROR(_xlfn.XMATCH(A1418,$A$2:$A$2509,0,1)&lt;&gt;_xlfn.XMATCH(A1418,$A$2:$A$2509,0,-1),FALSE)), "Código de barras duplicado", ""), IF(AND(E1418&lt;&gt;"", COUNTIF($E$2:$E$2509, E1418)&gt;1), "SKU duplicado", ""), IF(OR(J1418="", J1418=""), "[Aviso] División no capturada ()", IF(ISNA(MATCH(J1418, Criterios!$A$123:$A$126, 0)), "División no válida", "")), IF(OR(K1418="", K1418=""), "[Aviso] Categoría no capturada ()", IF(ISNA(MATCH(K1418, Criterios!$A$81:$A$120, 0)), "Categoría no válida", IF(AND(J1418&lt;&gt;"", J1418&lt;&gt;"", J1418&lt;&gt;VLOOKUP(K1418, Criterios!$A$81:$B$120, 2, FALSE)), "División no coincide con Categoría", ""))), IF(OR(L1418="", L1418=""), "[Aviso] Género no capturado ()", IF(ISNA(MATCH(L1418, Criterios!$B$123:$B$127, 0)), "Género no válido", "")), IF(OR(N1418="", N1418=""), "[Aviso] Temporada no capturada ()", IF(ISNA(MATCH(N1418, Criterios!$C$123:$C$128, 0)), "Temporada no válida", "")), IF(OR(O1418="", O1418=""), "[Aviso] Ciclo de vida no capturado ()", IF(ISNA(MATCH(O1418, Criterios!$D$123:$D$124, 0)), "Ciclo de vida no válido", ""))))</f>
        <v/>
      </c>
      <c r="AC1418" s="56" t="n"/>
      <c r="AD1418" s="51" t="n">
        <v>2</v>
      </c>
      <c r="AE1418" s="156" t="inlineStr">
        <is>
          <t>PUNTO DE VENTA (1); B25 STETSON.MX (2)</t>
        </is>
      </c>
      <c r="AF1418" s="51" t="n">
        <v>3</v>
      </c>
      <c r="AG1418" s="156" t="inlineStr">
        <is>
          <t>Catálogo existente</t>
        </is>
      </c>
      <c r="AH1418" s="156" t="inlineStr">
        <is>
          <t>Revisión 29/09/2026: Cruce de catálogo y criterios sin pendientes detectados | 01/10/2026: complementado desde Shopify Stetson México (match por código de barras): WB Fit, WB Silueta</t>
        </is>
      </c>
      <c r="AI1418" s="156" t="inlineStr">
        <is>
          <t>Sí</t>
        </is>
      </c>
      <c r="AJ1418" s="156" t="inlineStr">
        <is>
          <t>STETSON AMERICAS (-1)</t>
        </is>
      </c>
      <c r="AK1418" s="155" t="inlineStr">
        <is>
          <t>Criterios: I [Q] | Shopify Stetson: producto 14785864204651 / variante 53350613320043</t>
        </is>
      </c>
      <c r="AL1418" s="58" t="n">
        <v>2598.75</v>
      </c>
      <c r="AM1418" s="58" t="n">
        <v>6724.137931</v>
      </c>
      <c r="AN1418" s="155" t="inlineStr">
        <is>
          <t>Shopify Stetson México</t>
        </is>
      </c>
      <c r="AO1418" s="59" t="n">
        <v>2</v>
      </c>
      <c r="AP1418" s="59" t="n"/>
      <c r="AQ1418" s="59" t="n"/>
      <c r="AR1418" s="155" t="inlineStr">
        <is>
          <t>Shopify Stetson México › Stetson México: 1 | Shopify Stetson México › Eventos: 1</t>
        </is>
      </c>
    </row>
    <row r="1419">
      <c r="A1419" s="50" t="inlineStr">
        <is>
          <t>795177058786</t>
        </is>
      </c>
      <c r="B1419" s="51" t="inlineStr">
        <is>
          <t>110033</t>
        </is>
      </c>
      <c r="C1419" s="156" t="inlineStr">
        <is>
          <t>Multimarca</t>
        </is>
      </c>
      <c r="D1419" s="156" t="inlineStr">
        <is>
          <t>SFRNCH-014022</t>
        </is>
      </c>
      <c r="E1419" s="156" t="inlineStr">
        <is>
          <t>SFRNCH-01402272</t>
        </is>
      </c>
      <c r="F1419" s="156" t="inlineStr">
        <is>
          <t>7 1/4</t>
        </is>
      </c>
      <c r="G1419" s="156" t="inlineStr">
        <is>
          <t>7 1/4</t>
        </is>
      </c>
      <c r="H1419" s="156" t="inlineStr">
        <is>
          <t>Stetson</t>
        </is>
      </c>
      <c r="I1419" s="156" t="inlineStr">
        <is>
          <t>Sombrero Stetson Rancher 6X Re</t>
        </is>
      </c>
      <c r="J1419" s="156" t="inlineStr">
        <is>
          <t>Accesorios</t>
        </is>
      </c>
      <c r="K1419" s="156" t="inlineStr">
        <is>
          <t>Sombreros</t>
        </is>
      </c>
      <c r="L1419" s="156" t="inlineStr">
        <is>
          <t>Unisex</t>
        </is>
      </c>
      <c r="M1419" s="156" t="inlineStr">
        <is>
          <t>Stetson</t>
        </is>
      </c>
      <c r="N1419" s="156" t="inlineStr">
        <is>
          <t>SS26</t>
        </is>
      </c>
      <c r="O1419" s="156" t="inlineStr">
        <is>
          <t>Seasonal</t>
        </is>
      </c>
      <c r="P1419" s="156" t="inlineStr">
        <is>
          <t>Cafe</t>
        </is>
      </c>
      <c r="Q1419" s="156" t="n"/>
      <c r="R1419" s="156" t="inlineStr">
        <is>
          <t>Copa Rancher</t>
        </is>
      </c>
      <c r="S1419" s="156" t="inlineStr">
        <is>
          <t>100% Paja</t>
        </is>
      </c>
      <c r="T141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9" s="156" t="inlineStr">
        <is>
          <t>Estados Unidos</t>
        </is>
      </c>
      <c r="V1419" s="156" t="inlineStr">
        <is>
          <t>PZS</t>
        </is>
      </c>
      <c r="W1419" s="51" t="inlineStr">
        <is>
          <t>53102503</t>
        </is>
      </c>
      <c r="X1419" s="156" t="inlineStr">
        <is>
          <t>https://cdn.shopify.com/s/files/1/0888/3250/8267/files/SFRNCH-014061-04.jpg?v=1759767890</t>
        </is>
      </c>
      <c r="Y1419" s="54" t="n">
        <v>2598.75</v>
      </c>
      <c r="Z1419" s="54" t="n">
        <v>6724.137931</v>
      </c>
      <c r="AA1419" s="55">
        <f>IF(AND(A1419="", B1419="", E1419=""), "", IF(AB1419="", "Válido", IF((LEN(AB1419)-LEN(SUBSTITUTE(AB1419,"; ","")))/2+1&gt;(LEN(AB1419)-LEN(SUBSTITUTE(AB1419,"[Aviso]","")))/7, "Con Incidencias", "Válido")))</f>
        <v/>
      </c>
      <c r="AB1419" s="56">
        <f>IF(AND(A1419="", B1419="", E1419=""), "", TEXTJOIN("; ", TRUE, IF(OR(TRIM(A1419&amp;"")="", ISNUMBER(SEARCH("FALTA", A1419))), "UPC faltante/inválido", ""), IF(AND(A1419&lt;&gt;"", IFERROR(_xlfn.XMATCH(A1419,$A$2:$A$2509,0,1)&lt;&gt;_xlfn.XMATCH(A1419,$A$2:$A$2509,0,-1),FALSE)), "Código de barras duplicado", ""), IF(AND(E1419&lt;&gt;"", COUNTIF($E$2:$E$2509, E1419)&gt;1), "SKU duplicado", ""), IF(OR(J1419="", J1419=""), "[Aviso] División no capturada ()", IF(ISNA(MATCH(J1419, Criterios!$A$123:$A$126, 0)), "División no válida", "")), IF(OR(K1419="", K1419=""), "[Aviso] Categoría no capturada ()", IF(ISNA(MATCH(K1419, Criterios!$A$81:$A$120, 0)), "Categoría no válida", IF(AND(J1419&lt;&gt;"", J1419&lt;&gt;"", J1419&lt;&gt;VLOOKUP(K1419, Criterios!$A$81:$B$120, 2, FALSE)), "División no coincide con Categoría", ""))), IF(OR(L1419="", L1419=""), "[Aviso] Género no capturado ()", IF(ISNA(MATCH(L1419, Criterios!$B$123:$B$127, 0)), "Género no válido", "")), IF(OR(N1419="", N1419=""), "[Aviso] Temporada no capturada ()", IF(ISNA(MATCH(N1419, Criterios!$C$123:$C$128, 0)), "Temporada no válida", "")), IF(OR(O1419="", O1419=""), "[Aviso] Ciclo de vida no capturado ()", IF(ISNA(MATCH(O1419, Criterios!$D$123:$D$124, 0)), "Ciclo de vida no válido", ""))))</f>
        <v/>
      </c>
      <c r="AC1419" s="56" t="n"/>
      <c r="AD1419" s="51" t="n">
        <v>1</v>
      </c>
      <c r="AE1419" s="156" t="inlineStr">
        <is>
          <t>B25 STETSON.MX (2)</t>
        </is>
      </c>
      <c r="AF1419" s="51" t="n">
        <v>2</v>
      </c>
      <c r="AG1419" s="156" t="inlineStr">
        <is>
          <t>Catálogo existente</t>
        </is>
      </c>
      <c r="AH1419" s="156" t="inlineStr">
        <is>
          <t>Revisión 29/09/2026: Cruce de catálogo y criterios sin pendientes detectados | 01/10/2026: complementado desde Shopify Stetson México (match por código de barras): WB Fit, WB Silueta</t>
        </is>
      </c>
      <c r="AI1419" s="156" t="inlineStr">
        <is>
          <t>Sí</t>
        </is>
      </c>
      <c r="AJ1419" s="156" t="inlineStr">
        <is>
          <t>STETSON AMERICAS (-1)</t>
        </is>
      </c>
      <c r="AK1419" s="155" t="inlineStr">
        <is>
          <t>Criterios: I [Q] | Shopify Stetson: producto 14785864204651 / variante 53350613352811</t>
        </is>
      </c>
      <c r="AL1419" s="58" t="n">
        <v>2598.75</v>
      </c>
      <c r="AM1419" s="58" t="n">
        <v>6724.137931</v>
      </c>
      <c r="AN1419" s="155" t="inlineStr">
        <is>
          <t>Shopify Stetson México</t>
        </is>
      </c>
      <c r="AO1419" s="59" t="n">
        <v>3</v>
      </c>
      <c r="AP1419" s="59" t="n"/>
      <c r="AQ1419" s="59" t="n"/>
      <c r="AR1419" s="155" t="inlineStr">
        <is>
          <t>Shopify Stetson México › Stetson México: 2 | Shopify Stetson México › Stetson Americas: 1</t>
        </is>
      </c>
    </row>
    <row r="1420">
      <c r="A1420" s="50" t="inlineStr">
        <is>
          <t>795177058793</t>
        </is>
      </c>
      <c r="B1420" s="51" t="inlineStr">
        <is>
          <t>110034</t>
        </is>
      </c>
      <c r="C1420" s="156" t="inlineStr">
        <is>
          <t>Multimarca</t>
        </is>
      </c>
      <c r="D1420" s="156" t="inlineStr">
        <is>
          <t>SFRNCH-014022</t>
        </is>
      </c>
      <c r="E1420" s="156" t="inlineStr">
        <is>
          <t>SFRNCH-01402273</t>
        </is>
      </c>
      <c r="F1420" s="156" t="inlineStr">
        <is>
          <t>7 3/8</t>
        </is>
      </c>
      <c r="G1420" s="156" t="inlineStr">
        <is>
          <t>7 3/8</t>
        </is>
      </c>
      <c r="H1420" s="156" t="inlineStr">
        <is>
          <t>Stetson</t>
        </is>
      </c>
      <c r="I1420" s="156" t="inlineStr">
        <is>
          <t>Sombrero Stetson Rancher 6X Re</t>
        </is>
      </c>
      <c r="J1420" s="156" t="inlineStr">
        <is>
          <t>Accesorios</t>
        </is>
      </c>
      <c r="K1420" s="156" t="inlineStr">
        <is>
          <t>Sombreros</t>
        </is>
      </c>
      <c r="L1420" s="156" t="inlineStr">
        <is>
          <t>Unisex</t>
        </is>
      </c>
      <c r="M1420" s="156" t="inlineStr">
        <is>
          <t>Stetson</t>
        </is>
      </c>
      <c r="N1420" s="156" t="inlineStr">
        <is>
          <t>SS26</t>
        </is>
      </c>
      <c r="O1420" s="156" t="inlineStr">
        <is>
          <t>Seasonal</t>
        </is>
      </c>
      <c r="P1420" s="156" t="inlineStr">
        <is>
          <t>Cafe</t>
        </is>
      </c>
      <c r="Q1420" s="156" t="n"/>
      <c r="R1420" s="156" t="inlineStr">
        <is>
          <t>Copa Rancher</t>
        </is>
      </c>
      <c r="S1420" s="156" t="inlineStr">
        <is>
          <t>100% Paja</t>
        </is>
      </c>
      <c r="T142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0" s="156" t="inlineStr">
        <is>
          <t>Estados Unidos</t>
        </is>
      </c>
      <c r="V1420" s="156" t="inlineStr">
        <is>
          <t>PZS</t>
        </is>
      </c>
      <c r="W1420" s="51" t="inlineStr">
        <is>
          <t>53102503</t>
        </is>
      </c>
      <c r="X1420" s="156" t="inlineStr">
        <is>
          <t>https://cdn.shopify.com/s/files/1/0888/3250/8267/files/SFRNCH-014061-05.jpg?v=1759767890</t>
        </is>
      </c>
      <c r="Y1420" s="54" t="n">
        <v>2598.75</v>
      </c>
      <c r="Z1420" s="54" t="n">
        <v>6724.137931</v>
      </c>
      <c r="AA1420" s="55">
        <f>IF(AND(A1420="", B1420="", E1420=""), "", IF(AB1420="", "Válido", IF((LEN(AB1420)-LEN(SUBSTITUTE(AB1420,"; ","")))/2+1&gt;(LEN(AB1420)-LEN(SUBSTITUTE(AB1420,"[Aviso]","")))/7, "Con Incidencias", "Válido")))</f>
        <v/>
      </c>
      <c r="AB1420" s="56">
        <f>IF(AND(A1420="", B1420="", E1420=""), "", TEXTJOIN("; ", TRUE, IF(OR(TRIM(A1420&amp;"")="", ISNUMBER(SEARCH("FALTA", A1420))), "UPC faltante/inválido", ""), IF(AND(A1420&lt;&gt;"", IFERROR(_xlfn.XMATCH(A1420,$A$2:$A$2509,0,1)&lt;&gt;_xlfn.XMATCH(A1420,$A$2:$A$2509,0,-1),FALSE)), "Código de barras duplicado", ""), IF(AND(E1420&lt;&gt;"", COUNTIF($E$2:$E$2509, E1420)&gt;1), "SKU duplicado", ""), IF(OR(J1420="", J1420=""), "[Aviso] División no capturada ()", IF(ISNA(MATCH(J1420, Criterios!$A$123:$A$126, 0)), "División no válida", "")), IF(OR(K1420="", K1420=""), "[Aviso] Categoría no capturada ()", IF(ISNA(MATCH(K1420, Criterios!$A$81:$A$120, 0)), "Categoría no válida", IF(AND(J1420&lt;&gt;"", J1420&lt;&gt;"", J1420&lt;&gt;VLOOKUP(K1420, Criterios!$A$81:$B$120, 2, FALSE)), "División no coincide con Categoría", ""))), IF(OR(L1420="", L1420=""), "[Aviso] Género no capturado ()", IF(ISNA(MATCH(L1420, Criterios!$B$123:$B$127, 0)), "Género no válido", "")), IF(OR(N1420="", N1420=""), "[Aviso] Temporada no capturada ()", IF(ISNA(MATCH(N1420, Criterios!$C$123:$C$128, 0)), "Temporada no válida", "")), IF(OR(O1420="", O1420=""), "[Aviso] Ciclo de vida no capturado ()", IF(ISNA(MATCH(O1420, Criterios!$D$123:$D$124, 0)), "Ciclo de vida no válido", ""))))</f>
        <v/>
      </c>
      <c r="AC1420" s="56" t="n"/>
      <c r="AD1420" s="51" t="n">
        <v>1</v>
      </c>
      <c r="AE1420" s="156" t="inlineStr">
        <is>
          <t>B25 STETSON.MX (2)</t>
        </is>
      </c>
      <c r="AF1420" s="51" t="n">
        <v>2</v>
      </c>
      <c r="AG1420" s="156" t="inlineStr">
        <is>
          <t>Catálogo existente</t>
        </is>
      </c>
      <c r="AH1420" s="156" t="inlineStr">
        <is>
          <t>Revisión 29/09/2026: Cruce de catálogo y criterios sin pendientes detectados | 01/10/2026: complementado desde Shopify Stetson México (match por código de barras): WB Fit, WB Silueta</t>
        </is>
      </c>
      <c r="AI1420" s="156" t="inlineStr">
        <is>
          <t>Sí</t>
        </is>
      </c>
      <c r="AJ1420" s="156" t="inlineStr">
        <is>
          <t>PUNTO DE VENTA (-1)</t>
        </is>
      </c>
      <c r="AK1420" s="155" t="inlineStr">
        <is>
          <t>Criterios: I [Q] | Shopify Stetson: producto 14785864204651 / variante 53350613385579 | Odoo: producto 12911 / plantilla 16488</t>
        </is>
      </c>
      <c r="AL1420" s="58" t="n">
        <v>2598.75</v>
      </c>
      <c r="AM1420" s="58" t="n">
        <v>6724.137931</v>
      </c>
      <c r="AN1420" s="155" t="inlineStr">
        <is>
          <t>Shopify Stetson México | Odoo Universal Unique Brands</t>
        </is>
      </c>
      <c r="AO1420" s="59" t="n">
        <v>1</v>
      </c>
      <c r="AP1420" s="59" t="n"/>
      <c r="AQ1420" s="59" t="n">
        <v>3</v>
      </c>
      <c r="AR1420" s="155" t="inlineStr">
        <is>
          <t>Shopify Stetson México › Stetson México: 1 | Odoo Universal Unique Brands › Bodega 25 › Bodega 25/General: 2 | Odoo Universal Unique Brands › Stetson Americas › Stetson Americas/Stock: 1</t>
        </is>
      </c>
    </row>
    <row r="1421">
      <c r="A1421" s="50" t="inlineStr">
        <is>
          <t>795177058809</t>
        </is>
      </c>
      <c r="B1421" s="51" t="inlineStr">
        <is>
          <t>110035</t>
        </is>
      </c>
      <c r="C1421" s="156" t="inlineStr">
        <is>
          <t>Multimarca</t>
        </is>
      </c>
      <c r="D1421" s="156" t="inlineStr">
        <is>
          <t>SFRNCH-014022</t>
        </is>
      </c>
      <c r="E1421" s="156" t="inlineStr">
        <is>
          <t>SFRNCH-01402274</t>
        </is>
      </c>
      <c r="F1421" s="156" t="inlineStr">
        <is>
          <t>7 1/2</t>
        </is>
      </c>
      <c r="G1421" s="156" t="inlineStr">
        <is>
          <t>7 1/2</t>
        </is>
      </c>
      <c r="H1421" s="156" t="inlineStr">
        <is>
          <t>Stetson</t>
        </is>
      </c>
      <c r="I1421" s="156" t="inlineStr">
        <is>
          <t>Sombrero Stetson Rancher 6X Re</t>
        </is>
      </c>
      <c r="J1421" s="156" t="inlineStr">
        <is>
          <t>Accesorios</t>
        </is>
      </c>
      <c r="K1421" s="156" t="inlineStr">
        <is>
          <t>Sombreros</t>
        </is>
      </c>
      <c r="L1421" s="156" t="inlineStr">
        <is>
          <t>Unisex</t>
        </is>
      </c>
      <c r="M1421" s="156" t="inlineStr">
        <is>
          <t>Stetson</t>
        </is>
      </c>
      <c r="N1421" s="156" t="inlineStr">
        <is>
          <t>SS26</t>
        </is>
      </c>
      <c r="O1421" s="156" t="inlineStr">
        <is>
          <t>Seasonal</t>
        </is>
      </c>
      <c r="P1421" s="156" t="inlineStr">
        <is>
          <t>Cafe</t>
        </is>
      </c>
      <c r="Q1421" s="156" t="n"/>
      <c r="R1421" s="156" t="inlineStr">
        <is>
          <t>Copa Rancher</t>
        </is>
      </c>
      <c r="S1421" s="156" t="inlineStr">
        <is>
          <t>100% Paja</t>
        </is>
      </c>
      <c r="T142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1" s="156" t="inlineStr">
        <is>
          <t>Estados Unidos</t>
        </is>
      </c>
      <c r="V1421" s="156" t="inlineStr">
        <is>
          <t>PZS</t>
        </is>
      </c>
      <c r="W1421" s="51" t="inlineStr">
        <is>
          <t>53102503</t>
        </is>
      </c>
      <c r="X1421" s="156" t="inlineStr">
        <is>
          <t>https://cdn.shopify.com/s/files/1/0888/3250/8267/files/SFRNCH-014061-06.jpg?v=1759767890</t>
        </is>
      </c>
      <c r="Y1421" s="54" t="n">
        <v>2598.75</v>
      </c>
      <c r="Z1421" s="54" t="n">
        <v>6724.137931</v>
      </c>
      <c r="AA1421" s="55">
        <f>IF(AND(A1421="", B1421="", E1421=""), "", IF(AB1421="", "Válido", IF((LEN(AB1421)-LEN(SUBSTITUTE(AB1421,"; ","")))/2+1&gt;(LEN(AB1421)-LEN(SUBSTITUTE(AB1421,"[Aviso]","")))/7, "Con Incidencias", "Válido")))</f>
        <v/>
      </c>
      <c r="AB1421" s="56">
        <f>IF(AND(A1421="", B1421="", E1421=""), "", TEXTJOIN("; ", TRUE, IF(OR(TRIM(A1421&amp;"")="", ISNUMBER(SEARCH("FALTA", A1421))), "UPC faltante/inválido", ""), IF(AND(A1421&lt;&gt;"", IFERROR(_xlfn.XMATCH(A1421,$A$2:$A$2509,0,1)&lt;&gt;_xlfn.XMATCH(A1421,$A$2:$A$2509,0,-1),FALSE)), "Código de barras duplicado", ""), IF(AND(E1421&lt;&gt;"", COUNTIF($E$2:$E$2509, E1421)&gt;1), "SKU duplicado", ""), IF(OR(J1421="", J1421=""), "[Aviso] División no capturada ()", IF(ISNA(MATCH(J1421, Criterios!$A$123:$A$126, 0)), "División no válida", "")), IF(OR(K1421="", K1421=""), "[Aviso] Categoría no capturada ()", IF(ISNA(MATCH(K1421, Criterios!$A$81:$A$120, 0)), "Categoría no válida", IF(AND(J1421&lt;&gt;"", J1421&lt;&gt;"", J1421&lt;&gt;VLOOKUP(K1421, Criterios!$A$81:$B$120, 2, FALSE)), "División no coincide con Categoría", ""))), IF(OR(L1421="", L1421=""), "[Aviso] Género no capturado ()", IF(ISNA(MATCH(L1421, Criterios!$B$123:$B$127, 0)), "Género no válido", "")), IF(OR(N1421="", N1421=""), "[Aviso] Temporada no capturada ()", IF(ISNA(MATCH(N1421, Criterios!$C$123:$C$128, 0)), "Temporada no válida", "")), IF(OR(O1421="", O1421=""), "[Aviso] Ciclo de vida no capturado ()", IF(ISNA(MATCH(O1421, Criterios!$D$123:$D$124, 0)), "Ciclo de vida no válido", ""))))</f>
        <v/>
      </c>
      <c r="AC1421" s="56" t="n"/>
      <c r="AD1421" s="51" t="n">
        <v>1</v>
      </c>
      <c r="AE1421" s="156" t="inlineStr">
        <is>
          <t>B25 STETSON.MX (1)</t>
        </is>
      </c>
      <c r="AF1421" s="51" t="n">
        <v>1</v>
      </c>
      <c r="AG1421" s="156" t="inlineStr">
        <is>
          <t>Catálogo existente</t>
        </is>
      </c>
      <c r="AH1421" s="156" t="inlineStr">
        <is>
          <t>Revisión 29/09/2026: Cruce de catálogo y criterios sin pendientes detectados | 01/10/2026: complementado desde Shopify Stetson México (match por código de barras): WB Fit, WB Silueta</t>
        </is>
      </c>
      <c r="AI1421" s="156" t="inlineStr">
        <is>
          <t>No</t>
        </is>
      </c>
      <c r="AJ1421" s="156" t="n"/>
      <c r="AK1421" s="155" t="inlineStr">
        <is>
          <t>Criterios: I [Q] | Shopify Stetson: producto 14785864204651 / variante 53350613418347</t>
        </is>
      </c>
      <c r="AL1421" s="58" t="n">
        <v>2598.75</v>
      </c>
      <c r="AM1421" s="58" t="n">
        <v>6724.137931</v>
      </c>
      <c r="AN1421" s="155" t="inlineStr">
        <is>
          <t>Shopify Stetson México</t>
        </is>
      </c>
      <c r="AO1421" s="59" t="n">
        <v>0</v>
      </c>
      <c r="AP1421" s="59" t="n"/>
      <c r="AQ1421" s="59" t="n"/>
      <c r="AR1421" s="155" t="n"/>
    </row>
    <row r="1422">
      <c r="A1422" s="50" t="inlineStr">
        <is>
          <t>795177059288</t>
        </is>
      </c>
      <c r="B1422" s="51" t="inlineStr">
        <is>
          <t>110036</t>
        </is>
      </c>
      <c r="C1422" s="156" t="inlineStr">
        <is>
          <t>Multimarca</t>
        </is>
      </c>
      <c r="D1422" s="156" t="inlineStr">
        <is>
          <t>SFRNCH-014035</t>
        </is>
      </c>
      <c r="E1422" s="156" t="inlineStr">
        <is>
          <t>SFRNCH-01403570</t>
        </is>
      </c>
      <c r="F1422" s="156" t="inlineStr">
        <is>
          <t>7</t>
        </is>
      </c>
      <c r="G1422" s="156" t="inlineStr">
        <is>
          <t>7</t>
        </is>
      </c>
      <c r="H1422" s="156" t="inlineStr">
        <is>
          <t>Stetson</t>
        </is>
      </c>
      <c r="I1422" s="156" t="inlineStr">
        <is>
          <t>Texana Stetson 6X Rancher Plomo</t>
        </is>
      </c>
      <c r="J1422" s="156" t="inlineStr">
        <is>
          <t>Accesorios</t>
        </is>
      </c>
      <c r="K1422" s="156" t="inlineStr">
        <is>
          <t>Sombreros</t>
        </is>
      </c>
      <c r="L1422" s="156" t="inlineStr">
        <is>
          <t>Unisex</t>
        </is>
      </c>
      <c r="M1422" s="156" t="inlineStr">
        <is>
          <t>Stetson</t>
        </is>
      </c>
      <c r="N1422" s="156" t="inlineStr">
        <is>
          <t>SS26</t>
        </is>
      </c>
      <c r="O1422" s="156" t="inlineStr">
        <is>
          <t>Seasonal</t>
        </is>
      </c>
      <c r="P1422" s="156" t="inlineStr">
        <is>
          <t>Gris</t>
        </is>
      </c>
      <c r="Q1422" s="156" t="n"/>
      <c r="R1422" s="156" t="inlineStr">
        <is>
          <t>Copa Rancher</t>
        </is>
      </c>
      <c r="S1422" s="156" t="inlineStr">
        <is>
          <t>100% Fieltro de lana</t>
        </is>
      </c>
      <c r="T1422" s="156" t="inlineStr">
        <is>
          <t>Texana Stetson 6X Rancher Plomo.
 Composición: 100% Fieltro de lana.
 Color: Plomo.
 Calidad: 6X.</t>
        </is>
      </c>
      <c r="U1422" s="156" t="inlineStr">
        <is>
          <t>Estados Unidos</t>
        </is>
      </c>
      <c r="V1422" s="156" t="inlineStr">
        <is>
          <t>PZS</t>
        </is>
      </c>
      <c r="W1422" s="51" t="inlineStr">
        <is>
          <t>53102503</t>
        </is>
      </c>
      <c r="X1422" s="156" t="inlineStr">
        <is>
          <t>https://cdn.shopify.com/s/files/1/0357/2432/9005/files/SFRNCH-0140-35_Bullet_1.jpg?v=1783501892</t>
        </is>
      </c>
      <c r="Y1422" s="54" t="n">
        <v>2598.75</v>
      </c>
      <c r="Z1422" s="54" t="n">
        <v>6724.137931</v>
      </c>
      <c r="AA1422" s="55">
        <f>IF(AND(A1422="", B1422="", E1422=""), "", IF(AB1422="", "Válido", IF((LEN(AB1422)-LEN(SUBSTITUTE(AB1422,"; ","")))/2+1&gt;(LEN(AB1422)-LEN(SUBSTITUTE(AB1422,"[Aviso]","")))/7, "Con Incidencias", "Válido")))</f>
        <v/>
      </c>
      <c r="AB1422" s="56">
        <f>IF(AND(A1422="", B1422="", E1422=""), "", TEXTJOIN("; ", TRUE, IF(OR(TRIM(A1422&amp;"")="", ISNUMBER(SEARCH("FALTA", A1422))), "UPC faltante/inválido", ""), IF(AND(A1422&lt;&gt;"", IFERROR(_xlfn.XMATCH(A1422,$A$2:$A$2509,0,1)&lt;&gt;_xlfn.XMATCH(A1422,$A$2:$A$2509,0,-1),FALSE)), "Código de barras duplicado", ""), IF(AND(E1422&lt;&gt;"", COUNTIF($E$2:$E$2509, E1422)&gt;1), "SKU duplicado", ""), IF(OR(J1422="", J1422=""), "[Aviso] División no capturada ()", IF(ISNA(MATCH(J1422, Criterios!$A$123:$A$126, 0)), "División no válida", "")), IF(OR(K1422="", K1422=""), "[Aviso] Categoría no capturada ()", IF(ISNA(MATCH(K1422, Criterios!$A$81:$A$120, 0)), "Categoría no válida", IF(AND(J1422&lt;&gt;"", J1422&lt;&gt;"", J1422&lt;&gt;VLOOKUP(K1422, Criterios!$A$81:$B$120, 2, FALSE)), "División no coincide con Categoría", ""))), IF(OR(L1422="", L1422=""), "[Aviso] Género no capturado ()", IF(ISNA(MATCH(L1422, Criterios!$B$123:$B$127, 0)), "Género no válido", "")), IF(OR(N1422="", N1422=""), "[Aviso] Temporada no capturada ()", IF(ISNA(MATCH(N1422, Criterios!$C$123:$C$128, 0)), "Temporada no válida", "")), IF(OR(O1422="", O1422=""), "[Aviso] Ciclo de vida no capturado ()", IF(ISNA(MATCH(O1422, Criterios!$D$123:$D$124, 0)), "Ciclo de vida no válido", ""))))</f>
        <v/>
      </c>
      <c r="AC1422" s="56" t="n"/>
      <c r="AD1422" s="51" t="n">
        <v>1</v>
      </c>
      <c r="AE1422" s="156" t="inlineStr">
        <is>
          <t>STETSON AMERICAS (2)</t>
        </is>
      </c>
      <c r="AF1422" s="51" t="n">
        <v>2</v>
      </c>
      <c r="AG1422" s="156" t="inlineStr">
        <is>
          <t>Catálogo existente</t>
        </is>
      </c>
      <c r="AH1422"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2" s="156" t="inlineStr">
        <is>
          <t>Sí</t>
        </is>
      </c>
      <c r="AJ1422" s="156" t="inlineStr">
        <is>
          <t>PUNTO DE VENTA (-1)</t>
        </is>
      </c>
      <c r="AK1422" s="155" t="inlineStr">
        <is>
          <t>Criterios: I [Q] | Shopify Stetson: producto 15056329048427 / variante 53357912555883 | Odoo: producto 14281 / plantilla 17858 | Investigación en línea 06/10/2026: https://www.stetson.com/products/rancher-6x-cowboy-hat-bullet</t>
        </is>
      </c>
      <c r="AL1422" s="58" t="n">
        <v>2598.75</v>
      </c>
      <c r="AM1422" s="58" t="n">
        <v>6724.137931</v>
      </c>
      <c r="AN1422" s="155" t="inlineStr">
        <is>
          <t>Shopify Stetson México | Odoo Universal Unique Brands</t>
        </is>
      </c>
      <c r="AO1422" s="59" t="n">
        <v>2</v>
      </c>
      <c r="AP1422" s="59" t="n"/>
      <c r="AQ1422" s="59" t="n">
        <v>2</v>
      </c>
      <c r="AR1422" s="155" t="inlineStr">
        <is>
          <t>Shopify Stetson México › Stetson Americas: 2 | Odoo Universal Unique Brands › Bodega 25 › Bodega 25/General: 1 | Odoo Universal Unique Brands › Stetson Americas › Stetson Americas/Stock: 1</t>
        </is>
      </c>
    </row>
    <row r="1423">
      <c r="A1423" s="50" t="inlineStr">
        <is>
          <t>795177059295</t>
        </is>
      </c>
      <c r="B1423" s="51" t="inlineStr">
        <is>
          <t>110037</t>
        </is>
      </c>
      <c r="C1423" s="156" t="inlineStr">
        <is>
          <t>Multimarca</t>
        </is>
      </c>
      <c r="D1423" s="156" t="inlineStr">
        <is>
          <t>SFRNCH-014035</t>
        </is>
      </c>
      <c r="E1423" s="156" t="inlineStr">
        <is>
          <t>SFRNCH-01403571</t>
        </is>
      </c>
      <c r="F1423" s="156" t="inlineStr">
        <is>
          <t>7 1/8</t>
        </is>
      </c>
      <c r="G1423" s="156" t="inlineStr">
        <is>
          <t>7 1/8</t>
        </is>
      </c>
      <c r="H1423" s="156" t="inlineStr">
        <is>
          <t>Stetson</t>
        </is>
      </c>
      <c r="I1423" s="156" t="inlineStr">
        <is>
          <t>Texana Stetson 6X Rancher Plomo</t>
        </is>
      </c>
      <c r="J1423" s="156" t="inlineStr">
        <is>
          <t>Accesorios</t>
        </is>
      </c>
      <c r="K1423" s="156" t="inlineStr">
        <is>
          <t>Sombreros</t>
        </is>
      </c>
      <c r="L1423" s="156" t="inlineStr">
        <is>
          <t>Unisex</t>
        </is>
      </c>
      <c r="M1423" s="156" t="inlineStr">
        <is>
          <t>Stetson</t>
        </is>
      </c>
      <c r="N1423" s="156" t="inlineStr">
        <is>
          <t>SS26</t>
        </is>
      </c>
      <c r="O1423" s="156" t="inlineStr">
        <is>
          <t>Seasonal</t>
        </is>
      </c>
      <c r="P1423" s="156" t="inlineStr">
        <is>
          <t>Gris</t>
        </is>
      </c>
      <c r="Q1423" s="156" t="n"/>
      <c r="R1423" s="156" t="inlineStr">
        <is>
          <t>Copa Rancher</t>
        </is>
      </c>
      <c r="S1423" s="156" t="inlineStr">
        <is>
          <t>100% Fieltro de lana</t>
        </is>
      </c>
      <c r="T1423" s="156" t="inlineStr">
        <is>
          <t>Texana Stetson 6X Rancher Plomo.
 Composición: 100% Fieltro de lana.
 Color: Plomo.
 Calidad: 6X.</t>
        </is>
      </c>
      <c r="U1423" s="156" t="inlineStr">
        <is>
          <t>Estados Unidos</t>
        </is>
      </c>
      <c r="V1423" s="156" t="inlineStr">
        <is>
          <t>PZS</t>
        </is>
      </c>
      <c r="W1423" s="51" t="inlineStr">
        <is>
          <t>53102503</t>
        </is>
      </c>
      <c r="X1423" s="156" t="inlineStr">
        <is>
          <t>https://cdn.shopify.com/s/files/1/0357/2432/9005/files/SFRNCH-0140-35_Bullet_1.jpg?v=1783501892</t>
        </is>
      </c>
      <c r="Y1423" s="54" t="n">
        <v>2598.75</v>
      </c>
      <c r="Z1423" s="54" t="n">
        <v>6724.137931</v>
      </c>
      <c r="AA1423" s="55">
        <f>IF(AND(A1423="", B1423="", E1423=""), "", IF(AB1423="", "Válido", IF((LEN(AB1423)-LEN(SUBSTITUTE(AB1423,"; ","")))/2+1&gt;(LEN(AB1423)-LEN(SUBSTITUTE(AB1423,"[Aviso]","")))/7, "Con Incidencias", "Válido")))</f>
        <v/>
      </c>
      <c r="AB1423" s="56">
        <f>IF(AND(A1423="", B1423="", E1423=""), "", TEXTJOIN("; ", TRUE, IF(OR(TRIM(A1423&amp;"")="", ISNUMBER(SEARCH("FALTA", A1423))), "UPC faltante/inválido", ""), IF(AND(A1423&lt;&gt;"", IFERROR(_xlfn.XMATCH(A1423,$A$2:$A$2509,0,1)&lt;&gt;_xlfn.XMATCH(A1423,$A$2:$A$2509,0,-1),FALSE)), "Código de barras duplicado", ""), IF(AND(E1423&lt;&gt;"", COUNTIF($E$2:$E$2509, E1423)&gt;1), "SKU duplicado", ""), IF(OR(J1423="", J1423=""), "[Aviso] División no capturada ()", IF(ISNA(MATCH(J1423, Criterios!$A$123:$A$126, 0)), "División no válida", "")), IF(OR(K1423="", K1423=""), "[Aviso] Categoría no capturada ()", IF(ISNA(MATCH(K1423, Criterios!$A$81:$A$120, 0)), "Categoría no válida", IF(AND(J1423&lt;&gt;"", J1423&lt;&gt;"", J1423&lt;&gt;VLOOKUP(K1423, Criterios!$A$81:$B$120, 2, FALSE)), "División no coincide con Categoría", ""))), IF(OR(L1423="", L1423=""), "[Aviso] Género no capturado ()", IF(ISNA(MATCH(L1423, Criterios!$B$123:$B$127, 0)), "Género no válido", "")), IF(OR(N1423="", N1423=""), "[Aviso] Temporada no capturada ()", IF(ISNA(MATCH(N1423, Criterios!$C$123:$C$128, 0)), "Temporada no válida", "")), IF(OR(O1423="", O1423=""), "[Aviso] Ciclo de vida no capturado ()", IF(ISNA(MATCH(O1423, Criterios!$D$123:$D$124, 0)), "Ciclo de vida no válido", ""))))</f>
        <v/>
      </c>
      <c r="AC1423" s="56" t="n"/>
      <c r="AD1423" s="51" t="n">
        <v>0</v>
      </c>
      <c r="AE1423" s="156" t="inlineStr">
        <is>
          <t>STETSON AMERICAS (1)</t>
        </is>
      </c>
      <c r="AF1423" s="51" t="n">
        <v>1</v>
      </c>
      <c r="AG1423" s="156" t="inlineStr">
        <is>
          <t>Catálogo existente</t>
        </is>
      </c>
      <c r="AH1423"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3" s="156" t="inlineStr">
        <is>
          <t>Sí</t>
        </is>
      </c>
      <c r="AJ1423" s="156" t="inlineStr">
        <is>
          <t>PUNTO DE VENTA (-1)</t>
        </is>
      </c>
      <c r="AK1423" s="155" t="inlineStr">
        <is>
          <t>Criterios: I [Q] | Shopify Stetson: producto 15056329048427 / variante 53357912588651 | Odoo: producto 14282 / plantilla 17859 | Investigación en línea 06/10/2026: https://www.stetson.com/products/rancher-6x-cowboy-hat-bullet</t>
        </is>
      </c>
      <c r="AL1423" s="58" t="n">
        <v>2598.75</v>
      </c>
      <c r="AM1423" s="58" t="n">
        <v>6724.137931</v>
      </c>
      <c r="AN1423" s="155" t="inlineStr">
        <is>
          <t>Shopify Stetson México | Odoo Universal Unique Brands</t>
        </is>
      </c>
      <c r="AO1423" s="59" t="n">
        <v>1</v>
      </c>
      <c r="AP1423" s="59" t="n"/>
      <c r="AQ1423" s="59" t="n">
        <v>2</v>
      </c>
      <c r="AR1423" s="155" t="inlineStr">
        <is>
          <t>Shopify Stetson México › Stetson Americas: 1 | Odoo Universal Unique Brands › Bodega 25 › Bodega 25/General: 1 | Odoo Universal Unique Brands › Stetson Americas › Stetson Americas/Stock: 1</t>
        </is>
      </c>
    </row>
    <row r="1424">
      <c r="A1424" s="50" t="inlineStr">
        <is>
          <t>795177059301</t>
        </is>
      </c>
      <c r="B1424" s="51" t="inlineStr">
        <is>
          <t>110038</t>
        </is>
      </c>
      <c r="C1424" s="156" t="inlineStr">
        <is>
          <t>Multimarca</t>
        </is>
      </c>
      <c r="D1424" s="156" t="inlineStr">
        <is>
          <t>SFRNCH-014035</t>
        </is>
      </c>
      <c r="E1424" s="156" t="inlineStr">
        <is>
          <t>SFRNCH-01403572</t>
        </is>
      </c>
      <c r="F1424" s="156" t="inlineStr">
        <is>
          <t>7 1/4</t>
        </is>
      </c>
      <c r="G1424" s="156" t="inlineStr">
        <is>
          <t>7 1/4</t>
        </is>
      </c>
      <c r="H1424" s="156" t="inlineStr">
        <is>
          <t>Stetson</t>
        </is>
      </c>
      <c r="I1424" s="156" t="inlineStr">
        <is>
          <t>Texana Stetson 6X Rancher Plomo</t>
        </is>
      </c>
      <c r="J1424" s="156" t="inlineStr">
        <is>
          <t>Accesorios</t>
        </is>
      </c>
      <c r="K1424" s="156" t="inlineStr">
        <is>
          <t>Sombreros</t>
        </is>
      </c>
      <c r="L1424" s="156" t="inlineStr">
        <is>
          <t>Unisex</t>
        </is>
      </c>
      <c r="M1424" s="156" t="inlineStr">
        <is>
          <t>Stetson</t>
        </is>
      </c>
      <c r="N1424" s="156" t="inlineStr">
        <is>
          <t>SS26</t>
        </is>
      </c>
      <c r="O1424" s="156" t="inlineStr">
        <is>
          <t>Seasonal</t>
        </is>
      </c>
      <c r="P1424" s="156" t="inlineStr">
        <is>
          <t>Gris</t>
        </is>
      </c>
      <c r="Q1424" s="156" t="n"/>
      <c r="R1424" s="156" t="inlineStr">
        <is>
          <t>Copa Rancher</t>
        </is>
      </c>
      <c r="S1424" s="156" t="inlineStr">
        <is>
          <t>100% Fieltro de lana</t>
        </is>
      </c>
      <c r="T1424" s="156" t="inlineStr">
        <is>
          <t>Texana Stetson 6X Rancher Plomo.
 Composición: 100% Fieltro de lana.
 Color: Plomo.
 Calidad: 6X.</t>
        </is>
      </c>
      <c r="U1424" s="156" t="inlineStr">
        <is>
          <t>Estados Unidos</t>
        </is>
      </c>
      <c r="V1424" s="156" t="inlineStr">
        <is>
          <t>PZS</t>
        </is>
      </c>
      <c r="W1424" s="51" t="inlineStr">
        <is>
          <t>53102503</t>
        </is>
      </c>
      <c r="X1424" s="156" t="inlineStr">
        <is>
          <t>https://cdn.shopify.com/s/files/1/0357/2432/9005/files/SFRNCH-0140-35_Bullet_1.jpg?v=1783501892</t>
        </is>
      </c>
      <c r="Y1424" s="54" t="n">
        <v>2598.75</v>
      </c>
      <c r="Z1424" s="54" t="n">
        <v>6724.137931</v>
      </c>
      <c r="AA1424" s="55">
        <f>IF(AND(A1424="", B1424="", E1424=""), "", IF(AB1424="", "Válido", IF((LEN(AB1424)-LEN(SUBSTITUTE(AB1424,"; ","")))/2+1&gt;(LEN(AB1424)-LEN(SUBSTITUTE(AB1424,"[Aviso]","")))/7, "Con Incidencias", "Válido")))</f>
        <v/>
      </c>
      <c r="AB1424" s="56">
        <f>IF(AND(A1424="", B1424="", E1424=""), "", TEXTJOIN("; ", TRUE, IF(OR(TRIM(A1424&amp;"")="", ISNUMBER(SEARCH("FALTA", A1424))), "UPC faltante/inválido", ""), IF(AND(A1424&lt;&gt;"", IFERROR(_xlfn.XMATCH(A1424,$A$2:$A$2509,0,1)&lt;&gt;_xlfn.XMATCH(A1424,$A$2:$A$2509,0,-1),FALSE)), "Código de barras duplicado", ""), IF(AND(E1424&lt;&gt;"", COUNTIF($E$2:$E$2509, E1424)&gt;1), "SKU duplicado", ""), IF(OR(J1424="", J1424=""), "[Aviso] División no capturada ()", IF(ISNA(MATCH(J1424, Criterios!$A$123:$A$126, 0)), "División no válida", "")), IF(OR(K1424="", K1424=""), "[Aviso] Categoría no capturada ()", IF(ISNA(MATCH(K1424, Criterios!$A$81:$A$120, 0)), "Categoría no válida", IF(AND(J1424&lt;&gt;"", J1424&lt;&gt;"", J1424&lt;&gt;VLOOKUP(K1424, Criterios!$A$81:$B$120, 2, FALSE)), "División no coincide con Categoría", ""))), IF(OR(L1424="", L1424=""), "[Aviso] Género no capturado ()", IF(ISNA(MATCH(L1424, Criterios!$B$123:$B$127, 0)), "Género no válido", "")), IF(OR(N1424="", N1424=""), "[Aviso] Temporada no capturada ()", IF(ISNA(MATCH(N1424, Criterios!$C$123:$C$128, 0)), "Temporada no válida", "")), IF(OR(O1424="", O1424=""), "[Aviso] Ciclo de vida no capturado ()", IF(ISNA(MATCH(O1424, Criterios!$D$123:$D$124, 0)), "Ciclo de vida no válido", ""))))</f>
        <v/>
      </c>
      <c r="AC1424" s="56" t="n"/>
      <c r="AD1424" s="51" t="n">
        <v>-1</v>
      </c>
      <c r="AE1424" s="156" t="inlineStr">
        <is>
          <t>B25 STETSON.MX (1)</t>
        </is>
      </c>
      <c r="AF1424" s="51" t="n">
        <v>1</v>
      </c>
      <c r="AG1424" s="156" t="inlineStr">
        <is>
          <t>Catálogo existente</t>
        </is>
      </c>
      <c r="AH1424" s="156" t="inlineStr">
        <is>
          <t>Stock negativo en sistema: revisar en conteo | 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4" s="156" t="inlineStr">
        <is>
          <t>Sí</t>
        </is>
      </c>
      <c r="AJ1424" s="156" t="inlineStr">
        <is>
          <t>PUNTO DE VENTA (-1); STETSON AMERICAS (-1)</t>
        </is>
      </c>
      <c r="AK1424" s="155" t="inlineStr">
        <is>
          <t>Criterios: I [Q] | Shopify Stetson: producto 15056329048427 / variante 53357912621419 | Odoo: producto 14283 / plantilla 17860 | Investigación en línea 06/10/2026: https://www.stetson.com/products/rancher-6x-cowboy-hat-bullet</t>
        </is>
      </c>
      <c r="AL1424" s="58" t="n">
        <v>2598.75</v>
      </c>
      <c r="AM1424" s="58" t="n">
        <v>6724.137931</v>
      </c>
      <c r="AN1424" s="155" t="inlineStr">
        <is>
          <t>Shopify Stetson México | Odoo Universal Unique Brands</t>
        </is>
      </c>
      <c r="AO1424" s="59" t="n">
        <v>1</v>
      </c>
      <c r="AP1424" s="59" t="n"/>
      <c r="AQ1424" s="59" t="n">
        <v>2</v>
      </c>
      <c r="AR1424" s="155" t="inlineStr">
        <is>
          <t>Shopify Stetson México › Stetson México: 1 | Odoo Universal Unique Brands › Bodega 25 › Bodega 25/General: 1 | Odoo Universal Unique Brands › Stetson Americas › Stetson Americas/Stock: 1</t>
        </is>
      </c>
    </row>
    <row r="1425">
      <c r="A1425" s="50" t="inlineStr">
        <is>
          <t>795177059318</t>
        </is>
      </c>
      <c r="B1425" s="51" t="inlineStr">
        <is>
          <t>110039</t>
        </is>
      </c>
      <c r="C1425" s="156" t="inlineStr">
        <is>
          <t>Multimarca</t>
        </is>
      </c>
      <c r="D1425" s="156" t="inlineStr">
        <is>
          <t>SFRNCH-014035</t>
        </is>
      </c>
      <c r="E1425" s="156" t="inlineStr">
        <is>
          <t>SFRNCH-01403573</t>
        </is>
      </c>
      <c r="F1425" s="156" t="inlineStr">
        <is>
          <t>7 3/8</t>
        </is>
      </c>
      <c r="G1425" s="156" t="inlineStr">
        <is>
          <t>7 3/8</t>
        </is>
      </c>
      <c r="H1425" s="156" t="inlineStr">
        <is>
          <t>Stetson</t>
        </is>
      </c>
      <c r="I1425" s="156" t="inlineStr">
        <is>
          <t>Texana Stetson 6X Rancher Plomo</t>
        </is>
      </c>
      <c r="J1425" s="156" t="inlineStr">
        <is>
          <t>Accesorios</t>
        </is>
      </c>
      <c r="K1425" s="156" t="inlineStr">
        <is>
          <t>Sombreros</t>
        </is>
      </c>
      <c r="L1425" s="156" t="inlineStr">
        <is>
          <t>Unisex</t>
        </is>
      </c>
      <c r="M1425" s="156" t="inlineStr">
        <is>
          <t>Stetson</t>
        </is>
      </c>
      <c r="N1425" s="156" t="inlineStr">
        <is>
          <t>SS26</t>
        </is>
      </c>
      <c r="O1425" s="156" t="inlineStr">
        <is>
          <t>Seasonal</t>
        </is>
      </c>
      <c r="P1425" s="156" t="inlineStr">
        <is>
          <t>Gris</t>
        </is>
      </c>
      <c r="Q1425" s="156" t="n"/>
      <c r="R1425" s="156" t="inlineStr">
        <is>
          <t>Copa Rancher</t>
        </is>
      </c>
      <c r="S1425" s="156" t="inlineStr">
        <is>
          <t>100% Fieltro de lana</t>
        </is>
      </c>
      <c r="T1425" s="156" t="inlineStr">
        <is>
          <t>Texana Stetson 6X Rancher Plomo.
 Composición: 100% Fieltro de lana.
 Color: Plomo.
 Calidad: 6X.</t>
        </is>
      </c>
      <c r="U1425" s="156" t="inlineStr">
        <is>
          <t>Estados Unidos</t>
        </is>
      </c>
      <c r="V1425" s="156" t="inlineStr">
        <is>
          <t>PZS</t>
        </is>
      </c>
      <c r="W1425" s="51" t="inlineStr">
        <is>
          <t>53102503</t>
        </is>
      </c>
      <c r="X1425" s="156" t="inlineStr">
        <is>
          <t>https://cdn.shopify.com/s/files/1/0357/2432/9005/files/SFRNCH-0140-35_Bullet_1.jpg?v=1783501892</t>
        </is>
      </c>
      <c r="Y1425" s="54" t="n">
        <v>2598.75</v>
      </c>
      <c r="Z1425" s="54" t="n">
        <v>6724.137931</v>
      </c>
      <c r="AA1425" s="55">
        <f>IF(AND(A1425="", B1425="", E1425=""), "", IF(AB1425="", "Válido", IF((LEN(AB1425)-LEN(SUBSTITUTE(AB1425,"; ","")))/2+1&gt;(LEN(AB1425)-LEN(SUBSTITUTE(AB1425,"[Aviso]","")))/7, "Con Incidencias", "Válido")))</f>
        <v/>
      </c>
      <c r="AB1425" s="56">
        <f>IF(AND(A1425="", B1425="", E1425=""), "", TEXTJOIN("; ", TRUE, IF(OR(TRIM(A1425&amp;"")="", ISNUMBER(SEARCH("FALTA", A1425))), "UPC faltante/inválido", ""), IF(AND(A1425&lt;&gt;"", IFERROR(_xlfn.XMATCH(A1425,$A$2:$A$2509,0,1)&lt;&gt;_xlfn.XMATCH(A1425,$A$2:$A$2509,0,-1),FALSE)), "Código de barras duplicado", ""), IF(AND(E1425&lt;&gt;"", COUNTIF($E$2:$E$2509, E1425)&gt;1), "SKU duplicado", ""), IF(OR(J1425="", J1425=""), "[Aviso] División no capturada ()", IF(ISNA(MATCH(J1425, Criterios!$A$123:$A$126, 0)), "División no válida", "")), IF(OR(K1425="", K1425=""), "[Aviso] Categoría no capturada ()", IF(ISNA(MATCH(K1425, Criterios!$A$81:$A$120, 0)), "Categoría no válida", IF(AND(J1425&lt;&gt;"", J1425&lt;&gt;"", J1425&lt;&gt;VLOOKUP(K1425, Criterios!$A$81:$B$120, 2, FALSE)), "División no coincide con Categoría", ""))), IF(OR(L1425="", L1425=""), "[Aviso] Género no capturado ()", IF(ISNA(MATCH(L1425, Criterios!$B$123:$B$127, 0)), "Género no válido", "")), IF(OR(N1425="", N1425=""), "[Aviso] Temporada no capturada ()", IF(ISNA(MATCH(N1425, Criterios!$C$123:$C$128, 0)), "Temporada no válida", "")), IF(OR(O1425="", O1425=""), "[Aviso] Ciclo de vida no capturado ()", IF(ISNA(MATCH(O1425, Criterios!$D$123:$D$124, 0)), "Ciclo de vida no válido", ""))))</f>
        <v/>
      </c>
      <c r="AC1425" s="56" t="n"/>
      <c r="AD1425" s="51" t="n">
        <v>0</v>
      </c>
      <c r="AE1425" s="156" t="inlineStr">
        <is>
          <t>STETSON AMERICAS (1)</t>
        </is>
      </c>
      <c r="AF1425" s="51" t="n">
        <v>1</v>
      </c>
      <c r="AG1425" s="156" t="inlineStr">
        <is>
          <t>Catálogo existente</t>
        </is>
      </c>
      <c r="AH1425"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5" s="156" t="inlineStr">
        <is>
          <t>Sí</t>
        </is>
      </c>
      <c r="AJ1425" s="156" t="inlineStr">
        <is>
          <t>PUNTO DE VENTA (-1)</t>
        </is>
      </c>
      <c r="AK1425" s="155" t="inlineStr">
        <is>
          <t>Criterios: I [Q] | Shopify Stetson: producto 15056329048427 / variante 53357912654187 | Odoo: producto 14284 / plantilla 17861 | Investigación en línea 06/10/2026: https://www.stetson.com/products/rancher-6x-cowboy-hat-bullet</t>
        </is>
      </c>
      <c r="AL1425" s="58" t="n">
        <v>2598.75</v>
      </c>
      <c r="AM1425" s="58" t="n">
        <v>6724.137931</v>
      </c>
      <c r="AN1425" s="155" t="inlineStr">
        <is>
          <t>Shopify Stetson México | Odoo Universal Unique Brands</t>
        </is>
      </c>
      <c r="AO1425" s="59" t="n">
        <v>1</v>
      </c>
      <c r="AP1425" s="59" t="n"/>
      <c r="AQ1425" s="59" t="n">
        <v>2</v>
      </c>
      <c r="AR1425" s="155" t="inlineStr">
        <is>
          <t>Shopify Stetson México › Stetson Americas: 1 | Odoo Universal Unique Brands › Bodega 25 › Bodega 25/General: 1 | Odoo Universal Unique Brands › Stetson Americas › Stetson Americas/Stock: 1</t>
        </is>
      </c>
    </row>
    <row r="1426">
      <c r="A1426" s="50" t="inlineStr">
        <is>
          <t>795177059912</t>
        </is>
      </c>
      <c r="B1426" s="51" t="inlineStr">
        <is>
          <t>110040</t>
        </is>
      </c>
      <c r="C1426" s="156" t="inlineStr">
        <is>
          <t>Multimarca</t>
        </is>
      </c>
      <c r="D1426" s="156" t="inlineStr">
        <is>
          <t>SFRNCH-014061</t>
        </is>
      </c>
      <c r="E1426" s="156" t="inlineStr">
        <is>
          <t>SFRNCH-01406167</t>
        </is>
      </c>
      <c r="F1426" s="156" t="inlineStr">
        <is>
          <t>6 7/8</t>
        </is>
      </c>
      <c r="G1426" s="156" t="inlineStr">
        <is>
          <t>6 7/8</t>
        </is>
      </c>
      <c r="H1426" s="156" t="inlineStr">
        <is>
          <t>Stetson</t>
        </is>
      </c>
      <c r="I1426" s="156" t="inlineStr">
        <is>
          <t>Sombrero Stetson Rancher 6X Re</t>
        </is>
      </c>
      <c r="J1426" s="156" t="inlineStr">
        <is>
          <t>Accesorios</t>
        </is>
      </c>
      <c r="K1426" s="156" t="inlineStr">
        <is>
          <t>Sombreros</t>
        </is>
      </c>
      <c r="L1426" s="156" t="inlineStr">
        <is>
          <t>Unisex</t>
        </is>
      </c>
      <c r="M1426" s="156" t="inlineStr">
        <is>
          <t>Stetson</t>
        </is>
      </c>
      <c r="N1426" s="156" t="inlineStr">
        <is>
          <t>SS26</t>
        </is>
      </c>
      <c r="O1426" s="156" t="inlineStr">
        <is>
          <t>Seasonal</t>
        </is>
      </c>
      <c r="P1426" s="156" t="inlineStr">
        <is>
          <t>Gris</t>
        </is>
      </c>
      <c r="Q1426" s="156" t="n"/>
      <c r="R1426" s="156" t="inlineStr">
        <is>
          <t>Copa Rancher</t>
        </is>
      </c>
      <c r="S1426" s="156" t="inlineStr">
        <is>
          <t>100% Paja</t>
        </is>
      </c>
      <c r="T142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6" s="156" t="inlineStr">
        <is>
          <t>Estados Unidos</t>
        </is>
      </c>
      <c r="V1426" s="156" t="inlineStr">
        <is>
          <t>PZS</t>
        </is>
      </c>
      <c r="W1426" s="51" t="inlineStr">
        <is>
          <t>53102503</t>
        </is>
      </c>
      <c r="X1426" s="156" t="inlineStr">
        <is>
          <t>https://cdn.shopify.com/s/files/1/0888/3250/8267/files/SFRNCH-014088-01_757d8f82-1e2c-4b1a-9cd8-2287d2716e82.jpg?v=1759767890</t>
        </is>
      </c>
      <c r="Y1426" s="54" t="n">
        <v>2598.75</v>
      </c>
      <c r="Z1426" s="54" t="n">
        <v>6724.137931</v>
      </c>
      <c r="AA1426" s="55">
        <f>IF(AND(A1426="", B1426="", E1426=""), "", IF(AB1426="", "Válido", IF((LEN(AB1426)-LEN(SUBSTITUTE(AB1426,"; ","")))/2+1&gt;(LEN(AB1426)-LEN(SUBSTITUTE(AB1426,"[Aviso]","")))/7, "Con Incidencias", "Válido")))</f>
        <v/>
      </c>
      <c r="AB1426" s="56">
        <f>IF(AND(A1426="", B1426="", E1426=""), "", TEXTJOIN("; ", TRUE, IF(OR(TRIM(A1426&amp;"")="", ISNUMBER(SEARCH("FALTA", A1426))), "UPC faltante/inválido", ""), IF(AND(A1426&lt;&gt;"", IFERROR(_xlfn.XMATCH(A1426,$A$2:$A$2509,0,1)&lt;&gt;_xlfn.XMATCH(A1426,$A$2:$A$2509,0,-1),FALSE)), "Código de barras duplicado", ""), IF(AND(E1426&lt;&gt;"", COUNTIF($E$2:$E$2509, E1426)&gt;1), "SKU duplicado", ""), IF(OR(J1426="", J1426=""), "[Aviso] División no capturada ()", IF(ISNA(MATCH(J1426, Criterios!$A$123:$A$126, 0)), "División no válida", "")), IF(OR(K1426="", K1426=""), "[Aviso] Categoría no capturada ()", IF(ISNA(MATCH(K1426, Criterios!$A$81:$A$120, 0)), "Categoría no válida", IF(AND(J1426&lt;&gt;"", J1426&lt;&gt;"", J1426&lt;&gt;VLOOKUP(K1426, Criterios!$A$81:$B$120, 2, FALSE)), "División no coincide con Categoría", ""))), IF(OR(L1426="", L1426=""), "[Aviso] Género no capturado ()", IF(ISNA(MATCH(L1426, Criterios!$B$123:$B$127, 0)), "Género no válido", "")), IF(OR(N1426="", N1426=""), "[Aviso] Temporada no capturada ()", IF(ISNA(MATCH(N1426, Criterios!$C$123:$C$128, 0)), "Temporada no válida", "")), IF(OR(O1426="", O1426=""), "[Aviso] Ciclo de vida no capturado ()", IF(ISNA(MATCH(O1426, Criterios!$D$123:$D$124, 0)), "Ciclo de vida no válido", ""))))</f>
        <v/>
      </c>
      <c r="AC1426" s="56" t="n"/>
      <c r="AD1426" s="51" t="n">
        <v>0</v>
      </c>
      <c r="AE1426" s="156" t="n"/>
      <c r="AF1426" s="51" t="n">
        <v>0</v>
      </c>
      <c r="AG1426" s="156" t="inlineStr">
        <is>
          <t>Catálogo existente</t>
        </is>
      </c>
      <c r="AH142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6" s="156" t="inlineStr">
        <is>
          <t>No</t>
        </is>
      </c>
      <c r="AJ1426" s="156" t="n"/>
      <c r="AK1426" s="155" t="inlineStr">
        <is>
          <t>Criterios: I [Q] | Shopify Stetson: producto 14785864204651 / variante 53350613451115</t>
        </is>
      </c>
      <c r="AL1426" s="58" t="n">
        <v>2598.75</v>
      </c>
      <c r="AM1426" s="58" t="n">
        <v>6724.137931</v>
      </c>
      <c r="AN1426" s="155" t="inlineStr">
        <is>
          <t>Shopify Stetson México</t>
        </is>
      </c>
      <c r="AO1426" s="59" t="n">
        <v>1</v>
      </c>
      <c r="AP1426" s="59" t="n"/>
      <c r="AQ1426" s="59" t="n"/>
      <c r="AR1426" s="155" t="inlineStr">
        <is>
          <t>Shopify Stetson México › Stetson Americas: 1</t>
        </is>
      </c>
    </row>
    <row r="1427">
      <c r="A1427" s="50" t="inlineStr">
        <is>
          <t>795177059929</t>
        </is>
      </c>
      <c r="B1427" s="51" t="inlineStr">
        <is>
          <t>110041</t>
        </is>
      </c>
      <c r="C1427" s="156" t="inlineStr">
        <is>
          <t>Multimarca</t>
        </is>
      </c>
      <c r="D1427" s="156" t="inlineStr">
        <is>
          <t>SFRNCH-014061</t>
        </is>
      </c>
      <c r="E1427" s="156" t="inlineStr">
        <is>
          <t>SFRNCH-01406170</t>
        </is>
      </c>
      <c r="F1427" s="156" t="inlineStr">
        <is>
          <t>7</t>
        </is>
      </c>
      <c r="G1427" s="156" t="inlineStr">
        <is>
          <t>7</t>
        </is>
      </c>
      <c r="H1427" s="156" t="inlineStr">
        <is>
          <t>Stetson</t>
        </is>
      </c>
      <c r="I1427" s="156" t="inlineStr">
        <is>
          <t>Sombrero Stetson Rancher 6X Re</t>
        </is>
      </c>
      <c r="J1427" s="156" t="inlineStr">
        <is>
          <t>Accesorios</t>
        </is>
      </c>
      <c r="K1427" s="156" t="inlineStr">
        <is>
          <t>Sombreros</t>
        </is>
      </c>
      <c r="L1427" s="156" t="inlineStr">
        <is>
          <t>Unisex</t>
        </is>
      </c>
      <c r="M1427" s="156" t="inlineStr">
        <is>
          <t>Stetson</t>
        </is>
      </c>
      <c r="N1427" s="156" t="inlineStr">
        <is>
          <t>SS26</t>
        </is>
      </c>
      <c r="O1427" s="156" t="inlineStr">
        <is>
          <t>Seasonal</t>
        </is>
      </c>
      <c r="P1427" s="156" t="inlineStr">
        <is>
          <t>Gris</t>
        </is>
      </c>
      <c r="Q1427" s="156" t="n"/>
      <c r="R1427" s="156" t="inlineStr">
        <is>
          <t>Copa Rancher</t>
        </is>
      </c>
      <c r="S1427" s="156" t="inlineStr">
        <is>
          <t>100% Paja</t>
        </is>
      </c>
      <c r="T142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7" s="156" t="inlineStr">
        <is>
          <t>Estados Unidos</t>
        </is>
      </c>
      <c r="V1427" s="156" t="inlineStr">
        <is>
          <t>PZS</t>
        </is>
      </c>
      <c r="W1427" s="51" t="inlineStr">
        <is>
          <t>53102503</t>
        </is>
      </c>
      <c r="X1427" s="156" t="inlineStr">
        <is>
          <t>https://cdn.shopify.com/s/files/1/0888/3250/8267/files/SFRNCH-014088-02.jpg?v=1759767890</t>
        </is>
      </c>
      <c r="Y1427" s="54" t="n">
        <v>2598.75</v>
      </c>
      <c r="Z1427" s="54" t="n">
        <v>6724.137931</v>
      </c>
      <c r="AA1427" s="55">
        <f>IF(AND(A1427="", B1427="", E1427=""), "", IF(AB1427="", "Válido", IF((LEN(AB1427)-LEN(SUBSTITUTE(AB1427,"; ","")))/2+1&gt;(LEN(AB1427)-LEN(SUBSTITUTE(AB1427,"[Aviso]","")))/7, "Con Incidencias", "Válido")))</f>
        <v/>
      </c>
      <c r="AB1427" s="56">
        <f>IF(AND(A1427="", B1427="", E1427=""), "", TEXTJOIN("; ", TRUE, IF(OR(TRIM(A1427&amp;"")="", ISNUMBER(SEARCH("FALTA", A1427))), "UPC faltante/inválido", ""), IF(AND(A1427&lt;&gt;"", IFERROR(_xlfn.XMATCH(A1427,$A$2:$A$2509,0,1)&lt;&gt;_xlfn.XMATCH(A1427,$A$2:$A$2509,0,-1),FALSE)), "Código de barras duplicado", ""), IF(AND(E1427&lt;&gt;"", COUNTIF($E$2:$E$2509, E1427)&gt;1), "SKU duplicado", ""), IF(OR(J1427="", J1427=""), "[Aviso] División no capturada ()", IF(ISNA(MATCH(J1427, Criterios!$A$123:$A$126, 0)), "División no válida", "")), IF(OR(K1427="", K1427=""), "[Aviso] Categoría no capturada ()", IF(ISNA(MATCH(K1427, Criterios!$A$81:$A$120, 0)), "Categoría no válida", IF(AND(J1427&lt;&gt;"", J1427&lt;&gt;"", J1427&lt;&gt;VLOOKUP(K1427, Criterios!$A$81:$B$120, 2, FALSE)), "División no coincide con Categoría", ""))), IF(OR(L1427="", L1427=""), "[Aviso] Género no capturado ()", IF(ISNA(MATCH(L1427, Criterios!$B$123:$B$127, 0)), "Género no válido", "")), IF(OR(N1427="", N1427=""), "[Aviso] Temporada no capturada ()", IF(ISNA(MATCH(N1427, Criterios!$C$123:$C$128, 0)), "Temporada no válida", "")), IF(OR(O1427="", O1427=""), "[Aviso] Ciclo de vida no capturado ()", IF(ISNA(MATCH(O1427, Criterios!$D$123:$D$124, 0)), "Ciclo de vida no válido", ""))))</f>
        <v/>
      </c>
      <c r="AC1427" s="56" t="n"/>
      <c r="AD1427" s="51" t="n">
        <v>2</v>
      </c>
      <c r="AE1427" s="156" t="inlineStr">
        <is>
          <t>B25 STETSON.MX (1); PUNTO DE VENTA (1)</t>
        </is>
      </c>
      <c r="AF1427" s="51" t="n">
        <v>2</v>
      </c>
      <c r="AG1427" s="156" t="inlineStr">
        <is>
          <t>Catálogo existente</t>
        </is>
      </c>
      <c r="AH142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7" s="156" t="inlineStr">
        <is>
          <t>No</t>
        </is>
      </c>
      <c r="AJ1427" s="156" t="n"/>
      <c r="AK1427" s="155" t="inlineStr">
        <is>
          <t>Criterios: I [Q] | Shopify Stetson: producto 14785864204651 / variante 53350613483883</t>
        </is>
      </c>
      <c r="AL1427" s="58" t="n">
        <v>2598.75</v>
      </c>
      <c r="AM1427" s="58" t="n">
        <v>6724.137931</v>
      </c>
      <c r="AN1427" s="155" t="inlineStr">
        <is>
          <t>Shopify Stetson México</t>
        </is>
      </c>
      <c r="AO1427" s="59" t="n">
        <v>2</v>
      </c>
      <c r="AP1427" s="59" t="n"/>
      <c r="AQ1427" s="59" t="n"/>
      <c r="AR1427" s="155" t="inlineStr">
        <is>
          <t>Shopify Stetson México › Stetson México: 1 | Shopify Stetson México › Stetson Americas: 1</t>
        </is>
      </c>
    </row>
    <row r="1428">
      <c r="A1428" s="50" t="inlineStr">
        <is>
          <t>795177059936</t>
        </is>
      </c>
      <c r="B1428" s="51" t="inlineStr">
        <is>
          <t>110042</t>
        </is>
      </c>
      <c r="C1428" s="156" t="inlineStr">
        <is>
          <t>Multimarca</t>
        </is>
      </c>
      <c r="D1428" s="156" t="inlineStr">
        <is>
          <t>SFRNCH-014061</t>
        </is>
      </c>
      <c r="E1428" s="156" t="inlineStr">
        <is>
          <t>SFRNCH-01406171</t>
        </is>
      </c>
      <c r="F1428" s="156" t="inlineStr">
        <is>
          <t>7 1/8</t>
        </is>
      </c>
      <c r="G1428" s="156" t="inlineStr">
        <is>
          <t>7 1/8</t>
        </is>
      </c>
      <c r="H1428" s="156" t="inlineStr">
        <is>
          <t>Stetson</t>
        </is>
      </c>
      <c r="I1428" s="156" t="inlineStr">
        <is>
          <t>Sombrero Stetson Rancher 6X Re</t>
        </is>
      </c>
      <c r="J1428" s="156" t="inlineStr">
        <is>
          <t>Accesorios</t>
        </is>
      </c>
      <c r="K1428" s="156" t="inlineStr">
        <is>
          <t>Sombreros</t>
        </is>
      </c>
      <c r="L1428" s="156" t="inlineStr">
        <is>
          <t>Unisex</t>
        </is>
      </c>
      <c r="M1428" s="156" t="inlineStr">
        <is>
          <t>Stetson</t>
        </is>
      </c>
      <c r="N1428" s="156" t="inlineStr">
        <is>
          <t>SS26</t>
        </is>
      </c>
      <c r="O1428" s="156" t="inlineStr">
        <is>
          <t>Seasonal</t>
        </is>
      </c>
      <c r="P1428" s="156" t="inlineStr">
        <is>
          <t>Gris</t>
        </is>
      </c>
      <c r="Q1428" s="156" t="n"/>
      <c r="R1428" s="156" t="inlineStr">
        <is>
          <t>Copa Rancher</t>
        </is>
      </c>
      <c r="S1428" s="156" t="inlineStr">
        <is>
          <t>100% Paja</t>
        </is>
      </c>
      <c r="T142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8" s="156" t="inlineStr">
        <is>
          <t>Estados Unidos</t>
        </is>
      </c>
      <c r="V1428" s="156" t="inlineStr">
        <is>
          <t>PZS</t>
        </is>
      </c>
      <c r="W1428" s="51" t="inlineStr">
        <is>
          <t>53102503</t>
        </is>
      </c>
      <c r="X1428" s="156" t="inlineStr">
        <is>
          <t>https://cdn.shopify.com/s/files/1/0888/3250/8267/files/SFRNCH-014088-03.jpg?v=1759767890</t>
        </is>
      </c>
      <c r="Y1428" s="54" t="n">
        <v>2598.75</v>
      </c>
      <c r="Z1428" s="54" t="n">
        <v>6724.137931</v>
      </c>
      <c r="AA1428" s="55">
        <f>IF(AND(A1428="", B1428="", E1428=""), "", IF(AB1428="", "Válido", IF((LEN(AB1428)-LEN(SUBSTITUTE(AB1428,"; ","")))/2+1&gt;(LEN(AB1428)-LEN(SUBSTITUTE(AB1428,"[Aviso]","")))/7, "Con Incidencias", "Válido")))</f>
        <v/>
      </c>
      <c r="AB1428" s="56">
        <f>IF(AND(A1428="", B1428="", E1428=""), "", TEXTJOIN("; ", TRUE, IF(OR(TRIM(A1428&amp;"")="", ISNUMBER(SEARCH("FALTA", A1428))), "UPC faltante/inválido", ""), IF(AND(A1428&lt;&gt;"", IFERROR(_xlfn.XMATCH(A1428,$A$2:$A$2509,0,1)&lt;&gt;_xlfn.XMATCH(A1428,$A$2:$A$2509,0,-1),FALSE)), "Código de barras duplicado", ""), IF(AND(E1428&lt;&gt;"", COUNTIF($E$2:$E$2509, E1428)&gt;1), "SKU duplicado", ""), IF(OR(J1428="", J1428=""), "[Aviso] División no capturada ()", IF(ISNA(MATCH(J1428, Criterios!$A$123:$A$126, 0)), "División no válida", "")), IF(OR(K1428="", K1428=""), "[Aviso] Categoría no capturada ()", IF(ISNA(MATCH(K1428, Criterios!$A$81:$A$120, 0)), "Categoría no válida", IF(AND(J1428&lt;&gt;"", J1428&lt;&gt;"", J1428&lt;&gt;VLOOKUP(K1428, Criterios!$A$81:$B$120, 2, FALSE)), "División no coincide con Categoría", ""))), IF(OR(L1428="", L1428=""), "[Aviso] Género no capturado ()", IF(ISNA(MATCH(L1428, Criterios!$B$123:$B$127, 0)), "Género no válido", "")), IF(OR(N1428="", N1428=""), "[Aviso] Temporada no capturada ()", IF(ISNA(MATCH(N1428, Criterios!$C$123:$C$128, 0)), "Temporada no válida", "")), IF(OR(O1428="", O1428=""), "[Aviso] Ciclo de vida no capturado ()", IF(ISNA(MATCH(O1428, Criterios!$D$123:$D$124, 0)), "Ciclo de vida no válido", ""))))</f>
        <v/>
      </c>
      <c r="AC1428" s="56" t="n"/>
      <c r="AD1428" s="51" t="n">
        <v>0</v>
      </c>
      <c r="AE1428" s="156" t="inlineStr">
        <is>
          <t>STETSON AMERICAS (1)</t>
        </is>
      </c>
      <c r="AF1428" s="51" t="n">
        <v>1</v>
      </c>
      <c r="AG1428" s="156" t="inlineStr">
        <is>
          <t>Catálogo existente</t>
        </is>
      </c>
      <c r="AH142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8" s="156" t="inlineStr">
        <is>
          <t>Sí</t>
        </is>
      </c>
      <c r="AJ1428" s="156" t="inlineStr">
        <is>
          <t>PUNTO DE VENTA (-1)</t>
        </is>
      </c>
      <c r="AK1428" s="155" t="inlineStr">
        <is>
          <t>Criterios: I [Q] | Shopify Stetson: producto 14785864204651 / variante 53350613516651</t>
        </is>
      </c>
      <c r="AL1428" s="58" t="n">
        <v>2598.75</v>
      </c>
      <c r="AM1428" s="58" t="n">
        <v>6724.137931</v>
      </c>
      <c r="AN1428" s="155" t="inlineStr">
        <is>
          <t>Shopify Stetson México</t>
        </is>
      </c>
      <c r="AO1428" s="59" t="n">
        <v>1</v>
      </c>
      <c r="AP1428" s="59" t="n"/>
      <c r="AQ1428" s="59" t="n"/>
      <c r="AR1428" s="155" t="inlineStr">
        <is>
          <t>Shopify Stetson México › Stetson Americas: 1</t>
        </is>
      </c>
    </row>
    <row r="1429">
      <c r="A1429" s="50" t="inlineStr">
        <is>
          <t>795177059943</t>
        </is>
      </c>
      <c r="B1429" s="51" t="inlineStr">
        <is>
          <t>110043</t>
        </is>
      </c>
      <c r="C1429" s="156" t="inlineStr">
        <is>
          <t>Multimarca</t>
        </is>
      </c>
      <c r="D1429" s="156" t="inlineStr">
        <is>
          <t>SFRNCH-014061</t>
        </is>
      </c>
      <c r="E1429" s="156" t="inlineStr">
        <is>
          <t>SFRNCH-01406172</t>
        </is>
      </c>
      <c r="F1429" s="156" t="inlineStr">
        <is>
          <t>7 1/4</t>
        </is>
      </c>
      <c r="G1429" s="156" t="inlineStr">
        <is>
          <t>7 1/4</t>
        </is>
      </c>
      <c r="H1429" s="156" t="inlineStr">
        <is>
          <t>Stetson</t>
        </is>
      </c>
      <c r="I1429" s="156" t="inlineStr">
        <is>
          <t>Sombrero Stetson Rancher 6X Re</t>
        </is>
      </c>
      <c r="J1429" s="156" t="inlineStr">
        <is>
          <t>Accesorios</t>
        </is>
      </c>
      <c r="K1429" s="156" t="inlineStr">
        <is>
          <t>Sombreros</t>
        </is>
      </c>
      <c r="L1429" s="156" t="inlineStr">
        <is>
          <t>Unisex</t>
        </is>
      </c>
      <c r="M1429" s="156" t="inlineStr">
        <is>
          <t>Stetson</t>
        </is>
      </c>
      <c r="N1429" s="156" t="inlineStr">
        <is>
          <t>SS26</t>
        </is>
      </c>
      <c r="O1429" s="156" t="inlineStr">
        <is>
          <t>Seasonal</t>
        </is>
      </c>
      <c r="P1429" s="156" t="inlineStr">
        <is>
          <t>Gris</t>
        </is>
      </c>
      <c r="Q1429" s="156" t="n"/>
      <c r="R1429" s="156" t="inlineStr">
        <is>
          <t>Copa Rancher</t>
        </is>
      </c>
      <c r="S1429" s="156" t="inlineStr">
        <is>
          <t>100% Paja</t>
        </is>
      </c>
      <c r="T142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9" s="156" t="inlineStr">
        <is>
          <t>Estados Unidos</t>
        </is>
      </c>
      <c r="V1429" s="156" t="inlineStr">
        <is>
          <t>PZS</t>
        </is>
      </c>
      <c r="W1429" s="51" t="inlineStr">
        <is>
          <t>53102503</t>
        </is>
      </c>
      <c r="X1429" s="156" t="inlineStr">
        <is>
          <t>https://cdn.shopify.com/s/files/1/0888/3250/8267/files/SFRNCH-014088-04.jpg?v=1759767890</t>
        </is>
      </c>
      <c r="Y1429" s="54" t="n">
        <v>2598.75</v>
      </c>
      <c r="Z1429" s="54" t="n">
        <v>6724.137931</v>
      </c>
      <c r="AA1429" s="55">
        <f>IF(AND(A1429="", B1429="", E1429=""), "", IF(AB1429="", "Válido", IF((LEN(AB1429)-LEN(SUBSTITUTE(AB1429,"; ","")))/2+1&gt;(LEN(AB1429)-LEN(SUBSTITUTE(AB1429,"[Aviso]","")))/7, "Con Incidencias", "Válido")))</f>
        <v/>
      </c>
      <c r="AB1429" s="56">
        <f>IF(AND(A1429="", B1429="", E1429=""), "", TEXTJOIN("; ", TRUE, IF(OR(TRIM(A1429&amp;"")="", ISNUMBER(SEARCH("FALTA", A1429))), "UPC faltante/inválido", ""), IF(AND(A1429&lt;&gt;"", IFERROR(_xlfn.XMATCH(A1429,$A$2:$A$2509,0,1)&lt;&gt;_xlfn.XMATCH(A1429,$A$2:$A$2509,0,-1),FALSE)), "Código de barras duplicado", ""), IF(AND(E1429&lt;&gt;"", COUNTIF($E$2:$E$2509, E1429)&gt;1), "SKU duplicado", ""), IF(OR(J1429="", J1429=""), "[Aviso] División no capturada ()", IF(ISNA(MATCH(J1429, Criterios!$A$123:$A$126, 0)), "División no válida", "")), IF(OR(K1429="", K1429=""), "[Aviso] Categoría no capturada ()", IF(ISNA(MATCH(K1429, Criterios!$A$81:$A$120, 0)), "Categoría no válida", IF(AND(J1429&lt;&gt;"", J1429&lt;&gt;"", J1429&lt;&gt;VLOOKUP(K1429, Criterios!$A$81:$B$120, 2, FALSE)), "División no coincide con Categoría", ""))), IF(OR(L1429="", L1429=""), "[Aviso] Género no capturado ()", IF(ISNA(MATCH(L1429, Criterios!$B$123:$B$127, 0)), "Género no válido", "")), IF(OR(N1429="", N1429=""), "[Aviso] Temporada no capturada ()", IF(ISNA(MATCH(N1429, Criterios!$C$123:$C$128, 0)), "Temporada no válida", "")), IF(OR(O1429="", O1429=""), "[Aviso] Ciclo de vida no capturado ()", IF(ISNA(MATCH(O1429, Criterios!$D$123:$D$124, 0)), "Ciclo de vida no válido", ""))))</f>
        <v/>
      </c>
      <c r="AC1429" s="56" t="n"/>
      <c r="AD1429" s="51" t="n">
        <v>0</v>
      </c>
      <c r="AE1429" s="156" t="inlineStr">
        <is>
          <t>STETSON AMERICAS (1)</t>
        </is>
      </c>
      <c r="AF1429" s="51" t="n">
        <v>1</v>
      </c>
      <c r="AG1429" s="156" t="inlineStr">
        <is>
          <t>Catálogo existente</t>
        </is>
      </c>
      <c r="AH142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9" s="156" t="inlineStr">
        <is>
          <t>Sí</t>
        </is>
      </c>
      <c r="AJ1429" s="156" t="inlineStr">
        <is>
          <t>PUNTO DE VENTA (-1)</t>
        </is>
      </c>
      <c r="AK1429" s="155" t="inlineStr">
        <is>
          <t>Criterios: I [Q] | Shopify Stetson: producto 14785864204651 / variante 53350613549419</t>
        </is>
      </c>
      <c r="AL1429" s="58" t="n">
        <v>2598.75</v>
      </c>
      <c r="AM1429" s="58" t="n">
        <v>6724.137931</v>
      </c>
      <c r="AN1429" s="155" t="inlineStr">
        <is>
          <t>Shopify Stetson México</t>
        </is>
      </c>
      <c r="AO1429" s="59" t="n">
        <v>1</v>
      </c>
      <c r="AP1429" s="59" t="n"/>
      <c r="AQ1429" s="59" t="n"/>
      <c r="AR1429" s="155" t="inlineStr">
        <is>
          <t>Shopify Stetson México › Stetson Americas: 1</t>
        </is>
      </c>
    </row>
    <row r="1430">
      <c r="A1430" s="50" t="inlineStr">
        <is>
          <t>795177059950</t>
        </is>
      </c>
      <c r="B1430" s="51" t="inlineStr">
        <is>
          <t>110044</t>
        </is>
      </c>
      <c r="C1430" s="156" t="inlineStr">
        <is>
          <t>Multimarca</t>
        </is>
      </c>
      <c r="D1430" s="156" t="inlineStr">
        <is>
          <t>SFRNCH-014061</t>
        </is>
      </c>
      <c r="E1430" s="156" t="inlineStr">
        <is>
          <t>SFRNCH-01406173</t>
        </is>
      </c>
      <c r="F1430" s="156" t="inlineStr">
        <is>
          <t>7 3/8</t>
        </is>
      </c>
      <c r="G1430" s="156" t="inlineStr">
        <is>
          <t>7 3/8</t>
        </is>
      </c>
      <c r="H1430" s="156" t="inlineStr">
        <is>
          <t>Stetson</t>
        </is>
      </c>
      <c r="I1430" s="156" t="inlineStr">
        <is>
          <t>Sombrero Stetson Rancher 6X Re</t>
        </is>
      </c>
      <c r="J1430" s="156" t="inlineStr">
        <is>
          <t>Accesorios</t>
        </is>
      </c>
      <c r="K1430" s="156" t="inlineStr">
        <is>
          <t>Sombreros</t>
        </is>
      </c>
      <c r="L1430" s="156" t="inlineStr">
        <is>
          <t>Unisex</t>
        </is>
      </c>
      <c r="M1430" s="156" t="inlineStr">
        <is>
          <t>Stetson</t>
        </is>
      </c>
      <c r="N1430" s="156" t="inlineStr">
        <is>
          <t>SS26</t>
        </is>
      </c>
      <c r="O1430" s="156" t="inlineStr">
        <is>
          <t>Seasonal</t>
        </is>
      </c>
      <c r="P1430" s="156" t="inlineStr">
        <is>
          <t>Gris</t>
        </is>
      </c>
      <c r="Q1430" s="156" t="n"/>
      <c r="R1430" s="156" t="inlineStr">
        <is>
          <t>Copa Rancher</t>
        </is>
      </c>
      <c r="S1430" s="156" t="inlineStr">
        <is>
          <t>100% Paja</t>
        </is>
      </c>
      <c r="T143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30" s="156" t="inlineStr">
        <is>
          <t>Estados Unidos</t>
        </is>
      </c>
      <c r="V1430" s="156" t="inlineStr">
        <is>
          <t>PZS</t>
        </is>
      </c>
      <c r="W1430" s="51" t="inlineStr">
        <is>
          <t>53102503</t>
        </is>
      </c>
      <c r="X1430" s="156" t="inlineStr">
        <is>
          <t>https://cdn.shopify.com/s/files/1/0888/3250/8267/files/SFRNCH-014088-05.jpg?v=1759767890</t>
        </is>
      </c>
      <c r="Y1430" s="54" t="n">
        <v>2598.75</v>
      </c>
      <c r="Z1430" s="54" t="n">
        <v>6724.137931</v>
      </c>
      <c r="AA1430" s="55">
        <f>IF(AND(A1430="", B1430="", E1430=""), "", IF(AB1430="", "Válido", IF((LEN(AB1430)-LEN(SUBSTITUTE(AB1430,"; ","")))/2+1&gt;(LEN(AB1430)-LEN(SUBSTITUTE(AB1430,"[Aviso]","")))/7, "Con Incidencias", "Válido")))</f>
        <v/>
      </c>
      <c r="AB1430" s="56">
        <f>IF(AND(A1430="", B1430="", E1430=""), "", TEXTJOIN("; ", TRUE, IF(OR(TRIM(A1430&amp;"")="", ISNUMBER(SEARCH("FALTA", A1430))), "UPC faltante/inválido", ""), IF(AND(A1430&lt;&gt;"", IFERROR(_xlfn.XMATCH(A1430,$A$2:$A$2509,0,1)&lt;&gt;_xlfn.XMATCH(A1430,$A$2:$A$2509,0,-1),FALSE)), "Código de barras duplicado", ""), IF(AND(E1430&lt;&gt;"", COUNTIF($E$2:$E$2509, E1430)&gt;1), "SKU duplicado", ""), IF(OR(J1430="", J1430=""), "[Aviso] División no capturada ()", IF(ISNA(MATCH(J1430, Criterios!$A$123:$A$126, 0)), "División no válida", "")), IF(OR(K1430="", K1430=""), "[Aviso] Categoría no capturada ()", IF(ISNA(MATCH(K1430, Criterios!$A$81:$A$120, 0)), "Categoría no válida", IF(AND(J1430&lt;&gt;"", J1430&lt;&gt;"", J1430&lt;&gt;VLOOKUP(K1430, Criterios!$A$81:$B$120, 2, FALSE)), "División no coincide con Categoría", ""))), IF(OR(L1430="", L1430=""), "[Aviso] Género no capturado ()", IF(ISNA(MATCH(L1430, Criterios!$B$123:$B$127, 0)), "Género no válido", "")), IF(OR(N1430="", N1430=""), "[Aviso] Temporada no capturada ()", IF(ISNA(MATCH(N1430, Criterios!$C$123:$C$128, 0)), "Temporada no válida", "")), IF(OR(O1430="", O1430=""), "[Aviso] Ciclo de vida no capturado ()", IF(ISNA(MATCH(O1430, Criterios!$D$123:$D$124, 0)), "Ciclo de vida no válido", ""))))</f>
        <v/>
      </c>
      <c r="AC1430" s="56" t="n"/>
      <c r="AD1430" s="51" t="n">
        <v>-2</v>
      </c>
      <c r="AE1430" s="156" t="n"/>
      <c r="AF1430" s="51" t="n">
        <v>0</v>
      </c>
      <c r="AG1430" s="156" t="inlineStr">
        <is>
          <t>Catálogo existente</t>
        </is>
      </c>
      <c r="AH143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30" s="156" t="inlineStr">
        <is>
          <t>Sí</t>
        </is>
      </c>
      <c r="AJ1430" s="156" t="inlineStr">
        <is>
          <t>STETSON AMERICAS (-2)</t>
        </is>
      </c>
      <c r="AK1430" s="155" t="inlineStr">
        <is>
          <t>Criterios: I [Q] | Shopify Stetson: producto 14785864204651 / variante 53350613582187</t>
        </is>
      </c>
      <c r="AL1430" s="58" t="n">
        <v>2598.75</v>
      </c>
      <c r="AM1430" s="58" t="n">
        <v>6724.137931</v>
      </c>
      <c r="AN1430" s="155" t="inlineStr">
        <is>
          <t>Shopify Stetson México</t>
        </is>
      </c>
      <c r="AO1430" s="59" t="n">
        <v>0</v>
      </c>
      <c r="AP1430" s="59" t="n"/>
      <c r="AQ1430" s="59" t="n"/>
      <c r="AR1430" s="155" t="n"/>
    </row>
    <row r="1431">
      <c r="A1431" s="50" t="inlineStr">
        <is>
          <t>795177059967</t>
        </is>
      </c>
      <c r="B1431" s="51" t="inlineStr">
        <is>
          <t>110045</t>
        </is>
      </c>
      <c r="C1431" s="156" t="inlineStr">
        <is>
          <t>Multimarca</t>
        </is>
      </c>
      <c r="D1431" s="156" t="inlineStr">
        <is>
          <t>SFRNCH-014061</t>
        </is>
      </c>
      <c r="E1431" s="156" t="inlineStr">
        <is>
          <t>SFRNCH-01406174</t>
        </is>
      </c>
      <c r="F1431" s="156" t="inlineStr">
        <is>
          <t>7 1/2</t>
        </is>
      </c>
      <c r="G1431" s="156" t="inlineStr">
        <is>
          <t>7 1/2</t>
        </is>
      </c>
      <c r="H1431" s="156" t="inlineStr">
        <is>
          <t>Stetson</t>
        </is>
      </c>
      <c r="I1431" s="156" t="inlineStr">
        <is>
          <t>Sombrero Stetson Rancher 6X Re</t>
        </is>
      </c>
      <c r="J1431" s="156" t="inlineStr">
        <is>
          <t>Accesorios</t>
        </is>
      </c>
      <c r="K1431" s="156" t="inlineStr">
        <is>
          <t>Sombreros</t>
        </is>
      </c>
      <c r="L1431" s="156" t="inlineStr">
        <is>
          <t>Unisex</t>
        </is>
      </c>
      <c r="M1431" s="156" t="inlineStr">
        <is>
          <t>Stetson</t>
        </is>
      </c>
      <c r="N1431" s="156" t="inlineStr">
        <is>
          <t>SS26</t>
        </is>
      </c>
      <c r="O1431" s="156" t="inlineStr">
        <is>
          <t>Seasonal</t>
        </is>
      </c>
      <c r="P1431" s="156" t="inlineStr">
        <is>
          <t>Gris</t>
        </is>
      </c>
      <c r="Q1431" s="156" t="n"/>
      <c r="R1431" s="156" t="inlineStr">
        <is>
          <t>Copa Rancher</t>
        </is>
      </c>
      <c r="S1431" s="156" t="inlineStr">
        <is>
          <t>100% Paja</t>
        </is>
      </c>
      <c r="T143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31" s="156" t="inlineStr">
        <is>
          <t>Estados Unidos</t>
        </is>
      </c>
      <c r="V1431" s="156" t="inlineStr">
        <is>
          <t>PZS</t>
        </is>
      </c>
      <c r="W1431" s="51" t="inlineStr">
        <is>
          <t>53102503</t>
        </is>
      </c>
      <c r="X1431" s="156" t="inlineStr">
        <is>
          <t>https://cdn.shopify.com/s/files/1/0888/3250/8267/files/SFRNCH-014088-06.jpg?v=1759767890</t>
        </is>
      </c>
      <c r="Y1431" s="54" t="n">
        <v>2598.75</v>
      </c>
      <c r="Z1431" s="54" t="n">
        <v>6724.137931</v>
      </c>
      <c r="AA1431" s="55">
        <f>IF(AND(A1431="", B1431="", E1431=""), "", IF(AB1431="", "Válido", IF((LEN(AB1431)-LEN(SUBSTITUTE(AB1431,"; ","")))/2+1&gt;(LEN(AB1431)-LEN(SUBSTITUTE(AB1431,"[Aviso]","")))/7, "Con Incidencias", "Válido")))</f>
        <v/>
      </c>
      <c r="AB1431" s="56">
        <f>IF(AND(A1431="", B1431="", E1431=""), "", TEXTJOIN("; ", TRUE, IF(OR(TRIM(A1431&amp;"")="", ISNUMBER(SEARCH("FALTA", A1431))), "UPC faltante/inválido", ""), IF(AND(A1431&lt;&gt;"", IFERROR(_xlfn.XMATCH(A1431,$A$2:$A$2509,0,1)&lt;&gt;_xlfn.XMATCH(A1431,$A$2:$A$2509,0,-1),FALSE)), "Código de barras duplicado", ""), IF(AND(E1431&lt;&gt;"", COUNTIF($E$2:$E$2509, E1431)&gt;1), "SKU duplicado", ""), IF(OR(J1431="", J1431=""), "[Aviso] División no capturada ()", IF(ISNA(MATCH(J1431, Criterios!$A$123:$A$126, 0)), "División no válida", "")), IF(OR(K1431="", K1431=""), "[Aviso] Categoría no capturada ()", IF(ISNA(MATCH(K1431, Criterios!$A$81:$A$120, 0)), "Categoría no válida", IF(AND(J1431&lt;&gt;"", J1431&lt;&gt;"", J1431&lt;&gt;VLOOKUP(K1431, Criterios!$A$81:$B$120, 2, FALSE)), "División no coincide con Categoría", ""))), IF(OR(L1431="", L1431=""), "[Aviso] Género no capturado ()", IF(ISNA(MATCH(L1431, Criterios!$B$123:$B$127, 0)), "Género no válido", "")), IF(OR(N1431="", N1431=""), "[Aviso] Temporada no capturada ()", IF(ISNA(MATCH(N1431, Criterios!$C$123:$C$128, 0)), "Temporada no válida", "")), IF(OR(O1431="", O1431=""), "[Aviso] Ciclo de vida no capturado ()", IF(ISNA(MATCH(O1431, Criterios!$D$123:$D$124, 0)), "Ciclo de vida no válido", ""))))</f>
        <v/>
      </c>
      <c r="AC1431" s="56" t="n"/>
      <c r="AD1431" s="51" t="n">
        <v>0</v>
      </c>
      <c r="AE1431" s="156" t="n"/>
      <c r="AF1431" s="51" t="n">
        <v>0</v>
      </c>
      <c r="AG1431" s="156" t="inlineStr">
        <is>
          <t>Catálogo existente</t>
        </is>
      </c>
      <c r="AH143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1" s="156" t="inlineStr">
        <is>
          <t>No</t>
        </is>
      </c>
      <c r="AJ1431" s="156" t="n"/>
      <c r="AK1431" s="155" t="inlineStr">
        <is>
          <t>Criterios: I [Q] | Shopify Stetson: producto 14785864204651 / variante 53350613614955</t>
        </is>
      </c>
      <c r="AL1431" s="58" t="n">
        <v>2598.75</v>
      </c>
      <c r="AM1431" s="58" t="n">
        <v>6724.137931</v>
      </c>
      <c r="AN1431" s="155" t="inlineStr">
        <is>
          <t>Shopify Stetson México</t>
        </is>
      </c>
      <c r="AO1431" s="59" t="n">
        <v>2</v>
      </c>
      <c r="AP1431" s="59" t="n"/>
      <c r="AQ1431" s="59" t="n"/>
      <c r="AR1431" s="155" t="inlineStr">
        <is>
          <t>Shopify Stetson México › Stetson Americas: 1 | Shopify Stetson México › Eventos: 1</t>
        </is>
      </c>
    </row>
    <row r="1432">
      <c r="A1432" s="50" t="inlineStr">
        <is>
          <t>795177079972</t>
        </is>
      </c>
      <c r="B1432" s="51" t="inlineStr">
        <is>
          <t>117325</t>
        </is>
      </c>
      <c r="C1432" s="156" t="inlineStr">
        <is>
          <t>Multimarca</t>
        </is>
      </c>
      <c r="D1432" s="156" t="inlineStr">
        <is>
          <t>SFCRSN-403407</t>
        </is>
      </c>
      <c r="E1432" s="156" t="inlineStr">
        <is>
          <t>SFCRSN-40340767</t>
        </is>
      </c>
      <c r="F1432" s="156" t="inlineStr">
        <is>
          <t>6 7/8</t>
        </is>
      </c>
      <c r="G1432" s="156" t="inlineStr">
        <is>
          <t>6 7/8</t>
        </is>
      </c>
      <c r="H1432" s="156" t="inlineStr">
        <is>
          <t>Stetson</t>
        </is>
      </c>
      <c r="I1432" s="156" t="inlineStr">
        <is>
          <t>Texana Stetson Carson 6X Negro</t>
        </is>
      </c>
      <c r="J1432" s="156" t="inlineStr">
        <is>
          <t>Accesorios</t>
        </is>
      </c>
      <c r="K1432" s="156" t="inlineStr">
        <is>
          <t>Sombreros</t>
        </is>
      </c>
      <c r="L1432" s="156" t="inlineStr">
        <is>
          <t>Unisex</t>
        </is>
      </c>
      <c r="M1432" s="156" t="inlineStr">
        <is>
          <t>Stetson</t>
        </is>
      </c>
      <c r="N1432" s="156" t="inlineStr">
        <is>
          <t>FW26</t>
        </is>
      </c>
      <c r="O1432" s="156" t="inlineStr">
        <is>
          <t>Seasonal</t>
        </is>
      </c>
      <c r="P1432" s="156" t="inlineStr">
        <is>
          <t>Negro</t>
        </is>
      </c>
      <c r="Q1432" s="156" t="n"/>
      <c r="R1432" s="156" t="inlineStr">
        <is>
          <t>Copa Teardrop</t>
        </is>
      </c>
      <c r="S1432" s="156" t="inlineStr">
        <is>
          <t>100% pelo de conejo</t>
        </is>
      </c>
      <c r="T1432"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2" s="156" t="inlineStr">
        <is>
          <t>Estados Unidos</t>
        </is>
      </c>
      <c r="V1432" s="156" t="inlineStr">
        <is>
          <t>PZS</t>
        </is>
      </c>
      <c r="W1432" s="51" t="inlineStr">
        <is>
          <t>53102503</t>
        </is>
      </c>
      <c r="X1432" s="156" t="n"/>
      <c r="Y1432" s="54" t="n">
        <v>2992.5</v>
      </c>
      <c r="Z1432" s="54" t="n">
        <v>7241.37931</v>
      </c>
      <c r="AA1432" s="55">
        <f>IF(AND(A1432="", B1432="", E1432=""), "", IF(AB1432="", "Válido", IF((LEN(AB1432)-LEN(SUBSTITUTE(AB1432,"; ","")))/2+1&gt;(LEN(AB1432)-LEN(SUBSTITUTE(AB1432,"[Aviso]","")))/7, "Con Incidencias", "Válido")))</f>
        <v/>
      </c>
      <c r="AB1432" s="56">
        <f>IF(AND(A1432="", B1432="", E1432=""), "", TEXTJOIN("; ", TRUE, IF(OR(TRIM(A1432&amp;"")="", ISNUMBER(SEARCH("FALTA", A1432))), "UPC faltante/inválido", ""), IF(AND(A1432&lt;&gt;"", IFERROR(_xlfn.XMATCH(A1432,$A$2:$A$2509,0,1)&lt;&gt;_xlfn.XMATCH(A1432,$A$2:$A$2509,0,-1),FALSE)), "Código de barras duplicado", ""), IF(AND(E1432&lt;&gt;"", COUNTIF($E$2:$E$2509, E1432)&gt;1), "SKU duplicado", ""), IF(OR(J1432="", J1432=""), "[Aviso] División no capturada ()", IF(ISNA(MATCH(J1432, Criterios!$A$123:$A$126, 0)), "División no válida", "")), IF(OR(K1432="", K1432=""), "[Aviso] Categoría no capturada ()", IF(ISNA(MATCH(K1432, Criterios!$A$81:$A$120, 0)), "Categoría no válida", IF(AND(J1432&lt;&gt;"", J1432&lt;&gt;"", J1432&lt;&gt;VLOOKUP(K1432, Criterios!$A$81:$B$120, 2, FALSE)), "División no coincide con Categoría", ""))), IF(OR(L1432="", L1432=""), "[Aviso] Género no capturado ()", IF(ISNA(MATCH(L1432, Criterios!$B$123:$B$127, 0)), "Género no válido", "")), IF(OR(N1432="", N1432=""), "[Aviso] Temporada no capturada ()", IF(ISNA(MATCH(N1432, Criterios!$C$123:$C$128, 0)), "Temporada no válida", "")), IF(OR(O1432="", O1432=""), "[Aviso] Ciclo de vida no capturado ()", IF(ISNA(MATCH(O1432, Criterios!$D$123:$D$124, 0)), "Ciclo de vida no válido", ""))))</f>
        <v/>
      </c>
      <c r="AC1432" s="56" t="n"/>
      <c r="AD1432" s="51" t="n">
        <v>-1</v>
      </c>
      <c r="AE1432" s="156" t="n"/>
      <c r="AF1432" s="51" t="n">
        <v>0</v>
      </c>
      <c r="AG1432" s="156" t="inlineStr">
        <is>
          <t>Catálogo existente</t>
        </is>
      </c>
      <c r="AH1432" s="156" t="inlineStr">
        <is>
          <t>Stock negativo en sistema: revisar en conteo | Revisión 29/09/2026: Campos sin respaldo: X | 01/10/2026: complementado desde Shopify Stetson México (match por código de barras): WB Fit, WB Silueta</t>
        </is>
      </c>
      <c r="AI1432" s="156" t="inlineStr">
        <is>
          <t>Sí</t>
        </is>
      </c>
      <c r="AJ1432" s="156" t="inlineStr">
        <is>
          <t>B25 CEDIS (-1)</t>
        </is>
      </c>
      <c r="AK1432" s="155" t="inlineStr">
        <is>
          <t>Criterios: I [Q] | Shopify Stetson: producto 15227649425771 / variante 53791834833259</t>
        </is>
      </c>
      <c r="AL1432" s="58" t="n">
        <v>2992.5</v>
      </c>
      <c r="AM1432" s="58" t="n">
        <v>7241.37931</v>
      </c>
      <c r="AN1432" s="155" t="inlineStr">
        <is>
          <t>Shopify Stetson México</t>
        </is>
      </c>
      <c r="AO1432" s="59" t="n">
        <v>0</v>
      </c>
      <c r="AP1432" s="59" t="n"/>
      <c r="AQ1432" s="59" t="n"/>
      <c r="AR1432" s="155" t="n"/>
    </row>
    <row r="1433">
      <c r="A1433" s="50" t="inlineStr">
        <is>
          <t>795177079989</t>
        </is>
      </c>
      <c r="B1433" s="51" t="inlineStr">
        <is>
          <t>117326</t>
        </is>
      </c>
      <c r="C1433" s="156" t="inlineStr">
        <is>
          <t>Multimarca</t>
        </is>
      </c>
      <c r="D1433" s="156" t="inlineStr">
        <is>
          <t>SFCRSN-403407</t>
        </is>
      </c>
      <c r="E1433" s="156" t="inlineStr">
        <is>
          <t>SFCRSN-40340770</t>
        </is>
      </c>
      <c r="F1433" s="156" t="inlineStr">
        <is>
          <t>7</t>
        </is>
      </c>
      <c r="G1433" s="156" t="inlineStr">
        <is>
          <t>7</t>
        </is>
      </c>
      <c r="H1433" s="156" t="inlineStr">
        <is>
          <t>Stetson</t>
        </is>
      </c>
      <c r="I1433" s="156" t="inlineStr">
        <is>
          <t>Texana Stetson Carson 6X Negro</t>
        </is>
      </c>
      <c r="J1433" s="156" t="inlineStr">
        <is>
          <t>Accesorios</t>
        </is>
      </c>
      <c r="K1433" s="156" t="inlineStr">
        <is>
          <t>Sombreros</t>
        </is>
      </c>
      <c r="L1433" s="156" t="inlineStr">
        <is>
          <t>Unisex</t>
        </is>
      </c>
      <c r="M1433" s="156" t="inlineStr">
        <is>
          <t>Stetson</t>
        </is>
      </c>
      <c r="N1433" s="156" t="inlineStr">
        <is>
          <t>FW26</t>
        </is>
      </c>
      <c r="O1433" s="156" t="inlineStr">
        <is>
          <t>Seasonal</t>
        </is>
      </c>
      <c r="P1433" s="156" t="inlineStr">
        <is>
          <t>Negro</t>
        </is>
      </c>
      <c r="Q1433" s="156" t="n"/>
      <c r="R1433" s="156" t="inlineStr">
        <is>
          <t>Copa Teardrop</t>
        </is>
      </c>
      <c r="S1433" s="156" t="inlineStr">
        <is>
          <t>100% pelo de conejo</t>
        </is>
      </c>
      <c r="T1433"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3" s="156" t="inlineStr">
        <is>
          <t>Estados Unidos</t>
        </is>
      </c>
      <c r="V1433" s="156" t="inlineStr">
        <is>
          <t>PZS</t>
        </is>
      </c>
      <c r="W1433" s="51" t="inlineStr">
        <is>
          <t>53102503</t>
        </is>
      </c>
      <c r="X1433" s="156" t="n"/>
      <c r="Y1433" s="54" t="n">
        <v>2992.5</v>
      </c>
      <c r="Z1433" s="54" t="n">
        <v>7241.37931</v>
      </c>
      <c r="AA1433" s="55">
        <f>IF(AND(A1433="", B1433="", E1433=""), "", IF(AB1433="", "Válido", IF((LEN(AB1433)-LEN(SUBSTITUTE(AB1433,"; ","")))/2+1&gt;(LEN(AB1433)-LEN(SUBSTITUTE(AB1433,"[Aviso]","")))/7, "Con Incidencias", "Válido")))</f>
        <v/>
      </c>
      <c r="AB1433" s="56">
        <f>IF(AND(A1433="", B1433="", E1433=""), "", TEXTJOIN("; ", TRUE, IF(OR(TRIM(A1433&amp;"")="", ISNUMBER(SEARCH("FALTA", A1433))), "UPC faltante/inválido", ""), IF(AND(A1433&lt;&gt;"", IFERROR(_xlfn.XMATCH(A1433,$A$2:$A$2509,0,1)&lt;&gt;_xlfn.XMATCH(A1433,$A$2:$A$2509,0,-1),FALSE)), "Código de barras duplicado", ""), IF(AND(E1433&lt;&gt;"", COUNTIF($E$2:$E$2509, E1433)&gt;1), "SKU duplicado", ""), IF(OR(J1433="", J1433=""), "[Aviso] División no capturada ()", IF(ISNA(MATCH(J1433, Criterios!$A$123:$A$126, 0)), "División no válida", "")), IF(OR(K1433="", K1433=""), "[Aviso] Categoría no capturada ()", IF(ISNA(MATCH(K1433, Criterios!$A$81:$A$120, 0)), "Categoría no válida", IF(AND(J1433&lt;&gt;"", J1433&lt;&gt;"", J1433&lt;&gt;VLOOKUP(K1433, Criterios!$A$81:$B$120, 2, FALSE)), "División no coincide con Categoría", ""))), IF(OR(L1433="", L1433=""), "[Aviso] Género no capturado ()", IF(ISNA(MATCH(L1433, Criterios!$B$123:$B$127, 0)), "Género no válido", "")), IF(OR(N1433="", N1433=""), "[Aviso] Temporada no capturada ()", IF(ISNA(MATCH(N1433, Criterios!$C$123:$C$128, 0)), "Temporada no válida", "")), IF(OR(O1433="", O1433=""), "[Aviso] Ciclo de vida no capturado ()", IF(ISNA(MATCH(O1433, Criterios!$D$123:$D$124, 0)), "Ciclo de vida no válido", ""))))</f>
        <v/>
      </c>
      <c r="AC1433" s="56" t="n"/>
      <c r="AD1433" s="51" t="n">
        <v>0</v>
      </c>
      <c r="AE1433" s="156" t="inlineStr">
        <is>
          <t>STETSON AMERICAS (1)</t>
        </is>
      </c>
      <c r="AF1433" s="51" t="n">
        <v>1</v>
      </c>
      <c r="AG1433" s="156" t="inlineStr">
        <is>
          <t>Catálogo existente</t>
        </is>
      </c>
      <c r="AH1433" s="156" t="inlineStr">
        <is>
          <t>Revisión 29/09/2026: Campos sin respaldo: X | 01/10/2026: complementado desde Shopify Stetson México (match por código de barras): WB Fit, WB Silueta</t>
        </is>
      </c>
      <c r="AI1433" s="156" t="inlineStr">
        <is>
          <t>Sí</t>
        </is>
      </c>
      <c r="AJ1433" s="156" t="inlineStr">
        <is>
          <t>B25 CEDIS (-1)</t>
        </is>
      </c>
      <c r="AK1433" s="155" t="inlineStr">
        <is>
          <t>Criterios: I [Q] | Shopify Stetson: producto 15227649425771 / variante 53791834866027</t>
        </is>
      </c>
      <c r="AL1433" s="58" t="n">
        <v>2992.5</v>
      </c>
      <c r="AM1433" s="58" t="n">
        <v>7241.37931</v>
      </c>
      <c r="AN1433" s="155" t="inlineStr">
        <is>
          <t>Shopify Stetson México</t>
        </is>
      </c>
      <c r="AO1433" s="59" t="n">
        <v>1</v>
      </c>
      <c r="AP1433" s="59" t="n"/>
      <c r="AQ1433" s="59" t="n"/>
      <c r="AR1433" s="155" t="inlineStr">
        <is>
          <t>Shopify Stetson México › Stetson Americas: 1</t>
        </is>
      </c>
    </row>
    <row r="1434">
      <c r="A1434" s="50" t="inlineStr">
        <is>
          <t>795177079996</t>
        </is>
      </c>
      <c r="B1434" s="51" t="inlineStr">
        <is>
          <t>117327</t>
        </is>
      </c>
      <c r="C1434" s="156" t="inlineStr">
        <is>
          <t>Multimarca</t>
        </is>
      </c>
      <c r="D1434" s="156" t="inlineStr">
        <is>
          <t>SFCRSN-403407</t>
        </is>
      </c>
      <c r="E1434" s="156" t="inlineStr">
        <is>
          <t>SFCRSN-40340771</t>
        </is>
      </c>
      <c r="F1434" s="156" t="inlineStr">
        <is>
          <t>7 1/8</t>
        </is>
      </c>
      <c r="G1434" s="156" t="inlineStr">
        <is>
          <t>7 1/8</t>
        </is>
      </c>
      <c r="H1434" s="156" t="inlineStr">
        <is>
          <t>Stetson</t>
        </is>
      </c>
      <c r="I1434" s="156" t="inlineStr">
        <is>
          <t>Texana Stetson Carson 6X Negro</t>
        </is>
      </c>
      <c r="J1434" s="156" t="inlineStr">
        <is>
          <t>Accesorios</t>
        </is>
      </c>
      <c r="K1434" s="156" t="inlineStr">
        <is>
          <t>Sombreros</t>
        </is>
      </c>
      <c r="L1434" s="156" t="inlineStr">
        <is>
          <t>Unisex</t>
        </is>
      </c>
      <c r="M1434" s="156" t="inlineStr">
        <is>
          <t>Stetson</t>
        </is>
      </c>
      <c r="N1434" s="156" t="inlineStr">
        <is>
          <t>FW26</t>
        </is>
      </c>
      <c r="O1434" s="156" t="inlineStr">
        <is>
          <t>Seasonal</t>
        </is>
      </c>
      <c r="P1434" s="156" t="inlineStr">
        <is>
          <t>Negro</t>
        </is>
      </c>
      <c r="Q1434" s="156" t="n"/>
      <c r="R1434" s="156" t="inlineStr">
        <is>
          <t>Copa Teardrop</t>
        </is>
      </c>
      <c r="S1434" s="156" t="inlineStr">
        <is>
          <t>100% pelo de conejo</t>
        </is>
      </c>
      <c r="T1434"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4" s="156" t="inlineStr">
        <is>
          <t>Estados Unidos</t>
        </is>
      </c>
      <c r="V1434" s="156" t="inlineStr">
        <is>
          <t>PZS</t>
        </is>
      </c>
      <c r="W1434" s="51" t="inlineStr">
        <is>
          <t>53102503</t>
        </is>
      </c>
      <c r="X1434" s="156" t="n"/>
      <c r="Y1434" s="54" t="n">
        <v>2992.5</v>
      </c>
      <c r="Z1434" s="54" t="n">
        <v>7241.37931</v>
      </c>
      <c r="AA1434" s="55">
        <f>IF(AND(A1434="", B1434="", E1434=""), "", IF(AB1434="", "Válido", IF((LEN(AB1434)-LEN(SUBSTITUTE(AB1434,"; ","")))/2+1&gt;(LEN(AB1434)-LEN(SUBSTITUTE(AB1434,"[Aviso]","")))/7, "Con Incidencias", "Válido")))</f>
        <v/>
      </c>
      <c r="AB1434" s="56">
        <f>IF(AND(A1434="", B1434="", E1434=""), "", TEXTJOIN("; ", TRUE, IF(OR(TRIM(A1434&amp;"")="", ISNUMBER(SEARCH("FALTA", A1434))), "UPC faltante/inválido", ""), IF(AND(A1434&lt;&gt;"", IFERROR(_xlfn.XMATCH(A1434,$A$2:$A$2509,0,1)&lt;&gt;_xlfn.XMATCH(A1434,$A$2:$A$2509,0,-1),FALSE)), "Código de barras duplicado", ""), IF(AND(E1434&lt;&gt;"", COUNTIF($E$2:$E$2509, E1434)&gt;1), "SKU duplicado", ""), IF(OR(J1434="", J1434=""), "[Aviso] División no capturada ()", IF(ISNA(MATCH(J1434, Criterios!$A$123:$A$126, 0)), "División no válida", "")), IF(OR(K1434="", K1434=""), "[Aviso] Categoría no capturada ()", IF(ISNA(MATCH(K1434, Criterios!$A$81:$A$120, 0)), "Categoría no válida", IF(AND(J1434&lt;&gt;"", J1434&lt;&gt;"", J1434&lt;&gt;VLOOKUP(K1434, Criterios!$A$81:$B$120, 2, FALSE)), "División no coincide con Categoría", ""))), IF(OR(L1434="", L1434=""), "[Aviso] Género no capturado ()", IF(ISNA(MATCH(L1434, Criterios!$B$123:$B$127, 0)), "Género no válido", "")), IF(OR(N1434="", N1434=""), "[Aviso] Temporada no capturada ()", IF(ISNA(MATCH(N1434, Criterios!$C$123:$C$128, 0)), "Temporada no válida", "")), IF(OR(O1434="", O1434=""), "[Aviso] Ciclo de vida no capturado ()", IF(ISNA(MATCH(O1434, Criterios!$D$123:$D$124, 0)), "Ciclo de vida no válido", ""))))</f>
        <v/>
      </c>
      <c r="AC1434" s="56" t="n"/>
      <c r="AD1434" s="51" t="n">
        <v>0</v>
      </c>
      <c r="AE1434" s="156" t="inlineStr">
        <is>
          <t>STETSON AMERICAS (1)</t>
        </is>
      </c>
      <c r="AF1434" s="51" t="n">
        <v>1</v>
      </c>
      <c r="AG1434" s="156" t="inlineStr">
        <is>
          <t>Catálogo existente</t>
        </is>
      </c>
      <c r="AH1434" s="156" t="inlineStr">
        <is>
          <t>Revisión 29/09/2026: Campos sin respaldo: X | 01/10/2026: complementado desde Shopify Stetson México (match por código de barras): WB Fit, WB Silueta</t>
        </is>
      </c>
      <c r="AI1434" s="156" t="inlineStr">
        <is>
          <t>Sí</t>
        </is>
      </c>
      <c r="AJ1434" s="156" t="inlineStr">
        <is>
          <t>B25 CEDIS (-1)</t>
        </is>
      </c>
      <c r="AK1434" s="155" t="inlineStr">
        <is>
          <t>Criterios: I [Q] | Shopify Stetson: producto 15227649425771 / variante 53791834898795</t>
        </is>
      </c>
      <c r="AL1434" s="58" t="n">
        <v>2992.5</v>
      </c>
      <c r="AM1434" s="58" t="n">
        <v>7241.37931</v>
      </c>
      <c r="AN1434" s="155" t="inlineStr">
        <is>
          <t>Shopify Stetson México</t>
        </is>
      </c>
      <c r="AO1434" s="59" t="n">
        <v>1</v>
      </c>
      <c r="AP1434" s="59" t="n"/>
      <c r="AQ1434" s="59" t="n"/>
      <c r="AR1434" s="155" t="inlineStr">
        <is>
          <t>Shopify Stetson México › Stetson Americas: 1</t>
        </is>
      </c>
    </row>
    <row r="1435">
      <c r="A1435" s="50" t="inlineStr">
        <is>
          <t>795177080008</t>
        </is>
      </c>
      <c r="B1435" s="51" t="inlineStr">
        <is>
          <t>117328</t>
        </is>
      </c>
      <c r="C1435" s="156" t="inlineStr">
        <is>
          <t>Multimarca</t>
        </is>
      </c>
      <c r="D1435" s="156" t="inlineStr">
        <is>
          <t>SFCRSN-403407</t>
        </is>
      </c>
      <c r="E1435" s="156" t="inlineStr">
        <is>
          <t>SFCRSN-40340772</t>
        </is>
      </c>
      <c r="F1435" s="156" t="inlineStr">
        <is>
          <t>7 1/4</t>
        </is>
      </c>
      <c r="G1435" s="156" t="inlineStr">
        <is>
          <t>7 1/4</t>
        </is>
      </c>
      <c r="H1435" s="156" t="inlineStr">
        <is>
          <t>Stetson</t>
        </is>
      </c>
      <c r="I1435" s="156" t="inlineStr">
        <is>
          <t>Texana Stetson Carson 6X Negro</t>
        </is>
      </c>
      <c r="J1435" s="156" t="inlineStr">
        <is>
          <t>Accesorios</t>
        </is>
      </c>
      <c r="K1435" s="156" t="inlineStr">
        <is>
          <t>Sombreros</t>
        </is>
      </c>
      <c r="L1435" s="156" t="inlineStr">
        <is>
          <t>Unisex</t>
        </is>
      </c>
      <c r="M1435" s="156" t="inlineStr">
        <is>
          <t>Stetson</t>
        </is>
      </c>
      <c r="N1435" s="156" t="inlineStr">
        <is>
          <t>FW26</t>
        </is>
      </c>
      <c r="O1435" s="156" t="inlineStr">
        <is>
          <t>Seasonal</t>
        </is>
      </c>
      <c r="P1435" s="156" t="inlineStr">
        <is>
          <t>Negro</t>
        </is>
      </c>
      <c r="Q1435" s="156" t="n"/>
      <c r="R1435" s="156" t="inlineStr">
        <is>
          <t>Copa Teardrop</t>
        </is>
      </c>
      <c r="S1435" s="156" t="inlineStr">
        <is>
          <t>100% pelo de conejo</t>
        </is>
      </c>
      <c r="T1435"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5" s="156" t="inlineStr">
        <is>
          <t>Estados Unidos</t>
        </is>
      </c>
      <c r="V1435" s="156" t="inlineStr">
        <is>
          <t>PZS</t>
        </is>
      </c>
      <c r="W1435" s="51" t="inlineStr">
        <is>
          <t>53102503</t>
        </is>
      </c>
      <c r="X1435" s="156" t="n"/>
      <c r="Y1435" s="54" t="n">
        <v>2992.5</v>
      </c>
      <c r="Z1435" s="54" t="n">
        <v>7241.37931</v>
      </c>
      <c r="AA1435" s="55">
        <f>IF(AND(A1435="", B1435="", E1435=""), "", IF(AB1435="", "Válido", IF((LEN(AB1435)-LEN(SUBSTITUTE(AB1435,"; ","")))/2+1&gt;(LEN(AB1435)-LEN(SUBSTITUTE(AB1435,"[Aviso]","")))/7, "Con Incidencias", "Válido")))</f>
        <v/>
      </c>
      <c r="AB1435" s="56">
        <f>IF(AND(A1435="", B1435="", E1435=""), "", TEXTJOIN("; ", TRUE, IF(OR(TRIM(A1435&amp;"")="", ISNUMBER(SEARCH("FALTA", A1435))), "UPC faltante/inválido", ""), IF(AND(A1435&lt;&gt;"", IFERROR(_xlfn.XMATCH(A1435,$A$2:$A$2509,0,1)&lt;&gt;_xlfn.XMATCH(A1435,$A$2:$A$2509,0,-1),FALSE)), "Código de barras duplicado", ""), IF(AND(E1435&lt;&gt;"", COUNTIF($E$2:$E$2509, E1435)&gt;1), "SKU duplicado", ""), IF(OR(J1435="", J1435=""), "[Aviso] División no capturada ()", IF(ISNA(MATCH(J1435, Criterios!$A$123:$A$126, 0)), "División no válida", "")), IF(OR(K1435="", K1435=""), "[Aviso] Categoría no capturada ()", IF(ISNA(MATCH(K1435, Criterios!$A$81:$A$120, 0)), "Categoría no válida", IF(AND(J1435&lt;&gt;"", J1435&lt;&gt;"", J1435&lt;&gt;VLOOKUP(K1435, Criterios!$A$81:$B$120, 2, FALSE)), "División no coincide con Categoría", ""))), IF(OR(L1435="", L1435=""), "[Aviso] Género no capturado ()", IF(ISNA(MATCH(L1435, Criterios!$B$123:$B$127, 0)), "Género no válido", "")), IF(OR(N1435="", N1435=""), "[Aviso] Temporada no capturada ()", IF(ISNA(MATCH(N1435, Criterios!$C$123:$C$128, 0)), "Temporada no válida", "")), IF(OR(O1435="", O1435=""), "[Aviso] Ciclo de vida no capturado ()", IF(ISNA(MATCH(O1435, Criterios!$D$123:$D$124, 0)), "Ciclo de vida no válido", ""))))</f>
        <v/>
      </c>
      <c r="AC1435" s="56" t="n"/>
      <c r="AD1435" s="51" t="n">
        <v>0</v>
      </c>
      <c r="AE1435" s="156" t="inlineStr">
        <is>
          <t>STETSON AMERICAS (1)</t>
        </is>
      </c>
      <c r="AF1435" s="51" t="n">
        <v>1</v>
      </c>
      <c r="AG1435" s="156" t="inlineStr">
        <is>
          <t>Catálogo existente</t>
        </is>
      </c>
      <c r="AH1435" s="156" t="inlineStr">
        <is>
          <t>Revisión 29/09/2026: Campos sin respaldo: X | 01/10/2026: complementado desde Shopify Stetson México (match por código de barras): WB Fit, WB Silueta</t>
        </is>
      </c>
      <c r="AI1435" s="156" t="inlineStr">
        <is>
          <t>Sí</t>
        </is>
      </c>
      <c r="AJ1435" s="156" t="inlineStr">
        <is>
          <t>B25 CEDIS (-1)</t>
        </is>
      </c>
      <c r="AK1435" s="155" t="inlineStr">
        <is>
          <t>Criterios: I [Q] | Shopify Stetson: producto 15227649425771 / variante 53791834931563</t>
        </is>
      </c>
      <c r="AL1435" s="58" t="n">
        <v>2992.5</v>
      </c>
      <c r="AM1435" s="58" t="n">
        <v>7241.37931</v>
      </c>
      <c r="AN1435" s="155" t="inlineStr">
        <is>
          <t>Shopify Stetson México</t>
        </is>
      </c>
      <c r="AO1435" s="59" t="n">
        <v>1</v>
      </c>
      <c r="AP1435" s="59" t="n"/>
      <c r="AQ1435" s="59" t="n"/>
      <c r="AR1435" s="155" t="inlineStr">
        <is>
          <t>Shopify Stetson México › Stetson Americas: 1</t>
        </is>
      </c>
    </row>
    <row r="1436">
      <c r="A1436" s="50" t="inlineStr">
        <is>
          <t>795177080015</t>
        </is>
      </c>
      <c r="B1436" s="51" t="inlineStr">
        <is>
          <t>117329</t>
        </is>
      </c>
      <c r="C1436" s="156" t="inlineStr">
        <is>
          <t>Multimarca</t>
        </is>
      </c>
      <c r="D1436" s="156" t="inlineStr">
        <is>
          <t>SFCRSN-403407</t>
        </is>
      </c>
      <c r="E1436" s="156" t="inlineStr">
        <is>
          <t>SFCRSN-40340773</t>
        </is>
      </c>
      <c r="F1436" s="156" t="inlineStr">
        <is>
          <t>7 3/8</t>
        </is>
      </c>
      <c r="G1436" s="156" t="inlineStr">
        <is>
          <t>7 3/8</t>
        </is>
      </c>
      <c r="H1436" s="156" t="inlineStr">
        <is>
          <t>Stetson</t>
        </is>
      </c>
      <c r="I1436" s="156" t="inlineStr">
        <is>
          <t>Texana Stetson Carson 6X Negro</t>
        </is>
      </c>
      <c r="J1436" s="156" t="inlineStr">
        <is>
          <t>Accesorios</t>
        </is>
      </c>
      <c r="K1436" s="156" t="inlineStr">
        <is>
          <t>Sombreros</t>
        </is>
      </c>
      <c r="L1436" s="156" t="inlineStr">
        <is>
          <t>Unisex</t>
        </is>
      </c>
      <c r="M1436" s="156" t="inlineStr">
        <is>
          <t>Stetson</t>
        </is>
      </c>
      <c r="N1436" s="156" t="inlineStr">
        <is>
          <t>FW26</t>
        </is>
      </c>
      <c r="O1436" s="156" t="inlineStr">
        <is>
          <t>Seasonal</t>
        </is>
      </c>
      <c r="P1436" s="156" t="inlineStr">
        <is>
          <t>Negro</t>
        </is>
      </c>
      <c r="Q1436" s="156" t="n"/>
      <c r="R1436" s="156" t="inlineStr">
        <is>
          <t>Copa Teardrop</t>
        </is>
      </c>
      <c r="S1436" s="156" t="inlineStr">
        <is>
          <t>100% pelo de conejo</t>
        </is>
      </c>
      <c r="T1436"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6" s="156" t="inlineStr">
        <is>
          <t>Estados Unidos</t>
        </is>
      </c>
      <c r="V1436" s="156" t="inlineStr">
        <is>
          <t>PZS</t>
        </is>
      </c>
      <c r="W1436" s="51" t="inlineStr">
        <is>
          <t>53102503</t>
        </is>
      </c>
      <c r="X1436" s="156" t="n"/>
      <c r="Y1436" s="54" t="n">
        <v>2992.5</v>
      </c>
      <c r="Z1436" s="54" t="n">
        <v>7241.37931</v>
      </c>
      <c r="AA1436" s="55">
        <f>IF(AND(A1436="", B1436="", E1436=""), "", IF(AB1436="", "Válido", IF((LEN(AB1436)-LEN(SUBSTITUTE(AB1436,"; ","")))/2+1&gt;(LEN(AB1436)-LEN(SUBSTITUTE(AB1436,"[Aviso]","")))/7, "Con Incidencias", "Válido")))</f>
        <v/>
      </c>
      <c r="AB1436" s="56">
        <f>IF(AND(A1436="", B1436="", E1436=""), "", TEXTJOIN("; ", TRUE, IF(OR(TRIM(A1436&amp;"")="", ISNUMBER(SEARCH("FALTA", A1436))), "UPC faltante/inválido", ""), IF(AND(A1436&lt;&gt;"", IFERROR(_xlfn.XMATCH(A1436,$A$2:$A$2509,0,1)&lt;&gt;_xlfn.XMATCH(A1436,$A$2:$A$2509,0,-1),FALSE)), "Código de barras duplicado", ""), IF(AND(E1436&lt;&gt;"", COUNTIF($E$2:$E$2509, E1436)&gt;1), "SKU duplicado", ""), IF(OR(J1436="", J1436=""), "[Aviso] División no capturada ()", IF(ISNA(MATCH(J1436, Criterios!$A$123:$A$126, 0)), "División no válida", "")), IF(OR(K1436="", K1436=""), "[Aviso] Categoría no capturada ()", IF(ISNA(MATCH(K1436, Criterios!$A$81:$A$120, 0)), "Categoría no válida", IF(AND(J1436&lt;&gt;"", J1436&lt;&gt;"", J1436&lt;&gt;VLOOKUP(K1436, Criterios!$A$81:$B$120, 2, FALSE)), "División no coincide con Categoría", ""))), IF(OR(L1436="", L1436=""), "[Aviso] Género no capturado ()", IF(ISNA(MATCH(L1436, Criterios!$B$123:$B$127, 0)), "Género no válido", "")), IF(OR(N1436="", N1436=""), "[Aviso] Temporada no capturada ()", IF(ISNA(MATCH(N1436, Criterios!$C$123:$C$128, 0)), "Temporada no válida", "")), IF(OR(O1436="", O1436=""), "[Aviso] Ciclo de vida no capturado ()", IF(ISNA(MATCH(O1436, Criterios!$D$123:$D$124, 0)), "Ciclo de vida no válido", ""))))</f>
        <v/>
      </c>
      <c r="AC1436" s="56" t="n"/>
      <c r="AD1436" s="51" t="n">
        <v>0</v>
      </c>
      <c r="AE1436" s="156" t="inlineStr">
        <is>
          <t>STETSON AMERICAS (1)</t>
        </is>
      </c>
      <c r="AF1436" s="51" t="n">
        <v>1</v>
      </c>
      <c r="AG1436" s="156" t="inlineStr">
        <is>
          <t>Catálogo existente</t>
        </is>
      </c>
      <c r="AH1436" s="156" t="inlineStr">
        <is>
          <t>Revisión 29/09/2026: Campos sin respaldo: X | 01/10/2026: complementado desde Shopify Stetson México (match por código de barras): WB Fit, WB Silueta</t>
        </is>
      </c>
      <c r="AI1436" s="156" t="inlineStr">
        <is>
          <t>Sí</t>
        </is>
      </c>
      <c r="AJ1436" s="156" t="inlineStr">
        <is>
          <t>B25 CEDIS (-1)</t>
        </is>
      </c>
      <c r="AK1436" s="155" t="inlineStr">
        <is>
          <t>Criterios: I [Q] | Shopify Stetson: producto 15227649425771 / variante 53791834964331</t>
        </is>
      </c>
      <c r="AL1436" s="58" t="n">
        <v>2992.5</v>
      </c>
      <c r="AM1436" s="58" t="n">
        <v>7241.37931</v>
      </c>
      <c r="AN1436" s="155" t="inlineStr">
        <is>
          <t>Shopify Stetson México</t>
        </is>
      </c>
      <c r="AO1436" s="59" t="n">
        <v>1</v>
      </c>
      <c r="AP1436" s="59" t="n"/>
      <c r="AQ1436" s="59" t="n"/>
      <c r="AR1436" s="155" t="inlineStr">
        <is>
          <t>Shopify Stetson México › Stetson Americas: 1</t>
        </is>
      </c>
    </row>
    <row r="1437">
      <c r="A1437" s="50" t="inlineStr">
        <is>
          <t>795177080749</t>
        </is>
      </c>
      <c r="B1437" s="51" t="inlineStr">
        <is>
          <t>117330</t>
        </is>
      </c>
      <c r="C1437" s="156" t="inlineStr">
        <is>
          <t>Multimarca</t>
        </is>
      </c>
      <c r="D1437" s="156" t="inlineStr">
        <is>
          <t>SFCRSN-403411</t>
        </is>
      </c>
      <c r="E1437" s="156" t="inlineStr">
        <is>
          <t>SFCRSN-40341166</t>
        </is>
      </c>
      <c r="F1437" s="156" t="inlineStr">
        <is>
          <t>6 3/4</t>
        </is>
      </c>
      <c r="G1437" s="156" t="inlineStr">
        <is>
          <t>6 3/4</t>
        </is>
      </c>
      <c r="H1437" s="156" t="inlineStr">
        <is>
          <t>Stetson</t>
        </is>
      </c>
      <c r="I1437" s="156" t="inlineStr">
        <is>
          <t>Texana Stetson Carson 6X Cafe</t>
        </is>
      </c>
      <c r="J1437" s="156" t="inlineStr">
        <is>
          <t>Accesorios</t>
        </is>
      </c>
      <c r="K1437" s="156" t="inlineStr">
        <is>
          <t>Sombreros</t>
        </is>
      </c>
      <c r="L1437" s="156" t="inlineStr">
        <is>
          <t>Unisex</t>
        </is>
      </c>
      <c r="M1437" s="156" t="inlineStr">
        <is>
          <t>Stetson</t>
        </is>
      </c>
      <c r="N1437" s="156" t="inlineStr">
        <is>
          <t>FW26</t>
        </is>
      </c>
      <c r="O1437" s="156" t="inlineStr">
        <is>
          <t>Seasonal</t>
        </is>
      </c>
      <c r="P1437" s="156" t="inlineStr">
        <is>
          <t>Cafe</t>
        </is>
      </c>
      <c r="Q1437" s="156" t="n"/>
      <c r="R1437" s="156" t="inlineStr">
        <is>
          <t>Copa Teardrop</t>
        </is>
      </c>
      <c r="S1437" s="156" t="inlineStr">
        <is>
          <t>100% pelo de conejo</t>
        </is>
      </c>
      <c r="T1437"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7" s="156" t="inlineStr">
        <is>
          <t>Estados Unidos</t>
        </is>
      </c>
      <c r="V1437" s="156" t="inlineStr">
        <is>
          <t>PZS</t>
        </is>
      </c>
      <c r="W1437" s="51" t="inlineStr">
        <is>
          <t>53102503</t>
        </is>
      </c>
      <c r="X1437" s="156" t="inlineStr">
        <is>
          <t>https://cdn.shopify.com/s/files/1/0888/3250/8267/files/sfcrsn-4034_acorn_2.jpg?v=1789766413</t>
        </is>
      </c>
      <c r="Y1437" s="54" t="n">
        <v>2992.5</v>
      </c>
      <c r="Z1437" s="54" t="n">
        <v>7241.37931</v>
      </c>
      <c r="AA1437" s="55">
        <f>IF(AND(A1437="", B1437="", E1437=""), "", IF(AB1437="", "Válido", IF((LEN(AB1437)-LEN(SUBSTITUTE(AB1437,"; ","")))/2+1&gt;(LEN(AB1437)-LEN(SUBSTITUTE(AB1437,"[Aviso]","")))/7, "Con Incidencias", "Válido")))</f>
        <v/>
      </c>
      <c r="AB1437" s="56">
        <f>IF(AND(A1437="", B1437="", E1437=""), "", TEXTJOIN("; ", TRUE, IF(OR(TRIM(A1437&amp;"")="", ISNUMBER(SEARCH("FALTA", A1437))), "UPC faltante/inválido", ""), IF(AND(A1437&lt;&gt;"", IFERROR(_xlfn.XMATCH(A1437,$A$2:$A$2509,0,1)&lt;&gt;_xlfn.XMATCH(A1437,$A$2:$A$2509,0,-1),FALSE)), "Código de barras duplicado", ""), IF(AND(E1437&lt;&gt;"", COUNTIF($E$2:$E$2509, E1437)&gt;1), "SKU duplicado", ""), IF(OR(J1437="", J1437=""), "[Aviso] División no capturada ()", IF(ISNA(MATCH(J1437, Criterios!$A$123:$A$126, 0)), "División no válida", "")), IF(OR(K1437="", K1437=""), "[Aviso] Categoría no capturada ()", IF(ISNA(MATCH(K1437, Criterios!$A$81:$A$120, 0)), "Categoría no válida", IF(AND(J1437&lt;&gt;"", J1437&lt;&gt;"", J1437&lt;&gt;VLOOKUP(K1437, Criterios!$A$81:$B$120, 2, FALSE)), "División no coincide con Categoría", ""))), IF(OR(L1437="", L1437=""), "[Aviso] Género no capturado ()", IF(ISNA(MATCH(L1437, Criterios!$B$123:$B$127, 0)), "Género no válido", "")), IF(OR(N1437="", N1437=""), "[Aviso] Temporada no capturada ()", IF(ISNA(MATCH(N1437, Criterios!$C$123:$C$128, 0)), "Temporada no válida", "")), IF(OR(O1437="", O1437=""), "[Aviso] Ciclo de vida no capturado ()", IF(ISNA(MATCH(O1437, Criterios!$D$123:$D$124, 0)), "Ciclo de vida no válido", ""))))</f>
        <v/>
      </c>
      <c r="AC1437" s="56" t="n"/>
      <c r="AD1437" s="51" t="n">
        <v>0</v>
      </c>
      <c r="AE1437" s="156" t="inlineStr">
        <is>
          <t>STETSON AMERICAS (1)</t>
        </is>
      </c>
      <c r="AF1437" s="51" t="n">
        <v>1</v>
      </c>
      <c r="AG1437" s="156" t="inlineStr">
        <is>
          <t>Catálogo existente</t>
        </is>
      </c>
      <c r="AH143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7" s="156" t="inlineStr">
        <is>
          <t>Sí</t>
        </is>
      </c>
      <c r="AJ1437" s="156" t="inlineStr">
        <is>
          <t>B25 CEDIS (-1)</t>
        </is>
      </c>
      <c r="AK1437" s="155" t="inlineStr">
        <is>
          <t>Criterios: I [Q] | Shopify Stetson: producto 15227649524075 / variante 53791836045675</t>
        </is>
      </c>
      <c r="AL1437" s="58" t="n">
        <v>2992.5</v>
      </c>
      <c r="AM1437" s="58" t="n">
        <v>7241.37931</v>
      </c>
      <c r="AN1437" s="155" t="inlineStr">
        <is>
          <t>Shopify Stetson México</t>
        </is>
      </c>
      <c r="AO1437" s="59" t="n">
        <v>1</v>
      </c>
      <c r="AP1437" s="59" t="n"/>
      <c r="AQ1437" s="59" t="n"/>
      <c r="AR1437" s="155" t="inlineStr">
        <is>
          <t>Shopify Stetson México › Stetson Americas: 1</t>
        </is>
      </c>
    </row>
    <row r="1438">
      <c r="A1438" s="50" t="inlineStr">
        <is>
          <t>795177080756</t>
        </is>
      </c>
      <c r="B1438" s="51" t="inlineStr">
        <is>
          <t>117331</t>
        </is>
      </c>
      <c r="C1438" s="156" t="inlineStr">
        <is>
          <t>Multimarca</t>
        </is>
      </c>
      <c r="D1438" s="156" t="inlineStr">
        <is>
          <t>SFCRSN-403411</t>
        </is>
      </c>
      <c r="E1438" s="156" t="inlineStr">
        <is>
          <t>SFCRSN-40341167</t>
        </is>
      </c>
      <c r="F1438" s="156" t="inlineStr">
        <is>
          <t>6 7/8</t>
        </is>
      </c>
      <c r="G1438" s="156" t="inlineStr">
        <is>
          <t>6 7/8</t>
        </is>
      </c>
      <c r="H1438" s="156" t="inlineStr">
        <is>
          <t>Stetson</t>
        </is>
      </c>
      <c r="I1438" s="156" t="inlineStr">
        <is>
          <t>Texana Stetson Carson 6X Cafe</t>
        </is>
      </c>
      <c r="J1438" s="156" t="inlineStr">
        <is>
          <t>Accesorios</t>
        </is>
      </c>
      <c r="K1438" s="156" t="inlineStr">
        <is>
          <t>Sombreros</t>
        </is>
      </c>
      <c r="L1438" s="156" t="inlineStr">
        <is>
          <t>Unisex</t>
        </is>
      </c>
      <c r="M1438" s="156" t="inlineStr">
        <is>
          <t>Stetson</t>
        </is>
      </c>
      <c r="N1438" s="156" t="inlineStr">
        <is>
          <t>FW26</t>
        </is>
      </c>
      <c r="O1438" s="156" t="inlineStr">
        <is>
          <t>Seasonal</t>
        </is>
      </c>
      <c r="P1438" s="156" t="inlineStr">
        <is>
          <t>Cafe</t>
        </is>
      </c>
      <c r="Q1438" s="156" t="n"/>
      <c r="R1438" s="156" t="inlineStr">
        <is>
          <t>Copa Teardrop</t>
        </is>
      </c>
      <c r="S1438" s="156" t="inlineStr">
        <is>
          <t>100% pelo de conejo</t>
        </is>
      </c>
      <c r="T1438"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8" s="156" t="inlineStr">
        <is>
          <t>Estados Unidos</t>
        </is>
      </c>
      <c r="V1438" s="156" t="inlineStr">
        <is>
          <t>PZS</t>
        </is>
      </c>
      <c r="W1438" s="51" t="inlineStr">
        <is>
          <t>53102503</t>
        </is>
      </c>
      <c r="X1438" s="156" t="inlineStr">
        <is>
          <t>https://cdn.shopify.com/s/files/1/0888/3250/8267/files/sfcrsn-4034_acorn_1.jpg?v=1789766421</t>
        </is>
      </c>
      <c r="Y1438" s="54" t="n">
        <v>2992.5</v>
      </c>
      <c r="Z1438" s="54" t="n">
        <v>7241.37931</v>
      </c>
      <c r="AA1438" s="55">
        <f>IF(AND(A1438="", B1438="", E1438=""), "", IF(AB1438="", "Válido", IF((LEN(AB1438)-LEN(SUBSTITUTE(AB1438,"; ","")))/2+1&gt;(LEN(AB1438)-LEN(SUBSTITUTE(AB1438,"[Aviso]","")))/7, "Con Incidencias", "Válido")))</f>
        <v/>
      </c>
      <c r="AB1438" s="56">
        <f>IF(AND(A1438="", B1438="", E1438=""), "", TEXTJOIN("; ", TRUE, IF(OR(TRIM(A1438&amp;"")="", ISNUMBER(SEARCH("FALTA", A1438))), "UPC faltante/inválido", ""), IF(AND(A1438&lt;&gt;"", IFERROR(_xlfn.XMATCH(A1438,$A$2:$A$2509,0,1)&lt;&gt;_xlfn.XMATCH(A1438,$A$2:$A$2509,0,-1),FALSE)), "Código de barras duplicado", ""), IF(AND(E1438&lt;&gt;"", COUNTIF($E$2:$E$2509, E1438)&gt;1), "SKU duplicado", ""), IF(OR(J1438="", J1438=""), "[Aviso] División no capturada ()", IF(ISNA(MATCH(J1438, Criterios!$A$123:$A$126, 0)), "División no válida", "")), IF(OR(K1438="", K1438=""), "[Aviso] Categoría no capturada ()", IF(ISNA(MATCH(K1438, Criterios!$A$81:$A$120, 0)), "Categoría no válida", IF(AND(J1438&lt;&gt;"", J1438&lt;&gt;"", J1438&lt;&gt;VLOOKUP(K1438, Criterios!$A$81:$B$120, 2, FALSE)), "División no coincide con Categoría", ""))), IF(OR(L1438="", L1438=""), "[Aviso] Género no capturado ()", IF(ISNA(MATCH(L1438, Criterios!$B$123:$B$127, 0)), "Género no válido", "")), IF(OR(N1438="", N1438=""), "[Aviso] Temporada no capturada ()", IF(ISNA(MATCH(N1438, Criterios!$C$123:$C$128, 0)), "Temporada no válida", "")), IF(OR(O1438="", O1438=""), "[Aviso] Ciclo de vida no capturado ()", IF(ISNA(MATCH(O1438, Criterios!$D$123:$D$124, 0)), "Ciclo de vida no válido", ""))))</f>
        <v/>
      </c>
      <c r="AC1438" s="56" t="n"/>
      <c r="AD1438" s="51" t="n">
        <v>-1</v>
      </c>
      <c r="AE1438" s="156" t="n"/>
      <c r="AF1438" s="51" t="n">
        <v>0</v>
      </c>
      <c r="AG1438" s="156" t="inlineStr">
        <is>
          <t>Catálogo existente</t>
        </is>
      </c>
      <c r="AH143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38" s="156" t="inlineStr">
        <is>
          <t>Sí</t>
        </is>
      </c>
      <c r="AJ1438" s="156" t="inlineStr">
        <is>
          <t>B25 CEDIS (-1)</t>
        </is>
      </c>
      <c r="AK1438" s="155" t="inlineStr">
        <is>
          <t>Criterios: I [Q] | Shopify Stetson: producto 15227649524075 / variante 53791836078443</t>
        </is>
      </c>
      <c r="AL1438" s="58" t="n">
        <v>2992.5</v>
      </c>
      <c r="AM1438" s="58" t="n">
        <v>7241.37931</v>
      </c>
      <c r="AN1438" s="155" t="inlineStr">
        <is>
          <t>Shopify Stetson México</t>
        </is>
      </c>
      <c r="AO1438" s="59" t="n">
        <v>1</v>
      </c>
      <c r="AP1438" s="59" t="n"/>
      <c r="AQ1438" s="59" t="n"/>
      <c r="AR1438" s="155" t="inlineStr">
        <is>
          <t>Shopify Stetson México › Stetson México: 1</t>
        </is>
      </c>
    </row>
    <row r="1439">
      <c r="A1439" s="50" t="inlineStr">
        <is>
          <t>795177080763</t>
        </is>
      </c>
      <c r="B1439" s="51" t="inlineStr">
        <is>
          <t>117332</t>
        </is>
      </c>
      <c r="C1439" s="156" t="inlineStr">
        <is>
          <t>Multimarca</t>
        </is>
      </c>
      <c r="D1439" s="156" t="inlineStr">
        <is>
          <t>SFCRSN-403411</t>
        </is>
      </c>
      <c r="E1439" s="156" t="inlineStr">
        <is>
          <t>SFCRSN-40341170</t>
        </is>
      </c>
      <c r="F1439" s="156" t="inlineStr">
        <is>
          <t>7</t>
        </is>
      </c>
      <c r="G1439" s="156" t="inlineStr">
        <is>
          <t>7</t>
        </is>
      </c>
      <c r="H1439" s="156" t="inlineStr">
        <is>
          <t>Stetson</t>
        </is>
      </c>
      <c r="I1439" s="156" t="inlineStr">
        <is>
          <t>Texana Stetson Carson 6X Cafe</t>
        </is>
      </c>
      <c r="J1439" s="156" t="inlineStr">
        <is>
          <t>Accesorios</t>
        </is>
      </c>
      <c r="K1439" s="156" t="inlineStr">
        <is>
          <t>Sombreros</t>
        </is>
      </c>
      <c r="L1439" s="156" t="inlineStr">
        <is>
          <t>Unisex</t>
        </is>
      </c>
      <c r="M1439" s="156" t="inlineStr">
        <is>
          <t>Stetson</t>
        </is>
      </c>
      <c r="N1439" s="156" t="inlineStr">
        <is>
          <t>FW26</t>
        </is>
      </c>
      <c r="O1439" s="156" t="inlineStr">
        <is>
          <t>Seasonal</t>
        </is>
      </c>
      <c r="P1439" s="156" t="inlineStr">
        <is>
          <t>Cafe</t>
        </is>
      </c>
      <c r="Q1439" s="156" t="n"/>
      <c r="R1439" s="156" t="inlineStr">
        <is>
          <t>Copa Teardrop</t>
        </is>
      </c>
      <c r="S1439" s="156" t="inlineStr">
        <is>
          <t>100% pelo de conejo</t>
        </is>
      </c>
      <c r="T1439"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9" s="156" t="inlineStr">
        <is>
          <t>Estados Unidos</t>
        </is>
      </c>
      <c r="V1439" s="156" t="inlineStr">
        <is>
          <t>PZS</t>
        </is>
      </c>
      <c r="W1439" s="51" t="inlineStr">
        <is>
          <t>53102503</t>
        </is>
      </c>
      <c r="X1439" s="156" t="inlineStr">
        <is>
          <t>https://cdn.shopify.com/s/files/1/0888/3250/8267/files/sfcrsn-4034_acorn_2_9747fbbc-8bae-4b7d-84bc-5465dda6e3bb.jpg?v=1789766909</t>
        </is>
      </c>
      <c r="Y1439" s="54" t="n">
        <v>2992.5</v>
      </c>
      <c r="Z1439" s="54" t="n">
        <v>7241.37931</v>
      </c>
      <c r="AA1439" s="55">
        <f>IF(AND(A1439="", B1439="", E1439=""), "", IF(AB1439="", "Válido", IF((LEN(AB1439)-LEN(SUBSTITUTE(AB1439,"; ","")))/2+1&gt;(LEN(AB1439)-LEN(SUBSTITUTE(AB1439,"[Aviso]","")))/7, "Con Incidencias", "Válido")))</f>
        <v/>
      </c>
      <c r="AB1439" s="56">
        <f>IF(AND(A1439="", B1439="", E1439=""), "", TEXTJOIN("; ", TRUE, IF(OR(TRIM(A1439&amp;"")="", ISNUMBER(SEARCH("FALTA", A1439))), "UPC faltante/inválido", ""), IF(AND(A1439&lt;&gt;"", IFERROR(_xlfn.XMATCH(A1439,$A$2:$A$2509,0,1)&lt;&gt;_xlfn.XMATCH(A1439,$A$2:$A$2509,0,-1),FALSE)), "Código de barras duplicado", ""), IF(AND(E1439&lt;&gt;"", COUNTIF($E$2:$E$2509, E1439)&gt;1), "SKU duplicado", ""), IF(OR(J1439="", J1439=""), "[Aviso] División no capturada ()", IF(ISNA(MATCH(J1439, Criterios!$A$123:$A$126, 0)), "División no válida", "")), IF(OR(K1439="", K1439=""), "[Aviso] Categoría no capturada ()", IF(ISNA(MATCH(K1439, Criterios!$A$81:$A$120, 0)), "Categoría no válida", IF(AND(J1439&lt;&gt;"", J1439&lt;&gt;"", J1439&lt;&gt;VLOOKUP(K1439, Criterios!$A$81:$B$120, 2, FALSE)), "División no coincide con Categoría", ""))), IF(OR(L1439="", L1439=""), "[Aviso] Género no capturado ()", IF(ISNA(MATCH(L1439, Criterios!$B$123:$B$127, 0)), "Género no válido", "")), IF(OR(N1439="", N1439=""), "[Aviso] Temporada no capturada ()", IF(ISNA(MATCH(N1439, Criterios!$C$123:$C$128, 0)), "Temporada no válida", "")), IF(OR(O1439="", O1439=""), "[Aviso] Ciclo de vida no capturado ()", IF(ISNA(MATCH(O1439, Criterios!$D$123:$D$124, 0)), "Ciclo de vida no válido", ""))))</f>
        <v/>
      </c>
      <c r="AC1439" s="56" t="n"/>
      <c r="AD1439" s="51" t="n">
        <v>0</v>
      </c>
      <c r="AE1439" s="156" t="inlineStr">
        <is>
          <t>STETSON AMERICAS (1)</t>
        </is>
      </c>
      <c r="AF1439" s="51" t="n">
        <v>1</v>
      </c>
      <c r="AG1439" s="156" t="inlineStr">
        <is>
          <t>Catálogo existente</t>
        </is>
      </c>
      <c r="AH143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9" s="156" t="inlineStr">
        <is>
          <t>Sí</t>
        </is>
      </c>
      <c r="AJ1439" s="156" t="inlineStr">
        <is>
          <t>B25 CEDIS (-1)</t>
        </is>
      </c>
      <c r="AK1439" s="155" t="inlineStr">
        <is>
          <t>Criterios: I [Q] | Shopify Stetson: producto 15227649524075 / variante 53791836111211</t>
        </is>
      </c>
      <c r="AL1439" s="58" t="n">
        <v>2992.5</v>
      </c>
      <c r="AM1439" s="58" t="n">
        <v>7241.37931</v>
      </c>
      <c r="AN1439" s="155" t="inlineStr">
        <is>
          <t>Shopify Stetson México</t>
        </is>
      </c>
      <c r="AO1439" s="59" t="n">
        <v>2</v>
      </c>
      <c r="AP1439" s="59" t="n"/>
      <c r="AQ1439" s="59" t="n"/>
      <c r="AR1439" s="155" t="inlineStr">
        <is>
          <t>Shopify Stetson México › Stetson México: 1 | Shopify Stetson México › Stetson Americas: 1</t>
        </is>
      </c>
    </row>
    <row r="1440">
      <c r="A1440" s="50" t="inlineStr">
        <is>
          <t>795177080770</t>
        </is>
      </c>
      <c r="B1440" s="51" t="inlineStr">
        <is>
          <t>117333</t>
        </is>
      </c>
      <c r="C1440" s="156" t="inlineStr">
        <is>
          <t>Multimarca</t>
        </is>
      </c>
      <c r="D1440" s="156" t="inlineStr">
        <is>
          <t>SFCRSN-403411</t>
        </is>
      </c>
      <c r="E1440" s="156" t="inlineStr">
        <is>
          <t>SFCRSN-40341171</t>
        </is>
      </c>
      <c r="F1440" s="156" t="inlineStr">
        <is>
          <t>7 1/8</t>
        </is>
      </c>
      <c r="G1440" s="156" t="inlineStr">
        <is>
          <t>7 1/8</t>
        </is>
      </c>
      <c r="H1440" s="156" t="inlineStr">
        <is>
          <t>Stetson</t>
        </is>
      </c>
      <c r="I1440" s="156" t="inlineStr">
        <is>
          <t>Texana Stetson Carson 6X Cafe</t>
        </is>
      </c>
      <c r="J1440" s="156" t="inlineStr">
        <is>
          <t>Accesorios</t>
        </is>
      </c>
      <c r="K1440" s="156" t="inlineStr">
        <is>
          <t>Sombreros</t>
        </is>
      </c>
      <c r="L1440" s="156" t="inlineStr">
        <is>
          <t>Unisex</t>
        </is>
      </c>
      <c r="M1440" s="156" t="inlineStr">
        <is>
          <t>Stetson</t>
        </is>
      </c>
      <c r="N1440" s="156" t="inlineStr">
        <is>
          <t>FW26</t>
        </is>
      </c>
      <c r="O1440" s="156" t="inlineStr">
        <is>
          <t>Seasonal</t>
        </is>
      </c>
      <c r="P1440" s="156" t="inlineStr">
        <is>
          <t>Cafe</t>
        </is>
      </c>
      <c r="Q1440" s="156" t="n"/>
      <c r="R1440" s="156" t="inlineStr">
        <is>
          <t>Copa Teardrop</t>
        </is>
      </c>
      <c r="S1440" s="156" t="inlineStr">
        <is>
          <t>100% pelo de conejo</t>
        </is>
      </c>
      <c r="T1440"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0" s="156" t="inlineStr">
        <is>
          <t>Estados Unidos</t>
        </is>
      </c>
      <c r="V1440" s="156" t="inlineStr">
        <is>
          <t>PZS</t>
        </is>
      </c>
      <c r="W1440" s="51" t="inlineStr">
        <is>
          <t>53102503</t>
        </is>
      </c>
      <c r="X1440" s="156" t="inlineStr">
        <is>
          <t>https://cdn.shopify.com/s/files/1/0888/3250/8267/files/sfcrsn-4034_acorn_3.jpg?v=1789766428</t>
        </is>
      </c>
      <c r="Y1440" s="54" t="n">
        <v>2992.5</v>
      </c>
      <c r="Z1440" s="54" t="n">
        <v>7241.37931</v>
      </c>
      <c r="AA1440" s="55">
        <f>IF(AND(A1440="", B1440="", E1440=""), "", IF(AB1440="", "Válido", IF((LEN(AB1440)-LEN(SUBSTITUTE(AB1440,"; ","")))/2+1&gt;(LEN(AB1440)-LEN(SUBSTITUTE(AB1440,"[Aviso]","")))/7, "Con Incidencias", "Válido")))</f>
        <v/>
      </c>
      <c r="AB1440" s="56">
        <f>IF(AND(A1440="", B1440="", E1440=""), "", TEXTJOIN("; ", TRUE, IF(OR(TRIM(A1440&amp;"")="", ISNUMBER(SEARCH("FALTA", A1440))), "UPC faltante/inválido", ""), IF(AND(A1440&lt;&gt;"", IFERROR(_xlfn.XMATCH(A1440,$A$2:$A$2509,0,1)&lt;&gt;_xlfn.XMATCH(A1440,$A$2:$A$2509,0,-1),FALSE)), "Código de barras duplicado", ""), IF(AND(E1440&lt;&gt;"", COUNTIF($E$2:$E$2509, E1440)&gt;1), "SKU duplicado", ""), IF(OR(J1440="", J1440=""), "[Aviso] División no capturada ()", IF(ISNA(MATCH(J1440, Criterios!$A$123:$A$126, 0)), "División no válida", "")), IF(OR(K1440="", K1440=""), "[Aviso] Categoría no capturada ()", IF(ISNA(MATCH(K1440, Criterios!$A$81:$A$120, 0)), "Categoría no válida", IF(AND(J1440&lt;&gt;"", J1440&lt;&gt;"", J1440&lt;&gt;VLOOKUP(K1440, Criterios!$A$81:$B$120, 2, FALSE)), "División no coincide con Categoría", ""))), IF(OR(L1440="", L1440=""), "[Aviso] Género no capturado ()", IF(ISNA(MATCH(L1440, Criterios!$B$123:$B$127, 0)), "Género no válido", "")), IF(OR(N1440="", N1440=""), "[Aviso] Temporada no capturada ()", IF(ISNA(MATCH(N1440, Criterios!$C$123:$C$128, 0)), "Temporada no válida", "")), IF(OR(O1440="", O1440=""), "[Aviso] Ciclo de vida no capturado ()", IF(ISNA(MATCH(O1440, Criterios!$D$123:$D$124, 0)), "Ciclo de vida no válido", ""))))</f>
        <v/>
      </c>
      <c r="AC1440" s="56" t="n"/>
      <c r="AD1440" s="51" t="n">
        <v>0</v>
      </c>
      <c r="AE1440" s="156" t="inlineStr">
        <is>
          <t>STETSON AMERICAS (1)</t>
        </is>
      </c>
      <c r="AF1440" s="51" t="n">
        <v>1</v>
      </c>
      <c r="AG1440" s="156" t="inlineStr">
        <is>
          <t>Catálogo existente</t>
        </is>
      </c>
      <c r="AH144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40" s="156" t="inlineStr">
        <is>
          <t>Sí</t>
        </is>
      </c>
      <c r="AJ1440" s="156" t="inlineStr">
        <is>
          <t>B25 CEDIS (-1)</t>
        </is>
      </c>
      <c r="AK1440" s="155" t="inlineStr">
        <is>
          <t>Criterios: I [Q] | Shopify Stetson: producto 15227649524075 / variante 53791836143979</t>
        </is>
      </c>
      <c r="AL1440" s="58" t="n">
        <v>2992.5</v>
      </c>
      <c r="AM1440" s="58" t="n">
        <v>7241.37931</v>
      </c>
      <c r="AN1440" s="155" t="inlineStr">
        <is>
          <t>Shopify Stetson México</t>
        </is>
      </c>
      <c r="AO1440" s="59" t="n">
        <v>2</v>
      </c>
      <c r="AP1440" s="59" t="n"/>
      <c r="AQ1440" s="59" t="n"/>
      <c r="AR1440" s="155" t="inlineStr">
        <is>
          <t>Shopify Stetson México › Stetson México: 1 | Shopify Stetson México › Stetson Americas: 1</t>
        </is>
      </c>
    </row>
    <row r="1441">
      <c r="A1441" s="50" t="inlineStr">
        <is>
          <t>795177080787</t>
        </is>
      </c>
      <c r="B1441" s="51" t="inlineStr">
        <is>
          <t>117334</t>
        </is>
      </c>
      <c r="C1441" s="156" t="inlineStr">
        <is>
          <t>Multimarca</t>
        </is>
      </c>
      <c r="D1441" s="156" t="inlineStr">
        <is>
          <t>SFCRSN-403411</t>
        </is>
      </c>
      <c r="E1441" s="156" t="inlineStr">
        <is>
          <t>SFCRSN-40341172</t>
        </is>
      </c>
      <c r="F1441" s="156" t="inlineStr">
        <is>
          <t>7 1/4</t>
        </is>
      </c>
      <c r="G1441" s="156" t="inlineStr">
        <is>
          <t>7 1/4</t>
        </is>
      </c>
      <c r="H1441" s="156" t="inlineStr">
        <is>
          <t>Stetson</t>
        </is>
      </c>
      <c r="I1441" s="156" t="inlineStr">
        <is>
          <t>Texana Stetson Carson 6X Cafe</t>
        </is>
      </c>
      <c r="J1441" s="156" t="inlineStr">
        <is>
          <t>Accesorios</t>
        </is>
      </c>
      <c r="K1441" s="156" t="inlineStr">
        <is>
          <t>Sombreros</t>
        </is>
      </c>
      <c r="L1441" s="156" t="inlineStr">
        <is>
          <t>Unisex</t>
        </is>
      </c>
      <c r="M1441" s="156" t="inlineStr">
        <is>
          <t>Stetson</t>
        </is>
      </c>
      <c r="N1441" s="156" t="inlineStr">
        <is>
          <t>FW26</t>
        </is>
      </c>
      <c r="O1441" s="156" t="inlineStr">
        <is>
          <t>Seasonal</t>
        </is>
      </c>
      <c r="P1441" s="156" t="inlineStr">
        <is>
          <t>Cafe</t>
        </is>
      </c>
      <c r="Q1441" s="156" t="n"/>
      <c r="R1441" s="156" t="inlineStr">
        <is>
          <t>Copa Teardrop</t>
        </is>
      </c>
      <c r="S1441" s="156" t="inlineStr">
        <is>
          <t>100% pelo de conejo</t>
        </is>
      </c>
      <c r="T1441"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1" s="156" t="inlineStr">
        <is>
          <t>Estados Unidos</t>
        </is>
      </c>
      <c r="V1441" s="156" t="inlineStr">
        <is>
          <t>PZS</t>
        </is>
      </c>
      <c r="W1441" s="51" t="inlineStr">
        <is>
          <t>53102503</t>
        </is>
      </c>
      <c r="X1441" s="156" t="inlineStr">
        <is>
          <t>https://cdn.shopify.com/s/files/1/0888/3250/8267/files/sfcrsn-4034_acorn_4.jpg?v=1789766439</t>
        </is>
      </c>
      <c r="Y1441" s="54" t="n">
        <v>2992.5</v>
      </c>
      <c r="Z1441" s="54" t="n">
        <v>7241.37931</v>
      </c>
      <c r="AA1441" s="55">
        <f>IF(AND(A1441="", B1441="", E1441=""), "", IF(AB1441="", "Válido", IF((LEN(AB1441)-LEN(SUBSTITUTE(AB1441,"; ","")))/2+1&gt;(LEN(AB1441)-LEN(SUBSTITUTE(AB1441,"[Aviso]","")))/7, "Con Incidencias", "Válido")))</f>
        <v/>
      </c>
      <c r="AB1441" s="56">
        <f>IF(AND(A1441="", B1441="", E1441=""), "", TEXTJOIN("; ", TRUE, IF(OR(TRIM(A1441&amp;"")="", ISNUMBER(SEARCH("FALTA", A1441))), "UPC faltante/inválido", ""), IF(AND(A1441&lt;&gt;"", IFERROR(_xlfn.XMATCH(A1441,$A$2:$A$2509,0,1)&lt;&gt;_xlfn.XMATCH(A1441,$A$2:$A$2509,0,-1),FALSE)), "Código de barras duplicado", ""), IF(AND(E1441&lt;&gt;"", COUNTIF($E$2:$E$2509, E1441)&gt;1), "SKU duplicado", ""), IF(OR(J1441="", J1441=""), "[Aviso] División no capturada ()", IF(ISNA(MATCH(J1441, Criterios!$A$123:$A$126, 0)), "División no válida", "")), IF(OR(K1441="", K1441=""), "[Aviso] Categoría no capturada ()", IF(ISNA(MATCH(K1441, Criterios!$A$81:$A$120, 0)), "Categoría no válida", IF(AND(J1441&lt;&gt;"", J1441&lt;&gt;"", J1441&lt;&gt;VLOOKUP(K1441, Criterios!$A$81:$B$120, 2, FALSE)), "División no coincide con Categoría", ""))), IF(OR(L1441="", L1441=""), "[Aviso] Género no capturado ()", IF(ISNA(MATCH(L1441, Criterios!$B$123:$B$127, 0)), "Género no válido", "")), IF(OR(N1441="", N1441=""), "[Aviso] Temporada no capturada ()", IF(ISNA(MATCH(N1441, Criterios!$C$123:$C$128, 0)), "Temporada no válida", "")), IF(OR(O1441="", O1441=""), "[Aviso] Ciclo de vida no capturado ()", IF(ISNA(MATCH(O1441, Criterios!$D$123:$D$124, 0)), "Ciclo de vida no válido", ""))))</f>
        <v/>
      </c>
      <c r="AC1441" s="56" t="n"/>
      <c r="AD1441" s="51" t="n">
        <v>0</v>
      </c>
      <c r="AE1441" s="156" t="inlineStr">
        <is>
          <t>STETSON AMERICAS (1)</t>
        </is>
      </c>
      <c r="AF1441" s="51" t="n">
        <v>1</v>
      </c>
      <c r="AG1441" s="156" t="inlineStr">
        <is>
          <t>Catálogo existente</t>
        </is>
      </c>
      <c r="AH144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41" s="156" t="inlineStr">
        <is>
          <t>Sí</t>
        </is>
      </c>
      <c r="AJ1441" s="156" t="inlineStr">
        <is>
          <t>B25 CEDIS (-1)</t>
        </is>
      </c>
      <c r="AK1441" s="155" t="inlineStr">
        <is>
          <t>Criterios: I [Q] | Shopify Stetson: producto 15227649524075 / variante 53791836176747</t>
        </is>
      </c>
      <c r="AL1441" s="58" t="n">
        <v>2992.5</v>
      </c>
      <c r="AM1441" s="58" t="n">
        <v>7241.37931</v>
      </c>
      <c r="AN1441" s="155" t="inlineStr">
        <is>
          <t>Shopify Stetson México</t>
        </is>
      </c>
      <c r="AO1441" s="59" t="n">
        <v>2</v>
      </c>
      <c r="AP1441" s="59" t="n"/>
      <c r="AQ1441" s="59" t="n"/>
      <c r="AR1441" s="155" t="inlineStr">
        <is>
          <t>Shopify Stetson México › Stetson México: 1 | Shopify Stetson México › Stetson Americas: 1</t>
        </is>
      </c>
    </row>
    <row r="1442">
      <c r="A1442" s="50" t="inlineStr">
        <is>
          <t>795177080794</t>
        </is>
      </c>
      <c r="B1442" s="51" t="inlineStr">
        <is>
          <t>117335</t>
        </is>
      </c>
      <c r="C1442" s="156" t="inlineStr">
        <is>
          <t>Multimarca</t>
        </is>
      </c>
      <c r="D1442" s="156" t="inlineStr">
        <is>
          <t>SFCRSN-403411</t>
        </is>
      </c>
      <c r="E1442" s="156" t="inlineStr">
        <is>
          <t>SFCRSN-40341173</t>
        </is>
      </c>
      <c r="F1442" s="156" t="inlineStr">
        <is>
          <t>7 3/8</t>
        </is>
      </c>
      <c r="G1442" s="156" t="inlineStr">
        <is>
          <t>7 3/8</t>
        </is>
      </c>
      <c r="H1442" s="156" t="inlineStr">
        <is>
          <t>Stetson</t>
        </is>
      </c>
      <c r="I1442" s="156" t="inlineStr">
        <is>
          <t>Texana Stetson Carson 6X Cafe</t>
        </is>
      </c>
      <c r="J1442" s="156" t="inlineStr">
        <is>
          <t>Accesorios</t>
        </is>
      </c>
      <c r="K1442" s="156" t="inlineStr">
        <is>
          <t>Sombreros</t>
        </is>
      </c>
      <c r="L1442" s="156" t="inlineStr">
        <is>
          <t>Unisex</t>
        </is>
      </c>
      <c r="M1442" s="156" t="inlineStr">
        <is>
          <t>Stetson</t>
        </is>
      </c>
      <c r="N1442" s="156" t="inlineStr">
        <is>
          <t>FW26</t>
        </is>
      </c>
      <c r="O1442" s="156" t="inlineStr">
        <is>
          <t>Seasonal</t>
        </is>
      </c>
      <c r="P1442" s="156" t="inlineStr">
        <is>
          <t>Cafe</t>
        </is>
      </c>
      <c r="Q1442" s="156" t="n"/>
      <c r="R1442" s="156" t="inlineStr">
        <is>
          <t>Copa Teardrop</t>
        </is>
      </c>
      <c r="S1442" s="156" t="inlineStr">
        <is>
          <t>100% pelo de conejo</t>
        </is>
      </c>
      <c r="T1442"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2" s="156" t="inlineStr">
        <is>
          <t>Estados Unidos</t>
        </is>
      </c>
      <c r="V1442" s="156" t="inlineStr">
        <is>
          <t>PZS</t>
        </is>
      </c>
      <c r="W1442" s="51" t="inlineStr">
        <is>
          <t>53102503</t>
        </is>
      </c>
      <c r="X1442" s="156" t="inlineStr">
        <is>
          <t>https://cdn.shopify.com/s/files/1/0888/3250/8267/files/sfcrsn-4034_acorn_6.jpg?v=1789766447</t>
        </is>
      </c>
      <c r="Y1442" s="54" t="n">
        <v>2992.5</v>
      </c>
      <c r="Z1442" s="54" t="n">
        <v>7241.37931</v>
      </c>
      <c r="AA1442" s="55">
        <f>IF(AND(A1442="", B1442="", E1442=""), "", IF(AB1442="", "Válido", IF((LEN(AB1442)-LEN(SUBSTITUTE(AB1442,"; ","")))/2+1&gt;(LEN(AB1442)-LEN(SUBSTITUTE(AB1442,"[Aviso]","")))/7, "Con Incidencias", "Válido")))</f>
        <v/>
      </c>
      <c r="AB1442" s="56">
        <f>IF(AND(A1442="", B1442="", E1442=""), "", TEXTJOIN("; ", TRUE, IF(OR(TRIM(A1442&amp;"")="", ISNUMBER(SEARCH("FALTA", A1442))), "UPC faltante/inválido", ""), IF(AND(A1442&lt;&gt;"", IFERROR(_xlfn.XMATCH(A1442,$A$2:$A$2509,0,1)&lt;&gt;_xlfn.XMATCH(A1442,$A$2:$A$2509,0,-1),FALSE)), "Código de barras duplicado", ""), IF(AND(E1442&lt;&gt;"", COUNTIF($E$2:$E$2509, E1442)&gt;1), "SKU duplicado", ""), IF(OR(J1442="", J1442=""), "[Aviso] División no capturada ()", IF(ISNA(MATCH(J1442, Criterios!$A$123:$A$126, 0)), "División no válida", "")), IF(OR(K1442="", K1442=""), "[Aviso] Categoría no capturada ()", IF(ISNA(MATCH(K1442, Criterios!$A$81:$A$120, 0)), "Categoría no válida", IF(AND(J1442&lt;&gt;"", J1442&lt;&gt;"", J1442&lt;&gt;VLOOKUP(K1442, Criterios!$A$81:$B$120, 2, FALSE)), "División no coincide con Categoría", ""))), IF(OR(L1442="", L1442=""), "[Aviso] Género no capturado ()", IF(ISNA(MATCH(L1442, Criterios!$B$123:$B$127, 0)), "Género no válido", "")), IF(OR(N1442="", N1442=""), "[Aviso] Temporada no capturada ()", IF(ISNA(MATCH(N1442, Criterios!$C$123:$C$128, 0)), "Temporada no válida", "")), IF(OR(O1442="", O1442=""), "[Aviso] Ciclo de vida no capturado ()", IF(ISNA(MATCH(O1442, Criterios!$D$123:$D$124, 0)), "Ciclo de vida no válido", ""))))</f>
        <v/>
      </c>
      <c r="AC1442" s="56" t="n"/>
      <c r="AD1442" s="51" t="n">
        <v>-1</v>
      </c>
      <c r="AE1442" s="156" t="n"/>
      <c r="AF1442" s="51" t="n">
        <v>0</v>
      </c>
      <c r="AG1442" s="156" t="inlineStr">
        <is>
          <t>Catálogo existente</t>
        </is>
      </c>
      <c r="AH144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42" s="156" t="inlineStr">
        <is>
          <t>Sí</t>
        </is>
      </c>
      <c r="AJ1442" s="156" t="inlineStr">
        <is>
          <t>B25 CEDIS (-1)</t>
        </is>
      </c>
      <c r="AK1442" s="155" t="inlineStr">
        <is>
          <t>Criterios: I [Q] | Shopify Stetson: producto 15227649524075 / variante 53791836209515</t>
        </is>
      </c>
      <c r="AL1442" s="58" t="n">
        <v>2992.5</v>
      </c>
      <c r="AM1442" s="58" t="n">
        <v>7241.37931</v>
      </c>
      <c r="AN1442" s="155" t="inlineStr">
        <is>
          <t>Shopify Stetson México</t>
        </is>
      </c>
      <c r="AO1442" s="59" t="n">
        <v>0</v>
      </c>
      <c r="AP1442" s="59" t="n"/>
      <c r="AQ1442" s="59" t="n"/>
      <c r="AR1442" s="155" t="n"/>
    </row>
    <row r="1443">
      <c r="A1443" s="50" t="inlineStr">
        <is>
          <t>795177082316</t>
        </is>
      </c>
      <c r="B1443" s="51" t="inlineStr">
        <is>
          <t>117336</t>
        </is>
      </c>
      <c r="C1443" s="156" t="inlineStr">
        <is>
          <t>Multimarca</t>
        </is>
      </c>
      <c r="D1443" s="156" t="inlineStr">
        <is>
          <t>SFCRSN-403461</t>
        </is>
      </c>
      <c r="E1443" s="156" t="inlineStr">
        <is>
          <t>SFCRSN-40346167</t>
        </is>
      </c>
      <c r="F1443" s="156" t="inlineStr">
        <is>
          <t>6 7/8</t>
        </is>
      </c>
      <c r="G1443" s="156" t="inlineStr">
        <is>
          <t>6 7/8</t>
        </is>
      </c>
      <c r="H1443" s="156" t="inlineStr">
        <is>
          <t>Stetson</t>
        </is>
      </c>
      <c r="I1443" s="156" t="inlineStr">
        <is>
          <t>Texana Stetson Carson 6X Gris</t>
        </is>
      </c>
      <c r="J1443" s="156" t="inlineStr">
        <is>
          <t>Accesorios</t>
        </is>
      </c>
      <c r="K1443" s="156" t="inlineStr">
        <is>
          <t>Sombreros</t>
        </is>
      </c>
      <c r="L1443" s="156" t="inlineStr">
        <is>
          <t>Unisex</t>
        </is>
      </c>
      <c r="M1443" s="156" t="inlineStr">
        <is>
          <t>Stetson</t>
        </is>
      </c>
      <c r="N1443" s="156" t="inlineStr">
        <is>
          <t>FW26</t>
        </is>
      </c>
      <c r="O1443" s="156" t="inlineStr">
        <is>
          <t>Seasonal</t>
        </is>
      </c>
      <c r="P1443" s="156" t="inlineStr">
        <is>
          <t>Gris</t>
        </is>
      </c>
      <c r="Q1443" s="156" t="n"/>
      <c r="R1443" s="156" t="inlineStr">
        <is>
          <t>Copa Teardrop</t>
        </is>
      </c>
      <c r="S1443" s="156" t="inlineStr">
        <is>
          <t>100% pelo de conejo</t>
        </is>
      </c>
      <c r="T1443"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3" s="156" t="inlineStr">
        <is>
          <t>Estados Unidos</t>
        </is>
      </c>
      <c r="V1443" s="156" t="inlineStr">
        <is>
          <t>PZS</t>
        </is>
      </c>
      <c r="W1443" s="51" t="inlineStr">
        <is>
          <t>53102503</t>
        </is>
      </c>
      <c r="X1443" s="156" t="n"/>
      <c r="Y1443" s="54" t="n">
        <v>2992.5</v>
      </c>
      <c r="Z1443" s="54" t="n">
        <v>7241.37931</v>
      </c>
      <c r="AA1443" s="55">
        <f>IF(AND(A1443="", B1443="", E1443=""), "", IF(AB1443="", "Válido", IF((LEN(AB1443)-LEN(SUBSTITUTE(AB1443,"; ","")))/2+1&gt;(LEN(AB1443)-LEN(SUBSTITUTE(AB1443,"[Aviso]","")))/7, "Con Incidencias", "Válido")))</f>
        <v/>
      </c>
      <c r="AB1443" s="56">
        <f>IF(AND(A1443="", B1443="", E1443=""), "", TEXTJOIN("; ", TRUE, IF(OR(TRIM(A1443&amp;"")="", ISNUMBER(SEARCH("FALTA", A1443))), "UPC faltante/inválido", ""), IF(AND(A1443&lt;&gt;"", IFERROR(_xlfn.XMATCH(A1443,$A$2:$A$2509,0,1)&lt;&gt;_xlfn.XMATCH(A1443,$A$2:$A$2509,0,-1),FALSE)), "Código de barras duplicado", ""), IF(AND(E1443&lt;&gt;"", COUNTIF($E$2:$E$2509, E1443)&gt;1), "SKU duplicado", ""), IF(OR(J1443="", J1443=""), "[Aviso] División no capturada ()", IF(ISNA(MATCH(J1443, Criterios!$A$123:$A$126, 0)), "División no válida", "")), IF(OR(K1443="", K1443=""), "[Aviso] Categoría no capturada ()", IF(ISNA(MATCH(K1443, Criterios!$A$81:$A$120, 0)), "Categoría no válida", IF(AND(J1443&lt;&gt;"", J1443&lt;&gt;"", J1443&lt;&gt;VLOOKUP(K1443, Criterios!$A$81:$B$120, 2, FALSE)), "División no coincide con Categoría", ""))), IF(OR(L1443="", L1443=""), "[Aviso] Género no capturado ()", IF(ISNA(MATCH(L1443, Criterios!$B$123:$B$127, 0)), "Género no válido", "")), IF(OR(N1443="", N1443=""), "[Aviso] Temporada no capturada ()", IF(ISNA(MATCH(N1443, Criterios!$C$123:$C$128, 0)), "Temporada no válida", "")), IF(OR(O1443="", O1443=""), "[Aviso] Ciclo de vida no capturado ()", IF(ISNA(MATCH(O1443, Criterios!$D$123:$D$124, 0)), "Ciclo de vida no válido", ""))))</f>
        <v/>
      </c>
      <c r="AC1443" s="56" t="n"/>
      <c r="AD1443" s="51" t="n">
        <v>-1</v>
      </c>
      <c r="AE1443" s="156" t="n"/>
      <c r="AF1443" s="51" t="n">
        <v>0</v>
      </c>
      <c r="AG1443" s="156" t="inlineStr">
        <is>
          <t>Catálogo existente</t>
        </is>
      </c>
      <c r="AH1443" s="156" t="inlineStr">
        <is>
          <t>Stock negativo en sistema: revisar en conteo | Revisión 29/09/2026: Campos sin respaldo: X | 01/10/2026: complementado desde Shopify Stetson México (match por código de barras): WB Fit, WB Silueta</t>
        </is>
      </c>
      <c r="AI1443" s="156" t="inlineStr">
        <is>
          <t>Sí</t>
        </is>
      </c>
      <c r="AJ1443" s="156" t="inlineStr">
        <is>
          <t>B25 CEDIS (-1)</t>
        </is>
      </c>
      <c r="AK1443" s="155" t="inlineStr">
        <is>
          <t>Criterios: I [Q] | Shopify Stetson: producto 15227649556843 / variante 53791836242283</t>
        </is>
      </c>
      <c r="AL1443" s="58" t="n">
        <v>2992.5</v>
      </c>
      <c r="AM1443" s="58" t="n">
        <v>7241.37931</v>
      </c>
      <c r="AN1443" s="155" t="inlineStr">
        <is>
          <t>Shopify Stetson México</t>
        </is>
      </c>
      <c r="AO1443" s="59" t="n">
        <v>0</v>
      </c>
      <c r="AP1443" s="59" t="n"/>
      <c r="AQ1443" s="59" t="n"/>
      <c r="AR1443" s="155" t="n"/>
    </row>
    <row r="1444">
      <c r="A1444" s="50" t="inlineStr">
        <is>
          <t>795177082323</t>
        </is>
      </c>
      <c r="B1444" s="51" t="inlineStr">
        <is>
          <t>117337</t>
        </is>
      </c>
      <c r="C1444" s="156" t="inlineStr">
        <is>
          <t>Multimarca</t>
        </is>
      </c>
      <c r="D1444" s="156" t="inlineStr">
        <is>
          <t>SFCRSN-403461</t>
        </is>
      </c>
      <c r="E1444" s="156" t="inlineStr">
        <is>
          <t>SFCRSN-40346170</t>
        </is>
      </c>
      <c r="F1444" s="156" t="inlineStr">
        <is>
          <t>7</t>
        </is>
      </c>
      <c r="G1444" s="156" t="inlineStr">
        <is>
          <t>7</t>
        </is>
      </c>
      <c r="H1444" s="156" t="inlineStr">
        <is>
          <t>Stetson</t>
        </is>
      </c>
      <c r="I1444" s="156" t="inlineStr">
        <is>
          <t>Texana Stetson Carson 6X Gris</t>
        </is>
      </c>
      <c r="J1444" s="156" t="inlineStr">
        <is>
          <t>Accesorios</t>
        </is>
      </c>
      <c r="K1444" s="156" t="inlineStr">
        <is>
          <t>Sombreros</t>
        </is>
      </c>
      <c r="L1444" s="156" t="inlineStr">
        <is>
          <t>Unisex</t>
        </is>
      </c>
      <c r="M1444" s="156" t="inlineStr">
        <is>
          <t>Stetson</t>
        </is>
      </c>
      <c r="N1444" s="156" t="inlineStr">
        <is>
          <t>FW26</t>
        </is>
      </c>
      <c r="O1444" s="156" t="inlineStr">
        <is>
          <t>Seasonal</t>
        </is>
      </c>
      <c r="P1444" s="156" t="inlineStr">
        <is>
          <t>Gris</t>
        </is>
      </c>
      <c r="Q1444" s="156" t="n"/>
      <c r="R1444" s="156" t="inlineStr">
        <is>
          <t>Copa Teardrop</t>
        </is>
      </c>
      <c r="S1444" s="156" t="inlineStr">
        <is>
          <t>100% pelo de conejo</t>
        </is>
      </c>
      <c r="T1444"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4" s="156" t="inlineStr">
        <is>
          <t>Estados Unidos</t>
        </is>
      </c>
      <c r="V1444" s="156" t="inlineStr">
        <is>
          <t>PZS</t>
        </is>
      </c>
      <c r="W1444" s="51" t="inlineStr">
        <is>
          <t>53102503</t>
        </is>
      </c>
      <c r="X1444" s="156" t="n"/>
      <c r="Y1444" s="54" t="n">
        <v>2992.5</v>
      </c>
      <c r="Z1444" s="54" t="n">
        <v>7241.37931</v>
      </c>
      <c r="AA1444" s="55">
        <f>IF(AND(A1444="", B1444="", E1444=""), "", IF(AB1444="", "Válido", IF((LEN(AB1444)-LEN(SUBSTITUTE(AB1444,"; ","")))/2+1&gt;(LEN(AB1444)-LEN(SUBSTITUTE(AB1444,"[Aviso]","")))/7, "Con Incidencias", "Válido")))</f>
        <v/>
      </c>
      <c r="AB1444" s="56">
        <f>IF(AND(A1444="", B1444="", E1444=""), "", TEXTJOIN("; ", TRUE, IF(OR(TRIM(A1444&amp;"")="", ISNUMBER(SEARCH("FALTA", A1444))), "UPC faltante/inválido", ""), IF(AND(A1444&lt;&gt;"", IFERROR(_xlfn.XMATCH(A1444,$A$2:$A$2509,0,1)&lt;&gt;_xlfn.XMATCH(A1444,$A$2:$A$2509,0,-1),FALSE)), "Código de barras duplicado", ""), IF(AND(E1444&lt;&gt;"", COUNTIF($E$2:$E$2509, E1444)&gt;1), "SKU duplicado", ""), IF(OR(J1444="", J1444=""), "[Aviso] División no capturada ()", IF(ISNA(MATCH(J1444, Criterios!$A$123:$A$126, 0)), "División no válida", "")), IF(OR(K1444="", K1444=""), "[Aviso] Categoría no capturada ()", IF(ISNA(MATCH(K1444, Criterios!$A$81:$A$120, 0)), "Categoría no válida", IF(AND(J1444&lt;&gt;"", J1444&lt;&gt;"", J1444&lt;&gt;VLOOKUP(K1444, Criterios!$A$81:$B$120, 2, FALSE)), "División no coincide con Categoría", ""))), IF(OR(L1444="", L1444=""), "[Aviso] Género no capturado ()", IF(ISNA(MATCH(L1444, Criterios!$B$123:$B$127, 0)), "Género no válido", "")), IF(OR(N1444="", N1444=""), "[Aviso] Temporada no capturada ()", IF(ISNA(MATCH(N1444, Criterios!$C$123:$C$128, 0)), "Temporada no válida", "")), IF(OR(O1444="", O1444=""), "[Aviso] Ciclo de vida no capturado ()", IF(ISNA(MATCH(O1444, Criterios!$D$123:$D$124, 0)), "Ciclo de vida no válido", ""))))</f>
        <v/>
      </c>
      <c r="AC1444" s="56" t="n"/>
      <c r="AD1444" s="51" t="n">
        <v>-1</v>
      </c>
      <c r="AE1444" s="156" t="inlineStr">
        <is>
          <t>STETSON AMERICAS (1)</t>
        </is>
      </c>
      <c r="AF1444" s="51" t="n">
        <v>1</v>
      </c>
      <c r="AG1444" s="156" t="inlineStr">
        <is>
          <t>Catálogo existente</t>
        </is>
      </c>
      <c r="AH1444" s="156" t="inlineStr">
        <is>
          <t>Stock negativo en sistema: revisar en conteo | Revisión 29/09/2026: Campos sin respaldo: X | 01/10/2026: complementado desde Shopify Stetson México (match por código de barras): WB Fit, WB Silueta</t>
        </is>
      </c>
      <c r="AI1444" s="156" t="inlineStr">
        <is>
          <t>Sí</t>
        </is>
      </c>
      <c r="AJ1444" s="156" t="inlineStr">
        <is>
          <t>PUNTO DE VENTA (-1); B25 CEDIS (-1)</t>
        </is>
      </c>
      <c r="AK1444" s="155" t="inlineStr">
        <is>
          <t>Criterios: I [Q] | Shopify Stetson: producto 15227649556843 / variante 53791836275051</t>
        </is>
      </c>
      <c r="AL1444" s="58" t="n">
        <v>2992.5</v>
      </c>
      <c r="AM1444" s="58" t="n">
        <v>7241.37931</v>
      </c>
      <c r="AN1444" s="155" t="inlineStr">
        <is>
          <t>Shopify Stetson México</t>
        </is>
      </c>
      <c r="AO1444" s="59" t="n">
        <v>1</v>
      </c>
      <c r="AP1444" s="59" t="n"/>
      <c r="AQ1444" s="59" t="n"/>
      <c r="AR1444" s="155" t="inlineStr">
        <is>
          <t>Shopify Stetson México › Stetson Americas: 1</t>
        </is>
      </c>
    </row>
    <row r="1445">
      <c r="A1445" s="50" t="inlineStr">
        <is>
          <t>795177082330</t>
        </is>
      </c>
      <c r="B1445" s="51" t="inlineStr">
        <is>
          <t>117338</t>
        </is>
      </c>
      <c r="C1445" s="156" t="inlineStr">
        <is>
          <t>Multimarca</t>
        </is>
      </c>
      <c r="D1445" s="156" t="inlineStr">
        <is>
          <t>SFCRSN-403461</t>
        </is>
      </c>
      <c r="E1445" s="156" t="inlineStr">
        <is>
          <t>SFCRSN-40346171</t>
        </is>
      </c>
      <c r="F1445" s="156" t="inlineStr">
        <is>
          <t>7 1/8</t>
        </is>
      </c>
      <c r="G1445" s="156" t="inlineStr">
        <is>
          <t>7 1/8</t>
        </is>
      </c>
      <c r="H1445" s="156" t="inlineStr">
        <is>
          <t>Stetson</t>
        </is>
      </c>
      <c r="I1445" s="156" t="inlineStr">
        <is>
          <t>Texana Stetson Carson 6X Gris</t>
        </is>
      </c>
      <c r="J1445" s="156" t="inlineStr">
        <is>
          <t>Accesorios</t>
        </is>
      </c>
      <c r="K1445" s="156" t="inlineStr">
        <is>
          <t>Sombreros</t>
        </is>
      </c>
      <c r="L1445" s="156" t="inlineStr">
        <is>
          <t>Unisex</t>
        </is>
      </c>
      <c r="M1445" s="156" t="inlineStr">
        <is>
          <t>Stetson</t>
        </is>
      </c>
      <c r="N1445" s="156" t="inlineStr">
        <is>
          <t>FW26</t>
        </is>
      </c>
      <c r="O1445" s="156" t="inlineStr">
        <is>
          <t>Seasonal</t>
        </is>
      </c>
      <c r="P1445" s="156" t="inlineStr">
        <is>
          <t>Gris</t>
        </is>
      </c>
      <c r="Q1445" s="156" t="n"/>
      <c r="R1445" s="156" t="inlineStr">
        <is>
          <t>Copa Teardrop</t>
        </is>
      </c>
      <c r="S1445" s="156" t="inlineStr">
        <is>
          <t>100% pelo de conejo</t>
        </is>
      </c>
      <c r="T1445"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5" s="156" t="inlineStr">
        <is>
          <t>Estados Unidos</t>
        </is>
      </c>
      <c r="V1445" s="156" t="inlineStr">
        <is>
          <t>PZS</t>
        </is>
      </c>
      <c r="W1445" s="51" t="inlineStr">
        <is>
          <t>53102503</t>
        </is>
      </c>
      <c r="X1445" s="156" t="n"/>
      <c r="Y1445" s="54" t="n">
        <v>2992.5</v>
      </c>
      <c r="Z1445" s="54" t="n">
        <v>7241.37931</v>
      </c>
      <c r="AA1445" s="55">
        <f>IF(AND(A1445="", B1445="", E1445=""), "", IF(AB1445="", "Válido", IF((LEN(AB1445)-LEN(SUBSTITUTE(AB1445,"; ","")))/2+1&gt;(LEN(AB1445)-LEN(SUBSTITUTE(AB1445,"[Aviso]","")))/7, "Con Incidencias", "Válido")))</f>
        <v/>
      </c>
      <c r="AB1445" s="56">
        <f>IF(AND(A1445="", B1445="", E1445=""), "", TEXTJOIN("; ", TRUE, IF(OR(TRIM(A1445&amp;"")="", ISNUMBER(SEARCH("FALTA", A1445))), "UPC faltante/inválido", ""), IF(AND(A1445&lt;&gt;"", IFERROR(_xlfn.XMATCH(A1445,$A$2:$A$2509,0,1)&lt;&gt;_xlfn.XMATCH(A1445,$A$2:$A$2509,0,-1),FALSE)), "Código de barras duplicado", ""), IF(AND(E1445&lt;&gt;"", COUNTIF($E$2:$E$2509, E1445)&gt;1), "SKU duplicado", ""), IF(OR(J1445="", J1445=""), "[Aviso] División no capturada ()", IF(ISNA(MATCH(J1445, Criterios!$A$123:$A$126, 0)), "División no válida", "")), IF(OR(K1445="", K1445=""), "[Aviso] Categoría no capturada ()", IF(ISNA(MATCH(K1445, Criterios!$A$81:$A$120, 0)), "Categoría no válida", IF(AND(J1445&lt;&gt;"", J1445&lt;&gt;"", J1445&lt;&gt;VLOOKUP(K1445, Criterios!$A$81:$B$120, 2, FALSE)), "División no coincide con Categoría", ""))), IF(OR(L1445="", L1445=""), "[Aviso] Género no capturado ()", IF(ISNA(MATCH(L1445, Criterios!$B$123:$B$127, 0)), "Género no válido", "")), IF(OR(N1445="", N1445=""), "[Aviso] Temporada no capturada ()", IF(ISNA(MATCH(N1445, Criterios!$C$123:$C$128, 0)), "Temporada no válida", "")), IF(OR(O1445="", O1445=""), "[Aviso] Ciclo de vida no capturado ()", IF(ISNA(MATCH(O1445, Criterios!$D$123:$D$124, 0)), "Ciclo de vida no válido", ""))))</f>
        <v/>
      </c>
      <c r="AC1445" s="56" t="n"/>
      <c r="AD1445" s="51" t="n">
        <v>0</v>
      </c>
      <c r="AE1445" s="156" t="inlineStr">
        <is>
          <t>STETSON AMERICAS (2)</t>
        </is>
      </c>
      <c r="AF1445" s="51" t="n">
        <v>2</v>
      </c>
      <c r="AG1445" s="156" t="inlineStr">
        <is>
          <t>Catálogo existente</t>
        </is>
      </c>
      <c r="AH1445" s="156" t="inlineStr">
        <is>
          <t>Revisión 29/09/2026: Campos sin respaldo: X | 01/10/2026: complementado desde Shopify Stetson México (match por código de barras): WB Fit, WB Silueta</t>
        </is>
      </c>
      <c r="AI1445" s="156" t="inlineStr">
        <is>
          <t>Sí</t>
        </is>
      </c>
      <c r="AJ1445" s="156" t="inlineStr">
        <is>
          <t>B25 CEDIS (-1); PUNTO DE VENTA (-1)</t>
        </is>
      </c>
      <c r="AK1445" s="155" t="inlineStr">
        <is>
          <t>Criterios: I [Q] | Shopify Stetson: producto 15227649556843 / variante 53791836307819</t>
        </is>
      </c>
      <c r="AL1445" s="58" t="n">
        <v>2992.5</v>
      </c>
      <c r="AM1445" s="58" t="n">
        <v>7241.37931</v>
      </c>
      <c r="AN1445" s="155" t="inlineStr">
        <is>
          <t>Shopify Stetson México</t>
        </is>
      </c>
      <c r="AO1445" s="59" t="n">
        <v>2</v>
      </c>
      <c r="AP1445" s="59" t="n"/>
      <c r="AQ1445" s="59" t="n"/>
      <c r="AR1445" s="155" t="inlineStr">
        <is>
          <t>Shopify Stetson México › Stetson Americas: 2</t>
        </is>
      </c>
    </row>
    <row r="1446">
      <c r="A1446" s="50" t="inlineStr">
        <is>
          <t>795177082347</t>
        </is>
      </c>
      <c r="B1446" s="51" t="inlineStr">
        <is>
          <t>117339</t>
        </is>
      </c>
      <c r="C1446" s="156" t="inlineStr">
        <is>
          <t>Multimarca</t>
        </is>
      </c>
      <c r="D1446" s="156" t="inlineStr">
        <is>
          <t>SFCRSN-403461</t>
        </is>
      </c>
      <c r="E1446" s="156" t="inlineStr">
        <is>
          <t>SFCRSN-40346172</t>
        </is>
      </c>
      <c r="F1446" s="156" t="inlineStr">
        <is>
          <t>7 1/4</t>
        </is>
      </c>
      <c r="G1446" s="156" t="inlineStr">
        <is>
          <t>7 1/4</t>
        </is>
      </c>
      <c r="H1446" s="156" t="inlineStr">
        <is>
          <t>Stetson</t>
        </is>
      </c>
      <c r="I1446" s="156" t="inlineStr">
        <is>
          <t>Texana Stetson Carson 6X Gris</t>
        </is>
      </c>
      <c r="J1446" s="156" t="inlineStr">
        <is>
          <t>Accesorios</t>
        </is>
      </c>
      <c r="K1446" s="156" t="inlineStr">
        <is>
          <t>Sombreros</t>
        </is>
      </c>
      <c r="L1446" s="156" t="inlineStr">
        <is>
          <t>Unisex</t>
        </is>
      </c>
      <c r="M1446" s="156" t="inlineStr">
        <is>
          <t>Stetson</t>
        </is>
      </c>
      <c r="N1446" s="156" t="inlineStr">
        <is>
          <t>FW26</t>
        </is>
      </c>
      <c r="O1446" s="156" t="inlineStr">
        <is>
          <t>Seasonal</t>
        </is>
      </c>
      <c r="P1446" s="156" t="inlineStr">
        <is>
          <t>Gris</t>
        </is>
      </c>
      <c r="Q1446" s="156" t="n"/>
      <c r="R1446" s="156" t="inlineStr">
        <is>
          <t>Copa Teardrop</t>
        </is>
      </c>
      <c r="S1446" s="156" t="inlineStr">
        <is>
          <t>100% pelo de conejo</t>
        </is>
      </c>
      <c r="T1446"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6" s="156" t="inlineStr">
        <is>
          <t>Estados Unidos</t>
        </is>
      </c>
      <c r="V1446" s="156" t="inlineStr">
        <is>
          <t>PZS</t>
        </is>
      </c>
      <c r="W1446" s="51" t="inlineStr">
        <is>
          <t>53102503</t>
        </is>
      </c>
      <c r="X1446" s="156" t="n"/>
      <c r="Y1446" s="54" t="n">
        <v>2992.5</v>
      </c>
      <c r="Z1446" s="54" t="n">
        <v>7241.37931</v>
      </c>
      <c r="AA1446" s="55">
        <f>IF(AND(A1446="", B1446="", E1446=""), "", IF(AB1446="", "Válido", IF((LEN(AB1446)-LEN(SUBSTITUTE(AB1446,"; ","")))/2+1&gt;(LEN(AB1446)-LEN(SUBSTITUTE(AB1446,"[Aviso]","")))/7, "Con Incidencias", "Válido")))</f>
        <v/>
      </c>
      <c r="AB1446" s="56">
        <f>IF(AND(A1446="", B1446="", E1446=""), "", TEXTJOIN("; ", TRUE, IF(OR(TRIM(A1446&amp;"")="", ISNUMBER(SEARCH("FALTA", A1446))), "UPC faltante/inválido", ""), IF(AND(A1446&lt;&gt;"", IFERROR(_xlfn.XMATCH(A1446,$A$2:$A$2509,0,1)&lt;&gt;_xlfn.XMATCH(A1446,$A$2:$A$2509,0,-1),FALSE)), "Código de barras duplicado", ""), IF(AND(E1446&lt;&gt;"", COUNTIF($E$2:$E$2509, E1446)&gt;1), "SKU duplicado", ""), IF(OR(J1446="", J1446=""), "[Aviso] División no capturada ()", IF(ISNA(MATCH(J1446, Criterios!$A$123:$A$126, 0)), "División no válida", "")), IF(OR(K1446="", K1446=""), "[Aviso] Categoría no capturada ()", IF(ISNA(MATCH(K1446, Criterios!$A$81:$A$120, 0)), "Categoría no válida", IF(AND(J1446&lt;&gt;"", J1446&lt;&gt;"", J1446&lt;&gt;VLOOKUP(K1446, Criterios!$A$81:$B$120, 2, FALSE)), "División no coincide con Categoría", ""))), IF(OR(L1446="", L1446=""), "[Aviso] Género no capturado ()", IF(ISNA(MATCH(L1446, Criterios!$B$123:$B$127, 0)), "Género no válido", "")), IF(OR(N1446="", N1446=""), "[Aviso] Temporada no capturada ()", IF(ISNA(MATCH(N1446, Criterios!$C$123:$C$128, 0)), "Temporada no válida", "")), IF(OR(O1446="", O1446=""), "[Aviso] Ciclo de vida no capturado ()", IF(ISNA(MATCH(O1446, Criterios!$D$123:$D$124, 0)), "Ciclo de vida no válido", ""))))</f>
        <v/>
      </c>
      <c r="AC1446" s="56" t="n"/>
      <c r="AD1446" s="51" t="n">
        <v>0</v>
      </c>
      <c r="AE1446" s="156" t="inlineStr">
        <is>
          <t>STETSON AMERICAS (1)</t>
        </is>
      </c>
      <c r="AF1446" s="51" t="n">
        <v>1</v>
      </c>
      <c r="AG1446" s="156" t="inlineStr">
        <is>
          <t>Catálogo existente</t>
        </is>
      </c>
      <c r="AH1446" s="156" t="inlineStr">
        <is>
          <t>Revisión 29/09/2026: Campos sin respaldo: X | 01/10/2026: complementado desde Shopify Stetson México (match por código de barras): WB Fit, WB Silueta</t>
        </is>
      </c>
      <c r="AI1446" s="156" t="inlineStr">
        <is>
          <t>Sí</t>
        </is>
      </c>
      <c r="AJ1446" s="156" t="inlineStr">
        <is>
          <t>B25 CEDIS (-1)</t>
        </is>
      </c>
      <c r="AK1446" s="155" t="inlineStr">
        <is>
          <t>Criterios: I [Q] | Shopify Stetson: producto 15227649556843 / variante 53791836340587</t>
        </is>
      </c>
      <c r="AL1446" s="58" t="n">
        <v>2992.5</v>
      </c>
      <c r="AM1446" s="58" t="n">
        <v>7241.37931</v>
      </c>
      <c r="AN1446" s="155" t="inlineStr">
        <is>
          <t>Shopify Stetson México</t>
        </is>
      </c>
      <c r="AO1446" s="59" t="n">
        <v>1</v>
      </c>
      <c r="AP1446" s="59" t="n"/>
      <c r="AQ1446" s="59" t="n"/>
      <c r="AR1446" s="155" t="inlineStr">
        <is>
          <t>Shopify Stetson México › Stetson Americas: 1</t>
        </is>
      </c>
    </row>
    <row r="1447">
      <c r="A1447" s="50" t="inlineStr">
        <is>
          <t>795177082354</t>
        </is>
      </c>
      <c r="B1447" s="51" t="inlineStr">
        <is>
          <t>117340</t>
        </is>
      </c>
      <c r="C1447" s="156" t="inlineStr">
        <is>
          <t>Multimarca</t>
        </is>
      </c>
      <c r="D1447" s="156" t="inlineStr">
        <is>
          <t>SFCRSN-403461</t>
        </is>
      </c>
      <c r="E1447" s="156" t="inlineStr">
        <is>
          <t>SFCRSN-40346173</t>
        </is>
      </c>
      <c r="F1447" s="156" t="inlineStr">
        <is>
          <t>7 3/8</t>
        </is>
      </c>
      <c r="G1447" s="156" t="inlineStr">
        <is>
          <t>7 3/8</t>
        </is>
      </c>
      <c r="H1447" s="156" t="inlineStr">
        <is>
          <t>Stetson</t>
        </is>
      </c>
      <c r="I1447" s="156" t="inlineStr">
        <is>
          <t>Texana Stetson Carson 6X Gris</t>
        </is>
      </c>
      <c r="J1447" s="156" t="inlineStr">
        <is>
          <t>Accesorios</t>
        </is>
      </c>
      <c r="K1447" s="156" t="inlineStr">
        <is>
          <t>Sombreros</t>
        </is>
      </c>
      <c r="L1447" s="156" t="inlineStr">
        <is>
          <t>Unisex</t>
        </is>
      </c>
      <c r="M1447" s="156" t="inlineStr">
        <is>
          <t>Stetson</t>
        </is>
      </c>
      <c r="N1447" s="156" t="inlineStr">
        <is>
          <t>FW26</t>
        </is>
      </c>
      <c r="O1447" s="156" t="inlineStr">
        <is>
          <t>Seasonal</t>
        </is>
      </c>
      <c r="P1447" s="156" t="inlineStr">
        <is>
          <t>Gris</t>
        </is>
      </c>
      <c r="Q1447" s="156" t="n"/>
      <c r="R1447" s="156" t="inlineStr">
        <is>
          <t>Copa Teardrop</t>
        </is>
      </c>
      <c r="S1447" s="156" t="inlineStr">
        <is>
          <t>100% pelo de conejo</t>
        </is>
      </c>
      <c r="T1447"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7" s="156" t="inlineStr">
        <is>
          <t>Estados Unidos</t>
        </is>
      </c>
      <c r="V1447" s="156" t="inlineStr">
        <is>
          <t>PZS</t>
        </is>
      </c>
      <c r="W1447" s="51" t="inlineStr">
        <is>
          <t>53102503</t>
        </is>
      </c>
      <c r="X1447" s="156" t="n"/>
      <c r="Y1447" s="54" t="n">
        <v>2992.5</v>
      </c>
      <c r="Z1447" s="54" t="n">
        <v>7241.37931</v>
      </c>
      <c r="AA1447" s="55">
        <f>IF(AND(A1447="", B1447="", E1447=""), "", IF(AB1447="", "Válido", IF((LEN(AB1447)-LEN(SUBSTITUTE(AB1447,"; ","")))/2+1&gt;(LEN(AB1447)-LEN(SUBSTITUTE(AB1447,"[Aviso]","")))/7, "Con Incidencias", "Válido")))</f>
        <v/>
      </c>
      <c r="AB1447" s="56">
        <f>IF(AND(A1447="", B1447="", E1447=""), "", TEXTJOIN("; ", TRUE, IF(OR(TRIM(A1447&amp;"")="", ISNUMBER(SEARCH("FALTA", A1447))), "UPC faltante/inválido", ""), IF(AND(A1447&lt;&gt;"", IFERROR(_xlfn.XMATCH(A1447,$A$2:$A$2509,0,1)&lt;&gt;_xlfn.XMATCH(A1447,$A$2:$A$2509,0,-1),FALSE)), "Código de barras duplicado", ""), IF(AND(E1447&lt;&gt;"", COUNTIF($E$2:$E$2509, E1447)&gt;1), "SKU duplicado", ""), IF(OR(J1447="", J1447=""), "[Aviso] División no capturada ()", IF(ISNA(MATCH(J1447, Criterios!$A$123:$A$126, 0)), "División no válida", "")), IF(OR(K1447="", K1447=""), "[Aviso] Categoría no capturada ()", IF(ISNA(MATCH(K1447, Criterios!$A$81:$A$120, 0)), "Categoría no válida", IF(AND(J1447&lt;&gt;"", J1447&lt;&gt;"", J1447&lt;&gt;VLOOKUP(K1447, Criterios!$A$81:$B$120, 2, FALSE)), "División no coincide con Categoría", ""))), IF(OR(L1447="", L1447=""), "[Aviso] Género no capturado ()", IF(ISNA(MATCH(L1447, Criterios!$B$123:$B$127, 0)), "Género no válido", "")), IF(OR(N1447="", N1447=""), "[Aviso] Temporada no capturada ()", IF(ISNA(MATCH(N1447, Criterios!$C$123:$C$128, 0)), "Temporada no válida", "")), IF(OR(O1447="", O1447=""), "[Aviso] Ciclo de vida no capturado ()", IF(ISNA(MATCH(O1447, Criterios!$D$123:$D$124, 0)), "Ciclo de vida no válido", ""))))</f>
        <v/>
      </c>
      <c r="AC1447" s="56" t="n"/>
      <c r="AD1447" s="51" t="n">
        <v>0</v>
      </c>
      <c r="AE1447" s="156" t="inlineStr">
        <is>
          <t>STETSON AMERICAS (1)</t>
        </is>
      </c>
      <c r="AF1447" s="51" t="n">
        <v>1</v>
      </c>
      <c r="AG1447" s="156" t="inlineStr">
        <is>
          <t>Catálogo existente</t>
        </is>
      </c>
      <c r="AH1447" s="156" t="inlineStr">
        <is>
          <t>Revisión 29/09/2026: Campos sin respaldo: X | 01/10/2026: complementado desde Shopify Stetson México (match por código de barras): WB Fit, WB Silueta</t>
        </is>
      </c>
      <c r="AI1447" s="156" t="inlineStr">
        <is>
          <t>Sí</t>
        </is>
      </c>
      <c r="AJ1447" s="156" t="inlineStr">
        <is>
          <t>B25 CEDIS (-1)</t>
        </is>
      </c>
      <c r="AK1447" s="155" t="inlineStr">
        <is>
          <t>Criterios: I [Q] | Shopify Stetson: producto 15227649556843 / variante 53791836373355</t>
        </is>
      </c>
      <c r="AL1447" s="58" t="n">
        <v>2992.5</v>
      </c>
      <c r="AM1447" s="58" t="n">
        <v>7241.37931</v>
      </c>
      <c r="AN1447" s="155" t="inlineStr">
        <is>
          <t>Shopify Stetson México</t>
        </is>
      </c>
      <c r="AO1447" s="59" t="n">
        <v>1</v>
      </c>
      <c r="AP1447" s="59" t="n"/>
      <c r="AQ1447" s="59" t="n"/>
      <c r="AR1447" s="155" t="inlineStr">
        <is>
          <t>Shopify Stetson México › Stetson Americas: 1</t>
        </is>
      </c>
    </row>
    <row r="1448">
      <c r="A1448" s="50" t="inlineStr">
        <is>
          <t>795177101413</t>
        </is>
      </c>
      <c r="B1448" s="51" t="inlineStr">
        <is>
          <t>117346</t>
        </is>
      </c>
      <c r="C1448" s="156" t="inlineStr">
        <is>
          <t>Multimarca</t>
        </is>
      </c>
      <c r="D1448" s="156" t="inlineStr">
        <is>
          <t>SFGUSS-504007</t>
        </is>
      </c>
      <c r="E1448" s="156" t="inlineStr">
        <is>
          <t>SFGUSS-50400766</t>
        </is>
      </c>
      <c r="F1448" s="156" t="inlineStr">
        <is>
          <t>6 3/4</t>
        </is>
      </c>
      <c r="G1448" s="156" t="inlineStr">
        <is>
          <t>6 3/4</t>
        </is>
      </c>
      <c r="H1448" s="156" t="inlineStr">
        <is>
          <t>Stetson</t>
        </is>
      </c>
      <c r="I1448" s="156" t="inlineStr">
        <is>
          <t>Texana Stetson Gus 6X Negro</t>
        </is>
      </c>
      <c r="J1448" s="156" t="inlineStr">
        <is>
          <t>Accesorios</t>
        </is>
      </c>
      <c r="K1448" s="156" t="inlineStr">
        <is>
          <t>Sombreros</t>
        </is>
      </c>
      <c r="L1448" s="156" t="inlineStr">
        <is>
          <t>Unisex</t>
        </is>
      </c>
      <c r="M1448" s="156" t="inlineStr">
        <is>
          <t>Stetson</t>
        </is>
      </c>
      <c r="N1448" s="156" t="inlineStr">
        <is>
          <t>FW26</t>
        </is>
      </c>
      <c r="O1448" s="156" t="inlineStr">
        <is>
          <t>Seasonal</t>
        </is>
      </c>
      <c r="P1448" s="156" t="inlineStr">
        <is>
          <t>Negro</t>
        </is>
      </c>
      <c r="Q1448" s="156" t="n"/>
      <c r="R1448" s="156" t="inlineStr">
        <is>
          <t>Copa Gus</t>
        </is>
      </c>
      <c r="S1448" s="156" t="inlineStr">
        <is>
          <t>100% pelo de conejo</t>
        </is>
      </c>
      <c r="T1448"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48" s="156" t="inlineStr">
        <is>
          <t>Estados Unidos</t>
        </is>
      </c>
      <c r="V1448" s="156" t="inlineStr">
        <is>
          <t>PZS</t>
        </is>
      </c>
      <c r="W1448" s="51" t="inlineStr">
        <is>
          <t>53102503</t>
        </is>
      </c>
      <c r="X1448" s="156" t="inlineStr">
        <is>
          <t>https://cdn.shopify.com/s/files/1/0357/2432/9005/products/sfguss-5040_black_1.jpg?v=1590802287</t>
        </is>
      </c>
      <c r="Y1448" s="54" t="n">
        <v>2992.5</v>
      </c>
      <c r="Z1448" s="54" t="n">
        <v>7241.37931</v>
      </c>
      <c r="AA1448" s="55">
        <f>IF(AND(A1448="", B1448="", E1448=""), "", IF(AB1448="", "Válido", IF((LEN(AB1448)-LEN(SUBSTITUTE(AB1448,"; ","")))/2+1&gt;(LEN(AB1448)-LEN(SUBSTITUTE(AB1448,"[Aviso]","")))/7, "Con Incidencias", "Válido")))</f>
        <v/>
      </c>
      <c r="AB1448" s="56">
        <f>IF(AND(A1448="", B1448="", E1448=""), "", TEXTJOIN("; ", TRUE, IF(OR(TRIM(A1448&amp;"")="", ISNUMBER(SEARCH("FALTA", A1448))), "UPC faltante/inválido", ""), IF(AND(A1448&lt;&gt;"", IFERROR(_xlfn.XMATCH(A1448,$A$2:$A$2509,0,1)&lt;&gt;_xlfn.XMATCH(A1448,$A$2:$A$2509,0,-1),FALSE)), "Código de barras duplicado", ""), IF(AND(E1448&lt;&gt;"", COUNTIF($E$2:$E$2509, E1448)&gt;1), "SKU duplicado", ""), IF(OR(J1448="", J1448=""), "[Aviso] División no capturada ()", IF(ISNA(MATCH(J1448, Criterios!$A$123:$A$126, 0)), "División no válida", "")), IF(OR(K1448="", K1448=""), "[Aviso] Categoría no capturada ()", IF(ISNA(MATCH(K1448, Criterios!$A$81:$A$120, 0)), "Categoría no válida", IF(AND(J1448&lt;&gt;"", J1448&lt;&gt;"", J1448&lt;&gt;VLOOKUP(K1448, Criterios!$A$81:$B$120, 2, FALSE)), "División no coincide con Categoría", ""))), IF(OR(L1448="", L1448=""), "[Aviso] Género no capturado ()", IF(ISNA(MATCH(L1448, Criterios!$B$123:$B$127, 0)), "Género no válido", "")), IF(OR(N1448="", N1448=""), "[Aviso] Temporada no capturada ()", IF(ISNA(MATCH(N1448, Criterios!$C$123:$C$128, 0)), "Temporada no válida", "")), IF(OR(O1448="", O1448=""), "[Aviso] Ciclo de vida no capturado ()", IF(ISNA(MATCH(O1448, Criterios!$D$123:$D$124, 0)), "Ciclo de vida no válido", ""))))</f>
        <v/>
      </c>
      <c r="AC1448" s="56" t="n"/>
      <c r="AD1448" s="51" t="n">
        <v>0</v>
      </c>
      <c r="AE1448" s="156" t="inlineStr">
        <is>
          <t>STETSON AMERICAS (1)</t>
        </is>
      </c>
      <c r="AF1448" s="51" t="n">
        <v>1</v>
      </c>
      <c r="AG1448" s="156" t="inlineStr">
        <is>
          <t>Catálogo existente</t>
        </is>
      </c>
      <c r="AH1448"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48" s="156" t="inlineStr">
        <is>
          <t>Sí</t>
        </is>
      </c>
      <c r="AJ1448" s="156" t="inlineStr">
        <is>
          <t>B25 CEDIS (-1)</t>
        </is>
      </c>
      <c r="AK1448" s="155" t="inlineStr">
        <is>
          <t>Criterios: I [Q] | Shopify Stetson: producto 15227649655147 / variante 53791836635499 | Investigación en línea 06/10/2026: https://www.stetson.com/products/gus-6x-cowboy-hat-black</t>
        </is>
      </c>
      <c r="AL1448" s="58" t="n">
        <v>2992.5</v>
      </c>
      <c r="AM1448" s="58" t="n">
        <v>7241.37931</v>
      </c>
      <c r="AN1448" s="155" t="inlineStr">
        <is>
          <t>Shopify Stetson México</t>
        </is>
      </c>
      <c r="AO1448" s="59" t="n">
        <v>1</v>
      </c>
      <c r="AP1448" s="59" t="n"/>
      <c r="AQ1448" s="59" t="n"/>
      <c r="AR1448" s="155" t="inlineStr">
        <is>
          <t>Shopify Stetson México › Stetson Americas: 1</t>
        </is>
      </c>
    </row>
    <row r="1449">
      <c r="A1449" s="50" t="inlineStr">
        <is>
          <t>795177101420</t>
        </is>
      </c>
      <c r="B1449" s="51" t="inlineStr">
        <is>
          <t>117347</t>
        </is>
      </c>
      <c r="C1449" s="156" t="inlineStr">
        <is>
          <t>Multimarca</t>
        </is>
      </c>
      <c r="D1449" s="156" t="inlineStr">
        <is>
          <t>SFGUSS-504007</t>
        </is>
      </c>
      <c r="E1449" s="156" t="inlineStr">
        <is>
          <t>SFGUSS-50400767</t>
        </is>
      </c>
      <c r="F1449" s="156" t="inlineStr">
        <is>
          <t>6 7/8</t>
        </is>
      </c>
      <c r="G1449" s="156" t="inlineStr">
        <is>
          <t>6 7/8</t>
        </is>
      </c>
      <c r="H1449" s="156" t="inlineStr">
        <is>
          <t>Stetson</t>
        </is>
      </c>
      <c r="I1449" s="156" t="inlineStr">
        <is>
          <t>Texana Stetson Gus 6X Negro</t>
        </is>
      </c>
      <c r="J1449" s="156" t="inlineStr">
        <is>
          <t>Accesorios</t>
        </is>
      </c>
      <c r="K1449" s="156" t="inlineStr">
        <is>
          <t>Sombreros</t>
        </is>
      </c>
      <c r="L1449" s="156" t="inlineStr">
        <is>
          <t>Unisex</t>
        </is>
      </c>
      <c r="M1449" s="156" t="inlineStr">
        <is>
          <t>Stetson</t>
        </is>
      </c>
      <c r="N1449" s="156" t="inlineStr">
        <is>
          <t>FW26</t>
        </is>
      </c>
      <c r="O1449" s="156" t="inlineStr">
        <is>
          <t>Seasonal</t>
        </is>
      </c>
      <c r="P1449" s="156" t="inlineStr">
        <is>
          <t>Negro</t>
        </is>
      </c>
      <c r="Q1449" s="156" t="n"/>
      <c r="R1449" s="156" t="inlineStr">
        <is>
          <t>Copa Gus</t>
        </is>
      </c>
      <c r="S1449" s="156" t="inlineStr">
        <is>
          <t>100% pelo de conejo</t>
        </is>
      </c>
      <c r="T1449"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49" s="156" t="inlineStr">
        <is>
          <t>Estados Unidos</t>
        </is>
      </c>
      <c r="V1449" s="156" t="inlineStr">
        <is>
          <t>PZS</t>
        </is>
      </c>
      <c r="W1449" s="51" t="inlineStr">
        <is>
          <t>53102503</t>
        </is>
      </c>
      <c r="X1449" s="156" t="inlineStr">
        <is>
          <t>https://cdn.shopify.com/s/files/1/0357/2432/9005/products/sfguss-5040_black_1.jpg?v=1590802287</t>
        </is>
      </c>
      <c r="Y1449" s="54" t="n">
        <v>2992.5</v>
      </c>
      <c r="Z1449" s="54" t="n">
        <v>7241.37931</v>
      </c>
      <c r="AA1449" s="55">
        <f>IF(AND(A1449="", B1449="", E1449=""), "", IF(AB1449="", "Válido", IF((LEN(AB1449)-LEN(SUBSTITUTE(AB1449,"; ","")))/2+1&gt;(LEN(AB1449)-LEN(SUBSTITUTE(AB1449,"[Aviso]","")))/7, "Con Incidencias", "Válido")))</f>
        <v/>
      </c>
      <c r="AB1449" s="56">
        <f>IF(AND(A1449="", B1449="", E1449=""), "", TEXTJOIN("; ", TRUE, IF(OR(TRIM(A1449&amp;"")="", ISNUMBER(SEARCH("FALTA", A1449))), "UPC faltante/inválido", ""), IF(AND(A1449&lt;&gt;"", IFERROR(_xlfn.XMATCH(A1449,$A$2:$A$2509,0,1)&lt;&gt;_xlfn.XMATCH(A1449,$A$2:$A$2509,0,-1),FALSE)), "Código de barras duplicado", ""), IF(AND(E1449&lt;&gt;"", COUNTIF($E$2:$E$2509, E1449)&gt;1), "SKU duplicado", ""), IF(OR(J1449="", J1449=""), "[Aviso] División no capturada ()", IF(ISNA(MATCH(J1449, Criterios!$A$123:$A$126, 0)), "División no válida", "")), IF(OR(K1449="", K1449=""), "[Aviso] Categoría no capturada ()", IF(ISNA(MATCH(K1449, Criterios!$A$81:$A$120, 0)), "Categoría no válida", IF(AND(J1449&lt;&gt;"", J1449&lt;&gt;"", J1449&lt;&gt;VLOOKUP(K1449, Criterios!$A$81:$B$120, 2, FALSE)), "División no coincide con Categoría", ""))), IF(OR(L1449="", L1449=""), "[Aviso] Género no capturado ()", IF(ISNA(MATCH(L1449, Criterios!$B$123:$B$127, 0)), "Género no válido", "")), IF(OR(N1449="", N1449=""), "[Aviso] Temporada no capturada ()", IF(ISNA(MATCH(N1449, Criterios!$C$123:$C$128, 0)), "Temporada no válida", "")), IF(OR(O1449="", O1449=""), "[Aviso] Ciclo de vida no capturado ()", IF(ISNA(MATCH(O1449, Criterios!$D$123:$D$124, 0)), "Ciclo de vida no válido", ""))))</f>
        <v/>
      </c>
      <c r="AC1449" s="56" t="n"/>
      <c r="AD1449" s="51" t="n">
        <v>0</v>
      </c>
      <c r="AE1449" s="156" t="inlineStr">
        <is>
          <t>STETSON AMERICAS (1)</t>
        </is>
      </c>
      <c r="AF1449" s="51" t="n">
        <v>1</v>
      </c>
      <c r="AG1449" s="156" t="inlineStr">
        <is>
          <t>Catálogo existente</t>
        </is>
      </c>
      <c r="AH1449"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49" s="156" t="inlineStr">
        <is>
          <t>Sí</t>
        </is>
      </c>
      <c r="AJ1449" s="156" t="inlineStr">
        <is>
          <t>B25 CEDIS (-1)</t>
        </is>
      </c>
      <c r="AK1449" s="155" t="inlineStr">
        <is>
          <t>Criterios: I [Q] | Shopify Stetson: producto 15227649655147 / variante 53791836668267 | Investigación en línea 06/10/2026: https://www.stetson.com/products/gus-6x-cowboy-hat-black</t>
        </is>
      </c>
      <c r="AL1449" s="58" t="n">
        <v>2992.5</v>
      </c>
      <c r="AM1449" s="58" t="n">
        <v>7241.37931</v>
      </c>
      <c r="AN1449" s="155" t="inlineStr">
        <is>
          <t>Shopify Stetson México</t>
        </is>
      </c>
      <c r="AO1449" s="59" t="n">
        <v>1</v>
      </c>
      <c r="AP1449" s="59" t="n"/>
      <c r="AQ1449" s="59" t="n"/>
      <c r="AR1449" s="155" t="inlineStr">
        <is>
          <t>Shopify Stetson México › Stetson Americas: 1</t>
        </is>
      </c>
    </row>
    <row r="1450">
      <c r="A1450" s="50" t="inlineStr">
        <is>
          <t>795177101437</t>
        </is>
      </c>
      <c r="B1450" s="51" t="inlineStr">
        <is>
          <t>117348</t>
        </is>
      </c>
      <c r="C1450" s="156" t="inlineStr">
        <is>
          <t>Multimarca</t>
        </is>
      </c>
      <c r="D1450" s="156" t="inlineStr">
        <is>
          <t>SFGUSS-504007</t>
        </is>
      </c>
      <c r="E1450" s="156" t="inlineStr">
        <is>
          <t>SFGUSS-50400770</t>
        </is>
      </c>
      <c r="F1450" s="156" t="inlineStr">
        <is>
          <t>7</t>
        </is>
      </c>
      <c r="G1450" s="156" t="inlineStr">
        <is>
          <t>7</t>
        </is>
      </c>
      <c r="H1450" s="156" t="inlineStr">
        <is>
          <t>Stetson</t>
        </is>
      </c>
      <c r="I1450" s="156" t="inlineStr">
        <is>
          <t>Texana Stetson Gus 6X Negro</t>
        </is>
      </c>
      <c r="J1450" s="156" t="inlineStr">
        <is>
          <t>Accesorios</t>
        </is>
      </c>
      <c r="K1450" s="156" t="inlineStr">
        <is>
          <t>Sombreros</t>
        </is>
      </c>
      <c r="L1450" s="156" t="inlineStr">
        <is>
          <t>Unisex</t>
        </is>
      </c>
      <c r="M1450" s="156" t="inlineStr">
        <is>
          <t>Stetson</t>
        </is>
      </c>
      <c r="N1450" s="156" t="inlineStr">
        <is>
          <t>FW26</t>
        </is>
      </c>
      <c r="O1450" s="156" t="inlineStr">
        <is>
          <t>Seasonal</t>
        </is>
      </c>
      <c r="P1450" s="156" t="inlineStr">
        <is>
          <t>Negro</t>
        </is>
      </c>
      <c r="Q1450" s="156" t="n"/>
      <c r="R1450" s="156" t="inlineStr">
        <is>
          <t>Copa Gus</t>
        </is>
      </c>
      <c r="S1450" s="156" t="inlineStr">
        <is>
          <t>100% pelo de conejo</t>
        </is>
      </c>
      <c r="T1450"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50" s="156" t="inlineStr">
        <is>
          <t>Estados Unidos</t>
        </is>
      </c>
      <c r="V1450" s="156" t="inlineStr">
        <is>
          <t>PZS</t>
        </is>
      </c>
      <c r="W1450" s="51" t="inlineStr">
        <is>
          <t>53102503</t>
        </is>
      </c>
      <c r="X1450" s="156" t="inlineStr">
        <is>
          <t>https://cdn.shopify.com/s/files/1/0357/2432/9005/products/sfguss-5040_black_1.jpg?v=1590802287</t>
        </is>
      </c>
      <c r="Y1450" s="54" t="n">
        <v>2992.5</v>
      </c>
      <c r="Z1450" s="54" t="n">
        <v>7241.37931</v>
      </c>
      <c r="AA1450" s="55">
        <f>IF(AND(A1450="", B1450="", E1450=""), "", IF(AB1450="", "Válido", IF((LEN(AB1450)-LEN(SUBSTITUTE(AB1450,"; ","")))/2+1&gt;(LEN(AB1450)-LEN(SUBSTITUTE(AB1450,"[Aviso]","")))/7, "Con Incidencias", "Válido")))</f>
        <v/>
      </c>
      <c r="AB1450" s="56">
        <f>IF(AND(A1450="", B1450="", E1450=""), "", TEXTJOIN("; ", TRUE, IF(OR(TRIM(A1450&amp;"")="", ISNUMBER(SEARCH("FALTA", A1450))), "UPC faltante/inválido", ""), IF(AND(A1450&lt;&gt;"", IFERROR(_xlfn.XMATCH(A1450,$A$2:$A$2509,0,1)&lt;&gt;_xlfn.XMATCH(A1450,$A$2:$A$2509,0,-1),FALSE)), "Código de barras duplicado", ""), IF(AND(E1450&lt;&gt;"", COUNTIF($E$2:$E$2509, E1450)&gt;1), "SKU duplicado", ""), IF(OR(J1450="", J1450=""), "[Aviso] División no capturada ()", IF(ISNA(MATCH(J1450, Criterios!$A$123:$A$126, 0)), "División no válida", "")), IF(OR(K1450="", K1450=""), "[Aviso] Categoría no capturada ()", IF(ISNA(MATCH(K1450, Criterios!$A$81:$A$120, 0)), "Categoría no válida", IF(AND(J1450&lt;&gt;"", J1450&lt;&gt;"", J1450&lt;&gt;VLOOKUP(K1450, Criterios!$A$81:$B$120, 2, FALSE)), "División no coincide con Categoría", ""))), IF(OR(L1450="", L1450=""), "[Aviso] Género no capturado ()", IF(ISNA(MATCH(L1450, Criterios!$B$123:$B$127, 0)), "Género no válido", "")), IF(OR(N1450="", N1450=""), "[Aviso] Temporada no capturada ()", IF(ISNA(MATCH(N1450, Criterios!$C$123:$C$128, 0)), "Temporada no válida", "")), IF(OR(O1450="", O1450=""), "[Aviso] Ciclo de vida no capturado ()", IF(ISNA(MATCH(O1450, Criterios!$D$123:$D$124, 0)), "Ciclo de vida no válido", ""))))</f>
        <v/>
      </c>
      <c r="AC1450" s="56" t="n"/>
      <c r="AD1450" s="51" t="n">
        <v>0</v>
      </c>
      <c r="AE1450" s="156" t="inlineStr">
        <is>
          <t>STETSON AMERICAS (1)</t>
        </is>
      </c>
      <c r="AF1450" s="51" t="n">
        <v>1</v>
      </c>
      <c r="AG1450" s="156" t="inlineStr">
        <is>
          <t>Catálogo existente</t>
        </is>
      </c>
      <c r="AH1450"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50" s="156" t="inlineStr">
        <is>
          <t>Sí</t>
        </is>
      </c>
      <c r="AJ1450" s="156" t="inlineStr">
        <is>
          <t>B25 CEDIS (-1)</t>
        </is>
      </c>
      <c r="AK1450" s="155" t="inlineStr">
        <is>
          <t>Criterios: I [Q] | Shopify Stetson: producto 15227649655147 / variante 53791836701035 | Investigación en línea 06/10/2026: https://www.stetson.com/products/gus-6x-cowboy-hat-black</t>
        </is>
      </c>
      <c r="AL1450" s="58" t="n">
        <v>2992.5</v>
      </c>
      <c r="AM1450" s="58" t="n">
        <v>7241.37931</v>
      </c>
      <c r="AN1450" s="155" t="inlineStr">
        <is>
          <t>Shopify Stetson México</t>
        </is>
      </c>
      <c r="AO1450" s="59" t="n">
        <v>1</v>
      </c>
      <c r="AP1450" s="59" t="n"/>
      <c r="AQ1450" s="59" t="n"/>
      <c r="AR1450" s="155" t="inlineStr">
        <is>
          <t>Shopify Stetson México › Stetson Americas: 1</t>
        </is>
      </c>
    </row>
    <row r="1451">
      <c r="A1451" s="50" t="inlineStr">
        <is>
          <t>795177101444</t>
        </is>
      </c>
      <c r="B1451" s="51" t="inlineStr">
        <is>
          <t>117349</t>
        </is>
      </c>
      <c r="C1451" s="156" t="inlineStr">
        <is>
          <t>Multimarca</t>
        </is>
      </c>
      <c r="D1451" s="156" t="inlineStr">
        <is>
          <t>SFGUSS-504007</t>
        </is>
      </c>
      <c r="E1451" s="156" t="inlineStr">
        <is>
          <t>SFGUSS-50400771</t>
        </is>
      </c>
      <c r="F1451" s="156" t="inlineStr">
        <is>
          <t>7 1/8</t>
        </is>
      </c>
      <c r="G1451" s="156" t="inlineStr">
        <is>
          <t>7 1/8</t>
        </is>
      </c>
      <c r="H1451" s="156" t="inlineStr">
        <is>
          <t>Stetson</t>
        </is>
      </c>
      <c r="I1451" s="156" t="inlineStr">
        <is>
          <t>Texana Stetson Gus 6X Negro</t>
        </is>
      </c>
      <c r="J1451" s="156" t="inlineStr">
        <is>
          <t>Accesorios</t>
        </is>
      </c>
      <c r="K1451" s="156" t="inlineStr">
        <is>
          <t>Sombreros</t>
        </is>
      </c>
      <c r="L1451" s="156" t="inlineStr">
        <is>
          <t>Unisex</t>
        </is>
      </c>
      <c r="M1451" s="156" t="inlineStr">
        <is>
          <t>Stetson</t>
        </is>
      </c>
      <c r="N1451" s="156" t="inlineStr">
        <is>
          <t>FW26</t>
        </is>
      </c>
      <c r="O1451" s="156" t="inlineStr">
        <is>
          <t>Seasonal</t>
        </is>
      </c>
      <c r="P1451" s="156" t="inlineStr">
        <is>
          <t>Negro</t>
        </is>
      </c>
      <c r="Q1451" s="156" t="n"/>
      <c r="R1451" s="156" t="inlineStr">
        <is>
          <t>Copa Gus</t>
        </is>
      </c>
      <c r="S1451" s="156" t="inlineStr">
        <is>
          <t>100% pelo de conejo</t>
        </is>
      </c>
      <c r="T1451"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51" s="156" t="inlineStr">
        <is>
          <t>Estados Unidos</t>
        </is>
      </c>
      <c r="V1451" s="156" t="inlineStr">
        <is>
          <t>PZS</t>
        </is>
      </c>
      <c r="W1451" s="51" t="inlineStr">
        <is>
          <t>53102503</t>
        </is>
      </c>
      <c r="X1451" s="156" t="inlineStr">
        <is>
          <t>https://cdn.shopify.com/s/files/1/0357/2432/9005/products/sfguss-5040_black_1.jpg?v=1590802287</t>
        </is>
      </c>
      <c r="Y1451" s="54" t="n">
        <v>2992.5</v>
      </c>
      <c r="Z1451" s="54" t="n">
        <v>7241.37931</v>
      </c>
      <c r="AA1451" s="55">
        <f>IF(AND(A1451="", B1451="", E1451=""), "", IF(AB1451="", "Válido", IF((LEN(AB1451)-LEN(SUBSTITUTE(AB1451,"; ","")))/2+1&gt;(LEN(AB1451)-LEN(SUBSTITUTE(AB1451,"[Aviso]","")))/7, "Con Incidencias", "Válido")))</f>
        <v/>
      </c>
      <c r="AB1451" s="56">
        <f>IF(AND(A1451="", B1451="", E1451=""), "", TEXTJOIN("; ", TRUE, IF(OR(TRIM(A1451&amp;"")="", ISNUMBER(SEARCH("FALTA", A1451))), "UPC faltante/inválido", ""), IF(AND(A1451&lt;&gt;"", IFERROR(_xlfn.XMATCH(A1451,$A$2:$A$2509,0,1)&lt;&gt;_xlfn.XMATCH(A1451,$A$2:$A$2509,0,-1),FALSE)), "Código de barras duplicado", ""), IF(AND(E1451&lt;&gt;"", COUNTIF($E$2:$E$2509, E1451)&gt;1), "SKU duplicado", ""), IF(OR(J1451="", J1451=""), "[Aviso] División no capturada ()", IF(ISNA(MATCH(J1451, Criterios!$A$123:$A$126, 0)), "División no válida", "")), IF(OR(K1451="", K1451=""), "[Aviso] Categoría no capturada ()", IF(ISNA(MATCH(K1451, Criterios!$A$81:$A$120, 0)), "Categoría no válida", IF(AND(J1451&lt;&gt;"", J1451&lt;&gt;"", J1451&lt;&gt;VLOOKUP(K1451, Criterios!$A$81:$B$120, 2, FALSE)), "División no coincide con Categoría", ""))), IF(OR(L1451="", L1451=""), "[Aviso] Género no capturado ()", IF(ISNA(MATCH(L1451, Criterios!$B$123:$B$127, 0)), "Género no válido", "")), IF(OR(N1451="", N1451=""), "[Aviso] Temporada no capturada ()", IF(ISNA(MATCH(N1451, Criterios!$C$123:$C$128, 0)), "Temporada no válida", "")), IF(OR(O1451="", O1451=""), "[Aviso] Ciclo de vida no capturado ()", IF(ISNA(MATCH(O1451, Criterios!$D$123:$D$124, 0)), "Ciclo de vida no válido", ""))))</f>
        <v/>
      </c>
      <c r="AC1451" s="56" t="n"/>
      <c r="AD1451" s="51" t="n">
        <v>0</v>
      </c>
      <c r="AE1451" s="156" t="inlineStr">
        <is>
          <t>STETSON AMERICAS (1)</t>
        </is>
      </c>
      <c r="AF1451" s="51" t="n">
        <v>1</v>
      </c>
      <c r="AG1451" s="156" t="inlineStr">
        <is>
          <t>Catálogo existente</t>
        </is>
      </c>
      <c r="AH1451"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51" s="156" t="inlineStr">
        <is>
          <t>Sí</t>
        </is>
      </c>
      <c r="AJ1451" s="156" t="inlineStr">
        <is>
          <t>B25 CEDIS (-1)</t>
        </is>
      </c>
      <c r="AK1451" s="155" t="inlineStr">
        <is>
          <t>Criterios: I [Q] | Shopify Stetson: producto 15227649655147 / variante 53791836733803 | Investigación en línea 06/10/2026: https://www.stetson.com/products/gus-6x-cowboy-hat-black</t>
        </is>
      </c>
      <c r="AL1451" s="58" t="n">
        <v>2992.5</v>
      </c>
      <c r="AM1451" s="58" t="n">
        <v>7241.37931</v>
      </c>
      <c r="AN1451" s="155" t="inlineStr">
        <is>
          <t>Shopify Stetson México</t>
        </is>
      </c>
      <c r="AO1451" s="59" t="n">
        <v>1</v>
      </c>
      <c r="AP1451" s="59" t="n"/>
      <c r="AQ1451" s="59" t="n"/>
      <c r="AR1451" s="155" t="inlineStr">
        <is>
          <t>Shopify Stetson México › Stetson Americas: 1</t>
        </is>
      </c>
    </row>
    <row r="1452">
      <c r="A1452" s="50" t="inlineStr">
        <is>
          <t>795177104544</t>
        </is>
      </c>
      <c r="B1452" s="51" t="inlineStr">
        <is>
          <t>117353</t>
        </is>
      </c>
      <c r="C1452" s="156" t="inlineStr">
        <is>
          <t>Multimarca</t>
        </is>
      </c>
      <c r="D1452" s="156" t="inlineStr">
        <is>
          <t>SFGUSS-504061</t>
        </is>
      </c>
      <c r="E1452" s="156" t="inlineStr">
        <is>
          <t>SFGUSS-50406167</t>
        </is>
      </c>
      <c r="F1452" s="156" t="inlineStr">
        <is>
          <t>6 7/8</t>
        </is>
      </c>
      <c r="G1452" s="156" t="inlineStr">
        <is>
          <t>6 7/8</t>
        </is>
      </c>
      <c r="H1452" s="156" t="inlineStr">
        <is>
          <t>Stetson</t>
        </is>
      </c>
      <c r="I1452" s="156" t="inlineStr">
        <is>
          <t>Texana Stetson Gus 6X Gris</t>
        </is>
      </c>
      <c r="J1452" s="156" t="inlineStr">
        <is>
          <t>Accesorios</t>
        </is>
      </c>
      <c r="K1452" s="156" t="inlineStr">
        <is>
          <t>Sombreros</t>
        </is>
      </c>
      <c r="L1452" s="156" t="inlineStr">
        <is>
          <t>Unisex</t>
        </is>
      </c>
      <c r="M1452" s="156" t="inlineStr">
        <is>
          <t>Stetson</t>
        </is>
      </c>
      <c r="N1452" s="156" t="inlineStr">
        <is>
          <t>FW26</t>
        </is>
      </c>
      <c r="O1452" s="156" t="inlineStr">
        <is>
          <t>Seasonal</t>
        </is>
      </c>
      <c r="P1452" s="156" t="inlineStr">
        <is>
          <t>Gris</t>
        </is>
      </c>
      <c r="Q1452" s="156" t="n"/>
      <c r="R1452" s="156" t="inlineStr">
        <is>
          <t>Copa Gus</t>
        </is>
      </c>
      <c r="S1452" s="156" t="inlineStr">
        <is>
          <t>100% pelo de conejo</t>
        </is>
      </c>
      <c r="T1452"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2" s="156" t="inlineStr">
        <is>
          <t>Estados Unidos</t>
        </is>
      </c>
      <c r="V1452" s="156" t="inlineStr">
        <is>
          <t>PZS</t>
        </is>
      </c>
      <c r="W1452" s="51" t="inlineStr">
        <is>
          <t>53102503</t>
        </is>
      </c>
      <c r="X1452" s="156" t="inlineStr">
        <is>
          <t>https://cdn.shopify.com/s/files/1/0357/2432/9005/products/sfguss-5040_silverbelly_1.jpg?v=1590802288</t>
        </is>
      </c>
      <c r="Y1452" s="54" t="n">
        <v>2992.5</v>
      </c>
      <c r="Z1452" s="54" t="n">
        <v>7241.37931</v>
      </c>
      <c r="AA1452" s="55">
        <f>IF(AND(A1452="", B1452="", E1452=""), "", IF(AB1452="", "Válido", IF((LEN(AB1452)-LEN(SUBSTITUTE(AB1452,"; ","")))/2+1&gt;(LEN(AB1452)-LEN(SUBSTITUTE(AB1452,"[Aviso]","")))/7, "Con Incidencias", "Válido")))</f>
        <v/>
      </c>
      <c r="AB1452" s="56">
        <f>IF(AND(A1452="", B1452="", E1452=""), "", TEXTJOIN("; ", TRUE, IF(OR(TRIM(A1452&amp;"")="", ISNUMBER(SEARCH("FALTA", A1452))), "UPC faltante/inválido", ""), IF(AND(A1452&lt;&gt;"", IFERROR(_xlfn.XMATCH(A1452,$A$2:$A$2509,0,1)&lt;&gt;_xlfn.XMATCH(A1452,$A$2:$A$2509,0,-1),FALSE)), "Código de barras duplicado", ""), IF(AND(E1452&lt;&gt;"", COUNTIF($E$2:$E$2509, E1452)&gt;1), "SKU duplicado", ""), IF(OR(J1452="", J1452=""), "[Aviso] División no capturada ()", IF(ISNA(MATCH(J1452, Criterios!$A$123:$A$126, 0)), "División no válida", "")), IF(OR(K1452="", K1452=""), "[Aviso] Categoría no capturada ()", IF(ISNA(MATCH(K1452, Criterios!$A$81:$A$120, 0)), "Categoría no válida", IF(AND(J1452&lt;&gt;"", J1452&lt;&gt;"", J1452&lt;&gt;VLOOKUP(K1452, Criterios!$A$81:$B$120, 2, FALSE)), "División no coincide con Categoría", ""))), IF(OR(L1452="", L1452=""), "[Aviso] Género no capturado ()", IF(ISNA(MATCH(L1452, Criterios!$B$123:$B$127, 0)), "Género no válido", "")), IF(OR(N1452="", N1452=""), "[Aviso] Temporada no capturada ()", IF(ISNA(MATCH(N1452, Criterios!$C$123:$C$128, 0)), "Temporada no válida", "")), IF(OR(O1452="", O1452=""), "[Aviso] Ciclo de vida no capturado ()", IF(ISNA(MATCH(O1452, Criterios!$D$123:$D$124, 0)), "Ciclo de vida no válido", ""))))</f>
        <v/>
      </c>
      <c r="AC1452" s="56" t="n"/>
      <c r="AD1452" s="51" t="n">
        <v>0</v>
      </c>
      <c r="AE1452" s="156" t="inlineStr">
        <is>
          <t>STETSON AMERICAS (1)</t>
        </is>
      </c>
      <c r="AF1452" s="51" t="n">
        <v>1</v>
      </c>
      <c r="AG1452" s="156" t="inlineStr">
        <is>
          <t>Catálogo existente</t>
        </is>
      </c>
      <c r="AH1452" s="156" t="inlineStr">
        <is>
          <t>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2" s="156" t="inlineStr">
        <is>
          <t>Sí</t>
        </is>
      </c>
      <c r="AJ1452" s="156" t="inlineStr">
        <is>
          <t>B25 CEDIS (-1)</t>
        </is>
      </c>
      <c r="AK1452" s="155" t="inlineStr">
        <is>
          <t>Criterios: I [Q] | Shopify Stetson: producto 15227649753451 / variante 53791836930411 | Investigación en línea 06/10/2026: https://www.stetson.com/products/gus-6x-cowboy-hat-silverbelly</t>
        </is>
      </c>
      <c r="AL1452" s="58" t="n">
        <v>2992.5</v>
      </c>
      <c r="AM1452" s="58" t="n">
        <v>7241.37931</v>
      </c>
      <c r="AN1452" s="155" t="inlineStr">
        <is>
          <t>Shopify Stetson México</t>
        </is>
      </c>
      <c r="AO1452" s="59" t="n">
        <v>1</v>
      </c>
      <c r="AP1452" s="59" t="n"/>
      <c r="AQ1452" s="59" t="n"/>
      <c r="AR1452" s="155" t="inlineStr">
        <is>
          <t>Shopify Stetson México › Stetson Americas: 1</t>
        </is>
      </c>
    </row>
    <row r="1453">
      <c r="A1453" s="50" t="inlineStr">
        <is>
          <t>795177104551</t>
        </is>
      </c>
      <c r="B1453" s="51" t="inlineStr">
        <is>
          <t>117354</t>
        </is>
      </c>
      <c r="C1453" s="156" t="inlineStr">
        <is>
          <t>Multimarca</t>
        </is>
      </c>
      <c r="D1453" s="156" t="inlineStr">
        <is>
          <t>SFGUSS-504061</t>
        </is>
      </c>
      <c r="E1453" s="156" t="inlineStr">
        <is>
          <t>SFGUSS-50406170</t>
        </is>
      </c>
      <c r="F1453" s="156" t="inlineStr">
        <is>
          <t>7</t>
        </is>
      </c>
      <c r="G1453" s="156" t="inlineStr">
        <is>
          <t>7</t>
        </is>
      </c>
      <c r="H1453" s="156" t="inlineStr">
        <is>
          <t>Stetson</t>
        </is>
      </c>
      <c r="I1453" s="156" t="inlineStr">
        <is>
          <t>Texana Stetson Gus 6X Gris</t>
        </is>
      </c>
      <c r="J1453" s="156" t="inlineStr">
        <is>
          <t>Accesorios</t>
        </is>
      </c>
      <c r="K1453" s="156" t="inlineStr">
        <is>
          <t>Sombreros</t>
        </is>
      </c>
      <c r="L1453" s="156" t="inlineStr">
        <is>
          <t>Unisex</t>
        </is>
      </c>
      <c r="M1453" s="156" t="inlineStr">
        <is>
          <t>Stetson</t>
        </is>
      </c>
      <c r="N1453" s="156" t="inlineStr">
        <is>
          <t>FW26</t>
        </is>
      </c>
      <c r="O1453" s="156" t="inlineStr">
        <is>
          <t>Seasonal</t>
        </is>
      </c>
      <c r="P1453" s="156" t="inlineStr">
        <is>
          <t>Gris</t>
        </is>
      </c>
      <c r="Q1453" s="156" t="n"/>
      <c r="R1453" s="156" t="inlineStr">
        <is>
          <t>Copa Gus</t>
        </is>
      </c>
      <c r="S1453" s="156" t="inlineStr">
        <is>
          <t>100% pelo de conejo</t>
        </is>
      </c>
      <c r="T1453"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3" s="156" t="inlineStr">
        <is>
          <t>Estados Unidos</t>
        </is>
      </c>
      <c r="V1453" s="156" t="inlineStr">
        <is>
          <t>PZS</t>
        </is>
      </c>
      <c r="W1453" s="51" t="inlineStr">
        <is>
          <t>53102503</t>
        </is>
      </c>
      <c r="X1453" s="156" t="inlineStr">
        <is>
          <t>https://cdn.shopify.com/s/files/1/0357/2432/9005/products/sfguss-5040_silverbelly_1.jpg?v=1590802288</t>
        </is>
      </c>
      <c r="Y1453" s="54" t="n">
        <v>2992.5</v>
      </c>
      <c r="Z1453" s="54" t="n">
        <v>7241.37931</v>
      </c>
      <c r="AA1453" s="55">
        <f>IF(AND(A1453="", B1453="", E1453=""), "", IF(AB1453="", "Válido", IF((LEN(AB1453)-LEN(SUBSTITUTE(AB1453,"; ","")))/2+1&gt;(LEN(AB1453)-LEN(SUBSTITUTE(AB1453,"[Aviso]","")))/7, "Con Incidencias", "Válido")))</f>
        <v/>
      </c>
      <c r="AB1453" s="56">
        <f>IF(AND(A1453="", B1453="", E1453=""), "", TEXTJOIN("; ", TRUE, IF(OR(TRIM(A1453&amp;"")="", ISNUMBER(SEARCH("FALTA", A1453))), "UPC faltante/inválido", ""), IF(AND(A1453&lt;&gt;"", IFERROR(_xlfn.XMATCH(A1453,$A$2:$A$2509,0,1)&lt;&gt;_xlfn.XMATCH(A1453,$A$2:$A$2509,0,-1),FALSE)), "Código de barras duplicado", ""), IF(AND(E1453&lt;&gt;"", COUNTIF($E$2:$E$2509, E1453)&gt;1), "SKU duplicado", ""), IF(OR(J1453="", J1453=""), "[Aviso] División no capturada ()", IF(ISNA(MATCH(J1453, Criterios!$A$123:$A$126, 0)), "División no válida", "")), IF(OR(K1453="", K1453=""), "[Aviso] Categoría no capturada ()", IF(ISNA(MATCH(K1453, Criterios!$A$81:$A$120, 0)), "Categoría no válida", IF(AND(J1453&lt;&gt;"", J1453&lt;&gt;"", J1453&lt;&gt;VLOOKUP(K1453, Criterios!$A$81:$B$120, 2, FALSE)), "División no coincide con Categoría", ""))), IF(OR(L1453="", L1453=""), "[Aviso] Género no capturado ()", IF(ISNA(MATCH(L1453, Criterios!$B$123:$B$127, 0)), "Género no válido", "")), IF(OR(N1453="", N1453=""), "[Aviso] Temporada no capturada ()", IF(ISNA(MATCH(N1453, Criterios!$C$123:$C$128, 0)), "Temporada no válida", "")), IF(OR(O1453="", O1453=""), "[Aviso] Ciclo de vida no capturado ()", IF(ISNA(MATCH(O1453, Criterios!$D$123:$D$124, 0)), "Ciclo de vida no válido", ""))))</f>
        <v/>
      </c>
      <c r="AC1453" s="56" t="n"/>
      <c r="AD1453" s="51" t="n">
        <v>0</v>
      </c>
      <c r="AE1453" s="156" t="inlineStr">
        <is>
          <t>STETSON AMERICAS (1)</t>
        </is>
      </c>
      <c r="AF1453" s="51" t="n">
        <v>1</v>
      </c>
      <c r="AG1453" s="156" t="inlineStr">
        <is>
          <t>Catálogo existente</t>
        </is>
      </c>
      <c r="AH1453" s="156" t="inlineStr">
        <is>
          <t>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3" s="156" t="inlineStr">
        <is>
          <t>Sí</t>
        </is>
      </c>
      <c r="AJ1453" s="156" t="inlineStr">
        <is>
          <t>B25 CEDIS (-1)</t>
        </is>
      </c>
      <c r="AK1453" s="155" t="inlineStr">
        <is>
          <t>Criterios: I [Q] | Shopify Stetson: producto 15227649753451 / variante 53791836963179 | Investigación en línea 06/10/2026: https://www.stetson.com/products/gus-6x-cowboy-hat-silverbelly</t>
        </is>
      </c>
      <c r="AL1453" s="58" t="n">
        <v>2992.5</v>
      </c>
      <c r="AM1453" s="58" t="n">
        <v>7241.37931</v>
      </c>
      <c r="AN1453" s="155" t="inlineStr">
        <is>
          <t>Shopify Stetson México</t>
        </is>
      </c>
      <c r="AO1453" s="59" t="n">
        <v>1</v>
      </c>
      <c r="AP1453" s="59" t="n"/>
      <c r="AQ1453" s="59" t="n"/>
      <c r="AR1453" s="155" t="inlineStr">
        <is>
          <t>Shopify Stetson México › Stetson Americas: 1</t>
        </is>
      </c>
    </row>
    <row r="1454">
      <c r="A1454" s="50" t="inlineStr">
        <is>
          <t>795177104568</t>
        </is>
      </c>
      <c r="B1454" s="51" t="inlineStr">
        <is>
          <t>117355</t>
        </is>
      </c>
      <c r="C1454" s="156" t="inlineStr">
        <is>
          <t>Multimarca</t>
        </is>
      </c>
      <c r="D1454" s="156" t="inlineStr">
        <is>
          <t>SFGUSS-504061</t>
        </is>
      </c>
      <c r="E1454" s="156" t="inlineStr">
        <is>
          <t>SFGUSS-50406171</t>
        </is>
      </c>
      <c r="F1454" s="156" t="inlineStr">
        <is>
          <t>7 1/8</t>
        </is>
      </c>
      <c r="G1454" s="156" t="inlineStr">
        <is>
          <t>7 1/8</t>
        </is>
      </c>
      <c r="H1454" s="156" t="inlineStr">
        <is>
          <t>Stetson</t>
        </is>
      </c>
      <c r="I1454" s="156" t="inlineStr">
        <is>
          <t>Texana Stetson Gus 6X Gris</t>
        </is>
      </c>
      <c r="J1454" s="156" t="inlineStr">
        <is>
          <t>Accesorios</t>
        </is>
      </c>
      <c r="K1454" s="156" t="inlineStr">
        <is>
          <t>Sombreros</t>
        </is>
      </c>
      <c r="L1454" s="156" t="inlineStr">
        <is>
          <t>Unisex</t>
        </is>
      </c>
      <c r="M1454" s="156" t="inlineStr">
        <is>
          <t>Stetson</t>
        </is>
      </c>
      <c r="N1454" s="156" t="inlineStr">
        <is>
          <t>FW26</t>
        </is>
      </c>
      <c r="O1454" s="156" t="inlineStr">
        <is>
          <t>Seasonal</t>
        </is>
      </c>
      <c r="P1454" s="156" t="inlineStr">
        <is>
          <t>Gris</t>
        </is>
      </c>
      <c r="Q1454" s="156" t="n"/>
      <c r="R1454" s="156" t="inlineStr">
        <is>
          <t>Copa Gus</t>
        </is>
      </c>
      <c r="S1454" s="156" t="inlineStr">
        <is>
          <t>100% pelo de conejo</t>
        </is>
      </c>
      <c r="T1454"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4" s="156" t="inlineStr">
        <is>
          <t>Estados Unidos</t>
        </is>
      </c>
      <c r="V1454" s="156" t="inlineStr">
        <is>
          <t>PZS</t>
        </is>
      </c>
      <c r="W1454" s="51" t="inlineStr">
        <is>
          <t>53102503</t>
        </is>
      </c>
      <c r="X1454" s="156" t="inlineStr">
        <is>
          <t>https://cdn.shopify.com/s/files/1/0357/2432/9005/products/sfguss-5040_silverbelly_1.jpg?v=1590802288</t>
        </is>
      </c>
      <c r="Y1454" s="54" t="n">
        <v>2992.5</v>
      </c>
      <c r="Z1454" s="54" t="n">
        <v>7241.37931</v>
      </c>
      <c r="AA1454" s="55">
        <f>IF(AND(A1454="", B1454="", E1454=""), "", IF(AB1454="", "Válido", IF((LEN(AB1454)-LEN(SUBSTITUTE(AB1454,"; ","")))/2+1&gt;(LEN(AB1454)-LEN(SUBSTITUTE(AB1454,"[Aviso]","")))/7, "Con Incidencias", "Válido")))</f>
        <v/>
      </c>
      <c r="AB1454" s="56">
        <f>IF(AND(A1454="", B1454="", E1454=""), "", TEXTJOIN("; ", TRUE, IF(OR(TRIM(A1454&amp;"")="", ISNUMBER(SEARCH("FALTA", A1454))), "UPC faltante/inválido", ""), IF(AND(A1454&lt;&gt;"", IFERROR(_xlfn.XMATCH(A1454,$A$2:$A$2509,0,1)&lt;&gt;_xlfn.XMATCH(A1454,$A$2:$A$2509,0,-1),FALSE)), "Código de barras duplicado", ""), IF(AND(E1454&lt;&gt;"", COUNTIF($E$2:$E$2509, E1454)&gt;1), "SKU duplicado", ""), IF(OR(J1454="", J1454=""), "[Aviso] División no capturada ()", IF(ISNA(MATCH(J1454, Criterios!$A$123:$A$126, 0)), "División no válida", "")), IF(OR(K1454="", K1454=""), "[Aviso] Categoría no capturada ()", IF(ISNA(MATCH(K1454, Criterios!$A$81:$A$120, 0)), "Categoría no válida", IF(AND(J1454&lt;&gt;"", J1454&lt;&gt;"", J1454&lt;&gt;VLOOKUP(K1454, Criterios!$A$81:$B$120, 2, FALSE)), "División no coincide con Categoría", ""))), IF(OR(L1454="", L1454=""), "[Aviso] Género no capturado ()", IF(ISNA(MATCH(L1454, Criterios!$B$123:$B$127, 0)), "Género no válido", "")), IF(OR(N1454="", N1454=""), "[Aviso] Temporada no capturada ()", IF(ISNA(MATCH(N1454, Criterios!$C$123:$C$128, 0)), "Temporada no válida", "")), IF(OR(O1454="", O1454=""), "[Aviso] Ciclo de vida no capturado ()", IF(ISNA(MATCH(O1454, Criterios!$D$123:$D$124, 0)), "Ciclo de vida no válido", ""))))</f>
        <v/>
      </c>
      <c r="AC1454" s="56" t="n"/>
      <c r="AD1454" s="51" t="n">
        <v>-1</v>
      </c>
      <c r="AE1454" s="156" t="n"/>
      <c r="AF1454" s="51" t="n">
        <v>0</v>
      </c>
      <c r="AG1454" s="156" t="inlineStr">
        <is>
          <t>Catálogo existente</t>
        </is>
      </c>
      <c r="AH1454"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4" s="156" t="inlineStr">
        <is>
          <t>Sí</t>
        </is>
      </c>
      <c r="AJ1454" s="156" t="inlineStr">
        <is>
          <t>B25 CEDIS (-1)</t>
        </is>
      </c>
      <c r="AK1454" s="155" t="inlineStr">
        <is>
          <t>Criterios: I [Q] | Shopify Stetson: producto 15227649753451 / variante 53791836995947 | Investigación en línea 06/10/2026: https://www.stetson.com/products/gus-6x-cowboy-hat-silverbelly</t>
        </is>
      </c>
      <c r="AL1454" s="58" t="n">
        <v>2992.5</v>
      </c>
      <c r="AM1454" s="58" t="n">
        <v>7241.37931</v>
      </c>
      <c r="AN1454" s="155" t="inlineStr">
        <is>
          <t>Shopify Stetson México</t>
        </is>
      </c>
      <c r="AO1454" s="59" t="n">
        <v>0</v>
      </c>
      <c r="AP1454" s="59" t="n"/>
      <c r="AQ1454" s="59" t="n"/>
      <c r="AR1454" s="155" t="n"/>
    </row>
    <row r="1455">
      <c r="A1455" s="50" t="inlineStr">
        <is>
          <t>795177456827</t>
        </is>
      </c>
      <c r="B1455" s="51" t="inlineStr">
        <is>
          <t>109897</t>
        </is>
      </c>
      <c r="C1455" s="156" t="inlineStr">
        <is>
          <t>Multimarca</t>
        </is>
      </c>
      <c r="D1455" s="156" t="inlineStr">
        <is>
          <t>SFELAM-484007</t>
        </is>
      </c>
      <c r="E1455" s="156" t="inlineStr">
        <is>
          <t>SFELAM-48400770</t>
        </is>
      </c>
      <c r="F1455" s="156" t="inlineStr">
        <is>
          <t>7</t>
        </is>
      </c>
      <c r="G1455" s="156" t="inlineStr">
        <is>
          <t>7</t>
        </is>
      </c>
      <c r="H1455" s="156" t="inlineStr">
        <is>
          <t>Stetson</t>
        </is>
      </c>
      <c r="I1455" s="156" t="inlineStr">
        <is>
          <t>Texana Stetson el Amo Negro</t>
        </is>
      </c>
      <c r="J1455" s="156" t="inlineStr">
        <is>
          <t>Accesorios</t>
        </is>
      </c>
      <c r="K1455" s="156" t="inlineStr">
        <is>
          <t>Sombreros</t>
        </is>
      </c>
      <c r="L1455" s="156" t="inlineStr">
        <is>
          <t>Unisex</t>
        </is>
      </c>
      <c r="M1455" s="156" t="inlineStr">
        <is>
          <t>Stetson</t>
        </is>
      </c>
      <c r="N1455" s="156" t="inlineStr">
        <is>
          <t>SS26</t>
        </is>
      </c>
      <c r="O1455" s="156" t="inlineStr">
        <is>
          <t>Seasonal</t>
        </is>
      </c>
      <c r="P1455" s="156" t="inlineStr">
        <is>
          <t>Negro</t>
        </is>
      </c>
      <c r="Q1455" s="156" t="n"/>
      <c r="R1455" s="156" t="inlineStr">
        <is>
          <t>Copa Rancher</t>
        </is>
      </c>
      <c r="S1455" s="156" t="inlineStr">
        <is>
          <t>100% Fieltro de lana</t>
        </is>
      </c>
      <c r="T1455"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5" s="156" t="inlineStr">
        <is>
          <t>Estados Unidos</t>
        </is>
      </c>
      <c r="V1455" s="156" t="inlineStr">
        <is>
          <t>PZS</t>
        </is>
      </c>
      <c r="W1455" s="51" t="inlineStr">
        <is>
          <t>53102503</t>
        </is>
      </c>
      <c r="X1455" s="156" t="inlineStr">
        <is>
          <t>https://cdn.shopify.com/s/files/1/0888/3250/8267/files/SFELAM-484007-02.jpg?v=1760375376</t>
        </is>
      </c>
      <c r="Y1455" s="54" t="n">
        <v>15750</v>
      </c>
      <c r="Z1455" s="54" t="n">
        <v>37931.03448</v>
      </c>
      <c r="AA1455" s="55">
        <f>IF(AND(A1455="", B1455="", E1455=""), "", IF(AB1455="", "Válido", IF((LEN(AB1455)-LEN(SUBSTITUTE(AB1455,"; ","")))/2+1&gt;(LEN(AB1455)-LEN(SUBSTITUTE(AB1455,"[Aviso]","")))/7, "Con Incidencias", "Válido")))</f>
        <v/>
      </c>
      <c r="AB1455" s="56">
        <f>IF(AND(A1455="", B1455="", E1455=""), "", TEXTJOIN("; ", TRUE, IF(OR(TRIM(A1455&amp;"")="", ISNUMBER(SEARCH("FALTA", A1455))), "UPC faltante/inválido", ""), IF(AND(A1455&lt;&gt;"", IFERROR(_xlfn.XMATCH(A1455,$A$2:$A$2509,0,1)&lt;&gt;_xlfn.XMATCH(A1455,$A$2:$A$2509,0,-1),FALSE)), "Código de barras duplicado", ""), IF(AND(E1455&lt;&gt;"", COUNTIF($E$2:$E$2509, E1455)&gt;1), "SKU duplicado", ""), IF(OR(J1455="", J1455=""), "[Aviso] División no capturada ()", IF(ISNA(MATCH(J1455, Criterios!$A$123:$A$126, 0)), "División no válida", "")), IF(OR(K1455="", K1455=""), "[Aviso] Categoría no capturada ()", IF(ISNA(MATCH(K1455, Criterios!$A$81:$A$120, 0)), "Categoría no válida", IF(AND(J1455&lt;&gt;"", J1455&lt;&gt;"", J1455&lt;&gt;VLOOKUP(K1455, Criterios!$A$81:$B$120, 2, FALSE)), "División no coincide con Categoría", ""))), IF(OR(L1455="", L1455=""), "[Aviso] Género no capturado ()", IF(ISNA(MATCH(L1455, Criterios!$B$123:$B$127, 0)), "Género no válido", "")), IF(OR(N1455="", N1455=""), "[Aviso] Temporada no capturada ()", IF(ISNA(MATCH(N1455, Criterios!$C$123:$C$128, 0)), "Temporada no válida", "")), IF(OR(O1455="", O1455=""), "[Aviso] Ciclo de vida no capturado ()", IF(ISNA(MATCH(O1455, Criterios!$D$123:$D$124, 0)), "Ciclo de vida no válido", ""))))</f>
        <v/>
      </c>
      <c r="AC1455" s="56" t="n"/>
      <c r="AD1455" s="51" t="n">
        <v>0</v>
      </c>
      <c r="AE1455" s="156" t="n"/>
      <c r="AF1455" s="51" t="n">
        <v>0</v>
      </c>
      <c r="AG1455" s="156" t="inlineStr">
        <is>
          <t>Catálogo existente</t>
        </is>
      </c>
      <c r="AH1455" s="156" t="inlineStr">
        <is>
          <t>Revisión 29/09/2026: Cruce de catálogo y criterios sin pendientes detectados | 01/10/2026: complementado desde Shopify Stetson México (match por código de barras): WB Fit, WB Silueta</t>
        </is>
      </c>
      <c r="AI1455" s="156" t="inlineStr">
        <is>
          <t>No</t>
        </is>
      </c>
      <c r="AJ1455" s="156" t="n"/>
      <c r="AK1455" s="155" t="inlineStr">
        <is>
          <t>Criterios: I [Q] | Shopify Stetson: producto 14789717852523 / variante 53350605259115</t>
        </is>
      </c>
      <c r="AL1455" s="58" t="n">
        <v>15750</v>
      </c>
      <c r="AM1455" s="58" t="n">
        <v>37931.03448</v>
      </c>
      <c r="AN1455" s="155" t="inlineStr">
        <is>
          <t>Shopify Stetson México</t>
        </is>
      </c>
      <c r="AO1455" s="59" t="n">
        <v>0</v>
      </c>
      <c r="AP1455" s="59" t="n"/>
      <c r="AQ1455" s="59" t="n"/>
      <c r="AR1455" s="155" t="n"/>
    </row>
    <row r="1456">
      <c r="A1456" s="50" t="inlineStr">
        <is>
          <t>795177456834</t>
        </is>
      </c>
      <c r="B1456" s="51" t="inlineStr">
        <is>
          <t>109898</t>
        </is>
      </c>
      <c r="C1456" s="156" t="inlineStr">
        <is>
          <t>Multimarca</t>
        </is>
      </c>
      <c r="D1456" s="156" t="inlineStr">
        <is>
          <t>SFELAM-484007</t>
        </is>
      </c>
      <c r="E1456" s="156" t="inlineStr">
        <is>
          <t>SFELAM-48400771</t>
        </is>
      </c>
      <c r="F1456" s="156" t="inlineStr">
        <is>
          <t>7 1/8</t>
        </is>
      </c>
      <c r="G1456" s="156" t="inlineStr">
        <is>
          <t>7 1/8</t>
        </is>
      </c>
      <c r="H1456" s="156" t="inlineStr">
        <is>
          <t>Stetson</t>
        </is>
      </c>
      <c r="I1456" s="156" t="inlineStr">
        <is>
          <t>Texana Stetson el Amo Negro</t>
        </is>
      </c>
      <c r="J1456" s="156" t="inlineStr">
        <is>
          <t>Accesorios</t>
        </is>
      </c>
      <c r="K1456" s="156" t="inlineStr">
        <is>
          <t>Sombreros</t>
        </is>
      </c>
      <c r="L1456" s="156" t="inlineStr">
        <is>
          <t>Unisex</t>
        </is>
      </c>
      <c r="M1456" s="156" t="inlineStr">
        <is>
          <t>Stetson</t>
        </is>
      </c>
      <c r="N1456" s="156" t="inlineStr">
        <is>
          <t>SS26</t>
        </is>
      </c>
      <c r="O1456" s="156" t="inlineStr">
        <is>
          <t>Seasonal</t>
        </is>
      </c>
      <c r="P1456" s="156" t="inlineStr">
        <is>
          <t>Negro</t>
        </is>
      </c>
      <c r="Q1456" s="156" t="n"/>
      <c r="R1456" s="156" t="inlineStr">
        <is>
          <t>Copa Rancher</t>
        </is>
      </c>
      <c r="S1456" s="156" t="inlineStr">
        <is>
          <t>100% Fieltro de lana</t>
        </is>
      </c>
      <c r="T1456"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6" s="156" t="inlineStr">
        <is>
          <t>Estados Unidos</t>
        </is>
      </c>
      <c r="V1456" s="156" t="inlineStr">
        <is>
          <t>PZS</t>
        </is>
      </c>
      <c r="W1456" s="51" t="inlineStr">
        <is>
          <t>53102503</t>
        </is>
      </c>
      <c r="X1456" s="156" t="inlineStr">
        <is>
          <t>https://cdn.shopify.com/s/files/1/0888/3250/8267/files/SFELAM-484007-07.jpg?v=1760375856</t>
        </is>
      </c>
      <c r="Y1456" s="54" t="n">
        <v>15750</v>
      </c>
      <c r="Z1456" s="54" t="n">
        <v>37931.03448</v>
      </c>
      <c r="AA1456" s="55">
        <f>IF(AND(A1456="", B1456="", E1456=""), "", IF(AB1456="", "Válido", IF((LEN(AB1456)-LEN(SUBSTITUTE(AB1456,"; ","")))/2+1&gt;(LEN(AB1456)-LEN(SUBSTITUTE(AB1456,"[Aviso]","")))/7, "Con Incidencias", "Válido")))</f>
        <v/>
      </c>
      <c r="AB1456" s="56">
        <f>IF(AND(A1456="", B1456="", E1456=""), "", TEXTJOIN("; ", TRUE, IF(OR(TRIM(A1456&amp;"")="", ISNUMBER(SEARCH("FALTA", A1456))), "UPC faltante/inválido", ""), IF(AND(A1456&lt;&gt;"", IFERROR(_xlfn.XMATCH(A1456,$A$2:$A$2509,0,1)&lt;&gt;_xlfn.XMATCH(A1456,$A$2:$A$2509,0,-1),FALSE)), "Código de barras duplicado", ""), IF(AND(E1456&lt;&gt;"", COUNTIF($E$2:$E$2509, E1456)&gt;1), "SKU duplicado", ""), IF(OR(J1456="", J1456=""), "[Aviso] División no capturada ()", IF(ISNA(MATCH(J1456, Criterios!$A$123:$A$126, 0)), "División no válida", "")), IF(OR(K1456="", K1456=""), "[Aviso] Categoría no capturada ()", IF(ISNA(MATCH(K1456, Criterios!$A$81:$A$120, 0)), "Categoría no válida", IF(AND(J1456&lt;&gt;"", J1456&lt;&gt;"", J1456&lt;&gt;VLOOKUP(K1456, Criterios!$A$81:$B$120, 2, FALSE)), "División no coincide con Categoría", ""))), IF(OR(L1456="", L1456=""), "[Aviso] Género no capturado ()", IF(ISNA(MATCH(L1456, Criterios!$B$123:$B$127, 0)), "Género no válido", "")), IF(OR(N1456="", N1456=""), "[Aviso] Temporada no capturada ()", IF(ISNA(MATCH(N1456, Criterios!$C$123:$C$128, 0)), "Temporada no válida", "")), IF(OR(O1456="", O1456=""), "[Aviso] Ciclo de vida no capturado ()", IF(ISNA(MATCH(O1456, Criterios!$D$123:$D$124, 0)), "Ciclo de vida no válido", ""))))</f>
        <v/>
      </c>
      <c r="AC1456" s="56" t="n"/>
      <c r="AD1456" s="51" t="n">
        <v>0</v>
      </c>
      <c r="AE1456" s="156" t="n"/>
      <c r="AF1456" s="51" t="n">
        <v>0</v>
      </c>
      <c r="AG1456" s="156" t="inlineStr">
        <is>
          <t>Catálogo existente</t>
        </is>
      </c>
      <c r="AH1456" s="156" t="inlineStr">
        <is>
          <t>Revisión 29/09/2026: Cruce de catálogo y criterios sin pendientes detectados | 01/10/2026: complementado desde Shopify Stetson México (match por código de barras): WB Fit, WB Silueta</t>
        </is>
      </c>
      <c r="AI1456" s="156" t="inlineStr">
        <is>
          <t>No</t>
        </is>
      </c>
      <c r="AJ1456" s="156" t="n"/>
      <c r="AK1456" s="155" t="inlineStr">
        <is>
          <t>Criterios: I [Q] | Shopify Stetson: producto 14789717852523 / variante 53350605291883 | Odoo: producto 14217 / plantilla 17794</t>
        </is>
      </c>
      <c r="AL1456" s="58" t="n">
        <v>15750</v>
      </c>
      <c r="AM1456" s="58" t="n">
        <v>37931.03448</v>
      </c>
      <c r="AN1456" s="155" t="inlineStr">
        <is>
          <t>Shopify Stetson México | Odoo Universal Unique Brands</t>
        </is>
      </c>
      <c r="AO1456" s="59" t="n">
        <v>2</v>
      </c>
      <c r="AP1456" s="59" t="n"/>
      <c r="AQ1456" s="59" t="n">
        <v>2</v>
      </c>
      <c r="AR1456" s="155" t="inlineStr">
        <is>
          <t>Shopify Stetson México › Stetson Americas: 2 | Odoo Universal Unique Brands › Bodega 25 › Bodega 25/General: 2</t>
        </is>
      </c>
    </row>
    <row r="1457">
      <c r="A1457" s="50" t="inlineStr">
        <is>
          <t>795177456841</t>
        </is>
      </c>
      <c r="B1457" s="51" t="inlineStr">
        <is>
          <t>109899</t>
        </is>
      </c>
      <c r="C1457" s="156" t="inlineStr">
        <is>
          <t>Multimarca</t>
        </is>
      </c>
      <c r="D1457" s="156" t="inlineStr">
        <is>
          <t>SFELAM-484007</t>
        </is>
      </c>
      <c r="E1457" s="156" t="inlineStr">
        <is>
          <t>SFELAM-48400772</t>
        </is>
      </c>
      <c r="F1457" s="156" t="inlineStr">
        <is>
          <t>7 1/4</t>
        </is>
      </c>
      <c r="G1457" s="156" t="inlineStr">
        <is>
          <t>7 1/4</t>
        </is>
      </c>
      <c r="H1457" s="156" t="inlineStr">
        <is>
          <t>Stetson</t>
        </is>
      </c>
      <c r="I1457" s="156" t="inlineStr">
        <is>
          <t>Texana Stetson el Amo Negro</t>
        </is>
      </c>
      <c r="J1457" s="156" t="inlineStr">
        <is>
          <t>Accesorios</t>
        </is>
      </c>
      <c r="K1457" s="156" t="inlineStr">
        <is>
          <t>Sombreros</t>
        </is>
      </c>
      <c r="L1457" s="156" t="inlineStr">
        <is>
          <t>Unisex</t>
        </is>
      </c>
      <c r="M1457" s="156" t="inlineStr">
        <is>
          <t>Stetson</t>
        </is>
      </c>
      <c r="N1457" s="156" t="inlineStr">
        <is>
          <t>SS26</t>
        </is>
      </c>
      <c r="O1457" s="156" t="inlineStr">
        <is>
          <t>Seasonal</t>
        </is>
      </c>
      <c r="P1457" s="156" t="inlineStr">
        <is>
          <t>Negro</t>
        </is>
      </c>
      <c r="Q1457" s="156" t="n"/>
      <c r="R1457" s="156" t="inlineStr">
        <is>
          <t>Copa Rancher</t>
        </is>
      </c>
      <c r="S1457" s="156" t="inlineStr">
        <is>
          <t>100% Fieltro de lana</t>
        </is>
      </c>
      <c r="T1457"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7" s="156" t="inlineStr">
        <is>
          <t>Estados Unidos</t>
        </is>
      </c>
      <c r="V1457" s="156" t="inlineStr">
        <is>
          <t>PZS</t>
        </is>
      </c>
      <c r="W1457" s="51" t="inlineStr">
        <is>
          <t>53102503</t>
        </is>
      </c>
      <c r="X1457" s="156" t="inlineStr">
        <is>
          <t>https://cdn.shopify.com/s/files/1/0888/3250/8267/files/SFELAM-484007-01.jpg?v=1760375856</t>
        </is>
      </c>
      <c r="Y1457" s="54" t="n">
        <v>15750</v>
      </c>
      <c r="Z1457" s="54" t="n">
        <v>37931.03448</v>
      </c>
      <c r="AA1457" s="55">
        <f>IF(AND(A1457="", B1457="", E1457=""), "", IF(AB1457="", "Válido", IF((LEN(AB1457)-LEN(SUBSTITUTE(AB1457,"; ","")))/2+1&gt;(LEN(AB1457)-LEN(SUBSTITUTE(AB1457,"[Aviso]","")))/7, "Con Incidencias", "Válido")))</f>
        <v/>
      </c>
      <c r="AB1457" s="56">
        <f>IF(AND(A1457="", B1457="", E1457=""), "", TEXTJOIN("; ", TRUE, IF(OR(TRIM(A1457&amp;"")="", ISNUMBER(SEARCH("FALTA", A1457))), "UPC faltante/inválido", ""), IF(AND(A1457&lt;&gt;"", IFERROR(_xlfn.XMATCH(A1457,$A$2:$A$2509,0,1)&lt;&gt;_xlfn.XMATCH(A1457,$A$2:$A$2509,0,-1),FALSE)), "Código de barras duplicado", ""), IF(AND(E1457&lt;&gt;"", COUNTIF($E$2:$E$2509, E1457)&gt;1), "SKU duplicado", ""), IF(OR(J1457="", J1457=""), "[Aviso] División no capturada ()", IF(ISNA(MATCH(J1457, Criterios!$A$123:$A$126, 0)), "División no válida", "")), IF(OR(K1457="", K1457=""), "[Aviso] Categoría no capturada ()", IF(ISNA(MATCH(K1457, Criterios!$A$81:$A$120, 0)), "Categoría no válida", IF(AND(J1457&lt;&gt;"", J1457&lt;&gt;"", J1457&lt;&gt;VLOOKUP(K1457, Criterios!$A$81:$B$120, 2, FALSE)), "División no coincide con Categoría", ""))), IF(OR(L1457="", L1457=""), "[Aviso] Género no capturado ()", IF(ISNA(MATCH(L1457, Criterios!$B$123:$B$127, 0)), "Género no válido", "")), IF(OR(N1457="", N1457=""), "[Aviso] Temporada no capturada ()", IF(ISNA(MATCH(N1457, Criterios!$C$123:$C$128, 0)), "Temporada no válida", "")), IF(OR(O1457="", O1457=""), "[Aviso] Ciclo de vida no capturado ()", IF(ISNA(MATCH(O1457, Criterios!$D$123:$D$124, 0)), "Ciclo de vida no válido", ""))))</f>
        <v/>
      </c>
      <c r="AC1457" s="56" t="n"/>
      <c r="AD1457" s="51" t="n">
        <v>-2</v>
      </c>
      <c r="AE1457" s="156" t="n"/>
      <c r="AF1457" s="51" t="n">
        <v>0</v>
      </c>
      <c r="AG1457" s="156" t="inlineStr">
        <is>
          <t>Catálogo existente</t>
        </is>
      </c>
      <c r="AH1457" s="156" t="inlineStr">
        <is>
          <t>Stock negativo en sistema: revisar en conteo | Revisión 29/09/2026: Cruce de catálogo y criterios sin pendientes detectados | 01/10/2026: complementado desde Shopify Stetson México (match por código de barras): WB Fit, WB Silueta</t>
        </is>
      </c>
      <c r="AI1457" s="156" t="inlineStr">
        <is>
          <t>Sí</t>
        </is>
      </c>
      <c r="AJ1457" s="156" t="inlineStr">
        <is>
          <t>STETSON AMERICAS (-2)</t>
        </is>
      </c>
      <c r="AK1457" s="155" t="inlineStr">
        <is>
          <t>Criterios: I [Q] | Shopify Stetson: producto 14789717852523 / variante 53350605324651 | Odoo: producto 14218 / plantilla 17795</t>
        </is>
      </c>
      <c r="AL1457" s="58" t="n">
        <v>15750</v>
      </c>
      <c r="AM1457" s="58" t="n">
        <v>37931.03448</v>
      </c>
      <c r="AN1457" s="155" t="inlineStr">
        <is>
          <t>Shopify Stetson México | Odoo Universal Unique Brands</t>
        </is>
      </c>
      <c r="AO1457" s="59" t="n">
        <v>0</v>
      </c>
      <c r="AP1457" s="59" t="n"/>
      <c r="AQ1457" s="59" t="n">
        <v>2</v>
      </c>
      <c r="AR1457" s="155" t="inlineStr">
        <is>
          <t>Odoo Universal Unique Brands › Bodega 25 › Bodega 25/General: 2</t>
        </is>
      </c>
    </row>
    <row r="1458">
      <c r="A1458" s="50" t="inlineStr">
        <is>
          <t>795177456858</t>
        </is>
      </c>
      <c r="B1458" s="51" t="inlineStr">
        <is>
          <t>109900</t>
        </is>
      </c>
      <c r="C1458" s="156" t="inlineStr">
        <is>
          <t>Multimarca</t>
        </is>
      </c>
      <c r="D1458" s="156" t="inlineStr">
        <is>
          <t>SFELAM-484007</t>
        </is>
      </c>
      <c r="E1458" s="156" t="inlineStr">
        <is>
          <t>SFELAM-48400773</t>
        </is>
      </c>
      <c r="F1458" s="156" t="inlineStr">
        <is>
          <t>7 3/8</t>
        </is>
      </c>
      <c r="G1458" s="156" t="inlineStr">
        <is>
          <t>7 3/8</t>
        </is>
      </c>
      <c r="H1458" s="156" t="inlineStr">
        <is>
          <t>Stetson</t>
        </is>
      </c>
      <c r="I1458" s="156" t="inlineStr">
        <is>
          <t>Texana Stetson el Amo Negro</t>
        </is>
      </c>
      <c r="J1458" s="156" t="inlineStr">
        <is>
          <t>Accesorios</t>
        </is>
      </c>
      <c r="K1458" s="156" t="inlineStr">
        <is>
          <t>Sombreros</t>
        </is>
      </c>
      <c r="L1458" s="156" t="inlineStr">
        <is>
          <t>Unisex</t>
        </is>
      </c>
      <c r="M1458" s="156" t="inlineStr">
        <is>
          <t>Stetson</t>
        </is>
      </c>
      <c r="N1458" s="156" t="inlineStr">
        <is>
          <t>SS26</t>
        </is>
      </c>
      <c r="O1458" s="156" t="inlineStr">
        <is>
          <t>Seasonal</t>
        </is>
      </c>
      <c r="P1458" s="156" t="inlineStr">
        <is>
          <t>Negro</t>
        </is>
      </c>
      <c r="Q1458" s="156" t="n"/>
      <c r="R1458" s="156" t="inlineStr">
        <is>
          <t>Copa Rancher</t>
        </is>
      </c>
      <c r="S1458" s="156" t="inlineStr">
        <is>
          <t>100% Fieltro de lana</t>
        </is>
      </c>
      <c r="T1458"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8" s="156" t="inlineStr">
        <is>
          <t>Estados Unidos</t>
        </is>
      </c>
      <c r="V1458" s="156" t="inlineStr">
        <is>
          <t>PZS</t>
        </is>
      </c>
      <c r="W1458" s="51" t="inlineStr">
        <is>
          <t>53102503</t>
        </is>
      </c>
      <c r="X1458" s="156" t="inlineStr">
        <is>
          <t>https://cdn.shopify.com/s/files/1/0888/3250/8267/files/SFELAM-484007-03.jpg?v=1760375856</t>
        </is>
      </c>
      <c r="Y1458" s="54" t="n">
        <v>15750</v>
      </c>
      <c r="Z1458" s="54" t="n">
        <v>37931.03448</v>
      </c>
      <c r="AA1458" s="55">
        <f>IF(AND(A1458="", B1458="", E1458=""), "", IF(AB1458="", "Válido", IF((LEN(AB1458)-LEN(SUBSTITUTE(AB1458,"; ","")))/2+1&gt;(LEN(AB1458)-LEN(SUBSTITUTE(AB1458,"[Aviso]","")))/7, "Con Incidencias", "Válido")))</f>
        <v/>
      </c>
      <c r="AB1458" s="56">
        <f>IF(AND(A1458="", B1458="", E1458=""), "", TEXTJOIN("; ", TRUE, IF(OR(TRIM(A1458&amp;"")="", ISNUMBER(SEARCH("FALTA", A1458))), "UPC faltante/inválido", ""), IF(AND(A1458&lt;&gt;"", IFERROR(_xlfn.XMATCH(A1458,$A$2:$A$2509,0,1)&lt;&gt;_xlfn.XMATCH(A1458,$A$2:$A$2509,0,-1),FALSE)), "Código de barras duplicado", ""), IF(AND(E1458&lt;&gt;"", COUNTIF($E$2:$E$2509, E1458)&gt;1), "SKU duplicado", ""), IF(OR(J1458="", J1458=""), "[Aviso] División no capturada ()", IF(ISNA(MATCH(J1458, Criterios!$A$123:$A$126, 0)), "División no válida", "")), IF(OR(K1458="", K1458=""), "[Aviso] Categoría no capturada ()", IF(ISNA(MATCH(K1458, Criterios!$A$81:$A$120, 0)), "Categoría no válida", IF(AND(J1458&lt;&gt;"", J1458&lt;&gt;"", J1458&lt;&gt;VLOOKUP(K1458, Criterios!$A$81:$B$120, 2, FALSE)), "División no coincide con Categoría", ""))), IF(OR(L1458="", L1458=""), "[Aviso] Género no capturado ()", IF(ISNA(MATCH(L1458, Criterios!$B$123:$B$127, 0)), "Género no válido", "")), IF(OR(N1458="", N1458=""), "[Aviso] Temporada no capturada ()", IF(ISNA(MATCH(N1458, Criterios!$C$123:$C$128, 0)), "Temporada no válida", "")), IF(OR(O1458="", O1458=""), "[Aviso] Ciclo de vida no capturado ()", IF(ISNA(MATCH(O1458, Criterios!$D$123:$D$124, 0)), "Ciclo de vida no válido", ""))))</f>
        <v/>
      </c>
      <c r="AC1458" s="56" t="n"/>
      <c r="AD1458" s="51" t="n">
        <v>-1</v>
      </c>
      <c r="AE1458" s="156" t="n"/>
      <c r="AF1458" s="51" t="n">
        <v>0</v>
      </c>
      <c r="AG1458" s="156" t="inlineStr">
        <is>
          <t>Catálogo existente</t>
        </is>
      </c>
      <c r="AH1458" s="156" t="inlineStr">
        <is>
          <t>Stock negativo en sistema: revisar en conteo | Revisión 29/09/2026: Cruce de catálogo y criterios sin pendientes detectados | 01/10/2026: complementado desde Shopify Stetson México (match por código de barras): WB Fit, WB Silueta</t>
        </is>
      </c>
      <c r="AI1458" s="156" t="inlineStr">
        <is>
          <t>Sí</t>
        </is>
      </c>
      <c r="AJ1458" s="156" t="inlineStr">
        <is>
          <t>STETSON AMERICAS (-1)</t>
        </is>
      </c>
      <c r="AK1458" s="155" t="inlineStr">
        <is>
          <t>Criterios: I [Q] | Shopify Stetson: producto 14789717852523 / variante 53350605357419 | Odoo: producto 14219 / plantilla 17796</t>
        </is>
      </c>
      <c r="AL1458" s="58" t="n">
        <v>15750</v>
      </c>
      <c r="AM1458" s="58" t="n">
        <v>37931.03448</v>
      </c>
      <c r="AN1458" s="155" t="inlineStr">
        <is>
          <t>Shopify Stetson México | Odoo Universal Unique Brands</t>
        </is>
      </c>
      <c r="AO1458" s="59" t="n">
        <v>1</v>
      </c>
      <c r="AP1458" s="59" t="n"/>
      <c r="AQ1458" s="59" t="n">
        <v>2</v>
      </c>
      <c r="AR1458" s="155" t="inlineStr">
        <is>
          <t>Shopify Stetson México › Stetson Americas: 1 | Odoo Universal Unique Brands › Bodega 25 › Bodega 25/General: 2</t>
        </is>
      </c>
    </row>
    <row r="1459">
      <c r="A1459" s="50" t="inlineStr">
        <is>
          <t>795177460626</t>
        </is>
      </c>
      <c r="B1459" s="51" t="inlineStr">
        <is>
          <t>109982</t>
        </is>
      </c>
      <c r="C1459" s="156" t="inlineStr">
        <is>
          <t>Multimarca</t>
        </is>
      </c>
      <c r="D1459" s="156" t="inlineStr">
        <is>
          <t>SFPALC-484007</t>
        </is>
      </c>
      <c r="E1459" s="156" t="inlineStr">
        <is>
          <t>SFPALC-48400766</t>
        </is>
      </c>
      <c r="F1459" s="156" t="inlineStr">
        <is>
          <t>6 3/4</t>
        </is>
      </c>
      <c r="G1459" s="156" t="inlineStr">
        <is>
          <t>6 3/4</t>
        </is>
      </c>
      <c r="H1459" s="156" t="inlineStr">
        <is>
          <t>Stetson</t>
        </is>
      </c>
      <c r="I1459" s="156" t="inlineStr">
        <is>
          <t>Texana Stetson Palacio Ii Negro</t>
        </is>
      </c>
      <c r="J1459" s="156" t="inlineStr">
        <is>
          <t>Accesorios</t>
        </is>
      </c>
      <c r="K1459" s="156" t="inlineStr">
        <is>
          <t>Sombreros</t>
        </is>
      </c>
      <c r="L1459" s="156" t="inlineStr">
        <is>
          <t>Unisex</t>
        </is>
      </c>
      <c r="M1459" s="156" t="inlineStr">
        <is>
          <t>Stetson</t>
        </is>
      </c>
      <c r="N1459" s="156" t="inlineStr">
        <is>
          <t>SS26</t>
        </is>
      </c>
      <c r="O1459" s="156" t="inlineStr">
        <is>
          <t>Seasonal</t>
        </is>
      </c>
      <c r="P1459" s="156" t="inlineStr">
        <is>
          <t>Negro</t>
        </is>
      </c>
      <c r="Q1459" s="156" t="n"/>
      <c r="R1459" s="156" t="inlineStr">
        <is>
          <t>Copa Cattleman</t>
        </is>
      </c>
      <c r="S1459" s="156" t="inlineStr">
        <is>
          <t>100% Fieltro de lana</t>
        </is>
      </c>
      <c r="T1459" s="156" t="inlineStr">
        <is>
          <t>Texana Stetson Palacio II Negro.
 Composición: 100% Fieltro de lana.
 Color: Negro.</t>
        </is>
      </c>
      <c r="U1459" s="156" t="n"/>
      <c r="V1459" s="156" t="inlineStr">
        <is>
          <t>PZS</t>
        </is>
      </c>
      <c r="W1459" s="51" t="inlineStr">
        <is>
          <t>53102503</t>
        </is>
      </c>
      <c r="X1459" s="156" t="n"/>
      <c r="Y1459" s="54" t="n">
        <v>2756.25</v>
      </c>
      <c r="Z1459" s="54" t="n">
        <v>6724.137931</v>
      </c>
      <c r="AA1459" s="55">
        <f>IF(AND(A1459="", B1459="", E1459=""), "", IF(AB1459="", "Válido", IF((LEN(AB1459)-LEN(SUBSTITUTE(AB1459,"; ","")))/2+1&gt;(LEN(AB1459)-LEN(SUBSTITUTE(AB1459,"[Aviso]","")))/7, "Con Incidencias", "Válido")))</f>
        <v/>
      </c>
      <c r="AB1459" s="56">
        <f>IF(AND(A1459="", B1459="", E1459=""), "", TEXTJOIN("; ", TRUE, IF(OR(TRIM(A1459&amp;"")="", ISNUMBER(SEARCH("FALTA", A1459))), "UPC faltante/inválido", ""), IF(AND(A1459&lt;&gt;"", IFERROR(_xlfn.XMATCH(A1459,$A$2:$A$2509,0,1)&lt;&gt;_xlfn.XMATCH(A1459,$A$2:$A$2509,0,-1),FALSE)), "Código de barras duplicado", ""), IF(AND(E1459&lt;&gt;"", COUNTIF($E$2:$E$2509, E1459)&gt;1), "SKU duplicado", ""), IF(OR(J1459="", J1459=""), "[Aviso] División no capturada ()", IF(ISNA(MATCH(J1459, Criterios!$A$123:$A$126, 0)), "División no válida", "")), IF(OR(K1459="", K1459=""), "[Aviso] Categoría no capturada ()", IF(ISNA(MATCH(K1459, Criterios!$A$81:$A$120, 0)), "Categoría no válida", IF(AND(J1459&lt;&gt;"", J1459&lt;&gt;"", J1459&lt;&gt;VLOOKUP(K1459, Criterios!$A$81:$B$120, 2, FALSE)), "División no coincide con Categoría", ""))), IF(OR(L1459="", L1459=""), "[Aviso] Género no capturado ()", IF(ISNA(MATCH(L1459, Criterios!$B$123:$B$127, 0)), "Género no válido", "")), IF(OR(N1459="", N1459=""), "[Aviso] Temporada no capturada ()", IF(ISNA(MATCH(N1459, Criterios!$C$123:$C$128, 0)), "Temporada no válida", "")), IF(OR(O1459="", O1459=""), "[Aviso] Ciclo de vida no capturado ()", IF(ISNA(MATCH(O1459, Criterios!$D$123:$D$124, 0)), "Ciclo de vida no válido", ""))))</f>
        <v/>
      </c>
      <c r="AC1459" s="56" t="n"/>
      <c r="AD1459" s="51" t="n">
        <v>0</v>
      </c>
      <c r="AE1459" s="156" t="inlineStr">
        <is>
          <t>STETSON AMERICAS (1)</t>
        </is>
      </c>
      <c r="AF1459" s="51" t="n">
        <v>1</v>
      </c>
      <c r="AG1459" s="156" t="inlineStr">
        <is>
          <t>Catálogo existente</t>
        </is>
      </c>
      <c r="AH1459" s="156" t="inlineStr">
        <is>
          <t>Revisión 29/09/2026: Campos sin respaldo: U, X | 01/10/2026: complementado desde Shopify Stetson México (match por SKU): WB Fit, WB Silueta</t>
        </is>
      </c>
      <c r="AI1459" s="156" t="inlineStr">
        <is>
          <t>Sí</t>
        </is>
      </c>
      <c r="AJ1459" s="156" t="inlineStr">
        <is>
          <t>PUNTO DE VENTA (-1)</t>
        </is>
      </c>
      <c r="AK1459" s="155" t="inlineStr">
        <is>
          <t>Criterios: I [Q] | Shopify Stetson: producto 15243006247275 / variante 53849431572843</t>
        </is>
      </c>
      <c r="AL1459" s="58" t="n">
        <v>2756.25</v>
      </c>
      <c r="AM1459" s="58" t="n">
        <v>6724.137931</v>
      </c>
      <c r="AN1459" s="155" t="inlineStr">
        <is>
          <t>Shopify Stetson México</t>
        </is>
      </c>
      <c r="AO1459" s="59" t="n">
        <v>1</v>
      </c>
      <c r="AP1459" s="59" t="n"/>
      <c r="AQ1459" s="59" t="n"/>
      <c r="AR1459" s="155" t="inlineStr">
        <is>
          <t>Shopify Stetson México › Stetson Americas: 1</t>
        </is>
      </c>
    </row>
    <row r="1460">
      <c r="A1460" s="50" t="inlineStr">
        <is>
          <t>795177460633</t>
        </is>
      </c>
      <c r="B1460" s="51" t="inlineStr">
        <is>
          <t>109983</t>
        </is>
      </c>
      <c r="C1460" s="156" t="inlineStr">
        <is>
          <t>Multimarca</t>
        </is>
      </c>
      <c r="D1460" s="156" t="inlineStr">
        <is>
          <t>SFPALC-484007</t>
        </is>
      </c>
      <c r="E1460" s="156" t="inlineStr">
        <is>
          <t>SFPALC-48400767</t>
        </is>
      </c>
      <c r="F1460" s="156" t="inlineStr">
        <is>
          <t>6 7/8</t>
        </is>
      </c>
      <c r="G1460" s="156" t="inlineStr">
        <is>
          <t>6 7/8</t>
        </is>
      </c>
      <c r="H1460" s="156" t="inlineStr">
        <is>
          <t>Stetson</t>
        </is>
      </c>
      <c r="I1460" s="156" t="inlineStr">
        <is>
          <t>Texana Stetson Palacio Ii Negro</t>
        </is>
      </c>
      <c r="J1460" s="156" t="inlineStr">
        <is>
          <t>Accesorios</t>
        </is>
      </c>
      <c r="K1460" s="156" t="inlineStr">
        <is>
          <t>Sombreros</t>
        </is>
      </c>
      <c r="L1460" s="156" t="inlineStr">
        <is>
          <t>Unisex</t>
        </is>
      </c>
      <c r="M1460" s="156" t="inlineStr">
        <is>
          <t>Stetson</t>
        </is>
      </c>
      <c r="N1460" s="156" t="inlineStr">
        <is>
          <t>SS26</t>
        </is>
      </c>
      <c r="O1460" s="156" t="inlineStr">
        <is>
          <t>Seasonal</t>
        </is>
      </c>
      <c r="P1460" s="156" t="inlineStr">
        <is>
          <t>Negro</t>
        </is>
      </c>
      <c r="Q1460" s="156" t="n"/>
      <c r="R1460" s="156" t="inlineStr">
        <is>
          <t>Copa Cattleman</t>
        </is>
      </c>
      <c r="S1460" s="156" t="inlineStr">
        <is>
          <t>100% Fieltro de lana</t>
        </is>
      </c>
      <c r="T1460" s="156" t="inlineStr">
        <is>
          <t>Texana Stetson Palacio II Negro.
 Composición: 100% Fieltro de lana.
 Color: Negro.</t>
        </is>
      </c>
      <c r="U1460" s="156" t="n"/>
      <c r="V1460" s="156" t="inlineStr">
        <is>
          <t>PZS</t>
        </is>
      </c>
      <c r="W1460" s="51" t="inlineStr">
        <is>
          <t>53102503</t>
        </is>
      </c>
      <c r="X1460" s="156" t="n"/>
      <c r="Y1460" s="54" t="n">
        <v>2756.25</v>
      </c>
      <c r="Z1460" s="54" t="n">
        <v>6724.137931</v>
      </c>
      <c r="AA1460" s="55">
        <f>IF(AND(A1460="", B1460="", E1460=""), "", IF(AB1460="", "Válido", IF((LEN(AB1460)-LEN(SUBSTITUTE(AB1460,"; ","")))/2+1&gt;(LEN(AB1460)-LEN(SUBSTITUTE(AB1460,"[Aviso]","")))/7, "Con Incidencias", "Válido")))</f>
        <v/>
      </c>
      <c r="AB1460" s="56">
        <f>IF(AND(A1460="", B1460="", E1460=""), "", TEXTJOIN("; ", TRUE, IF(OR(TRIM(A1460&amp;"")="", ISNUMBER(SEARCH("FALTA", A1460))), "UPC faltante/inválido", ""), IF(AND(A1460&lt;&gt;"", IFERROR(_xlfn.XMATCH(A1460,$A$2:$A$2509,0,1)&lt;&gt;_xlfn.XMATCH(A1460,$A$2:$A$2509,0,-1),FALSE)), "Código de barras duplicado", ""), IF(AND(E1460&lt;&gt;"", COUNTIF($E$2:$E$2509, E1460)&gt;1), "SKU duplicado", ""), IF(OR(J1460="", J1460=""), "[Aviso] División no capturada ()", IF(ISNA(MATCH(J1460, Criterios!$A$123:$A$126, 0)), "División no válida", "")), IF(OR(K1460="", K1460=""), "[Aviso] Categoría no capturada ()", IF(ISNA(MATCH(K1460, Criterios!$A$81:$A$120, 0)), "Categoría no válida", IF(AND(J1460&lt;&gt;"", J1460&lt;&gt;"", J1460&lt;&gt;VLOOKUP(K1460, Criterios!$A$81:$B$120, 2, FALSE)), "División no coincide con Categoría", ""))), IF(OR(L1460="", L1460=""), "[Aviso] Género no capturado ()", IF(ISNA(MATCH(L1460, Criterios!$B$123:$B$127, 0)), "Género no válido", "")), IF(OR(N1460="", N1460=""), "[Aviso] Temporada no capturada ()", IF(ISNA(MATCH(N1460, Criterios!$C$123:$C$128, 0)), "Temporada no válida", "")), IF(OR(O1460="", O1460=""), "[Aviso] Ciclo de vida no capturado ()", IF(ISNA(MATCH(O1460, Criterios!$D$123:$D$124, 0)), "Ciclo de vida no válido", ""))))</f>
        <v/>
      </c>
      <c r="AC1460" s="56" t="n"/>
      <c r="AD1460" s="51" t="n">
        <v>0</v>
      </c>
      <c r="AE1460" s="156" t="inlineStr">
        <is>
          <t>STETSON AMERICAS (1)</t>
        </is>
      </c>
      <c r="AF1460" s="51" t="n">
        <v>1</v>
      </c>
      <c r="AG1460" s="156" t="inlineStr">
        <is>
          <t>Catálogo existente</t>
        </is>
      </c>
      <c r="AH1460" s="156" t="inlineStr">
        <is>
          <t>Revisión 29/09/2026: Campos sin respaldo: U, X | 01/10/2026: complementado desde Shopify Stetson México (match por SKU): WB Fit, WB Silueta</t>
        </is>
      </c>
      <c r="AI1460" s="156" t="inlineStr">
        <is>
          <t>Sí</t>
        </is>
      </c>
      <c r="AJ1460" s="156" t="inlineStr">
        <is>
          <t>PUNTO DE VENTA (-1)</t>
        </is>
      </c>
      <c r="AK1460" s="155" t="inlineStr">
        <is>
          <t>Criterios: I [Q] | Shopify Stetson: producto 15243006247275 / variante 53849431605611</t>
        </is>
      </c>
      <c r="AL1460" s="58" t="n">
        <v>2756.25</v>
      </c>
      <c r="AM1460" s="58" t="n">
        <v>6724.137931</v>
      </c>
      <c r="AN1460" s="155" t="inlineStr">
        <is>
          <t>Shopify Stetson México</t>
        </is>
      </c>
      <c r="AO1460" s="59" t="n">
        <v>1</v>
      </c>
      <c r="AP1460" s="59" t="n"/>
      <c r="AQ1460" s="59" t="n"/>
      <c r="AR1460" s="155" t="inlineStr">
        <is>
          <t>Shopify Stetson México › Stetson Americas: 1</t>
        </is>
      </c>
    </row>
    <row r="1461">
      <c r="A1461" s="50" t="inlineStr">
        <is>
          <t>795177460640</t>
        </is>
      </c>
      <c r="B1461" s="51" t="inlineStr">
        <is>
          <t>109984</t>
        </is>
      </c>
      <c r="C1461" s="156" t="inlineStr">
        <is>
          <t>Multimarca</t>
        </is>
      </c>
      <c r="D1461" s="156" t="inlineStr">
        <is>
          <t>SFPALC-484007</t>
        </is>
      </c>
      <c r="E1461" s="156" t="inlineStr">
        <is>
          <t>SFPALC-48400770</t>
        </is>
      </c>
      <c r="F1461" s="156" t="inlineStr">
        <is>
          <t>7</t>
        </is>
      </c>
      <c r="G1461" s="156" t="inlineStr">
        <is>
          <t>7</t>
        </is>
      </c>
      <c r="H1461" s="156" t="inlineStr">
        <is>
          <t>Stetson</t>
        </is>
      </c>
      <c r="I1461" s="156" t="inlineStr">
        <is>
          <t>Texana Stetson Palacio Ii Negro</t>
        </is>
      </c>
      <c r="J1461" s="156" t="inlineStr">
        <is>
          <t>Accesorios</t>
        </is>
      </c>
      <c r="K1461" s="156" t="inlineStr">
        <is>
          <t>Sombreros</t>
        </is>
      </c>
      <c r="L1461" s="156" t="inlineStr">
        <is>
          <t>Unisex</t>
        </is>
      </c>
      <c r="M1461" s="156" t="inlineStr">
        <is>
          <t>Stetson</t>
        </is>
      </c>
      <c r="N1461" s="156" t="inlineStr">
        <is>
          <t>SS26</t>
        </is>
      </c>
      <c r="O1461" s="156" t="inlineStr">
        <is>
          <t>Seasonal</t>
        </is>
      </c>
      <c r="P1461" s="156" t="inlineStr">
        <is>
          <t>Negro</t>
        </is>
      </c>
      <c r="Q1461" s="156" t="n"/>
      <c r="R1461" s="156" t="n"/>
      <c r="S1461" s="156" t="inlineStr">
        <is>
          <t>100% Fieltro de lana</t>
        </is>
      </c>
      <c r="T1461" s="156" t="inlineStr">
        <is>
          <t>Texana Stetson Palacio II Negro.
 Composición: 100% Fieltro de lana.
 Color: Negro.</t>
        </is>
      </c>
      <c r="U1461" s="156" t="n"/>
      <c r="V1461" s="156" t="inlineStr">
        <is>
          <t>PZS</t>
        </is>
      </c>
      <c r="W1461" s="51" t="inlineStr">
        <is>
          <t>53102503</t>
        </is>
      </c>
      <c r="X1461" s="156" t="n"/>
      <c r="Y1461" s="54" t="n">
        <v>2756.25</v>
      </c>
      <c r="Z1461" s="54" t="n">
        <v>6724.137931</v>
      </c>
      <c r="AA1461" s="55">
        <f>IF(AND(A1461="", B1461="", E1461=""), "", IF(AB1461="", "Válido", IF((LEN(AB1461)-LEN(SUBSTITUTE(AB1461,"; ","")))/2+1&gt;(LEN(AB1461)-LEN(SUBSTITUTE(AB1461,"[Aviso]","")))/7, "Con Incidencias", "Válido")))</f>
        <v/>
      </c>
      <c r="AB1461" s="56">
        <f>IF(AND(A1461="", B1461="", E1461=""), "", TEXTJOIN("; ", TRUE, IF(OR(TRIM(A1461&amp;"")="", ISNUMBER(SEARCH("FALTA", A1461))), "UPC faltante/inválido", ""), IF(AND(A1461&lt;&gt;"", IFERROR(_xlfn.XMATCH(A1461,$A$2:$A$2509,0,1)&lt;&gt;_xlfn.XMATCH(A1461,$A$2:$A$2509,0,-1),FALSE)), "Código de barras duplicado", ""), IF(AND(E1461&lt;&gt;"", COUNTIF($E$2:$E$2509, E1461)&gt;1), "SKU duplicado", ""), IF(OR(J1461="", J1461=""), "[Aviso] División no capturada ()", IF(ISNA(MATCH(J1461, Criterios!$A$123:$A$126, 0)), "División no válida", "")), IF(OR(K1461="", K1461=""), "[Aviso] Categoría no capturada ()", IF(ISNA(MATCH(K1461, Criterios!$A$81:$A$120, 0)), "Categoría no válida", IF(AND(J1461&lt;&gt;"", J1461&lt;&gt;"", J1461&lt;&gt;VLOOKUP(K1461, Criterios!$A$81:$B$120, 2, FALSE)), "División no coincide con Categoría", ""))), IF(OR(L1461="", L1461=""), "[Aviso] Género no capturado ()", IF(ISNA(MATCH(L1461, Criterios!$B$123:$B$127, 0)), "Género no válido", "")), IF(OR(N1461="", N1461=""), "[Aviso] Temporada no capturada ()", IF(ISNA(MATCH(N1461, Criterios!$C$123:$C$128, 0)), "Temporada no válida", "")), IF(OR(O1461="", O1461=""), "[Aviso] Ciclo de vida no capturado ()", IF(ISNA(MATCH(O1461, Criterios!$D$123:$D$124, 0)), "Ciclo de vida no válido", ""))))</f>
        <v/>
      </c>
      <c r="AC1461" s="56" t="n"/>
      <c r="AD1461" s="51" t="n">
        <v>0</v>
      </c>
      <c r="AE1461" s="156" t="n"/>
      <c r="AF1461" s="51" t="n">
        <v>0</v>
      </c>
      <c r="AG1461" s="156" t="inlineStr">
        <is>
          <t>Catálogo existente</t>
        </is>
      </c>
      <c r="AH1461" s="156" t="inlineStr">
        <is>
          <t>Revisión 29/09/2026: Campos sin respaldo: U, X</t>
        </is>
      </c>
      <c r="AI1461" s="156" t="inlineStr">
        <is>
          <t>No</t>
        </is>
      </c>
      <c r="AJ1461" s="156" t="n"/>
      <c r="AK1461" s="155" t="inlineStr">
        <is>
          <t>Criterios: I [Q]</t>
        </is>
      </c>
      <c r="AL1461" s="58" t="n">
        <v>2756.25</v>
      </c>
      <c r="AM1461" s="58" t="n">
        <v>6724.137931</v>
      </c>
      <c r="AN1461" s="155" t="n"/>
      <c r="AO1461" s="59" t="n"/>
      <c r="AP1461" s="59" t="n"/>
      <c r="AQ1461" s="59" t="n"/>
      <c r="AR1461" s="155" t="n"/>
    </row>
    <row r="1462">
      <c r="A1462" s="50" t="inlineStr">
        <is>
          <t>795177460657</t>
        </is>
      </c>
      <c r="B1462" s="51" t="inlineStr">
        <is>
          <t>109985</t>
        </is>
      </c>
      <c r="C1462" s="156" t="inlineStr">
        <is>
          <t>Multimarca</t>
        </is>
      </c>
      <c r="D1462" s="156" t="inlineStr">
        <is>
          <t>SFPALC-484007</t>
        </is>
      </c>
      <c r="E1462" s="156" t="inlineStr">
        <is>
          <t>SFPALC-48400771</t>
        </is>
      </c>
      <c r="F1462" s="156" t="inlineStr">
        <is>
          <t>7 1/8</t>
        </is>
      </c>
      <c r="G1462" s="156" t="inlineStr">
        <is>
          <t>7 1/8</t>
        </is>
      </c>
      <c r="H1462" s="156" t="inlineStr">
        <is>
          <t>Stetson</t>
        </is>
      </c>
      <c r="I1462" s="156" t="inlineStr">
        <is>
          <t>Texana Stetson Palacio Ii Negro</t>
        </is>
      </c>
      <c r="J1462" s="156" t="inlineStr">
        <is>
          <t>Accesorios</t>
        </is>
      </c>
      <c r="K1462" s="156" t="inlineStr">
        <is>
          <t>Sombreros</t>
        </is>
      </c>
      <c r="L1462" s="156" t="inlineStr">
        <is>
          <t>Unisex</t>
        </is>
      </c>
      <c r="M1462" s="156" t="inlineStr">
        <is>
          <t>Stetson</t>
        </is>
      </c>
      <c r="N1462" s="156" t="inlineStr">
        <is>
          <t>SS26</t>
        </is>
      </c>
      <c r="O1462" s="156" t="inlineStr">
        <is>
          <t>Seasonal</t>
        </is>
      </c>
      <c r="P1462" s="156" t="inlineStr">
        <is>
          <t>Negro</t>
        </is>
      </c>
      <c r="Q1462" s="156" t="n"/>
      <c r="R1462" s="156" t="n"/>
      <c r="S1462" s="156" t="inlineStr">
        <is>
          <t>100% Fieltro de lana</t>
        </is>
      </c>
      <c r="T1462" s="156" t="inlineStr">
        <is>
          <t>Texana Stetson Palacio II Negro.
 Composición: 100% Fieltro de lana.
 Color: Negro.</t>
        </is>
      </c>
      <c r="U1462" s="156" t="n"/>
      <c r="V1462" s="156" t="inlineStr">
        <is>
          <t>PZS</t>
        </is>
      </c>
      <c r="W1462" s="51" t="inlineStr">
        <is>
          <t>53102503</t>
        </is>
      </c>
      <c r="X1462" s="156" t="n"/>
      <c r="Y1462" s="54" t="n">
        <v>2756.25</v>
      </c>
      <c r="Z1462" s="54" t="n">
        <v>6724.137931</v>
      </c>
      <c r="AA1462" s="55">
        <f>IF(AND(A1462="", B1462="", E1462=""), "", IF(AB1462="", "Válido", IF((LEN(AB1462)-LEN(SUBSTITUTE(AB1462,"; ","")))/2+1&gt;(LEN(AB1462)-LEN(SUBSTITUTE(AB1462,"[Aviso]","")))/7, "Con Incidencias", "Válido")))</f>
        <v/>
      </c>
      <c r="AB1462" s="56">
        <f>IF(AND(A1462="", B1462="", E1462=""), "", TEXTJOIN("; ", TRUE, IF(OR(TRIM(A1462&amp;"")="", ISNUMBER(SEARCH("FALTA", A1462))), "UPC faltante/inválido", ""), IF(AND(A1462&lt;&gt;"", IFERROR(_xlfn.XMATCH(A1462,$A$2:$A$2509,0,1)&lt;&gt;_xlfn.XMATCH(A1462,$A$2:$A$2509,0,-1),FALSE)), "Código de barras duplicado", ""), IF(AND(E1462&lt;&gt;"", COUNTIF($E$2:$E$2509, E1462)&gt;1), "SKU duplicado", ""), IF(OR(J1462="", J1462=""), "[Aviso] División no capturada ()", IF(ISNA(MATCH(J1462, Criterios!$A$123:$A$126, 0)), "División no válida", "")), IF(OR(K1462="", K1462=""), "[Aviso] Categoría no capturada ()", IF(ISNA(MATCH(K1462, Criterios!$A$81:$A$120, 0)), "Categoría no válida", IF(AND(J1462&lt;&gt;"", J1462&lt;&gt;"", J1462&lt;&gt;VLOOKUP(K1462, Criterios!$A$81:$B$120, 2, FALSE)), "División no coincide con Categoría", ""))), IF(OR(L1462="", L1462=""), "[Aviso] Género no capturado ()", IF(ISNA(MATCH(L1462, Criterios!$B$123:$B$127, 0)), "Género no válido", "")), IF(OR(N1462="", N1462=""), "[Aviso] Temporada no capturada ()", IF(ISNA(MATCH(N1462, Criterios!$C$123:$C$128, 0)), "Temporada no válida", "")), IF(OR(O1462="", O1462=""), "[Aviso] Ciclo de vida no capturado ()", IF(ISNA(MATCH(O1462, Criterios!$D$123:$D$124, 0)), "Ciclo de vida no válido", ""))))</f>
        <v/>
      </c>
      <c r="AC1462" s="56" t="n"/>
      <c r="AD1462" s="51" t="n">
        <v>0</v>
      </c>
      <c r="AE1462" s="156" t="n"/>
      <c r="AF1462" s="51" t="n">
        <v>0</v>
      </c>
      <c r="AG1462" s="156" t="inlineStr">
        <is>
          <t>Catálogo existente</t>
        </is>
      </c>
      <c r="AH1462" s="156" t="inlineStr">
        <is>
          <t>Revisión 29/09/2026: Campos sin respaldo: U, X</t>
        </is>
      </c>
      <c r="AI1462" s="156" t="inlineStr">
        <is>
          <t>No</t>
        </is>
      </c>
      <c r="AJ1462" s="156" t="n"/>
      <c r="AK1462" s="155" t="inlineStr">
        <is>
          <t>Criterios: I [Q]</t>
        </is>
      </c>
      <c r="AL1462" s="58" t="n">
        <v>2756.25</v>
      </c>
      <c r="AM1462" s="58" t="n">
        <v>6724.137931</v>
      </c>
      <c r="AN1462" s="155" t="n"/>
      <c r="AO1462" s="59" t="n"/>
      <c r="AP1462" s="59" t="n"/>
      <c r="AQ1462" s="59" t="n"/>
      <c r="AR1462" s="155" t="n"/>
    </row>
    <row r="1463">
      <c r="A1463" s="50" t="inlineStr">
        <is>
          <t>795177460664</t>
        </is>
      </c>
      <c r="B1463" s="51" t="inlineStr">
        <is>
          <t>109986</t>
        </is>
      </c>
      <c r="C1463" s="156" t="inlineStr">
        <is>
          <t>Multimarca</t>
        </is>
      </c>
      <c r="D1463" s="156" t="inlineStr">
        <is>
          <t>SFPALC-484007</t>
        </is>
      </c>
      <c r="E1463" s="156" t="inlineStr">
        <is>
          <t>SFPALC-48400772</t>
        </is>
      </c>
      <c r="F1463" s="156" t="inlineStr">
        <is>
          <t>7 1/4</t>
        </is>
      </c>
      <c r="G1463" s="156" t="inlineStr">
        <is>
          <t>7 1/4</t>
        </is>
      </c>
      <c r="H1463" s="156" t="inlineStr">
        <is>
          <t>Stetson</t>
        </is>
      </c>
      <c r="I1463" s="156" t="inlineStr">
        <is>
          <t>Texana Stetson Palacio Ii Negro</t>
        </is>
      </c>
      <c r="J1463" s="156" t="inlineStr">
        <is>
          <t>Accesorios</t>
        </is>
      </c>
      <c r="K1463" s="156" t="inlineStr">
        <is>
          <t>Sombreros</t>
        </is>
      </c>
      <c r="L1463" s="156" t="inlineStr">
        <is>
          <t>Unisex</t>
        </is>
      </c>
      <c r="M1463" s="156" t="inlineStr">
        <is>
          <t>Stetson</t>
        </is>
      </c>
      <c r="N1463" s="156" t="inlineStr">
        <is>
          <t>SS26</t>
        </is>
      </c>
      <c r="O1463" s="156" t="inlineStr">
        <is>
          <t>Seasonal</t>
        </is>
      </c>
      <c r="P1463" s="156" t="inlineStr">
        <is>
          <t>Negro</t>
        </is>
      </c>
      <c r="Q1463" s="156" t="n"/>
      <c r="R1463" s="156" t="inlineStr">
        <is>
          <t>Copa Cattleman</t>
        </is>
      </c>
      <c r="S1463" s="156" t="inlineStr">
        <is>
          <t>100% Fieltro de lana</t>
        </is>
      </c>
      <c r="T1463" s="156" t="inlineStr">
        <is>
          <t>Texana Stetson Palacio II Negro.
 Composición: 100% Fieltro de lana.
 Color: Negro.</t>
        </is>
      </c>
      <c r="U1463" s="156" t="n"/>
      <c r="V1463" s="156" t="inlineStr">
        <is>
          <t>PZS</t>
        </is>
      </c>
      <c r="W1463" s="51" t="inlineStr">
        <is>
          <t>53102503</t>
        </is>
      </c>
      <c r="X1463" s="156" t="n"/>
      <c r="Y1463" s="54" t="n">
        <v>2756.25</v>
      </c>
      <c r="Z1463" s="54" t="n">
        <v>6724.137931</v>
      </c>
      <c r="AA1463" s="55">
        <f>IF(AND(A1463="", B1463="", E1463=""), "", IF(AB1463="", "Válido", IF((LEN(AB1463)-LEN(SUBSTITUTE(AB1463,"; ","")))/2+1&gt;(LEN(AB1463)-LEN(SUBSTITUTE(AB1463,"[Aviso]","")))/7, "Con Incidencias", "Válido")))</f>
        <v/>
      </c>
      <c r="AB1463" s="56">
        <f>IF(AND(A1463="", B1463="", E1463=""), "", TEXTJOIN("; ", TRUE, IF(OR(TRIM(A1463&amp;"")="", ISNUMBER(SEARCH("FALTA", A1463))), "UPC faltante/inválido", ""), IF(AND(A1463&lt;&gt;"", IFERROR(_xlfn.XMATCH(A1463,$A$2:$A$2509,0,1)&lt;&gt;_xlfn.XMATCH(A1463,$A$2:$A$2509,0,-1),FALSE)), "Código de barras duplicado", ""), IF(AND(E1463&lt;&gt;"", COUNTIF($E$2:$E$2509, E1463)&gt;1), "SKU duplicado", ""), IF(OR(J1463="", J1463=""), "[Aviso] División no capturada ()", IF(ISNA(MATCH(J1463, Criterios!$A$123:$A$126, 0)), "División no válida", "")), IF(OR(K1463="", K1463=""), "[Aviso] Categoría no capturada ()", IF(ISNA(MATCH(K1463, Criterios!$A$81:$A$120, 0)), "Categoría no válida", IF(AND(J1463&lt;&gt;"", J1463&lt;&gt;"", J1463&lt;&gt;VLOOKUP(K1463, Criterios!$A$81:$B$120, 2, FALSE)), "División no coincide con Categoría", ""))), IF(OR(L1463="", L1463=""), "[Aviso] Género no capturado ()", IF(ISNA(MATCH(L1463, Criterios!$B$123:$B$127, 0)), "Género no válido", "")), IF(OR(N1463="", N1463=""), "[Aviso] Temporada no capturada ()", IF(ISNA(MATCH(N1463, Criterios!$C$123:$C$128, 0)), "Temporada no válida", "")), IF(OR(O1463="", O1463=""), "[Aviso] Ciclo de vida no capturado ()", IF(ISNA(MATCH(O1463, Criterios!$D$123:$D$124, 0)), "Ciclo de vida no válido", ""))))</f>
        <v/>
      </c>
      <c r="AC1463" s="56" t="n"/>
      <c r="AD1463" s="51" t="n">
        <v>0</v>
      </c>
      <c r="AE1463" s="156" t="inlineStr">
        <is>
          <t>STETSON AMERICAS (1)</t>
        </is>
      </c>
      <c r="AF1463" s="51" t="n">
        <v>1</v>
      </c>
      <c r="AG1463" s="156" t="inlineStr">
        <is>
          <t>Catálogo existente</t>
        </is>
      </c>
      <c r="AH1463" s="156" t="inlineStr">
        <is>
          <t>Revisión 29/09/2026: Campos sin respaldo: U, X | 01/10/2026: complementado desde Shopify Stetson México (match por SKU): WB Fit, WB Silueta</t>
        </is>
      </c>
      <c r="AI1463" s="156" t="inlineStr">
        <is>
          <t>Sí</t>
        </is>
      </c>
      <c r="AJ1463" s="156" t="inlineStr">
        <is>
          <t>PUNTO DE VENTA (-1)</t>
        </is>
      </c>
      <c r="AK1463" s="155" t="inlineStr">
        <is>
          <t>Criterios: I [Q] | Shopify Stetson: producto 15243006247275 / variante 53849431638379</t>
        </is>
      </c>
      <c r="AL1463" s="58" t="n">
        <v>2756.25</v>
      </c>
      <c r="AM1463" s="58" t="n">
        <v>6724.137931</v>
      </c>
      <c r="AN1463" s="155" t="inlineStr">
        <is>
          <t>Shopify Stetson México</t>
        </is>
      </c>
      <c r="AO1463" s="59" t="n">
        <v>1</v>
      </c>
      <c r="AP1463" s="59" t="n"/>
      <c r="AQ1463" s="59" t="n"/>
      <c r="AR1463" s="155" t="inlineStr">
        <is>
          <t>Shopify Stetson México › Stetson Americas: 1</t>
        </is>
      </c>
    </row>
    <row r="1464">
      <c r="A1464" s="50" t="inlineStr">
        <is>
          <t>795177460671</t>
        </is>
      </c>
      <c r="B1464" s="51" t="inlineStr">
        <is>
          <t>109987</t>
        </is>
      </c>
      <c r="C1464" s="156" t="inlineStr">
        <is>
          <t>Multimarca</t>
        </is>
      </c>
      <c r="D1464" s="156" t="inlineStr">
        <is>
          <t>SFPALC-484007</t>
        </is>
      </c>
      <c r="E1464" s="156" t="inlineStr">
        <is>
          <t>SFPALC-48400773</t>
        </is>
      </c>
      <c r="F1464" s="156" t="inlineStr">
        <is>
          <t>7 3/8</t>
        </is>
      </c>
      <c r="G1464" s="156" t="inlineStr">
        <is>
          <t>7 3/8</t>
        </is>
      </c>
      <c r="H1464" s="156" t="inlineStr">
        <is>
          <t>Stetson</t>
        </is>
      </c>
      <c r="I1464" s="156" t="inlineStr">
        <is>
          <t>Texana Stetson Palacio Ii Negro</t>
        </is>
      </c>
      <c r="J1464" s="156" t="inlineStr">
        <is>
          <t>Accesorios</t>
        </is>
      </c>
      <c r="K1464" s="156" t="inlineStr">
        <is>
          <t>Sombreros</t>
        </is>
      </c>
      <c r="L1464" s="156" t="inlineStr">
        <is>
          <t>Unisex</t>
        </is>
      </c>
      <c r="M1464" s="156" t="inlineStr">
        <is>
          <t>Stetson</t>
        </is>
      </c>
      <c r="N1464" s="156" t="inlineStr">
        <is>
          <t>SS26</t>
        </is>
      </c>
      <c r="O1464" s="156" t="inlineStr">
        <is>
          <t>Seasonal</t>
        </is>
      </c>
      <c r="P1464" s="156" t="inlineStr">
        <is>
          <t>Negro</t>
        </is>
      </c>
      <c r="Q1464" s="156" t="n"/>
      <c r="R1464" s="156" t="n"/>
      <c r="S1464" s="156" t="inlineStr">
        <is>
          <t>100% Fieltro de lana</t>
        </is>
      </c>
      <c r="T1464" s="156" t="inlineStr">
        <is>
          <t>Texana Stetson Palacio II Negro.
 Composición: 100% Fieltro de lana.
 Color: Negro.</t>
        </is>
      </c>
      <c r="U1464" s="156" t="n"/>
      <c r="V1464" s="156" t="inlineStr">
        <is>
          <t>PZS</t>
        </is>
      </c>
      <c r="W1464" s="51" t="inlineStr">
        <is>
          <t>53102503</t>
        </is>
      </c>
      <c r="X1464" s="156" t="n"/>
      <c r="Y1464" s="54" t="n">
        <v>2756.25</v>
      </c>
      <c r="Z1464" s="54" t="n">
        <v>6724.137931</v>
      </c>
      <c r="AA1464" s="55">
        <f>IF(AND(A1464="", B1464="", E1464=""), "", IF(AB1464="", "Válido", IF((LEN(AB1464)-LEN(SUBSTITUTE(AB1464,"; ","")))/2+1&gt;(LEN(AB1464)-LEN(SUBSTITUTE(AB1464,"[Aviso]","")))/7, "Con Incidencias", "Válido")))</f>
        <v/>
      </c>
      <c r="AB1464" s="56">
        <f>IF(AND(A1464="", B1464="", E1464=""), "", TEXTJOIN("; ", TRUE, IF(OR(TRIM(A1464&amp;"")="", ISNUMBER(SEARCH("FALTA", A1464))), "UPC faltante/inválido", ""), IF(AND(A1464&lt;&gt;"", IFERROR(_xlfn.XMATCH(A1464,$A$2:$A$2509,0,1)&lt;&gt;_xlfn.XMATCH(A1464,$A$2:$A$2509,0,-1),FALSE)), "Código de barras duplicado", ""), IF(AND(E1464&lt;&gt;"", COUNTIF($E$2:$E$2509, E1464)&gt;1), "SKU duplicado", ""), IF(OR(J1464="", J1464=""), "[Aviso] División no capturada ()", IF(ISNA(MATCH(J1464, Criterios!$A$123:$A$126, 0)), "División no válida", "")), IF(OR(K1464="", K1464=""), "[Aviso] Categoría no capturada ()", IF(ISNA(MATCH(K1464, Criterios!$A$81:$A$120, 0)), "Categoría no válida", IF(AND(J1464&lt;&gt;"", J1464&lt;&gt;"", J1464&lt;&gt;VLOOKUP(K1464, Criterios!$A$81:$B$120, 2, FALSE)), "División no coincide con Categoría", ""))), IF(OR(L1464="", L1464=""), "[Aviso] Género no capturado ()", IF(ISNA(MATCH(L1464, Criterios!$B$123:$B$127, 0)), "Género no válido", "")), IF(OR(N1464="", N1464=""), "[Aviso] Temporada no capturada ()", IF(ISNA(MATCH(N1464, Criterios!$C$123:$C$128, 0)), "Temporada no válida", "")), IF(OR(O1464="", O1464=""), "[Aviso] Ciclo de vida no capturado ()", IF(ISNA(MATCH(O1464, Criterios!$D$123:$D$124, 0)), "Ciclo de vida no válido", ""))))</f>
        <v/>
      </c>
      <c r="AC1464" s="56" t="n"/>
      <c r="AD1464" s="51" t="n">
        <v>0</v>
      </c>
      <c r="AE1464" s="156" t="n"/>
      <c r="AF1464" s="51" t="n">
        <v>0</v>
      </c>
      <c r="AG1464" s="156" t="inlineStr">
        <is>
          <t>Catálogo existente</t>
        </is>
      </c>
      <c r="AH1464" s="156" t="inlineStr">
        <is>
          <t>Revisión 29/09/2026: Campos sin respaldo: U, X</t>
        </is>
      </c>
      <c r="AI1464" s="156" t="inlineStr">
        <is>
          <t>No</t>
        </is>
      </c>
      <c r="AJ1464" s="156" t="n"/>
      <c r="AK1464" s="155" t="inlineStr">
        <is>
          <t>Criterios: I [Q]</t>
        </is>
      </c>
      <c r="AL1464" s="58" t="n">
        <v>2756.25</v>
      </c>
      <c r="AM1464" s="58" t="n">
        <v>6724.137931</v>
      </c>
      <c r="AN1464" s="155" t="n"/>
      <c r="AO1464" s="59" t="n"/>
      <c r="AP1464" s="59" t="n"/>
      <c r="AQ1464" s="59" t="n"/>
      <c r="AR1464" s="155" t="n"/>
    </row>
    <row r="1465">
      <c r="A1465" s="50" t="inlineStr">
        <is>
          <t>795177460688</t>
        </is>
      </c>
      <c r="B1465" s="51" t="inlineStr">
        <is>
          <t>109988</t>
        </is>
      </c>
      <c r="C1465" s="156" t="inlineStr">
        <is>
          <t>Multimarca</t>
        </is>
      </c>
      <c r="D1465" s="156" t="inlineStr">
        <is>
          <t>SFPALC-484007</t>
        </is>
      </c>
      <c r="E1465" s="156" t="inlineStr">
        <is>
          <t>SFPALC-48400774</t>
        </is>
      </c>
      <c r="F1465" s="156" t="inlineStr">
        <is>
          <t>7 1/2</t>
        </is>
      </c>
      <c r="G1465" s="156" t="inlineStr">
        <is>
          <t>7 1/2</t>
        </is>
      </c>
      <c r="H1465" s="156" t="inlineStr">
        <is>
          <t>Stetson</t>
        </is>
      </c>
      <c r="I1465" s="156" t="inlineStr">
        <is>
          <t>Texana Stetson Palacio Ii Negro</t>
        </is>
      </c>
      <c r="J1465" s="156" t="inlineStr">
        <is>
          <t>Accesorios</t>
        </is>
      </c>
      <c r="K1465" s="156" t="inlineStr">
        <is>
          <t>Sombreros</t>
        </is>
      </c>
      <c r="L1465" s="156" t="inlineStr">
        <is>
          <t>Unisex</t>
        </is>
      </c>
      <c r="M1465" s="156" t="inlineStr">
        <is>
          <t>Stetson</t>
        </is>
      </c>
      <c r="N1465" s="156" t="inlineStr">
        <is>
          <t>SS26</t>
        </is>
      </c>
      <c r="O1465" s="156" t="inlineStr">
        <is>
          <t>Seasonal</t>
        </is>
      </c>
      <c r="P1465" s="156" t="inlineStr">
        <is>
          <t>Negro</t>
        </is>
      </c>
      <c r="Q1465" s="156" t="n"/>
      <c r="R1465" s="156" t="inlineStr">
        <is>
          <t>Copa Cattleman</t>
        </is>
      </c>
      <c r="S1465" s="156" t="inlineStr">
        <is>
          <t>100% Fieltro de lana</t>
        </is>
      </c>
      <c r="T1465" s="156" t="inlineStr">
        <is>
          <t>Texana Stetson Palacio II Negro.
 Composición: 100% Fieltro de lana.
 Color: Negro.</t>
        </is>
      </c>
      <c r="U1465" s="156" t="n"/>
      <c r="V1465" s="156" t="inlineStr">
        <is>
          <t>PZS</t>
        </is>
      </c>
      <c r="W1465" s="51" t="inlineStr">
        <is>
          <t>53102503</t>
        </is>
      </c>
      <c r="X1465" s="156" t="n"/>
      <c r="Y1465" s="54" t="n">
        <v>2756.25</v>
      </c>
      <c r="Z1465" s="54" t="n">
        <v>6724.137931</v>
      </c>
      <c r="AA1465" s="55">
        <f>IF(AND(A1465="", B1465="", E1465=""), "", IF(AB1465="", "Válido", IF((LEN(AB1465)-LEN(SUBSTITUTE(AB1465,"; ","")))/2+1&gt;(LEN(AB1465)-LEN(SUBSTITUTE(AB1465,"[Aviso]","")))/7, "Con Incidencias", "Válido")))</f>
        <v/>
      </c>
      <c r="AB1465" s="56">
        <f>IF(AND(A1465="", B1465="", E1465=""), "", TEXTJOIN("; ", TRUE, IF(OR(TRIM(A1465&amp;"")="", ISNUMBER(SEARCH("FALTA", A1465))), "UPC faltante/inválido", ""), IF(AND(A1465&lt;&gt;"", IFERROR(_xlfn.XMATCH(A1465,$A$2:$A$2509,0,1)&lt;&gt;_xlfn.XMATCH(A1465,$A$2:$A$2509,0,-1),FALSE)), "Código de barras duplicado", ""), IF(AND(E1465&lt;&gt;"", COUNTIF($E$2:$E$2509, E1465)&gt;1), "SKU duplicado", ""), IF(OR(J1465="", J1465=""), "[Aviso] División no capturada ()", IF(ISNA(MATCH(J1465, Criterios!$A$123:$A$126, 0)), "División no válida", "")), IF(OR(K1465="", K1465=""), "[Aviso] Categoría no capturada ()", IF(ISNA(MATCH(K1465, Criterios!$A$81:$A$120, 0)), "Categoría no válida", IF(AND(J1465&lt;&gt;"", J1465&lt;&gt;"", J1465&lt;&gt;VLOOKUP(K1465, Criterios!$A$81:$B$120, 2, FALSE)), "División no coincide con Categoría", ""))), IF(OR(L1465="", L1465=""), "[Aviso] Género no capturado ()", IF(ISNA(MATCH(L1465, Criterios!$B$123:$B$127, 0)), "Género no válido", "")), IF(OR(N1465="", N1465=""), "[Aviso] Temporada no capturada ()", IF(ISNA(MATCH(N1465, Criterios!$C$123:$C$128, 0)), "Temporada no válida", "")), IF(OR(O1465="", O1465=""), "[Aviso] Ciclo de vida no capturado ()", IF(ISNA(MATCH(O1465, Criterios!$D$123:$D$124, 0)), "Ciclo de vida no válido", ""))))</f>
        <v/>
      </c>
      <c r="AC1465" s="56" t="n"/>
      <c r="AD1465" s="51" t="n">
        <v>0</v>
      </c>
      <c r="AE1465" s="156" t="inlineStr">
        <is>
          <t>STETSON AMERICAS (1)</t>
        </is>
      </c>
      <c r="AF1465" s="51" t="n">
        <v>1</v>
      </c>
      <c r="AG1465" s="156" t="inlineStr">
        <is>
          <t>Catálogo existente</t>
        </is>
      </c>
      <c r="AH1465" s="156" t="inlineStr">
        <is>
          <t>Revisión 29/09/2026: Campos sin respaldo: U, X | 01/10/2026: complementado desde Shopify Stetson México (match por SKU): WB Fit, WB Silueta</t>
        </is>
      </c>
      <c r="AI1465" s="156" t="inlineStr">
        <is>
          <t>Sí</t>
        </is>
      </c>
      <c r="AJ1465" s="156" t="inlineStr">
        <is>
          <t>PUNTO DE VENTA (-1)</t>
        </is>
      </c>
      <c r="AK1465" s="155" t="inlineStr">
        <is>
          <t>Criterios: I [Q] | Shopify Stetson: producto 15243006247275 / variante 53849431671147 | Odoo: producto 14314 / plantilla 17891</t>
        </is>
      </c>
      <c r="AL1465" s="58" t="n">
        <v>2756.25</v>
      </c>
      <c r="AM1465" s="58" t="n">
        <v>6724.137931</v>
      </c>
      <c r="AN1465" s="155" t="inlineStr">
        <is>
          <t>Shopify Stetson México | Odoo Universal Unique Brands</t>
        </is>
      </c>
      <c r="AO1465" s="59" t="n">
        <v>1</v>
      </c>
      <c r="AP1465" s="59" t="n"/>
      <c r="AQ1465" s="59" t="n">
        <v>3</v>
      </c>
      <c r="AR1465" s="155" t="inlineStr">
        <is>
          <t>Shopify Stetson México › Stetson Americas: 1 | Odoo Universal Unique Brands › Bodega 25 › Bodega 25/General: 3</t>
        </is>
      </c>
    </row>
    <row r="1466">
      <c r="A1466" s="50" t="inlineStr">
        <is>
          <t>795177460695</t>
        </is>
      </c>
      <c r="B1466" s="51" t="inlineStr">
        <is>
          <t>109989</t>
        </is>
      </c>
      <c r="C1466" s="156" t="inlineStr">
        <is>
          <t>Multimarca</t>
        </is>
      </c>
      <c r="D1466" s="156" t="inlineStr">
        <is>
          <t>SFPALC-484007</t>
        </is>
      </c>
      <c r="E1466" s="156" t="inlineStr">
        <is>
          <t>SFPALC-48400775</t>
        </is>
      </c>
      <c r="F1466" s="156" t="inlineStr">
        <is>
          <t>7 5/8</t>
        </is>
      </c>
      <c r="G1466" s="156" t="inlineStr">
        <is>
          <t>7 5/8</t>
        </is>
      </c>
      <c r="H1466" s="156" t="inlineStr">
        <is>
          <t>Stetson</t>
        </is>
      </c>
      <c r="I1466" s="156" t="inlineStr">
        <is>
          <t>Texana Stetson Palacio Ii Negro</t>
        </is>
      </c>
      <c r="J1466" s="156" t="inlineStr">
        <is>
          <t>Accesorios</t>
        </is>
      </c>
      <c r="K1466" s="156" t="inlineStr">
        <is>
          <t>Sombreros</t>
        </is>
      </c>
      <c r="L1466" s="156" t="inlineStr">
        <is>
          <t>Unisex</t>
        </is>
      </c>
      <c r="M1466" s="156" t="inlineStr">
        <is>
          <t>Stetson</t>
        </is>
      </c>
      <c r="N1466" s="156" t="inlineStr">
        <is>
          <t>SS26</t>
        </is>
      </c>
      <c r="O1466" s="156" t="inlineStr">
        <is>
          <t>Seasonal</t>
        </is>
      </c>
      <c r="P1466" s="156" t="inlineStr">
        <is>
          <t>Negro</t>
        </is>
      </c>
      <c r="Q1466" s="156" t="n"/>
      <c r="R1466" s="156" t="n"/>
      <c r="S1466" s="156" t="inlineStr">
        <is>
          <t>100% Fieltro de lana</t>
        </is>
      </c>
      <c r="T1466" s="156" t="inlineStr">
        <is>
          <t>Texana Stetson Palacio II Negro.
 Composición: 100% Fieltro de lana.
 Color: Negro.</t>
        </is>
      </c>
      <c r="U1466" s="156" t="n"/>
      <c r="V1466" s="156" t="inlineStr">
        <is>
          <t>PZS</t>
        </is>
      </c>
      <c r="W1466" s="51" t="inlineStr">
        <is>
          <t>53102503</t>
        </is>
      </c>
      <c r="X1466" s="156" t="n"/>
      <c r="Y1466" s="54" t="n">
        <v>2756.25</v>
      </c>
      <c r="Z1466" s="54" t="n">
        <v>6724.137931</v>
      </c>
      <c r="AA1466" s="55">
        <f>IF(AND(A1466="", B1466="", E1466=""), "", IF(AB1466="", "Válido", IF((LEN(AB1466)-LEN(SUBSTITUTE(AB1466,"; ","")))/2+1&gt;(LEN(AB1466)-LEN(SUBSTITUTE(AB1466,"[Aviso]","")))/7, "Con Incidencias", "Válido")))</f>
        <v/>
      </c>
      <c r="AB1466" s="56">
        <f>IF(AND(A1466="", B1466="", E1466=""), "", TEXTJOIN("; ", TRUE, IF(OR(TRIM(A1466&amp;"")="", ISNUMBER(SEARCH("FALTA", A1466))), "UPC faltante/inválido", ""), IF(AND(A1466&lt;&gt;"", IFERROR(_xlfn.XMATCH(A1466,$A$2:$A$2509,0,1)&lt;&gt;_xlfn.XMATCH(A1466,$A$2:$A$2509,0,-1),FALSE)), "Código de barras duplicado", ""), IF(AND(E1466&lt;&gt;"", COUNTIF($E$2:$E$2509, E1466)&gt;1), "SKU duplicado", ""), IF(OR(J1466="", J1466=""), "[Aviso] División no capturada ()", IF(ISNA(MATCH(J1466, Criterios!$A$123:$A$126, 0)), "División no válida", "")), IF(OR(K1466="", K1466=""), "[Aviso] Categoría no capturada ()", IF(ISNA(MATCH(K1466, Criterios!$A$81:$A$120, 0)), "Categoría no válida", IF(AND(J1466&lt;&gt;"", J1466&lt;&gt;"", J1466&lt;&gt;VLOOKUP(K1466, Criterios!$A$81:$B$120, 2, FALSE)), "División no coincide con Categoría", ""))), IF(OR(L1466="", L1466=""), "[Aviso] Género no capturado ()", IF(ISNA(MATCH(L1466, Criterios!$B$123:$B$127, 0)), "Género no válido", "")), IF(OR(N1466="", N1466=""), "[Aviso] Temporada no capturada ()", IF(ISNA(MATCH(N1466, Criterios!$C$123:$C$128, 0)), "Temporada no válida", "")), IF(OR(O1466="", O1466=""), "[Aviso] Ciclo de vida no capturado ()", IF(ISNA(MATCH(O1466, Criterios!$D$123:$D$124, 0)), "Ciclo de vida no válido", ""))))</f>
        <v/>
      </c>
      <c r="AC1466" s="56" t="n"/>
      <c r="AD1466" s="51" t="n">
        <v>0</v>
      </c>
      <c r="AE1466" s="156" t="n"/>
      <c r="AF1466" s="51" t="n">
        <v>0</v>
      </c>
      <c r="AG1466" s="156" t="inlineStr">
        <is>
          <t>Catálogo existente</t>
        </is>
      </c>
      <c r="AH1466" s="156" t="inlineStr">
        <is>
          <t>Revisión 29/09/2026: Campos sin respaldo: U, X | 01/10/2026: complementado desde Odoo Universal Unique Brands (match por código de barras): WB Fit</t>
        </is>
      </c>
      <c r="AI1466" s="156" t="inlineStr">
        <is>
          <t>No</t>
        </is>
      </c>
      <c r="AJ1466" s="156" t="n"/>
      <c r="AK1466" s="155" t="inlineStr">
        <is>
          <t>Criterios: I [Q] | Odoo: producto 14320 / plantilla 17897</t>
        </is>
      </c>
      <c r="AL1466" s="58" t="n">
        <v>2756.25</v>
      </c>
      <c r="AM1466" s="58" t="n">
        <v>6724.137931</v>
      </c>
      <c r="AN1466" s="155" t="inlineStr">
        <is>
          <t>Odoo Universal Unique Brands</t>
        </is>
      </c>
      <c r="AO1466" s="59" t="n"/>
      <c r="AP1466" s="59" t="n"/>
      <c r="AQ1466" s="59" t="n">
        <v>2</v>
      </c>
      <c r="AR1466" s="155" t="inlineStr">
        <is>
          <t>Odoo Universal Unique Brands › Bodega 25 › Bodega 25/General: 2</t>
        </is>
      </c>
    </row>
    <row r="1467">
      <c r="A1467" s="50" t="inlineStr">
        <is>
          <t>795177470083</t>
        </is>
      </c>
      <c r="B1467" s="51" t="inlineStr">
        <is>
          <t>109903</t>
        </is>
      </c>
      <c r="C1467" s="156" t="inlineStr">
        <is>
          <t>Multimarca</t>
        </is>
      </c>
      <c r="D1467" s="156" t="inlineStr">
        <is>
          <t>SFEPTN-484007</t>
        </is>
      </c>
      <c r="E1467" s="156" t="inlineStr">
        <is>
          <t>SFEPTN-48400767</t>
        </is>
      </c>
      <c r="F1467" s="156" t="inlineStr">
        <is>
          <t>6 7/8</t>
        </is>
      </c>
      <c r="G1467" s="156" t="inlineStr">
        <is>
          <t>6 7/8</t>
        </is>
      </c>
      <c r="H1467" s="156" t="inlineStr">
        <is>
          <t>Stetson</t>
        </is>
      </c>
      <c r="I1467" s="156" t="inlineStr">
        <is>
          <t>Sombrero Stetson el Patrón 48 Premier 30X</t>
        </is>
      </c>
      <c r="J1467" s="156" t="inlineStr">
        <is>
          <t>Accesorios</t>
        </is>
      </c>
      <c r="K1467" s="156" t="inlineStr">
        <is>
          <t>Sombreros</t>
        </is>
      </c>
      <c r="L1467" s="156" t="inlineStr">
        <is>
          <t>Unisex</t>
        </is>
      </c>
      <c r="M1467" s="156" t="inlineStr">
        <is>
          <t>Stetson</t>
        </is>
      </c>
      <c r="N1467" s="156" t="inlineStr">
        <is>
          <t>SS26</t>
        </is>
      </c>
      <c r="O1467" s="156" t="inlineStr">
        <is>
          <t>Seasonal</t>
        </is>
      </c>
      <c r="P1467" s="156" t="inlineStr">
        <is>
          <t>Negro</t>
        </is>
      </c>
      <c r="Q1467" s="156" t="n"/>
      <c r="R1467" s="156" t="inlineStr">
        <is>
          <t>Copa Rancher</t>
        </is>
      </c>
      <c r="S1467" s="156" t="inlineStr">
        <is>
          <t>100% Paja</t>
        </is>
      </c>
      <c r="T1467"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7" s="156" t="inlineStr">
        <is>
          <t>Estados Unidos</t>
        </is>
      </c>
      <c r="V1467" s="156" t="inlineStr">
        <is>
          <t>PZS</t>
        </is>
      </c>
      <c r="W1467" s="51" t="inlineStr">
        <is>
          <t>53102503</t>
        </is>
      </c>
      <c r="X1467" s="156" t="inlineStr">
        <is>
          <t>https://cdn.shopify.com/s/files/1/0888/3250/8267/files/SFEPTN-4840-07-71-ELPATRON_4.png?v=1760375370</t>
        </is>
      </c>
      <c r="Y1467" s="54" t="n">
        <v>5512.5</v>
      </c>
      <c r="Z1467" s="54" t="n">
        <v>14224.13793</v>
      </c>
      <c r="AA1467" s="55">
        <f>IF(AND(A1467="", B1467="", E1467=""), "", IF(AB1467="", "Válido", IF((LEN(AB1467)-LEN(SUBSTITUTE(AB1467,"; ","")))/2+1&gt;(LEN(AB1467)-LEN(SUBSTITUTE(AB1467,"[Aviso]","")))/7, "Con Incidencias", "Válido")))</f>
        <v/>
      </c>
      <c r="AB1467" s="56">
        <f>IF(AND(A1467="", B1467="", E1467=""), "", TEXTJOIN("; ", TRUE, IF(OR(TRIM(A1467&amp;"")="", ISNUMBER(SEARCH("FALTA", A1467))), "UPC faltante/inválido", ""), IF(AND(A1467&lt;&gt;"", IFERROR(_xlfn.XMATCH(A1467,$A$2:$A$2509,0,1)&lt;&gt;_xlfn.XMATCH(A1467,$A$2:$A$2509,0,-1),FALSE)), "Código de barras duplicado", ""), IF(AND(E1467&lt;&gt;"", COUNTIF($E$2:$E$2509, E1467)&gt;1), "SKU duplicado", ""), IF(OR(J1467="", J1467=""), "[Aviso] División no capturada ()", IF(ISNA(MATCH(J1467, Criterios!$A$123:$A$126, 0)), "División no válida", "")), IF(OR(K1467="", K1467=""), "[Aviso] Categoría no capturada ()", IF(ISNA(MATCH(K1467, Criterios!$A$81:$A$120, 0)), "Categoría no válida", IF(AND(J1467&lt;&gt;"", J1467&lt;&gt;"", J1467&lt;&gt;VLOOKUP(K1467, Criterios!$A$81:$B$120, 2, FALSE)), "División no coincide con Categoría", ""))), IF(OR(L1467="", L1467=""), "[Aviso] Género no capturado ()", IF(ISNA(MATCH(L1467, Criterios!$B$123:$B$127, 0)), "Género no válido", "")), IF(OR(N1467="", N1467=""), "[Aviso] Temporada no capturada ()", IF(ISNA(MATCH(N1467, Criterios!$C$123:$C$128, 0)), "Temporada no válida", "")), IF(OR(O1467="", O1467=""), "[Aviso] Ciclo de vida no capturado ()", IF(ISNA(MATCH(O1467, Criterios!$D$123:$D$124, 0)), "Ciclo de vida no válido", ""))))</f>
        <v/>
      </c>
      <c r="AC1467" s="56" t="n"/>
      <c r="AD1467" s="51" t="n">
        <v>0</v>
      </c>
      <c r="AE1467" s="156" t="inlineStr">
        <is>
          <t>B25 STETSON.MX (1)</t>
        </is>
      </c>
      <c r="AF1467" s="51" t="n">
        <v>1</v>
      </c>
      <c r="AG1467" s="156" t="inlineStr">
        <is>
          <t>Catálogo existente</t>
        </is>
      </c>
      <c r="AH1467" s="156" t="inlineStr">
        <is>
          <t>Revisión 29/09/2026: Cruce de catálogo y criterios sin pendientes detectados | 01/10/2026: complementado desde Shopify Stetson México (match por código de barras): WB Fit, WB Silueta</t>
        </is>
      </c>
      <c r="AI1467" s="156" t="inlineStr">
        <is>
          <t>Sí</t>
        </is>
      </c>
      <c r="AJ1467" s="156" t="inlineStr">
        <is>
          <t>STETSON AMERICAS (-1)</t>
        </is>
      </c>
      <c r="AK1467" s="155" t="inlineStr">
        <is>
          <t>Criterios: I [Q] | Shopify Stetson: producto 14790354272619 / variante 53350604603755 | Odoo: producto 14223 / plantilla 17800</t>
        </is>
      </c>
      <c r="AL1467" s="58" t="n">
        <v>5512.5</v>
      </c>
      <c r="AM1467" s="58" t="n">
        <v>14224.13793</v>
      </c>
      <c r="AN1467" s="155" t="inlineStr">
        <is>
          <t>Shopify Stetson México | Odoo Universal Unique Brands</t>
        </is>
      </c>
      <c r="AO1467" s="59" t="n">
        <v>1</v>
      </c>
      <c r="AP1467" s="59" t="n"/>
      <c r="AQ1467" s="59" t="n">
        <v>2</v>
      </c>
      <c r="AR1467" s="155" t="inlineStr">
        <is>
          <t>Shopify Stetson México › Stetson México: 1 | Odoo Universal Unique Brands › Bodega 25 › Bodega 25/General: 2</t>
        </is>
      </c>
    </row>
    <row r="1468">
      <c r="A1468" s="50" t="inlineStr">
        <is>
          <t>795177470090</t>
        </is>
      </c>
      <c r="B1468" s="51" t="inlineStr">
        <is>
          <t>109904</t>
        </is>
      </c>
      <c r="C1468" s="156" t="inlineStr">
        <is>
          <t>Multimarca</t>
        </is>
      </c>
      <c r="D1468" s="156" t="inlineStr">
        <is>
          <t>SFEPTN-484007</t>
        </is>
      </c>
      <c r="E1468" s="156" t="inlineStr">
        <is>
          <t>SFEPTN-48400770</t>
        </is>
      </c>
      <c r="F1468" s="156" t="inlineStr">
        <is>
          <t>7</t>
        </is>
      </c>
      <c r="G1468" s="156" t="inlineStr">
        <is>
          <t>7</t>
        </is>
      </c>
      <c r="H1468" s="156" t="inlineStr">
        <is>
          <t>Stetson</t>
        </is>
      </c>
      <c r="I1468" s="156" t="inlineStr">
        <is>
          <t>Sombrero Stetson el Patrón 48 Premier 30X</t>
        </is>
      </c>
      <c r="J1468" s="156" t="inlineStr">
        <is>
          <t>Accesorios</t>
        </is>
      </c>
      <c r="K1468" s="156" t="inlineStr">
        <is>
          <t>Sombreros</t>
        </is>
      </c>
      <c r="L1468" s="156" t="inlineStr">
        <is>
          <t>Unisex</t>
        </is>
      </c>
      <c r="M1468" s="156" t="inlineStr">
        <is>
          <t>Stetson</t>
        </is>
      </c>
      <c r="N1468" s="156" t="inlineStr">
        <is>
          <t>SS26</t>
        </is>
      </c>
      <c r="O1468" s="156" t="inlineStr">
        <is>
          <t>Seasonal</t>
        </is>
      </c>
      <c r="P1468" s="156" t="inlineStr">
        <is>
          <t>Negro</t>
        </is>
      </c>
      <c r="Q1468" s="156" t="n"/>
      <c r="R1468" s="156" t="inlineStr">
        <is>
          <t>Copa Rancher</t>
        </is>
      </c>
      <c r="S1468" s="156" t="inlineStr">
        <is>
          <t>100% Paja</t>
        </is>
      </c>
      <c r="T1468"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8" s="156" t="inlineStr">
        <is>
          <t>Estados Unidos</t>
        </is>
      </c>
      <c r="V1468" s="156" t="inlineStr">
        <is>
          <t>PZS</t>
        </is>
      </c>
      <c r="W1468" s="51" t="inlineStr">
        <is>
          <t>53102503</t>
        </is>
      </c>
      <c r="X1468" s="156" t="inlineStr">
        <is>
          <t>https://cdn.shopify.com/s/files/1/0888/3250/8267/files/SFEPTN-4840-07-71-ELPATRON_3.png?v=1760375852</t>
        </is>
      </c>
      <c r="Y1468" s="54" t="n">
        <v>5512.5</v>
      </c>
      <c r="Z1468" s="54" t="n">
        <v>14224.13793</v>
      </c>
      <c r="AA1468" s="55">
        <f>IF(AND(A1468="", B1468="", E1468=""), "", IF(AB1468="", "Válido", IF((LEN(AB1468)-LEN(SUBSTITUTE(AB1468,"; ","")))/2+1&gt;(LEN(AB1468)-LEN(SUBSTITUTE(AB1468,"[Aviso]","")))/7, "Con Incidencias", "Válido")))</f>
        <v/>
      </c>
      <c r="AB1468" s="56">
        <f>IF(AND(A1468="", B1468="", E1468=""), "", TEXTJOIN("; ", TRUE, IF(OR(TRIM(A1468&amp;"")="", ISNUMBER(SEARCH("FALTA", A1468))), "UPC faltante/inválido", ""), IF(AND(A1468&lt;&gt;"", IFERROR(_xlfn.XMATCH(A1468,$A$2:$A$2509,0,1)&lt;&gt;_xlfn.XMATCH(A1468,$A$2:$A$2509,0,-1),FALSE)), "Código de barras duplicado", ""), IF(AND(E1468&lt;&gt;"", COUNTIF($E$2:$E$2509, E1468)&gt;1), "SKU duplicado", ""), IF(OR(J1468="", J1468=""), "[Aviso] División no capturada ()", IF(ISNA(MATCH(J1468, Criterios!$A$123:$A$126, 0)), "División no válida", "")), IF(OR(K1468="", K1468=""), "[Aviso] Categoría no capturada ()", IF(ISNA(MATCH(K1468, Criterios!$A$81:$A$120, 0)), "Categoría no válida", IF(AND(J1468&lt;&gt;"", J1468&lt;&gt;"", J1468&lt;&gt;VLOOKUP(K1468, Criterios!$A$81:$B$120, 2, FALSE)), "División no coincide con Categoría", ""))), IF(OR(L1468="", L1468=""), "[Aviso] Género no capturado ()", IF(ISNA(MATCH(L1468, Criterios!$B$123:$B$127, 0)), "Género no válido", "")), IF(OR(N1468="", N1468=""), "[Aviso] Temporada no capturada ()", IF(ISNA(MATCH(N1468, Criterios!$C$123:$C$128, 0)), "Temporada no válida", "")), IF(OR(O1468="", O1468=""), "[Aviso] Ciclo de vida no capturado ()", IF(ISNA(MATCH(O1468, Criterios!$D$123:$D$124, 0)), "Ciclo de vida no válido", ""))))</f>
        <v/>
      </c>
      <c r="AC1468" s="56" t="n"/>
      <c r="AD1468" s="51" t="n">
        <v>-1</v>
      </c>
      <c r="AE1468" s="156" t="n"/>
      <c r="AF1468" s="51" t="n">
        <v>0</v>
      </c>
      <c r="AG1468" s="156" t="inlineStr">
        <is>
          <t>Catálogo existente</t>
        </is>
      </c>
      <c r="AH1468" s="156" t="inlineStr">
        <is>
          <t>Stock negativo en sistema: revisar en conteo | Revisión 29/09/2026: Cruce de catálogo y criterios sin pendientes detectados | 01/10/2026: complementado desde Shopify Stetson México (match por código de barras): WB Fit, WB Silueta</t>
        </is>
      </c>
      <c r="AI1468" s="156" t="inlineStr">
        <is>
          <t>Sí</t>
        </is>
      </c>
      <c r="AJ1468" s="156" t="inlineStr">
        <is>
          <t>STETSON AMERICAS (-1)</t>
        </is>
      </c>
      <c r="AK1468" s="155" t="inlineStr">
        <is>
          <t>Criterios: I [Q] | Shopify Stetson: producto 14790354272619 / variante 53350604636523 | Odoo: producto 14224 / plantilla 17801</t>
        </is>
      </c>
      <c r="AL1468" s="58" t="n">
        <v>5512.5</v>
      </c>
      <c r="AM1468" s="58" t="n">
        <v>14224.13793</v>
      </c>
      <c r="AN1468" s="155" t="inlineStr">
        <is>
          <t>Shopify Stetson México | Odoo Universal Unique Brands</t>
        </is>
      </c>
      <c r="AO1468" s="59" t="n">
        <v>0</v>
      </c>
      <c r="AP1468" s="59" t="n"/>
      <c r="AQ1468" s="59" t="n">
        <v>1</v>
      </c>
      <c r="AR1468" s="155" t="inlineStr">
        <is>
          <t>Odoo Universal Unique Brands › Bodega 25 › Bodega 25/General: 1</t>
        </is>
      </c>
    </row>
    <row r="1469">
      <c r="A1469" s="50" t="inlineStr">
        <is>
          <t>795177470106</t>
        </is>
      </c>
      <c r="B1469" s="51" t="inlineStr">
        <is>
          <t>109905</t>
        </is>
      </c>
      <c r="C1469" s="156" t="inlineStr">
        <is>
          <t>Multimarca</t>
        </is>
      </c>
      <c r="D1469" s="156" t="inlineStr">
        <is>
          <t>SFEPTN-484007</t>
        </is>
      </c>
      <c r="E1469" s="156" t="inlineStr">
        <is>
          <t>SFEPTN-48400771</t>
        </is>
      </c>
      <c r="F1469" s="156" t="inlineStr">
        <is>
          <t>7 1/8</t>
        </is>
      </c>
      <c r="G1469" s="156" t="inlineStr">
        <is>
          <t>7 1/8</t>
        </is>
      </c>
      <c r="H1469" s="156" t="inlineStr">
        <is>
          <t>Stetson</t>
        </is>
      </c>
      <c r="I1469" s="156" t="inlineStr">
        <is>
          <t>Sombrero Stetson el Patrón 48 Premier 30X</t>
        </is>
      </c>
      <c r="J1469" s="156" t="inlineStr">
        <is>
          <t>Accesorios</t>
        </is>
      </c>
      <c r="K1469" s="156" t="inlineStr">
        <is>
          <t>Sombreros</t>
        </is>
      </c>
      <c r="L1469" s="156" t="inlineStr">
        <is>
          <t>Unisex</t>
        </is>
      </c>
      <c r="M1469" s="156" t="inlineStr">
        <is>
          <t>Stetson</t>
        </is>
      </c>
      <c r="N1469" s="156" t="inlineStr">
        <is>
          <t>SS26</t>
        </is>
      </c>
      <c r="O1469" s="156" t="inlineStr">
        <is>
          <t>Seasonal</t>
        </is>
      </c>
      <c r="P1469" s="156" t="inlineStr">
        <is>
          <t>Negro</t>
        </is>
      </c>
      <c r="Q1469" s="156" t="n"/>
      <c r="R1469" s="156" t="inlineStr">
        <is>
          <t>Copa Rancher</t>
        </is>
      </c>
      <c r="S1469" s="156" t="inlineStr">
        <is>
          <t>100% Paja</t>
        </is>
      </c>
      <c r="T146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9" s="156" t="inlineStr">
        <is>
          <t>Estados Unidos</t>
        </is>
      </c>
      <c r="V1469" s="156" t="inlineStr">
        <is>
          <t>PZS</t>
        </is>
      </c>
      <c r="W1469" s="51" t="inlineStr">
        <is>
          <t>53102503</t>
        </is>
      </c>
      <c r="X1469" s="156" t="inlineStr">
        <is>
          <t>https://cdn.shopify.com/s/files/1/0888/3250/8267/files/SFEPTN-4840-07-71-ELPATRON_1.png?v=1760375852</t>
        </is>
      </c>
      <c r="Y1469" s="54" t="n">
        <v>5512.5</v>
      </c>
      <c r="Z1469" s="54" t="n">
        <v>14224.13793</v>
      </c>
      <c r="AA1469" s="55">
        <f>IF(AND(A1469="", B1469="", E1469=""), "", IF(AB1469="", "Válido", IF((LEN(AB1469)-LEN(SUBSTITUTE(AB1469,"; ","")))/2+1&gt;(LEN(AB1469)-LEN(SUBSTITUTE(AB1469,"[Aviso]","")))/7, "Con Incidencias", "Válido")))</f>
        <v/>
      </c>
      <c r="AB1469" s="56">
        <f>IF(AND(A1469="", B1469="", E1469=""), "", TEXTJOIN("; ", TRUE, IF(OR(TRIM(A1469&amp;"")="", ISNUMBER(SEARCH("FALTA", A1469))), "UPC faltante/inválido", ""), IF(AND(A1469&lt;&gt;"", IFERROR(_xlfn.XMATCH(A1469,$A$2:$A$2509,0,1)&lt;&gt;_xlfn.XMATCH(A1469,$A$2:$A$2509,0,-1),FALSE)), "Código de barras duplicado", ""), IF(AND(E1469&lt;&gt;"", COUNTIF($E$2:$E$2509, E1469)&gt;1), "SKU duplicado", ""), IF(OR(J1469="", J1469=""), "[Aviso] División no capturada ()", IF(ISNA(MATCH(J1469, Criterios!$A$123:$A$126, 0)), "División no válida", "")), IF(OR(K1469="", K1469=""), "[Aviso] Categoría no capturada ()", IF(ISNA(MATCH(K1469, Criterios!$A$81:$A$120, 0)), "Categoría no válida", IF(AND(J1469&lt;&gt;"", J1469&lt;&gt;"", J1469&lt;&gt;VLOOKUP(K1469, Criterios!$A$81:$B$120, 2, FALSE)), "División no coincide con Categoría", ""))), IF(OR(L1469="", L1469=""), "[Aviso] Género no capturado ()", IF(ISNA(MATCH(L1469, Criterios!$B$123:$B$127, 0)), "Género no válido", "")), IF(OR(N1469="", N1469=""), "[Aviso] Temporada no capturada ()", IF(ISNA(MATCH(N1469, Criterios!$C$123:$C$128, 0)), "Temporada no válida", "")), IF(OR(O1469="", O1469=""), "[Aviso] Ciclo de vida no capturado ()", IF(ISNA(MATCH(O1469, Criterios!$D$123:$D$124, 0)), "Ciclo de vida no válido", ""))))</f>
        <v/>
      </c>
      <c r="AC1469" s="56" t="n"/>
      <c r="AD1469" s="51" t="n">
        <v>-1</v>
      </c>
      <c r="AE1469" s="156" t="n"/>
      <c r="AF1469" s="51" t="n">
        <v>0</v>
      </c>
      <c r="AG1469" s="156" t="inlineStr">
        <is>
          <t>Catálogo existente</t>
        </is>
      </c>
      <c r="AH1469" s="156" t="inlineStr">
        <is>
          <t>Stock negativo en sistema: revisar en conteo | Revisión 29/09/2026: Cruce de catálogo y criterios sin pendientes detectados | 01/10/2026: complementado desde Shopify Stetson México (match por código de barras): WB Fit, WB Silueta</t>
        </is>
      </c>
      <c r="AI1469" s="156" t="inlineStr">
        <is>
          <t>Sí</t>
        </is>
      </c>
      <c r="AJ1469" s="156" t="inlineStr">
        <is>
          <t>STETSON AMERICAS (-1)</t>
        </is>
      </c>
      <c r="AK1469" s="155" t="inlineStr">
        <is>
          <t>Criterios: I [Q] | Shopify Stetson: producto 14790354272619 / variante 53350604669291 | Odoo: producto 14225 / plantilla 17802</t>
        </is>
      </c>
      <c r="AL1469" s="58" t="n">
        <v>5512.5</v>
      </c>
      <c r="AM1469" s="58" t="n">
        <v>14224.13793</v>
      </c>
      <c r="AN1469" s="155" t="inlineStr">
        <is>
          <t>Shopify Stetson México | Odoo Universal Unique Brands</t>
        </is>
      </c>
      <c r="AO1469" s="59" t="n">
        <v>0</v>
      </c>
      <c r="AP1469" s="59" t="n"/>
      <c r="AQ1469" s="59" t="n">
        <v>1</v>
      </c>
      <c r="AR1469" s="155" t="inlineStr">
        <is>
          <t>Odoo Universal Unique Brands › Bodega 25 › Bodega 25/General: 1</t>
        </is>
      </c>
    </row>
    <row r="1470">
      <c r="A1470" s="50" t="inlineStr">
        <is>
          <t>795177470113</t>
        </is>
      </c>
      <c r="B1470" s="51" t="inlineStr">
        <is>
          <t>109906</t>
        </is>
      </c>
      <c r="C1470" s="156" t="inlineStr">
        <is>
          <t>Multimarca</t>
        </is>
      </c>
      <c r="D1470" s="156" t="inlineStr">
        <is>
          <t>SFEPTN-484007</t>
        </is>
      </c>
      <c r="E1470" s="156" t="inlineStr">
        <is>
          <t>SFEPTN-48400772</t>
        </is>
      </c>
      <c r="F1470" s="156" t="inlineStr">
        <is>
          <t>7 1/4</t>
        </is>
      </c>
      <c r="G1470" s="156" t="inlineStr">
        <is>
          <t>7 1/4</t>
        </is>
      </c>
      <c r="H1470" s="156" t="inlineStr">
        <is>
          <t>Stetson</t>
        </is>
      </c>
      <c r="I1470" s="156" t="inlineStr">
        <is>
          <t>Sombrero Stetson el Patrón 48 Premier 30X</t>
        </is>
      </c>
      <c r="J1470" s="156" t="inlineStr">
        <is>
          <t>Accesorios</t>
        </is>
      </c>
      <c r="K1470" s="156" t="inlineStr">
        <is>
          <t>Sombreros</t>
        </is>
      </c>
      <c r="L1470" s="156" t="inlineStr">
        <is>
          <t>Unisex</t>
        </is>
      </c>
      <c r="M1470" s="156" t="inlineStr">
        <is>
          <t>Stetson</t>
        </is>
      </c>
      <c r="N1470" s="156" t="inlineStr">
        <is>
          <t>SS26</t>
        </is>
      </c>
      <c r="O1470" s="156" t="inlineStr">
        <is>
          <t>Seasonal</t>
        </is>
      </c>
      <c r="P1470" s="156" t="inlineStr">
        <is>
          <t>Negro</t>
        </is>
      </c>
      <c r="Q1470" s="156" t="n"/>
      <c r="R1470" s="156" t="inlineStr">
        <is>
          <t>Copa Rancher</t>
        </is>
      </c>
      <c r="S1470" s="156" t="inlineStr">
        <is>
          <t>100% Paja</t>
        </is>
      </c>
      <c r="T147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0" s="156" t="inlineStr">
        <is>
          <t>Estados Unidos</t>
        </is>
      </c>
      <c r="V1470" s="156" t="inlineStr">
        <is>
          <t>PZS</t>
        </is>
      </c>
      <c r="W1470" s="51" t="inlineStr">
        <is>
          <t>53102503</t>
        </is>
      </c>
      <c r="X1470" s="156" t="inlineStr">
        <is>
          <t>https://cdn.shopify.com/s/files/1/0888/3250/8267/files/SFEPTN-4840-07-71-ELPATRON_2.png?v=1760375852</t>
        </is>
      </c>
      <c r="Y1470" s="54" t="n">
        <v>5512.5</v>
      </c>
      <c r="Z1470" s="54" t="n">
        <v>14224.13793</v>
      </c>
      <c r="AA1470" s="55">
        <f>IF(AND(A1470="", B1470="", E1470=""), "", IF(AB1470="", "Válido", IF((LEN(AB1470)-LEN(SUBSTITUTE(AB1470,"; ","")))/2+1&gt;(LEN(AB1470)-LEN(SUBSTITUTE(AB1470,"[Aviso]","")))/7, "Con Incidencias", "Válido")))</f>
        <v/>
      </c>
      <c r="AB1470" s="56">
        <f>IF(AND(A1470="", B1470="", E1470=""), "", TEXTJOIN("; ", TRUE, IF(OR(TRIM(A1470&amp;"")="", ISNUMBER(SEARCH("FALTA", A1470))), "UPC faltante/inválido", ""), IF(AND(A1470&lt;&gt;"", IFERROR(_xlfn.XMATCH(A1470,$A$2:$A$2509,0,1)&lt;&gt;_xlfn.XMATCH(A1470,$A$2:$A$2509,0,-1),FALSE)), "Código de barras duplicado", ""), IF(AND(E1470&lt;&gt;"", COUNTIF($E$2:$E$2509, E1470)&gt;1), "SKU duplicado", ""), IF(OR(J1470="", J1470=""), "[Aviso] División no capturada ()", IF(ISNA(MATCH(J1470, Criterios!$A$123:$A$126, 0)), "División no válida", "")), IF(OR(K1470="", K1470=""), "[Aviso] Categoría no capturada ()", IF(ISNA(MATCH(K1470, Criterios!$A$81:$A$120, 0)), "Categoría no válida", IF(AND(J1470&lt;&gt;"", J1470&lt;&gt;"", J1470&lt;&gt;VLOOKUP(K1470, Criterios!$A$81:$B$120, 2, FALSE)), "División no coincide con Categoría", ""))), IF(OR(L1470="", L1470=""), "[Aviso] Género no capturado ()", IF(ISNA(MATCH(L1470, Criterios!$B$123:$B$127, 0)), "Género no válido", "")), IF(OR(N1470="", N1470=""), "[Aviso] Temporada no capturada ()", IF(ISNA(MATCH(N1470, Criterios!$C$123:$C$128, 0)), "Temporada no válida", "")), IF(OR(O1470="", O1470=""), "[Aviso] Ciclo de vida no capturado ()", IF(ISNA(MATCH(O1470, Criterios!$D$123:$D$124, 0)), "Ciclo de vida no válido", ""))))</f>
        <v/>
      </c>
      <c r="AC1470" s="56" t="n"/>
      <c r="AD1470" s="51" t="n">
        <v>-1</v>
      </c>
      <c r="AE1470" s="156" t="n"/>
      <c r="AF1470" s="51" t="n">
        <v>0</v>
      </c>
      <c r="AG1470" s="156" t="inlineStr">
        <is>
          <t>Catálogo existente</t>
        </is>
      </c>
      <c r="AH1470" s="156" t="inlineStr">
        <is>
          <t>Stock negativo en sistema: revisar en conteo | Revisión 29/09/2026: Cruce de catálogo y criterios sin pendientes detectados | 01/10/2026: complementado desde Shopify Stetson México (match por código de barras): WB Fit, WB Silueta</t>
        </is>
      </c>
      <c r="AI1470" s="156" t="inlineStr">
        <is>
          <t>Sí</t>
        </is>
      </c>
      <c r="AJ1470" s="156" t="inlineStr">
        <is>
          <t>STETSON AMERICAS (-1)</t>
        </is>
      </c>
      <c r="AK1470" s="155" t="inlineStr">
        <is>
          <t>Criterios: I [Q] | Shopify Stetson: producto 14790354272619 / variante 53350604702059 | Odoo: producto 14226 / plantilla 17803</t>
        </is>
      </c>
      <c r="AL1470" s="58" t="n">
        <v>5512.5</v>
      </c>
      <c r="AM1470" s="58" t="n">
        <v>14224.13793</v>
      </c>
      <c r="AN1470" s="155" t="inlineStr">
        <is>
          <t>Shopify Stetson México | Odoo Universal Unique Brands</t>
        </is>
      </c>
      <c r="AO1470" s="59" t="n">
        <v>0</v>
      </c>
      <c r="AP1470" s="59" t="n"/>
      <c r="AQ1470" s="59" t="n">
        <v>2</v>
      </c>
      <c r="AR1470" s="155" t="inlineStr">
        <is>
          <t>Odoo Universal Unique Brands › Bodega 25 › Bodega 25/General: 2</t>
        </is>
      </c>
    </row>
    <row r="1471">
      <c r="A1471" s="50" t="inlineStr">
        <is>
          <t>795177470120</t>
        </is>
      </c>
      <c r="B1471" s="51" t="inlineStr">
        <is>
          <t>109907</t>
        </is>
      </c>
      <c r="C1471" s="156" t="inlineStr">
        <is>
          <t>Multimarca</t>
        </is>
      </c>
      <c r="D1471" s="156" t="inlineStr">
        <is>
          <t>SFEPTN-484007</t>
        </is>
      </c>
      <c r="E1471" s="156" t="inlineStr">
        <is>
          <t>SFEPTN-48400773</t>
        </is>
      </c>
      <c r="F1471" s="156" t="inlineStr">
        <is>
          <t>7 3/8</t>
        </is>
      </c>
      <c r="G1471" s="156" t="inlineStr">
        <is>
          <t>7 3/8</t>
        </is>
      </c>
      <c r="H1471" s="156" t="inlineStr">
        <is>
          <t>Stetson</t>
        </is>
      </c>
      <c r="I1471" s="156" t="inlineStr">
        <is>
          <t>Sombrero Stetson el Patrón 48 Premier 30X</t>
        </is>
      </c>
      <c r="J1471" s="156" t="inlineStr">
        <is>
          <t>Accesorios</t>
        </is>
      </c>
      <c r="K1471" s="156" t="inlineStr">
        <is>
          <t>Sombreros</t>
        </is>
      </c>
      <c r="L1471" s="156" t="inlineStr">
        <is>
          <t>Unisex</t>
        </is>
      </c>
      <c r="M1471" s="156" t="inlineStr">
        <is>
          <t>Stetson</t>
        </is>
      </c>
      <c r="N1471" s="156" t="inlineStr">
        <is>
          <t>SS26</t>
        </is>
      </c>
      <c r="O1471" s="156" t="inlineStr">
        <is>
          <t>Seasonal</t>
        </is>
      </c>
      <c r="P1471" s="156" t="inlineStr">
        <is>
          <t>Negro</t>
        </is>
      </c>
      <c r="Q1471" s="156" t="n"/>
      <c r="R1471" s="156" t="inlineStr">
        <is>
          <t>Copa Rancher</t>
        </is>
      </c>
      <c r="S1471" s="156" t="inlineStr">
        <is>
          <t>100% Paja</t>
        </is>
      </c>
      <c r="T147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1" s="156" t="inlineStr">
        <is>
          <t>Estados Unidos</t>
        </is>
      </c>
      <c r="V1471" s="156" t="inlineStr">
        <is>
          <t>PZS</t>
        </is>
      </c>
      <c r="W1471" s="51" t="inlineStr">
        <is>
          <t>53102503</t>
        </is>
      </c>
      <c r="X1471" s="156" t="inlineStr">
        <is>
          <t>https://cdn.shopify.com/s/files/1/0888/3250/8267/files/SFEPTN-4840-07-71-ELPATRON_5.png?v=1760110986</t>
        </is>
      </c>
      <c r="Y1471" s="54" t="n">
        <v>5512.5</v>
      </c>
      <c r="Z1471" s="54" t="n">
        <v>14224.13793</v>
      </c>
      <c r="AA1471" s="55">
        <f>IF(AND(A1471="", B1471="", E1471=""), "", IF(AB1471="", "Válido", IF((LEN(AB1471)-LEN(SUBSTITUTE(AB1471,"; ","")))/2+1&gt;(LEN(AB1471)-LEN(SUBSTITUTE(AB1471,"[Aviso]","")))/7, "Con Incidencias", "Válido")))</f>
        <v/>
      </c>
      <c r="AB1471" s="56">
        <f>IF(AND(A1471="", B1471="", E1471=""), "", TEXTJOIN("; ", TRUE, IF(OR(TRIM(A1471&amp;"")="", ISNUMBER(SEARCH("FALTA", A1471))), "UPC faltante/inválido", ""), IF(AND(A1471&lt;&gt;"", IFERROR(_xlfn.XMATCH(A1471,$A$2:$A$2509,0,1)&lt;&gt;_xlfn.XMATCH(A1471,$A$2:$A$2509,0,-1),FALSE)), "Código de barras duplicado", ""), IF(AND(E1471&lt;&gt;"", COUNTIF($E$2:$E$2509, E1471)&gt;1), "SKU duplicado", ""), IF(OR(J1471="", J1471=""), "[Aviso] División no capturada ()", IF(ISNA(MATCH(J1471, Criterios!$A$123:$A$126, 0)), "División no válida", "")), IF(OR(K1471="", K1471=""), "[Aviso] Categoría no capturada ()", IF(ISNA(MATCH(K1471, Criterios!$A$81:$A$120, 0)), "Categoría no válida", IF(AND(J1471&lt;&gt;"", J1471&lt;&gt;"", J1471&lt;&gt;VLOOKUP(K1471, Criterios!$A$81:$B$120, 2, FALSE)), "División no coincide con Categoría", ""))), IF(OR(L1471="", L1471=""), "[Aviso] Género no capturado ()", IF(ISNA(MATCH(L1471, Criterios!$B$123:$B$127, 0)), "Género no válido", "")), IF(OR(N1471="", N1471=""), "[Aviso] Temporada no capturada ()", IF(ISNA(MATCH(N1471, Criterios!$C$123:$C$128, 0)), "Temporada no válida", "")), IF(OR(O1471="", O1471=""), "[Aviso] Ciclo de vida no capturado ()", IF(ISNA(MATCH(O1471, Criterios!$D$123:$D$124, 0)), "Ciclo de vida no válido", ""))))</f>
        <v/>
      </c>
      <c r="AC1471" s="56" t="n"/>
      <c r="AD1471" s="51" t="n">
        <v>-1</v>
      </c>
      <c r="AE1471" s="156" t="n"/>
      <c r="AF1471" s="51" t="n">
        <v>0</v>
      </c>
      <c r="AG1471" s="156" t="inlineStr">
        <is>
          <t>Catálogo existente</t>
        </is>
      </c>
      <c r="AH1471" s="156" t="inlineStr">
        <is>
          <t>Stock negativo en sistema: revisar en conteo | Revisión 29/09/2026: Cruce de catálogo y criterios sin pendientes detectados | 01/10/2026: complementado desde Shopify Stetson México (match por código de barras): WB Fit, WB Silueta</t>
        </is>
      </c>
      <c r="AI1471" s="156" t="inlineStr">
        <is>
          <t>Sí</t>
        </is>
      </c>
      <c r="AJ1471" s="156" t="inlineStr">
        <is>
          <t>PUNTO DE VENTA (-1)</t>
        </is>
      </c>
      <c r="AK1471" s="155" t="inlineStr">
        <is>
          <t>Criterios: I [Q] | Shopify Stetson: producto 14790354272619 / variante 53350604734827 | Odoo: producto 14227 / plantilla 17804</t>
        </is>
      </c>
      <c r="AL1471" s="58" t="n">
        <v>5512.5</v>
      </c>
      <c r="AM1471" s="58" t="n">
        <v>14224.13793</v>
      </c>
      <c r="AN1471" s="155" t="inlineStr">
        <is>
          <t>Shopify Stetson México | Odoo Universal Unique Brands</t>
        </is>
      </c>
      <c r="AO1471" s="59" t="n">
        <v>0</v>
      </c>
      <c r="AP1471" s="59" t="n"/>
      <c r="AQ1471" s="59" t="n">
        <v>2</v>
      </c>
      <c r="AR1471" s="155" t="inlineStr">
        <is>
          <t>Odoo Universal Unique Brands › Bodega 25 › Bodega 25/General: 2</t>
        </is>
      </c>
    </row>
    <row r="1472">
      <c r="A1472" s="50" t="inlineStr">
        <is>
          <t>795177470137</t>
        </is>
      </c>
      <c r="B1472" s="51" t="inlineStr">
        <is>
          <t>109908</t>
        </is>
      </c>
      <c r="C1472" s="156" t="inlineStr">
        <is>
          <t>Multimarca</t>
        </is>
      </c>
      <c r="D1472" s="156" t="inlineStr">
        <is>
          <t>SFEPTN-484007</t>
        </is>
      </c>
      <c r="E1472" s="156" t="inlineStr">
        <is>
          <t>SFEPTN-48400774</t>
        </is>
      </c>
      <c r="F1472" s="156" t="inlineStr">
        <is>
          <t>7 1/2</t>
        </is>
      </c>
      <c r="G1472" s="156" t="inlineStr">
        <is>
          <t>7 1/2</t>
        </is>
      </c>
      <c r="H1472" s="156" t="inlineStr">
        <is>
          <t>Stetson</t>
        </is>
      </c>
      <c r="I1472" s="156" t="inlineStr">
        <is>
          <t>Sombrero Stetson el Patrón 48 Premier 30X</t>
        </is>
      </c>
      <c r="J1472" s="156" t="inlineStr">
        <is>
          <t>Accesorios</t>
        </is>
      </c>
      <c r="K1472" s="156" t="inlineStr">
        <is>
          <t>Sombreros</t>
        </is>
      </c>
      <c r="L1472" s="156" t="inlineStr">
        <is>
          <t>Unisex</t>
        </is>
      </c>
      <c r="M1472" s="156" t="inlineStr">
        <is>
          <t>Stetson</t>
        </is>
      </c>
      <c r="N1472" s="156" t="inlineStr">
        <is>
          <t>SS26</t>
        </is>
      </c>
      <c r="O1472" s="156" t="inlineStr">
        <is>
          <t>Seasonal</t>
        </is>
      </c>
      <c r="P1472" s="156" t="inlineStr">
        <is>
          <t>Negro</t>
        </is>
      </c>
      <c r="Q1472" s="156" t="n"/>
      <c r="R1472" s="156" t="inlineStr">
        <is>
          <t>Copa Rancher</t>
        </is>
      </c>
      <c r="S1472" s="156" t="inlineStr">
        <is>
          <t>100% Paja</t>
        </is>
      </c>
      <c r="T147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2" s="156" t="inlineStr">
        <is>
          <t>Estados Unidos</t>
        </is>
      </c>
      <c r="V1472" s="156" t="inlineStr">
        <is>
          <t>PZS</t>
        </is>
      </c>
      <c r="W1472" s="51" t="inlineStr">
        <is>
          <t>53102503</t>
        </is>
      </c>
      <c r="X1472" s="156" t="inlineStr">
        <is>
          <t>https://cdn.shopify.com/s/files/1/0888/3250/8267/files/SFEPTN-4840-07-71-ELPATRON_6.png?v=1760110985</t>
        </is>
      </c>
      <c r="Y1472" s="54" t="n">
        <v>5512.5</v>
      </c>
      <c r="Z1472" s="54" t="n">
        <v>14224.13793</v>
      </c>
      <c r="AA1472" s="55">
        <f>IF(AND(A1472="", B1472="", E1472=""), "", IF(AB1472="", "Válido", IF((LEN(AB1472)-LEN(SUBSTITUTE(AB1472,"; ","")))/2+1&gt;(LEN(AB1472)-LEN(SUBSTITUTE(AB1472,"[Aviso]","")))/7, "Con Incidencias", "Válido")))</f>
        <v/>
      </c>
      <c r="AB1472" s="56">
        <f>IF(AND(A1472="", B1472="", E1472=""), "", TEXTJOIN("; ", TRUE, IF(OR(TRIM(A1472&amp;"")="", ISNUMBER(SEARCH("FALTA", A1472))), "UPC faltante/inválido", ""), IF(AND(A1472&lt;&gt;"", IFERROR(_xlfn.XMATCH(A1472,$A$2:$A$2509,0,1)&lt;&gt;_xlfn.XMATCH(A1472,$A$2:$A$2509,0,-1),FALSE)), "Código de barras duplicado", ""), IF(AND(E1472&lt;&gt;"", COUNTIF($E$2:$E$2509, E1472)&gt;1), "SKU duplicado", ""), IF(OR(J1472="", J1472=""), "[Aviso] División no capturada ()", IF(ISNA(MATCH(J1472, Criterios!$A$123:$A$126, 0)), "División no válida", "")), IF(OR(K1472="", K1472=""), "[Aviso] Categoría no capturada ()", IF(ISNA(MATCH(K1472, Criterios!$A$81:$A$120, 0)), "Categoría no válida", IF(AND(J1472&lt;&gt;"", J1472&lt;&gt;"", J1472&lt;&gt;VLOOKUP(K1472, Criterios!$A$81:$B$120, 2, FALSE)), "División no coincide con Categoría", ""))), IF(OR(L1472="", L1472=""), "[Aviso] Género no capturado ()", IF(ISNA(MATCH(L1472, Criterios!$B$123:$B$127, 0)), "Género no válido", "")), IF(OR(N1472="", N1472=""), "[Aviso] Temporada no capturada ()", IF(ISNA(MATCH(N1472, Criterios!$C$123:$C$128, 0)), "Temporada no válida", "")), IF(OR(O1472="", O1472=""), "[Aviso] Ciclo de vida no capturado ()", IF(ISNA(MATCH(O1472, Criterios!$D$123:$D$124, 0)), "Ciclo de vida no válido", ""))))</f>
        <v/>
      </c>
      <c r="AC1472" s="56" t="n"/>
      <c r="AD1472" s="51" t="n">
        <v>-1</v>
      </c>
      <c r="AE1472" s="156" t="n"/>
      <c r="AF1472" s="51" t="n">
        <v>0</v>
      </c>
      <c r="AG1472" s="156" t="inlineStr">
        <is>
          <t>Catálogo existente</t>
        </is>
      </c>
      <c r="AH1472" s="156" t="inlineStr">
        <is>
          <t>Stock negativo en sistema: revisar en conteo | Revisión 29/09/2026: Cruce de catálogo y criterios sin pendientes detectados | 01/10/2026: complementado desde Shopify Stetson México (match por código de barras): WB Fit, WB Silueta</t>
        </is>
      </c>
      <c r="AI1472" s="156" t="inlineStr">
        <is>
          <t>Sí</t>
        </is>
      </c>
      <c r="AJ1472" s="156" t="inlineStr">
        <is>
          <t>STETSON AMERICAS (-1)</t>
        </is>
      </c>
      <c r="AK1472" s="155" t="inlineStr">
        <is>
          <t>Criterios: I [Q] | Shopify Stetson: producto 14790354272619 / variante 53350604767595 | Odoo: producto 14228 / plantilla 17805</t>
        </is>
      </c>
      <c r="AL1472" s="58" t="n">
        <v>5512.5</v>
      </c>
      <c r="AM1472" s="58" t="n">
        <v>14224.13793</v>
      </c>
      <c r="AN1472" s="155" t="inlineStr">
        <is>
          <t>Shopify Stetson México | Odoo Universal Unique Brands</t>
        </is>
      </c>
      <c r="AO1472" s="59" t="n">
        <v>0</v>
      </c>
      <c r="AP1472" s="59" t="n"/>
      <c r="AQ1472" s="59" t="n">
        <v>1</v>
      </c>
      <c r="AR1472" s="155" t="inlineStr">
        <is>
          <t>Odoo Universal Unique Brands › Bodega 25 › Bodega 25/General: 1</t>
        </is>
      </c>
    </row>
    <row r="1473">
      <c r="A1473" s="50" t="inlineStr">
        <is>
          <t>795177484356</t>
        </is>
      </c>
      <c r="B1473" s="51" t="inlineStr">
        <is>
          <t>109909</t>
        </is>
      </c>
      <c r="C1473" s="156" t="inlineStr">
        <is>
          <t>Multimarca</t>
        </is>
      </c>
      <c r="D1473" s="156" t="inlineStr">
        <is>
          <t>SFEPTN-484034</t>
        </is>
      </c>
      <c r="E1473" s="156" t="inlineStr">
        <is>
          <t>SFEPTN-48403471</t>
        </is>
      </c>
      <c r="F1473" s="156" t="inlineStr">
        <is>
          <t>7 1/8</t>
        </is>
      </c>
      <c r="G1473" s="156" t="inlineStr">
        <is>
          <t>7 1/8</t>
        </is>
      </c>
      <c r="H1473" s="156" t="inlineStr">
        <is>
          <t>Stetson</t>
        </is>
      </c>
      <c r="I1473" s="156" t="inlineStr">
        <is>
          <t>Texana Stetson 30X el Patron Gris Niebla</t>
        </is>
      </c>
      <c r="J1473" s="156" t="inlineStr">
        <is>
          <t>Accesorios</t>
        </is>
      </c>
      <c r="K1473" s="156" t="inlineStr">
        <is>
          <t>Sombreros</t>
        </is>
      </c>
      <c r="L1473" s="156" t="inlineStr">
        <is>
          <t>Unisex</t>
        </is>
      </c>
      <c r="M1473" s="156" t="inlineStr">
        <is>
          <t>Stetson</t>
        </is>
      </c>
      <c r="N1473" s="156" t="inlineStr">
        <is>
          <t>SS26</t>
        </is>
      </c>
      <c r="O1473" s="156" t="inlineStr">
        <is>
          <t>Seasonal</t>
        </is>
      </c>
      <c r="P1473" s="156" t="inlineStr">
        <is>
          <t>Gris</t>
        </is>
      </c>
      <c r="Q1473" s="156" t="n"/>
      <c r="R1473" s="156" t="inlineStr">
        <is>
          <t>Copa Cattleman</t>
        </is>
      </c>
      <c r="S1473" s="156" t="inlineStr">
        <is>
          <t>100% Fieltro de lana</t>
        </is>
      </c>
      <c r="T1473" s="156" t="inlineStr">
        <is>
          <t>Texana Stetson 30X el Patron Gris Niebla</t>
        </is>
      </c>
      <c r="U1473" s="156" t="n"/>
      <c r="V1473" s="156" t="inlineStr">
        <is>
          <t>PZS</t>
        </is>
      </c>
      <c r="W1473" s="51" t="inlineStr">
        <is>
          <t>53102503</t>
        </is>
      </c>
      <c r="X1473" s="156" t="inlineStr">
        <is>
          <t>https://cdn.shopify.com/s/files/1/0888/3250/8267/files/SFEPTN-4840-07-71-ELPATRON_4.png?v=1760375370</t>
        </is>
      </c>
      <c r="Y1473" s="54" t="n">
        <v>5512.5</v>
      </c>
      <c r="Z1473" s="54" t="n">
        <v>14224.13793</v>
      </c>
      <c r="AA1473" s="55">
        <f>IF(AND(A1473="", B1473="", E1473=""), "", IF(AB1473="", "Válido", IF((LEN(AB1473)-LEN(SUBSTITUTE(AB1473,"; ","")))/2+1&gt;(LEN(AB1473)-LEN(SUBSTITUTE(AB1473,"[Aviso]","")))/7, "Con Incidencias", "Válido")))</f>
        <v/>
      </c>
      <c r="AB1473" s="56">
        <f>IF(AND(A1473="", B1473="", E1473=""), "", TEXTJOIN("; ", TRUE, IF(OR(TRIM(A1473&amp;"")="", ISNUMBER(SEARCH("FALTA", A1473))), "UPC faltante/inválido", ""), IF(AND(A1473&lt;&gt;"", IFERROR(_xlfn.XMATCH(A1473,$A$2:$A$2509,0,1)&lt;&gt;_xlfn.XMATCH(A1473,$A$2:$A$2509,0,-1),FALSE)), "Código de barras duplicado", ""), IF(AND(E1473&lt;&gt;"", COUNTIF($E$2:$E$2509, E1473)&gt;1), "SKU duplicado", ""), IF(OR(J1473="", J1473=""), "[Aviso] División no capturada ()", IF(ISNA(MATCH(J1473, Criterios!$A$123:$A$126, 0)), "División no válida", "")), IF(OR(K1473="", K1473=""), "[Aviso] Categoría no capturada ()", IF(ISNA(MATCH(K1473, Criterios!$A$81:$A$120, 0)), "Categoría no válida", IF(AND(J1473&lt;&gt;"", J1473&lt;&gt;"", J1473&lt;&gt;VLOOKUP(K1473, Criterios!$A$81:$B$120, 2, FALSE)), "División no coincide con Categoría", ""))), IF(OR(L1473="", L1473=""), "[Aviso] Género no capturado ()", IF(ISNA(MATCH(L1473, Criterios!$B$123:$B$127, 0)), "Género no válido", "")), IF(OR(N1473="", N1473=""), "[Aviso] Temporada no capturada ()", IF(ISNA(MATCH(N1473, Criterios!$C$123:$C$128, 0)), "Temporada no válida", "")), IF(OR(O1473="", O1473=""), "[Aviso] Ciclo de vida no capturado ()", IF(ISNA(MATCH(O1473, Criterios!$D$123:$D$124, 0)), "Ciclo de vida no válido", ""))))</f>
        <v/>
      </c>
      <c r="AC1473" s="56" t="n"/>
      <c r="AD1473" s="51" t="n">
        <v>0</v>
      </c>
      <c r="AE1473" s="156" t="n"/>
      <c r="AF1473" s="51" t="n">
        <v>0</v>
      </c>
      <c r="AG1473" s="156" t="inlineStr">
        <is>
          <t>Catálogo existente</t>
        </is>
      </c>
      <c r="AH1473"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3" s="156" t="inlineStr">
        <is>
          <t>No</t>
        </is>
      </c>
      <c r="AJ1473" s="156" t="n"/>
      <c r="AK1473" s="155" t="inlineStr">
        <is>
          <t>Criterios: I [Q] | Descripción del registro fuente [T]; G1522_Extraccion_Articulos_NetSuite_2026-09-30.xlsx: fila 57724 [V] | Odoo: producto 19379 / plantilla 23866 | Investigación en línea 06/10/2026: https://stetson.mx/products/el-patron-48-premier-30x-stetson-r</t>
        </is>
      </c>
      <c r="AL1473" s="58" t="n">
        <v>5512.5</v>
      </c>
      <c r="AM1473" s="58" t="n">
        <v>14224.13793</v>
      </c>
      <c r="AN1473" s="155" t="inlineStr">
        <is>
          <t>Odoo Universal Unique Brands</t>
        </is>
      </c>
      <c r="AO1473" s="59" t="n"/>
      <c r="AP1473" s="59" t="n"/>
      <c r="AQ1473" s="59" t="n">
        <v>1</v>
      </c>
      <c r="AR1473" s="155" t="inlineStr">
        <is>
          <t>Odoo Universal Unique Brands › Bodega 25 › Bodega 25/General: 1</t>
        </is>
      </c>
    </row>
    <row r="1474">
      <c r="A1474" s="50" t="inlineStr">
        <is>
          <t>795177484363</t>
        </is>
      </c>
      <c r="B1474" s="51" t="inlineStr">
        <is>
          <t>109910</t>
        </is>
      </c>
      <c r="C1474" s="156" t="inlineStr">
        <is>
          <t>Multimarca</t>
        </is>
      </c>
      <c r="D1474" s="156" t="inlineStr">
        <is>
          <t>SFEPTN-484034</t>
        </is>
      </c>
      <c r="E1474" s="156" t="inlineStr">
        <is>
          <t>SFEPTN-48403472</t>
        </is>
      </c>
      <c r="F1474" s="156" t="inlineStr">
        <is>
          <t>7 1/4</t>
        </is>
      </c>
      <c r="G1474" s="156" t="inlineStr">
        <is>
          <t>7 1/4</t>
        </is>
      </c>
      <c r="H1474" s="156" t="inlineStr">
        <is>
          <t>Stetson</t>
        </is>
      </c>
      <c r="I1474" s="156" t="inlineStr">
        <is>
          <t>Texana Stetson 30X el Patron Gris Niebla</t>
        </is>
      </c>
      <c r="J1474" s="156" t="inlineStr">
        <is>
          <t>Accesorios</t>
        </is>
      </c>
      <c r="K1474" s="156" t="inlineStr">
        <is>
          <t>Sombreros</t>
        </is>
      </c>
      <c r="L1474" s="156" t="inlineStr">
        <is>
          <t>Unisex</t>
        </is>
      </c>
      <c r="M1474" s="156" t="inlineStr">
        <is>
          <t>Stetson</t>
        </is>
      </c>
      <c r="N1474" s="156" t="inlineStr">
        <is>
          <t>SS26</t>
        </is>
      </c>
      <c r="O1474" s="156" t="inlineStr">
        <is>
          <t>Seasonal</t>
        </is>
      </c>
      <c r="P1474" s="156" t="inlineStr">
        <is>
          <t>Gris</t>
        </is>
      </c>
      <c r="Q1474" s="156" t="n"/>
      <c r="R1474" s="156" t="inlineStr">
        <is>
          <t>Copa Cattleman</t>
        </is>
      </c>
      <c r="S1474" s="156" t="inlineStr">
        <is>
          <t>100% Fieltro de lana</t>
        </is>
      </c>
      <c r="T1474" s="156" t="inlineStr">
        <is>
          <t>Texana Stetson 30X el Patron Gris Niebla</t>
        </is>
      </c>
      <c r="U1474" s="156" t="n"/>
      <c r="V1474" s="156" t="inlineStr">
        <is>
          <t>PZS</t>
        </is>
      </c>
      <c r="W1474" s="51" t="inlineStr">
        <is>
          <t>53102503</t>
        </is>
      </c>
      <c r="X1474" s="156" t="inlineStr">
        <is>
          <t>https://cdn.shopify.com/s/files/1/0888/3250/8267/files/SFEPTN-4840-07-71-ELPATRON_4.png?v=1760375370</t>
        </is>
      </c>
      <c r="Y1474" s="54" t="n">
        <v>5512.5</v>
      </c>
      <c r="Z1474" s="54" t="n">
        <v>14224.13793</v>
      </c>
      <c r="AA1474" s="55">
        <f>IF(AND(A1474="", B1474="", E1474=""), "", IF(AB1474="", "Válido", IF((LEN(AB1474)-LEN(SUBSTITUTE(AB1474,"; ","")))/2+1&gt;(LEN(AB1474)-LEN(SUBSTITUTE(AB1474,"[Aviso]","")))/7, "Con Incidencias", "Válido")))</f>
        <v/>
      </c>
      <c r="AB1474" s="56">
        <f>IF(AND(A1474="", B1474="", E1474=""), "", TEXTJOIN("; ", TRUE, IF(OR(TRIM(A1474&amp;"")="", ISNUMBER(SEARCH("FALTA", A1474))), "UPC faltante/inválido", ""), IF(AND(A1474&lt;&gt;"", IFERROR(_xlfn.XMATCH(A1474,$A$2:$A$2509,0,1)&lt;&gt;_xlfn.XMATCH(A1474,$A$2:$A$2509,0,-1),FALSE)), "Código de barras duplicado", ""), IF(AND(E1474&lt;&gt;"", COUNTIF($E$2:$E$2509, E1474)&gt;1), "SKU duplicado", ""), IF(OR(J1474="", J1474=""), "[Aviso] División no capturada ()", IF(ISNA(MATCH(J1474, Criterios!$A$123:$A$126, 0)), "División no válida", "")), IF(OR(K1474="", K1474=""), "[Aviso] Categoría no capturada ()", IF(ISNA(MATCH(K1474, Criterios!$A$81:$A$120, 0)), "Categoría no válida", IF(AND(J1474&lt;&gt;"", J1474&lt;&gt;"", J1474&lt;&gt;VLOOKUP(K1474, Criterios!$A$81:$B$120, 2, FALSE)), "División no coincide con Categoría", ""))), IF(OR(L1474="", L1474=""), "[Aviso] Género no capturado ()", IF(ISNA(MATCH(L1474, Criterios!$B$123:$B$127, 0)), "Género no válido", "")), IF(OR(N1474="", N1474=""), "[Aviso] Temporada no capturada ()", IF(ISNA(MATCH(N1474, Criterios!$C$123:$C$128, 0)), "Temporada no válida", "")), IF(OR(O1474="", O1474=""), "[Aviso] Ciclo de vida no capturado ()", IF(ISNA(MATCH(O1474, Criterios!$D$123:$D$124, 0)), "Ciclo de vida no válido", ""))))</f>
        <v/>
      </c>
      <c r="AC1474" s="56" t="n"/>
      <c r="AD1474" s="51" t="n">
        <v>0</v>
      </c>
      <c r="AE1474" s="156" t="n"/>
      <c r="AF1474" s="51" t="n">
        <v>0</v>
      </c>
      <c r="AG1474" s="156" t="inlineStr">
        <is>
          <t>Catálogo existente</t>
        </is>
      </c>
      <c r="AH1474"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4" s="156" t="inlineStr">
        <is>
          <t>No</t>
        </is>
      </c>
      <c r="AJ1474" s="156" t="n"/>
      <c r="AK1474" s="155" t="inlineStr">
        <is>
          <t>Criterios: I [Q] | Descripción del registro fuente [T]; G1522_Extraccion_Articulos_NetSuite_2026-09-30.xlsx: fila 57725 [V] | Odoo: producto 19380 / plantilla 23867 | Investigación en línea 06/10/2026: https://stetson.mx/products/el-patron-48-premier-30x-stetson-r</t>
        </is>
      </c>
      <c r="AL1474" s="58" t="n">
        <v>5512.5</v>
      </c>
      <c r="AM1474" s="58" t="n">
        <v>14224.13793</v>
      </c>
      <c r="AN1474" s="155" t="inlineStr">
        <is>
          <t>Odoo Universal Unique Brands</t>
        </is>
      </c>
      <c r="AO1474" s="59" t="n"/>
      <c r="AP1474" s="59" t="n"/>
      <c r="AQ1474" s="59" t="n">
        <v>1</v>
      </c>
      <c r="AR1474" s="155" t="inlineStr">
        <is>
          <t>Odoo Universal Unique Brands › Bodega 25 › Bodega 25/General: 1</t>
        </is>
      </c>
    </row>
    <row r="1475">
      <c r="A1475" s="50" t="inlineStr">
        <is>
          <t>795177484370</t>
        </is>
      </c>
      <c r="B1475" s="51" t="inlineStr">
        <is>
          <t>109911</t>
        </is>
      </c>
      <c r="C1475" s="156" t="inlineStr">
        <is>
          <t>Multimarca</t>
        </is>
      </c>
      <c r="D1475" s="156" t="inlineStr">
        <is>
          <t>SFEPTN-484034</t>
        </is>
      </c>
      <c r="E1475" s="156" t="inlineStr">
        <is>
          <t>SFEPTN-48403473</t>
        </is>
      </c>
      <c r="F1475" s="156" t="inlineStr">
        <is>
          <t>7 3/8</t>
        </is>
      </c>
      <c r="G1475" s="156" t="inlineStr">
        <is>
          <t>7 3/8</t>
        </is>
      </c>
      <c r="H1475" s="156" t="inlineStr">
        <is>
          <t>Stetson</t>
        </is>
      </c>
      <c r="I1475" s="156" t="inlineStr">
        <is>
          <t>Texana Stetson 30X el Patron Gris Niebla</t>
        </is>
      </c>
      <c r="J1475" s="156" t="inlineStr">
        <is>
          <t>Accesorios</t>
        </is>
      </c>
      <c r="K1475" s="156" t="inlineStr">
        <is>
          <t>Sombreros</t>
        </is>
      </c>
      <c r="L1475" s="156" t="inlineStr">
        <is>
          <t>Unisex</t>
        </is>
      </c>
      <c r="M1475" s="156" t="inlineStr">
        <is>
          <t>Stetson</t>
        </is>
      </c>
      <c r="N1475" s="156" t="inlineStr">
        <is>
          <t>SS26</t>
        </is>
      </c>
      <c r="O1475" s="156" t="inlineStr">
        <is>
          <t>Seasonal</t>
        </is>
      </c>
      <c r="P1475" s="156" t="inlineStr">
        <is>
          <t>Gris</t>
        </is>
      </c>
      <c r="Q1475" s="156" t="n"/>
      <c r="R1475" s="156" t="inlineStr">
        <is>
          <t>Copa Cattleman</t>
        </is>
      </c>
      <c r="S1475" s="156" t="inlineStr">
        <is>
          <t>100% Fieltro de lana</t>
        </is>
      </c>
      <c r="T1475" s="156" t="inlineStr">
        <is>
          <t>Texana Stetson 30X el Patron Gris Niebla</t>
        </is>
      </c>
      <c r="U1475" s="156" t="n"/>
      <c r="V1475" s="156" t="inlineStr">
        <is>
          <t>PZS</t>
        </is>
      </c>
      <c r="W1475" s="51" t="inlineStr">
        <is>
          <t>53102503</t>
        </is>
      </c>
      <c r="X1475" s="156" t="inlineStr">
        <is>
          <t>https://cdn.shopify.com/s/files/1/0888/3250/8267/files/SFEPTN-4840-07-71-ELPATRON_4.png?v=1760375370</t>
        </is>
      </c>
      <c r="Y1475" s="54" t="n">
        <v>5512.5</v>
      </c>
      <c r="Z1475" s="54" t="n">
        <v>14224.13793</v>
      </c>
      <c r="AA1475" s="55">
        <f>IF(AND(A1475="", B1475="", E1475=""), "", IF(AB1475="", "Válido", IF((LEN(AB1475)-LEN(SUBSTITUTE(AB1475,"; ","")))/2+1&gt;(LEN(AB1475)-LEN(SUBSTITUTE(AB1475,"[Aviso]","")))/7, "Con Incidencias", "Válido")))</f>
        <v/>
      </c>
      <c r="AB1475" s="56">
        <f>IF(AND(A1475="", B1475="", E1475=""), "", TEXTJOIN("; ", TRUE, IF(OR(TRIM(A1475&amp;"")="", ISNUMBER(SEARCH("FALTA", A1475))), "UPC faltante/inválido", ""), IF(AND(A1475&lt;&gt;"", IFERROR(_xlfn.XMATCH(A1475,$A$2:$A$2509,0,1)&lt;&gt;_xlfn.XMATCH(A1475,$A$2:$A$2509,0,-1),FALSE)), "Código de barras duplicado", ""), IF(AND(E1475&lt;&gt;"", COUNTIF($E$2:$E$2509, E1475)&gt;1), "SKU duplicado", ""), IF(OR(J1475="", J1475=""), "[Aviso] División no capturada ()", IF(ISNA(MATCH(J1475, Criterios!$A$123:$A$126, 0)), "División no válida", "")), IF(OR(K1475="", K1475=""), "[Aviso] Categoría no capturada ()", IF(ISNA(MATCH(K1475, Criterios!$A$81:$A$120, 0)), "Categoría no válida", IF(AND(J1475&lt;&gt;"", J1475&lt;&gt;"", J1475&lt;&gt;VLOOKUP(K1475, Criterios!$A$81:$B$120, 2, FALSE)), "División no coincide con Categoría", ""))), IF(OR(L1475="", L1475=""), "[Aviso] Género no capturado ()", IF(ISNA(MATCH(L1475, Criterios!$B$123:$B$127, 0)), "Género no válido", "")), IF(OR(N1475="", N1475=""), "[Aviso] Temporada no capturada ()", IF(ISNA(MATCH(N1475, Criterios!$C$123:$C$128, 0)), "Temporada no válida", "")), IF(OR(O1475="", O1475=""), "[Aviso] Ciclo de vida no capturado ()", IF(ISNA(MATCH(O1475, Criterios!$D$123:$D$124, 0)), "Ciclo de vida no válido", ""))))</f>
        <v/>
      </c>
      <c r="AC1475" s="56" t="n"/>
      <c r="AD1475" s="51" t="n">
        <v>0</v>
      </c>
      <c r="AE1475" s="156" t="n"/>
      <c r="AF1475" s="51" t="n">
        <v>0</v>
      </c>
      <c r="AG1475" s="156" t="inlineStr">
        <is>
          <t>Catálogo existente</t>
        </is>
      </c>
      <c r="AH1475"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5" s="156" t="inlineStr">
        <is>
          <t>No</t>
        </is>
      </c>
      <c r="AJ1475" s="156" t="n"/>
      <c r="AK1475" s="155" t="inlineStr">
        <is>
          <t>Criterios: I [Q] | Descripción del registro fuente [T]; G1522_Extraccion_Articulos_NetSuite_2026-09-30.xlsx: fila 57726 [V] | Odoo: producto 19381 / plantilla 23868 | Investigación en línea 06/10/2026: https://stetson.mx/products/el-patron-48-premier-30x-stetson-r</t>
        </is>
      </c>
      <c r="AL1475" s="58" t="n">
        <v>5512.5</v>
      </c>
      <c r="AM1475" s="58" t="n">
        <v>14224.13793</v>
      </c>
      <c r="AN1475" s="155" t="inlineStr">
        <is>
          <t>Odoo Universal Unique Brands</t>
        </is>
      </c>
      <c r="AO1475" s="59" t="n"/>
      <c r="AP1475" s="59" t="n"/>
      <c r="AQ1475" s="59" t="n">
        <v>1</v>
      </c>
      <c r="AR1475" s="155" t="inlineStr">
        <is>
          <t>Odoo Universal Unique Brands › Bodega 25 › Bodega 25/General: 1</t>
        </is>
      </c>
    </row>
    <row r="1476">
      <c r="A1476" s="50" t="inlineStr">
        <is>
          <t>795177484707</t>
        </is>
      </c>
      <c r="B1476" s="51" t="inlineStr">
        <is>
          <t>109917</t>
        </is>
      </c>
      <c r="C1476" s="156" t="inlineStr">
        <is>
          <t>Multimarca</t>
        </is>
      </c>
      <c r="D1476" s="156" t="inlineStr">
        <is>
          <t>SFEPTN-484072</t>
        </is>
      </c>
      <c r="E1476" s="156" t="inlineStr">
        <is>
          <t>SFEPTN-48407270</t>
        </is>
      </c>
      <c r="F1476" s="156" t="inlineStr">
        <is>
          <t>7</t>
        </is>
      </c>
      <c r="G1476" s="156" t="inlineStr">
        <is>
          <t>7</t>
        </is>
      </c>
      <c r="H1476" s="156" t="inlineStr">
        <is>
          <t>Stetson</t>
        </is>
      </c>
      <c r="I1476" s="156" t="inlineStr">
        <is>
          <t>Sombrero Stetson el Patrón 48 Premier 30X</t>
        </is>
      </c>
      <c r="J1476" s="156" t="inlineStr">
        <is>
          <t>Accesorios</t>
        </is>
      </c>
      <c r="K1476" s="156" t="inlineStr">
        <is>
          <t>Sombreros</t>
        </is>
      </c>
      <c r="L1476" s="156" t="inlineStr">
        <is>
          <t>Unisex</t>
        </is>
      </c>
      <c r="M1476" s="156" t="inlineStr">
        <is>
          <t>Stetson</t>
        </is>
      </c>
      <c r="N1476" s="156" t="inlineStr">
        <is>
          <t>SS26</t>
        </is>
      </c>
      <c r="O1476" s="156" t="inlineStr">
        <is>
          <t>Seasonal</t>
        </is>
      </c>
      <c r="P1476" s="156" t="inlineStr">
        <is>
          <t>Blanco</t>
        </is>
      </c>
      <c r="Q1476" s="156" t="n"/>
      <c r="R1476" s="156" t="inlineStr">
        <is>
          <t>Copa Rancher</t>
        </is>
      </c>
      <c r="S1476" s="156" t="inlineStr">
        <is>
          <t>100% Paja</t>
        </is>
      </c>
      <c r="T1476"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6" s="156" t="inlineStr">
        <is>
          <t>Estados Unidos</t>
        </is>
      </c>
      <c r="V1476" s="156" t="inlineStr">
        <is>
          <t>PZS</t>
        </is>
      </c>
      <c r="W1476" s="51" t="inlineStr">
        <is>
          <t>53102503</t>
        </is>
      </c>
      <c r="X1476" s="156" t="inlineStr">
        <is>
          <t>https://cdn.shopify.com/s/files/1/0888/3250/8267/files/SFEPTN-4840-MO-66_2.png?v=1760111016</t>
        </is>
      </c>
      <c r="Y1476" s="54" t="n">
        <v>5512.5</v>
      </c>
      <c r="Z1476" s="54" t="n">
        <v>14224.13793</v>
      </c>
      <c r="AA1476" s="55">
        <f>IF(AND(A1476="", B1476="", E1476=""), "", IF(AB1476="", "Válido", IF((LEN(AB1476)-LEN(SUBSTITUTE(AB1476,"; ","")))/2+1&gt;(LEN(AB1476)-LEN(SUBSTITUTE(AB1476,"[Aviso]","")))/7, "Con Incidencias", "Válido")))</f>
        <v/>
      </c>
      <c r="AB1476" s="56">
        <f>IF(AND(A1476="", B1476="", E1476=""), "", TEXTJOIN("; ", TRUE, IF(OR(TRIM(A1476&amp;"")="", ISNUMBER(SEARCH("FALTA", A1476))), "UPC faltante/inválido", ""), IF(AND(A1476&lt;&gt;"", IFERROR(_xlfn.XMATCH(A1476,$A$2:$A$2509,0,1)&lt;&gt;_xlfn.XMATCH(A1476,$A$2:$A$2509,0,-1),FALSE)), "Código de barras duplicado", ""), IF(AND(E1476&lt;&gt;"", COUNTIF($E$2:$E$2509, E1476)&gt;1), "SKU duplicado", ""), IF(OR(J1476="", J1476=""), "[Aviso] División no capturada ()", IF(ISNA(MATCH(J1476, Criterios!$A$123:$A$126, 0)), "División no válida", "")), IF(OR(K1476="", K1476=""), "[Aviso] Categoría no capturada ()", IF(ISNA(MATCH(K1476, Criterios!$A$81:$A$120, 0)), "Categoría no válida", IF(AND(J1476&lt;&gt;"", J1476&lt;&gt;"", J1476&lt;&gt;VLOOKUP(K1476, Criterios!$A$81:$B$120, 2, FALSE)), "División no coincide con Categoría", ""))), IF(OR(L1476="", L1476=""), "[Aviso] Género no capturado ()", IF(ISNA(MATCH(L1476, Criterios!$B$123:$B$127, 0)), "Género no válido", "")), IF(OR(N1476="", N1476=""), "[Aviso] Temporada no capturada ()", IF(ISNA(MATCH(N1476, Criterios!$C$123:$C$128, 0)), "Temporada no válida", "")), IF(OR(O1476="", O1476=""), "[Aviso] Ciclo de vida no capturado ()", IF(ISNA(MATCH(O1476, Criterios!$D$123:$D$124, 0)), "Ciclo de vida no válido", ""))))</f>
        <v/>
      </c>
      <c r="AC1476" s="56" t="n"/>
      <c r="AD1476" s="51" t="n">
        <v>0</v>
      </c>
      <c r="AE1476" s="156" t="n"/>
      <c r="AF1476" s="51" t="n">
        <v>0</v>
      </c>
      <c r="AG1476" s="156" t="inlineStr">
        <is>
          <t>Catálogo existente</t>
        </is>
      </c>
      <c r="AH1476" s="156" t="inlineStr">
        <is>
          <t>Revisión 29/09/2026: Cruce de catálogo y criterios sin pendientes detectados | 01/10/2026: complementado desde Shopify Stetson México (match por código de barras): WB Fit, WB Silueta</t>
        </is>
      </c>
      <c r="AI1476" s="156" t="inlineStr">
        <is>
          <t>No</t>
        </is>
      </c>
      <c r="AJ1476" s="156" t="n"/>
      <c r="AK1476" s="155" t="inlineStr">
        <is>
          <t>Criterios: I [Q] | Shopify Stetson: producto 14790354272619 / variante 53350605128043 | Odoo: producto 14234 / plantilla 17811</t>
        </is>
      </c>
      <c r="AL1476" s="58" t="n">
        <v>5512.5</v>
      </c>
      <c r="AM1476" s="58" t="n">
        <v>14224.13793</v>
      </c>
      <c r="AN1476" s="155" t="inlineStr">
        <is>
          <t>Shopify Stetson México | Odoo Universal Unique Brands</t>
        </is>
      </c>
      <c r="AO1476" s="59" t="n">
        <v>1</v>
      </c>
      <c r="AP1476" s="59" t="n"/>
      <c r="AQ1476" s="59" t="n">
        <v>1</v>
      </c>
      <c r="AR1476" s="155" t="inlineStr">
        <is>
          <t>Shopify Stetson México › Stetson Americas: 1 | Odoo Universal Unique Brands › Bodega 25 › Bodega 25/General: 1</t>
        </is>
      </c>
    </row>
    <row r="1477">
      <c r="A1477" s="50" t="inlineStr">
        <is>
          <t>795177484714</t>
        </is>
      </c>
      <c r="B1477" s="51" t="inlineStr">
        <is>
          <t>109918</t>
        </is>
      </c>
      <c r="C1477" s="156" t="inlineStr">
        <is>
          <t>Multimarca</t>
        </is>
      </c>
      <c r="D1477" s="156" t="inlineStr">
        <is>
          <t>SFEPTN-484072</t>
        </is>
      </c>
      <c r="E1477" s="156" t="inlineStr">
        <is>
          <t>SFEPTN-48407271</t>
        </is>
      </c>
      <c r="F1477" s="156" t="inlineStr">
        <is>
          <t>7 1/8</t>
        </is>
      </c>
      <c r="G1477" s="156" t="inlineStr">
        <is>
          <t>7 1/8</t>
        </is>
      </c>
      <c r="H1477" s="156" t="inlineStr">
        <is>
          <t>Stetson</t>
        </is>
      </c>
      <c r="I1477" s="156" t="inlineStr">
        <is>
          <t>Sombrero Stetson el Patrón 48 Premier 30X</t>
        </is>
      </c>
      <c r="J1477" s="156" t="inlineStr">
        <is>
          <t>Accesorios</t>
        </is>
      </c>
      <c r="K1477" s="156" t="inlineStr">
        <is>
          <t>Sombreros</t>
        </is>
      </c>
      <c r="L1477" s="156" t="inlineStr">
        <is>
          <t>Unisex</t>
        </is>
      </c>
      <c r="M1477" s="156" t="inlineStr">
        <is>
          <t>Stetson</t>
        </is>
      </c>
      <c r="N1477" s="156" t="inlineStr">
        <is>
          <t>SS26</t>
        </is>
      </c>
      <c r="O1477" s="156" t="inlineStr">
        <is>
          <t>Seasonal</t>
        </is>
      </c>
      <c r="P1477" s="156" t="inlineStr">
        <is>
          <t>Blanco</t>
        </is>
      </c>
      <c r="Q1477" s="156" t="n"/>
      <c r="R1477" s="156" t="inlineStr">
        <is>
          <t>Copa Rancher</t>
        </is>
      </c>
      <c r="S1477" s="156" t="inlineStr">
        <is>
          <t>100% Paja</t>
        </is>
      </c>
      <c r="T1477"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7" s="156" t="inlineStr">
        <is>
          <t>Estados Unidos</t>
        </is>
      </c>
      <c r="V1477" s="156" t="inlineStr">
        <is>
          <t>PZS</t>
        </is>
      </c>
      <c r="W1477" s="51" t="inlineStr">
        <is>
          <t>53102503</t>
        </is>
      </c>
      <c r="X1477" s="156" t="inlineStr">
        <is>
          <t>https://cdn.shopify.com/s/files/1/0888/3250/8267/files/SFEPTN-4840-MO-66_3.png?v=1760111016</t>
        </is>
      </c>
      <c r="Y1477" s="54" t="n">
        <v>5512.5</v>
      </c>
      <c r="Z1477" s="54" t="n">
        <v>14224.13793</v>
      </c>
      <c r="AA1477" s="55">
        <f>IF(AND(A1477="", B1477="", E1477=""), "", IF(AB1477="", "Válido", IF((LEN(AB1477)-LEN(SUBSTITUTE(AB1477,"; ","")))/2+1&gt;(LEN(AB1477)-LEN(SUBSTITUTE(AB1477,"[Aviso]","")))/7, "Con Incidencias", "Válido")))</f>
        <v/>
      </c>
      <c r="AB1477" s="56">
        <f>IF(AND(A1477="", B1477="", E1477=""), "", TEXTJOIN("; ", TRUE, IF(OR(TRIM(A1477&amp;"")="", ISNUMBER(SEARCH("FALTA", A1477))), "UPC faltante/inválido", ""), IF(AND(A1477&lt;&gt;"", IFERROR(_xlfn.XMATCH(A1477,$A$2:$A$2509,0,1)&lt;&gt;_xlfn.XMATCH(A1477,$A$2:$A$2509,0,-1),FALSE)), "Código de barras duplicado", ""), IF(AND(E1477&lt;&gt;"", COUNTIF($E$2:$E$2509, E1477)&gt;1), "SKU duplicado", ""), IF(OR(J1477="", J1477=""), "[Aviso] División no capturada ()", IF(ISNA(MATCH(J1477, Criterios!$A$123:$A$126, 0)), "División no válida", "")), IF(OR(K1477="", K1477=""), "[Aviso] Categoría no capturada ()", IF(ISNA(MATCH(K1477, Criterios!$A$81:$A$120, 0)), "Categoría no válida", IF(AND(J1477&lt;&gt;"", J1477&lt;&gt;"", J1477&lt;&gt;VLOOKUP(K1477, Criterios!$A$81:$B$120, 2, FALSE)), "División no coincide con Categoría", ""))), IF(OR(L1477="", L1477=""), "[Aviso] Género no capturado ()", IF(ISNA(MATCH(L1477, Criterios!$B$123:$B$127, 0)), "Género no válido", "")), IF(OR(N1477="", N1477=""), "[Aviso] Temporada no capturada ()", IF(ISNA(MATCH(N1477, Criterios!$C$123:$C$128, 0)), "Temporada no válida", "")), IF(OR(O1477="", O1477=""), "[Aviso] Ciclo de vida no capturado ()", IF(ISNA(MATCH(O1477, Criterios!$D$123:$D$124, 0)), "Ciclo de vida no válido", ""))))</f>
        <v/>
      </c>
      <c r="AC1477" s="56" t="n"/>
      <c r="AD1477" s="51" t="n">
        <v>1</v>
      </c>
      <c r="AE1477" s="156" t="inlineStr">
        <is>
          <t>B25 STETSON.MX (1)</t>
        </is>
      </c>
      <c r="AF1477" s="51" t="n">
        <v>1</v>
      </c>
      <c r="AG1477" s="156" t="inlineStr">
        <is>
          <t>Catálogo existente</t>
        </is>
      </c>
      <c r="AH1477" s="156" t="inlineStr">
        <is>
          <t>Revisión 29/09/2026: Cruce de catálogo y criterios sin pendientes detectados | 01/10/2026: complementado desde Shopify Stetson México (match por código de barras): WB Fit, WB Silueta</t>
        </is>
      </c>
      <c r="AI1477" s="156" t="inlineStr">
        <is>
          <t>No</t>
        </is>
      </c>
      <c r="AJ1477" s="156" t="n"/>
      <c r="AK1477" s="155" t="inlineStr">
        <is>
          <t>Criterios: I [Q] | Shopify Stetson: producto 14790354272619 / variante 53350605160811 | Odoo: producto 19382 / plantilla 23869</t>
        </is>
      </c>
      <c r="AL1477" s="58" t="n">
        <v>5512.5</v>
      </c>
      <c r="AM1477" s="58" t="n">
        <v>14224.13793</v>
      </c>
      <c r="AN1477" s="155" t="inlineStr">
        <is>
          <t>Shopify Stetson México | Odoo Universal Unique Brands</t>
        </is>
      </c>
      <c r="AO1477" s="59" t="n">
        <v>1</v>
      </c>
      <c r="AP1477" s="59" t="n"/>
      <c r="AQ1477" s="59" t="n">
        <v>1</v>
      </c>
      <c r="AR1477" s="155" t="inlineStr">
        <is>
          <t>Shopify Stetson México › Stetson México: 1 | Odoo Universal Unique Brands › Bodega 25 › Bodega 25/General: 1</t>
        </is>
      </c>
    </row>
    <row r="1478">
      <c r="A1478" s="50" t="inlineStr">
        <is>
          <t>795177484721</t>
        </is>
      </c>
      <c r="B1478" s="51" t="inlineStr">
        <is>
          <t>109919</t>
        </is>
      </c>
      <c r="C1478" s="156" t="inlineStr">
        <is>
          <t>Multimarca</t>
        </is>
      </c>
      <c r="D1478" s="156" t="inlineStr">
        <is>
          <t>SFEPTN-484072</t>
        </is>
      </c>
      <c r="E1478" s="156" t="inlineStr">
        <is>
          <t>SFEPTN-48407272</t>
        </is>
      </c>
      <c r="F1478" s="156" t="inlineStr">
        <is>
          <t>7 1/4</t>
        </is>
      </c>
      <c r="G1478" s="156" t="inlineStr">
        <is>
          <t>7 1/4</t>
        </is>
      </c>
      <c r="H1478" s="156" t="inlineStr">
        <is>
          <t>Stetson</t>
        </is>
      </c>
      <c r="I1478" s="156" t="inlineStr">
        <is>
          <t>Sombrero Stetson el Patrón 48 Premier 30X</t>
        </is>
      </c>
      <c r="J1478" s="156" t="inlineStr">
        <is>
          <t>Accesorios</t>
        </is>
      </c>
      <c r="K1478" s="156" t="inlineStr">
        <is>
          <t>Sombreros</t>
        </is>
      </c>
      <c r="L1478" s="156" t="inlineStr">
        <is>
          <t>Unisex</t>
        </is>
      </c>
      <c r="M1478" s="156" t="inlineStr">
        <is>
          <t>Stetson</t>
        </is>
      </c>
      <c r="N1478" s="156" t="inlineStr">
        <is>
          <t>SS26</t>
        </is>
      </c>
      <c r="O1478" s="156" t="inlineStr">
        <is>
          <t>Seasonal</t>
        </is>
      </c>
      <c r="P1478" s="156" t="inlineStr">
        <is>
          <t>Blanco</t>
        </is>
      </c>
      <c r="Q1478" s="156" t="n"/>
      <c r="R1478" s="156" t="inlineStr">
        <is>
          <t>Copa Rancher</t>
        </is>
      </c>
      <c r="S1478" s="156" t="inlineStr">
        <is>
          <t>100% Paja</t>
        </is>
      </c>
      <c r="T1478"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8" s="156" t="inlineStr">
        <is>
          <t>Estados Unidos</t>
        </is>
      </c>
      <c r="V1478" s="156" t="inlineStr">
        <is>
          <t>PZS</t>
        </is>
      </c>
      <c r="W1478" s="51" t="inlineStr">
        <is>
          <t>53102503</t>
        </is>
      </c>
      <c r="X1478" s="156" t="inlineStr">
        <is>
          <t>https://cdn.shopify.com/s/files/1/0888/3250/8267/files/SFEPTN-4840-MO-66_4.png?v=1760111016</t>
        </is>
      </c>
      <c r="Y1478" s="54" t="n">
        <v>5512.5</v>
      </c>
      <c r="Z1478" s="54" t="n">
        <v>14224.13793</v>
      </c>
      <c r="AA1478" s="55">
        <f>IF(AND(A1478="", B1478="", E1478=""), "", IF(AB1478="", "Válido", IF((LEN(AB1478)-LEN(SUBSTITUTE(AB1478,"; ","")))/2+1&gt;(LEN(AB1478)-LEN(SUBSTITUTE(AB1478,"[Aviso]","")))/7, "Con Incidencias", "Válido")))</f>
        <v/>
      </c>
      <c r="AB1478" s="56">
        <f>IF(AND(A1478="", B1478="", E1478=""), "", TEXTJOIN("; ", TRUE, IF(OR(TRIM(A1478&amp;"")="", ISNUMBER(SEARCH("FALTA", A1478))), "UPC faltante/inválido", ""), IF(AND(A1478&lt;&gt;"", IFERROR(_xlfn.XMATCH(A1478,$A$2:$A$2509,0,1)&lt;&gt;_xlfn.XMATCH(A1478,$A$2:$A$2509,0,-1),FALSE)), "Código de barras duplicado", ""), IF(AND(E1478&lt;&gt;"", COUNTIF($E$2:$E$2509, E1478)&gt;1), "SKU duplicado", ""), IF(OR(J1478="", J1478=""), "[Aviso] División no capturada ()", IF(ISNA(MATCH(J1478, Criterios!$A$123:$A$126, 0)), "División no válida", "")), IF(OR(K1478="", K1478=""), "[Aviso] Categoría no capturada ()", IF(ISNA(MATCH(K1478, Criterios!$A$81:$A$120, 0)), "Categoría no válida", IF(AND(J1478&lt;&gt;"", J1478&lt;&gt;"", J1478&lt;&gt;VLOOKUP(K1478, Criterios!$A$81:$B$120, 2, FALSE)), "División no coincide con Categoría", ""))), IF(OR(L1478="", L1478=""), "[Aviso] Género no capturado ()", IF(ISNA(MATCH(L1478, Criterios!$B$123:$B$127, 0)), "Género no válido", "")), IF(OR(N1478="", N1478=""), "[Aviso] Temporada no capturada ()", IF(ISNA(MATCH(N1478, Criterios!$C$123:$C$128, 0)), "Temporada no válida", "")), IF(OR(O1478="", O1478=""), "[Aviso] Ciclo de vida no capturado ()", IF(ISNA(MATCH(O1478, Criterios!$D$123:$D$124, 0)), "Ciclo de vida no válido", ""))))</f>
        <v/>
      </c>
      <c r="AC1478" s="56" t="n"/>
      <c r="AD1478" s="51" t="n">
        <v>-1</v>
      </c>
      <c r="AE1478" s="156" t="n"/>
      <c r="AF1478" s="51" t="n">
        <v>0</v>
      </c>
      <c r="AG1478" s="156" t="inlineStr">
        <is>
          <t>Catálogo existente</t>
        </is>
      </c>
      <c r="AH1478" s="156" t="inlineStr">
        <is>
          <t>Stock negativo en sistema: revisar en conteo | Revisión 29/09/2026: Cruce de catálogo y criterios sin pendientes detectados | 01/10/2026: complementado desde Shopify Stetson México (match por código de barras): WB Fit, WB Silueta</t>
        </is>
      </c>
      <c r="AI1478" s="156" t="inlineStr">
        <is>
          <t>Sí</t>
        </is>
      </c>
      <c r="AJ1478" s="156" t="inlineStr">
        <is>
          <t>STETSON AMERICAS (-1)</t>
        </is>
      </c>
      <c r="AK1478" s="155" t="inlineStr">
        <is>
          <t>Criterios: I [Q] | Shopify Stetson: producto 14790354272619 / variante 53350605193579 | Odoo: producto 14235 / plantilla 17812</t>
        </is>
      </c>
      <c r="AL1478" s="58" t="n">
        <v>5512.5</v>
      </c>
      <c r="AM1478" s="58" t="n">
        <v>14224.13793</v>
      </c>
      <c r="AN1478" s="155" t="inlineStr">
        <is>
          <t>Shopify Stetson México | Odoo Universal Unique Brands</t>
        </is>
      </c>
      <c r="AO1478" s="59" t="n">
        <v>0</v>
      </c>
      <c r="AP1478" s="59" t="n"/>
      <c r="AQ1478" s="59" t="n">
        <v>1</v>
      </c>
      <c r="AR1478" s="155" t="inlineStr">
        <is>
          <t>Odoo Universal Unique Brands › Bodega 25 › Bodega 25/General: 1</t>
        </is>
      </c>
    </row>
    <row r="1479">
      <c r="A1479" s="50" t="inlineStr">
        <is>
          <t>795177484738</t>
        </is>
      </c>
      <c r="B1479" s="51" t="inlineStr">
        <is>
          <t>109920</t>
        </is>
      </c>
      <c r="C1479" s="156" t="inlineStr">
        <is>
          <t>Multimarca</t>
        </is>
      </c>
      <c r="D1479" s="156" t="inlineStr">
        <is>
          <t>SFEPTN-484072</t>
        </is>
      </c>
      <c r="E1479" s="156" t="inlineStr">
        <is>
          <t>SFEPTN-48407273</t>
        </is>
      </c>
      <c r="F1479" s="156" t="inlineStr">
        <is>
          <t>7 3/8</t>
        </is>
      </c>
      <c r="G1479" s="156" t="inlineStr">
        <is>
          <t>7 3/8</t>
        </is>
      </c>
      <c r="H1479" s="156" t="inlineStr">
        <is>
          <t>Stetson</t>
        </is>
      </c>
      <c r="I1479" s="156" t="inlineStr">
        <is>
          <t>Sombrero Stetson el Patrón 48 Premier 30X</t>
        </is>
      </c>
      <c r="J1479" s="156" t="inlineStr">
        <is>
          <t>Accesorios</t>
        </is>
      </c>
      <c r="K1479" s="156" t="inlineStr">
        <is>
          <t>Sombreros</t>
        </is>
      </c>
      <c r="L1479" s="156" t="inlineStr">
        <is>
          <t>Unisex</t>
        </is>
      </c>
      <c r="M1479" s="156" t="inlineStr">
        <is>
          <t>Stetson</t>
        </is>
      </c>
      <c r="N1479" s="156" t="inlineStr">
        <is>
          <t>SS26</t>
        </is>
      </c>
      <c r="O1479" s="156" t="inlineStr">
        <is>
          <t>Seasonal</t>
        </is>
      </c>
      <c r="P1479" s="156" t="inlineStr">
        <is>
          <t>Blanco</t>
        </is>
      </c>
      <c r="Q1479" s="156" t="n"/>
      <c r="R1479" s="156" t="inlineStr">
        <is>
          <t>Copa Rancher</t>
        </is>
      </c>
      <c r="S1479" s="156" t="inlineStr">
        <is>
          <t>100% Paja</t>
        </is>
      </c>
      <c r="T147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9" s="156" t="inlineStr">
        <is>
          <t>Estados Unidos</t>
        </is>
      </c>
      <c r="V1479" s="156" t="inlineStr">
        <is>
          <t>PZS</t>
        </is>
      </c>
      <c r="W1479" s="51" t="inlineStr">
        <is>
          <t>53102503</t>
        </is>
      </c>
      <c r="X1479" s="156" t="inlineStr">
        <is>
          <t>https://cdn.shopify.com/s/files/1/0888/3250/8267/files/SFEPTN-4840-MO-66_5.png?v=1760111016</t>
        </is>
      </c>
      <c r="Y1479" s="54" t="n">
        <v>5512.5</v>
      </c>
      <c r="Z1479" s="54" t="n">
        <v>14224.13793</v>
      </c>
      <c r="AA1479" s="55">
        <f>IF(AND(A1479="", B1479="", E1479=""), "", IF(AB1479="", "Válido", IF((LEN(AB1479)-LEN(SUBSTITUTE(AB1479,"; ","")))/2+1&gt;(LEN(AB1479)-LEN(SUBSTITUTE(AB1479,"[Aviso]","")))/7, "Con Incidencias", "Válido")))</f>
        <v/>
      </c>
      <c r="AB1479" s="56">
        <f>IF(AND(A1479="", B1479="", E1479=""), "", TEXTJOIN("; ", TRUE, IF(OR(TRIM(A1479&amp;"")="", ISNUMBER(SEARCH("FALTA", A1479))), "UPC faltante/inválido", ""), IF(AND(A1479&lt;&gt;"", IFERROR(_xlfn.XMATCH(A1479,$A$2:$A$2509,0,1)&lt;&gt;_xlfn.XMATCH(A1479,$A$2:$A$2509,0,-1),FALSE)), "Código de barras duplicado", ""), IF(AND(E1479&lt;&gt;"", COUNTIF($E$2:$E$2509, E1479)&gt;1), "SKU duplicado", ""), IF(OR(J1479="", J1479=""), "[Aviso] División no capturada ()", IF(ISNA(MATCH(J1479, Criterios!$A$123:$A$126, 0)), "División no válida", "")), IF(OR(K1479="", K1479=""), "[Aviso] Categoría no capturada ()", IF(ISNA(MATCH(K1479, Criterios!$A$81:$A$120, 0)), "Categoría no válida", IF(AND(J1479&lt;&gt;"", J1479&lt;&gt;"", J1479&lt;&gt;VLOOKUP(K1479, Criterios!$A$81:$B$120, 2, FALSE)), "División no coincide con Categoría", ""))), IF(OR(L1479="", L1479=""), "[Aviso] Género no capturado ()", IF(ISNA(MATCH(L1479, Criterios!$B$123:$B$127, 0)), "Género no válido", "")), IF(OR(N1479="", N1479=""), "[Aviso] Temporada no capturada ()", IF(ISNA(MATCH(N1479, Criterios!$C$123:$C$128, 0)), "Temporada no válida", "")), IF(OR(O1479="", O1479=""), "[Aviso] Ciclo de vida no capturado ()", IF(ISNA(MATCH(O1479, Criterios!$D$123:$D$124, 0)), "Ciclo de vida no válido", ""))))</f>
        <v/>
      </c>
      <c r="AC1479" s="56" t="n"/>
      <c r="AD1479" s="51" t="n">
        <v>-2</v>
      </c>
      <c r="AE1479" s="156" t="n"/>
      <c r="AF1479" s="51" t="n">
        <v>0</v>
      </c>
      <c r="AG1479" s="156" t="inlineStr">
        <is>
          <t>Catálogo existente</t>
        </is>
      </c>
      <c r="AH1479" s="156" t="inlineStr">
        <is>
          <t>Stock negativo en sistema: revisar en conteo | Revisión 29/09/2026: Cruce de catálogo y criterios sin pendientes detectados | 01/10/2026: complementado desde Shopify Stetson México (match por código de barras): WB Fit, WB Silueta</t>
        </is>
      </c>
      <c r="AI1479" s="156" t="inlineStr">
        <is>
          <t>Sí</t>
        </is>
      </c>
      <c r="AJ1479" s="156" t="inlineStr">
        <is>
          <t>STETSON AMERICAS (-2)</t>
        </is>
      </c>
      <c r="AK1479" s="155" t="inlineStr">
        <is>
          <t>Criterios: I [Q] | Shopify Stetson: producto 14790354272619 / variante 53350605226347 | Odoo: producto 14236 / plantilla 17813</t>
        </is>
      </c>
      <c r="AL1479" s="58" t="n">
        <v>5512.5</v>
      </c>
      <c r="AM1479" s="58" t="n">
        <v>14224.13793</v>
      </c>
      <c r="AN1479" s="155" t="inlineStr">
        <is>
          <t>Shopify Stetson México | Odoo Universal Unique Brands</t>
        </is>
      </c>
      <c r="AO1479" s="59" t="n">
        <v>-1</v>
      </c>
      <c r="AP1479" s="59" t="n"/>
      <c r="AQ1479" s="59" t="n">
        <v>1</v>
      </c>
      <c r="AR1479" s="155" t="inlineStr">
        <is>
          <t>Odoo Universal Unique Brands › Bodega 25 › Bodega 25/General: 1</t>
        </is>
      </c>
    </row>
    <row r="1480">
      <c r="A1480" s="50" t="inlineStr">
        <is>
          <t>795177484974</t>
        </is>
      </c>
      <c r="B1480" s="51" t="inlineStr">
        <is>
          <t>109912</t>
        </is>
      </c>
      <c r="C1480" s="156" t="inlineStr">
        <is>
          <t>Multimarca</t>
        </is>
      </c>
      <c r="D1480" s="156" t="inlineStr">
        <is>
          <t>SFEPTN-484061</t>
        </is>
      </c>
      <c r="E1480" s="156" t="inlineStr">
        <is>
          <t>SFEPTN-48406170</t>
        </is>
      </c>
      <c r="F1480" s="156" t="inlineStr">
        <is>
          <t>7</t>
        </is>
      </c>
      <c r="G1480" s="156" t="inlineStr">
        <is>
          <t>7</t>
        </is>
      </c>
      <c r="H1480" s="156" t="inlineStr">
        <is>
          <t>Stetson</t>
        </is>
      </c>
      <c r="I1480" s="156" t="inlineStr">
        <is>
          <t>Sombrero Stetson el Patrón 48 Premier 30X</t>
        </is>
      </c>
      <c r="J1480" s="156" t="inlineStr">
        <is>
          <t>Accesorios</t>
        </is>
      </c>
      <c r="K1480" s="156" t="inlineStr">
        <is>
          <t>Sombreros</t>
        </is>
      </c>
      <c r="L1480" s="156" t="inlineStr">
        <is>
          <t>Unisex</t>
        </is>
      </c>
      <c r="M1480" s="156" t="inlineStr">
        <is>
          <t>Stetson</t>
        </is>
      </c>
      <c r="N1480" s="156" t="inlineStr">
        <is>
          <t>SS26</t>
        </is>
      </c>
      <c r="O1480" s="156" t="inlineStr">
        <is>
          <t>Seasonal</t>
        </is>
      </c>
      <c r="P1480" s="156" t="inlineStr">
        <is>
          <t>Gris</t>
        </is>
      </c>
      <c r="Q1480" s="156" t="n"/>
      <c r="R1480" s="156" t="inlineStr">
        <is>
          <t>Copa Rancher</t>
        </is>
      </c>
      <c r="S1480" s="156" t="inlineStr">
        <is>
          <t>100% Paja</t>
        </is>
      </c>
      <c r="T148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0" s="156" t="inlineStr">
        <is>
          <t>Estados Unidos</t>
        </is>
      </c>
      <c r="V1480" s="156" t="inlineStr">
        <is>
          <t>PZS</t>
        </is>
      </c>
      <c r="W1480" s="51" t="inlineStr">
        <is>
          <t>53102503</t>
        </is>
      </c>
      <c r="X1480" s="156" t="inlineStr">
        <is>
          <t>https://cdn.shopify.com/s/files/1/0888/3250/8267/files/SFEPTN-4840-07-71-ELPATRON_7.png?v=1760110986</t>
        </is>
      </c>
      <c r="Y1480" s="54" t="n">
        <v>5512.5</v>
      </c>
      <c r="Z1480" s="54" t="n">
        <v>14224.13793</v>
      </c>
      <c r="AA1480" s="55">
        <f>IF(AND(A1480="", B1480="", E1480=""), "", IF(AB1480="", "Válido", IF((LEN(AB1480)-LEN(SUBSTITUTE(AB1480,"; ","")))/2+1&gt;(LEN(AB1480)-LEN(SUBSTITUTE(AB1480,"[Aviso]","")))/7, "Con Incidencias", "Válido")))</f>
        <v/>
      </c>
      <c r="AB1480" s="56">
        <f>IF(AND(A1480="", B1480="", E1480=""), "", TEXTJOIN("; ", TRUE, IF(OR(TRIM(A1480&amp;"")="", ISNUMBER(SEARCH("FALTA", A1480))), "UPC faltante/inválido", ""), IF(AND(A1480&lt;&gt;"", IFERROR(_xlfn.XMATCH(A1480,$A$2:$A$2509,0,1)&lt;&gt;_xlfn.XMATCH(A1480,$A$2:$A$2509,0,-1),FALSE)), "Código de barras duplicado", ""), IF(AND(E1480&lt;&gt;"", COUNTIF($E$2:$E$2509, E1480)&gt;1), "SKU duplicado", ""), IF(OR(J1480="", J1480=""), "[Aviso] División no capturada ()", IF(ISNA(MATCH(J1480, Criterios!$A$123:$A$126, 0)), "División no válida", "")), IF(OR(K1480="", K1480=""), "[Aviso] Categoría no capturada ()", IF(ISNA(MATCH(K1480, Criterios!$A$81:$A$120, 0)), "Categoría no válida", IF(AND(J1480&lt;&gt;"", J1480&lt;&gt;"", J1480&lt;&gt;VLOOKUP(K1480, Criterios!$A$81:$B$120, 2, FALSE)), "División no coincide con Categoría", ""))), IF(OR(L1480="", L1480=""), "[Aviso] Género no capturado ()", IF(ISNA(MATCH(L1480, Criterios!$B$123:$B$127, 0)), "Género no válido", "")), IF(OR(N1480="", N1480=""), "[Aviso] Temporada no capturada ()", IF(ISNA(MATCH(N1480, Criterios!$C$123:$C$128, 0)), "Temporada no válida", "")), IF(OR(O1480="", O1480=""), "[Aviso] Ciclo de vida no capturado ()", IF(ISNA(MATCH(O1480, Criterios!$D$123:$D$124, 0)), "Ciclo de vida no válido", ""))))</f>
        <v/>
      </c>
      <c r="AC1480" s="56" t="n"/>
      <c r="AD1480" s="51" t="n">
        <v>-1</v>
      </c>
      <c r="AE1480" s="156" t="n"/>
      <c r="AF1480" s="51" t="n">
        <v>0</v>
      </c>
      <c r="AG1480" s="156" t="inlineStr">
        <is>
          <t>Catálogo existente</t>
        </is>
      </c>
      <c r="AH148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0" s="156" t="inlineStr">
        <is>
          <t>Sí</t>
        </is>
      </c>
      <c r="AJ1480" s="156" t="inlineStr">
        <is>
          <t>STETSON AMERICAS (-1)</t>
        </is>
      </c>
      <c r="AK1480" s="155" t="inlineStr">
        <is>
          <t>Criterios: I [Q] | Shopify Stetson: producto 14790354272619 / variante 53350604800363 | Odoo: producto 14229 / plantilla 17806</t>
        </is>
      </c>
      <c r="AL1480" s="58" t="n">
        <v>5512.5</v>
      </c>
      <c r="AM1480" s="58" t="n">
        <v>14224.13793</v>
      </c>
      <c r="AN1480" s="155" t="inlineStr">
        <is>
          <t>Shopify Stetson México | Odoo Universal Unique Brands</t>
        </is>
      </c>
      <c r="AO1480" s="59" t="n">
        <v>0</v>
      </c>
      <c r="AP1480" s="59" t="n"/>
      <c r="AQ1480" s="59" t="n">
        <v>2</v>
      </c>
      <c r="AR1480" s="155" t="inlineStr">
        <is>
          <t>Odoo Universal Unique Brands › Bodega 25 › Bodega 25/General: 2</t>
        </is>
      </c>
    </row>
    <row r="1481">
      <c r="A1481" s="50" t="inlineStr">
        <is>
          <t>795177484981</t>
        </is>
      </c>
      <c r="B1481" s="51" t="inlineStr">
        <is>
          <t>109913</t>
        </is>
      </c>
      <c r="C1481" s="156" t="inlineStr">
        <is>
          <t>Multimarca</t>
        </is>
      </c>
      <c r="D1481" s="156" t="inlineStr">
        <is>
          <t>SFEPTN-484061</t>
        </is>
      </c>
      <c r="E1481" s="156" t="inlineStr">
        <is>
          <t>SFEPTN-48406171</t>
        </is>
      </c>
      <c r="F1481" s="156" t="inlineStr">
        <is>
          <t>7 1/8</t>
        </is>
      </c>
      <c r="G1481" s="156" t="inlineStr">
        <is>
          <t>7 1/8</t>
        </is>
      </c>
      <c r="H1481" s="156" t="inlineStr">
        <is>
          <t>Stetson</t>
        </is>
      </c>
      <c r="I1481" s="156" t="inlineStr">
        <is>
          <t>Sombrero Stetson el Patrón 48 Premier 30X</t>
        </is>
      </c>
      <c r="J1481" s="156" t="inlineStr">
        <is>
          <t>Accesorios</t>
        </is>
      </c>
      <c r="K1481" s="156" t="inlineStr">
        <is>
          <t>Sombreros</t>
        </is>
      </c>
      <c r="L1481" s="156" t="inlineStr">
        <is>
          <t>Unisex</t>
        </is>
      </c>
      <c r="M1481" s="156" t="inlineStr">
        <is>
          <t>Stetson</t>
        </is>
      </c>
      <c r="N1481" s="156" t="inlineStr">
        <is>
          <t>SS26</t>
        </is>
      </c>
      <c r="O1481" s="156" t="inlineStr">
        <is>
          <t>Seasonal</t>
        </is>
      </c>
      <c r="P1481" s="156" t="inlineStr">
        <is>
          <t>Gris</t>
        </is>
      </c>
      <c r="Q1481" s="156" t="n"/>
      <c r="R1481" s="156" t="inlineStr">
        <is>
          <t>Copa Rancher</t>
        </is>
      </c>
      <c r="S1481" s="156" t="inlineStr">
        <is>
          <t>100% Paja</t>
        </is>
      </c>
      <c r="T148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1" s="156" t="inlineStr">
        <is>
          <t>Estados Unidos</t>
        </is>
      </c>
      <c r="V1481" s="156" t="inlineStr">
        <is>
          <t>PZS</t>
        </is>
      </c>
      <c r="W1481" s="51" t="inlineStr">
        <is>
          <t>53102503</t>
        </is>
      </c>
      <c r="X1481" s="156" t="inlineStr">
        <is>
          <t>https://cdn.shopify.com/s/files/1/0888/3250/8267/files/SFEPTN-4840-07-71-ELPATRON_8.png?v=1760110986</t>
        </is>
      </c>
      <c r="Y1481" s="54" t="n">
        <v>5512.5</v>
      </c>
      <c r="Z1481" s="54" t="n">
        <v>14224.13793</v>
      </c>
      <c r="AA1481" s="55">
        <f>IF(AND(A1481="", B1481="", E1481=""), "", IF(AB1481="", "Válido", IF((LEN(AB1481)-LEN(SUBSTITUTE(AB1481,"; ","")))/2+1&gt;(LEN(AB1481)-LEN(SUBSTITUTE(AB1481,"[Aviso]","")))/7, "Con Incidencias", "Válido")))</f>
        <v/>
      </c>
      <c r="AB1481" s="56">
        <f>IF(AND(A1481="", B1481="", E1481=""), "", TEXTJOIN("; ", TRUE, IF(OR(TRIM(A1481&amp;"")="", ISNUMBER(SEARCH("FALTA", A1481))), "UPC faltante/inválido", ""), IF(AND(A1481&lt;&gt;"", IFERROR(_xlfn.XMATCH(A1481,$A$2:$A$2509,0,1)&lt;&gt;_xlfn.XMATCH(A1481,$A$2:$A$2509,0,-1),FALSE)), "Código de barras duplicado", ""), IF(AND(E1481&lt;&gt;"", COUNTIF($E$2:$E$2509, E1481)&gt;1), "SKU duplicado", ""), IF(OR(J1481="", J1481=""), "[Aviso] División no capturada ()", IF(ISNA(MATCH(J1481, Criterios!$A$123:$A$126, 0)), "División no válida", "")), IF(OR(K1481="", K1481=""), "[Aviso] Categoría no capturada ()", IF(ISNA(MATCH(K1481, Criterios!$A$81:$A$120, 0)), "Categoría no válida", IF(AND(J1481&lt;&gt;"", J1481&lt;&gt;"", J1481&lt;&gt;VLOOKUP(K1481, Criterios!$A$81:$B$120, 2, FALSE)), "División no coincide con Categoría", ""))), IF(OR(L1481="", L1481=""), "[Aviso] Género no capturado ()", IF(ISNA(MATCH(L1481, Criterios!$B$123:$B$127, 0)), "Género no válido", "")), IF(OR(N1481="", N1481=""), "[Aviso] Temporada no capturada ()", IF(ISNA(MATCH(N1481, Criterios!$C$123:$C$128, 0)), "Temporada no válida", "")), IF(OR(O1481="", O1481=""), "[Aviso] Ciclo de vida no capturado ()", IF(ISNA(MATCH(O1481, Criterios!$D$123:$D$124, 0)), "Ciclo de vida no válido", ""))))</f>
        <v/>
      </c>
      <c r="AC1481" s="56" t="n"/>
      <c r="AD1481" s="51" t="n">
        <v>0</v>
      </c>
      <c r="AE1481" s="156" t="inlineStr">
        <is>
          <t>B25 STETSON.MX (1)</t>
        </is>
      </c>
      <c r="AF1481" s="51" t="n">
        <v>1</v>
      </c>
      <c r="AG1481" s="156" t="inlineStr">
        <is>
          <t>Catálogo existente</t>
        </is>
      </c>
      <c r="AH148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1" s="156" t="inlineStr">
        <is>
          <t>Sí</t>
        </is>
      </c>
      <c r="AJ1481" s="156" t="inlineStr">
        <is>
          <t>STETSON AMERICAS (-1)</t>
        </is>
      </c>
      <c r="AK1481" s="155" t="inlineStr">
        <is>
          <t>Criterios: I [Q] | Shopify Stetson: producto 14790354272619 / variante 53350604833131 | Odoo: producto 14230 / plantilla 17807</t>
        </is>
      </c>
      <c r="AL1481" s="58" t="n">
        <v>5512.5</v>
      </c>
      <c r="AM1481" s="58" t="n">
        <v>14224.13793</v>
      </c>
      <c r="AN1481" s="155" t="inlineStr">
        <is>
          <t>Shopify Stetson México | Odoo Universal Unique Brands</t>
        </is>
      </c>
      <c r="AO1481" s="59" t="n">
        <v>1</v>
      </c>
      <c r="AP1481" s="59" t="n"/>
      <c r="AQ1481" s="59" t="n">
        <v>2</v>
      </c>
      <c r="AR1481" s="155" t="inlineStr">
        <is>
          <t>Shopify Stetson México › Stetson México: 1 | Odoo Universal Unique Brands › Bodega 25 › Bodega 25/General: 2</t>
        </is>
      </c>
    </row>
    <row r="1482">
      <c r="A1482" s="50" t="inlineStr">
        <is>
          <t>795177484998</t>
        </is>
      </c>
      <c r="B1482" s="51" t="inlineStr">
        <is>
          <t>109914</t>
        </is>
      </c>
      <c r="C1482" s="156" t="inlineStr">
        <is>
          <t>Multimarca</t>
        </is>
      </c>
      <c r="D1482" s="156" t="inlineStr">
        <is>
          <t>SFEPTN-484061</t>
        </is>
      </c>
      <c r="E1482" s="156" t="inlineStr">
        <is>
          <t>SFEPTN-48406172</t>
        </is>
      </c>
      <c r="F1482" s="156" t="inlineStr">
        <is>
          <t>7 1/4</t>
        </is>
      </c>
      <c r="G1482" s="156" t="inlineStr">
        <is>
          <t>7 1/4</t>
        </is>
      </c>
      <c r="H1482" s="156" t="inlineStr">
        <is>
          <t>Stetson</t>
        </is>
      </c>
      <c r="I1482" s="156" t="inlineStr">
        <is>
          <t>Sombrero Stetson el Patrón 48 Premier 30X</t>
        </is>
      </c>
      <c r="J1482" s="156" t="inlineStr">
        <is>
          <t>Accesorios</t>
        </is>
      </c>
      <c r="K1482" s="156" t="inlineStr">
        <is>
          <t>Sombreros</t>
        </is>
      </c>
      <c r="L1482" s="156" t="inlineStr">
        <is>
          <t>Unisex</t>
        </is>
      </c>
      <c r="M1482" s="156" t="inlineStr">
        <is>
          <t>Stetson</t>
        </is>
      </c>
      <c r="N1482" s="156" t="inlineStr">
        <is>
          <t>SS26</t>
        </is>
      </c>
      <c r="O1482" s="156" t="inlineStr">
        <is>
          <t>Seasonal</t>
        </is>
      </c>
      <c r="P1482" s="156" t="inlineStr">
        <is>
          <t>Gris</t>
        </is>
      </c>
      <c r="Q1482" s="156" t="n"/>
      <c r="R1482" s="156" t="inlineStr">
        <is>
          <t>Copa Rancher</t>
        </is>
      </c>
      <c r="S1482" s="156" t="inlineStr">
        <is>
          <t>100% Paja</t>
        </is>
      </c>
      <c r="T148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2" s="156" t="inlineStr">
        <is>
          <t>Estados Unidos</t>
        </is>
      </c>
      <c r="V1482" s="156" t="inlineStr">
        <is>
          <t>PZS</t>
        </is>
      </c>
      <c r="W1482" s="51" t="inlineStr">
        <is>
          <t>53102503</t>
        </is>
      </c>
      <c r="X1482" s="156" t="inlineStr">
        <is>
          <t>https://cdn.shopify.com/s/files/1/0888/3250/8267/files/SFEPTN48406170_1.png?v=1760111002</t>
        </is>
      </c>
      <c r="Y1482" s="54" t="n">
        <v>5512.5</v>
      </c>
      <c r="Z1482" s="54" t="n">
        <v>14224.13793</v>
      </c>
      <c r="AA1482" s="55">
        <f>IF(AND(A1482="", B1482="", E1482=""), "", IF(AB1482="", "Válido", IF((LEN(AB1482)-LEN(SUBSTITUTE(AB1482,"; ","")))/2+1&gt;(LEN(AB1482)-LEN(SUBSTITUTE(AB1482,"[Aviso]","")))/7, "Con Incidencias", "Válido")))</f>
        <v/>
      </c>
      <c r="AB1482" s="56">
        <f>IF(AND(A1482="", B1482="", E1482=""), "", TEXTJOIN("; ", TRUE, IF(OR(TRIM(A1482&amp;"")="", ISNUMBER(SEARCH("FALTA", A1482))), "UPC faltante/inválido", ""), IF(AND(A1482&lt;&gt;"", IFERROR(_xlfn.XMATCH(A1482,$A$2:$A$2509,0,1)&lt;&gt;_xlfn.XMATCH(A1482,$A$2:$A$2509,0,-1),FALSE)), "Código de barras duplicado", ""), IF(AND(E1482&lt;&gt;"", COUNTIF($E$2:$E$2509, E1482)&gt;1), "SKU duplicado", ""), IF(OR(J1482="", J1482=""), "[Aviso] División no capturada ()", IF(ISNA(MATCH(J1482, Criterios!$A$123:$A$126, 0)), "División no válida", "")), IF(OR(K1482="", K1482=""), "[Aviso] Categoría no capturada ()", IF(ISNA(MATCH(K1482, Criterios!$A$81:$A$120, 0)), "Categoría no válida", IF(AND(J1482&lt;&gt;"", J1482&lt;&gt;"", J1482&lt;&gt;VLOOKUP(K1482, Criterios!$A$81:$B$120, 2, FALSE)), "División no coincide con Categoría", ""))), IF(OR(L1482="", L1482=""), "[Aviso] Género no capturado ()", IF(ISNA(MATCH(L1482, Criterios!$B$123:$B$127, 0)), "Género no válido", "")), IF(OR(N1482="", N1482=""), "[Aviso] Temporada no capturada ()", IF(ISNA(MATCH(N1482, Criterios!$C$123:$C$128, 0)), "Temporada no válida", "")), IF(OR(O1482="", O1482=""), "[Aviso] Ciclo de vida no capturado ()", IF(ISNA(MATCH(O1482, Criterios!$D$123:$D$124, 0)), "Ciclo de vida no válido", ""))))</f>
        <v/>
      </c>
      <c r="AC1482" s="56" t="n"/>
      <c r="AD1482" s="51" t="n">
        <v>0</v>
      </c>
      <c r="AE1482" s="156" t="inlineStr">
        <is>
          <t>B25 STETSON.MX (1)</t>
        </is>
      </c>
      <c r="AF1482" s="51" t="n">
        <v>1</v>
      </c>
      <c r="AG1482" s="156" t="inlineStr">
        <is>
          <t>Catálogo existente</t>
        </is>
      </c>
      <c r="AH14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2" s="156" t="inlineStr">
        <is>
          <t>Sí</t>
        </is>
      </c>
      <c r="AJ1482" s="156" t="inlineStr">
        <is>
          <t>STETSON AMERICAS (-1)</t>
        </is>
      </c>
      <c r="AK1482" s="155" t="inlineStr">
        <is>
          <t>Criterios: I [Q] | Shopify Stetson: producto 14790354272619 / variante 53350604865899 | Odoo: producto 14231 / plantilla 17808</t>
        </is>
      </c>
      <c r="AL1482" s="58" t="n">
        <v>5512.5</v>
      </c>
      <c r="AM1482" s="58" t="n">
        <v>14224.13793</v>
      </c>
      <c r="AN1482" s="155" t="inlineStr">
        <is>
          <t>Shopify Stetson México | Odoo Universal Unique Brands</t>
        </is>
      </c>
      <c r="AO1482" s="59" t="n">
        <v>1</v>
      </c>
      <c r="AP1482" s="59" t="n"/>
      <c r="AQ1482" s="59" t="n">
        <v>3</v>
      </c>
      <c r="AR1482" s="155" t="inlineStr">
        <is>
          <t>Shopify Stetson México › Stetson México: 1 | Odoo Universal Unique Brands › Bodega 25 › Bodega 25/General: 3</t>
        </is>
      </c>
    </row>
    <row r="1483">
      <c r="A1483" s="50" t="inlineStr">
        <is>
          <t>795177485001</t>
        </is>
      </c>
      <c r="B1483" s="51" t="inlineStr">
        <is>
          <t>109915</t>
        </is>
      </c>
      <c r="C1483" s="156" t="inlineStr">
        <is>
          <t>Multimarca</t>
        </is>
      </c>
      <c r="D1483" s="156" t="inlineStr">
        <is>
          <t>SFEPTN-484061</t>
        </is>
      </c>
      <c r="E1483" s="156" t="inlineStr">
        <is>
          <t>SFEPTN-48406173</t>
        </is>
      </c>
      <c r="F1483" s="156" t="inlineStr">
        <is>
          <t>7 3/8</t>
        </is>
      </c>
      <c r="G1483" s="156" t="inlineStr">
        <is>
          <t>7 3/8</t>
        </is>
      </c>
      <c r="H1483" s="156" t="inlineStr">
        <is>
          <t>Stetson</t>
        </is>
      </c>
      <c r="I1483" s="156" t="inlineStr">
        <is>
          <t>Sombrero Stetson el Patrón 48 Premier 30X</t>
        </is>
      </c>
      <c r="J1483" s="156" t="inlineStr">
        <is>
          <t>Accesorios</t>
        </is>
      </c>
      <c r="K1483" s="156" t="inlineStr">
        <is>
          <t>Sombreros</t>
        </is>
      </c>
      <c r="L1483" s="156" t="inlineStr">
        <is>
          <t>Unisex</t>
        </is>
      </c>
      <c r="M1483" s="156" t="inlineStr">
        <is>
          <t>Stetson</t>
        </is>
      </c>
      <c r="N1483" s="156" t="inlineStr">
        <is>
          <t>SS26</t>
        </is>
      </c>
      <c r="O1483" s="156" t="inlineStr">
        <is>
          <t>Seasonal</t>
        </is>
      </c>
      <c r="P1483" s="156" t="inlineStr">
        <is>
          <t>Gris</t>
        </is>
      </c>
      <c r="Q1483" s="156" t="n"/>
      <c r="R1483" s="156" t="inlineStr">
        <is>
          <t>Copa Rancher</t>
        </is>
      </c>
      <c r="S1483" s="156" t="inlineStr">
        <is>
          <t>100% Paja</t>
        </is>
      </c>
      <c r="T1483"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3" s="156" t="inlineStr">
        <is>
          <t>Estados Unidos</t>
        </is>
      </c>
      <c r="V1483" s="156" t="inlineStr">
        <is>
          <t>PZS</t>
        </is>
      </c>
      <c r="W1483" s="51" t="inlineStr">
        <is>
          <t>53102503</t>
        </is>
      </c>
      <c r="X1483" s="156" t="inlineStr">
        <is>
          <t>https://cdn.shopify.com/s/files/1/0888/3250/8267/files/SFEPTN48406170_2.png?v=1760111002</t>
        </is>
      </c>
      <c r="Y1483" s="54" t="n">
        <v>5512.5</v>
      </c>
      <c r="Z1483" s="54" t="n">
        <v>14224.13793</v>
      </c>
      <c r="AA1483" s="55">
        <f>IF(AND(A1483="", B1483="", E1483=""), "", IF(AB1483="", "Válido", IF((LEN(AB1483)-LEN(SUBSTITUTE(AB1483,"; ","")))/2+1&gt;(LEN(AB1483)-LEN(SUBSTITUTE(AB1483,"[Aviso]","")))/7, "Con Incidencias", "Válido")))</f>
        <v/>
      </c>
      <c r="AB1483" s="56">
        <f>IF(AND(A1483="", B1483="", E1483=""), "", TEXTJOIN("; ", TRUE, IF(OR(TRIM(A1483&amp;"")="", ISNUMBER(SEARCH("FALTA", A1483))), "UPC faltante/inválido", ""), IF(AND(A1483&lt;&gt;"", IFERROR(_xlfn.XMATCH(A1483,$A$2:$A$2509,0,1)&lt;&gt;_xlfn.XMATCH(A1483,$A$2:$A$2509,0,-1),FALSE)), "Código de barras duplicado", ""), IF(AND(E1483&lt;&gt;"", COUNTIF($E$2:$E$2509, E1483)&gt;1), "SKU duplicado", ""), IF(OR(J1483="", J1483=""), "[Aviso] División no capturada ()", IF(ISNA(MATCH(J1483, Criterios!$A$123:$A$126, 0)), "División no válida", "")), IF(OR(K1483="", K1483=""), "[Aviso] Categoría no capturada ()", IF(ISNA(MATCH(K1483, Criterios!$A$81:$A$120, 0)), "Categoría no válida", IF(AND(J1483&lt;&gt;"", J1483&lt;&gt;"", J1483&lt;&gt;VLOOKUP(K1483, Criterios!$A$81:$B$120, 2, FALSE)), "División no coincide con Categoría", ""))), IF(OR(L1483="", L1483=""), "[Aviso] Género no capturado ()", IF(ISNA(MATCH(L1483, Criterios!$B$123:$B$127, 0)), "Género no válido", "")), IF(OR(N1483="", N1483=""), "[Aviso] Temporada no capturada ()", IF(ISNA(MATCH(N1483, Criterios!$C$123:$C$128, 0)), "Temporada no válida", "")), IF(OR(O1483="", O1483=""), "[Aviso] Ciclo de vida no capturado ()", IF(ISNA(MATCH(O1483, Criterios!$D$123:$D$124, 0)), "Ciclo de vida no válido", ""))))</f>
        <v/>
      </c>
      <c r="AC1483" s="56" t="n"/>
      <c r="AD1483" s="51" t="n">
        <v>0</v>
      </c>
      <c r="AE1483" s="156" t="n"/>
      <c r="AF1483" s="51" t="n">
        <v>0</v>
      </c>
      <c r="AG1483" s="156" t="inlineStr">
        <is>
          <t>Catálogo existente</t>
        </is>
      </c>
      <c r="AH148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3" s="156" t="inlineStr">
        <is>
          <t>No</t>
        </is>
      </c>
      <c r="AJ1483" s="156" t="n"/>
      <c r="AK1483" s="155" t="inlineStr">
        <is>
          <t>Criterios: I [Q] | Shopify Stetson: producto 14790354272619 / variante 53350604898667 | Odoo: producto 14232 / plantilla 17809</t>
        </is>
      </c>
      <c r="AL1483" s="58" t="n">
        <v>5512.5</v>
      </c>
      <c r="AM1483" s="58" t="n">
        <v>14224.13793</v>
      </c>
      <c r="AN1483" s="155" t="inlineStr">
        <is>
          <t>Shopify Stetson México | Odoo Universal Unique Brands</t>
        </is>
      </c>
      <c r="AO1483" s="59" t="n">
        <v>0</v>
      </c>
      <c r="AP1483" s="59" t="n"/>
      <c r="AQ1483" s="59" t="n">
        <v>1</v>
      </c>
      <c r="AR1483" s="155" t="inlineStr">
        <is>
          <t>Odoo Universal Unique Brands › Bodega 25 › Bodega 25/General: 1</t>
        </is>
      </c>
    </row>
    <row r="1484">
      <c r="A1484" s="50" t="inlineStr">
        <is>
          <t>795177485018</t>
        </is>
      </c>
      <c r="B1484" s="51" t="inlineStr">
        <is>
          <t>109916</t>
        </is>
      </c>
      <c r="C1484" s="156" t="inlineStr">
        <is>
          <t>Multimarca</t>
        </is>
      </c>
      <c r="D1484" s="156" t="inlineStr">
        <is>
          <t>SFEPTN-484061</t>
        </is>
      </c>
      <c r="E1484" s="156" t="inlineStr">
        <is>
          <t>SFEPTN-48406174</t>
        </is>
      </c>
      <c r="F1484" s="156" t="inlineStr">
        <is>
          <t>7 1/2</t>
        </is>
      </c>
      <c r="G1484" s="156" t="inlineStr">
        <is>
          <t>7 1/2</t>
        </is>
      </c>
      <c r="H1484" s="156" t="inlineStr">
        <is>
          <t>Stetson</t>
        </is>
      </c>
      <c r="I1484" s="156" t="inlineStr">
        <is>
          <t>Sombrero Stetson el Patrón 48 Premier 30X</t>
        </is>
      </c>
      <c r="J1484" s="156" t="inlineStr">
        <is>
          <t>Accesorios</t>
        </is>
      </c>
      <c r="K1484" s="156" t="inlineStr">
        <is>
          <t>Sombreros</t>
        </is>
      </c>
      <c r="L1484" s="156" t="inlineStr">
        <is>
          <t>Unisex</t>
        </is>
      </c>
      <c r="M1484" s="156" t="inlineStr">
        <is>
          <t>Stetson</t>
        </is>
      </c>
      <c r="N1484" s="156" t="inlineStr">
        <is>
          <t>SS26</t>
        </is>
      </c>
      <c r="O1484" s="156" t="inlineStr">
        <is>
          <t>Seasonal</t>
        </is>
      </c>
      <c r="P1484" s="156" t="inlineStr">
        <is>
          <t>Gris</t>
        </is>
      </c>
      <c r="Q1484" s="156" t="n"/>
      <c r="R1484" s="156" t="inlineStr">
        <is>
          <t>Copa Rancher</t>
        </is>
      </c>
      <c r="S1484" s="156" t="inlineStr">
        <is>
          <t>100% Paja</t>
        </is>
      </c>
      <c r="T1484"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4" s="156" t="inlineStr">
        <is>
          <t>Estados Unidos</t>
        </is>
      </c>
      <c r="V1484" s="156" t="inlineStr">
        <is>
          <t>PZS</t>
        </is>
      </c>
      <c r="W1484" s="51" t="inlineStr">
        <is>
          <t>53102503</t>
        </is>
      </c>
      <c r="X1484" s="156" t="inlineStr">
        <is>
          <t>https://cdn.shopify.com/s/files/1/0888/3250/8267/files/SFEPTN48406170_3.png?v=1760111002</t>
        </is>
      </c>
      <c r="Y1484" s="54" t="n">
        <v>5512.5</v>
      </c>
      <c r="Z1484" s="54" t="n">
        <v>14224.13793</v>
      </c>
      <c r="AA1484" s="55">
        <f>IF(AND(A1484="", B1484="", E1484=""), "", IF(AB1484="", "Válido", IF((LEN(AB1484)-LEN(SUBSTITUTE(AB1484,"; ","")))/2+1&gt;(LEN(AB1484)-LEN(SUBSTITUTE(AB1484,"[Aviso]","")))/7, "Con Incidencias", "Válido")))</f>
        <v/>
      </c>
      <c r="AB1484" s="56">
        <f>IF(AND(A1484="", B1484="", E1484=""), "", TEXTJOIN("; ", TRUE, IF(OR(TRIM(A1484&amp;"")="", ISNUMBER(SEARCH("FALTA", A1484))), "UPC faltante/inválido", ""), IF(AND(A1484&lt;&gt;"", IFERROR(_xlfn.XMATCH(A1484,$A$2:$A$2509,0,1)&lt;&gt;_xlfn.XMATCH(A1484,$A$2:$A$2509,0,-1),FALSE)), "Código de barras duplicado", ""), IF(AND(E1484&lt;&gt;"", COUNTIF($E$2:$E$2509, E1484)&gt;1), "SKU duplicado", ""), IF(OR(J1484="", J1484=""), "[Aviso] División no capturada ()", IF(ISNA(MATCH(J1484, Criterios!$A$123:$A$126, 0)), "División no válida", "")), IF(OR(K1484="", K1484=""), "[Aviso] Categoría no capturada ()", IF(ISNA(MATCH(K1484, Criterios!$A$81:$A$120, 0)), "Categoría no válida", IF(AND(J1484&lt;&gt;"", J1484&lt;&gt;"", J1484&lt;&gt;VLOOKUP(K1484, Criterios!$A$81:$B$120, 2, FALSE)), "División no coincide con Categoría", ""))), IF(OR(L1484="", L1484=""), "[Aviso] Género no capturado ()", IF(ISNA(MATCH(L1484, Criterios!$B$123:$B$127, 0)), "Género no válido", "")), IF(OR(N1484="", N1484=""), "[Aviso] Temporada no capturada ()", IF(ISNA(MATCH(N1484, Criterios!$C$123:$C$128, 0)), "Temporada no válida", "")), IF(OR(O1484="", O1484=""), "[Aviso] Ciclo de vida no capturado ()", IF(ISNA(MATCH(O1484, Criterios!$D$123:$D$124, 0)), "Ciclo de vida no válido", ""))))</f>
        <v/>
      </c>
      <c r="AC1484" s="56" t="n"/>
      <c r="AD1484" s="51" t="n">
        <v>-2</v>
      </c>
      <c r="AE1484" s="156" t="n"/>
      <c r="AF1484" s="51" t="n">
        <v>0</v>
      </c>
      <c r="AG1484" s="156" t="inlineStr">
        <is>
          <t>Catálogo existente</t>
        </is>
      </c>
      <c r="AH148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4" s="156" t="inlineStr">
        <is>
          <t>Sí</t>
        </is>
      </c>
      <c r="AJ1484" s="156" t="inlineStr">
        <is>
          <t>STETSON AMERICAS (-2)</t>
        </is>
      </c>
      <c r="AK1484" s="155" t="inlineStr">
        <is>
          <t>Criterios: I [Q] | Shopify Stetson: producto 14790354272619 / variante 53350604931435 | Odoo: producto 14233 / plantilla 17810</t>
        </is>
      </c>
      <c r="AL1484" s="58" t="n">
        <v>5512.5</v>
      </c>
      <c r="AM1484" s="58" t="n">
        <v>14224.13793</v>
      </c>
      <c r="AN1484" s="155" t="inlineStr">
        <is>
          <t>Shopify Stetson México | Odoo Universal Unique Brands</t>
        </is>
      </c>
      <c r="AO1484" s="59" t="n">
        <v>0</v>
      </c>
      <c r="AP1484" s="59" t="n"/>
      <c r="AQ1484" s="59" t="n">
        <v>1</v>
      </c>
      <c r="AR1484" s="155" t="inlineStr">
        <is>
          <t>Odoo Universal Unique Brands › Bodega 25 › Bodega 25/General: 1</t>
        </is>
      </c>
    </row>
    <row r="1485">
      <c r="A1485" s="50" t="inlineStr">
        <is>
          <t>795177497790</t>
        </is>
      </c>
      <c r="B1485" s="51" t="inlineStr">
        <is>
          <t>109965</t>
        </is>
      </c>
      <c r="C1485" s="156" t="inlineStr">
        <is>
          <t>Multimarca</t>
        </is>
      </c>
      <c r="D1485" s="156" t="inlineStr">
        <is>
          <t>SFPALC-014007</t>
        </is>
      </c>
      <c r="E1485" s="156" t="inlineStr">
        <is>
          <t>SFPALC-01400767</t>
        </is>
      </c>
      <c r="F1485" s="156" t="inlineStr">
        <is>
          <t>6 7/8</t>
        </is>
      </c>
      <c r="G1485" s="156" t="inlineStr">
        <is>
          <t>6 7/8</t>
        </is>
      </c>
      <c r="H1485" s="156" t="inlineStr">
        <is>
          <t>Stetson</t>
        </is>
      </c>
      <c r="I1485" s="156" t="inlineStr">
        <is>
          <t>Texana Stetson Palacio Ii Negro</t>
        </is>
      </c>
      <c r="J1485" s="156" t="inlineStr">
        <is>
          <t>Accesorios</t>
        </is>
      </c>
      <c r="K1485" s="156" t="inlineStr">
        <is>
          <t>Sombreros</t>
        </is>
      </c>
      <c r="L1485" s="156" t="inlineStr">
        <is>
          <t>Unisex</t>
        </is>
      </c>
      <c r="M1485" s="156" t="inlineStr">
        <is>
          <t>Stetson</t>
        </is>
      </c>
      <c r="N1485" s="156" t="inlineStr">
        <is>
          <t>SS26</t>
        </is>
      </c>
      <c r="O1485" s="156" t="inlineStr">
        <is>
          <t>Seasonal</t>
        </is>
      </c>
      <c r="P1485" s="156" t="inlineStr">
        <is>
          <t>Negro</t>
        </is>
      </c>
      <c r="Q1485" s="156" t="n"/>
      <c r="R1485" s="156" t="n"/>
      <c r="S1485" s="156" t="inlineStr">
        <is>
          <t>100% Fieltro de lana</t>
        </is>
      </c>
      <c r="T1485" s="156" t="inlineStr">
        <is>
          <t>Texana Stetson Palacio II Negro.
 Composición: 100% Fieltro de lana.
 Color: Negro.</t>
        </is>
      </c>
      <c r="U1485" s="156" t="n"/>
      <c r="V1485" s="156" t="inlineStr">
        <is>
          <t>PZS</t>
        </is>
      </c>
      <c r="W1485" s="51" t="inlineStr">
        <is>
          <t>53102503</t>
        </is>
      </c>
      <c r="X1485" s="156" t="n"/>
      <c r="Y1485" s="54" t="n">
        <v>2756.25</v>
      </c>
      <c r="Z1485" s="54" t="n">
        <v>6724.137931</v>
      </c>
      <c r="AA1485" s="55">
        <f>IF(AND(A1485="", B1485="", E1485=""), "", IF(AB1485="", "Válido", IF((LEN(AB1485)-LEN(SUBSTITUTE(AB1485,"; ","")))/2+1&gt;(LEN(AB1485)-LEN(SUBSTITUTE(AB1485,"[Aviso]","")))/7, "Con Incidencias", "Válido")))</f>
        <v/>
      </c>
      <c r="AB1485" s="56">
        <f>IF(AND(A1485="", B1485="", E1485=""), "", TEXTJOIN("; ", TRUE, IF(OR(TRIM(A1485&amp;"")="", ISNUMBER(SEARCH("FALTA", A1485))), "UPC faltante/inválido", ""), IF(AND(A1485&lt;&gt;"", IFERROR(_xlfn.XMATCH(A1485,$A$2:$A$2509,0,1)&lt;&gt;_xlfn.XMATCH(A1485,$A$2:$A$2509,0,-1),FALSE)), "Código de barras duplicado", ""), IF(AND(E1485&lt;&gt;"", COUNTIF($E$2:$E$2509, E1485)&gt;1), "SKU duplicado", ""), IF(OR(J1485="", J1485=""), "[Aviso] División no capturada ()", IF(ISNA(MATCH(J1485, Criterios!$A$123:$A$126, 0)), "División no válida", "")), IF(OR(K1485="", K1485=""), "[Aviso] Categoría no capturada ()", IF(ISNA(MATCH(K1485, Criterios!$A$81:$A$120, 0)), "Categoría no válida", IF(AND(J1485&lt;&gt;"", J1485&lt;&gt;"", J1485&lt;&gt;VLOOKUP(K1485, Criterios!$A$81:$B$120, 2, FALSE)), "División no coincide con Categoría", ""))), IF(OR(L1485="", L1485=""), "[Aviso] Género no capturado ()", IF(ISNA(MATCH(L1485, Criterios!$B$123:$B$127, 0)), "Género no válido", "")), IF(OR(N1485="", N1485=""), "[Aviso] Temporada no capturada ()", IF(ISNA(MATCH(N1485, Criterios!$C$123:$C$128, 0)), "Temporada no válida", "")), IF(OR(O1485="", O1485=""), "[Aviso] Ciclo de vida no capturado ()", IF(ISNA(MATCH(O1485, Criterios!$D$123:$D$124, 0)), "Ciclo de vida no válido", ""))))</f>
        <v/>
      </c>
      <c r="AC1485" s="56" t="n"/>
      <c r="AD1485" s="51" t="n">
        <v>0</v>
      </c>
      <c r="AE1485" s="156" t="inlineStr">
        <is>
          <t>B25 STETSON.MX (2)</t>
        </is>
      </c>
      <c r="AF1485" s="51" t="n">
        <v>2</v>
      </c>
      <c r="AG1485" s="156" t="inlineStr">
        <is>
          <t>Catálogo existente</t>
        </is>
      </c>
      <c r="AH1485" s="156" t="inlineStr">
        <is>
          <t>Revisión 29/09/2026: Campos sin respaldo: U, X | 01/10/2026: complementado desde Shopify Stetson México (match por código de barras): WB Fit</t>
        </is>
      </c>
      <c r="AI1485" s="156" t="inlineStr">
        <is>
          <t>Sí</t>
        </is>
      </c>
      <c r="AJ1485" s="156" t="inlineStr">
        <is>
          <t>STETSON AMERICAS (-2)</t>
        </is>
      </c>
      <c r="AK1485" s="155" t="inlineStr">
        <is>
          <t>Criterios: I [Q] | Shopify Stetson: producto 15068371222891 / variante 53409785348459</t>
        </is>
      </c>
      <c r="AL1485" s="58" t="n">
        <v>2756.25</v>
      </c>
      <c r="AM1485" s="58" t="n">
        <v>6724.137931</v>
      </c>
      <c r="AN1485" s="155" t="inlineStr">
        <is>
          <t>Shopify Stetson México</t>
        </is>
      </c>
      <c r="AO1485" s="59" t="n">
        <v>0</v>
      </c>
      <c r="AP1485" s="59" t="n"/>
      <c r="AQ1485" s="59" t="n"/>
      <c r="AR1485" s="155" t="inlineStr">
        <is>
          <t>Shopify Stetson México › Stetson México: 2</t>
        </is>
      </c>
    </row>
    <row r="1486">
      <c r="A1486" s="50" t="inlineStr">
        <is>
          <t>795177497806</t>
        </is>
      </c>
      <c r="B1486" s="51" t="inlineStr">
        <is>
          <t>109966</t>
        </is>
      </c>
      <c r="C1486" s="156" t="inlineStr">
        <is>
          <t>Multimarca</t>
        </is>
      </c>
      <c r="D1486" s="156" t="inlineStr">
        <is>
          <t>SFPALC-014007</t>
        </is>
      </c>
      <c r="E1486" s="156" t="inlineStr">
        <is>
          <t>SFPALC-01400770</t>
        </is>
      </c>
      <c r="F1486" s="156" t="inlineStr">
        <is>
          <t>7</t>
        </is>
      </c>
      <c r="G1486" s="156" t="inlineStr">
        <is>
          <t>7</t>
        </is>
      </c>
      <c r="H1486" s="156" t="inlineStr">
        <is>
          <t>Stetson</t>
        </is>
      </c>
      <c r="I1486" s="156" t="inlineStr">
        <is>
          <t>Texana Stetson Palacio Ii Negro</t>
        </is>
      </c>
      <c r="J1486" s="156" t="inlineStr">
        <is>
          <t>Accesorios</t>
        </is>
      </c>
      <c r="K1486" s="156" t="inlineStr">
        <is>
          <t>Sombreros</t>
        </is>
      </c>
      <c r="L1486" s="156" t="inlineStr">
        <is>
          <t>Unisex</t>
        </is>
      </c>
      <c r="M1486" s="156" t="inlineStr">
        <is>
          <t>Stetson</t>
        </is>
      </c>
      <c r="N1486" s="156" t="inlineStr">
        <is>
          <t>SS26</t>
        </is>
      </c>
      <c r="O1486" s="156" t="inlineStr">
        <is>
          <t>Seasonal</t>
        </is>
      </c>
      <c r="P1486" s="156" t="inlineStr">
        <is>
          <t>Negro</t>
        </is>
      </c>
      <c r="Q1486" s="156" t="n"/>
      <c r="R1486" s="156" t="n"/>
      <c r="S1486" s="156" t="inlineStr">
        <is>
          <t>100% Fieltro de lana</t>
        </is>
      </c>
      <c r="T1486" s="156" t="inlineStr">
        <is>
          <t>Texana Stetson Palacio II Negro.
 Composición: 100% Fieltro de lana.
 Color: Negro.</t>
        </is>
      </c>
      <c r="U1486" s="156" t="n"/>
      <c r="V1486" s="156" t="inlineStr">
        <is>
          <t>PZS</t>
        </is>
      </c>
      <c r="W1486" s="51" t="inlineStr">
        <is>
          <t>53102503</t>
        </is>
      </c>
      <c r="X1486" s="156" t="n"/>
      <c r="Y1486" s="54" t="n">
        <v>2756.25</v>
      </c>
      <c r="Z1486" s="54" t="n">
        <v>6724.137931</v>
      </c>
      <c r="AA1486" s="55">
        <f>IF(AND(A1486="", B1486="", E1486=""), "", IF(AB1486="", "Válido", IF((LEN(AB1486)-LEN(SUBSTITUTE(AB1486,"; ","")))/2+1&gt;(LEN(AB1486)-LEN(SUBSTITUTE(AB1486,"[Aviso]","")))/7, "Con Incidencias", "Válido")))</f>
        <v/>
      </c>
      <c r="AB1486" s="56">
        <f>IF(AND(A1486="", B1486="", E1486=""), "", TEXTJOIN("; ", TRUE, IF(OR(TRIM(A1486&amp;"")="", ISNUMBER(SEARCH("FALTA", A1486))), "UPC faltante/inválido", ""), IF(AND(A1486&lt;&gt;"", IFERROR(_xlfn.XMATCH(A1486,$A$2:$A$2509,0,1)&lt;&gt;_xlfn.XMATCH(A1486,$A$2:$A$2509,0,-1),FALSE)), "Código de barras duplicado", ""), IF(AND(E1486&lt;&gt;"", COUNTIF($E$2:$E$2509, E1486)&gt;1), "SKU duplicado", ""), IF(OR(J1486="", J1486=""), "[Aviso] División no capturada ()", IF(ISNA(MATCH(J1486, Criterios!$A$123:$A$126, 0)), "División no válida", "")), IF(OR(K1486="", K1486=""), "[Aviso] Categoría no capturada ()", IF(ISNA(MATCH(K1486, Criterios!$A$81:$A$120, 0)), "Categoría no válida", IF(AND(J1486&lt;&gt;"", J1486&lt;&gt;"", J1486&lt;&gt;VLOOKUP(K1486, Criterios!$A$81:$B$120, 2, FALSE)), "División no coincide con Categoría", ""))), IF(OR(L1486="", L1486=""), "[Aviso] Género no capturado ()", IF(ISNA(MATCH(L1486, Criterios!$B$123:$B$127, 0)), "Género no válido", "")), IF(OR(N1486="", N1486=""), "[Aviso] Temporada no capturada ()", IF(ISNA(MATCH(N1486, Criterios!$C$123:$C$128, 0)), "Temporada no válida", "")), IF(OR(O1486="", O1486=""), "[Aviso] Ciclo de vida no capturado ()", IF(ISNA(MATCH(O1486, Criterios!$D$123:$D$124, 0)), "Ciclo de vida no válido", ""))))</f>
        <v/>
      </c>
      <c r="AC1486" s="56" t="n"/>
      <c r="AD1486" s="51" t="n">
        <v>-2</v>
      </c>
      <c r="AE1486" s="156" t="n"/>
      <c r="AF1486" s="51" t="n">
        <v>0</v>
      </c>
      <c r="AG1486" s="156" t="inlineStr">
        <is>
          <t>Catálogo existente</t>
        </is>
      </c>
      <c r="AH1486" s="156" t="inlineStr">
        <is>
          <t>Stock negativo en sistema: revisar en conteo | Revisión 29/09/2026: Campos sin respaldo: U, X | 01/10/2026: complementado desde Shopify Stetson México (match por código de barras): WB Fit</t>
        </is>
      </c>
      <c r="AI1486" s="156" t="inlineStr">
        <is>
          <t>Sí</t>
        </is>
      </c>
      <c r="AJ1486" s="156" t="inlineStr">
        <is>
          <t>STETSON AMERICAS (-2)</t>
        </is>
      </c>
      <c r="AK1486" s="155" t="inlineStr">
        <is>
          <t>Criterios: I [Q] | Shopify Stetson: producto 15068371222891 / variante 53409785381227 | Odoo: producto 14317 / plantilla 17894</t>
        </is>
      </c>
      <c r="AL1486" s="58" t="n">
        <v>2756.25</v>
      </c>
      <c r="AM1486" s="58" t="n">
        <v>6724.137931</v>
      </c>
      <c r="AN1486" s="155" t="inlineStr">
        <is>
          <t>Shopify Stetson México | Odoo Universal Unique Brands</t>
        </is>
      </c>
      <c r="AO1486" s="59" t="n">
        <v>2</v>
      </c>
      <c r="AP1486" s="59" t="n"/>
      <c r="AQ1486" s="59" t="n">
        <v>4</v>
      </c>
      <c r="AR1486" s="155" t="inlineStr">
        <is>
          <t>Shopify Stetson México › Stetson Americas: 2 | Odoo Universal Unique Brands › Bodega 25 › Bodega 25/General: 4</t>
        </is>
      </c>
    </row>
    <row r="1487">
      <c r="A1487" s="50" t="inlineStr">
        <is>
          <t>795177497813</t>
        </is>
      </c>
      <c r="B1487" s="51" t="inlineStr">
        <is>
          <t>109967</t>
        </is>
      </c>
      <c r="C1487" s="156" t="inlineStr">
        <is>
          <t>Multimarca</t>
        </is>
      </c>
      <c r="D1487" s="156" t="inlineStr">
        <is>
          <t>SFPALC-014007</t>
        </is>
      </c>
      <c r="E1487" s="156" t="inlineStr">
        <is>
          <t>SFPALC-01400771</t>
        </is>
      </c>
      <c r="F1487" s="156" t="inlineStr">
        <is>
          <t>7 1/8</t>
        </is>
      </c>
      <c r="G1487" s="156" t="inlineStr">
        <is>
          <t>7 1/8</t>
        </is>
      </c>
      <c r="H1487" s="156" t="inlineStr">
        <is>
          <t>Stetson</t>
        </is>
      </c>
      <c r="I1487" s="156" t="inlineStr">
        <is>
          <t>Texana Stetson Palacio Ii Negro</t>
        </is>
      </c>
      <c r="J1487" s="156" t="inlineStr">
        <is>
          <t>Accesorios</t>
        </is>
      </c>
      <c r="K1487" s="156" t="inlineStr">
        <is>
          <t>Sombreros</t>
        </is>
      </c>
      <c r="L1487" s="156" t="inlineStr">
        <is>
          <t>Unisex</t>
        </is>
      </c>
      <c r="M1487" s="156" t="inlineStr">
        <is>
          <t>Stetson</t>
        </is>
      </c>
      <c r="N1487" s="156" t="inlineStr">
        <is>
          <t>SS26</t>
        </is>
      </c>
      <c r="O1487" s="156" t="inlineStr">
        <is>
          <t>Seasonal</t>
        </is>
      </c>
      <c r="P1487" s="156" t="inlineStr">
        <is>
          <t>Negro</t>
        </is>
      </c>
      <c r="Q1487" s="156" t="n"/>
      <c r="R1487" s="156" t="n"/>
      <c r="S1487" s="156" t="inlineStr">
        <is>
          <t>100% Fieltro de lana</t>
        </is>
      </c>
      <c r="T1487" s="156" t="inlineStr">
        <is>
          <t>Texana Stetson Palacio II Negro.
 Composición: 100% Fieltro de lana.
 Color: Negro.</t>
        </is>
      </c>
      <c r="U1487" s="156" t="n"/>
      <c r="V1487" s="156" t="inlineStr">
        <is>
          <t>PZS</t>
        </is>
      </c>
      <c r="W1487" s="51" t="inlineStr">
        <is>
          <t>53102503</t>
        </is>
      </c>
      <c r="X1487" s="156" t="n"/>
      <c r="Y1487" s="54" t="n">
        <v>2756.25</v>
      </c>
      <c r="Z1487" s="54" t="n">
        <v>6724.137931</v>
      </c>
      <c r="AA1487" s="55">
        <f>IF(AND(A1487="", B1487="", E1487=""), "", IF(AB1487="", "Válido", IF((LEN(AB1487)-LEN(SUBSTITUTE(AB1487,"; ","")))/2+1&gt;(LEN(AB1487)-LEN(SUBSTITUTE(AB1487,"[Aviso]","")))/7, "Con Incidencias", "Válido")))</f>
        <v/>
      </c>
      <c r="AB1487" s="56">
        <f>IF(AND(A1487="", B1487="", E1487=""), "", TEXTJOIN("; ", TRUE, IF(OR(TRIM(A1487&amp;"")="", ISNUMBER(SEARCH("FALTA", A1487))), "UPC faltante/inválido", ""), IF(AND(A1487&lt;&gt;"", IFERROR(_xlfn.XMATCH(A1487,$A$2:$A$2509,0,1)&lt;&gt;_xlfn.XMATCH(A1487,$A$2:$A$2509,0,-1),FALSE)), "Código de barras duplicado", ""), IF(AND(E1487&lt;&gt;"", COUNTIF($E$2:$E$2509, E1487)&gt;1), "SKU duplicado", ""), IF(OR(J1487="", J1487=""), "[Aviso] División no capturada ()", IF(ISNA(MATCH(J1487, Criterios!$A$123:$A$126, 0)), "División no válida", "")), IF(OR(K1487="", K1487=""), "[Aviso] Categoría no capturada ()", IF(ISNA(MATCH(K1487, Criterios!$A$81:$A$120, 0)), "Categoría no válida", IF(AND(J1487&lt;&gt;"", J1487&lt;&gt;"", J1487&lt;&gt;VLOOKUP(K1487, Criterios!$A$81:$B$120, 2, FALSE)), "División no coincide con Categoría", ""))), IF(OR(L1487="", L1487=""), "[Aviso] Género no capturado ()", IF(ISNA(MATCH(L1487, Criterios!$B$123:$B$127, 0)), "Género no válido", "")), IF(OR(N1487="", N1487=""), "[Aviso] Temporada no capturada ()", IF(ISNA(MATCH(N1487, Criterios!$C$123:$C$128, 0)), "Temporada no válida", "")), IF(OR(O1487="", O1487=""), "[Aviso] Ciclo de vida no capturado ()", IF(ISNA(MATCH(O1487, Criterios!$D$123:$D$124, 0)), "Ciclo de vida no válido", ""))))</f>
        <v/>
      </c>
      <c r="AC1487" s="56" t="n"/>
      <c r="AD1487" s="51" t="n">
        <v>0</v>
      </c>
      <c r="AE1487" s="156" t="inlineStr">
        <is>
          <t>STETSON AMERICAS (2)</t>
        </is>
      </c>
      <c r="AF1487" s="51" t="n">
        <v>2</v>
      </c>
      <c r="AG1487" s="156" t="inlineStr">
        <is>
          <t>Catálogo existente</t>
        </is>
      </c>
      <c r="AH1487" s="156" t="inlineStr">
        <is>
          <t>Revisión 29/09/2026: Campos sin respaldo: U, X | 01/10/2026: complementado desde Shopify Stetson México (match por SKU): WB Fit</t>
        </is>
      </c>
      <c r="AI1487" s="156" t="inlineStr">
        <is>
          <t>Sí</t>
        </is>
      </c>
      <c r="AJ1487" s="156" t="inlineStr">
        <is>
          <t>PUNTO DE VENTA (-2)</t>
        </is>
      </c>
      <c r="AK1487" s="155" t="inlineStr">
        <is>
          <t>Criterios: I [Q] | Shopify Stetson: producto 15068371222891 / variante 53849424658795 | Odoo: producto 14318 / plantilla 17895</t>
        </is>
      </c>
      <c r="AL1487" s="58" t="n">
        <v>2756.25</v>
      </c>
      <c r="AM1487" s="58" t="n">
        <v>6724.137931</v>
      </c>
      <c r="AN1487" s="155" t="inlineStr">
        <is>
          <t>Shopify Stetson México | Odoo Universal Unique Brands</t>
        </is>
      </c>
      <c r="AO1487" s="59" t="n">
        <v>1</v>
      </c>
      <c r="AP1487" s="59" t="n"/>
      <c r="AQ1487" s="59" t="n">
        <v>8</v>
      </c>
      <c r="AR1487" s="155" t="inlineStr">
        <is>
          <t>Shopify Stetson México › Stetson Americas: 1 | Odoo Universal Unique Brands › Bodega 25 › Bodega 25/General: 8</t>
        </is>
      </c>
    </row>
    <row r="1488">
      <c r="A1488" s="50" t="inlineStr">
        <is>
          <t>795177497820</t>
        </is>
      </c>
      <c r="B1488" s="51" t="inlineStr">
        <is>
          <t>109968</t>
        </is>
      </c>
      <c r="C1488" s="156" t="inlineStr">
        <is>
          <t>Multimarca</t>
        </is>
      </c>
      <c r="D1488" s="156" t="inlineStr">
        <is>
          <t>SFPALC-014007</t>
        </is>
      </c>
      <c r="E1488" s="156" t="inlineStr">
        <is>
          <t>SFPALC-01400772</t>
        </is>
      </c>
      <c r="F1488" s="156" t="inlineStr">
        <is>
          <t>7 1/4</t>
        </is>
      </c>
      <c r="G1488" s="156" t="inlineStr">
        <is>
          <t>7 1/4</t>
        </is>
      </c>
      <c r="H1488" s="156" t="inlineStr">
        <is>
          <t>Stetson</t>
        </is>
      </c>
      <c r="I1488" s="156" t="inlineStr">
        <is>
          <t>Texana Stetson Palacio Ii Negro</t>
        </is>
      </c>
      <c r="J1488" s="156" t="inlineStr">
        <is>
          <t>Accesorios</t>
        </is>
      </c>
      <c r="K1488" s="156" t="inlineStr">
        <is>
          <t>Sombreros</t>
        </is>
      </c>
      <c r="L1488" s="156" t="inlineStr">
        <is>
          <t>Unisex</t>
        </is>
      </c>
      <c r="M1488" s="156" t="inlineStr">
        <is>
          <t>Stetson</t>
        </is>
      </c>
      <c r="N1488" s="156" t="inlineStr">
        <is>
          <t>SS26</t>
        </is>
      </c>
      <c r="O1488" s="156" t="inlineStr">
        <is>
          <t>Seasonal</t>
        </is>
      </c>
      <c r="P1488" s="156" t="inlineStr">
        <is>
          <t>Negro</t>
        </is>
      </c>
      <c r="Q1488" s="156" t="n"/>
      <c r="R1488" s="156" t="n"/>
      <c r="S1488" s="156" t="inlineStr">
        <is>
          <t>100% Fieltro de lana</t>
        </is>
      </c>
      <c r="T1488" s="156" t="inlineStr">
        <is>
          <t>Texana Stetson Palacio II Negro.
 Composición: 100% Fieltro de lana.
 Color: Negro.</t>
        </is>
      </c>
      <c r="U1488" s="156" t="n"/>
      <c r="V1488" s="156" t="inlineStr">
        <is>
          <t>PZS</t>
        </is>
      </c>
      <c r="W1488" s="51" t="inlineStr">
        <is>
          <t>53102503</t>
        </is>
      </c>
      <c r="X1488" s="156" t="n"/>
      <c r="Y1488" s="54" t="n">
        <v>2756.25</v>
      </c>
      <c r="Z1488" s="54" t="n">
        <v>6724.137931</v>
      </c>
      <c r="AA1488" s="55">
        <f>IF(AND(A1488="", B1488="", E1488=""), "", IF(AB1488="", "Válido", IF((LEN(AB1488)-LEN(SUBSTITUTE(AB1488,"; ","")))/2+1&gt;(LEN(AB1488)-LEN(SUBSTITUTE(AB1488,"[Aviso]","")))/7, "Con Incidencias", "Válido")))</f>
        <v/>
      </c>
      <c r="AB1488" s="56">
        <f>IF(AND(A1488="", B1488="", E1488=""), "", TEXTJOIN("; ", TRUE, IF(OR(TRIM(A1488&amp;"")="", ISNUMBER(SEARCH("FALTA", A1488))), "UPC faltante/inválido", ""), IF(AND(A1488&lt;&gt;"", IFERROR(_xlfn.XMATCH(A1488,$A$2:$A$2509,0,1)&lt;&gt;_xlfn.XMATCH(A1488,$A$2:$A$2509,0,-1),FALSE)), "Código de barras duplicado", ""), IF(AND(E1488&lt;&gt;"", COUNTIF($E$2:$E$2509, E1488)&gt;1), "SKU duplicado", ""), IF(OR(J1488="", J1488=""), "[Aviso] División no capturada ()", IF(ISNA(MATCH(J1488, Criterios!$A$123:$A$126, 0)), "División no válida", "")), IF(OR(K1488="", K1488=""), "[Aviso] Categoría no capturada ()", IF(ISNA(MATCH(K1488, Criterios!$A$81:$A$120, 0)), "Categoría no válida", IF(AND(J1488&lt;&gt;"", J1488&lt;&gt;"", J1488&lt;&gt;VLOOKUP(K1488, Criterios!$A$81:$B$120, 2, FALSE)), "División no coincide con Categoría", ""))), IF(OR(L1488="", L1488=""), "[Aviso] Género no capturado ()", IF(ISNA(MATCH(L1488, Criterios!$B$123:$B$127, 0)), "Género no válido", "")), IF(OR(N1488="", N1488=""), "[Aviso] Temporada no capturada ()", IF(ISNA(MATCH(N1488, Criterios!$C$123:$C$128, 0)), "Temporada no válida", "")), IF(OR(O1488="", O1488=""), "[Aviso] Ciclo de vida no capturado ()", IF(ISNA(MATCH(O1488, Criterios!$D$123:$D$124, 0)), "Ciclo de vida no válido", ""))))</f>
        <v/>
      </c>
      <c r="AC1488" s="56" t="n"/>
      <c r="AD1488" s="51" t="n">
        <v>0</v>
      </c>
      <c r="AE1488" s="156" t="inlineStr">
        <is>
          <t>STETSON AMERICAS (1)</t>
        </is>
      </c>
      <c r="AF1488" s="51" t="n">
        <v>1</v>
      </c>
      <c r="AG1488" s="156" t="inlineStr">
        <is>
          <t>Catálogo existente</t>
        </is>
      </c>
      <c r="AH1488" s="156" t="inlineStr">
        <is>
          <t>Revisión 29/09/2026: Campos sin respaldo: U, X | 01/10/2026: complementado desde Shopify Stetson México (match por SKU): WB Fit</t>
        </is>
      </c>
      <c r="AI1488" s="156" t="inlineStr">
        <is>
          <t>Sí</t>
        </is>
      </c>
      <c r="AJ1488" s="156" t="inlineStr">
        <is>
          <t>PUNTO DE VENTA (-1)</t>
        </is>
      </c>
      <c r="AK1488" s="155" t="inlineStr">
        <is>
          <t>Criterios: I [Q] | Shopify Stetson: producto 15068371222891 / variante 53849424691563 | Odoo: producto 14319 / plantilla 17896</t>
        </is>
      </c>
      <c r="AL1488" s="58" t="n">
        <v>2756.25</v>
      </c>
      <c r="AM1488" s="58" t="n">
        <v>6724.137931</v>
      </c>
      <c r="AN1488" s="155" t="inlineStr">
        <is>
          <t>Shopify Stetson México | Odoo Universal Unique Brands</t>
        </is>
      </c>
      <c r="AO1488" s="59" t="n">
        <v>1</v>
      </c>
      <c r="AP1488" s="59" t="n"/>
      <c r="AQ1488" s="59" t="n">
        <v>8</v>
      </c>
      <c r="AR1488" s="155" t="inlineStr">
        <is>
          <t>Shopify Stetson México › Stetson Americas: 1 | Odoo Universal Unique Brands › Bodega 25 › Bodega 25/General: 8</t>
        </is>
      </c>
    </row>
    <row r="1489">
      <c r="A1489" s="50" t="inlineStr">
        <is>
          <t>795177497837</t>
        </is>
      </c>
      <c r="B1489" s="51" t="inlineStr">
        <is>
          <t>109969</t>
        </is>
      </c>
      <c r="C1489" s="156" t="inlineStr">
        <is>
          <t>Multimarca</t>
        </is>
      </c>
      <c r="D1489" s="156" t="inlineStr">
        <is>
          <t>SFPALC-014007</t>
        </is>
      </c>
      <c r="E1489" s="156" t="inlineStr">
        <is>
          <t>SFPALC-01400773</t>
        </is>
      </c>
      <c r="F1489" s="156" t="inlineStr">
        <is>
          <t>7 3/8</t>
        </is>
      </c>
      <c r="G1489" s="156" t="inlineStr">
        <is>
          <t>7 3/8</t>
        </is>
      </c>
      <c r="H1489" s="156" t="inlineStr">
        <is>
          <t>Stetson</t>
        </is>
      </c>
      <c r="I1489" s="156" t="inlineStr">
        <is>
          <t>Texana Stetson Palacio Ii Negro</t>
        </is>
      </c>
      <c r="J1489" s="156" t="inlineStr">
        <is>
          <t>Accesorios</t>
        </is>
      </c>
      <c r="K1489" s="156" t="inlineStr">
        <is>
          <t>Sombreros</t>
        </is>
      </c>
      <c r="L1489" s="156" t="inlineStr">
        <is>
          <t>Unisex</t>
        </is>
      </c>
      <c r="M1489" s="156" t="inlineStr">
        <is>
          <t>Stetson</t>
        </is>
      </c>
      <c r="N1489" s="156" t="inlineStr">
        <is>
          <t>SS26</t>
        </is>
      </c>
      <c r="O1489" s="156" t="inlineStr">
        <is>
          <t>Seasonal</t>
        </is>
      </c>
      <c r="P1489" s="156" t="inlineStr">
        <is>
          <t>Negro</t>
        </is>
      </c>
      <c r="Q1489" s="156" t="n"/>
      <c r="R1489" s="156" t="n"/>
      <c r="S1489" s="156" t="inlineStr">
        <is>
          <t>100% Fieltro de lana</t>
        </is>
      </c>
      <c r="T1489" s="156" t="inlineStr">
        <is>
          <t>Texana Stetson Palacio II Negro.
 Composición: 100% Fieltro de lana.
 Color: Negro.</t>
        </is>
      </c>
      <c r="U1489" s="156" t="n"/>
      <c r="V1489" s="156" t="inlineStr">
        <is>
          <t>PZS</t>
        </is>
      </c>
      <c r="W1489" s="51" t="inlineStr">
        <is>
          <t>53102503</t>
        </is>
      </c>
      <c r="X1489" s="156" t="n"/>
      <c r="Y1489" s="54" t="n">
        <v>2756.25</v>
      </c>
      <c r="Z1489" s="54" t="n">
        <v>6724.137931</v>
      </c>
      <c r="AA1489" s="55">
        <f>IF(AND(A1489="", B1489="", E1489=""), "", IF(AB1489="", "Válido", IF((LEN(AB1489)-LEN(SUBSTITUTE(AB1489,"; ","")))/2+1&gt;(LEN(AB1489)-LEN(SUBSTITUTE(AB1489,"[Aviso]","")))/7, "Con Incidencias", "Válido")))</f>
        <v/>
      </c>
      <c r="AB1489" s="56">
        <f>IF(AND(A1489="", B1489="", E1489=""), "", TEXTJOIN("; ", TRUE, IF(OR(TRIM(A1489&amp;"")="", ISNUMBER(SEARCH("FALTA", A1489))), "UPC faltante/inválido", ""), IF(AND(A1489&lt;&gt;"", IFERROR(_xlfn.XMATCH(A1489,$A$2:$A$2509,0,1)&lt;&gt;_xlfn.XMATCH(A1489,$A$2:$A$2509,0,-1),FALSE)), "Código de barras duplicado", ""), IF(AND(E1489&lt;&gt;"", COUNTIF($E$2:$E$2509, E1489)&gt;1), "SKU duplicado", ""), IF(OR(J1489="", J1489=""), "[Aviso] División no capturada ()", IF(ISNA(MATCH(J1489, Criterios!$A$123:$A$126, 0)), "División no válida", "")), IF(OR(K1489="", K1489=""), "[Aviso] Categoría no capturada ()", IF(ISNA(MATCH(K1489, Criterios!$A$81:$A$120, 0)), "Categoría no válida", IF(AND(J1489&lt;&gt;"", J1489&lt;&gt;"", J1489&lt;&gt;VLOOKUP(K1489, Criterios!$A$81:$B$120, 2, FALSE)), "División no coincide con Categoría", ""))), IF(OR(L1489="", L1489=""), "[Aviso] Género no capturado ()", IF(ISNA(MATCH(L1489, Criterios!$B$123:$B$127, 0)), "Género no válido", "")), IF(OR(N1489="", N1489=""), "[Aviso] Temporada no capturada ()", IF(ISNA(MATCH(N1489, Criterios!$C$123:$C$128, 0)), "Temporada no válida", "")), IF(OR(O1489="", O1489=""), "[Aviso] Ciclo de vida no capturado ()", IF(ISNA(MATCH(O1489, Criterios!$D$123:$D$124, 0)), "Ciclo de vida no válido", ""))))</f>
        <v/>
      </c>
      <c r="AC1489" s="56" t="n"/>
      <c r="AD1489" s="51" t="n">
        <v>0</v>
      </c>
      <c r="AE1489" s="156" t="inlineStr">
        <is>
          <t>STETSON AMERICAS (1)</t>
        </is>
      </c>
      <c r="AF1489" s="51" t="n">
        <v>1</v>
      </c>
      <c r="AG1489" s="156" t="inlineStr">
        <is>
          <t>Catálogo existente</t>
        </is>
      </c>
      <c r="AH1489" s="156" t="inlineStr">
        <is>
          <t>Revisión 29/09/2026: Campos sin respaldo: U, X | 01/10/2026: complementado desde Shopify Stetson México (match por SKU): WB Fit</t>
        </is>
      </c>
      <c r="AI1489" s="156" t="inlineStr">
        <is>
          <t>Sí</t>
        </is>
      </c>
      <c r="AJ1489" s="156" t="inlineStr">
        <is>
          <t>PUNTO DE VENTA (-1)</t>
        </is>
      </c>
      <c r="AK1489" s="155" t="inlineStr">
        <is>
          <t>Criterios: I [Q] | Shopify Stetson: producto 15068371222891 / variante 53849424724331 | Odoo: producto 14315 / plantilla 17892</t>
        </is>
      </c>
      <c r="AL1489" s="58" t="n">
        <v>2756.25</v>
      </c>
      <c r="AM1489" s="58" t="n">
        <v>6724.137931</v>
      </c>
      <c r="AN1489" s="155" t="inlineStr">
        <is>
          <t>Shopify Stetson México | Odoo Universal Unique Brands</t>
        </is>
      </c>
      <c r="AO1489" s="59" t="n">
        <v>1</v>
      </c>
      <c r="AP1489" s="59" t="n"/>
      <c r="AQ1489" s="59" t="n">
        <v>20</v>
      </c>
      <c r="AR1489" s="155" t="inlineStr">
        <is>
          <t>Shopify Stetson México › Stetson Americas: 1 | Odoo Universal Unique Brands › Bodega 25 › Bodega 25/General: 20</t>
        </is>
      </c>
    </row>
    <row r="1490">
      <c r="A1490" s="50" t="inlineStr">
        <is>
          <t>795177497844</t>
        </is>
      </c>
      <c r="B1490" s="51" t="inlineStr">
        <is>
          <t>109970</t>
        </is>
      </c>
      <c r="C1490" s="156" t="inlineStr">
        <is>
          <t>Multimarca</t>
        </is>
      </c>
      <c r="D1490" s="156" t="inlineStr">
        <is>
          <t>SFPALC-014007</t>
        </is>
      </c>
      <c r="E1490" s="156" t="inlineStr">
        <is>
          <t>SFPALC-01400774</t>
        </is>
      </c>
      <c r="F1490" s="156" t="inlineStr">
        <is>
          <t>7 1/2</t>
        </is>
      </c>
      <c r="G1490" s="156" t="inlineStr">
        <is>
          <t>7 1/2</t>
        </is>
      </c>
      <c r="H1490" s="156" t="inlineStr">
        <is>
          <t>Stetson</t>
        </is>
      </c>
      <c r="I1490" s="156" t="inlineStr">
        <is>
          <t>Texana Stetson Palacio Ii Negro</t>
        </is>
      </c>
      <c r="J1490" s="156" t="inlineStr">
        <is>
          <t>Accesorios</t>
        </is>
      </c>
      <c r="K1490" s="156" t="inlineStr">
        <is>
          <t>Sombreros</t>
        </is>
      </c>
      <c r="L1490" s="156" t="inlineStr">
        <is>
          <t>Unisex</t>
        </is>
      </c>
      <c r="M1490" s="156" t="inlineStr">
        <is>
          <t>Stetson</t>
        </is>
      </c>
      <c r="N1490" s="156" t="inlineStr">
        <is>
          <t>SS26</t>
        </is>
      </c>
      <c r="O1490" s="156" t="inlineStr">
        <is>
          <t>Seasonal</t>
        </is>
      </c>
      <c r="P1490" s="156" t="inlineStr">
        <is>
          <t>Negro</t>
        </is>
      </c>
      <c r="Q1490" s="156" t="n"/>
      <c r="R1490" s="156" t="n"/>
      <c r="S1490" s="156" t="inlineStr">
        <is>
          <t>100% Fieltro de lana</t>
        </is>
      </c>
      <c r="T1490" s="156" t="inlineStr">
        <is>
          <t>Texana Stetson Palacio II Negro.
 Composición: 100% Fieltro de lana.
 Color: Negro.</t>
        </is>
      </c>
      <c r="U1490" s="156" t="n"/>
      <c r="V1490" s="156" t="inlineStr">
        <is>
          <t>PZS</t>
        </is>
      </c>
      <c r="W1490" s="51" t="inlineStr">
        <is>
          <t>53102503</t>
        </is>
      </c>
      <c r="X1490" s="156" t="n"/>
      <c r="Y1490" s="54" t="n">
        <v>2756.25</v>
      </c>
      <c r="Z1490" s="54" t="n">
        <v>6724.137931</v>
      </c>
      <c r="AA1490" s="55">
        <f>IF(AND(A1490="", B1490="", E1490=""), "", IF(AB1490="", "Válido", IF((LEN(AB1490)-LEN(SUBSTITUTE(AB1490,"; ","")))/2+1&gt;(LEN(AB1490)-LEN(SUBSTITUTE(AB1490,"[Aviso]","")))/7, "Con Incidencias", "Válido")))</f>
        <v/>
      </c>
      <c r="AB1490" s="56">
        <f>IF(AND(A1490="", B1490="", E1490=""), "", TEXTJOIN("; ", TRUE, IF(OR(TRIM(A1490&amp;"")="", ISNUMBER(SEARCH("FALTA", A1490))), "UPC faltante/inválido", ""), IF(AND(A1490&lt;&gt;"", IFERROR(_xlfn.XMATCH(A1490,$A$2:$A$2509,0,1)&lt;&gt;_xlfn.XMATCH(A1490,$A$2:$A$2509,0,-1),FALSE)), "Código de barras duplicado", ""), IF(AND(E1490&lt;&gt;"", COUNTIF($E$2:$E$2509, E1490)&gt;1), "SKU duplicado", ""), IF(OR(J1490="", J1490=""), "[Aviso] División no capturada ()", IF(ISNA(MATCH(J1490, Criterios!$A$123:$A$126, 0)), "División no válida", "")), IF(OR(K1490="", K1490=""), "[Aviso] Categoría no capturada ()", IF(ISNA(MATCH(K1490, Criterios!$A$81:$A$120, 0)), "Categoría no válida", IF(AND(J1490&lt;&gt;"", J1490&lt;&gt;"", J1490&lt;&gt;VLOOKUP(K1490, Criterios!$A$81:$B$120, 2, FALSE)), "División no coincide con Categoría", ""))), IF(OR(L1490="", L1490=""), "[Aviso] Género no capturado ()", IF(ISNA(MATCH(L1490, Criterios!$B$123:$B$127, 0)), "Género no válido", "")), IF(OR(N1490="", N1490=""), "[Aviso] Temporada no capturada ()", IF(ISNA(MATCH(N1490, Criterios!$C$123:$C$128, 0)), "Temporada no válida", "")), IF(OR(O1490="", O1490=""), "[Aviso] Ciclo de vida no capturado ()", IF(ISNA(MATCH(O1490, Criterios!$D$123:$D$124, 0)), "Ciclo de vida no válido", ""))))</f>
        <v/>
      </c>
      <c r="AC1490" s="56" t="n"/>
      <c r="AD1490" s="51" t="n">
        <v>-1</v>
      </c>
      <c r="AE1490" s="156" t="n"/>
      <c r="AF1490" s="51" t="n">
        <v>0</v>
      </c>
      <c r="AG1490" s="156" t="inlineStr">
        <is>
          <t>Catálogo existente</t>
        </is>
      </c>
      <c r="AH1490" s="156" t="inlineStr">
        <is>
          <t>Stock negativo en sistema: revisar en conteo | Revisión 29/09/2026: Campos sin respaldo: U, X | 01/10/2026: complementado desde Shopify Stetson México (match por SKU): WB Fit</t>
        </is>
      </c>
      <c r="AI1490" s="156" t="inlineStr">
        <is>
          <t>Sí</t>
        </is>
      </c>
      <c r="AJ1490" s="156" t="inlineStr">
        <is>
          <t>PUNTO DE VENTA (-1)</t>
        </is>
      </c>
      <c r="AK1490" s="155" t="inlineStr">
        <is>
          <t>Criterios: I [Q] | Shopify Stetson: producto 15068371222891 / variante 53849424757099 | Odoo: producto 14316 / plantilla 17893</t>
        </is>
      </c>
      <c r="AL1490" s="58" t="n">
        <v>2756.25</v>
      </c>
      <c r="AM1490" s="58" t="n">
        <v>6724.137931</v>
      </c>
      <c r="AN1490" s="155" t="inlineStr">
        <is>
          <t>Shopify Stetson México | Odoo Universal Unique Brands</t>
        </is>
      </c>
      <c r="AO1490" s="59" t="n">
        <v>1</v>
      </c>
      <c r="AP1490" s="59" t="n"/>
      <c r="AQ1490" s="59" t="n">
        <v>2</v>
      </c>
      <c r="AR1490" s="155" t="inlineStr">
        <is>
          <t>Shopify Stetson México › Stetson Americas: 1 | Odoo Universal Unique Brands › Bodega 25 › Bodega 25/General: 2</t>
        </is>
      </c>
    </row>
    <row r="1491">
      <c r="A1491" s="50" t="inlineStr">
        <is>
          <t>795177497851</t>
        </is>
      </c>
      <c r="B1491" s="51" t="inlineStr">
        <is>
          <t>109971</t>
        </is>
      </c>
      <c r="C1491" s="156" t="inlineStr">
        <is>
          <t>Multimarca</t>
        </is>
      </c>
      <c r="D1491" s="156" t="inlineStr">
        <is>
          <t>SFPALC-014007</t>
        </is>
      </c>
      <c r="E1491" s="156" t="inlineStr">
        <is>
          <t>SFPALC-01400775</t>
        </is>
      </c>
      <c r="F1491" s="156" t="inlineStr">
        <is>
          <t>7 5/8</t>
        </is>
      </c>
      <c r="G1491" s="156" t="inlineStr">
        <is>
          <t>7 5/8</t>
        </is>
      </c>
      <c r="H1491" s="156" t="inlineStr">
        <is>
          <t>Stetson</t>
        </is>
      </c>
      <c r="I1491" s="156" t="inlineStr">
        <is>
          <t>Texana Stetson Palacio Ii Negro</t>
        </is>
      </c>
      <c r="J1491" s="156" t="inlineStr">
        <is>
          <t>Accesorios</t>
        </is>
      </c>
      <c r="K1491" s="156" t="inlineStr">
        <is>
          <t>Sombreros</t>
        </is>
      </c>
      <c r="L1491" s="156" t="inlineStr">
        <is>
          <t>Unisex</t>
        </is>
      </c>
      <c r="M1491" s="156" t="inlineStr">
        <is>
          <t>Stetson</t>
        </is>
      </c>
      <c r="N1491" s="156" t="inlineStr">
        <is>
          <t>SS26</t>
        </is>
      </c>
      <c r="O1491" s="156" t="inlineStr">
        <is>
          <t>Seasonal</t>
        </is>
      </c>
      <c r="P1491" s="156" t="inlineStr">
        <is>
          <t>Negro</t>
        </is>
      </c>
      <c r="Q1491" s="156" t="n"/>
      <c r="R1491" s="156" t="n"/>
      <c r="S1491" s="156" t="inlineStr">
        <is>
          <t>100% Fieltro de lana</t>
        </is>
      </c>
      <c r="T1491" s="156" t="inlineStr">
        <is>
          <t>Texana Stetson Palacio II Negro.
 Composición: 100% Fieltro de lana.
 Color: Negro.</t>
        </is>
      </c>
      <c r="U1491" s="156" t="n"/>
      <c r="V1491" s="156" t="inlineStr">
        <is>
          <t>PZS</t>
        </is>
      </c>
      <c r="W1491" s="51" t="inlineStr">
        <is>
          <t>53102503</t>
        </is>
      </c>
      <c r="X1491" s="156" t="n"/>
      <c r="Y1491" s="54" t="n">
        <v>2756.25</v>
      </c>
      <c r="Z1491" s="54" t="n">
        <v>6724.137931</v>
      </c>
      <c r="AA1491" s="55">
        <f>IF(AND(A1491="", B1491="", E1491=""), "", IF(AB1491="", "Válido", IF((LEN(AB1491)-LEN(SUBSTITUTE(AB1491,"; ","")))/2+1&gt;(LEN(AB1491)-LEN(SUBSTITUTE(AB1491,"[Aviso]","")))/7, "Con Incidencias", "Válido")))</f>
        <v/>
      </c>
      <c r="AB1491" s="56">
        <f>IF(AND(A1491="", B1491="", E1491=""), "", TEXTJOIN("; ", TRUE, IF(OR(TRIM(A1491&amp;"")="", ISNUMBER(SEARCH("FALTA", A1491))), "UPC faltante/inválido", ""), IF(AND(A1491&lt;&gt;"", IFERROR(_xlfn.XMATCH(A1491,$A$2:$A$2509,0,1)&lt;&gt;_xlfn.XMATCH(A1491,$A$2:$A$2509,0,-1),FALSE)), "Código de barras duplicado", ""), IF(AND(E1491&lt;&gt;"", COUNTIF($E$2:$E$2509, E1491)&gt;1), "SKU duplicado", ""), IF(OR(J1491="", J1491=""), "[Aviso] División no capturada ()", IF(ISNA(MATCH(J1491, Criterios!$A$123:$A$126, 0)), "División no válida", "")), IF(OR(K1491="", K1491=""), "[Aviso] Categoría no capturada ()", IF(ISNA(MATCH(K1491, Criterios!$A$81:$A$120, 0)), "Categoría no válida", IF(AND(J1491&lt;&gt;"", J1491&lt;&gt;"", J1491&lt;&gt;VLOOKUP(K1491, Criterios!$A$81:$B$120, 2, FALSE)), "División no coincide con Categoría", ""))), IF(OR(L1491="", L1491=""), "[Aviso] Género no capturado ()", IF(ISNA(MATCH(L1491, Criterios!$B$123:$B$127, 0)), "Género no válido", "")), IF(OR(N1491="", N1491=""), "[Aviso] Temporada no capturada ()", IF(ISNA(MATCH(N1491, Criterios!$C$123:$C$128, 0)), "Temporada no válida", "")), IF(OR(O1491="", O1491=""), "[Aviso] Ciclo de vida no capturado ()", IF(ISNA(MATCH(O1491, Criterios!$D$123:$D$124, 0)), "Ciclo de vida no válido", ""))))</f>
        <v/>
      </c>
      <c r="AC1491" s="56" t="n"/>
      <c r="AD1491" s="51" t="n">
        <v>0</v>
      </c>
      <c r="AE1491" s="156" t="n"/>
      <c r="AF1491" s="51" t="n">
        <v>0</v>
      </c>
      <c r="AG1491" s="156" t="inlineStr">
        <is>
          <t>Catálogo existente</t>
        </is>
      </c>
      <c r="AH1491" s="156" t="inlineStr">
        <is>
          <t>Revisión 29/09/2026: Campos sin respaldo: U, X | 01/10/2026: complementado desde Odoo Universal Unique Brands (match por código de barras): WB Fit</t>
        </is>
      </c>
      <c r="AI1491" s="156" t="inlineStr">
        <is>
          <t>No</t>
        </is>
      </c>
      <c r="AJ1491" s="156" t="n"/>
      <c r="AK1491" s="155" t="inlineStr">
        <is>
          <t>Criterios: I [Q] | Odoo: producto 14322 / plantilla 17899</t>
        </is>
      </c>
      <c r="AL1491" s="58" t="n">
        <v>2756.25</v>
      </c>
      <c r="AM1491" s="58" t="n">
        <v>6724.137931</v>
      </c>
      <c r="AN1491" s="155" t="inlineStr">
        <is>
          <t>Odoo Universal Unique Brands</t>
        </is>
      </c>
      <c r="AO1491" s="59" t="n"/>
      <c r="AP1491" s="59" t="n"/>
      <c r="AQ1491" s="59" t="n">
        <v>1</v>
      </c>
      <c r="AR1491" s="155" t="inlineStr">
        <is>
          <t>Odoo Universal Unique Brands › Bodega 25 › Bodega 25/General: 1</t>
        </is>
      </c>
    </row>
    <row r="1492">
      <c r="A1492" s="50" t="inlineStr">
        <is>
          <t>795177498513</t>
        </is>
      </c>
      <c r="B1492" s="51" t="inlineStr">
        <is>
          <t>117341</t>
        </is>
      </c>
      <c r="C1492" s="156" t="inlineStr">
        <is>
          <t>Multimarca</t>
        </is>
      </c>
      <c r="D1492" s="156" t="inlineStr">
        <is>
          <t>SFELAM-484061</t>
        </is>
      </c>
      <c r="E1492" s="156" t="inlineStr">
        <is>
          <t>SFELAM-48406171</t>
        </is>
      </c>
      <c r="F1492" s="156" t="inlineStr">
        <is>
          <t>7 1/8</t>
        </is>
      </c>
      <c r="G1492" s="156" t="inlineStr">
        <is>
          <t>7 1/8</t>
        </is>
      </c>
      <c r="H1492" s="156" t="inlineStr">
        <is>
          <t>Stetson</t>
        </is>
      </c>
      <c r="I1492" s="156" t="inlineStr">
        <is>
          <t>Texana Stetson el Amo Gris</t>
        </is>
      </c>
      <c r="J1492" s="156" t="inlineStr">
        <is>
          <t>Accesorios</t>
        </is>
      </c>
      <c r="K1492" s="156" t="inlineStr">
        <is>
          <t>Sombreros</t>
        </is>
      </c>
      <c r="L1492" s="156" t="inlineStr">
        <is>
          <t>Unisex</t>
        </is>
      </c>
      <c r="M1492" s="156" t="inlineStr">
        <is>
          <t>Stetson</t>
        </is>
      </c>
      <c r="N1492" s="156" t="inlineStr">
        <is>
          <t>FW26</t>
        </is>
      </c>
      <c r="O1492" s="156" t="inlineStr">
        <is>
          <t>Seasonal</t>
        </is>
      </c>
      <c r="P1492" s="156" t="inlineStr">
        <is>
          <t>Gris</t>
        </is>
      </c>
      <c r="Q1492" s="156" t="n"/>
      <c r="R1492" s="156" t="inlineStr">
        <is>
          <t>Copa Cattleman</t>
        </is>
      </c>
      <c r="S1492" s="156" t="inlineStr">
        <is>
          <t>100% pelo de conejo</t>
        </is>
      </c>
      <c r="T1492" s="156" t="inlineStr">
        <is>
          <t>Texana Stetson el Amo Gris</t>
        </is>
      </c>
      <c r="U1492" s="156" t="inlineStr">
        <is>
          <t>Estados Unidos</t>
        </is>
      </c>
      <c r="V1492" s="156" t="inlineStr">
        <is>
          <t>PZS</t>
        </is>
      </c>
      <c r="W1492" s="51" t="inlineStr">
        <is>
          <t>53102503</t>
        </is>
      </c>
      <c r="X1492" s="156" t="inlineStr">
        <is>
          <t>https://cdn.shopify.com/s/files/1/0357/2432/9005/products/sfelam-4840_silverbelly_1.jpg?v=1598894113</t>
        </is>
      </c>
      <c r="Y1492" s="54" t="n">
        <v>15750</v>
      </c>
      <c r="Z1492" s="54" t="n">
        <v>37931.03448</v>
      </c>
      <c r="AA1492" s="55">
        <f>IF(AND(A1492="", B1492="", E1492=""), "", IF(AB1492="", "Válido", IF((LEN(AB1492)-LEN(SUBSTITUTE(AB1492,"; ","")))/2+1&gt;(LEN(AB1492)-LEN(SUBSTITUTE(AB1492,"[Aviso]","")))/7, "Con Incidencias", "Válido")))</f>
        <v/>
      </c>
      <c r="AB1492" s="56">
        <f>IF(AND(A1492="", B1492="", E1492=""), "", TEXTJOIN("; ", TRUE, IF(OR(TRIM(A1492&amp;"")="", ISNUMBER(SEARCH("FALTA", A1492))), "UPC faltante/inválido", ""), IF(AND(A1492&lt;&gt;"", IFERROR(_xlfn.XMATCH(A1492,$A$2:$A$2509,0,1)&lt;&gt;_xlfn.XMATCH(A1492,$A$2:$A$2509,0,-1),FALSE)), "Código de barras duplicado", ""), IF(AND(E1492&lt;&gt;"", COUNTIF($E$2:$E$2509, E1492)&gt;1), "SKU duplicado", ""), IF(OR(J1492="", J1492=""), "[Aviso] División no capturada ()", IF(ISNA(MATCH(J1492, Criterios!$A$123:$A$126, 0)), "División no válida", "")), IF(OR(K1492="", K1492=""), "[Aviso] Categoría no capturada ()", IF(ISNA(MATCH(K1492, Criterios!$A$81:$A$120, 0)), "Categoría no válida", IF(AND(J1492&lt;&gt;"", J1492&lt;&gt;"", J1492&lt;&gt;VLOOKUP(K1492, Criterios!$A$81:$B$120, 2, FALSE)), "División no coincide con Categoría", ""))), IF(OR(L1492="", L1492=""), "[Aviso] Género no capturado ()", IF(ISNA(MATCH(L1492, Criterios!$B$123:$B$127, 0)), "Género no válido", "")), IF(OR(N1492="", N1492=""), "[Aviso] Temporada no capturada ()", IF(ISNA(MATCH(N1492, Criterios!$C$123:$C$128, 0)), "Temporada no válida", "")), IF(OR(O1492="", O1492=""), "[Aviso] Ciclo de vida no capturado ()", IF(ISNA(MATCH(O1492, Criterios!$D$123:$D$124, 0)), "Ciclo de vida no válido", ""))))</f>
        <v/>
      </c>
      <c r="AC1492" s="56" t="n"/>
      <c r="AD1492" s="51" t="n">
        <v>0</v>
      </c>
      <c r="AE1492" s="156" t="inlineStr">
        <is>
          <t>STETSON AMERICAS (2)</t>
        </is>
      </c>
      <c r="AF1492" s="51" t="n">
        <v>2</v>
      </c>
      <c r="AG1492" s="156" t="inlineStr">
        <is>
          <t>Catálogo existente</t>
        </is>
      </c>
      <c r="AH1492" s="156" t="inlineStr">
        <is>
          <t>Revisión 29/09/2026: Campos sin respaldo: X; Auditoría NetSuite 30/09/2026: llenado desde NetSuite [U] | 01/10/2026: complementado desde Shopify Stetson México (match por código de barras): WB Fit | Homologación G1522 06/10/2026: WB Silueta: «» → «Copa Cattleman» (Completado por investigación en línea) · Enlace de imagen: «» → «https://cdn.shopify.com/s/files/1/0357/2432/9005/products/sfelam-4840_silverbelly_1.jpg?v=1598894113» (Completado por investigación en línea)</t>
        </is>
      </c>
      <c r="AI1492" s="156" t="inlineStr">
        <is>
          <t>Sí</t>
        </is>
      </c>
      <c r="AJ1492" s="156" t="inlineStr">
        <is>
          <t>PUNTO DE VENTA (-1); B25 CEDIS (-1)</t>
        </is>
      </c>
      <c r="AK1492" s="155" t="inlineStr">
        <is>
          <t>Criterios: I [Q] | Descripción del registro fuente [T]; G1522_Extraccion_Articulos_NetSuite_2026-09-30.xlsx: fila 63798 [U] | Shopify Stetson: producto 15056328982891 / variante 53791836471659 | Investigación en línea 06/10/2026: https://www.stetson.com/products/el-amo-silverbelly</t>
        </is>
      </c>
      <c r="AL1492" s="58" t="n">
        <v>15750</v>
      </c>
      <c r="AM1492" s="58" t="n">
        <v>37931.03448</v>
      </c>
      <c r="AN1492" s="155" t="inlineStr">
        <is>
          <t>Shopify Stetson México</t>
        </is>
      </c>
      <c r="AO1492" s="59" t="n">
        <v>2</v>
      </c>
      <c r="AP1492" s="59" t="n"/>
      <c r="AQ1492" s="59" t="n"/>
      <c r="AR1492" s="155" t="inlineStr">
        <is>
          <t>Shopify Stetson México › Stetson Americas: 2</t>
        </is>
      </c>
    </row>
    <row r="1493">
      <c r="A1493" s="50" t="inlineStr">
        <is>
          <t>795177498520</t>
        </is>
      </c>
      <c r="B1493" s="51" t="inlineStr">
        <is>
          <t>109901</t>
        </is>
      </c>
      <c r="C1493" s="156" t="inlineStr">
        <is>
          <t>Multimarca</t>
        </is>
      </c>
      <c r="D1493" s="156" t="inlineStr">
        <is>
          <t>SFELAM-484061</t>
        </is>
      </c>
      <c r="E1493" s="156" t="inlineStr">
        <is>
          <t>SFELAM-48406172</t>
        </is>
      </c>
      <c r="F1493" s="156" t="inlineStr">
        <is>
          <t>7 1/4</t>
        </is>
      </c>
      <c r="G1493" s="156" t="inlineStr">
        <is>
          <t>7 1/4</t>
        </is>
      </c>
      <c r="H1493" s="156" t="inlineStr">
        <is>
          <t>Stetson</t>
        </is>
      </c>
      <c r="I1493" s="156" t="inlineStr">
        <is>
          <t>Texana Stetson el Amo Plata</t>
        </is>
      </c>
      <c r="J1493" s="156" t="inlineStr">
        <is>
          <t>Accesorios</t>
        </is>
      </c>
      <c r="K1493" s="156" t="inlineStr">
        <is>
          <t>Sombreros</t>
        </is>
      </c>
      <c r="L1493" s="156" t="inlineStr">
        <is>
          <t>Unisex</t>
        </is>
      </c>
      <c r="M1493" s="156" t="inlineStr">
        <is>
          <t>Stetson</t>
        </is>
      </c>
      <c r="N1493" s="156" t="inlineStr">
        <is>
          <t>SS26</t>
        </is>
      </c>
      <c r="O1493" s="156" t="inlineStr">
        <is>
          <t>Seasonal</t>
        </is>
      </c>
      <c r="P1493" s="156" t="inlineStr">
        <is>
          <t>Gris</t>
        </is>
      </c>
      <c r="Q1493" s="156" t="n"/>
      <c r="R1493" s="156" t="inlineStr">
        <is>
          <t>Copa Cattleman</t>
        </is>
      </c>
      <c r="S1493" s="156" t="inlineStr">
        <is>
          <t>100% Fieltro de lana</t>
        </is>
      </c>
      <c r="T1493" s="156" t="inlineStr">
        <is>
          <t>Texana Stetson el Amo Plata</t>
        </is>
      </c>
      <c r="U1493" s="156" t="inlineStr">
        <is>
          <t>Estados Unidos</t>
        </is>
      </c>
      <c r="V1493" s="156" t="inlineStr">
        <is>
          <t>PZS</t>
        </is>
      </c>
      <c r="W1493" s="51" t="inlineStr">
        <is>
          <t>53102503</t>
        </is>
      </c>
      <c r="X1493" s="156" t="inlineStr">
        <is>
          <t>https://cdn.shopify.com/s/files/1/0357/2432/9005/products/sfelam-4840_silverbelly_1.jpg?v=1598894113</t>
        </is>
      </c>
      <c r="Y1493" s="54" t="n">
        <v>15750</v>
      </c>
      <c r="Z1493" s="54" t="n">
        <v>37931.03448</v>
      </c>
      <c r="AA1493" s="55">
        <f>IF(AND(A1493="", B1493="", E1493=""), "", IF(AB1493="", "Válido", IF((LEN(AB1493)-LEN(SUBSTITUTE(AB1493,"; ","")))/2+1&gt;(LEN(AB1493)-LEN(SUBSTITUTE(AB1493,"[Aviso]","")))/7, "Con Incidencias", "Válido")))</f>
        <v/>
      </c>
      <c r="AB1493" s="56">
        <f>IF(AND(A1493="", B1493="", E1493=""), "", TEXTJOIN("; ", TRUE, IF(OR(TRIM(A1493&amp;"")="", ISNUMBER(SEARCH("FALTA", A1493))), "UPC faltante/inválido", ""), IF(AND(A1493&lt;&gt;"", IFERROR(_xlfn.XMATCH(A1493,$A$2:$A$2509,0,1)&lt;&gt;_xlfn.XMATCH(A1493,$A$2:$A$2509,0,-1),FALSE)), "Código de barras duplicado", ""), IF(AND(E1493&lt;&gt;"", COUNTIF($E$2:$E$2509, E1493)&gt;1), "SKU duplicado", ""), IF(OR(J1493="", J1493=""), "[Aviso] División no capturada ()", IF(ISNA(MATCH(J1493, Criterios!$A$123:$A$126, 0)), "División no válida", "")), IF(OR(K1493="", K1493=""), "[Aviso] Categoría no capturada ()", IF(ISNA(MATCH(K1493, Criterios!$A$81:$A$120, 0)), "Categoría no válida", IF(AND(J1493&lt;&gt;"", J1493&lt;&gt;"", J1493&lt;&gt;VLOOKUP(K1493, Criterios!$A$81:$B$120, 2, FALSE)), "División no coincide con Categoría", ""))), IF(OR(L1493="", L1493=""), "[Aviso] Género no capturado ()", IF(ISNA(MATCH(L1493, Criterios!$B$123:$B$127, 0)), "Género no válido", "")), IF(OR(N1493="", N1493=""), "[Aviso] Temporada no capturada ()", IF(ISNA(MATCH(N1493, Criterios!$C$123:$C$128, 0)), "Temporada no válida", "")), IF(OR(O1493="", O1493=""), "[Aviso] Ciclo de vida no capturado ()", IF(ISNA(MATCH(O1493, Criterios!$D$123:$D$124, 0)), "Ciclo de vida no válido", ""))))</f>
        <v/>
      </c>
      <c r="AC1493" s="56" t="n"/>
      <c r="AD1493" s="51" t="n">
        <v>-2</v>
      </c>
      <c r="AE1493" s="156" t="n"/>
      <c r="AF1493" s="51" t="n">
        <v>0</v>
      </c>
      <c r="AG1493" s="156" t="inlineStr">
        <is>
          <t>Catálogo existente</t>
        </is>
      </c>
      <c r="AH1493"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«https://cdn.shopify.com/s/files/1/0357/2432/9005/products/sfelam-4840_silverbelly_1.jpg?v=1598894113» (Completado por investigación en línea)</t>
        </is>
      </c>
      <c r="AI1493" s="156" t="inlineStr">
        <is>
          <t>Sí</t>
        </is>
      </c>
      <c r="AJ1493" s="156" t="inlineStr">
        <is>
          <t>B25 CEDIS (-1); STETSON AMERICAS (-1)</t>
        </is>
      </c>
      <c r="AK1493" s="155" t="inlineStr">
        <is>
          <t>Criterios: I [Q] | Descripción del registro fuente [T] | Shopify Stetson: producto 15056328982891 / variante 53357912293739 | Investigación en línea 06/10/2026: https://www.stetson.com/products/el-amo-silverbelly</t>
        </is>
      </c>
      <c r="AL1493" s="58" t="n">
        <v>15750</v>
      </c>
      <c r="AM1493" s="58" t="n">
        <v>37931.03448</v>
      </c>
      <c r="AN1493" s="155" t="inlineStr">
        <is>
          <t>Shopify Stetson México</t>
        </is>
      </c>
      <c r="AO1493" s="59" t="n">
        <v>0</v>
      </c>
      <c r="AP1493" s="59" t="n"/>
      <c r="AQ1493" s="59" t="n"/>
      <c r="AR1493" s="155" t="n"/>
    </row>
    <row r="1494">
      <c r="A1494" s="50" t="inlineStr">
        <is>
          <t>795177498537</t>
        </is>
      </c>
      <c r="B1494" s="51" t="inlineStr">
        <is>
          <t>109902</t>
        </is>
      </c>
      <c r="C1494" s="156" t="inlineStr">
        <is>
          <t>Multimarca</t>
        </is>
      </c>
      <c r="D1494" s="156" t="inlineStr">
        <is>
          <t>SFELAM-484061</t>
        </is>
      </c>
      <c r="E1494" s="156" t="inlineStr">
        <is>
          <t>SFELAM-48406173</t>
        </is>
      </c>
      <c r="F1494" s="156" t="inlineStr">
        <is>
          <t>7 3/8</t>
        </is>
      </c>
      <c r="G1494" s="156" t="inlineStr">
        <is>
          <t>7 3/8</t>
        </is>
      </c>
      <c r="H1494" s="156" t="inlineStr">
        <is>
          <t>Stetson</t>
        </is>
      </c>
      <c r="I1494" s="156" t="inlineStr">
        <is>
          <t>Texana Stetson el Amo Plata</t>
        </is>
      </c>
      <c r="J1494" s="156" t="inlineStr">
        <is>
          <t>Accesorios</t>
        </is>
      </c>
      <c r="K1494" s="156" t="inlineStr">
        <is>
          <t>Sombreros</t>
        </is>
      </c>
      <c r="L1494" s="156" t="inlineStr">
        <is>
          <t>Unisex</t>
        </is>
      </c>
      <c r="M1494" s="156" t="inlineStr">
        <is>
          <t>Stetson</t>
        </is>
      </c>
      <c r="N1494" s="156" t="inlineStr">
        <is>
          <t>SS26</t>
        </is>
      </c>
      <c r="O1494" s="156" t="inlineStr">
        <is>
          <t>Seasonal</t>
        </is>
      </c>
      <c r="P1494" s="156" t="inlineStr">
        <is>
          <t>Gris</t>
        </is>
      </c>
      <c r="Q1494" s="156" t="n"/>
      <c r="R1494" s="156" t="inlineStr">
        <is>
          <t>Copa Cattleman</t>
        </is>
      </c>
      <c r="S1494" s="156" t="inlineStr">
        <is>
          <t>100% Fieltro de lana</t>
        </is>
      </c>
      <c r="T1494" s="156" t="inlineStr">
        <is>
          <t>Texana Stetson el Amo Plata</t>
        </is>
      </c>
      <c r="U1494" s="156" t="inlineStr">
        <is>
          <t>Estados Unidos</t>
        </is>
      </c>
      <c r="V1494" s="156" t="inlineStr">
        <is>
          <t>PZS</t>
        </is>
      </c>
      <c r="W1494" s="51" t="inlineStr">
        <is>
          <t>53102503</t>
        </is>
      </c>
      <c r="X1494" s="156" t="inlineStr">
        <is>
          <t>https://cdn.shopify.com/s/files/1/0357/2432/9005/products/sfelam-4840_silverbelly_1.jpg?v=1598894113</t>
        </is>
      </c>
      <c r="Y1494" s="54" t="n">
        <v>15750</v>
      </c>
      <c r="Z1494" s="54" t="n">
        <v>37931.03448</v>
      </c>
      <c r="AA1494" s="55">
        <f>IF(AND(A1494="", B1494="", E1494=""), "", IF(AB1494="", "Válido", IF((LEN(AB1494)-LEN(SUBSTITUTE(AB1494,"; ","")))/2+1&gt;(LEN(AB1494)-LEN(SUBSTITUTE(AB1494,"[Aviso]","")))/7, "Con Incidencias", "Válido")))</f>
        <v/>
      </c>
      <c r="AB1494" s="56">
        <f>IF(AND(A1494="", B1494="", E1494=""), "", TEXTJOIN("; ", TRUE, IF(OR(TRIM(A1494&amp;"")="", ISNUMBER(SEARCH("FALTA", A1494))), "UPC faltante/inválido", ""), IF(AND(A1494&lt;&gt;"", IFERROR(_xlfn.XMATCH(A1494,$A$2:$A$2509,0,1)&lt;&gt;_xlfn.XMATCH(A1494,$A$2:$A$2509,0,-1),FALSE)), "Código de barras duplicado", ""), IF(AND(E1494&lt;&gt;"", COUNTIF($E$2:$E$2509, E1494)&gt;1), "SKU duplicado", ""), IF(OR(J1494="", J1494=""), "[Aviso] División no capturada ()", IF(ISNA(MATCH(J1494, Criterios!$A$123:$A$126, 0)), "División no válida", "")), IF(OR(K1494="", K1494=""), "[Aviso] Categoría no capturada ()", IF(ISNA(MATCH(K1494, Criterios!$A$81:$A$120, 0)), "Categoría no válida", IF(AND(J1494&lt;&gt;"", J1494&lt;&gt;"", J1494&lt;&gt;VLOOKUP(K1494, Criterios!$A$81:$B$120, 2, FALSE)), "División no coincide con Categoría", ""))), IF(OR(L1494="", L1494=""), "[Aviso] Género no capturado ()", IF(ISNA(MATCH(L1494, Criterios!$B$123:$B$127, 0)), "Género no válido", "")), IF(OR(N1494="", N1494=""), "[Aviso] Temporada no capturada ()", IF(ISNA(MATCH(N1494, Criterios!$C$123:$C$128, 0)), "Temporada no válida", "")), IF(OR(O1494="", O1494=""), "[Aviso] Ciclo de vida no capturado ()", IF(ISNA(MATCH(O1494, Criterios!$D$123:$D$124, 0)), "Ciclo de vida no válido", ""))))</f>
        <v/>
      </c>
      <c r="AC1494" s="56" t="n"/>
      <c r="AD1494" s="51" t="n">
        <v>-1</v>
      </c>
      <c r="AE1494" s="156" t="n"/>
      <c r="AF1494" s="51" t="n">
        <v>0</v>
      </c>
      <c r="AG1494" s="156" t="inlineStr">
        <is>
          <t>Catálogo existente</t>
        </is>
      </c>
      <c r="AH1494"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«https://cdn.shopify.com/s/files/1/0357/2432/9005/products/sfelam-4840_silverbelly_1.jpg?v=1598894113» (Completado por investigación en línea)</t>
        </is>
      </c>
      <c r="AI1494" s="156" t="inlineStr">
        <is>
          <t>Sí</t>
        </is>
      </c>
      <c r="AJ1494" s="156" t="inlineStr">
        <is>
          <t>B25 CEDIS (-1)</t>
        </is>
      </c>
      <c r="AK1494" s="155" t="inlineStr">
        <is>
          <t>Criterios: I [Q] | Descripción del registro fuente [T] | Shopify Stetson: producto 15056328982891 / variante 53357912326507 | Odoo: producto 19373 / plantilla 23860 | Investigación en línea 06/10/2026: https://www.stetson.com/products/el-amo-silverbelly</t>
        </is>
      </c>
      <c r="AL1494" s="58" t="n">
        <v>15750</v>
      </c>
      <c r="AM1494" s="58" t="n">
        <v>37931.03448</v>
      </c>
      <c r="AN1494" s="155" t="inlineStr">
        <is>
          <t>Shopify Stetson México | Odoo Universal Unique Brands</t>
        </is>
      </c>
      <c r="AO1494" s="59" t="n">
        <v>2</v>
      </c>
      <c r="AP1494" s="59" t="n"/>
      <c r="AQ1494" s="59" t="n">
        <v>1</v>
      </c>
      <c r="AR1494" s="155" t="inlineStr">
        <is>
          <t>Shopify Stetson México › Stetson Americas: 2 | Odoo Universal Unique Brands › Bodega 25 › Bodega 25/General: 1</t>
        </is>
      </c>
    </row>
    <row r="1495">
      <c r="A1495" s="50" t="inlineStr">
        <is>
          <t>795177500094</t>
        </is>
      </c>
      <c r="B1495" s="51" t="inlineStr">
        <is>
          <t>109972</t>
        </is>
      </c>
      <c r="C1495" s="156" t="inlineStr">
        <is>
          <t>Multimarca</t>
        </is>
      </c>
      <c r="D1495" s="156" t="inlineStr">
        <is>
          <t>SFPALC-014061</t>
        </is>
      </c>
      <c r="E1495" s="156" t="inlineStr">
        <is>
          <t>SFPALC-01406167</t>
        </is>
      </c>
      <c r="F1495" s="156" t="inlineStr">
        <is>
          <t>6 7/8</t>
        </is>
      </c>
      <c r="G1495" s="156" t="inlineStr">
        <is>
          <t>6 7/8</t>
        </is>
      </c>
      <c r="H1495" s="156" t="inlineStr">
        <is>
          <t>Stetson</t>
        </is>
      </c>
      <c r="I1495" s="156" t="inlineStr">
        <is>
          <t>Texana Stetson Palacio Ii Plata</t>
        </is>
      </c>
      <c r="J1495" s="156" t="inlineStr">
        <is>
          <t>Accesorios</t>
        </is>
      </c>
      <c r="K1495" s="156" t="inlineStr">
        <is>
          <t>Sombreros</t>
        </is>
      </c>
      <c r="L1495" s="156" t="inlineStr">
        <is>
          <t>Unisex</t>
        </is>
      </c>
      <c r="M1495" s="156" t="inlineStr">
        <is>
          <t>Stetson</t>
        </is>
      </c>
      <c r="N1495" s="156" t="inlineStr">
        <is>
          <t>SS26</t>
        </is>
      </c>
      <c r="O1495" s="156" t="inlineStr">
        <is>
          <t>Seasonal</t>
        </is>
      </c>
      <c r="P1495" s="156" t="inlineStr">
        <is>
          <t>Gris</t>
        </is>
      </c>
      <c r="Q1495" s="156" t="n"/>
      <c r="R1495" s="156" t="n"/>
      <c r="S1495" s="156" t="inlineStr">
        <is>
          <t>100% Fieltro de lana</t>
        </is>
      </c>
      <c r="T1495" s="156" t="inlineStr">
        <is>
          <t>Texana Stetson Palacio II Plata.
 Composición: 100% Fieltro de lana.
 Color: Plata.</t>
        </is>
      </c>
      <c r="U1495" s="156" t="n"/>
      <c r="V1495" s="156" t="inlineStr">
        <is>
          <t>PZS</t>
        </is>
      </c>
      <c r="W1495" s="51" t="inlineStr">
        <is>
          <t>53102503</t>
        </is>
      </c>
      <c r="X1495" s="156" t="n"/>
      <c r="Y1495" s="54" t="n">
        <v>2756.25</v>
      </c>
      <c r="Z1495" s="54" t="n">
        <v>6724.137931</v>
      </c>
      <c r="AA1495" s="55">
        <f>IF(AND(A1495="", B1495="", E1495=""), "", IF(AB1495="", "Válido", IF((LEN(AB1495)-LEN(SUBSTITUTE(AB1495,"; ","")))/2+1&gt;(LEN(AB1495)-LEN(SUBSTITUTE(AB1495,"[Aviso]","")))/7, "Con Incidencias", "Válido")))</f>
        <v/>
      </c>
      <c r="AB1495" s="56">
        <f>IF(AND(A1495="", B1495="", E1495=""), "", TEXTJOIN("; ", TRUE, IF(OR(TRIM(A1495&amp;"")="", ISNUMBER(SEARCH("FALTA", A1495))), "UPC faltante/inválido", ""), IF(AND(A1495&lt;&gt;"", IFERROR(_xlfn.XMATCH(A1495,$A$2:$A$2509,0,1)&lt;&gt;_xlfn.XMATCH(A1495,$A$2:$A$2509,0,-1),FALSE)), "Código de barras duplicado", ""), IF(AND(E1495&lt;&gt;"", COUNTIF($E$2:$E$2509, E1495)&gt;1), "SKU duplicado", ""), IF(OR(J1495="", J1495=""), "[Aviso] División no capturada ()", IF(ISNA(MATCH(J1495, Criterios!$A$123:$A$126, 0)), "División no válida", "")), IF(OR(K1495="", K1495=""), "[Aviso] Categoría no capturada ()", IF(ISNA(MATCH(K1495, Criterios!$A$81:$A$120, 0)), "Categoría no válida", IF(AND(J1495&lt;&gt;"", J1495&lt;&gt;"", J1495&lt;&gt;VLOOKUP(K1495, Criterios!$A$81:$B$120, 2, FALSE)), "División no coincide con Categoría", ""))), IF(OR(L1495="", L1495=""), "[Aviso] Género no capturado ()", IF(ISNA(MATCH(L1495, Criterios!$B$123:$B$127, 0)), "Género no válido", "")), IF(OR(N1495="", N1495=""), "[Aviso] Temporada no capturada ()", IF(ISNA(MATCH(N1495, Criterios!$C$123:$C$128, 0)), "Temporada no válida", "")), IF(OR(O1495="", O1495=""), "[Aviso] Ciclo de vida no capturado ()", IF(ISNA(MATCH(O1495, Criterios!$D$123:$D$124, 0)), "Ciclo de vida no válido", ""))))</f>
        <v/>
      </c>
      <c r="AC1495" s="56" t="n"/>
      <c r="AD1495" s="51" t="n">
        <v>-1</v>
      </c>
      <c r="AE1495" s="156" t="n"/>
      <c r="AF1495" s="51" t="n">
        <v>0</v>
      </c>
      <c r="AG1495" s="156" t="inlineStr">
        <is>
          <t>Catálogo existente</t>
        </is>
      </c>
      <c r="AH1495" s="156" t="inlineStr">
        <is>
          <t>Stock negativo en sistema: revisar en conteo | Revisión 29/09/2026: Campos sin respaldo: U, X | 01/10/2026: complementado desde Shopify Stetson México (match por código de barras): WB Fit</t>
        </is>
      </c>
      <c r="AI1495" s="156" t="inlineStr">
        <is>
          <t>Sí</t>
        </is>
      </c>
      <c r="AJ1495" s="156" t="inlineStr">
        <is>
          <t>STETSON AMERICAS (-1)</t>
        </is>
      </c>
      <c r="AK1495" s="155" t="inlineStr">
        <is>
          <t>Criterios: I [Q] | Shopify Stetson: producto 15056329015659 / variante 53357912359275 | Odoo: producto 14323 / plantilla 17900</t>
        </is>
      </c>
      <c r="AL1495" s="58" t="n">
        <v>2756.25</v>
      </c>
      <c r="AM1495" s="58" t="n">
        <v>6724.137931</v>
      </c>
      <c r="AN1495" s="155" t="inlineStr">
        <is>
          <t>Shopify Stetson México | Odoo Universal Unique Brands</t>
        </is>
      </c>
      <c r="AO1495" s="59" t="n">
        <v>0</v>
      </c>
      <c r="AP1495" s="59" t="n"/>
      <c r="AQ1495" s="59" t="n">
        <v>2</v>
      </c>
      <c r="AR1495" s="155" t="inlineStr">
        <is>
          <t>Odoo Universal Unique Brands › Bodega 25 › Bodega 25/General: 1 | Odoo Universal Unique Brands › Stetson Americas › Stetson Americas/Stock: 1</t>
        </is>
      </c>
    </row>
    <row r="1496">
      <c r="A1496" s="50" t="inlineStr">
        <is>
          <t>795177500100</t>
        </is>
      </c>
      <c r="B1496" s="51" t="inlineStr">
        <is>
          <t>109973</t>
        </is>
      </c>
      <c r="C1496" s="156" t="inlineStr">
        <is>
          <t>Multimarca</t>
        </is>
      </c>
      <c r="D1496" s="156" t="inlineStr">
        <is>
          <t>SFPALC-014061</t>
        </is>
      </c>
      <c r="E1496" s="156" t="inlineStr">
        <is>
          <t>SFPALC-01406170</t>
        </is>
      </c>
      <c r="F1496" s="156" t="inlineStr">
        <is>
          <t>7</t>
        </is>
      </c>
      <c r="G1496" s="156" t="inlineStr">
        <is>
          <t>7</t>
        </is>
      </c>
      <c r="H1496" s="156" t="inlineStr">
        <is>
          <t>Stetson</t>
        </is>
      </c>
      <c r="I1496" s="156" t="inlineStr">
        <is>
          <t>Texana Stetson Palacio Ii Plata</t>
        </is>
      </c>
      <c r="J1496" s="156" t="inlineStr">
        <is>
          <t>Accesorios</t>
        </is>
      </c>
      <c r="K1496" s="156" t="inlineStr">
        <is>
          <t>Sombreros</t>
        </is>
      </c>
      <c r="L1496" s="156" t="inlineStr">
        <is>
          <t>Unisex</t>
        </is>
      </c>
      <c r="M1496" s="156" t="inlineStr">
        <is>
          <t>Stetson</t>
        </is>
      </c>
      <c r="N1496" s="156" t="inlineStr">
        <is>
          <t>SS26</t>
        </is>
      </c>
      <c r="O1496" s="156" t="inlineStr">
        <is>
          <t>Seasonal</t>
        </is>
      </c>
      <c r="P1496" s="156" t="inlineStr">
        <is>
          <t>Gris</t>
        </is>
      </c>
      <c r="Q1496" s="156" t="n"/>
      <c r="R1496" s="156" t="n"/>
      <c r="S1496" s="156" t="inlineStr">
        <is>
          <t>100% Fieltro de lana</t>
        </is>
      </c>
      <c r="T1496" s="156" t="inlineStr">
        <is>
          <t>Texana Stetson Palacio II Plata.
 Composición: 100% Fieltro de lana.
 Color: Plata.</t>
        </is>
      </c>
      <c r="U1496" s="156" t="n"/>
      <c r="V1496" s="156" t="inlineStr">
        <is>
          <t>PZS</t>
        </is>
      </c>
      <c r="W1496" s="51" t="inlineStr">
        <is>
          <t>53102503</t>
        </is>
      </c>
      <c r="X1496" s="156" t="n"/>
      <c r="Y1496" s="54" t="n">
        <v>2756.25</v>
      </c>
      <c r="Z1496" s="54" t="n">
        <v>6724.137931</v>
      </c>
      <c r="AA1496" s="55">
        <f>IF(AND(A1496="", B1496="", E1496=""), "", IF(AB1496="", "Válido", IF((LEN(AB1496)-LEN(SUBSTITUTE(AB1496,"; ","")))/2+1&gt;(LEN(AB1496)-LEN(SUBSTITUTE(AB1496,"[Aviso]","")))/7, "Con Incidencias", "Válido")))</f>
        <v/>
      </c>
      <c r="AB1496" s="56">
        <f>IF(AND(A1496="", B1496="", E1496=""), "", TEXTJOIN("; ", TRUE, IF(OR(TRIM(A1496&amp;"")="", ISNUMBER(SEARCH("FALTA", A1496))), "UPC faltante/inválido", ""), IF(AND(A1496&lt;&gt;"", IFERROR(_xlfn.XMATCH(A1496,$A$2:$A$2509,0,1)&lt;&gt;_xlfn.XMATCH(A1496,$A$2:$A$2509,0,-1),FALSE)), "Código de barras duplicado", ""), IF(AND(E1496&lt;&gt;"", COUNTIF($E$2:$E$2509, E1496)&gt;1), "SKU duplicado", ""), IF(OR(J1496="", J1496=""), "[Aviso] División no capturada ()", IF(ISNA(MATCH(J1496, Criterios!$A$123:$A$126, 0)), "División no válida", "")), IF(OR(K1496="", K1496=""), "[Aviso] Categoría no capturada ()", IF(ISNA(MATCH(K1496, Criterios!$A$81:$A$120, 0)), "Categoría no válida", IF(AND(J1496&lt;&gt;"", J1496&lt;&gt;"", J1496&lt;&gt;VLOOKUP(K1496, Criterios!$A$81:$B$120, 2, FALSE)), "División no coincide con Categoría", ""))), IF(OR(L1496="", L1496=""), "[Aviso] Género no capturado ()", IF(ISNA(MATCH(L1496, Criterios!$B$123:$B$127, 0)), "Género no válido", "")), IF(OR(N1496="", N1496=""), "[Aviso] Temporada no capturada ()", IF(ISNA(MATCH(N1496, Criterios!$C$123:$C$128, 0)), "Temporada no válida", "")), IF(OR(O1496="", O1496=""), "[Aviso] Ciclo de vida no capturado ()", IF(ISNA(MATCH(O1496, Criterios!$D$123:$D$124, 0)), "Ciclo de vida no válido", ""))))</f>
        <v/>
      </c>
      <c r="AC1496" s="56" t="n"/>
      <c r="AD1496" s="51" t="n">
        <v>1</v>
      </c>
      <c r="AE1496" s="156" t="inlineStr">
        <is>
          <t>B25 STETSON.MX (2)</t>
        </is>
      </c>
      <c r="AF1496" s="51" t="n">
        <v>2</v>
      </c>
      <c r="AG1496" s="156" t="inlineStr">
        <is>
          <t>Catálogo existente</t>
        </is>
      </c>
      <c r="AH1496" s="156" t="inlineStr">
        <is>
          <t>Revisión 29/09/2026: Campos sin respaldo: U, X | 01/10/2026: complementado desde Shopify Stetson México (match por código de barras): WB Fit</t>
        </is>
      </c>
      <c r="AI1496" s="156" t="inlineStr">
        <is>
          <t>Sí</t>
        </is>
      </c>
      <c r="AJ1496" s="156" t="inlineStr">
        <is>
          <t>STETSON AMERICAS (-1)</t>
        </is>
      </c>
      <c r="AK1496" s="155" t="inlineStr">
        <is>
          <t>Criterios: I [Q] | Shopify Stetson: producto 15056329015659 / variante 53357912392043</t>
        </is>
      </c>
      <c r="AL1496" s="58" t="n">
        <v>2756.25</v>
      </c>
      <c r="AM1496" s="58" t="n">
        <v>6724.137931</v>
      </c>
      <c r="AN1496" s="155" t="inlineStr">
        <is>
          <t>Shopify Stetson México</t>
        </is>
      </c>
      <c r="AO1496" s="59" t="n">
        <v>2</v>
      </c>
      <c r="AP1496" s="59" t="n"/>
      <c r="AQ1496" s="59" t="n"/>
      <c r="AR1496" s="155" t="inlineStr">
        <is>
          <t>Shopify Stetson México › Stetson México: 2</t>
        </is>
      </c>
    </row>
    <row r="1497">
      <c r="A1497" s="50" t="inlineStr">
        <is>
          <t>795177500117</t>
        </is>
      </c>
      <c r="B1497" s="51" t="inlineStr">
        <is>
          <t>109974</t>
        </is>
      </c>
      <c r="C1497" s="156" t="inlineStr">
        <is>
          <t>Multimarca</t>
        </is>
      </c>
      <c r="D1497" s="156" t="inlineStr">
        <is>
          <t>SFPALC-014061</t>
        </is>
      </c>
      <c r="E1497" s="156" t="inlineStr">
        <is>
          <t>SFPALC-01406171</t>
        </is>
      </c>
      <c r="F1497" s="156" t="inlineStr">
        <is>
          <t>7 1/8</t>
        </is>
      </c>
      <c r="G1497" s="156" t="inlineStr">
        <is>
          <t>7 1/8</t>
        </is>
      </c>
      <c r="H1497" s="156" t="inlineStr">
        <is>
          <t>Stetson</t>
        </is>
      </c>
      <c r="I1497" s="156" t="inlineStr">
        <is>
          <t>Texana Stetson Palacio Ii Plata</t>
        </is>
      </c>
      <c r="J1497" s="156" t="inlineStr">
        <is>
          <t>Accesorios</t>
        </is>
      </c>
      <c r="K1497" s="156" t="inlineStr">
        <is>
          <t>Sombreros</t>
        </is>
      </c>
      <c r="L1497" s="156" t="inlineStr">
        <is>
          <t>Unisex</t>
        </is>
      </c>
      <c r="M1497" s="156" t="inlineStr">
        <is>
          <t>Stetson</t>
        </is>
      </c>
      <c r="N1497" s="156" t="inlineStr">
        <is>
          <t>SS26</t>
        </is>
      </c>
      <c r="O1497" s="156" t="inlineStr">
        <is>
          <t>Seasonal</t>
        </is>
      </c>
      <c r="P1497" s="156" t="inlineStr">
        <is>
          <t>Gris</t>
        </is>
      </c>
      <c r="Q1497" s="156" t="n"/>
      <c r="R1497" s="156" t="n"/>
      <c r="S1497" s="156" t="inlineStr">
        <is>
          <t>100% Fieltro de lana</t>
        </is>
      </c>
      <c r="T1497" s="156" t="inlineStr">
        <is>
          <t>Texana Stetson Palacio II Plata.
 Composición: 100% Fieltro de lana.
 Color: Plata.</t>
        </is>
      </c>
      <c r="U1497" s="156" t="n"/>
      <c r="V1497" s="156" t="inlineStr">
        <is>
          <t>PZS</t>
        </is>
      </c>
      <c r="W1497" s="51" t="inlineStr">
        <is>
          <t>53102503</t>
        </is>
      </c>
      <c r="X1497" s="156" t="n"/>
      <c r="Y1497" s="54" t="n">
        <v>2756.25</v>
      </c>
      <c r="Z1497" s="54" t="n">
        <v>6724.137931</v>
      </c>
      <c r="AA1497" s="55">
        <f>IF(AND(A1497="", B1497="", E1497=""), "", IF(AB1497="", "Válido", IF((LEN(AB1497)-LEN(SUBSTITUTE(AB1497,"; ","")))/2+1&gt;(LEN(AB1497)-LEN(SUBSTITUTE(AB1497,"[Aviso]","")))/7, "Con Incidencias", "Válido")))</f>
        <v/>
      </c>
      <c r="AB1497" s="56">
        <f>IF(AND(A1497="", B1497="", E1497=""), "", TEXTJOIN("; ", TRUE, IF(OR(TRIM(A1497&amp;"")="", ISNUMBER(SEARCH("FALTA", A1497))), "UPC faltante/inválido", ""), IF(AND(A1497&lt;&gt;"", IFERROR(_xlfn.XMATCH(A1497,$A$2:$A$2509,0,1)&lt;&gt;_xlfn.XMATCH(A1497,$A$2:$A$2509,0,-1),FALSE)), "Código de barras duplicado", ""), IF(AND(E1497&lt;&gt;"", COUNTIF($E$2:$E$2509, E1497)&gt;1), "SKU duplicado", ""), IF(OR(J1497="", J1497=""), "[Aviso] División no capturada ()", IF(ISNA(MATCH(J1497, Criterios!$A$123:$A$126, 0)), "División no válida", "")), IF(OR(K1497="", K1497=""), "[Aviso] Categoría no capturada ()", IF(ISNA(MATCH(K1497, Criterios!$A$81:$A$120, 0)), "Categoría no válida", IF(AND(J1497&lt;&gt;"", J1497&lt;&gt;"", J1497&lt;&gt;VLOOKUP(K1497, Criterios!$A$81:$B$120, 2, FALSE)), "División no coincide con Categoría", ""))), IF(OR(L1497="", L1497=""), "[Aviso] Género no capturado ()", IF(ISNA(MATCH(L1497, Criterios!$B$123:$B$127, 0)), "Género no válido", "")), IF(OR(N1497="", N1497=""), "[Aviso] Temporada no capturada ()", IF(ISNA(MATCH(N1497, Criterios!$C$123:$C$128, 0)), "Temporada no válida", "")), IF(OR(O1497="", O1497=""), "[Aviso] Ciclo de vida no capturado ()", IF(ISNA(MATCH(O1497, Criterios!$D$123:$D$124, 0)), "Ciclo de vida no válido", ""))))</f>
        <v/>
      </c>
      <c r="AC1497" s="56" t="n"/>
      <c r="AD1497" s="51" t="n">
        <v>2</v>
      </c>
      <c r="AE1497" s="156" t="inlineStr">
        <is>
          <t>B25 STETSON.MX (3)</t>
        </is>
      </c>
      <c r="AF1497" s="51" t="n">
        <v>3</v>
      </c>
      <c r="AG1497" s="156" t="inlineStr">
        <is>
          <t>Catálogo existente</t>
        </is>
      </c>
      <c r="AH1497" s="156" t="inlineStr">
        <is>
          <t>Revisión 29/09/2026: Campos sin respaldo: U, X | 01/10/2026: complementado desde Shopify Stetson México (match por código de barras): WB Fit</t>
        </is>
      </c>
      <c r="AI1497" s="156" t="inlineStr">
        <is>
          <t>Sí</t>
        </is>
      </c>
      <c r="AJ1497" s="156" t="inlineStr">
        <is>
          <t>PUNTO DE VENTA (-1)</t>
        </is>
      </c>
      <c r="AK1497" s="155" t="inlineStr">
        <is>
          <t>Criterios: I [Q] | Shopify Stetson: producto 15056329015659 / variante 53357912424811 | Odoo: producto 14325 / plantilla 17902</t>
        </is>
      </c>
      <c r="AL1497" s="58" t="n">
        <v>2756.25</v>
      </c>
      <c r="AM1497" s="58" t="n">
        <v>6724.137931</v>
      </c>
      <c r="AN1497" s="155" t="inlineStr">
        <is>
          <t>Shopify Stetson México | Odoo Universal Unique Brands</t>
        </is>
      </c>
      <c r="AO1497" s="59" t="n">
        <v>4</v>
      </c>
      <c r="AP1497" s="59" t="n"/>
      <c r="AQ1497" s="59" t="n">
        <v>6</v>
      </c>
      <c r="AR1497" s="155" t="inlineStr">
        <is>
          <t>Shopify Stetson México › Stetson México: 3 | Shopify Stetson México › Stetson Americas: 1 | Odoo Universal Unique Brands › Bodega 25 › Bodega 25/General: 4 | Odoo Universal Unique Brands › Stetson Americas › Stetson Americas/Stock: 2</t>
        </is>
      </c>
    </row>
    <row r="1498">
      <c r="A1498" s="50" t="inlineStr">
        <is>
          <t>795177500124</t>
        </is>
      </c>
      <c r="B1498" s="51" t="inlineStr">
        <is>
          <t>109975</t>
        </is>
      </c>
      <c r="C1498" s="156" t="inlineStr">
        <is>
          <t>Multimarca</t>
        </is>
      </c>
      <c r="D1498" s="156" t="inlineStr">
        <is>
          <t>SFPALC-014061</t>
        </is>
      </c>
      <c r="E1498" s="156" t="inlineStr">
        <is>
          <t>SFPALC-01406172</t>
        </is>
      </c>
      <c r="F1498" s="156" t="inlineStr">
        <is>
          <t>7 1/4</t>
        </is>
      </c>
      <c r="G1498" s="156" t="inlineStr">
        <is>
          <t>7 1/4</t>
        </is>
      </c>
      <c r="H1498" s="156" t="inlineStr">
        <is>
          <t>Stetson</t>
        </is>
      </c>
      <c r="I1498" s="156" t="inlineStr">
        <is>
          <t>Texana Stetson Palacio Ii Plata</t>
        </is>
      </c>
      <c r="J1498" s="156" t="inlineStr">
        <is>
          <t>Accesorios</t>
        </is>
      </c>
      <c r="K1498" s="156" t="inlineStr">
        <is>
          <t>Sombreros</t>
        </is>
      </c>
      <c r="L1498" s="156" t="inlineStr">
        <is>
          <t>Unisex</t>
        </is>
      </c>
      <c r="M1498" s="156" t="inlineStr">
        <is>
          <t>Stetson</t>
        </is>
      </c>
      <c r="N1498" s="156" t="inlineStr">
        <is>
          <t>SS26</t>
        </is>
      </c>
      <c r="O1498" s="156" t="inlineStr">
        <is>
          <t>Seasonal</t>
        </is>
      </c>
      <c r="P1498" s="156" t="inlineStr">
        <is>
          <t>Gris</t>
        </is>
      </c>
      <c r="Q1498" s="156" t="n"/>
      <c r="R1498" s="156" t="n"/>
      <c r="S1498" s="156" t="inlineStr">
        <is>
          <t>100% Fieltro de lana</t>
        </is>
      </c>
      <c r="T1498" s="156" t="inlineStr">
        <is>
          <t>Texana Stetson Palacio II Plata.
 Composición: 100% Fieltro de lana.
 Color: Plata.</t>
        </is>
      </c>
      <c r="U1498" s="156" t="n"/>
      <c r="V1498" s="156" t="inlineStr">
        <is>
          <t>PZS</t>
        </is>
      </c>
      <c r="W1498" s="51" t="inlineStr">
        <is>
          <t>53102503</t>
        </is>
      </c>
      <c r="X1498" s="156" t="n"/>
      <c r="Y1498" s="54" t="n">
        <v>2756.25</v>
      </c>
      <c r="Z1498" s="54" t="n">
        <v>6724.137931</v>
      </c>
      <c r="AA1498" s="55">
        <f>IF(AND(A1498="", B1498="", E1498=""), "", IF(AB1498="", "Válido", IF((LEN(AB1498)-LEN(SUBSTITUTE(AB1498,"; ","")))/2+1&gt;(LEN(AB1498)-LEN(SUBSTITUTE(AB1498,"[Aviso]","")))/7, "Con Incidencias", "Válido")))</f>
        <v/>
      </c>
      <c r="AB1498" s="56">
        <f>IF(AND(A1498="", B1498="", E1498=""), "", TEXTJOIN("; ", TRUE, IF(OR(TRIM(A1498&amp;"")="", ISNUMBER(SEARCH("FALTA", A1498))), "UPC faltante/inválido", ""), IF(AND(A1498&lt;&gt;"", IFERROR(_xlfn.XMATCH(A1498,$A$2:$A$2509,0,1)&lt;&gt;_xlfn.XMATCH(A1498,$A$2:$A$2509,0,-1),FALSE)), "Código de barras duplicado", ""), IF(AND(E1498&lt;&gt;"", COUNTIF($E$2:$E$2509, E1498)&gt;1), "SKU duplicado", ""), IF(OR(J1498="", J1498=""), "[Aviso] División no capturada ()", IF(ISNA(MATCH(J1498, Criterios!$A$123:$A$126, 0)), "División no válida", "")), IF(OR(K1498="", K1498=""), "[Aviso] Categoría no capturada ()", IF(ISNA(MATCH(K1498, Criterios!$A$81:$A$120, 0)), "Categoría no válida", IF(AND(J1498&lt;&gt;"", J1498&lt;&gt;"", J1498&lt;&gt;VLOOKUP(K1498, Criterios!$A$81:$B$120, 2, FALSE)), "División no coincide con Categoría", ""))), IF(OR(L1498="", L1498=""), "[Aviso] Género no capturado ()", IF(ISNA(MATCH(L1498, Criterios!$B$123:$B$127, 0)), "Género no válido", "")), IF(OR(N1498="", N1498=""), "[Aviso] Temporada no capturada ()", IF(ISNA(MATCH(N1498, Criterios!$C$123:$C$128, 0)), "Temporada no válida", "")), IF(OR(O1498="", O1498=""), "[Aviso] Ciclo de vida no capturado ()", IF(ISNA(MATCH(O1498, Criterios!$D$123:$D$124, 0)), "Ciclo de vida no válido", ""))))</f>
        <v/>
      </c>
      <c r="AC1498" s="56" t="n"/>
      <c r="AD1498" s="51" t="n">
        <v>1</v>
      </c>
      <c r="AE1498" s="156" t="inlineStr">
        <is>
          <t>B25 STETSON.MX (3)</t>
        </is>
      </c>
      <c r="AF1498" s="51" t="n">
        <v>3</v>
      </c>
      <c r="AG1498" s="156" t="inlineStr">
        <is>
          <t>Catálogo existente</t>
        </is>
      </c>
      <c r="AH1498" s="156" t="inlineStr">
        <is>
          <t>Revisión 29/09/2026: Campos sin respaldo: U, X | 01/10/2026: complementado desde Shopify Stetson México (match por código de barras): WB Fit</t>
        </is>
      </c>
      <c r="AI1498" s="156" t="inlineStr">
        <is>
          <t>Sí</t>
        </is>
      </c>
      <c r="AJ1498" s="156" t="inlineStr">
        <is>
          <t>PUNTO DE VENTA (-1); STETSON AMERICAS (-1)</t>
        </is>
      </c>
      <c r="AK1498" s="155" t="inlineStr">
        <is>
          <t>Criterios: I [Q] | Shopify Stetson: producto 15056329015659 / variante 53357912457579 | Odoo: producto 14326 / plantilla 17903</t>
        </is>
      </c>
      <c r="AL1498" s="58" t="n">
        <v>2756.25</v>
      </c>
      <c r="AM1498" s="58" t="n">
        <v>6724.137931</v>
      </c>
      <c r="AN1498" s="155" t="inlineStr">
        <is>
          <t>Shopify Stetson México | Odoo Universal Unique Brands</t>
        </is>
      </c>
      <c r="AO1498" s="59" t="n">
        <v>3</v>
      </c>
      <c r="AP1498" s="59" t="n"/>
      <c r="AQ1498" s="59" t="n">
        <v>6</v>
      </c>
      <c r="AR1498" s="155" t="inlineStr">
        <is>
          <t>Shopify Stetson México › Stetson México: 3 | Odoo Universal Unique Brands › Bodega 25 › Bodega 25/General: 4 | Odoo Universal Unique Brands › Stetson Americas › Stetson Americas/Stock: 2</t>
        </is>
      </c>
    </row>
    <row r="1499">
      <c r="A1499" s="50" t="inlineStr">
        <is>
          <t>795177500131</t>
        </is>
      </c>
      <c r="B1499" s="51" t="inlineStr">
        <is>
          <t>109976</t>
        </is>
      </c>
      <c r="C1499" s="156" t="inlineStr">
        <is>
          <t>Multimarca</t>
        </is>
      </c>
      <c r="D1499" s="156" t="inlineStr">
        <is>
          <t>SFPALC-014061</t>
        </is>
      </c>
      <c r="E1499" s="156" t="inlineStr">
        <is>
          <t>SFPALC-01406173</t>
        </is>
      </c>
      <c r="F1499" s="156" t="inlineStr">
        <is>
          <t>7 3/8</t>
        </is>
      </c>
      <c r="G1499" s="156" t="inlineStr">
        <is>
          <t>7 3/8</t>
        </is>
      </c>
      <c r="H1499" s="156" t="inlineStr">
        <is>
          <t>Stetson</t>
        </is>
      </c>
      <c r="I1499" s="156" t="inlineStr">
        <is>
          <t>Texana Stetson Palacio Ii Plata</t>
        </is>
      </c>
      <c r="J1499" s="156" t="inlineStr">
        <is>
          <t>Accesorios</t>
        </is>
      </c>
      <c r="K1499" s="156" t="inlineStr">
        <is>
          <t>Sombreros</t>
        </is>
      </c>
      <c r="L1499" s="156" t="inlineStr">
        <is>
          <t>Unisex</t>
        </is>
      </c>
      <c r="M1499" s="156" t="inlineStr">
        <is>
          <t>Stetson</t>
        </is>
      </c>
      <c r="N1499" s="156" t="inlineStr">
        <is>
          <t>SS26</t>
        </is>
      </c>
      <c r="O1499" s="156" t="inlineStr">
        <is>
          <t>Seasonal</t>
        </is>
      </c>
      <c r="P1499" s="156" t="inlineStr">
        <is>
          <t>Gris</t>
        </is>
      </c>
      <c r="Q1499" s="156" t="n"/>
      <c r="R1499" s="156" t="n"/>
      <c r="S1499" s="156" t="inlineStr">
        <is>
          <t>100% Fieltro de lana</t>
        </is>
      </c>
      <c r="T1499" s="156" t="inlineStr">
        <is>
          <t>Texana Stetson Palacio II Plata.
 Composición: 100% Fieltro de lana.
 Color: Plata.</t>
        </is>
      </c>
      <c r="U1499" s="156" t="n"/>
      <c r="V1499" s="156" t="inlineStr">
        <is>
          <t>PZS</t>
        </is>
      </c>
      <c r="W1499" s="51" t="inlineStr">
        <is>
          <t>53102503</t>
        </is>
      </c>
      <c r="X1499" s="156" t="n"/>
      <c r="Y1499" s="54" t="n">
        <v>2756.25</v>
      </c>
      <c r="Z1499" s="54" t="n">
        <v>6724.137931</v>
      </c>
      <c r="AA1499" s="55">
        <f>IF(AND(A1499="", B1499="", E1499=""), "", IF(AB1499="", "Válido", IF((LEN(AB1499)-LEN(SUBSTITUTE(AB1499,"; ","")))/2+1&gt;(LEN(AB1499)-LEN(SUBSTITUTE(AB1499,"[Aviso]","")))/7, "Con Incidencias", "Válido")))</f>
        <v/>
      </c>
      <c r="AB1499" s="56">
        <f>IF(AND(A1499="", B1499="", E1499=""), "", TEXTJOIN("; ", TRUE, IF(OR(TRIM(A1499&amp;"")="", ISNUMBER(SEARCH("FALTA", A1499))), "UPC faltante/inválido", ""), IF(AND(A1499&lt;&gt;"", IFERROR(_xlfn.XMATCH(A1499,$A$2:$A$2509,0,1)&lt;&gt;_xlfn.XMATCH(A1499,$A$2:$A$2509,0,-1),FALSE)), "Código de barras duplicado", ""), IF(AND(E1499&lt;&gt;"", COUNTIF($E$2:$E$2509, E1499)&gt;1), "SKU duplicado", ""), IF(OR(J1499="", J1499=""), "[Aviso] División no capturada ()", IF(ISNA(MATCH(J1499, Criterios!$A$123:$A$126, 0)), "División no válida", "")), IF(OR(K1499="", K1499=""), "[Aviso] Categoría no capturada ()", IF(ISNA(MATCH(K1499, Criterios!$A$81:$A$120, 0)), "Categoría no válida", IF(AND(J1499&lt;&gt;"", J1499&lt;&gt;"", J1499&lt;&gt;VLOOKUP(K1499, Criterios!$A$81:$B$120, 2, FALSE)), "División no coincide con Categoría", ""))), IF(OR(L1499="", L1499=""), "[Aviso] Género no capturado ()", IF(ISNA(MATCH(L1499, Criterios!$B$123:$B$127, 0)), "Género no válido", "")), IF(OR(N1499="", N1499=""), "[Aviso] Temporada no capturada ()", IF(ISNA(MATCH(N1499, Criterios!$C$123:$C$128, 0)), "Temporada no válida", "")), IF(OR(O1499="", O1499=""), "[Aviso] Ciclo de vida no capturado ()", IF(ISNA(MATCH(O1499, Criterios!$D$123:$D$124, 0)), "Ciclo de vida no válido", ""))))</f>
        <v/>
      </c>
      <c r="AC1499" s="56" t="n"/>
      <c r="AD1499" s="51" t="n">
        <v>3</v>
      </c>
      <c r="AE1499" s="156" t="inlineStr">
        <is>
          <t>B25 STETSON.MX (4)</t>
        </is>
      </c>
      <c r="AF1499" s="51" t="n">
        <v>4</v>
      </c>
      <c r="AG1499" s="156" t="inlineStr">
        <is>
          <t>Catálogo existente</t>
        </is>
      </c>
      <c r="AH1499" s="156" t="inlineStr">
        <is>
          <t>Revisión 29/09/2026: Campos sin respaldo: U, X | 01/10/2026: complementado desde Shopify Stetson México (match por código de barras): WB Fit</t>
        </is>
      </c>
      <c r="AI1499" s="156" t="inlineStr">
        <is>
          <t>Sí</t>
        </is>
      </c>
      <c r="AJ1499" s="156" t="inlineStr">
        <is>
          <t>STETSON AMERICAS (-1)</t>
        </is>
      </c>
      <c r="AK1499" s="155" t="inlineStr">
        <is>
          <t>Criterios: I [Q] | Shopify Stetson: producto 15056329015659 / variante 53357912490347</t>
        </is>
      </c>
      <c r="AL1499" s="58" t="n">
        <v>2756.25</v>
      </c>
      <c r="AM1499" s="58" t="n">
        <v>6724.137931</v>
      </c>
      <c r="AN1499" s="155" t="inlineStr">
        <is>
          <t>Shopify Stetson México</t>
        </is>
      </c>
      <c r="AO1499" s="59" t="n">
        <v>6</v>
      </c>
      <c r="AP1499" s="59" t="n"/>
      <c r="AQ1499" s="59" t="n"/>
      <c r="AR1499" s="155" t="inlineStr">
        <is>
          <t>Shopify Stetson México › Stetson México: 4 | Shopify Stetson México › Stetson Americas: 2</t>
        </is>
      </c>
    </row>
    <row r="1500">
      <c r="A1500" s="50" t="inlineStr">
        <is>
          <t>795177500148</t>
        </is>
      </c>
      <c r="B1500" s="51" t="inlineStr">
        <is>
          <t>109977</t>
        </is>
      </c>
      <c r="C1500" s="156" t="inlineStr">
        <is>
          <t>Multimarca</t>
        </is>
      </c>
      <c r="D1500" s="156" t="inlineStr">
        <is>
          <t>SFPALC-014061</t>
        </is>
      </c>
      <c r="E1500" s="156" t="inlineStr">
        <is>
          <t>SFPALC-01406174</t>
        </is>
      </c>
      <c r="F1500" s="156" t="inlineStr">
        <is>
          <t>7 1/2</t>
        </is>
      </c>
      <c r="G1500" s="156" t="inlineStr">
        <is>
          <t>7 1/2</t>
        </is>
      </c>
      <c r="H1500" s="156" t="inlineStr">
        <is>
          <t>Stetson</t>
        </is>
      </c>
      <c r="I1500" s="156" t="inlineStr">
        <is>
          <t>Texana Stetson Palacio Ii Plata</t>
        </is>
      </c>
      <c r="J1500" s="156" t="inlineStr">
        <is>
          <t>Accesorios</t>
        </is>
      </c>
      <c r="K1500" s="156" t="inlineStr">
        <is>
          <t>Sombreros</t>
        </is>
      </c>
      <c r="L1500" s="156" t="inlineStr">
        <is>
          <t>Unisex</t>
        </is>
      </c>
      <c r="M1500" s="156" t="inlineStr">
        <is>
          <t>Stetson</t>
        </is>
      </c>
      <c r="N1500" s="156" t="inlineStr">
        <is>
          <t>SS26</t>
        </is>
      </c>
      <c r="O1500" s="156" t="inlineStr">
        <is>
          <t>Seasonal</t>
        </is>
      </c>
      <c r="P1500" s="156" t="inlineStr">
        <is>
          <t>Gris</t>
        </is>
      </c>
      <c r="Q1500" s="156" t="n"/>
      <c r="R1500" s="156" t="n"/>
      <c r="S1500" s="156" t="inlineStr">
        <is>
          <t>100% Fieltro de lana</t>
        </is>
      </c>
      <c r="T1500" s="156" t="inlineStr">
        <is>
          <t>Texana Stetson Palacio II Plata.
 Composición: 100% Fieltro de lana.
 Color: Plata.</t>
        </is>
      </c>
      <c r="U1500" s="156" t="n"/>
      <c r="V1500" s="156" t="inlineStr">
        <is>
          <t>PZS</t>
        </is>
      </c>
      <c r="W1500" s="51" t="inlineStr">
        <is>
          <t>53102503</t>
        </is>
      </c>
      <c r="X1500" s="156" t="n"/>
      <c r="Y1500" s="54" t="n">
        <v>2756.25</v>
      </c>
      <c r="Z1500" s="54" t="n">
        <v>6724.137931</v>
      </c>
      <c r="AA1500" s="55">
        <f>IF(AND(A1500="", B1500="", E1500=""), "", IF(AB1500="", "Válido", IF((LEN(AB1500)-LEN(SUBSTITUTE(AB1500,"; ","")))/2+1&gt;(LEN(AB1500)-LEN(SUBSTITUTE(AB1500,"[Aviso]","")))/7, "Con Incidencias", "Válido")))</f>
        <v/>
      </c>
      <c r="AB1500" s="56">
        <f>IF(AND(A1500="", B1500="", E1500=""), "", TEXTJOIN("; ", TRUE, IF(OR(TRIM(A1500&amp;"")="", ISNUMBER(SEARCH("FALTA", A1500))), "UPC faltante/inválido", ""), IF(AND(A1500&lt;&gt;"", IFERROR(_xlfn.XMATCH(A1500,$A$2:$A$2509,0,1)&lt;&gt;_xlfn.XMATCH(A1500,$A$2:$A$2509,0,-1),FALSE)), "Código de barras duplicado", ""), IF(AND(E1500&lt;&gt;"", COUNTIF($E$2:$E$2509, E1500)&gt;1), "SKU duplicado", ""), IF(OR(J1500="", J1500=""), "[Aviso] División no capturada ()", IF(ISNA(MATCH(J1500, Criterios!$A$123:$A$126, 0)), "División no válida", "")), IF(OR(K1500="", K1500=""), "[Aviso] Categoría no capturada ()", IF(ISNA(MATCH(K1500, Criterios!$A$81:$A$120, 0)), "Categoría no válida", IF(AND(J1500&lt;&gt;"", J1500&lt;&gt;"", J1500&lt;&gt;VLOOKUP(K1500, Criterios!$A$81:$B$120, 2, FALSE)), "División no coincide con Categoría", ""))), IF(OR(L1500="", L1500=""), "[Aviso] Género no capturado ()", IF(ISNA(MATCH(L1500, Criterios!$B$123:$B$127, 0)), "Género no válido", "")), IF(OR(N1500="", N1500=""), "[Aviso] Temporada no capturada ()", IF(ISNA(MATCH(N1500, Criterios!$C$123:$C$128, 0)), "Temporada no válida", "")), IF(OR(O1500="", O1500=""), "[Aviso] Ciclo de vida no capturado ()", IF(ISNA(MATCH(O1500, Criterios!$D$123:$D$124, 0)), "Ciclo de vida no válido", ""))))</f>
        <v/>
      </c>
      <c r="AC1500" s="56" t="n"/>
      <c r="AD1500" s="51" t="n">
        <v>-2</v>
      </c>
      <c r="AE1500" s="156" t="n"/>
      <c r="AF1500" s="51" t="n">
        <v>0</v>
      </c>
      <c r="AG1500" s="156" t="inlineStr">
        <is>
          <t>Catálogo existente</t>
        </is>
      </c>
      <c r="AH1500" s="156" t="inlineStr">
        <is>
          <t>Stock negativo en sistema: revisar en conteo | Revisión 29/09/2026: Campos sin respaldo: U, X | 01/10/2026: complementado desde Shopify Stetson México (match por código de barras): WB Fit</t>
        </is>
      </c>
      <c r="AI1500" s="156" t="inlineStr">
        <is>
          <t>Sí</t>
        </is>
      </c>
      <c r="AJ1500" s="156" t="inlineStr">
        <is>
          <t>STETSON AMERICAS (-2)</t>
        </is>
      </c>
      <c r="AK1500" s="155" t="inlineStr">
        <is>
          <t>Criterios: I [Q] | Shopify Stetson: producto 15056329015659 / variante 53357912523115 | Odoo: producto 14328 / plantilla 17905</t>
        </is>
      </c>
      <c r="AL1500" s="58" t="n">
        <v>2756.25</v>
      </c>
      <c r="AM1500" s="58" t="n">
        <v>6724.137931</v>
      </c>
      <c r="AN1500" s="155" t="inlineStr">
        <is>
          <t>Shopify Stetson México | Odoo Universal Unique Brands</t>
        </is>
      </c>
      <c r="AO1500" s="59" t="n">
        <v>-1</v>
      </c>
      <c r="AP1500" s="59" t="n"/>
      <c r="AQ1500" s="59" t="n">
        <v>1</v>
      </c>
      <c r="AR1500" s="155" t="inlineStr">
        <is>
          <t>Odoo Universal Unique Brands › Stetson Americas › Stetson Americas/Stock: 1</t>
        </is>
      </c>
    </row>
    <row r="1501">
      <c r="A1501" s="50" t="inlineStr">
        <is>
          <t>795177500605</t>
        </is>
      </c>
      <c r="B1501" s="51" t="inlineStr">
        <is>
          <t>109978</t>
        </is>
      </c>
      <c r="C1501" s="156" t="inlineStr">
        <is>
          <t>Multimarca</t>
        </is>
      </c>
      <c r="D1501" s="156" t="inlineStr">
        <is>
          <t>SFPALC-014072</t>
        </is>
      </c>
      <c r="E1501" s="156" t="inlineStr">
        <is>
          <t>SFPALC-01407270</t>
        </is>
      </c>
      <c r="F1501" s="156" t="inlineStr">
        <is>
          <t>7</t>
        </is>
      </c>
      <c r="G1501" s="156" t="inlineStr">
        <is>
          <t>7</t>
        </is>
      </c>
      <c r="H1501" s="156" t="inlineStr">
        <is>
          <t>Stetson</t>
        </is>
      </c>
      <c r="I1501" s="156" t="inlineStr">
        <is>
          <t>Sombrero Stetson Palacio Ii 6X</t>
        </is>
      </c>
      <c r="J1501" s="156" t="inlineStr">
        <is>
          <t>Accesorios</t>
        </is>
      </c>
      <c r="K1501" s="156" t="inlineStr">
        <is>
          <t>Sombreros</t>
        </is>
      </c>
      <c r="L1501" s="156" t="inlineStr">
        <is>
          <t>Unisex</t>
        </is>
      </c>
      <c r="M1501" s="156" t="inlineStr">
        <is>
          <t>Stetson</t>
        </is>
      </c>
      <c r="N1501" s="156" t="inlineStr">
        <is>
          <t>SS26</t>
        </is>
      </c>
      <c r="O1501" s="156" t="inlineStr">
        <is>
          <t>Seasonal</t>
        </is>
      </c>
      <c r="P1501" s="156" t="inlineStr">
        <is>
          <t>Blanco</t>
        </is>
      </c>
      <c r="Q1501" s="156" t="n"/>
      <c r="R1501" s="156" t="n"/>
      <c r="S1501" s="156" t="inlineStr">
        <is>
          <t>100% Paja</t>
        </is>
      </c>
      <c r="T1501"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1" s="156" t="inlineStr">
        <is>
          <t>Estados Unidos</t>
        </is>
      </c>
      <c r="V1501" s="156" t="inlineStr">
        <is>
          <t>PZS</t>
        </is>
      </c>
      <c r="W1501" s="51" t="inlineStr">
        <is>
          <t>53102503</t>
        </is>
      </c>
      <c r="X1501" s="156" t="inlineStr">
        <is>
          <t>https://cdn.shopify.com/s/files/1/0888/3250/8267/files/SFPALC-014072-01.jpg?v=1759785933</t>
        </is>
      </c>
      <c r="Y1501" s="54" t="n">
        <v>2756.25</v>
      </c>
      <c r="Z1501" s="54" t="n">
        <v>6724.137931</v>
      </c>
      <c r="AA1501" s="55">
        <f>IF(AND(A1501="", B1501="", E1501=""), "", IF(AB1501="", "Válido", IF((LEN(AB1501)-LEN(SUBSTITUTE(AB1501,"; ","")))/2+1&gt;(LEN(AB1501)-LEN(SUBSTITUTE(AB1501,"[Aviso]","")))/7, "Con Incidencias", "Válido")))</f>
        <v/>
      </c>
      <c r="AB1501" s="56">
        <f>IF(AND(A1501="", B1501="", E1501=""), "", TEXTJOIN("; ", TRUE, IF(OR(TRIM(A1501&amp;"")="", ISNUMBER(SEARCH("FALTA", A1501))), "UPC faltante/inválido", ""), IF(AND(A1501&lt;&gt;"", IFERROR(_xlfn.XMATCH(A1501,$A$2:$A$2509,0,1)&lt;&gt;_xlfn.XMATCH(A1501,$A$2:$A$2509,0,-1),FALSE)), "Código de barras duplicado", ""), IF(AND(E1501&lt;&gt;"", COUNTIF($E$2:$E$2509, E1501)&gt;1), "SKU duplicado", ""), IF(OR(J1501="", J1501=""), "[Aviso] División no capturada ()", IF(ISNA(MATCH(J1501, Criterios!$A$123:$A$126, 0)), "División no válida", "")), IF(OR(K1501="", K1501=""), "[Aviso] Categoría no capturada ()", IF(ISNA(MATCH(K1501, Criterios!$A$81:$A$120, 0)), "Categoría no válida", IF(AND(J1501&lt;&gt;"", J1501&lt;&gt;"", J1501&lt;&gt;VLOOKUP(K1501, Criterios!$A$81:$B$120, 2, FALSE)), "División no coincide con Categoría", ""))), IF(OR(L1501="", L1501=""), "[Aviso] Género no capturado ()", IF(ISNA(MATCH(L1501, Criterios!$B$123:$B$127, 0)), "Género no válido", "")), IF(OR(N1501="", N1501=""), "[Aviso] Temporada no capturada ()", IF(ISNA(MATCH(N1501, Criterios!$C$123:$C$128, 0)), "Temporada no válida", "")), IF(OR(O1501="", O1501=""), "[Aviso] Ciclo de vida no capturado ()", IF(ISNA(MATCH(O1501, Criterios!$D$123:$D$124, 0)), "Ciclo de vida no válido", ""))))</f>
        <v/>
      </c>
      <c r="AC1501" s="56" t="n"/>
      <c r="AD1501" s="51" t="n">
        <v>-1</v>
      </c>
      <c r="AE1501" s="156" t="n"/>
      <c r="AF1501" s="51" t="n">
        <v>0</v>
      </c>
      <c r="AG1501" s="156" t="inlineStr">
        <is>
          <t>Catálogo existente</t>
        </is>
      </c>
      <c r="AH1501" s="156" t="inlineStr">
        <is>
          <t>Stock negativo en sistema: revisar en conteo | Revisión 29/09/2026: Cruce de catálogo y criterios sin pendientes detectados | 01/10/2026: complementado desde Shopify Stetson México (match por código de barras): WB Fit</t>
        </is>
      </c>
      <c r="AI1501" s="156" t="inlineStr">
        <is>
          <t>Sí</t>
        </is>
      </c>
      <c r="AJ1501" s="156" t="inlineStr">
        <is>
          <t>STETSON AMERICAS (-1)</t>
        </is>
      </c>
      <c r="AK1501" s="155" t="inlineStr">
        <is>
          <t>Criterios: I [Q] | Shopify Stetson: producto 14788276519275 / variante 53350609781099 | Odoo: producto 12946 / plantilla 16523</t>
        </is>
      </c>
      <c r="AL1501" s="58" t="n">
        <v>2756.25</v>
      </c>
      <c r="AM1501" s="58" t="n">
        <v>6724.137931</v>
      </c>
      <c r="AN1501" s="155" t="inlineStr">
        <is>
          <t>Shopify Stetson México | Odoo Universal Unique Brands</t>
        </is>
      </c>
      <c r="AO1501" s="59" t="n">
        <v>0</v>
      </c>
      <c r="AP1501" s="59" t="n"/>
      <c r="AQ1501" s="59" t="n">
        <v>1</v>
      </c>
      <c r="AR1501" s="155" t="inlineStr">
        <is>
          <t>Odoo Universal Unique Brands › Bodega 25 › Bodega 25/General: 1</t>
        </is>
      </c>
    </row>
    <row r="1502">
      <c r="A1502" s="50" t="inlineStr">
        <is>
          <t>795177500612</t>
        </is>
      </c>
      <c r="B1502" s="51" t="inlineStr">
        <is>
          <t>109979</t>
        </is>
      </c>
      <c r="C1502" s="156" t="inlineStr">
        <is>
          <t>Multimarca</t>
        </is>
      </c>
      <c r="D1502" s="156" t="inlineStr">
        <is>
          <t>SFPALC-014072</t>
        </is>
      </c>
      <c r="E1502" s="156" t="inlineStr">
        <is>
          <t>SFPALC-01407271</t>
        </is>
      </c>
      <c r="F1502" s="156" t="inlineStr">
        <is>
          <t>7 1/8</t>
        </is>
      </c>
      <c r="G1502" s="156" t="inlineStr">
        <is>
          <t>7 1/8</t>
        </is>
      </c>
      <c r="H1502" s="156" t="inlineStr">
        <is>
          <t>Stetson</t>
        </is>
      </c>
      <c r="I1502" s="156" t="inlineStr">
        <is>
          <t>Sombrero Stetson Palacio Ii 6X</t>
        </is>
      </c>
      <c r="J1502" s="156" t="inlineStr">
        <is>
          <t>Accesorios</t>
        </is>
      </c>
      <c r="K1502" s="156" t="inlineStr">
        <is>
          <t>Sombreros</t>
        </is>
      </c>
      <c r="L1502" s="156" t="inlineStr">
        <is>
          <t>Unisex</t>
        </is>
      </c>
      <c r="M1502" s="156" t="inlineStr">
        <is>
          <t>Stetson</t>
        </is>
      </c>
      <c r="N1502" s="156" t="inlineStr">
        <is>
          <t>SS26</t>
        </is>
      </c>
      <c r="O1502" s="156" t="inlineStr">
        <is>
          <t>Seasonal</t>
        </is>
      </c>
      <c r="P1502" s="156" t="inlineStr">
        <is>
          <t>Blanco</t>
        </is>
      </c>
      <c r="Q1502" s="156" t="n"/>
      <c r="R1502" s="156" t="n"/>
      <c r="S1502" s="156" t="inlineStr">
        <is>
          <t>100% Paja</t>
        </is>
      </c>
      <c r="T1502"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2" s="156" t="inlineStr">
        <is>
          <t>Estados Unidos</t>
        </is>
      </c>
      <c r="V1502" s="156" t="inlineStr">
        <is>
          <t>PZS</t>
        </is>
      </c>
      <c r="W1502" s="51" t="inlineStr">
        <is>
          <t>53102503</t>
        </is>
      </c>
      <c r="X1502" s="156" t="inlineStr">
        <is>
          <t>https://cdn.shopify.com/s/files/1/0888/3250/8267/files/SFPALC-014072-02.jpg?v=1759785933</t>
        </is>
      </c>
      <c r="Y1502" s="54" t="n">
        <v>2756.25</v>
      </c>
      <c r="Z1502" s="54" t="n">
        <v>6724.137931</v>
      </c>
      <c r="AA1502" s="55">
        <f>IF(AND(A1502="", B1502="", E1502=""), "", IF(AB1502="", "Válido", IF((LEN(AB1502)-LEN(SUBSTITUTE(AB1502,"; ","")))/2+1&gt;(LEN(AB1502)-LEN(SUBSTITUTE(AB1502,"[Aviso]","")))/7, "Con Incidencias", "Válido")))</f>
        <v/>
      </c>
      <c r="AB1502" s="56">
        <f>IF(AND(A1502="", B1502="", E1502=""), "", TEXTJOIN("; ", TRUE, IF(OR(TRIM(A1502&amp;"")="", ISNUMBER(SEARCH("FALTA", A1502))), "UPC faltante/inválido", ""), IF(AND(A1502&lt;&gt;"", IFERROR(_xlfn.XMATCH(A1502,$A$2:$A$2509,0,1)&lt;&gt;_xlfn.XMATCH(A1502,$A$2:$A$2509,0,-1),FALSE)), "Código de barras duplicado", ""), IF(AND(E1502&lt;&gt;"", COUNTIF($E$2:$E$2509, E1502)&gt;1), "SKU duplicado", ""), IF(OR(J1502="", J1502=""), "[Aviso] División no capturada ()", IF(ISNA(MATCH(J1502, Criterios!$A$123:$A$126, 0)), "División no válida", "")), IF(OR(K1502="", K1502=""), "[Aviso] Categoría no capturada ()", IF(ISNA(MATCH(K1502, Criterios!$A$81:$A$120, 0)), "Categoría no válida", IF(AND(J1502&lt;&gt;"", J1502&lt;&gt;"", J1502&lt;&gt;VLOOKUP(K1502, Criterios!$A$81:$B$120, 2, FALSE)), "División no coincide con Categoría", ""))), IF(OR(L1502="", L1502=""), "[Aviso] Género no capturado ()", IF(ISNA(MATCH(L1502, Criterios!$B$123:$B$127, 0)), "Género no válido", "")), IF(OR(N1502="", N1502=""), "[Aviso] Temporada no capturada ()", IF(ISNA(MATCH(N1502, Criterios!$C$123:$C$128, 0)), "Temporada no válida", "")), IF(OR(O1502="", O1502=""), "[Aviso] Ciclo de vida no capturado ()", IF(ISNA(MATCH(O1502, Criterios!$D$123:$D$124, 0)), "Ciclo de vida no válido", ""))))</f>
        <v/>
      </c>
      <c r="AC1502" s="56" t="n"/>
      <c r="AD1502" s="51" t="n">
        <v>-1</v>
      </c>
      <c r="AE1502" s="156" t="n"/>
      <c r="AF1502" s="51" t="n">
        <v>0</v>
      </c>
      <c r="AG1502" s="156" t="inlineStr">
        <is>
          <t>Catálogo existente</t>
        </is>
      </c>
      <c r="AH1502" s="156" t="inlineStr">
        <is>
          <t>Stock negativo en sistema: revisar en conteo | Revisión 29/09/2026: Cruce de catálogo y criterios sin pendientes detectados | 01/10/2026: complementado desde Shopify Stetson México (match por código de barras): WB Fit</t>
        </is>
      </c>
      <c r="AI1502" s="156" t="inlineStr">
        <is>
          <t>Sí</t>
        </is>
      </c>
      <c r="AJ1502" s="156" t="inlineStr">
        <is>
          <t>STETSON AMERICAS (-1)</t>
        </is>
      </c>
      <c r="AK1502" s="155" t="inlineStr">
        <is>
          <t>Criterios: I [Q] | Shopify Stetson: producto 14788276519275 / variante 53350609813867</t>
        </is>
      </c>
      <c r="AL1502" s="58" t="n">
        <v>2756.25</v>
      </c>
      <c r="AM1502" s="58" t="n">
        <v>6724.137931</v>
      </c>
      <c r="AN1502" s="155" t="inlineStr">
        <is>
          <t>Shopify Stetson México</t>
        </is>
      </c>
      <c r="AO1502" s="59" t="n">
        <v>0</v>
      </c>
      <c r="AP1502" s="59" t="n"/>
      <c r="AQ1502" s="59" t="n"/>
      <c r="AR1502" s="155" t="n"/>
    </row>
    <row r="1503">
      <c r="A1503" s="50" t="inlineStr">
        <is>
          <t>795177500629</t>
        </is>
      </c>
      <c r="B1503" s="51" t="inlineStr">
        <is>
          <t>109980</t>
        </is>
      </c>
      <c r="C1503" s="156" t="inlineStr">
        <is>
          <t>Multimarca</t>
        </is>
      </c>
      <c r="D1503" s="156" t="inlineStr">
        <is>
          <t>SFPALC-014072</t>
        </is>
      </c>
      <c r="E1503" s="156" t="inlineStr">
        <is>
          <t>SFPALC-01407272</t>
        </is>
      </c>
      <c r="F1503" s="156" t="inlineStr">
        <is>
          <t>7 1/4</t>
        </is>
      </c>
      <c r="G1503" s="156" t="inlineStr">
        <is>
          <t>7 1/4</t>
        </is>
      </c>
      <c r="H1503" s="156" t="inlineStr">
        <is>
          <t>Stetson</t>
        </is>
      </c>
      <c r="I1503" s="156" t="inlineStr">
        <is>
          <t>Sombrero Stetson Palacio Ii 6X</t>
        </is>
      </c>
      <c r="J1503" s="156" t="inlineStr">
        <is>
          <t>Accesorios</t>
        </is>
      </c>
      <c r="K1503" s="156" t="inlineStr">
        <is>
          <t>Sombreros</t>
        </is>
      </c>
      <c r="L1503" s="156" t="inlineStr">
        <is>
          <t>Unisex</t>
        </is>
      </c>
      <c r="M1503" s="156" t="inlineStr">
        <is>
          <t>Stetson</t>
        </is>
      </c>
      <c r="N1503" s="156" t="inlineStr">
        <is>
          <t>SS26</t>
        </is>
      </c>
      <c r="O1503" s="156" t="inlineStr">
        <is>
          <t>Seasonal</t>
        </is>
      </c>
      <c r="P1503" s="156" t="inlineStr">
        <is>
          <t>Blanco</t>
        </is>
      </c>
      <c r="Q1503" s="156" t="n"/>
      <c r="R1503" s="156" t="n"/>
      <c r="S1503" s="156" t="inlineStr">
        <is>
          <t>100% Paja</t>
        </is>
      </c>
      <c r="T1503"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3" s="156" t="inlineStr">
        <is>
          <t>Estados Unidos</t>
        </is>
      </c>
      <c r="V1503" s="156" t="inlineStr">
        <is>
          <t>PZS</t>
        </is>
      </c>
      <c r="W1503" s="51" t="inlineStr">
        <is>
          <t>53102503</t>
        </is>
      </c>
      <c r="X1503" s="156" t="inlineStr">
        <is>
          <t>https://cdn.shopify.com/s/files/1/0888/3250/8267/files/SFPALC-014072-03.jpg?v=1759785933</t>
        </is>
      </c>
      <c r="Y1503" s="54" t="n">
        <v>2756.25</v>
      </c>
      <c r="Z1503" s="54" t="n">
        <v>6724.137931</v>
      </c>
      <c r="AA1503" s="55">
        <f>IF(AND(A1503="", B1503="", E1503=""), "", IF(AB1503="", "Válido", IF((LEN(AB1503)-LEN(SUBSTITUTE(AB1503,"; ","")))/2+1&gt;(LEN(AB1503)-LEN(SUBSTITUTE(AB1503,"[Aviso]","")))/7, "Con Incidencias", "Válido")))</f>
        <v/>
      </c>
      <c r="AB1503" s="56">
        <f>IF(AND(A1503="", B1503="", E1503=""), "", TEXTJOIN("; ", TRUE, IF(OR(TRIM(A1503&amp;"")="", ISNUMBER(SEARCH("FALTA", A1503))), "UPC faltante/inválido", ""), IF(AND(A1503&lt;&gt;"", IFERROR(_xlfn.XMATCH(A1503,$A$2:$A$2509,0,1)&lt;&gt;_xlfn.XMATCH(A1503,$A$2:$A$2509,0,-1),FALSE)), "Código de barras duplicado", ""), IF(AND(E1503&lt;&gt;"", COUNTIF($E$2:$E$2509, E1503)&gt;1), "SKU duplicado", ""), IF(OR(J1503="", J1503=""), "[Aviso] División no capturada ()", IF(ISNA(MATCH(J1503, Criterios!$A$123:$A$126, 0)), "División no válida", "")), IF(OR(K1503="", K1503=""), "[Aviso] Categoría no capturada ()", IF(ISNA(MATCH(K1503, Criterios!$A$81:$A$120, 0)), "Categoría no válida", IF(AND(J1503&lt;&gt;"", J1503&lt;&gt;"", J1503&lt;&gt;VLOOKUP(K1503, Criterios!$A$81:$B$120, 2, FALSE)), "División no coincide con Categoría", ""))), IF(OR(L1503="", L1503=""), "[Aviso] Género no capturado ()", IF(ISNA(MATCH(L1503, Criterios!$B$123:$B$127, 0)), "Género no válido", "")), IF(OR(N1503="", N1503=""), "[Aviso] Temporada no capturada ()", IF(ISNA(MATCH(N1503, Criterios!$C$123:$C$128, 0)), "Temporada no válida", "")), IF(OR(O1503="", O1503=""), "[Aviso] Ciclo de vida no capturado ()", IF(ISNA(MATCH(O1503, Criterios!$D$123:$D$124, 0)), "Ciclo de vida no válido", ""))))</f>
        <v/>
      </c>
      <c r="AC1503" s="56" t="n"/>
      <c r="AD1503" s="51" t="n">
        <v>0</v>
      </c>
      <c r="AE1503" s="156" t="n"/>
      <c r="AF1503" s="51" t="n">
        <v>0</v>
      </c>
      <c r="AG1503" s="156" t="inlineStr">
        <is>
          <t>Catálogo existente</t>
        </is>
      </c>
      <c r="AH1503" s="156" t="inlineStr">
        <is>
          <t>Revisión 29/09/2026: Cruce de catálogo y criterios sin pendientes detectados | 01/10/2026: complementado desde Shopify Stetson México (match por código de barras): WB Fit</t>
        </is>
      </c>
      <c r="AI1503" s="156" t="inlineStr">
        <is>
          <t>No</t>
        </is>
      </c>
      <c r="AJ1503" s="156" t="n"/>
      <c r="AK1503" s="155" t="inlineStr">
        <is>
          <t>Criterios: I [Q] | Shopify Stetson: producto 14788276519275 / variante 53350609846635</t>
        </is>
      </c>
      <c r="AL1503" s="58" t="n">
        <v>2756.25</v>
      </c>
      <c r="AM1503" s="58" t="n">
        <v>6724.137931</v>
      </c>
      <c r="AN1503" s="155" t="inlineStr">
        <is>
          <t>Shopify Stetson México</t>
        </is>
      </c>
      <c r="AO1503" s="59" t="n">
        <v>0</v>
      </c>
      <c r="AP1503" s="59" t="n"/>
      <c r="AQ1503" s="59" t="n"/>
      <c r="AR1503" s="155" t="n"/>
    </row>
    <row r="1504">
      <c r="A1504" s="50" t="inlineStr">
        <is>
          <t>795177500636</t>
        </is>
      </c>
      <c r="B1504" s="51" t="inlineStr">
        <is>
          <t>109981</t>
        </is>
      </c>
      <c r="C1504" s="156" t="inlineStr">
        <is>
          <t>Multimarca</t>
        </is>
      </c>
      <c r="D1504" s="156" t="inlineStr">
        <is>
          <t>SFPALC-014072</t>
        </is>
      </c>
      <c r="E1504" s="156" t="inlineStr">
        <is>
          <t>SFPALC-01407273</t>
        </is>
      </c>
      <c r="F1504" s="156" t="inlineStr">
        <is>
          <t>7 3/8</t>
        </is>
      </c>
      <c r="G1504" s="156" t="inlineStr">
        <is>
          <t>7 3/8</t>
        </is>
      </c>
      <c r="H1504" s="156" t="inlineStr">
        <is>
          <t>Stetson</t>
        </is>
      </c>
      <c r="I1504" s="156" t="inlineStr">
        <is>
          <t>Sombrero Stetson Palacio Ii 6X</t>
        </is>
      </c>
      <c r="J1504" s="156" t="inlineStr">
        <is>
          <t>Accesorios</t>
        </is>
      </c>
      <c r="K1504" s="156" t="inlineStr">
        <is>
          <t>Sombreros</t>
        </is>
      </c>
      <c r="L1504" s="156" t="inlineStr">
        <is>
          <t>Unisex</t>
        </is>
      </c>
      <c r="M1504" s="156" t="inlineStr">
        <is>
          <t>Stetson</t>
        </is>
      </c>
      <c r="N1504" s="156" t="inlineStr">
        <is>
          <t>SS26</t>
        </is>
      </c>
      <c r="O1504" s="156" t="inlineStr">
        <is>
          <t>Seasonal</t>
        </is>
      </c>
      <c r="P1504" s="156" t="inlineStr">
        <is>
          <t>Blanco</t>
        </is>
      </c>
      <c r="Q1504" s="156" t="n"/>
      <c r="R1504" s="156" t="n"/>
      <c r="S1504" s="156" t="inlineStr">
        <is>
          <t>100% Paja</t>
        </is>
      </c>
      <c r="T1504"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4" s="156" t="inlineStr">
        <is>
          <t>Estados Unidos</t>
        </is>
      </c>
      <c r="V1504" s="156" t="inlineStr">
        <is>
          <t>PZS</t>
        </is>
      </c>
      <c r="W1504" s="51" t="inlineStr">
        <is>
          <t>53102503</t>
        </is>
      </c>
      <c r="X1504" s="156" t="inlineStr">
        <is>
          <t>https://cdn.shopify.com/s/files/1/0888/3250/8267/files/SFPALC-014072-04.jpg?v=1759785933</t>
        </is>
      </c>
      <c r="Y1504" s="54" t="n">
        <v>2756.25</v>
      </c>
      <c r="Z1504" s="54" t="n">
        <v>6724.137931</v>
      </c>
      <c r="AA1504" s="55">
        <f>IF(AND(A1504="", B1504="", E1504=""), "", IF(AB1504="", "Válido", IF((LEN(AB1504)-LEN(SUBSTITUTE(AB1504,"; ","")))/2+1&gt;(LEN(AB1504)-LEN(SUBSTITUTE(AB1504,"[Aviso]","")))/7, "Con Incidencias", "Válido")))</f>
        <v/>
      </c>
      <c r="AB1504" s="56">
        <f>IF(AND(A1504="", B1504="", E1504=""), "", TEXTJOIN("; ", TRUE, IF(OR(TRIM(A1504&amp;"")="", ISNUMBER(SEARCH("FALTA", A1504))), "UPC faltante/inválido", ""), IF(AND(A1504&lt;&gt;"", IFERROR(_xlfn.XMATCH(A1504,$A$2:$A$2509,0,1)&lt;&gt;_xlfn.XMATCH(A1504,$A$2:$A$2509,0,-1),FALSE)), "Código de barras duplicado", ""), IF(AND(E1504&lt;&gt;"", COUNTIF($E$2:$E$2509, E1504)&gt;1), "SKU duplicado", ""), IF(OR(J1504="", J1504=""), "[Aviso] División no capturada ()", IF(ISNA(MATCH(J1504, Criterios!$A$123:$A$126, 0)), "División no válida", "")), IF(OR(K1504="", K1504=""), "[Aviso] Categoría no capturada ()", IF(ISNA(MATCH(K1504, Criterios!$A$81:$A$120, 0)), "Categoría no válida", IF(AND(J1504&lt;&gt;"", J1504&lt;&gt;"", J1504&lt;&gt;VLOOKUP(K1504, Criterios!$A$81:$B$120, 2, FALSE)), "División no coincide con Categoría", ""))), IF(OR(L1504="", L1504=""), "[Aviso] Género no capturado ()", IF(ISNA(MATCH(L1504, Criterios!$B$123:$B$127, 0)), "Género no válido", "")), IF(OR(N1504="", N1504=""), "[Aviso] Temporada no capturada ()", IF(ISNA(MATCH(N1504, Criterios!$C$123:$C$128, 0)), "Temporada no válida", "")), IF(OR(O1504="", O1504=""), "[Aviso] Ciclo de vida no capturado ()", IF(ISNA(MATCH(O1504, Criterios!$D$123:$D$124, 0)), "Ciclo de vida no válido", ""))))</f>
        <v/>
      </c>
      <c r="AC1504" s="56" t="n"/>
      <c r="AD1504" s="51" t="n">
        <v>0</v>
      </c>
      <c r="AE1504" s="156" t="n"/>
      <c r="AF1504" s="51" t="n">
        <v>0</v>
      </c>
      <c r="AG1504" s="156" t="inlineStr">
        <is>
          <t>Catálogo existente</t>
        </is>
      </c>
      <c r="AH1504" s="156" t="inlineStr">
        <is>
          <t>Revisión 29/09/2026: Cruce de catálogo y criterios sin pendientes detectados | 01/10/2026: complementado desde Shopify Stetson México (match por código de barras): WB Fit</t>
        </is>
      </c>
      <c r="AI1504" s="156" t="inlineStr">
        <is>
          <t>No</t>
        </is>
      </c>
      <c r="AJ1504" s="156" t="n"/>
      <c r="AK1504" s="155" t="inlineStr">
        <is>
          <t>Criterios: I [Q] | Shopify Stetson: producto 14788276519275 / variante 53350609879403 | Odoo: producto 12949 / plantilla 16526</t>
        </is>
      </c>
      <c r="AL1504" s="58" t="n">
        <v>2756.25</v>
      </c>
      <c r="AM1504" s="58" t="n">
        <v>6724.137931</v>
      </c>
      <c r="AN1504" s="155" t="inlineStr">
        <is>
          <t>Shopify Stetson México | Odoo Universal Unique Brands</t>
        </is>
      </c>
      <c r="AO1504" s="59" t="n">
        <v>1</v>
      </c>
      <c r="AP1504" s="59" t="n"/>
      <c r="AQ1504" s="59" t="n">
        <v>1</v>
      </c>
      <c r="AR1504" s="155" t="inlineStr">
        <is>
          <t>Shopify Stetson México › Stetson Americas: 1 | Odoo Universal Unique Brands › Bodega 25 › Bodega 25/General: 1</t>
        </is>
      </c>
    </row>
    <row r="1505">
      <c r="A1505" s="50" t="inlineStr">
        <is>
          <t>795177667711</t>
        </is>
      </c>
      <c r="B1505" s="51" t="inlineStr">
        <is>
          <t>117388</t>
        </is>
      </c>
      <c r="C1505" s="156" t="inlineStr">
        <is>
          <t>Multimarca</t>
        </is>
      </c>
      <c r="D1505" s="156" t="inlineStr">
        <is>
          <t>SFTMIXB285061</t>
        </is>
      </c>
      <c r="E1505" s="156" t="inlineStr">
        <is>
          <t>SFTMIXB28506167</t>
        </is>
      </c>
      <c r="F1505" s="156" t="inlineStr">
        <is>
          <t>6 7/8</t>
        </is>
      </c>
      <c r="G1505" s="156" t="inlineStr">
        <is>
          <t>6 7/8</t>
        </is>
      </c>
      <c r="H1505" s="156" t="inlineStr">
        <is>
          <t>Stetson</t>
        </is>
      </c>
      <c r="I1505" s="156" t="inlineStr">
        <is>
          <t>Texana Stetson Temple Mix Gris</t>
        </is>
      </c>
      <c r="J1505" s="156" t="inlineStr">
        <is>
          <t>Accesorios</t>
        </is>
      </c>
      <c r="K1505" s="156" t="inlineStr">
        <is>
          <t>Sombreros</t>
        </is>
      </c>
      <c r="L1505" s="156" t="inlineStr">
        <is>
          <t>Unisex</t>
        </is>
      </c>
      <c r="M1505" s="156" t="inlineStr">
        <is>
          <t>Stetson</t>
        </is>
      </c>
      <c r="N1505" s="156" t="inlineStr">
        <is>
          <t>FW26</t>
        </is>
      </c>
      <c r="O1505" s="156" t="inlineStr">
        <is>
          <t>Seasonal</t>
        </is>
      </c>
      <c r="P1505" s="156" t="inlineStr">
        <is>
          <t>Gris</t>
        </is>
      </c>
      <c r="Q1505" s="156" t="n"/>
      <c r="R1505" s="156" t="inlineStr">
        <is>
          <t>Copa Gus</t>
        </is>
      </c>
      <c r="S1505" s="156" t="inlineStr">
        <is>
          <t>Fur / Wool Blend</t>
        </is>
      </c>
      <c r="T1505"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5" s="156" t="inlineStr">
        <is>
          <t>Estados Unidos</t>
        </is>
      </c>
      <c r="V1505" s="156" t="inlineStr">
        <is>
          <t>PZS</t>
        </is>
      </c>
      <c r="W1505" s="51" t="inlineStr">
        <is>
          <t>53102503</t>
        </is>
      </c>
      <c r="X1505" s="156" t="inlineStr">
        <is>
          <t>https://cdn.shopify.com/s/files/1/0357/2432/9005/products/sftmixb2850_silverbelly_1.jpg?v=1590802363</t>
        </is>
      </c>
      <c r="Y1505" s="54" t="n">
        <v>3307.5</v>
      </c>
      <c r="Z1505" s="54" t="n">
        <v>8017.241379</v>
      </c>
      <c r="AA1505" s="55">
        <f>IF(AND(A1505="", B1505="", E1505=""), "", IF(AB1505="", "Válido", IF((LEN(AB1505)-LEN(SUBSTITUTE(AB1505,"; ","")))/2+1&gt;(LEN(AB1505)-LEN(SUBSTITUTE(AB1505,"[Aviso]","")))/7, "Con Incidencias", "Válido")))</f>
        <v/>
      </c>
      <c r="AB1505" s="56">
        <f>IF(AND(A1505="", B1505="", E1505=""), "", TEXTJOIN("; ", TRUE, IF(OR(TRIM(A1505&amp;"")="", ISNUMBER(SEARCH("FALTA", A1505))), "UPC faltante/inválido", ""), IF(AND(A1505&lt;&gt;"", IFERROR(_xlfn.XMATCH(A1505,$A$2:$A$2509,0,1)&lt;&gt;_xlfn.XMATCH(A1505,$A$2:$A$2509,0,-1),FALSE)), "Código de barras duplicado", ""), IF(AND(E1505&lt;&gt;"", COUNTIF($E$2:$E$2509, E1505)&gt;1), "SKU duplicado", ""), IF(OR(J1505="", J1505=""), "[Aviso] División no capturada ()", IF(ISNA(MATCH(J1505, Criterios!$A$123:$A$126, 0)), "División no válida", "")), IF(OR(K1505="", K1505=""), "[Aviso] Categoría no capturada ()", IF(ISNA(MATCH(K1505, Criterios!$A$81:$A$120, 0)), "Categoría no válida", IF(AND(J1505&lt;&gt;"", J1505&lt;&gt;"", J1505&lt;&gt;VLOOKUP(K1505, Criterios!$A$81:$B$120, 2, FALSE)), "División no coincide con Categoría", ""))), IF(OR(L1505="", L1505=""), "[Aviso] Género no capturado ()", IF(ISNA(MATCH(L1505, Criterios!$B$123:$B$127, 0)), "Género no válido", "")), IF(OR(N1505="", N1505=""), "[Aviso] Temporada no capturada ()", IF(ISNA(MATCH(N1505, Criterios!$C$123:$C$128, 0)), "Temporada no válida", "")), IF(OR(O1505="", O1505=""), "[Aviso] Ciclo de vida no capturado ()", IF(ISNA(MATCH(O1505, Criterios!$D$123:$D$124, 0)), "Ciclo de vida no válido", ""))))</f>
        <v/>
      </c>
      <c r="AC1505" s="56" t="n"/>
      <c r="AD1505" s="51" t="n">
        <v>0</v>
      </c>
      <c r="AE1505" s="156" t="inlineStr">
        <is>
          <t>STETSON AMERICAS (1)</t>
        </is>
      </c>
      <c r="AF1505" s="51" t="n">
        <v>1</v>
      </c>
      <c r="AG1505" s="156" t="inlineStr">
        <is>
          <t>Catálogo existente</t>
        </is>
      </c>
      <c r="AH1505"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5" s="156" t="inlineStr">
        <is>
          <t>Sí</t>
        </is>
      </c>
      <c r="AJ1505" s="156" t="inlineStr">
        <is>
          <t>B25 CEDIS (-1)</t>
        </is>
      </c>
      <c r="AK1505" s="155" t="inlineStr">
        <is>
          <t>Criterios: I [Q] | Shopify Stetson: producto 15227650277739 / variante 53791838536043 | Investigación en línea 06/10/2026: https://www.stetson.com/products/tom-mix-6x-cowboy-hat-silverbelly</t>
        </is>
      </c>
      <c r="AL1505" s="58" t="n">
        <v>3307.5</v>
      </c>
      <c r="AM1505" s="58" t="n">
        <v>8017.241379</v>
      </c>
      <c r="AN1505" s="155" t="inlineStr">
        <is>
          <t>Shopify Stetson México</t>
        </is>
      </c>
      <c r="AO1505" s="59" t="n">
        <v>1</v>
      </c>
      <c r="AP1505" s="59" t="n"/>
      <c r="AQ1505" s="59" t="n"/>
      <c r="AR1505" s="155" t="inlineStr">
        <is>
          <t>Shopify Stetson México › Stetson Americas: 1</t>
        </is>
      </c>
    </row>
    <row r="1506">
      <c r="A1506" s="50" t="inlineStr">
        <is>
          <t>795177667728</t>
        </is>
      </c>
      <c r="B1506" s="51" t="inlineStr">
        <is>
          <t>117389</t>
        </is>
      </c>
      <c r="C1506" s="156" t="inlineStr">
        <is>
          <t>Multimarca</t>
        </is>
      </c>
      <c r="D1506" s="156" t="inlineStr">
        <is>
          <t>SFTMIXB285061</t>
        </is>
      </c>
      <c r="E1506" s="156" t="inlineStr">
        <is>
          <t>SFTMIXB28506170</t>
        </is>
      </c>
      <c r="F1506" s="156" t="inlineStr">
        <is>
          <t>7</t>
        </is>
      </c>
      <c r="G1506" s="156" t="inlineStr">
        <is>
          <t>7</t>
        </is>
      </c>
      <c r="H1506" s="156" t="inlineStr">
        <is>
          <t>Stetson</t>
        </is>
      </c>
      <c r="I1506" s="156" t="inlineStr">
        <is>
          <t>Texana Stetson Temple Mix Gris</t>
        </is>
      </c>
      <c r="J1506" s="156" t="inlineStr">
        <is>
          <t>Accesorios</t>
        </is>
      </c>
      <c r="K1506" s="156" t="inlineStr">
        <is>
          <t>Sombreros</t>
        </is>
      </c>
      <c r="L1506" s="156" t="inlineStr">
        <is>
          <t>Unisex</t>
        </is>
      </c>
      <c r="M1506" s="156" t="inlineStr">
        <is>
          <t>Stetson</t>
        </is>
      </c>
      <c r="N1506" s="156" t="inlineStr">
        <is>
          <t>FW26</t>
        </is>
      </c>
      <c r="O1506" s="156" t="inlineStr">
        <is>
          <t>Seasonal</t>
        </is>
      </c>
      <c r="P1506" s="156" t="inlineStr">
        <is>
          <t>Gris</t>
        </is>
      </c>
      <c r="Q1506" s="156" t="n"/>
      <c r="R1506" s="156" t="inlineStr">
        <is>
          <t>Copa Gus</t>
        </is>
      </c>
      <c r="S1506" s="156" t="inlineStr">
        <is>
          <t>Fur / Wool Blend</t>
        </is>
      </c>
      <c r="T1506"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6" s="156" t="inlineStr">
        <is>
          <t>Estados Unidos</t>
        </is>
      </c>
      <c r="V1506" s="156" t="inlineStr">
        <is>
          <t>PZS</t>
        </is>
      </c>
      <c r="W1506" s="51" t="inlineStr">
        <is>
          <t>53102503</t>
        </is>
      </c>
      <c r="X1506" s="156" t="inlineStr">
        <is>
          <t>https://cdn.shopify.com/s/files/1/0357/2432/9005/products/sftmixb2850_silverbelly_1.jpg?v=1590802363</t>
        </is>
      </c>
      <c r="Y1506" s="54" t="n">
        <v>3307.5</v>
      </c>
      <c r="Z1506" s="54" t="n">
        <v>8017.241379</v>
      </c>
      <c r="AA1506" s="55">
        <f>IF(AND(A1506="", B1506="", E1506=""), "", IF(AB1506="", "Válido", IF((LEN(AB1506)-LEN(SUBSTITUTE(AB1506,"; ","")))/2+1&gt;(LEN(AB1506)-LEN(SUBSTITUTE(AB1506,"[Aviso]","")))/7, "Con Incidencias", "Válido")))</f>
        <v/>
      </c>
      <c r="AB1506" s="56">
        <f>IF(AND(A1506="", B1506="", E1506=""), "", TEXTJOIN("; ", TRUE, IF(OR(TRIM(A1506&amp;"")="", ISNUMBER(SEARCH("FALTA", A1506))), "UPC faltante/inválido", ""), IF(AND(A1506&lt;&gt;"", IFERROR(_xlfn.XMATCH(A1506,$A$2:$A$2509,0,1)&lt;&gt;_xlfn.XMATCH(A1506,$A$2:$A$2509,0,-1),FALSE)), "Código de barras duplicado", ""), IF(AND(E1506&lt;&gt;"", COUNTIF($E$2:$E$2509, E1506)&gt;1), "SKU duplicado", ""), IF(OR(J1506="", J1506=""), "[Aviso] División no capturada ()", IF(ISNA(MATCH(J1506, Criterios!$A$123:$A$126, 0)), "División no válida", "")), IF(OR(K1506="", K1506=""), "[Aviso] Categoría no capturada ()", IF(ISNA(MATCH(K1506, Criterios!$A$81:$A$120, 0)), "Categoría no válida", IF(AND(J1506&lt;&gt;"", J1506&lt;&gt;"", J1506&lt;&gt;VLOOKUP(K1506, Criterios!$A$81:$B$120, 2, FALSE)), "División no coincide con Categoría", ""))), IF(OR(L1506="", L1506=""), "[Aviso] Género no capturado ()", IF(ISNA(MATCH(L1506, Criterios!$B$123:$B$127, 0)), "Género no válido", "")), IF(OR(N1506="", N1506=""), "[Aviso] Temporada no capturada ()", IF(ISNA(MATCH(N1506, Criterios!$C$123:$C$128, 0)), "Temporada no válida", "")), IF(OR(O1506="", O1506=""), "[Aviso] Ciclo de vida no capturado ()", IF(ISNA(MATCH(O1506, Criterios!$D$123:$D$124, 0)), "Ciclo de vida no válido", ""))))</f>
        <v/>
      </c>
      <c r="AC1506" s="56" t="n"/>
      <c r="AD1506" s="51" t="n">
        <v>0</v>
      </c>
      <c r="AE1506" s="156" t="inlineStr">
        <is>
          <t>STETSON AMERICAS (1)</t>
        </is>
      </c>
      <c r="AF1506" s="51" t="n">
        <v>1</v>
      </c>
      <c r="AG1506" s="156" t="inlineStr">
        <is>
          <t>Catálogo existente</t>
        </is>
      </c>
      <c r="AH1506"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6" s="156" t="inlineStr">
        <is>
          <t>Sí</t>
        </is>
      </c>
      <c r="AJ1506" s="156" t="inlineStr">
        <is>
          <t>B25 CEDIS (-1)</t>
        </is>
      </c>
      <c r="AK1506" s="155" t="inlineStr">
        <is>
          <t>Criterios: I [Q] | Shopify Stetson: producto 15227650277739 / variante 53791838568811 | Investigación en línea 06/10/2026: https://www.stetson.com/products/tom-mix-6x-cowboy-hat-silverbelly</t>
        </is>
      </c>
      <c r="AL1506" s="58" t="n">
        <v>3307.5</v>
      </c>
      <c r="AM1506" s="58" t="n">
        <v>8017.241379</v>
      </c>
      <c r="AN1506" s="155" t="inlineStr">
        <is>
          <t>Shopify Stetson México</t>
        </is>
      </c>
      <c r="AO1506" s="59" t="n">
        <v>1</v>
      </c>
      <c r="AP1506" s="59" t="n"/>
      <c r="AQ1506" s="59" t="n"/>
      <c r="AR1506" s="155" t="inlineStr">
        <is>
          <t>Shopify Stetson México › Stetson Americas: 1</t>
        </is>
      </c>
    </row>
    <row r="1507">
      <c r="A1507" s="50" t="inlineStr">
        <is>
          <t>795177667735</t>
        </is>
      </c>
      <c r="B1507" s="51" t="inlineStr">
        <is>
          <t>117390</t>
        </is>
      </c>
      <c r="C1507" s="156" t="inlineStr">
        <is>
          <t>Multimarca</t>
        </is>
      </c>
      <c r="D1507" s="156" t="inlineStr">
        <is>
          <t>SFTMIXB285061</t>
        </is>
      </c>
      <c r="E1507" s="156" t="inlineStr">
        <is>
          <t>SFTMIXB28506171</t>
        </is>
      </c>
      <c r="F1507" s="156" t="inlineStr">
        <is>
          <t>7 1/8</t>
        </is>
      </c>
      <c r="G1507" s="156" t="inlineStr">
        <is>
          <t>7 1/8</t>
        </is>
      </c>
      <c r="H1507" s="156" t="inlineStr">
        <is>
          <t>Stetson</t>
        </is>
      </c>
      <c r="I1507" s="156" t="inlineStr">
        <is>
          <t>Texana Stetson Temple Mix Gris</t>
        </is>
      </c>
      <c r="J1507" s="156" t="inlineStr">
        <is>
          <t>Accesorios</t>
        </is>
      </c>
      <c r="K1507" s="156" t="inlineStr">
        <is>
          <t>Sombreros</t>
        </is>
      </c>
      <c r="L1507" s="156" t="inlineStr">
        <is>
          <t>Unisex</t>
        </is>
      </c>
      <c r="M1507" s="156" t="inlineStr">
        <is>
          <t>Stetson</t>
        </is>
      </c>
      <c r="N1507" s="156" t="inlineStr">
        <is>
          <t>FW26</t>
        </is>
      </c>
      <c r="O1507" s="156" t="inlineStr">
        <is>
          <t>Seasonal</t>
        </is>
      </c>
      <c r="P1507" s="156" t="inlineStr">
        <is>
          <t>Gris</t>
        </is>
      </c>
      <c r="Q1507" s="156" t="n"/>
      <c r="R1507" s="156" t="inlineStr">
        <is>
          <t>Copa Gus</t>
        </is>
      </c>
      <c r="S1507" s="156" t="inlineStr">
        <is>
          <t>Fur / Wool Blend</t>
        </is>
      </c>
      <c r="T1507"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7" s="156" t="inlineStr">
        <is>
          <t>Estados Unidos</t>
        </is>
      </c>
      <c r="V1507" s="156" t="inlineStr">
        <is>
          <t>PZS</t>
        </is>
      </c>
      <c r="W1507" s="51" t="inlineStr">
        <is>
          <t>53102503</t>
        </is>
      </c>
      <c r="X1507" s="156" t="inlineStr">
        <is>
          <t>https://cdn.shopify.com/s/files/1/0357/2432/9005/products/sftmixb2850_silverbelly_1.jpg?v=1590802363</t>
        </is>
      </c>
      <c r="Y1507" s="54" t="n">
        <v>3307.5</v>
      </c>
      <c r="Z1507" s="54" t="n">
        <v>8017.241379</v>
      </c>
      <c r="AA1507" s="55">
        <f>IF(AND(A1507="", B1507="", E1507=""), "", IF(AB1507="", "Válido", IF((LEN(AB1507)-LEN(SUBSTITUTE(AB1507,"; ","")))/2+1&gt;(LEN(AB1507)-LEN(SUBSTITUTE(AB1507,"[Aviso]","")))/7, "Con Incidencias", "Válido")))</f>
        <v/>
      </c>
      <c r="AB1507" s="56">
        <f>IF(AND(A1507="", B1507="", E1507=""), "", TEXTJOIN("; ", TRUE, IF(OR(TRIM(A1507&amp;"")="", ISNUMBER(SEARCH("FALTA", A1507))), "UPC faltante/inválido", ""), IF(AND(A1507&lt;&gt;"", IFERROR(_xlfn.XMATCH(A1507,$A$2:$A$2509,0,1)&lt;&gt;_xlfn.XMATCH(A1507,$A$2:$A$2509,0,-1),FALSE)), "Código de barras duplicado", ""), IF(AND(E1507&lt;&gt;"", COUNTIF($E$2:$E$2509, E1507)&gt;1), "SKU duplicado", ""), IF(OR(J1507="", J1507=""), "[Aviso] División no capturada ()", IF(ISNA(MATCH(J1507, Criterios!$A$123:$A$126, 0)), "División no válida", "")), IF(OR(K1507="", K1507=""), "[Aviso] Categoría no capturada ()", IF(ISNA(MATCH(K1507, Criterios!$A$81:$A$120, 0)), "Categoría no válida", IF(AND(J1507&lt;&gt;"", J1507&lt;&gt;"", J1507&lt;&gt;VLOOKUP(K1507, Criterios!$A$81:$B$120, 2, FALSE)), "División no coincide con Categoría", ""))), IF(OR(L1507="", L1507=""), "[Aviso] Género no capturado ()", IF(ISNA(MATCH(L1507, Criterios!$B$123:$B$127, 0)), "Género no válido", "")), IF(OR(N1507="", N1507=""), "[Aviso] Temporada no capturada ()", IF(ISNA(MATCH(N1507, Criterios!$C$123:$C$128, 0)), "Temporada no válida", "")), IF(OR(O1507="", O1507=""), "[Aviso] Ciclo de vida no capturado ()", IF(ISNA(MATCH(O1507, Criterios!$D$123:$D$124, 0)), "Ciclo de vida no válido", ""))))</f>
        <v/>
      </c>
      <c r="AC1507" s="56" t="n"/>
      <c r="AD1507" s="51" t="n">
        <v>0</v>
      </c>
      <c r="AE1507" s="156" t="inlineStr">
        <is>
          <t>STETSON AMERICAS (1)</t>
        </is>
      </c>
      <c r="AF1507" s="51" t="n">
        <v>1</v>
      </c>
      <c r="AG1507" s="156" t="inlineStr">
        <is>
          <t>Catálogo existente</t>
        </is>
      </c>
      <c r="AH1507"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7" s="156" t="inlineStr">
        <is>
          <t>Sí</t>
        </is>
      </c>
      <c r="AJ1507" s="156" t="inlineStr">
        <is>
          <t>B25 CEDIS (-1)</t>
        </is>
      </c>
      <c r="AK1507" s="155" t="inlineStr">
        <is>
          <t>Criterios: I [Q] | Shopify Stetson: producto 15227650277739 / variante 53791838601579 | Investigación en línea 06/10/2026: https://www.stetson.com/products/tom-mix-6x-cowboy-hat-silverbelly</t>
        </is>
      </c>
      <c r="AL1507" s="58" t="n">
        <v>3307.5</v>
      </c>
      <c r="AM1507" s="58" t="n">
        <v>8017.241379</v>
      </c>
      <c r="AN1507" s="155" t="inlineStr">
        <is>
          <t>Shopify Stetson México</t>
        </is>
      </c>
      <c r="AO1507" s="59" t="n">
        <v>1</v>
      </c>
      <c r="AP1507" s="59" t="n"/>
      <c r="AQ1507" s="59" t="n"/>
      <c r="AR1507" s="155" t="inlineStr">
        <is>
          <t>Shopify Stetson México › Stetson Americas: 1</t>
        </is>
      </c>
    </row>
    <row r="1508">
      <c r="A1508" s="50" t="inlineStr">
        <is>
          <t>795177667742</t>
        </is>
      </c>
      <c r="B1508" s="51" t="inlineStr">
        <is>
          <t>117391</t>
        </is>
      </c>
      <c r="C1508" s="156" t="inlineStr">
        <is>
          <t>Multimarca</t>
        </is>
      </c>
      <c r="D1508" s="156" t="inlineStr">
        <is>
          <t>SFTMIXB285061</t>
        </is>
      </c>
      <c r="E1508" s="156" t="inlineStr">
        <is>
          <t>SFTMIXB28506172</t>
        </is>
      </c>
      <c r="F1508" s="156" t="inlineStr">
        <is>
          <t>7 1/4</t>
        </is>
      </c>
      <c r="G1508" s="156" t="inlineStr">
        <is>
          <t>7 1/4</t>
        </is>
      </c>
      <c r="H1508" s="156" t="inlineStr">
        <is>
          <t>Stetson</t>
        </is>
      </c>
      <c r="I1508" s="156" t="inlineStr">
        <is>
          <t>Texana Stetson Temple Mix Gris</t>
        </is>
      </c>
      <c r="J1508" s="156" t="inlineStr">
        <is>
          <t>Accesorios</t>
        </is>
      </c>
      <c r="K1508" s="156" t="inlineStr">
        <is>
          <t>Sombreros</t>
        </is>
      </c>
      <c r="L1508" s="156" t="inlineStr">
        <is>
          <t>Unisex</t>
        </is>
      </c>
      <c r="M1508" s="156" t="inlineStr">
        <is>
          <t>Stetson</t>
        </is>
      </c>
      <c r="N1508" s="156" t="inlineStr">
        <is>
          <t>FW26</t>
        </is>
      </c>
      <c r="O1508" s="156" t="inlineStr">
        <is>
          <t>Seasonal</t>
        </is>
      </c>
      <c r="P1508" s="156" t="inlineStr">
        <is>
          <t>Gris</t>
        </is>
      </c>
      <c r="Q1508" s="156" t="n"/>
      <c r="R1508" s="156" t="inlineStr">
        <is>
          <t>Copa Gus</t>
        </is>
      </c>
      <c r="S1508" s="156" t="inlineStr">
        <is>
          <t>Fur / Wool Blend</t>
        </is>
      </c>
      <c r="T1508"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8" s="156" t="inlineStr">
        <is>
          <t>Estados Unidos</t>
        </is>
      </c>
      <c r="V1508" s="156" t="inlineStr">
        <is>
          <t>PZS</t>
        </is>
      </c>
      <c r="W1508" s="51" t="inlineStr">
        <is>
          <t>53102503</t>
        </is>
      </c>
      <c r="X1508" s="156" t="inlineStr">
        <is>
          <t>https://cdn.shopify.com/s/files/1/0357/2432/9005/products/sftmixb2850_silverbelly_1.jpg?v=1590802363</t>
        </is>
      </c>
      <c r="Y1508" s="54" t="n">
        <v>3307.5</v>
      </c>
      <c r="Z1508" s="54" t="n">
        <v>8017.241379</v>
      </c>
      <c r="AA1508" s="55">
        <f>IF(AND(A1508="", B1508="", E1508=""), "", IF(AB1508="", "Válido", IF((LEN(AB1508)-LEN(SUBSTITUTE(AB1508,"; ","")))/2+1&gt;(LEN(AB1508)-LEN(SUBSTITUTE(AB1508,"[Aviso]","")))/7, "Con Incidencias", "Válido")))</f>
        <v/>
      </c>
      <c r="AB1508" s="56">
        <f>IF(AND(A1508="", B1508="", E1508=""), "", TEXTJOIN("; ", TRUE, IF(OR(TRIM(A1508&amp;"")="", ISNUMBER(SEARCH("FALTA", A1508))), "UPC faltante/inválido", ""), IF(AND(A1508&lt;&gt;"", IFERROR(_xlfn.XMATCH(A1508,$A$2:$A$2509,0,1)&lt;&gt;_xlfn.XMATCH(A1508,$A$2:$A$2509,0,-1),FALSE)), "Código de barras duplicado", ""), IF(AND(E1508&lt;&gt;"", COUNTIF($E$2:$E$2509, E1508)&gt;1), "SKU duplicado", ""), IF(OR(J1508="", J1508=""), "[Aviso] División no capturada ()", IF(ISNA(MATCH(J1508, Criterios!$A$123:$A$126, 0)), "División no válida", "")), IF(OR(K1508="", K1508=""), "[Aviso] Categoría no capturada ()", IF(ISNA(MATCH(K1508, Criterios!$A$81:$A$120, 0)), "Categoría no válida", IF(AND(J1508&lt;&gt;"", J1508&lt;&gt;"", J1508&lt;&gt;VLOOKUP(K1508, Criterios!$A$81:$B$120, 2, FALSE)), "División no coincide con Categoría", ""))), IF(OR(L1508="", L1508=""), "[Aviso] Género no capturado ()", IF(ISNA(MATCH(L1508, Criterios!$B$123:$B$127, 0)), "Género no válido", "")), IF(OR(N1508="", N1508=""), "[Aviso] Temporada no capturada ()", IF(ISNA(MATCH(N1508, Criterios!$C$123:$C$128, 0)), "Temporada no válida", "")), IF(OR(O1508="", O1508=""), "[Aviso] Ciclo de vida no capturado ()", IF(ISNA(MATCH(O1508, Criterios!$D$123:$D$124, 0)), "Ciclo de vida no válido", ""))))</f>
        <v/>
      </c>
      <c r="AC1508" s="56" t="n"/>
      <c r="AD1508" s="51" t="n">
        <v>0</v>
      </c>
      <c r="AE1508" s="156" t="inlineStr">
        <is>
          <t>STETSON AMERICAS (1)</t>
        </is>
      </c>
      <c r="AF1508" s="51" t="n">
        <v>1</v>
      </c>
      <c r="AG1508" s="156" t="inlineStr">
        <is>
          <t>Catálogo existente</t>
        </is>
      </c>
      <c r="AH1508"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8" s="156" t="inlineStr">
        <is>
          <t>Sí</t>
        </is>
      </c>
      <c r="AJ1508" s="156" t="inlineStr">
        <is>
          <t>B25 CEDIS (-1)</t>
        </is>
      </c>
      <c r="AK1508" s="155" t="inlineStr">
        <is>
          <t>Criterios: I [Q] | Shopify Stetson: producto 15227650277739 / variante 53791838634347 | Investigación en línea 06/10/2026: https://www.stetson.com/products/tom-mix-6x-cowboy-hat-silverbelly</t>
        </is>
      </c>
      <c r="AL1508" s="58" t="n">
        <v>3307.5</v>
      </c>
      <c r="AM1508" s="58" t="n">
        <v>8017.241379</v>
      </c>
      <c r="AN1508" s="155" t="inlineStr">
        <is>
          <t>Shopify Stetson México</t>
        </is>
      </c>
      <c r="AO1508" s="59" t="n">
        <v>1</v>
      </c>
      <c r="AP1508" s="59" t="n"/>
      <c r="AQ1508" s="59" t="n"/>
      <c r="AR1508" s="155" t="inlineStr">
        <is>
          <t>Shopify Stetson México › Stetson Americas: 1</t>
        </is>
      </c>
    </row>
    <row r="1509">
      <c r="A1509" s="50" t="inlineStr">
        <is>
          <t>795177686781</t>
        </is>
      </c>
      <c r="B1509" s="51" t="inlineStr">
        <is>
          <t>110046</t>
        </is>
      </c>
      <c r="C1509" s="156" t="inlineStr">
        <is>
          <t>Multimarca</t>
        </is>
      </c>
      <c r="D1509" s="156" t="inlineStr">
        <is>
          <t>SFRNCH-014088</t>
        </is>
      </c>
      <c r="E1509" s="156" t="inlineStr">
        <is>
          <t>SFRNCH-01408867</t>
        </is>
      </c>
      <c r="F1509" s="156" t="inlineStr">
        <is>
          <t>6 7/8</t>
        </is>
      </c>
      <c r="G1509" s="156" t="inlineStr">
        <is>
          <t>6 7/8</t>
        </is>
      </c>
      <c r="H1509" s="156" t="inlineStr">
        <is>
          <t>Stetson</t>
        </is>
      </c>
      <c r="I1509" s="156" t="inlineStr">
        <is>
          <t>Sombrero Stetson Rancher 6X Re</t>
        </is>
      </c>
      <c r="J1509" s="156" t="inlineStr">
        <is>
          <t>Accesorios</t>
        </is>
      </c>
      <c r="K1509" s="156" t="inlineStr">
        <is>
          <t>Sombreros</t>
        </is>
      </c>
      <c r="L1509" s="156" t="inlineStr">
        <is>
          <t>Unisex</t>
        </is>
      </c>
      <c r="M1509" s="156" t="inlineStr">
        <is>
          <t>Stetson</t>
        </is>
      </c>
      <c r="N1509" s="156" t="inlineStr">
        <is>
          <t>SS26</t>
        </is>
      </c>
      <c r="O1509" s="156" t="inlineStr">
        <is>
          <t>Seasonal</t>
        </is>
      </c>
      <c r="P1509" s="156" t="inlineStr">
        <is>
          <t>Gris</t>
        </is>
      </c>
      <c r="Q1509" s="156" t="n"/>
      <c r="R1509" s="156" t="inlineStr">
        <is>
          <t>Copa Rancher</t>
        </is>
      </c>
      <c r="S1509" s="156" t="inlineStr">
        <is>
          <t>100% Paja</t>
        </is>
      </c>
      <c r="T150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09" s="156" t="inlineStr">
        <is>
          <t>Estados Unidos</t>
        </is>
      </c>
      <c r="V1509" s="156" t="inlineStr">
        <is>
          <t>PZS</t>
        </is>
      </c>
      <c r="W1509" s="51" t="inlineStr">
        <is>
          <t>53102503</t>
        </is>
      </c>
      <c r="X1509" s="156" t="inlineStr">
        <is>
          <t>https://cdn.shopify.com/s/files/1/0888/3250/8267/files/SFRNCH-014011-01_87485e24-2d24-4a1b-9822-df24e2c77b6a.jpg?v=1759767890</t>
        </is>
      </c>
      <c r="Y1509" s="54" t="n">
        <v>2598.75</v>
      </c>
      <c r="Z1509" s="54" t="n">
        <v>6724.137931</v>
      </c>
      <c r="AA1509" s="55">
        <f>IF(AND(A1509="", B1509="", E1509=""), "", IF(AB1509="", "Válido", IF((LEN(AB1509)-LEN(SUBSTITUTE(AB1509,"; ","")))/2+1&gt;(LEN(AB1509)-LEN(SUBSTITUTE(AB1509,"[Aviso]","")))/7, "Con Incidencias", "Válido")))</f>
        <v/>
      </c>
      <c r="AB1509" s="56">
        <f>IF(AND(A1509="", B1509="", E1509=""), "", TEXTJOIN("; ", TRUE, IF(OR(TRIM(A1509&amp;"")="", ISNUMBER(SEARCH("FALTA", A1509))), "UPC faltante/inválido", ""), IF(AND(A1509&lt;&gt;"", IFERROR(_xlfn.XMATCH(A1509,$A$2:$A$2509,0,1)&lt;&gt;_xlfn.XMATCH(A1509,$A$2:$A$2509,0,-1),FALSE)), "Código de barras duplicado", ""), IF(AND(E1509&lt;&gt;"", COUNTIF($E$2:$E$2509, E1509)&gt;1), "SKU duplicado", ""), IF(OR(J1509="", J1509=""), "[Aviso] División no capturada ()", IF(ISNA(MATCH(J1509, Criterios!$A$123:$A$126, 0)), "División no válida", "")), IF(OR(K1509="", K1509=""), "[Aviso] Categoría no capturada ()", IF(ISNA(MATCH(K1509, Criterios!$A$81:$A$120, 0)), "Categoría no válida", IF(AND(J1509&lt;&gt;"", J1509&lt;&gt;"", J1509&lt;&gt;VLOOKUP(K1509, Criterios!$A$81:$B$120, 2, FALSE)), "División no coincide con Categoría", ""))), IF(OR(L1509="", L1509=""), "[Aviso] Género no capturado ()", IF(ISNA(MATCH(L1509, Criterios!$B$123:$B$127, 0)), "Género no válido", "")), IF(OR(N1509="", N1509=""), "[Aviso] Temporada no capturada ()", IF(ISNA(MATCH(N1509, Criterios!$C$123:$C$128, 0)), "Temporada no válida", "")), IF(OR(O1509="", O1509=""), "[Aviso] Ciclo de vida no capturado ()", IF(ISNA(MATCH(O1509, Criterios!$D$123:$D$124, 0)), "Ciclo de vida no válido", ""))))</f>
        <v/>
      </c>
      <c r="AC1509" s="56" t="n"/>
      <c r="AD1509" s="51" t="n">
        <v>-1</v>
      </c>
      <c r="AE1509" s="156" t="n"/>
      <c r="AF1509" s="51" t="n">
        <v>0</v>
      </c>
      <c r="AG1509" s="156" t="inlineStr">
        <is>
          <t>Catálogo existente</t>
        </is>
      </c>
      <c r="AH1509" s="156" t="inlineStr">
        <is>
          <t>Stock negativo en sistema: revisar en conteo | Revisión 29/09/2026: Cruce de catálogo y criterios sin pendientes detectados | 01/10/2026: complementado desde Shopify Stetson México (match por código de barras): WB Fit, WB Silueta</t>
        </is>
      </c>
      <c r="AI1509" s="156" t="inlineStr">
        <is>
          <t>Sí</t>
        </is>
      </c>
      <c r="AJ1509" s="156" t="inlineStr">
        <is>
          <t>STETSON AMERICAS (-1)</t>
        </is>
      </c>
      <c r="AK1509" s="155" t="inlineStr">
        <is>
          <t>Criterios: I [Q] | Shopify Stetson: producto 14785864204651 / variante 53350613647723</t>
        </is>
      </c>
      <c r="AL1509" s="58" t="n">
        <v>2598.75</v>
      </c>
      <c r="AM1509" s="58" t="n">
        <v>6724.137931</v>
      </c>
      <c r="AN1509" s="155" t="inlineStr">
        <is>
          <t>Shopify Stetson México</t>
        </is>
      </c>
      <c r="AO1509" s="59" t="n">
        <v>0</v>
      </c>
      <c r="AP1509" s="59" t="n"/>
      <c r="AQ1509" s="59" t="n"/>
      <c r="AR1509" s="155" t="n"/>
    </row>
    <row r="1510">
      <c r="A1510" s="50" t="inlineStr">
        <is>
          <t>795177686798</t>
        </is>
      </c>
      <c r="B1510" s="51" t="inlineStr">
        <is>
          <t>110047</t>
        </is>
      </c>
      <c r="C1510" s="156" t="inlineStr">
        <is>
          <t>Multimarca</t>
        </is>
      </c>
      <c r="D1510" s="156" t="inlineStr">
        <is>
          <t>SFRNCH-014088</t>
        </is>
      </c>
      <c r="E1510" s="156" t="inlineStr">
        <is>
          <t>SFRNCH-01408870</t>
        </is>
      </c>
      <c r="F1510" s="156" t="inlineStr">
        <is>
          <t>7</t>
        </is>
      </c>
      <c r="G1510" s="156" t="inlineStr">
        <is>
          <t>7</t>
        </is>
      </c>
      <c r="H1510" s="156" t="inlineStr">
        <is>
          <t>Stetson</t>
        </is>
      </c>
      <c r="I1510" s="156" t="inlineStr">
        <is>
          <t>Sombrero Stetson Rancher 6X Re</t>
        </is>
      </c>
      <c r="J1510" s="156" t="inlineStr">
        <is>
          <t>Accesorios</t>
        </is>
      </c>
      <c r="K1510" s="156" t="inlineStr">
        <is>
          <t>Sombreros</t>
        </is>
      </c>
      <c r="L1510" s="156" t="inlineStr">
        <is>
          <t>Unisex</t>
        </is>
      </c>
      <c r="M1510" s="156" t="inlineStr">
        <is>
          <t>Stetson</t>
        </is>
      </c>
      <c r="N1510" s="156" t="inlineStr">
        <is>
          <t>SS26</t>
        </is>
      </c>
      <c r="O1510" s="156" t="inlineStr">
        <is>
          <t>Seasonal</t>
        </is>
      </c>
      <c r="P1510" s="156" t="inlineStr">
        <is>
          <t>Gris</t>
        </is>
      </c>
      <c r="Q1510" s="156" t="n"/>
      <c r="R1510" s="156" t="inlineStr">
        <is>
          <t>Copa Rancher</t>
        </is>
      </c>
      <c r="S1510" s="156" t="inlineStr">
        <is>
          <t>100% Paja</t>
        </is>
      </c>
      <c r="T151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0" s="156" t="inlineStr">
        <is>
          <t>Estados Unidos</t>
        </is>
      </c>
      <c r="V1510" s="156" t="inlineStr">
        <is>
          <t>PZS</t>
        </is>
      </c>
      <c r="W1510" s="51" t="inlineStr">
        <is>
          <t>53102503</t>
        </is>
      </c>
      <c r="X1510" s="156" t="inlineStr">
        <is>
          <t>https://cdn.shopify.com/s/files/1/0888/3250/8267/files/SFRNCH-014011-02_9ca05ab8-c980-464c-a628-3d55b75ee9c8.jpg?v=1759767890</t>
        </is>
      </c>
      <c r="Y1510" s="54" t="n">
        <v>2598.75</v>
      </c>
      <c r="Z1510" s="54" t="n">
        <v>6724.137931</v>
      </c>
      <c r="AA1510" s="55">
        <f>IF(AND(A1510="", B1510="", E1510=""), "", IF(AB1510="", "Válido", IF((LEN(AB1510)-LEN(SUBSTITUTE(AB1510,"; ","")))/2+1&gt;(LEN(AB1510)-LEN(SUBSTITUTE(AB1510,"[Aviso]","")))/7, "Con Incidencias", "Válido")))</f>
        <v/>
      </c>
      <c r="AB1510" s="56">
        <f>IF(AND(A1510="", B1510="", E1510=""), "", TEXTJOIN("; ", TRUE, IF(OR(TRIM(A1510&amp;"")="", ISNUMBER(SEARCH("FALTA", A1510))), "UPC faltante/inválido", ""), IF(AND(A1510&lt;&gt;"", IFERROR(_xlfn.XMATCH(A1510,$A$2:$A$2509,0,1)&lt;&gt;_xlfn.XMATCH(A1510,$A$2:$A$2509,0,-1),FALSE)), "Código de barras duplicado", ""), IF(AND(E1510&lt;&gt;"", COUNTIF($E$2:$E$2509, E1510)&gt;1), "SKU duplicado", ""), IF(OR(J1510="", J1510=""), "[Aviso] División no capturada ()", IF(ISNA(MATCH(J1510, Criterios!$A$123:$A$126, 0)), "División no válida", "")), IF(OR(K1510="", K1510=""), "[Aviso] Categoría no capturada ()", IF(ISNA(MATCH(K1510, Criterios!$A$81:$A$120, 0)), "Categoría no válida", IF(AND(J1510&lt;&gt;"", J1510&lt;&gt;"", J1510&lt;&gt;VLOOKUP(K1510, Criterios!$A$81:$B$120, 2, FALSE)), "División no coincide con Categoría", ""))), IF(OR(L1510="", L1510=""), "[Aviso] Género no capturado ()", IF(ISNA(MATCH(L1510, Criterios!$B$123:$B$127, 0)), "Género no válido", "")), IF(OR(N1510="", N1510=""), "[Aviso] Temporada no capturada ()", IF(ISNA(MATCH(N1510, Criterios!$C$123:$C$128, 0)), "Temporada no válida", "")), IF(OR(O1510="", O1510=""), "[Aviso] Ciclo de vida no capturado ()", IF(ISNA(MATCH(O1510, Criterios!$D$123:$D$124, 0)), "Ciclo de vida no válido", ""))))</f>
        <v/>
      </c>
      <c r="AC1510" s="56" t="n"/>
      <c r="AD1510" s="51" t="n">
        <v>1</v>
      </c>
      <c r="AE1510" s="156" t="inlineStr">
        <is>
          <t>STETSON AMERICAS (2)</t>
        </is>
      </c>
      <c r="AF1510" s="51" t="n">
        <v>2</v>
      </c>
      <c r="AG1510" s="156" t="inlineStr">
        <is>
          <t>Catálogo existente</t>
        </is>
      </c>
      <c r="AH1510" s="156" t="inlineStr">
        <is>
          <t>Revisión 29/09/2026: Cruce de catálogo y criterios sin pendientes detectados | 01/10/2026: complementado desde Shopify Stetson México (match por código de barras): WB Fit, WB Silueta</t>
        </is>
      </c>
      <c r="AI1510" s="156" t="inlineStr">
        <is>
          <t>Sí</t>
        </is>
      </c>
      <c r="AJ1510" s="156" t="inlineStr">
        <is>
          <t>PUNTO DE VENTA (-1)</t>
        </is>
      </c>
      <c r="AK1510" s="155" t="inlineStr">
        <is>
          <t>Criterios: I [Q] | Shopify Stetson: producto 14785864204651 / variante 53350613680491</t>
        </is>
      </c>
      <c r="AL1510" s="58" t="n">
        <v>2598.75</v>
      </c>
      <c r="AM1510" s="58" t="n">
        <v>6724.137931</v>
      </c>
      <c r="AN1510" s="155" t="inlineStr">
        <is>
          <t>Shopify Stetson México</t>
        </is>
      </c>
      <c r="AO1510" s="59" t="n">
        <v>3</v>
      </c>
      <c r="AP1510" s="59" t="n"/>
      <c r="AQ1510" s="59" t="n"/>
      <c r="AR1510" s="155" t="inlineStr">
        <is>
          <t>Shopify Stetson México › Stetson Americas: 2 | Shopify Stetson México › Eventos: 1</t>
        </is>
      </c>
    </row>
    <row r="1511">
      <c r="A1511" s="50" t="inlineStr">
        <is>
          <t>795177686804</t>
        </is>
      </c>
      <c r="B1511" s="51" t="inlineStr">
        <is>
          <t>110048</t>
        </is>
      </c>
      <c r="C1511" s="156" t="inlineStr">
        <is>
          <t>Multimarca</t>
        </is>
      </c>
      <c r="D1511" s="156" t="inlineStr">
        <is>
          <t>SFRNCH-014088</t>
        </is>
      </c>
      <c r="E1511" s="156" t="inlineStr">
        <is>
          <t>SFRNCH-01408871</t>
        </is>
      </c>
      <c r="F1511" s="156" t="inlineStr">
        <is>
          <t>7 1/8</t>
        </is>
      </c>
      <c r="G1511" s="156" t="inlineStr">
        <is>
          <t>7 1/8</t>
        </is>
      </c>
      <c r="H1511" s="156" t="inlineStr">
        <is>
          <t>Stetson</t>
        </is>
      </c>
      <c r="I1511" s="156" t="inlineStr">
        <is>
          <t>Sombrero Stetson Rancher 6X Re</t>
        </is>
      </c>
      <c r="J1511" s="156" t="inlineStr">
        <is>
          <t>Accesorios</t>
        </is>
      </c>
      <c r="K1511" s="156" t="inlineStr">
        <is>
          <t>Sombreros</t>
        </is>
      </c>
      <c r="L1511" s="156" t="inlineStr">
        <is>
          <t>Unisex</t>
        </is>
      </c>
      <c r="M1511" s="156" t="inlineStr">
        <is>
          <t>Stetson</t>
        </is>
      </c>
      <c r="N1511" s="156" t="inlineStr">
        <is>
          <t>SS26</t>
        </is>
      </c>
      <c r="O1511" s="156" t="inlineStr">
        <is>
          <t>Seasonal</t>
        </is>
      </c>
      <c r="P1511" s="156" t="inlineStr">
        <is>
          <t>Gris</t>
        </is>
      </c>
      <c r="Q1511" s="156" t="n"/>
      <c r="R1511" s="156" t="inlineStr">
        <is>
          <t>Copa Rancher</t>
        </is>
      </c>
      <c r="S1511" s="156" t="inlineStr">
        <is>
          <t>100% Paja</t>
        </is>
      </c>
      <c r="T151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1" s="156" t="inlineStr">
        <is>
          <t>Estados Unidos</t>
        </is>
      </c>
      <c r="V1511" s="156" t="inlineStr">
        <is>
          <t>PZS</t>
        </is>
      </c>
      <c r="W1511" s="51" t="inlineStr">
        <is>
          <t>53102503</t>
        </is>
      </c>
      <c r="X1511" s="156" t="inlineStr">
        <is>
          <t>https://cdn.shopify.com/s/files/1/0888/3250/8267/files/SFRNCH-014011-03_892b0c55-a075-4dd0-bf36-8387a7dbf1b4.jpg?v=1759767890</t>
        </is>
      </c>
      <c r="Y1511" s="54" t="n">
        <v>2598.75</v>
      </c>
      <c r="Z1511" s="54" t="n">
        <v>6724.137931</v>
      </c>
      <c r="AA1511" s="55">
        <f>IF(AND(A1511="", B1511="", E1511=""), "", IF(AB1511="", "Válido", IF((LEN(AB1511)-LEN(SUBSTITUTE(AB1511,"; ","")))/2+1&gt;(LEN(AB1511)-LEN(SUBSTITUTE(AB1511,"[Aviso]","")))/7, "Con Incidencias", "Válido")))</f>
        <v/>
      </c>
      <c r="AB1511" s="56">
        <f>IF(AND(A1511="", B1511="", E1511=""), "", TEXTJOIN("; ", TRUE, IF(OR(TRIM(A1511&amp;"")="", ISNUMBER(SEARCH("FALTA", A1511))), "UPC faltante/inválido", ""), IF(AND(A1511&lt;&gt;"", IFERROR(_xlfn.XMATCH(A1511,$A$2:$A$2509,0,1)&lt;&gt;_xlfn.XMATCH(A1511,$A$2:$A$2509,0,-1),FALSE)), "Código de barras duplicado", ""), IF(AND(E1511&lt;&gt;"", COUNTIF($E$2:$E$2509, E1511)&gt;1), "SKU duplicado", ""), IF(OR(J1511="", J1511=""), "[Aviso] División no capturada ()", IF(ISNA(MATCH(J1511, Criterios!$A$123:$A$126, 0)), "División no válida", "")), IF(OR(K1511="", K1511=""), "[Aviso] Categoría no capturada ()", IF(ISNA(MATCH(K1511, Criterios!$A$81:$A$120, 0)), "Categoría no válida", IF(AND(J1511&lt;&gt;"", J1511&lt;&gt;"", J1511&lt;&gt;VLOOKUP(K1511, Criterios!$A$81:$B$120, 2, FALSE)), "División no coincide con Categoría", ""))), IF(OR(L1511="", L1511=""), "[Aviso] Género no capturado ()", IF(ISNA(MATCH(L1511, Criterios!$B$123:$B$127, 0)), "Género no válido", "")), IF(OR(N1511="", N1511=""), "[Aviso] Temporada no capturada ()", IF(ISNA(MATCH(N1511, Criterios!$C$123:$C$128, 0)), "Temporada no válida", "")), IF(OR(O1511="", O1511=""), "[Aviso] Ciclo de vida no capturado ()", IF(ISNA(MATCH(O1511, Criterios!$D$123:$D$124, 0)), "Ciclo de vida no válido", ""))))</f>
        <v/>
      </c>
      <c r="AC1511" s="56" t="n"/>
      <c r="AD1511" s="51" t="n">
        <v>0</v>
      </c>
      <c r="AE1511" s="156" t="n"/>
      <c r="AF1511" s="51" t="n">
        <v>0</v>
      </c>
      <c r="AG1511" s="156" t="inlineStr">
        <is>
          <t>Catálogo existente</t>
        </is>
      </c>
      <c r="AH1511" s="156" t="inlineStr">
        <is>
          <t>Revisión 29/09/2026: Cruce de catálogo y criterios sin pendientes detectados | 01/10/2026: complementado desde Shopify Stetson México (match por código de barras): WB Fit, WB Silueta</t>
        </is>
      </c>
      <c r="AI1511" s="156" t="inlineStr">
        <is>
          <t>No</t>
        </is>
      </c>
      <c r="AJ1511" s="156" t="n"/>
      <c r="AK1511" s="155" t="inlineStr">
        <is>
          <t>Criterios: I [Q] | Shopify Stetson: producto 14785864204651 / variante 53350613713259</t>
        </is>
      </c>
      <c r="AL1511" s="58" t="n">
        <v>2598.75</v>
      </c>
      <c r="AM1511" s="58" t="n">
        <v>6724.137931</v>
      </c>
      <c r="AN1511" s="155" t="inlineStr">
        <is>
          <t>Shopify Stetson México</t>
        </is>
      </c>
      <c r="AO1511" s="59" t="n">
        <v>1</v>
      </c>
      <c r="AP1511" s="59" t="n"/>
      <c r="AQ1511" s="59" t="n"/>
      <c r="AR1511" s="155" t="inlineStr">
        <is>
          <t>Shopify Stetson México › Stetson Americas: 1</t>
        </is>
      </c>
    </row>
    <row r="1512">
      <c r="A1512" s="50" t="inlineStr">
        <is>
          <t>795177686811</t>
        </is>
      </c>
      <c r="B1512" s="51" t="inlineStr">
        <is>
          <t>110049</t>
        </is>
      </c>
      <c r="C1512" s="156" t="inlineStr">
        <is>
          <t>Multimarca</t>
        </is>
      </c>
      <c r="D1512" s="156" t="inlineStr">
        <is>
          <t>SFRNCH-014088</t>
        </is>
      </c>
      <c r="E1512" s="156" t="inlineStr">
        <is>
          <t>SFRNCH-01408872</t>
        </is>
      </c>
      <c r="F1512" s="156" t="inlineStr">
        <is>
          <t>7 1/4</t>
        </is>
      </c>
      <c r="G1512" s="156" t="inlineStr">
        <is>
          <t>7 1/4</t>
        </is>
      </c>
      <c r="H1512" s="156" t="inlineStr">
        <is>
          <t>Stetson</t>
        </is>
      </c>
      <c r="I1512" s="156" t="inlineStr">
        <is>
          <t>Sombrero Stetson Rancher 6X Re</t>
        </is>
      </c>
      <c r="J1512" s="156" t="inlineStr">
        <is>
          <t>Accesorios</t>
        </is>
      </c>
      <c r="K1512" s="156" t="inlineStr">
        <is>
          <t>Sombreros</t>
        </is>
      </c>
      <c r="L1512" s="156" t="inlineStr">
        <is>
          <t>Unisex</t>
        </is>
      </c>
      <c r="M1512" s="156" t="inlineStr">
        <is>
          <t>Stetson</t>
        </is>
      </c>
      <c r="N1512" s="156" t="inlineStr">
        <is>
          <t>SS26</t>
        </is>
      </c>
      <c r="O1512" s="156" t="inlineStr">
        <is>
          <t>Seasonal</t>
        </is>
      </c>
      <c r="P1512" s="156" t="inlineStr">
        <is>
          <t>Gris</t>
        </is>
      </c>
      <c r="Q1512" s="156" t="n"/>
      <c r="R1512" s="156" t="inlineStr">
        <is>
          <t>Copa Rancher</t>
        </is>
      </c>
      <c r="S1512" s="156" t="inlineStr">
        <is>
          <t>100% Paja</t>
        </is>
      </c>
      <c r="T1512"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2" s="156" t="inlineStr">
        <is>
          <t>Estados Unidos</t>
        </is>
      </c>
      <c r="V1512" s="156" t="inlineStr">
        <is>
          <t>PZS</t>
        </is>
      </c>
      <c r="W1512" s="51" t="inlineStr">
        <is>
          <t>53102503</t>
        </is>
      </c>
      <c r="X1512" s="156" t="inlineStr">
        <is>
          <t>https://cdn.shopify.com/s/files/1/0888/3250/8267/files/SFRNCH-014011-04_25571ad4-b789-49ae-8d48-e77035e1dd00.jpg?v=1759767890</t>
        </is>
      </c>
      <c r="Y1512" s="54" t="n">
        <v>2598.75</v>
      </c>
      <c r="Z1512" s="54" t="n">
        <v>6724.137931</v>
      </c>
      <c r="AA1512" s="55">
        <f>IF(AND(A1512="", B1512="", E1512=""), "", IF(AB1512="", "Válido", IF((LEN(AB1512)-LEN(SUBSTITUTE(AB1512,"; ","")))/2+1&gt;(LEN(AB1512)-LEN(SUBSTITUTE(AB1512,"[Aviso]","")))/7, "Con Incidencias", "Válido")))</f>
        <v/>
      </c>
      <c r="AB1512" s="56">
        <f>IF(AND(A1512="", B1512="", E1512=""), "", TEXTJOIN("; ", TRUE, IF(OR(TRIM(A1512&amp;"")="", ISNUMBER(SEARCH("FALTA", A1512))), "UPC faltante/inválido", ""), IF(AND(A1512&lt;&gt;"", IFERROR(_xlfn.XMATCH(A1512,$A$2:$A$2509,0,1)&lt;&gt;_xlfn.XMATCH(A1512,$A$2:$A$2509,0,-1),FALSE)), "Código de barras duplicado", ""), IF(AND(E1512&lt;&gt;"", COUNTIF($E$2:$E$2509, E1512)&gt;1), "SKU duplicado", ""), IF(OR(J1512="", J1512=""), "[Aviso] División no capturada ()", IF(ISNA(MATCH(J1512, Criterios!$A$123:$A$126, 0)), "División no válida", "")), IF(OR(K1512="", K1512=""), "[Aviso] Categoría no capturada ()", IF(ISNA(MATCH(K1512, Criterios!$A$81:$A$120, 0)), "Categoría no válida", IF(AND(J1512&lt;&gt;"", J1512&lt;&gt;"", J1512&lt;&gt;VLOOKUP(K1512, Criterios!$A$81:$B$120, 2, FALSE)), "División no coincide con Categoría", ""))), IF(OR(L1512="", L1512=""), "[Aviso] Género no capturado ()", IF(ISNA(MATCH(L1512, Criterios!$B$123:$B$127, 0)), "Género no válido", "")), IF(OR(N1512="", N1512=""), "[Aviso] Temporada no capturada ()", IF(ISNA(MATCH(N1512, Criterios!$C$123:$C$128, 0)), "Temporada no válida", "")), IF(OR(O1512="", O1512=""), "[Aviso] Ciclo de vida no capturado ()", IF(ISNA(MATCH(O1512, Criterios!$D$123:$D$124, 0)), "Ciclo de vida no válido", ""))))</f>
        <v/>
      </c>
      <c r="AC1512" s="56" t="n"/>
      <c r="AD1512" s="51" t="n">
        <v>0</v>
      </c>
      <c r="AE1512" s="156" t="n"/>
      <c r="AF1512" s="51" t="n">
        <v>0</v>
      </c>
      <c r="AG1512" s="156" t="inlineStr">
        <is>
          <t>Catálogo existente</t>
        </is>
      </c>
      <c r="AH1512" s="156" t="inlineStr">
        <is>
          <t>Revisión 29/09/2026: Cruce de catálogo y criterios sin pendientes detectados | 01/10/2026: complementado desde Shopify Stetson México (match por código de barras): WB Fit, WB Silueta</t>
        </is>
      </c>
      <c r="AI1512" s="156" t="inlineStr">
        <is>
          <t>No</t>
        </is>
      </c>
      <c r="AJ1512" s="156" t="n"/>
      <c r="AK1512" s="155" t="inlineStr">
        <is>
          <t>Criterios: I [Q] | Shopify Stetson: producto 14785864204651 / variante 53350613746027</t>
        </is>
      </c>
      <c r="AL1512" s="58" t="n">
        <v>2598.75</v>
      </c>
      <c r="AM1512" s="58" t="n">
        <v>6724.137931</v>
      </c>
      <c r="AN1512" s="155" t="inlineStr">
        <is>
          <t>Shopify Stetson México</t>
        </is>
      </c>
      <c r="AO1512" s="59" t="n">
        <v>1</v>
      </c>
      <c r="AP1512" s="59" t="n"/>
      <c r="AQ1512" s="59" t="n"/>
      <c r="AR1512" s="155" t="inlineStr">
        <is>
          <t>Shopify Stetson México › Stetson Americas: 1</t>
        </is>
      </c>
    </row>
    <row r="1513">
      <c r="A1513" s="50" t="inlineStr">
        <is>
          <t>795177686828</t>
        </is>
      </c>
      <c r="B1513" s="51" t="inlineStr">
        <is>
          <t>110050</t>
        </is>
      </c>
      <c r="C1513" s="156" t="inlineStr">
        <is>
          <t>Multimarca</t>
        </is>
      </c>
      <c r="D1513" s="156" t="inlineStr">
        <is>
          <t>SFRNCH-014088</t>
        </is>
      </c>
      <c r="E1513" s="156" t="inlineStr">
        <is>
          <t>SFRNCH-01408873</t>
        </is>
      </c>
      <c r="F1513" s="156" t="inlineStr">
        <is>
          <t>7 3/8</t>
        </is>
      </c>
      <c r="G1513" s="156" t="inlineStr">
        <is>
          <t>7 3/8</t>
        </is>
      </c>
      <c r="H1513" s="156" t="inlineStr">
        <is>
          <t>Stetson</t>
        </is>
      </c>
      <c r="I1513" s="156" t="inlineStr">
        <is>
          <t>Sombrero Stetson Rancher 6X Re</t>
        </is>
      </c>
      <c r="J1513" s="156" t="inlineStr">
        <is>
          <t>Accesorios</t>
        </is>
      </c>
      <c r="K1513" s="156" t="inlineStr">
        <is>
          <t>Sombreros</t>
        </is>
      </c>
      <c r="L1513" s="156" t="inlineStr">
        <is>
          <t>Unisex</t>
        </is>
      </c>
      <c r="M1513" s="156" t="inlineStr">
        <is>
          <t>Stetson</t>
        </is>
      </c>
      <c r="N1513" s="156" t="inlineStr">
        <is>
          <t>SS26</t>
        </is>
      </c>
      <c r="O1513" s="156" t="inlineStr">
        <is>
          <t>Seasonal</t>
        </is>
      </c>
      <c r="P1513" s="156" t="inlineStr">
        <is>
          <t>Gris</t>
        </is>
      </c>
      <c r="Q1513" s="156" t="n"/>
      <c r="R1513" s="156" t="inlineStr">
        <is>
          <t>Copa Rancher</t>
        </is>
      </c>
      <c r="S1513" s="156" t="inlineStr">
        <is>
          <t>100% Paja</t>
        </is>
      </c>
      <c r="T1513"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3" s="156" t="inlineStr">
        <is>
          <t>Estados Unidos</t>
        </is>
      </c>
      <c r="V1513" s="156" t="inlineStr">
        <is>
          <t>PZS</t>
        </is>
      </c>
      <c r="W1513" s="51" t="inlineStr">
        <is>
          <t>53102503</t>
        </is>
      </c>
      <c r="X1513" s="156" t="inlineStr">
        <is>
          <t>https://cdn.shopify.com/s/files/1/0888/3250/8267/files/SFRNCH-014011-05_095a8f88-972c-422f-9877-dc061c34d20f.jpg?v=1759767890</t>
        </is>
      </c>
      <c r="Y1513" s="54" t="n">
        <v>2598.75</v>
      </c>
      <c r="Z1513" s="54" t="n">
        <v>6724.137931</v>
      </c>
      <c r="AA1513" s="55">
        <f>IF(AND(A1513="", B1513="", E1513=""), "", IF(AB1513="", "Válido", IF((LEN(AB1513)-LEN(SUBSTITUTE(AB1513,"; ","")))/2+1&gt;(LEN(AB1513)-LEN(SUBSTITUTE(AB1513,"[Aviso]","")))/7, "Con Incidencias", "Válido")))</f>
        <v/>
      </c>
      <c r="AB1513" s="56">
        <f>IF(AND(A1513="", B1513="", E1513=""), "", TEXTJOIN("; ", TRUE, IF(OR(TRIM(A1513&amp;"")="", ISNUMBER(SEARCH("FALTA", A1513))), "UPC faltante/inválido", ""), IF(AND(A1513&lt;&gt;"", IFERROR(_xlfn.XMATCH(A1513,$A$2:$A$2509,0,1)&lt;&gt;_xlfn.XMATCH(A1513,$A$2:$A$2509,0,-1),FALSE)), "Código de barras duplicado", ""), IF(AND(E1513&lt;&gt;"", COUNTIF($E$2:$E$2509, E1513)&gt;1), "SKU duplicado", ""), IF(OR(J1513="", J1513=""), "[Aviso] División no capturada ()", IF(ISNA(MATCH(J1513, Criterios!$A$123:$A$126, 0)), "División no válida", "")), IF(OR(K1513="", K1513=""), "[Aviso] Categoría no capturada ()", IF(ISNA(MATCH(K1513, Criterios!$A$81:$A$120, 0)), "Categoría no válida", IF(AND(J1513&lt;&gt;"", J1513&lt;&gt;"", J1513&lt;&gt;VLOOKUP(K1513, Criterios!$A$81:$B$120, 2, FALSE)), "División no coincide con Categoría", ""))), IF(OR(L1513="", L1513=""), "[Aviso] Género no capturado ()", IF(ISNA(MATCH(L1513, Criterios!$B$123:$B$127, 0)), "Género no válido", "")), IF(OR(N1513="", N1513=""), "[Aviso] Temporada no capturada ()", IF(ISNA(MATCH(N1513, Criterios!$C$123:$C$128, 0)), "Temporada no válida", "")), IF(OR(O1513="", O1513=""), "[Aviso] Ciclo de vida no capturado ()", IF(ISNA(MATCH(O1513, Criterios!$D$123:$D$124, 0)), "Ciclo de vida no válido", ""))))</f>
        <v/>
      </c>
      <c r="AC1513" s="56" t="n"/>
      <c r="AD1513" s="51" t="n">
        <v>3</v>
      </c>
      <c r="AE1513" s="156" t="inlineStr">
        <is>
          <t>STETSON AMERICAS (3); B25 STETSON.MX (2)</t>
        </is>
      </c>
      <c r="AF1513" s="51" t="n">
        <v>5</v>
      </c>
      <c r="AG1513" s="156" t="inlineStr">
        <is>
          <t>Catálogo existente</t>
        </is>
      </c>
      <c r="AH1513" s="156" t="inlineStr">
        <is>
          <t>Revisión 29/09/2026: Cruce de catálogo y criterios sin pendientes detectados | 01/10/2026: complementado desde Shopify Stetson México (match por código de barras): WB Fit, WB Silueta</t>
        </is>
      </c>
      <c r="AI1513" s="156" t="inlineStr">
        <is>
          <t>Sí</t>
        </is>
      </c>
      <c r="AJ1513" s="156" t="inlineStr">
        <is>
          <t>PUNTO DE VENTA (-2)</t>
        </is>
      </c>
      <c r="AK1513" s="155" t="inlineStr">
        <is>
          <t>Criterios: I [Q] | Shopify Stetson: producto 14785864204651 / variante 53350613778795</t>
        </is>
      </c>
      <c r="AL1513" s="58" t="n">
        <v>2598.75</v>
      </c>
      <c r="AM1513" s="58" t="n">
        <v>6724.137931</v>
      </c>
      <c r="AN1513" s="155" t="inlineStr">
        <is>
          <t>Shopify Stetson México</t>
        </is>
      </c>
      <c r="AO1513" s="59" t="n">
        <v>3</v>
      </c>
      <c r="AP1513" s="59" t="n"/>
      <c r="AQ1513" s="59" t="n"/>
      <c r="AR1513" s="155" t="inlineStr">
        <is>
          <t>Shopify Stetson México › Stetson México: 2 | Shopify Stetson México › Stetson Americas: 1</t>
        </is>
      </c>
    </row>
    <row r="1514">
      <c r="A1514" s="50" t="inlineStr">
        <is>
          <t>795177686835</t>
        </is>
      </c>
      <c r="B1514" s="51" t="inlineStr">
        <is>
          <t>110051</t>
        </is>
      </c>
      <c r="C1514" s="156" t="inlineStr">
        <is>
          <t>Multimarca</t>
        </is>
      </c>
      <c r="D1514" s="156" t="inlineStr">
        <is>
          <t>SFRNCH-014088</t>
        </is>
      </c>
      <c r="E1514" s="156" t="inlineStr">
        <is>
          <t>SFRNCH-01408874</t>
        </is>
      </c>
      <c r="F1514" s="156" t="inlineStr">
        <is>
          <t>7 1/2</t>
        </is>
      </c>
      <c r="G1514" s="156" t="inlineStr">
        <is>
          <t>7 1/2</t>
        </is>
      </c>
      <c r="H1514" s="156" t="inlineStr">
        <is>
          <t>Stetson</t>
        </is>
      </c>
      <c r="I1514" s="156" t="inlineStr">
        <is>
          <t>Sombrero Stetson Rancher 6X Re</t>
        </is>
      </c>
      <c r="J1514" s="156" t="inlineStr">
        <is>
          <t>Accesorios</t>
        </is>
      </c>
      <c r="K1514" s="156" t="inlineStr">
        <is>
          <t>Sombreros</t>
        </is>
      </c>
      <c r="L1514" s="156" t="inlineStr">
        <is>
          <t>Unisex</t>
        </is>
      </c>
      <c r="M1514" s="156" t="inlineStr">
        <is>
          <t>Stetson</t>
        </is>
      </c>
      <c r="N1514" s="156" t="inlineStr">
        <is>
          <t>SS26</t>
        </is>
      </c>
      <c r="O1514" s="156" t="inlineStr">
        <is>
          <t>Seasonal</t>
        </is>
      </c>
      <c r="P1514" s="156" t="inlineStr">
        <is>
          <t>Gris</t>
        </is>
      </c>
      <c r="Q1514" s="156" t="n"/>
      <c r="R1514" s="156" t="inlineStr">
        <is>
          <t>Copa Rancher</t>
        </is>
      </c>
      <c r="S1514" s="156" t="inlineStr">
        <is>
          <t>100% Paja</t>
        </is>
      </c>
      <c r="T1514"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4" s="156" t="inlineStr">
        <is>
          <t>Estados Unidos</t>
        </is>
      </c>
      <c r="V1514" s="156" t="inlineStr">
        <is>
          <t>PZS</t>
        </is>
      </c>
      <c r="W1514" s="51" t="inlineStr">
        <is>
          <t>53102503</t>
        </is>
      </c>
      <c r="X1514" s="156" t="inlineStr">
        <is>
          <t>https://cdn.shopify.com/s/files/1/0888/3250/8267/files/SFRNCH-014011-06_df1714e6-3fc8-4d4a-bb73-d4c47b7878af.jpg?v=1759767890</t>
        </is>
      </c>
      <c r="Y1514" s="54" t="n">
        <v>2598.75</v>
      </c>
      <c r="Z1514" s="54" t="n">
        <v>6724.137931</v>
      </c>
      <c r="AA1514" s="55">
        <f>IF(AND(A1514="", B1514="", E1514=""), "", IF(AB1514="", "Válido", IF((LEN(AB1514)-LEN(SUBSTITUTE(AB1514,"; ","")))/2+1&gt;(LEN(AB1514)-LEN(SUBSTITUTE(AB1514,"[Aviso]","")))/7, "Con Incidencias", "Válido")))</f>
        <v/>
      </c>
      <c r="AB1514" s="56">
        <f>IF(AND(A1514="", B1514="", E1514=""), "", TEXTJOIN("; ", TRUE, IF(OR(TRIM(A1514&amp;"")="", ISNUMBER(SEARCH("FALTA", A1514))), "UPC faltante/inválido", ""), IF(AND(A1514&lt;&gt;"", IFERROR(_xlfn.XMATCH(A1514,$A$2:$A$2509,0,1)&lt;&gt;_xlfn.XMATCH(A1514,$A$2:$A$2509,0,-1),FALSE)), "Código de barras duplicado", ""), IF(AND(E1514&lt;&gt;"", COUNTIF($E$2:$E$2509, E1514)&gt;1), "SKU duplicado", ""), IF(OR(J1514="", J1514=""), "[Aviso] División no capturada ()", IF(ISNA(MATCH(J1514, Criterios!$A$123:$A$126, 0)), "División no válida", "")), IF(OR(K1514="", K1514=""), "[Aviso] Categoría no capturada ()", IF(ISNA(MATCH(K1514, Criterios!$A$81:$A$120, 0)), "Categoría no válida", IF(AND(J1514&lt;&gt;"", J1514&lt;&gt;"", J1514&lt;&gt;VLOOKUP(K1514, Criterios!$A$81:$B$120, 2, FALSE)), "División no coincide con Categoría", ""))), IF(OR(L1514="", L1514=""), "[Aviso] Género no capturado ()", IF(ISNA(MATCH(L1514, Criterios!$B$123:$B$127, 0)), "Género no válido", "")), IF(OR(N1514="", N1514=""), "[Aviso] Temporada no capturada ()", IF(ISNA(MATCH(N1514, Criterios!$C$123:$C$128, 0)), "Temporada no válida", "")), IF(OR(O1514="", O1514=""), "[Aviso] Ciclo de vida no capturado ()", IF(ISNA(MATCH(O1514, Criterios!$D$123:$D$124, 0)), "Ciclo de vida no válido", ""))))</f>
        <v/>
      </c>
      <c r="AC1514" s="56" t="n"/>
      <c r="AD1514" s="51" t="n">
        <v>0</v>
      </c>
      <c r="AE1514" s="156" t="n"/>
      <c r="AF1514" s="51" t="n">
        <v>0</v>
      </c>
      <c r="AG1514" s="156" t="inlineStr">
        <is>
          <t>Catálogo existente</t>
        </is>
      </c>
      <c r="AH1514" s="156" t="inlineStr">
        <is>
          <t>Revisión 29/09/2026: Cruce de catálogo y criterios sin pendientes detectados | 01/10/2026: complementado desde Shopify Stetson México (match por código de barras): WB Fit, WB Silueta</t>
        </is>
      </c>
      <c r="AI1514" s="156" t="inlineStr">
        <is>
          <t>No</t>
        </is>
      </c>
      <c r="AJ1514" s="156" t="n"/>
      <c r="AK1514" s="155" t="inlineStr">
        <is>
          <t>Criterios: I [Q] | Shopify Stetson: producto 14785864204651 / variante 53350613811563</t>
        </is>
      </c>
      <c r="AL1514" s="58" t="n">
        <v>2598.75</v>
      </c>
      <c r="AM1514" s="58" t="n">
        <v>6724.137931</v>
      </c>
      <c r="AN1514" s="155" t="inlineStr">
        <is>
          <t>Shopify Stetson México</t>
        </is>
      </c>
      <c r="AO1514" s="59" t="n">
        <v>2</v>
      </c>
      <c r="AP1514" s="59" t="n"/>
      <c r="AQ1514" s="59" t="n"/>
      <c r="AR1514" s="155" t="inlineStr">
        <is>
          <t>Shopify Stetson México › Stetson Americas: 1 | Shopify Stetson México › Eventos: 1</t>
        </is>
      </c>
    </row>
    <row r="1515">
      <c r="A1515" s="50" t="inlineStr">
        <is>
          <t>795177884798</t>
        </is>
      </c>
      <c r="B1515" s="51" t="inlineStr">
        <is>
          <t>110052</t>
        </is>
      </c>
      <c r="C1515" s="156" t="inlineStr">
        <is>
          <t>Multimarca</t>
        </is>
      </c>
      <c r="D1515" s="156" t="inlineStr">
        <is>
          <t>SFROPR-754007</t>
        </is>
      </c>
      <c r="E1515" s="156" t="inlineStr">
        <is>
          <t>SFROPR-75400767</t>
        </is>
      </c>
      <c r="F1515" s="156" t="inlineStr">
        <is>
          <t>6 7/8</t>
        </is>
      </c>
      <c r="G1515" s="156" t="inlineStr">
        <is>
          <t>6 7/8</t>
        </is>
      </c>
      <c r="H1515" s="156" t="inlineStr">
        <is>
          <t>Stetson</t>
        </is>
      </c>
      <c r="I1515" s="156" t="inlineStr">
        <is>
          <t>Texana Stetson 6X Roper Negro</t>
        </is>
      </c>
      <c r="J1515" s="156" t="inlineStr">
        <is>
          <t>Accesorios</t>
        </is>
      </c>
      <c r="K1515" s="156" t="inlineStr">
        <is>
          <t>Sombreros</t>
        </is>
      </c>
      <c r="L1515" s="156" t="inlineStr">
        <is>
          <t>Unisex</t>
        </is>
      </c>
      <c r="M1515" s="156" t="inlineStr">
        <is>
          <t>Stetson</t>
        </is>
      </c>
      <c r="N1515" s="156" t="inlineStr">
        <is>
          <t>SS26</t>
        </is>
      </c>
      <c r="O1515" s="156" t="inlineStr">
        <is>
          <t>Seasonal</t>
        </is>
      </c>
      <c r="P1515" s="156" t="inlineStr">
        <is>
          <t>Negro</t>
        </is>
      </c>
      <c r="Q1515" s="156" t="n"/>
      <c r="R1515" s="156" t="n"/>
      <c r="S1515" s="156" t="inlineStr">
        <is>
          <t>100% Fieltro de lana</t>
        </is>
      </c>
      <c r="T1515" s="156" t="inlineStr">
        <is>
          <t>Texana Stetson 6X Roper Negro.
 Composición: 100% Fieltro de lana.
 Color: Negro.
 Calidad: 6X.</t>
        </is>
      </c>
      <c r="U1515" s="156" t="n"/>
      <c r="V1515" s="156" t="inlineStr">
        <is>
          <t>PZS</t>
        </is>
      </c>
      <c r="W1515" s="51" t="inlineStr">
        <is>
          <t>53102503</t>
        </is>
      </c>
      <c r="X1515" s="156" t="n"/>
      <c r="Y1515" s="54" t="n">
        <v>2598.75</v>
      </c>
      <c r="Z1515" s="54" t="n">
        <v>6724.137931</v>
      </c>
      <c r="AA1515" s="55">
        <f>IF(AND(A1515="", B1515="", E1515=""), "", IF(AB1515="", "Válido", IF((LEN(AB1515)-LEN(SUBSTITUTE(AB1515,"; ","")))/2+1&gt;(LEN(AB1515)-LEN(SUBSTITUTE(AB1515,"[Aviso]","")))/7, "Con Incidencias", "Válido")))</f>
        <v/>
      </c>
      <c r="AB1515" s="56">
        <f>IF(AND(A1515="", B1515="", E1515=""), "", TEXTJOIN("; ", TRUE, IF(OR(TRIM(A1515&amp;"")="", ISNUMBER(SEARCH("FALTA", A1515))), "UPC faltante/inválido", ""), IF(AND(A1515&lt;&gt;"", IFERROR(_xlfn.XMATCH(A1515,$A$2:$A$2509,0,1)&lt;&gt;_xlfn.XMATCH(A1515,$A$2:$A$2509,0,-1),FALSE)), "Código de barras duplicado", ""), IF(AND(E1515&lt;&gt;"", COUNTIF($E$2:$E$2509, E1515)&gt;1), "SKU duplicado", ""), IF(OR(J1515="", J1515=""), "[Aviso] División no capturada ()", IF(ISNA(MATCH(J1515, Criterios!$A$123:$A$126, 0)), "División no válida", "")), IF(OR(K1515="", K1515=""), "[Aviso] Categoría no capturada ()", IF(ISNA(MATCH(K1515, Criterios!$A$81:$A$120, 0)), "Categoría no válida", IF(AND(J1515&lt;&gt;"", J1515&lt;&gt;"", J1515&lt;&gt;VLOOKUP(K1515, Criterios!$A$81:$B$120, 2, FALSE)), "División no coincide con Categoría", ""))), IF(OR(L1515="", L1515=""), "[Aviso] Género no capturado ()", IF(ISNA(MATCH(L1515, Criterios!$B$123:$B$127, 0)), "Género no válido", "")), IF(OR(N1515="", N1515=""), "[Aviso] Temporada no capturada ()", IF(ISNA(MATCH(N1515, Criterios!$C$123:$C$128, 0)), "Temporada no válida", "")), IF(OR(O1515="", O1515=""), "[Aviso] Ciclo de vida no capturado ()", IF(ISNA(MATCH(O1515, Criterios!$D$123:$D$124, 0)), "Ciclo de vida no válido", ""))))</f>
        <v/>
      </c>
      <c r="AC1515" s="56" t="n"/>
      <c r="AD1515" s="51" t="n">
        <v>1</v>
      </c>
      <c r="AE1515" s="156" t="inlineStr">
        <is>
          <t>B25 STETSON.MX (2)</t>
        </is>
      </c>
      <c r="AF1515" s="51" t="n">
        <v>2</v>
      </c>
      <c r="AG1515" s="156" t="inlineStr">
        <is>
          <t>Catálogo existente</t>
        </is>
      </c>
      <c r="AH1515" s="156" t="inlineStr">
        <is>
          <t>Revisión 29/09/2026: Campos sin respaldo: U, X | 01/10/2026: complementado desde Shopify Stetson México (match por código de barras): WB Fit</t>
        </is>
      </c>
      <c r="AI1515" s="156" t="inlineStr">
        <is>
          <t>Sí</t>
        </is>
      </c>
      <c r="AJ1515" s="156" t="inlineStr">
        <is>
          <t>STETSON AMERICAS (-1)</t>
        </is>
      </c>
      <c r="AK1515" s="155" t="inlineStr">
        <is>
          <t>Criterios: I [Q] | Shopify Stetson: producto 15056329081195 / variante 53357912686955</t>
        </is>
      </c>
      <c r="AL1515" s="58" t="n">
        <v>2598.75</v>
      </c>
      <c r="AM1515" s="58" t="n">
        <v>6724.137931</v>
      </c>
      <c r="AN1515" s="155" t="inlineStr">
        <is>
          <t>Shopify Stetson México</t>
        </is>
      </c>
      <c r="AO1515" s="59" t="n">
        <v>0</v>
      </c>
      <c r="AP1515" s="59" t="n"/>
      <c r="AQ1515" s="59" t="n"/>
      <c r="AR1515" s="155" t="n"/>
    </row>
    <row r="1516">
      <c r="A1516" s="50" t="inlineStr">
        <is>
          <t>795177884804</t>
        </is>
      </c>
      <c r="B1516" s="51" t="inlineStr">
        <is>
          <t>110053</t>
        </is>
      </c>
      <c r="C1516" s="156" t="inlineStr">
        <is>
          <t>Multimarca</t>
        </is>
      </c>
      <c r="D1516" s="156" t="inlineStr">
        <is>
          <t>SFROPR-754007</t>
        </is>
      </c>
      <c r="E1516" s="156" t="inlineStr">
        <is>
          <t>SFROPR-75400770</t>
        </is>
      </c>
      <c r="F1516" s="156" t="inlineStr">
        <is>
          <t>7</t>
        </is>
      </c>
      <c r="G1516" s="156" t="inlineStr">
        <is>
          <t>7</t>
        </is>
      </c>
      <c r="H1516" s="156" t="inlineStr">
        <is>
          <t>Stetson</t>
        </is>
      </c>
      <c r="I1516" s="156" t="inlineStr">
        <is>
          <t>Texana Stetson 6X Roper Negro</t>
        </is>
      </c>
      <c r="J1516" s="156" t="inlineStr">
        <is>
          <t>Accesorios</t>
        </is>
      </c>
      <c r="K1516" s="156" t="inlineStr">
        <is>
          <t>Sombreros</t>
        </is>
      </c>
      <c r="L1516" s="156" t="inlineStr">
        <is>
          <t>Unisex</t>
        </is>
      </c>
      <c r="M1516" s="156" t="inlineStr">
        <is>
          <t>Stetson</t>
        </is>
      </c>
      <c r="N1516" s="156" t="inlineStr">
        <is>
          <t>SS26</t>
        </is>
      </c>
      <c r="O1516" s="156" t="inlineStr">
        <is>
          <t>Seasonal</t>
        </is>
      </c>
      <c r="P1516" s="156" t="inlineStr">
        <is>
          <t>Negro</t>
        </is>
      </c>
      <c r="Q1516" s="156" t="n"/>
      <c r="R1516" s="156" t="n"/>
      <c r="S1516" s="156" t="inlineStr">
        <is>
          <t>100% Fieltro de lana</t>
        </is>
      </c>
      <c r="T1516" s="156" t="inlineStr">
        <is>
          <t>Texana Stetson 6X Roper Negro.
 Composición: 100% Fieltro de lana.
 Color: Negro.
 Calidad: 6X.</t>
        </is>
      </c>
      <c r="U1516" s="156" t="n"/>
      <c r="V1516" s="156" t="inlineStr">
        <is>
          <t>PZS</t>
        </is>
      </c>
      <c r="W1516" s="51" t="inlineStr">
        <is>
          <t>53102503</t>
        </is>
      </c>
      <c r="X1516" s="156" t="n"/>
      <c r="Y1516" s="54" t="n">
        <v>2598.75</v>
      </c>
      <c r="Z1516" s="54" t="n">
        <v>6724.137931</v>
      </c>
      <c r="AA1516" s="55">
        <f>IF(AND(A1516="", B1516="", E1516=""), "", IF(AB1516="", "Válido", IF((LEN(AB1516)-LEN(SUBSTITUTE(AB1516,"; ","")))/2+1&gt;(LEN(AB1516)-LEN(SUBSTITUTE(AB1516,"[Aviso]","")))/7, "Con Incidencias", "Válido")))</f>
        <v/>
      </c>
      <c r="AB1516" s="56">
        <f>IF(AND(A1516="", B1516="", E1516=""), "", TEXTJOIN("; ", TRUE, IF(OR(TRIM(A1516&amp;"")="", ISNUMBER(SEARCH("FALTA", A1516))), "UPC faltante/inválido", ""), IF(AND(A1516&lt;&gt;"", IFERROR(_xlfn.XMATCH(A1516,$A$2:$A$2509,0,1)&lt;&gt;_xlfn.XMATCH(A1516,$A$2:$A$2509,0,-1),FALSE)), "Código de barras duplicado", ""), IF(AND(E1516&lt;&gt;"", COUNTIF($E$2:$E$2509, E1516)&gt;1), "SKU duplicado", ""), IF(OR(J1516="", J1516=""), "[Aviso] División no capturada ()", IF(ISNA(MATCH(J1516, Criterios!$A$123:$A$126, 0)), "División no válida", "")), IF(OR(K1516="", K1516=""), "[Aviso] Categoría no capturada ()", IF(ISNA(MATCH(K1516, Criterios!$A$81:$A$120, 0)), "Categoría no válida", IF(AND(J1516&lt;&gt;"", J1516&lt;&gt;"", J1516&lt;&gt;VLOOKUP(K1516, Criterios!$A$81:$B$120, 2, FALSE)), "División no coincide con Categoría", ""))), IF(OR(L1516="", L1516=""), "[Aviso] Género no capturado ()", IF(ISNA(MATCH(L1516, Criterios!$B$123:$B$127, 0)), "Género no válido", "")), IF(OR(N1516="", N1516=""), "[Aviso] Temporada no capturada ()", IF(ISNA(MATCH(N1516, Criterios!$C$123:$C$128, 0)), "Temporada no válida", "")), IF(OR(O1516="", O1516=""), "[Aviso] Ciclo de vida no capturado ()", IF(ISNA(MATCH(O1516, Criterios!$D$123:$D$124, 0)), "Ciclo de vida no válido", ""))))</f>
        <v/>
      </c>
      <c r="AC1516" s="56" t="n"/>
      <c r="AD1516" s="51" t="n">
        <v>1</v>
      </c>
      <c r="AE1516" s="156" t="inlineStr">
        <is>
          <t>B25 STETSON.MX (2)</t>
        </is>
      </c>
      <c r="AF1516" s="51" t="n">
        <v>2</v>
      </c>
      <c r="AG1516" s="156" t="inlineStr">
        <is>
          <t>Catálogo existente</t>
        </is>
      </c>
      <c r="AH1516" s="156" t="inlineStr">
        <is>
          <t>Revisión 29/09/2026: Campos sin respaldo: U, X | 01/10/2026: complementado desde Shopify Stetson México (match por código de barras): WB Fit</t>
        </is>
      </c>
      <c r="AI1516" s="156" t="inlineStr">
        <is>
          <t>Sí</t>
        </is>
      </c>
      <c r="AJ1516" s="156" t="inlineStr">
        <is>
          <t>STETSON AMERICAS (-1)</t>
        </is>
      </c>
      <c r="AK1516" s="155" t="inlineStr">
        <is>
          <t>Criterios: I [Q] | Shopify Stetson: producto 15056329081195 / variante 53357912719723</t>
        </is>
      </c>
      <c r="AL1516" s="58" t="n">
        <v>2598.75</v>
      </c>
      <c r="AM1516" s="58" t="n">
        <v>6724.137931</v>
      </c>
      <c r="AN1516" s="155" t="inlineStr">
        <is>
          <t>Shopify Stetson México</t>
        </is>
      </c>
      <c r="AO1516" s="59" t="n">
        <v>2</v>
      </c>
      <c r="AP1516" s="59" t="n"/>
      <c r="AQ1516" s="59" t="n"/>
      <c r="AR1516" s="155" t="inlineStr">
        <is>
          <t>Shopify Stetson México › Stetson México: 1 | Shopify Stetson México › Stetson Americas: 1</t>
        </is>
      </c>
    </row>
    <row r="1517">
      <c r="A1517" s="50" t="inlineStr">
        <is>
          <t>795177884811</t>
        </is>
      </c>
      <c r="B1517" s="51" t="inlineStr">
        <is>
          <t>110054</t>
        </is>
      </c>
      <c r="C1517" s="156" t="inlineStr">
        <is>
          <t>Multimarca</t>
        </is>
      </c>
      <c r="D1517" s="156" t="inlineStr">
        <is>
          <t>SFROPR-754007</t>
        </is>
      </c>
      <c r="E1517" s="156" t="inlineStr">
        <is>
          <t>SFROPR-75400771</t>
        </is>
      </c>
      <c r="F1517" s="156" t="inlineStr">
        <is>
          <t>7 1/8</t>
        </is>
      </c>
      <c r="G1517" s="156" t="inlineStr">
        <is>
          <t>7 1/8</t>
        </is>
      </c>
      <c r="H1517" s="156" t="inlineStr">
        <is>
          <t>Stetson</t>
        </is>
      </c>
      <c r="I1517" s="156" t="inlineStr">
        <is>
          <t>Texana Stetson 6X Roper Negro</t>
        </is>
      </c>
      <c r="J1517" s="156" t="inlineStr">
        <is>
          <t>Accesorios</t>
        </is>
      </c>
      <c r="K1517" s="156" t="inlineStr">
        <is>
          <t>Sombreros</t>
        </is>
      </c>
      <c r="L1517" s="156" t="inlineStr">
        <is>
          <t>Unisex</t>
        </is>
      </c>
      <c r="M1517" s="156" t="inlineStr">
        <is>
          <t>Stetson</t>
        </is>
      </c>
      <c r="N1517" s="156" t="inlineStr">
        <is>
          <t>SS26</t>
        </is>
      </c>
      <c r="O1517" s="156" t="inlineStr">
        <is>
          <t>Seasonal</t>
        </is>
      </c>
      <c r="P1517" s="156" t="inlineStr">
        <is>
          <t>Negro</t>
        </is>
      </c>
      <c r="Q1517" s="156" t="n"/>
      <c r="R1517" s="156" t="n"/>
      <c r="S1517" s="156" t="inlineStr">
        <is>
          <t>100% Fieltro de lana</t>
        </is>
      </c>
      <c r="T1517" s="156" t="inlineStr">
        <is>
          <t>Texana Stetson 6X Roper Negro.
 Composición: 100% Fieltro de lana.
 Color: Negro.
 Calidad: 6X.</t>
        </is>
      </c>
      <c r="U1517" s="156" t="n"/>
      <c r="V1517" s="156" t="inlineStr">
        <is>
          <t>PZS</t>
        </is>
      </c>
      <c r="W1517" s="51" t="inlineStr">
        <is>
          <t>53102503</t>
        </is>
      </c>
      <c r="X1517" s="156" t="n"/>
      <c r="Y1517" s="54" t="n">
        <v>2598.75</v>
      </c>
      <c r="Z1517" s="54" t="n">
        <v>6724.137931</v>
      </c>
      <c r="AA1517" s="55">
        <f>IF(AND(A1517="", B1517="", E1517=""), "", IF(AB1517="", "Válido", IF((LEN(AB1517)-LEN(SUBSTITUTE(AB1517,"; ","")))/2+1&gt;(LEN(AB1517)-LEN(SUBSTITUTE(AB1517,"[Aviso]","")))/7, "Con Incidencias", "Válido")))</f>
        <v/>
      </c>
      <c r="AB1517" s="56">
        <f>IF(AND(A1517="", B1517="", E1517=""), "", TEXTJOIN("; ", TRUE, IF(OR(TRIM(A1517&amp;"")="", ISNUMBER(SEARCH("FALTA", A1517))), "UPC faltante/inválido", ""), IF(AND(A1517&lt;&gt;"", IFERROR(_xlfn.XMATCH(A1517,$A$2:$A$2509,0,1)&lt;&gt;_xlfn.XMATCH(A1517,$A$2:$A$2509,0,-1),FALSE)), "Código de barras duplicado", ""), IF(AND(E1517&lt;&gt;"", COUNTIF($E$2:$E$2509, E1517)&gt;1), "SKU duplicado", ""), IF(OR(J1517="", J1517=""), "[Aviso] División no capturada ()", IF(ISNA(MATCH(J1517, Criterios!$A$123:$A$126, 0)), "División no válida", "")), IF(OR(K1517="", K1517=""), "[Aviso] Categoría no capturada ()", IF(ISNA(MATCH(K1517, Criterios!$A$81:$A$120, 0)), "Categoría no válida", IF(AND(J1517&lt;&gt;"", J1517&lt;&gt;"", J1517&lt;&gt;VLOOKUP(K1517, Criterios!$A$81:$B$120, 2, FALSE)), "División no coincide con Categoría", ""))), IF(OR(L1517="", L1517=""), "[Aviso] Género no capturado ()", IF(ISNA(MATCH(L1517, Criterios!$B$123:$B$127, 0)), "Género no válido", "")), IF(OR(N1517="", N1517=""), "[Aviso] Temporada no capturada ()", IF(ISNA(MATCH(N1517, Criterios!$C$123:$C$128, 0)), "Temporada no válida", "")), IF(OR(O1517="", O1517=""), "[Aviso] Ciclo de vida no capturado ()", IF(ISNA(MATCH(O1517, Criterios!$D$123:$D$124, 0)), "Ciclo de vida no válido", ""))))</f>
        <v/>
      </c>
      <c r="AC1517" s="56" t="n"/>
      <c r="AD1517" s="51" t="n">
        <v>0</v>
      </c>
      <c r="AE1517" s="156" t="inlineStr">
        <is>
          <t>B25 STETSON.MX (2)</t>
        </is>
      </c>
      <c r="AF1517" s="51" t="n">
        <v>2</v>
      </c>
      <c r="AG1517" s="156" t="inlineStr">
        <is>
          <t>Catálogo existente</t>
        </is>
      </c>
      <c r="AH1517" s="156" t="inlineStr">
        <is>
          <t>Revisión 29/09/2026: Campos sin respaldo: U, X | 01/10/2026: complementado desde Shopify Stetson México (match por código de barras): WB Fit</t>
        </is>
      </c>
      <c r="AI1517" s="156" t="inlineStr">
        <is>
          <t>Sí</t>
        </is>
      </c>
      <c r="AJ1517" s="156" t="inlineStr">
        <is>
          <t>PUNTO DE VENTA (-1); STETSON AMERICAS (-1)</t>
        </is>
      </c>
      <c r="AK1517" s="155" t="inlineStr">
        <is>
          <t>Criterios: I [Q] | Shopify Stetson: producto 15056329081195 / variante 53357912752491</t>
        </is>
      </c>
      <c r="AL1517" s="58" t="n">
        <v>2598.75</v>
      </c>
      <c r="AM1517" s="58" t="n">
        <v>6724.137931</v>
      </c>
      <c r="AN1517" s="155" t="inlineStr">
        <is>
          <t>Shopify Stetson México</t>
        </is>
      </c>
      <c r="AO1517" s="59" t="n">
        <v>1</v>
      </c>
      <c r="AP1517" s="59" t="n"/>
      <c r="AQ1517" s="59" t="n"/>
      <c r="AR1517" s="155" t="inlineStr">
        <is>
          <t>Shopify Stetson México › Stetson México: 1</t>
        </is>
      </c>
    </row>
    <row r="1518">
      <c r="A1518" s="50" t="inlineStr">
        <is>
          <t>795177884828</t>
        </is>
      </c>
      <c r="B1518" s="51" t="inlineStr">
        <is>
          <t>110055</t>
        </is>
      </c>
      <c r="C1518" s="156" t="inlineStr">
        <is>
          <t>Multimarca</t>
        </is>
      </c>
      <c r="D1518" s="156" t="inlineStr">
        <is>
          <t>SFROPR-754007</t>
        </is>
      </c>
      <c r="E1518" s="156" t="inlineStr">
        <is>
          <t>SFROPR-75400772</t>
        </is>
      </c>
      <c r="F1518" s="156" t="inlineStr">
        <is>
          <t>7 1/4</t>
        </is>
      </c>
      <c r="G1518" s="156" t="inlineStr">
        <is>
          <t>7 1/4</t>
        </is>
      </c>
      <c r="H1518" s="156" t="inlineStr">
        <is>
          <t>Stetson</t>
        </is>
      </c>
      <c r="I1518" s="156" t="inlineStr">
        <is>
          <t>Texana Stetson 6X Roper Negro</t>
        </is>
      </c>
      <c r="J1518" s="156" t="inlineStr">
        <is>
          <t>Accesorios</t>
        </is>
      </c>
      <c r="K1518" s="156" t="inlineStr">
        <is>
          <t>Sombreros</t>
        </is>
      </c>
      <c r="L1518" s="156" t="inlineStr">
        <is>
          <t>Unisex</t>
        </is>
      </c>
      <c r="M1518" s="156" t="inlineStr">
        <is>
          <t>Stetson</t>
        </is>
      </c>
      <c r="N1518" s="156" t="inlineStr">
        <is>
          <t>SS26</t>
        </is>
      </c>
      <c r="O1518" s="156" t="inlineStr">
        <is>
          <t>Seasonal</t>
        </is>
      </c>
      <c r="P1518" s="156" t="inlineStr">
        <is>
          <t>Negro</t>
        </is>
      </c>
      <c r="Q1518" s="156" t="n"/>
      <c r="R1518" s="156" t="n"/>
      <c r="S1518" s="156" t="inlineStr">
        <is>
          <t>100% Fieltro de lana</t>
        </is>
      </c>
      <c r="T1518" s="156" t="inlineStr">
        <is>
          <t>Texana Stetson 6X Roper Negro.
 Composición: 100% Fieltro de lana.
 Color: Negro.
 Calidad: 6X.</t>
        </is>
      </c>
      <c r="U1518" s="156" t="n"/>
      <c r="V1518" s="156" t="inlineStr">
        <is>
          <t>PZS</t>
        </is>
      </c>
      <c r="W1518" s="51" t="inlineStr">
        <is>
          <t>53102503</t>
        </is>
      </c>
      <c r="X1518" s="156" t="n"/>
      <c r="Y1518" s="54" t="n">
        <v>2598.75</v>
      </c>
      <c r="Z1518" s="54" t="n">
        <v>6724.137931</v>
      </c>
      <c r="AA1518" s="55">
        <f>IF(AND(A1518="", B1518="", E1518=""), "", IF(AB1518="", "Válido", IF((LEN(AB1518)-LEN(SUBSTITUTE(AB1518,"; ","")))/2+1&gt;(LEN(AB1518)-LEN(SUBSTITUTE(AB1518,"[Aviso]","")))/7, "Con Incidencias", "Válido")))</f>
        <v/>
      </c>
      <c r="AB1518" s="56">
        <f>IF(AND(A1518="", B1518="", E1518=""), "", TEXTJOIN("; ", TRUE, IF(OR(TRIM(A1518&amp;"")="", ISNUMBER(SEARCH("FALTA", A1518))), "UPC faltante/inválido", ""), IF(AND(A1518&lt;&gt;"", IFERROR(_xlfn.XMATCH(A1518,$A$2:$A$2509,0,1)&lt;&gt;_xlfn.XMATCH(A1518,$A$2:$A$2509,0,-1),FALSE)), "Código de barras duplicado", ""), IF(AND(E1518&lt;&gt;"", COUNTIF($E$2:$E$2509, E1518)&gt;1), "SKU duplicado", ""), IF(OR(J1518="", J1518=""), "[Aviso] División no capturada ()", IF(ISNA(MATCH(J1518, Criterios!$A$123:$A$126, 0)), "División no válida", "")), IF(OR(K1518="", K1518=""), "[Aviso] Categoría no capturada ()", IF(ISNA(MATCH(K1518, Criterios!$A$81:$A$120, 0)), "Categoría no válida", IF(AND(J1518&lt;&gt;"", J1518&lt;&gt;"", J1518&lt;&gt;VLOOKUP(K1518, Criterios!$A$81:$B$120, 2, FALSE)), "División no coincide con Categoría", ""))), IF(OR(L1518="", L1518=""), "[Aviso] Género no capturado ()", IF(ISNA(MATCH(L1518, Criterios!$B$123:$B$127, 0)), "Género no válido", "")), IF(OR(N1518="", N1518=""), "[Aviso] Temporada no capturada ()", IF(ISNA(MATCH(N1518, Criterios!$C$123:$C$128, 0)), "Temporada no válida", "")), IF(OR(O1518="", O1518=""), "[Aviso] Ciclo de vida no capturado ()", IF(ISNA(MATCH(O1518, Criterios!$D$123:$D$124, 0)), "Ciclo de vida no válido", ""))))</f>
        <v/>
      </c>
      <c r="AC1518" s="56" t="n"/>
      <c r="AD1518" s="51" t="n">
        <v>1</v>
      </c>
      <c r="AE1518" s="156" t="inlineStr">
        <is>
          <t>B25 STETSON.MX (2)</t>
        </is>
      </c>
      <c r="AF1518" s="51" t="n">
        <v>2</v>
      </c>
      <c r="AG1518" s="156" t="inlineStr">
        <is>
          <t>Catálogo existente</t>
        </is>
      </c>
      <c r="AH1518" s="156" t="inlineStr">
        <is>
          <t>Revisión 29/09/2026: Campos sin respaldo: U, X | 01/10/2026: complementado desde Shopify Stetson México (match por código de barras): WB Fit</t>
        </is>
      </c>
      <c r="AI1518" s="156" t="inlineStr">
        <is>
          <t>Sí</t>
        </is>
      </c>
      <c r="AJ1518" s="156" t="inlineStr">
        <is>
          <t>PUNTO DE VENTA (-1)</t>
        </is>
      </c>
      <c r="AK1518" s="155" t="inlineStr">
        <is>
          <t>Criterios: I [Q] | Shopify Stetson: producto 15056329081195 / variante 53357912785259</t>
        </is>
      </c>
      <c r="AL1518" s="58" t="n">
        <v>2598.75</v>
      </c>
      <c r="AM1518" s="58" t="n">
        <v>6724.137931</v>
      </c>
      <c r="AN1518" s="155" t="inlineStr">
        <is>
          <t>Shopify Stetson México</t>
        </is>
      </c>
      <c r="AO1518" s="59" t="n">
        <v>2</v>
      </c>
      <c r="AP1518" s="59" t="n"/>
      <c r="AQ1518" s="59" t="n"/>
      <c r="AR1518" s="155" t="inlineStr">
        <is>
          <t>Shopify Stetson México › Stetson México: 1 | Shopify Stetson México › Stetson Americas: 1</t>
        </is>
      </c>
    </row>
    <row r="1519">
      <c r="A1519" s="50" t="inlineStr">
        <is>
          <t>795177884835</t>
        </is>
      </c>
      <c r="B1519" s="51" t="inlineStr">
        <is>
          <t>110056</t>
        </is>
      </c>
      <c r="C1519" s="156" t="inlineStr">
        <is>
          <t>Multimarca</t>
        </is>
      </c>
      <c r="D1519" s="156" t="inlineStr">
        <is>
          <t>SFROPR-754007</t>
        </is>
      </c>
      <c r="E1519" s="156" t="inlineStr">
        <is>
          <t>SFROPR-75400773</t>
        </is>
      </c>
      <c r="F1519" s="156" t="inlineStr">
        <is>
          <t>7 3/8</t>
        </is>
      </c>
      <c r="G1519" s="156" t="inlineStr">
        <is>
          <t>7 3/8</t>
        </is>
      </c>
      <c r="H1519" s="156" t="inlineStr">
        <is>
          <t>Stetson</t>
        </is>
      </c>
      <c r="I1519" s="156" t="inlineStr">
        <is>
          <t>Texana Stetson 6X Roper Negro</t>
        </is>
      </c>
      <c r="J1519" s="156" t="inlineStr">
        <is>
          <t>Accesorios</t>
        </is>
      </c>
      <c r="K1519" s="156" t="inlineStr">
        <is>
          <t>Sombreros</t>
        </is>
      </c>
      <c r="L1519" s="156" t="inlineStr">
        <is>
          <t>Unisex</t>
        </is>
      </c>
      <c r="M1519" s="156" t="inlineStr">
        <is>
          <t>Stetson</t>
        </is>
      </c>
      <c r="N1519" s="156" t="inlineStr">
        <is>
          <t>SS26</t>
        </is>
      </c>
      <c r="O1519" s="156" t="inlineStr">
        <is>
          <t>Seasonal</t>
        </is>
      </c>
      <c r="P1519" s="156" t="inlineStr">
        <is>
          <t>Negro</t>
        </is>
      </c>
      <c r="Q1519" s="156" t="n"/>
      <c r="R1519" s="156" t="n"/>
      <c r="S1519" s="156" t="inlineStr">
        <is>
          <t>100% Fieltro de lana</t>
        </is>
      </c>
      <c r="T1519" s="156" t="inlineStr">
        <is>
          <t>Texana Stetson 6X Roper Negro.
 Composición: 100% Fieltro de lana.
 Color: Negro.
 Calidad: 6X.</t>
        </is>
      </c>
      <c r="U1519" s="156" t="n"/>
      <c r="V1519" s="156" t="inlineStr">
        <is>
          <t>PZS</t>
        </is>
      </c>
      <c r="W1519" s="51" t="inlineStr">
        <is>
          <t>53102503</t>
        </is>
      </c>
      <c r="X1519" s="156" t="n"/>
      <c r="Y1519" s="54" t="n">
        <v>2598.75</v>
      </c>
      <c r="Z1519" s="54" t="n">
        <v>6724.137931</v>
      </c>
      <c r="AA1519" s="55">
        <f>IF(AND(A1519="", B1519="", E1519=""), "", IF(AB1519="", "Válido", IF((LEN(AB1519)-LEN(SUBSTITUTE(AB1519,"; ","")))/2+1&gt;(LEN(AB1519)-LEN(SUBSTITUTE(AB1519,"[Aviso]","")))/7, "Con Incidencias", "Válido")))</f>
        <v/>
      </c>
      <c r="AB1519" s="56">
        <f>IF(AND(A1519="", B1519="", E1519=""), "", TEXTJOIN("; ", TRUE, IF(OR(TRIM(A1519&amp;"")="", ISNUMBER(SEARCH("FALTA", A1519))), "UPC faltante/inválido", ""), IF(AND(A1519&lt;&gt;"", IFERROR(_xlfn.XMATCH(A1519,$A$2:$A$2509,0,1)&lt;&gt;_xlfn.XMATCH(A1519,$A$2:$A$2509,0,-1),FALSE)), "Código de barras duplicado", ""), IF(AND(E1519&lt;&gt;"", COUNTIF($E$2:$E$2509, E1519)&gt;1), "SKU duplicado", ""), IF(OR(J1519="", J1519=""), "[Aviso] División no capturada ()", IF(ISNA(MATCH(J1519, Criterios!$A$123:$A$126, 0)), "División no válida", "")), IF(OR(K1519="", K1519=""), "[Aviso] Categoría no capturada ()", IF(ISNA(MATCH(K1519, Criterios!$A$81:$A$120, 0)), "Categoría no válida", IF(AND(J1519&lt;&gt;"", J1519&lt;&gt;"", J1519&lt;&gt;VLOOKUP(K1519, Criterios!$A$81:$B$120, 2, FALSE)), "División no coincide con Categoría", ""))), IF(OR(L1519="", L1519=""), "[Aviso] Género no capturado ()", IF(ISNA(MATCH(L1519, Criterios!$B$123:$B$127, 0)), "Género no válido", "")), IF(OR(N1519="", N1519=""), "[Aviso] Temporada no capturada ()", IF(ISNA(MATCH(N1519, Criterios!$C$123:$C$128, 0)), "Temporada no válida", "")), IF(OR(O1519="", O1519=""), "[Aviso] Ciclo de vida no capturado ()", IF(ISNA(MATCH(O1519, Criterios!$D$123:$D$124, 0)), "Ciclo de vida no válido", ""))))</f>
        <v/>
      </c>
      <c r="AC1519" s="56" t="n"/>
      <c r="AD1519" s="51" t="n">
        <v>2</v>
      </c>
      <c r="AE1519" s="156" t="inlineStr">
        <is>
          <t>B25 STETSON.MX (4)</t>
        </is>
      </c>
      <c r="AF1519" s="51" t="n">
        <v>4</v>
      </c>
      <c r="AG1519" s="156" t="inlineStr">
        <is>
          <t>Catálogo existente</t>
        </is>
      </c>
      <c r="AH1519" s="156" t="inlineStr">
        <is>
          <t>Revisión 29/09/2026: Campos sin respaldo: U, X | 01/10/2026: complementado desde Shopify Stetson México (match por código de barras): WB Fit</t>
        </is>
      </c>
      <c r="AI1519" s="156" t="inlineStr">
        <is>
          <t>Sí</t>
        </is>
      </c>
      <c r="AJ1519" s="156" t="inlineStr">
        <is>
          <t>STETSON AMERICAS (-2)</t>
        </is>
      </c>
      <c r="AK1519" s="155" t="inlineStr">
        <is>
          <t>Criterios: I [Q] | Shopify Stetson: producto 15056329081195 / variante 53357912818027</t>
        </is>
      </c>
      <c r="AL1519" s="58" t="n">
        <v>2598.75</v>
      </c>
      <c r="AM1519" s="58" t="n">
        <v>6724.137931</v>
      </c>
      <c r="AN1519" s="155" t="inlineStr">
        <is>
          <t>Shopify Stetson México</t>
        </is>
      </c>
      <c r="AO1519" s="59" t="n">
        <v>3</v>
      </c>
      <c r="AP1519" s="59" t="n"/>
      <c r="AQ1519" s="59" t="n"/>
      <c r="AR1519" s="155" t="inlineStr">
        <is>
          <t>Shopify Stetson México › Stetson México: 2 | Shopify Stetson México › Stetson Americas: 1</t>
        </is>
      </c>
    </row>
    <row r="1520">
      <c r="A1520" s="50" t="inlineStr">
        <is>
          <t>795177884842</t>
        </is>
      </c>
      <c r="B1520" s="51" t="inlineStr">
        <is>
          <t>110057</t>
        </is>
      </c>
      <c r="C1520" s="156" t="inlineStr">
        <is>
          <t>Multimarca</t>
        </is>
      </c>
      <c r="D1520" s="156" t="inlineStr">
        <is>
          <t>SFROPR-754007</t>
        </is>
      </c>
      <c r="E1520" s="156" t="inlineStr">
        <is>
          <t>SFROPR-75400774</t>
        </is>
      </c>
      <c r="F1520" s="156" t="inlineStr">
        <is>
          <t>7 1/2</t>
        </is>
      </c>
      <c r="G1520" s="156" t="inlineStr">
        <is>
          <t>7 1/2</t>
        </is>
      </c>
      <c r="H1520" s="156" t="inlineStr">
        <is>
          <t>Stetson</t>
        </is>
      </c>
      <c r="I1520" s="156" t="inlineStr">
        <is>
          <t>Texana Stetson 6X Roper Negro</t>
        </is>
      </c>
      <c r="J1520" s="156" t="inlineStr">
        <is>
          <t>Accesorios</t>
        </is>
      </c>
      <c r="K1520" s="156" t="inlineStr">
        <is>
          <t>Sombreros</t>
        </is>
      </c>
      <c r="L1520" s="156" t="inlineStr">
        <is>
          <t>Unisex</t>
        </is>
      </c>
      <c r="M1520" s="156" t="inlineStr">
        <is>
          <t>Stetson</t>
        </is>
      </c>
      <c r="N1520" s="156" t="inlineStr">
        <is>
          <t>SS26</t>
        </is>
      </c>
      <c r="O1520" s="156" t="inlineStr">
        <is>
          <t>Seasonal</t>
        </is>
      </c>
      <c r="P1520" s="156" t="inlineStr">
        <is>
          <t>Negro</t>
        </is>
      </c>
      <c r="Q1520" s="156" t="n"/>
      <c r="R1520" s="156" t="n"/>
      <c r="S1520" s="156" t="inlineStr">
        <is>
          <t>100% Fieltro de lana</t>
        </is>
      </c>
      <c r="T1520" s="156" t="inlineStr">
        <is>
          <t>Texana Stetson 6X Roper Negro.
 Composición: 100% Fieltro de lana.
 Color: Negro.
 Calidad: 6X.</t>
        </is>
      </c>
      <c r="U1520" s="156" t="n"/>
      <c r="V1520" s="156" t="inlineStr">
        <is>
          <t>PZS</t>
        </is>
      </c>
      <c r="W1520" s="51" t="inlineStr">
        <is>
          <t>53102503</t>
        </is>
      </c>
      <c r="X1520" s="156" t="n"/>
      <c r="Y1520" s="54" t="n">
        <v>2598.75</v>
      </c>
      <c r="Z1520" s="54" t="n">
        <v>6724.137931</v>
      </c>
      <c r="AA1520" s="55">
        <f>IF(AND(A1520="", B1520="", E1520=""), "", IF(AB1520="", "Válido", IF((LEN(AB1520)-LEN(SUBSTITUTE(AB1520,"; ","")))/2+1&gt;(LEN(AB1520)-LEN(SUBSTITUTE(AB1520,"[Aviso]","")))/7, "Con Incidencias", "Válido")))</f>
        <v/>
      </c>
      <c r="AB1520" s="56">
        <f>IF(AND(A1520="", B1520="", E1520=""), "", TEXTJOIN("; ", TRUE, IF(OR(TRIM(A1520&amp;"")="", ISNUMBER(SEARCH("FALTA", A1520))), "UPC faltante/inválido", ""), IF(AND(A1520&lt;&gt;"", IFERROR(_xlfn.XMATCH(A1520,$A$2:$A$2509,0,1)&lt;&gt;_xlfn.XMATCH(A1520,$A$2:$A$2509,0,-1),FALSE)), "Código de barras duplicado", ""), IF(AND(E1520&lt;&gt;"", COUNTIF($E$2:$E$2509, E1520)&gt;1), "SKU duplicado", ""), IF(OR(J1520="", J1520=""), "[Aviso] División no capturada ()", IF(ISNA(MATCH(J1520, Criterios!$A$123:$A$126, 0)), "División no válida", "")), IF(OR(K1520="", K1520=""), "[Aviso] Categoría no capturada ()", IF(ISNA(MATCH(K1520, Criterios!$A$81:$A$120, 0)), "Categoría no válida", IF(AND(J1520&lt;&gt;"", J1520&lt;&gt;"", J1520&lt;&gt;VLOOKUP(K1520, Criterios!$A$81:$B$120, 2, FALSE)), "División no coincide con Categoría", ""))), IF(OR(L1520="", L1520=""), "[Aviso] Género no capturado ()", IF(ISNA(MATCH(L1520, Criterios!$B$123:$B$127, 0)), "Género no válido", "")), IF(OR(N1520="", N1520=""), "[Aviso] Temporada no capturada ()", IF(ISNA(MATCH(N1520, Criterios!$C$123:$C$128, 0)), "Temporada no válida", "")), IF(OR(O1520="", O1520=""), "[Aviso] Ciclo de vida no capturado ()", IF(ISNA(MATCH(O1520, Criterios!$D$123:$D$124, 0)), "Ciclo de vida no válido", ""))))</f>
        <v/>
      </c>
      <c r="AC1520" s="56" t="n"/>
      <c r="AD1520" s="51" t="n">
        <v>0</v>
      </c>
      <c r="AE1520" s="156" t="inlineStr">
        <is>
          <t>B25 STETSON.MX (1)</t>
        </is>
      </c>
      <c r="AF1520" s="51" t="n">
        <v>1</v>
      </c>
      <c r="AG1520" s="156" t="inlineStr">
        <is>
          <t>Catálogo existente</t>
        </is>
      </c>
      <c r="AH1520" s="156" t="inlineStr">
        <is>
          <t>Revisión 29/09/2026: Campos sin respaldo: U, X | 01/10/2026: complementado desde Shopify Stetson México (match por código de barras): WB Fit</t>
        </is>
      </c>
      <c r="AI1520" s="156" t="inlineStr">
        <is>
          <t>Sí</t>
        </is>
      </c>
      <c r="AJ1520" s="156" t="inlineStr">
        <is>
          <t>STETSON AMERICAS (-1)</t>
        </is>
      </c>
      <c r="AK1520" s="155" t="inlineStr">
        <is>
          <t>Criterios: I [Q] | Shopify Stetson: producto 15056329081195 / variante 53357912850795</t>
        </is>
      </c>
      <c r="AL1520" s="58" t="n">
        <v>2598.75</v>
      </c>
      <c r="AM1520" s="58" t="n">
        <v>6724.137931</v>
      </c>
      <c r="AN1520" s="155" t="inlineStr">
        <is>
          <t>Shopify Stetson México</t>
        </is>
      </c>
      <c r="AO1520" s="59" t="n">
        <v>0</v>
      </c>
      <c r="AP1520" s="59" t="n"/>
      <c r="AQ1520" s="59" t="n"/>
      <c r="AR1520" s="155" t="n"/>
    </row>
    <row r="1521">
      <c r="A1521" s="50" t="inlineStr">
        <is>
          <t>795177925996</t>
        </is>
      </c>
      <c r="B1521" s="51" t="inlineStr">
        <is>
          <t>110058</t>
        </is>
      </c>
      <c r="C1521" s="156" t="inlineStr">
        <is>
          <t>Multimarca</t>
        </is>
      </c>
      <c r="D1521" s="156" t="inlineStr">
        <is>
          <t>SFROPR-754061</t>
        </is>
      </c>
      <c r="E1521" s="156" t="inlineStr">
        <is>
          <t>SFROPR-75406167</t>
        </is>
      </c>
      <c r="F1521" s="156" t="inlineStr">
        <is>
          <t>6 7/8</t>
        </is>
      </c>
      <c r="G1521" s="156" t="inlineStr">
        <is>
          <t>6 7/8</t>
        </is>
      </c>
      <c r="H1521" s="156" t="inlineStr">
        <is>
          <t>Stetson</t>
        </is>
      </c>
      <c r="I1521" s="156" t="inlineStr">
        <is>
          <t>Texana Stetson 6X Roper Plata</t>
        </is>
      </c>
      <c r="J1521" s="156" t="inlineStr">
        <is>
          <t>Accesorios</t>
        </is>
      </c>
      <c r="K1521" s="156" t="inlineStr">
        <is>
          <t>Sombreros</t>
        </is>
      </c>
      <c r="L1521" s="156" t="inlineStr">
        <is>
          <t>Unisex</t>
        </is>
      </c>
      <c r="M1521" s="156" t="inlineStr">
        <is>
          <t>Stetson</t>
        </is>
      </c>
      <c r="N1521" s="156" t="inlineStr">
        <is>
          <t>SS26</t>
        </is>
      </c>
      <c r="O1521" s="156" t="inlineStr">
        <is>
          <t>Seasonal</t>
        </is>
      </c>
      <c r="P1521" s="156" t="inlineStr">
        <is>
          <t>Gris</t>
        </is>
      </c>
      <c r="Q1521" s="156" t="n"/>
      <c r="R1521" s="156" t="n"/>
      <c r="S1521" s="156" t="inlineStr">
        <is>
          <t>100% Fieltro de lana</t>
        </is>
      </c>
      <c r="T1521" s="156" t="inlineStr">
        <is>
          <t>Texana Stetson 6X Roper Plata.
 Composición: 100% Fieltro de lana.
 Color: Plata.
 Calidad: 6X.</t>
        </is>
      </c>
      <c r="U1521" s="156" t="n"/>
      <c r="V1521" s="156" t="inlineStr">
        <is>
          <t>PZS</t>
        </is>
      </c>
      <c r="W1521" s="51" t="inlineStr">
        <is>
          <t>53102503</t>
        </is>
      </c>
      <c r="X1521" s="156" t="n"/>
      <c r="Y1521" s="54" t="n">
        <v>2598.75</v>
      </c>
      <c r="Z1521" s="54" t="n">
        <v>6724.137931</v>
      </c>
      <c r="AA1521" s="55">
        <f>IF(AND(A1521="", B1521="", E1521=""), "", IF(AB1521="", "Válido", IF((LEN(AB1521)-LEN(SUBSTITUTE(AB1521,"; ","")))/2+1&gt;(LEN(AB1521)-LEN(SUBSTITUTE(AB1521,"[Aviso]","")))/7, "Con Incidencias", "Válido")))</f>
        <v/>
      </c>
      <c r="AB1521" s="56">
        <f>IF(AND(A1521="", B1521="", E1521=""), "", TEXTJOIN("; ", TRUE, IF(OR(TRIM(A1521&amp;"")="", ISNUMBER(SEARCH("FALTA", A1521))), "UPC faltante/inválido", ""), IF(AND(A1521&lt;&gt;"", IFERROR(_xlfn.XMATCH(A1521,$A$2:$A$2509,0,1)&lt;&gt;_xlfn.XMATCH(A1521,$A$2:$A$2509,0,-1),FALSE)), "Código de barras duplicado", ""), IF(AND(E1521&lt;&gt;"", COUNTIF($E$2:$E$2509, E1521)&gt;1), "SKU duplicado", ""), IF(OR(J1521="", J1521=""), "[Aviso] División no capturada ()", IF(ISNA(MATCH(J1521, Criterios!$A$123:$A$126, 0)), "División no válida", "")), IF(OR(K1521="", K1521=""), "[Aviso] Categoría no capturada ()", IF(ISNA(MATCH(K1521, Criterios!$A$81:$A$120, 0)), "Categoría no válida", IF(AND(J1521&lt;&gt;"", J1521&lt;&gt;"", J1521&lt;&gt;VLOOKUP(K1521, Criterios!$A$81:$B$120, 2, FALSE)), "División no coincide con Categoría", ""))), IF(OR(L1521="", L1521=""), "[Aviso] Género no capturado ()", IF(ISNA(MATCH(L1521, Criterios!$B$123:$B$127, 0)), "Género no válido", "")), IF(OR(N1521="", N1521=""), "[Aviso] Temporada no capturada ()", IF(ISNA(MATCH(N1521, Criterios!$C$123:$C$128, 0)), "Temporada no válida", "")), IF(OR(O1521="", O1521=""), "[Aviso] Ciclo de vida no capturado ()", IF(ISNA(MATCH(O1521, Criterios!$D$123:$D$124, 0)), "Ciclo de vida no válido", ""))))</f>
        <v/>
      </c>
      <c r="AC1521" s="56" t="n"/>
      <c r="AD1521" s="51" t="n">
        <v>0</v>
      </c>
      <c r="AE1521" s="156" t="inlineStr">
        <is>
          <t>B25 STETSON.MX (1)</t>
        </is>
      </c>
      <c r="AF1521" s="51" t="n">
        <v>1</v>
      </c>
      <c r="AG1521" s="156" t="inlineStr">
        <is>
          <t>Catálogo existente</t>
        </is>
      </c>
      <c r="AH1521" s="156" t="inlineStr">
        <is>
          <t>Revisión 29/09/2026: Campos sin respaldo: U, X | 01/10/2026: complementado desde Shopify Stetson México (match por código de barras): WB Fit</t>
        </is>
      </c>
      <c r="AI1521" s="156" t="inlineStr">
        <is>
          <t>Sí</t>
        </is>
      </c>
      <c r="AJ1521" s="156" t="inlineStr">
        <is>
          <t>STETSON AMERICAS (-1)</t>
        </is>
      </c>
      <c r="AK1521" s="155" t="inlineStr">
        <is>
          <t>Criterios: I [Q] | Shopify Stetson: producto 15056329113963 / variante 53357912883563</t>
        </is>
      </c>
      <c r="AL1521" s="58" t="n">
        <v>2598.75</v>
      </c>
      <c r="AM1521" s="58" t="n">
        <v>6724.137931</v>
      </c>
      <c r="AN1521" s="155" t="inlineStr">
        <is>
          <t>Shopify Stetson México</t>
        </is>
      </c>
      <c r="AO1521" s="59" t="n">
        <v>1</v>
      </c>
      <c r="AP1521" s="59" t="n"/>
      <c r="AQ1521" s="59" t="n"/>
      <c r="AR1521" s="155" t="inlineStr">
        <is>
          <t>Shopify Stetson México › Stetson Americas: 1</t>
        </is>
      </c>
    </row>
    <row r="1522">
      <c r="A1522" s="50" t="inlineStr">
        <is>
          <t>795177926009</t>
        </is>
      </c>
      <c r="B1522" s="51" t="inlineStr">
        <is>
          <t>110059</t>
        </is>
      </c>
      <c r="C1522" s="156" t="inlineStr">
        <is>
          <t>Multimarca</t>
        </is>
      </c>
      <c r="D1522" s="156" t="inlineStr">
        <is>
          <t>SFROPR-754061</t>
        </is>
      </c>
      <c r="E1522" s="156" t="inlineStr">
        <is>
          <t>SFROPR-75406170</t>
        </is>
      </c>
      <c r="F1522" s="156" t="inlineStr">
        <is>
          <t>7</t>
        </is>
      </c>
      <c r="G1522" s="156" t="inlineStr">
        <is>
          <t>7</t>
        </is>
      </c>
      <c r="H1522" s="156" t="inlineStr">
        <is>
          <t>Stetson</t>
        </is>
      </c>
      <c r="I1522" s="156" t="inlineStr">
        <is>
          <t>Texana Stetson 6X Roper Plata</t>
        </is>
      </c>
      <c r="J1522" s="156" t="inlineStr">
        <is>
          <t>Accesorios</t>
        </is>
      </c>
      <c r="K1522" s="156" t="inlineStr">
        <is>
          <t>Sombreros</t>
        </is>
      </c>
      <c r="L1522" s="156" t="inlineStr">
        <is>
          <t>Unisex</t>
        </is>
      </c>
      <c r="M1522" s="156" t="inlineStr">
        <is>
          <t>Stetson</t>
        </is>
      </c>
      <c r="N1522" s="156" t="inlineStr">
        <is>
          <t>SS26</t>
        </is>
      </c>
      <c r="O1522" s="156" t="inlineStr">
        <is>
          <t>Seasonal</t>
        </is>
      </c>
      <c r="P1522" s="156" t="inlineStr">
        <is>
          <t>Gris</t>
        </is>
      </c>
      <c r="Q1522" s="156" t="n"/>
      <c r="R1522" s="156" t="n"/>
      <c r="S1522" s="156" t="inlineStr">
        <is>
          <t>100% Fieltro de lana</t>
        </is>
      </c>
      <c r="T1522" s="156" t="inlineStr">
        <is>
          <t>Texana Stetson 6X Roper Plata.
 Composición: 100% Fieltro de lana.
 Color: Plata.
 Calidad: 6X.</t>
        </is>
      </c>
      <c r="U1522" s="156" t="n"/>
      <c r="V1522" s="156" t="inlineStr">
        <is>
          <t>PZS</t>
        </is>
      </c>
      <c r="W1522" s="51" t="inlineStr">
        <is>
          <t>53102503</t>
        </is>
      </c>
      <c r="X1522" s="156" t="n"/>
      <c r="Y1522" s="54" t="n">
        <v>2598.75</v>
      </c>
      <c r="Z1522" s="54" t="n">
        <v>6724.137931</v>
      </c>
      <c r="AA1522" s="55">
        <f>IF(AND(A1522="", B1522="", E1522=""), "", IF(AB1522="", "Válido", IF((LEN(AB1522)-LEN(SUBSTITUTE(AB1522,"; ","")))/2+1&gt;(LEN(AB1522)-LEN(SUBSTITUTE(AB1522,"[Aviso]","")))/7, "Con Incidencias", "Válido")))</f>
        <v/>
      </c>
      <c r="AB1522" s="56">
        <f>IF(AND(A1522="", B1522="", E1522=""), "", TEXTJOIN("; ", TRUE, IF(OR(TRIM(A1522&amp;"")="", ISNUMBER(SEARCH("FALTA", A1522))), "UPC faltante/inválido", ""), IF(AND(A1522&lt;&gt;"", IFERROR(_xlfn.XMATCH(A1522,$A$2:$A$2509,0,1)&lt;&gt;_xlfn.XMATCH(A1522,$A$2:$A$2509,0,-1),FALSE)), "Código de barras duplicado", ""), IF(AND(E1522&lt;&gt;"", COUNTIF($E$2:$E$2509, E1522)&gt;1), "SKU duplicado", ""), IF(OR(J1522="", J1522=""), "[Aviso] División no capturada ()", IF(ISNA(MATCH(J1522, Criterios!$A$123:$A$126, 0)), "División no válida", "")), IF(OR(K1522="", K1522=""), "[Aviso] Categoría no capturada ()", IF(ISNA(MATCH(K1522, Criterios!$A$81:$A$120, 0)), "Categoría no válida", IF(AND(J1522&lt;&gt;"", J1522&lt;&gt;"", J1522&lt;&gt;VLOOKUP(K1522, Criterios!$A$81:$B$120, 2, FALSE)), "División no coincide con Categoría", ""))), IF(OR(L1522="", L1522=""), "[Aviso] Género no capturado ()", IF(ISNA(MATCH(L1522, Criterios!$B$123:$B$127, 0)), "Género no válido", "")), IF(OR(N1522="", N1522=""), "[Aviso] Temporada no capturada ()", IF(ISNA(MATCH(N1522, Criterios!$C$123:$C$128, 0)), "Temporada no válida", "")), IF(OR(O1522="", O1522=""), "[Aviso] Ciclo de vida no capturado ()", IF(ISNA(MATCH(O1522, Criterios!$D$123:$D$124, 0)), "Ciclo de vida no válido", ""))))</f>
        <v/>
      </c>
      <c r="AC1522" s="56" t="n"/>
      <c r="AD1522" s="51" t="n">
        <v>0</v>
      </c>
      <c r="AE1522" s="156" t="inlineStr">
        <is>
          <t>B25 STETSON.MX (1)</t>
        </is>
      </c>
      <c r="AF1522" s="51" t="n">
        <v>1</v>
      </c>
      <c r="AG1522" s="156" t="inlineStr">
        <is>
          <t>Catálogo existente</t>
        </is>
      </c>
      <c r="AH1522" s="156" t="inlineStr">
        <is>
          <t>Revisión 29/09/2026: Campos sin respaldo: U, X | 01/10/2026: complementado desde Shopify Stetson México (match por código de barras): WB Fit</t>
        </is>
      </c>
      <c r="AI1522" s="156" t="inlineStr">
        <is>
          <t>Sí</t>
        </is>
      </c>
      <c r="AJ1522" s="156" t="inlineStr">
        <is>
          <t>PUNTO DE VENTA (-1)</t>
        </is>
      </c>
      <c r="AK1522" s="155" t="inlineStr">
        <is>
          <t>Criterios: I [Q] | Shopify Stetson: producto 15056329113963 / variante 53357912916331</t>
        </is>
      </c>
      <c r="AL1522" s="58" t="n">
        <v>2598.75</v>
      </c>
      <c r="AM1522" s="58" t="n">
        <v>6724.137931</v>
      </c>
      <c r="AN1522" s="155" t="inlineStr">
        <is>
          <t>Shopify Stetson México</t>
        </is>
      </c>
      <c r="AO1522" s="59" t="n">
        <v>2</v>
      </c>
      <c r="AP1522" s="59" t="n"/>
      <c r="AQ1522" s="59" t="n"/>
      <c r="AR1522" s="155" t="inlineStr">
        <is>
          <t>Shopify Stetson México › Stetson México: 1 | Shopify Stetson México › Stetson Americas: 1</t>
        </is>
      </c>
    </row>
    <row r="1523">
      <c r="A1523" s="50" t="inlineStr">
        <is>
          <t>795177926016</t>
        </is>
      </c>
      <c r="B1523" s="51" t="inlineStr">
        <is>
          <t>110060</t>
        </is>
      </c>
      <c r="C1523" s="156" t="inlineStr">
        <is>
          <t>Multimarca</t>
        </is>
      </c>
      <c r="D1523" s="156" t="inlineStr">
        <is>
          <t>SFROPR-754061</t>
        </is>
      </c>
      <c r="E1523" s="156" t="inlineStr">
        <is>
          <t>SFROPR-75406171</t>
        </is>
      </c>
      <c r="F1523" s="156" t="inlineStr">
        <is>
          <t>7 1/8</t>
        </is>
      </c>
      <c r="G1523" s="156" t="inlineStr">
        <is>
          <t>7 1/8</t>
        </is>
      </c>
      <c r="H1523" s="156" t="inlineStr">
        <is>
          <t>Stetson</t>
        </is>
      </c>
      <c r="I1523" s="156" t="inlineStr">
        <is>
          <t>Texana Stetson 6X Roper Plata</t>
        </is>
      </c>
      <c r="J1523" s="156" t="inlineStr">
        <is>
          <t>Accesorios</t>
        </is>
      </c>
      <c r="K1523" s="156" t="inlineStr">
        <is>
          <t>Sombreros</t>
        </is>
      </c>
      <c r="L1523" s="156" t="inlineStr">
        <is>
          <t>Unisex</t>
        </is>
      </c>
      <c r="M1523" s="156" t="inlineStr">
        <is>
          <t>Stetson</t>
        </is>
      </c>
      <c r="N1523" s="156" t="inlineStr">
        <is>
          <t>SS26</t>
        </is>
      </c>
      <c r="O1523" s="156" t="inlineStr">
        <is>
          <t>Seasonal</t>
        </is>
      </c>
      <c r="P1523" s="156" t="inlineStr">
        <is>
          <t>Gris</t>
        </is>
      </c>
      <c r="Q1523" s="156" t="n"/>
      <c r="R1523" s="156" t="n"/>
      <c r="S1523" s="156" t="inlineStr">
        <is>
          <t>100% Fieltro de lana</t>
        </is>
      </c>
      <c r="T1523" s="156" t="inlineStr">
        <is>
          <t>Texana Stetson 6X Roper Plata.
 Composición: 100% Fieltro de lana.
 Color: Plata.
 Calidad: 6X.</t>
        </is>
      </c>
      <c r="U1523" s="156" t="n"/>
      <c r="V1523" s="156" t="inlineStr">
        <is>
          <t>PZS</t>
        </is>
      </c>
      <c r="W1523" s="51" t="inlineStr">
        <is>
          <t>53102503</t>
        </is>
      </c>
      <c r="X1523" s="156" t="n"/>
      <c r="Y1523" s="54" t="n">
        <v>2598.75</v>
      </c>
      <c r="Z1523" s="54" t="n">
        <v>6724.137931</v>
      </c>
      <c r="AA1523" s="55">
        <f>IF(AND(A1523="", B1523="", E1523=""), "", IF(AB1523="", "Válido", IF((LEN(AB1523)-LEN(SUBSTITUTE(AB1523,"; ","")))/2+1&gt;(LEN(AB1523)-LEN(SUBSTITUTE(AB1523,"[Aviso]","")))/7, "Con Incidencias", "Válido")))</f>
        <v/>
      </c>
      <c r="AB1523" s="56">
        <f>IF(AND(A1523="", B1523="", E1523=""), "", TEXTJOIN("; ", TRUE, IF(OR(TRIM(A1523&amp;"")="", ISNUMBER(SEARCH("FALTA", A1523))), "UPC faltante/inválido", ""), IF(AND(A1523&lt;&gt;"", IFERROR(_xlfn.XMATCH(A1523,$A$2:$A$2509,0,1)&lt;&gt;_xlfn.XMATCH(A1523,$A$2:$A$2509,0,-1),FALSE)), "Código de barras duplicado", ""), IF(AND(E1523&lt;&gt;"", COUNTIF($E$2:$E$2509, E1523)&gt;1), "SKU duplicado", ""), IF(OR(J1523="", J1523=""), "[Aviso] División no capturada ()", IF(ISNA(MATCH(J1523, Criterios!$A$123:$A$126, 0)), "División no válida", "")), IF(OR(K1523="", K1523=""), "[Aviso] Categoría no capturada ()", IF(ISNA(MATCH(K1523, Criterios!$A$81:$A$120, 0)), "Categoría no válida", IF(AND(J1523&lt;&gt;"", J1523&lt;&gt;"", J1523&lt;&gt;VLOOKUP(K1523, Criterios!$A$81:$B$120, 2, FALSE)), "División no coincide con Categoría", ""))), IF(OR(L1523="", L1523=""), "[Aviso] Género no capturado ()", IF(ISNA(MATCH(L1523, Criterios!$B$123:$B$127, 0)), "Género no válido", "")), IF(OR(N1523="", N1523=""), "[Aviso] Temporada no capturada ()", IF(ISNA(MATCH(N1523, Criterios!$C$123:$C$128, 0)), "Temporada no válida", "")), IF(OR(O1523="", O1523=""), "[Aviso] Ciclo de vida no capturado ()", IF(ISNA(MATCH(O1523, Criterios!$D$123:$D$124, 0)), "Ciclo de vida no válido", ""))))</f>
        <v/>
      </c>
      <c r="AC1523" s="56" t="n"/>
      <c r="AD1523" s="51" t="n">
        <v>2</v>
      </c>
      <c r="AE1523" s="156" t="inlineStr">
        <is>
          <t>B25 STETSON.MX (3)</t>
        </is>
      </c>
      <c r="AF1523" s="51" t="n">
        <v>3</v>
      </c>
      <c r="AG1523" s="156" t="inlineStr">
        <is>
          <t>Catálogo existente</t>
        </is>
      </c>
      <c r="AH1523" s="156" t="inlineStr">
        <is>
          <t>Revisión 29/09/2026: Campos sin respaldo: U, X | 01/10/2026: complementado desde Shopify Stetson México (match por código de barras): WB Fit</t>
        </is>
      </c>
      <c r="AI1523" s="156" t="inlineStr">
        <is>
          <t>Sí</t>
        </is>
      </c>
      <c r="AJ1523" s="156" t="inlineStr">
        <is>
          <t>PUNTO DE VENTA (-1)</t>
        </is>
      </c>
      <c r="AK1523" s="155" t="inlineStr">
        <is>
          <t>Criterios: I [Q] | Shopify Stetson: producto 15056329113963 / variante 53357912949099</t>
        </is>
      </c>
      <c r="AL1523" s="58" t="n">
        <v>2598.75</v>
      </c>
      <c r="AM1523" s="58" t="n">
        <v>6724.137931</v>
      </c>
      <c r="AN1523" s="155" t="inlineStr">
        <is>
          <t>Shopify Stetson México</t>
        </is>
      </c>
      <c r="AO1523" s="59" t="n">
        <v>5</v>
      </c>
      <c r="AP1523" s="59" t="n"/>
      <c r="AQ1523" s="59" t="n"/>
      <c r="AR1523" s="155" t="inlineStr">
        <is>
          <t>Shopify Stetson México › Stetson México: 4 | Shopify Stetson México › Stetson Americas: 1</t>
        </is>
      </c>
    </row>
    <row r="1524">
      <c r="A1524" s="50" t="inlineStr">
        <is>
          <t>795177926023</t>
        </is>
      </c>
      <c r="B1524" s="51" t="inlineStr">
        <is>
          <t>110061</t>
        </is>
      </c>
      <c r="C1524" s="156" t="inlineStr">
        <is>
          <t>Multimarca</t>
        </is>
      </c>
      <c r="D1524" s="156" t="inlineStr">
        <is>
          <t>SFROPR-754061</t>
        </is>
      </c>
      <c r="E1524" s="156" t="inlineStr">
        <is>
          <t>SFROPR-75406172</t>
        </is>
      </c>
      <c r="F1524" s="156" t="inlineStr">
        <is>
          <t>7 1/4</t>
        </is>
      </c>
      <c r="G1524" s="156" t="inlineStr">
        <is>
          <t>7 1/4</t>
        </is>
      </c>
      <c r="H1524" s="156" t="inlineStr">
        <is>
          <t>Stetson</t>
        </is>
      </c>
      <c r="I1524" s="156" t="inlineStr">
        <is>
          <t>Texana Stetson 6X Roper Plata</t>
        </is>
      </c>
      <c r="J1524" s="156" t="inlineStr">
        <is>
          <t>Accesorios</t>
        </is>
      </c>
      <c r="K1524" s="156" t="inlineStr">
        <is>
          <t>Sombreros</t>
        </is>
      </c>
      <c r="L1524" s="156" t="inlineStr">
        <is>
          <t>Unisex</t>
        </is>
      </c>
      <c r="M1524" s="156" t="inlineStr">
        <is>
          <t>Stetson</t>
        </is>
      </c>
      <c r="N1524" s="156" t="inlineStr">
        <is>
          <t>SS26</t>
        </is>
      </c>
      <c r="O1524" s="156" t="inlineStr">
        <is>
          <t>Seasonal</t>
        </is>
      </c>
      <c r="P1524" s="156" t="inlineStr">
        <is>
          <t>Gris</t>
        </is>
      </c>
      <c r="Q1524" s="156" t="n"/>
      <c r="R1524" s="156" t="n"/>
      <c r="S1524" s="156" t="inlineStr">
        <is>
          <t>100% Fieltro de lana</t>
        </is>
      </c>
      <c r="T1524" s="156" t="inlineStr">
        <is>
          <t>Texana Stetson 6X Roper Plata.
 Composición: 100% Fieltro de lana.
 Color: Plata.
 Calidad: 6X.</t>
        </is>
      </c>
      <c r="U1524" s="156" t="n"/>
      <c r="V1524" s="156" t="inlineStr">
        <is>
          <t>PZS</t>
        </is>
      </c>
      <c r="W1524" s="51" t="inlineStr">
        <is>
          <t>53102503</t>
        </is>
      </c>
      <c r="X1524" s="156" t="n"/>
      <c r="Y1524" s="54" t="n">
        <v>2598.75</v>
      </c>
      <c r="Z1524" s="54" t="n">
        <v>6724.137931</v>
      </c>
      <c r="AA1524" s="55">
        <f>IF(AND(A1524="", B1524="", E1524=""), "", IF(AB1524="", "Válido", IF((LEN(AB1524)-LEN(SUBSTITUTE(AB1524,"; ","")))/2+1&gt;(LEN(AB1524)-LEN(SUBSTITUTE(AB1524,"[Aviso]","")))/7, "Con Incidencias", "Válido")))</f>
        <v/>
      </c>
      <c r="AB1524" s="56">
        <f>IF(AND(A1524="", B1524="", E1524=""), "", TEXTJOIN("; ", TRUE, IF(OR(TRIM(A1524&amp;"")="", ISNUMBER(SEARCH("FALTA", A1524))), "UPC faltante/inválido", ""), IF(AND(A1524&lt;&gt;"", IFERROR(_xlfn.XMATCH(A1524,$A$2:$A$2509,0,1)&lt;&gt;_xlfn.XMATCH(A1524,$A$2:$A$2509,0,-1),FALSE)), "Código de barras duplicado", ""), IF(AND(E1524&lt;&gt;"", COUNTIF($E$2:$E$2509, E1524)&gt;1), "SKU duplicado", ""), IF(OR(J1524="", J1524=""), "[Aviso] División no capturada ()", IF(ISNA(MATCH(J1524, Criterios!$A$123:$A$126, 0)), "División no válida", "")), IF(OR(K1524="", K1524=""), "[Aviso] Categoría no capturada ()", IF(ISNA(MATCH(K1524, Criterios!$A$81:$A$120, 0)), "Categoría no válida", IF(AND(J1524&lt;&gt;"", J1524&lt;&gt;"", J1524&lt;&gt;VLOOKUP(K1524, Criterios!$A$81:$B$120, 2, FALSE)), "División no coincide con Categoría", ""))), IF(OR(L1524="", L1524=""), "[Aviso] Género no capturado ()", IF(ISNA(MATCH(L1524, Criterios!$B$123:$B$127, 0)), "Género no válido", "")), IF(OR(N1524="", N1524=""), "[Aviso] Temporada no capturada ()", IF(ISNA(MATCH(N1524, Criterios!$C$123:$C$128, 0)), "Temporada no válida", "")), IF(OR(O1524="", O1524=""), "[Aviso] Ciclo de vida no capturado ()", IF(ISNA(MATCH(O1524, Criterios!$D$123:$D$124, 0)), "Ciclo de vida no válido", ""))))</f>
        <v/>
      </c>
      <c r="AC1524" s="56" t="n"/>
      <c r="AD1524" s="51" t="n">
        <v>2</v>
      </c>
      <c r="AE1524" s="156" t="inlineStr">
        <is>
          <t>B25 STETSON.MX (3)</t>
        </is>
      </c>
      <c r="AF1524" s="51" t="n">
        <v>3</v>
      </c>
      <c r="AG1524" s="156" t="inlineStr">
        <is>
          <t>Catálogo existente</t>
        </is>
      </c>
      <c r="AH1524" s="156" t="inlineStr">
        <is>
          <t>Revisión 29/09/2026: Campos sin respaldo: U, X | 01/10/2026: complementado desde Shopify Stetson México (match por código de barras): WB Fit</t>
        </is>
      </c>
      <c r="AI1524" s="156" t="inlineStr">
        <is>
          <t>Sí</t>
        </is>
      </c>
      <c r="AJ1524" s="156" t="inlineStr">
        <is>
          <t>PUNTO DE VENTA (-1)</t>
        </is>
      </c>
      <c r="AK1524" s="155" t="inlineStr">
        <is>
          <t>Criterios: I [Q] | Shopify Stetson: producto 15056329113963 / variante 53357912981867</t>
        </is>
      </c>
      <c r="AL1524" s="58" t="n">
        <v>2598.75</v>
      </c>
      <c r="AM1524" s="58" t="n">
        <v>6724.137931</v>
      </c>
      <c r="AN1524" s="155" t="inlineStr">
        <is>
          <t>Shopify Stetson México</t>
        </is>
      </c>
      <c r="AO1524" s="59" t="n">
        <v>4</v>
      </c>
      <c r="AP1524" s="59" t="n"/>
      <c r="AQ1524" s="59" t="n"/>
      <c r="AR1524" s="155" t="inlineStr">
        <is>
          <t>Shopify Stetson México › Stetson México: 3 | Shopify Stetson México › Stetson Americas: 1</t>
        </is>
      </c>
    </row>
    <row r="1525">
      <c r="A1525" s="50" t="inlineStr">
        <is>
          <t>795177926030</t>
        </is>
      </c>
      <c r="B1525" s="51" t="inlineStr">
        <is>
          <t>110062</t>
        </is>
      </c>
      <c r="C1525" s="156" t="inlineStr">
        <is>
          <t>Multimarca</t>
        </is>
      </c>
      <c r="D1525" s="156" t="inlineStr">
        <is>
          <t>SFROPR-754061</t>
        </is>
      </c>
      <c r="E1525" s="156" t="inlineStr">
        <is>
          <t>SFROPR-75406173</t>
        </is>
      </c>
      <c r="F1525" s="156" t="inlineStr">
        <is>
          <t>7 3/8</t>
        </is>
      </c>
      <c r="G1525" s="156" t="inlineStr">
        <is>
          <t>7 3/8</t>
        </is>
      </c>
      <c r="H1525" s="156" t="inlineStr">
        <is>
          <t>Stetson</t>
        </is>
      </c>
      <c r="I1525" s="156" t="inlineStr">
        <is>
          <t>Texana Stetson 6X Roper Plata</t>
        </is>
      </c>
      <c r="J1525" s="156" t="inlineStr">
        <is>
          <t>Accesorios</t>
        </is>
      </c>
      <c r="K1525" s="156" t="inlineStr">
        <is>
          <t>Sombreros</t>
        </is>
      </c>
      <c r="L1525" s="156" t="inlineStr">
        <is>
          <t>Unisex</t>
        </is>
      </c>
      <c r="M1525" s="156" t="inlineStr">
        <is>
          <t>Stetson</t>
        </is>
      </c>
      <c r="N1525" s="156" t="inlineStr">
        <is>
          <t>SS26</t>
        </is>
      </c>
      <c r="O1525" s="156" t="inlineStr">
        <is>
          <t>Seasonal</t>
        </is>
      </c>
      <c r="P1525" s="156" t="inlineStr">
        <is>
          <t>Gris</t>
        </is>
      </c>
      <c r="Q1525" s="156" t="n"/>
      <c r="R1525" s="156" t="n"/>
      <c r="S1525" s="156" t="inlineStr">
        <is>
          <t>100% Fieltro de lana</t>
        </is>
      </c>
      <c r="T1525" s="156" t="inlineStr">
        <is>
          <t>Texana Stetson 6X Roper Plata.
 Composición: 100% Fieltro de lana.
 Color: Plata.
 Calidad: 6X.</t>
        </is>
      </c>
      <c r="U1525" s="156" t="n"/>
      <c r="V1525" s="156" t="inlineStr">
        <is>
          <t>PZS</t>
        </is>
      </c>
      <c r="W1525" s="51" t="inlineStr">
        <is>
          <t>53102503</t>
        </is>
      </c>
      <c r="X1525" s="156" t="n"/>
      <c r="Y1525" s="54" t="n">
        <v>2598.75</v>
      </c>
      <c r="Z1525" s="54" t="n">
        <v>6724.137931</v>
      </c>
      <c r="AA1525" s="55">
        <f>IF(AND(A1525="", B1525="", E1525=""), "", IF(AB1525="", "Válido", IF((LEN(AB1525)-LEN(SUBSTITUTE(AB1525,"; ","")))/2+1&gt;(LEN(AB1525)-LEN(SUBSTITUTE(AB1525,"[Aviso]","")))/7, "Con Incidencias", "Válido")))</f>
        <v/>
      </c>
      <c r="AB1525" s="56">
        <f>IF(AND(A1525="", B1525="", E1525=""), "", TEXTJOIN("; ", TRUE, IF(OR(TRIM(A1525&amp;"")="", ISNUMBER(SEARCH("FALTA", A1525))), "UPC faltante/inválido", ""), IF(AND(A1525&lt;&gt;"", IFERROR(_xlfn.XMATCH(A1525,$A$2:$A$2509,0,1)&lt;&gt;_xlfn.XMATCH(A1525,$A$2:$A$2509,0,-1),FALSE)), "Código de barras duplicado", ""), IF(AND(E1525&lt;&gt;"", COUNTIF($E$2:$E$2509, E1525)&gt;1), "SKU duplicado", ""), IF(OR(J1525="", J1525=""), "[Aviso] División no capturada ()", IF(ISNA(MATCH(J1525, Criterios!$A$123:$A$126, 0)), "División no válida", "")), IF(OR(K1525="", K1525=""), "[Aviso] Categoría no capturada ()", IF(ISNA(MATCH(K1525, Criterios!$A$81:$A$120, 0)), "Categoría no válida", IF(AND(J1525&lt;&gt;"", J1525&lt;&gt;"", J1525&lt;&gt;VLOOKUP(K1525, Criterios!$A$81:$B$120, 2, FALSE)), "División no coincide con Categoría", ""))), IF(OR(L1525="", L1525=""), "[Aviso] Género no capturado ()", IF(ISNA(MATCH(L1525, Criterios!$B$123:$B$127, 0)), "Género no válido", "")), IF(OR(N1525="", N1525=""), "[Aviso] Temporada no capturada ()", IF(ISNA(MATCH(N1525, Criterios!$C$123:$C$128, 0)), "Temporada no válida", "")), IF(OR(O1525="", O1525=""), "[Aviso] Ciclo de vida no capturado ()", IF(ISNA(MATCH(O1525, Criterios!$D$123:$D$124, 0)), "Ciclo de vida no válido", ""))))</f>
        <v/>
      </c>
      <c r="AC1525" s="56" t="n"/>
      <c r="AD1525" s="51" t="n">
        <v>4</v>
      </c>
      <c r="AE1525" s="156" t="inlineStr">
        <is>
          <t>B25 STETSON.MX (4)</t>
        </is>
      </c>
      <c r="AF1525" s="51" t="n">
        <v>4</v>
      </c>
      <c r="AG1525" s="156" t="inlineStr">
        <is>
          <t>Catálogo existente</t>
        </is>
      </c>
      <c r="AH1525" s="156" t="inlineStr">
        <is>
          <t>Revisión 29/09/2026: Campos sin respaldo: U, X | 01/10/2026: complementado desde Shopify Stetson México (match por código de barras): WB Fit</t>
        </is>
      </c>
      <c r="AI1525" s="156" t="inlineStr">
        <is>
          <t>No</t>
        </is>
      </c>
      <c r="AJ1525" s="156" t="n"/>
      <c r="AK1525" s="155" t="inlineStr">
        <is>
          <t>Criterios: I [Q] | Shopify Stetson: producto 15056329113963 / variante 53357913014635</t>
        </is>
      </c>
      <c r="AL1525" s="58" t="n">
        <v>2598.75</v>
      </c>
      <c r="AM1525" s="58" t="n">
        <v>6724.137931</v>
      </c>
      <c r="AN1525" s="155" t="inlineStr">
        <is>
          <t>Shopify Stetson México</t>
        </is>
      </c>
      <c r="AO1525" s="59" t="n">
        <v>4</v>
      </c>
      <c r="AP1525" s="59" t="n"/>
      <c r="AQ1525" s="59" t="n"/>
      <c r="AR1525" s="155" t="inlineStr">
        <is>
          <t>Shopify Stetson México › Stetson México: 3 | Shopify Stetson México › Stetson Americas: 1</t>
        </is>
      </c>
    </row>
    <row r="1526">
      <c r="A1526" s="50" t="inlineStr">
        <is>
          <t>795177926047</t>
        </is>
      </c>
      <c r="B1526" s="51" t="inlineStr">
        <is>
          <t>110063</t>
        </is>
      </c>
      <c r="C1526" s="156" t="inlineStr">
        <is>
          <t>Multimarca</t>
        </is>
      </c>
      <c r="D1526" s="156" t="inlineStr">
        <is>
          <t>SFROPR-754061</t>
        </is>
      </c>
      <c r="E1526" s="156" t="inlineStr">
        <is>
          <t>SFROPR-75406174</t>
        </is>
      </c>
      <c r="F1526" s="156" t="inlineStr">
        <is>
          <t>7 1/2</t>
        </is>
      </c>
      <c r="G1526" s="156" t="inlineStr">
        <is>
          <t>7 1/2</t>
        </is>
      </c>
      <c r="H1526" s="156" t="inlineStr">
        <is>
          <t>Stetson</t>
        </is>
      </c>
      <c r="I1526" s="156" t="inlineStr">
        <is>
          <t>Texana Stetson 6X Roper Plata</t>
        </is>
      </c>
      <c r="J1526" s="156" t="inlineStr">
        <is>
          <t>Accesorios</t>
        </is>
      </c>
      <c r="K1526" s="156" t="inlineStr">
        <is>
          <t>Sombreros</t>
        </is>
      </c>
      <c r="L1526" s="156" t="inlineStr">
        <is>
          <t>Unisex</t>
        </is>
      </c>
      <c r="M1526" s="156" t="inlineStr">
        <is>
          <t>Stetson</t>
        </is>
      </c>
      <c r="N1526" s="156" t="inlineStr">
        <is>
          <t>SS26</t>
        </is>
      </c>
      <c r="O1526" s="156" t="inlineStr">
        <is>
          <t>Seasonal</t>
        </is>
      </c>
      <c r="P1526" s="156" t="inlineStr">
        <is>
          <t>Gris</t>
        </is>
      </c>
      <c r="Q1526" s="156" t="n"/>
      <c r="R1526" s="156" t="n"/>
      <c r="S1526" s="156" t="inlineStr">
        <is>
          <t>100% Fieltro de lana</t>
        </is>
      </c>
      <c r="T1526" s="156" t="inlineStr">
        <is>
          <t>Texana Stetson 6X Roper Plata.
 Composición: 100% Fieltro de lana.
 Color: Plata.
 Calidad: 6X.</t>
        </is>
      </c>
      <c r="U1526" s="156" t="n"/>
      <c r="V1526" s="156" t="inlineStr">
        <is>
          <t>PZS</t>
        </is>
      </c>
      <c r="W1526" s="51" t="inlineStr">
        <is>
          <t>53102503</t>
        </is>
      </c>
      <c r="X1526" s="156" t="n"/>
      <c r="Y1526" s="54" t="n">
        <v>2598.75</v>
      </c>
      <c r="Z1526" s="54" t="n">
        <v>6724.137931</v>
      </c>
      <c r="AA1526" s="55">
        <f>IF(AND(A1526="", B1526="", E1526=""), "", IF(AB1526="", "Válido", IF((LEN(AB1526)-LEN(SUBSTITUTE(AB1526,"; ","")))/2+1&gt;(LEN(AB1526)-LEN(SUBSTITUTE(AB1526,"[Aviso]","")))/7, "Con Incidencias", "Válido")))</f>
        <v/>
      </c>
      <c r="AB1526" s="56">
        <f>IF(AND(A1526="", B1526="", E1526=""), "", TEXTJOIN("; ", TRUE, IF(OR(TRIM(A1526&amp;"")="", ISNUMBER(SEARCH("FALTA", A1526))), "UPC faltante/inválido", ""), IF(AND(A1526&lt;&gt;"", IFERROR(_xlfn.XMATCH(A1526,$A$2:$A$2509,0,1)&lt;&gt;_xlfn.XMATCH(A1526,$A$2:$A$2509,0,-1),FALSE)), "Código de barras duplicado", ""), IF(AND(E1526&lt;&gt;"", COUNTIF($E$2:$E$2509, E1526)&gt;1), "SKU duplicado", ""), IF(OR(J1526="", J1526=""), "[Aviso] División no capturada ()", IF(ISNA(MATCH(J1526, Criterios!$A$123:$A$126, 0)), "División no válida", "")), IF(OR(K1526="", K1526=""), "[Aviso] Categoría no capturada ()", IF(ISNA(MATCH(K1526, Criterios!$A$81:$A$120, 0)), "Categoría no válida", IF(AND(J1526&lt;&gt;"", J1526&lt;&gt;"", J1526&lt;&gt;VLOOKUP(K1526, Criterios!$A$81:$B$120, 2, FALSE)), "División no coincide con Categoría", ""))), IF(OR(L1526="", L1526=""), "[Aviso] Género no capturado ()", IF(ISNA(MATCH(L1526, Criterios!$B$123:$B$127, 0)), "Género no válido", "")), IF(OR(N1526="", N1526=""), "[Aviso] Temporada no capturada ()", IF(ISNA(MATCH(N1526, Criterios!$C$123:$C$128, 0)), "Temporada no válida", "")), IF(OR(O1526="", O1526=""), "[Aviso] Ciclo de vida no capturado ()", IF(ISNA(MATCH(O1526, Criterios!$D$123:$D$124, 0)), "Ciclo de vida no válido", ""))))</f>
        <v/>
      </c>
      <c r="AC1526" s="56" t="n"/>
      <c r="AD1526" s="51" t="n">
        <v>0</v>
      </c>
      <c r="AE1526" s="156" t="inlineStr">
        <is>
          <t>B25 STETSON.MX (1)</t>
        </is>
      </c>
      <c r="AF1526" s="51" t="n">
        <v>1</v>
      </c>
      <c r="AG1526" s="156" t="inlineStr">
        <is>
          <t>Catálogo existente</t>
        </is>
      </c>
      <c r="AH1526" s="156" t="inlineStr">
        <is>
          <t>Revisión 29/09/2026: Campos sin respaldo: U, X | 01/10/2026: complementado desde Shopify Stetson México (match por código de barras): WB Fit</t>
        </is>
      </c>
      <c r="AI1526" s="156" t="inlineStr">
        <is>
          <t>Sí</t>
        </is>
      </c>
      <c r="AJ1526" s="156" t="inlineStr">
        <is>
          <t>PUNTO DE VENTA (-1)</t>
        </is>
      </c>
      <c r="AK1526" s="155" t="inlineStr">
        <is>
          <t>Criterios: I [Q] | Shopify Stetson: producto 15056329113963 / variante 53357913047403</t>
        </is>
      </c>
      <c r="AL1526" s="58" t="n">
        <v>2598.75</v>
      </c>
      <c r="AM1526" s="58" t="n">
        <v>6724.137931</v>
      </c>
      <c r="AN1526" s="155" t="inlineStr">
        <is>
          <t>Shopify Stetson México</t>
        </is>
      </c>
      <c r="AO1526" s="59" t="n">
        <v>1</v>
      </c>
      <c r="AP1526" s="59" t="n"/>
      <c r="AQ1526" s="59" t="n"/>
      <c r="AR1526" s="155" t="inlineStr">
        <is>
          <t>Shopify Stetson México › Stetson México: 1</t>
        </is>
      </c>
    </row>
    <row r="1527">
      <c r="A1527" s="50" t="inlineStr">
        <is>
          <t>795177954378</t>
        </is>
      </c>
      <c r="B1527" s="51" t="inlineStr">
        <is>
          <t>110070</t>
        </is>
      </c>
      <c r="C1527" s="156" t="inlineStr">
        <is>
          <t>Multimarca</t>
        </is>
      </c>
      <c r="D1527" s="156" t="inlineStr">
        <is>
          <t>SFSHAS-754007</t>
        </is>
      </c>
      <c r="E1527" s="156" t="inlineStr">
        <is>
          <t>SFSHAS-75400767</t>
        </is>
      </c>
      <c r="F1527" s="156" t="inlineStr">
        <is>
          <t>6 7/8</t>
        </is>
      </c>
      <c r="G1527" s="156" t="inlineStr">
        <is>
          <t>6 7/8</t>
        </is>
      </c>
      <c r="H1527" s="156" t="inlineStr">
        <is>
          <t>Stetson</t>
        </is>
      </c>
      <c r="I1527" s="156" t="inlineStr">
        <is>
          <t>Texana Stetson Shasta Negro</t>
        </is>
      </c>
      <c r="J1527" s="156" t="inlineStr">
        <is>
          <t>Accesorios</t>
        </is>
      </c>
      <c r="K1527" s="156" t="inlineStr">
        <is>
          <t>Sombreros</t>
        </is>
      </c>
      <c r="L1527" s="156" t="inlineStr">
        <is>
          <t>Unisex</t>
        </is>
      </c>
      <c r="M1527" s="156" t="inlineStr">
        <is>
          <t>Stetson</t>
        </is>
      </c>
      <c r="N1527" s="156" t="inlineStr">
        <is>
          <t>SS26</t>
        </is>
      </c>
      <c r="O1527" s="156" t="inlineStr">
        <is>
          <t>Seasonal</t>
        </is>
      </c>
      <c r="P1527" s="156" t="inlineStr">
        <is>
          <t>Negro</t>
        </is>
      </c>
      <c r="Q1527" s="156" t="n"/>
      <c r="R1527" s="156" t="inlineStr">
        <is>
          <t>Copa Cattleman</t>
        </is>
      </c>
      <c r="S1527" s="156" t="inlineStr">
        <is>
          <t>100% Fieltro de lana</t>
        </is>
      </c>
      <c r="T152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7" s="156" t="inlineStr">
        <is>
          <t>Estados Unidos</t>
        </is>
      </c>
      <c r="V1527" s="156" t="inlineStr">
        <is>
          <t>PZS</t>
        </is>
      </c>
      <c r="W1527" s="51" t="inlineStr">
        <is>
          <t>53102503</t>
        </is>
      </c>
      <c r="X1527" s="156" t="inlineStr">
        <is>
          <t>https://cdn.shopify.com/s/files/1/0888/3250/8267/files/SFSHAS-7540-61-67_7.png?v=1760378716</t>
        </is>
      </c>
      <c r="Y1527" s="54" t="n">
        <v>4331.25</v>
      </c>
      <c r="Z1527" s="54" t="n">
        <v>10344.82759</v>
      </c>
      <c r="AA1527" s="55">
        <f>IF(AND(A1527="", B1527="", E1527=""), "", IF(AB1527="", "Válido", IF((LEN(AB1527)-LEN(SUBSTITUTE(AB1527,"; ","")))/2+1&gt;(LEN(AB1527)-LEN(SUBSTITUTE(AB1527,"[Aviso]","")))/7, "Con Incidencias", "Válido")))</f>
        <v/>
      </c>
      <c r="AB1527" s="56">
        <f>IF(AND(A1527="", B1527="", E1527=""), "", TEXTJOIN("; ", TRUE, IF(OR(TRIM(A1527&amp;"")="", ISNUMBER(SEARCH("FALTA", A1527))), "UPC faltante/inválido", ""), IF(AND(A1527&lt;&gt;"", IFERROR(_xlfn.XMATCH(A1527,$A$2:$A$2509,0,1)&lt;&gt;_xlfn.XMATCH(A1527,$A$2:$A$2509,0,-1),FALSE)), "Código de barras duplicado", ""), IF(AND(E1527&lt;&gt;"", COUNTIF($E$2:$E$2509, E1527)&gt;1), "SKU duplicado", ""), IF(OR(J1527="", J1527=""), "[Aviso] División no capturada ()", IF(ISNA(MATCH(J1527, Criterios!$A$123:$A$126, 0)), "División no válida", "")), IF(OR(K1527="", K1527=""), "[Aviso] Categoría no capturada ()", IF(ISNA(MATCH(K1527, Criterios!$A$81:$A$120, 0)), "Categoría no válida", IF(AND(J1527&lt;&gt;"", J1527&lt;&gt;"", J1527&lt;&gt;VLOOKUP(K1527, Criterios!$A$81:$B$120, 2, FALSE)), "División no coincide con Categoría", ""))), IF(OR(L1527="", L1527=""), "[Aviso] Género no capturado ()", IF(ISNA(MATCH(L1527, Criterios!$B$123:$B$127, 0)), "Género no válido", "")), IF(OR(N1527="", N1527=""), "[Aviso] Temporada no capturada ()", IF(ISNA(MATCH(N1527, Criterios!$C$123:$C$128, 0)), "Temporada no válida", "")), IF(OR(O1527="", O1527=""), "[Aviso] Ciclo de vida no capturado ()", IF(ISNA(MATCH(O1527, Criterios!$D$123:$D$124, 0)), "Ciclo de vida no válido", ""))))</f>
        <v/>
      </c>
      <c r="AC1527" s="56" t="n"/>
      <c r="AD1527" s="51" t="n">
        <v>0</v>
      </c>
      <c r="AE1527" s="156" t="n"/>
      <c r="AF1527" s="51" t="n">
        <v>0</v>
      </c>
      <c r="AG1527" s="156" t="inlineStr">
        <is>
          <t>Catálogo existente</t>
        </is>
      </c>
      <c r="AH1527" s="156" t="inlineStr">
        <is>
          <t>Revisión 29/09/2026: Cruce de catálogo y criterios sin pendientes detectados | 01/10/2026: complementado desde Shopify Stetson México (match por código de barras): WB Fit, WB Silueta</t>
        </is>
      </c>
      <c r="AI1527" s="156" t="inlineStr">
        <is>
          <t>No</t>
        </is>
      </c>
      <c r="AJ1527" s="156" t="n"/>
      <c r="AK1527" s="155" t="inlineStr">
        <is>
          <t>Criterios: I [Q] | Shopify Stetson: producto 14791364510059 / variante 53350603489643 | Odoo: producto 14248 / plantilla 17825</t>
        </is>
      </c>
      <c r="AL1527" s="58" t="n">
        <v>4331.25</v>
      </c>
      <c r="AM1527" s="58" t="n">
        <v>10344.82759</v>
      </c>
      <c r="AN1527" s="155" t="inlineStr">
        <is>
          <t>Shopify Stetson México | Odoo Universal Unique Brands</t>
        </is>
      </c>
      <c r="AO1527" s="59" t="n">
        <v>1</v>
      </c>
      <c r="AP1527" s="59" t="n"/>
      <c r="AQ1527" s="59" t="n">
        <v>1</v>
      </c>
      <c r="AR1527" s="155" t="inlineStr">
        <is>
          <t>Shopify Stetson México › Stetson Americas: 1 | Odoo Universal Unique Brands › Bodega 25 › Bodega 25/General: 1</t>
        </is>
      </c>
    </row>
    <row r="1528">
      <c r="A1528" s="50" t="inlineStr">
        <is>
          <t>795177954385</t>
        </is>
      </c>
      <c r="B1528" s="51" t="inlineStr">
        <is>
          <t>110071</t>
        </is>
      </c>
      <c r="C1528" s="156" t="inlineStr">
        <is>
          <t>Multimarca</t>
        </is>
      </c>
      <c r="D1528" s="156" t="inlineStr">
        <is>
          <t>SFSHAS-754007</t>
        </is>
      </c>
      <c r="E1528" s="156" t="inlineStr">
        <is>
          <t>SFSHAS-75400770</t>
        </is>
      </c>
      <c r="F1528" s="156" t="inlineStr">
        <is>
          <t>7</t>
        </is>
      </c>
      <c r="G1528" s="156" t="inlineStr">
        <is>
          <t>7</t>
        </is>
      </c>
      <c r="H1528" s="156" t="inlineStr">
        <is>
          <t>Stetson</t>
        </is>
      </c>
      <c r="I1528" s="156" t="inlineStr">
        <is>
          <t>Texana Stetson Shasta Negro</t>
        </is>
      </c>
      <c r="J1528" s="156" t="inlineStr">
        <is>
          <t>Accesorios</t>
        </is>
      </c>
      <c r="K1528" s="156" t="inlineStr">
        <is>
          <t>Sombreros</t>
        </is>
      </c>
      <c r="L1528" s="156" t="inlineStr">
        <is>
          <t>Unisex</t>
        </is>
      </c>
      <c r="M1528" s="156" t="inlineStr">
        <is>
          <t>Stetson</t>
        </is>
      </c>
      <c r="N1528" s="156" t="inlineStr">
        <is>
          <t>SS26</t>
        </is>
      </c>
      <c r="O1528" s="156" t="inlineStr">
        <is>
          <t>Seasonal</t>
        </is>
      </c>
      <c r="P1528" s="156" t="inlineStr">
        <is>
          <t>Negro</t>
        </is>
      </c>
      <c r="Q1528" s="156" t="n"/>
      <c r="R1528" s="156" t="inlineStr">
        <is>
          <t>Copa Cattleman</t>
        </is>
      </c>
      <c r="S1528" s="156" t="inlineStr">
        <is>
          <t>100% Fieltro de lana</t>
        </is>
      </c>
      <c r="T152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8" s="156" t="inlineStr">
        <is>
          <t>Estados Unidos</t>
        </is>
      </c>
      <c r="V1528" s="156" t="inlineStr">
        <is>
          <t>PZS</t>
        </is>
      </c>
      <c r="W1528" s="51" t="inlineStr">
        <is>
          <t>53102503</t>
        </is>
      </c>
      <c r="X1528" s="156" t="inlineStr">
        <is>
          <t>https://cdn.shopify.com/s/files/1/0888/3250/8267/files/SFSHAS-7540-61-67_3.png?v=1760378716</t>
        </is>
      </c>
      <c r="Y1528" s="54" t="n">
        <v>4331.25</v>
      </c>
      <c r="Z1528" s="54" t="n">
        <v>10344.82759</v>
      </c>
      <c r="AA1528" s="55">
        <f>IF(AND(A1528="", B1528="", E1528=""), "", IF(AB1528="", "Válido", IF((LEN(AB1528)-LEN(SUBSTITUTE(AB1528,"; ","")))/2+1&gt;(LEN(AB1528)-LEN(SUBSTITUTE(AB1528,"[Aviso]","")))/7, "Con Incidencias", "Válido")))</f>
        <v/>
      </c>
      <c r="AB1528" s="56">
        <f>IF(AND(A1528="", B1528="", E1528=""), "", TEXTJOIN("; ", TRUE, IF(OR(TRIM(A1528&amp;"")="", ISNUMBER(SEARCH("FALTA", A1528))), "UPC faltante/inválido", ""), IF(AND(A1528&lt;&gt;"", IFERROR(_xlfn.XMATCH(A1528,$A$2:$A$2509,0,1)&lt;&gt;_xlfn.XMATCH(A1528,$A$2:$A$2509,0,-1),FALSE)), "Código de barras duplicado", ""), IF(AND(E1528&lt;&gt;"", COUNTIF($E$2:$E$2509, E1528)&gt;1), "SKU duplicado", ""), IF(OR(J1528="", J1528=""), "[Aviso] División no capturada ()", IF(ISNA(MATCH(J1528, Criterios!$A$123:$A$126, 0)), "División no válida", "")), IF(OR(K1528="", K1528=""), "[Aviso] Categoría no capturada ()", IF(ISNA(MATCH(K1528, Criterios!$A$81:$A$120, 0)), "Categoría no válida", IF(AND(J1528&lt;&gt;"", J1528&lt;&gt;"", J1528&lt;&gt;VLOOKUP(K1528, Criterios!$A$81:$B$120, 2, FALSE)), "División no coincide con Categoría", ""))), IF(OR(L1528="", L1528=""), "[Aviso] Género no capturado ()", IF(ISNA(MATCH(L1528, Criterios!$B$123:$B$127, 0)), "Género no válido", "")), IF(OR(N1528="", N1528=""), "[Aviso] Temporada no capturada ()", IF(ISNA(MATCH(N1528, Criterios!$C$123:$C$128, 0)), "Temporada no válida", "")), IF(OR(O1528="", O1528=""), "[Aviso] Ciclo de vida no capturado ()", IF(ISNA(MATCH(O1528, Criterios!$D$123:$D$124, 0)), "Ciclo de vida no válido", ""))))</f>
        <v/>
      </c>
      <c r="AC1528" s="56" t="n"/>
      <c r="AD1528" s="51" t="n">
        <v>1</v>
      </c>
      <c r="AE1528" s="156" t="inlineStr">
        <is>
          <t>PUNTO DE VENTA (1)</t>
        </is>
      </c>
      <c r="AF1528" s="51" t="n">
        <v>1</v>
      </c>
      <c r="AG1528" s="156" t="inlineStr">
        <is>
          <t>Catálogo existente</t>
        </is>
      </c>
      <c r="AH1528" s="156" t="inlineStr">
        <is>
          <t>Revisión 29/09/2026: Cruce de catálogo y criterios sin pendientes detectados | 01/10/2026: complementado desde Shopify Stetson México (match por código de barras): WB Fit, WB Silueta</t>
        </is>
      </c>
      <c r="AI1528" s="156" t="inlineStr">
        <is>
          <t>No</t>
        </is>
      </c>
      <c r="AJ1528" s="156" t="n"/>
      <c r="AK1528" s="155" t="inlineStr">
        <is>
          <t>Criterios: I [Q] | Shopify Stetson: producto 14791364510059 / variante 53350603522411 | Odoo: producto 14249 / plantilla 17826</t>
        </is>
      </c>
      <c r="AL1528" s="58" t="n">
        <v>4331.25</v>
      </c>
      <c r="AM1528" s="58" t="n">
        <v>10344.82759</v>
      </c>
      <c r="AN1528" s="155" t="inlineStr">
        <is>
          <t>Shopify Stetson México | Odoo Universal Unique Brands</t>
        </is>
      </c>
      <c r="AO1528" s="59" t="n">
        <v>2</v>
      </c>
      <c r="AP1528" s="59" t="n"/>
      <c r="AQ1528" s="59" t="n">
        <v>2</v>
      </c>
      <c r="AR1528" s="155" t="inlineStr">
        <is>
          <t>Shopify Stetson México › Stetson Americas: 1 | Shopify Stetson México › Eventos: 1 | Odoo Universal Unique Brands › Bodega 25 › Bodega 25/General: 2</t>
        </is>
      </c>
    </row>
    <row r="1529">
      <c r="A1529" s="50" t="inlineStr">
        <is>
          <t>795177954392</t>
        </is>
      </c>
      <c r="B1529" s="51" t="inlineStr">
        <is>
          <t>110072</t>
        </is>
      </c>
      <c r="C1529" s="156" t="inlineStr">
        <is>
          <t>Multimarca</t>
        </is>
      </c>
      <c r="D1529" s="156" t="inlineStr">
        <is>
          <t>SFSHAS-754007</t>
        </is>
      </c>
      <c r="E1529" s="156" t="inlineStr">
        <is>
          <t>SFSHAS-75400771</t>
        </is>
      </c>
      <c r="F1529" s="156" t="inlineStr">
        <is>
          <t>7 1/8</t>
        </is>
      </c>
      <c r="G1529" s="156" t="inlineStr">
        <is>
          <t>7 1/8</t>
        </is>
      </c>
      <c r="H1529" s="156" t="inlineStr">
        <is>
          <t>Stetson</t>
        </is>
      </c>
      <c r="I1529" s="156" t="inlineStr">
        <is>
          <t>Texana Stetson Shasta Negro</t>
        </is>
      </c>
      <c r="J1529" s="156" t="inlineStr">
        <is>
          <t>Accesorios</t>
        </is>
      </c>
      <c r="K1529" s="156" t="inlineStr">
        <is>
          <t>Sombreros</t>
        </is>
      </c>
      <c r="L1529" s="156" t="inlineStr">
        <is>
          <t>Unisex</t>
        </is>
      </c>
      <c r="M1529" s="156" t="inlineStr">
        <is>
          <t>Stetson</t>
        </is>
      </c>
      <c r="N1529" s="156" t="inlineStr">
        <is>
          <t>SS26</t>
        </is>
      </c>
      <c r="O1529" s="156" t="inlineStr">
        <is>
          <t>Seasonal</t>
        </is>
      </c>
      <c r="P1529" s="156" t="inlineStr">
        <is>
          <t>Negro</t>
        </is>
      </c>
      <c r="Q1529" s="156" t="n"/>
      <c r="R1529" s="156" t="inlineStr">
        <is>
          <t>Copa Cattleman</t>
        </is>
      </c>
      <c r="S1529" s="156" t="inlineStr">
        <is>
          <t>100% Fieltro de lana</t>
        </is>
      </c>
      <c r="T152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9" s="156" t="inlineStr">
        <is>
          <t>Estados Unidos</t>
        </is>
      </c>
      <c r="V1529" s="156" t="inlineStr">
        <is>
          <t>PZS</t>
        </is>
      </c>
      <c r="W1529" s="51" t="inlineStr">
        <is>
          <t>53102503</t>
        </is>
      </c>
      <c r="X1529" s="156" t="inlineStr">
        <is>
          <t>https://cdn.shopify.com/s/files/1/0888/3250/8267/files/SFSHAS-7540-07-67_1_9b76faa1-2c27-4101-97de-ecaf72cd6780.png?v=1760378716</t>
        </is>
      </c>
      <c r="Y1529" s="54" t="n">
        <v>4331.25</v>
      </c>
      <c r="Z1529" s="54" t="n">
        <v>10344.82759</v>
      </c>
      <c r="AA1529" s="55">
        <f>IF(AND(A1529="", B1529="", E1529=""), "", IF(AB1529="", "Válido", IF((LEN(AB1529)-LEN(SUBSTITUTE(AB1529,"; ","")))/2+1&gt;(LEN(AB1529)-LEN(SUBSTITUTE(AB1529,"[Aviso]","")))/7, "Con Incidencias", "Válido")))</f>
        <v/>
      </c>
      <c r="AB1529" s="56">
        <f>IF(AND(A1529="", B1529="", E1529=""), "", TEXTJOIN("; ", TRUE, IF(OR(TRIM(A1529&amp;"")="", ISNUMBER(SEARCH("FALTA", A1529))), "UPC faltante/inválido", ""), IF(AND(A1529&lt;&gt;"", IFERROR(_xlfn.XMATCH(A1529,$A$2:$A$2509,0,1)&lt;&gt;_xlfn.XMATCH(A1529,$A$2:$A$2509,0,-1),FALSE)), "Código de barras duplicado", ""), IF(AND(E1529&lt;&gt;"", COUNTIF($E$2:$E$2509, E1529)&gt;1), "SKU duplicado", ""), IF(OR(J1529="", J1529=""), "[Aviso] División no capturada ()", IF(ISNA(MATCH(J1529, Criterios!$A$123:$A$126, 0)), "División no válida", "")), IF(OR(K1529="", K1529=""), "[Aviso] Categoría no capturada ()", IF(ISNA(MATCH(K1529, Criterios!$A$81:$A$120, 0)), "Categoría no válida", IF(AND(J1529&lt;&gt;"", J1529&lt;&gt;"", J1529&lt;&gt;VLOOKUP(K1529, Criterios!$A$81:$B$120, 2, FALSE)), "División no coincide con Categoría", ""))), IF(OR(L1529="", L1529=""), "[Aviso] Género no capturado ()", IF(ISNA(MATCH(L1529, Criterios!$B$123:$B$127, 0)), "Género no válido", "")), IF(OR(N1529="", N1529=""), "[Aviso] Temporada no capturada ()", IF(ISNA(MATCH(N1529, Criterios!$C$123:$C$128, 0)), "Temporada no válida", "")), IF(OR(O1529="", O1529=""), "[Aviso] Ciclo de vida no capturado ()", IF(ISNA(MATCH(O1529, Criterios!$D$123:$D$124, 0)), "Ciclo de vida no válido", ""))))</f>
        <v/>
      </c>
      <c r="AC1529" s="56" t="n"/>
      <c r="AD1529" s="51" t="n">
        <v>0</v>
      </c>
      <c r="AE1529" s="156" t="n"/>
      <c r="AF1529" s="51" t="n">
        <v>0</v>
      </c>
      <c r="AG1529" s="156" t="inlineStr">
        <is>
          <t>Catálogo existente</t>
        </is>
      </c>
      <c r="AH1529" s="156" t="inlineStr">
        <is>
          <t>Revisión 29/09/2026: Cruce de catálogo y criterios sin pendientes detectados | 01/10/2026: complementado desde Shopify Stetson México (match por código de barras): WB Fit, WB Silueta</t>
        </is>
      </c>
      <c r="AI1529" s="156" t="inlineStr">
        <is>
          <t>No</t>
        </is>
      </c>
      <c r="AJ1529" s="156" t="n"/>
      <c r="AK1529" s="155" t="inlineStr">
        <is>
          <t>Criterios: I [Q] | Shopify Stetson: producto 14791364510059 / variante 53350603555179 | Odoo: producto 14250 / plantilla 17827</t>
        </is>
      </c>
      <c r="AL1529" s="58" t="n">
        <v>4331.25</v>
      </c>
      <c r="AM1529" s="58" t="n">
        <v>10344.82759</v>
      </c>
      <c r="AN1529" s="155" t="inlineStr">
        <is>
          <t>Shopify Stetson México | Odoo Universal Unique Brands</t>
        </is>
      </c>
      <c r="AO1529" s="59" t="n">
        <v>2</v>
      </c>
      <c r="AP1529" s="59" t="n"/>
      <c r="AQ1529" s="59" t="n">
        <v>2</v>
      </c>
      <c r="AR1529" s="155" t="inlineStr">
        <is>
          <t>Shopify Stetson México › Stetson Americas: 1 | Shopify Stetson México › Eventos: 1 | Odoo Universal Unique Brands › Bodega 25 › Bodega 25/General: 2</t>
        </is>
      </c>
    </row>
    <row r="1530">
      <c r="A1530" s="50" t="inlineStr">
        <is>
          <t>795177954408</t>
        </is>
      </c>
      <c r="B1530" s="51" t="inlineStr">
        <is>
          <t>110073</t>
        </is>
      </c>
      <c r="C1530" s="156" t="inlineStr">
        <is>
          <t>Multimarca</t>
        </is>
      </c>
      <c r="D1530" s="156" t="inlineStr">
        <is>
          <t>SFSHAS-754007</t>
        </is>
      </c>
      <c r="E1530" s="156" t="inlineStr">
        <is>
          <t>SFSHAS-75400772</t>
        </is>
      </c>
      <c r="F1530" s="156" t="inlineStr">
        <is>
          <t>7 1/4</t>
        </is>
      </c>
      <c r="G1530" s="156" t="inlineStr">
        <is>
          <t>7 1/4</t>
        </is>
      </c>
      <c r="H1530" s="156" t="inlineStr">
        <is>
          <t>Stetson</t>
        </is>
      </c>
      <c r="I1530" s="156" t="inlineStr">
        <is>
          <t>Texana Stetson Shasta Negro</t>
        </is>
      </c>
      <c r="J1530" s="156" t="inlineStr">
        <is>
          <t>Accesorios</t>
        </is>
      </c>
      <c r="K1530" s="156" t="inlineStr">
        <is>
          <t>Sombreros</t>
        </is>
      </c>
      <c r="L1530" s="156" t="inlineStr">
        <is>
          <t>Unisex</t>
        </is>
      </c>
      <c r="M1530" s="156" t="inlineStr">
        <is>
          <t>Stetson</t>
        </is>
      </c>
      <c r="N1530" s="156" t="inlineStr">
        <is>
          <t>SS26</t>
        </is>
      </c>
      <c r="O1530" s="156" t="inlineStr">
        <is>
          <t>Seasonal</t>
        </is>
      </c>
      <c r="P1530" s="156" t="inlineStr">
        <is>
          <t>Negro</t>
        </is>
      </c>
      <c r="Q1530" s="156" t="n"/>
      <c r="R1530" s="156" t="inlineStr">
        <is>
          <t>Copa Cattleman</t>
        </is>
      </c>
      <c r="S1530" s="156" t="inlineStr">
        <is>
          <t>100% Fieltro de lana</t>
        </is>
      </c>
      <c r="T153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0" s="156" t="inlineStr">
        <is>
          <t>Estados Unidos</t>
        </is>
      </c>
      <c r="V1530" s="156" t="inlineStr">
        <is>
          <t>PZS</t>
        </is>
      </c>
      <c r="W1530" s="51" t="inlineStr">
        <is>
          <t>53102503</t>
        </is>
      </c>
      <c r="X1530" s="156" t="inlineStr">
        <is>
          <t>https://cdn.shopify.com/s/files/1/0888/3250/8267/files/SFSHAS-7540-07-67_2_8639515a-fd00-4298-bc59-24fa0282cf3c.png?v=1760378716</t>
        </is>
      </c>
      <c r="Y1530" s="54" t="n">
        <v>4331.25</v>
      </c>
      <c r="Z1530" s="54" t="n">
        <v>10344.82759</v>
      </c>
      <c r="AA1530" s="55">
        <f>IF(AND(A1530="", B1530="", E1530=""), "", IF(AB1530="", "Válido", IF((LEN(AB1530)-LEN(SUBSTITUTE(AB1530,"; ","")))/2+1&gt;(LEN(AB1530)-LEN(SUBSTITUTE(AB1530,"[Aviso]","")))/7, "Con Incidencias", "Válido")))</f>
        <v/>
      </c>
      <c r="AB1530" s="56">
        <f>IF(AND(A1530="", B1530="", E1530=""), "", TEXTJOIN("; ", TRUE, IF(OR(TRIM(A1530&amp;"")="", ISNUMBER(SEARCH("FALTA", A1530))), "UPC faltante/inválido", ""), IF(AND(A1530&lt;&gt;"", IFERROR(_xlfn.XMATCH(A1530,$A$2:$A$2509,0,1)&lt;&gt;_xlfn.XMATCH(A1530,$A$2:$A$2509,0,-1),FALSE)), "Código de barras duplicado", ""), IF(AND(E1530&lt;&gt;"", COUNTIF($E$2:$E$2509, E1530)&gt;1), "SKU duplicado", ""), IF(OR(J1530="", J1530=""), "[Aviso] División no capturada ()", IF(ISNA(MATCH(J1530, Criterios!$A$123:$A$126, 0)), "División no válida", "")), IF(OR(K1530="", K1530=""), "[Aviso] Categoría no capturada ()", IF(ISNA(MATCH(K1530, Criterios!$A$81:$A$120, 0)), "Categoría no válida", IF(AND(J1530&lt;&gt;"", J1530&lt;&gt;"", J1530&lt;&gt;VLOOKUP(K1530, Criterios!$A$81:$B$120, 2, FALSE)), "División no coincide con Categoría", ""))), IF(OR(L1530="", L1530=""), "[Aviso] Género no capturado ()", IF(ISNA(MATCH(L1530, Criterios!$B$123:$B$127, 0)), "Género no válido", "")), IF(OR(N1530="", N1530=""), "[Aviso] Temporada no capturada ()", IF(ISNA(MATCH(N1530, Criterios!$C$123:$C$128, 0)), "Temporada no válida", "")), IF(OR(O1530="", O1530=""), "[Aviso] Ciclo de vida no capturado ()", IF(ISNA(MATCH(O1530, Criterios!$D$123:$D$124, 0)), "Ciclo de vida no válido", ""))))</f>
        <v/>
      </c>
      <c r="AC1530" s="56" t="n"/>
      <c r="AD1530" s="51" t="n">
        <v>0</v>
      </c>
      <c r="AE1530" s="156" t="n"/>
      <c r="AF1530" s="51" t="n">
        <v>0</v>
      </c>
      <c r="AG1530" s="156" t="inlineStr">
        <is>
          <t>Catálogo existente</t>
        </is>
      </c>
      <c r="AH1530" s="156" t="inlineStr">
        <is>
          <t>Revisión 29/09/2026: Cruce de catálogo y criterios sin pendientes detectados | 01/10/2026: complementado desde Shopify Stetson México (match por código de barras): WB Fit, WB Silueta</t>
        </is>
      </c>
      <c r="AI1530" s="156" t="inlineStr">
        <is>
          <t>No</t>
        </is>
      </c>
      <c r="AJ1530" s="156" t="n"/>
      <c r="AK1530" s="155" t="inlineStr">
        <is>
          <t>Criterios: I [Q] | Shopify Stetson: producto 14791364510059 / variante 53350603587947 | Odoo: producto 14251 / plantilla 17828</t>
        </is>
      </c>
      <c r="AL1530" s="58" t="n">
        <v>4331.25</v>
      </c>
      <c r="AM1530" s="58" t="n">
        <v>10344.82759</v>
      </c>
      <c r="AN1530" s="155" t="inlineStr">
        <is>
          <t>Shopify Stetson México | Odoo Universal Unique Brands</t>
        </is>
      </c>
      <c r="AO1530" s="59" t="n">
        <v>1</v>
      </c>
      <c r="AP1530" s="59" t="n"/>
      <c r="AQ1530" s="59" t="n">
        <v>2</v>
      </c>
      <c r="AR1530" s="155" t="inlineStr">
        <is>
          <t>Shopify Stetson México › Stetson Americas: 1 | Odoo Universal Unique Brands › Bodega 25 › Bodega 25/General: 2</t>
        </is>
      </c>
    </row>
    <row r="1531">
      <c r="A1531" s="50" t="inlineStr">
        <is>
          <t>795177954415</t>
        </is>
      </c>
      <c r="B1531" s="51" t="inlineStr">
        <is>
          <t>110074</t>
        </is>
      </c>
      <c r="C1531" s="156" t="inlineStr">
        <is>
          <t>Multimarca</t>
        </is>
      </c>
      <c r="D1531" s="156" t="inlineStr">
        <is>
          <t>SFSHAS-754007</t>
        </is>
      </c>
      <c r="E1531" s="156" t="inlineStr">
        <is>
          <t>SFSHAS-75400773</t>
        </is>
      </c>
      <c r="F1531" s="156" t="inlineStr">
        <is>
          <t>7 3/8</t>
        </is>
      </c>
      <c r="G1531" s="156" t="inlineStr">
        <is>
          <t>7 3/8</t>
        </is>
      </c>
      <c r="H1531" s="156" t="inlineStr">
        <is>
          <t>Stetson</t>
        </is>
      </c>
      <c r="I1531" s="156" t="inlineStr">
        <is>
          <t>Texana Stetson Shasta Negro</t>
        </is>
      </c>
      <c r="J1531" s="156" t="inlineStr">
        <is>
          <t>Accesorios</t>
        </is>
      </c>
      <c r="K1531" s="156" t="inlineStr">
        <is>
          <t>Sombreros</t>
        </is>
      </c>
      <c r="L1531" s="156" t="inlineStr">
        <is>
          <t>Unisex</t>
        </is>
      </c>
      <c r="M1531" s="156" t="inlineStr">
        <is>
          <t>Stetson</t>
        </is>
      </c>
      <c r="N1531" s="156" t="inlineStr">
        <is>
          <t>SS26</t>
        </is>
      </c>
      <c r="O1531" s="156" t="inlineStr">
        <is>
          <t>Seasonal</t>
        </is>
      </c>
      <c r="P1531" s="156" t="inlineStr">
        <is>
          <t>Negro</t>
        </is>
      </c>
      <c r="Q1531" s="156" t="n"/>
      <c r="R1531" s="156" t="inlineStr">
        <is>
          <t>Copa Cattleman</t>
        </is>
      </c>
      <c r="S1531" s="156" t="inlineStr">
        <is>
          <t>100% Fieltro de lana</t>
        </is>
      </c>
      <c r="T1531"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1" s="156" t="inlineStr">
        <is>
          <t>Estados Unidos</t>
        </is>
      </c>
      <c r="V1531" s="156" t="inlineStr">
        <is>
          <t>PZS</t>
        </is>
      </c>
      <c r="W1531" s="51" t="inlineStr">
        <is>
          <t>53102503</t>
        </is>
      </c>
      <c r="X1531" s="156" t="inlineStr">
        <is>
          <t>https://cdn.shopify.com/s/files/1/0888/3250/8267/files/SFSHAS-7540-07-67_5_28182faa-68fb-4fb0-a70c-c8778c30c5f4.png?v=1760378716</t>
        </is>
      </c>
      <c r="Y1531" s="54" t="n">
        <v>4331.25</v>
      </c>
      <c r="Z1531" s="54" t="n">
        <v>10344.82759</v>
      </c>
      <c r="AA1531" s="55">
        <f>IF(AND(A1531="", B1531="", E1531=""), "", IF(AB1531="", "Válido", IF((LEN(AB1531)-LEN(SUBSTITUTE(AB1531,"; ","")))/2+1&gt;(LEN(AB1531)-LEN(SUBSTITUTE(AB1531,"[Aviso]","")))/7, "Con Incidencias", "Válido")))</f>
        <v/>
      </c>
      <c r="AB1531" s="56">
        <f>IF(AND(A1531="", B1531="", E1531=""), "", TEXTJOIN("; ", TRUE, IF(OR(TRIM(A1531&amp;"")="", ISNUMBER(SEARCH("FALTA", A1531))), "UPC faltante/inválido", ""), IF(AND(A1531&lt;&gt;"", IFERROR(_xlfn.XMATCH(A1531,$A$2:$A$2509,0,1)&lt;&gt;_xlfn.XMATCH(A1531,$A$2:$A$2509,0,-1),FALSE)), "Código de barras duplicado", ""), IF(AND(E1531&lt;&gt;"", COUNTIF($E$2:$E$2509, E1531)&gt;1), "SKU duplicado", ""), IF(OR(J1531="", J1531=""), "[Aviso] División no capturada ()", IF(ISNA(MATCH(J1531, Criterios!$A$123:$A$126, 0)), "División no válida", "")), IF(OR(K1531="", K1531=""), "[Aviso] Categoría no capturada ()", IF(ISNA(MATCH(K1531, Criterios!$A$81:$A$120, 0)), "Categoría no válida", IF(AND(J1531&lt;&gt;"", J1531&lt;&gt;"", J1531&lt;&gt;VLOOKUP(K1531, Criterios!$A$81:$B$120, 2, FALSE)), "División no coincide con Categoría", ""))), IF(OR(L1531="", L1531=""), "[Aviso] Género no capturado ()", IF(ISNA(MATCH(L1531, Criterios!$B$123:$B$127, 0)), "Género no válido", "")), IF(OR(N1531="", N1531=""), "[Aviso] Temporada no capturada ()", IF(ISNA(MATCH(N1531, Criterios!$C$123:$C$128, 0)), "Temporada no válida", "")), IF(OR(O1531="", O1531=""), "[Aviso] Ciclo de vida no capturado ()", IF(ISNA(MATCH(O1531, Criterios!$D$123:$D$124, 0)), "Ciclo de vida no válido", ""))))</f>
        <v/>
      </c>
      <c r="AC1531" s="56" t="n"/>
      <c r="AD1531" s="51" t="n">
        <v>1</v>
      </c>
      <c r="AE1531" s="156" t="inlineStr">
        <is>
          <t>B25 STETSON.MX (2)</t>
        </is>
      </c>
      <c r="AF1531" s="51" t="n">
        <v>2</v>
      </c>
      <c r="AG1531" s="156" t="inlineStr">
        <is>
          <t>Catálogo existente</t>
        </is>
      </c>
      <c r="AH1531" s="156" t="inlineStr">
        <is>
          <t>Revisión 29/09/2026: Cruce de catálogo y criterios sin pendientes detectados | 01/10/2026: complementado desde Shopify Stetson México (match por código de barras): WB Fit, WB Silueta</t>
        </is>
      </c>
      <c r="AI1531" s="156" t="inlineStr">
        <is>
          <t>Sí</t>
        </is>
      </c>
      <c r="AJ1531" s="156" t="inlineStr">
        <is>
          <t>STETSON AMERICAS (-1)</t>
        </is>
      </c>
      <c r="AK1531" s="155" t="inlineStr">
        <is>
          <t>Criterios: I [Q] | Shopify Stetson: producto 14791364510059 / variante 53350603620715 | Odoo: producto 14252 / plantilla 17829</t>
        </is>
      </c>
      <c r="AL1531" s="58" t="n">
        <v>4331.25</v>
      </c>
      <c r="AM1531" s="58" t="n">
        <v>10344.82759</v>
      </c>
      <c r="AN1531" s="155" t="inlineStr">
        <is>
          <t>Shopify Stetson México | Odoo Universal Unique Brands</t>
        </is>
      </c>
      <c r="AO1531" s="59" t="n">
        <v>1</v>
      </c>
      <c r="AP1531" s="59" t="n"/>
      <c r="AQ1531" s="59" t="n">
        <v>3</v>
      </c>
      <c r="AR1531" s="155" t="inlineStr">
        <is>
          <t>Shopify Stetson México › Stetson México: 1 | Odoo Universal Unique Brands › Bodega 25 › Bodega 25/General: 3</t>
        </is>
      </c>
    </row>
    <row r="1532">
      <c r="A1532" s="50" t="inlineStr">
        <is>
          <t>795177954422</t>
        </is>
      </c>
      <c r="B1532" s="51" t="inlineStr">
        <is>
          <t>110075</t>
        </is>
      </c>
      <c r="C1532" s="156" t="inlineStr">
        <is>
          <t>Multimarca</t>
        </is>
      </c>
      <c r="D1532" s="156" t="inlineStr">
        <is>
          <t>SFSHAS-754007</t>
        </is>
      </c>
      <c r="E1532" s="156" t="inlineStr">
        <is>
          <t>SFSHAS-75400774</t>
        </is>
      </c>
      <c r="F1532" s="156" t="inlineStr">
        <is>
          <t>7 1/2</t>
        </is>
      </c>
      <c r="G1532" s="156" t="inlineStr">
        <is>
          <t>7 1/2</t>
        </is>
      </c>
      <c r="H1532" s="156" t="inlineStr">
        <is>
          <t>Stetson</t>
        </is>
      </c>
      <c r="I1532" s="156" t="inlineStr">
        <is>
          <t>Texana Stetson Shasta Negro</t>
        </is>
      </c>
      <c r="J1532" s="156" t="inlineStr">
        <is>
          <t>Accesorios</t>
        </is>
      </c>
      <c r="K1532" s="156" t="inlineStr">
        <is>
          <t>Sombreros</t>
        </is>
      </c>
      <c r="L1532" s="156" t="inlineStr">
        <is>
          <t>Unisex</t>
        </is>
      </c>
      <c r="M1532" s="156" t="inlineStr">
        <is>
          <t>Stetson</t>
        </is>
      </c>
      <c r="N1532" s="156" t="inlineStr">
        <is>
          <t>SS26</t>
        </is>
      </c>
      <c r="O1532" s="156" t="inlineStr">
        <is>
          <t>Seasonal</t>
        </is>
      </c>
      <c r="P1532" s="156" t="inlineStr">
        <is>
          <t>Negro</t>
        </is>
      </c>
      <c r="Q1532" s="156" t="n"/>
      <c r="R1532" s="156" t="inlineStr">
        <is>
          <t>Copa Cattleman</t>
        </is>
      </c>
      <c r="S1532" s="156" t="inlineStr">
        <is>
          <t>100% Fieltro de lana</t>
        </is>
      </c>
      <c r="T1532"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2" s="156" t="inlineStr">
        <is>
          <t>Estados Unidos</t>
        </is>
      </c>
      <c r="V1532" s="156" t="inlineStr">
        <is>
          <t>PZS</t>
        </is>
      </c>
      <c r="W1532" s="51" t="inlineStr">
        <is>
          <t>53102503</t>
        </is>
      </c>
      <c r="X1532" s="156" t="inlineStr">
        <is>
          <t>https://cdn.shopify.com/s/files/1/0888/3250/8267/files/SFSHAS-7540-07-67_6_101581f1-50dd-4f3c-89cf-c20451c397e0.png?v=1760378716</t>
        </is>
      </c>
      <c r="Y1532" s="54" t="n">
        <v>4331.25</v>
      </c>
      <c r="Z1532" s="54" t="n">
        <v>10344.82759</v>
      </c>
      <c r="AA1532" s="55">
        <f>IF(AND(A1532="", B1532="", E1532=""), "", IF(AB1532="", "Válido", IF((LEN(AB1532)-LEN(SUBSTITUTE(AB1532,"; ","")))/2+1&gt;(LEN(AB1532)-LEN(SUBSTITUTE(AB1532,"[Aviso]","")))/7, "Con Incidencias", "Válido")))</f>
        <v/>
      </c>
      <c r="AB1532" s="56">
        <f>IF(AND(A1532="", B1532="", E1532=""), "", TEXTJOIN("; ", TRUE, IF(OR(TRIM(A1532&amp;"")="", ISNUMBER(SEARCH("FALTA", A1532))), "UPC faltante/inválido", ""), IF(AND(A1532&lt;&gt;"", IFERROR(_xlfn.XMATCH(A1532,$A$2:$A$2509,0,1)&lt;&gt;_xlfn.XMATCH(A1532,$A$2:$A$2509,0,-1),FALSE)), "Código de barras duplicado", ""), IF(AND(E1532&lt;&gt;"", COUNTIF($E$2:$E$2509, E1532)&gt;1), "SKU duplicado", ""), IF(OR(J1532="", J1532=""), "[Aviso] División no capturada ()", IF(ISNA(MATCH(J1532, Criterios!$A$123:$A$126, 0)), "División no válida", "")), IF(OR(K1532="", K1532=""), "[Aviso] Categoría no capturada ()", IF(ISNA(MATCH(K1532, Criterios!$A$81:$A$120, 0)), "Categoría no válida", IF(AND(J1532&lt;&gt;"", J1532&lt;&gt;"", J1532&lt;&gt;VLOOKUP(K1532, Criterios!$A$81:$B$120, 2, FALSE)), "División no coincide con Categoría", ""))), IF(OR(L1532="", L1532=""), "[Aviso] Género no capturado ()", IF(ISNA(MATCH(L1532, Criterios!$B$123:$B$127, 0)), "Género no válido", "")), IF(OR(N1532="", N1532=""), "[Aviso] Temporada no capturada ()", IF(ISNA(MATCH(N1532, Criterios!$C$123:$C$128, 0)), "Temporada no válida", "")), IF(OR(O1532="", O1532=""), "[Aviso] Ciclo de vida no capturado ()", IF(ISNA(MATCH(O1532, Criterios!$D$123:$D$124, 0)), "Ciclo de vida no válido", ""))))</f>
        <v/>
      </c>
      <c r="AC1532" s="56" t="n"/>
      <c r="AD1532" s="51" t="n">
        <v>-1</v>
      </c>
      <c r="AE1532" s="156" t="n"/>
      <c r="AF1532" s="51" t="n">
        <v>0</v>
      </c>
      <c r="AG1532" s="156" t="inlineStr">
        <is>
          <t>Catálogo existente</t>
        </is>
      </c>
      <c r="AH1532" s="156" t="inlineStr">
        <is>
          <t>Stock negativo en sistema: revisar en conteo | Revisión 29/09/2026: Cruce de catálogo y criterios sin pendientes detectados | 01/10/2026: complementado desde Shopify Stetson México (match por código de barras): WB Fit, WB Silueta</t>
        </is>
      </c>
      <c r="AI1532" s="156" t="inlineStr">
        <is>
          <t>Sí</t>
        </is>
      </c>
      <c r="AJ1532" s="156" t="inlineStr">
        <is>
          <t>STETSON AMERICAS (-1)</t>
        </is>
      </c>
      <c r="AK1532" s="155" t="inlineStr">
        <is>
          <t>Criterios: I [Q] | Shopify Stetson: producto 14791364510059 / variante 53350603653483 | Odoo: producto 14253 / plantilla 17830</t>
        </is>
      </c>
      <c r="AL1532" s="58" t="n">
        <v>4331.25</v>
      </c>
      <c r="AM1532" s="58" t="n">
        <v>10344.82759</v>
      </c>
      <c r="AN1532" s="155" t="inlineStr">
        <is>
          <t>Shopify Stetson México | Odoo Universal Unique Brands</t>
        </is>
      </c>
      <c r="AO1532" s="59" t="n">
        <v>0</v>
      </c>
      <c r="AP1532" s="59" t="n"/>
      <c r="AQ1532" s="59" t="n">
        <v>1</v>
      </c>
      <c r="AR1532" s="155" t="inlineStr">
        <is>
          <t>Odoo Universal Unique Brands › Bodega 25 › Bodega 25/General: 1</t>
        </is>
      </c>
    </row>
    <row r="1533">
      <c r="A1533" s="50" t="inlineStr">
        <is>
          <t>795177954477</t>
        </is>
      </c>
      <c r="B1533" s="51" t="inlineStr">
        <is>
          <t>110080</t>
        </is>
      </c>
      <c r="C1533" s="156" t="inlineStr">
        <is>
          <t>Multimarca</t>
        </is>
      </c>
      <c r="D1533" s="156" t="inlineStr">
        <is>
          <t>SFSHAS-754061</t>
        </is>
      </c>
      <c r="E1533" s="156" t="inlineStr">
        <is>
          <t>SFSHAS-75406167</t>
        </is>
      </c>
      <c r="F1533" s="156" t="inlineStr">
        <is>
          <t>6 7/8</t>
        </is>
      </c>
      <c r="G1533" s="156" t="inlineStr">
        <is>
          <t>6 7/8</t>
        </is>
      </c>
      <c r="H1533" s="156" t="inlineStr">
        <is>
          <t>Stetson</t>
        </is>
      </c>
      <c r="I1533" s="156" t="inlineStr">
        <is>
          <t>Texana Stetson Shasta Plata</t>
        </is>
      </c>
      <c r="J1533" s="156" t="inlineStr">
        <is>
          <t>Accesorios</t>
        </is>
      </c>
      <c r="K1533" s="156" t="inlineStr">
        <is>
          <t>Sombreros</t>
        </is>
      </c>
      <c r="L1533" s="156" t="inlineStr">
        <is>
          <t>Unisex</t>
        </is>
      </c>
      <c r="M1533" s="156" t="inlineStr">
        <is>
          <t>Stetson</t>
        </is>
      </c>
      <c r="N1533" s="156" t="inlineStr">
        <is>
          <t>SS26</t>
        </is>
      </c>
      <c r="O1533" s="156" t="inlineStr">
        <is>
          <t>Seasonal</t>
        </is>
      </c>
      <c r="P1533" s="156" t="inlineStr">
        <is>
          <t>Gris</t>
        </is>
      </c>
      <c r="Q1533" s="156" t="n"/>
      <c r="R1533" s="156" t="inlineStr">
        <is>
          <t>Copa Cattleman</t>
        </is>
      </c>
      <c r="S1533" s="156" t="inlineStr">
        <is>
          <t>100% Fieltro de lana</t>
        </is>
      </c>
      <c r="T1533"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3" s="156" t="inlineStr">
        <is>
          <t>Estados Unidos</t>
        </is>
      </c>
      <c r="V1533" s="156" t="inlineStr">
        <is>
          <t>PZS</t>
        </is>
      </c>
      <c r="W1533" s="51" t="inlineStr">
        <is>
          <t>53102503</t>
        </is>
      </c>
      <c r="X1533" s="156" t="inlineStr">
        <is>
          <t>https://cdn.shopify.com/s/files/1/0888/3250/8267/files/SFSHAS-7540-61-67_1.png?v=1760378716</t>
        </is>
      </c>
      <c r="Y1533" s="54" t="n">
        <v>4331.25</v>
      </c>
      <c r="Z1533" s="54" t="n">
        <v>10344.82759</v>
      </c>
      <c r="AA1533" s="55">
        <f>IF(AND(A1533="", B1533="", E1533=""), "", IF(AB1533="", "Válido", IF((LEN(AB1533)-LEN(SUBSTITUTE(AB1533,"; ","")))/2+1&gt;(LEN(AB1533)-LEN(SUBSTITUTE(AB1533,"[Aviso]","")))/7, "Con Incidencias", "Válido")))</f>
        <v/>
      </c>
      <c r="AB1533" s="56">
        <f>IF(AND(A1533="", B1533="", E1533=""), "", TEXTJOIN("; ", TRUE, IF(OR(TRIM(A1533&amp;"")="", ISNUMBER(SEARCH("FALTA", A1533))), "UPC faltante/inválido", ""), IF(AND(A1533&lt;&gt;"", IFERROR(_xlfn.XMATCH(A1533,$A$2:$A$2509,0,1)&lt;&gt;_xlfn.XMATCH(A1533,$A$2:$A$2509,0,-1),FALSE)), "Código de barras duplicado", ""), IF(AND(E1533&lt;&gt;"", COUNTIF($E$2:$E$2509, E1533)&gt;1), "SKU duplicado", ""), IF(OR(J1533="", J1533=""), "[Aviso] División no capturada ()", IF(ISNA(MATCH(J1533, Criterios!$A$123:$A$126, 0)), "División no válida", "")), IF(OR(K1533="", K1533=""), "[Aviso] Categoría no capturada ()", IF(ISNA(MATCH(K1533, Criterios!$A$81:$A$120, 0)), "Categoría no válida", IF(AND(J1533&lt;&gt;"", J1533&lt;&gt;"", J1533&lt;&gt;VLOOKUP(K1533, Criterios!$A$81:$B$120, 2, FALSE)), "División no coincide con Categoría", ""))), IF(OR(L1533="", L1533=""), "[Aviso] Género no capturado ()", IF(ISNA(MATCH(L1533, Criterios!$B$123:$B$127, 0)), "Género no válido", "")), IF(OR(N1533="", N1533=""), "[Aviso] Temporada no capturada ()", IF(ISNA(MATCH(N1533, Criterios!$C$123:$C$128, 0)), "Temporada no válida", "")), IF(OR(O1533="", O1533=""), "[Aviso] Ciclo de vida no capturado ()", IF(ISNA(MATCH(O1533, Criterios!$D$123:$D$124, 0)), "Ciclo de vida no válido", ""))))</f>
        <v/>
      </c>
      <c r="AC1533" s="56" t="n"/>
      <c r="AD1533" s="51" t="n">
        <v>0</v>
      </c>
      <c r="AE1533" s="156" t="n"/>
      <c r="AF1533" s="51" t="n">
        <v>0</v>
      </c>
      <c r="AG1533" s="156" t="inlineStr">
        <is>
          <t>Catálogo existente</t>
        </is>
      </c>
      <c r="AH153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3" s="156" t="inlineStr">
        <is>
          <t>No</t>
        </is>
      </c>
      <c r="AJ1533" s="156" t="n"/>
      <c r="AK1533" s="155" t="inlineStr">
        <is>
          <t>Criterios: I [Q] | Shopify Stetson: producto 14791364510059 / variante 53350603293035 | Odoo: producto 14258 / plantilla 17835</t>
        </is>
      </c>
      <c r="AL1533" s="58" t="n">
        <v>4331.25</v>
      </c>
      <c r="AM1533" s="58" t="n">
        <v>10344.82759</v>
      </c>
      <c r="AN1533" s="155" t="inlineStr">
        <is>
          <t>Shopify Stetson México | Odoo Universal Unique Brands</t>
        </is>
      </c>
      <c r="AO1533" s="59" t="n">
        <v>0</v>
      </c>
      <c r="AP1533" s="59" t="n"/>
      <c r="AQ1533" s="59" t="n">
        <v>1</v>
      </c>
      <c r="AR1533" s="155" t="inlineStr">
        <is>
          <t>Odoo Universal Unique Brands › Bodega 25 › Bodega 25/General: 1</t>
        </is>
      </c>
    </row>
    <row r="1534">
      <c r="A1534" s="50" t="inlineStr">
        <is>
          <t>795177954484</t>
        </is>
      </c>
      <c r="B1534" s="51" t="inlineStr">
        <is>
          <t>110081</t>
        </is>
      </c>
      <c r="C1534" s="156" t="inlineStr">
        <is>
          <t>Multimarca</t>
        </is>
      </c>
      <c r="D1534" s="156" t="inlineStr">
        <is>
          <t>SFSHAS-754061</t>
        </is>
      </c>
      <c r="E1534" s="156" t="inlineStr">
        <is>
          <t>SFSHAS-75406170</t>
        </is>
      </c>
      <c r="F1534" s="156" t="inlineStr">
        <is>
          <t>7</t>
        </is>
      </c>
      <c r="G1534" s="156" t="inlineStr">
        <is>
          <t>7</t>
        </is>
      </c>
      <c r="H1534" s="156" t="inlineStr">
        <is>
          <t>Stetson</t>
        </is>
      </c>
      <c r="I1534" s="156" t="inlineStr">
        <is>
          <t>Texana Stetson Shasta Plata</t>
        </is>
      </c>
      <c r="J1534" s="156" t="inlineStr">
        <is>
          <t>Accesorios</t>
        </is>
      </c>
      <c r="K1534" s="156" t="inlineStr">
        <is>
          <t>Sombreros</t>
        </is>
      </c>
      <c r="L1534" s="156" t="inlineStr">
        <is>
          <t>Unisex</t>
        </is>
      </c>
      <c r="M1534" s="156" t="inlineStr">
        <is>
          <t>Stetson</t>
        </is>
      </c>
      <c r="N1534" s="156" t="inlineStr">
        <is>
          <t>SS26</t>
        </is>
      </c>
      <c r="O1534" s="156" t="inlineStr">
        <is>
          <t>Seasonal</t>
        </is>
      </c>
      <c r="P1534" s="156" t="inlineStr">
        <is>
          <t>Gris</t>
        </is>
      </c>
      <c r="Q1534" s="156" t="n"/>
      <c r="R1534" s="156" t="inlineStr">
        <is>
          <t>Copa Cattleman</t>
        </is>
      </c>
      <c r="S1534" s="156" t="inlineStr">
        <is>
          <t>100% Fieltro de lana</t>
        </is>
      </c>
      <c r="T1534"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4" s="156" t="inlineStr">
        <is>
          <t>Estados Unidos</t>
        </is>
      </c>
      <c r="V1534" s="156" t="inlineStr">
        <is>
          <t>PZS</t>
        </is>
      </c>
      <c r="W1534" s="51" t="inlineStr">
        <is>
          <t>53102503</t>
        </is>
      </c>
      <c r="X1534" s="156" t="inlineStr">
        <is>
          <t>https://cdn.shopify.com/s/files/1/0888/3250/8267/files/SFSHAS-7540-61-67_2.png?v=1760378716</t>
        </is>
      </c>
      <c r="Y1534" s="54" t="n">
        <v>4331.25</v>
      </c>
      <c r="Z1534" s="54" t="n">
        <v>10344.82759</v>
      </c>
      <c r="AA1534" s="55">
        <f>IF(AND(A1534="", B1534="", E1534=""), "", IF(AB1534="", "Válido", IF((LEN(AB1534)-LEN(SUBSTITUTE(AB1534,"; ","")))/2+1&gt;(LEN(AB1534)-LEN(SUBSTITUTE(AB1534,"[Aviso]","")))/7, "Con Incidencias", "Válido")))</f>
        <v/>
      </c>
      <c r="AB1534" s="56">
        <f>IF(AND(A1534="", B1534="", E1534=""), "", TEXTJOIN("; ", TRUE, IF(OR(TRIM(A1534&amp;"")="", ISNUMBER(SEARCH("FALTA", A1534))), "UPC faltante/inválido", ""), IF(AND(A1534&lt;&gt;"", IFERROR(_xlfn.XMATCH(A1534,$A$2:$A$2509,0,1)&lt;&gt;_xlfn.XMATCH(A1534,$A$2:$A$2509,0,-1),FALSE)), "Código de barras duplicado", ""), IF(AND(E1534&lt;&gt;"", COUNTIF($E$2:$E$2509, E1534)&gt;1), "SKU duplicado", ""), IF(OR(J1534="", J1534=""), "[Aviso] División no capturada ()", IF(ISNA(MATCH(J1534, Criterios!$A$123:$A$126, 0)), "División no válida", "")), IF(OR(K1534="", K1534=""), "[Aviso] Categoría no capturada ()", IF(ISNA(MATCH(K1534, Criterios!$A$81:$A$120, 0)), "Categoría no válida", IF(AND(J1534&lt;&gt;"", J1534&lt;&gt;"", J1534&lt;&gt;VLOOKUP(K1534, Criterios!$A$81:$B$120, 2, FALSE)), "División no coincide con Categoría", ""))), IF(OR(L1534="", L1534=""), "[Aviso] Género no capturado ()", IF(ISNA(MATCH(L1534, Criterios!$B$123:$B$127, 0)), "Género no válido", "")), IF(OR(N1534="", N1534=""), "[Aviso] Temporada no capturada ()", IF(ISNA(MATCH(N1534, Criterios!$C$123:$C$128, 0)), "Temporada no válida", "")), IF(OR(O1534="", O1534=""), "[Aviso] Ciclo de vida no capturado ()", IF(ISNA(MATCH(O1534, Criterios!$D$123:$D$124, 0)), "Ciclo de vida no válido", ""))))</f>
        <v/>
      </c>
      <c r="AC1534" s="56" t="n"/>
      <c r="AD1534" s="51" t="n">
        <v>0</v>
      </c>
      <c r="AE1534" s="156" t="inlineStr">
        <is>
          <t>B25 STETSON.MX (1)</t>
        </is>
      </c>
      <c r="AF1534" s="51" t="n">
        <v>1</v>
      </c>
      <c r="AG1534" s="156" t="inlineStr">
        <is>
          <t>Catálogo existente</t>
        </is>
      </c>
      <c r="AH153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4" s="156" t="inlineStr">
        <is>
          <t>Sí</t>
        </is>
      </c>
      <c r="AJ1534" s="156" t="inlineStr">
        <is>
          <t>PUNTO DE VENTA (-1)</t>
        </is>
      </c>
      <c r="AK1534" s="155" t="inlineStr">
        <is>
          <t>Criterios: I [Q] | Shopify Stetson: producto 14791364510059 / variante 53350603325803 | Odoo: producto 14259 / plantilla 17836</t>
        </is>
      </c>
      <c r="AL1534" s="58" t="n">
        <v>4331.25</v>
      </c>
      <c r="AM1534" s="58" t="n">
        <v>10344.82759</v>
      </c>
      <c r="AN1534" s="155" t="inlineStr">
        <is>
          <t>Shopify Stetson México | Odoo Universal Unique Brands</t>
        </is>
      </c>
      <c r="AO1534" s="59" t="n">
        <v>1</v>
      </c>
      <c r="AP1534" s="59" t="n"/>
      <c r="AQ1534" s="59" t="n">
        <v>2</v>
      </c>
      <c r="AR1534" s="155" t="inlineStr">
        <is>
          <t>Shopify Stetson México › Stetson México: 1 | Odoo Universal Unique Brands › Bodega 25 › Bodega 25/General: 2</t>
        </is>
      </c>
    </row>
    <row r="1535">
      <c r="A1535" s="50" t="inlineStr">
        <is>
          <t>795177954491</t>
        </is>
      </c>
      <c r="B1535" s="51" t="inlineStr">
        <is>
          <t>110082</t>
        </is>
      </c>
      <c r="C1535" s="156" t="inlineStr">
        <is>
          <t>Multimarca</t>
        </is>
      </c>
      <c r="D1535" s="156" t="inlineStr">
        <is>
          <t>SFSHAS-754061</t>
        </is>
      </c>
      <c r="E1535" s="156" t="inlineStr">
        <is>
          <t>SFSHAS-75406171</t>
        </is>
      </c>
      <c r="F1535" s="156" t="inlineStr">
        <is>
          <t>7 1/8</t>
        </is>
      </c>
      <c r="G1535" s="156" t="inlineStr">
        <is>
          <t>7 1/8</t>
        </is>
      </c>
      <c r="H1535" s="156" t="inlineStr">
        <is>
          <t>Stetson</t>
        </is>
      </c>
      <c r="I1535" s="156" t="inlineStr">
        <is>
          <t>Texana Stetson Shasta Plata</t>
        </is>
      </c>
      <c r="J1535" s="156" t="inlineStr">
        <is>
          <t>Accesorios</t>
        </is>
      </c>
      <c r="K1535" s="156" t="inlineStr">
        <is>
          <t>Sombreros</t>
        </is>
      </c>
      <c r="L1535" s="156" t="inlineStr">
        <is>
          <t>Unisex</t>
        </is>
      </c>
      <c r="M1535" s="156" t="inlineStr">
        <is>
          <t>Stetson</t>
        </is>
      </c>
      <c r="N1535" s="156" t="inlineStr">
        <is>
          <t>SS26</t>
        </is>
      </c>
      <c r="O1535" s="156" t="inlineStr">
        <is>
          <t>Seasonal</t>
        </is>
      </c>
      <c r="P1535" s="156" t="inlineStr">
        <is>
          <t>Gris</t>
        </is>
      </c>
      <c r="Q1535" s="156" t="n"/>
      <c r="R1535" s="156" t="inlineStr">
        <is>
          <t>Copa Cattleman</t>
        </is>
      </c>
      <c r="S1535" s="156" t="inlineStr">
        <is>
          <t>100% Fieltro de lana</t>
        </is>
      </c>
      <c r="T1535"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5" s="156" t="inlineStr">
        <is>
          <t>Estados Unidos</t>
        </is>
      </c>
      <c r="V1535" s="156" t="inlineStr">
        <is>
          <t>PZS</t>
        </is>
      </c>
      <c r="W1535" s="51" t="inlineStr">
        <is>
          <t>53102503</t>
        </is>
      </c>
      <c r="X1535" s="156" t="inlineStr">
        <is>
          <t>https://cdn.shopify.com/s/files/1/0888/3250/8267/files/SFSHAS-7540-61-67_4.png?v=1760378716</t>
        </is>
      </c>
      <c r="Y1535" s="54" t="n">
        <v>4331.25</v>
      </c>
      <c r="Z1535" s="54" t="n">
        <v>10344.82759</v>
      </c>
      <c r="AA1535" s="55">
        <f>IF(AND(A1535="", B1535="", E1535=""), "", IF(AB1535="", "Válido", IF((LEN(AB1535)-LEN(SUBSTITUTE(AB1535,"; ","")))/2+1&gt;(LEN(AB1535)-LEN(SUBSTITUTE(AB1535,"[Aviso]","")))/7, "Con Incidencias", "Válido")))</f>
        <v/>
      </c>
      <c r="AB1535" s="56">
        <f>IF(AND(A1535="", B1535="", E1535=""), "", TEXTJOIN("; ", TRUE, IF(OR(TRIM(A1535&amp;"")="", ISNUMBER(SEARCH("FALTA", A1535))), "UPC faltante/inválido", ""), IF(AND(A1535&lt;&gt;"", IFERROR(_xlfn.XMATCH(A1535,$A$2:$A$2509,0,1)&lt;&gt;_xlfn.XMATCH(A1535,$A$2:$A$2509,0,-1),FALSE)), "Código de barras duplicado", ""), IF(AND(E1535&lt;&gt;"", COUNTIF($E$2:$E$2509, E1535)&gt;1), "SKU duplicado", ""), IF(OR(J1535="", J1535=""), "[Aviso] División no capturada ()", IF(ISNA(MATCH(J1535, Criterios!$A$123:$A$126, 0)), "División no válida", "")), IF(OR(K1535="", K1535=""), "[Aviso] Categoría no capturada ()", IF(ISNA(MATCH(K1535, Criterios!$A$81:$A$120, 0)), "Categoría no válida", IF(AND(J1535&lt;&gt;"", J1535&lt;&gt;"", J1535&lt;&gt;VLOOKUP(K1535, Criterios!$A$81:$B$120, 2, FALSE)), "División no coincide con Categoría", ""))), IF(OR(L1535="", L1535=""), "[Aviso] Género no capturado ()", IF(ISNA(MATCH(L1535, Criterios!$B$123:$B$127, 0)), "Género no válido", "")), IF(OR(N1535="", N1535=""), "[Aviso] Temporada no capturada ()", IF(ISNA(MATCH(N1535, Criterios!$C$123:$C$128, 0)), "Temporada no válida", "")), IF(OR(O1535="", O1535=""), "[Aviso] Ciclo de vida no capturado ()", IF(ISNA(MATCH(O1535, Criterios!$D$123:$D$124, 0)), "Ciclo de vida no válido", ""))))</f>
        <v/>
      </c>
      <c r="AC1535" s="56" t="n"/>
      <c r="AD1535" s="51" t="n">
        <v>1</v>
      </c>
      <c r="AE1535" s="156" t="inlineStr">
        <is>
          <t>STETSON AMERICAS (1)</t>
        </is>
      </c>
      <c r="AF1535" s="51" t="n">
        <v>1</v>
      </c>
      <c r="AG1535" s="156" t="inlineStr">
        <is>
          <t>Catálogo existente</t>
        </is>
      </c>
      <c r="AH153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5" s="156" t="inlineStr">
        <is>
          <t>No</t>
        </is>
      </c>
      <c r="AJ1535" s="156" t="n"/>
      <c r="AK1535" s="155" t="inlineStr">
        <is>
          <t>Criterios: I [Q] | Shopify Stetson: producto 14791364510059 / variante 53350603358571 | Odoo: producto 14260 / plantilla 17837</t>
        </is>
      </c>
      <c r="AL1535" s="58" t="n">
        <v>4331.25</v>
      </c>
      <c r="AM1535" s="58" t="n">
        <v>10344.82759</v>
      </c>
      <c r="AN1535" s="155" t="inlineStr">
        <is>
          <t>Shopify Stetson México | Odoo Universal Unique Brands</t>
        </is>
      </c>
      <c r="AO1535" s="59" t="n">
        <v>2</v>
      </c>
      <c r="AP1535" s="59" t="n"/>
      <c r="AQ1535" s="59" t="n">
        <v>1</v>
      </c>
      <c r="AR1535" s="155" t="inlineStr">
        <is>
          <t>Shopify Stetson México › Stetson Americas: 1 | Shopify Stetson México › Eventos: 1 | Odoo Universal Unique Brands › Bodega 25 › Bodega 25/General: 1</t>
        </is>
      </c>
    </row>
    <row r="1536">
      <c r="A1536" s="50" t="inlineStr">
        <is>
          <t>795177954507</t>
        </is>
      </c>
      <c r="B1536" s="51" t="inlineStr">
        <is>
          <t>110083</t>
        </is>
      </c>
      <c r="C1536" s="156" t="inlineStr">
        <is>
          <t>Multimarca</t>
        </is>
      </c>
      <c r="D1536" s="156" t="inlineStr">
        <is>
          <t>SFSHAS-754061</t>
        </is>
      </c>
      <c r="E1536" s="156" t="inlineStr">
        <is>
          <t>SFSHAS-75406172</t>
        </is>
      </c>
      <c r="F1536" s="156" t="inlineStr">
        <is>
          <t>7 1/4</t>
        </is>
      </c>
      <c r="G1536" s="156" t="inlineStr">
        <is>
          <t>7 1/4</t>
        </is>
      </c>
      <c r="H1536" s="156" t="inlineStr">
        <is>
          <t>Stetson</t>
        </is>
      </c>
      <c r="I1536" s="156" t="inlineStr">
        <is>
          <t>Texana Stetson Shasta Plata</t>
        </is>
      </c>
      <c r="J1536" s="156" t="inlineStr">
        <is>
          <t>Accesorios</t>
        </is>
      </c>
      <c r="K1536" s="156" t="inlineStr">
        <is>
          <t>Sombreros</t>
        </is>
      </c>
      <c r="L1536" s="156" t="inlineStr">
        <is>
          <t>Unisex</t>
        </is>
      </c>
      <c r="M1536" s="156" t="inlineStr">
        <is>
          <t>Stetson</t>
        </is>
      </c>
      <c r="N1536" s="156" t="inlineStr">
        <is>
          <t>SS26</t>
        </is>
      </c>
      <c r="O1536" s="156" t="inlineStr">
        <is>
          <t>Seasonal</t>
        </is>
      </c>
      <c r="P1536" s="156" t="inlineStr">
        <is>
          <t>Gris</t>
        </is>
      </c>
      <c r="Q1536" s="156" t="n"/>
      <c r="R1536" s="156" t="inlineStr">
        <is>
          <t>Copa Cattleman</t>
        </is>
      </c>
      <c r="S1536" s="156" t="inlineStr">
        <is>
          <t>100% Fieltro de lana</t>
        </is>
      </c>
      <c r="T1536"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6" s="156" t="inlineStr">
        <is>
          <t>Estados Unidos</t>
        </is>
      </c>
      <c r="V1536" s="156" t="inlineStr">
        <is>
          <t>PZS</t>
        </is>
      </c>
      <c r="W1536" s="51" t="inlineStr">
        <is>
          <t>53102503</t>
        </is>
      </c>
      <c r="X1536" s="156" t="inlineStr">
        <is>
          <t>https://cdn.shopify.com/s/files/1/0888/3250/8267/files/SFSHAS-7540-61-67_5.png?v=1760378716</t>
        </is>
      </c>
      <c r="Y1536" s="54" t="n">
        <v>4331.25</v>
      </c>
      <c r="Z1536" s="54" t="n">
        <v>10344.82759</v>
      </c>
      <c r="AA1536" s="55">
        <f>IF(AND(A1536="", B1536="", E1536=""), "", IF(AB1536="", "Válido", IF((LEN(AB1536)-LEN(SUBSTITUTE(AB1536,"; ","")))/2+1&gt;(LEN(AB1536)-LEN(SUBSTITUTE(AB1536,"[Aviso]","")))/7, "Con Incidencias", "Válido")))</f>
        <v/>
      </c>
      <c r="AB1536" s="56">
        <f>IF(AND(A1536="", B1536="", E1536=""), "", TEXTJOIN("; ", TRUE, IF(OR(TRIM(A1536&amp;"")="", ISNUMBER(SEARCH("FALTA", A1536))), "UPC faltante/inválido", ""), IF(AND(A1536&lt;&gt;"", IFERROR(_xlfn.XMATCH(A1536,$A$2:$A$2509,0,1)&lt;&gt;_xlfn.XMATCH(A1536,$A$2:$A$2509,0,-1),FALSE)), "Código de barras duplicado", ""), IF(AND(E1536&lt;&gt;"", COUNTIF($E$2:$E$2509, E1536)&gt;1), "SKU duplicado", ""), IF(OR(J1536="", J1536=""), "[Aviso] División no capturada ()", IF(ISNA(MATCH(J1536, Criterios!$A$123:$A$126, 0)), "División no válida", "")), IF(OR(K1536="", K1536=""), "[Aviso] Categoría no capturada ()", IF(ISNA(MATCH(K1536, Criterios!$A$81:$A$120, 0)), "Categoría no válida", IF(AND(J1536&lt;&gt;"", J1536&lt;&gt;"", J1536&lt;&gt;VLOOKUP(K1536, Criterios!$A$81:$B$120, 2, FALSE)), "División no coincide con Categoría", ""))), IF(OR(L1536="", L1536=""), "[Aviso] Género no capturado ()", IF(ISNA(MATCH(L1536, Criterios!$B$123:$B$127, 0)), "Género no válido", "")), IF(OR(N1536="", N1536=""), "[Aviso] Temporada no capturada ()", IF(ISNA(MATCH(N1536, Criterios!$C$123:$C$128, 0)), "Temporada no válida", "")), IF(OR(O1536="", O1536=""), "[Aviso] Ciclo de vida no capturado ()", IF(ISNA(MATCH(O1536, Criterios!$D$123:$D$124, 0)), "Ciclo de vida no válido", ""))))</f>
        <v/>
      </c>
      <c r="AC1536" s="56" t="n"/>
      <c r="AD1536" s="51" t="n">
        <v>0</v>
      </c>
      <c r="AE1536" s="156" t="n"/>
      <c r="AF1536" s="51" t="n">
        <v>0</v>
      </c>
      <c r="AG1536" s="156" t="inlineStr">
        <is>
          <t>Catálogo existente</t>
        </is>
      </c>
      <c r="AH153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536" s="156" t="inlineStr">
        <is>
          <t>No</t>
        </is>
      </c>
      <c r="AJ1536" s="156" t="n"/>
      <c r="AK1536" s="155" t="inlineStr">
        <is>
          <t>Criterios: I [Q] | Shopify Stetson: producto 14791364510059 / variante 53350603391339</t>
        </is>
      </c>
      <c r="AL1536" s="58" t="n">
        <v>4331.25</v>
      </c>
      <c r="AM1536" s="58" t="n">
        <v>10344.82759</v>
      </c>
      <c r="AN1536" s="155" t="inlineStr">
        <is>
          <t>Shopify Stetson México</t>
        </is>
      </c>
      <c r="AO1536" s="59" t="n">
        <v>0</v>
      </c>
      <c r="AP1536" s="59" t="n"/>
      <c r="AQ1536" s="59" t="n"/>
      <c r="AR1536" s="155" t="n"/>
    </row>
    <row r="1537">
      <c r="A1537" s="50" t="inlineStr">
        <is>
          <t>795177954514</t>
        </is>
      </c>
      <c r="B1537" s="51" t="inlineStr">
        <is>
          <t>110084</t>
        </is>
      </c>
      <c r="C1537" s="156" t="inlineStr">
        <is>
          <t>Multimarca</t>
        </is>
      </c>
      <c r="D1537" s="156" t="inlineStr">
        <is>
          <t>SFSHAS-754061</t>
        </is>
      </c>
      <c r="E1537" s="156" t="inlineStr">
        <is>
          <t>SFSHAS-75406173</t>
        </is>
      </c>
      <c r="F1537" s="156" t="inlineStr">
        <is>
          <t>7 3/8</t>
        </is>
      </c>
      <c r="G1537" s="156" t="inlineStr">
        <is>
          <t>7 3/8</t>
        </is>
      </c>
      <c r="H1537" s="156" t="inlineStr">
        <is>
          <t>Stetson</t>
        </is>
      </c>
      <c r="I1537" s="156" t="inlineStr">
        <is>
          <t>Texana Stetson Shasta Plata</t>
        </is>
      </c>
      <c r="J1537" s="156" t="inlineStr">
        <is>
          <t>Accesorios</t>
        </is>
      </c>
      <c r="K1537" s="156" t="inlineStr">
        <is>
          <t>Sombreros</t>
        </is>
      </c>
      <c r="L1537" s="156" t="inlineStr">
        <is>
          <t>Unisex</t>
        </is>
      </c>
      <c r="M1537" s="156" t="inlineStr">
        <is>
          <t>Stetson</t>
        </is>
      </c>
      <c r="N1537" s="156" t="inlineStr">
        <is>
          <t>SS26</t>
        </is>
      </c>
      <c r="O1537" s="156" t="inlineStr">
        <is>
          <t>Seasonal</t>
        </is>
      </c>
      <c r="P1537" s="156" t="inlineStr">
        <is>
          <t>Gris</t>
        </is>
      </c>
      <c r="Q1537" s="156" t="n"/>
      <c r="R1537" s="156" t="inlineStr">
        <is>
          <t>Copa Cattleman</t>
        </is>
      </c>
      <c r="S1537" s="156" t="inlineStr">
        <is>
          <t>100% Fieltro de lana</t>
        </is>
      </c>
      <c r="T153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7" s="156" t="inlineStr">
        <is>
          <t>Estados Unidos</t>
        </is>
      </c>
      <c r="V1537" s="156" t="inlineStr">
        <is>
          <t>PZS</t>
        </is>
      </c>
      <c r="W1537" s="51" t="inlineStr">
        <is>
          <t>53102503</t>
        </is>
      </c>
      <c r="X1537" s="156" t="inlineStr">
        <is>
          <t>https://cdn.shopify.com/s/files/1/0888/3250/8267/files/SFSHAS-7540-61-67_6.png?v=1760378716</t>
        </is>
      </c>
      <c r="Y1537" s="54" t="n">
        <v>4331.25</v>
      </c>
      <c r="Z1537" s="54" t="n">
        <v>10344.82759</v>
      </c>
      <c r="AA1537" s="55">
        <f>IF(AND(A1537="", B1537="", E1537=""), "", IF(AB1537="", "Válido", IF((LEN(AB1537)-LEN(SUBSTITUTE(AB1537,"; ","")))/2+1&gt;(LEN(AB1537)-LEN(SUBSTITUTE(AB1537,"[Aviso]","")))/7, "Con Incidencias", "Válido")))</f>
        <v/>
      </c>
      <c r="AB1537" s="56">
        <f>IF(AND(A1537="", B1537="", E1537=""), "", TEXTJOIN("; ", TRUE, IF(OR(TRIM(A1537&amp;"")="", ISNUMBER(SEARCH("FALTA", A1537))), "UPC faltante/inválido", ""), IF(AND(A1537&lt;&gt;"", IFERROR(_xlfn.XMATCH(A1537,$A$2:$A$2509,0,1)&lt;&gt;_xlfn.XMATCH(A1537,$A$2:$A$2509,0,-1),FALSE)), "Código de barras duplicado", ""), IF(AND(E1537&lt;&gt;"", COUNTIF($E$2:$E$2509, E1537)&gt;1), "SKU duplicado", ""), IF(OR(J1537="", J1537=""), "[Aviso] División no capturada ()", IF(ISNA(MATCH(J1537, Criterios!$A$123:$A$126, 0)), "División no válida", "")), IF(OR(K1537="", K1537=""), "[Aviso] Categoría no capturada ()", IF(ISNA(MATCH(K1537, Criterios!$A$81:$A$120, 0)), "Categoría no válida", IF(AND(J1537&lt;&gt;"", J1537&lt;&gt;"", J1537&lt;&gt;VLOOKUP(K1537, Criterios!$A$81:$B$120, 2, FALSE)), "División no coincide con Categoría", ""))), IF(OR(L1537="", L1537=""), "[Aviso] Género no capturado ()", IF(ISNA(MATCH(L1537, Criterios!$B$123:$B$127, 0)), "Género no válido", "")), IF(OR(N1537="", N1537=""), "[Aviso] Temporada no capturada ()", IF(ISNA(MATCH(N1537, Criterios!$C$123:$C$128, 0)), "Temporada no válida", "")), IF(OR(O1537="", O1537=""), "[Aviso] Ciclo de vida no capturado ()", IF(ISNA(MATCH(O1537, Criterios!$D$123:$D$124, 0)), "Ciclo de vida no válido", ""))))</f>
        <v/>
      </c>
      <c r="AC1537" s="56" t="n"/>
      <c r="AD1537" s="51" t="n">
        <v>3</v>
      </c>
      <c r="AE1537" s="156" t="inlineStr">
        <is>
          <t>B25 STETSON.MX (3)</t>
        </is>
      </c>
      <c r="AF1537" s="51" t="n">
        <v>3</v>
      </c>
      <c r="AG1537" s="156" t="inlineStr">
        <is>
          <t>Catálogo existente</t>
        </is>
      </c>
      <c r="AH153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7" s="156" t="inlineStr">
        <is>
          <t>No</t>
        </is>
      </c>
      <c r="AJ1537" s="156" t="n"/>
      <c r="AK1537" s="155" t="inlineStr">
        <is>
          <t>Criterios: I [Q] | Shopify Stetson: producto 14791364510059 / variante 53350603424107 | Odoo: producto 14262 / plantilla 17839</t>
        </is>
      </c>
      <c r="AL1537" s="58" t="n">
        <v>4331.25</v>
      </c>
      <c r="AM1537" s="58" t="n">
        <v>10344.82759</v>
      </c>
      <c r="AN1537" s="155" t="inlineStr">
        <is>
          <t>Shopify Stetson México | Odoo Universal Unique Brands</t>
        </is>
      </c>
      <c r="AO1537" s="59" t="n">
        <v>3</v>
      </c>
      <c r="AP1537" s="59" t="n"/>
      <c r="AQ1537" s="59" t="n">
        <v>3</v>
      </c>
      <c r="AR1537" s="155" t="inlineStr">
        <is>
          <t>Shopify Stetson México › Stetson México: 3 | Odoo Universal Unique Brands › Bodega 25 › Bodega 25/General: 3</t>
        </is>
      </c>
    </row>
    <row r="1538">
      <c r="A1538" s="50" t="inlineStr">
        <is>
          <t>795177954521</t>
        </is>
      </c>
      <c r="B1538" s="51" t="inlineStr">
        <is>
          <t>110085</t>
        </is>
      </c>
      <c r="C1538" s="156" t="inlineStr">
        <is>
          <t>Multimarca</t>
        </is>
      </c>
      <c r="D1538" s="156" t="inlineStr">
        <is>
          <t>SFSHAS-754061</t>
        </is>
      </c>
      <c r="E1538" s="156" t="inlineStr">
        <is>
          <t>SFSHAS-75406174</t>
        </is>
      </c>
      <c r="F1538" s="156" t="inlineStr">
        <is>
          <t>7 1/2</t>
        </is>
      </c>
      <c r="G1538" s="156" t="inlineStr">
        <is>
          <t>7 1/2</t>
        </is>
      </c>
      <c r="H1538" s="156" t="inlineStr">
        <is>
          <t>Stetson</t>
        </is>
      </c>
      <c r="I1538" s="156" t="inlineStr">
        <is>
          <t>Texana Stetson Shasta Plata</t>
        </is>
      </c>
      <c r="J1538" s="156" t="inlineStr">
        <is>
          <t>Accesorios</t>
        </is>
      </c>
      <c r="K1538" s="156" t="inlineStr">
        <is>
          <t>Sombreros</t>
        </is>
      </c>
      <c r="L1538" s="156" t="inlineStr">
        <is>
          <t>Unisex</t>
        </is>
      </c>
      <c r="M1538" s="156" t="inlineStr">
        <is>
          <t>Stetson</t>
        </is>
      </c>
      <c r="N1538" s="156" t="inlineStr">
        <is>
          <t>SS26</t>
        </is>
      </c>
      <c r="O1538" s="156" t="inlineStr">
        <is>
          <t>Seasonal</t>
        </is>
      </c>
      <c r="P1538" s="156" t="inlineStr">
        <is>
          <t>Gris</t>
        </is>
      </c>
      <c r="Q1538" s="156" t="n"/>
      <c r="R1538" s="156" t="inlineStr">
        <is>
          <t>Copa Cattleman</t>
        </is>
      </c>
      <c r="S1538" s="156" t="inlineStr">
        <is>
          <t>100% Fieltro de lana</t>
        </is>
      </c>
      <c r="T153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8" s="156" t="inlineStr">
        <is>
          <t>Estados Unidos</t>
        </is>
      </c>
      <c r="V1538" s="156" t="inlineStr">
        <is>
          <t>PZS</t>
        </is>
      </c>
      <c r="W1538" s="51" t="inlineStr">
        <is>
          <t>53102503</t>
        </is>
      </c>
      <c r="X1538" s="156" t="inlineStr">
        <is>
          <t>https://cdn.shopify.com/s/files/1/0888/3250/8267/files/SFSHAS-7540-61-67_8.png?v=1760378716</t>
        </is>
      </c>
      <c r="Y1538" s="54" t="n">
        <v>4331.25</v>
      </c>
      <c r="Z1538" s="54" t="n">
        <v>10344.82759</v>
      </c>
      <c r="AA1538" s="55">
        <f>IF(AND(A1538="", B1538="", E1538=""), "", IF(AB1538="", "Válido", IF((LEN(AB1538)-LEN(SUBSTITUTE(AB1538,"; ","")))/2+1&gt;(LEN(AB1538)-LEN(SUBSTITUTE(AB1538,"[Aviso]","")))/7, "Con Incidencias", "Válido")))</f>
        <v/>
      </c>
      <c r="AB1538" s="56">
        <f>IF(AND(A1538="", B1538="", E1538=""), "", TEXTJOIN("; ", TRUE, IF(OR(TRIM(A1538&amp;"")="", ISNUMBER(SEARCH("FALTA", A1538))), "UPC faltante/inválido", ""), IF(AND(A1538&lt;&gt;"", IFERROR(_xlfn.XMATCH(A1538,$A$2:$A$2509,0,1)&lt;&gt;_xlfn.XMATCH(A1538,$A$2:$A$2509,0,-1),FALSE)), "Código de barras duplicado", ""), IF(AND(E1538&lt;&gt;"", COUNTIF($E$2:$E$2509, E1538)&gt;1), "SKU duplicado", ""), IF(OR(J1538="", J1538=""), "[Aviso] División no capturada ()", IF(ISNA(MATCH(J1538, Criterios!$A$123:$A$126, 0)), "División no válida", "")), IF(OR(K1538="", K1538=""), "[Aviso] Categoría no capturada ()", IF(ISNA(MATCH(K1538, Criterios!$A$81:$A$120, 0)), "Categoría no válida", IF(AND(J1538&lt;&gt;"", J1538&lt;&gt;"", J1538&lt;&gt;VLOOKUP(K1538, Criterios!$A$81:$B$120, 2, FALSE)), "División no coincide con Categoría", ""))), IF(OR(L1538="", L1538=""), "[Aviso] Género no capturado ()", IF(ISNA(MATCH(L1538, Criterios!$B$123:$B$127, 0)), "Género no válido", "")), IF(OR(N1538="", N1538=""), "[Aviso] Temporada no capturada ()", IF(ISNA(MATCH(N1538, Criterios!$C$123:$C$128, 0)), "Temporada no válida", "")), IF(OR(O1538="", O1538=""), "[Aviso] Ciclo de vida no capturado ()", IF(ISNA(MATCH(O1538, Criterios!$D$123:$D$124, 0)), "Ciclo de vida no válido", ""))))</f>
        <v/>
      </c>
      <c r="AC1538" s="56" t="n"/>
      <c r="AD1538" s="51" t="n">
        <v>1</v>
      </c>
      <c r="AE1538" s="156" t="inlineStr">
        <is>
          <t>B25 STETSON.MX (1)</t>
        </is>
      </c>
      <c r="AF1538" s="51" t="n">
        <v>1</v>
      </c>
      <c r="AG1538" s="156" t="inlineStr">
        <is>
          <t>Catálogo existente</t>
        </is>
      </c>
      <c r="AH153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8" s="156" t="inlineStr">
        <is>
          <t>No</t>
        </is>
      </c>
      <c r="AJ1538" s="156" t="n"/>
      <c r="AK1538" s="155" t="inlineStr">
        <is>
          <t>Criterios: I [Q] | Shopify Stetson: producto 14791364510059 / variante 53350603456875 | Odoo: producto 14263 / plantilla 17840</t>
        </is>
      </c>
      <c r="AL1538" s="58" t="n">
        <v>4331.25</v>
      </c>
      <c r="AM1538" s="58" t="n">
        <v>10344.82759</v>
      </c>
      <c r="AN1538" s="155" t="inlineStr">
        <is>
          <t>Shopify Stetson México | Odoo Universal Unique Brands</t>
        </is>
      </c>
      <c r="AO1538" s="59" t="n">
        <v>1</v>
      </c>
      <c r="AP1538" s="59" t="n"/>
      <c r="AQ1538" s="59" t="n">
        <v>1</v>
      </c>
      <c r="AR1538" s="155" t="inlineStr">
        <is>
          <t>Shopify Stetson México › Stetson México: 1 | Odoo Universal Unique Brands › Bodega 25 › Bodega 25/General: 1</t>
        </is>
      </c>
    </row>
    <row r="1539">
      <c r="A1539" s="50" t="inlineStr">
        <is>
          <t>795177997689</t>
        </is>
      </c>
      <c r="B1539" s="51" t="inlineStr">
        <is>
          <t>109921</t>
        </is>
      </c>
      <c r="C1539" s="156" t="inlineStr">
        <is>
          <t>Multimarca</t>
        </is>
      </c>
      <c r="D1539" s="156" t="inlineStr">
        <is>
          <t>SFEPTN-4840MO</t>
        </is>
      </c>
      <c r="E1539" s="156" t="inlineStr">
        <is>
          <t>SFEPTN-4840MO70</t>
        </is>
      </c>
      <c r="F1539" s="156" t="inlineStr">
        <is>
          <t>7</t>
        </is>
      </c>
      <c r="G1539" s="156" t="inlineStr">
        <is>
          <t>7</t>
        </is>
      </c>
      <c r="H1539" s="156" t="inlineStr">
        <is>
          <t>Stetson</t>
        </is>
      </c>
      <c r="I1539" s="156" t="inlineStr">
        <is>
          <t>Sombrero Stetson el Patrón 48 Premier 30X</t>
        </is>
      </c>
      <c r="J1539" s="156" t="inlineStr">
        <is>
          <t>Accesorios</t>
        </is>
      </c>
      <c r="K1539" s="156" t="inlineStr">
        <is>
          <t>Sombreros</t>
        </is>
      </c>
      <c r="L1539" s="156" t="inlineStr">
        <is>
          <t>Unisex</t>
        </is>
      </c>
      <c r="M1539" s="156" t="inlineStr">
        <is>
          <t>Stetson</t>
        </is>
      </c>
      <c r="N1539" s="156" t="inlineStr">
        <is>
          <t>SS26</t>
        </is>
      </c>
      <c r="O1539" s="156" t="inlineStr">
        <is>
          <t>Seasonal</t>
        </is>
      </c>
      <c r="P1539" s="156" t="inlineStr">
        <is>
          <t>Cafe</t>
        </is>
      </c>
      <c r="Q1539" s="156" t="n"/>
      <c r="R1539" s="156" t="inlineStr">
        <is>
          <t>Copa Rancher</t>
        </is>
      </c>
      <c r="S1539" s="156" t="inlineStr">
        <is>
          <t>100% Paja</t>
        </is>
      </c>
      <c r="T153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39" s="156" t="inlineStr">
        <is>
          <t>Estados Unidos</t>
        </is>
      </c>
      <c r="V1539" s="156" t="inlineStr">
        <is>
          <t>PZS</t>
        </is>
      </c>
      <c r="W1539" s="51" t="inlineStr">
        <is>
          <t>53102503</t>
        </is>
      </c>
      <c r="X1539" s="156" t="inlineStr">
        <is>
          <t>https://cdn.shopify.com/s/files/1/0888/3250/8267/files/SFEPTN48406170_4.png?v=1760111002</t>
        </is>
      </c>
      <c r="Y1539" s="54" t="n">
        <v>5512.5</v>
      </c>
      <c r="Z1539" s="54" t="n">
        <v>14224.13793</v>
      </c>
      <c r="AA1539" s="55">
        <f>IF(AND(A1539="", B1539="", E1539=""), "", IF(AB1539="", "Válido", IF((LEN(AB1539)-LEN(SUBSTITUTE(AB1539,"; ","")))/2+1&gt;(LEN(AB1539)-LEN(SUBSTITUTE(AB1539,"[Aviso]","")))/7, "Con Incidencias", "Válido")))</f>
        <v/>
      </c>
      <c r="AB1539" s="56">
        <f>IF(AND(A1539="", B1539="", E1539=""), "", TEXTJOIN("; ", TRUE, IF(OR(TRIM(A1539&amp;"")="", ISNUMBER(SEARCH("FALTA", A1539))), "UPC faltante/inválido", ""), IF(AND(A1539&lt;&gt;"", IFERROR(_xlfn.XMATCH(A1539,$A$2:$A$2509,0,1)&lt;&gt;_xlfn.XMATCH(A1539,$A$2:$A$2509,0,-1),FALSE)), "Código de barras duplicado", ""), IF(AND(E1539&lt;&gt;"", COUNTIF($E$2:$E$2509, E1539)&gt;1), "SKU duplicado", ""), IF(OR(J1539="", J1539=""), "[Aviso] División no capturada ()", IF(ISNA(MATCH(J1539, Criterios!$A$123:$A$126, 0)), "División no válida", "")), IF(OR(K1539="", K1539=""), "[Aviso] Categoría no capturada ()", IF(ISNA(MATCH(K1539, Criterios!$A$81:$A$120, 0)), "Categoría no válida", IF(AND(J1539&lt;&gt;"", J1539&lt;&gt;"", J1539&lt;&gt;VLOOKUP(K1539, Criterios!$A$81:$B$120, 2, FALSE)), "División no coincide con Categoría", ""))), IF(OR(L1539="", L1539=""), "[Aviso] Género no capturado ()", IF(ISNA(MATCH(L1539, Criterios!$B$123:$B$127, 0)), "Género no válido", "")), IF(OR(N1539="", N1539=""), "[Aviso] Temporada no capturada ()", IF(ISNA(MATCH(N1539, Criterios!$C$123:$C$128, 0)), "Temporada no válida", "")), IF(OR(O1539="", O1539=""), "[Aviso] Ciclo de vida no capturado ()", IF(ISNA(MATCH(O1539, Criterios!$D$123:$D$124, 0)), "Ciclo de vida no válido", ""))))</f>
        <v/>
      </c>
      <c r="AC1539" s="56" t="n"/>
      <c r="AD1539" s="51" t="n">
        <v>0</v>
      </c>
      <c r="AE1539" s="156" t="n"/>
      <c r="AF1539" s="51" t="n">
        <v>0</v>
      </c>
      <c r="AG1539" s="156" t="inlineStr">
        <is>
          <t>Catálogo existente</t>
        </is>
      </c>
      <c r="AH153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539" s="156" t="inlineStr">
        <is>
          <t>No</t>
        </is>
      </c>
      <c r="AJ1539" s="156" t="n"/>
      <c r="AK1539" s="155" t="inlineStr">
        <is>
          <t>Criterios: I [Q] | Shopify Stetson: producto 14790354272619 / variante 53350604964203</t>
        </is>
      </c>
      <c r="AL1539" s="58" t="n">
        <v>5512.5</v>
      </c>
      <c r="AM1539" s="58" t="n">
        <v>14224.13793</v>
      </c>
      <c r="AN1539" s="155" t="inlineStr">
        <is>
          <t>Shopify Stetson México</t>
        </is>
      </c>
      <c r="AO1539" s="59" t="n">
        <v>0</v>
      </c>
      <c r="AP1539" s="59" t="n"/>
      <c r="AQ1539" s="59" t="n"/>
      <c r="AR1539" s="155" t="n"/>
    </row>
    <row r="1540">
      <c r="A1540" s="50" t="inlineStr">
        <is>
          <t>795177997696</t>
        </is>
      </c>
      <c r="B1540" s="51" t="inlineStr">
        <is>
          <t>109922</t>
        </is>
      </c>
      <c r="C1540" s="156" t="inlineStr">
        <is>
          <t>Multimarca</t>
        </is>
      </c>
      <c r="D1540" s="156" t="inlineStr">
        <is>
          <t>SFEPTN-4840MO</t>
        </is>
      </c>
      <c r="E1540" s="156" t="inlineStr">
        <is>
          <t>SFEPTN-4840MO71</t>
        </is>
      </c>
      <c r="F1540" s="156" t="inlineStr">
        <is>
          <t>7 1/8</t>
        </is>
      </c>
      <c r="G1540" s="156" t="inlineStr">
        <is>
          <t>7 1/8</t>
        </is>
      </c>
      <c r="H1540" s="156" t="inlineStr">
        <is>
          <t>Stetson</t>
        </is>
      </c>
      <c r="I1540" s="156" t="inlineStr">
        <is>
          <t>Sombrero Stetson el Patrón 48 Premier 30X</t>
        </is>
      </c>
      <c r="J1540" s="156" t="inlineStr">
        <is>
          <t>Accesorios</t>
        </is>
      </c>
      <c r="K1540" s="156" t="inlineStr">
        <is>
          <t>Sombreros</t>
        </is>
      </c>
      <c r="L1540" s="156" t="inlineStr">
        <is>
          <t>Unisex</t>
        </is>
      </c>
      <c r="M1540" s="156" t="inlineStr">
        <is>
          <t>Stetson</t>
        </is>
      </c>
      <c r="N1540" s="156" t="inlineStr">
        <is>
          <t>SS26</t>
        </is>
      </c>
      <c r="O1540" s="156" t="inlineStr">
        <is>
          <t>Seasonal</t>
        </is>
      </c>
      <c r="P1540" s="156" t="inlineStr">
        <is>
          <t>Cafe</t>
        </is>
      </c>
      <c r="Q1540" s="156" t="n"/>
      <c r="R1540" s="156" t="inlineStr">
        <is>
          <t>Copa Rancher</t>
        </is>
      </c>
      <c r="S1540" s="156" t="inlineStr">
        <is>
          <t>100% Paja</t>
        </is>
      </c>
      <c r="T154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0" s="156" t="inlineStr">
        <is>
          <t>Estados Unidos</t>
        </is>
      </c>
      <c r="V1540" s="156" t="inlineStr">
        <is>
          <t>PZS</t>
        </is>
      </c>
      <c r="W1540" s="51" t="inlineStr">
        <is>
          <t>53102503</t>
        </is>
      </c>
      <c r="X1540" s="156" t="inlineStr">
        <is>
          <t>https://cdn.shopify.com/s/files/1/0888/3250/8267/files/SFEPTN48406170_5.png?v=1760111002</t>
        </is>
      </c>
      <c r="Y1540" s="54" t="n">
        <v>5512.5</v>
      </c>
      <c r="Z1540" s="54" t="n">
        <v>14224.13793</v>
      </c>
      <c r="AA1540" s="55">
        <f>IF(AND(A1540="", B1540="", E1540=""), "", IF(AB1540="", "Válido", IF((LEN(AB1540)-LEN(SUBSTITUTE(AB1540,"; ","")))/2+1&gt;(LEN(AB1540)-LEN(SUBSTITUTE(AB1540,"[Aviso]","")))/7, "Con Incidencias", "Válido")))</f>
        <v/>
      </c>
      <c r="AB1540" s="56">
        <f>IF(AND(A1540="", B1540="", E1540=""), "", TEXTJOIN("; ", TRUE, IF(OR(TRIM(A1540&amp;"")="", ISNUMBER(SEARCH("FALTA", A1540))), "UPC faltante/inválido", ""), IF(AND(A1540&lt;&gt;"", IFERROR(_xlfn.XMATCH(A1540,$A$2:$A$2509,0,1)&lt;&gt;_xlfn.XMATCH(A1540,$A$2:$A$2509,0,-1),FALSE)), "Código de barras duplicado", ""), IF(AND(E1540&lt;&gt;"", COUNTIF($E$2:$E$2509, E1540)&gt;1), "SKU duplicado", ""), IF(OR(J1540="", J1540=""), "[Aviso] División no capturada ()", IF(ISNA(MATCH(J1540, Criterios!$A$123:$A$126, 0)), "División no válida", "")), IF(OR(K1540="", K1540=""), "[Aviso] Categoría no capturada ()", IF(ISNA(MATCH(K1540, Criterios!$A$81:$A$120, 0)), "Categoría no válida", IF(AND(J1540&lt;&gt;"", J1540&lt;&gt;"", J1540&lt;&gt;VLOOKUP(K1540, Criterios!$A$81:$B$120, 2, FALSE)), "División no coincide con Categoría", ""))), IF(OR(L1540="", L1540=""), "[Aviso] Género no capturado ()", IF(ISNA(MATCH(L1540, Criterios!$B$123:$B$127, 0)), "Género no válido", "")), IF(OR(N1540="", N1540=""), "[Aviso] Temporada no capturada ()", IF(ISNA(MATCH(N1540, Criterios!$C$123:$C$128, 0)), "Temporada no válida", "")), IF(OR(O1540="", O1540=""), "[Aviso] Ciclo de vida no capturado ()", IF(ISNA(MATCH(O1540, Criterios!$D$123:$D$124, 0)), "Ciclo de vida no válido", ""))))</f>
        <v/>
      </c>
      <c r="AC1540" s="56" t="n"/>
      <c r="AD1540" s="51" t="n">
        <v>-1</v>
      </c>
      <c r="AE1540" s="156" t="n"/>
      <c r="AF1540" s="51" t="n">
        <v>0</v>
      </c>
      <c r="AG1540" s="156" t="inlineStr">
        <is>
          <t>Catálogo existente</t>
        </is>
      </c>
      <c r="AH154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0" s="156" t="inlineStr">
        <is>
          <t>Sí</t>
        </is>
      </c>
      <c r="AJ1540" s="156" t="inlineStr">
        <is>
          <t>STETSON AMERICAS (-1)</t>
        </is>
      </c>
      <c r="AK1540" s="155" t="inlineStr">
        <is>
          <t>Criterios: I [Q] | Shopify Stetson: producto 14790354272619 / variante 53350604996971 | Odoo: producto 14238 / plantilla 17815</t>
        </is>
      </c>
      <c r="AL1540" s="58" t="n">
        <v>5512.5</v>
      </c>
      <c r="AM1540" s="58" t="n">
        <v>14224.13793</v>
      </c>
      <c r="AN1540" s="155" t="inlineStr">
        <is>
          <t>Shopify Stetson México | Odoo Universal Unique Brands</t>
        </is>
      </c>
      <c r="AO1540" s="59" t="n">
        <v>0</v>
      </c>
      <c r="AP1540" s="59" t="n"/>
      <c r="AQ1540" s="59" t="n">
        <v>2</v>
      </c>
      <c r="AR1540" s="155" t="inlineStr">
        <is>
          <t>Odoo Universal Unique Brands › Bodega 25 › Bodega 25/General: 1 | Odoo Universal Unique Brands › Stetson Americas › Stetson Americas/Stock: 1</t>
        </is>
      </c>
    </row>
    <row r="1541">
      <c r="A1541" s="50" t="inlineStr">
        <is>
          <t>795177997702</t>
        </is>
      </c>
      <c r="B1541" s="51" t="inlineStr">
        <is>
          <t>109923</t>
        </is>
      </c>
      <c r="C1541" s="156" t="inlineStr">
        <is>
          <t>Multimarca</t>
        </is>
      </c>
      <c r="D1541" s="156" t="inlineStr">
        <is>
          <t>SFEPTN-4840MO</t>
        </is>
      </c>
      <c r="E1541" s="156" t="inlineStr">
        <is>
          <t>SFEPTN-4840MO72</t>
        </is>
      </c>
      <c r="F1541" s="156" t="inlineStr">
        <is>
          <t>7 1/4</t>
        </is>
      </c>
      <c r="G1541" s="156" t="inlineStr">
        <is>
          <t>7 1/4</t>
        </is>
      </c>
      <c r="H1541" s="156" t="inlineStr">
        <is>
          <t>Stetson</t>
        </is>
      </c>
      <c r="I1541" s="156" t="inlineStr">
        <is>
          <t>Sombrero Stetson el Patrón 48 Premier 30X</t>
        </is>
      </c>
      <c r="J1541" s="156" t="inlineStr">
        <is>
          <t>Accesorios</t>
        </is>
      </c>
      <c r="K1541" s="156" t="inlineStr">
        <is>
          <t>Sombreros</t>
        </is>
      </c>
      <c r="L1541" s="156" t="inlineStr">
        <is>
          <t>Unisex</t>
        </is>
      </c>
      <c r="M1541" s="156" t="inlineStr">
        <is>
          <t>Stetson</t>
        </is>
      </c>
      <c r="N1541" s="156" t="inlineStr">
        <is>
          <t>SS26</t>
        </is>
      </c>
      <c r="O1541" s="156" t="inlineStr">
        <is>
          <t>Seasonal</t>
        </is>
      </c>
      <c r="P1541" s="156" t="inlineStr">
        <is>
          <t>Cafe</t>
        </is>
      </c>
      <c r="Q1541" s="156" t="n"/>
      <c r="R1541" s="156" t="inlineStr">
        <is>
          <t>Copa Rancher</t>
        </is>
      </c>
      <c r="S1541" s="156" t="inlineStr">
        <is>
          <t>100% Paja</t>
        </is>
      </c>
      <c r="T154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1" s="156" t="inlineStr">
        <is>
          <t>Estados Unidos</t>
        </is>
      </c>
      <c r="V1541" s="156" t="inlineStr">
        <is>
          <t>PZS</t>
        </is>
      </c>
      <c r="W1541" s="51" t="inlineStr">
        <is>
          <t>53102503</t>
        </is>
      </c>
      <c r="X1541" s="156" t="inlineStr">
        <is>
          <t>https://cdn.shopify.com/s/files/1/0888/3250/8267/files/SFEPTN48406170_6.png?v=1760111002</t>
        </is>
      </c>
      <c r="Y1541" s="54" t="n">
        <v>5512.5</v>
      </c>
      <c r="Z1541" s="54" t="n">
        <v>14224.13793</v>
      </c>
      <c r="AA1541" s="55">
        <f>IF(AND(A1541="", B1541="", E1541=""), "", IF(AB1541="", "Válido", IF((LEN(AB1541)-LEN(SUBSTITUTE(AB1541,"; ","")))/2+1&gt;(LEN(AB1541)-LEN(SUBSTITUTE(AB1541,"[Aviso]","")))/7, "Con Incidencias", "Válido")))</f>
        <v/>
      </c>
      <c r="AB1541" s="56">
        <f>IF(AND(A1541="", B1541="", E1541=""), "", TEXTJOIN("; ", TRUE, IF(OR(TRIM(A1541&amp;"")="", ISNUMBER(SEARCH("FALTA", A1541))), "UPC faltante/inválido", ""), IF(AND(A1541&lt;&gt;"", IFERROR(_xlfn.XMATCH(A1541,$A$2:$A$2509,0,1)&lt;&gt;_xlfn.XMATCH(A1541,$A$2:$A$2509,0,-1),FALSE)), "Código de barras duplicado", ""), IF(AND(E1541&lt;&gt;"", COUNTIF($E$2:$E$2509, E1541)&gt;1), "SKU duplicado", ""), IF(OR(J1541="", J1541=""), "[Aviso] División no capturada ()", IF(ISNA(MATCH(J1541, Criterios!$A$123:$A$126, 0)), "División no válida", "")), IF(OR(K1541="", K1541=""), "[Aviso] Categoría no capturada ()", IF(ISNA(MATCH(K1541, Criterios!$A$81:$A$120, 0)), "Categoría no válida", IF(AND(J1541&lt;&gt;"", J1541&lt;&gt;"", J1541&lt;&gt;VLOOKUP(K1541, Criterios!$A$81:$B$120, 2, FALSE)), "División no coincide con Categoría", ""))), IF(OR(L1541="", L1541=""), "[Aviso] Género no capturado ()", IF(ISNA(MATCH(L1541, Criterios!$B$123:$B$127, 0)), "Género no válido", "")), IF(OR(N1541="", N1541=""), "[Aviso] Temporada no capturada ()", IF(ISNA(MATCH(N1541, Criterios!$C$123:$C$128, 0)), "Temporada no válida", "")), IF(OR(O1541="", O1541=""), "[Aviso] Ciclo de vida no capturado ()", IF(ISNA(MATCH(O1541, Criterios!$D$123:$D$124, 0)), "Ciclo de vida no válido", ""))))</f>
        <v/>
      </c>
      <c r="AC1541" s="56" t="n"/>
      <c r="AD1541" s="51" t="n">
        <v>0</v>
      </c>
      <c r="AE1541" s="156" t="n"/>
      <c r="AF1541" s="51" t="n">
        <v>0</v>
      </c>
      <c r="AG1541" s="156" t="inlineStr">
        <is>
          <t>Catálogo existente</t>
        </is>
      </c>
      <c r="AH154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1" s="156" t="inlineStr">
        <is>
          <t>No</t>
        </is>
      </c>
      <c r="AJ1541" s="156" t="n"/>
      <c r="AK1541" s="155" t="inlineStr">
        <is>
          <t>Criterios: I [Q] | Shopify Stetson: producto 14790354272619 / variante 53350605029739 | Odoo: producto 14239 / plantilla 17816</t>
        </is>
      </c>
      <c r="AL1541" s="58" t="n">
        <v>5512.5</v>
      </c>
      <c r="AM1541" s="58" t="n">
        <v>14224.13793</v>
      </c>
      <c r="AN1541" s="155" t="inlineStr">
        <is>
          <t>Shopify Stetson México | Odoo Universal Unique Brands</t>
        </is>
      </c>
      <c r="AO1541" s="59" t="n">
        <v>1</v>
      </c>
      <c r="AP1541" s="59" t="n"/>
      <c r="AQ1541" s="59" t="n">
        <v>3</v>
      </c>
      <c r="AR1541" s="155" t="inlineStr">
        <is>
          <t>Shopify Stetson México › Stetson Americas: 1 | Odoo Universal Unique Brands › Bodega 25 › Bodega 25/General: 2 | Odoo Universal Unique Brands › Stetson Americas › Stetson Americas/Stock: 1</t>
        </is>
      </c>
    </row>
    <row r="1542">
      <c r="A1542" s="50" t="inlineStr">
        <is>
          <t>795177997719</t>
        </is>
      </c>
      <c r="B1542" s="51" t="inlineStr">
        <is>
          <t>109924</t>
        </is>
      </c>
      <c r="C1542" s="156" t="inlineStr">
        <is>
          <t>Multimarca</t>
        </is>
      </c>
      <c r="D1542" s="156" t="inlineStr">
        <is>
          <t>SFEPTN-4840MO</t>
        </is>
      </c>
      <c r="E1542" s="156" t="inlineStr">
        <is>
          <t>SFEPTN-4840MO73</t>
        </is>
      </c>
      <c r="F1542" s="156" t="inlineStr">
        <is>
          <t>7 3/8</t>
        </is>
      </c>
      <c r="G1542" s="156" t="inlineStr">
        <is>
          <t>7 3/8</t>
        </is>
      </c>
      <c r="H1542" s="156" t="inlineStr">
        <is>
          <t>Stetson</t>
        </is>
      </c>
      <c r="I1542" s="156" t="inlineStr">
        <is>
          <t>Sombrero Stetson el Patrón 48 Premier 30X</t>
        </is>
      </c>
      <c r="J1542" s="156" t="inlineStr">
        <is>
          <t>Accesorios</t>
        </is>
      </c>
      <c r="K1542" s="156" t="inlineStr">
        <is>
          <t>Sombreros</t>
        </is>
      </c>
      <c r="L1542" s="156" t="inlineStr">
        <is>
          <t>Unisex</t>
        </is>
      </c>
      <c r="M1542" s="156" t="inlineStr">
        <is>
          <t>Stetson</t>
        </is>
      </c>
      <c r="N1542" s="156" t="inlineStr">
        <is>
          <t>SS26</t>
        </is>
      </c>
      <c r="O1542" s="156" t="inlineStr">
        <is>
          <t>Seasonal</t>
        </is>
      </c>
      <c r="P1542" s="156" t="inlineStr">
        <is>
          <t>Cafe</t>
        </is>
      </c>
      <c r="Q1542" s="156" t="n"/>
      <c r="R1542" s="156" t="inlineStr">
        <is>
          <t>Copa Rancher</t>
        </is>
      </c>
      <c r="S1542" s="156" t="inlineStr">
        <is>
          <t>100% Paja</t>
        </is>
      </c>
      <c r="T154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2" s="156" t="inlineStr">
        <is>
          <t>Estados Unidos</t>
        </is>
      </c>
      <c r="V1542" s="156" t="inlineStr">
        <is>
          <t>PZS</t>
        </is>
      </c>
      <c r="W1542" s="51" t="inlineStr">
        <is>
          <t>53102503</t>
        </is>
      </c>
      <c r="X1542" s="156" t="inlineStr">
        <is>
          <t>https://cdn.shopify.com/s/files/1/0888/3250/8267/files/SFEPTN48406170_7.png?v=1760111002</t>
        </is>
      </c>
      <c r="Y1542" s="54" t="n">
        <v>5512.5</v>
      </c>
      <c r="Z1542" s="54" t="n">
        <v>14224.13793</v>
      </c>
      <c r="AA1542" s="55">
        <f>IF(AND(A1542="", B1542="", E1542=""), "", IF(AB1542="", "Válido", IF((LEN(AB1542)-LEN(SUBSTITUTE(AB1542,"; ","")))/2+1&gt;(LEN(AB1542)-LEN(SUBSTITUTE(AB1542,"[Aviso]","")))/7, "Con Incidencias", "Válido")))</f>
        <v/>
      </c>
      <c r="AB1542" s="56">
        <f>IF(AND(A1542="", B1542="", E1542=""), "", TEXTJOIN("; ", TRUE, IF(OR(TRIM(A1542&amp;"")="", ISNUMBER(SEARCH("FALTA", A1542))), "UPC faltante/inválido", ""), IF(AND(A1542&lt;&gt;"", IFERROR(_xlfn.XMATCH(A1542,$A$2:$A$2509,0,1)&lt;&gt;_xlfn.XMATCH(A1542,$A$2:$A$2509,0,-1),FALSE)), "Código de barras duplicado", ""), IF(AND(E1542&lt;&gt;"", COUNTIF($E$2:$E$2509, E1542)&gt;1), "SKU duplicado", ""), IF(OR(J1542="", J1542=""), "[Aviso] División no capturada ()", IF(ISNA(MATCH(J1542, Criterios!$A$123:$A$126, 0)), "División no válida", "")), IF(OR(K1542="", K1542=""), "[Aviso] Categoría no capturada ()", IF(ISNA(MATCH(K1542, Criterios!$A$81:$A$120, 0)), "Categoría no válida", IF(AND(J1542&lt;&gt;"", J1542&lt;&gt;"", J1542&lt;&gt;VLOOKUP(K1542, Criterios!$A$81:$B$120, 2, FALSE)), "División no coincide con Categoría", ""))), IF(OR(L1542="", L1542=""), "[Aviso] Género no capturado ()", IF(ISNA(MATCH(L1542, Criterios!$B$123:$B$127, 0)), "Género no válido", "")), IF(OR(N1542="", N1542=""), "[Aviso] Temporada no capturada ()", IF(ISNA(MATCH(N1542, Criterios!$C$123:$C$128, 0)), "Temporada no válida", "")), IF(OR(O1542="", O1542=""), "[Aviso] Ciclo de vida no capturado ()", IF(ISNA(MATCH(O1542, Criterios!$D$123:$D$124, 0)), "Ciclo de vida no válido", ""))))</f>
        <v/>
      </c>
      <c r="AC1542" s="56" t="n"/>
      <c r="AD1542" s="51" t="n">
        <v>-1</v>
      </c>
      <c r="AE1542" s="156" t="n"/>
      <c r="AF1542" s="51" t="n">
        <v>0</v>
      </c>
      <c r="AG1542" s="156" t="inlineStr">
        <is>
          <t>Catálogo existente</t>
        </is>
      </c>
      <c r="AH154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2" s="156" t="inlineStr">
        <is>
          <t>Sí</t>
        </is>
      </c>
      <c r="AJ1542" s="156" t="inlineStr">
        <is>
          <t>STETSON AMERICAS (-1)</t>
        </is>
      </c>
      <c r="AK1542" s="155" t="inlineStr">
        <is>
          <t>Criterios: I [Q] | Shopify Stetson: producto 14790354272619 / variante 53350605062507 | Odoo: producto 14240 / plantilla 17817</t>
        </is>
      </c>
      <c r="AL1542" s="58" t="n">
        <v>5512.5</v>
      </c>
      <c r="AM1542" s="58" t="n">
        <v>14224.13793</v>
      </c>
      <c r="AN1542" s="155" t="inlineStr">
        <is>
          <t>Shopify Stetson México | Odoo Universal Unique Brands</t>
        </is>
      </c>
      <c r="AO1542" s="59" t="n">
        <v>0</v>
      </c>
      <c r="AP1542" s="59" t="n"/>
      <c r="AQ1542" s="59" t="n">
        <v>1</v>
      </c>
      <c r="AR1542" s="155" t="inlineStr">
        <is>
          <t>Odoo Universal Unique Brands › Stetson Americas › Stetson Americas/Stock: 1</t>
        </is>
      </c>
    </row>
    <row r="1543">
      <c r="A1543" s="50" t="inlineStr">
        <is>
          <t>795177997726</t>
        </is>
      </c>
      <c r="B1543" s="51" t="inlineStr">
        <is>
          <t>109925</t>
        </is>
      </c>
      <c r="C1543" s="156" t="inlineStr">
        <is>
          <t>Multimarca</t>
        </is>
      </c>
      <c r="D1543" s="156" t="inlineStr">
        <is>
          <t>SFEPTN-4840MO</t>
        </is>
      </c>
      <c r="E1543" s="156" t="inlineStr">
        <is>
          <t>SFEPTN-4840MO74</t>
        </is>
      </c>
      <c r="F1543" s="156" t="inlineStr">
        <is>
          <t>7 1/2</t>
        </is>
      </c>
      <c r="G1543" s="156" t="inlineStr">
        <is>
          <t>7 1/2</t>
        </is>
      </c>
      <c r="H1543" s="156" t="inlineStr">
        <is>
          <t>Stetson</t>
        </is>
      </c>
      <c r="I1543" s="156" t="inlineStr">
        <is>
          <t>Sombrero Stetson el Patrón 48 Premier 30X</t>
        </is>
      </c>
      <c r="J1543" s="156" t="inlineStr">
        <is>
          <t>Accesorios</t>
        </is>
      </c>
      <c r="K1543" s="156" t="inlineStr">
        <is>
          <t>Sombreros</t>
        </is>
      </c>
      <c r="L1543" s="156" t="inlineStr">
        <is>
          <t>Unisex</t>
        </is>
      </c>
      <c r="M1543" s="156" t="inlineStr">
        <is>
          <t>Stetson</t>
        </is>
      </c>
      <c r="N1543" s="156" t="inlineStr">
        <is>
          <t>SS26</t>
        </is>
      </c>
      <c r="O1543" s="156" t="inlineStr">
        <is>
          <t>Seasonal</t>
        </is>
      </c>
      <c r="P1543" s="156" t="inlineStr">
        <is>
          <t>Cafe</t>
        </is>
      </c>
      <c r="Q1543" s="156" t="n"/>
      <c r="R1543" s="156" t="inlineStr">
        <is>
          <t>Copa Rancher</t>
        </is>
      </c>
      <c r="S1543" s="156" t="inlineStr">
        <is>
          <t>100% Paja</t>
        </is>
      </c>
      <c r="T1543"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3" s="156" t="inlineStr">
        <is>
          <t>Estados Unidos</t>
        </is>
      </c>
      <c r="V1543" s="156" t="inlineStr">
        <is>
          <t>PZS</t>
        </is>
      </c>
      <c r="W1543" s="51" t="inlineStr">
        <is>
          <t>53102503</t>
        </is>
      </c>
      <c r="X1543" s="156" t="inlineStr">
        <is>
          <t>https://cdn.shopify.com/s/files/1/0888/3250/8267/files/SFEPTN-4840-MO-66_1.png?v=1760111016</t>
        </is>
      </c>
      <c r="Y1543" s="54" t="n">
        <v>5512.5</v>
      </c>
      <c r="Z1543" s="54" t="n">
        <v>14224.13793</v>
      </c>
      <c r="AA1543" s="55">
        <f>IF(AND(A1543="", B1543="", E1543=""), "", IF(AB1543="", "Válido", IF((LEN(AB1543)-LEN(SUBSTITUTE(AB1543,"; ","")))/2+1&gt;(LEN(AB1543)-LEN(SUBSTITUTE(AB1543,"[Aviso]","")))/7, "Con Incidencias", "Válido")))</f>
        <v/>
      </c>
      <c r="AB1543" s="56">
        <f>IF(AND(A1543="", B1543="", E1543=""), "", TEXTJOIN("; ", TRUE, IF(OR(TRIM(A1543&amp;"")="", ISNUMBER(SEARCH("FALTA", A1543))), "UPC faltante/inválido", ""), IF(AND(A1543&lt;&gt;"", IFERROR(_xlfn.XMATCH(A1543,$A$2:$A$2509,0,1)&lt;&gt;_xlfn.XMATCH(A1543,$A$2:$A$2509,0,-1),FALSE)), "Código de barras duplicado", ""), IF(AND(E1543&lt;&gt;"", COUNTIF($E$2:$E$2509, E1543)&gt;1), "SKU duplicado", ""), IF(OR(J1543="", J1543=""), "[Aviso] División no capturada ()", IF(ISNA(MATCH(J1543, Criterios!$A$123:$A$126, 0)), "División no válida", "")), IF(OR(K1543="", K1543=""), "[Aviso] Categoría no capturada ()", IF(ISNA(MATCH(K1543, Criterios!$A$81:$A$120, 0)), "Categoría no válida", IF(AND(J1543&lt;&gt;"", J1543&lt;&gt;"", J1543&lt;&gt;VLOOKUP(K1543, Criterios!$A$81:$B$120, 2, FALSE)), "División no coincide con Categoría", ""))), IF(OR(L1543="", L1543=""), "[Aviso] Género no capturado ()", IF(ISNA(MATCH(L1543, Criterios!$B$123:$B$127, 0)), "Género no válido", "")), IF(OR(N1543="", N1543=""), "[Aviso] Temporada no capturada ()", IF(ISNA(MATCH(N1543, Criterios!$C$123:$C$128, 0)), "Temporada no válida", "")), IF(OR(O1543="", O1543=""), "[Aviso] Ciclo de vida no capturado ()", IF(ISNA(MATCH(O1543, Criterios!$D$123:$D$124, 0)), "Ciclo de vida no válido", ""))))</f>
        <v/>
      </c>
      <c r="AC1543" s="56" t="n"/>
      <c r="AD1543" s="51" t="n">
        <v>0</v>
      </c>
      <c r="AE1543" s="156" t="n"/>
      <c r="AF1543" s="51" t="n">
        <v>0</v>
      </c>
      <c r="AG1543" s="156" t="inlineStr">
        <is>
          <t>Catálogo existente</t>
        </is>
      </c>
      <c r="AH154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3" s="156" t="inlineStr">
        <is>
          <t>No</t>
        </is>
      </c>
      <c r="AJ1543" s="156" t="n"/>
      <c r="AK1543" s="155" t="inlineStr">
        <is>
          <t>Criterios: I [Q] | Shopify Stetson: producto 14790354272619 / variante 53350605095275 | Odoo: producto 14241 / plantilla 17818</t>
        </is>
      </c>
      <c r="AL1543" s="58" t="n">
        <v>5512.5</v>
      </c>
      <c r="AM1543" s="58" t="n">
        <v>14224.13793</v>
      </c>
      <c r="AN1543" s="155" t="inlineStr">
        <is>
          <t>Shopify Stetson México | Odoo Universal Unique Brands</t>
        </is>
      </c>
      <c r="AO1543" s="59" t="n">
        <v>1</v>
      </c>
      <c r="AP1543" s="59" t="n"/>
      <c r="AQ1543" s="59" t="n">
        <v>1</v>
      </c>
      <c r="AR1543" s="155" t="inlineStr">
        <is>
          <t>Shopify Stetson México › Stetson Americas: 1 | Odoo Universal Unique Brands › Stetson Americas › Stetson Americas/Stock: 1</t>
        </is>
      </c>
    </row>
    <row r="1544">
      <c r="A1544" s="50" t="inlineStr">
        <is>
          <t>805303721368</t>
        </is>
      </c>
      <c r="B1544" s="51" t="inlineStr">
        <is>
          <t>109532</t>
        </is>
      </c>
      <c r="C1544" s="156" t="inlineStr">
        <is>
          <t>Multimarca</t>
        </is>
      </c>
      <c r="D1544" s="156" t="inlineStr">
        <is>
          <t>11-001-0465-0031</t>
        </is>
      </c>
      <c r="E1544" s="156" t="inlineStr">
        <is>
          <t>11-001-0465-0031-L</t>
        </is>
      </c>
      <c r="F1544" s="156" t="inlineStr">
        <is>
          <t>L</t>
        </is>
      </c>
      <c r="G1544" s="156" t="inlineStr">
        <is>
          <t>L</t>
        </is>
      </c>
      <c r="H1544" s="156" t="inlineStr">
        <is>
          <t>Stetson</t>
        </is>
      </c>
      <c r="I1544" s="156" t="inlineStr">
        <is>
          <t>Camisa Stetson Manga Larga Mezclilla Azul</t>
        </is>
      </c>
      <c r="J1544" s="156" t="inlineStr">
        <is>
          <t>Ropa</t>
        </is>
      </c>
      <c r="K1544" s="156" t="inlineStr">
        <is>
          <t>Camisas</t>
        </is>
      </c>
      <c r="L1544" s="156" t="inlineStr">
        <is>
          <t>Hombre</t>
        </is>
      </c>
      <c r="M1544" s="156" t="inlineStr">
        <is>
          <t>Stetson</t>
        </is>
      </c>
      <c r="N1544" s="156" t="inlineStr">
        <is>
          <t>SS26</t>
        </is>
      </c>
      <c r="O1544" s="156" t="inlineStr">
        <is>
          <t>Seasonal</t>
        </is>
      </c>
      <c r="P1544" s="156" t="inlineStr">
        <is>
          <t>Azul</t>
        </is>
      </c>
      <c r="Q1544" s="156" t="inlineStr">
        <is>
          <t>Clásico</t>
        </is>
      </c>
      <c r="R1544" s="156" t="n"/>
      <c r="S1544" s="156" t="inlineStr">
        <is>
          <t>Mezclilla</t>
        </is>
      </c>
      <c r="T1544"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4" s="156" t="n"/>
      <c r="V1544" s="156" t="inlineStr">
        <is>
          <t>PZS</t>
        </is>
      </c>
      <c r="W1544" s="51" t="inlineStr">
        <is>
          <t>53101600</t>
        </is>
      </c>
      <c r="X1544" s="156" t="inlineStr">
        <is>
          <t>https://cdn.shopify.com/s/files/1/0888/3250/8267/files/1100104650031b.jpg?v=1744227880</t>
        </is>
      </c>
      <c r="Y1544" s="54" t="n">
        <v>814.6551724</v>
      </c>
      <c r="Z1544" s="54" t="n">
        <v>1810.344828</v>
      </c>
      <c r="AA1544" s="55">
        <f>IF(AND(A1544="", B1544="", E1544=""), "", IF(AB1544="", "Válido", IF((LEN(AB1544)-LEN(SUBSTITUTE(AB1544,"; ","")))/2+1&gt;(LEN(AB1544)-LEN(SUBSTITUTE(AB1544,"[Aviso]","")))/7, "Con Incidencias", "Válido")))</f>
        <v/>
      </c>
      <c r="AB1544" s="56">
        <f>IF(AND(A1544="", B1544="", E1544=""), "", TEXTJOIN("; ", TRUE, IF(OR(TRIM(A1544&amp;"")="", ISNUMBER(SEARCH("FALTA", A1544))), "UPC faltante/inválido", ""), IF(AND(A1544&lt;&gt;"", IFERROR(_xlfn.XMATCH(A1544,$A$2:$A$2509,0,1)&lt;&gt;_xlfn.XMATCH(A1544,$A$2:$A$2509,0,-1),FALSE)), "Código de barras duplicado", ""), IF(AND(E1544&lt;&gt;"", COUNTIF($E$2:$E$2509, E1544)&gt;1), "SKU duplicado", ""), IF(OR(J1544="", J1544=""), "[Aviso] División no capturada ()", IF(ISNA(MATCH(J1544, Criterios!$A$123:$A$126, 0)), "División no válida", "")), IF(OR(K1544="", K1544=""), "[Aviso] Categoría no capturada ()", IF(ISNA(MATCH(K1544, Criterios!$A$81:$A$120, 0)), "Categoría no válida", IF(AND(J1544&lt;&gt;"", J1544&lt;&gt;"", J1544&lt;&gt;VLOOKUP(K1544, Criterios!$A$81:$B$120, 2, FALSE)), "División no coincide con Categoría", ""))), IF(OR(L1544="", L1544=""), "[Aviso] Género no capturado ()", IF(ISNA(MATCH(L1544, Criterios!$B$123:$B$127, 0)), "Género no válido", "")), IF(OR(N1544="", N1544=""), "[Aviso] Temporada no capturada ()", IF(ISNA(MATCH(N1544, Criterios!$C$123:$C$128, 0)), "Temporada no válida", "")), IF(OR(O1544="", O1544=""), "[Aviso] Ciclo de vida no capturado ()", IF(ISNA(MATCH(O1544, Criterios!$D$123:$D$124, 0)), "Ciclo de vida no válido", ""))))</f>
        <v/>
      </c>
      <c r="AC1544" s="56" t="n"/>
      <c r="AD1544" s="51" t="n">
        <v>1</v>
      </c>
      <c r="AE1544" s="156" t="inlineStr">
        <is>
          <t>B25 STETSON.MX (2)</t>
        </is>
      </c>
      <c r="AF1544" s="51" t="n">
        <v>2</v>
      </c>
      <c r="AG1544" s="156" t="inlineStr">
        <is>
          <t>Catálogo existente</t>
        </is>
      </c>
      <c r="AH1544" s="156" t="inlineStr">
        <is>
          <t>Revisión 29/09/2026: Campos sin respaldo: U; Auditoría NetSuite 30/09/2026: llenado desde NetSuite [S] | 01/10/2026: complementado desde Shopify Stetson México (match por código de barras): WB Silueta</t>
        </is>
      </c>
      <c r="AI1544" s="156" t="inlineStr">
        <is>
          <t>Sí</t>
        </is>
      </c>
      <c r="AJ1544" s="156" t="inlineStr">
        <is>
          <t>WB OUTLET LERMA (-1)</t>
        </is>
      </c>
      <c r="AK1544" s="155" t="inlineStr">
        <is>
          <t>Criterios: J [R]; G1522_Extraccion_Articulos_NetSuite_2026-09-30.xlsx: fila 57347 [S] | Shopify Stetson: producto 14693920866667 / variante 51994330235243</t>
        </is>
      </c>
      <c r="AL1544" s="58" t="n">
        <v>814.6551724</v>
      </c>
      <c r="AM1544" s="58" t="n">
        <v>1810.344828</v>
      </c>
      <c r="AN1544" s="155" t="inlineStr">
        <is>
          <t>Shopify Stetson México</t>
        </is>
      </c>
      <c r="AO1544" s="59" t="n">
        <v>2</v>
      </c>
      <c r="AP1544" s="59" t="n"/>
      <c r="AQ1544" s="59" t="n"/>
      <c r="AR1544" s="155" t="inlineStr">
        <is>
          <t>Shopify Stetson México › Stetson México: 2</t>
        </is>
      </c>
    </row>
    <row r="1545">
      <c r="A1545" s="50" t="inlineStr">
        <is>
          <t>805303721375</t>
        </is>
      </c>
      <c r="B1545" s="51" t="inlineStr">
        <is>
          <t>109533</t>
        </is>
      </c>
      <c r="C1545" s="156" t="inlineStr">
        <is>
          <t>Multimarca</t>
        </is>
      </c>
      <c r="D1545" s="156" t="inlineStr">
        <is>
          <t>11-001-0465-0031</t>
        </is>
      </c>
      <c r="E1545" s="156" t="inlineStr">
        <is>
          <t>11-001-0465-0031-M</t>
        </is>
      </c>
      <c r="F1545" s="156" t="inlineStr">
        <is>
          <t>M</t>
        </is>
      </c>
      <c r="G1545" s="156" t="inlineStr">
        <is>
          <t>M</t>
        </is>
      </c>
      <c r="H1545" s="156" t="inlineStr">
        <is>
          <t>Stetson</t>
        </is>
      </c>
      <c r="I1545" s="156" t="inlineStr">
        <is>
          <t>Camisa Stetson Manga Larga Mezclilla Azul</t>
        </is>
      </c>
      <c r="J1545" s="156" t="inlineStr">
        <is>
          <t>Ropa</t>
        </is>
      </c>
      <c r="K1545" s="156" t="inlineStr">
        <is>
          <t>Camisas</t>
        </is>
      </c>
      <c r="L1545" s="156" t="inlineStr">
        <is>
          <t>Hombre</t>
        </is>
      </c>
      <c r="M1545" s="156" t="inlineStr">
        <is>
          <t>Stetson</t>
        </is>
      </c>
      <c r="N1545" s="156" t="inlineStr">
        <is>
          <t>SS26</t>
        </is>
      </c>
      <c r="O1545" s="156" t="inlineStr">
        <is>
          <t>Seasonal</t>
        </is>
      </c>
      <c r="P1545" s="156" t="inlineStr">
        <is>
          <t>Azul</t>
        </is>
      </c>
      <c r="Q1545" s="156" t="inlineStr">
        <is>
          <t>Clásico</t>
        </is>
      </c>
      <c r="R1545" s="156" t="n"/>
      <c r="S1545" s="156" t="inlineStr">
        <is>
          <t>Mezclilla</t>
        </is>
      </c>
      <c r="T1545"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5" s="156" t="n"/>
      <c r="V1545" s="156" t="inlineStr">
        <is>
          <t>PZS</t>
        </is>
      </c>
      <c r="W1545" s="51" t="inlineStr">
        <is>
          <t>53101600</t>
        </is>
      </c>
      <c r="X1545" s="156" t="inlineStr">
        <is>
          <t>https://cdn.shopify.com/s/files/1/0888/3250/8267/files/1100104650031.jpg?v=1744227874</t>
        </is>
      </c>
      <c r="Y1545" s="54" t="n">
        <v>814.6551724</v>
      </c>
      <c r="Z1545" s="54" t="n">
        <v>1810.344828</v>
      </c>
      <c r="AA1545" s="55">
        <f>IF(AND(A1545="", B1545="", E1545=""), "", IF(AB1545="", "Válido", IF((LEN(AB1545)-LEN(SUBSTITUTE(AB1545,"; ","")))/2+1&gt;(LEN(AB1545)-LEN(SUBSTITUTE(AB1545,"[Aviso]","")))/7, "Con Incidencias", "Válido")))</f>
        <v/>
      </c>
      <c r="AB1545" s="56">
        <f>IF(AND(A1545="", B1545="", E1545=""), "", TEXTJOIN("; ", TRUE, IF(OR(TRIM(A1545&amp;"")="", ISNUMBER(SEARCH("FALTA", A1545))), "UPC faltante/inválido", ""), IF(AND(A1545&lt;&gt;"", IFERROR(_xlfn.XMATCH(A1545,$A$2:$A$2509,0,1)&lt;&gt;_xlfn.XMATCH(A1545,$A$2:$A$2509,0,-1),FALSE)), "Código de barras duplicado", ""), IF(AND(E1545&lt;&gt;"", COUNTIF($E$2:$E$2509, E1545)&gt;1), "SKU duplicado", ""), IF(OR(J1545="", J1545=""), "[Aviso] División no capturada ()", IF(ISNA(MATCH(J1545, Criterios!$A$123:$A$126, 0)), "División no válida", "")), IF(OR(K1545="", K1545=""), "[Aviso] Categoría no capturada ()", IF(ISNA(MATCH(K1545, Criterios!$A$81:$A$120, 0)), "Categoría no válida", IF(AND(J1545&lt;&gt;"", J1545&lt;&gt;"", J1545&lt;&gt;VLOOKUP(K1545, Criterios!$A$81:$B$120, 2, FALSE)), "División no coincide con Categoría", ""))), IF(OR(L1545="", L1545=""), "[Aviso] Género no capturado ()", IF(ISNA(MATCH(L1545, Criterios!$B$123:$B$127, 0)), "Género no válido", "")), IF(OR(N1545="", N1545=""), "[Aviso] Temporada no capturada ()", IF(ISNA(MATCH(N1545, Criterios!$C$123:$C$128, 0)), "Temporada no válida", "")), IF(OR(O1545="", O1545=""), "[Aviso] Ciclo de vida no capturado ()", IF(ISNA(MATCH(O1545, Criterios!$D$123:$D$124, 0)), "Ciclo de vida no válido", ""))))</f>
        <v/>
      </c>
      <c r="AC1545" s="56" t="n"/>
      <c r="AD1545" s="51" t="n">
        <v>2</v>
      </c>
      <c r="AE1545" s="156" t="inlineStr">
        <is>
          <t>B25 STETSON.MX (2)</t>
        </is>
      </c>
      <c r="AF1545" s="51" t="n">
        <v>2</v>
      </c>
      <c r="AG1545" s="156" t="inlineStr">
        <is>
          <t>Catálogo existente</t>
        </is>
      </c>
      <c r="AH1545" s="156" t="inlineStr">
        <is>
          <t>Revisión 29/09/2026: Campos sin respaldo: U; Auditoría NetSuite 30/09/2026: llenado desde NetSuite [S] | 01/10/2026: complementado desde Shopify Stetson México (match por código de barras): WB Silueta</t>
        </is>
      </c>
      <c r="AI1545" s="156" t="inlineStr">
        <is>
          <t>No</t>
        </is>
      </c>
      <c r="AJ1545" s="156" t="n"/>
      <c r="AK1545" s="155" t="inlineStr">
        <is>
          <t>Criterios: J [R]; G1522_Extraccion_Articulos_NetSuite_2026-09-30.xlsx: fila 57348 [S] | Shopify Stetson: producto 14693920866667 / variante 51994330202475</t>
        </is>
      </c>
      <c r="AL1545" s="58" t="n">
        <v>814.6551724</v>
      </c>
      <c r="AM1545" s="58" t="n">
        <v>1810.344828</v>
      </c>
      <c r="AN1545" s="155" t="inlineStr">
        <is>
          <t>Shopify Stetson México</t>
        </is>
      </c>
      <c r="AO1545" s="59" t="n">
        <v>2</v>
      </c>
      <c r="AP1545" s="59" t="n"/>
      <c r="AQ1545" s="59" t="n"/>
      <c r="AR1545" s="155" t="inlineStr">
        <is>
          <t>Shopify Stetson México › Stetson México: 2</t>
        </is>
      </c>
    </row>
    <row r="1546">
      <c r="A1546" s="50" t="inlineStr">
        <is>
          <t>805303721382</t>
        </is>
      </c>
      <c r="B1546" s="51" t="inlineStr">
        <is>
          <t>109534</t>
        </is>
      </c>
      <c r="C1546" s="156" t="inlineStr">
        <is>
          <t>Multimarca</t>
        </is>
      </c>
      <c r="D1546" s="156" t="inlineStr">
        <is>
          <t>11-001-0465-0031</t>
        </is>
      </c>
      <c r="E1546" s="156" t="inlineStr">
        <is>
          <t>11-001-0465-0031-S</t>
        </is>
      </c>
      <c r="F1546" s="156" t="inlineStr">
        <is>
          <t>S</t>
        </is>
      </c>
      <c r="G1546" s="156" t="inlineStr">
        <is>
          <t>S</t>
        </is>
      </c>
      <c r="H1546" s="156" t="inlineStr">
        <is>
          <t>Stetson</t>
        </is>
      </c>
      <c r="I1546" s="156" t="inlineStr">
        <is>
          <t>Camisa Stetson Manga Larga Mezclilla Azul</t>
        </is>
      </c>
      <c r="J1546" s="156" t="inlineStr">
        <is>
          <t>Ropa</t>
        </is>
      </c>
      <c r="K1546" s="156" t="inlineStr">
        <is>
          <t>Camisas</t>
        </is>
      </c>
      <c r="L1546" s="156" t="inlineStr">
        <is>
          <t>Hombre</t>
        </is>
      </c>
      <c r="M1546" s="156" t="inlineStr">
        <is>
          <t>Stetson</t>
        </is>
      </c>
      <c r="N1546" s="156" t="inlineStr">
        <is>
          <t>SS26</t>
        </is>
      </c>
      <c r="O1546" s="156" t="inlineStr">
        <is>
          <t>Seasonal</t>
        </is>
      </c>
      <c r="P1546" s="156" t="inlineStr">
        <is>
          <t>Azul</t>
        </is>
      </c>
      <c r="Q1546" s="156" t="inlineStr">
        <is>
          <t>Clásico</t>
        </is>
      </c>
      <c r="R1546" s="156" t="n"/>
      <c r="S1546" s="156" t="inlineStr">
        <is>
          <t>Mezclilla</t>
        </is>
      </c>
      <c r="T1546"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6" s="156" t="n"/>
      <c r="V1546" s="156" t="inlineStr">
        <is>
          <t>PZS</t>
        </is>
      </c>
      <c r="W1546" s="51" t="inlineStr">
        <is>
          <t>53101600</t>
        </is>
      </c>
      <c r="X1546" s="156" t="inlineStr">
        <is>
          <t>https://cdn.shopify.com/s/files/1/0888/3250/8267/files/1100104650031a.jpg?v=1744227867</t>
        </is>
      </c>
      <c r="Y1546" s="54" t="n">
        <v>814.6551724</v>
      </c>
      <c r="Z1546" s="54" t="n">
        <v>1810.344828</v>
      </c>
      <c r="AA1546" s="55">
        <f>IF(AND(A1546="", B1546="", E1546=""), "", IF(AB1546="", "Válido", IF((LEN(AB1546)-LEN(SUBSTITUTE(AB1546,"; ","")))/2+1&gt;(LEN(AB1546)-LEN(SUBSTITUTE(AB1546,"[Aviso]","")))/7, "Con Incidencias", "Válido")))</f>
        <v/>
      </c>
      <c r="AB1546" s="56">
        <f>IF(AND(A1546="", B1546="", E1546=""), "", TEXTJOIN("; ", TRUE, IF(OR(TRIM(A1546&amp;"")="", ISNUMBER(SEARCH("FALTA", A1546))), "UPC faltante/inválido", ""), IF(AND(A1546&lt;&gt;"", IFERROR(_xlfn.XMATCH(A1546,$A$2:$A$2509,0,1)&lt;&gt;_xlfn.XMATCH(A1546,$A$2:$A$2509,0,-1),FALSE)), "Código de barras duplicado", ""), IF(AND(E1546&lt;&gt;"", COUNTIF($E$2:$E$2509, E1546)&gt;1), "SKU duplicado", ""), IF(OR(J1546="", J1546=""), "[Aviso] División no capturada ()", IF(ISNA(MATCH(J1546, Criterios!$A$123:$A$126, 0)), "División no válida", "")), IF(OR(K1546="", K1546=""), "[Aviso] Categoría no capturada ()", IF(ISNA(MATCH(K1546, Criterios!$A$81:$A$120, 0)), "Categoría no válida", IF(AND(J1546&lt;&gt;"", J1546&lt;&gt;"", J1546&lt;&gt;VLOOKUP(K1546, Criterios!$A$81:$B$120, 2, FALSE)), "División no coincide con Categoría", ""))), IF(OR(L1546="", L1546=""), "[Aviso] Género no capturado ()", IF(ISNA(MATCH(L1546, Criterios!$B$123:$B$127, 0)), "Género no válido", "")), IF(OR(N1546="", N1546=""), "[Aviso] Temporada no capturada ()", IF(ISNA(MATCH(N1546, Criterios!$C$123:$C$128, 0)), "Temporada no válida", "")), IF(OR(O1546="", O1546=""), "[Aviso] Ciclo de vida no capturado ()", IF(ISNA(MATCH(O1546, Criterios!$D$123:$D$124, 0)), "Ciclo de vida no válido", ""))))</f>
        <v/>
      </c>
      <c r="AC1546" s="56" t="n"/>
      <c r="AD1546" s="51" t="n">
        <v>2</v>
      </c>
      <c r="AE1546" s="156" t="inlineStr">
        <is>
          <t>B25 STETSON.MX (2)</t>
        </is>
      </c>
      <c r="AF1546" s="51" t="n">
        <v>2</v>
      </c>
      <c r="AG1546" s="156" t="inlineStr">
        <is>
          <t>Catálogo existente</t>
        </is>
      </c>
      <c r="AH1546" s="156" t="inlineStr">
        <is>
          <t>Revisión 29/09/2026: Campos sin respaldo: U; Auditoría NetSuite 30/09/2026: llenado desde NetSuite [S] | 01/10/2026: complementado desde Shopify Stetson México (match por código de barras): WB Silueta</t>
        </is>
      </c>
      <c r="AI1546" s="156" t="inlineStr">
        <is>
          <t>No</t>
        </is>
      </c>
      <c r="AJ1546" s="156" t="n"/>
      <c r="AK1546" s="155" t="inlineStr">
        <is>
          <t>Criterios: J [R]; G1522_Extraccion_Articulos_NetSuite_2026-09-30.xlsx: fila 57349 [S] | Shopify Stetson: producto 14693920866667 / variante 51994330169707</t>
        </is>
      </c>
      <c r="AL1546" s="58" t="n">
        <v>814.6551724</v>
      </c>
      <c r="AM1546" s="58" t="n">
        <v>1810.344828</v>
      </c>
      <c r="AN1546" s="155" t="inlineStr">
        <is>
          <t>Shopify Stetson México</t>
        </is>
      </c>
      <c r="AO1546" s="59" t="n">
        <v>2</v>
      </c>
      <c r="AP1546" s="59" t="n"/>
      <c r="AQ1546" s="59" t="n"/>
      <c r="AR1546" s="155" t="inlineStr">
        <is>
          <t>Shopify Stetson México › Stetson México: 2</t>
        </is>
      </c>
    </row>
    <row r="1547">
      <c r="A1547" s="50" t="inlineStr">
        <is>
          <t>805303721399</t>
        </is>
      </c>
      <c r="B1547" s="51" t="inlineStr">
        <is>
          <t>109535</t>
        </is>
      </c>
      <c r="C1547" s="156" t="inlineStr">
        <is>
          <t>Multimarca</t>
        </is>
      </c>
      <c r="D1547" s="156" t="inlineStr">
        <is>
          <t>11-001-0465-0031</t>
        </is>
      </c>
      <c r="E1547" s="156" t="inlineStr">
        <is>
          <t>11-001-0465-0031-XL</t>
        </is>
      </c>
      <c r="F1547" s="156" t="inlineStr">
        <is>
          <t>XL</t>
        </is>
      </c>
      <c r="G1547" s="156" t="inlineStr">
        <is>
          <t>XL</t>
        </is>
      </c>
      <c r="H1547" s="156" t="inlineStr">
        <is>
          <t>Stetson</t>
        </is>
      </c>
      <c r="I1547" s="156" t="inlineStr">
        <is>
          <t>Camisa Stetson Manga Larga Mezclilla Azul</t>
        </is>
      </c>
      <c r="J1547" s="156" t="inlineStr">
        <is>
          <t>Ropa</t>
        </is>
      </c>
      <c r="K1547" s="156" t="inlineStr">
        <is>
          <t>Camisas</t>
        </is>
      </c>
      <c r="L1547" s="156" t="inlineStr">
        <is>
          <t>Hombre</t>
        </is>
      </c>
      <c r="M1547" s="156" t="inlineStr">
        <is>
          <t>Stetson</t>
        </is>
      </c>
      <c r="N1547" s="156" t="inlineStr">
        <is>
          <t>SS26</t>
        </is>
      </c>
      <c r="O1547" s="156" t="inlineStr">
        <is>
          <t>Seasonal</t>
        </is>
      </c>
      <c r="P1547" s="156" t="inlineStr">
        <is>
          <t>Azul</t>
        </is>
      </c>
      <c r="Q1547" s="156" t="inlineStr">
        <is>
          <t>Clásico</t>
        </is>
      </c>
      <c r="R1547" s="156" t="n"/>
      <c r="S1547" s="156" t="inlineStr">
        <is>
          <t>Mezclilla</t>
        </is>
      </c>
      <c r="T1547"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7" s="156" t="n"/>
      <c r="V1547" s="156" t="inlineStr">
        <is>
          <t>PZS</t>
        </is>
      </c>
      <c r="W1547" s="51" t="inlineStr">
        <is>
          <t>53101600</t>
        </is>
      </c>
      <c r="X1547" s="156" t="inlineStr">
        <is>
          <t>https://cdn.shopify.com/s/files/1/0888/3250/8267/files/1100104650031a.jpg?v=1744227867</t>
        </is>
      </c>
      <c r="Y1547" s="54" t="n">
        <v>814.6551724</v>
      </c>
      <c r="Z1547" s="54" t="n">
        <v>1810.344828</v>
      </c>
      <c r="AA1547" s="55">
        <f>IF(AND(A1547="", B1547="", E1547=""), "", IF(AB1547="", "Válido", IF((LEN(AB1547)-LEN(SUBSTITUTE(AB1547,"; ","")))/2+1&gt;(LEN(AB1547)-LEN(SUBSTITUTE(AB1547,"[Aviso]","")))/7, "Con Incidencias", "Válido")))</f>
        <v/>
      </c>
      <c r="AB1547" s="56">
        <f>IF(AND(A1547="", B1547="", E1547=""), "", TEXTJOIN("; ", TRUE, IF(OR(TRIM(A1547&amp;"")="", ISNUMBER(SEARCH("FALTA", A1547))), "UPC faltante/inválido", ""), IF(AND(A1547&lt;&gt;"", IFERROR(_xlfn.XMATCH(A1547,$A$2:$A$2509,0,1)&lt;&gt;_xlfn.XMATCH(A1547,$A$2:$A$2509,0,-1),FALSE)), "Código de barras duplicado", ""), IF(AND(E1547&lt;&gt;"", COUNTIF($E$2:$E$2509, E1547)&gt;1), "SKU duplicado", ""), IF(OR(J1547="", J1547=""), "[Aviso] División no capturada ()", IF(ISNA(MATCH(J1547, Criterios!$A$123:$A$126, 0)), "División no válida", "")), IF(OR(K1547="", K1547=""), "[Aviso] Categoría no capturada ()", IF(ISNA(MATCH(K1547, Criterios!$A$81:$A$120, 0)), "Categoría no válida", IF(AND(J1547&lt;&gt;"", J1547&lt;&gt;"", J1547&lt;&gt;VLOOKUP(K1547, Criterios!$A$81:$B$120, 2, FALSE)), "División no coincide con Categoría", ""))), IF(OR(L1547="", L1547=""), "[Aviso] Género no capturado ()", IF(ISNA(MATCH(L1547, Criterios!$B$123:$B$127, 0)), "Género no válido", "")), IF(OR(N1547="", N1547=""), "[Aviso] Temporada no capturada ()", IF(ISNA(MATCH(N1547, Criterios!$C$123:$C$128, 0)), "Temporada no válida", "")), IF(OR(O1547="", O1547=""), "[Aviso] Ciclo de vida no capturado ()", IF(ISNA(MATCH(O1547, Criterios!$D$123:$D$124, 0)), "Ciclo de vida no válido", ""))))</f>
        <v/>
      </c>
      <c r="AC1547" s="56" t="n"/>
      <c r="AD1547" s="51" t="n">
        <v>2</v>
      </c>
      <c r="AE1547" s="156" t="inlineStr">
        <is>
          <t>B25 STETSON.MX (2)</t>
        </is>
      </c>
      <c r="AF1547" s="51" t="n">
        <v>2</v>
      </c>
      <c r="AG1547" s="156" t="inlineStr">
        <is>
          <t>Catálogo existente</t>
        </is>
      </c>
      <c r="AH1547" s="156" t="inlineStr">
        <is>
          <t>Revisión 29/09/2026: Campos sin respaldo: U, X; Auditoría NetSuite 30/09/2026: llenado desde NetSuite [S] | 01/10/2026: complementado desde Shopify Stetson México (match por código de barras): WB Silueta, Enlace de imagen</t>
        </is>
      </c>
      <c r="AI1547" s="156" t="inlineStr">
        <is>
          <t>No</t>
        </is>
      </c>
      <c r="AJ1547" s="156" t="n"/>
      <c r="AK1547" s="155" t="inlineStr">
        <is>
          <t>Criterios: J [R]; G1522_Extraccion_Articulos_NetSuite_2026-09-30.xlsx: fila 57350 [S] | Shopify Stetson: producto 14693920866667 / variante 51994330268011</t>
        </is>
      </c>
      <c r="AL1547" s="58" t="n">
        <v>814.6551724</v>
      </c>
      <c r="AM1547" s="58" t="n">
        <v>1810.344828</v>
      </c>
      <c r="AN1547" s="155" t="inlineStr">
        <is>
          <t>Shopify Stetson México</t>
        </is>
      </c>
      <c r="AO1547" s="59" t="n">
        <v>2</v>
      </c>
      <c r="AP1547" s="59" t="n"/>
      <c r="AQ1547" s="59" t="n"/>
      <c r="AR1547" s="155" t="inlineStr">
        <is>
          <t>Shopify Stetson México › Stetson México: 2</t>
        </is>
      </c>
    </row>
    <row r="1548">
      <c r="A1548" s="50" t="inlineStr">
        <is>
          <t>805303723935</t>
        </is>
      </c>
      <c r="B1548" s="51" t="inlineStr">
        <is>
          <t>109536</t>
        </is>
      </c>
      <c r="C1548" s="156" t="inlineStr">
        <is>
          <t>Multimarca</t>
        </is>
      </c>
      <c r="D1548" s="156" t="inlineStr">
        <is>
          <t>11-001-0465-0031</t>
        </is>
      </c>
      <c r="E1548" s="156" t="inlineStr">
        <is>
          <t>11-001-0465-0031-XXL</t>
        </is>
      </c>
      <c r="F1548" s="156" t="inlineStr">
        <is>
          <t>XXL</t>
        </is>
      </c>
      <c r="G1548" s="156" t="inlineStr">
        <is>
          <t>XXL</t>
        </is>
      </c>
      <c r="H1548" s="156" t="inlineStr">
        <is>
          <t>Stetson</t>
        </is>
      </c>
      <c r="I1548" s="156" t="inlineStr">
        <is>
          <t>Camisa Stetson Manga Larga Mezclilla Azul</t>
        </is>
      </c>
      <c r="J1548" s="156" t="inlineStr">
        <is>
          <t>Ropa</t>
        </is>
      </c>
      <c r="K1548" s="156" t="inlineStr">
        <is>
          <t>Camisas</t>
        </is>
      </c>
      <c r="L1548" s="156" t="inlineStr">
        <is>
          <t>Hombre</t>
        </is>
      </c>
      <c r="M1548" s="156" t="inlineStr">
        <is>
          <t>Stetson</t>
        </is>
      </c>
      <c r="N1548" s="156" t="inlineStr">
        <is>
          <t>SS26</t>
        </is>
      </c>
      <c r="O1548" s="156" t="inlineStr">
        <is>
          <t>Seasonal</t>
        </is>
      </c>
      <c r="P1548" s="156" t="inlineStr">
        <is>
          <t>Azul</t>
        </is>
      </c>
      <c r="Q1548" s="156" t="inlineStr">
        <is>
          <t>Clásico</t>
        </is>
      </c>
      <c r="R1548" s="156" t="n"/>
      <c r="S1548" s="156" t="inlineStr">
        <is>
          <t>Mezclilla</t>
        </is>
      </c>
      <c r="T1548"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8" s="156" t="n"/>
      <c r="V1548" s="156" t="inlineStr">
        <is>
          <t>PZS</t>
        </is>
      </c>
      <c r="W1548" s="51" t="inlineStr">
        <is>
          <t>53101600</t>
        </is>
      </c>
      <c r="X1548" s="156" t="inlineStr">
        <is>
          <t>https://cdn.shopify.com/s/files/1/0888/3250/8267/files/1100104650031a.jpg?v=1744227867</t>
        </is>
      </c>
      <c r="Y1548" s="54" t="n">
        <v>814.6551724</v>
      </c>
      <c r="Z1548" s="54" t="n">
        <v>1810.344828</v>
      </c>
      <c r="AA1548" s="55">
        <f>IF(AND(A1548="", B1548="", E1548=""), "", IF(AB1548="", "Válido", IF((LEN(AB1548)-LEN(SUBSTITUTE(AB1548,"; ","")))/2+1&gt;(LEN(AB1548)-LEN(SUBSTITUTE(AB1548,"[Aviso]","")))/7, "Con Incidencias", "Válido")))</f>
        <v/>
      </c>
      <c r="AB1548" s="56">
        <f>IF(AND(A1548="", B1548="", E1548=""), "", TEXTJOIN("; ", TRUE, IF(OR(TRIM(A1548&amp;"")="", ISNUMBER(SEARCH("FALTA", A1548))), "UPC faltante/inválido", ""), IF(AND(A1548&lt;&gt;"", IFERROR(_xlfn.XMATCH(A1548,$A$2:$A$2509,0,1)&lt;&gt;_xlfn.XMATCH(A1548,$A$2:$A$2509,0,-1),FALSE)), "Código de barras duplicado", ""), IF(AND(E1548&lt;&gt;"", COUNTIF($E$2:$E$2509, E1548)&gt;1), "SKU duplicado", ""), IF(OR(J1548="", J1548=""), "[Aviso] División no capturada ()", IF(ISNA(MATCH(J1548, Criterios!$A$123:$A$126, 0)), "División no válida", "")), IF(OR(K1548="", K1548=""), "[Aviso] Categoría no capturada ()", IF(ISNA(MATCH(K1548, Criterios!$A$81:$A$120, 0)), "Categoría no válida", IF(AND(J1548&lt;&gt;"", J1548&lt;&gt;"", J1548&lt;&gt;VLOOKUP(K1548, Criterios!$A$81:$B$120, 2, FALSE)), "División no coincide con Categoría", ""))), IF(OR(L1548="", L1548=""), "[Aviso] Género no capturado ()", IF(ISNA(MATCH(L1548, Criterios!$B$123:$B$127, 0)), "Género no válido", "")), IF(OR(N1548="", N1548=""), "[Aviso] Temporada no capturada ()", IF(ISNA(MATCH(N1548, Criterios!$C$123:$C$128, 0)), "Temporada no válida", "")), IF(OR(O1548="", O1548=""), "[Aviso] Ciclo de vida no capturado ()", IF(ISNA(MATCH(O1548, Criterios!$D$123:$D$124, 0)), "Ciclo de vida no válido", ""))))</f>
        <v/>
      </c>
      <c r="AC1548" s="56" t="n"/>
      <c r="AD1548" s="51" t="n">
        <v>2</v>
      </c>
      <c r="AE1548" s="156" t="inlineStr">
        <is>
          <t>B25 STETSON.MX (2)</t>
        </is>
      </c>
      <c r="AF1548" s="51" t="n">
        <v>2</v>
      </c>
      <c r="AG1548" s="156" t="inlineStr">
        <is>
          <t>Catálogo existente</t>
        </is>
      </c>
      <c r="AH1548" s="156" t="inlineStr">
        <is>
          <t>Revisión 29/09/2026: Campos sin respaldo: U, X; Auditoría NetSuite 30/09/2026: llenado desde NetSuite [S] | 01/10/2026: complementado desde Shopify Stetson México (match por código de barras): WB Silueta, Enlace de imagen</t>
        </is>
      </c>
      <c r="AI1548" s="156" t="inlineStr">
        <is>
          <t>No</t>
        </is>
      </c>
      <c r="AJ1548" s="156" t="n"/>
      <c r="AK1548" s="155" t="inlineStr">
        <is>
          <t>Criterios: J [R]; G1522_Extraccion_Articulos_NetSuite_2026-09-30.xlsx: fila 57351 [S] | Shopify Stetson: producto 14693920866667 / variante 51994330300779</t>
        </is>
      </c>
      <c r="AL1548" s="58" t="n">
        <v>814.6551724</v>
      </c>
      <c r="AM1548" s="58" t="n">
        <v>1810.344828</v>
      </c>
      <c r="AN1548" s="155" t="inlineStr">
        <is>
          <t>Shopify Stetson México</t>
        </is>
      </c>
      <c r="AO1548" s="59" t="n">
        <v>2</v>
      </c>
      <c r="AP1548" s="59" t="n"/>
      <c r="AQ1548" s="59" t="n"/>
      <c r="AR1548" s="155" t="inlineStr">
        <is>
          <t>Shopify Stetson México › Stetson México: 2</t>
        </is>
      </c>
    </row>
    <row r="1549">
      <c r="A1549" s="50" t="inlineStr">
        <is>
          <t>883383031935</t>
        </is>
      </c>
      <c r="B1549" s="51" t="inlineStr">
        <is>
          <t>110064</t>
        </is>
      </c>
      <c r="C1549" s="156" t="inlineStr">
        <is>
          <t>Multimarca</t>
        </is>
      </c>
      <c r="D1549" s="156" t="inlineStr">
        <is>
          <t>SFSHAS-014007</t>
        </is>
      </c>
      <c r="E1549" s="156" t="inlineStr">
        <is>
          <t>SFSHAS-01400767</t>
        </is>
      </c>
      <c r="F1549" s="156" t="inlineStr">
        <is>
          <t>6 7/8</t>
        </is>
      </c>
      <c r="G1549" s="156" t="inlineStr">
        <is>
          <t>6 7/8</t>
        </is>
      </c>
      <c r="H1549" s="156" t="inlineStr">
        <is>
          <t>Stetson</t>
        </is>
      </c>
      <c r="I1549" s="156" t="inlineStr">
        <is>
          <t>Texana Stetson Shasta Negro</t>
        </is>
      </c>
      <c r="J1549" s="156" t="inlineStr">
        <is>
          <t>Accesorios</t>
        </is>
      </c>
      <c r="K1549" s="156" t="inlineStr">
        <is>
          <t>Sombreros</t>
        </is>
      </c>
      <c r="L1549" s="156" t="inlineStr">
        <is>
          <t>Unisex</t>
        </is>
      </c>
      <c r="M1549" s="156" t="inlineStr">
        <is>
          <t>Stetson</t>
        </is>
      </c>
      <c r="N1549" s="156" t="inlineStr">
        <is>
          <t>SS26</t>
        </is>
      </c>
      <c r="O1549" s="156" t="inlineStr">
        <is>
          <t>Seasonal</t>
        </is>
      </c>
      <c r="P1549" s="156" t="inlineStr">
        <is>
          <t>Negro</t>
        </is>
      </c>
      <c r="Q1549" s="156" t="n"/>
      <c r="R1549" s="156" t="inlineStr">
        <is>
          <t>Copa Cattleman</t>
        </is>
      </c>
      <c r="S1549" s="156" t="inlineStr">
        <is>
          <t>100% Fieltro de lana</t>
        </is>
      </c>
      <c r="T154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49" s="156" t="inlineStr">
        <is>
          <t>Estados Unidos</t>
        </is>
      </c>
      <c r="V1549" s="156" t="inlineStr">
        <is>
          <t>PZS</t>
        </is>
      </c>
      <c r="W1549" s="51" t="inlineStr">
        <is>
          <t>53102503</t>
        </is>
      </c>
      <c r="X1549" s="156" t="inlineStr">
        <is>
          <t>https://cdn.shopify.com/s/files/1/0888/3250/8267/files/SFSHAS-7540-07-67_1.png?v=1760377307</t>
        </is>
      </c>
      <c r="Y1549" s="54" t="n">
        <v>4331.25</v>
      </c>
      <c r="Z1549" s="54" t="n">
        <v>10344.82759</v>
      </c>
      <c r="AA1549" s="55">
        <f>IF(AND(A1549="", B1549="", E1549=""), "", IF(AB1549="", "Válido", IF((LEN(AB1549)-LEN(SUBSTITUTE(AB1549,"; ","")))/2+1&gt;(LEN(AB1549)-LEN(SUBSTITUTE(AB1549,"[Aviso]","")))/7, "Con Incidencias", "Válido")))</f>
        <v/>
      </c>
      <c r="AB1549" s="56">
        <f>IF(AND(A1549="", B1549="", E1549=""), "", TEXTJOIN("; ", TRUE, IF(OR(TRIM(A1549&amp;"")="", ISNUMBER(SEARCH("FALTA", A1549))), "UPC faltante/inválido", ""), IF(AND(A1549&lt;&gt;"", IFERROR(_xlfn.XMATCH(A1549,$A$2:$A$2509,0,1)&lt;&gt;_xlfn.XMATCH(A1549,$A$2:$A$2509,0,-1),FALSE)), "Código de barras duplicado", ""), IF(AND(E1549&lt;&gt;"", COUNTIF($E$2:$E$2509, E1549)&gt;1), "SKU duplicado", ""), IF(OR(J1549="", J1549=""), "[Aviso] División no capturada ()", IF(ISNA(MATCH(J1549, Criterios!$A$123:$A$126, 0)), "División no válida", "")), IF(OR(K1549="", K1549=""), "[Aviso] Categoría no capturada ()", IF(ISNA(MATCH(K1549, Criterios!$A$81:$A$120, 0)), "Categoría no válida", IF(AND(J1549&lt;&gt;"", J1549&lt;&gt;"", J1549&lt;&gt;VLOOKUP(K1549, Criterios!$A$81:$B$120, 2, FALSE)), "División no coincide con Categoría", ""))), IF(OR(L1549="", L1549=""), "[Aviso] Género no capturado ()", IF(ISNA(MATCH(L1549, Criterios!$B$123:$B$127, 0)), "Género no válido", "")), IF(OR(N1549="", N1549=""), "[Aviso] Temporada no capturada ()", IF(ISNA(MATCH(N1549, Criterios!$C$123:$C$128, 0)), "Temporada no válida", "")), IF(OR(O1549="", O1549=""), "[Aviso] Ciclo de vida no capturado ()", IF(ISNA(MATCH(O1549, Criterios!$D$123:$D$124, 0)), "Ciclo de vida no válido", ""))))</f>
        <v/>
      </c>
      <c r="AC1549" s="56" t="n"/>
      <c r="AD1549" s="51" t="n">
        <v>1</v>
      </c>
      <c r="AE1549" s="156" t="inlineStr">
        <is>
          <t>B25 STETSON.MX (1)</t>
        </is>
      </c>
      <c r="AF1549" s="51" t="n">
        <v>1</v>
      </c>
      <c r="AG1549" s="156" t="inlineStr">
        <is>
          <t>Catálogo existente</t>
        </is>
      </c>
      <c r="AH1549" s="156" t="inlineStr">
        <is>
          <t>Revisión 29/09/2026: Cruce de catálogo y criterios sin pendientes detectados | 01/10/2026: complementado desde Shopify Stetson México (match por código de barras): WB Fit, WB Silueta</t>
        </is>
      </c>
      <c r="AI1549" s="156" t="inlineStr">
        <is>
          <t>No</t>
        </is>
      </c>
      <c r="AJ1549" s="156" t="n"/>
      <c r="AK1549" s="155" t="inlineStr">
        <is>
          <t>Criterios: I [Q] | Shopify Stetson: producto 14791362445675 / variante 53350603817323 | Odoo: producto 14242 / plantilla 17819</t>
        </is>
      </c>
      <c r="AL1549" s="58" t="n">
        <v>4331.25</v>
      </c>
      <c r="AM1549" s="58" t="n">
        <v>10344.82759</v>
      </c>
      <c r="AN1549" s="155" t="inlineStr">
        <is>
          <t>Shopify Stetson México | Odoo Universal Unique Brands</t>
        </is>
      </c>
      <c r="AO1549" s="59" t="n">
        <v>1</v>
      </c>
      <c r="AP1549" s="59" t="n"/>
      <c r="AQ1549" s="59" t="n">
        <v>2</v>
      </c>
      <c r="AR1549" s="155" t="inlineStr">
        <is>
          <t>Shopify Stetson México › Stetson Americas: 1 | Odoo Universal Unique Brands › Bodega 25 › Bodega 25/General: 2</t>
        </is>
      </c>
    </row>
    <row r="1550">
      <c r="A1550" s="50" t="inlineStr">
        <is>
          <t>883383031942</t>
        </is>
      </c>
      <c r="B1550" s="51" t="inlineStr">
        <is>
          <t>110065</t>
        </is>
      </c>
      <c r="C1550" s="156" t="inlineStr">
        <is>
          <t>Multimarca</t>
        </is>
      </c>
      <c r="D1550" s="156" t="inlineStr">
        <is>
          <t>SFSHAS-014007</t>
        </is>
      </c>
      <c r="E1550" s="156" t="inlineStr">
        <is>
          <t>SFSHAS-01400770</t>
        </is>
      </c>
      <c r="F1550" s="156" t="inlineStr">
        <is>
          <t>7</t>
        </is>
      </c>
      <c r="G1550" s="156" t="inlineStr">
        <is>
          <t>7</t>
        </is>
      </c>
      <c r="H1550" s="156" t="inlineStr">
        <is>
          <t>Stetson</t>
        </is>
      </c>
      <c r="I1550" s="156" t="inlineStr">
        <is>
          <t>Texana Stetson Shasta Negro</t>
        </is>
      </c>
      <c r="J1550" s="156" t="inlineStr">
        <is>
          <t>Accesorios</t>
        </is>
      </c>
      <c r="K1550" s="156" t="inlineStr">
        <is>
          <t>Sombreros</t>
        </is>
      </c>
      <c r="L1550" s="156" t="inlineStr">
        <is>
          <t>Unisex</t>
        </is>
      </c>
      <c r="M1550" s="156" t="inlineStr">
        <is>
          <t>Stetson</t>
        </is>
      </c>
      <c r="N1550" s="156" t="inlineStr">
        <is>
          <t>SS26</t>
        </is>
      </c>
      <c r="O1550" s="156" t="inlineStr">
        <is>
          <t>Seasonal</t>
        </is>
      </c>
      <c r="P1550" s="156" t="inlineStr">
        <is>
          <t>Negro</t>
        </is>
      </c>
      <c r="Q1550" s="156" t="n"/>
      <c r="R1550" s="156" t="inlineStr">
        <is>
          <t>Copa Cattleman</t>
        </is>
      </c>
      <c r="S1550" s="156" t="inlineStr">
        <is>
          <t>100% Fieltro de lana</t>
        </is>
      </c>
      <c r="T155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0" s="156" t="inlineStr">
        <is>
          <t>Estados Unidos</t>
        </is>
      </c>
      <c r="V1550" s="156" t="inlineStr">
        <is>
          <t>PZS</t>
        </is>
      </c>
      <c r="W1550" s="51" t="inlineStr">
        <is>
          <t>53102503</t>
        </is>
      </c>
      <c r="X1550" s="156" t="inlineStr">
        <is>
          <t>https://cdn.shopify.com/s/files/1/0888/3250/8267/files/SFSHAS-7540-07-67_2.png?v=1760377307</t>
        </is>
      </c>
      <c r="Y1550" s="54" t="n">
        <v>4331.25</v>
      </c>
      <c r="Z1550" s="54" t="n">
        <v>10344.82759</v>
      </c>
      <c r="AA1550" s="55">
        <f>IF(AND(A1550="", B1550="", E1550=""), "", IF(AB1550="", "Válido", IF((LEN(AB1550)-LEN(SUBSTITUTE(AB1550,"; ","")))/2+1&gt;(LEN(AB1550)-LEN(SUBSTITUTE(AB1550,"[Aviso]","")))/7, "Con Incidencias", "Válido")))</f>
        <v/>
      </c>
      <c r="AB1550" s="56">
        <f>IF(AND(A1550="", B1550="", E1550=""), "", TEXTJOIN("; ", TRUE, IF(OR(TRIM(A1550&amp;"")="", ISNUMBER(SEARCH("FALTA", A1550))), "UPC faltante/inválido", ""), IF(AND(A1550&lt;&gt;"", IFERROR(_xlfn.XMATCH(A1550,$A$2:$A$2509,0,1)&lt;&gt;_xlfn.XMATCH(A1550,$A$2:$A$2509,0,-1),FALSE)), "Código de barras duplicado", ""), IF(AND(E1550&lt;&gt;"", COUNTIF($E$2:$E$2509, E1550)&gt;1), "SKU duplicado", ""), IF(OR(J1550="", J1550=""), "[Aviso] División no capturada ()", IF(ISNA(MATCH(J1550, Criterios!$A$123:$A$126, 0)), "División no válida", "")), IF(OR(K1550="", K1550=""), "[Aviso] Categoría no capturada ()", IF(ISNA(MATCH(K1550, Criterios!$A$81:$A$120, 0)), "Categoría no válida", IF(AND(J1550&lt;&gt;"", J1550&lt;&gt;"", J1550&lt;&gt;VLOOKUP(K1550, Criterios!$A$81:$B$120, 2, FALSE)), "División no coincide con Categoría", ""))), IF(OR(L1550="", L1550=""), "[Aviso] Género no capturado ()", IF(ISNA(MATCH(L1550, Criterios!$B$123:$B$127, 0)), "Género no válido", "")), IF(OR(N1550="", N1550=""), "[Aviso] Temporada no capturada ()", IF(ISNA(MATCH(N1550, Criterios!$C$123:$C$128, 0)), "Temporada no válida", "")), IF(OR(O1550="", O1550=""), "[Aviso] Ciclo de vida no capturado ()", IF(ISNA(MATCH(O1550, Criterios!$D$123:$D$124, 0)), "Ciclo de vida no válido", ""))))</f>
        <v/>
      </c>
      <c r="AC1550" s="56" t="n"/>
      <c r="AD1550" s="51" t="n">
        <v>1</v>
      </c>
      <c r="AE1550" s="156" t="inlineStr">
        <is>
          <t>B25 STETSON.MX (1)</t>
        </is>
      </c>
      <c r="AF1550" s="51" t="n">
        <v>1</v>
      </c>
      <c r="AG1550" s="156" t="inlineStr">
        <is>
          <t>Catálogo existente</t>
        </is>
      </c>
      <c r="AH1550" s="156" t="inlineStr">
        <is>
          <t>Revisión 29/09/2026: Cruce de catálogo y criterios sin pendientes detectados | 01/10/2026: complementado desde Shopify Stetson México (match por código de barras): WB Fit, WB Silueta</t>
        </is>
      </c>
      <c r="AI1550" s="156" t="inlineStr">
        <is>
          <t>No</t>
        </is>
      </c>
      <c r="AJ1550" s="156" t="n"/>
      <c r="AK1550" s="155" t="inlineStr">
        <is>
          <t>Criterios: I [Q] | Shopify Stetson: producto 14791362445675 / variante 53350603850091 | Odoo: producto 14243 / plantilla 17820</t>
        </is>
      </c>
      <c r="AL1550" s="58" t="n">
        <v>4331.25</v>
      </c>
      <c r="AM1550" s="58" t="n">
        <v>10344.82759</v>
      </c>
      <c r="AN1550" s="155" t="inlineStr">
        <is>
          <t>Shopify Stetson México | Odoo Universal Unique Brands</t>
        </is>
      </c>
      <c r="AO1550" s="59" t="n">
        <v>2</v>
      </c>
      <c r="AP1550" s="59" t="n"/>
      <c r="AQ1550" s="59" t="n">
        <v>3</v>
      </c>
      <c r="AR1550" s="155" t="inlineStr">
        <is>
          <t>Shopify Stetson México › Stetson México: 1 | Shopify Stetson México › Stetson Americas: 1 | Odoo Universal Unique Brands › Bodega 25 › Bodega 25/General: 3</t>
        </is>
      </c>
    </row>
    <row r="1551">
      <c r="A1551" s="50" t="inlineStr">
        <is>
          <t>883383031959</t>
        </is>
      </c>
      <c r="B1551" s="51" t="inlineStr">
        <is>
          <t>110066</t>
        </is>
      </c>
      <c r="C1551" s="156" t="inlineStr">
        <is>
          <t>Multimarca</t>
        </is>
      </c>
      <c r="D1551" s="156" t="inlineStr">
        <is>
          <t>SFSHAS-014007</t>
        </is>
      </c>
      <c r="E1551" s="156" t="inlineStr">
        <is>
          <t>SFSHAS-01400771</t>
        </is>
      </c>
      <c r="F1551" s="156" t="inlineStr">
        <is>
          <t>7 1/8</t>
        </is>
      </c>
      <c r="G1551" s="156" t="inlineStr">
        <is>
          <t>7 1/8</t>
        </is>
      </c>
      <c r="H1551" s="156" t="inlineStr">
        <is>
          <t>Stetson</t>
        </is>
      </c>
      <c r="I1551" s="156" t="inlineStr">
        <is>
          <t>Texana Stetson Shasta Negro</t>
        </is>
      </c>
      <c r="J1551" s="156" t="inlineStr">
        <is>
          <t>Accesorios</t>
        </is>
      </c>
      <c r="K1551" s="156" t="inlineStr">
        <is>
          <t>Sombreros</t>
        </is>
      </c>
      <c r="L1551" s="156" t="inlineStr">
        <is>
          <t>Unisex</t>
        </is>
      </c>
      <c r="M1551" s="156" t="inlineStr">
        <is>
          <t>Stetson</t>
        </is>
      </c>
      <c r="N1551" s="156" t="inlineStr">
        <is>
          <t>SS26</t>
        </is>
      </c>
      <c r="O1551" s="156" t="inlineStr">
        <is>
          <t>Seasonal</t>
        </is>
      </c>
      <c r="P1551" s="156" t="inlineStr">
        <is>
          <t>Negro</t>
        </is>
      </c>
      <c r="Q1551" s="156" t="n"/>
      <c r="R1551" s="156" t="inlineStr">
        <is>
          <t>Copa Cattleman</t>
        </is>
      </c>
      <c r="S1551" s="156" t="inlineStr">
        <is>
          <t>100% Fieltro de lana</t>
        </is>
      </c>
      <c r="T1551"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1" s="156" t="inlineStr">
        <is>
          <t>Estados Unidos</t>
        </is>
      </c>
      <c r="V1551" s="156" t="inlineStr">
        <is>
          <t>PZS</t>
        </is>
      </c>
      <c r="W1551" s="51" t="inlineStr">
        <is>
          <t>53102503</t>
        </is>
      </c>
      <c r="X1551" s="156" t="inlineStr">
        <is>
          <t>https://cdn.shopify.com/s/files/1/0888/3250/8267/files/SFSHAS-7540-07-67_3.png?v=1760377307</t>
        </is>
      </c>
      <c r="Y1551" s="54" t="n">
        <v>4331.25</v>
      </c>
      <c r="Z1551" s="54" t="n">
        <v>10344.82759</v>
      </c>
      <c r="AA1551" s="55">
        <f>IF(AND(A1551="", B1551="", E1551=""), "", IF(AB1551="", "Válido", IF((LEN(AB1551)-LEN(SUBSTITUTE(AB1551,"; ","")))/2+1&gt;(LEN(AB1551)-LEN(SUBSTITUTE(AB1551,"[Aviso]","")))/7, "Con Incidencias", "Válido")))</f>
        <v/>
      </c>
      <c r="AB1551" s="56">
        <f>IF(AND(A1551="", B1551="", E1551=""), "", TEXTJOIN("; ", TRUE, IF(OR(TRIM(A1551&amp;"")="", ISNUMBER(SEARCH("FALTA", A1551))), "UPC faltante/inválido", ""), IF(AND(A1551&lt;&gt;"", IFERROR(_xlfn.XMATCH(A1551,$A$2:$A$2509,0,1)&lt;&gt;_xlfn.XMATCH(A1551,$A$2:$A$2509,0,-1),FALSE)), "Código de barras duplicado", ""), IF(AND(E1551&lt;&gt;"", COUNTIF($E$2:$E$2509, E1551)&gt;1), "SKU duplicado", ""), IF(OR(J1551="", J1551=""), "[Aviso] División no capturada ()", IF(ISNA(MATCH(J1551, Criterios!$A$123:$A$126, 0)), "División no válida", "")), IF(OR(K1551="", K1551=""), "[Aviso] Categoría no capturada ()", IF(ISNA(MATCH(K1551, Criterios!$A$81:$A$120, 0)), "Categoría no válida", IF(AND(J1551&lt;&gt;"", J1551&lt;&gt;"", J1551&lt;&gt;VLOOKUP(K1551, Criterios!$A$81:$B$120, 2, FALSE)), "División no coincide con Categoría", ""))), IF(OR(L1551="", L1551=""), "[Aviso] Género no capturado ()", IF(ISNA(MATCH(L1551, Criterios!$B$123:$B$127, 0)), "Género no válido", "")), IF(OR(N1551="", N1551=""), "[Aviso] Temporada no capturada ()", IF(ISNA(MATCH(N1551, Criterios!$C$123:$C$128, 0)), "Temporada no válida", "")), IF(OR(O1551="", O1551=""), "[Aviso] Ciclo de vida no capturado ()", IF(ISNA(MATCH(O1551, Criterios!$D$123:$D$124, 0)), "Ciclo de vida no válido", ""))))</f>
        <v/>
      </c>
      <c r="AC1551" s="56" t="n"/>
      <c r="AD1551" s="51" t="n">
        <v>1</v>
      </c>
      <c r="AE1551" s="156" t="inlineStr">
        <is>
          <t>STETSON AMERICAS (1); B25 STETSON.MX (1)</t>
        </is>
      </c>
      <c r="AF1551" s="51" t="n">
        <v>2</v>
      </c>
      <c r="AG1551" s="156" t="inlineStr">
        <is>
          <t>Catálogo existente</t>
        </is>
      </c>
      <c r="AH1551" s="156" t="inlineStr">
        <is>
          <t>Revisión 29/09/2026: Cruce de catálogo y criterios sin pendientes detectados | 01/10/2026: complementado desde Shopify Stetson México (match por código de barras): WB Fit, WB Silueta</t>
        </is>
      </c>
      <c r="AI1551" s="156" t="inlineStr">
        <is>
          <t>Sí</t>
        </is>
      </c>
      <c r="AJ1551" s="156" t="inlineStr">
        <is>
          <t>PUNTO DE VENTA (-1)</t>
        </is>
      </c>
      <c r="AK1551" s="155" t="inlineStr">
        <is>
          <t>Criterios: I [Q] | Shopify Stetson: producto 14791362445675 / variante 53350603882859 | Odoo: producto 14244 / plantilla 17821</t>
        </is>
      </c>
      <c r="AL1551" s="58" t="n">
        <v>4331.25</v>
      </c>
      <c r="AM1551" s="58" t="n">
        <v>10344.82759</v>
      </c>
      <c r="AN1551" s="155" t="inlineStr">
        <is>
          <t>Shopify Stetson México | Odoo Universal Unique Brands</t>
        </is>
      </c>
      <c r="AO1551" s="59" t="n">
        <v>1</v>
      </c>
      <c r="AP1551" s="59" t="n"/>
      <c r="AQ1551" s="59" t="n">
        <v>4</v>
      </c>
      <c r="AR1551" s="155" t="inlineStr">
        <is>
          <t>Shopify Stetson México › Stetson Americas: 1 | Odoo Universal Unique Brands › Bodega 25 › Bodega 25/General: 4</t>
        </is>
      </c>
    </row>
    <row r="1552">
      <c r="A1552" s="50" t="inlineStr">
        <is>
          <t>883383031966</t>
        </is>
      </c>
      <c r="B1552" s="51" t="inlineStr">
        <is>
          <t>110067</t>
        </is>
      </c>
      <c r="C1552" s="156" t="inlineStr">
        <is>
          <t>Multimarca</t>
        </is>
      </c>
      <c r="D1552" s="156" t="inlineStr">
        <is>
          <t>SFSHAS-014007</t>
        </is>
      </c>
      <c r="E1552" s="156" t="inlineStr">
        <is>
          <t>SFSHAS-01400772</t>
        </is>
      </c>
      <c r="F1552" s="156" t="inlineStr">
        <is>
          <t>7 1/4</t>
        </is>
      </c>
      <c r="G1552" s="156" t="inlineStr">
        <is>
          <t>7 1/4</t>
        </is>
      </c>
      <c r="H1552" s="156" t="inlineStr">
        <is>
          <t>Stetson</t>
        </is>
      </c>
      <c r="I1552" s="156" t="inlineStr">
        <is>
          <t>Texana Stetson Shasta Negro</t>
        </is>
      </c>
      <c r="J1552" s="156" t="inlineStr">
        <is>
          <t>Accesorios</t>
        </is>
      </c>
      <c r="K1552" s="156" t="inlineStr">
        <is>
          <t>Sombreros</t>
        </is>
      </c>
      <c r="L1552" s="156" t="inlineStr">
        <is>
          <t>Unisex</t>
        </is>
      </c>
      <c r="M1552" s="156" t="inlineStr">
        <is>
          <t>Stetson</t>
        </is>
      </c>
      <c r="N1552" s="156" t="inlineStr">
        <is>
          <t>SS26</t>
        </is>
      </c>
      <c r="O1552" s="156" t="inlineStr">
        <is>
          <t>Seasonal</t>
        </is>
      </c>
      <c r="P1552" s="156" t="inlineStr">
        <is>
          <t>Negro</t>
        </is>
      </c>
      <c r="Q1552" s="156" t="n"/>
      <c r="R1552" s="156" t="inlineStr">
        <is>
          <t>Copa Cattleman</t>
        </is>
      </c>
      <c r="S1552" s="156" t="inlineStr">
        <is>
          <t>100% Fieltro de lana</t>
        </is>
      </c>
      <c r="T1552"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2" s="156" t="inlineStr">
        <is>
          <t>Estados Unidos</t>
        </is>
      </c>
      <c r="V1552" s="156" t="inlineStr">
        <is>
          <t>PZS</t>
        </is>
      </c>
      <c r="W1552" s="51" t="inlineStr">
        <is>
          <t>53102503</t>
        </is>
      </c>
      <c r="X1552" s="156" t="inlineStr">
        <is>
          <t>https://cdn.shopify.com/s/files/1/0888/3250/8267/files/SFSHAS-7540-07-67_4.png?v=1760377307</t>
        </is>
      </c>
      <c r="Y1552" s="54" t="n">
        <v>4331.25</v>
      </c>
      <c r="Z1552" s="54" t="n">
        <v>10344.82759</v>
      </c>
      <c r="AA1552" s="55">
        <f>IF(AND(A1552="", B1552="", E1552=""), "", IF(AB1552="", "Válido", IF((LEN(AB1552)-LEN(SUBSTITUTE(AB1552,"; ","")))/2+1&gt;(LEN(AB1552)-LEN(SUBSTITUTE(AB1552,"[Aviso]","")))/7, "Con Incidencias", "Válido")))</f>
        <v/>
      </c>
      <c r="AB1552" s="56">
        <f>IF(AND(A1552="", B1552="", E1552=""), "", TEXTJOIN("; ", TRUE, IF(OR(TRIM(A1552&amp;"")="", ISNUMBER(SEARCH("FALTA", A1552))), "UPC faltante/inválido", ""), IF(AND(A1552&lt;&gt;"", IFERROR(_xlfn.XMATCH(A1552,$A$2:$A$2509,0,1)&lt;&gt;_xlfn.XMATCH(A1552,$A$2:$A$2509,0,-1),FALSE)), "Código de barras duplicado", ""), IF(AND(E1552&lt;&gt;"", COUNTIF($E$2:$E$2509, E1552)&gt;1), "SKU duplicado", ""), IF(OR(J1552="", J1552=""), "[Aviso] División no capturada ()", IF(ISNA(MATCH(J1552, Criterios!$A$123:$A$126, 0)), "División no válida", "")), IF(OR(K1552="", K1552=""), "[Aviso] Categoría no capturada ()", IF(ISNA(MATCH(K1552, Criterios!$A$81:$A$120, 0)), "Categoría no válida", IF(AND(J1552&lt;&gt;"", J1552&lt;&gt;"", J1552&lt;&gt;VLOOKUP(K1552, Criterios!$A$81:$B$120, 2, FALSE)), "División no coincide con Categoría", ""))), IF(OR(L1552="", L1552=""), "[Aviso] Género no capturado ()", IF(ISNA(MATCH(L1552, Criterios!$B$123:$B$127, 0)), "Género no válido", "")), IF(OR(N1552="", N1552=""), "[Aviso] Temporada no capturada ()", IF(ISNA(MATCH(N1552, Criterios!$C$123:$C$128, 0)), "Temporada no válida", "")), IF(OR(O1552="", O1552=""), "[Aviso] Ciclo de vida no capturado ()", IF(ISNA(MATCH(O1552, Criterios!$D$123:$D$124, 0)), "Ciclo de vida no válido", ""))))</f>
        <v/>
      </c>
      <c r="AC1552" s="56" t="n"/>
      <c r="AD1552" s="51" t="n">
        <v>0</v>
      </c>
      <c r="AE1552" s="156" t="inlineStr">
        <is>
          <t>B25 STETSON.MX (3)</t>
        </is>
      </c>
      <c r="AF1552" s="51" t="n">
        <v>3</v>
      </c>
      <c r="AG1552" s="156" t="inlineStr">
        <is>
          <t>Catálogo existente</t>
        </is>
      </c>
      <c r="AH1552" s="156" t="inlineStr">
        <is>
          <t>Revisión 29/09/2026: Cruce de catálogo y criterios sin pendientes detectados | 01/10/2026: complementado desde Shopify Stetson México (match por código de barras): WB Fit, WB Silueta</t>
        </is>
      </c>
      <c r="AI1552" s="156" t="inlineStr">
        <is>
          <t>Sí</t>
        </is>
      </c>
      <c r="AJ1552" s="156" t="inlineStr">
        <is>
          <t>STETSON AMERICAS (-3)</t>
        </is>
      </c>
      <c r="AK1552" s="155" t="inlineStr">
        <is>
          <t>Criterios: I [Q] | Shopify Stetson: producto 14791362445675 / variante 53350603915627 | Odoo: producto 14245 / plantilla 17822</t>
        </is>
      </c>
      <c r="AL1552" s="58" t="n">
        <v>4331.25</v>
      </c>
      <c r="AM1552" s="58" t="n">
        <v>10344.82759</v>
      </c>
      <c r="AN1552" s="155" t="inlineStr">
        <is>
          <t>Shopify Stetson México | Odoo Universal Unique Brands</t>
        </is>
      </c>
      <c r="AO1552" s="59" t="n">
        <v>0</v>
      </c>
      <c r="AP1552" s="59" t="n"/>
      <c r="AQ1552" s="59" t="n">
        <v>4</v>
      </c>
      <c r="AR1552" s="155" t="inlineStr">
        <is>
          <t>Shopify Stetson México › Stetson México: 1 | Odoo Universal Unique Brands › Bodega 25 › Bodega 25/General: 4</t>
        </is>
      </c>
    </row>
    <row r="1553">
      <c r="A1553" s="50" t="inlineStr">
        <is>
          <t>883383031973</t>
        </is>
      </c>
      <c r="B1553" s="51" t="inlineStr">
        <is>
          <t>110068</t>
        </is>
      </c>
      <c r="C1553" s="156" t="inlineStr">
        <is>
          <t>Multimarca</t>
        </is>
      </c>
      <c r="D1553" s="156" t="inlineStr">
        <is>
          <t>SFSHAS-014007</t>
        </is>
      </c>
      <c r="E1553" s="156" t="inlineStr">
        <is>
          <t>SFSHAS-01400773</t>
        </is>
      </c>
      <c r="F1553" s="156" t="inlineStr">
        <is>
          <t>7 3/8</t>
        </is>
      </c>
      <c r="G1553" s="156" t="inlineStr">
        <is>
          <t>7 3/8</t>
        </is>
      </c>
      <c r="H1553" s="156" t="inlineStr">
        <is>
          <t>Stetson</t>
        </is>
      </c>
      <c r="I1553" s="156" t="inlineStr">
        <is>
          <t>Texana Stetson Shasta Negro</t>
        </is>
      </c>
      <c r="J1553" s="156" t="inlineStr">
        <is>
          <t>Accesorios</t>
        </is>
      </c>
      <c r="K1553" s="156" t="inlineStr">
        <is>
          <t>Sombreros</t>
        </is>
      </c>
      <c r="L1553" s="156" t="inlineStr">
        <is>
          <t>Unisex</t>
        </is>
      </c>
      <c r="M1553" s="156" t="inlineStr">
        <is>
          <t>Stetson</t>
        </is>
      </c>
      <c r="N1553" s="156" t="inlineStr">
        <is>
          <t>SS26</t>
        </is>
      </c>
      <c r="O1553" s="156" t="inlineStr">
        <is>
          <t>Seasonal</t>
        </is>
      </c>
      <c r="P1553" s="156" t="inlineStr">
        <is>
          <t>Negro</t>
        </is>
      </c>
      <c r="Q1553" s="156" t="n"/>
      <c r="R1553" s="156" t="inlineStr">
        <is>
          <t>Copa Cattleman</t>
        </is>
      </c>
      <c r="S1553" s="156" t="inlineStr">
        <is>
          <t>100% Fieltro de lana</t>
        </is>
      </c>
      <c r="T1553"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3" s="156" t="inlineStr">
        <is>
          <t>Estados Unidos</t>
        </is>
      </c>
      <c r="V1553" s="156" t="inlineStr">
        <is>
          <t>PZS</t>
        </is>
      </c>
      <c r="W1553" s="51" t="inlineStr">
        <is>
          <t>53102503</t>
        </is>
      </c>
      <c r="X1553" s="156" t="inlineStr">
        <is>
          <t>https://cdn.shopify.com/s/files/1/0888/3250/8267/files/SFSHAS-7540-07-67_5.png?v=1760377307</t>
        </is>
      </c>
      <c r="Y1553" s="54" t="n">
        <v>4331.25</v>
      </c>
      <c r="Z1553" s="54" t="n">
        <v>10344.82759</v>
      </c>
      <c r="AA1553" s="55">
        <f>IF(AND(A1553="", B1553="", E1553=""), "", IF(AB1553="", "Válido", IF((LEN(AB1553)-LEN(SUBSTITUTE(AB1553,"; ","")))/2+1&gt;(LEN(AB1553)-LEN(SUBSTITUTE(AB1553,"[Aviso]","")))/7, "Con Incidencias", "Válido")))</f>
        <v/>
      </c>
      <c r="AB1553" s="56">
        <f>IF(AND(A1553="", B1553="", E1553=""), "", TEXTJOIN("; ", TRUE, IF(OR(TRIM(A1553&amp;"")="", ISNUMBER(SEARCH("FALTA", A1553))), "UPC faltante/inválido", ""), IF(AND(A1553&lt;&gt;"", IFERROR(_xlfn.XMATCH(A1553,$A$2:$A$2509,0,1)&lt;&gt;_xlfn.XMATCH(A1553,$A$2:$A$2509,0,-1),FALSE)), "Código de barras duplicado", ""), IF(AND(E1553&lt;&gt;"", COUNTIF($E$2:$E$2509, E1553)&gt;1), "SKU duplicado", ""), IF(OR(J1553="", J1553=""), "[Aviso] División no capturada ()", IF(ISNA(MATCH(J1553, Criterios!$A$123:$A$126, 0)), "División no válida", "")), IF(OR(K1553="", K1553=""), "[Aviso] Categoría no capturada ()", IF(ISNA(MATCH(K1553, Criterios!$A$81:$A$120, 0)), "Categoría no válida", IF(AND(J1553&lt;&gt;"", J1553&lt;&gt;"", J1553&lt;&gt;VLOOKUP(K1553, Criterios!$A$81:$B$120, 2, FALSE)), "División no coincide con Categoría", ""))), IF(OR(L1553="", L1553=""), "[Aviso] Género no capturado ()", IF(ISNA(MATCH(L1553, Criterios!$B$123:$B$127, 0)), "Género no válido", "")), IF(OR(N1553="", N1553=""), "[Aviso] Temporada no capturada ()", IF(ISNA(MATCH(N1553, Criterios!$C$123:$C$128, 0)), "Temporada no válida", "")), IF(OR(O1553="", O1553=""), "[Aviso] Ciclo de vida no capturado ()", IF(ISNA(MATCH(O1553, Criterios!$D$123:$D$124, 0)), "Ciclo de vida no válido", ""))))</f>
        <v/>
      </c>
      <c r="AC1553" s="56" t="n"/>
      <c r="AD1553" s="51" t="n">
        <v>0</v>
      </c>
      <c r="AE1553" s="156" t="inlineStr">
        <is>
          <t>B25 STETSON.MX (2)</t>
        </is>
      </c>
      <c r="AF1553" s="51" t="n">
        <v>2</v>
      </c>
      <c r="AG1553" s="156" t="inlineStr">
        <is>
          <t>Catálogo existente</t>
        </is>
      </c>
      <c r="AH1553" s="156" t="inlineStr">
        <is>
          <t>Revisión 29/09/2026: Cruce de catálogo y criterios sin pendientes detectados | 01/10/2026: complementado desde Shopify Stetson México (match por código de barras): WB Fit, WB Silueta</t>
        </is>
      </c>
      <c r="AI1553" s="156" t="inlineStr">
        <is>
          <t>Sí</t>
        </is>
      </c>
      <c r="AJ1553" s="156" t="inlineStr">
        <is>
          <t>STETSON AMERICAS (-2)</t>
        </is>
      </c>
      <c r="AK1553" s="155" t="inlineStr">
        <is>
          <t>Criterios: I [Q] | Shopify Stetson: producto 14791362445675 / variante 53350603948395 | Odoo: producto 14246 / plantilla 17823</t>
        </is>
      </c>
      <c r="AL1553" s="58" t="n">
        <v>4331.25</v>
      </c>
      <c r="AM1553" s="58" t="n">
        <v>10344.82759</v>
      </c>
      <c r="AN1553" s="155" t="inlineStr">
        <is>
          <t>Shopify Stetson México | Odoo Universal Unique Brands</t>
        </is>
      </c>
      <c r="AO1553" s="59" t="n">
        <v>2</v>
      </c>
      <c r="AP1553" s="59" t="n"/>
      <c r="AQ1553" s="59" t="n">
        <v>4</v>
      </c>
      <c r="AR1553" s="155" t="inlineStr">
        <is>
          <t>Shopify Stetson México › Stetson México: 2 | Odoo Universal Unique Brands › Bodega 25 › Bodega 25/General: 4</t>
        </is>
      </c>
    </row>
    <row r="1554">
      <c r="A1554" s="50" t="inlineStr">
        <is>
          <t>883383031980</t>
        </is>
      </c>
      <c r="B1554" s="51" t="inlineStr">
        <is>
          <t>110069</t>
        </is>
      </c>
      <c r="C1554" s="156" t="inlineStr">
        <is>
          <t>Multimarca</t>
        </is>
      </c>
      <c r="D1554" s="156" t="inlineStr">
        <is>
          <t>SFSHAS-014007</t>
        </is>
      </c>
      <c r="E1554" s="156" t="inlineStr">
        <is>
          <t>SFSHAS-01400774</t>
        </is>
      </c>
      <c r="F1554" s="156" t="inlineStr">
        <is>
          <t>7 1/2</t>
        </is>
      </c>
      <c r="G1554" s="156" t="inlineStr">
        <is>
          <t>7 1/2</t>
        </is>
      </c>
      <c r="H1554" s="156" t="inlineStr">
        <is>
          <t>Stetson</t>
        </is>
      </c>
      <c r="I1554" s="156" t="inlineStr">
        <is>
          <t>Texana Stetson Shasta Negro</t>
        </is>
      </c>
      <c r="J1554" s="156" t="inlineStr">
        <is>
          <t>Accesorios</t>
        </is>
      </c>
      <c r="K1554" s="156" t="inlineStr">
        <is>
          <t>Sombreros</t>
        </is>
      </c>
      <c r="L1554" s="156" t="inlineStr">
        <is>
          <t>Unisex</t>
        </is>
      </c>
      <c r="M1554" s="156" t="inlineStr">
        <is>
          <t>Stetson</t>
        </is>
      </c>
      <c r="N1554" s="156" t="inlineStr">
        <is>
          <t>SS26</t>
        </is>
      </c>
      <c r="O1554" s="156" t="inlineStr">
        <is>
          <t>Seasonal</t>
        </is>
      </c>
      <c r="P1554" s="156" t="inlineStr">
        <is>
          <t>Negro</t>
        </is>
      </c>
      <c r="Q1554" s="156" t="n"/>
      <c r="R1554" s="156" t="inlineStr">
        <is>
          <t>Copa Cattleman</t>
        </is>
      </c>
      <c r="S1554" s="156" t="inlineStr">
        <is>
          <t>100% Fieltro de lana</t>
        </is>
      </c>
      <c r="T1554"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4" s="156" t="inlineStr">
        <is>
          <t>Estados Unidos</t>
        </is>
      </c>
      <c r="V1554" s="156" t="inlineStr">
        <is>
          <t>PZS</t>
        </is>
      </c>
      <c r="W1554" s="51" t="inlineStr">
        <is>
          <t>53102503</t>
        </is>
      </c>
      <c r="X1554" s="156" t="inlineStr">
        <is>
          <t>https://cdn.shopify.com/s/files/1/0888/3250/8267/files/SFSHAS-7540-07-67_6.png?v=1760377307</t>
        </is>
      </c>
      <c r="Y1554" s="54" t="n">
        <v>4331.25</v>
      </c>
      <c r="Z1554" s="54" t="n">
        <v>10344.82759</v>
      </c>
      <c r="AA1554" s="55">
        <f>IF(AND(A1554="", B1554="", E1554=""), "", IF(AB1554="", "Válido", IF((LEN(AB1554)-LEN(SUBSTITUTE(AB1554,"; ","")))/2+1&gt;(LEN(AB1554)-LEN(SUBSTITUTE(AB1554,"[Aviso]","")))/7, "Con Incidencias", "Válido")))</f>
        <v/>
      </c>
      <c r="AB1554" s="56">
        <f>IF(AND(A1554="", B1554="", E1554=""), "", TEXTJOIN("; ", TRUE, IF(OR(TRIM(A1554&amp;"")="", ISNUMBER(SEARCH("FALTA", A1554))), "UPC faltante/inválido", ""), IF(AND(A1554&lt;&gt;"", IFERROR(_xlfn.XMATCH(A1554,$A$2:$A$2509,0,1)&lt;&gt;_xlfn.XMATCH(A1554,$A$2:$A$2509,0,-1),FALSE)), "Código de barras duplicado", ""), IF(AND(E1554&lt;&gt;"", COUNTIF($E$2:$E$2509, E1554)&gt;1), "SKU duplicado", ""), IF(OR(J1554="", J1554=""), "[Aviso] División no capturada ()", IF(ISNA(MATCH(J1554, Criterios!$A$123:$A$126, 0)), "División no válida", "")), IF(OR(K1554="", K1554=""), "[Aviso] Categoría no capturada ()", IF(ISNA(MATCH(K1554, Criterios!$A$81:$A$120, 0)), "Categoría no válida", IF(AND(J1554&lt;&gt;"", J1554&lt;&gt;"", J1554&lt;&gt;VLOOKUP(K1554, Criterios!$A$81:$B$120, 2, FALSE)), "División no coincide con Categoría", ""))), IF(OR(L1554="", L1554=""), "[Aviso] Género no capturado ()", IF(ISNA(MATCH(L1554, Criterios!$B$123:$B$127, 0)), "Género no válido", "")), IF(OR(N1554="", N1554=""), "[Aviso] Temporada no capturada ()", IF(ISNA(MATCH(N1554, Criterios!$C$123:$C$128, 0)), "Temporada no válida", "")), IF(OR(O1554="", O1554=""), "[Aviso] Ciclo de vida no capturado ()", IF(ISNA(MATCH(O1554, Criterios!$D$123:$D$124, 0)), "Ciclo de vida no válido", ""))))</f>
        <v/>
      </c>
      <c r="AC1554" s="56" t="n"/>
      <c r="AD1554" s="51" t="n">
        <v>1</v>
      </c>
      <c r="AE1554" s="156" t="inlineStr">
        <is>
          <t>B25 STETSON.MX (1)</t>
        </is>
      </c>
      <c r="AF1554" s="51" t="n">
        <v>1</v>
      </c>
      <c r="AG1554" s="156" t="inlineStr">
        <is>
          <t>Catálogo existente</t>
        </is>
      </c>
      <c r="AH1554" s="156" t="inlineStr">
        <is>
          <t>Revisión 29/09/2026: Cruce de catálogo y criterios sin pendientes detectados | 01/10/2026: complementado desde Shopify Stetson México (match por código de barras): WB Fit, WB Silueta</t>
        </is>
      </c>
      <c r="AI1554" s="156" t="inlineStr">
        <is>
          <t>No</t>
        </is>
      </c>
      <c r="AJ1554" s="156" t="n"/>
      <c r="AK1554" s="155" t="inlineStr">
        <is>
          <t>Criterios: I [Q] | Shopify Stetson: producto 14791362445675 / variante 53350603981163 | Odoo: producto 14247 / plantilla 17824</t>
        </is>
      </c>
      <c r="AL1554" s="58" t="n">
        <v>4331.25</v>
      </c>
      <c r="AM1554" s="58" t="n">
        <v>10344.82759</v>
      </c>
      <c r="AN1554" s="155" t="inlineStr">
        <is>
          <t>Shopify Stetson México | Odoo Universal Unique Brands</t>
        </is>
      </c>
      <c r="AO1554" s="59" t="n">
        <v>1</v>
      </c>
      <c r="AP1554" s="59" t="n"/>
      <c r="AQ1554" s="59" t="n">
        <v>2</v>
      </c>
      <c r="AR1554" s="155" t="inlineStr">
        <is>
          <t>Shopify Stetson México › Stetson Americas: 1 | Odoo Universal Unique Brands › Bodega 25 › Bodega 25/General: 2</t>
        </is>
      </c>
    </row>
    <row r="1555">
      <c r="A1555" s="50" t="inlineStr">
        <is>
          <t>883383032840</t>
        </is>
      </c>
      <c r="B1555" s="51" t="inlineStr">
        <is>
          <t>117565</t>
        </is>
      </c>
      <c r="C1555" s="156" t="inlineStr">
        <is>
          <t>Multimarca</t>
        </is>
      </c>
      <c r="D1555" s="156" t="inlineStr">
        <is>
          <t>SFDMTE-484061</t>
        </is>
      </c>
      <c r="E1555" s="156" t="inlineStr">
        <is>
          <t>SFDMTE-48406171</t>
        </is>
      </c>
      <c r="F1555" s="156" t="inlineStr">
        <is>
          <t>7 1/8</t>
        </is>
      </c>
      <c r="G1555" s="156" t="inlineStr">
        <is>
          <t>7 1/8</t>
        </is>
      </c>
      <c r="H1555" s="156" t="inlineStr">
        <is>
          <t>Stetson</t>
        </is>
      </c>
      <c r="I1555" s="156" t="inlineStr">
        <is>
          <t>Texana Stetson Diamante 1000X Silverbelly</t>
        </is>
      </c>
      <c r="J1555" s="156" t="inlineStr">
        <is>
          <t>Accesorios</t>
        </is>
      </c>
      <c r="K1555" s="156" t="inlineStr">
        <is>
          <t>Sombreros</t>
        </is>
      </c>
      <c r="L1555" s="156" t="inlineStr">
        <is>
          <t>Unisex</t>
        </is>
      </c>
      <c r="M1555" s="156" t="inlineStr">
        <is>
          <t>Stetson</t>
        </is>
      </c>
      <c r="N1555" s="156" t="inlineStr">
        <is>
          <t>FW26</t>
        </is>
      </c>
      <c r="O1555" s="156" t="inlineStr">
        <is>
          <t>Seasonal</t>
        </is>
      </c>
      <c r="P1555" s="156" t="inlineStr">
        <is>
          <t>Gris</t>
        </is>
      </c>
      <c r="Q1555" s="156" t="n"/>
      <c r="R1555" s="156" t="inlineStr">
        <is>
          <t>Copa Cattleman</t>
        </is>
      </c>
      <c r="S1555" s="156" t="inlineStr">
        <is>
          <t>Fieltro de pelo 1000X (castor y chinchilla)</t>
        </is>
      </c>
      <c r="T1555" s="156" t="inlineStr">
        <is>
          <t>La Diamante 1000X es la pieza más exclusiva de Stetson: fieltro de pelo 1000X y una hebilla de oro de 14K con 26 diamantes genuinos, acompañada de su certificado de autenticidad numerado.
 Características:
 • Fieltro de pelo calidad 1000X.
 • Copa Cattleman de aprox. 11,7 cm (4 5/8").
 • Ala de aprox. 10,1 cm (4").
 • Toquilla de fieltro al tono con hebilla de oro de 14K de tres piezas y 26 diamantes genuinos.
 • Banda interior de piel Roan Premier.
 • Forro de satín dorado bordado Premium.
 • Estuche Stetson de piel repujada Premium.
 • Certificado de autenticidad numerado.
 Modelo: Stetson Diamante 1000X Premier
 Color: Silverbelly (color oficial Stetson: Silverbelly)
 Material: Fieltro de pelo calidad 1000X
 Fabricación: Hecho a mano en EE. UU.</t>
        </is>
      </c>
      <c r="U1555" s="156" t="inlineStr">
        <is>
          <t>Estados Unidos</t>
        </is>
      </c>
      <c r="V1555" s="156" t="inlineStr">
        <is>
          <t>PZS</t>
        </is>
      </c>
      <c r="W1555" s="51" t="inlineStr">
        <is>
          <t>53102516</t>
        </is>
      </c>
      <c r="X1555" s="156" t="inlineStr">
        <is>
          <t>https://cdn.shopify.com/s/files/1/0357/2432/9005/products/sfdmte-4840_silverbelly_1.jpg?v=1591243297</t>
        </is>
      </c>
      <c r="Y1555" s="54" t="n">
        <v>44100</v>
      </c>
      <c r="Z1555" s="54" t="n">
        <v>106034.4828</v>
      </c>
      <c r="AA1555" s="55">
        <f>IF(AND(A1555="", B1555="", E1555=""), "", IF(AB1555="", "Válido", IF((LEN(AB1555)-LEN(SUBSTITUTE(AB1555,"; ","")))/2+1&gt;(LEN(AB1555)-LEN(SUBSTITUTE(AB1555,"[Aviso]","")))/7, "Con Incidencias", "Válido")))</f>
        <v/>
      </c>
      <c r="AB1555" s="56">
        <f>IF(AND(A1555="", B1555="", E1555=""), "", TEXTJOIN("; ", TRUE, IF(OR(TRIM(A1555&amp;"")="", ISNUMBER(SEARCH("FALTA", A1555))), "UPC faltante/inválido", ""), IF(AND(A1555&lt;&gt;"", IFERROR(_xlfn.XMATCH(A1555,$A$2:$A$2509,0,1)&lt;&gt;_xlfn.XMATCH(A1555,$A$2:$A$2509,0,-1),FALSE)), "Código de barras duplicado", ""), IF(AND(E1555&lt;&gt;"", COUNTIF($E$2:$E$2509, E1555)&gt;1), "SKU duplicado", ""), IF(OR(J1555="", J1555=""), "[Aviso] División no capturada ()", IF(ISNA(MATCH(J1555, Criterios!$A$123:$A$126, 0)), "División no válida", "")), IF(OR(K1555="", K1555=""), "[Aviso] Categoría no capturada ()", IF(ISNA(MATCH(K1555, Criterios!$A$81:$A$120, 0)), "Categoría no válida", IF(AND(J1555&lt;&gt;"", J1555&lt;&gt;"", J1555&lt;&gt;VLOOKUP(K1555, Criterios!$A$81:$B$120, 2, FALSE)), "División no coincide con Categoría", ""))), IF(OR(L1555="", L1555=""), "[Aviso] Género no capturado ()", IF(ISNA(MATCH(L1555, Criterios!$B$123:$B$127, 0)), "Género no válido", "")), IF(OR(N1555="", N1555=""), "[Aviso] Temporada no capturada ()", IF(ISNA(MATCH(N1555, Criterios!$C$123:$C$128, 0)), "Temporada no válida", "")), IF(OR(O1555="", O1555=""), "[Aviso] Ciclo de vida no capturado ()", IF(ISNA(MATCH(O1555, Criterios!$D$123:$D$124, 0)), "Ciclo de vida no válido", ""))))</f>
        <v/>
      </c>
      <c r="AC1555" s="56" t="n"/>
      <c r="AD1555" s="51" t="n">
        <v>0</v>
      </c>
      <c r="AE1555" s="156" t="inlineStr">
        <is>
          <t>STETSON AMERICAS (1)</t>
        </is>
      </c>
      <c r="AF1555" s="51" t="n">
        <v>1</v>
      </c>
      <c r="AG1555" s="156" t="inlineStr">
        <is>
          <t>Catálogo existente</t>
        </is>
      </c>
      <c r="AH1555" s="156" t="inlineStr">
        <is>
          <t>Revisión 29/09/2026: Campos sin respaldo: X; Auditoría NetSuite 30/09/2026: Silueta NetSuite vacía | 01/10/2026: complementado desde Shopify Stetson México (match por código de barras): WB Fit, WB Silueta | Homologación G1522 06/10/2026: Enlace de imagen: «» → «https://cdn.shopify.com/s/files/1/0357/2432/9005/products/sfdmte-4840_silverbelly_1.jpg?v=1591243297» (Completado por investigación en línea)</t>
        </is>
      </c>
      <c r="AI1555" s="156" t="inlineStr">
        <is>
          <t>Sí</t>
        </is>
      </c>
      <c r="AJ1555" s="156" t="inlineStr">
        <is>
          <t>PUNTO DE VENTA (-1)</t>
        </is>
      </c>
      <c r="AK1555" s="155" t="inlineStr">
        <is>
          <t>Criterios: I [Q] | Shopify Stetson: producto 15227649589611 / variante 53791836406123 | Investigación en línea 06/10/2026: https://www.stetson.com/products/diamante-premier-cowboy-silverbelly</t>
        </is>
      </c>
      <c r="AL1555" s="58" t="n">
        <v>44100</v>
      </c>
      <c r="AM1555" s="58" t="n">
        <v>106034.4828</v>
      </c>
      <c r="AN1555" s="155" t="inlineStr">
        <is>
          <t>Shopify Stetson México</t>
        </is>
      </c>
      <c r="AO1555" s="59" t="n">
        <v>1</v>
      </c>
      <c r="AP1555" s="59" t="n"/>
      <c r="AQ1555" s="59" t="n"/>
      <c r="AR1555" s="155" t="inlineStr">
        <is>
          <t>Shopify Stetson México › Stetson Americas: 1</t>
        </is>
      </c>
    </row>
    <row r="1556">
      <c r="A1556" s="50" t="inlineStr">
        <is>
          <t>883383032857</t>
        </is>
      </c>
      <c r="B1556" s="51" t="inlineStr">
        <is>
          <t>117564</t>
        </is>
      </c>
      <c r="C1556" s="156" t="inlineStr">
        <is>
          <t>Multimarca</t>
        </is>
      </c>
      <c r="D1556" s="156" t="inlineStr">
        <is>
          <t>SFDMTE-484061</t>
        </is>
      </c>
      <c r="E1556" s="156" t="inlineStr">
        <is>
          <t>SFDMTE-48406172</t>
        </is>
      </c>
      <c r="F1556" s="156" t="inlineStr">
        <is>
          <t>7 1/4</t>
        </is>
      </c>
      <c r="G1556" s="156" t="inlineStr">
        <is>
          <t>7 1/4</t>
        </is>
      </c>
      <c r="H1556" s="156" t="inlineStr">
        <is>
          <t>Stetson</t>
        </is>
      </c>
      <c r="I1556" s="156" t="inlineStr">
        <is>
          <t>Texana Stetson Diamante 1000X Silverbelly</t>
        </is>
      </c>
      <c r="J1556" s="156" t="inlineStr">
        <is>
          <t>Accesorios</t>
        </is>
      </c>
      <c r="K1556" s="156" t="inlineStr">
        <is>
          <t>Sombreros</t>
        </is>
      </c>
      <c r="L1556" s="156" t="inlineStr">
        <is>
          <t>Unisex</t>
        </is>
      </c>
      <c r="M1556" s="156" t="inlineStr">
        <is>
          <t>Stetson</t>
        </is>
      </c>
      <c r="N1556" s="156" t="inlineStr">
        <is>
          <t>FW26</t>
        </is>
      </c>
      <c r="O1556" s="156" t="inlineStr">
        <is>
          <t>Seasonal</t>
        </is>
      </c>
      <c r="P1556" s="156" t="inlineStr">
        <is>
          <t>Gris</t>
        </is>
      </c>
      <c r="Q1556" s="156" t="n"/>
      <c r="R1556" s="156" t="inlineStr">
        <is>
          <t>Copa Cattleman</t>
        </is>
      </c>
      <c r="S1556" s="156" t="inlineStr">
        <is>
          <t>Fieltro de pelo 1000X (castor y chinchilla)</t>
        </is>
      </c>
      <c r="T1556" s="156" t="inlineStr">
        <is>
          <t>La Diamante 1000X es la pieza más exclusiva de Stetson: fieltro de pelo 1000X y una hebilla de oro de 14K con 26 diamantes genuinos, acompañada de su certificado de autenticidad numerado.
 Características:
 • Fieltro de pelo calidad 1000X.
 • Copa Cattleman de aprox. 11,7 cm (4 5/8").
 • Ala de aprox. 10,1 cm (4").
 • Toquilla de fieltro al tono con hebilla de oro de 14K de tres piezas y 26 diamantes genuinos.
 • Banda interior de piel Roan Premier.
 • Forro de satín dorado bordado Premium.
 • Estuche Stetson de piel repujada Premium.
 • Certificado de autenticidad numerado.
 Modelo: Stetson Diamante 1000X Premier
 Color: Silverbelly (color oficial Stetson: Silverbelly)
 Material: Fieltro de pelo calidad 1000X
 Fabricación: Hecho a mano en EE. UU.</t>
        </is>
      </c>
      <c r="U1556" s="156" t="inlineStr">
        <is>
          <t>Estados Unidos</t>
        </is>
      </c>
      <c r="V1556" s="156" t="inlineStr">
        <is>
          <t>PZS</t>
        </is>
      </c>
      <c r="W1556" s="51" t="inlineStr">
        <is>
          <t>53102516</t>
        </is>
      </c>
      <c r="X1556" s="156" t="inlineStr">
        <is>
          <t>https://cdn.shopify.com/s/files/1/0357/2432/9005/products/sfdmte-4840_silverbelly_1.jpg?v=1591243297</t>
        </is>
      </c>
      <c r="Y1556" s="54" t="n">
        <v>44100</v>
      </c>
      <c r="Z1556" s="54" t="n">
        <v>106034.4828</v>
      </c>
      <c r="AA1556" s="55">
        <f>IF(AND(A1556="", B1556="", E1556=""), "", IF(AB1556="", "Válido", IF((LEN(AB1556)-LEN(SUBSTITUTE(AB1556,"; ","")))/2+1&gt;(LEN(AB1556)-LEN(SUBSTITUTE(AB1556,"[Aviso]","")))/7, "Con Incidencias", "Válido")))</f>
        <v/>
      </c>
      <c r="AB1556" s="56">
        <f>IF(AND(A1556="", B1556="", E1556=""), "", TEXTJOIN("; ", TRUE, IF(OR(TRIM(A1556&amp;"")="", ISNUMBER(SEARCH("FALTA", A1556))), "UPC faltante/inválido", ""), IF(AND(A1556&lt;&gt;"", IFERROR(_xlfn.XMATCH(A1556,$A$2:$A$2509,0,1)&lt;&gt;_xlfn.XMATCH(A1556,$A$2:$A$2509,0,-1),FALSE)), "Código de barras duplicado", ""), IF(AND(E1556&lt;&gt;"", COUNTIF($E$2:$E$2509, E1556)&gt;1), "SKU duplicado", ""), IF(OR(J1556="", J1556=""), "[Aviso] División no capturada ()", IF(ISNA(MATCH(J1556, Criterios!$A$123:$A$126, 0)), "División no válida", "")), IF(OR(K1556="", K1556=""), "[Aviso] Categoría no capturada ()", IF(ISNA(MATCH(K1556, Criterios!$A$81:$A$120, 0)), "Categoría no válida", IF(AND(J1556&lt;&gt;"", J1556&lt;&gt;"", J1556&lt;&gt;VLOOKUP(K1556, Criterios!$A$81:$B$120, 2, FALSE)), "División no coincide con Categoría", ""))), IF(OR(L1556="", L1556=""), "[Aviso] Género no capturado ()", IF(ISNA(MATCH(L1556, Criterios!$B$123:$B$127, 0)), "Género no válido", "")), IF(OR(N1556="", N1556=""), "[Aviso] Temporada no capturada ()", IF(ISNA(MATCH(N1556, Criterios!$C$123:$C$128, 0)), "Temporada no válida", "")), IF(OR(O1556="", O1556=""), "[Aviso] Ciclo de vida no capturado ()", IF(ISNA(MATCH(O1556, Criterios!$D$123:$D$124, 0)), "Ciclo de vida no válido", ""))))</f>
        <v/>
      </c>
      <c r="AC1556" s="56" t="n"/>
      <c r="AD1556" s="51" t="n">
        <v>0</v>
      </c>
      <c r="AE1556" s="156" t="inlineStr">
        <is>
          <t>STETSON AMERICAS (1)</t>
        </is>
      </c>
      <c r="AF1556" s="51" t="n">
        <v>1</v>
      </c>
      <c r="AG1556" s="156" t="inlineStr">
        <is>
          <t>Catálogo existente</t>
        </is>
      </c>
      <c r="AH1556" s="156" t="inlineStr">
        <is>
          <t>Revisión 29/09/2026: Campos sin respaldo: X; Auditoría NetSuite 30/09/2026: Silueta NetSuite vacía | 01/10/2026: complementado desde Shopify Stetson México (match por código de barras): WB Fit, WB Silueta | Homologación G1522 06/10/2026: Enlace de imagen: «» → «https://cdn.shopify.com/s/files/1/0357/2432/9005/products/sfdmte-4840_silverbelly_1.jpg?v=1591243297» (Completado por investigación en línea)</t>
        </is>
      </c>
      <c r="AI1556" s="156" t="inlineStr">
        <is>
          <t>Sí</t>
        </is>
      </c>
      <c r="AJ1556" s="156" t="inlineStr">
        <is>
          <t>PUNTO DE VENTA (-1)</t>
        </is>
      </c>
      <c r="AK1556" s="155" t="inlineStr">
        <is>
          <t>Criterios: I [Q] | Shopify Stetson: producto 15227649589611 / variante 53791836438891 | Investigación en línea 06/10/2026: https://www.stetson.com/products/diamante-premier-cowboy-silverbelly</t>
        </is>
      </c>
      <c r="AL1556" s="58" t="n">
        <v>44100</v>
      </c>
      <c r="AM1556" s="58" t="n">
        <v>106034.4828</v>
      </c>
      <c r="AN1556" s="155" t="inlineStr">
        <is>
          <t>Shopify Stetson México</t>
        </is>
      </c>
      <c r="AO1556" s="59" t="n">
        <v>1</v>
      </c>
      <c r="AP1556" s="59" t="n"/>
      <c r="AQ1556" s="59" t="n"/>
      <c r="AR1556" s="155" t="inlineStr">
        <is>
          <t>Shopify Stetson México › Stetson Americas: 1</t>
        </is>
      </c>
    </row>
    <row r="1557">
      <c r="A1557" s="50" t="inlineStr">
        <is>
          <t>883383034554</t>
        </is>
      </c>
      <c r="B1557" s="51" t="inlineStr">
        <is>
          <t>110104</t>
        </is>
      </c>
      <c r="C1557" s="156" t="inlineStr">
        <is>
          <t>Multimarca</t>
        </is>
      </c>
      <c r="D1557" s="156" t="inlineStr">
        <is>
          <t>SFSKYL-754007</t>
        </is>
      </c>
      <c r="E1557" s="156" t="inlineStr">
        <is>
          <t>SFSKYL-75400767</t>
        </is>
      </c>
      <c r="F1557" s="156" t="inlineStr">
        <is>
          <t>6 7/8</t>
        </is>
      </c>
      <c r="G1557" s="156" t="inlineStr">
        <is>
          <t>6 7/8</t>
        </is>
      </c>
      <c r="H1557" s="156" t="inlineStr">
        <is>
          <t>Stetson</t>
        </is>
      </c>
      <c r="I1557" s="156" t="inlineStr">
        <is>
          <t>Sombrero Stetson Skyline 6X Cowboy</t>
        </is>
      </c>
      <c r="J1557" s="156" t="inlineStr">
        <is>
          <t>Accesorios</t>
        </is>
      </c>
      <c r="K1557" s="156" t="inlineStr">
        <is>
          <t>Sombreros</t>
        </is>
      </c>
      <c r="L1557" s="156" t="inlineStr">
        <is>
          <t>Unisex</t>
        </is>
      </c>
      <c r="M1557" s="156" t="inlineStr">
        <is>
          <t>Stetson</t>
        </is>
      </c>
      <c r="N1557" s="156" t="inlineStr">
        <is>
          <t>SS26</t>
        </is>
      </c>
      <c r="O1557" s="156" t="inlineStr">
        <is>
          <t>Seasonal</t>
        </is>
      </c>
      <c r="P1557" s="156" t="inlineStr">
        <is>
          <t>Negro</t>
        </is>
      </c>
      <c r="Q1557" s="156" t="n"/>
      <c r="R1557" s="156" t="inlineStr">
        <is>
          <t>Copa Cattleman</t>
        </is>
      </c>
      <c r="S1557" s="156" t="inlineStr">
        <is>
          <t>100% Paja</t>
        </is>
      </c>
      <c r="T155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7" s="156" t="inlineStr">
        <is>
          <t>Estados Unidos</t>
        </is>
      </c>
      <c r="V1557" s="156" t="inlineStr">
        <is>
          <t>PZS</t>
        </is>
      </c>
      <c r="W1557" s="51" t="inlineStr">
        <is>
          <t>53102503</t>
        </is>
      </c>
      <c r="X1557" s="156" t="inlineStr">
        <is>
          <t>https://cdn.shopify.com/s/files/1/0888/3250/8267/files/SFSKYL-7540-07-64-02_9406b0a2-6cc9-4695-8e78-8e77cba4f500.png?v=1759515855</t>
        </is>
      </c>
      <c r="Y1557" s="54" t="n">
        <v>2756.25</v>
      </c>
      <c r="Z1557" s="54" t="n">
        <v>6724.137931</v>
      </c>
      <c r="AA1557" s="55">
        <f>IF(AND(A1557="", B1557="", E1557=""), "", IF(AB1557="", "Válido", IF((LEN(AB1557)-LEN(SUBSTITUTE(AB1557,"; ","")))/2+1&gt;(LEN(AB1557)-LEN(SUBSTITUTE(AB1557,"[Aviso]","")))/7, "Con Incidencias", "Válido")))</f>
        <v/>
      </c>
      <c r="AB1557" s="56">
        <f>IF(AND(A1557="", B1557="", E1557=""), "", TEXTJOIN("; ", TRUE, IF(OR(TRIM(A1557&amp;"")="", ISNUMBER(SEARCH("FALTA", A1557))), "UPC faltante/inválido", ""), IF(AND(A1557&lt;&gt;"", IFERROR(_xlfn.XMATCH(A1557,$A$2:$A$2509,0,1)&lt;&gt;_xlfn.XMATCH(A1557,$A$2:$A$2509,0,-1),FALSE)), "Código de barras duplicado", ""), IF(AND(E1557&lt;&gt;"", COUNTIF($E$2:$E$2509, E1557)&gt;1), "SKU duplicado", ""), IF(OR(J1557="", J1557=""), "[Aviso] División no capturada ()", IF(ISNA(MATCH(J1557, Criterios!$A$123:$A$126, 0)), "División no válida", "")), IF(OR(K1557="", K1557=""), "[Aviso] Categoría no capturada ()", IF(ISNA(MATCH(K1557, Criterios!$A$81:$A$120, 0)), "Categoría no válida", IF(AND(J1557&lt;&gt;"", J1557&lt;&gt;"", J1557&lt;&gt;VLOOKUP(K1557, Criterios!$A$81:$B$120, 2, FALSE)), "División no coincide con Categoría", ""))), IF(OR(L1557="", L1557=""), "[Aviso] Género no capturado ()", IF(ISNA(MATCH(L1557, Criterios!$B$123:$B$127, 0)), "Género no válido", "")), IF(OR(N1557="", N1557=""), "[Aviso] Temporada no capturada ()", IF(ISNA(MATCH(N1557, Criterios!$C$123:$C$128, 0)), "Temporada no válida", "")), IF(OR(O1557="", O1557=""), "[Aviso] Ciclo de vida no capturado ()", IF(ISNA(MATCH(O1557, Criterios!$D$123:$D$124, 0)), "Ciclo de vida no válido", ""))))</f>
        <v/>
      </c>
      <c r="AC1557" s="56" t="n"/>
      <c r="AD1557" s="51" t="n">
        <v>-1</v>
      </c>
      <c r="AE1557" s="156" t="n"/>
      <c r="AF1557" s="51" t="n">
        <v>0</v>
      </c>
      <c r="AG1557" s="156" t="inlineStr">
        <is>
          <t>Catálogo existente</t>
        </is>
      </c>
      <c r="AH1557" s="156" t="inlineStr">
        <is>
          <t>Stock negativo en sistema: revisar en conteo | Revisión 29/09/2026: Cruce de catálogo y criterios sin pendientes detectados | 01/10/2026: complementado desde Shopify Stetson México (match por código de barras): WB Fit, WB Silueta</t>
        </is>
      </c>
      <c r="AI1557" s="156" t="inlineStr">
        <is>
          <t>Sí</t>
        </is>
      </c>
      <c r="AJ1557" s="156" t="inlineStr">
        <is>
          <t>STETSON AMERICAS (-1)</t>
        </is>
      </c>
      <c r="AK1557" s="155" t="inlineStr">
        <is>
          <t>Criterios: I [Q] | Shopify Stetson: producto 14786559836523 / variante 53350611911019</t>
        </is>
      </c>
      <c r="AL1557" s="58" t="n">
        <v>2756.25</v>
      </c>
      <c r="AM1557" s="58" t="n">
        <v>6724.137931</v>
      </c>
      <c r="AN1557" s="155" t="inlineStr">
        <is>
          <t>Shopify Stetson México</t>
        </is>
      </c>
      <c r="AO1557" s="59" t="n">
        <v>0</v>
      </c>
      <c r="AP1557" s="59" t="n"/>
      <c r="AQ1557" s="59" t="n"/>
      <c r="AR1557" s="155" t="n"/>
    </row>
    <row r="1558">
      <c r="A1558" s="50" t="inlineStr">
        <is>
          <t>883383034561</t>
        </is>
      </c>
      <c r="B1558" s="51" t="inlineStr">
        <is>
          <t>110105</t>
        </is>
      </c>
      <c r="C1558" s="156" t="inlineStr">
        <is>
          <t>Multimarca</t>
        </is>
      </c>
      <c r="D1558" s="156" t="inlineStr">
        <is>
          <t>SFSKYL-754007</t>
        </is>
      </c>
      <c r="E1558" s="156" t="inlineStr">
        <is>
          <t>SFSKYL-75400770</t>
        </is>
      </c>
      <c r="F1558" s="156" t="inlineStr">
        <is>
          <t>7</t>
        </is>
      </c>
      <c r="G1558" s="156" t="inlineStr">
        <is>
          <t>7</t>
        </is>
      </c>
      <c r="H1558" s="156" t="inlineStr">
        <is>
          <t>Stetson</t>
        </is>
      </c>
      <c r="I1558" s="156" t="inlineStr">
        <is>
          <t>Sombrero Stetson Skyline 6X Cowboy</t>
        </is>
      </c>
      <c r="J1558" s="156" t="inlineStr">
        <is>
          <t>Accesorios</t>
        </is>
      </c>
      <c r="K1558" s="156" t="inlineStr">
        <is>
          <t>Sombreros</t>
        </is>
      </c>
      <c r="L1558" s="156" t="inlineStr">
        <is>
          <t>Unisex</t>
        </is>
      </c>
      <c r="M1558" s="156" t="inlineStr">
        <is>
          <t>Stetson</t>
        </is>
      </c>
      <c r="N1558" s="156" t="inlineStr">
        <is>
          <t>SS26</t>
        </is>
      </c>
      <c r="O1558" s="156" t="inlineStr">
        <is>
          <t>Seasonal</t>
        </is>
      </c>
      <c r="P1558" s="156" t="inlineStr">
        <is>
          <t>Negro</t>
        </is>
      </c>
      <c r="Q1558" s="156" t="n"/>
      <c r="R1558" s="156" t="inlineStr">
        <is>
          <t>Copa Cattleman</t>
        </is>
      </c>
      <c r="S1558" s="156" t="inlineStr">
        <is>
          <t>100% Paja</t>
        </is>
      </c>
      <c r="T155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8" s="156" t="inlineStr">
        <is>
          <t>Estados Unidos</t>
        </is>
      </c>
      <c r="V1558" s="156" t="inlineStr">
        <is>
          <t>PZS</t>
        </is>
      </c>
      <c r="W1558" s="51" t="inlineStr">
        <is>
          <t>53102503</t>
        </is>
      </c>
      <c r="X1558" s="156" t="inlineStr">
        <is>
          <t>https://cdn.shopify.com/s/files/1/0888/3250/8267/files/SFSKYL-7540-07-64-02.png?v=1759515835</t>
        </is>
      </c>
      <c r="Y1558" s="54" t="n">
        <v>2756.25</v>
      </c>
      <c r="Z1558" s="54" t="n">
        <v>6724.137931</v>
      </c>
      <c r="AA1558" s="55">
        <f>IF(AND(A1558="", B1558="", E1558=""), "", IF(AB1558="", "Válido", IF((LEN(AB1558)-LEN(SUBSTITUTE(AB1558,"; ","")))/2+1&gt;(LEN(AB1558)-LEN(SUBSTITUTE(AB1558,"[Aviso]","")))/7, "Con Incidencias", "Válido")))</f>
        <v/>
      </c>
      <c r="AB1558" s="56">
        <f>IF(AND(A1558="", B1558="", E1558=""), "", TEXTJOIN("; ", TRUE, IF(OR(TRIM(A1558&amp;"")="", ISNUMBER(SEARCH("FALTA", A1558))), "UPC faltante/inválido", ""), IF(AND(A1558&lt;&gt;"", IFERROR(_xlfn.XMATCH(A1558,$A$2:$A$2509,0,1)&lt;&gt;_xlfn.XMATCH(A1558,$A$2:$A$2509,0,-1),FALSE)), "Código de barras duplicado", ""), IF(AND(E1558&lt;&gt;"", COUNTIF($E$2:$E$2509, E1558)&gt;1), "SKU duplicado", ""), IF(OR(J1558="", J1558=""), "[Aviso] División no capturada ()", IF(ISNA(MATCH(J1558, Criterios!$A$123:$A$126, 0)), "División no válida", "")), IF(OR(K1558="", K1558=""), "[Aviso] Categoría no capturada ()", IF(ISNA(MATCH(K1558, Criterios!$A$81:$A$120, 0)), "Categoría no válida", IF(AND(J1558&lt;&gt;"", J1558&lt;&gt;"", J1558&lt;&gt;VLOOKUP(K1558, Criterios!$A$81:$B$120, 2, FALSE)), "División no coincide con Categoría", ""))), IF(OR(L1558="", L1558=""), "[Aviso] Género no capturado ()", IF(ISNA(MATCH(L1558, Criterios!$B$123:$B$127, 0)), "Género no válido", "")), IF(OR(N1558="", N1558=""), "[Aviso] Temporada no capturada ()", IF(ISNA(MATCH(N1558, Criterios!$C$123:$C$128, 0)), "Temporada no válida", "")), IF(OR(O1558="", O1558=""), "[Aviso] Ciclo de vida no capturado ()", IF(ISNA(MATCH(O1558, Criterios!$D$123:$D$124, 0)), "Ciclo de vida no válido", ""))))</f>
        <v/>
      </c>
      <c r="AC1558" s="56" t="n"/>
      <c r="AD1558" s="51" t="n">
        <v>1</v>
      </c>
      <c r="AE1558" s="156" t="inlineStr">
        <is>
          <t>PUNTO DE VENTA (1)</t>
        </is>
      </c>
      <c r="AF1558" s="51" t="n">
        <v>1</v>
      </c>
      <c r="AG1558" s="156" t="inlineStr">
        <is>
          <t>Catálogo existente</t>
        </is>
      </c>
      <c r="AH1558" s="156" t="inlineStr">
        <is>
          <t>Revisión 29/09/2026: Cruce de catálogo y criterios sin pendientes detectados | 01/10/2026: complementado desde Shopify Stetson México (match por código de barras): WB Fit, WB Silueta</t>
        </is>
      </c>
      <c r="AI1558" s="156" t="inlineStr">
        <is>
          <t>No</t>
        </is>
      </c>
      <c r="AJ1558" s="156" t="n"/>
      <c r="AK1558" s="155" t="inlineStr">
        <is>
          <t>Criterios: I [Q] | Shopify Stetson: producto 14786559836523 / variante 53350611943787</t>
        </is>
      </c>
      <c r="AL1558" s="58" t="n">
        <v>2756.25</v>
      </c>
      <c r="AM1558" s="58" t="n">
        <v>6724.137931</v>
      </c>
      <c r="AN1558" s="155" t="inlineStr">
        <is>
          <t>Shopify Stetson México</t>
        </is>
      </c>
      <c r="AO1558" s="59" t="n">
        <v>1</v>
      </c>
      <c r="AP1558" s="59" t="n"/>
      <c r="AQ1558" s="59" t="n"/>
      <c r="AR1558" s="155" t="inlineStr">
        <is>
          <t>Shopify Stetson México › Stetson Americas: 1</t>
        </is>
      </c>
    </row>
    <row r="1559">
      <c r="A1559" s="50" t="inlineStr">
        <is>
          <t>883383034578</t>
        </is>
      </c>
      <c r="B1559" s="51" t="inlineStr">
        <is>
          <t>110106</t>
        </is>
      </c>
      <c r="C1559" s="156" t="inlineStr">
        <is>
          <t>Multimarca</t>
        </is>
      </c>
      <c r="D1559" s="156" t="inlineStr">
        <is>
          <t>SFSKYL-754007</t>
        </is>
      </c>
      <c r="E1559" s="156" t="inlineStr">
        <is>
          <t>SFSKYL-75400771</t>
        </is>
      </c>
      <c r="F1559" s="156" t="inlineStr">
        <is>
          <t>7 1/8</t>
        </is>
      </c>
      <c r="G1559" s="156" t="inlineStr">
        <is>
          <t>7 1/8</t>
        </is>
      </c>
      <c r="H1559" s="156" t="inlineStr">
        <is>
          <t>Stetson</t>
        </is>
      </c>
      <c r="I1559" s="156" t="inlineStr">
        <is>
          <t>Sombrero Stetson Skyline 6X Cowboy</t>
        </is>
      </c>
      <c r="J1559" s="156" t="inlineStr">
        <is>
          <t>Accesorios</t>
        </is>
      </c>
      <c r="K1559" s="156" t="inlineStr">
        <is>
          <t>Sombreros</t>
        </is>
      </c>
      <c r="L1559" s="156" t="inlineStr">
        <is>
          <t>Unisex</t>
        </is>
      </c>
      <c r="M1559" s="156" t="inlineStr">
        <is>
          <t>Stetson</t>
        </is>
      </c>
      <c r="N1559" s="156" t="inlineStr">
        <is>
          <t>SS26</t>
        </is>
      </c>
      <c r="O1559" s="156" t="inlineStr">
        <is>
          <t>Seasonal</t>
        </is>
      </c>
      <c r="P1559" s="156" t="inlineStr">
        <is>
          <t>Negro</t>
        </is>
      </c>
      <c r="Q1559" s="156" t="n"/>
      <c r="R1559" s="156" t="inlineStr">
        <is>
          <t>Copa Cattleman</t>
        </is>
      </c>
      <c r="S1559" s="156" t="inlineStr">
        <is>
          <t>100% Paja</t>
        </is>
      </c>
      <c r="T155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9" s="156" t="inlineStr">
        <is>
          <t>Estados Unidos</t>
        </is>
      </c>
      <c r="V1559" s="156" t="inlineStr">
        <is>
          <t>PZS</t>
        </is>
      </c>
      <c r="W1559" s="51" t="inlineStr">
        <is>
          <t>53102503</t>
        </is>
      </c>
      <c r="X1559" s="156" t="inlineStr">
        <is>
          <t>https://cdn.shopify.com/s/files/1/0888/3250/8267/files/SFSKYL-7540-07-64-03.png?v=1759515855</t>
        </is>
      </c>
      <c r="Y1559" s="54" t="n">
        <v>2756.25</v>
      </c>
      <c r="Z1559" s="54" t="n">
        <v>6724.137931</v>
      </c>
      <c r="AA1559" s="55">
        <f>IF(AND(A1559="", B1559="", E1559=""), "", IF(AB1559="", "Válido", IF((LEN(AB1559)-LEN(SUBSTITUTE(AB1559,"; ","")))/2+1&gt;(LEN(AB1559)-LEN(SUBSTITUTE(AB1559,"[Aviso]","")))/7, "Con Incidencias", "Válido")))</f>
        <v/>
      </c>
      <c r="AB1559" s="56">
        <f>IF(AND(A1559="", B1559="", E1559=""), "", TEXTJOIN("; ", TRUE, IF(OR(TRIM(A1559&amp;"")="", ISNUMBER(SEARCH("FALTA", A1559))), "UPC faltante/inválido", ""), IF(AND(A1559&lt;&gt;"", IFERROR(_xlfn.XMATCH(A1559,$A$2:$A$2509,0,1)&lt;&gt;_xlfn.XMATCH(A1559,$A$2:$A$2509,0,-1),FALSE)), "Código de barras duplicado", ""), IF(AND(E1559&lt;&gt;"", COUNTIF($E$2:$E$2509, E1559)&gt;1), "SKU duplicado", ""), IF(OR(J1559="", J1559=""), "[Aviso] División no capturada ()", IF(ISNA(MATCH(J1559, Criterios!$A$123:$A$126, 0)), "División no válida", "")), IF(OR(K1559="", K1559=""), "[Aviso] Categoría no capturada ()", IF(ISNA(MATCH(K1559, Criterios!$A$81:$A$120, 0)), "Categoría no válida", IF(AND(J1559&lt;&gt;"", J1559&lt;&gt;"", J1559&lt;&gt;VLOOKUP(K1559, Criterios!$A$81:$B$120, 2, FALSE)), "División no coincide con Categoría", ""))), IF(OR(L1559="", L1559=""), "[Aviso] Género no capturado ()", IF(ISNA(MATCH(L1559, Criterios!$B$123:$B$127, 0)), "Género no válido", "")), IF(OR(N1559="", N1559=""), "[Aviso] Temporada no capturada ()", IF(ISNA(MATCH(N1559, Criterios!$C$123:$C$128, 0)), "Temporada no válida", "")), IF(OR(O1559="", O1559=""), "[Aviso] Ciclo de vida no capturado ()", IF(ISNA(MATCH(O1559, Criterios!$D$123:$D$124, 0)), "Ciclo de vida no válido", ""))))</f>
        <v/>
      </c>
      <c r="AC1559" s="56" t="n"/>
      <c r="AD1559" s="51" t="n">
        <v>-2</v>
      </c>
      <c r="AE1559" s="156" t="n"/>
      <c r="AF1559" s="51" t="n">
        <v>0</v>
      </c>
      <c r="AG1559" s="156" t="inlineStr">
        <is>
          <t>Catálogo existente</t>
        </is>
      </c>
      <c r="AH1559" s="156" t="inlineStr">
        <is>
          <t>Stock negativo en sistema: revisar en conteo | Revisión 29/09/2026: Cruce de catálogo y criterios sin pendientes detectados | 01/10/2026: complementado desde Shopify Stetson México (match por código de barras): WB Fit, WB Silueta</t>
        </is>
      </c>
      <c r="AI1559" s="156" t="inlineStr">
        <is>
          <t>Sí</t>
        </is>
      </c>
      <c r="AJ1559" s="156" t="inlineStr">
        <is>
          <t>STETSON AMERICAS (-1); PUNTO DE VENTA (-1)</t>
        </is>
      </c>
      <c r="AK1559" s="155" t="inlineStr">
        <is>
          <t>Criterios: I [Q] | Shopify Stetson: producto 14786559836523 / variante 53350611976555</t>
        </is>
      </c>
      <c r="AL1559" s="58" t="n">
        <v>2756.25</v>
      </c>
      <c r="AM1559" s="58" t="n">
        <v>6724.137931</v>
      </c>
      <c r="AN1559" s="155" t="inlineStr">
        <is>
          <t>Shopify Stetson México</t>
        </is>
      </c>
      <c r="AO1559" s="59" t="n">
        <v>0</v>
      </c>
      <c r="AP1559" s="59" t="n"/>
      <c r="AQ1559" s="59" t="n"/>
      <c r="AR1559" s="155" t="n"/>
    </row>
    <row r="1560">
      <c r="A1560" s="50" t="inlineStr">
        <is>
          <t>883383034585</t>
        </is>
      </c>
      <c r="B1560" s="51" t="inlineStr">
        <is>
          <t>110107</t>
        </is>
      </c>
      <c r="C1560" s="156" t="inlineStr">
        <is>
          <t>Multimarca</t>
        </is>
      </c>
      <c r="D1560" s="156" t="inlineStr">
        <is>
          <t>SFSKYL-754007</t>
        </is>
      </c>
      <c r="E1560" s="156" t="inlineStr">
        <is>
          <t>SFSKYL-75400772</t>
        </is>
      </c>
      <c r="F1560" s="156" t="inlineStr">
        <is>
          <t>7 1/4</t>
        </is>
      </c>
      <c r="G1560" s="156" t="inlineStr">
        <is>
          <t>7 1/4</t>
        </is>
      </c>
      <c r="H1560" s="156" t="inlineStr">
        <is>
          <t>Stetson</t>
        </is>
      </c>
      <c r="I1560" s="156" t="inlineStr">
        <is>
          <t>Sombrero Stetson Skyline 6X Cowboy</t>
        </is>
      </c>
      <c r="J1560" s="156" t="inlineStr">
        <is>
          <t>Accesorios</t>
        </is>
      </c>
      <c r="K1560" s="156" t="inlineStr">
        <is>
          <t>Sombreros</t>
        </is>
      </c>
      <c r="L1560" s="156" t="inlineStr">
        <is>
          <t>Unisex</t>
        </is>
      </c>
      <c r="M1560" s="156" t="inlineStr">
        <is>
          <t>Stetson</t>
        </is>
      </c>
      <c r="N1560" s="156" t="inlineStr">
        <is>
          <t>SS26</t>
        </is>
      </c>
      <c r="O1560" s="156" t="inlineStr">
        <is>
          <t>Seasonal</t>
        </is>
      </c>
      <c r="P1560" s="156" t="inlineStr">
        <is>
          <t>Negro</t>
        </is>
      </c>
      <c r="Q1560" s="156" t="n"/>
      <c r="R1560" s="156" t="inlineStr">
        <is>
          <t>Copa Cattleman</t>
        </is>
      </c>
      <c r="S1560" s="156" t="inlineStr">
        <is>
          <t>100% Paja</t>
        </is>
      </c>
      <c r="T156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0" s="156" t="inlineStr">
        <is>
          <t>Estados Unidos</t>
        </is>
      </c>
      <c r="V1560" s="156" t="inlineStr">
        <is>
          <t>PZS</t>
        </is>
      </c>
      <c r="W1560" s="51" t="inlineStr">
        <is>
          <t>53102503</t>
        </is>
      </c>
      <c r="X1560" s="156" t="inlineStr">
        <is>
          <t>https://cdn.shopify.com/s/files/1/0888/3250/8267/files/SFSKYL-7540-07-64-01.png?v=1759515812</t>
        </is>
      </c>
      <c r="Y1560" s="54" t="n">
        <v>2756.25</v>
      </c>
      <c r="Z1560" s="54" t="n">
        <v>6724.137931</v>
      </c>
      <c r="AA1560" s="55">
        <f>IF(AND(A1560="", B1560="", E1560=""), "", IF(AB1560="", "Válido", IF((LEN(AB1560)-LEN(SUBSTITUTE(AB1560,"; ","")))/2+1&gt;(LEN(AB1560)-LEN(SUBSTITUTE(AB1560,"[Aviso]","")))/7, "Con Incidencias", "Válido")))</f>
        <v/>
      </c>
      <c r="AB1560" s="56">
        <f>IF(AND(A1560="", B1560="", E1560=""), "", TEXTJOIN("; ", TRUE, IF(OR(TRIM(A1560&amp;"")="", ISNUMBER(SEARCH("FALTA", A1560))), "UPC faltante/inválido", ""), IF(AND(A1560&lt;&gt;"", IFERROR(_xlfn.XMATCH(A1560,$A$2:$A$2509,0,1)&lt;&gt;_xlfn.XMATCH(A1560,$A$2:$A$2509,0,-1),FALSE)), "Código de barras duplicado", ""), IF(AND(E1560&lt;&gt;"", COUNTIF($E$2:$E$2509, E1560)&gt;1), "SKU duplicado", ""), IF(OR(J1560="", J1560=""), "[Aviso] División no capturada ()", IF(ISNA(MATCH(J1560, Criterios!$A$123:$A$126, 0)), "División no válida", "")), IF(OR(K1560="", K1560=""), "[Aviso] Categoría no capturada ()", IF(ISNA(MATCH(K1560, Criterios!$A$81:$A$120, 0)), "Categoría no válida", IF(AND(J1560&lt;&gt;"", J1560&lt;&gt;"", J1560&lt;&gt;VLOOKUP(K1560, Criterios!$A$81:$B$120, 2, FALSE)), "División no coincide con Categoría", ""))), IF(OR(L1560="", L1560=""), "[Aviso] Género no capturado ()", IF(ISNA(MATCH(L1560, Criterios!$B$123:$B$127, 0)), "Género no válido", "")), IF(OR(N1560="", N1560=""), "[Aviso] Temporada no capturada ()", IF(ISNA(MATCH(N1560, Criterios!$C$123:$C$128, 0)), "Temporada no válida", "")), IF(OR(O1560="", O1560=""), "[Aviso] Ciclo de vida no capturado ()", IF(ISNA(MATCH(O1560, Criterios!$D$123:$D$124, 0)), "Ciclo de vida no válido", ""))))</f>
        <v/>
      </c>
      <c r="AC1560" s="56" t="n"/>
      <c r="AD1560" s="51" t="n">
        <v>-1</v>
      </c>
      <c r="AE1560" s="156" t="n"/>
      <c r="AF1560" s="51" t="n">
        <v>0</v>
      </c>
      <c r="AG1560" s="156" t="inlineStr">
        <is>
          <t>Catálogo existente</t>
        </is>
      </c>
      <c r="AH1560" s="156" t="inlineStr">
        <is>
          <t>Stock negativo en sistema: revisar en conteo | Revisión 29/09/2026: Cruce de catálogo y criterios sin pendientes detectados | 01/10/2026: complementado desde Shopify Stetson México (match por código de barras): WB Fit, WB Silueta</t>
        </is>
      </c>
      <c r="AI1560" s="156" t="inlineStr">
        <is>
          <t>Sí</t>
        </is>
      </c>
      <c r="AJ1560" s="156" t="inlineStr">
        <is>
          <t>STETSON AMERICAS (-1)</t>
        </is>
      </c>
      <c r="AK1560" s="155" t="inlineStr">
        <is>
          <t>Criterios: I [Q] | Shopify Stetson: producto 14786559836523 / variante 53350612009323</t>
        </is>
      </c>
      <c r="AL1560" s="58" t="n">
        <v>2756.25</v>
      </c>
      <c r="AM1560" s="58" t="n">
        <v>6724.137931</v>
      </c>
      <c r="AN1560" s="155" t="inlineStr">
        <is>
          <t>Shopify Stetson México</t>
        </is>
      </c>
      <c r="AO1560" s="59" t="n">
        <v>1</v>
      </c>
      <c r="AP1560" s="59" t="n"/>
      <c r="AQ1560" s="59" t="n"/>
      <c r="AR1560" s="155" t="inlineStr">
        <is>
          <t>Shopify Stetson México › Eventos: 1</t>
        </is>
      </c>
    </row>
    <row r="1561">
      <c r="A1561" s="50" t="inlineStr">
        <is>
          <t>883383034592</t>
        </is>
      </c>
      <c r="B1561" s="51" t="inlineStr">
        <is>
          <t>110108</t>
        </is>
      </c>
      <c r="C1561" s="156" t="inlineStr">
        <is>
          <t>Multimarca</t>
        </is>
      </c>
      <c r="D1561" s="156" t="inlineStr">
        <is>
          <t>SFSKYL-754007</t>
        </is>
      </c>
      <c r="E1561" s="156" t="inlineStr">
        <is>
          <t>SFSKYL-75400773</t>
        </is>
      </c>
      <c r="F1561" s="156" t="inlineStr">
        <is>
          <t>7 3/8</t>
        </is>
      </c>
      <c r="G1561" s="156" t="inlineStr">
        <is>
          <t>7 3/8</t>
        </is>
      </c>
      <c r="H1561" s="156" t="inlineStr">
        <is>
          <t>Stetson</t>
        </is>
      </c>
      <c r="I1561" s="156" t="inlineStr">
        <is>
          <t>Sombrero Stetson Skyline 6X Cowboy</t>
        </is>
      </c>
      <c r="J1561" s="156" t="inlineStr">
        <is>
          <t>Accesorios</t>
        </is>
      </c>
      <c r="K1561" s="156" t="inlineStr">
        <is>
          <t>Sombreros</t>
        </is>
      </c>
      <c r="L1561" s="156" t="inlineStr">
        <is>
          <t>Unisex</t>
        </is>
      </c>
      <c r="M1561" s="156" t="inlineStr">
        <is>
          <t>Stetson</t>
        </is>
      </c>
      <c r="N1561" s="156" t="inlineStr">
        <is>
          <t>SS26</t>
        </is>
      </c>
      <c r="O1561" s="156" t="inlineStr">
        <is>
          <t>Seasonal</t>
        </is>
      </c>
      <c r="P1561" s="156" t="inlineStr">
        <is>
          <t>Negro</t>
        </is>
      </c>
      <c r="Q1561" s="156" t="n"/>
      <c r="R1561" s="156" t="inlineStr">
        <is>
          <t>Copa Cattleman</t>
        </is>
      </c>
      <c r="S1561" s="156" t="inlineStr">
        <is>
          <t>100% Paja</t>
        </is>
      </c>
      <c r="T156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1" s="156" t="inlineStr">
        <is>
          <t>Estados Unidos</t>
        </is>
      </c>
      <c r="V1561" s="156" t="inlineStr">
        <is>
          <t>PZS</t>
        </is>
      </c>
      <c r="W1561" s="51" t="inlineStr">
        <is>
          <t>53102503</t>
        </is>
      </c>
      <c r="X1561" s="156" t="inlineStr">
        <is>
          <t>https://cdn.shopify.com/s/files/1/0888/3250/8267/files/SFSKYL-7540-07-64-08.png?v=1759515856</t>
        </is>
      </c>
      <c r="Y1561" s="54" t="n">
        <v>2756.25</v>
      </c>
      <c r="Z1561" s="54" t="n">
        <v>6724.137931</v>
      </c>
      <c r="AA1561" s="55">
        <f>IF(AND(A1561="", B1561="", E1561=""), "", IF(AB1561="", "Válido", IF((LEN(AB1561)-LEN(SUBSTITUTE(AB1561,"; ","")))/2+1&gt;(LEN(AB1561)-LEN(SUBSTITUTE(AB1561,"[Aviso]","")))/7, "Con Incidencias", "Válido")))</f>
        <v/>
      </c>
      <c r="AB1561" s="56">
        <f>IF(AND(A1561="", B1561="", E1561=""), "", TEXTJOIN("; ", TRUE, IF(OR(TRIM(A1561&amp;"")="", ISNUMBER(SEARCH("FALTA", A1561))), "UPC faltante/inválido", ""), IF(AND(A1561&lt;&gt;"", IFERROR(_xlfn.XMATCH(A1561,$A$2:$A$2509,0,1)&lt;&gt;_xlfn.XMATCH(A1561,$A$2:$A$2509,0,-1),FALSE)), "Código de barras duplicado", ""), IF(AND(E1561&lt;&gt;"", COUNTIF($E$2:$E$2509, E1561)&gt;1), "SKU duplicado", ""), IF(OR(J1561="", J1561=""), "[Aviso] División no capturada ()", IF(ISNA(MATCH(J1561, Criterios!$A$123:$A$126, 0)), "División no válida", "")), IF(OR(K1561="", K1561=""), "[Aviso] Categoría no capturada ()", IF(ISNA(MATCH(K1561, Criterios!$A$81:$A$120, 0)), "Categoría no válida", IF(AND(J1561&lt;&gt;"", J1561&lt;&gt;"", J1561&lt;&gt;VLOOKUP(K1561, Criterios!$A$81:$B$120, 2, FALSE)), "División no coincide con Categoría", ""))), IF(OR(L1561="", L1561=""), "[Aviso] Género no capturado ()", IF(ISNA(MATCH(L1561, Criterios!$B$123:$B$127, 0)), "Género no válido", "")), IF(OR(N1561="", N1561=""), "[Aviso] Temporada no capturada ()", IF(ISNA(MATCH(N1561, Criterios!$C$123:$C$128, 0)), "Temporada no válida", "")), IF(OR(O1561="", O1561=""), "[Aviso] Ciclo de vida no capturado ()", IF(ISNA(MATCH(O1561, Criterios!$D$123:$D$124, 0)), "Ciclo de vida no válido", ""))))</f>
        <v/>
      </c>
      <c r="AC1561" s="56" t="n"/>
      <c r="AD1561" s="51" t="n">
        <v>-1</v>
      </c>
      <c r="AE1561" s="156" t="n"/>
      <c r="AF1561" s="51" t="n">
        <v>0</v>
      </c>
      <c r="AG1561" s="156" t="inlineStr">
        <is>
          <t>Catálogo existente</t>
        </is>
      </c>
      <c r="AH1561" s="156" t="inlineStr">
        <is>
          <t>Stock negativo en sistema: revisar en conteo | Revisión 29/09/2026: Cruce de catálogo y criterios sin pendientes detectados | 01/10/2026: complementado desde Shopify Stetson México (match por código de barras): WB Fit, WB Silueta</t>
        </is>
      </c>
      <c r="AI1561" s="156" t="inlineStr">
        <is>
          <t>Sí</t>
        </is>
      </c>
      <c r="AJ1561" s="156" t="inlineStr">
        <is>
          <t>STETSON AMERICAS (-1)</t>
        </is>
      </c>
      <c r="AK1561" s="155" t="inlineStr">
        <is>
          <t>Criterios: I [Q] | Shopify Stetson: producto 14786559836523 / variante 53350612042091</t>
        </is>
      </c>
      <c r="AL1561" s="58" t="n">
        <v>2756.25</v>
      </c>
      <c r="AM1561" s="58" t="n">
        <v>6724.137931</v>
      </c>
      <c r="AN1561" s="155" t="inlineStr">
        <is>
          <t>Shopify Stetson México</t>
        </is>
      </c>
      <c r="AO1561" s="59" t="n">
        <v>0</v>
      </c>
      <c r="AP1561" s="59" t="n"/>
      <c r="AQ1561" s="59" t="n"/>
      <c r="AR1561" s="155" t="n"/>
    </row>
    <row r="1562">
      <c r="A1562" s="50" t="inlineStr">
        <is>
          <t>883383034608</t>
        </is>
      </c>
      <c r="B1562" s="51" t="inlineStr">
        <is>
          <t>110109</t>
        </is>
      </c>
      <c r="C1562" s="156" t="inlineStr">
        <is>
          <t>Multimarca</t>
        </is>
      </c>
      <c r="D1562" s="156" t="inlineStr">
        <is>
          <t>SFSKYL-754007</t>
        </is>
      </c>
      <c r="E1562" s="156" t="inlineStr">
        <is>
          <t>SFSKYL-75400774</t>
        </is>
      </c>
      <c r="F1562" s="156" t="inlineStr">
        <is>
          <t>7 1/2</t>
        </is>
      </c>
      <c r="G1562" s="156" t="inlineStr">
        <is>
          <t>7 1/2</t>
        </is>
      </c>
      <c r="H1562" s="156" t="inlineStr">
        <is>
          <t>Stetson</t>
        </is>
      </c>
      <c r="I1562" s="156" t="inlineStr">
        <is>
          <t>Sombrero Stetson Skyline 6X Cowboy</t>
        </is>
      </c>
      <c r="J1562" s="156" t="inlineStr">
        <is>
          <t>Accesorios</t>
        </is>
      </c>
      <c r="K1562" s="156" t="inlineStr">
        <is>
          <t>Sombreros</t>
        </is>
      </c>
      <c r="L1562" s="156" t="inlineStr">
        <is>
          <t>Unisex</t>
        </is>
      </c>
      <c r="M1562" s="156" t="inlineStr">
        <is>
          <t>Stetson</t>
        </is>
      </c>
      <c r="N1562" s="156" t="inlineStr">
        <is>
          <t>SS26</t>
        </is>
      </c>
      <c r="O1562" s="156" t="inlineStr">
        <is>
          <t>Seasonal</t>
        </is>
      </c>
      <c r="P1562" s="156" t="inlineStr">
        <is>
          <t>Negro</t>
        </is>
      </c>
      <c r="Q1562" s="156" t="n"/>
      <c r="R1562" s="156" t="inlineStr">
        <is>
          <t>Copa Cattleman</t>
        </is>
      </c>
      <c r="S1562" s="156" t="inlineStr">
        <is>
          <t>100% Paja</t>
        </is>
      </c>
      <c r="T156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2" s="156" t="inlineStr">
        <is>
          <t>Estados Unidos</t>
        </is>
      </c>
      <c r="V1562" s="156" t="inlineStr">
        <is>
          <t>PZS</t>
        </is>
      </c>
      <c r="W1562" s="51" t="inlineStr">
        <is>
          <t>53102503</t>
        </is>
      </c>
      <c r="X1562" s="156" t="inlineStr">
        <is>
          <t>https://cdn.shopify.com/s/files/1/0888/3250/8267/files/SFSKYL-7540-07-64-06.png?v=1759515856</t>
        </is>
      </c>
      <c r="Y1562" s="54" t="n">
        <v>2756.25</v>
      </c>
      <c r="Z1562" s="54" t="n">
        <v>6724.137931</v>
      </c>
      <c r="AA1562" s="55">
        <f>IF(AND(A1562="", B1562="", E1562=""), "", IF(AB1562="", "Válido", IF((LEN(AB1562)-LEN(SUBSTITUTE(AB1562,"; ","")))/2+1&gt;(LEN(AB1562)-LEN(SUBSTITUTE(AB1562,"[Aviso]","")))/7, "Con Incidencias", "Válido")))</f>
        <v/>
      </c>
      <c r="AB1562" s="56">
        <f>IF(AND(A1562="", B1562="", E1562=""), "", TEXTJOIN("; ", TRUE, IF(OR(TRIM(A1562&amp;"")="", ISNUMBER(SEARCH("FALTA", A1562))), "UPC faltante/inválido", ""), IF(AND(A1562&lt;&gt;"", IFERROR(_xlfn.XMATCH(A1562,$A$2:$A$2509,0,1)&lt;&gt;_xlfn.XMATCH(A1562,$A$2:$A$2509,0,-1),FALSE)), "Código de barras duplicado", ""), IF(AND(E1562&lt;&gt;"", COUNTIF($E$2:$E$2509, E1562)&gt;1), "SKU duplicado", ""), IF(OR(J1562="", J1562=""), "[Aviso] División no capturada ()", IF(ISNA(MATCH(J1562, Criterios!$A$123:$A$126, 0)), "División no válida", "")), IF(OR(K1562="", K1562=""), "[Aviso] Categoría no capturada ()", IF(ISNA(MATCH(K1562, Criterios!$A$81:$A$120, 0)), "Categoría no válida", IF(AND(J1562&lt;&gt;"", J1562&lt;&gt;"", J1562&lt;&gt;VLOOKUP(K1562, Criterios!$A$81:$B$120, 2, FALSE)), "División no coincide con Categoría", ""))), IF(OR(L1562="", L1562=""), "[Aviso] Género no capturado ()", IF(ISNA(MATCH(L1562, Criterios!$B$123:$B$127, 0)), "Género no válido", "")), IF(OR(N1562="", N1562=""), "[Aviso] Temporada no capturada ()", IF(ISNA(MATCH(N1562, Criterios!$C$123:$C$128, 0)), "Temporada no válida", "")), IF(OR(O1562="", O1562=""), "[Aviso] Ciclo de vida no capturado ()", IF(ISNA(MATCH(O1562, Criterios!$D$123:$D$124, 0)), "Ciclo de vida no válido", ""))))</f>
        <v/>
      </c>
      <c r="AC1562" s="56" t="n"/>
      <c r="AD1562" s="51" t="n">
        <v>0</v>
      </c>
      <c r="AE1562" s="156" t="n"/>
      <c r="AF1562" s="51" t="n">
        <v>0</v>
      </c>
      <c r="AG1562" s="156" t="inlineStr">
        <is>
          <t>Catálogo existente</t>
        </is>
      </c>
      <c r="AH1562" s="156" t="inlineStr">
        <is>
          <t>Revisión 29/09/2026: Cruce de catálogo y criterios sin pendientes detectados | 01/10/2026: complementado desde Shopify Stetson México (match por código de barras): WB Fit, WB Silueta</t>
        </is>
      </c>
      <c r="AI1562" s="156" t="inlineStr">
        <is>
          <t>No</t>
        </is>
      </c>
      <c r="AJ1562" s="156" t="n"/>
      <c r="AK1562" s="155" t="inlineStr">
        <is>
          <t>Criterios: I [Q] | Shopify Stetson: producto 14786559836523 / variante 53350612074859</t>
        </is>
      </c>
      <c r="AL1562" s="58" t="n">
        <v>2756.25</v>
      </c>
      <c r="AM1562" s="58" t="n">
        <v>6724.137931</v>
      </c>
      <c r="AN1562" s="155" t="inlineStr">
        <is>
          <t>Shopify Stetson México</t>
        </is>
      </c>
      <c r="AO1562" s="59" t="n">
        <v>0</v>
      </c>
      <c r="AP1562" s="59" t="n"/>
      <c r="AQ1562" s="59" t="n"/>
      <c r="AR1562" s="155" t="n"/>
    </row>
    <row r="1563">
      <c r="A1563" s="50" t="inlineStr">
        <is>
          <t>883383049534</t>
        </is>
      </c>
      <c r="B1563" s="51" t="inlineStr">
        <is>
          <t>110110</t>
        </is>
      </c>
      <c r="C1563" s="156" t="inlineStr">
        <is>
          <t>Multimarca</t>
        </is>
      </c>
      <c r="D1563" s="156" t="inlineStr">
        <is>
          <t>SFSKYL-754022</t>
        </is>
      </c>
      <c r="E1563" s="156" t="inlineStr">
        <is>
          <t>SFSKYL-75402267</t>
        </is>
      </c>
      <c r="F1563" s="156" t="inlineStr">
        <is>
          <t>6 7/8</t>
        </is>
      </c>
      <c r="G1563" s="156" t="inlineStr">
        <is>
          <t>6 7/8</t>
        </is>
      </c>
      <c r="H1563" s="156" t="inlineStr">
        <is>
          <t>Stetson</t>
        </is>
      </c>
      <c r="I1563" s="156" t="inlineStr">
        <is>
          <t>Sombrero Stetson Skyline 6X Cowboy</t>
        </is>
      </c>
      <c r="J1563" s="156" t="inlineStr">
        <is>
          <t>Accesorios</t>
        </is>
      </c>
      <c r="K1563" s="156" t="inlineStr">
        <is>
          <t>Sombreros</t>
        </is>
      </c>
      <c r="L1563" s="156" t="inlineStr">
        <is>
          <t>Unisex</t>
        </is>
      </c>
      <c r="M1563" s="156" t="inlineStr">
        <is>
          <t>Stetson</t>
        </is>
      </c>
      <c r="N1563" s="156" t="inlineStr">
        <is>
          <t>SS26</t>
        </is>
      </c>
      <c r="O1563" s="156" t="inlineStr">
        <is>
          <t>Seasonal</t>
        </is>
      </c>
      <c r="P1563" s="156" t="inlineStr">
        <is>
          <t>Cafe</t>
        </is>
      </c>
      <c r="Q1563" s="156" t="n"/>
      <c r="R1563" s="156" t="inlineStr">
        <is>
          <t>Copa Cattleman</t>
        </is>
      </c>
      <c r="S1563" s="156" t="inlineStr">
        <is>
          <t>100% Paja</t>
        </is>
      </c>
      <c r="T156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3" s="156" t="inlineStr">
        <is>
          <t>Estados Unidos</t>
        </is>
      </c>
      <c r="V1563" s="156" t="inlineStr">
        <is>
          <t>PZS</t>
        </is>
      </c>
      <c r="W1563" s="51" t="inlineStr">
        <is>
          <t>53102503</t>
        </is>
      </c>
      <c r="X1563" s="156" t="inlineStr">
        <is>
          <t>https://cdn.shopify.com/s/files/1/0888/3250/8267/files/SFSKYL-7540-22-64_2.png?v=1759516457</t>
        </is>
      </c>
      <c r="Y1563" s="54" t="n">
        <v>2756.25</v>
      </c>
      <c r="Z1563" s="54" t="n">
        <v>6724.137931</v>
      </c>
      <c r="AA1563" s="55">
        <f>IF(AND(A1563="", B1563="", E1563=""), "", IF(AB1563="", "Válido", IF((LEN(AB1563)-LEN(SUBSTITUTE(AB1563,"; ","")))/2+1&gt;(LEN(AB1563)-LEN(SUBSTITUTE(AB1563,"[Aviso]","")))/7, "Con Incidencias", "Válido")))</f>
        <v/>
      </c>
      <c r="AB1563" s="56">
        <f>IF(AND(A1563="", B1563="", E1563=""), "", TEXTJOIN("; ", TRUE, IF(OR(TRIM(A1563&amp;"")="", ISNUMBER(SEARCH("FALTA", A1563))), "UPC faltante/inválido", ""), IF(AND(A1563&lt;&gt;"", IFERROR(_xlfn.XMATCH(A1563,$A$2:$A$2509,0,1)&lt;&gt;_xlfn.XMATCH(A1563,$A$2:$A$2509,0,-1),FALSE)), "Código de barras duplicado", ""), IF(AND(E1563&lt;&gt;"", COUNTIF($E$2:$E$2509, E1563)&gt;1), "SKU duplicado", ""), IF(OR(J1563="", J1563=""), "[Aviso] División no capturada ()", IF(ISNA(MATCH(J1563, Criterios!$A$123:$A$126, 0)), "División no válida", "")), IF(OR(K1563="", K1563=""), "[Aviso] Categoría no capturada ()", IF(ISNA(MATCH(K1563, Criterios!$A$81:$A$120, 0)), "Categoría no válida", IF(AND(J1563&lt;&gt;"", J1563&lt;&gt;"", J1563&lt;&gt;VLOOKUP(K1563, Criterios!$A$81:$B$120, 2, FALSE)), "División no coincide con Categoría", ""))), IF(OR(L1563="", L1563=""), "[Aviso] Género no capturado ()", IF(ISNA(MATCH(L1563, Criterios!$B$123:$B$127, 0)), "Género no válido", "")), IF(OR(N1563="", N1563=""), "[Aviso] Temporada no capturada ()", IF(ISNA(MATCH(N1563, Criterios!$C$123:$C$128, 0)), "Temporada no válida", "")), IF(OR(O1563="", O1563=""), "[Aviso] Ciclo de vida no capturado ()", IF(ISNA(MATCH(O1563, Criterios!$D$123:$D$124, 0)), "Ciclo de vida no válido", ""))))</f>
        <v/>
      </c>
      <c r="AC1563" s="56" t="n"/>
      <c r="AD1563" s="51" t="n">
        <v>0</v>
      </c>
      <c r="AE1563" s="156" t="n"/>
      <c r="AF1563" s="51" t="n">
        <v>0</v>
      </c>
      <c r="AG1563" s="156" t="inlineStr">
        <is>
          <t>Catálogo existente</t>
        </is>
      </c>
      <c r="AH1563" s="156" t="inlineStr">
        <is>
          <t>Revisión 29/09/2026: Cruce de catálogo y criterios sin pendientes detectados | 01/10/2026: complementado desde Shopify Stetson México (match por código de barras): WB Fit, WB Silueta</t>
        </is>
      </c>
      <c r="AI1563" s="156" t="inlineStr">
        <is>
          <t>No</t>
        </is>
      </c>
      <c r="AJ1563" s="156" t="n"/>
      <c r="AK1563" s="155" t="inlineStr">
        <is>
          <t>Criterios: I [Q] | Shopify Stetson: producto 14786559836523 / variante 53350612107627</t>
        </is>
      </c>
      <c r="AL1563" s="58" t="n">
        <v>2756.25</v>
      </c>
      <c r="AM1563" s="58" t="n">
        <v>6724.137931</v>
      </c>
      <c r="AN1563" s="155" t="inlineStr">
        <is>
          <t>Shopify Stetson México</t>
        </is>
      </c>
      <c r="AO1563" s="59" t="n">
        <v>0</v>
      </c>
      <c r="AP1563" s="59" t="n"/>
      <c r="AQ1563" s="59" t="n"/>
      <c r="AR1563" s="155" t="n"/>
    </row>
    <row r="1564">
      <c r="A1564" s="50" t="inlineStr">
        <is>
          <t>883383049541</t>
        </is>
      </c>
      <c r="B1564" s="51" t="inlineStr">
        <is>
          <t>110111</t>
        </is>
      </c>
      <c r="C1564" s="156" t="inlineStr">
        <is>
          <t>Multimarca</t>
        </is>
      </c>
      <c r="D1564" s="156" t="inlineStr">
        <is>
          <t>SFSKYL-754022</t>
        </is>
      </c>
      <c r="E1564" s="156" t="inlineStr">
        <is>
          <t>SFSKYL-75402270</t>
        </is>
      </c>
      <c r="F1564" s="156" t="inlineStr">
        <is>
          <t>7</t>
        </is>
      </c>
      <c r="G1564" s="156" t="inlineStr">
        <is>
          <t>7</t>
        </is>
      </c>
      <c r="H1564" s="156" t="inlineStr">
        <is>
          <t>Stetson</t>
        </is>
      </c>
      <c r="I1564" s="156" t="inlineStr">
        <is>
          <t>Sombrero Stetson Skyline 6X Cowboy</t>
        </is>
      </c>
      <c r="J1564" s="156" t="inlineStr">
        <is>
          <t>Accesorios</t>
        </is>
      </c>
      <c r="K1564" s="156" t="inlineStr">
        <is>
          <t>Sombreros</t>
        </is>
      </c>
      <c r="L1564" s="156" t="inlineStr">
        <is>
          <t>Unisex</t>
        </is>
      </c>
      <c r="M1564" s="156" t="inlineStr">
        <is>
          <t>Stetson</t>
        </is>
      </c>
      <c r="N1564" s="156" t="inlineStr">
        <is>
          <t>SS26</t>
        </is>
      </c>
      <c r="O1564" s="156" t="inlineStr">
        <is>
          <t>Seasonal</t>
        </is>
      </c>
      <c r="P1564" s="156" t="inlineStr">
        <is>
          <t>Cafe</t>
        </is>
      </c>
      <c r="Q1564" s="156" t="n"/>
      <c r="R1564" s="156" t="inlineStr">
        <is>
          <t>Copa Cattleman</t>
        </is>
      </c>
      <c r="S1564" s="156" t="inlineStr">
        <is>
          <t>100% Paja</t>
        </is>
      </c>
      <c r="T156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4" s="156" t="inlineStr">
        <is>
          <t>Estados Unidos</t>
        </is>
      </c>
      <c r="V1564" s="156" t="inlineStr">
        <is>
          <t>PZS</t>
        </is>
      </c>
      <c r="W1564" s="51" t="inlineStr">
        <is>
          <t>53102503</t>
        </is>
      </c>
      <c r="X1564" s="156" t="inlineStr">
        <is>
          <t>https://cdn.shopify.com/s/files/1/0888/3250/8267/files/SFSKYL-7540-22-64_4.png?v=1759516457</t>
        </is>
      </c>
      <c r="Y1564" s="54" t="n">
        <v>2756.25</v>
      </c>
      <c r="Z1564" s="54" t="n">
        <v>6724.137931</v>
      </c>
      <c r="AA1564" s="55">
        <f>IF(AND(A1564="", B1564="", E1564=""), "", IF(AB1564="", "Válido", IF((LEN(AB1564)-LEN(SUBSTITUTE(AB1564,"; ","")))/2+1&gt;(LEN(AB1564)-LEN(SUBSTITUTE(AB1564,"[Aviso]","")))/7, "Con Incidencias", "Válido")))</f>
        <v/>
      </c>
      <c r="AB1564" s="56">
        <f>IF(AND(A1564="", B1564="", E1564=""), "", TEXTJOIN("; ", TRUE, IF(OR(TRIM(A1564&amp;"")="", ISNUMBER(SEARCH("FALTA", A1564))), "UPC faltante/inválido", ""), IF(AND(A1564&lt;&gt;"", IFERROR(_xlfn.XMATCH(A1564,$A$2:$A$2509,0,1)&lt;&gt;_xlfn.XMATCH(A1564,$A$2:$A$2509,0,-1),FALSE)), "Código de barras duplicado", ""), IF(AND(E1564&lt;&gt;"", COUNTIF($E$2:$E$2509, E1564)&gt;1), "SKU duplicado", ""), IF(OR(J1564="", J1564=""), "[Aviso] División no capturada ()", IF(ISNA(MATCH(J1564, Criterios!$A$123:$A$126, 0)), "División no válida", "")), IF(OR(K1564="", K1564=""), "[Aviso] Categoría no capturada ()", IF(ISNA(MATCH(K1564, Criterios!$A$81:$A$120, 0)), "Categoría no válida", IF(AND(J1564&lt;&gt;"", J1564&lt;&gt;"", J1564&lt;&gt;VLOOKUP(K1564, Criterios!$A$81:$B$120, 2, FALSE)), "División no coincide con Categoría", ""))), IF(OR(L1564="", L1564=""), "[Aviso] Género no capturado ()", IF(ISNA(MATCH(L1564, Criterios!$B$123:$B$127, 0)), "Género no válido", "")), IF(OR(N1564="", N1564=""), "[Aviso] Temporada no capturada ()", IF(ISNA(MATCH(N1564, Criterios!$C$123:$C$128, 0)), "Temporada no válida", "")), IF(OR(O1564="", O1564=""), "[Aviso] Ciclo de vida no capturado ()", IF(ISNA(MATCH(O1564, Criterios!$D$123:$D$124, 0)), "Ciclo de vida no válido", ""))))</f>
        <v/>
      </c>
      <c r="AC1564" s="56" t="n"/>
      <c r="AD1564" s="51" t="n">
        <v>0</v>
      </c>
      <c r="AE1564" s="156" t="inlineStr">
        <is>
          <t>B25 STETSON.MX (1)</t>
        </is>
      </c>
      <c r="AF1564" s="51" t="n">
        <v>1</v>
      </c>
      <c r="AG1564" s="156" t="inlineStr">
        <is>
          <t>Catálogo existente</t>
        </is>
      </c>
      <c r="AH1564" s="156" t="inlineStr">
        <is>
          <t>Revisión 29/09/2026: Cruce de catálogo y criterios sin pendientes detectados | 01/10/2026: complementado desde Shopify Stetson México (match por código de barras): WB Fit, WB Silueta</t>
        </is>
      </c>
      <c r="AI1564" s="156" t="inlineStr">
        <is>
          <t>Sí</t>
        </is>
      </c>
      <c r="AJ1564" s="156" t="inlineStr">
        <is>
          <t>PUNTO DE VENTA (-1)</t>
        </is>
      </c>
      <c r="AK1564" s="155" t="inlineStr">
        <is>
          <t>Criterios: I [Q] | Shopify Stetson: producto 14786559836523 / variante 53350612140395</t>
        </is>
      </c>
      <c r="AL1564" s="58" t="n">
        <v>2756.25</v>
      </c>
      <c r="AM1564" s="58" t="n">
        <v>6724.137931</v>
      </c>
      <c r="AN1564" s="155" t="inlineStr">
        <is>
          <t>Shopify Stetson México</t>
        </is>
      </c>
      <c r="AO1564" s="59" t="n">
        <v>3</v>
      </c>
      <c r="AP1564" s="59" t="n"/>
      <c r="AQ1564" s="59" t="n"/>
      <c r="AR1564" s="155" t="inlineStr">
        <is>
          <t>Shopify Stetson México › Stetson México: 1 | Shopify Stetson México › Stetson Americas: 2</t>
        </is>
      </c>
    </row>
    <row r="1565">
      <c r="A1565" s="50" t="inlineStr">
        <is>
          <t>883383049558</t>
        </is>
      </c>
      <c r="B1565" s="51" t="inlineStr">
        <is>
          <t>110112</t>
        </is>
      </c>
      <c r="C1565" s="156" t="inlineStr">
        <is>
          <t>Multimarca</t>
        </is>
      </c>
      <c r="D1565" s="156" t="inlineStr">
        <is>
          <t>SFSKYL-754022</t>
        </is>
      </c>
      <c r="E1565" s="156" t="inlineStr">
        <is>
          <t>SFSKYL-75402271</t>
        </is>
      </c>
      <c r="F1565" s="156" t="inlineStr">
        <is>
          <t>7 1/8</t>
        </is>
      </c>
      <c r="G1565" s="156" t="inlineStr">
        <is>
          <t>7 1/8</t>
        </is>
      </c>
      <c r="H1565" s="156" t="inlineStr">
        <is>
          <t>Stetson</t>
        </is>
      </c>
      <c r="I1565" s="156" t="inlineStr">
        <is>
          <t>Sombrero Stetson Skyline 6X Cowboy</t>
        </is>
      </c>
      <c r="J1565" s="156" t="inlineStr">
        <is>
          <t>Accesorios</t>
        </is>
      </c>
      <c r="K1565" s="156" t="inlineStr">
        <is>
          <t>Sombreros</t>
        </is>
      </c>
      <c r="L1565" s="156" t="inlineStr">
        <is>
          <t>Unisex</t>
        </is>
      </c>
      <c r="M1565" s="156" t="inlineStr">
        <is>
          <t>Stetson</t>
        </is>
      </c>
      <c r="N1565" s="156" t="inlineStr">
        <is>
          <t>SS26</t>
        </is>
      </c>
      <c r="O1565" s="156" t="inlineStr">
        <is>
          <t>Seasonal</t>
        </is>
      </c>
      <c r="P1565" s="156" t="inlineStr">
        <is>
          <t>Cafe</t>
        </is>
      </c>
      <c r="Q1565" s="156" t="n"/>
      <c r="R1565" s="156" t="inlineStr">
        <is>
          <t>Copa Cattleman</t>
        </is>
      </c>
      <c r="S1565" s="156" t="inlineStr">
        <is>
          <t>100% Paja</t>
        </is>
      </c>
      <c r="T156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5" s="156" t="inlineStr">
        <is>
          <t>Estados Unidos</t>
        </is>
      </c>
      <c r="V1565" s="156" t="inlineStr">
        <is>
          <t>PZS</t>
        </is>
      </c>
      <c r="W1565" s="51" t="inlineStr">
        <is>
          <t>53102503</t>
        </is>
      </c>
      <c r="X1565" s="156" t="inlineStr">
        <is>
          <t>https://cdn.shopify.com/s/files/1/0888/3250/8267/files/SFSKYL-7540-22-64_6.png?v=1759516457</t>
        </is>
      </c>
      <c r="Y1565" s="54" t="n">
        <v>2756.25</v>
      </c>
      <c r="Z1565" s="54" t="n">
        <v>6724.137931</v>
      </c>
      <c r="AA1565" s="55">
        <f>IF(AND(A1565="", B1565="", E1565=""), "", IF(AB1565="", "Válido", IF((LEN(AB1565)-LEN(SUBSTITUTE(AB1565,"; ","")))/2+1&gt;(LEN(AB1565)-LEN(SUBSTITUTE(AB1565,"[Aviso]","")))/7, "Con Incidencias", "Válido")))</f>
        <v/>
      </c>
      <c r="AB1565" s="56">
        <f>IF(AND(A1565="", B1565="", E1565=""), "", TEXTJOIN("; ", TRUE, IF(OR(TRIM(A1565&amp;"")="", ISNUMBER(SEARCH("FALTA", A1565))), "UPC faltante/inválido", ""), IF(AND(A1565&lt;&gt;"", IFERROR(_xlfn.XMATCH(A1565,$A$2:$A$2509,0,1)&lt;&gt;_xlfn.XMATCH(A1565,$A$2:$A$2509,0,-1),FALSE)), "Código de barras duplicado", ""), IF(AND(E1565&lt;&gt;"", COUNTIF($E$2:$E$2509, E1565)&gt;1), "SKU duplicado", ""), IF(OR(J1565="", J1565=""), "[Aviso] División no capturada ()", IF(ISNA(MATCH(J1565, Criterios!$A$123:$A$126, 0)), "División no válida", "")), IF(OR(K1565="", K1565=""), "[Aviso] Categoría no capturada ()", IF(ISNA(MATCH(K1565, Criterios!$A$81:$A$120, 0)), "Categoría no válida", IF(AND(J1565&lt;&gt;"", J1565&lt;&gt;"", J1565&lt;&gt;VLOOKUP(K1565, Criterios!$A$81:$B$120, 2, FALSE)), "División no coincide con Categoría", ""))), IF(OR(L1565="", L1565=""), "[Aviso] Género no capturado ()", IF(ISNA(MATCH(L1565, Criterios!$B$123:$B$127, 0)), "Género no válido", "")), IF(OR(N1565="", N1565=""), "[Aviso] Temporada no capturada ()", IF(ISNA(MATCH(N1565, Criterios!$C$123:$C$128, 0)), "Temporada no válida", "")), IF(OR(O1565="", O1565=""), "[Aviso] Ciclo de vida no capturado ()", IF(ISNA(MATCH(O1565, Criterios!$D$123:$D$124, 0)), "Ciclo de vida no válido", ""))))</f>
        <v/>
      </c>
      <c r="AC1565" s="56" t="n"/>
      <c r="AD1565" s="51" t="n">
        <v>-2</v>
      </c>
      <c r="AE1565" s="156" t="n"/>
      <c r="AF1565" s="51" t="n">
        <v>0</v>
      </c>
      <c r="AG1565" s="156" t="inlineStr">
        <is>
          <t>Catálogo existente</t>
        </is>
      </c>
      <c r="AH1565" s="156" t="inlineStr">
        <is>
          <t>Stock negativo en sistema: revisar en conteo | Revisión 29/09/2026: Cruce de catálogo y criterios sin pendientes detectados | 01/10/2026: complementado desde Shopify Stetson México (match por código de barras): WB Fit, WB Silueta</t>
        </is>
      </c>
      <c r="AI1565" s="156" t="inlineStr">
        <is>
          <t>Sí</t>
        </is>
      </c>
      <c r="AJ1565" s="156" t="inlineStr">
        <is>
          <t>STETSON AMERICAS (-2)</t>
        </is>
      </c>
      <c r="AK1565" s="155" t="inlineStr">
        <is>
          <t>Criterios: I [Q] | Shopify Stetson: producto 14786559836523 / variante 53350612173163</t>
        </is>
      </c>
      <c r="AL1565" s="58" t="n">
        <v>2756.25</v>
      </c>
      <c r="AM1565" s="58" t="n">
        <v>6724.137931</v>
      </c>
      <c r="AN1565" s="155" t="inlineStr">
        <is>
          <t>Shopify Stetson México</t>
        </is>
      </c>
      <c r="AO1565" s="59" t="n">
        <v>0</v>
      </c>
      <c r="AP1565" s="59" t="n"/>
      <c r="AQ1565" s="59" t="n"/>
      <c r="AR1565" s="155" t="n"/>
    </row>
    <row r="1566">
      <c r="A1566" s="50" t="inlineStr">
        <is>
          <t>883383049565</t>
        </is>
      </c>
      <c r="B1566" s="51" t="inlineStr">
        <is>
          <t>110113</t>
        </is>
      </c>
      <c r="C1566" s="156" t="inlineStr">
        <is>
          <t>Multimarca</t>
        </is>
      </c>
      <c r="D1566" s="156" t="inlineStr">
        <is>
          <t>SFSKYL-754022</t>
        </is>
      </c>
      <c r="E1566" s="156" t="inlineStr">
        <is>
          <t>SFSKYL-75402272</t>
        </is>
      </c>
      <c r="F1566" s="156" t="inlineStr">
        <is>
          <t>7 1/4</t>
        </is>
      </c>
      <c r="G1566" s="156" t="inlineStr">
        <is>
          <t>7 1/4</t>
        </is>
      </c>
      <c r="H1566" s="156" t="inlineStr">
        <is>
          <t>Stetson</t>
        </is>
      </c>
      <c r="I1566" s="156" t="inlineStr">
        <is>
          <t>Sombrero Stetson Skyline 6X Cowboy</t>
        </is>
      </c>
      <c r="J1566" s="156" t="inlineStr">
        <is>
          <t>Accesorios</t>
        </is>
      </c>
      <c r="K1566" s="156" t="inlineStr">
        <is>
          <t>Sombreros</t>
        </is>
      </c>
      <c r="L1566" s="156" t="inlineStr">
        <is>
          <t>Unisex</t>
        </is>
      </c>
      <c r="M1566" s="156" t="inlineStr">
        <is>
          <t>Stetson</t>
        </is>
      </c>
      <c r="N1566" s="156" t="inlineStr">
        <is>
          <t>SS26</t>
        </is>
      </c>
      <c r="O1566" s="156" t="inlineStr">
        <is>
          <t>Seasonal</t>
        </is>
      </c>
      <c r="P1566" s="156" t="inlineStr">
        <is>
          <t>Cafe</t>
        </is>
      </c>
      <c r="Q1566" s="156" t="n"/>
      <c r="R1566" s="156" t="inlineStr">
        <is>
          <t>Copa Cattleman</t>
        </is>
      </c>
      <c r="S1566" s="156" t="inlineStr">
        <is>
          <t>100% Paja</t>
        </is>
      </c>
      <c r="T156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6" s="156" t="inlineStr">
        <is>
          <t>Estados Unidos</t>
        </is>
      </c>
      <c r="V1566" s="156" t="inlineStr">
        <is>
          <t>PZS</t>
        </is>
      </c>
      <c r="W1566" s="51" t="inlineStr">
        <is>
          <t>53102503</t>
        </is>
      </c>
      <c r="X1566" s="156" t="inlineStr">
        <is>
          <t>https://cdn.shopify.com/s/files/1/0888/3250/8267/files/SFSKYL-7540-22-64_5.png?v=1759516458</t>
        </is>
      </c>
      <c r="Y1566" s="54" t="n">
        <v>2756.25</v>
      </c>
      <c r="Z1566" s="54" t="n">
        <v>6724.137931</v>
      </c>
      <c r="AA1566" s="55">
        <f>IF(AND(A1566="", B1566="", E1566=""), "", IF(AB1566="", "Válido", IF((LEN(AB1566)-LEN(SUBSTITUTE(AB1566,"; ","")))/2+1&gt;(LEN(AB1566)-LEN(SUBSTITUTE(AB1566,"[Aviso]","")))/7, "Con Incidencias", "Válido")))</f>
        <v/>
      </c>
      <c r="AB1566" s="56">
        <f>IF(AND(A1566="", B1566="", E1566=""), "", TEXTJOIN("; ", TRUE, IF(OR(TRIM(A1566&amp;"")="", ISNUMBER(SEARCH("FALTA", A1566))), "UPC faltante/inválido", ""), IF(AND(A1566&lt;&gt;"", IFERROR(_xlfn.XMATCH(A1566,$A$2:$A$2509,0,1)&lt;&gt;_xlfn.XMATCH(A1566,$A$2:$A$2509,0,-1),FALSE)), "Código de barras duplicado", ""), IF(AND(E1566&lt;&gt;"", COUNTIF($E$2:$E$2509, E1566)&gt;1), "SKU duplicado", ""), IF(OR(J1566="", J1566=""), "[Aviso] División no capturada ()", IF(ISNA(MATCH(J1566, Criterios!$A$123:$A$126, 0)), "División no válida", "")), IF(OR(K1566="", K1566=""), "[Aviso] Categoría no capturada ()", IF(ISNA(MATCH(K1566, Criterios!$A$81:$A$120, 0)), "Categoría no válida", IF(AND(J1566&lt;&gt;"", J1566&lt;&gt;"", J1566&lt;&gt;VLOOKUP(K1566, Criterios!$A$81:$B$120, 2, FALSE)), "División no coincide con Categoría", ""))), IF(OR(L1566="", L1566=""), "[Aviso] Género no capturado ()", IF(ISNA(MATCH(L1566, Criterios!$B$123:$B$127, 0)), "Género no válido", "")), IF(OR(N1566="", N1566=""), "[Aviso] Temporada no capturada ()", IF(ISNA(MATCH(N1566, Criterios!$C$123:$C$128, 0)), "Temporada no válida", "")), IF(OR(O1566="", O1566=""), "[Aviso] Ciclo de vida no capturado ()", IF(ISNA(MATCH(O1566, Criterios!$D$123:$D$124, 0)), "Ciclo de vida no válido", ""))))</f>
        <v/>
      </c>
      <c r="AC1566" s="56" t="n"/>
      <c r="AD1566" s="51" t="n">
        <v>-3</v>
      </c>
      <c r="AE1566" s="156" t="n"/>
      <c r="AF1566" s="51" t="n">
        <v>0</v>
      </c>
      <c r="AG1566" s="156" t="inlineStr">
        <is>
          <t>Catálogo existente</t>
        </is>
      </c>
      <c r="AH1566" s="156" t="inlineStr">
        <is>
          <t>Stock negativo en sistema: revisar en conteo | Revisión 29/09/2026: Cruce de catálogo y criterios sin pendientes detectados | 01/10/2026: complementado desde Shopify Stetson México (match por código de barras): WB Fit, WB Silueta</t>
        </is>
      </c>
      <c r="AI1566" s="156" t="inlineStr">
        <is>
          <t>Sí</t>
        </is>
      </c>
      <c r="AJ1566" s="156" t="inlineStr">
        <is>
          <t>STETSON AMERICAS (-2); PUNTO DE VENTA (-1)</t>
        </is>
      </c>
      <c r="AK1566" s="155" t="inlineStr">
        <is>
          <t>Criterios: I [Q] | Shopify Stetson: producto 14786559836523 / variante 53350612205931</t>
        </is>
      </c>
      <c r="AL1566" s="58" t="n">
        <v>2756.25</v>
      </c>
      <c r="AM1566" s="58" t="n">
        <v>6724.137931</v>
      </c>
      <c r="AN1566" s="155" t="inlineStr">
        <is>
          <t>Shopify Stetson México</t>
        </is>
      </c>
      <c r="AO1566" s="59" t="n">
        <v>0</v>
      </c>
      <c r="AP1566" s="59" t="n"/>
      <c r="AQ1566" s="59" t="n"/>
      <c r="AR1566" s="155" t="n"/>
    </row>
    <row r="1567">
      <c r="A1567" s="50" t="inlineStr">
        <is>
          <t>883383049572</t>
        </is>
      </c>
      <c r="B1567" s="51" t="inlineStr">
        <is>
          <t>110114</t>
        </is>
      </c>
      <c r="C1567" s="156" t="inlineStr">
        <is>
          <t>Multimarca</t>
        </is>
      </c>
      <c r="D1567" s="156" t="inlineStr">
        <is>
          <t>SFSKYL-754022</t>
        </is>
      </c>
      <c r="E1567" s="156" t="inlineStr">
        <is>
          <t>SFSKYL-75402273</t>
        </is>
      </c>
      <c r="F1567" s="156" t="inlineStr">
        <is>
          <t>7 3/8</t>
        </is>
      </c>
      <c r="G1567" s="156" t="inlineStr">
        <is>
          <t>7 3/8</t>
        </is>
      </c>
      <c r="H1567" s="156" t="inlineStr">
        <is>
          <t>Stetson</t>
        </is>
      </c>
      <c r="I1567" s="156" t="inlineStr">
        <is>
          <t>Sombrero Stetson Skyline 6X Cowboy</t>
        </is>
      </c>
      <c r="J1567" s="156" t="inlineStr">
        <is>
          <t>Accesorios</t>
        </is>
      </c>
      <c r="K1567" s="156" t="inlineStr">
        <is>
          <t>Sombreros</t>
        </is>
      </c>
      <c r="L1567" s="156" t="inlineStr">
        <is>
          <t>Unisex</t>
        </is>
      </c>
      <c r="M1567" s="156" t="inlineStr">
        <is>
          <t>Stetson</t>
        </is>
      </c>
      <c r="N1567" s="156" t="inlineStr">
        <is>
          <t>SS26</t>
        </is>
      </c>
      <c r="O1567" s="156" t="inlineStr">
        <is>
          <t>Seasonal</t>
        </is>
      </c>
      <c r="P1567" s="156" t="inlineStr">
        <is>
          <t>Cafe</t>
        </is>
      </c>
      <c r="Q1567" s="156" t="n"/>
      <c r="R1567" s="156" t="inlineStr">
        <is>
          <t>Copa Cattleman</t>
        </is>
      </c>
      <c r="S1567" s="156" t="inlineStr">
        <is>
          <t>100% Paja</t>
        </is>
      </c>
      <c r="T156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7" s="156" t="inlineStr">
        <is>
          <t>Estados Unidos</t>
        </is>
      </c>
      <c r="V1567" s="156" t="inlineStr">
        <is>
          <t>PZS</t>
        </is>
      </c>
      <c r="W1567" s="51" t="inlineStr">
        <is>
          <t>53102503</t>
        </is>
      </c>
      <c r="X1567" s="156" t="inlineStr">
        <is>
          <t>https://cdn.shopify.com/s/files/1/0888/3250/8267/files/SFSKYL-7540-49-64-02.png?v=1759517131</t>
        </is>
      </c>
      <c r="Y1567" s="54" t="n">
        <v>2756.25</v>
      </c>
      <c r="Z1567" s="54" t="n">
        <v>6724.137931</v>
      </c>
      <c r="AA1567" s="55">
        <f>IF(AND(A1567="", B1567="", E1567=""), "", IF(AB1567="", "Válido", IF((LEN(AB1567)-LEN(SUBSTITUTE(AB1567,"; ","")))/2+1&gt;(LEN(AB1567)-LEN(SUBSTITUTE(AB1567,"[Aviso]","")))/7, "Con Incidencias", "Válido")))</f>
        <v/>
      </c>
      <c r="AB1567" s="56">
        <f>IF(AND(A1567="", B1567="", E1567=""), "", TEXTJOIN("; ", TRUE, IF(OR(TRIM(A1567&amp;"")="", ISNUMBER(SEARCH("FALTA", A1567))), "UPC faltante/inválido", ""), IF(AND(A1567&lt;&gt;"", IFERROR(_xlfn.XMATCH(A1567,$A$2:$A$2509,0,1)&lt;&gt;_xlfn.XMATCH(A1567,$A$2:$A$2509,0,-1),FALSE)), "Código de barras duplicado", ""), IF(AND(E1567&lt;&gt;"", COUNTIF($E$2:$E$2509, E1567)&gt;1), "SKU duplicado", ""), IF(OR(J1567="", J1567=""), "[Aviso] División no capturada ()", IF(ISNA(MATCH(J1567, Criterios!$A$123:$A$126, 0)), "División no válida", "")), IF(OR(K1567="", K1567=""), "[Aviso] Categoría no capturada ()", IF(ISNA(MATCH(K1567, Criterios!$A$81:$A$120, 0)), "Categoría no válida", IF(AND(J1567&lt;&gt;"", J1567&lt;&gt;"", J1567&lt;&gt;VLOOKUP(K1567, Criterios!$A$81:$B$120, 2, FALSE)), "División no coincide con Categoría", ""))), IF(OR(L1567="", L1567=""), "[Aviso] Género no capturado ()", IF(ISNA(MATCH(L1567, Criterios!$B$123:$B$127, 0)), "Género no válido", "")), IF(OR(N1567="", N1567=""), "[Aviso] Temporada no capturada ()", IF(ISNA(MATCH(N1567, Criterios!$C$123:$C$128, 0)), "Temporada no válida", "")), IF(OR(O1567="", O1567=""), "[Aviso] Ciclo de vida no capturado ()", IF(ISNA(MATCH(O1567, Criterios!$D$123:$D$124, 0)), "Ciclo de vida no válido", ""))))</f>
        <v/>
      </c>
      <c r="AC1567" s="56" t="n"/>
      <c r="AD1567" s="51" t="n">
        <v>-1</v>
      </c>
      <c r="AE1567" s="156" t="n"/>
      <c r="AF1567" s="51" t="n">
        <v>0</v>
      </c>
      <c r="AG1567" s="156" t="inlineStr">
        <is>
          <t>Catálogo existente</t>
        </is>
      </c>
      <c r="AH1567" s="156" t="inlineStr">
        <is>
          <t>Stock negativo en sistema: revisar en conteo | Revisión 29/09/2026: Cruce de catálogo y criterios sin pendientes detectados | 01/10/2026: complementado desde Shopify Stetson México (match por código de barras): WB Fit, WB Silueta</t>
        </is>
      </c>
      <c r="AI1567" s="156" t="inlineStr">
        <is>
          <t>Sí</t>
        </is>
      </c>
      <c r="AJ1567" s="156" t="inlineStr">
        <is>
          <t>STETSON AMERICAS (-1)</t>
        </is>
      </c>
      <c r="AK1567" s="155" t="inlineStr">
        <is>
          <t>Criterios: I [Q] | Shopify Stetson: producto 14786559836523 / variante 53350612238699</t>
        </is>
      </c>
      <c r="AL1567" s="58" t="n">
        <v>2756.25</v>
      </c>
      <c r="AM1567" s="58" t="n">
        <v>6724.137931</v>
      </c>
      <c r="AN1567" s="155" t="inlineStr">
        <is>
          <t>Shopify Stetson México</t>
        </is>
      </c>
      <c r="AO1567" s="59" t="n">
        <v>0</v>
      </c>
      <c r="AP1567" s="59" t="n"/>
      <c r="AQ1567" s="59" t="n"/>
      <c r="AR1567" s="155" t="n"/>
    </row>
    <row r="1568">
      <c r="A1568" s="50" t="inlineStr">
        <is>
          <t>883383049589</t>
        </is>
      </c>
      <c r="B1568" s="51" t="inlineStr">
        <is>
          <t>110115</t>
        </is>
      </c>
      <c r="C1568" s="156" t="inlineStr">
        <is>
          <t>Multimarca</t>
        </is>
      </c>
      <c r="D1568" s="156" t="inlineStr">
        <is>
          <t>SFSKYL-754022</t>
        </is>
      </c>
      <c r="E1568" s="156" t="inlineStr">
        <is>
          <t>SFSKYL-75402274</t>
        </is>
      </c>
      <c r="F1568" s="156" t="inlineStr">
        <is>
          <t>7 1/2</t>
        </is>
      </c>
      <c r="G1568" s="156" t="inlineStr">
        <is>
          <t>7 1/2</t>
        </is>
      </c>
      <c r="H1568" s="156" t="inlineStr">
        <is>
          <t>Stetson</t>
        </is>
      </c>
      <c r="I1568" s="156" t="inlineStr">
        <is>
          <t>Sombrero Stetson Skyline 6X Cowboy</t>
        </is>
      </c>
      <c r="J1568" s="156" t="inlineStr">
        <is>
          <t>Accesorios</t>
        </is>
      </c>
      <c r="K1568" s="156" t="inlineStr">
        <is>
          <t>Sombreros</t>
        </is>
      </c>
      <c r="L1568" s="156" t="inlineStr">
        <is>
          <t>Unisex</t>
        </is>
      </c>
      <c r="M1568" s="156" t="inlineStr">
        <is>
          <t>Stetson</t>
        </is>
      </c>
      <c r="N1568" s="156" t="inlineStr">
        <is>
          <t>SS26</t>
        </is>
      </c>
      <c r="O1568" s="156" t="inlineStr">
        <is>
          <t>Seasonal</t>
        </is>
      </c>
      <c r="P1568" s="156" t="inlineStr">
        <is>
          <t>Cafe</t>
        </is>
      </c>
      <c r="Q1568" s="156" t="n"/>
      <c r="R1568" s="156" t="inlineStr">
        <is>
          <t>Copa Cattleman</t>
        </is>
      </c>
      <c r="S1568" s="156" t="inlineStr">
        <is>
          <t>100% Paja</t>
        </is>
      </c>
      <c r="T156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8" s="156" t="inlineStr">
        <is>
          <t>Estados Unidos</t>
        </is>
      </c>
      <c r="V1568" s="156" t="inlineStr">
        <is>
          <t>PZS</t>
        </is>
      </c>
      <c r="W1568" s="51" t="inlineStr">
        <is>
          <t>53102503</t>
        </is>
      </c>
      <c r="X1568" s="156" t="inlineStr">
        <is>
          <t>https://cdn.shopify.com/s/files/1/0888/3250/8267/files/SFSKYL-7540-49-64-02_341d52c7-713c-44f1-9fbc-3bfd7debb1d4.png?v=1789405656</t>
        </is>
      </c>
      <c r="Y1568" s="54" t="n">
        <v>2756.25</v>
      </c>
      <c r="Z1568" s="54" t="n">
        <v>6724.137931</v>
      </c>
      <c r="AA1568" s="55">
        <f>IF(AND(A1568="", B1568="", E1568=""), "", IF(AB1568="", "Válido", IF((LEN(AB1568)-LEN(SUBSTITUTE(AB1568,"; ","")))/2+1&gt;(LEN(AB1568)-LEN(SUBSTITUTE(AB1568,"[Aviso]","")))/7, "Con Incidencias", "Válido")))</f>
        <v/>
      </c>
      <c r="AB1568" s="56">
        <f>IF(AND(A1568="", B1568="", E1568=""), "", TEXTJOIN("; ", TRUE, IF(OR(TRIM(A1568&amp;"")="", ISNUMBER(SEARCH("FALTA", A1568))), "UPC faltante/inválido", ""), IF(AND(A1568&lt;&gt;"", IFERROR(_xlfn.XMATCH(A1568,$A$2:$A$2509,0,1)&lt;&gt;_xlfn.XMATCH(A1568,$A$2:$A$2509,0,-1),FALSE)), "Código de barras duplicado", ""), IF(AND(E1568&lt;&gt;"", COUNTIF($E$2:$E$2509, E1568)&gt;1), "SKU duplicado", ""), IF(OR(J1568="", J1568=""), "[Aviso] División no capturada ()", IF(ISNA(MATCH(J1568, Criterios!$A$123:$A$126, 0)), "División no válida", "")), IF(OR(K1568="", K1568=""), "[Aviso] Categoría no capturada ()", IF(ISNA(MATCH(K1568, Criterios!$A$81:$A$120, 0)), "Categoría no válida", IF(AND(J1568&lt;&gt;"", J1568&lt;&gt;"", J1568&lt;&gt;VLOOKUP(K1568, Criterios!$A$81:$B$120, 2, FALSE)), "División no coincide con Categoría", ""))), IF(OR(L1568="", L1568=""), "[Aviso] Género no capturado ()", IF(ISNA(MATCH(L1568, Criterios!$B$123:$B$127, 0)), "Género no válido", "")), IF(OR(N1568="", N1568=""), "[Aviso] Temporada no capturada ()", IF(ISNA(MATCH(N1568, Criterios!$C$123:$C$128, 0)), "Temporada no válida", "")), IF(OR(O1568="", O1568=""), "[Aviso] Ciclo de vida no capturado ()", IF(ISNA(MATCH(O1568, Criterios!$D$123:$D$124, 0)), "Ciclo de vida no válido", ""))))</f>
        <v/>
      </c>
      <c r="AC1568" s="56" t="n"/>
      <c r="AD1568" s="51" t="n">
        <v>-1</v>
      </c>
      <c r="AE1568" s="156" t="n"/>
      <c r="AF1568" s="51" t="n">
        <v>0</v>
      </c>
      <c r="AG1568" s="156" t="inlineStr">
        <is>
          <t>Catálogo existente</t>
        </is>
      </c>
      <c r="AH1568" s="156" t="inlineStr">
        <is>
          <t>Stock negativo en sistema: revisar en conteo | Revisión 29/09/2026: Cruce de catálogo y criterios sin pendientes detectados | 01/10/2026: complementado desde Shopify Stetson México (match por código de barras): WB Fit, WB Silueta</t>
        </is>
      </c>
      <c r="AI1568" s="156" t="inlineStr">
        <is>
          <t>Sí</t>
        </is>
      </c>
      <c r="AJ1568" s="156" t="inlineStr">
        <is>
          <t>STETSON AMERICAS (-1)</t>
        </is>
      </c>
      <c r="AK1568" s="155" t="inlineStr">
        <is>
          <t>Criterios: I [Q] | Shopify Stetson: producto 14786559836523 / variante 53350612271467</t>
        </is>
      </c>
      <c r="AL1568" s="58" t="n">
        <v>2756.25</v>
      </c>
      <c r="AM1568" s="58" t="n">
        <v>6724.137931</v>
      </c>
      <c r="AN1568" s="155" t="inlineStr">
        <is>
          <t>Shopify Stetson México</t>
        </is>
      </c>
      <c r="AO1568" s="59" t="n">
        <v>0</v>
      </c>
      <c r="AP1568" s="59" t="n"/>
      <c r="AQ1568" s="59" t="n"/>
      <c r="AR1568" s="155" t="n"/>
    </row>
    <row r="1569">
      <c r="A1569" s="50" t="inlineStr">
        <is>
          <t>883383053647</t>
        </is>
      </c>
      <c r="B1569" s="51" t="inlineStr">
        <is>
          <t>109894</t>
        </is>
      </c>
      <c r="C1569" s="156" t="inlineStr">
        <is>
          <t>Multimarca</t>
        </is>
      </c>
      <c r="D1569" s="156" t="inlineStr">
        <is>
          <t>SFDMTE-484007</t>
        </is>
      </c>
      <c r="E1569" s="156" t="inlineStr">
        <is>
          <t>SFDMTE-48400771</t>
        </is>
      </c>
      <c r="F1569" s="156" t="inlineStr">
        <is>
          <t>7 1/8</t>
        </is>
      </c>
      <c r="G1569" s="156" t="inlineStr">
        <is>
          <t>7 1/8</t>
        </is>
      </c>
      <c r="H1569" s="156" t="inlineStr">
        <is>
          <t>Stetson</t>
        </is>
      </c>
      <c r="I1569" s="156" t="inlineStr">
        <is>
          <t>Texana Stetson Diamante Negro</t>
        </is>
      </c>
      <c r="J1569" s="156" t="inlineStr">
        <is>
          <t>Accesorios</t>
        </is>
      </c>
      <c r="K1569" s="156" t="inlineStr">
        <is>
          <t>Sombreros</t>
        </is>
      </c>
      <c r="L1569" s="156" t="inlineStr">
        <is>
          <t>Unisex</t>
        </is>
      </c>
      <c r="M1569" s="156" t="inlineStr">
        <is>
          <t>Stetson</t>
        </is>
      </c>
      <c r="N1569" s="156" t="inlineStr">
        <is>
          <t>SS26</t>
        </is>
      </c>
      <c r="O1569" s="156" t="inlineStr">
        <is>
          <t>Seasonal</t>
        </is>
      </c>
      <c r="P1569" s="156" t="inlineStr">
        <is>
          <t>Negro</t>
        </is>
      </c>
      <c r="Q1569" s="156" t="n"/>
      <c r="R1569" s="156" t="inlineStr">
        <is>
          <t>Copa Cattleman</t>
        </is>
      </c>
      <c r="S1569" s="156" t="inlineStr">
        <is>
          <t>Fieltro</t>
        </is>
      </c>
      <c r="T1569"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69" s="156" t="inlineStr">
        <is>
          <t>Estados Unidos</t>
        </is>
      </c>
      <c r="V1569" s="156" t="inlineStr">
        <is>
          <t>PZS</t>
        </is>
      </c>
      <c r="W1569" s="51" t="inlineStr">
        <is>
          <t>53102503</t>
        </is>
      </c>
      <c r="X1569" s="156" t="inlineStr">
        <is>
          <t>https://cdn.shopify.com/s/files/1/0888/3250/8267/files/SFDMTE-4840-07-65_1.png?v=1760027867</t>
        </is>
      </c>
      <c r="Y1569" s="54" t="n">
        <v>44100</v>
      </c>
      <c r="Z1569" s="54" t="n">
        <v>106034.4828</v>
      </c>
      <c r="AA1569" s="55">
        <f>IF(AND(A1569="", B1569="", E1569=""), "", IF(AB1569="", "Válido", IF((LEN(AB1569)-LEN(SUBSTITUTE(AB1569,"; ","")))/2+1&gt;(LEN(AB1569)-LEN(SUBSTITUTE(AB1569,"[Aviso]","")))/7, "Con Incidencias", "Válido")))</f>
        <v/>
      </c>
      <c r="AB1569" s="56">
        <f>IF(AND(A1569="", B1569="", E1569=""), "", TEXTJOIN("; ", TRUE, IF(OR(TRIM(A1569&amp;"")="", ISNUMBER(SEARCH("FALTA", A1569))), "UPC faltante/inválido", ""), IF(AND(A1569&lt;&gt;"", IFERROR(_xlfn.XMATCH(A1569,$A$2:$A$2509,0,1)&lt;&gt;_xlfn.XMATCH(A1569,$A$2:$A$2509,0,-1),FALSE)), "Código de barras duplicado", ""), IF(AND(E1569&lt;&gt;"", COUNTIF($E$2:$E$2509, E1569)&gt;1), "SKU duplicado", ""), IF(OR(J1569="", J1569=""), "[Aviso] División no capturada ()", IF(ISNA(MATCH(J1569, Criterios!$A$123:$A$126, 0)), "División no válida", "")), IF(OR(K1569="", K1569=""), "[Aviso] Categoría no capturada ()", IF(ISNA(MATCH(K1569, Criterios!$A$81:$A$120, 0)), "Categoría no válida", IF(AND(J1569&lt;&gt;"", J1569&lt;&gt;"", J1569&lt;&gt;VLOOKUP(K1569, Criterios!$A$81:$B$120, 2, FALSE)), "División no coincide con Categoría", ""))), IF(OR(L1569="", L1569=""), "[Aviso] Género no capturado ()", IF(ISNA(MATCH(L1569, Criterios!$B$123:$B$127, 0)), "Género no válido", "")), IF(OR(N1569="", N1569=""), "[Aviso] Temporada no capturada ()", IF(ISNA(MATCH(N1569, Criterios!$C$123:$C$128, 0)), "Temporada no válida", "")), IF(OR(O1569="", O1569=""), "[Aviso] Ciclo de vida no capturado ()", IF(ISNA(MATCH(O1569, Criterios!$D$123:$D$124, 0)), "Ciclo de vida no válido", ""))))</f>
        <v/>
      </c>
      <c r="AC1569" s="56" t="n"/>
      <c r="AD1569" s="51" t="n">
        <v>0</v>
      </c>
      <c r="AE1569" s="156" t="n"/>
      <c r="AF1569" s="51" t="n">
        <v>0</v>
      </c>
      <c r="AG1569" s="156" t="inlineStr">
        <is>
          <t>Catálogo existente</t>
        </is>
      </c>
      <c r="AH1569" s="156" t="inlineStr">
        <is>
          <t>Revisión 29/09/2026: Cruce de catálogo y criterios sin pendientes detectados | 01/10/2026: complementado desde Shopify Stetson México (match por código de barras): WB Fit, WB Silueta</t>
        </is>
      </c>
      <c r="AI1569" s="156" t="inlineStr">
        <is>
          <t>No</t>
        </is>
      </c>
      <c r="AJ1569" s="156" t="n"/>
      <c r="AK1569" s="155" t="inlineStr">
        <is>
          <t>Criterios: I [Q] | Shopify Stetson: producto 14789713166699 / variante 53350605390187</t>
        </is>
      </c>
      <c r="AL1569" s="58" t="n">
        <v>44100</v>
      </c>
      <c r="AM1569" s="58" t="n">
        <v>106034.4828</v>
      </c>
      <c r="AN1569" s="155" t="inlineStr">
        <is>
          <t>Shopify Stetson México</t>
        </is>
      </c>
      <c r="AO1569" s="59" t="n">
        <v>0</v>
      </c>
      <c r="AP1569" s="59" t="n"/>
      <c r="AQ1569" s="59" t="n"/>
      <c r="AR1569" s="155" t="n"/>
    </row>
    <row r="1570">
      <c r="A1570" s="50" t="inlineStr">
        <is>
          <t>883383053654</t>
        </is>
      </c>
      <c r="B1570" s="51" t="inlineStr">
        <is>
          <t>109895</t>
        </is>
      </c>
      <c r="C1570" s="156" t="inlineStr">
        <is>
          <t>Multimarca</t>
        </is>
      </c>
      <c r="D1570" s="156" t="inlineStr">
        <is>
          <t>SFDMTE-484007</t>
        </is>
      </c>
      <c r="E1570" s="156" t="inlineStr">
        <is>
          <t>SFDMTE-48400772</t>
        </is>
      </c>
      <c r="F1570" s="156" t="inlineStr">
        <is>
          <t>7 1/4</t>
        </is>
      </c>
      <c r="G1570" s="156" t="inlineStr">
        <is>
          <t>7 1/4</t>
        </is>
      </c>
      <c r="H1570" s="156" t="inlineStr">
        <is>
          <t>Stetson</t>
        </is>
      </c>
      <c r="I1570" s="156" t="inlineStr">
        <is>
          <t>Texana Stetson Diamante Negro</t>
        </is>
      </c>
      <c r="J1570" s="156" t="inlineStr">
        <is>
          <t>Accesorios</t>
        </is>
      </c>
      <c r="K1570" s="156" t="inlineStr">
        <is>
          <t>Sombreros</t>
        </is>
      </c>
      <c r="L1570" s="156" t="inlineStr">
        <is>
          <t>Unisex</t>
        </is>
      </c>
      <c r="M1570" s="156" t="inlineStr">
        <is>
          <t>Stetson</t>
        </is>
      </c>
      <c r="N1570" s="156" t="inlineStr">
        <is>
          <t>SS26</t>
        </is>
      </c>
      <c r="O1570" s="156" t="inlineStr">
        <is>
          <t>Seasonal</t>
        </is>
      </c>
      <c r="P1570" s="156" t="inlineStr">
        <is>
          <t>Negro</t>
        </is>
      </c>
      <c r="Q1570" s="156" t="n"/>
      <c r="R1570" s="156" t="inlineStr">
        <is>
          <t>Copa Cattleman</t>
        </is>
      </c>
      <c r="S1570" s="156" t="inlineStr">
        <is>
          <t>Fieltro</t>
        </is>
      </c>
      <c r="T1570"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70" s="156" t="inlineStr">
        <is>
          <t>Estados Unidos</t>
        </is>
      </c>
      <c r="V1570" s="156" t="inlineStr">
        <is>
          <t>PZS</t>
        </is>
      </c>
      <c r="W1570" s="51" t="inlineStr">
        <is>
          <t>53102503</t>
        </is>
      </c>
      <c r="X1570" s="156" t="inlineStr">
        <is>
          <t>https://cdn.shopify.com/s/files/1/0888/3250/8267/files/SFDMTE-4840-07-65_2.png?v=1760027867</t>
        </is>
      </c>
      <c r="Y1570" s="54" t="n">
        <v>44100</v>
      </c>
      <c r="Z1570" s="54" t="n">
        <v>106034.4828</v>
      </c>
      <c r="AA1570" s="55">
        <f>IF(AND(A1570="", B1570="", E1570=""), "", IF(AB1570="", "Válido", IF((LEN(AB1570)-LEN(SUBSTITUTE(AB1570,"; ","")))/2+1&gt;(LEN(AB1570)-LEN(SUBSTITUTE(AB1570,"[Aviso]","")))/7, "Con Incidencias", "Válido")))</f>
        <v/>
      </c>
      <c r="AB1570" s="56">
        <f>IF(AND(A1570="", B1570="", E1570=""), "", TEXTJOIN("; ", TRUE, IF(OR(TRIM(A1570&amp;"")="", ISNUMBER(SEARCH("FALTA", A1570))), "UPC faltante/inválido", ""), IF(AND(A1570&lt;&gt;"", IFERROR(_xlfn.XMATCH(A1570,$A$2:$A$2509,0,1)&lt;&gt;_xlfn.XMATCH(A1570,$A$2:$A$2509,0,-1),FALSE)), "Código de barras duplicado", ""), IF(AND(E1570&lt;&gt;"", COUNTIF($E$2:$E$2509, E1570)&gt;1), "SKU duplicado", ""), IF(OR(J1570="", J1570=""), "[Aviso] División no capturada ()", IF(ISNA(MATCH(J1570, Criterios!$A$123:$A$126, 0)), "División no válida", "")), IF(OR(K1570="", K1570=""), "[Aviso] Categoría no capturada ()", IF(ISNA(MATCH(K1570, Criterios!$A$81:$A$120, 0)), "Categoría no válida", IF(AND(J1570&lt;&gt;"", J1570&lt;&gt;"", J1570&lt;&gt;VLOOKUP(K1570, Criterios!$A$81:$B$120, 2, FALSE)), "División no coincide con Categoría", ""))), IF(OR(L1570="", L1570=""), "[Aviso] Género no capturado ()", IF(ISNA(MATCH(L1570, Criterios!$B$123:$B$127, 0)), "Género no válido", "")), IF(OR(N1570="", N1570=""), "[Aviso] Temporada no capturada ()", IF(ISNA(MATCH(N1570, Criterios!$C$123:$C$128, 0)), "Temporada no válida", "")), IF(OR(O1570="", O1570=""), "[Aviso] Ciclo de vida no capturado ()", IF(ISNA(MATCH(O1570, Criterios!$D$123:$D$124, 0)), "Ciclo de vida no válido", ""))))</f>
        <v/>
      </c>
      <c r="AC1570" s="56" t="n"/>
      <c r="AD1570" s="51" t="n">
        <v>0</v>
      </c>
      <c r="AE1570" s="156" t="n"/>
      <c r="AF1570" s="51" t="n">
        <v>0</v>
      </c>
      <c r="AG1570" s="156" t="inlineStr">
        <is>
          <t>Catálogo existente</t>
        </is>
      </c>
      <c r="AH1570" s="156" t="inlineStr">
        <is>
          <t>Revisión 29/09/2026: Cruce de catálogo y criterios sin pendientes detectados | 01/10/2026: complementado desde Shopify Stetson México (match por código de barras): WB Fit, WB Silueta</t>
        </is>
      </c>
      <c r="AI1570" s="156" t="inlineStr">
        <is>
          <t>No</t>
        </is>
      </c>
      <c r="AJ1570" s="156" t="n"/>
      <c r="AK1570" s="155" t="inlineStr">
        <is>
          <t>Criterios: I [Q] | Shopify Stetson: producto 14789713166699 / variante 53350605422955 | Odoo: producto 14214 / plantilla 17791</t>
        </is>
      </c>
      <c r="AL1570" s="58" t="n">
        <v>44100</v>
      </c>
      <c r="AM1570" s="58" t="n">
        <v>106034.4828</v>
      </c>
      <c r="AN1570" s="155" t="inlineStr">
        <is>
          <t>Shopify Stetson México | Odoo Universal Unique Brands</t>
        </is>
      </c>
      <c r="AO1570" s="59" t="n">
        <v>1</v>
      </c>
      <c r="AP1570" s="59" t="n"/>
      <c r="AQ1570" s="59" t="n">
        <v>1</v>
      </c>
      <c r="AR1570" s="155" t="inlineStr">
        <is>
          <t>Shopify Stetson México › Stetson Americas: 1 | Odoo Universal Unique Brands › Bodega 25 › Bodega 25/General: 1</t>
        </is>
      </c>
    </row>
    <row r="1571">
      <c r="A1571" s="50" t="inlineStr">
        <is>
          <t>883383053661</t>
        </is>
      </c>
      <c r="B1571" s="51" t="inlineStr">
        <is>
          <t>109896</t>
        </is>
      </c>
      <c r="C1571" s="156" t="inlineStr">
        <is>
          <t>Multimarca</t>
        </is>
      </c>
      <c r="D1571" s="156" t="inlineStr">
        <is>
          <t>SFDMTE-484007</t>
        </is>
      </c>
      <c r="E1571" s="156" t="inlineStr">
        <is>
          <t>SFDMTE-48400773</t>
        </is>
      </c>
      <c r="F1571" s="156" t="inlineStr">
        <is>
          <t>7 3/8</t>
        </is>
      </c>
      <c r="G1571" s="156" t="inlineStr">
        <is>
          <t>7 3/8</t>
        </is>
      </c>
      <c r="H1571" s="156" t="inlineStr">
        <is>
          <t>Stetson</t>
        </is>
      </c>
      <c r="I1571" s="156" t="inlineStr">
        <is>
          <t>Texana Stetson Diamante Negro</t>
        </is>
      </c>
      <c r="J1571" s="156" t="inlineStr">
        <is>
          <t>Accesorios</t>
        </is>
      </c>
      <c r="K1571" s="156" t="inlineStr">
        <is>
          <t>Sombreros</t>
        </is>
      </c>
      <c r="L1571" s="156" t="inlineStr">
        <is>
          <t>Unisex</t>
        </is>
      </c>
      <c r="M1571" s="156" t="inlineStr">
        <is>
          <t>Stetson</t>
        </is>
      </c>
      <c r="N1571" s="156" t="inlineStr">
        <is>
          <t>SS26</t>
        </is>
      </c>
      <c r="O1571" s="156" t="inlineStr">
        <is>
          <t>Seasonal</t>
        </is>
      </c>
      <c r="P1571" s="156" t="inlineStr">
        <is>
          <t>Negro</t>
        </is>
      </c>
      <c r="Q1571" s="156" t="n"/>
      <c r="R1571" s="156" t="inlineStr">
        <is>
          <t>Copa Cattleman</t>
        </is>
      </c>
      <c r="S1571" s="156" t="inlineStr">
        <is>
          <t>Fieltro</t>
        </is>
      </c>
      <c r="T1571"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71" s="156" t="inlineStr">
        <is>
          <t>Estados Unidos</t>
        </is>
      </c>
      <c r="V1571" s="156" t="inlineStr">
        <is>
          <t>PZS</t>
        </is>
      </c>
      <c r="W1571" s="51" t="inlineStr">
        <is>
          <t>53102503</t>
        </is>
      </c>
      <c r="X1571" s="156" t="inlineStr">
        <is>
          <t>https://cdn.shopify.com/s/files/1/0888/3250/8267/files/SFDMTE-4840-07-65_3.png?v=1760027867</t>
        </is>
      </c>
      <c r="Y1571" s="54" t="n">
        <v>44100</v>
      </c>
      <c r="Z1571" s="54" t="n">
        <v>106034.4828</v>
      </c>
      <c r="AA1571" s="55">
        <f>IF(AND(A1571="", B1571="", E1571=""), "", IF(AB1571="", "Válido", IF((LEN(AB1571)-LEN(SUBSTITUTE(AB1571,"; ","")))/2+1&gt;(LEN(AB1571)-LEN(SUBSTITUTE(AB1571,"[Aviso]","")))/7, "Con Incidencias", "Válido")))</f>
        <v/>
      </c>
      <c r="AB1571" s="56">
        <f>IF(AND(A1571="", B1571="", E1571=""), "", TEXTJOIN("; ", TRUE, IF(OR(TRIM(A1571&amp;"")="", ISNUMBER(SEARCH("FALTA", A1571))), "UPC faltante/inválido", ""), IF(AND(A1571&lt;&gt;"", IFERROR(_xlfn.XMATCH(A1571,$A$2:$A$2509,0,1)&lt;&gt;_xlfn.XMATCH(A1571,$A$2:$A$2509,0,-1),FALSE)), "Código de barras duplicado", ""), IF(AND(E1571&lt;&gt;"", COUNTIF($E$2:$E$2509, E1571)&gt;1), "SKU duplicado", ""), IF(OR(J1571="", J1571=""), "[Aviso] División no capturada ()", IF(ISNA(MATCH(J1571, Criterios!$A$123:$A$126, 0)), "División no válida", "")), IF(OR(K1571="", K1571=""), "[Aviso] Categoría no capturada ()", IF(ISNA(MATCH(K1571, Criterios!$A$81:$A$120, 0)), "Categoría no válida", IF(AND(J1571&lt;&gt;"", J1571&lt;&gt;"", J1571&lt;&gt;VLOOKUP(K1571, Criterios!$A$81:$B$120, 2, FALSE)), "División no coincide con Categoría", ""))), IF(OR(L1571="", L1571=""), "[Aviso] Género no capturado ()", IF(ISNA(MATCH(L1571, Criterios!$B$123:$B$127, 0)), "Género no válido", "")), IF(OR(N1571="", N1571=""), "[Aviso] Temporada no capturada ()", IF(ISNA(MATCH(N1571, Criterios!$C$123:$C$128, 0)), "Temporada no válida", "")), IF(OR(O1571="", O1571=""), "[Aviso] Ciclo de vida no capturado ()", IF(ISNA(MATCH(O1571, Criterios!$D$123:$D$124, 0)), "Ciclo de vida no válido", ""))))</f>
        <v/>
      </c>
      <c r="AC1571" s="56" t="n"/>
      <c r="AD1571" s="51" t="n">
        <v>0</v>
      </c>
      <c r="AE1571" s="156" t="n"/>
      <c r="AF1571" s="51" t="n">
        <v>0</v>
      </c>
      <c r="AG1571" s="156" t="inlineStr">
        <is>
          <t>Catálogo existente</t>
        </is>
      </c>
      <c r="AH1571" s="156" t="inlineStr">
        <is>
          <t>Revisión 29/09/2026: Cruce de catálogo y criterios sin pendientes detectados | 01/10/2026: complementado desde Shopify Stetson México (match por código de barras): WB Fit, WB Silueta</t>
        </is>
      </c>
      <c r="AI1571" s="156" t="inlineStr">
        <is>
          <t>No</t>
        </is>
      </c>
      <c r="AJ1571" s="156" t="n"/>
      <c r="AK1571" s="155" t="inlineStr">
        <is>
          <t>Criterios: I [Q] | Shopify Stetson: producto 14789713166699 / variante 53350605455723 | Odoo: producto 14215 / plantilla 17792</t>
        </is>
      </c>
      <c r="AL1571" s="58" t="n">
        <v>44100</v>
      </c>
      <c r="AM1571" s="58" t="n">
        <v>106034.4828</v>
      </c>
      <c r="AN1571" s="155" t="inlineStr">
        <is>
          <t>Shopify Stetson México | Odoo Universal Unique Brands</t>
        </is>
      </c>
      <c r="AO1571" s="59" t="n">
        <v>0</v>
      </c>
      <c r="AP1571" s="59" t="n"/>
      <c r="AQ1571" s="59" t="n">
        <v>1</v>
      </c>
      <c r="AR1571" s="155" t="inlineStr">
        <is>
          <t>Odoo Universal Unique Brands › Bodega 25 › Bodega 25/General: 1</t>
        </is>
      </c>
    </row>
    <row r="1572">
      <c r="A1572" s="50" t="inlineStr">
        <is>
          <t>883383057249</t>
        </is>
      </c>
      <c r="B1572" s="51" t="inlineStr">
        <is>
          <t>109869</t>
        </is>
      </c>
      <c r="C1572" s="156" t="inlineStr">
        <is>
          <t>Multimarca</t>
        </is>
      </c>
      <c r="D1572" s="156" t="inlineStr">
        <is>
          <t>SBAPCH-754007</t>
        </is>
      </c>
      <c r="E1572" s="156" t="inlineStr">
        <is>
          <t>SBAPCH-75400766</t>
        </is>
      </c>
      <c r="F1572" s="156" t="inlineStr">
        <is>
          <t>6 3/4</t>
        </is>
      </c>
      <c r="G1572" s="156" t="inlineStr">
        <is>
          <t>6 3/4</t>
        </is>
      </c>
      <c r="H1572" s="156" t="inlineStr">
        <is>
          <t>Stetson</t>
        </is>
      </c>
      <c r="I1572" s="156" t="inlineStr">
        <is>
          <t>Texana Stetson Apache Negro</t>
        </is>
      </c>
      <c r="J1572" s="156" t="inlineStr">
        <is>
          <t>Accesorios</t>
        </is>
      </c>
      <c r="K1572" s="156" t="inlineStr">
        <is>
          <t>Sombreros</t>
        </is>
      </c>
      <c r="L1572" s="156" t="inlineStr">
        <is>
          <t>Unisex</t>
        </is>
      </c>
      <c r="M1572" s="156" t="inlineStr">
        <is>
          <t>Stetson</t>
        </is>
      </c>
      <c r="N1572" s="156" t="inlineStr">
        <is>
          <t>SS26</t>
        </is>
      </c>
      <c r="O1572" s="156" t="inlineStr">
        <is>
          <t>Seasonal</t>
        </is>
      </c>
      <c r="P1572" s="156" t="inlineStr">
        <is>
          <t>Negro</t>
        </is>
      </c>
      <c r="Q1572" s="156" t="n"/>
      <c r="R1572" s="156" t="inlineStr">
        <is>
          <t>Copa Cattleman</t>
        </is>
      </c>
      <c r="S1572" s="156" t="inlineStr">
        <is>
          <t>100% Fieltro de lana</t>
        </is>
      </c>
      <c r="T1572"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2" s="156" t="inlineStr">
        <is>
          <t>Estados Unidos</t>
        </is>
      </c>
      <c r="V1572" s="156" t="inlineStr">
        <is>
          <t>PZS</t>
        </is>
      </c>
      <c r="W1572" s="51" t="inlineStr">
        <is>
          <t>53102503</t>
        </is>
      </c>
      <c r="X1572" s="156" t="inlineStr">
        <is>
          <t>https://cdn.shopify.com/s/files/1/0888/3250/8267/files/SBAPCH-7540-07_Black_2.jpg?v=1789150798</t>
        </is>
      </c>
      <c r="Y1572" s="54" t="n">
        <v>1260</v>
      </c>
      <c r="Z1572" s="54" t="n">
        <v>3103.448276</v>
      </c>
      <c r="AA1572" s="55">
        <f>IF(AND(A1572="", B1572="", E1572=""), "", IF(AB1572="", "Válido", IF((LEN(AB1572)-LEN(SUBSTITUTE(AB1572,"; ","")))/2+1&gt;(LEN(AB1572)-LEN(SUBSTITUTE(AB1572,"[Aviso]","")))/7, "Con Incidencias", "Válido")))</f>
        <v/>
      </c>
      <c r="AB1572" s="56">
        <f>IF(AND(A1572="", B1572="", E1572=""), "", TEXTJOIN("; ", TRUE, IF(OR(TRIM(A1572&amp;"")="", ISNUMBER(SEARCH("FALTA", A1572))), "UPC faltante/inválido", ""), IF(AND(A1572&lt;&gt;"", IFERROR(_xlfn.XMATCH(A1572,$A$2:$A$2509,0,1)&lt;&gt;_xlfn.XMATCH(A1572,$A$2:$A$2509,0,-1),FALSE)), "Código de barras duplicado", ""), IF(AND(E1572&lt;&gt;"", COUNTIF($E$2:$E$2509, E1572)&gt;1), "SKU duplicado", ""), IF(OR(J1572="", J1572=""), "[Aviso] División no capturada ()", IF(ISNA(MATCH(J1572, Criterios!$A$123:$A$126, 0)), "División no válida", "")), IF(OR(K1572="", K1572=""), "[Aviso] Categoría no capturada ()", IF(ISNA(MATCH(K1572, Criterios!$A$81:$A$120, 0)), "Categoría no válida", IF(AND(J1572&lt;&gt;"", J1572&lt;&gt;"", J1572&lt;&gt;VLOOKUP(K1572, Criterios!$A$81:$B$120, 2, FALSE)), "División no coincide con Categoría", ""))), IF(OR(L1572="", L1572=""), "[Aviso] Género no capturado ()", IF(ISNA(MATCH(L1572, Criterios!$B$123:$B$127, 0)), "Género no válido", "")), IF(OR(N1572="", N1572=""), "[Aviso] Temporada no capturada ()", IF(ISNA(MATCH(N1572, Criterios!$C$123:$C$128, 0)), "Temporada no válida", "")), IF(OR(O1572="", O1572=""), "[Aviso] Ciclo de vida no capturado ()", IF(ISNA(MATCH(O1572, Criterios!$D$123:$D$124, 0)), "Ciclo de vida no válido", ""))))</f>
        <v/>
      </c>
      <c r="AC1572" s="56" t="n"/>
      <c r="AD1572" s="51" t="n">
        <v>-1</v>
      </c>
      <c r="AE1572" s="156" t="n"/>
      <c r="AF1572" s="51" t="n">
        <v>0</v>
      </c>
      <c r="AG1572" s="156" t="inlineStr">
        <is>
          <t>Catálogo existente</t>
        </is>
      </c>
      <c r="AH1572" s="156" t="inlineStr">
        <is>
          <t>Stock negativo en sistema: revisar en conteo | Revisión 29/09/2026: Cruce de catálogo y criterios sin pendientes detectados | 01/10/2026: complementado desde Shopify Stetson México (match por código de barras): WB Fit, WB Silueta</t>
        </is>
      </c>
      <c r="AI1572" s="156" t="inlineStr">
        <is>
          <t>Sí</t>
        </is>
      </c>
      <c r="AJ1572" s="156" t="inlineStr">
        <is>
          <t>STETSON AMERICAS (-1)</t>
        </is>
      </c>
      <c r="AK1572" s="155" t="inlineStr">
        <is>
          <t>Criterios: I [Q] | Shopify Stetson: producto 15056328884587 / variante 53357911671147</t>
        </is>
      </c>
      <c r="AL1572" s="58" t="n">
        <v>1260</v>
      </c>
      <c r="AM1572" s="58" t="n">
        <v>3103.448276</v>
      </c>
      <c r="AN1572" s="155" t="inlineStr">
        <is>
          <t>Shopify Stetson México</t>
        </is>
      </c>
      <c r="AO1572" s="59" t="n">
        <v>0</v>
      </c>
      <c r="AP1572" s="59" t="n"/>
      <c r="AQ1572" s="59" t="n"/>
      <c r="AR1572" s="155" t="n"/>
    </row>
    <row r="1573">
      <c r="A1573" s="50" t="inlineStr">
        <is>
          <t>883383057256</t>
        </is>
      </c>
      <c r="B1573" s="51" t="inlineStr">
        <is>
          <t>109870</t>
        </is>
      </c>
      <c r="C1573" s="156" t="inlineStr">
        <is>
          <t>Multimarca</t>
        </is>
      </c>
      <c r="D1573" s="156" t="inlineStr">
        <is>
          <t>SBAPCH-754007</t>
        </is>
      </c>
      <c r="E1573" s="156" t="inlineStr">
        <is>
          <t>SBAPCH-75400767</t>
        </is>
      </c>
      <c r="F1573" s="156" t="inlineStr">
        <is>
          <t>6 7/8</t>
        </is>
      </c>
      <c r="G1573" s="156" t="inlineStr">
        <is>
          <t>6 7/8</t>
        </is>
      </c>
      <c r="H1573" s="156" t="inlineStr">
        <is>
          <t>Stetson</t>
        </is>
      </c>
      <c r="I1573" s="156" t="inlineStr">
        <is>
          <t>Texana Stetson Apache Negro</t>
        </is>
      </c>
      <c r="J1573" s="156" t="inlineStr">
        <is>
          <t>Accesorios</t>
        </is>
      </c>
      <c r="K1573" s="156" t="inlineStr">
        <is>
          <t>Sombreros</t>
        </is>
      </c>
      <c r="L1573" s="156" t="inlineStr">
        <is>
          <t>Unisex</t>
        </is>
      </c>
      <c r="M1573" s="156" t="inlineStr">
        <is>
          <t>Stetson</t>
        </is>
      </c>
      <c r="N1573" s="156" t="inlineStr">
        <is>
          <t>SS26</t>
        </is>
      </c>
      <c r="O1573" s="156" t="inlineStr">
        <is>
          <t>Seasonal</t>
        </is>
      </c>
      <c r="P1573" s="156" t="inlineStr">
        <is>
          <t>Negro</t>
        </is>
      </c>
      <c r="Q1573" s="156" t="n"/>
      <c r="R1573" s="156" t="inlineStr">
        <is>
          <t>Copa Cattleman</t>
        </is>
      </c>
      <c r="S1573" s="156" t="inlineStr">
        <is>
          <t>100% Fieltro de lana</t>
        </is>
      </c>
      <c r="T1573"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3" s="156" t="inlineStr">
        <is>
          <t>Estados Unidos</t>
        </is>
      </c>
      <c r="V1573" s="156" t="inlineStr">
        <is>
          <t>PZS</t>
        </is>
      </c>
      <c r="W1573" s="51" t="inlineStr">
        <is>
          <t>53102503</t>
        </is>
      </c>
      <c r="X1573" s="156" t="inlineStr">
        <is>
          <t>https://cdn.shopify.com/s/files/1/0888/3250/8267/files/SBAPCH-7540-07_Black_1.jpg?v=1789150782</t>
        </is>
      </c>
      <c r="Y1573" s="54" t="n">
        <v>1260</v>
      </c>
      <c r="Z1573" s="54" t="n">
        <v>3103.448276</v>
      </c>
      <c r="AA1573" s="55">
        <f>IF(AND(A1573="", B1573="", E1573=""), "", IF(AB1573="", "Válido", IF((LEN(AB1573)-LEN(SUBSTITUTE(AB1573,"; ","")))/2+1&gt;(LEN(AB1573)-LEN(SUBSTITUTE(AB1573,"[Aviso]","")))/7, "Con Incidencias", "Válido")))</f>
        <v/>
      </c>
      <c r="AB1573" s="56">
        <f>IF(AND(A1573="", B1573="", E1573=""), "", TEXTJOIN("; ", TRUE, IF(OR(TRIM(A1573&amp;"")="", ISNUMBER(SEARCH("FALTA", A1573))), "UPC faltante/inválido", ""), IF(AND(A1573&lt;&gt;"", IFERROR(_xlfn.XMATCH(A1573,$A$2:$A$2509,0,1)&lt;&gt;_xlfn.XMATCH(A1573,$A$2:$A$2509,0,-1),FALSE)), "Código de barras duplicado", ""), IF(AND(E1573&lt;&gt;"", COUNTIF($E$2:$E$2509, E1573)&gt;1), "SKU duplicado", ""), IF(OR(J1573="", J1573=""), "[Aviso] División no capturada ()", IF(ISNA(MATCH(J1573, Criterios!$A$123:$A$126, 0)), "División no válida", "")), IF(OR(K1573="", K1573=""), "[Aviso] Categoría no capturada ()", IF(ISNA(MATCH(K1573, Criterios!$A$81:$A$120, 0)), "Categoría no válida", IF(AND(J1573&lt;&gt;"", J1573&lt;&gt;"", J1573&lt;&gt;VLOOKUP(K1573, Criterios!$A$81:$B$120, 2, FALSE)), "División no coincide con Categoría", ""))), IF(OR(L1573="", L1573=""), "[Aviso] Género no capturado ()", IF(ISNA(MATCH(L1573, Criterios!$B$123:$B$127, 0)), "Género no válido", "")), IF(OR(N1573="", N1573=""), "[Aviso] Temporada no capturada ()", IF(ISNA(MATCH(N1573, Criterios!$C$123:$C$128, 0)), "Temporada no válida", "")), IF(OR(O1573="", O1573=""), "[Aviso] Ciclo de vida no capturado ()", IF(ISNA(MATCH(O1573, Criterios!$D$123:$D$124, 0)), "Ciclo de vida no válido", ""))))</f>
        <v/>
      </c>
      <c r="AC1573" s="56" t="n"/>
      <c r="AD1573" s="51" t="n">
        <v>1</v>
      </c>
      <c r="AE1573" s="156" t="inlineStr">
        <is>
          <t>STETSON AMERICAS (1); B25 STETSON.MX (1)</t>
        </is>
      </c>
      <c r="AF1573" s="51" t="n">
        <v>2</v>
      </c>
      <c r="AG1573" s="156" t="inlineStr">
        <is>
          <t>Catálogo existente</t>
        </is>
      </c>
      <c r="AH1573" s="156" t="inlineStr">
        <is>
          <t>Revisión 29/09/2026: Cruce de catálogo y criterios sin pendientes detectados | 01/10/2026: complementado desde Shopify Stetson México (match por código de barras): WB Fit, WB Silueta</t>
        </is>
      </c>
      <c r="AI1573" s="156" t="inlineStr">
        <is>
          <t>Sí</t>
        </is>
      </c>
      <c r="AJ1573" s="156" t="inlineStr">
        <is>
          <t>PUNTO DE VENTA (-1)</t>
        </is>
      </c>
      <c r="AK1573" s="155" t="inlineStr">
        <is>
          <t>Criterios: I [Q] | Shopify Stetson: producto 15056328884587 / variante 53357911703915</t>
        </is>
      </c>
      <c r="AL1573" s="58" t="n">
        <v>1260</v>
      </c>
      <c r="AM1573" s="58" t="n">
        <v>3103.448276</v>
      </c>
      <c r="AN1573" s="155" t="inlineStr">
        <is>
          <t>Shopify Stetson México</t>
        </is>
      </c>
      <c r="AO1573" s="59" t="n">
        <v>2</v>
      </c>
      <c r="AP1573" s="59" t="n"/>
      <c r="AQ1573" s="59" t="n"/>
      <c r="AR1573" s="155" t="inlineStr">
        <is>
          <t>Shopify Stetson México › Stetson México: 1 | Shopify Stetson México › Stetson Americas: 1</t>
        </is>
      </c>
    </row>
    <row r="1574">
      <c r="A1574" s="50" t="inlineStr">
        <is>
          <t>883383057263</t>
        </is>
      </c>
      <c r="B1574" s="51" t="inlineStr">
        <is>
          <t>109871</t>
        </is>
      </c>
      <c r="C1574" s="156" t="inlineStr">
        <is>
          <t>Multimarca</t>
        </is>
      </c>
      <c r="D1574" s="156" t="inlineStr">
        <is>
          <t>SBAPCH-754007</t>
        </is>
      </c>
      <c r="E1574" s="156" t="inlineStr">
        <is>
          <t>SBAPCH-75400770</t>
        </is>
      </c>
      <c r="F1574" s="156" t="inlineStr">
        <is>
          <t>7</t>
        </is>
      </c>
      <c r="G1574" s="156" t="inlineStr">
        <is>
          <t>7</t>
        </is>
      </c>
      <c r="H1574" s="156" t="inlineStr">
        <is>
          <t>Stetson</t>
        </is>
      </c>
      <c r="I1574" s="156" t="inlineStr">
        <is>
          <t>Texana Stetson Apache Negro</t>
        </is>
      </c>
      <c r="J1574" s="156" t="inlineStr">
        <is>
          <t>Accesorios</t>
        </is>
      </c>
      <c r="K1574" s="156" t="inlineStr">
        <is>
          <t>Sombreros</t>
        </is>
      </c>
      <c r="L1574" s="156" t="inlineStr">
        <is>
          <t>Unisex</t>
        </is>
      </c>
      <c r="M1574" s="156" t="inlineStr">
        <is>
          <t>Stetson</t>
        </is>
      </c>
      <c r="N1574" s="156" t="inlineStr">
        <is>
          <t>SS26</t>
        </is>
      </c>
      <c r="O1574" s="156" t="inlineStr">
        <is>
          <t>Seasonal</t>
        </is>
      </c>
      <c r="P1574" s="156" t="inlineStr">
        <is>
          <t>Negro</t>
        </is>
      </c>
      <c r="Q1574" s="156" t="n"/>
      <c r="R1574" s="156" t="inlineStr">
        <is>
          <t>Copa Cattleman</t>
        </is>
      </c>
      <c r="S1574" s="156" t="inlineStr">
        <is>
          <t>100% Fieltro de lana</t>
        </is>
      </c>
      <c r="T1574"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4" s="156" t="inlineStr">
        <is>
          <t>Estados Unidos</t>
        </is>
      </c>
      <c r="V1574" s="156" t="inlineStr">
        <is>
          <t>PZS</t>
        </is>
      </c>
      <c r="W1574" s="51" t="inlineStr">
        <is>
          <t>53102503</t>
        </is>
      </c>
      <c r="X1574" s="156" t="inlineStr">
        <is>
          <t>https://cdn.shopify.com/s/files/1/0888/3250/8267/files/SBAPCH-7540-07_Black_2_b4faf886-a96a-46c9-aee8-1a71d2dc4e7e.jpg?v=1789151280</t>
        </is>
      </c>
      <c r="Y1574" s="54" t="n">
        <v>1260</v>
      </c>
      <c r="Z1574" s="54" t="n">
        <v>3103.448276</v>
      </c>
      <c r="AA1574" s="55">
        <f>IF(AND(A1574="", B1574="", E1574=""), "", IF(AB1574="", "Válido", IF((LEN(AB1574)-LEN(SUBSTITUTE(AB1574,"; ","")))/2+1&gt;(LEN(AB1574)-LEN(SUBSTITUTE(AB1574,"[Aviso]","")))/7, "Con Incidencias", "Válido")))</f>
        <v/>
      </c>
      <c r="AB1574" s="56">
        <f>IF(AND(A1574="", B1574="", E1574=""), "", TEXTJOIN("; ", TRUE, IF(OR(TRIM(A1574&amp;"")="", ISNUMBER(SEARCH("FALTA", A1574))), "UPC faltante/inválido", ""), IF(AND(A1574&lt;&gt;"", IFERROR(_xlfn.XMATCH(A1574,$A$2:$A$2509,0,1)&lt;&gt;_xlfn.XMATCH(A1574,$A$2:$A$2509,0,-1),FALSE)), "Código de barras duplicado", ""), IF(AND(E1574&lt;&gt;"", COUNTIF($E$2:$E$2509, E1574)&gt;1), "SKU duplicado", ""), IF(OR(J1574="", J1574=""), "[Aviso] División no capturada ()", IF(ISNA(MATCH(J1574, Criterios!$A$123:$A$126, 0)), "División no válida", "")), IF(OR(K1574="", K1574=""), "[Aviso] Categoría no capturada ()", IF(ISNA(MATCH(K1574, Criterios!$A$81:$A$120, 0)), "Categoría no válida", IF(AND(J1574&lt;&gt;"", J1574&lt;&gt;"", J1574&lt;&gt;VLOOKUP(K1574, Criterios!$A$81:$B$120, 2, FALSE)), "División no coincide con Categoría", ""))), IF(OR(L1574="", L1574=""), "[Aviso] Género no capturado ()", IF(ISNA(MATCH(L1574, Criterios!$B$123:$B$127, 0)), "Género no válido", "")), IF(OR(N1574="", N1574=""), "[Aviso] Temporada no capturada ()", IF(ISNA(MATCH(N1574, Criterios!$C$123:$C$128, 0)), "Temporada no válida", "")), IF(OR(O1574="", O1574=""), "[Aviso] Ciclo de vida no capturado ()", IF(ISNA(MATCH(O1574, Criterios!$D$123:$D$124, 0)), "Ciclo de vida no válido", ""))))</f>
        <v/>
      </c>
      <c r="AC1574" s="56" t="n"/>
      <c r="AD1574" s="51" t="n">
        <v>-1</v>
      </c>
      <c r="AE1574" s="156" t="inlineStr">
        <is>
          <t>B25 STETSON.MX (1)</t>
        </is>
      </c>
      <c r="AF1574" s="51" t="n">
        <v>1</v>
      </c>
      <c r="AG1574" s="156" t="inlineStr">
        <is>
          <t>Catálogo existente</t>
        </is>
      </c>
      <c r="AH1574" s="156" t="inlineStr">
        <is>
          <t>Stock negativo en sistema: revisar en conteo | Revisión 29/09/2026: Cruce de catálogo y criterios sin pendientes detectados | 01/10/2026: complementado desde Shopify Stetson México (match por código de barras): WB Fit, WB Silueta</t>
        </is>
      </c>
      <c r="AI1574" s="156" t="inlineStr">
        <is>
          <t>Sí</t>
        </is>
      </c>
      <c r="AJ1574" s="156" t="inlineStr">
        <is>
          <t>STETSON AMERICAS (-1); PUNTO DE VENTA (-1)</t>
        </is>
      </c>
      <c r="AK1574" s="155" t="inlineStr">
        <is>
          <t>Criterios: I [Q] | Shopify Stetson: producto 15056328884587 / variante 53357911736683</t>
        </is>
      </c>
      <c r="AL1574" s="58" t="n">
        <v>1260</v>
      </c>
      <c r="AM1574" s="58" t="n">
        <v>3103.448276</v>
      </c>
      <c r="AN1574" s="155" t="inlineStr">
        <is>
          <t>Shopify Stetson México</t>
        </is>
      </c>
      <c r="AO1574" s="59" t="n">
        <v>1</v>
      </c>
      <c r="AP1574" s="59" t="n"/>
      <c r="AQ1574" s="59" t="n"/>
      <c r="AR1574" s="155" t="inlineStr">
        <is>
          <t>Shopify Stetson México › Stetson México: 1</t>
        </is>
      </c>
    </row>
    <row r="1575">
      <c r="A1575" s="50" t="inlineStr">
        <is>
          <t>883383057270</t>
        </is>
      </c>
      <c r="B1575" s="51" t="inlineStr">
        <is>
          <t>109872</t>
        </is>
      </c>
      <c r="C1575" s="156" t="inlineStr">
        <is>
          <t>Multimarca</t>
        </is>
      </c>
      <c r="D1575" s="156" t="inlineStr">
        <is>
          <t>SBAPCH-754007</t>
        </is>
      </c>
      <c r="E1575" s="156" t="inlineStr">
        <is>
          <t>SBAPCH-75400771</t>
        </is>
      </c>
      <c r="F1575" s="156" t="inlineStr">
        <is>
          <t>7 1/8</t>
        </is>
      </c>
      <c r="G1575" s="156" t="inlineStr">
        <is>
          <t>7 1/8</t>
        </is>
      </c>
      <c r="H1575" s="156" t="inlineStr">
        <is>
          <t>Stetson</t>
        </is>
      </c>
      <c r="I1575" s="156" t="inlineStr">
        <is>
          <t>Texana Stetson Apache Negro</t>
        </is>
      </c>
      <c r="J1575" s="156" t="inlineStr">
        <is>
          <t>Accesorios</t>
        </is>
      </c>
      <c r="K1575" s="156" t="inlineStr">
        <is>
          <t>Sombreros</t>
        </is>
      </c>
      <c r="L1575" s="156" t="inlineStr">
        <is>
          <t>Unisex</t>
        </is>
      </c>
      <c r="M1575" s="156" t="inlineStr">
        <is>
          <t>Stetson</t>
        </is>
      </c>
      <c r="N1575" s="156" t="inlineStr">
        <is>
          <t>SS26</t>
        </is>
      </c>
      <c r="O1575" s="156" t="inlineStr">
        <is>
          <t>Seasonal</t>
        </is>
      </c>
      <c r="P1575" s="156" t="inlineStr">
        <is>
          <t>Negro</t>
        </is>
      </c>
      <c r="Q1575" s="156" t="n"/>
      <c r="R1575" s="156" t="inlineStr">
        <is>
          <t>Copa Cattleman</t>
        </is>
      </c>
      <c r="S1575" s="156" t="inlineStr">
        <is>
          <t>100% Fieltro de lana</t>
        </is>
      </c>
      <c r="T1575"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5" s="156" t="inlineStr">
        <is>
          <t>Estados Unidos</t>
        </is>
      </c>
      <c r="V1575" s="156" t="inlineStr">
        <is>
          <t>PZS</t>
        </is>
      </c>
      <c r="W1575" s="51" t="inlineStr">
        <is>
          <t>53102503</t>
        </is>
      </c>
      <c r="X1575" s="156" t="inlineStr">
        <is>
          <t>https://cdn.shopify.com/s/files/1/0888/3250/8267/files/20A4977_r_-_PDP_Crop.jpg?v=1789150792</t>
        </is>
      </c>
      <c r="Y1575" s="54" t="n">
        <v>1260</v>
      </c>
      <c r="Z1575" s="54" t="n">
        <v>3103.448276</v>
      </c>
      <c r="AA1575" s="55">
        <f>IF(AND(A1575="", B1575="", E1575=""), "", IF(AB1575="", "Válido", IF((LEN(AB1575)-LEN(SUBSTITUTE(AB1575,"; ","")))/2+1&gt;(LEN(AB1575)-LEN(SUBSTITUTE(AB1575,"[Aviso]","")))/7, "Con Incidencias", "Válido")))</f>
        <v/>
      </c>
      <c r="AB1575" s="56">
        <f>IF(AND(A1575="", B1575="", E1575=""), "", TEXTJOIN("; ", TRUE, IF(OR(TRIM(A1575&amp;"")="", ISNUMBER(SEARCH("FALTA", A1575))), "UPC faltante/inválido", ""), IF(AND(A1575&lt;&gt;"", IFERROR(_xlfn.XMATCH(A1575,$A$2:$A$2509,0,1)&lt;&gt;_xlfn.XMATCH(A1575,$A$2:$A$2509,0,-1),FALSE)), "Código de barras duplicado", ""), IF(AND(E1575&lt;&gt;"", COUNTIF($E$2:$E$2509, E1575)&gt;1), "SKU duplicado", ""), IF(OR(J1575="", J1575=""), "[Aviso] División no capturada ()", IF(ISNA(MATCH(J1575, Criterios!$A$123:$A$126, 0)), "División no válida", "")), IF(OR(K1575="", K1575=""), "[Aviso] Categoría no capturada ()", IF(ISNA(MATCH(K1575, Criterios!$A$81:$A$120, 0)), "Categoría no válida", IF(AND(J1575&lt;&gt;"", J1575&lt;&gt;"", J1575&lt;&gt;VLOOKUP(K1575, Criterios!$A$81:$B$120, 2, FALSE)), "División no coincide con Categoría", ""))), IF(OR(L1575="", L1575=""), "[Aviso] Género no capturado ()", IF(ISNA(MATCH(L1575, Criterios!$B$123:$B$127, 0)), "Género no válido", "")), IF(OR(N1575="", N1575=""), "[Aviso] Temporada no capturada ()", IF(ISNA(MATCH(N1575, Criterios!$C$123:$C$128, 0)), "Temporada no válida", "")), IF(OR(O1575="", O1575=""), "[Aviso] Ciclo de vida no capturado ()", IF(ISNA(MATCH(O1575, Criterios!$D$123:$D$124, 0)), "Ciclo de vida no válido", ""))))</f>
        <v/>
      </c>
      <c r="AC1575" s="56" t="n"/>
      <c r="AD1575" s="51" t="n">
        <v>0</v>
      </c>
      <c r="AE1575" s="156" t="inlineStr">
        <is>
          <t>B25 STETSON.MX (2)</t>
        </is>
      </c>
      <c r="AF1575" s="51" t="n">
        <v>2</v>
      </c>
      <c r="AG1575" s="156" t="inlineStr">
        <is>
          <t>Catálogo existente</t>
        </is>
      </c>
      <c r="AH1575" s="156" t="inlineStr">
        <is>
          <t>Revisión 29/09/2026: Cruce de catálogo y criterios sin pendientes detectados | 01/10/2026: complementado desde Shopify Stetson México (match por código de barras): WB Fit, WB Silueta</t>
        </is>
      </c>
      <c r="AI1575" s="156" t="inlineStr">
        <is>
          <t>Sí</t>
        </is>
      </c>
      <c r="AJ1575" s="156" t="inlineStr">
        <is>
          <t>STETSON AMERICAS (-1); PUNTO DE VENTA (-1)</t>
        </is>
      </c>
      <c r="AK1575" s="155" t="inlineStr">
        <is>
          <t>Criterios: I [Q] | Shopify Stetson: producto 15056328884587 / variante 53357911769451</t>
        </is>
      </c>
      <c r="AL1575" s="58" t="n">
        <v>1260</v>
      </c>
      <c r="AM1575" s="58" t="n">
        <v>3103.448276</v>
      </c>
      <c r="AN1575" s="155" t="inlineStr">
        <is>
          <t>Shopify Stetson México</t>
        </is>
      </c>
      <c r="AO1575" s="59" t="n">
        <v>2</v>
      </c>
      <c r="AP1575" s="59" t="n"/>
      <c r="AQ1575" s="59" t="n"/>
      <c r="AR1575" s="155" t="inlineStr">
        <is>
          <t>Shopify Stetson México › Stetson México: 2</t>
        </is>
      </c>
    </row>
    <row r="1576">
      <c r="A1576" s="50" t="inlineStr">
        <is>
          <t>883383057287</t>
        </is>
      </c>
      <c r="B1576" s="51" t="inlineStr">
        <is>
          <t>109873</t>
        </is>
      </c>
      <c r="C1576" s="156" t="inlineStr">
        <is>
          <t>Multimarca</t>
        </is>
      </c>
      <c r="D1576" s="156" t="inlineStr">
        <is>
          <t>SBAPCH-754007</t>
        </is>
      </c>
      <c r="E1576" s="156" t="inlineStr">
        <is>
          <t>SBAPCH-75400772</t>
        </is>
      </c>
      <c r="F1576" s="156" t="inlineStr">
        <is>
          <t>7 1/4</t>
        </is>
      </c>
      <c r="G1576" s="156" t="inlineStr">
        <is>
          <t>7 1/4</t>
        </is>
      </c>
      <c r="H1576" s="156" t="inlineStr">
        <is>
          <t>Stetson</t>
        </is>
      </c>
      <c r="I1576" s="156" t="inlineStr">
        <is>
          <t>Texana Stetson Apache Negro</t>
        </is>
      </c>
      <c r="J1576" s="156" t="inlineStr">
        <is>
          <t>Accesorios</t>
        </is>
      </c>
      <c r="K1576" s="156" t="inlineStr">
        <is>
          <t>Sombreros</t>
        </is>
      </c>
      <c r="L1576" s="156" t="inlineStr">
        <is>
          <t>Unisex</t>
        </is>
      </c>
      <c r="M1576" s="156" t="inlineStr">
        <is>
          <t>Stetson</t>
        </is>
      </c>
      <c r="N1576" s="156" t="inlineStr">
        <is>
          <t>SS26</t>
        </is>
      </c>
      <c r="O1576" s="156" t="inlineStr">
        <is>
          <t>Seasonal</t>
        </is>
      </c>
      <c r="P1576" s="156" t="inlineStr">
        <is>
          <t>Negro</t>
        </is>
      </c>
      <c r="Q1576" s="156" t="n"/>
      <c r="R1576" s="156" t="inlineStr">
        <is>
          <t>Copa Cattleman</t>
        </is>
      </c>
      <c r="S1576" s="156" t="inlineStr">
        <is>
          <t>100% Fieltro de lana</t>
        </is>
      </c>
      <c r="T1576"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6" s="156" t="inlineStr">
        <is>
          <t>Estados Unidos</t>
        </is>
      </c>
      <c r="V1576" s="156" t="inlineStr">
        <is>
          <t>PZS</t>
        </is>
      </c>
      <c r="W1576" s="51" t="inlineStr">
        <is>
          <t>53102503</t>
        </is>
      </c>
      <c r="X1576" s="156" t="inlineStr">
        <is>
          <t>https://cdn.shopify.com/s/files/1/0888/3250/8267/files/SBAPCH-7540-07_Black_3.jpg?v=1789150804</t>
        </is>
      </c>
      <c r="Y1576" s="54" t="n">
        <v>1260</v>
      </c>
      <c r="Z1576" s="54" t="n">
        <v>3103.448276</v>
      </c>
      <c r="AA1576" s="55">
        <f>IF(AND(A1576="", B1576="", E1576=""), "", IF(AB1576="", "Válido", IF((LEN(AB1576)-LEN(SUBSTITUTE(AB1576,"; ","")))/2+1&gt;(LEN(AB1576)-LEN(SUBSTITUTE(AB1576,"[Aviso]","")))/7, "Con Incidencias", "Válido")))</f>
        <v/>
      </c>
      <c r="AB1576" s="56">
        <f>IF(AND(A1576="", B1576="", E1576=""), "", TEXTJOIN("; ", TRUE, IF(OR(TRIM(A1576&amp;"")="", ISNUMBER(SEARCH("FALTA", A1576))), "UPC faltante/inválido", ""), IF(AND(A1576&lt;&gt;"", IFERROR(_xlfn.XMATCH(A1576,$A$2:$A$2509,0,1)&lt;&gt;_xlfn.XMATCH(A1576,$A$2:$A$2509,0,-1),FALSE)), "Código de barras duplicado", ""), IF(AND(E1576&lt;&gt;"", COUNTIF($E$2:$E$2509, E1576)&gt;1), "SKU duplicado", ""), IF(OR(J1576="", J1576=""), "[Aviso] División no capturada ()", IF(ISNA(MATCH(J1576, Criterios!$A$123:$A$126, 0)), "División no válida", "")), IF(OR(K1576="", K1576=""), "[Aviso] Categoría no capturada ()", IF(ISNA(MATCH(K1576, Criterios!$A$81:$A$120, 0)), "Categoría no válida", IF(AND(J1576&lt;&gt;"", J1576&lt;&gt;"", J1576&lt;&gt;VLOOKUP(K1576, Criterios!$A$81:$B$120, 2, FALSE)), "División no coincide con Categoría", ""))), IF(OR(L1576="", L1576=""), "[Aviso] Género no capturado ()", IF(ISNA(MATCH(L1576, Criterios!$B$123:$B$127, 0)), "Género no válido", "")), IF(OR(N1576="", N1576=""), "[Aviso] Temporada no capturada ()", IF(ISNA(MATCH(N1576, Criterios!$C$123:$C$128, 0)), "Temporada no válida", "")), IF(OR(O1576="", O1576=""), "[Aviso] Ciclo de vida no capturado ()", IF(ISNA(MATCH(O1576, Criterios!$D$123:$D$124, 0)), "Ciclo de vida no válido", ""))))</f>
        <v/>
      </c>
      <c r="AC1576" s="56" t="n"/>
      <c r="AD1576" s="51" t="n">
        <v>-1</v>
      </c>
      <c r="AE1576" s="156" t="inlineStr">
        <is>
          <t>B25 STETSON.MX (1)</t>
        </is>
      </c>
      <c r="AF1576" s="51" t="n">
        <v>1</v>
      </c>
      <c r="AG1576" s="156" t="inlineStr">
        <is>
          <t>Catálogo existente</t>
        </is>
      </c>
      <c r="AH1576" s="156" t="inlineStr">
        <is>
          <t>Stock negativo en sistema: revisar en conteo | Revisión 29/09/2026: Cruce de catálogo y criterios sin pendientes detectados | 01/10/2026: complementado desde Shopify Stetson México (match por código de barras): WB Fit, WB Silueta</t>
        </is>
      </c>
      <c r="AI1576" s="156" t="inlineStr">
        <is>
          <t>Sí</t>
        </is>
      </c>
      <c r="AJ1576" s="156" t="inlineStr">
        <is>
          <t>PUNTO DE VENTA (-1); STETSON AMERICAS (-1)</t>
        </is>
      </c>
      <c r="AK1576" s="155" t="inlineStr">
        <is>
          <t>Criterios: I [Q] | Shopify Stetson: producto 15056328884587 / variante 53357911802219</t>
        </is>
      </c>
      <c r="AL1576" s="58" t="n">
        <v>1260</v>
      </c>
      <c r="AM1576" s="58" t="n">
        <v>3103.448276</v>
      </c>
      <c r="AN1576" s="155" t="inlineStr">
        <is>
          <t>Shopify Stetson México</t>
        </is>
      </c>
      <c r="AO1576" s="59" t="n">
        <v>2</v>
      </c>
      <c r="AP1576" s="59" t="n"/>
      <c r="AQ1576" s="59" t="n"/>
      <c r="AR1576" s="155" t="inlineStr">
        <is>
          <t>Shopify Stetson México › Stetson México: 2</t>
        </is>
      </c>
    </row>
    <row r="1577">
      <c r="A1577" s="50" t="inlineStr">
        <is>
          <t>883383057294</t>
        </is>
      </c>
      <c r="B1577" s="51" t="inlineStr">
        <is>
          <t>109874</t>
        </is>
      </c>
      <c r="C1577" s="156" t="inlineStr">
        <is>
          <t>Multimarca</t>
        </is>
      </c>
      <c r="D1577" s="156" t="inlineStr">
        <is>
          <t>SBAPCH-754007</t>
        </is>
      </c>
      <c r="E1577" s="156" t="inlineStr">
        <is>
          <t>SBAPCH-75400773</t>
        </is>
      </c>
      <c r="F1577" s="156" t="inlineStr">
        <is>
          <t>7 3/8</t>
        </is>
      </c>
      <c r="G1577" s="156" t="inlineStr">
        <is>
          <t>7 3/8</t>
        </is>
      </c>
      <c r="H1577" s="156" t="inlineStr">
        <is>
          <t>Stetson</t>
        </is>
      </c>
      <c r="I1577" s="156" t="inlineStr">
        <is>
          <t>Texana Stetson Apache Negro</t>
        </is>
      </c>
      <c r="J1577" s="156" t="inlineStr">
        <is>
          <t>Accesorios</t>
        </is>
      </c>
      <c r="K1577" s="156" t="inlineStr">
        <is>
          <t>Sombreros</t>
        </is>
      </c>
      <c r="L1577" s="156" t="inlineStr">
        <is>
          <t>Unisex</t>
        </is>
      </c>
      <c r="M1577" s="156" t="inlineStr">
        <is>
          <t>Stetson</t>
        </is>
      </c>
      <c r="N1577" s="156" t="inlineStr">
        <is>
          <t>SS26</t>
        </is>
      </c>
      <c r="O1577" s="156" t="inlineStr">
        <is>
          <t>Seasonal</t>
        </is>
      </c>
      <c r="P1577" s="156" t="inlineStr">
        <is>
          <t>Negro</t>
        </is>
      </c>
      <c r="Q1577" s="156" t="n"/>
      <c r="R1577" s="156" t="inlineStr">
        <is>
          <t>Copa Cattleman</t>
        </is>
      </c>
      <c r="S1577" s="156" t="inlineStr">
        <is>
          <t>100% Fieltro de lana</t>
        </is>
      </c>
      <c r="T1577"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7" s="156" t="inlineStr">
        <is>
          <t>Estados Unidos</t>
        </is>
      </c>
      <c r="V1577" s="156" t="inlineStr">
        <is>
          <t>PZS</t>
        </is>
      </c>
      <c r="W1577" s="51" t="inlineStr">
        <is>
          <t>53102503</t>
        </is>
      </c>
      <c r="X1577" s="156" t="inlineStr">
        <is>
          <t>https://cdn.shopify.com/s/files/1/0888/3250/8267/files/SBAPCH-7540-07_Black_4.jpg?v=1789150810</t>
        </is>
      </c>
      <c r="Y1577" s="54" t="n">
        <v>1260</v>
      </c>
      <c r="Z1577" s="54" t="n">
        <v>3103.448276</v>
      </c>
      <c r="AA1577" s="55">
        <f>IF(AND(A1577="", B1577="", E1577=""), "", IF(AB1577="", "Válido", IF((LEN(AB1577)-LEN(SUBSTITUTE(AB1577,"; ","")))/2+1&gt;(LEN(AB1577)-LEN(SUBSTITUTE(AB1577,"[Aviso]","")))/7, "Con Incidencias", "Válido")))</f>
        <v/>
      </c>
      <c r="AB1577" s="56">
        <f>IF(AND(A1577="", B1577="", E1577=""), "", TEXTJOIN("; ", TRUE, IF(OR(TRIM(A1577&amp;"")="", ISNUMBER(SEARCH("FALTA", A1577))), "UPC faltante/inválido", ""), IF(AND(A1577&lt;&gt;"", IFERROR(_xlfn.XMATCH(A1577,$A$2:$A$2509,0,1)&lt;&gt;_xlfn.XMATCH(A1577,$A$2:$A$2509,0,-1),FALSE)), "Código de barras duplicado", ""), IF(AND(E1577&lt;&gt;"", COUNTIF($E$2:$E$2509, E1577)&gt;1), "SKU duplicado", ""), IF(OR(J1577="", J1577=""), "[Aviso] División no capturada ()", IF(ISNA(MATCH(J1577, Criterios!$A$123:$A$126, 0)), "División no válida", "")), IF(OR(K1577="", K1577=""), "[Aviso] Categoría no capturada ()", IF(ISNA(MATCH(K1577, Criterios!$A$81:$A$120, 0)), "Categoría no válida", IF(AND(J1577&lt;&gt;"", J1577&lt;&gt;"", J1577&lt;&gt;VLOOKUP(K1577, Criterios!$A$81:$B$120, 2, FALSE)), "División no coincide con Categoría", ""))), IF(OR(L1577="", L1577=""), "[Aviso] Género no capturado ()", IF(ISNA(MATCH(L1577, Criterios!$B$123:$B$127, 0)), "Género no válido", "")), IF(OR(N1577="", N1577=""), "[Aviso] Temporada no capturada ()", IF(ISNA(MATCH(N1577, Criterios!$C$123:$C$128, 0)), "Temporada no válida", "")), IF(OR(O1577="", O1577=""), "[Aviso] Ciclo de vida no capturado ()", IF(ISNA(MATCH(O1577, Criterios!$D$123:$D$124, 0)), "Ciclo de vida no válido", ""))))</f>
        <v/>
      </c>
      <c r="AC1577" s="56" t="n"/>
      <c r="AD1577" s="51" t="n">
        <v>-2</v>
      </c>
      <c r="AE1577" s="156" t="n"/>
      <c r="AF1577" s="51" t="n">
        <v>0</v>
      </c>
      <c r="AG1577" s="156" t="inlineStr">
        <is>
          <t>Catálogo existente</t>
        </is>
      </c>
      <c r="AH1577" s="156" t="inlineStr">
        <is>
          <t>Stock negativo en sistema: revisar en conteo | Revisión 29/09/2026: Cruce de catálogo y criterios sin pendientes detectados | 01/10/2026: complementado desde Shopify Stetson México (match por código de barras): WB Fit, WB Silueta</t>
        </is>
      </c>
      <c r="AI1577" s="156" t="inlineStr">
        <is>
          <t>Sí</t>
        </is>
      </c>
      <c r="AJ1577" s="156" t="inlineStr">
        <is>
          <t>STETSON AMERICAS (-1); PUNTO DE VENTA (-1)</t>
        </is>
      </c>
      <c r="AK1577" s="155" t="inlineStr">
        <is>
          <t>Criterios: I [Q] | Shopify Stetson: producto 15056328884587 / variante 53357911834987</t>
        </is>
      </c>
      <c r="AL1577" s="58" t="n">
        <v>1260</v>
      </c>
      <c r="AM1577" s="58" t="n">
        <v>3103.448276</v>
      </c>
      <c r="AN1577" s="155" t="inlineStr">
        <is>
          <t>Shopify Stetson México</t>
        </is>
      </c>
      <c r="AO1577" s="59" t="n">
        <v>0</v>
      </c>
      <c r="AP1577" s="59" t="n"/>
      <c r="AQ1577" s="59" t="n"/>
      <c r="AR1577" s="155" t="n"/>
    </row>
    <row r="1578">
      <c r="A1578" s="50" t="inlineStr">
        <is>
          <t>883383057300</t>
        </is>
      </c>
      <c r="B1578" s="51" t="inlineStr">
        <is>
          <t>109875</t>
        </is>
      </c>
      <c r="C1578" s="156" t="inlineStr">
        <is>
          <t>Multimarca</t>
        </is>
      </c>
      <c r="D1578" s="156" t="inlineStr">
        <is>
          <t>SBAPCH-754007</t>
        </is>
      </c>
      <c r="E1578" s="156" t="inlineStr">
        <is>
          <t>SBAPCH-75400774</t>
        </is>
      </c>
      <c r="F1578" s="156" t="inlineStr">
        <is>
          <t>7 1/2</t>
        </is>
      </c>
      <c r="G1578" s="156" t="inlineStr">
        <is>
          <t>7 1/2</t>
        </is>
      </c>
      <c r="H1578" s="156" t="inlineStr">
        <is>
          <t>Stetson</t>
        </is>
      </c>
      <c r="I1578" s="156" t="inlineStr">
        <is>
          <t>Texana Stetson Apache Negro</t>
        </is>
      </c>
      <c r="J1578" s="156" t="inlineStr">
        <is>
          <t>Accesorios</t>
        </is>
      </c>
      <c r="K1578" s="156" t="inlineStr">
        <is>
          <t>Sombreros</t>
        </is>
      </c>
      <c r="L1578" s="156" t="inlineStr">
        <is>
          <t>Unisex</t>
        </is>
      </c>
      <c r="M1578" s="156" t="inlineStr">
        <is>
          <t>Stetson</t>
        </is>
      </c>
      <c r="N1578" s="156" t="inlineStr">
        <is>
          <t>SS26</t>
        </is>
      </c>
      <c r="O1578" s="156" t="inlineStr">
        <is>
          <t>Seasonal</t>
        </is>
      </c>
      <c r="P1578" s="156" t="inlineStr">
        <is>
          <t>Negro</t>
        </is>
      </c>
      <c r="Q1578" s="156" t="n"/>
      <c r="R1578" s="156" t="inlineStr">
        <is>
          <t>Copa Cattleman</t>
        </is>
      </c>
      <c r="S1578" s="156" t="inlineStr">
        <is>
          <t>100% Fieltro de lana</t>
        </is>
      </c>
      <c r="T1578"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8" s="156" t="inlineStr">
        <is>
          <t>Estados Unidos</t>
        </is>
      </c>
      <c r="V1578" s="156" t="inlineStr">
        <is>
          <t>PZS</t>
        </is>
      </c>
      <c r="W1578" s="51" t="inlineStr">
        <is>
          <t>53102503</t>
        </is>
      </c>
      <c r="X1578" s="156" t="inlineStr">
        <is>
          <t>https://cdn.shopify.com/s/files/1/0888/3250/8267/files/SBAPCH-7540-07_Black_5.jpg?v=1789150816</t>
        </is>
      </c>
      <c r="Y1578" s="54" t="n">
        <v>1260</v>
      </c>
      <c r="Z1578" s="54" t="n">
        <v>3103.448276</v>
      </c>
      <c r="AA1578" s="55">
        <f>IF(AND(A1578="", B1578="", E1578=""), "", IF(AB1578="", "Válido", IF((LEN(AB1578)-LEN(SUBSTITUTE(AB1578,"; ","")))/2+1&gt;(LEN(AB1578)-LEN(SUBSTITUTE(AB1578,"[Aviso]","")))/7, "Con Incidencias", "Válido")))</f>
        <v/>
      </c>
      <c r="AB1578" s="56">
        <f>IF(AND(A1578="", B1578="", E1578=""), "", TEXTJOIN("; ", TRUE, IF(OR(TRIM(A1578&amp;"")="", ISNUMBER(SEARCH("FALTA", A1578))), "UPC faltante/inválido", ""), IF(AND(A1578&lt;&gt;"", IFERROR(_xlfn.XMATCH(A1578,$A$2:$A$2509,0,1)&lt;&gt;_xlfn.XMATCH(A1578,$A$2:$A$2509,0,-1),FALSE)), "Código de barras duplicado", ""), IF(AND(E1578&lt;&gt;"", COUNTIF($E$2:$E$2509, E1578)&gt;1), "SKU duplicado", ""), IF(OR(J1578="", J1578=""), "[Aviso] División no capturada ()", IF(ISNA(MATCH(J1578, Criterios!$A$123:$A$126, 0)), "División no válida", "")), IF(OR(K1578="", K1578=""), "[Aviso] Categoría no capturada ()", IF(ISNA(MATCH(K1578, Criterios!$A$81:$A$120, 0)), "Categoría no válida", IF(AND(J1578&lt;&gt;"", J1578&lt;&gt;"", J1578&lt;&gt;VLOOKUP(K1578, Criterios!$A$81:$B$120, 2, FALSE)), "División no coincide con Categoría", ""))), IF(OR(L1578="", L1578=""), "[Aviso] Género no capturado ()", IF(ISNA(MATCH(L1578, Criterios!$B$123:$B$127, 0)), "Género no válido", "")), IF(OR(N1578="", N1578=""), "[Aviso] Temporada no capturada ()", IF(ISNA(MATCH(N1578, Criterios!$C$123:$C$128, 0)), "Temporada no válida", "")), IF(OR(O1578="", O1578=""), "[Aviso] Ciclo de vida no capturado ()", IF(ISNA(MATCH(O1578, Criterios!$D$123:$D$124, 0)), "Ciclo de vida no válido", ""))))</f>
        <v/>
      </c>
      <c r="AC1578" s="56" t="n"/>
      <c r="AD1578" s="51" t="n">
        <v>0</v>
      </c>
      <c r="AE1578" s="156" t="n"/>
      <c r="AF1578" s="51" t="n">
        <v>0</v>
      </c>
      <c r="AG1578" s="156" t="inlineStr">
        <is>
          <t>Catálogo existente</t>
        </is>
      </c>
      <c r="AH1578" s="156" t="inlineStr">
        <is>
          <t>Revisión 29/09/2026: Cruce de catálogo y criterios sin pendientes detectados | 01/10/2026: complementado desde Shopify Stetson México (match por código de barras): WB Fit, WB Silueta</t>
        </is>
      </c>
      <c r="AI1578" s="156" t="inlineStr">
        <is>
          <t>No</t>
        </is>
      </c>
      <c r="AJ1578" s="156" t="n"/>
      <c r="AK1578" s="155" t="inlineStr">
        <is>
          <t>Criterios: I [Q] | Shopify Stetson: producto 15056328884587 / variante 53357911867755</t>
        </is>
      </c>
      <c r="AL1578" s="58" t="n">
        <v>1260</v>
      </c>
      <c r="AM1578" s="58" t="n">
        <v>3103.448276</v>
      </c>
      <c r="AN1578" s="155" t="inlineStr">
        <is>
          <t>Shopify Stetson México</t>
        </is>
      </c>
      <c r="AO1578" s="59" t="n">
        <v>1</v>
      </c>
      <c r="AP1578" s="59" t="n"/>
      <c r="AQ1578" s="59" t="n"/>
      <c r="AR1578" s="155" t="inlineStr">
        <is>
          <t>Shopify Stetson México › Stetson Americas: 1</t>
        </is>
      </c>
    </row>
    <row r="1579">
      <c r="A1579" s="50" t="inlineStr">
        <is>
          <t>883383057430</t>
        </is>
      </c>
      <c r="B1579" s="51" t="inlineStr">
        <is>
          <t>109876</t>
        </is>
      </c>
      <c r="C1579" s="156" t="inlineStr">
        <is>
          <t>Multimarca</t>
        </is>
      </c>
      <c r="D1579" s="156" t="inlineStr">
        <is>
          <t>SBAPCH-754023</t>
        </is>
      </c>
      <c r="E1579" s="156" t="inlineStr">
        <is>
          <t>SBAPCH-75402367</t>
        </is>
      </c>
      <c r="F1579" s="156" t="inlineStr">
        <is>
          <t>6 7/8</t>
        </is>
      </c>
      <c r="G1579" s="156" t="inlineStr">
        <is>
          <t>6 7/8</t>
        </is>
      </c>
      <c r="H1579" s="156" t="inlineStr">
        <is>
          <t>Stetson</t>
        </is>
      </c>
      <c r="I1579" s="156" t="inlineStr">
        <is>
          <t>Texana Stetson Apache Visón</t>
        </is>
      </c>
      <c r="J1579" s="156" t="inlineStr">
        <is>
          <t>Accesorios</t>
        </is>
      </c>
      <c r="K1579" s="156" t="inlineStr">
        <is>
          <t>Sombreros</t>
        </is>
      </c>
      <c r="L1579" s="156" t="inlineStr">
        <is>
          <t>Unisex</t>
        </is>
      </c>
      <c r="M1579" s="156" t="inlineStr">
        <is>
          <t>Stetson</t>
        </is>
      </c>
      <c r="N1579" s="156" t="inlineStr">
        <is>
          <t>SS26</t>
        </is>
      </c>
      <c r="O1579" s="156" t="inlineStr">
        <is>
          <t>Seasonal</t>
        </is>
      </c>
      <c r="P1579" s="156" t="inlineStr">
        <is>
          <t>Cafe</t>
        </is>
      </c>
      <c r="Q1579" s="156" t="n"/>
      <c r="R1579" s="156" t="inlineStr">
        <is>
          <t>Copa Cattleman</t>
        </is>
      </c>
      <c r="S1579" s="156" t="inlineStr">
        <is>
          <t>100% Fieltro de lana</t>
        </is>
      </c>
      <c r="T1579"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79" s="156" t="inlineStr">
        <is>
          <t>Estados Unidos</t>
        </is>
      </c>
      <c r="V1579" s="156" t="inlineStr">
        <is>
          <t>PZS</t>
        </is>
      </c>
      <c r="W1579" s="51" t="inlineStr">
        <is>
          <t>53102503</t>
        </is>
      </c>
      <c r="X1579" s="156" t="inlineStr">
        <is>
          <t>https://cdn.shopify.com/s/files/1/0888/3250/8267/files/SBAPCH-754023-01.jpg?v=1789165737</t>
        </is>
      </c>
      <c r="Y1579" s="54" t="n">
        <v>1260</v>
      </c>
      <c r="Z1579" s="54" t="n">
        <v>3103.448276</v>
      </c>
      <c r="AA1579" s="55">
        <f>IF(AND(A1579="", B1579="", E1579=""), "", IF(AB1579="", "Válido", IF((LEN(AB1579)-LEN(SUBSTITUTE(AB1579,"; ","")))/2+1&gt;(LEN(AB1579)-LEN(SUBSTITUTE(AB1579,"[Aviso]","")))/7, "Con Incidencias", "Válido")))</f>
        <v/>
      </c>
      <c r="AB1579" s="56">
        <f>IF(AND(A1579="", B1579="", E1579=""), "", TEXTJOIN("; ", TRUE, IF(OR(TRIM(A1579&amp;"")="", ISNUMBER(SEARCH("FALTA", A1579))), "UPC faltante/inválido", ""), IF(AND(A1579&lt;&gt;"", IFERROR(_xlfn.XMATCH(A1579,$A$2:$A$2509,0,1)&lt;&gt;_xlfn.XMATCH(A1579,$A$2:$A$2509,0,-1),FALSE)), "Código de barras duplicado", ""), IF(AND(E1579&lt;&gt;"", COUNTIF($E$2:$E$2509, E1579)&gt;1), "SKU duplicado", ""), IF(OR(J1579="", J1579=""), "[Aviso] División no capturada ()", IF(ISNA(MATCH(J1579, Criterios!$A$123:$A$126, 0)), "División no válida", "")), IF(OR(K1579="", K1579=""), "[Aviso] Categoría no capturada ()", IF(ISNA(MATCH(K1579, Criterios!$A$81:$A$120, 0)), "Categoría no válida", IF(AND(J1579&lt;&gt;"", J1579&lt;&gt;"", J1579&lt;&gt;VLOOKUP(K1579, Criterios!$A$81:$B$120, 2, FALSE)), "División no coincide con Categoría", ""))), IF(OR(L1579="", L1579=""), "[Aviso] Género no capturado ()", IF(ISNA(MATCH(L1579, Criterios!$B$123:$B$127, 0)), "Género no válido", "")), IF(OR(N1579="", N1579=""), "[Aviso] Temporada no capturada ()", IF(ISNA(MATCH(N1579, Criterios!$C$123:$C$128, 0)), "Temporada no válida", "")), IF(OR(O1579="", O1579=""), "[Aviso] Ciclo de vida no capturado ()", IF(ISNA(MATCH(O1579, Criterios!$D$123:$D$124, 0)), "Ciclo de vida no válido", ""))))</f>
        <v/>
      </c>
      <c r="AC1579" s="56" t="n"/>
      <c r="AD1579" s="51" t="n">
        <v>0</v>
      </c>
      <c r="AE1579" s="156" t="inlineStr">
        <is>
          <t>B25 STETSON.MX (1)</t>
        </is>
      </c>
      <c r="AF1579" s="51" t="n">
        <v>1</v>
      </c>
      <c r="AG1579" s="156" t="inlineStr">
        <is>
          <t>Catálogo existente</t>
        </is>
      </c>
      <c r="AH1579" s="156" t="inlineStr">
        <is>
          <t>Revisión 29/09/2026: Cruce de catálogo y criterios sin pendientes detectados | 01/10/2026: complementado desde Shopify Stetson México (match por código de barras): WB Fit, WB Silueta</t>
        </is>
      </c>
      <c r="AI1579" s="156" t="inlineStr">
        <is>
          <t>Sí</t>
        </is>
      </c>
      <c r="AJ1579" s="156" t="inlineStr">
        <is>
          <t>STETSON AMERICAS (-1)</t>
        </is>
      </c>
      <c r="AK1579" s="155" t="inlineStr">
        <is>
          <t>Criterios: I [Q] | Shopify Stetson: producto 15056328917355 / variante 53357911900523</t>
        </is>
      </c>
      <c r="AL1579" s="58" t="n">
        <v>1260</v>
      </c>
      <c r="AM1579" s="58" t="n">
        <v>3103.448276</v>
      </c>
      <c r="AN1579" s="155" t="inlineStr">
        <is>
          <t>Shopify Stetson México</t>
        </is>
      </c>
      <c r="AO1579" s="59" t="n">
        <v>1</v>
      </c>
      <c r="AP1579" s="59" t="n"/>
      <c r="AQ1579" s="59" t="n"/>
      <c r="AR1579" s="155" t="inlineStr">
        <is>
          <t>Shopify Stetson México › Stetson Americas: 1</t>
        </is>
      </c>
    </row>
    <row r="1580">
      <c r="A1580" s="50" t="inlineStr">
        <is>
          <t>883383057447</t>
        </is>
      </c>
      <c r="B1580" s="51" t="inlineStr">
        <is>
          <t>109877</t>
        </is>
      </c>
      <c r="C1580" s="156" t="inlineStr">
        <is>
          <t>Multimarca</t>
        </is>
      </c>
      <c r="D1580" s="156" t="inlineStr">
        <is>
          <t>SBAPCH-754023</t>
        </is>
      </c>
      <c r="E1580" s="156" t="inlineStr">
        <is>
          <t>SBAPCH-75402370</t>
        </is>
      </c>
      <c r="F1580" s="156" t="inlineStr">
        <is>
          <t>7</t>
        </is>
      </c>
      <c r="G1580" s="156" t="inlineStr">
        <is>
          <t>7</t>
        </is>
      </c>
      <c r="H1580" s="156" t="inlineStr">
        <is>
          <t>Stetson</t>
        </is>
      </c>
      <c r="I1580" s="156" t="inlineStr">
        <is>
          <t>Texana Stetson Apache Visón</t>
        </is>
      </c>
      <c r="J1580" s="156" t="inlineStr">
        <is>
          <t>Accesorios</t>
        </is>
      </c>
      <c r="K1580" s="156" t="inlineStr">
        <is>
          <t>Sombreros</t>
        </is>
      </c>
      <c r="L1580" s="156" t="inlineStr">
        <is>
          <t>Unisex</t>
        </is>
      </c>
      <c r="M1580" s="156" t="inlineStr">
        <is>
          <t>Stetson</t>
        </is>
      </c>
      <c r="N1580" s="156" t="inlineStr">
        <is>
          <t>SS26</t>
        </is>
      </c>
      <c r="O1580" s="156" t="inlineStr">
        <is>
          <t>Seasonal</t>
        </is>
      </c>
      <c r="P1580" s="156" t="inlineStr">
        <is>
          <t>Cafe</t>
        </is>
      </c>
      <c r="Q1580" s="156" t="n"/>
      <c r="R1580" s="156" t="inlineStr">
        <is>
          <t>Copa Cattleman</t>
        </is>
      </c>
      <c r="S1580" s="156" t="inlineStr">
        <is>
          <t>100% Fieltro de lana</t>
        </is>
      </c>
      <c r="T1580"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0" s="156" t="inlineStr">
        <is>
          <t>Estados Unidos</t>
        </is>
      </c>
      <c r="V1580" s="156" t="inlineStr">
        <is>
          <t>PZS</t>
        </is>
      </c>
      <c r="W1580" s="51" t="inlineStr">
        <is>
          <t>53102503</t>
        </is>
      </c>
      <c r="X1580" s="156" t="inlineStr">
        <is>
          <t>https://cdn.shopify.com/s/files/1/0888/3250/8267/files/SBAPCH-754023-06.jpg?v=1789166021</t>
        </is>
      </c>
      <c r="Y1580" s="54" t="n">
        <v>1260</v>
      </c>
      <c r="Z1580" s="54" t="n">
        <v>3103.448276</v>
      </c>
      <c r="AA1580" s="55">
        <f>IF(AND(A1580="", B1580="", E1580=""), "", IF(AB1580="", "Válido", IF((LEN(AB1580)-LEN(SUBSTITUTE(AB1580,"; ","")))/2+1&gt;(LEN(AB1580)-LEN(SUBSTITUTE(AB1580,"[Aviso]","")))/7, "Con Incidencias", "Válido")))</f>
        <v/>
      </c>
      <c r="AB1580" s="56">
        <f>IF(AND(A1580="", B1580="", E1580=""), "", TEXTJOIN("; ", TRUE, IF(OR(TRIM(A1580&amp;"")="", ISNUMBER(SEARCH("FALTA", A1580))), "UPC faltante/inválido", ""), IF(AND(A1580&lt;&gt;"", IFERROR(_xlfn.XMATCH(A1580,$A$2:$A$2509,0,1)&lt;&gt;_xlfn.XMATCH(A1580,$A$2:$A$2509,0,-1),FALSE)), "Código de barras duplicado", ""), IF(AND(E1580&lt;&gt;"", COUNTIF($E$2:$E$2509, E1580)&gt;1), "SKU duplicado", ""), IF(OR(J1580="", J1580=""), "[Aviso] División no capturada ()", IF(ISNA(MATCH(J1580, Criterios!$A$123:$A$126, 0)), "División no válida", "")), IF(OR(K1580="", K1580=""), "[Aviso] Categoría no capturada ()", IF(ISNA(MATCH(K1580, Criterios!$A$81:$A$120, 0)), "Categoría no válida", IF(AND(J1580&lt;&gt;"", J1580&lt;&gt;"", J1580&lt;&gt;VLOOKUP(K1580, Criterios!$A$81:$B$120, 2, FALSE)), "División no coincide con Categoría", ""))), IF(OR(L1580="", L1580=""), "[Aviso] Género no capturado ()", IF(ISNA(MATCH(L1580, Criterios!$B$123:$B$127, 0)), "Género no válido", "")), IF(OR(N1580="", N1580=""), "[Aviso] Temporada no capturada ()", IF(ISNA(MATCH(N1580, Criterios!$C$123:$C$128, 0)), "Temporada no válida", "")), IF(OR(O1580="", O1580=""), "[Aviso] Ciclo de vida no capturado ()", IF(ISNA(MATCH(O1580, Criterios!$D$123:$D$124, 0)), "Ciclo de vida no válido", ""))))</f>
        <v/>
      </c>
      <c r="AC1580" s="56" t="n"/>
      <c r="AD1580" s="51" t="n">
        <v>0</v>
      </c>
      <c r="AE1580" s="156" t="inlineStr">
        <is>
          <t>B25 STETSON.MX (1)</t>
        </is>
      </c>
      <c r="AF1580" s="51" t="n">
        <v>1</v>
      </c>
      <c r="AG1580" s="156" t="inlineStr">
        <is>
          <t>Catálogo existente</t>
        </is>
      </c>
      <c r="AH1580" s="156" t="inlineStr">
        <is>
          <t>Revisión 29/09/2026: Cruce de catálogo y criterios sin pendientes detectados | 01/10/2026: complementado desde Shopify Stetson México (match por código de barras): WB Fit, WB Silueta</t>
        </is>
      </c>
      <c r="AI1580" s="156" t="inlineStr">
        <is>
          <t>Sí</t>
        </is>
      </c>
      <c r="AJ1580" s="156" t="inlineStr">
        <is>
          <t>STETSON AMERICAS (-1)</t>
        </is>
      </c>
      <c r="AK1580" s="155" t="inlineStr">
        <is>
          <t>Criterios: I [Q] | Shopify Stetson: producto 15056328917355 / variante 53357911933291</t>
        </is>
      </c>
      <c r="AL1580" s="58" t="n">
        <v>1260</v>
      </c>
      <c r="AM1580" s="58" t="n">
        <v>3103.448276</v>
      </c>
      <c r="AN1580" s="155" t="inlineStr">
        <is>
          <t>Shopify Stetson México</t>
        </is>
      </c>
      <c r="AO1580" s="59" t="n">
        <v>1</v>
      </c>
      <c r="AP1580" s="59" t="n"/>
      <c r="AQ1580" s="59" t="n"/>
      <c r="AR1580" s="155" t="inlineStr">
        <is>
          <t>Shopify Stetson México › Stetson México: 1</t>
        </is>
      </c>
    </row>
    <row r="1581">
      <c r="A1581" s="50" t="inlineStr">
        <is>
          <t>883383057454</t>
        </is>
      </c>
      <c r="B1581" s="51" t="inlineStr">
        <is>
          <t>109878</t>
        </is>
      </c>
      <c r="C1581" s="156" t="inlineStr">
        <is>
          <t>Multimarca</t>
        </is>
      </c>
      <c r="D1581" s="156" t="inlineStr">
        <is>
          <t>SBAPCH-754023</t>
        </is>
      </c>
      <c r="E1581" s="156" t="inlineStr">
        <is>
          <t>SBAPCH-75402371</t>
        </is>
      </c>
      <c r="F1581" s="156" t="inlineStr">
        <is>
          <t>7 1/8</t>
        </is>
      </c>
      <c r="G1581" s="156" t="inlineStr">
        <is>
          <t>7 1/8</t>
        </is>
      </c>
      <c r="H1581" s="156" t="inlineStr">
        <is>
          <t>Stetson</t>
        </is>
      </c>
      <c r="I1581" s="156" t="inlineStr">
        <is>
          <t>Texana Stetson Apache Visón</t>
        </is>
      </c>
      <c r="J1581" s="156" t="inlineStr">
        <is>
          <t>Accesorios</t>
        </is>
      </c>
      <c r="K1581" s="156" t="inlineStr">
        <is>
          <t>Sombreros</t>
        </is>
      </c>
      <c r="L1581" s="156" t="inlineStr">
        <is>
          <t>Unisex</t>
        </is>
      </c>
      <c r="M1581" s="156" t="inlineStr">
        <is>
          <t>Stetson</t>
        </is>
      </c>
      <c r="N1581" s="156" t="inlineStr">
        <is>
          <t>SS26</t>
        </is>
      </c>
      <c r="O1581" s="156" t="inlineStr">
        <is>
          <t>Seasonal</t>
        </is>
      </c>
      <c r="P1581" s="156" t="inlineStr">
        <is>
          <t>Cafe</t>
        </is>
      </c>
      <c r="Q1581" s="156" t="n"/>
      <c r="R1581" s="156" t="inlineStr">
        <is>
          <t>Copa Cattleman</t>
        </is>
      </c>
      <c r="S1581" s="156" t="inlineStr">
        <is>
          <t>100% Fieltro de lana</t>
        </is>
      </c>
      <c r="T1581"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1" s="156" t="inlineStr">
        <is>
          <t>Estados Unidos</t>
        </is>
      </c>
      <c r="V1581" s="156" t="inlineStr">
        <is>
          <t>PZS</t>
        </is>
      </c>
      <c r="W1581" s="51" t="inlineStr">
        <is>
          <t>53102503</t>
        </is>
      </c>
      <c r="X1581" s="156" t="inlineStr">
        <is>
          <t>https://cdn.shopify.com/s/files/1/0888/3250/8267/files/SBAPCH-754023-02.jpg?v=1789165737</t>
        </is>
      </c>
      <c r="Y1581" s="54" t="n">
        <v>1260</v>
      </c>
      <c r="Z1581" s="54" t="n">
        <v>3103.448276</v>
      </c>
      <c r="AA1581" s="55">
        <f>IF(AND(A1581="", B1581="", E1581=""), "", IF(AB1581="", "Válido", IF((LEN(AB1581)-LEN(SUBSTITUTE(AB1581,"; ","")))/2+1&gt;(LEN(AB1581)-LEN(SUBSTITUTE(AB1581,"[Aviso]","")))/7, "Con Incidencias", "Válido")))</f>
        <v/>
      </c>
      <c r="AB1581" s="56">
        <f>IF(AND(A1581="", B1581="", E1581=""), "", TEXTJOIN("; ", TRUE, IF(OR(TRIM(A1581&amp;"")="", ISNUMBER(SEARCH("FALTA", A1581))), "UPC faltante/inválido", ""), IF(AND(A1581&lt;&gt;"", IFERROR(_xlfn.XMATCH(A1581,$A$2:$A$2509,0,1)&lt;&gt;_xlfn.XMATCH(A1581,$A$2:$A$2509,0,-1),FALSE)), "Código de barras duplicado", ""), IF(AND(E1581&lt;&gt;"", COUNTIF($E$2:$E$2509, E1581)&gt;1), "SKU duplicado", ""), IF(OR(J1581="", J1581=""), "[Aviso] División no capturada ()", IF(ISNA(MATCH(J1581, Criterios!$A$123:$A$126, 0)), "División no válida", "")), IF(OR(K1581="", K1581=""), "[Aviso] Categoría no capturada ()", IF(ISNA(MATCH(K1581, Criterios!$A$81:$A$120, 0)), "Categoría no válida", IF(AND(J1581&lt;&gt;"", J1581&lt;&gt;"", J1581&lt;&gt;VLOOKUP(K1581, Criterios!$A$81:$B$120, 2, FALSE)), "División no coincide con Categoría", ""))), IF(OR(L1581="", L1581=""), "[Aviso] Género no capturado ()", IF(ISNA(MATCH(L1581, Criterios!$B$123:$B$127, 0)), "Género no válido", "")), IF(OR(N1581="", N1581=""), "[Aviso] Temporada no capturada ()", IF(ISNA(MATCH(N1581, Criterios!$C$123:$C$128, 0)), "Temporada no válida", "")), IF(OR(O1581="", O1581=""), "[Aviso] Ciclo de vida no capturado ()", IF(ISNA(MATCH(O1581, Criterios!$D$123:$D$124, 0)), "Ciclo de vida no válido", ""))))</f>
        <v/>
      </c>
      <c r="AC1581" s="56" t="n"/>
      <c r="AD1581" s="51" t="n">
        <v>1</v>
      </c>
      <c r="AE1581" s="156" t="inlineStr">
        <is>
          <t>STETSON AMERICAS (1); B25 STETSON.MX (1)</t>
        </is>
      </c>
      <c r="AF1581" s="51" t="n">
        <v>2</v>
      </c>
      <c r="AG1581" s="156" t="inlineStr">
        <is>
          <t>Catálogo existente</t>
        </is>
      </c>
      <c r="AH1581" s="156" t="inlineStr">
        <is>
          <t>Revisión 29/09/2026: Cruce de catálogo y criterios sin pendientes detectados | 01/10/2026: complementado desde Shopify Stetson México (match por código de barras): WB Fit, WB Silueta</t>
        </is>
      </c>
      <c r="AI1581" s="156" t="inlineStr">
        <is>
          <t>Sí</t>
        </is>
      </c>
      <c r="AJ1581" s="156" t="inlineStr">
        <is>
          <t>PUNTO DE VENTA (-1)</t>
        </is>
      </c>
      <c r="AK1581" s="155" t="inlineStr">
        <is>
          <t>Criterios: I [Q] | Shopify Stetson: producto 15056328917355 / variante 53357911966059</t>
        </is>
      </c>
      <c r="AL1581" s="58" t="n">
        <v>1260</v>
      </c>
      <c r="AM1581" s="58" t="n">
        <v>3103.448276</v>
      </c>
      <c r="AN1581" s="155" t="inlineStr">
        <is>
          <t>Shopify Stetson México</t>
        </is>
      </c>
      <c r="AO1581" s="59" t="n">
        <v>2</v>
      </c>
      <c r="AP1581" s="59" t="n"/>
      <c r="AQ1581" s="59" t="n"/>
      <c r="AR1581" s="155" t="inlineStr">
        <is>
          <t>Shopify Stetson México › Stetson México: 1 | Shopify Stetson México › Stetson Americas: 1</t>
        </is>
      </c>
    </row>
    <row r="1582">
      <c r="A1582" s="50" t="inlineStr">
        <is>
          <t>883383057461</t>
        </is>
      </c>
      <c r="B1582" s="51" t="inlineStr">
        <is>
          <t>109879</t>
        </is>
      </c>
      <c r="C1582" s="156" t="inlineStr">
        <is>
          <t>Multimarca</t>
        </is>
      </c>
      <c r="D1582" s="156" t="inlineStr">
        <is>
          <t>SBAPCH-754023</t>
        </is>
      </c>
      <c r="E1582" s="156" t="inlineStr">
        <is>
          <t>SBAPCH-75402372</t>
        </is>
      </c>
      <c r="F1582" s="156" t="inlineStr">
        <is>
          <t>7 1/4</t>
        </is>
      </c>
      <c r="G1582" s="156" t="inlineStr">
        <is>
          <t>7 1/4</t>
        </is>
      </c>
      <c r="H1582" s="156" t="inlineStr">
        <is>
          <t>Stetson</t>
        </is>
      </c>
      <c r="I1582" s="156" t="inlineStr">
        <is>
          <t>Texana Stetson Apache Visón</t>
        </is>
      </c>
      <c r="J1582" s="156" t="inlineStr">
        <is>
          <t>Accesorios</t>
        </is>
      </c>
      <c r="K1582" s="156" t="inlineStr">
        <is>
          <t>Sombreros</t>
        </is>
      </c>
      <c r="L1582" s="156" t="inlineStr">
        <is>
          <t>Unisex</t>
        </is>
      </c>
      <c r="M1582" s="156" t="inlineStr">
        <is>
          <t>Stetson</t>
        </is>
      </c>
      <c r="N1582" s="156" t="inlineStr">
        <is>
          <t>SS26</t>
        </is>
      </c>
      <c r="O1582" s="156" t="inlineStr">
        <is>
          <t>Seasonal</t>
        </is>
      </c>
      <c r="P1582" s="156" t="inlineStr">
        <is>
          <t>Cafe</t>
        </is>
      </c>
      <c r="Q1582" s="156" t="n"/>
      <c r="R1582" s="156" t="inlineStr">
        <is>
          <t>Copa Cattleman</t>
        </is>
      </c>
      <c r="S1582" s="156" t="inlineStr">
        <is>
          <t>100% Fieltro de lana</t>
        </is>
      </c>
      <c r="T1582"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2" s="156" t="inlineStr">
        <is>
          <t>Estados Unidos</t>
        </is>
      </c>
      <c r="V1582" s="156" t="inlineStr">
        <is>
          <t>PZS</t>
        </is>
      </c>
      <c r="W1582" s="51" t="inlineStr">
        <is>
          <t>53102503</t>
        </is>
      </c>
      <c r="X1582" s="156" t="inlineStr">
        <is>
          <t>https://cdn.shopify.com/s/files/1/0888/3250/8267/files/SBAPCH-754023-03.jpg?v=1789165737</t>
        </is>
      </c>
      <c r="Y1582" s="54" t="n">
        <v>1260</v>
      </c>
      <c r="Z1582" s="54" t="n">
        <v>3103.448276</v>
      </c>
      <c r="AA1582" s="55">
        <f>IF(AND(A1582="", B1582="", E1582=""), "", IF(AB1582="", "Válido", IF((LEN(AB1582)-LEN(SUBSTITUTE(AB1582,"; ","")))/2+1&gt;(LEN(AB1582)-LEN(SUBSTITUTE(AB1582,"[Aviso]","")))/7, "Con Incidencias", "Válido")))</f>
        <v/>
      </c>
      <c r="AB1582" s="56">
        <f>IF(AND(A1582="", B1582="", E1582=""), "", TEXTJOIN("; ", TRUE, IF(OR(TRIM(A1582&amp;"")="", ISNUMBER(SEARCH("FALTA", A1582))), "UPC faltante/inválido", ""), IF(AND(A1582&lt;&gt;"", IFERROR(_xlfn.XMATCH(A1582,$A$2:$A$2509,0,1)&lt;&gt;_xlfn.XMATCH(A1582,$A$2:$A$2509,0,-1),FALSE)), "Código de barras duplicado", ""), IF(AND(E1582&lt;&gt;"", COUNTIF($E$2:$E$2509, E1582)&gt;1), "SKU duplicado", ""), IF(OR(J1582="", J1582=""), "[Aviso] División no capturada ()", IF(ISNA(MATCH(J1582, Criterios!$A$123:$A$126, 0)), "División no válida", "")), IF(OR(K1582="", K1582=""), "[Aviso] Categoría no capturada ()", IF(ISNA(MATCH(K1582, Criterios!$A$81:$A$120, 0)), "Categoría no válida", IF(AND(J1582&lt;&gt;"", J1582&lt;&gt;"", J1582&lt;&gt;VLOOKUP(K1582, Criterios!$A$81:$B$120, 2, FALSE)), "División no coincide con Categoría", ""))), IF(OR(L1582="", L1582=""), "[Aviso] Género no capturado ()", IF(ISNA(MATCH(L1582, Criterios!$B$123:$B$127, 0)), "Género no válido", "")), IF(OR(N1582="", N1582=""), "[Aviso] Temporada no capturada ()", IF(ISNA(MATCH(N1582, Criterios!$C$123:$C$128, 0)), "Temporada no válida", "")), IF(OR(O1582="", O1582=""), "[Aviso] Ciclo de vida no capturado ()", IF(ISNA(MATCH(O1582, Criterios!$D$123:$D$124, 0)), "Ciclo de vida no válido", ""))))</f>
        <v/>
      </c>
      <c r="AC1582" s="56" t="n"/>
      <c r="AD1582" s="51" t="n">
        <v>1</v>
      </c>
      <c r="AE1582" s="156" t="inlineStr">
        <is>
          <t>STETSON AMERICAS (1); B25 STETSON.MX (1)</t>
        </is>
      </c>
      <c r="AF1582" s="51" t="n">
        <v>2</v>
      </c>
      <c r="AG1582" s="156" t="inlineStr">
        <is>
          <t>Catálogo existente</t>
        </is>
      </c>
      <c r="AH1582" s="156" t="inlineStr">
        <is>
          <t>Revisión 29/09/2026: Cruce de catálogo y criterios sin pendientes detectados | 01/10/2026: complementado desde Shopify Stetson México (match por código de barras): WB Fit, WB Silueta</t>
        </is>
      </c>
      <c r="AI1582" s="156" t="inlineStr">
        <is>
          <t>Sí</t>
        </is>
      </c>
      <c r="AJ1582" s="156" t="inlineStr">
        <is>
          <t>PUNTO DE VENTA (-1)</t>
        </is>
      </c>
      <c r="AK1582" s="155" t="inlineStr">
        <is>
          <t>Criterios: I [Q] | Shopify Stetson: producto 15056328917355 / variante 53357911998827</t>
        </is>
      </c>
      <c r="AL1582" s="58" t="n">
        <v>1260</v>
      </c>
      <c r="AM1582" s="58" t="n">
        <v>3103.448276</v>
      </c>
      <c r="AN1582" s="155" t="inlineStr">
        <is>
          <t>Shopify Stetson México</t>
        </is>
      </c>
      <c r="AO1582" s="59" t="n">
        <v>2</v>
      </c>
      <c r="AP1582" s="59" t="n"/>
      <c r="AQ1582" s="59" t="n"/>
      <c r="AR1582" s="155" t="inlineStr">
        <is>
          <t>Shopify Stetson México › Stetson México: 1 | Shopify Stetson México › Stetson Americas: 1</t>
        </is>
      </c>
    </row>
    <row r="1583">
      <c r="A1583" s="50" t="inlineStr">
        <is>
          <t>883383057478</t>
        </is>
      </c>
      <c r="B1583" s="51" t="inlineStr">
        <is>
          <t>109880</t>
        </is>
      </c>
      <c r="C1583" s="156" t="inlineStr">
        <is>
          <t>Multimarca</t>
        </is>
      </c>
      <c r="D1583" s="156" t="inlineStr">
        <is>
          <t>SBAPCH-754023</t>
        </is>
      </c>
      <c r="E1583" s="156" t="inlineStr">
        <is>
          <t>SBAPCH-75402373</t>
        </is>
      </c>
      <c r="F1583" s="156" t="inlineStr">
        <is>
          <t>7 3/8</t>
        </is>
      </c>
      <c r="G1583" s="156" t="inlineStr">
        <is>
          <t>7 3/8</t>
        </is>
      </c>
      <c r="H1583" s="156" t="inlineStr">
        <is>
          <t>Stetson</t>
        </is>
      </c>
      <c r="I1583" s="156" t="inlineStr">
        <is>
          <t>Texana Stetson Apache Visón</t>
        </is>
      </c>
      <c r="J1583" s="156" t="inlineStr">
        <is>
          <t>Accesorios</t>
        </is>
      </c>
      <c r="K1583" s="156" t="inlineStr">
        <is>
          <t>Sombreros</t>
        </is>
      </c>
      <c r="L1583" s="156" t="inlineStr">
        <is>
          <t>Unisex</t>
        </is>
      </c>
      <c r="M1583" s="156" t="inlineStr">
        <is>
          <t>Stetson</t>
        </is>
      </c>
      <c r="N1583" s="156" t="inlineStr">
        <is>
          <t>SS26</t>
        </is>
      </c>
      <c r="O1583" s="156" t="inlineStr">
        <is>
          <t>Seasonal</t>
        </is>
      </c>
      <c r="P1583" s="156" t="inlineStr">
        <is>
          <t>Cafe</t>
        </is>
      </c>
      <c r="Q1583" s="156" t="n"/>
      <c r="R1583" s="156" t="inlineStr">
        <is>
          <t>Copa Cattleman</t>
        </is>
      </c>
      <c r="S1583" s="156" t="inlineStr">
        <is>
          <t>100% Fieltro de lana</t>
        </is>
      </c>
      <c r="T1583"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3" s="156" t="inlineStr">
        <is>
          <t>Estados Unidos</t>
        </is>
      </c>
      <c r="V1583" s="156" t="inlineStr">
        <is>
          <t>PZS</t>
        </is>
      </c>
      <c r="W1583" s="51" t="inlineStr">
        <is>
          <t>53102503</t>
        </is>
      </c>
      <c r="X1583" s="156" t="inlineStr">
        <is>
          <t>https://cdn.shopify.com/s/files/1/0888/3250/8267/files/SBAPCH-754023-04.jpg?v=1789165737</t>
        </is>
      </c>
      <c r="Y1583" s="54" t="n">
        <v>1260</v>
      </c>
      <c r="Z1583" s="54" t="n">
        <v>3103.448276</v>
      </c>
      <c r="AA1583" s="55">
        <f>IF(AND(A1583="", B1583="", E1583=""), "", IF(AB1583="", "Válido", IF((LEN(AB1583)-LEN(SUBSTITUTE(AB1583,"; ","")))/2+1&gt;(LEN(AB1583)-LEN(SUBSTITUTE(AB1583,"[Aviso]","")))/7, "Con Incidencias", "Válido")))</f>
        <v/>
      </c>
      <c r="AB1583" s="56">
        <f>IF(AND(A1583="", B1583="", E1583=""), "", TEXTJOIN("; ", TRUE, IF(OR(TRIM(A1583&amp;"")="", ISNUMBER(SEARCH("FALTA", A1583))), "UPC faltante/inválido", ""), IF(AND(A1583&lt;&gt;"", IFERROR(_xlfn.XMATCH(A1583,$A$2:$A$2509,0,1)&lt;&gt;_xlfn.XMATCH(A1583,$A$2:$A$2509,0,-1),FALSE)), "Código de barras duplicado", ""), IF(AND(E1583&lt;&gt;"", COUNTIF($E$2:$E$2509, E1583)&gt;1), "SKU duplicado", ""), IF(OR(J1583="", J1583=""), "[Aviso] División no capturada ()", IF(ISNA(MATCH(J1583, Criterios!$A$123:$A$126, 0)), "División no válida", "")), IF(OR(K1583="", K1583=""), "[Aviso] Categoría no capturada ()", IF(ISNA(MATCH(K1583, Criterios!$A$81:$A$120, 0)), "Categoría no válida", IF(AND(J1583&lt;&gt;"", J1583&lt;&gt;"", J1583&lt;&gt;VLOOKUP(K1583, Criterios!$A$81:$B$120, 2, FALSE)), "División no coincide con Categoría", ""))), IF(OR(L1583="", L1583=""), "[Aviso] Género no capturado ()", IF(ISNA(MATCH(L1583, Criterios!$B$123:$B$127, 0)), "Género no válido", "")), IF(OR(N1583="", N1583=""), "[Aviso] Temporada no capturada ()", IF(ISNA(MATCH(N1583, Criterios!$C$123:$C$128, 0)), "Temporada no válida", "")), IF(OR(O1583="", O1583=""), "[Aviso] Ciclo de vida no capturado ()", IF(ISNA(MATCH(O1583, Criterios!$D$123:$D$124, 0)), "Ciclo de vida no válido", ""))))</f>
        <v/>
      </c>
      <c r="AC1583" s="56" t="n"/>
      <c r="AD1583" s="51" t="n">
        <v>-1</v>
      </c>
      <c r="AE1583" s="156" t="n"/>
      <c r="AF1583" s="51" t="n">
        <v>0</v>
      </c>
      <c r="AG1583" s="156" t="inlineStr">
        <is>
          <t>Catálogo existente</t>
        </is>
      </c>
      <c r="AH1583" s="156" t="inlineStr">
        <is>
          <t>Stock negativo en sistema: revisar en conteo | Revisión 29/09/2026: Cruce de catálogo y criterios sin pendientes detectados | 01/10/2026: complementado desde Shopify Stetson México (match por código de barras): WB Fit, WB Silueta</t>
        </is>
      </c>
      <c r="AI1583" s="156" t="inlineStr">
        <is>
          <t>Sí</t>
        </is>
      </c>
      <c r="AJ1583" s="156" t="inlineStr">
        <is>
          <t>STETSON AMERICAS (-1)</t>
        </is>
      </c>
      <c r="AK1583" s="155" t="inlineStr">
        <is>
          <t>Criterios: I [Q] | Shopify Stetson: producto 15056328917355 / variante 53357912031595</t>
        </is>
      </c>
      <c r="AL1583" s="58" t="n">
        <v>1260</v>
      </c>
      <c r="AM1583" s="58" t="n">
        <v>3103.448276</v>
      </c>
      <c r="AN1583" s="155" t="inlineStr">
        <is>
          <t>Shopify Stetson México</t>
        </is>
      </c>
      <c r="AO1583" s="59" t="n">
        <v>1</v>
      </c>
      <c r="AP1583" s="59" t="n"/>
      <c r="AQ1583" s="59" t="n"/>
      <c r="AR1583" s="155" t="inlineStr">
        <is>
          <t>Shopify Stetson México › Stetson Americas: 1</t>
        </is>
      </c>
    </row>
    <row r="1584">
      <c r="A1584" s="50" t="inlineStr">
        <is>
          <t>883383057485</t>
        </is>
      </c>
      <c r="B1584" s="51" t="inlineStr">
        <is>
          <t>109881</t>
        </is>
      </c>
      <c r="C1584" s="156" t="inlineStr">
        <is>
          <t>Multimarca</t>
        </is>
      </c>
      <c r="D1584" s="156" t="inlineStr">
        <is>
          <t>SBAPCH-754023</t>
        </is>
      </c>
      <c r="E1584" s="156" t="inlineStr">
        <is>
          <t>SBAPCH-75402374</t>
        </is>
      </c>
      <c r="F1584" s="156" t="inlineStr">
        <is>
          <t>7 1/2</t>
        </is>
      </c>
      <c r="G1584" s="156" t="inlineStr">
        <is>
          <t>7 1/2</t>
        </is>
      </c>
      <c r="H1584" s="156" t="inlineStr">
        <is>
          <t>Stetson</t>
        </is>
      </c>
      <c r="I1584" s="156" t="inlineStr">
        <is>
          <t>Texana Stetson Apache Visón</t>
        </is>
      </c>
      <c r="J1584" s="156" t="inlineStr">
        <is>
          <t>Accesorios</t>
        </is>
      </c>
      <c r="K1584" s="156" t="inlineStr">
        <is>
          <t>Sombreros</t>
        </is>
      </c>
      <c r="L1584" s="156" t="inlineStr">
        <is>
          <t>Unisex</t>
        </is>
      </c>
      <c r="M1584" s="156" t="inlineStr">
        <is>
          <t>Stetson</t>
        </is>
      </c>
      <c r="N1584" s="156" t="inlineStr">
        <is>
          <t>SS26</t>
        </is>
      </c>
      <c r="O1584" s="156" t="inlineStr">
        <is>
          <t>Seasonal</t>
        </is>
      </c>
      <c r="P1584" s="156" t="inlineStr">
        <is>
          <t>Cafe</t>
        </is>
      </c>
      <c r="Q1584" s="156" t="n"/>
      <c r="R1584" s="156" t="inlineStr">
        <is>
          <t>Copa Cattleman</t>
        </is>
      </c>
      <c r="S1584" s="156" t="inlineStr">
        <is>
          <t>100% Fieltro de lana</t>
        </is>
      </c>
      <c r="T1584"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4" s="156" t="inlineStr">
        <is>
          <t>Estados Unidos</t>
        </is>
      </c>
      <c r="V1584" s="156" t="inlineStr">
        <is>
          <t>PZS</t>
        </is>
      </c>
      <c r="W1584" s="51" t="inlineStr">
        <is>
          <t>53102503</t>
        </is>
      </c>
      <c r="X1584" s="156" t="inlineStr">
        <is>
          <t>https://cdn.shopify.com/s/files/1/0888/3250/8267/files/SBAPCH-754023-05.jpg?v=1789165737</t>
        </is>
      </c>
      <c r="Y1584" s="54" t="n">
        <v>1260</v>
      </c>
      <c r="Z1584" s="54" t="n">
        <v>3103.448276</v>
      </c>
      <c r="AA1584" s="55">
        <f>IF(AND(A1584="", B1584="", E1584=""), "", IF(AB1584="", "Válido", IF((LEN(AB1584)-LEN(SUBSTITUTE(AB1584,"; ","")))/2+1&gt;(LEN(AB1584)-LEN(SUBSTITUTE(AB1584,"[Aviso]","")))/7, "Con Incidencias", "Válido")))</f>
        <v/>
      </c>
      <c r="AB1584" s="56">
        <f>IF(AND(A1584="", B1584="", E1584=""), "", TEXTJOIN("; ", TRUE, IF(OR(TRIM(A1584&amp;"")="", ISNUMBER(SEARCH("FALTA", A1584))), "UPC faltante/inválido", ""), IF(AND(A1584&lt;&gt;"", IFERROR(_xlfn.XMATCH(A1584,$A$2:$A$2509,0,1)&lt;&gt;_xlfn.XMATCH(A1584,$A$2:$A$2509,0,-1),FALSE)), "Código de barras duplicado", ""), IF(AND(E1584&lt;&gt;"", COUNTIF($E$2:$E$2509, E1584)&gt;1), "SKU duplicado", ""), IF(OR(J1584="", J1584=""), "[Aviso] División no capturada ()", IF(ISNA(MATCH(J1584, Criterios!$A$123:$A$126, 0)), "División no válida", "")), IF(OR(K1584="", K1584=""), "[Aviso] Categoría no capturada ()", IF(ISNA(MATCH(K1584, Criterios!$A$81:$A$120, 0)), "Categoría no válida", IF(AND(J1584&lt;&gt;"", J1584&lt;&gt;"", J1584&lt;&gt;VLOOKUP(K1584, Criterios!$A$81:$B$120, 2, FALSE)), "División no coincide con Categoría", ""))), IF(OR(L1584="", L1584=""), "[Aviso] Género no capturado ()", IF(ISNA(MATCH(L1584, Criterios!$B$123:$B$127, 0)), "Género no válido", "")), IF(OR(N1584="", N1584=""), "[Aviso] Temporada no capturada ()", IF(ISNA(MATCH(N1584, Criterios!$C$123:$C$128, 0)), "Temporada no válida", "")), IF(OR(O1584="", O1584=""), "[Aviso] Ciclo de vida no capturado ()", IF(ISNA(MATCH(O1584, Criterios!$D$123:$D$124, 0)), "Ciclo de vida no válido", ""))))</f>
        <v/>
      </c>
      <c r="AC1584" s="56" t="n"/>
      <c r="AD1584" s="51" t="n">
        <v>-1</v>
      </c>
      <c r="AE1584" s="156" t="n"/>
      <c r="AF1584" s="51" t="n">
        <v>0</v>
      </c>
      <c r="AG1584" s="156" t="inlineStr">
        <is>
          <t>Catálogo existente</t>
        </is>
      </c>
      <c r="AH1584" s="156" t="inlineStr">
        <is>
          <t>Stock negativo en sistema: revisar en conteo | Revisión 29/09/2026: Cruce de catálogo y criterios sin pendientes detectados | 01/10/2026: complementado desde Shopify Stetson México (match por código de barras): WB Fit, WB Silueta</t>
        </is>
      </c>
      <c r="AI1584" s="156" t="inlineStr">
        <is>
          <t>Sí</t>
        </is>
      </c>
      <c r="AJ1584" s="156" t="inlineStr">
        <is>
          <t>STETSON AMERICAS (-1)</t>
        </is>
      </c>
      <c r="AK1584" s="155" t="inlineStr">
        <is>
          <t>Criterios: I [Q] | Shopify Stetson: producto 15056328917355 / variante 53357912064363</t>
        </is>
      </c>
      <c r="AL1584" s="58" t="n">
        <v>1260</v>
      </c>
      <c r="AM1584" s="58" t="n">
        <v>3103.448276</v>
      </c>
      <c r="AN1584" s="155" t="inlineStr">
        <is>
          <t>Shopify Stetson México</t>
        </is>
      </c>
      <c r="AO1584" s="59" t="n">
        <v>0</v>
      </c>
      <c r="AP1584" s="59" t="n"/>
      <c r="AQ1584" s="59" t="n"/>
      <c r="AR1584" s="155" t="n"/>
    </row>
    <row r="1585">
      <c r="A1585" s="50" t="inlineStr">
        <is>
          <t>883383060324</t>
        </is>
      </c>
      <c r="B1585" s="51" t="inlineStr">
        <is>
          <t>109882</t>
        </is>
      </c>
      <c r="C1585" s="156" t="inlineStr">
        <is>
          <t>Multimarca</t>
        </is>
      </c>
      <c r="D1585" s="156" t="inlineStr">
        <is>
          <t>SBCRAL-754022</t>
        </is>
      </c>
      <c r="E1585" s="156" t="inlineStr">
        <is>
          <t>SBCRAL-75402267</t>
        </is>
      </c>
      <c r="F1585" s="156" t="inlineStr">
        <is>
          <t>6 7/8</t>
        </is>
      </c>
      <c r="G1585" s="156" t="inlineStr">
        <is>
          <t>6 7/8</t>
        </is>
      </c>
      <c r="H1585" s="156" t="inlineStr">
        <is>
          <t>Stetson</t>
        </is>
      </c>
      <c r="I1585" s="156" t="inlineStr">
        <is>
          <t>Texana Stetson Corral Chocolate</t>
        </is>
      </c>
      <c r="J1585" s="156" t="inlineStr">
        <is>
          <t>Accesorios</t>
        </is>
      </c>
      <c r="K1585" s="156" t="inlineStr">
        <is>
          <t>Sombreros</t>
        </is>
      </c>
      <c r="L1585" s="156" t="inlineStr">
        <is>
          <t>Unisex</t>
        </is>
      </c>
      <c r="M1585" s="156" t="inlineStr">
        <is>
          <t>Stetson</t>
        </is>
      </c>
      <c r="N1585" s="156" t="inlineStr">
        <is>
          <t>SS26</t>
        </is>
      </c>
      <c r="O1585" s="156" t="inlineStr">
        <is>
          <t>Seasonal</t>
        </is>
      </c>
      <c r="P1585" s="156" t="inlineStr">
        <is>
          <t>Cafe</t>
        </is>
      </c>
      <c r="Q1585" s="156" t="n"/>
      <c r="R1585" s="156" t="inlineStr">
        <is>
          <t>Copa Cattleman</t>
        </is>
      </c>
      <c r="S1585" s="156" t="inlineStr">
        <is>
          <t>100% Fieltro de lana</t>
        </is>
      </c>
      <c r="T1585"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5" s="156" t="inlineStr">
        <is>
          <t>Estados Unidos</t>
        </is>
      </c>
      <c r="V1585" s="156" t="inlineStr">
        <is>
          <t>PZS</t>
        </is>
      </c>
      <c r="W1585" s="51" t="inlineStr">
        <is>
          <t>53102503</t>
        </is>
      </c>
      <c r="X1585" s="156" t="inlineStr">
        <is>
          <t>https://cdn.shopify.com/s/files/1/0888/3250/8267/files/corral_2.jpg?v=1789751238</t>
        </is>
      </c>
      <c r="Y1585" s="54" t="n">
        <v>1260</v>
      </c>
      <c r="Z1585" s="54" t="n">
        <v>3103.448276</v>
      </c>
      <c r="AA1585" s="55">
        <f>IF(AND(A1585="", B1585="", E1585=""), "", IF(AB1585="", "Válido", IF((LEN(AB1585)-LEN(SUBSTITUTE(AB1585,"; ","")))/2+1&gt;(LEN(AB1585)-LEN(SUBSTITUTE(AB1585,"[Aviso]","")))/7, "Con Incidencias", "Válido")))</f>
        <v/>
      </c>
      <c r="AB1585" s="56">
        <f>IF(AND(A1585="", B1585="", E1585=""), "", TEXTJOIN("; ", TRUE, IF(OR(TRIM(A1585&amp;"")="", ISNUMBER(SEARCH("FALTA", A1585))), "UPC faltante/inválido", ""), IF(AND(A1585&lt;&gt;"", IFERROR(_xlfn.XMATCH(A1585,$A$2:$A$2509,0,1)&lt;&gt;_xlfn.XMATCH(A1585,$A$2:$A$2509,0,-1),FALSE)), "Código de barras duplicado", ""), IF(AND(E1585&lt;&gt;"", COUNTIF($E$2:$E$2509, E1585)&gt;1), "SKU duplicado", ""), IF(OR(J1585="", J1585=""), "[Aviso] División no capturada ()", IF(ISNA(MATCH(J1585, Criterios!$A$123:$A$126, 0)), "División no válida", "")), IF(OR(K1585="", K1585=""), "[Aviso] Categoría no capturada ()", IF(ISNA(MATCH(K1585, Criterios!$A$81:$A$120, 0)), "Categoría no válida", IF(AND(J1585&lt;&gt;"", J1585&lt;&gt;"", J1585&lt;&gt;VLOOKUP(K1585, Criterios!$A$81:$B$120, 2, FALSE)), "División no coincide con Categoría", ""))), IF(OR(L1585="", L1585=""), "[Aviso] Género no capturado ()", IF(ISNA(MATCH(L1585, Criterios!$B$123:$B$127, 0)), "Género no válido", "")), IF(OR(N1585="", N1585=""), "[Aviso] Temporada no capturada ()", IF(ISNA(MATCH(N1585, Criterios!$C$123:$C$128, 0)), "Temporada no válida", "")), IF(OR(O1585="", O1585=""), "[Aviso] Ciclo de vida no capturado ()", IF(ISNA(MATCH(O1585, Criterios!$D$123:$D$124, 0)), "Ciclo de vida no válido", ""))))</f>
        <v/>
      </c>
      <c r="AC1585" s="56" t="n"/>
      <c r="AD1585" s="51" t="n">
        <v>0</v>
      </c>
      <c r="AE1585" s="156" t="inlineStr">
        <is>
          <t>B25 STETSON.MX (1)</t>
        </is>
      </c>
      <c r="AF1585" s="51" t="n">
        <v>1</v>
      </c>
      <c r="AG1585" s="156" t="inlineStr">
        <is>
          <t>Catálogo existente</t>
        </is>
      </c>
      <c r="AH1585" s="156" t="inlineStr">
        <is>
          <t>Revisión 29/09/2026: Cruce de catálogo y criterios sin pendientes detectados | 01/10/2026: complementado desde Shopify Stetson México (match por código de barras): WB Fit, WB Silueta</t>
        </is>
      </c>
      <c r="AI1585" s="156" t="inlineStr">
        <is>
          <t>Sí</t>
        </is>
      </c>
      <c r="AJ1585" s="156" t="inlineStr">
        <is>
          <t>STETSON AMERICAS (-1)</t>
        </is>
      </c>
      <c r="AK1585" s="155" t="inlineStr">
        <is>
          <t>Criterios: I [Q] | Shopify Stetson: producto 15056328950123 / variante 53357912097131</t>
        </is>
      </c>
      <c r="AL1585" s="58" t="n">
        <v>1260</v>
      </c>
      <c r="AM1585" s="58" t="n">
        <v>3103.448276</v>
      </c>
      <c r="AN1585" s="155" t="inlineStr">
        <is>
          <t>Shopify Stetson México</t>
        </is>
      </c>
      <c r="AO1585" s="59" t="n">
        <v>1</v>
      </c>
      <c r="AP1585" s="59" t="n"/>
      <c r="AQ1585" s="59" t="n"/>
      <c r="AR1585" s="155" t="inlineStr">
        <is>
          <t>Shopify Stetson México › Stetson México: 1</t>
        </is>
      </c>
    </row>
    <row r="1586">
      <c r="A1586" s="50" t="inlineStr">
        <is>
          <t>883383060331</t>
        </is>
      </c>
      <c r="B1586" s="51" t="inlineStr">
        <is>
          <t>109883</t>
        </is>
      </c>
      <c r="C1586" s="156" t="inlineStr">
        <is>
          <t>Multimarca</t>
        </is>
      </c>
      <c r="D1586" s="156" t="inlineStr">
        <is>
          <t>SBCRAL-754022</t>
        </is>
      </c>
      <c r="E1586" s="156" t="inlineStr">
        <is>
          <t>SBCRAL-75402270</t>
        </is>
      </c>
      <c r="F1586" s="156" t="inlineStr">
        <is>
          <t>7</t>
        </is>
      </c>
      <c r="G1586" s="156" t="inlineStr">
        <is>
          <t>7</t>
        </is>
      </c>
      <c r="H1586" s="156" t="inlineStr">
        <is>
          <t>Stetson</t>
        </is>
      </c>
      <c r="I1586" s="156" t="inlineStr">
        <is>
          <t>Texana Stetson Corral Chocolate</t>
        </is>
      </c>
      <c r="J1586" s="156" t="inlineStr">
        <is>
          <t>Accesorios</t>
        </is>
      </c>
      <c r="K1586" s="156" t="inlineStr">
        <is>
          <t>Sombreros</t>
        </is>
      </c>
      <c r="L1586" s="156" t="inlineStr">
        <is>
          <t>Unisex</t>
        </is>
      </c>
      <c r="M1586" s="156" t="inlineStr">
        <is>
          <t>Stetson</t>
        </is>
      </c>
      <c r="N1586" s="156" t="inlineStr">
        <is>
          <t>SS26</t>
        </is>
      </c>
      <c r="O1586" s="156" t="inlineStr">
        <is>
          <t>Seasonal</t>
        </is>
      </c>
      <c r="P1586" s="156" t="inlineStr">
        <is>
          <t>Cafe</t>
        </is>
      </c>
      <c r="Q1586" s="156" t="n"/>
      <c r="R1586" s="156" t="inlineStr">
        <is>
          <t>Copa Cattleman</t>
        </is>
      </c>
      <c r="S1586" s="156" t="inlineStr">
        <is>
          <t>100% Fieltro de lana</t>
        </is>
      </c>
      <c r="T1586"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6" s="156" t="inlineStr">
        <is>
          <t>Estados Unidos</t>
        </is>
      </c>
      <c r="V1586" s="156" t="inlineStr">
        <is>
          <t>PZS</t>
        </is>
      </c>
      <c r="W1586" s="51" t="inlineStr">
        <is>
          <t>53102503</t>
        </is>
      </c>
      <c r="X1586" s="156" t="inlineStr">
        <is>
          <t>https://cdn.shopify.com/s/files/1/0888/3250/8267/files/corral_1.jpg?v=1789751251</t>
        </is>
      </c>
      <c r="Y1586" s="54" t="n">
        <v>1260</v>
      </c>
      <c r="Z1586" s="54" t="n">
        <v>3103.448276</v>
      </c>
      <c r="AA1586" s="55">
        <f>IF(AND(A1586="", B1586="", E1586=""), "", IF(AB1586="", "Válido", IF((LEN(AB1586)-LEN(SUBSTITUTE(AB1586,"; ","")))/2+1&gt;(LEN(AB1586)-LEN(SUBSTITUTE(AB1586,"[Aviso]","")))/7, "Con Incidencias", "Válido")))</f>
        <v/>
      </c>
      <c r="AB1586" s="56">
        <f>IF(AND(A1586="", B1586="", E1586=""), "", TEXTJOIN("; ", TRUE, IF(OR(TRIM(A1586&amp;"")="", ISNUMBER(SEARCH("FALTA", A1586))), "UPC faltante/inválido", ""), IF(AND(A1586&lt;&gt;"", IFERROR(_xlfn.XMATCH(A1586,$A$2:$A$2509,0,1)&lt;&gt;_xlfn.XMATCH(A1586,$A$2:$A$2509,0,-1),FALSE)), "Código de barras duplicado", ""), IF(AND(E1586&lt;&gt;"", COUNTIF($E$2:$E$2509, E1586)&gt;1), "SKU duplicado", ""), IF(OR(J1586="", J1586=""), "[Aviso] División no capturada ()", IF(ISNA(MATCH(J1586, Criterios!$A$123:$A$126, 0)), "División no válida", "")), IF(OR(K1586="", K1586=""), "[Aviso] Categoría no capturada ()", IF(ISNA(MATCH(K1586, Criterios!$A$81:$A$120, 0)), "Categoría no válida", IF(AND(J1586&lt;&gt;"", J1586&lt;&gt;"", J1586&lt;&gt;VLOOKUP(K1586, Criterios!$A$81:$B$120, 2, FALSE)), "División no coincide con Categoría", ""))), IF(OR(L1586="", L1586=""), "[Aviso] Género no capturado ()", IF(ISNA(MATCH(L1586, Criterios!$B$123:$B$127, 0)), "Género no válido", "")), IF(OR(N1586="", N1586=""), "[Aviso] Temporada no capturada ()", IF(ISNA(MATCH(N1586, Criterios!$C$123:$C$128, 0)), "Temporada no válida", "")), IF(OR(O1586="", O1586=""), "[Aviso] Ciclo de vida no capturado ()", IF(ISNA(MATCH(O1586, Criterios!$D$123:$D$124, 0)), "Ciclo de vida no válido", ""))))</f>
        <v/>
      </c>
      <c r="AC1586" s="56" t="n"/>
      <c r="AD1586" s="51" t="n">
        <v>0</v>
      </c>
      <c r="AE1586" s="156" t="inlineStr">
        <is>
          <t>B25 STETSON.MX (1)</t>
        </is>
      </c>
      <c r="AF1586" s="51" t="n">
        <v>1</v>
      </c>
      <c r="AG1586" s="156" t="inlineStr">
        <is>
          <t>Catálogo existente</t>
        </is>
      </c>
      <c r="AH1586" s="156" t="inlineStr">
        <is>
          <t>Revisión 29/09/2026: Cruce de catálogo y criterios sin pendientes detectados | 01/10/2026: complementado desde Shopify Stetson México (match por código de barras): WB Fit, WB Silueta</t>
        </is>
      </c>
      <c r="AI1586" s="156" t="inlineStr">
        <is>
          <t>Sí</t>
        </is>
      </c>
      <c r="AJ1586" s="156" t="inlineStr">
        <is>
          <t>STETSON AMERICAS (-1)</t>
        </is>
      </c>
      <c r="AK1586" s="155" t="inlineStr">
        <is>
          <t>Criterios: I [Q] | Shopify Stetson: producto 15056328950123 / variante 53357912129899</t>
        </is>
      </c>
      <c r="AL1586" s="58" t="n">
        <v>1260</v>
      </c>
      <c r="AM1586" s="58" t="n">
        <v>3103.448276</v>
      </c>
      <c r="AN1586" s="155" t="inlineStr">
        <is>
          <t>Shopify Stetson México</t>
        </is>
      </c>
      <c r="AO1586" s="59" t="n">
        <v>1</v>
      </c>
      <c r="AP1586" s="59" t="n"/>
      <c r="AQ1586" s="59" t="n"/>
      <c r="AR1586" s="155" t="inlineStr">
        <is>
          <t>Shopify Stetson México › Stetson México: 1</t>
        </is>
      </c>
    </row>
    <row r="1587">
      <c r="A1587" s="50" t="inlineStr">
        <is>
          <t>883383060348</t>
        </is>
      </c>
      <c r="B1587" s="51" t="inlineStr">
        <is>
          <t>109884</t>
        </is>
      </c>
      <c r="C1587" s="156" t="inlineStr">
        <is>
          <t>Multimarca</t>
        </is>
      </c>
      <c r="D1587" s="156" t="inlineStr">
        <is>
          <t>SBCRAL-754022</t>
        </is>
      </c>
      <c r="E1587" s="156" t="inlineStr">
        <is>
          <t>SBCRAL-75402271</t>
        </is>
      </c>
      <c r="F1587" s="156" t="inlineStr">
        <is>
          <t>7 1/8</t>
        </is>
      </c>
      <c r="G1587" s="156" t="inlineStr">
        <is>
          <t>7 1/8</t>
        </is>
      </c>
      <c r="H1587" s="156" t="inlineStr">
        <is>
          <t>Stetson</t>
        </is>
      </c>
      <c r="I1587" s="156" t="inlineStr">
        <is>
          <t>Texana Stetson Corral Chocolate</t>
        </is>
      </c>
      <c r="J1587" s="156" t="inlineStr">
        <is>
          <t>Accesorios</t>
        </is>
      </c>
      <c r="K1587" s="156" t="inlineStr">
        <is>
          <t>Sombreros</t>
        </is>
      </c>
      <c r="L1587" s="156" t="inlineStr">
        <is>
          <t>Unisex</t>
        </is>
      </c>
      <c r="M1587" s="156" t="inlineStr">
        <is>
          <t>Stetson</t>
        </is>
      </c>
      <c r="N1587" s="156" t="inlineStr">
        <is>
          <t>SS26</t>
        </is>
      </c>
      <c r="O1587" s="156" t="inlineStr">
        <is>
          <t>Seasonal</t>
        </is>
      </c>
      <c r="P1587" s="156" t="inlineStr">
        <is>
          <t>Cafe</t>
        </is>
      </c>
      <c r="Q1587" s="156" t="n"/>
      <c r="R1587" s="156" t="inlineStr">
        <is>
          <t>Copa Cattleman</t>
        </is>
      </c>
      <c r="S1587" s="156" t="inlineStr">
        <is>
          <t>100% Fieltro de lana</t>
        </is>
      </c>
      <c r="T1587"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7" s="156" t="inlineStr">
        <is>
          <t>Estados Unidos</t>
        </is>
      </c>
      <c r="V1587" s="156" t="inlineStr">
        <is>
          <t>PZS</t>
        </is>
      </c>
      <c r="W1587" s="51" t="inlineStr">
        <is>
          <t>53102503</t>
        </is>
      </c>
      <c r="X1587" s="156" t="inlineStr">
        <is>
          <t>https://cdn.shopify.com/s/files/1/0888/3250/8267/files/corral_2_cc280b5d-ca18-4210-8b59-4e743e10a780.jpg?v=1789751387</t>
        </is>
      </c>
      <c r="Y1587" s="54" t="n">
        <v>1260</v>
      </c>
      <c r="Z1587" s="54" t="n">
        <v>3103.448276</v>
      </c>
      <c r="AA1587" s="55">
        <f>IF(AND(A1587="", B1587="", E1587=""), "", IF(AB1587="", "Válido", IF((LEN(AB1587)-LEN(SUBSTITUTE(AB1587,"; ","")))/2+1&gt;(LEN(AB1587)-LEN(SUBSTITUTE(AB1587,"[Aviso]","")))/7, "Con Incidencias", "Válido")))</f>
        <v/>
      </c>
      <c r="AB1587" s="56">
        <f>IF(AND(A1587="", B1587="", E1587=""), "", TEXTJOIN("; ", TRUE, IF(OR(TRIM(A1587&amp;"")="", ISNUMBER(SEARCH("FALTA", A1587))), "UPC faltante/inválido", ""), IF(AND(A1587&lt;&gt;"", IFERROR(_xlfn.XMATCH(A1587,$A$2:$A$2509,0,1)&lt;&gt;_xlfn.XMATCH(A1587,$A$2:$A$2509,0,-1),FALSE)), "Código de barras duplicado", ""), IF(AND(E1587&lt;&gt;"", COUNTIF($E$2:$E$2509, E1587)&gt;1), "SKU duplicado", ""), IF(OR(J1587="", J1587=""), "[Aviso] División no capturada ()", IF(ISNA(MATCH(J1587, Criterios!$A$123:$A$126, 0)), "División no válida", "")), IF(OR(K1587="", K1587=""), "[Aviso] Categoría no capturada ()", IF(ISNA(MATCH(K1587, Criterios!$A$81:$A$120, 0)), "Categoría no válida", IF(AND(J1587&lt;&gt;"", J1587&lt;&gt;"", J1587&lt;&gt;VLOOKUP(K1587, Criterios!$A$81:$B$120, 2, FALSE)), "División no coincide con Categoría", ""))), IF(OR(L1587="", L1587=""), "[Aviso] Género no capturado ()", IF(ISNA(MATCH(L1587, Criterios!$B$123:$B$127, 0)), "Género no válido", "")), IF(OR(N1587="", N1587=""), "[Aviso] Temporada no capturada ()", IF(ISNA(MATCH(N1587, Criterios!$C$123:$C$128, 0)), "Temporada no válida", "")), IF(OR(O1587="", O1587=""), "[Aviso] Ciclo de vida no capturado ()", IF(ISNA(MATCH(O1587, Criterios!$D$123:$D$124, 0)), "Ciclo de vida no válido", ""))))</f>
        <v/>
      </c>
      <c r="AC1587" s="56" t="n"/>
      <c r="AD1587" s="51" t="n">
        <v>0</v>
      </c>
      <c r="AE1587" s="156" t="inlineStr">
        <is>
          <t>B25 STETSON.MX (1)</t>
        </is>
      </c>
      <c r="AF1587" s="51" t="n">
        <v>1</v>
      </c>
      <c r="AG1587" s="156" t="inlineStr">
        <is>
          <t>Catálogo existente</t>
        </is>
      </c>
      <c r="AH1587" s="156" t="inlineStr">
        <is>
          <t>Revisión 29/09/2026: Cruce de catálogo y criterios sin pendientes detectados | 01/10/2026: complementado desde Shopify Stetson México (match por código de barras): WB Fit, WB Silueta</t>
        </is>
      </c>
      <c r="AI1587" s="156" t="inlineStr">
        <is>
          <t>Sí</t>
        </is>
      </c>
      <c r="AJ1587" s="156" t="inlineStr">
        <is>
          <t>STETSON AMERICAS (-1)</t>
        </is>
      </c>
      <c r="AK1587" s="155" t="inlineStr">
        <is>
          <t>Criterios: I [Q] | Shopify Stetson: producto 15056328950123 / variante 53357912162667</t>
        </is>
      </c>
      <c r="AL1587" s="58" t="n">
        <v>1260</v>
      </c>
      <c r="AM1587" s="58" t="n">
        <v>3103.448276</v>
      </c>
      <c r="AN1587" s="155" t="inlineStr">
        <is>
          <t>Shopify Stetson México</t>
        </is>
      </c>
      <c r="AO1587" s="59" t="n">
        <v>2</v>
      </c>
      <c r="AP1587" s="59" t="n"/>
      <c r="AQ1587" s="59" t="n"/>
      <c r="AR1587" s="155" t="inlineStr">
        <is>
          <t>Shopify Stetson México › Stetson México: 1 | Shopify Stetson México › Stetson Americas: 1</t>
        </is>
      </c>
    </row>
    <row r="1588">
      <c r="A1588" s="50" t="inlineStr">
        <is>
          <t>883383060355</t>
        </is>
      </c>
      <c r="B1588" s="51" t="inlineStr">
        <is>
          <t>109885</t>
        </is>
      </c>
      <c r="C1588" s="156" t="inlineStr">
        <is>
          <t>Multimarca</t>
        </is>
      </c>
      <c r="D1588" s="156" t="inlineStr">
        <is>
          <t>SBCRAL-754022</t>
        </is>
      </c>
      <c r="E1588" s="156" t="inlineStr">
        <is>
          <t>SBCRAL-75402272</t>
        </is>
      </c>
      <c r="F1588" s="156" t="inlineStr">
        <is>
          <t>7 1/4</t>
        </is>
      </c>
      <c r="G1588" s="156" t="inlineStr">
        <is>
          <t>7 1/4</t>
        </is>
      </c>
      <c r="H1588" s="156" t="inlineStr">
        <is>
          <t>Stetson</t>
        </is>
      </c>
      <c r="I1588" s="156" t="inlineStr">
        <is>
          <t>Texana Stetson Corral Chocolate</t>
        </is>
      </c>
      <c r="J1588" s="156" t="inlineStr">
        <is>
          <t>Accesorios</t>
        </is>
      </c>
      <c r="K1588" s="156" t="inlineStr">
        <is>
          <t>Sombreros</t>
        </is>
      </c>
      <c r="L1588" s="156" t="inlineStr">
        <is>
          <t>Unisex</t>
        </is>
      </c>
      <c r="M1588" s="156" t="inlineStr">
        <is>
          <t>Stetson</t>
        </is>
      </c>
      <c r="N1588" s="156" t="inlineStr">
        <is>
          <t>SS26</t>
        </is>
      </c>
      <c r="O1588" s="156" t="inlineStr">
        <is>
          <t>Seasonal</t>
        </is>
      </c>
      <c r="P1588" s="156" t="inlineStr">
        <is>
          <t>Cafe</t>
        </is>
      </c>
      <c r="Q1588" s="156" t="n"/>
      <c r="R1588" s="156" t="inlineStr">
        <is>
          <t>Copa Cattleman</t>
        </is>
      </c>
      <c r="S1588" s="156" t="inlineStr">
        <is>
          <t>100% Fieltro de lana</t>
        </is>
      </c>
      <c r="T1588"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8" s="156" t="inlineStr">
        <is>
          <t>Estados Unidos</t>
        </is>
      </c>
      <c r="V1588" s="156" t="inlineStr">
        <is>
          <t>PZS</t>
        </is>
      </c>
      <c r="W1588" s="51" t="inlineStr">
        <is>
          <t>53102503</t>
        </is>
      </c>
      <c r="X1588" s="156" t="inlineStr">
        <is>
          <t>https://cdn.shopify.com/s/files/1/0888/3250/8267/files/26_Stetson_FW26_Western_MT_WARL3921_-_PDP_Crop_1.jpg?v=1789751298</t>
        </is>
      </c>
      <c r="Y1588" s="54" t="n">
        <v>1260</v>
      </c>
      <c r="Z1588" s="54" t="n">
        <v>3103.448276</v>
      </c>
      <c r="AA1588" s="55">
        <f>IF(AND(A1588="", B1588="", E1588=""), "", IF(AB1588="", "Válido", IF((LEN(AB1588)-LEN(SUBSTITUTE(AB1588,"; ","")))/2+1&gt;(LEN(AB1588)-LEN(SUBSTITUTE(AB1588,"[Aviso]","")))/7, "Con Incidencias", "Válido")))</f>
        <v/>
      </c>
      <c r="AB1588" s="56">
        <f>IF(AND(A1588="", B1588="", E1588=""), "", TEXTJOIN("; ", TRUE, IF(OR(TRIM(A1588&amp;"")="", ISNUMBER(SEARCH("FALTA", A1588))), "UPC faltante/inválido", ""), IF(AND(A1588&lt;&gt;"", IFERROR(_xlfn.XMATCH(A1588,$A$2:$A$2509,0,1)&lt;&gt;_xlfn.XMATCH(A1588,$A$2:$A$2509,0,-1),FALSE)), "Código de barras duplicado", ""), IF(AND(E1588&lt;&gt;"", COUNTIF($E$2:$E$2509, E1588)&gt;1), "SKU duplicado", ""), IF(OR(J1588="", J1588=""), "[Aviso] División no capturada ()", IF(ISNA(MATCH(J1588, Criterios!$A$123:$A$126, 0)), "División no válida", "")), IF(OR(K1588="", K1588=""), "[Aviso] Categoría no capturada ()", IF(ISNA(MATCH(K1588, Criterios!$A$81:$A$120, 0)), "Categoría no válida", IF(AND(J1588&lt;&gt;"", J1588&lt;&gt;"", J1588&lt;&gt;VLOOKUP(K1588, Criterios!$A$81:$B$120, 2, FALSE)), "División no coincide con Categoría", ""))), IF(OR(L1588="", L1588=""), "[Aviso] Género no capturado ()", IF(ISNA(MATCH(L1588, Criterios!$B$123:$B$127, 0)), "Género no válido", "")), IF(OR(N1588="", N1588=""), "[Aviso] Temporada no capturada ()", IF(ISNA(MATCH(N1588, Criterios!$C$123:$C$128, 0)), "Temporada no válida", "")), IF(OR(O1588="", O1588=""), "[Aviso] Ciclo de vida no capturado ()", IF(ISNA(MATCH(O1588, Criterios!$D$123:$D$124, 0)), "Ciclo de vida no válido", ""))))</f>
        <v/>
      </c>
      <c r="AC1588" s="56" t="n"/>
      <c r="AD1588" s="51" t="n">
        <v>-3</v>
      </c>
      <c r="AE1588" s="156" t="n"/>
      <c r="AF1588" s="51" t="n">
        <v>0</v>
      </c>
      <c r="AG1588" s="156" t="inlineStr">
        <is>
          <t>Catálogo existente</t>
        </is>
      </c>
      <c r="AH1588" s="156" t="inlineStr">
        <is>
          <t>Stock negativo en sistema: revisar en conteo | Revisión 29/09/2026: Cruce de catálogo y criterios sin pendientes detectados | 01/10/2026: complementado desde Shopify Stetson México (match por código de barras): WB Fit, WB Silueta</t>
        </is>
      </c>
      <c r="AI1588" s="156" t="inlineStr">
        <is>
          <t>Sí</t>
        </is>
      </c>
      <c r="AJ1588" s="156" t="inlineStr">
        <is>
          <t>STETSON AMERICAS (-3)</t>
        </is>
      </c>
      <c r="AK1588" s="155" t="inlineStr">
        <is>
          <t>Criterios: I [Q] | Shopify Stetson: producto 15056328950123 / variante 53357912195435</t>
        </is>
      </c>
      <c r="AL1588" s="58" t="n">
        <v>1260</v>
      </c>
      <c r="AM1588" s="58" t="n">
        <v>3103.448276</v>
      </c>
      <c r="AN1588" s="155" t="inlineStr">
        <is>
          <t>Shopify Stetson México</t>
        </is>
      </c>
      <c r="AO1588" s="59" t="n">
        <v>-1</v>
      </c>
      <c r="AP1588" s="59" t="n"/>
      <c r="AQ1588" s="59" t="n"/>
      <c r="AR1588" s="155" t="n"/>
    </row>
    <row r="1589">
      <c r="A1589" s="50" t="inlineStr">
        <is>
          <t>883383060362</t>
        </is>
      </c>
      <c r="B1589" s="51" t="inlineStr">
        <is>
          <t>109886</t>
        </is>
      </c>
      <c r="C1589" s="156" t="inlineStr">
        <is>
          <t>Multimarca</t>
        </is>
      </c>
      <c r="D1589" s="156" t="inlineStr">
        <is>
          <t>SBCRAL-754022</t>
        </is>
      </c>
      <c r="E1589" s="156" t="inlineStr">
        <is>
          <t>SBCRAL-75402273</t>
        </is>
      </c>
      <c r="F1589" s="156" t="inlineStr">
        <is>
          <t>7 3/8</t>
        </is>
      </c>
      <c r="G1589" s="156" t="inlineStr">
        <is>
          <t>7 3/8</t>
        </is>
      </c>
      <c r="H1589" s="156" t="inlineStr">
        <is>
          <t>Stetson</t>
        </is>
      </c>
      <c r="I1589" s="156" t="inlineStr">
        <is>
          <t>Texana Stetson Corral Chocolate</t>
        </is>
      </c>
      <c r="J1589" s="156" t="inlineStr">
        <is>
          <t>Accesorios</t>
        </is>
      </c>
      <c r="K1589" s="156" t="inlineStr">
        <is>
          <t>Sombreros</t>
        </is>
      </c>
      <c r="L1589" s="156" t="inlineStr">
        <is>
          <t>Unisex</t>
        </is>
      </c>
      <c r="M1589" s="156" t="inlineStr">
        <is>
          <t>Stetson</t>
        </is>
      </c>
      <c r="N1589" s="156" t="inlineStr">
        <is>
          <t>SS26</t>
        </is>
      </c>
      <c r="O1589" s="156" t="inlineStr">
        <is>
          <t>Seasonal</t>
        </is>
      </c>
      <c r="P1589" s="156" t="inlineStr">
        <is>
          <t>Cafe</t>
        </is>
      </c>
      <c r="Q1589" s="156" t="n"/>
      <c r="R1589" s="156" t="inlineStr">
        <is>
          <t>Copa Cattleman</t>
        </is>
      </c>
      <c r="S1589" s="156" t="inlineStr">
        <is>
          <t>100% Fieltro de lana</t>
        </is>
      </c>
      <c r="T1589"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9" s="156" t="inlineStr">
        <is>
          <t>Estados Unidos</t>
        </is>
      </c>
      <c r="V1589" s="156" t="inlineStr">
        <is>
          <t>PZS</t>
        </is>
      </c>
      <c r="W1589" s="51" t="inlineStr">
        <is>
          <t>53102503</t>
        </is>
      </c>
      <c r="X1589" s="156" t="inlineStr">
        <is>
          <t>https://cdn.shopify.com/s/files/1/0888/3250/8267/files/25_STETSON_SS25_BenC__DSC3351_R_-_PDP_Crop.jpg?v=1789751306</t>
        </is>
      </c>
      <c r="Y1589" s="54" t="n">
        <v>1260</v>
      </c>
      <c r="Z1589" s="54" t="n">
        <v>3103.448276</v>
      </c>
      <c r="AA1589" s="55">
        <f>IF(AND(A1589="", B1589="", E1589=""), "", IF(AB1589="", "Válido", IF((LEN(AB1589)-LEN(SUBSTITUTE(AB1589,"; ","")))/2+1&gt;(LEN(AB1589)-LEN(SUBSTITUTE(AB1589,"[Aviso]","")))/7, "Con Incidencias", "Válido")))</f>
        <v/>
      </c>
      <c r="AB1589" s="56">
        <f>IF(AND(A1589="", B1589="", E1589=""), "", TEXTJOIN("; ", TRUE, IF(OR(TRIM(A1589&amp;"")="", ISNUMBER(SEARCH("FALTA", A1589))), "UPC faltante/inválido", ""), IF(AND(A1589&lt;&gt;"", IFERROR(_xlfn.XMATCH(A1589,$A$2:$A$2509,0,1)&lt;&gt;_xlfn.XMATCH(A1589,$A$2:$A$2509,0,-1),FALSE)), "Código de barras duplicado", ""), IF(AND(E1589&lt;&gt;"", COUNTIF($E$2:$E$2509, E1589)&gt;1), "SKU duplicado", ""), IF(OR(J1589="", J1589=""), "[Aviso] División no capturada ()", IF(ISNA(MATCH(J1589, Criterios!$A$123:$A$126, 0)), "División no válida", "")), IF(OR(K1589="", K1589=""), "[Aviso] Categoría no capturada ()", IF(ISNA(MATCH(K1589, Criterios!$A$81:$A$120, 0)), "Categoría no válida", IF(AND(J1589&lt;&gt;"", J1589&lt;&gt;"", J1589&lt;&gt;VLOOKUP(K1589, Criterios!$A$81:$B$120, 2, FALSE)), "División no coincide con Categoría", ""))), IF(OR(L1589="", L1589=""), "[Aviso] Género no capturado ()", IF(ISNA(MATCH(L1589, Criterios!$B$123:$B$127, 0)), "Género no válido", "")), IF(OR(N1589="", N1589=""), "[Aviso] Temporada no capturada ()", IF(ISNA(MATCH(N1589, Criterios!$C$123:$C$128, 0)), "Temporada no válida", "")), IF(OR(O1589="", O1589=""), "[Aviso] Ciclo de vida no capturado ()", IF(ISNA(MATCH(O1589, Criterios!$D$123:$D$124, 0)), "Ciclo de vida no válido", ""))))</f>
        <v/>
      </c>
      <c r="AC1589" s="56" t="n"/>
      <c r="AD1589" s="51" t="n">
        <v>-1</v>
      </c>
      <c r="AE1589" s="156" t="n"/>
      <c r="AF1589" s="51" t="n">
        <v>0</v>
      </c>
      <c r="AG1589" s="156" t="inlineStr">
        <is>
          <t>Catálogo existente</t>
        </is>
      </c>
      <c r="AH1589" s="156" t="inlineStr">
        <is>
          <t>Stock negativo en sistema: revisar en conteo | Revisión 29/09/2026: Cruce de catálogo y criterios sin pendientes detectados | 01/10/2026: complementado desde Shopify Stetson México (match por código de barras): WB Fit, WB Silueta</t>
        </is>
      </c>
      <c r="AI1589" s="156" t="inlineStr">
        <is>
          <t>Sí</t>
        </is>
      </c>
      <c r="AJ1589" s="156" t="inlineStr">
        <is>
          <t>STETSON AMERICAS (-1)</t>
        </is>
      </c>
      <c r="AK1589" s="155" t="inlineStr">
        <is>
          <t>Criterios: I [Q] | Shopify Stetson: producto 15056328950123 / variante 53357912228203</t>
        </is>
      </c>
      <c r="AL1589" s="58" t="n">
        <v>1260</v>
      </c>
      <c r="AM1589" s="58" t="n">
        <v>3103.448276</v>
      </c>
      <c r="AN1589" s="155" t="inlineStr">
        <is>
          <t>Shopify Stetson México</t>
        </is>
      </c>
      <c r="AO1589" s="59" t="n">
        <v>1</v>
      </c>
      <c r="AP1589" s="59" t="n"/>
      <c r="AQ1589" s="59" t="n"/>
      <c r="AR1589" s="155" t="inlineStr">
        <is>
          <t>Shopify Stetson México › Stetson Americas: 1</t>
        </is>
      </c>
    </row>
    <row r="1590">
      <c r="A1590" s="50" t="inlineStr">
        <is>
          <t>883383060379</t>
        </is>
      </c>
      <c r="B1590" s="51" t="inlineStr">
        <is>
          <t>109887</t>
        </is>
      </c>
      <c r="C1590" s="156" t="inlineStr">
        <is>
          <t>Multimarca</t>
        </is>
      </c>
      <c r="D1590" s="156" t="inlineStr">
        <is>
          <t>SBCRAL-754022</t>
        </is>
      </c>
      <c r="E1590" s="156" t="inlineStr">
        <is>
          <t>SBCRAL-75402274</t>
        </is>
      </c>
      <c r="F1590" s="156" t="inlineStr">
        <is>
          <t>7 1/2</t>
        </is>
      </c>
      <c r="G1590" s="156" t="inlineStr">
        <is>
          <t>7 1/2</t>
        </is>
      </c>
      <c r="H1590" s="156" t="inlineStr">
        <is>
          <t>Stetson</t>
        </is>
      </c>
      <c r="I1590" s="156" t="inlineStr">
        <is>
          <t>Texana Stetson Corral Chocolate</t>
        </is>
      </c>
      <c r="J1590" s="156" t="inlineStr">
        <is>
          <t>Accesorios</t>
        </is>
      </c>
      <c r="K1590" s="156" t="inlineStr">
        <is>
          <t>Sombreros</t>
        </is>
      </c>
      <c r="L1590" s="156" t="inlineStr">
        <is>
          <t>Unisex</t>
        </is>
      </c>
      <c r="M1590" s="156" t="inlineStr">
        <is>
          <t>Stetson</t>
        </is>
      </c>
      <c r="N1590" s="156" t="inlineStr">
        <is>
          <t>SS26</t>
        </is>
      </c>
      <c r="O1590" s="156" t="inlineStr">
        <is>
          <t>Seasonal</t>
        </is>
      </c>
      <c r="P1590" s="156" t="inlineStr">
        <is>
          <t>Cafe</t>
        </is>
      </c>
      <c r="Q1590" s="156" t="n"/>
      <c r="R1590" s="156" t="inlineStr">
        <is>
          <t>Copa Cattleman</t>
        </is>
      </c>
      <c r="S1590" s="156" t="inlineStr">
        <is>
          <t>100% Fieltro de lana</t>
        </is>
      </c>
      <c r="T1590"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0" s="156" t="inlineStr">
        <is>
          <t>Estados Unidos</t>
        </is>
      </c>
      <c r="V1590" s="156" t="inlineStr">
        <is>
          <t>PZS</t>
        </is>
      </c>
      <c r="W1590" s="51" t="inlineStr">
        <is>
          <t>53102503</t>
        </is>
      </c>
      <c r="X1590" s="156" t="inlineStr">
        <is>
          <t>https://cdn.shopify.com/s/files/1/0888/3250/8267/files/SBCRAL-7540-22_alt1.jpg?v=1789751311</t>
        </is>
      </c>
      <c r="Y1590" s="54" t="n">
        <v>1260</v>
      </c>
      <c r="Z1590" s="54" t="n">
        <v>3103.448276</v>
      </c>
      <c r="AA1590" s="55">
        <f>IF(AND(A1590="", B1590="", E1590=""), "", IF(AB1590="", "Válido", IF((LEN(AB1590)-LEN(SUBSTITUTE(AB1590,"; ","")))/2+1&gt;(LEN(AB1590)-LEN(SUBSTITUTE(AB1590,"[Aviso]","")))/7, "Con Incidencias", "Válido")))</f>
        <v/>
      </c>
      <c r="AB1590" s="56">
        <f>IF(AND(A1590="", B1590="", E1590=""), "", TEXTJOIN("; ", TRUE, IF(OR(TRIM(A1590&amp;"")="", ISNUMBER(SEARCH("FALTA", A1590))), "UPC faltante/inválido", ""), IF(AND(A1590&lt;&gt;"", IFERROR(_xlfn.XMATCH(A1590,$A$2:$A$2509,0,1)&lt;&gt;_xlfn.XMATCH(A1590,$A$2:$A$2509,0,-1),FALSE)), "Código de barras duplicado", ""), IF(AND(E1590&lt;&gt;"", COUNTIF($E$2:$E$2509, E1590)&gt;1), "SKU duplicado", ""), IF(OR(J1590="", J1590=""), "[Aviso] División no capturada ()", IF(ISNA(MATCH(J1590, Criterios!$A$123:$A$126, 0)), "División no válida", "")), IF(OR(K1590="", K1590=""), "[Aviso] Categoría no capturada ()", IF(ISNA(MATCH(K1590, Criterios!$A$81:$A$120, 0)), "Categoría no válida", IF(AND(J1590&lt;&gt;"", J1590&lt;&gt;"", J1590&lt;&gt;VLOOKUP(K1590, Criterios!$A$81:$B$120, 2, FALSE)), "División no coincide con Categoría", ""))), IF(OR(L1590="", L1590=""), "[Aviso] Género no capturado ()", IF(ISNA(MATCH(L1590, Criterios!$B$123:$B$127, 0)), "Género no válido", "")), IF(OR(N1590="", N1590=""), "[Aviso] Temporada no capturada ()", IF(ISNA(MATCH(N1590, Criterios!$C$123:$C$128, 0)), "Temporada no válida", "")), IF(OR(O1590="", O1590=""), "[Aviso] Ciclo de vida no capturado ()", IF(ISNA(MATCH(O1590, Criterios!$D$123:$D$124, 0)), "Ciclo de vida no válido", ""))))</f>
        <v/>
      </c>
      <c r="AC1590" s="56" t="n"/>
      <c r="AD1590" s="51" t="n">
        <v>0</v>
      </c>
      <c r="AE1590" s="156" t="n"/>
      <c r="AF1590" s="51" t="n">
        <v>0</v>
      </c>
      <c r="AG1590" s="156" t="inlineStr">
        <is>
          <t>Catálogo existente</t>
        </is>
      </c>
      <c r="AH1590" s="156" t="inlineStr">
        <is>
          <t>Revisión 29/09/2026: Cruce de catálogo y criterios sin pendientes detectados | 01/10/2026: complementado desde Shopify Stetson México (match por código de barras): WB Fit, WB Silueta</t>
        </is>
      </c>
      <c r="AI1590" s="156" t="inlineStr">
        <is>
          <t>No</t>
        </is>
      </c>
      <c r="AJ1590" s="156" t="n"/>
      <c r="AK1590" s="155" t="inlineStr">
        <is>
          <t>Criterios: I [Q] | Shopify Stetson: producto 15056328950123 / variante 53357912260971</t>
        </is>
      </c>
      <c r="AL1590" s="58" t="n">
        <v>1260</v>
      </c>
      <c r="AM1590" s="58" t="n">
        <v>3103.448276</v>
      </c>
      <c r="AN1590" s="155" t="inlineStr">
        <is>
          <t>Shopify Stetson México</t>
        </is>
      </c>
      <c r="AO1590" s="59" t="n">
        <v>1</v>
      </c>
      <c r="AP1590" s="59" t="n"/>
      <c r="AQ1590" s="59" t="n"/>
      <c r="AR1590" s="155" t="inlineStr">
        <is>
          <t>Shopify Stetson México › Stetson Americas: 1</t>
        </is>
      </c>
    </row>
    <row r="1591">
      <c r="A1591" s="50" t="inlineStr">
        <is>
          <t>883383062663</t>
        </is>
      </c>
      <c r="B1591" s="51" t="inlineStr">
        <is>
          <t>109888</t>
        </is>
      </c>
      <c r="C1591" s="156" t="inlineStr">
        <is>
          <t>Multimarca</t>
        </is>
      </c>
      <c r="D1591" s="156" t="inlineStr">
        <is>
          <t>SBCRAL-754098</t>
        </is>
      </c>
      <c r="E1591" s="156" t="inlineStr">
        <is>
          <t>SBCRAL-75409867</t>
        </is>
      </c>
      <c r="F1591" s="156" t="inlineStr">
        <is>
          <t>6 7/8</t>
        </is>
      </c>
      <c r="G1591" s="156" t="inlineStr">
        <is>
          <t>6 7/8</t>
        </is>
      </c>
      <c r="H1591" s="156" t="inlineStr">
        <is>
          <t>Stetson</t>
        </is>
      </c>
      <c r="I1591" s="156" t="inlineStr">
        <is>
          <t>Texana Stetson Corral Plata</t>
        </is>
      </c>
      <c r="J1591" s="156" t="inlineStr">
        <is>
          <t>Accesorios</t>
        </is>
      </c>
      <c r="K1591" s="156" t="inlineStr">
        <is>
          <t>Sombreros</t>
        </is>
      </c>
      <c r="L1591" s="156" t="inlineStr">
        <is>
          <t>Unisex</t>
        </is>
      </c>
      <c r="M1591" s="156" t="inlineStr">
        <is>
          <t>Stetson</t>
        </is>
      </c>
      <c r="N1591" s="156" t="inlineStr">
        <is>
          <t>SS26</t>
        </is>
      </c>
      <c r="O1591" s="156" t="inlineStr">
        <is>
          <t>Seasonal</t>
        </is>
      </c>
      <c r="P1591" s="156" t="inlineStr">
        <is>
          <t>Gris</t>
        </is>
      </c>
      <c r="Q1591" s="156" t="n"/>
      <c r="R1591" s="156" t="inlineStr">
        <is>
          <t>Copa Cattleman</t>
        </is>
      </c>
      <c r="S1591" s="156" t="inlineStr">
        <is>
          <t>100% Fieltro de lana</t>
        </is>
      </c>
      <c r="T1591"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1" s="156" t="inlineStr">
        <is>
          <t>Estados Unidos</t>
        </is>
      </c>
      <c r="V1591" s="156" t="inlineStr">
        <is>
          <t>PZS</t>
        </is>
      </c>
      <c r="W1591" s="51" t="inlineStr">
        <is>
          <t>53102503</t>
        </is>
      </c>
      <c r="X1591" s="156" t="inlineStr">
        <is>
          <t>https://cdn.shopify.com/s/files/1/0888/3250/8267/files/SBCRAL-7540-98_Silversand_2.jpg?v=1789754661</t>
        </is>
      </c>
      <c r="Y1591" s="54" t="n">
        <v>1338.75</v>
      </c>
      <c r="Z1591" s="54" t="n">
        <v>3275.862069</v>
      </c>
      <c r="AA1591" s="55">
        <f>IF(AND(A1591="", B1591="", E1591=""), "", IF(AB1591="", "Válido", IF((LEN(AB1591)-LEN(SUBSTITUTE(AB1591,"; ","")))/2+1&gt;(LEN(AB1591)-LEN(SUBSTITUTE(AB1591,"[Aviso]","")))/7, "Con Incidencias", "Válido")))</f>
        <v/>
      </c>
      <c r="AB1591" s="56">
        <f>IF(AND(A1591="", B1591="", E1591=""), "", TEXTJOIN("; ", TRUE, IF(OR(TRIM(A1591&amp;"")="", ISNUMBER(SEARCH("FALTA", A1591))), "UPC faltante/inválido", ""), IF(AND(A1591&lt;&gt;"", IFERROR(_xlfn.XMATCH(A1591,$A$2:$A$2509,0,1)&lt;&gt;_xlfn.XMATCH(A1591,$A$2:$A$2509,0,-1),FALSE)), "Código de barras duplicado", ""), IF(AND(E1591&lt;&gt;"", COUNTIF($E$2:$E$2509, E1591)&gt;1), "SKU duplicado", ""), IF(OR(J1591="", J1591=""), "[Aviso] División no capturada ()", IF(ISNA(MATCH(J1591, Criterios!$A$123:$A$126, 0)), "División no válida", "")), IF(OR(K1591="", K1591=""), "[Aviso] Categoría no capturada ()", IF(ISNA(MATCH(K1591, Criterios!$A$81:$A$120, 0)), "Categoría no válida", IF(AND(J1591&lt;&gt;"", J1591&lt;&gt;"", J1591&lt;&gt;VLOOKUP(K1591, Criterios!$A$81:$B$120, 2, FALSE)), "División no coincide con Categoría", ""))), IF(OR(L1591="", L1591=""), "[Aviso] Género no capturado ()", IF(ISNA(MATCH(L1591, Criterios!$B$123:$B$127, 0)), "Género no válido", "")), IF(OR(N1591="", N1591=""), "[Aviso] Temporada no capturada ()", IF(ISNA(MATCH(N1591, Criterios!$C$123:$C$128, 0)), "Temporada no válida", "")), IF(OR(O1591="", O1591=""), "[Aviso] Ciclo de vida no capturado ()", IF(ISNA(MATCH(O1591, Criterios!$D$123:$D$124, 0)), "Ciclo de vida no válido", ""))))</f>
        <v/>
      </c>
      <c r="AC1591" s="56" t="n"/>
      <c r="AD1591" s="51" t="n">
        <v>2</v>
      </c>
      <c r="AE1591" s="156" t="inlineStr">
        <is>
          <t>B25 STETSON.MX (2)</t>
        </is>
      </c>
      <c r="AF1591" s="51" t="n">
        <v>2</v>
      </c>
      <c r="AG1591" s="156" t="inlineStr">
        <is>
          <t>Catálogo existente</t>
        </is>
      </c>
      <c r="AH1591"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 | 01/10/2026: Odoo Universal Unique Brands trae Color «Beige» — se conservó el valor de Productos</t>
        </is>
      </c>
      <c r="AI1591" s="156" t="inlineStr">
        <is>
          <t>No</t>
        </is>
      </c>
      <c r="AJ1591" s="156" t="n"/>
      <c r="AK1591" s="155" t="inlineStr">
        <is>
          <t>Criterios: I [Q] | Shopify Stetson: producto 15069733781867 / variante 53413007688043 | Odoo: producto 19383 / plantilla 23870</t>
        </is>
      </c>
      <c r="AL1591" s="58" t="n">
        <v>1338.75</v>
      </c>
      <c r="AM1591" s="58" t="n">
        <v>3275.862069</v>
      </c>
      <c r="AN1591" s="155" t="inlineStr">
        <is>
          <t>Shopify Stetson México | Odoo Universal Unique Brands</t>
        </is>
      </c>
      <c r="AO1591" s="59" t="n">
        <v>1</v>
      </c>
      <c r="AP1591" s="59" t="n"/>
      <c r="AQ1591" s="59" t="n">
        <v>2</v>
      </c>
      <c r="AR1591" s="155" t="inlineStr">
        <is>
          <t>Shopify Stetson México › Stetson México: 1 | Odoo Universal Unique Brands › Bodega 25 › Bodega 25/General: 2</t>
        </is>
      </c>
    </row>
    <row r="1592">
      <c r="A1592" s="50" t="inlineStr">
        <is>
          <t>883383062670</t>
        </is>
      </c>
      <c r="B1592" s="51" t="inlineStr">
        <is>
          <t>109889</t>
        </is>
      </c>
      <c r="C1592" s="156" t="inlineStr">
        <is>
          <t>Multimarca</t>
        </is>
      </c>
      <c r="D1592" s="156" t="inlineStr">
        <is>
          <t>SBCRAL-754098</t>
        </is>
      </c>
      <c r="E1592" s="156" t="inlineStr">
        <is>
          <t>SBCRAL-75409870</t>
        </is>
      </c>
      <c r="F1592" s="156" t="inlineStr">
        <is>
          <t>7</t>
        </is>
      </c>
      <c r="G1592" s="156" t="inlineStr">
        <is>
          <t>7</t>
        </is>
      </c>
      <c r="H1592" s="156" t="inlineStr">
        <is>
          <t>Stetson</t>
        </is>
      </c>
      <c r="I1592" s="156" t="inlineStr">
        <is>
          <t>Texana Stetson Corral Plata</t>
        </is>
      </c>
      <c r="J1592" s="156" t="inlineStr">
        <is>
          <t>Accesorios</t>
        </is>
      </c>
      <c r="K1592" s="156" t="inlineStr">
        <is>
          <t>Sombreros</t>
        </is>
      </c>
      <c r="L1592" s="156" t="inlineStr">
        <is>
          <t>Unisex</t>
        </is>
      </c>
      <c r="M1592" s="156" t="inlineStr">
        <is>
          <t>Stetson</t>
        </is>
      </c>
      <c r="N1592" s="156" t="inlineStr">
        <is>
          <t>SS26</t>
        </is>
      </c>
      <c r="O1592" s="156" t="inlineStr">
        <is>
          <t>Seasonal</t>
        </is>
      </c>
      <c r="P1592" s="156" t="inlineStr">
        <is>
          <t>Gris</t>
        </is>
      </c>
      <c r="Q1592" s="156" t="n"/>
      <c r="R1592" s="156" t="inlineStr">
        <is>
          <t>Copa Cattleman</t>
        </is>
      </c>
      <c r="S1592" s="156" t="inlineStr">
        <is>
          <t>100% Fieltro de lana</t>
        </is>
      </c>
      <c r="T1592"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2" s="156" t="inlineStr">
        <is>
          <t>Estados Unidos</t>
        </is>
      </c>
      <c r="V1592" s="156" t="inlineStr">
        <is>
          <t>PZS</t>
        </is>
      </c>
      <c r="W1592" s="51" t="inlineStr">
        <is>
          <t>53102503</t>
        </is>
      </c>
      <c r="X1592" s="156" t="inlineStr">
        <is>
          <t>https://cdn.shopify.com/s/files/1/0888/3250/8267/files/SBCRAL-7540-98_Silversand_1.jpg?v=1789755338</t>
        </is>
      </c>
      <c r="Y1592" s="54" t="n">
        <v>1338.75</v>
      </c>
      <c r="Z1592" s="54" t="n">
        <v>3275.862069</v>
      </c>
      <c r="AA1592" s="55">
        <f>IF(AND(A1592="", B1592="", E1592=""), "", IF(AB1592="", "Válido", IF((LEN(AB1592)-LEN(SUBSTITUTE(AB1592,"; ","")))/2+1&gt;(LEN(AB1592)-LEN(SUBSTITUTE(AB1592,"[Aviso]","")))/7, "Con Incidencias", "Válido")))</f>
        <v/>
      </c>
      <c r="AB1592" s="56">
        <f>IF(AND(A1592="", B1592="", E1592=""), "", TEXTJOIN("; ", TRUE, IF(OR(TRIM(A1592&amp;"")="", ISNUMBER(SEARCH("FALTA", A1592))), "UPC faltante/inválido", ""), IF(AND(A1592&lt;&gt;"", IFERROR(_xlfn.XMATCH(A1592,$A$2:$A$2509,0,1)&lt;&gt;_xlfn.XMATCH(A1592,$A$2:$A$2509,0,-1),FALSE)), "Código de barras duplicado", ""), IF(AND(E1592&lt;&gt;"", COUNTIF($E$2:$E$2509, E1592)&gt;1), "SKU duplicado", ""), IF(OR(J1592="", J1592=""), "[Aviso] División no capturada ()", IF(ISNA(MATCH(J1592, Criterios!$A$123:$A$126, 0)), "División no válida", "")), IF(OR(K1592="", K1592=""), "[Aviso] Categoría no capturada ()", IF(ISNA(MATCH(K1592, Criterios!$A$81:$A$120, 0)), "Categoría no válida", IF(AND(J1592&lt;&gt;"", J1592&lt;&gt;"", J1592&lt;&gt;VLOOKUP(K1592, Criterios!$A$81:$B$120, 2, FALSE)), "División no coincide con Categoría", ""))), IF(OR(L1592="", L1592=""), "[Aviso] Género no capturado ()", IF(ISNA(MATCH(L1592, Criterios!$B$123:$B$127, 0)), "Género no válido", "")), IF(OR(N1592="", N1592=""), "[Aviso] Temporada no capturada ()", IF(ISNA(MATCH(N1592, Criterios!$C$123:$C$128, 0)), "Temporada no válida", "")), IF(OR(O1592="", O1592=""), "[Aviso] Ciclo de vida no capturado ()", IF(ISNA(MATCH(O1592, Criterios!$D$123:$D$124, 0)), "Ciclo de vida no válido", ""))))</f>
        <v/>
      </c>
      <c r="AC1592" s="56" t="n"/>
      <c r="AD1592" s="51" t="n">
        <v>1</v>
      </c>
      <c r="AE1592" s="156" t="inlineStr">
        <is>
          <t>B25 STETSON.MX (2)</t>
        </is>
      </c>
      <c r="AF1592" s="51" t="n">
        <v>2</v>
      </c>
      <c r="AG1592" s="156" t="inlineStr">
        <is>
          <t>Catálogo existente</t>
        </is>
      </c>
      <c r="AH1592"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2" s="156" t="inlineStr">
        <is>
          <t>Sí</t>
        </is>
      </c>
      <c r="AJ1592" s="156" t="inlineStr">
        <is>
          <t>STETSON AMERICAS (-1)</t>
        </is>
      </c>
      <c r="AK1592" s="155" t="inlineStr">
        <is>
          <t>Criterios: I [Q] | Shopify Stetson: producto 15069733781867 / variante 53413007720811</t>
        </is>
      </c>
      <c r="AL1592" s="58" t="n">
        <v>1338.75</v>
      </c>
      <c r="AM1592" s="58" t="n">
        <v>3275.862069</v>
      </c>
      <c r="AN1592" s="155" t="inlineStr">
        <is>
          <t>Shopify Stetson México</t>
        </is>
      </c>
      <c r="AO1592" s="59" t="n">
        <v>1</v>
      </c>
      <c r="AP1592" s="59" t="n"/>
      <c r="AQ1592" s="59" t="n"/>
      <c r="AR1592" s="155" t="inlineStr">
        <is>
          <t>Shopify Stetson México › Stetson México: 1</t>
        </is>
      </c>
    </row>
    <row r="1593">
      <c r="A1593" s="50" t="inlineStr">
        <is>
          <t>883383062687</t>
        </is>
      </c>
      <c r="B1593" s="51" t="inlineStr">
        <is>
          <t>109890</t>
        </is>
      </c>
      <c r="C1593" s="156" t="inlineStr">
        <is>
          <t>Multimarca</t>
        </is>
      </c>
      <c r="D1593" s="156" t="inlineStr">
        <is>
          <t>SBCRAL-754098</t>
        </is>
      </c>
      <c r="E1593" s="156" t="inlineStr">
        <is>
          <t>SBCRAL-75409871</t>
        </is>
      </c>
      <c r="F1593" s="156" t="inlineStr">
        <is>
          <t>7 1/8</t>
        </is>
      </c>
      <c r="G1593" s="156" t="inlineStr">
        <is>
          <t>7 1/8</t>
        </is>
      </c>
      <c r="H1593" s="156" t="inlineStr">
        <is>
          <t>Stetson</t>
        </is>
      </c>
      <c r="I1593" s="156" t="inlineStr">
        <is>
          <t>Texana Stetson Corral Plata</t>
        </is>
      </c>
      <c r="J1593" s="156" t="inlineStr">
        <is>
          <t>Accesorios</t>
        </is>
      </c>
      <c r="K1593" s="156" t="inlineStr">
        <is>
          <t>Sombreros</t>
        </is>
      </c>
      <c r="L1593" s="156" t="inlineStr">
        <is>
          <t>Unisex</t>
        </is>
      </c>
      <c r="M1593" s="156" t="inlineStr">
        <is>
          <t>Stetson</t>
        </is>
      </c>
      <c r="N1593" s="156" t="inlineStr">
        <is>
          <t>SS26</t>
        </is>
      </c>
      <c r="O1593" s="156" t="inlineStr">
        <is>
          <t>Seasonal</t>
        </is>
      </c>
      <c r="P1593" s="156" t="inlineStr">
        <is>
          <t>Gris</t>
        </is>
      </c>
      <c r="Q1593" s="156" t="n"/>
      <c r="R1593" s="156" t="inlineStr">
        <is>
          <t>Copa Cattleman</t>
        </is>
      </c>
      <c r="S1593" s="156" t="inlineStr">
        <is>
          <t>100% Fieltro de lana</t>
        </is>
      </c>
      <c r="T1593"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3" s="156" t="inlineStr">
        <is>
          <t>Estados Unidos</t>
        </is>
      </c>
      <c r="V1593" s="156" t="inlineStr">
        <is>
          <t>PZS</t>
        </is>
      </c>
      <c r="W1593" s="51" t="inlineStr">
        <is>
          <t>53102503</t>
        </is>
      </c>
      <c r="X1593" s="156" t="inlineStr">
        <is>
          <t>https://cdn.shopify.com/s/files/1/0888/3250/8267/files/SBCRAL-7540-98_Silversand_2_093110c0-8f64-421f-9f0e-7c86b0b6ccf4.jpg?v=1789755537</t>
        </is>
      </c>
      <c r="Y1593" s="54" t="n">
        <v>1338.75</v>
      </c>
      <c r="Z1593" s="54" t="n">
        <v>3275.862069</v>
      </c>
      <c r="AA1593" s="55">
        <f>IF(AND(A1593="", B1593="", E1593=""), "", IF(AB1593="", "Válido", IF((LEN(AB1593)-LEN(SUBSTITUTE(AB1593,"; ","")))/2+1&gt;(LEN(AB1593)-LEN(SUBSTITUTE(AB1593,"[Aviso]","")))/7, "Con Incidencias", "Válido")))</f>
        <v/>
      </c>
      <c r="AB1593" s="56">
        <f>IF(AND(A1593="", B1593="", E1593=""), "", TEXTJOIN("; ", TRUE, IF(OR(TRIM(A1593&amp;"")="", ISNUMBER(SEARCH("FALTA", A1593))), "UPC faltante/inválido", ""), IF(AND(A1593&lt;&gt;"", IFERROR(_xlfn.XMATCH(A1593,$A$2:$A$2509,0,1)&lt;&gt;_xlfn.XMATCH(A1593,$A$2:$A$2509,0,-1),FALSE)), "Código de barras duplicado", ""), IF(AND(E1593&lt;&gt;"", COUNTIF($E$2:$E$2509, E1593)&gt;1), "SKU duplicado", ""), IF(OR(J1593="", J1593=""), "[Aviso] División no capturada ()", IF(ISNA(MATCH(J1593, Criterios!$A$123:$A$126, 0)), "División no válida", "")), IF(OR(K1593="", K1593=""), "[Aviso] Categoría no capturada ()", IF(ISNA(MATCH(K1593, Criterios!$A$81:$A$120, 0)), "Categoría no válida", IF(AND(J1593&lt;&gt;"", J1593&lt;&gt;"", J1593&lt;&gt;VLOOKUP(K1593, Criterios!$A$81:$B$120, 2, FALSE)), "División no coincide con Categoría", ""))), IF(OR(L1593="", L1593=""), "[Aviso] Género no capturado ()", IF(ISNA(MATCH(L1593, Criterios!$B$123:$B$127, 0)), "Género no válido", "")), IF(OR(N1593="", N1593=""), "[Aviso] Temporada no capturada ()", IF(ISNA(MATCH(N1593, Criterios!$C$123:$C$128, 0)), "Temporada no válida", "")), IF(OR(O1593="", O1593=""), "[Aviso] Ciclo de vida no capturado ()", IF(ISNA(MATCH(O1593, Criterios!$D$123:$D$124, 0)), "Ciclo de vida no válido", ""))))</f>
        <v/>
      </c>
      <c r="AC1593" s="56" t="n"/>
      <c r="AD1593" s="51" t="n">
        <v>1</v>
      </c>
      <c r="AE1593" s="156" t="inlineStr">
        <is>
          <t>B25 STETSON.MX (2)</t>
        </is>
      </c>
      <c r="AF1593" s="51" t="n">
        <v>2</v>
      </c>
      <c r="AG1593" s="156" t="inlineStr">
        <is>
          <t>Catálogo existente</t>
        </is>
      </c>
      <c r="AH1593"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3" s="156" t="inlineStr">
        <is>
          <t>Sí</t>
        </is>
      </c>
      <c r="AJ1593" s="156" t="inlineStr">
        <is>
          <t>STETSON AMERICAS (-1)</t>
        </is>
      </c>
      <c r="AK1593" s="155" t="inlineStr">
        <is>
          <t>Criterios: I [Q] | Shopify Stetson: producto 15069733781867 / variante 53413007753579</t>
        </is>
      </c>
      <c r="AL1593" s="58" t="n">
        <v>1338.75</v>
      </c>
      <c r="AM1593" s="58" t="n">
        <v>3275.862069</v>
      </c>
      <c r="AN1593" s="155" t="inlineStr">
        <is>
          <t>Shopify Stetson México</t>
        </is>
      </c>
      <c r="AO1593" s="59" t="n">
        <v>1</v>
      </c>
      <c r="AP1593" s="59" t="n"/>
      <c r="AQ1593" s="59" t="n"/>
      <c r="AR1593" s="155" t="inlineStr">
        <is>
          <t>Shopify Stetson México › Stetson México: 1</t>
        </is>
      </c>
    </row>
    <row r="1594">
      <c r="A1594" s="50" t="inlineStr">
        <is>
          <t>883383062694</t>
        </is>
      </c>
      <c r="B1594" s="51" t="inlineStr">
        <is>
          <t>109891</t>
        </is>
      </c>
      <c r="C1594" s="156" t="inlineStr">
        <is>
          <t>Multimarca</t>
        </is>
      </c>
      <c r="D1594" s="156" t="inlineStr">
        <is>
          <t>SBCRAL-754098</t>
        </is>
      </c>
      <c r="E1594" s="156" t="inlineStr">
        <is>
          <t>SBCRAL-75409872</t>
        </is>
      </c>
      <c r="F1594" s="156" t="inlineStr">
        <is>
          <t>7 1/4</t>
        </is>
      </c>
      <c r="G1594" s="156" t="inlineStr">
        <is>
          <t>7 1/4</t>
        </is>
      </c>
      <c r="H1594" s="156" t="inlineStr">
        <is>
          <t>Stetson</t>
        </is>
      </c>
      <c r="I1594" s="156" t="inlineStr">
        <is>
          <t>Texana Stetson Corral Plata</t>
        </is>
      </c>
      <c r="J1594" s="156" t="inlineStr">
        <is>
          <t>Accesorios</t>
        </is>
      </c>
      <c r="K1594" s="156" t="inlineStr">
        <is>
          <t>Sombreros</t>
        </is>
      </c>
      <c r="L1594" s="156" t="inlineStr">
        <is>
          <t>Unisex</t>
        </is>
      </c>
      <c r="M1594" s="156" t="inlineStr">
        <is>
          <t>Stetson</t>
        </is>
      </c>
      <c r="N1594" s="156" t="inlineStr">
        <is>
          <t>SS26</t>
        </is>
      </c>
      <c r="O1594" s="156" t="inlineStr">
        <is>
          <t>Seasonal</t>
        </is>
      </c>
      <c r="P1594" s="156" t="inlineStr">
        <is>
          <t>Gris</t>
        </is>
      </c>
      <c r="Q1594" s="156" t="n"/>
      <c r="R1594" s="156" t="inlineStr">
        <is>
          <t>Copa Cattleman</t>
        </is>
      </c>
      <c r="S1594" s="156" t="inlineStr">
        <is>
          <t>100% Fieltro de lana</t>
        </is>
      </c>
      <c r="T1594"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4" s="156" t="inlineStr">
        <is>
          <t>Estados Unidos</t>
        </is>
      </c>
      <c r="V1594" s="156" t="inlineStr">
        <is>
          <t>PZS</t>
        </is>
      </c>
      <c r="W1594" s="51" t="inlineStr">
        <is>
          <t>53102503</t>
        </is>
      </c>
      <c r="X1594" s="156" t="inlineStr">
        <is>
          <t>https://cdn.shopify.com/s/files/1/0888/3250/8267/files/SBCRAL-7540-98_Silversand_3.jpg?v=1789755344</t>
        </is>
      </c>
      <c r="Y1594" s="54" t="n">
        <v>1338.75</v>
      </c>
      <c r="Z1594" s="54" t="n">
        <v>3275.862069</v>
      </c>
      <c r="AA1594" s="55">
        <f>IF(AND(A1594="", B1594="", E1594=""), "", IF(AB1594="", "Válido", IF((LEN(AB1594)-LEN(SUBSTITUTE(AB1594,"; ","")))/2+1&gt;(LEN(AB1594)-LEN(SUBSTITUTE(AB1594,"[Aviso]","")))/7, "Con Incidencias", "Válido")))</f>
        <v/>
      </c>
      <c r="AB1594" s="56">
        <f>IF(AND(A1594="", B1594="", E1594=""), "", TEXTJOIN("; ", TRUE, IF(OR(TRIM(A1594&amp;"")="", ISNUMBER(SEARCH("FALTA", A1594))), "UPC faltante/inválido", ""), IF(AND(A1594&lt;&gt;"", IFERROR(_xlfn.XMATCH(A1594,$A$2:$A$2509,0,1)&lt;&gt;_xlfn.XMATCH(A1594,$A$2:$A$2509,0,-1),FALSE)), "Código de barras duplicado", ""), IF(AND(E1594&lt;&gt;"", COUNTIF($E$2:$E$2509, E1594)&gt;1), "SKU duplicado", ""), IF(OR(J1594="", J1594=""), "[Aviso] División no capturada ()", IF(ISNA(MATCH(J1594, Criterios!$A$123:$A$126, 0)), "División no válida", "")), IF(OR(K1594="", K1594=""), "[Aviso] Categoría no capturada ()", IF(ISNA(MATCH(K1594, Criterios!$A$81:$A$120, 0)), "Categoría no válida", IF(AND(J1594&lt;&gt;"", J1594&lt;&gt;"", J1594&lt;&gt;VLOOKUP(K1594, Criterios!$A$81:$B$120, 2, FALSE)), "División no coincide con Categoría", ""))), IF(OR(L1594="", L1594=""), "[Aviso] Género no capturado ()", IF(ISNA(MATCH(L1594, Criterios!$B$123:$B$127, 0)), "Género no válido", "")), IF(OR(N1594="", N1594=""), "[Aviso] Temporada no capturada ()", IF(ISNA(MATCH(N1594, Criterios!$C$123:$C$128, 0)), "Temporada no válida", "")), IF(OR(O1594="", O1594=""), "[Aviso] Ciclo de vida no capturado ()", IF(ISNA(MATCH(O1594, Criterios!$D$123:$D$124, 0)), "Ciclo de vida no válido", ""))))</f>
        <v/>
      </c>
      <c r="AC1594" s="56" t="n"/>
      <c r="AD1594" s="51" t="n">
        <v>2</v>
      </c>
      <c r="AE1594" s="156" t="inlineStr">
        <is>
          <t>B25 STETSON.MX (2)</t>
        </is>
      </c>
      <c r="AF1594" s="51" t="n">
        <v>2</v>
      </c>
      <c r="AG1594" s="156" t="inlineStr">
        <is>
          <t>Catálogo existente</t>
        </is>
      </c>
      <c r="AH1594"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4" s="156" t="inlineStr">
        <is>
          <t>No</t>
        </is>
      </c>
      <c r="AJ1594" s="156" t="n"/>
      <c r="AK1594" s="155" t="inlineStr">
        <is>
          <t>Criterios: I [Q] | Shopify Stetson: producto 15069733781867 / variante 53413007786347</t>
        </is>
      </c>
      <c r="AL1594" s="58" t="n">
        <v>1338.75</v>
      </c>
      <c r="AM1594" s="58" t="n">
        <v>3275.862069</v>
      </c>
      <c r="AN1594" s="155" t="inlineStr">
        <is>
          <t>Shopify Stetson México</t>
        </is>
      </c>
      <c r="AO1594" s="59" t="n">
        <v>0</v>
      </c>
      <c r="AP1594" s="59" t="n"/>
      <c r="AQ1594" s="59" t="n"/>
      <c r="AR1594" s="155" t="n"/>
    </row>
    <row r="1595">
      <c r="A1595" s="50" t="inlineStr">
        <is>
          <t>883383062700</t>
        </is>
      </c>
      <c r="B1595" s="51" t="inlineStr">
        <is>
          <t>109892</t>
        </is>
      </c>
      <c r="C1595" s="156" t="inlineStr">
        <is>
          <t>Multimarca</t>
        </is>
      </c>
      <c r="D1595" s="156" t="inlineStr">
        <is>
          <t>SBCRAL-754098</t>
        </is>
      </c>
      <c r="E1595" s="156" t="inlineStr">
        <is>
          <t>SBCRAL-75409873</t>
        </is>
      </c>
      <c r="F1595" s="156" t="inlineStr">
        <is>
          <t>7 3/8</t>
        </is>
      </c>
      <c r="G1595" s="156" t="inlineStr">
        <is>
          <t>7 3/8</t>
        </is>
      </c>
      <c r="H1595" s="156" t="inlineStr">
        <is>
          <t>Stetson</t>
        </is>
      </c>
      <c r="I1595" s="156" t="inlineStr">
        <is>
          <t>Texana Stetson Corral Plata</t>
        </is>
      </c>
      <c r="J1595" s="156" t="inlineStr">
        <is>
          <t>Accesorios</t>
        </is>
      </c>
      <c r="K1595" s="156" t="inlineStr">
        <is>
          <t>Sombreros</t>
        </is>
      </c>
      <c r="L1595" s="156" t="inlineStr">
        <is>
          <t>Unisex</t>
        </is>
      </c>
      <c r="M1595" s="156" t="inlineStr">
        <is>
          <t>Stetson</t>
        </is>
      </c>
      <c r="N1595" s="156" t="inlineStr">
        <is>
          <t>SS26</t>
        </is>
      </c>
      <c r="O1595" s="156" t="inlineStr">
        <is>
          <t>Seasonal</t>
        </is>
      </c>
      <c r="P1595" s="156" t="inlineStr">
        <is>
          <t>Gris</t>
        </is>
      </c>
      <c r="Q1595" s="156" t="n"/>
      <c r="R1595" s="156" t="inlineStr">
        <is>
          <t>Copa Cattleman</t>
        </is>
      </c>
      <c r="S1595" s="156" t="inlineStr">
        <is>
          <t>100% Fieltro de lana</t>
        </is>
      </c>
      <c r="T1595"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5" s="156" t="inlineStr">
        <is>
          <t>Estados Unidos</t>
        </is>
      </c>
      <c r="V1595" s="156" t="inlineStr">
        <is>
          <t>PZS</t>
        </is>
      </c>
      <c r="W1595" s="51" t="inlineStr">
        <is>
          <t>53102503</t>
        </is>
      </c>
      <c r="X1595" s="156" t="inlineStr">
        <is>
          <t>https://cdn.shopify.com/s/files/1/0888/3250/8267/files/SBCRAL-7540-98_Silversand_4.jpg?v=1789755350</t>
        </is>
      </c>
      <c r="Y1595" s="54" t="n">
        <v>1338.75</v>
      </c>
      <c r="Z1595" s="54" t="n">
        <v>3275.862069</v>
      </c>
      <c r="AA1595" s="55">
        <f>IF(AND(A1595="", B1595="", E1595=""), "", IF(AB1595="", "Válido", IF((LEN(AB1595)-LEN(SUBSTITUTE(AB1595,"; ","")))/2+1&gt;(LEN(AB1595)-LEN(SUBSTITUTE(AB1595,"[Aviso]","")))/7, "Con Incidencias", "Válido")))</f>
        <v/>
      </c>
      <c r="AB1595" s="56">
        <f>IF(AND(A1595="", B1595="", E1595=""), "", TEXTJOIN("; ", TRUE, IF(OR(TRIM(A1595&amp;"")="", ISNUMBER(SEARCH("FALTA", A1595))), "UPC faltante/inválido", ""), IF(AND(A1595&lt;&gt;"", IFERROR(_xlfn.XMATCH(A1595,$A$2:$A$2509,0,1)&lt;&gt;_xlfn.XMATCH(A1595,$A$2:$A$2509,0,-1),FALSE)), "Código de barras duplicado", ""), IF(AND(E1595&lt;&gt;"", COUNTIF($E$2:$E$2509, E1595)&gt;1), "SKU duplicado", ""), IF(OR(J1595="", J1595=""), "[Aviso] División no capturada ()", IF(ISNA(MATCH(J1595, Criterios!$A$123:$A$126, 0)), "División no válida", "")), IF(OR(K1595="", K1595=""), "[Aviso] Categoría no capturada ()", IF(ISNA(MATCH(K1595, Criterios!$A$81:$A$120, 0)), "Categoría no válida", IF(AND(J1595&lt;&gt;"", J1595&lt;&gt;"", J1595&lt;&gt;VLOOKUP(K1595, Criterios!$A$81:$B$120, 2, FALSE)), "División no coincide con Categoría", ""))), IF(OR(L1595="", L1595=""), "[Aviso] Género no capturado ()", IF(ISNA(MATCH(L1595, Criterios!$B$123:$B$127, 0)), "Género no válido", "")), IF(OR(N1595="", N1595=""), "[Aviso] Temporada no capturada ()", IF(ISNA(MATCH(N1595, Criterios!$C$123:$C$128, 0)), "Temporada no válida", "")), IF(OR(O1595="", O1595=""), "[Aviso] Ciclo de vida no capturado ()", IF(ISNA(MATCH(O1595, Criterios!$D$123:$D$124, 0)), "Ciclo de vida no válido", ""))))</f>
        <v/>
      </c>
      <c r="AC1595" s="56" t="n"/>
      <c r="AD1595" s="51" t="n">
        <v>2</v>
      </c>
      <c r="AE1595" s="156" t="inlineStr">
        <is>
          <t>B25 STETSON.MX (2)</t>
        </is>
      </c>
      <c r="AF1595" s="51" t="n">
        <v>2</v>
      </c>
      <c r="AG1595" s="156" t="inlineStr">
        <is>
          <t>Catálogo existente</t>
        </is>
      </c>
      <c r="AH1595"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5" s="156" t="inlineStr">
        <is>
          <t>No</t>
        </is>
      </c>
      <c r="AJ1595" s="156" t="n"/>
      <c r="AK1595" s="155" t="inlineStr">
        <is>
          <t>Criterios: I [Q] | Shopify Stetson: producto 15069733781867 / variante 53413007819115</t>
        </is>
      </c>
      <c r="AL1595" s="58" t="n">
        <v>1338.75</v>
      </c>
      <c r="AM1595" s="58" t="n">
        <v>3275.862069</v>
      </c>
      <c r="AN1595" s="155" t="inlineStr">
        <is>
          <t>Shopify Stetson México</t>
        </is>
      </c>
      <c r="AO1595" s="59" t="n">
        <v>1</v>
      </c>
      <c r="AP1595" s="59" t="n"/>
      <c r="AQ1595" s="59" t="n"/>
      <c r="AR1595" s="155" t="inlineStr">
        <is>
          <t>Shopify Stetson México › Stetson México: 1</t>
        </is>
      </c>
    </row>
    <row r="1596">
      <c r="A1596" s="50" t="inlineStr">
        <is>
          <t>883383062717</t>
        </is>
      </c>
      <c r="B1596" s="51" t="inlineStr">
        <is>
          <t>109893</t>
        </is>
      </c>
      <c r="C1596" s="156" t="inlineStr">
        <is>
          <t>Multimarca</t>
        </is>
      </c>
      <c r="D1596" s="156" t="inlineStr">
        <is>
          <t>SBCRAL-754098</t>
        </is>
      </c>
      <c r="E1596" s="156" t="inlineStr">
        <is>
          <t>SBCRAL-75409874</t>
        </is>
      </c>
      <c r="F1596" s="156" t="inlineStr">
        <is>
          <t>7 1/2</t>
        </is>
      </c>
      <c r="G1596" s="156" t="inlineStr">
        <is>
          <t>7 1/2</t>
        </is>
      </c>
      <c r="H1596" s="156" t="inlineStr">
        <is>
          <t>Stetson</t>
        </is>
      </c>
      <c r="I1596" s="156" t="inlineStr">
        <is>
          <t>Texana Stetson Corral Plata</t>
        </is>
      </c>
      <c r="J1596" s="156" t="inlineStr">
        <is>
          <t>Accesorios</t>
        </is>
      </c>
      <c r="K1596" s="156" t="inlineStr">
        <is>
          <t>Sombreros</t>
        </is>
      </c>
      <c r="L1596" s="156" t="inlineStr">
        <is>
          <t>Unisex</t>
        </is>
      </c>
      <c r="M1596" s="156" t="inlineStr">
        <is>
          <t>Stetson</t>
        </is>
      </c>
      <c r="N1596" s="156" t="inlineStr">
        <is>
          <t>SS26</t>
        </is>
      </c>
      <c r="O1596" s="156" t="inlineStr">
        <is>
          <t>Seasonal</t>
        </is>
      </c>
      <c r="P1596" s="156" t="inlineStr">
        <is>
          <t>Gris</t>
        </is>
      </c>
      <c r="Q1596" s="156" t="n"/>
      <c r="R1596" s="156" t="inlineStr">
        <is>
          <t>Copa Cattleman</t>
        </is>
      </c>
      <c r="S1596" s="156" t="inlineStr">
        <is>
          <t>100% Fieltro de lana</t>
        </is>
      </c>
      <c r="T1596"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6" s="156" t="inlineStr">
        <is>
          <t>Estados Unidos</t>
        </is>
      </c>
      <c r="V1596" s="156" t="inlineStr">
        <is>
          <t>PZS</t>
        </is>
      </c>
      <c r="W1596" s="51" t="inlineStr">
        <is>
          <t>53102503</t>
        </is>
      </c>
      <c r="X1596" s="156" t="inlineStr">
        <is>
          <t>https://cdn.shopify.com/s/files/1/0888/3250/8267/files/SBCRAL-7540-98_Silversand_5.jpg?v=1789755355</t>
        </is>
      </c>
      <c r="Y1596" s="54" t="n">
        <v>1338.75</v>
      </c>
      <c r="Z1596" s="54" t="n">
        <v>3275.862069</v>
      </c>
      <c r="AA1596" s="55">
        <f>IF(AND(A1596="", B1596="", E1596=""), "", IF(AB1596="", "Válido", IF((LEN(AB1596)-LEN(SUBSTITUTE(AB1596,"; ","")))/2+1&gt;(LEN(AB1596)-LEN(SUBSTITUTE(AB1596,"[Aviso]","")))/7, "Con Incidencias", "Válido")))</f>
        <v/>
      </c>
      <c r="AB1596" s="56">
        <f>IF(AND(A1596="", B1596="", E1596=""), "", TEXTJOIN("; ", TRUE, IF(OR(TRIM(A1596&amp;"")="", ISNUMBER(SEARCH("FALTA", A1596))), "UPC faltante/inválido", ""), IF(AND(A1596&lt;&gt;"", IFERROR(_xlfn.XMATCH(A1596,$A$2:$A$2509,0,1)&lt;&gt;_xlfn.XMATCH(A1596,$A$2:$A$2509,0,-1),FALSE)), "Código de barras duplicado", ""), IF(AND(E1596&lt;&gt;"", COUNTIF($E$2:$E$2509, E1596)&gt;1), "SKU duplicado", ""), IF(OR(J1596="", J1596=""), "[Aviso] División no capturada ()", IF(ISNA(MATCH(J1596, Criterios!$A$123:$A$126, 0)), "División no válida", "")), IF(OR(K1596="", K1596=""), "[Aviso] Categoría no capturada ()", IF(ISNA(MATCH(K1596, Criterios!$A$81:$A$120, 0)), "Categoría no válida", IF(AND(J1596&lt;&gt;"", J1596&lt;&gt;"", J1596&lt;&gt;VLOOKUP(K1596, Criterios!$A$81:$B$120, 2, FALSE)), "División no coincide con Categoría", ""))), IF(OR(L1596="", L1596=""), "[Aviso] Género no capturado ()", IF(ISNA(MATCH(L1596, Criterios!$B$123:$B$127, 0)), "Género no válido", "")), IF(OR(N1596="", N1596=""), "[Aviso] Temporada no capturada ()", IF(ISNA(MATCH(N1596, Criterios!$C$123:$C$128, 0)), "Temporada no válida", "")), IF(OR(O1596="", O1596=""), "[Aviso] Ciclo de vida no capturado ()", IF(ISNA(MATCH(O1596, Criterios!$D$123:$D$124, 0)), "Ciclo de vida no válido", ""))))</f>
        <v/>
      </c>
      <c r="AC1596" s="56" t="n"/>
      <c r="AD1596" s="51" t="n">
        <v>-1</v>
      </c>
      <c r="AE1596" s="156" t="n"/>
      <c r="AF1596" s="51" t="n">
        <v>0</v>
      </c>
      <c r="AG1596" s="156" t="inlineStr">
        <is>
          <t>Catálogo existente</t>
        </is>
      </c>
      <c r="AH159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«Beige» — se conservó el valor de Productos | 01/10/2026: Odoo Universal Unique Brands trae Color «Beige» — se conservó el valor de Productos</t>
        </is>
      </c>
      <c r="AI1596" s="156" t="inlineStr">
        <is>
          <t>Sí</t>
        </is>
      </c>
      <c r="AJ1596" s="156" t="inlineStr">
        <is>
          <t>STETSON AMERICAS (-1)</t>
        </is>
      </c>
      <c r="AK1596" s="155" t="inlineStr">
        <is>
          <t>Criterios: I [Q] | Shopify Stetson: producto 15069733781867 / variante 53413007851883 | Odoo: producto 19384 / plantilla 23871</t>
        </is>
      </c>
      <c r="AL1596" s="58" t="n">
        <v>1338.75</v>
      </c>
      <c r="AM1596" s="58" t="n">
        <v>3275.862069</v>
      </c>
      <c r="AN1596" s="155" t="inlineStr">
        <is>
          <t>Shopify Stetson México | Odoo Universal Unique Brands</t>
        </is>
      </c>
      <c r="AO1596" s="59" t="n">
        <v>0</v>
      </c>
      <c r="AP1596" s="59" t="n"/>
      <c r="AQ1596" s="59" t="n">
        <v>1</v>
      </c>
      <c r="AR1596" s="155" t="inlineStr">
        <is>
          <t>Odoo Universal Unique Brands › Bodega 25 › Bodega 25/General: 1</t>
        </is>
      </c>
    </row>
    <row r="1597">
      <c r="A1597" s="50" t="inlineStr">
        <is>
          <t>883383063356</t>
        </is>
      </c>
      <c r="B1597" s="51" t="inlineStr">
        <is>
          <t>110076</t>
        </is>
      </c>
      <c r="C1597" s="156" t="inlineStr">
        <is>
          <t>Multimarca</t>
        </is>
      </c>
      <c r="D1597" s="156" t="inlineStr">
        <is>
          <t>SFSHAS-754034</t>
        </is>
      </c>
      <c r="E1597" s="156" t="inlineStr">
        <is>
          <t>SFSHAS-75403470</t>
        </is>
      </c>
      <c r="F1597" s="156" t="inlineStr">
        <is>
          <t>7</t>
        </is>
      </c>
      <c r="G1597" s="156" t="inlineStr">
        <is>
          <t>7</t>
        </is>
      </c>
      <c r="H1597" s="156" t="inlineStr">
        <is>
          <t>Stetson</t>
        </is>
      </c>
      <c r="I1597" s="156" t="inlineStr">
        <is>
          <t>Texana Stetson Shasta Gris Niebla</t>
        </is>
      </c>
      <c r="J1597" s="156" t="inlineStr">
        <is>
          <t>Accesorios</t>
        </is>
      </c>
      <c r="K1597" s="156" t="inlineStr">
        <is>
          <t>Sombreros</t>
        </is>
      </c>
      <c r="L1597" s="156" t="inlineStr">
        <is>
          <t>Unisex</t>
        </is>
      </c>
      <c r="M1597" s="156" t="inlineStr">
        <is>
          <t>Stetson</t>
        </is>
      </c>
      <c r="N1597" s="156" t="inlineStr">
        <is>
          <t>SS26</t>
        </is>
      </c>
      <c r="O1597" s="156" t="inlineStr">
        <is>
          <t>Seasonal</t>
        </is>
      </c>
      <c r="P1597" s="156" t="inlineStr">
        <is>
          <t>Gris</t>
        </is>
      </c>
      <c r="Q1597" s="156" t="n"/>
      <c r="R1597" s="156" t="inlineStr">
        <is>
          <t>Copa Cattleman</t>
        </is>
      </c>
      <c r="S1597" s="156" t="inlineStr">
        <is>
          <t>100% Fieltro de lana</t>
        </is>
      </c>
      <c r="T159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7" s="156" t="inlineStr">
        <is>
          <t>Estados Unidos</t>
        </is>
      </c>
      <c r="V1597" s="156" t="inlineStr">
        <is>
          <t>PZS</t>
        </is>
      </c>
      <c r="W1597" s="51" t="inlineStr">
        <is>
          <t>53102503</t>
        </is>
      </c>
      <c r="X1597" s="156" t="inlineStr">
        <is>
          <t>https://cdn.shopify.com/s/files/1/0888/3250/8267/files/SFSHAS-7540-07-67_7_82869683-5424-494b-be0a-3c9db2496290.png?v=1760378716</t>
        </is>
      </c>
      <c r="Y1597" s="54" t="n">
        <v>4331.25</v>
      </c>
      <c r="Z1597" s="54" t="n">
        <v>10344.82759</v>
      </c>
      <c r="AA1597" s="55">
        <f>IF(AND(A1597="", B1597="", E1597=""), "", IF(AB1597="", "Válido", IF((LEN(AB1597)-LEN(SUBSTITUTE(AB1597,"; ","")))/2+1&gt;(LEN(AB1597)-LEN(SUBSTITUTE(AB1597,"[Aviso]","")))/7, "Con Incidencias", "Válido")))</f>
        <v/>
      </c>
      <c r="AB1597" s="56">
        <f>IF(AND(A1597="", B1597="", E1597=""), "", TEXTJOIN("; ", TRUE, IF(OR(TRIM(A1597&amp;"")="", ISNUMBER(SEARCH("FALTA", A1597))), "UPC faltante/inválido", ""), IF(AND(A1597&lt;&gt;"", IFERROR(_xlfn.XMATCH(A1597,$A$2:$A$2509,0,1)&lt;&gt;_xlfn.XMATCH(A1597,$A$2:$A$2509,0,-1),FALSE)), "Código de barras duplicado", ""), IF(AND(E1597&lt;&gt;"", COUNTIF($E$2:$E$2509, E1597)&gt;1), "SKU duplicado", ""), IF(OR(J1597="", J1597=""), "[Aviso] División no capturada ()", IF(ISNA(MATCH(J1597, Criterios!$A$123:$A$126, 0)), "División no válida", "")), IF(OR(K1597="", K1597=""), "[Aviso] Categoría no capturada ()", IF(ISNA(MATCH(K1597, Criterios!$A$81:$A$120, 0)), "Categoría no válida", IF(AND(J1597&lt;&gt;"", J1597&lt;&gt;"", J1597&lt;&gt;VLOOKUP(K1597, Criterios!$A$81:$B$120, 2, FALSE)), "División no coincide con Categoría", ""))), IF(OR(L1597="", L1597=""), "[Aviso] Género no capturado ()", IF(ISNA(MATCH(L1597, Criterios!$B$123:$B$127, 0)), "Género no válido", "")), IF(OR(N1597="", N1597=""), "[Aviso] Temporada no capturada ()", IF(ISNA(MATCH(N1597, Criterios!$C$123:$C$128, 0)), "Temporada no válida", "")), IF(OR(O1597="", O1597=""), "[Aviso] Ciclo de vida no capturado ()", IF(ISNA(MATCH(O1597, Criterios!$D$123:$D$124, 0)), "Ciclo de vida no válido", ""))))</f>
        <v/>
      </c>
      <c r="AC1597" s="56" t="n"/>
      <c r="AD1597" s="51" t="n">
        <v>2</v>
      </c>
      <c r="AE1597" s="156" t="inlineStr">
        <is>
          <t>B25 STETSON.MX (2)</t>
        </is>
      </c>
      <c r="AF1597" s="51" t="n">
        <v>2</v>
      </c>
      <c r="AG1597" s="156" t="inlineStr">
        <is>
          <t>Catálogo existente</t>
        </is>
      </c>
      <c r="AH1597" s="156" t="inlineStr">
        <is>
          <t>Revisión 29/09/2026: Cruce de catálogo y criterios sin pendientes detectados | 01/10/2026: complementado desde Shopify Stetson México (match por código de barras): WB Fit, WB Silueta</t>
        </is>
      </c>
      <c r="AI1597" s="156" t="inlineStr">
        <is>
          <t>No</t>
        </is>
      </c>
      <c r="AJ1597" s="156" t="n"/>
      <c r="AK1597" s="155" t="inlineStr">
        <is>
          <t>Criterios: I [Q] | Shopify Stetson: producto 14791364510059 / variante 53350603686251 | Odoo: producto 14254 / plantilla 17831</t>
        </is>
      </c>
      <c r="AL1597" s="58" t="n">
        <v>4331.25</v>
      </c>
      <c r="AM1597" s="58" t="n">
        <v>10344.82759</v>
      </c>
      <c r="AN1597" s="155" t="inlineStr">
        <is>
          <t>Shopify Stetson México | Odoo Universal Unique Brands</t>
        </is>
      </c>
      <c r="AO1597" s="59" t="n">
        <v>2</v>
      </c>
      <c r="AP1597" s="59" t="n"/>
      <c r="AQ1597" s="59" t="n">
        <v>2</v>
      </c>
      <c r="AR1597" s="155" t="inlineStr">
        <is>
          <t>Shopify Stetson México › Stetson México: 2 | Odoo Universal Unique Brands › Bodega 25 › Bodega 25/General: 2</t>
        </is>
      </c>
    </row>
    <row r="1598">
      <c r="A1598" s="50" t="inlineStr">
        <is>
          <t>883383063363</t>
        </is>
      </c>
      <c r="B1598" s="51" t="inlineStr">
        <is>
          <t>110077</t>
        </is>
      </c>
      <c r="C1598" s="156" t="inlineStr">
        <is>
          <t>Multimarca</t>
        </is>
      </c>
      <c r="D1598" s="156" t="inlineStr">
        <is>
          <t>SFSHAS-754034</t>
        </is>
      </c>
      <c r="E1598" s="156" t="inlineStr">
        <is>
          <t>SFSHAS-75403471</t>
        </is>
      </c>
      <c r="F1598" s="156" t="inlineStr">
        <is>
          <t>7 1/8</t>
        </is>
      </c>
      <c r="G1598" s="156" t="inlineStr">
        <is>
          <t>7 1/8</t>
        </is>
      </c>
      <c r="H1598" s="156" t="inlineStr">
        <is>
          <t>Stetson</t>
        </is>
      </c>
      <c r="I1598" s="156" t="inlineStr">
        <is>
          <t>Texana Stetson Shasta Gris Niebla</t>
        </is>
      </c>
      <c r="J1598" s="156" t="inlineStr">
        <is>
          <t>Accesorios</t>
        </is>
      </c>
      <c r="K1598" s="156" t="inlineStr">
        <is>
          <t>Sombreros</t>
        </is>
      </c>
      <c r="L1598" s="156" t="inlineStr">
        <is>
          <t>Unisex</t>
        </is>
      </c>
      <c r="M1598" s="156" t="inlineStr">
        <is>
          <t>Stetson</t>
        </is>
      </c>
      <c r="N1598" s="156" t="inlineStr">
        <is>
          <t>SS26</t>
        </is>
      </c>
      <c r="O1598" s="156" t="inlineStr">
        <is>
          <t>Seasonal</t>
        </is>
      </c>
      <c r="P1598" s="156" t="inlineStr">
        <is>
          <t>Gris</t>
        </is>
      </c>
      <c r="Q1598" s="156" t="n"/>
      <c r="R1598" s="156" t="inlineStr">
        <is>
          <t>Copa Cattleman</t>
        </is>
      </c>
      <c r="S1598" s="156" t="inlineStr">
        <is>
          <t>100% Fieltro de lana</t>
        </is>
      </c>
      <c r="T159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8" s="156" t="inlineStr">
        <is>
          <t>Estados Unidos</t>
        </is>
      </c>
      <c r="V1598" s="156" t="inlineStr">
        <is>
          <t>PZS</t>
        </is>
      </c>
      <c r="W1598" s="51" t="inlineStr">
        <is>
          <t>53102503</t>
        </is>
      </c>
      <c r="X1598" s="156" t="inlineStr">
        <is>
          <t>https://cdn.shopify.com/s/files/1/0888/3250/8267/files/SFSHAS-7540-07-67_8_b1c84858-261e-49c3-a96e-cb912193aeb4.png?v=1760378716</t>
        </is>
      </c>
      <c r="Y1598" s="54" t="n">
        <v>4331.25</v>
      </c>
      <c r="Z1598" s="54" t="n">
        <v>10344.82759</v>
      </c>
      <c r="AA1598" s="55">
        <f>IF(AND(A1598="", B1598="", E1598=""), "", IF(AB1598="", "Válido", IF((LEN(AB1598)-LEN(SUBSTITUTE(AB1598,"; ","")))/2+1&gt;(LEN(AB1598)-LEN(SUBSTITUTE(AB1598,"[Aviso]","")))/7, "Con Incidencias", "Válido")))</f>
        <v/>
      </c>
      <c r="AB1598" s="56">
        <f>IF(AND(A1598="", B1598="", E1598=""), "", TEXTJOIN("; ", TRUE, IF(OR(TRIM(A1598&amp;"")="", ISNUMBER(SEARCH("FALTA", A1598))), "UPC faltante/inválido", ""), IF(AND(A1598&lt;&gt;"", IFERROR(_xlfn.XMATCH(A1598,$A$2:$A$2509,0,1)&lt;&gt;_xlfn.XMATCH(A1598,$A$2:$A$2509,0,-1),FALSE)), "Código de barras duplicado", ""), IF(AND(E1598&lt;&gt;"", COUNTIF($E$2:$E$2509, E1598)&gt;1), "SKU duplicado", ""), IF(OR(J1598="", J1598=""), "[Aviso] División no capturada ()", IF(ISNA(MATCH(J1598, Criterios!$A$123:$A$126, 0)), "División no válida", "")), IF(OR(K1598="", K1598=""), "[Aviso] Categoría no capturada ()", IF(ISNA(MATCH(K1598, Criterios!$A$81:$A$120, 0)), "Categoría no válida", IF(AND(J1598&lt;&gt;"", J1598&lt;&gt;"", J1598&lt;&gt;VLOOKUP(K1598, Criterios!$A$81:$B$120, 2, FALSE)), "División no coincide con Categoría", ""))), IF(OR(L1598="", L1598=""), "[Aviso] Género no capturado ()", IF(ISNA(MATCH(L1598, Criterios!$B$123:$B$127, 0)), "Género no válido", "")), IF(OR(N1598="", N1598=""), "[Aviso] Temporada no capturada ()", IF(ISNA(MATCH(N1598, Criterios!$C$123:$C$128, 0)), "Temporada no válida", "")), IF(OR(O1598="", O1598=""), "[Aviso] Ciclo de vida no capturado ()", IF(ISNA(MATCH(O1598, Criterios!$D$123:$D$124, 0)), "Ciclo de vida no válido", ""))))</f>
        <v/>
      </c>
      <c r="AC1598" s="56" t="n"/>
      <c r="AD1598" s="51" t="n">
        <v>-1</v>
      </c>
      <c r="AE1598" s="156" t="n"/>
      <c r="AF1598" s="51" t="n">
        <v>0</v>
      </c>
      <c r="AG1598" s="156" t="inlineStr">
        <is>
          <t>Catálogo existente</t>
        </is>
      </c>
      <c r="AH1598" s="156" t="inlineStr">
        <is>
          <t>Stock negativo en sistema: revisar en conteo | Revisión 29/09/2026: Cruce de catálogo y criterios sin pendientes detectados | 01/10/2026: complementado desde Shopify Stetson México (match por código de barras): WB Fit, WB Silueta</t>
        </is>
      </c>
      <c r="AI1598" s="156" t="inlineStr">
        <is>
          <t>Sí</t>
        </is>
      </c>
      <c r="AJ1598" s="156" t="inlineStr">
        <is>
          <t>STETSON AMERICAS (-1)</t>
        </is>
      </c>
      <c r="AK1598" s="155" t="inlineStr">
        <is>
          <t>Criterios: I [Q] | Shopify Stetson: producto 14791364510059 / variante 53350603719019 | Odoo: producto 14255 / plantilla 17832</t>
        </is>
      </c>
      <c r="AL1598" s="58" t="n">
        <v>4331.25</v>
      </c>
      <c r="AM1598" s="58" t="n">
        <v>10344.82759</v>
      </c>
      <c r="AN1598" s="155" t="inlineStr">
        <is>
          <t>Shopify Stetson México | Odoo Universal Unique Brands</t>
        </is>
      </c>
      <c r="AO1598" s="59" t="n">
        <v>0</v>
      </c>
      <c r="AP1598" s="59" t="n"/>
      <c r="AQ1598" s="59" t="n">
        <v>6</v>
      </c>
      <c r="AR1598" s="155" t="inlineStr">
        <is>
          <t>Odoo Universal Unique Brands › Bodega 25 › Bodega 25/General: 6</t>
        </is>
      </c>
    </row>
    <row r="1599">
      <c r="A1599" s="50" t="inlineStr">
        <is>
          <t>883383063370</t>
        </is>
      </c>
      <c r="B1599" s="51" t="inlineStr">
        <is>
          <t>110078</t>
        </is>
      </c>
      <c r="C1599" s="156" t="inlineStr">
        <is>
          <t>Multimarca</t>
        </is>
      </c>
      <c r="D1599" s="156" t="inlineStr">
        <is>
          <t>SFSHAS-754034</t>
        </is>
      </c>
      <c r="E1599" s="156" t="inlineStr">
        <is>
          <t>SFSHAS-75403472</t>
        </is>
      </c>
      <c r="F1599" s="156" t="inlineStr">
        <is>
          <t>7 1/4</t>
        </is>
      </c>
      <c r="G1599" s="156" t="inlineStr">
        <is>
          <t>7 1/4</t>
        </is>
      </c>
      <c r="H1599" s="156" t="inlineStr">
        <is>
          <t>Stetson</t>
        </is>
      </c>
      <c r="I1599" s="156" t="inlineStr">
        <is>
          <t>Texana Stetson Shasta Gris Niebla</t>
        </is>
      </c>
      <c r="J1599" s="156" t="inlineStr">
        <is>
          <t>Accesorios</t>
        </is>
      </c>
      <c r="K1599" s="156" t="inlineStr">
        <is>
          <t>Sombreros</t>
        </is>
      </c>
      <c r="L1599" s="156" t="inlineStr">
        <is>
          <t>Unisex</t>
        </is>
      </c>
      <c r="M1599" s="156" t="inlineStr">
        <is>
          <t>Stetson</t>
        </is>
      </c>
      <c r="N1599" s="156" t="inlineStr">
        <is>
          <t>SS26</t>
        </is>
      </c>
      <c r="O1599" s="156" t="inlineStr">
        <is>
          <t>Seasonal</t>
        </is>
      </c>
      <c r="P1599" s="156" t="inlineStr">
        <is>
          <t>Gris</t>
        </is>
      </c>
      <c r="Q1599" s="156" t="n"/>
      <c r="R1599" s="156" t="inlineStr">
        <is>
          <t>Copa Cattleman</t>
        </is>
      </c>
      <c r="S1599" s="156" t="inlineStr">
        <is>
          <t>100% Fieltro de lana</t>
        </is>
      </c>
      <c r="T159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9" s="156" t="inlineStr">
        <is>
          <t>Estados Unidos</t>
        </is>
      </c>
      <c r="V1599" s="156" t="inlineStr">
        <is>
          <t>PZS</t>
        </is>
      </c>
      <c r="W1599" s="51" t="inlineStr">
        <is>
          <t>53102503</t>
        </is>
      </c>
      <c r="X1599" s="156" t="inlineStr">
        <is>
          <t>https://cdn.shopify.com/s/files/1/0888/3250/8267/files/SFSHAS-7540-07-67_9_9c8ff1f9-457a-4f6f-ab74-3abf9f3df4af.png?v=1760378716</t>
        </is>
      </c>
      <c r="Y1599" s="54" t="n">
        <v>4331.25</v>
      </c>
      <c r="Z1599" s="54" t="n">
        <v>10344.82759</v>
      </c>
      <c r="AA1599" s="55">
        <f>IF(AND(A1599="", B1599="", E1599=""), "", IF(AB1599="", "Válido", IF((LEN(AB1599)-LEN(SUBSTITUTE(AB1599,"; ","")))/2+1&gt;(LEN(AB1599)-LEN(SUBSTITUTE(AB1599,"[Aviso]","")))/7, "Con Incidencias", "Válido")))</f>
        <v/>
      </c>
      <c r="AB1599" s="56">
        <f>IF(AND(A1599="", B1599="", E1599=""), "", TEXTJOIN("; ", TRUE, IF(OR(TRIM(A1599&amp;"")="", ISNUMBER(SEARCH("FALTA", A1599))), "UPC faltante/inválido", ""), IF(AND(A1599&lt;&gt;"", IFERROR(_xlfn.XMATCH(A1599,$A$2:$A$2509,0,1)&lt;&gt;_xlfn.XMATCH(A1599,$A$2:$A$2509,0,-1),FALSE)), "Código de barras duplicado", ""), IF(AND(E1599&lt;&gt;"", COUNTIF($E$2:$E$2509, E1599)&gt;1), "SKU duplicado", ""), IF(OR(J1599="", J1599=""), "[Aviso] División no capturada ()", IF(ISNA(MATCH(J1599, Criterios!$A$123:$A$126, 0)), "División no válida", "")), IF(OR(K1599="", K1599=""), "[Aviso] Categoría no capturada ()", IF(ISNA(MATCH(K1599, Criterios!$A$81:$A$120, 0)), "Categoría no válida", IF(AND(J1599&lt;&gt;"", J1599&lt;&gt;"", J1599&lt;&gt;VLOOKUP(K1599, Criterios!$A$81:$B$120, 2, FALSE)), "División no coincide con Categoría", ""))), IF(OR(L1599="", L1599=""), "[Aviso] Género no capturado ()", IF(ISNA(MATCH(L1599, Criterios!$B$123:$B$127, 0)), "Género no válido", "")), IF(OR(N1599="", N1599=""), "[Aviso] Temporada no capturada ()", IF(ISNA(MATCH(N1599, Criterios!$C$123:$C$128, 0)), "Temporada no válida", "")), IF(OR(O1599="", O1599=""), "[Aviso] Ciclo de vida no capturado ()", IF(ISNA(MATCH(O1599, Criterios!$D$123:$D$124, 0)), "Ciclo de vida no válido", ""))))</f>
        <v/>
      </c>
      <c r="AC1599" s="56" t="n"/>
      <c r="AD1599" s="51" t="n">
        <v>-1</v>
      </c>
      <c r="AE1599" s="156" t="n"/>
      <c r="AF1599" s="51" t="n">
        <v>0</v>
      </c>
      <c r="AG1599" s="156" t="inlineStr">
        <is>
          <t>Catálogo existente</t>
        </is>
      </c>
      <c r="AH1599" s="156" t="inlineStr">
        <is>
          <t>Stock negativo en sistema: revisar en conteo | Revisión 29/09/2026: Cruce de catálogo y criterios sin pendientes detectados | 01/10/2026: complementado desde Shopify Stetson México (match por código de barras): WB Fit, WB Silueta</t>
        </is>
      </c>
      <c r="AI1599" s="156" t="inlineStr">
        <is>
          <t>Sí</t>
        </is>
      </c>
      <c r="AJ1599" s="156" t="inlineStr">
        <is>
          <t>STETSON AMERICAS (-1)</t>
        </is>
      </c>
      <c r="AK1599" s="155" t="inlineStr">
        <is>
          <t>Criterios: I [Q] | Shopify Stetson: producto 14791364510059 / variante 53350603751787 | Odoo: producto 14256 / plantilla 17833</t>
        </is>
      </c>
      <c r="AL1599" s="58" t="n">
        <v>4331.25</v>
      </c>
      <c r="AM1599" s="58" t="n">
        <v>10344.82759</v>
      </c>
      <c r="AN1599" s="155" t="inlineStr">
        <is>
          <t>Shopify Stetson México | Odoo Universal Unique Brands</t>
        </is>
      </c>
      <c r="AO1599" s="59" t="n">
        <v>0</v>
      </c>
      <c r="AP1599" s="59" t="n"/>
      <c r="AQ1599" s="59" t="n">
        <v>1</v>
      </c>
      <c r="AR1599" s="155" t="inlineStr">
        <is>
          <t>Odoo Universal Unique Brands › Bodega 25 › Bodega 25/General: 1</t>
        </is>
      </c>
    </row>
    <row r="1600">
      <c r="A1600" s="50" t="inlineStr">
        <is>
          <t>883383063387</t>
        </is>
      </c>
      <c r="B1600" s="51" t="inlineStr">
        <is>
          <t>110079</t>
        </is>
      </c>
      <c r="C1600" s="156" t="inlineStr">
        <is>
          <t>Multimarca</t>
        </is>
      </c>
      <c r="D1600" s="156" t="inlineStr">
        <is>
          <t>SFSHAS-754034</t>
        </is>
      </c>
      <c r="E1600" s="156" t="inlineStr">
        <is>
          <t>SFSHAS-75403473</t>
        </is>
      </c>
      <c r="F1600" s="156" t="inlineStr">
        <is>
          <t>7 3/8</t>
        </is>
      </c>
      <c r="G1600" s="156" t="inlineStr">
        <is>
          <t>7 3/8</t>
        </is>
      </c>
      <c r="H1600" s="156" t="inlineStr">
        <is>
          <t>Stetson</t>
        </is>
      </c>
      <c r="I1600" s="156" t="inlineStr">
        <is>
          <t>Texana Stetson Shasta Gris Niebla</t>
        </is>
      </c>
      <c r="J1600" s="156" t="inlineStr">
        <is>
          <t>Accesorios</t>
        </is>
      </c>
      <c r="K1600" s="156" t="inlineStr">
        <is>
          <t>Sombreros</t>
        </is>
      </c>
      <c r="L1600" s="156" t="inlineStr">
        <is>
          <t>Unisex</t>
        </is>
      </c>
      <c r="M1600" s="156" t="inlineStr">
        <is>
          <t>Stetson</t>
        </is>
      </c>
      <c r="N1600" s="156" t="inlineStr">
        <is>
          <t>SS26</t>
        </is>
      </c>
      <c r="O1600" s="156" t="inlineStr">
        <is>
          <t>Seasonal</t>
        </is>
      </c>
      <c r="P1600" s="156" t="inlineStr">
        <is>
          <t>Gris</t>
        </is>
      </c>
      <c r="Q1600" s="156" t="n"/>
      <c r="R1600" s="156" t="inlineStr">
        <is>
          <t>Copa Cattleman</t>
        </is>
      </c>
      <c r="S1600" s="156" t="inlineStr">
        <is>
          <t>100% Fieltro de lana</t>
        </is>
      </c>
      <c r="T160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600" s="156" t="inlineStr">
        <is>
          <t>Estados Unidos</t>
        </is>
      </c>
      <c r="V1600" s="156" t="inlineStr">
        <is>
          <t>PZS</t>
        </is>
      </c>
      <c r="W1600" s="51" t="inlineStr">
        <is>
          <t>53102503</t>
        </is>
      </c>
      <c r="X1600" s="156" t="inlineStr">
        <is>
          <t>https://cdn.shopify.com/s/files/1/0888/3250/8267/files/SFSHAS-7540-07-67_3_05ffc9cc-dbd9-4253-a576-87fdbb79a140.png?v=1760378716</t>
        </is>
      </c>
      <c r="Y1600" s="54" t="n">
        <v>4331.25</v>
      </c>
      <c r="Z1600" s="54" t="n">
        <v>10344.82759</v>
      </c>
      <c r="AA1600" s="55">
        <f>IF(AND(A1600="", B1600="", E1600=""), "", IF(AB1600="", "Válido", IF((LEN(AB1600)-LEN(SUBSTITUTE(AB1600,"; ","")))/2+1&gt;(LEN(AB1600)-LEN(SUBSTITUTE(AB1600,"[Aviso]","")))/7, "Con Incidencias", "Válido")))</f>
        <v/>
      </c>
      <c r="AB1600" s="56">
        <f>IF(AND(A1600="", B1600="", E1600=""), "", TEXTJOIN("; ", TRUE, IF(OR(TRIM(A1600&amp;"")="", ISNUMBER(SEARCH("FALTA", A1600))), "UPC faltante/inválido", ""), IF(AND(A1600&lt;&gt;"", IFERROR(_xlfn.XMATCH(A1600,$A$2:$A$2509,0,1)&lt;&gt;_xlfn.XMATCH(A1600,$A$2:$A$2509,0,-1),FALSE)), "Código de barras duplicado", ""), IF(AND(E1600&lt;&gt;"", COUNTIF($E$2:$E$2509, E1600)&gt;1), "SKU duplicado", ""), IF(OR(J1600="", J1600=""), "[Aviso] División no capturada ()", IF(ISNA(MATCH(J1600, Criterios!$A$123:$A$126, 0)), "División no válida", "")), IF(OR(K1600="", K1600=""), "[Aviso] Categoría no capturada ()", IF(ISNA(MATCH(K1600, Criterios!$A$81:$A$120, 0)), "Categoría no válida", IF(AND(J1600&lt;&gt;"", J1600&lt;&gt;"", J1600&lt;&gt;VLOOKUP(K1600, Criterios!$A$81:$B$120, 2, FALSE)), "División no coincide con Categoría", ""))), IF(OR(L1600="", L1600=""), "[Aviso] Género no capturado ()", IF(ISNA(MATCH(L1600, Criterios!$B$123:$B$127, 0)), "Género no válido", "")), IF(OR(N1600="", N1600=""), "[Aviso] Temporada no capturada ()", IF(ISNA(MATCH(N1600, Criterios!$C$123:$C$128, 0)), "Temporada no válida", "")), IF(OR(O1600="", O1600=""), "[Aviso] Ciclo de vida no capturado ()", IF(ISNA(MATCH(O1600, Criterios!$D$123:$D$124, 0)), "Ciclo de vida no válido", ""))))</f>
        <v/>
      </c>
      <c r="AC1600" s="56" t="n"/>
      <c r="AD1600" s="51" t="n">
        <v>0</v>
      </c>
      <c r="AE1600" s="156" t="inlineStr">
        <is>
          <t>B25 STETSON.MX (1)</t>
        </is>
      </c>
      <c r="AF1600" s="51" t="n">
        <v>1</v>
      </c>
      <c r="AG1600" s="156" t="inlineStr">
        <is>
          <t>Catálogo existente</t>
        </is>
      </c>
      <c r="AH1600" s="156" t="inlineStr">
        <is>
          <t>Revisión 29/09/2026: Cruce de catálogo y criterios sin pendientes detectados | 01/10/2026: complementado desde Shopify Stetson México (match por código de barras): WB Fit, WB Silueta</t>
        </is>
      </c>
      <c r="AI1600" s="156" t="inlineStr">
        <is>
          <t>Sí</t>
        </is>
      </c>
      <c r="AJ1600" s="156" t="inlineStr">
        <is>
          <t>STETSON AMERICAS (-1)</t>
        </is>
      </c>
      <c r="AK1600" s="155" t="inlineStr">
        <is>
          <t>Criterios: I [Q] | Shopify Stetson: producto 14791364510059 / variante 53350603784555 | Odoo: producto 14257 / plantilla 17834</t>
        </is>
      </c>
      <c r="AL1600" s="58" t="n">
        <v>4331.25</v>
      </c>
      <c r="AM1600" s="58" t="n">
        <v>10344.82759</v>
      </c>
      <c r="AN1600" s="155" t="inlineStr">
        <is>
          <t>Shopify Stetson México | Odoo Universal Unique Brands</t>
        </is>
      </c>
      <c r="AO1600" s="59" t="n">
        <v>1</v>
      </c>
      <c r="AP1600" s="59" t="n"/>
      <c r="AQ1600" s="59" t="n">
        <v>2</v>
      </c>
      <c r="AR1600" s="155" t="inlineStr">
        <is>
          <t>Shopify Stetson México › Stetson México: 1 | Odoo Universal Unique Brands › Bodega 25 › Bodega 25/General: 2</t>
        </is>
      </c>
    </row>
    <row r="1601">
      <c r="A1601" s="50" t="inlineStr">
        <is>
          <t>883383074550</t>
        </is>
      </c>
      <c r="B1601" s="51" t="inlineStr">
        <is>
          <t>110122</t>
        </is>
      </c>
      <c r="C1601" s="156" t="inlineStr">
        <is>
          <t>Multimarca</t>
        </is>
      </c>
      <c r="D1601" s="156" t="inlineStr">
        <is>
          <t>SFSKYL-7540E5</t>
        </is>
      </c>
      <c r="E1601" s="156" t="inlineStr">
        <is>
          <t>SFSKYL-7540E567</t>
        </is>
      </c>
      <c r="F1601" s="156" t="inlineStr">
        <is>
          <t>6 7/8</t>
        </is>
      </c>
      <c r="G1601" s="156" t="inlineStr">
        <is>
          <t>6 7/8</t>
        </is>
      </c>
      <c r="H1601" s="156" t="inlineStr">
        <is>
          <t>Stetson</t>
        </is>
      </c>
      <c r="I1601" s="156" t="inlineStr">
        <is>
          <t>Sombrero Stetson Skyline 6X Cowboy</t>
        </is>
      </c>
      <c r="J1601" s="156" t="inlineStr">
        <is>
          <t>Accesorios</t>
        </is>
      </c>
      <c r="K1601" s="156" t="inlineStr">
        <is>
          <t>Sombreros</t>
        </is>
      </c>
      <c r="L1601" s="156" t="inlineStr">
        <is>
          <t>Unisex</t>
        </is>
      </c>
      <c r="M1601" s="156" t="inlineStr">
        <is>
          <t>Stetson</t>
        </is>
      </c>
      <c r="N1601" s="156" t="inlineStr">
        <is>
          <t>SS26</t>
        </is>
      </c>
      <c r="O1601" s="156" t="inlineStr">
        <is>
          <t>Seasonal</t>
        </is>
      </c>
      <c r="P1601" s="156" t="inlineStr">
        <is>
          <t>Beige</t>
        </is>
      </c>
      <c r="Q1601" s="156" t="n"/>
      <c r="R1601" s="156" t="inlineStr">
        <is>
          <t>Copa Cattleman</t>
        </is>
      </c>
      <c r="S1601" s="156" t="inlineStr">
        <is>
          <t>100% Paja</t>
        </is>
      </c>
      <c r="T160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1" s="156" t="inlineStr">
        <is>
          <t>Estados Unidos</t>
        </is>
      </c>
      <c r="V1601" s="156" t="inlineStr">
        <is>
          <t>PZS</t>
        </is>
      </c>
      <c r="W1601" s="51" t="inlineStr">
        <is>
          <t>53102503</t>
        </is>
      </c>
      <c r="X1601" s="156" t="inlineStr">
        <is>
          <t>https://cdn.shopify.com/s/files/1/0888/3250/8267/files/SFSKYL-724061-05_87b532f3-804b-448b-a5c6-8ed1415ebe03.jpg?v=1789407550</t>
        </is>
      </c>
      <c r="Y1601" s="54" t="n">
        <v>2756.25</v>
      </c>
      <c r="Z1601" s="54" t="n">
        <v>6724.137931</v>
      </c>
      <c r="AA1601" s="55">
        <f>IF(AND(A1601="", B1601="", E1601=""), "", IF(AB1601="", "Válido", IF((LEN(AB1601)-LEN(SUBSTITUTE(AB1601,"; ","")))/2+1&gt;(LEN(AB1601)-LEN(SUBSTITUTE(AB1601,"[Aviso]","")))/7, "Con Incidencias", "Válido")))</f>
        <v/>
      </c>
      <c r="AB1601" s="56">
        <f>IF(AND(A1601="", B1601="", E1601=""), "", TEXTJOIN("; ", TRUE, IF(OR(TRIM(A1601&amp;"")="", ISNUMBER(SEARCH("FALTA", A1601))), "UPC faltante/inválido", ""), IF(AND(A1601&lt;&gt;"", IFERROR(_xlfn.XMATCH(A1601,$A$2:$A$2509,0,1)&lt;&gt;_xlfn.XMATCH(A1601,$A$2:$A$2509,0,-1),FALSE)), "Código de barras duplicado", ""), IF(AND(E1601&lt;&gt;"", COUNTIF($E$2:$E$2509, E1601)&gt;1), "SKU duplicado", ""), IF(OR(J1601="", J1601=""), "[Aviso] División no capturada ()", IF(ISNA(MATCH(J1601, Criterios!$A$123:$A$126, 0)), "División no válida", "")), IF(OR(K1601="", K1601=""), "[Aviso] Categoría no capturada ()", IF(ISNA(MATCH(K1601, Criterios!$A$81:$A$120, 0)), "Categoría no válida", IF(AND(J1601&lt;&gt;"", J1601&lt;&gt;"", J1601&lt;&gt;VLOOKUP(K1601, Criterios!$A$81:$B$120, 2, FALSE)), "División no coincide con Categoría", ""))), IF(OR(L1601="", L1601=""), "[Aviso] Género no capturado ()", IF(ISNA(MATCH(L1601, Criterios!$B$123:$B$127, 0)), "Género no válido", "")), IF(OR(N1601="", N1601=""), "[Aviso] Temporada no capturada ()", IF(ISNA(MATCH(N1601, Criterios!$C$123:$C$128, 0)), "Temporada no válida", "")), IF(OR(O1601="", O1601=""), "[Aviso] Ciclo de vida no capturado ()", IF(ISNA(MATCH(O1601, Criterios!$D$123:$D$124, 0)), "Ciclo de vida no válido", ""))))</f>
        <v/>
      </c>
      <c r="AC1601" s="56" t="n"/>
      <c r="AD1601" s="51" t="n">
        <v>-1</v>
      </c>
      <c r="AE1601" s="156" t="n"/>
      <c r="AF1601" s="51" t="n">
        <v>0</v>
      </c>
      <c r="AG1601" s="156" t="inlineStr">
        <is>
          <t>Catálogo existente</t>
        </is>
      </c>
      <c r="AH16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01" s="156" t="inlineStr">
        <is>
          <t>Sí</t>
        </is>
      </c>
      <c r="AJ1601" s="156" t="inlineStr">
        <is>
          <t>STETSON AMERICAS (-1)</t>
        </is>
      </c>
      <c r="AK1601" s="155" t="inlineStr">
        <is>
          <t>Criterios: I [Q] | Shopify Stetson: producto 14786559836523 / variante 53350612500843</t>
        </is>
      </c>
      <c r="AL1601" s="58" t="n">
        <v>2756.25</v>
      </c>
      <c r="AM1601" s="58" t="n">
        <v>6724.137931</v>
      </c>
      <c r="AN1601" s="155" t="inlineStr">
        <is>
          <t>Shopify Stetson México</t>
        </is>
      </c>
      <c r="AO1601" s="59" t="n">
        <v>0</v>
      </c>
      <c r="AP1601" s="59" t="n"/>
      <c r="AQ1601" s="59" t="n"/>
      <c r="AR1601" s="155" t="n"/>
    </row>
    <row r="1602">
      <c r="A1602" s="50" t="inlineStr">
        <is>
          <t>883383074567</t>
        </is>
      </c>
      <c r="B1602" s="51" t="inlineStr">
        <is>
          <t>110123</t>
        </is>
      </c>
      <c r="C1602" s="156" t="inlineStr">
        <is>
          <t>Multimarca</t>
        </is>
      </c>
      <c r="D1602" s="156" t="inlineStr">
        <is>
          <t>SFSKYL-7540E5</t>
        </is>
      </c>
      <c r="E1602" s="156" t="inlineStr">
        <is>
          <t>SFSKYL-7540E570</t>
        </is>
      </c>
      <c r="F1602" s="156" t="inlineStr">
        <is>
          <t>7</t>
        </is>
      </c>
      <c r="G1602" s="156" t="inlineStr">
        <is>
          <t>7</t>
        </is>
      </c>
      <c r="H1602" s="156" t="inlineStr">
        <is>
          <t>Stetson</t>
        </is>
      </c>
      <c r="I1602" s="156" t="inlineStr">
        <is>
          <t>Sombrero Stetson Skyline 6X Cowboy</t>
        </is>
      </c>
      <c r="J1602" s="156" t="inlineStr">
        <is>
          <t>Accesorios</t>
        </is>
      </c>
      <c r="K1602" s="156" t="inlineStr">
        <is>
          <t>Sombreros</t>
        </is>
      </c>
      <c r="L1602" s="156" t="inlineStr">
        <is>
          <t>Unisex</t>
        </is>
      </c>
      <c r="M1602" s="156" t="inlineStr">
        <is>
          <t>Stetson</t>
        </is>
      </c>
      <c r="N1602" s="156" t="inlineStr">
        <is>
          <t>SS26</t>
        </is>
      </c>
      <c r="O1602" s="156" t="inlineStr">
        <is>
          <t>Seasonal</t>
        </is>
      </c>
      <c r="P1602" s="156" t="inlineStr">
        <is>
          <t>Beige</t>
        </is>
      </c>
      <c r="Q1602" s="156" t="n"/>
      <c r="R1602" s="156" t="inlineStr">
        <is>
          <t>Copa Cattleman</t>
        </is>
      </c>
      <c r="S1602" s="156" t="inlineStr">
        <is>
          <t>100% Paja</t>
        </is>
      </c>
      <c r="T160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2" s="156" t="inlineStr">
        <is>
          <t>Estados Unidos</t>
        </is>
      </c>
      <c r="V1602" s="156" t="inlineStr">
        <is>
          <t>PZS</t>
        </is>
      </c>
      <c r="W1602" s="51" t="inlineStr">
        <is>
          <t>53102503</t>
        </is>
      </c>
      <c r="X1602" s="156" t="inlineStr">
        <is>
          <t>https://cdn.shopify.com/s/files/1/0888/3250/8267/files/SFSKYL-724061-06_e14e13f1-e245-4c20-8a13-7cf76228575f.jpg?v=1789407552</t>
        </is>
      </c>
      <c r="Y1602" s="54" t="n">
        <v>2756.25</v>
      </c>
      <c r="Z1602" s="54" t="n">
        <v>6724.137931</v>
      </c>
      <c r="AA1602" s="55">
        <f>IF(AND(A1602="", B1602="", E1602=""), "", IF(AB1602="", "Válido", IF((LEN(AB1602)-LEN(SUBSTITUTE(AB1602,"; ","")))/2+1&gt;(LEN(AB1602)-LEN(SUBSTITUTE(AB1602,"[Aviso]","")))/7, "Con Incidencias", "Válido")))</f>
        <v/>
      </c>
      <c r="AB1602" s="56">
        <f>IF(AND(A1602="", B1602="", E1602=""), "", TEXTJOIN("; ", TRUE, IF(OR(TRIM(A1602&amp;"")="", ISNUMBER(SEARCH("FALTA", A1602))), "UPC faltante/inválido", ""), IF(AND(A1602&lt;&gt;"", IFERROR(_xlfn.XMATCH(A1602,$A$2:$A$2509,0,1)&lt;&gt;_xlfn.XMATCH(A1602,$A$2:$A$2509,0,-1),FALSE)), "Código de barras duplicado", ""), IF(AND(E1602&lt;&gt;"", COUNTIF($E$2:$E$2509, E1602)&gt;1), "SKU duplicado", ""), IF(OR(J1602="", J1602=""), "[Aviso] División no capturada ()", IF(ISNA(MATCH(J1602, Criterios!$A$123:$A$126, 0)), "División no válida", "")), IF(OR(K1602="", K1602=""), "[Aviso] Categoría no capturada ()", IF(ISNA(MATCH(K1602, Criterios!$A$81:$A$120, 0)), "Categoría no válida", IF(AND(J1602&lt;&gt;"", J1602&lt;&gt;"", J1602&lt;&gt;VLOOKUP(K1602, Criterios!$A$81:$B$120, 2, FALSE)), "División no coincide con Categoría", ""))), IF(OR(L1602="", L1602=""), "[Aviso] Género no capturado ()", IF(ISNA(MATCH(L1602, Criterios!$B$123:$B$127, 0)), "Género no válido", "")), IF(OR(N1602="", N1602=""), "[Aviso] Temporada no capturada ()", IF(ISNA(MATCH(N1602, Criterios!$C$123:$C$128, 0)), "Temporada no válida", "")), IF(OR(O1602="", O1602=""), "[Aviso] Ciclo de vida no capturado ()", IF(ISNA(MATCH(O1602, Criterios!$D$123:$D$124, 0)), "Ciclo de vida no válido", ""))))</f>
        <v/>
      </c>
      <c r="AC1602" s="56" t="n"/>
      <c r="AD1602" s="51" t="n">
        <v>0</v>
      </c>
      <c r="AE1602" s="156" t="n"/>
      <c r="AF1602" s="51" t="n">
        <v>0</v>
      </c>
      <c r="AG1602" s="156" t="inlineStr">
        <is>
          <t>Catálogo existente</t>
        </is>
      </c>
      <c r="AH160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02" s="156" t="inlineStr">
        <is>
          <t>No</t>
        </is>
      </c>
      <c r="AJ1602" s="156" t="n"/>
      <c r="AK1602" s="155" t="inlineStr">
        <is>
          <t>Criterios: I [Q] | Shopify Stetson: producto 14786559836523 / variante 53350612533611</t>
        </is>
      </c>
      <c r="AL1602" s="58" t="n">
        <v>2756.25</v>
      </c>
      <c r="AM1602" s="58" t="n">
        <v>6724.137931</v>
      </c>
      <c r="AN1602" s="155" t="inlineStr">
        <is>
          <t>Shopify Stetson México</t>
        </is>
      </c>
      <c r="AO1602" s="59" t="n">
        <v>1</v>
      </c>
      <c r="AP1602" s="59" t="n"/>
      <c r="AQ1602" s="59" t="n"/>
      <c r="AR1602" s="155" t="inlineStr">
        <is>
          <t>Shopify Stetson México › Stetson Americas: 1</t>
        </is>
      </c>
    </row>
    <row r="1603">
      <c r="A1603" s="50" t="inlineStr">
        <is>
          <t>883383074574</t>
        </is>
      </c>
      <c r="B1603" s="51" t="inlineStr">
        <is>
          <t>110124</t>
        </is>
      </c>
      <c r="C1603" s="156" t="inlineStr">
        <is>
          <t>Multimarca</t>
        </is>
      </c>
      <c r="D1603" s="156" t="inlineStr">
        <is>
          <t>SFSKYL-7540E5</t>
        </is>
      </c>
      <c r="E1603" s="156" t="inlineStr">
        <is>
          <t>SFSKYL-7540E571</t>
        </is>
      </c>
      <c r="F1603" s="156" t="inlineStr">
        <is>
          <t>7 1/8</t>
        </is>
      </c>
      <c r="G1603" s="156" t="inlineStr">
        <is>
          <t>7 1/8</t>
        </is>
      </c>
      <c r="H1603" s="156" t="inlineStr">
        <is>
          <t>Stetson</t>
        </is>
      </c>
      <c r="I1603" s="156" t="inlineStr">
        <is>
          <t>Sombrero Stetson Skyline 6X Cowboy</t>
        </is>
      </c>
      <c r="J1603" s="156" t="inlineStr">
        <is>
          <t>Accesorios</t>
        </is>
      </c>
      <c r="K1603" s="156" t="inlineStr">
        <is>
          <t>Sombreros</t>
        </is>
      </c>
      <c r="L1603" s="156" t="inlineStr">
        <is>
          <t>Unisex</t>
        </is>
      </c>
      <c r="M1603" s="156" t="inlineStr">
        <is>
          <t>Stetson</t>
        </is>
      </c>
      <c r="N1603" s="156" t="inlineStr">
        <is>
          <t>SS26</t>
        </is>
      </c>
      <c r="O1603" s="156" t="inlineStr">
        <is>
          <t>Seasonal</t>
        </is>
      </c>
      <c r="P1603" s="156" t="inlineStr">
        <is>
          <t>Beige</t>
        </is>
      </c>
      <c r="Q1603" s="156" t="n"/>
      <c r="R1603" s="156" t="inlineStr">
        <is>
          <t>Copa Cattleman</t>
        </is>
      </c>
      <c r="S1603" s="156" t="inlineStr">
        <is>
          <t>100% Paja</t>
        </is>
      </c>
      <c r="T160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3" s="156" t="inlineStr">
        <is>
          <t>Estados Unidos</t>
        </is>
      </c>
      <c r="V1603" s="156" t="inlineStr">
        <is>
          <t>PZS</t>
        </is>
      </c>
      <c r="W1603" s="51" t="inlineStr">
        <is>
          <t>53102503</t>
        </is>
      </c>
      <c r="X1603" s="156" t="inlineStr">
        <is>
          <t>https://cdn.shopify.com/s/files/1/0888/3250/8267/files/SFSKYL-7540-E5-64_1.png?v=1759518014</t>
        </is>
      </c>
      <c r="Y1603" s="54" t="n">
        <v>2756.25</v>
      </c>
      <c r="Z1603" s="54" t="n">
        <v>6724.137931</v>
      </c>
      <c r="AA1603" s="55">
        <f>IF(AND(A1603="", B1603="", E1603=""), "", IF(AB1603="", "Válido", IF((LEN(AB1603)-LEN(SUBSTITUTE(AB1603,"; ","")))/2+1&gt;(LEN(AB1603)-LEN(SUBSTITUTE(AB1603,"[Aviso]","")))/7, "Con Incidencias", "Válido")))</f>
        <v/>
      </c>
      <c r="AB1603" s="56">
        <f>IF(AND(A1603="", B1603="", E1603=""), "", TEXTJOIN("; ", TRUE, IF(OR(TRIM(A1603&amp;"")="", ISNUMBER(SEARCH("FALTA", A1603))), "UPC faltante/inválido", ""), IF(AND(A1603&lt;&gt;"", IFERROR(_xlfn.XMATCH(A1603,$A$2:$A$2509,0,1)&lt;&gt;_xlfn.XMATCH(A1603,$A$2:$A$2509,0,-1),FALSE)), "Código de barras duplicado", ""), IF(AND(E1603&lt;&gt;"", COUNTIF($E$2:$E$2509, E1603)&gt;1), "SKU duplicado", ""), IF(OR(J1603="", J1603=""), "[Aviso] División no capturada ()", IF(ISNA(MATCH(J1603, Criterios!$A$123:$A$126, 0)), "División no válida", "")), IF(OR(K1603="", K1603=""), "[Aviso] Categoría no capturada ()", IF(ISNA(MATCH(K1603, Criterios!$A$81:$A$120, 0)), "Categoría no válida", IF(AND(J1603&lt;&gt;"", J1603&lt;&gt;"", J1603&lt;&gt;VLOOKUP(K1603, Criterios!$A$81:$B$120, 2, FALSE)), "División no coincide con Categoría", ""))), IF(OR(L1603="", L1603=""), "[Aviso] Género no capturado ()", IF(ISNA(MATCH(L1603, Criterios!$B$123:$B$127, 0)), "Género no válido", "")), IF(OR(N1603="", N1603=""), "[Aviso] Temporada no capturada ()", IF(ISNA(MATCH(N1603, Criterios!$C$123:$C$128, 0)), "Temporada no válida", "")), IF(OR(O1603="", O1603=""), "[Aviso] Ciclo de vida no capturado ()", IF(ISNA(MATCH(O1603, Criterios!$D$123:$D$124, 0)), "Ciclo de vida no válido", ""))))</f>
        <v/>
      </c>
      <c r="AC1603" s="56" t="n"/>
      <c r="AD1603" s="51" t="n">
        <v>0</v>
      </c>
      <c r="AE1603" s="156" t="inlineStr">
        <is>
          <t>B25 STETSON.MX (1); PUNTO DE VENTA (1)</t>
        </is>
      </c>
      <c r="AF1603" s="51" t="n">
        <v>2</v>
      </c>
      <c r="AG1603" s="156" t="inlineStr">
        <is>
          <t>Catálogo existente</t>
        </is>
      </c>
      <c r="AH1603"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3" s="156" t="inlineStr">
        <is>
          <t>Sí</t>
        </is>
      </c>
      <c r="AJ1603" s="156" t="inlineStr">
        <is>
          <t>STETSON AMERICAS (-2)</t>
        </is>
      </c>
      <c r="AK1603" s="155" t="inlineStr">
        <is>
          <t>Criterios: I [Q] | Shopify Stetson: producto 14786559836523 / variante 53350612566379</t>
        </is>
      </c>
      <c r="AL1603" s="58" t="n">
        <v>2756.25</v>
      </c>
      <c r="AM1603" s="58" t="n">
        <v>6724.137931</v>
      </c>
      <c r="AN1603" s="155" t="inlineStr">
        <is>
          <t>Shopify Stetson México</t>
        </is>
      </c>
      <c r="AO1603" s="59" t="n">
        <v>4</v>
      </c>
      <c r="AP1603" s="59" t="n"/>
      <c r="AQ1603" s="59" t="n"/>
      <c r="AR1603" s="155" t="inlineStr">
        <is>
          <t>Shopify Stetson México › Stetson México: 1 | Shopify Stetson México › Stetson Americas: 1 | Shopify Stetson México › Eventos: 2</t>
        </is>
      </c>
    </row>
    <row r="1604">
      <c r="A1604" s="50" t="inlineStr">
        <is>
          <t>883383074581</t>
        </is>
      </c>
      <c r="B1604" s="51" t="inlineStr">
        <is>
          <t>110125</t>
        </is>
      </c>
      <c r="C1604" s="156" t="inlineStr">
        <is>
          <t>Multimarca</t>
        </is>
      </c>
      <c r="D1604" s="156" t="inlineStr">
        <is>
          <t>SFSKYL-7540E5</t>
        </is>
      </c>
      <c r="E1604" s="156" t="inlineStr">
        <is>
          <t>SFSKYL-7540E572</t>
        </is>
      </c>
      <c r="F1604" s="156" t="inlineStr">
        <is>
          <t>7 1/4</t>
        </is>
      </c>
      <c r="G1604" s="156" t="inlineStr">
        <is>
          <t>7 1/4</t>
        </is>
      </c>
      <c r="H1604" s="156" t="inlineStr">
        <is>
          <t>Stetson</t>
        </is>
      </c>
      <c r="I1604" s="156" t="inlineStr">
        <is>
          <t>Sombrero Stetson Skyline 6X Cowboy</t>
        </is>
      </c>
      <c r="J1604" s="156" t="inlineStr">
        <is>
          <t>Accesorios</t>
        </is>
      </c>
      <c r="K1604" s="156" t="inlineStr">
        <is>
          <t>Sombreros</t>
        </is>
      </c>
      <c r="L1604" s="156" t="inlineStr">
        <is>
          <t>Unisex</t>
        </is>
      </c>
      <c r="M1604" s="156" t="inlineStr">
        <is>
          <t>Stetson</t>
        </is>
      </c>
      <c r="N1604" s="156" t="inlineStr">
        <is>
          <t>SS26</t>
        </is>
      </c>
      <c r="O1604" s="156" t="inlineStr">
        <is>
          <t>Seasonal</t>
        </is>
      </c>
      <c r="P1604" s="156" t="inlineStr">
        <is>
          <t>Beige</t>
        </is>
      </c>
      <c r="Q1604" s="156" t="n"/>
      <c r="R1604" s="156" t="inlineStr">
        <is>
          <t>Copa Cattleman</t>
        </is>
      </c>
      <c r="S1604" s="156" t="inlineStr">
        <is>
          <t>100% Paja</t>
        </is>
      </c>
      <c r="T160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4" s="156" t="inlineStr">
        <is>
          <t>Estados Unidos</t>
        </is>
      </c>
      <c r="V1604" s="156" t="inlineStr">
        <is>
          <t>PZS</t>
        </is>
      </c>
      <c r="W1604" s="51" t="inlineStr">
        <is>
          <t>53102503</t>
        </is>
      </c>
      <c r="X1604" s="156" t="inlineStr">
        <is>
          <t>https://cdn.shopify.com/s/files/1/0888/3250/8267/files/SFSKYL-7540-E5-64_1.png?v=1759518014</t>
        </is>
      </c>
      <c r="Y1604" s="54" t="n">
        <v>2756.25</v>
      </c>
      <c r="Z1604" s="54" t="n">
        <v>6724.137931</v>
      </c>
      <c r="AA1604" s="55">
        <f>IF(AND(A1604="", B1604="", E1604=""), "", IF(AB1604="", "Válido", IF((LEN(AB1604)-LEN(SUBSTITUTE(AB1604,"; ","")))/2+1&gt;(LEN(AB1604)-LEN(SUBSTITUTE(AB1604,"[Aviso]","")))/7, "Con Incidencias", "Válido")))</f>
        <v/>
      </c>
      <c r="AB1604" s="56">
        <f>IF(AND(A1604="", B1604="", E1604=""), "", TEXTJOIN("; ", TRUE, IF(OR(TRIM(A1604&amp;"")="", ISNUMBER(SEARCH("FALTA", A1604))), "UPC faltante/inválido", ""), IF(AND(A1604&lt;&gt;"", IFERROR(_xlfn.XMATCH(A1604,$A$2:$A$2509,0,1)&lt;&gt;_xlfn.XMATCH(A1604,$A$2:$A$2509,0,-1),FALSE)), "Código de barras duplicado", ""), IF(AND(E1604&lt;&gt;"", COUNTIF($E$2:$E$2509, E1604)&gt;1), "SKU duplicado", ""), IF(OR(J1604="", J1604=""), "[Aviso] División no capturada ()", IF(ISNA(MATCH(J1604, Criterios!$A$123:$A$126, 0)), "División no válida", "")), IF(OR(K1604="", K1604=""), "[Aviso] Categoría no capturada ()", IF(ISNA(MATCH(K1604, Criterios!$A$81:$A$120, 0)), "Categoría no válida", IF(AND(J1604&lt;&gt;"", J1604&lt;&gt;"", J1604&lt;&gt;VLOOKUP(K1604, Criterios!$A$81:$B$120, 2, FALSE)), "División no coincide con Categoría", ""))), IF(OR(L1604="", L1604=""), "[Aviso] Género no capturado ()", IF(ISNA(MATCH(L1604, Criterios!$B$123:$B$127, 0)), "Género no válido", "")), IF(OR(N1604="", N1604=""), "[Aviso] Temporada no capturada ()", IF(ISNA(MATCH(N1604, Criterios!$C$123:$C$128, 0)), "Temporada no válida", "")), IF(OR(O1604="", O1604=""), "[Aviso] Ciclo de vida no capturado ()", IF(ISNA(MATCH(O1604, Criterios!$D$123:$D$124, 0)), "Ciclo de vida no válido", ""))))</f>
        <v/>
      </c>
      <c r="AC1604" s="56" t="n"/>
      <c r="AD1604" s="51" t="n">
        <v>-3</v>
      </c>
      <c r="AE1604" s="156" t="n"/>
      <c r="AF1604" s="51" t="n">
        <v>0</v>
      </c>
      <c r="AG1604" s="156" t="inlineStr">
        <is>
          <t>Catálogo existente</t>
        </is>
      </c>
      <c r="AH1604"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604" s="156" t="inlineStr">
        <is>
          <t>Sí</t>
        </is>
      </c>
      <c r="AJ1604" s="156" t="inlineStr">
        <is>
          <t>STETSON AMERICAS (-3)</t>
        </is>
      </c>
      <c r="AK1604" s="155" t="inlineStr">
        <is>
          <t>Criterios: I [Q] | Shopify Stetson: producto 14786559836523 / variante 53350612599147</t>
        </is>
      </c>
      <c r="AL1604" s="58" t="n">
        <v>2756.25</v>
      </c>
      <c r="AM1604" s="58" t="n">
        <v>6724.137931</v>
      </c>
      <c r="AN1604" s="155" t="inlineStr">
        <is>
          <t>Shopify Stetson México</t>
        </is>
      </c>
      <c r="AO1604" s="59" t="n">
        <v>0</v>
      </c>
      <c r="AP1604" s="59" t="n"/>
      <c r="AQ1604" s="59" t="n"/>
      <c r="AR1604" s="155" t="n"/>
    </row>
    <row r="1605">
      <c r="A1605" s="50" t="inlineStr">
        <is>
          <t>883383074598</t>
        </is>
      </c>
      <c r="B1605" s="51" t="inlineStr">
        <is>
          <t>110126</t>
        </is>
      </c>
      <c r="C1605" s="156" t="inlineStr">
        <is>
          <t>Multimarca</t>
        </is>
      </c>
      <c r="D1605" s="156" t="inlineStr">
        <is>
          <t>SFSKYL-7540E5</t>
        </is>
      </c>
      <c r="E1605" s="156" t="inlineStr">
        <is>
          <t>SFSKYL-7540E573</t>
        </is>
      </c>
      <c r="F1605" s="156" t="inlineStr">
        <is>
          <t>7 3/8</t>
        </is>
      </c>
      <c r="G1605" s="156" t="inlineStr">
        <is>
          <t>7 3/8</t>
        </is>
      </c>
      <c r="H1605" s="156" t="inlineStr">
        <is>
          <t>Stetson</t>
        </is>
      </c>
      <c r="I1605" s="156" t="inlineStr">
        <is>
          <t>Sombrero Stetson Skyline 6X Cowboy</t>
        </is>
      </c>
      <c r="J1605" s="156" t="inlineStr">
        <is>
          <t>Accesorios</t>
        </is>
      </c>
      <c r="K1605" s="156" t="inlineStr">
        <is>
          <t>Sombreros</t>
        </is>
      </c>
      <c r="L1605" s="156" t="inlineStr">
        <is>
          <t>Unisex</t>
        </is>
      </c>
      <c r="M1605" s="156" t="inlineStr">
        <is>
          <t>Stetson</t>
        </is>
      </c>
      <c r="N1605" s="156" t="inlineStr">
        <is>
          <t>SS26</t>
        </is>
      </c>
      <c r="O1605" s="156" t="inlineStr">
        <is>
          <t>Seasonal</t>
        </is>
      </c>
      <c r="P1605" s="156" t="inlineStr">
        <is>
          <t>Beige</t>
        </is>
      </c>
      <c r="Q1605" s="156" t="n"/>
      <c r="R1605" s="156" t="inlineStr">
        <is>
          <t>Copa Cattleman</t>
        </is>
      </c>
      <c r="S1605" s="156" t="inlineStr">
        <is>
          <t>100% Paja</t>
        </is>
      </c>
      <c r="T160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5" s="156" t="inlineStr">
        <is>
          <t>Estados Unidos</t>
        </is>
      </c>
      <c r="V1605" s="156" t="inlineStr">
        <is>
          <t>PZS</t>
        </is>
      </c>
      <c r="W1605" s="51" t="inlineStr">
        <is>
          <t>53102503</t>
        </is>
      </c>
      <c r="X1605" s="156" t="inlineStr">
        <is>
          <t>https://cdn.shopify.com/s/files/1/0888/3250/8267/files/SFSKYL-7540-E5-64_1.png?v=1759518014</t>
        </is>
      </c>
      <c r="Y1605" s="54" t="n">
        <v>2756.25</v>
      </c>
      <c r="Z1605" s="54" t="n">
        <v>6724.137931</v>
      </c>
      <c r="AA1605" s="55">
        <f>IF(AND(A1605="", B1605="", E1605=""), "", IF(AB1605="", "Válido", IF((LEN(AB1605)-LEN(SUBSTITUTE(AB1605,"; ","")))/2+1&gt;(LEN(AB1605)-LEN(SUBSTITUTE(AB1605,"[Aviso]","")))/7, "Con Incidencias", "Válido")))</f>
        <v/>
      </c>
      <c r="AB1605" s="56">
        <f>IF(AND(A1605="", B1605="", E1605=""), "", TEXTJOIN("; ", TRUE, IF(OR(TRIM(A1605&amp;"")="", ISNUMBER(SEARCH("FALTA", A1605))), "UPC faltante/inválido", ""), IF(AND(A1605&lt;&gt;"", IFERROR(_xlfn.XMATCH(A1605,$A$2:$A$2509,0,1)&lt;&gt;_xlfn.XMATCH(A1605,$A$2:$A$2509,0,-1),FALSE)), "Código de barras duplicado", ""), IF(AND(E1605&lt;&gt;"", COUNTIF($E$2:$E$2509, E1605)&gt;1), "SKU duplicado", ""), IF(OR(J1605="", J1605=""), "[Aviso] División no capturada ()", IF(ISNA(MATCH(J1605, Criterios!$A$123:$A$126, 0)), "División no válida", "")), IF(OR(K1605="", K1605=""), "[Aviso] Categoría no capturada ()", IF(ISNA(MATCH(K1605, Criterios!$A$81:$A$120, 0)), "Categoría no válida", IF(AND(J1605&lt;&gt;"", J1605&lt;&gt;"", J1605&lt;&gt;VLOOKUP(K1605, Criterios!$A$81:$B$120, 2, FALSE)), "División no coincide con Categoría", ""))), IF(OR(L1605="", L1605=""), "[Aviso] Género no capturado ()", IF(ISNA(MATCH(L1605, Criterios!$B$123:$B$127, 0)), "Género no válido", "")), IF(OR(N1605="", N1605=""), "[Aviso] Temporada no capturada ()", IF(ISNA(MATCH(N1605, Criterios!$C$123:$C$128, 0)), "Temporada no válida", "")), IF(OR(O1605="", O1605=""), "[Aviso] Ciclo de vida no capturado ()", IF(ISNA(MATCH(O1605, Criterios!$D$123:$D$124, 0)), "Ciclo de vida no válido", ""))))</f>
        <v/>
      </c>
      <c r="AC1605" s="56" t="n"/>
      <c r="AD1605" s="51" t="n">
        <v>-1</v>
      </c>
      <c r="AE1605" s="156" t="n"/>
      <c r="AF1605" s="51" t="n">
        <v>0</v>
      </c>
      <c r="AG1605" s="156" t="inlineStr">
        <is>
          <t>Catálogo existente</t>
        </is>
      </c>
      <c r="AH1605"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605" s="156" t="inlineStr">
        <is>
          <t>Sí</t>
        </is>
      </c>
      <c r="AJ1605" s="156" t="inlineStr">
        <is>
          <t>STETSON AMERICAS (-1)</t>
        </is>
      </c>
      <c r="AK1605" s="155" t="inlineStr">
        <is>
          <t>Criterios: I [Q] | Shopify Stetson: producto 14786559836523 / variante 53350612631915</t>
        </is>
      </c>
      <c r="AL1605" s="58" t="n">
        <v>2756.25</v>
      </c>
      <c r="AM1605" s="58" t="n">
        <v>6724.137931</v>
      </c>
      <c r="AN1605" s="155" t="inlineStr">
        <is>
          <t>Shopify Stetson México</t>
        </is>
      </c>
      <c r="AO1605" s="59" t="n">
        <v>1</v>
      </c>
      <c r="AP1605" s="59" t="n"/>
      <c r="AQ1605" s="59" t="n"/>
      <c r="AR1605" s="155" t="inlineStr">
        <is>
          <t>Shopify Stetson México › Stetson Americas: 1</t>
        </is>
      </c>
    </row>
    <row r="1606">
      <c r="A1606" s="50" t="inlineStr">
        <is>
          <t>883383074604</t>
        </is>
      </c>
      <c r="B1606" s="51" t="inlineStr">
        <is>
          <t>110127</t>
        </is>
      </c>
      <c r="C1606" s="156" t="inlineStr">
        <is>
          <t>Multimarca</t>
        </is>
      </c>
      <c r="D1606" s="156" t="inlineStr">
        <is>
          <t>SFSKYL-7540E5</t>
        </is>
      </c>
      <c r="E1606" s="156" t="inlineStr">
        <is>
          <t>SFSKYL-7540E574</t>
        </is>
      </c>
      <c r="F1606" s="156" t="inlineStr">
        <is>
          <t>7 1/2</t>
        </is>
      </c>
      <c r="G1606" s="156" t="inlineStr">
        <is>
          <t>7 1/2</t>
        </is>
      </c>
      <c r="H1606" s="156" t="inlineStr">
        <is>
          <t>Stetson</t>
        </is>
      </c>
      <c r="I1606" s="156" t="inlineStr">
        <is>
          <t>Sombrero Stetson Skyline 6X Cowboy</t>
        </is>
      </c>
      <c r="J1606" s="156" t="inlineStr">
        <is>
          <t>Accesorios</t>
        </is>
      </c>
      <c r="K1606" s="156" t="inlineStr">
        <is>
          <t>Sombreros</t>
        </is>
      </c>
      <c r="L1606" s="156" t="inlineStr">
        <is>
          <t>Unisex</t>
        </is>
      </c>
      <c r="M1606" s="156" t="inlineStr">
        <is>
          <t>Stetson</t>
        </is>
      </c>
      <c r="N1606" s="156" t="inlineStr">
        <is>
          <t>SS26</t>
        </is>
      </c>
      <c r="O1606" s="156" t="inlineStr">
        <is>
          <t>Seasonal</t>
        </is>
      </c>
      <c r="P1606" s="156" t="inlineStr">
        <is>
          <t>Beige</t>
        </is>
      </c>
      <c r="Q1606" s="156" t="n"/>
      <c r="R1606" s="156" t="inlineStr">
        <is>
          <t>Copa Cattleman</t>
        </is>
      </c>
      <c r="S1606" s="156" t="inlineStr">
        <is>
          <t>100% Paja</t>
        </is>
      </c>
      <c r="T160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6" s="156" t="inlineStr">
        <is>
          <t>Estados Unidos</t>
        </is>
      </c>
      <c r="V1606" s="156" t="inlineStr">
        <is>
          <t>PZS</t>
        </is>
      </c>
      <c r="W1606" s="51" t="inlineStr">
        <is>
          <t>53102503</t>
        </is>
      </c>
      <c r="X1606" s="156" t="inlineStr">
        <is>
          <t>https://cdn.shopify.com/s/files/1/0888/3250/8267/files/SFSKYL-7540-E5-64_1.png?v=1759518014</t>
        </is>
      </c>
      <c r="Y1606" s="54" t="n">
        <v>2756.25</v>
      </c>
      <c r="Z1606" s="54" t="n">
        <v>6724.137931</v>
      </c>
      <c r="AA1606" s="55">
        <f>IF(AND(A1606="", B1606="", E1606=""), "", IF(AB1606="", "Válido", IF((LEN(AB1606)-LEN(SUBSTITUTE(AB1606,"; ","")))/2+1&gt;(LEN(AB1606)-LEN(SUBSTITUTE(AB1606,"[Aviso]","")))/7, "Con Incidencias", "Válido")))</f>
        <v/>
      </c>
      <c r="AB1606" s="56">
        <f>IF(AND(A1606="", B1606="", E1606=""), "", TEXTJOIN("; ", TRUE, IF(OR(TRIM(A1606&amp;"")="", ISNUMBER(SEARCH("FALTA", A1606))), "UPC faltante/inválido", ""), IF(AND(A1606&lt;&gt;"", IFERROR(_xlfn.XMATCH(A1606,$A$2:$A$2509,0,1)&lt;&gt;_xlfn.XMATCH(A1606,$A$2:$A$2509,0,-1),FALSE)), "Código de barras duplicado", ""), IF(AND(E1606&lt;&gt;"", COUNTIF($E$2:$E$2509, E1606)&gt;1), "SKU duplicado", ""), IF(OR(J1606="", J1606=""), "[Aviso] División no capturada ()", IF(ISNA(MATCH(J1606, Criterios!$A$123:$A$126, 0)), "División no válida", "")), IF(OR(K1606="", K1606=""), "[Aviso] Categoría no capturada ()", IF(ISNA(MATCH(K1606, Criterios!$A$81:$A$120, 0)), "Categoría no válida", IF(AND(J1606&lt;&gt;"", J1606&lt;&gt;"", J1606&lt;&gt;VLOOKUP(K1606, Criterios!$A$81:$B$120, 2, FALSE)), "División no coincide con Categoría", ""))), IF(OR(L1606="", L1606=""), "[Aviso] Género no capturado ()", IF(ISNA(MATCH(L1606, Criterios!$B$123:$B$127, 0)), "Género no válido", "")), IF(OR(N1606="", N1606=""), "[Aviso] Temporada no capturada ()", IF(ISNA(MATCH(N1606, Criterios!$C$123:$C$128, 0)), "Temporada no válida", "")), IF(OR(O1606="", O1606=""), "[Aviso] Ciclo de vida no capturado ()", IF(ISNA(MATCH(O1606, Criterios!$D$123:$D$124, 0)), "Ciclo de vida no válido", ""))))</f>
        <v/>
      </c>
      <c r="AC1606" s="56" t="n"/>
      <c r="AD1606" s="51" t="n">
        <v>0</v>
      </c>
      <c r="AE1606" s="156" t="n"/>
      <c r="AF1606" s="51" t="n">
        <v>0</v>
      </c>
      <c r="AG1606" s="156" t="inlineStr">
        <is>
          <t>Catálogo existente</t>
        </is>
      </c>
      <c r="AH1606"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6" s="156" t="inlineStr">
        <is>
          <t>No</t>
        </is>
      </c>
      <c r="AJ1606" s="156" t="n"/>
      <c r="AK1606" s="155" t="inlineStr">
        <is>
          <t>Criterios: I [Q] | Shopify Stetson: producto 14786559836523 / variante 53350612664683</t>
        </is>
      </c>
      <c r="AL1606" s="58" t="n">
        <v>2756.25</v>
      </c>
      <c r="AM1606" s="58" t="n">
        <v>6724.137931</v>
      </c>
      <c r="AN1606" s="155" t="inlineStr">
        <is>
          <t>Shopify Stetson México</t>
        </is>
      </c>
      <c r="AO1606" s="59" t="n">
        <v>0</v>
      </c>
      <c r="AP1606" s="59" t="n"/>
      <c r="AQ1606" s="59" t="n"/>
      <c r="AR1606" s="155" t="n"/>
    </row>
    <row r="1607">
      <c r="A1607" s="50" t="inlineStr">
        <is>
          <t>883383074611</t>
        </is>
      </c>
      <c r="B1607" s="51" t="inlineStr">
        <is>
          <t>110128</t>
        </is>
      </c>
      <c r="C1607" s="156" t="inlineStr">
        <is>
          <t>Multimarca</t>
        </is>
      </c>
      <c r="D1607" s="156" t="inlineStr">
        <is>
          <t>SFSKYL-7540E5</t>
        </is>
      </c>
      <c r="E1607" s="156" t="inlineStr">
        <is>
          <t>SFSKYL-7540E575</t>
        </is>
      </c>
      <c r="F1607" s="156" t="inlineStr">
        <is>
          <t>7 5/8</t>
        </is>
      </c>
      <c r="G1607" s="156" t="inlineStr">
        <is>
          <t>7 5/8</t>
        </is>
      </c>
      <c r="H1607" s="156" t="inlineStr">
        <is>
          <t>Stetson</t>
        </is>
      </c>
      <c r="I1607" s="156" t="inlineStr">
        <is>
          <t>Sombrero Stetson Skyline 6X Cowboy</t>
        </is>
      </c>
      <c r="J1607" s="156" t="inlineStr">
        <is>
          <t>Accesorios</t>
        </is>
      </c>
      <c r="K1607" s="156" t="inlineStr">
        <is>
          <t>Sombreros</t>
        </is>
      </c>
      <c r="L1607" s="156" t="inlineStr">
        <is>
          <t>Unisex</t>
        </is>
      </c>
      <c r="M1607" s="156" t="inlineStr">
        <is>
          <t>Stetson</t>
        </is>
      </c>
      <c r="N1607" s="156" t="inlineStr">
        <is>
          <t>SS26</t>
        </is>
      </c>
      <c r="O1607" s="156" t="inlineStr">
        <is>
          <t>Seasonal</t>
        </is>
      </c>
      <c r="P1607" s="156" t="inlineStr">
        <is>
          <t>Beige</t>
        </is>
      </c>
      <c r="Q1607" s="156" t="n"/>
      <c r="R1607" s="156" t="inlineStr">
        <is>
          <t>Copa Cattleman</t>
        </is>
      </c>
      <c r="S1607" s="156" t="inlineStr">
        <is>
          <t>100% Paja</t>
        </is>
      </c>
      <c r="T160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7" s="156" t="inlineStr">
        <is>
          <t>Estados Unidos</t>
        </is>
      </c>
      <c r="V1607" s="156" t="inlineStr">
        <is>
          <t>PZS</t>
        </is>
      </c>
      <c r="W1607" s="51" t="inlineStr">
        <is>
          <t>53102503</t>
        </is>
      </c>
      <c r="X1607" s="156" t="inlineStr">
        <is>
          <t>https://cdn.shopify.com/s/files/1/0888/3250/8267/files/SFSKYL-7540-E5-64_1.png?v=1759518014</t>
        </is>
      </c>
      <c r="Y1607" s="54" t="n">
        <v>2756.25</v>
      </c>
      <c r="Z1607" s="54" t="n">
        <v>6724.137931</v>
      </c>
      <c r="AA1607" s="55">
        <f>IF(AND(A1607="", B1607="", E1607=""), "", IF(AB1607="", "Válido", IF((LEN(AB1607)-LEN(SUBSTITUTE(AB1607,"; ","")))/2+1&gt;(LEN(AB1607)-LEN(SUBSTITUTE(AB1607,"[Aviso]","")))/7, "Con Incidencias", "Válido")))</f>
        <v/>
      </c>
      <c r="AB1607" s="56">
        <f>IF(AND(A1607="", B1607="", E1607=""), "", TEXTJOIN("; ", TRUE, IF(OR(TRIM(A1607&amp;"")="", ISNUMBER(SEARCH("FALTA", A1607))), "UPC faltante/inválido", ""), IF(AND(A1607&lt;&gt;"", IFERROR(_xlfn.XMATCH(A1607,$A$2:$A$2509,0,1)&lt;&gt;_xlfn.XMATCH(A1607,$A$2:$A$2509,0,-1),FALSE)), "Código de barras duplicado", ""), IF(AND(E1607&lt;&gt;"", COUNTIF($E$2:$E$2509, E1607)&gt;1), "SKU duplicado", ""), IF(OR(J1607="", J1607=""), "[Aviso] División no capturada ()", IF(ISNA(MATCH(J1607, Criterios!$A$123:$A$126, 0)), "División no válida", "")), IF(OR(K1607="", K1607=""), "[Aviso] Categoría no capturada ()", IF(ISNA(MATCH(K1607, Criterios!$A$81:$A$120, 0)), "Categoría no válida", IF(AND(J1607&lt;&gt;"", J1607&lt;&gt;"", J1607&lt;&gt;VLOOKUP(K1607, Criterios!$A$81:$B$120, 2, FALSE)), "División no coincide con Categoría", ""))), IF(OR(L1607="", L1607=""), "[Aviso] Género no capturado ()", IF(ISNA(MATCH(L1607, Criterios!$B$123:$B$127, 0)), "Género no válido", "")), IF(OR(N1607="", N1607=""), "[Aviso] Temporada no capturada ()", IF(ISNA(MATCH(N1607, Criterios!$C$123:$C$128, 0)), "Temporada no válida", "")), IF(OR(O1607="", O1607=""), "[Aviso] Ciclo de vida no capturado ()", IF(ISNA(MATCH(O1607, Criterios!$D$123:$D$124, 0)), "Ciclo de vida no válido", ""))))</f>
        <v/>
      </c>
      <c r="AC1607" s="56" t="n"/>
      <c r="AD1607" s="51" t="n">
        <v>0</v>
      </c>
      <c r="AE1607" s="156" t="n"/>
      <c r="AF1607" s="51" t="n">
        <v>0</v>
      </c>
      <c r="AG1607" s="156" t="inlineStr">
        <is>
          <t>Catálogo existente</t>
        </is>
      </c>
      <c r="AH1607"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7" s="156" t="inlineStr">
        <is>
          <t>No</t>
        </is>
      </c>
      <c r="AJ1607" s="156" t="n"/>
      <c r="AK1607" s="155" t="inlineStr">
        <is>
          <t>Criterios: I [Q] | Shopify Stetson: producto 14786559836523 / variante 53350612697451</t>
        </is>
      </c>
      <c r="AL1607" s="58" t="n">
        <v>2756.25</v>
      </c>
      <c r="AM1607" s="58" t="n">
        <v>6724.137931</v>
      </c>
      <c r="AN1607" s="155" t="inlineStr">
        <is>
          <t>Shopify Stetson México</t>
        </is>
      </c>
      <c r="AO1607" s="59" t="n">
        <v>0</v>
      </c>
      <c r="AP1607" s="59" t="n"/>
      <c r="AQ1607" s="59" t="n"/>
      <c r="AR1607" s="155" t="n"/>
    </row>
    <row r="1608">
      <c r="A1608" s="50" t="inlineStr">
        <is>
          <t>883383124651</t>
        </is>
      </c>
      <c r="B1608" s="51" t="inlineStr">
        <is>
          <t>110086</t>
        </is>
      </c>
      <c r="C1608" s="156" t="inlineStr">
        <is>
          <t>Multimarca</t>
        </is>
      </c>
      <c r="D1608" s="156" t="inlineStr">
        <is>
          <t>SFSKYL-724007</t>
        </is>
      </c>
      <c r="E1608" s="156" t="inlineStr">
        <is>
          <t>SFSKYL-72400767</t>
        </is>
      </c>
      <c r="F1608" s="156" t="inlineStr">
        <is>
          <t>6 7/8</t>
        </is>
      </c>
      <c r="G1608" s="156" t="inlineStr">
        <is>
          <t>6 7/8</t>
        </is>
      </c>
      <c r="H1608" s="156" t="inlineStr">
        <is>
          <t>Stetson</t>
        </is>
      </c>
      <c r="I1608" s="156" t="inlineStr">
        <is>
          <t>Texana Stetson Skyline Negro</t>
        </is>
      </c>
      <c r="J1608" s="156" t="inlineStr">
        <is>
          <t>Accesorios</t>
        </is>
      </c>
      <c r="K1608" s="156" t="inlineStr">
        <is>
          <t>Sombreros</t>
        </is>
      </c>
      <c r="L1608" s="156" t="inlineStr">
        <is>
          <t>Unisex</t>
        </is>
      </c>
      <c r="M1608" s="156" t="inlineStr">
        <is>
          <t>Stetson</t>
        </is>
      </c>
      <c r="N1608" s="156" t="inlineStr">
        <is>
          <t>SS26</t>
        </is>
      </c>
      <c r="O1608" s="156" t="inlineStr">
        <is>
          <t>Seasonal</t>
        </is>
      </c>
      <c r="P1608" s="156" t="inlineStr">
        <is>
          <t>Negro</t>
        </is>
      </c>
      <c r="Q1608" s="156" t="n"/>
      <c r="R1608" s="156" t="inlineStr">
        <is>
          <t>Copa Cattleman</t>
        </is>
      </c>
      <c r="S1608" s="156" t="inlineStr">
        <is>
          <t>100% Fieltro de lana</t>
        </is>
      </c>
      <c r="T1608"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08" s="156" t="inlineStr">
        <is>
          <t>Estados Unidos</t>
        </is>
      </c>
      <c r="V1608" s="156" t="inlineStr">
        <is>
          <t>PZS</t>
        </is>
      </c>
      <c r="W1608" s="51" t="inlineStr">
        <is>
          <t>53102503</t>
        </is>
      </c>
      <c r="X1608" s="156" t="inlineStr">
        <is>
          <t>https://cdn.shopify.com/s/files/1/0888/3250/8267/files/SFSKYL-724007-01.jpg?v=1759777825</t>
        </is>
      </c>
      <c r="Y1608" s="54" t="n">
        <v>2756.25</v>
      </c>
      <c r="Z1608" s="54" t="n">
        <v>6724.137931</v>
      </c>
      <c r="AA1608" s="55">
        <f>IF(AND(A1608="", B1608="", E1608=""), "", IF(AB1608="", "Válido", IF((LEN(AB1608)-LEN(SUBSTITUTE(AB1608,"; ","")))/2+1&gt;(LEN(AB1608)-LEN(SUBSTITUTE(AB1608,"[Aviso]","")))/7, "Con Incidencias", "Válido")))</f>
        <v/>
      </c>
      <c r="AB1608" s="56">
        <f>IF(AND(A1608="", B1608="", E1608=""), "", TEXTJOIN("; ", TRUE, IF(OR(TRIM(A1608&amp;"")="", ISNUMBER(SEARCH("FALTA", A1608))), "UPC faltante/inválido", ""), IF(AND(A1608&lt;&gt;"", IFERROR(_xlfn.XMATCH(A1608,$A$2:$A$2509,0,1)&lt;&gt;_xlfn.XMATCH(A1608,$A$2:$A$2509,0,-1),FALSE)), "Código de barras duplicado", ""), IF(AND(E1608&lt;&gt;"", COUNTIF($E$2:$E$2509, E1608)&gt;1), "SKU duplicado", ""), IF(OR(J1608="", J1608=""), "[Aviso] División no capturada ()", IF(ISNA(MATCH(J1608, Criterios!$A$123:$A$126, 0)), "División no válida", "")), IF(OR(K1608="", K1608=""), "[Aviso] Categoría no capturada ()", IF(ISNA(MATCH(K1608, Criterios!$A$81:$A$120, 0)), "Categoría no válida", IF(AND(J1608&lt;&gt;"", J1608&lt;&gt;"", J1608&lt;&gt;VLOOKUP(K1608, Criterios!$A$81:$B$120, 2, FALSE)), "División no coincide con Categoría", ""))), IF(OR(L1608="", L1608=""), "[Aviso] Género no capturado ()", IF(ISNA(MATCH(L1608, Criterios!$B$123:$B$127, 0)), "Género no válido", "")), IF(OR(N1608="", N1608=""), "[Aviso] Temporada no capturada ()", IF(ISNA(MATCH(N1608, Criterios!$C$123:$C$128, 0)), "Temporada no válida", "")), IF(OR(O1608="", O1608=""), "[Aviso] Ciclo de vida no capturado ()", IF(ISNA(MATCH(O1608, Criterios!$D$123:$D$124, 0)), "Ciclo de vida no válido", ""))))</f>
        <v/>
      </c>
      <c r="AC1608" s="56" t="n"/>
      <c r="AD1608" s="51" t="n">
        <v>-1</v>
      </c>
      <c r="AE1608" s="156" t="n"/>
      <c r="AF1608" s="51" t="n">
        <v>0</v>
      </c>
      <c r="AG1608" s="156" t="inlineStr">
        <is>
          <t>Catálogo existente</t>
        </is>
      </c>
      <c r="AH1608" s="156" t="inlineStr">
        <is>
          <t>Stock negativo en sistema: revisar en conteo | Revisión 29/09/2026: Cruce de catálogo y criterios sin pendientes detectados | 01/10/2026: complementado desde Shopify Stetson México (match por código de barras): WB Fit, WB Silueta</t>
        </is>
      </c>
      <c r="AI1608" s="156" t="inlineStr">
        <is>
          <t>Sí</t>
        </is>
      </c>
      <c r="AJ1608" s="156" t="inlineStr">
        <is>
          <t>STETSON AMERICAS (-1)</t>
        </is>
      </c>
      <c r="AK1608" s="155" t="inlineStr">
        <is>
          <t>Criterios: I [Q] | Shopify Stetson: producto 14786559836523 / variante 53849437897067 | Odoo: producto 14298 / plantilla 17875</t>
        </is>
      </c>
      <c r="AL1608" s="58" t="n">
        <v>2756.25</v>
      </c>
      <c r="AM1608" s="58" t="n">
        <v>6724.137931</v>
      </c>
      <c r="AN1608" s="155" t="inlineStr">
        <is>
          <t>Shopify Stetson México | Odoo Universal Unique Brands</t>
        </is>
      </c>
      <c r="AO1608" s="59" t="n">
        <v>0</v>
      </c>
      <c r="AP1608" s="59" t="n"/>
      <c r="AQ1608" s="59" t="n">
        <v>2</v>
      </c>
      <c r="AR1608" s="155" t="inlineStr">
        <is>
          <t>Odoo Universal Unique Brands › Bodega 25 › Bodega 25/General: 2</t>
        </is>
      </c>
    </row>
    <row r="1609">
      <c r="A1609" s="50" t="inlineStr">
        <is>
          <t>883383124668</t>
        </is>
      </c>
      <c r="B1609" s="51" t="inlineStr">
        <is>
          <t>110087</t>
        </is>
      </c>
      <c r="C1609" s="156" t="inlineStr">
        <is>
          <t>Multimarca</t>
        </is>
      </c>
      <c r="D1609" s="156" t="inlineStr">
        <is>
          <t>SFSKYL-724007</t>
        </is>
      </c>
      <c r="E1609" s="156" t="inlineStr">
        <is>
          <t>SFSKYL-72400770</t>
        </is>
      </c>
      <c r="F1609" s="156" t="inlineStr">
        <is>
          <t>7</t>
        </is>
      </c>
      <c r="G1609" s="156" t="inlineStr">
        <is>
          <t>7</t>
        </is>
      </c>
      <c r="H1609" s="156" t="inlineStr">
        <is>
          <t>Stetson</t>
        </is>
      </c>
      <c r="I1609" s="156" t="inlineStr">
        <is>
          <t>Texana Stetson Skyline Negro</t>
        </is>
      </c>
      <c r="J1609" s="156" t="inlineStr">
        <is>
          <t>Accesorios</t>
        </is>
      </c>
      <c r="K1609" s="156" t="inlineStr">
        <is>
          <t>Sombreros</t>
        </is>
      </c>
      <c r="L1609" s="156" t="inlineStr">
        <is>
          <t>Unisex</t>
        </is>
      </c>
      <c r="M1609" s="156" t="inlineStr">
        <is>
          <t>Stetson</t>
        </is>
      </c>
      <c r="N1609" s="156" t="inlineStr">
        <is>
          <t>SS26</t>
        </is>
      </c>
      <c r="O1609" s="156" t="inlineStr">
        <is>
          <t>Seasonal</t>
        </is>
      </c>
      <c r="P1609" s="156" t="inlineStr">
        <is>
          <t>Negro</t>
        </is>
      </c>
      <c r="Q1609" s="156" t="n"/>
      <c r="R1609" s="156" t="inlineStr">
        <is>
          <t>Copa Cattleman</t>
        </is>
      </c>
      <c r="S1609" s="156" t="inlineStr">
        <is>
          <t>100% Fieltro de lana</t>
        </is>
      </c>
      <c r="T1609"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09" s="156" t="inlineStr">
        <is>
          <t>Estados Unidos</t>
        </is>
      </c>
      <c r="V1609" s="156" t="inlineStr">
        <is>
          <t>PZS</t>
        </is>
      </c>
      <c r="W1609" s="51" t="inlineStr">
        <is>
          <t>53102503</t>
        </is>
      </c>
      <c r="X1609" s="156" t="inlineStr">
        <is>
          <t>https://cdn.shopify.com/s/files/1/0888/3250/8267/files/SFSKYL-724007-02.jpg?v=1759777825</t>
        </is>
      </c>
      <c r="Y1609" s="54" t="n">
        <v>2756.25</v>
      </c>
      <c r="Z1609" s="54" t="n">
        <v>6724.137931</v>
      </c>
      <c r="AA1609" s="55">
        <f>IF(AND(A1609="", B1609="", E1609=""), "", IF(AB1609="", "Válido", IF((LEN(AB1609)-LEN(SUBSTITUTE(AB1609,"; ","")))/2+1&gt;(LEN(AB1609)-LEN(SUBSTITUTE(AB1609,"[Aviso]","")))/7, "Con Incidencias", "Válido")))</f>
        <v/>
      </c>
      <c r="AB1609" s="56">
        <f>IF(AND(A1609="", B1609="", E1609=""), "", TEXTJOIN("; ", TRUE, IF(OR(TRIM(A1609&amp;"")="", ISNUMBER(SEARCH("FALTA", A1609))), "UPC faltante/inválido", ""), IF(AND(A1609&lt;&gt;"", IFERROR(_xlfn.XMATCH(A1609,$A$2:$A$2509,0,1)&lt;&gt;_xlfn.XMATCH(A1609,$A$2:$A$2509,0,-1),FALSE)), "Código de barras duplicado", ""), IF(AND(E1609&lt;&gt;"", COUNTIF($E$2:$E$2509, E1609)&gt;1), "SKU duplicado", ""), IF(OR(J1609="", J1609=""), "[Aviso] División no capturada ()", IF(ISNA(MATCH(J1609, Criterios!$A$123:$A$126, 0)), "División no válida", "")), IF(OR(K1609="", K1609=""), "[Aviso] Categoría no capturada ()", IF(ISNA(MATCH(K1609, Criterios!$A$81:$A$120, 0)), "Categoría no válida", IF(AND(J1609&lt;&gt;"", J1609&lt;&gt;"", J1609&lt;&gt;VLOOKUP(K1609, Criterios!$A$81:$B$120, 2, FALSE)), "División no coincide con Categoría", ""))), IF(OR(L1609="", L1609=""), "[Aviso] Género no capturado ()", IF(ISNA(MATCH(L1609, Criterios!$B$123:$B$127, 0)), "Género no válido", "")), IF(OR(N1609="", N1609=""), "[Aviso] Temporada no capturada ()", IF(ISNA(MATCH(N1609, Criterios!$C$123:$C$128, 0)), "Temporada no válida", "")), IF(OR(O1609="", O1609=""), "[Aviso] Ciclo de vida no capturado ()", IF(ISNA(MATCH(O1609, Criterios!$D$123:$D$124, 0)), "Ciclo de vida no válido", ""))))</f>
        <v/>
      </c>
      <c r="AC1609" s="56" t="n"/>
      <c r="AD1609" s="51" t="n">
        <v>-1</v>
      </c>
      <c r="AE1609" s="156" t="n"/>
      <c r="AF1609" s="51" t="n">
        <v>0</v>
      </c>
      <c r="AG1609" s="156" t="inlineStr">
        <is>
          <t>Catálogo existente</t>
        </is>
      </c>
      <c r="AH1609" s="156" t="inlineStr">
        <is>
          <t>Stock negativo en sistema: revisar en conteo | Revisión 29/09/2026: Cruce de catálogo y criterios sin pendientes detectados | 01/10/2026: complementado desde Shopify Stetson México (match por código de barras): WB Fit, WB Silueta</t>
        </is>
      </c>
      <c r="AI1609" s="156" t="inlineStr">
        <is>
          <t>Sí</t>
        </is>
      </c>
      <c r="AJ1609" s="156" t="inlineStr">
        <is>
          <t>STETSON AMERICAS (-1)</t>
        </is>
      </c>
      <c r="AK1609" s="155" t="inlineStr">
        <is>
          <t>Criterios: I [Q] | Shopify Stetson: producto 14786559836523 / variante 53849437929835 | Odoo: producto 14299 / plantilla 17876</t>
        </is>
      </c>
      <c r="AL1609" s="58" t="n">
        <v>2756.25</v>
      </c>
      <c r="AM1609" s="58" t="n">
        <v>6724.137931</v>
      </c>
      <c r="AN1609" s="155" t="inlineStr">
        <is>
          <t>Shopify Stetson México | Odoo Universal Unique Brands</t>
        </is>
      </c>
      <c r="AO1609" s="59" t="n">
        <v>0</v>
      </c>
      <c r="AP1609" s="59" t="n"/>
      <c r="AQ1609" s="59" t="n">
        <v>1</v>
      </c>
      <c r="AR1609" s="155" t="inlineStr">
        <is>
          <t>Odoo Universal Unique Brands › Bodega 25 › Bodega 25/General: 1</t>
        </is>
      </c>
    </row>
    <row r="1610">
      <c r="A1610" s="50" t="inlineStr">
        <is>
          <t>883383124675</t>
        </is>
      </c>
      <c r="B1610" s="51" t="inlineStr">
        <is>
          <t>110088</t>
        </is>
      </c>
      <c r="C1610" s="156" t="inlineStr">
        <is>
          <t>Multimarca</t>
        </is>
      </c>
      <c r="D1610" s="156" t="inlineStr">
        <is>
          <t>SFSKYL-724007</t>
        </is>
      </c>
      <c r="E1610" s="156" t="inlineStr">
        <is>
          <t>SFSKYL-72400771</t>
        </is>
      </c>
      <c r="F1610" s="156" t="inlineStr">
        <is>
          <t>7 1/8</t>
        </is>
      </c>
      <c r="G1610" s="156" t="inlineStr">
        <is>
          <t>7 1/8</t>
        </is>
      </c>
      <c r="H1610" s="156" t="inlineStr">
        <is>
          <t>Stetson</t>
        </is>
      </c>
      <c r="I1610" s="156" t="inlineStr">
        <is>
          <t>Texana Stetson Skyline Negro</t>
        </is>
      </c>
      <c r="J1610" s="156" t="inlineStr">
        <is>
          <t>Accesorios</t>
        </is>
      </c>
      <c r="K1610" s="156" t="inlineStr">
        <is>
          <t>Sombreros</t>
        </is>
      </c>
      <c r="L1610" s="156" t="inlineStr">
        <is>
          <t>Unisex</t>
        </is>
      </c>
      <c r="M1610" s="156" t="inlineStr">
        <is>
          <t>Stetson</t>
        </is>
      </c>
      <c r="N1610" s="156" t="inlineStr">
        <is>
          <t>SS26</t>
        </is>
      </c>
      <c r="O1610" s="156" t="inlineStr">
        <is>
          <t>Seasonal</t>
        </is>
      </c>
      <c r="P1610" s="156" t="inlineStr">
        <is>
          <t>Negro</t>
        </is>
      </c>
      <c r="Q1610" s="156" t="n"/>
      <c r="R1610" s="156" t="inlineStr">
        <is>
          <t>Copa Cattleman</t>
        </is>
      </c>
      <c r="S1610" s="156" t="inlineStr">
        <is>
          <t>100% Fieltro de lana</t>
        </is>
      </c>
      <c r="T1610"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0" s="156" t="inlineStr">
        <is>
          <t>Estados Unidos</t>
        </is>
      </c>
      <c r="V1610" s="156" t="inlineStr">
        <is>
          <t>PZS</t>
        </is>
      </c>
      <c r="W1610" s="51" t="inlineStr">
        <is>
          <t>53102503</t>
        </is>
      </c>
      <c r="X1610" s="156" t="inlineStr">
        <is>
          <t>https://cdn.shopify.com/s/files/1/0888/3250/8267/files/SFSKYL-724007-03.jpg?v=1759777825</t>
        </is>
      </c>
      <c r="Y1610" s="54" t="n">
        <v>2756.25</v>
      </c>
      <c r="Z1610" s="54" t="n">
        <v>6724.137931</v>
      </c>
      <c r="AA1610" s="55">
        <f>IF(AND(A1610="", B1610="", E1610=""), "", IF(AB1610="", "Válido", IF((LEN(AB1610)-LEN(SUBSTITUTE(AB1610,"; ","")))/2+1&gt;(LEN(AB1610)-LEN(SUBSTITUTE(AB1610,"[Aviso]","")))/7, "Con Incidencias", "Válido")))</f>
        <v/>
      </c>
      <c r="AB1610" s="56">
        <f>IF(AND(A1610="", B1610="", E1610=""), "", TEXTJOIN("; ", TRUE, IF(OR(TRIM(A1610&amp;"")="", ISNUMBER(SEARCH("FALTA", A1610))), "UPC faltante/inválido", ""), IF(AND(A1610&lt;&gt;"", IFERROR(_xlfn.XMATCH(A1610,$A$2:$A$2509,0,1)&lt;&gt;_xlfn.XMATCH(A1610,$A$2:$A$2509,0,-1),FALSE)), "Código de barras duplicado", ""), IF(AND(E1610&lt;&gt;"", COUNTIF($E$2:$E$2509, E1610)&gt;1), "SKU duplicado", ""), IF(OR(J1610="", J1610=""), "[Aviso] División no capturada ()", IF(ISNA(MATCH(J1610, Criterios!$A$123:$A$126, 0)), "División no válida", "")), IF(OR(K1610="", K1610=""), "[Aviso] Categoría no capturada ()", IF(ISNA(MATCH(K1610, Criterios!$A$81:$A$120, 0)), "Categoría no válida", IF(AND(J1610&lt;&gt;"", J1610&lt;&gt;"", J1610&lt;&gt;VLOOKUP(K1610, Criterios!$A$81:$B$120, 2, FALSE)), "División no coincide con Categoría", ""))), IF(OR(L1610="", L1610=""), "[Aviso] Género no capturado ()", IF(ISNA(MATCH(L1610, Criterios!$B$123:$B$127, 0)), "Género no válido", "")), IF(OR(N1610="", N1610=""), "[Aviso] Temporada no capturada ()", IF(ISNA(MATCH(N1610, Criterios!$C$123:$C$128, 0)), "Temporada no válida", "")), IF(OR(O1610="", O1610=""), "[Aviso] Ciclo de vida no capturado ()", IF(ISNA(MATCH(O1610, Criterios!$D$123:$D$124, 0)), "Ciclo de vida no válido", ""))))</f>
        <v/>
      </c>
      <c r="AC1610" s="56" t="n"/>
      <c r="AD1610" s="51" t="n">
        <v>-1</v>
      </c>
      <c r="AE1610" s="156" t="inlineStr">
        <is>
          <t>B25 STETSON.MX (1)</t>
        </is>
      </c>
      <c r="AF1610" s="51" t="n">
        <v>1</v>
      </c>
      <c r="AG1610" s="156" t="inlineStr">
        <is>
          <t>Catálogo existente</t>
        </is>
      </c>
      <c r="AH1610" s="156" t="inlineStr">
        <is>
          <t>Stock negativo en sistema: revisar en conteo | Revisión 29/09/2026: Cruce de catálogo y criterios sin pendientes detectados | 01/10/2026: complementado desde Shopify Stetson México (match por código de barras): WB Fit, WB Silueta</t>
        </is>
      </c>
      <c r="AI1610" s="156" t="inlineStr">
        <is>
          <t>Sí</t>
        </is>
      </c>
      <c r="AJ1610" s="156" t="inlineStr">
        <is>
          <t>STETSON AMERICAS (-2)</t>
        </is>
      </c>
      <c r="AK1610" s="155" t="inlineStr">
        <is>
          <t>Criterios: I [Q] | Shopify Stetson: producto 14786559836523 / variante 53849437962603</t>
        </is>
      </c>
      <c r="AL1610" s="58" t="n">
        <v>2756.25</v>
      </c>
      <c r="AM1610" s="58" t="n">
        <v>6724.137931</v>
      </c>
      <c r="AN1610" s="155" t="inlineStr">
        <is>
          <t>Shopify Stetson México</t>
        </is>
      </c>
      <c r="AO1610" s="59" t="n">
        <v>2</v>
      </c>
      <c r="AP1610" s="59" t="n"/>
      <c r="AQ1610" s="59" t="n"/>
      <c r="AR1610" s="155" t="inlineStr">
        <is>
          <t>Shopify Stetson México › Stetson Americas: 1 | Shopify Stetson México › Stetson México: 1</t>
        </is>
      </c>
    </row>
    <row r="1611">
      <c r="A1611" s="50" t="inlineStr">
        <is>
          <t>883383124682</t>
        </is>
      </c>
      <c r="B1611" s="51" t="inlineStr">
        <is>
          <t>110089</t>
        </is>
      </c>
      <c r="C1611" s="156" t="inlineStr">
        <is>
          <t>Multimarca</t>
        </is>
      </c>
      <c r="D1611" s="156" t="inlineStr">
        <is>
          <t>SFSKYL-724007</t>
        </is>
      </c>
      <c r="E1611" s="156" t="inlineStr">
        <is>
          <t>SFSKYL-72400772</t>
        </is>
      </c>
      <c r="F1611" s="156" t="inlineStr">
        <is>
          <t>7 1/4</t>
        </is>
      </c>
      <c r="G1611" s="156" t="inlineStr">
        <is>
          <t>7 1/4</t>
        </is>
      </c>
      <c r="H1611" s="156" t="inlineStr">
        <is>
          <t>Stetson</t>
        </is>
      </c>
      <c r="I1611" s="156" t="inlineStr">
        <is>
          <t>Texana Stetson Skyline Negro</t>
        </is>
      </c>
      <c r="J1611" s="156" t="inlineStr">
        <is>
          <t>Accesorios</t>
        </is>
      </c>
      <c r="K1611" s="156" t="inlineStr">
        <is>
          <t>Sombreros</t>
        </is>
      </c>
      <c r="L1611" s="156" t="inlineStr">
        <is>
          <t>Unisex</t>
        </is>
      </c>
      <c r="M1611" s="156" t="inlineStr">
        <is>
          <t>Stetson</t>
        </is>
      </c>
      <c r="N1611" s="156" t="inlineStr">
        <is>
          <t>SS26</t>
        </is>
      </c>
      <c r="O1611" s="156" t="inlineStr">
        <is>
          <t>Seasonal</t>
        </is>
      </c>
      <c r="P1611" s="156" t="inlineStr">
        <is>
          <t>Negro</t>
        </is>
      </c>
      <c r="Q1611" s="156" t="n"/>
      <c r="R1611" s="156" t="inlineStr">
        <is>
          <t>Copa Cattleman</t>
        </is>
      </c>
      <c r="S1611" s="156" t="inlineStr">
        <is>
          <t>100% Fieltro de lana</t>
        </is>
      </c>
      <c r="T1611"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1" s="156" t="inlineStr">
        <is>
          <t>Estados Unidos</t>
        </is>
      </c>
      <c r="V1611" s="156" t="inlineStr">
        <is>
          <t>PZS</t>
        </is>
      </c>
      <c r="W1611" s="51" t="inlineStr">
        <is>
          <t>53102503</t>
        </is>
      </c>
      <c r="X1611" s="156" t="inlineStr">
        <is>
          <t>https://cdn.shopify.com/s/files/1/0888/3250/8267/files/SFSKYL-724007-04.jpg?v=1759777825</t>
        </is>
      </c>
      <c r="Y1611" s="54" t="n">
        <v>2756.25</v>
      </c>
      <c r="Z1611" s="54" t="n">
        <v>6724.137931</v>
      </c>
      <c r="AA1611" s="55">
        <f>IF(AND(A1611="", B1611="", E1611=""), "", IF(AB1611="", "Válido", IF((LEN(AB1611)-LEN(SUBSTITUTE(AB1611,"; ","")))/2+1&gt;(LEN(AB1611)-LEN(SUBSTITUTE(AB1611,"[Aviso]","")))/7, "Con Incidencias", "Válido")))</f>
        <v/>
      </c>
      <c r="AB1611" s="56">
        <f>IF(AND(A1611="", B1611="", E1611=""), "", TEXTJOIN("; ", TRUE, IF(OR(TRIM(A1611&amp;"")="", ISNUMBER(SEARCH("FALTA", A1611))), "UPC faltante/inválido", ""), IF(AND(A1611&lt;&gt;"", IFERROR(_xlfn.XMATCH(A1611,$A$2:$A$2509,0,1)&lt;&gt;_xlfn.XMATCH(A1611,$A$2:$A$2509,0,-1),FALSE)), "Código de barras duplicado", ""), IF(AND(E1611&lt;&gt;"", COUNTIF($E$2:$E$2509, E1611)&gt;1), "SKU duplicado", ""), IF(OR(J1611="", J1611=""), "[Aviso] División no capturada ()", IF(ISNA(MATCH(J1611, Criterios!$A$123:$A$126, 0)), "División no válida", "")), IF(OR(K1611="", K1611=""), "[Aviso] Categoría no capturada ()", IF(ISNA(MATCH(K1611, Criterios!$A$81:$A$120, 0)), "Categoría no válida", IF(AND(J1611&lt;&gt;"", J1611&lt;&gt;"", J1611&lt;&gt;VLOOKUP(K1611, Criterios!$A$81:$B$120, 2, FALSE)), "División no coincide con Categoría", ""))), IF(OR(L1611="", L1611=""), "[Aviso] Género no capturado ()", IF(ISNA(MATCH(L1611, Criterios!$B$123:$B$127, 0)), "Género no válido", "")), IF(OR(N1611="", N1611=""), "[Aviso] Temporada no capturada ()", IF(ISNA(MATCH(N1611, Criterios!$C$123:$C$128, 0)), "Temporada no válida", "")), IF(OR(O1611="", O1611=""), "[Aviso] Ciclo de vida no capturado ()", IF(ISNA(MATCH(O1611, Criterios!$D$123:$D$124, 0)), "Ciclo de vida no válido", ""))))</f>
        <v/>
      </c>
      <c r="AC1611" s="56" t="n"/>
      <c r="AD1611" s="51" t="n">
        <v>-1</v>
      </c>
      <c r="AE1611" s="156" t="n"/>
      <c r="AF1611" s="51" t="n">
        <v>0</v>
      </c>
      <c r="AG1611" s="156" t="inlineStr">
        <is>
          <t>Catálogo existente</t>
        </is>
      </c>
      <c r="AH1611" s="156" t="inlineStr">
        <is>
          <t>Revisión 29/09/2026: Cruce de catálogo y criterios sin pendientes detectados | 01/10/2026: complementado desde Shopify Stetson México (match por código de barras): WB Fit, WB Silueta</t>
        </is>
      </c>
      <c r="AI1611" s="156" t="inlineStr">
        <is>
          <t>Sí</t>
        </is>
      </c>
      <c r="AJ1611" s="156" t="inlineStr">
        <is>
          <t>PUNTO DE VENTA (-1)</t>
        </is>
      </c>
      <c r="AK1611" s="155" t="inlineStr">
        <is>
          <t>Criterios: I [Q] | Shopify Stetson: producto 14786559836523 / variante 53849437995371</t>
        </is>
      </c>
      <c r="AL1611" s="58" t="n">
        <v>2756.25</v>
      </c>
      <c r="AM1611" s="58" t="n">
        <v>6724.137931</v>
      </c>
      <c r="AN1611" s="155" t="inlineStr">
        <is>
          <t>Shopify Stetson México</t>
        </is>
      </c>
      <c r="AO1611" s="59" t="n">
        <v>0</v>
      </c>
      <c r="AP1611" s="59" t="n"/>
      <c r="AQ1611" s="59" t="n"/>
      <c r="AR1611" s="155" t="n"/>
    </row>
    <row r="1612">
      <c r="A1612" s="50" t="inlineStr">
        <is>
          <t>883383124699</t>
        </is>
      </c>
      <c r="B1612" s="51" t="inlineStr">
        <is>
          <t>110090</t>
        </is>
      </c>
      <c r="C1612" s="156" t="inlineStr">
        <is>
          <t>Multimarca</t>
        </is>
      </c>
      <c r="D1612" s="156" t="inlineStr">
        <is>
          <t>SFSKYL-724007</t>
        </is>
      </c>
      <c r="E1612" s="156" t="inlineStr">
        <is>
          <t>SFSKYL-72400773</t>
        </is>
      </c>
      <c r="F1612" s="156" t="inlineStr">
        <is>
          <t>7 3/8</t>
        </is>
      </c>
      <c r="G1612" s="156" t="inlineStr">
        <is>
          <t>7 3/8</t>
        </is>
      </c>
      <c r="H1612" s="156" t="inlineStr">
        <is>
          <t>Stetson</t>
        </is>
      </c>
      <c r="I1612" s="156" t="inlineStr">
        <is>
          <t>Texana Stetson Skyline Negro</t>
        </is>
      </c>
      <c r="J1612" s="156" t="inlineStr">
        <is>
          <t>Accesorios</t>
        </is>
      </c>
      <c r="K1612" s="156" t="inlineStr">
        <is>
          <t>Sombreros</t>
        </is>
      </c>
      <c r="L1612" s="156" t="inlineStr">
        <is>
          <t>Unisex</t>
        </is>
      </c>
      <c r="M1612" s="156" t="inlineStr">
        <is>
          <t>Stetson</t>
        </is>
      </c>
      <c r="N1612" s="156" t="inlineStr">
        <is>
          <t>SS26</t>
        </is>
      </c>
      <c r="O1612" s="156" t="inlineStr">
        <is>
          <t>Seasonal</t>
        </is>
      </c>
      <c r="P1612" s="156" t="inlineStr">
        <is>
          <t>Negro</t>
        </is>
      </c>
      <c r="Q1612" s="156" t="n"/>
      <c r="R1612" s="156" t="inlineStr">
        <is>
          <t>Copa Cattleman</t>
        </is>
      </c>
      <c r="S1612" s="156" t="inlineStr">
        <is>
          <t>100% Fieltro de lana</t>
        </is>
      </c>
      <c r="T1612"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2" s="156" t="inlineStr">
        <is>
          <t>Estados Unidos</t>
        </is>
      </c>
      <c r="V1612" s="156" t="inlineStr">
        <is>
          <t>PZS</t>
        </is>
      </c>
      <c r="W1612" s="51" t="inlineStr">
        <is>
          <t>53102503</t>
        </is>
      </c>
      <c r="X1612" s="156" t="inlineStr">
        <is>
          <t>https://cdn.shopify.com/s/files/1/0888/3250/8267/files/SFSKYL-724007-05.jpg?v=1759777825</t>
        </is>
      </c>
      <c r="Y1612" s="54" t="n">
        <v>2756.25</v>
      </c>
      <c r="Z1612" s="54" t="n">
        <v>6724.137931</v>
      </c>
      <c r="AA1612" s="55">
        <f>IF(AND(A1612="", B1612="", E1612=""), "", IF(AB1612="", "Válido", IF((LEN(AB1612)-LEN(SUBSTITUTE(AB1612,"; ","")))/2+1&gt;(LEN(AB1612)-LEN(SUBSTITUTE(AB1612,"[Aviso]","")))/7, "Con Incidencias", "Válido")))</f>
        <v/>
      </c>
      <c r="AB1612" s="56">
        <f>IF(AND(A1612="", B1612="", E1612=""), "", TEXTJOIN("; ", TRUE, IF(OR(TRIM(A1612&amp;"")="", ISNUMBER(SEARCH("FALTA", A1612))), "UPC faltante/inválido", ""), IF(AND(A1612&lt;&gt;"", IFERROR(_xlfn.XMATCH(A1612,$A$2:$A$2509,0,1)&lt;&gt;_xlfn.XMATCH(A1612,$A$2:$A$2509,0,-1),FALSE)), "Código de barras duplicado", ""), IF(AND(E1612&lt;&gt;"", COUNTIF($E$2:$E$2509, E1612)&gt;1), "SKU duplicado", ""), IF(OR(J1612="", J1612=""), "[Aviso] División no capturada ()", IF(ISNA(MATCH(J1612, Criterios!$A$123:$A$126, 0)), "División no válida", "")), IF(OR(K1612="", K1612=""), "[Aviso] Categoría no capturada ()", IF(ISNA(MATCH(K1612, Criterios!$A$81:$A$120, 0)), "Categoría no válida", IF(AND(J1612&lt;&gt;"", J1612&lt;&gt;"", J1612&lt;&gt;VLOOKUP(K1612, Criterios!$A$81:$B$120, 2, FALSE)), "División no coincide con Categoría", ""))), IF(OR(L1612="", L1612=""), "[Aviso] Género no capturado ()", IF(ISNA(MATCH(L1612, Criterios!$B$123:$B$127, 0)), "Género no válido", "")), IF(OR(N1612="", N1612=""), "[Aviso] Temporada no capturada ()", IF(ISNA(MATCH(N1612, Criterios!$C$123:$C$128, 0)), "Temporada no válida", "")), IF(OR(O1612="", O1612=""), "[Aviso] Ciclo de vida no capturado ()", IF(ISNA(MATCH(O1612, Criterios!$D$123:$D$124, 0)), "Ciclo de vida no válido", ""))))</f>
        <v/>
      </c>
      <c r="AC1612" s="56" t="n"/>
      <c r="AD1612" s="51" t="n">
        <v>-1</v>
      </c>
      <c r="AE1612" s="156" t="n"/>
      <c r="AF1612" s="51" t="n">
        <v>0</v>
      </c>
      <c r="AG1612" s="156" t="inlineStr">
        <is>
          <t>Catálogo existente</t>
        </is>
      </c>
      <c r="AH1612" s="156" t="inlineStr">
        <is>
          <t>Stock negativo en sistema: revisar en conteo | Revisión 29/09/2026: Cruce de catálogo y criterios sin pendientes detectados | 01/10/2026: complementado desde Shopify Stetson México (match por código de barras): WB Fit, WB Silueta</t>
        </is>
      </c>
      <c r="AI1612" s="156" t="inlineStr">
        <is>
          <t>Sí</t>
        </is>
      </c>
      <c r="AJ1612" s="156" t="inlineStr">
        <is>
          <t>STETSON AMERICAS (-1)</t>
        </is>
      </c>
      <c r="AK1612" s="155" t="inlineStr">
        <is>
          <t>Criterios: I [Q] | Shopify Stetson: producto 14786559836523 / variante 53849438028139</t>
        </is>
      </c>
      <c r="AL1612" s="58" t="n">
        <v>2756.25</v>
      </c>
      <c r="AM1612" s="58" t="n">
        <v>6724.137931</v>
      </c>
      <c r="AN1612" s="155" t="inlineStr">
        <is>
          <t>Shopify Stetson México</t>
        </is>
      </c>
      <c r="AO1612" s="59" t="n">
        <v>0</v>
      </c>
      <c r="AP1612" s="59" t="n"/>
      <c r="AQ1612" s="59" t="n"/>
      <c r="AR1612" s="155" t="n"/>
    </row>
    <row r="1613">
      <c r="A1613" s="50" t="inlineStr">
        <is>
          <t>883383124705</t>
        </is>
      </c>
      <c r="B1613" s="51" t="inlineStr">
        <is>
          <t>110091</t>
        </is>
      </c>
      <c r="C1613" s="156" t="inlineStr">
        <is>
          <t>Multimarca</t>
        </is>
      </c>
      <c r="D1613" s="156" t="inlineStr">
        <is>
          <t>SFSKYL-724007</t>
        </is>
      </c>
      <c r="E1613" s="156" t="inlineStr">
        <is>
          <t>SFSKYL-72400774</t>
        </is>
      </c>
      <c r="F1613" s="156" t="inlineStr">
        <is>
          <t>7 1/2</t>
        </is>
      </c>
      <c r="G1613" s="156" t="inlineStr">
        <is>
          <t>7 1/2</t>
        </is>
      </c>
      <c r="H1613" s="156" t="inlineStr">
        <is>
          <t>Stetson</t>
        </is>
      </c>
      <c r="I1613" s="156" t="inlineStr">
        <is>
          <t>Texana Stetson Skyline Negro</t>
        </is>
      </c>
      <c r="J1613" s="156" t="inlineStr">
        <is>
          <t>Accesorios</t>
        </is>
      </c>
      <c r="K1613" s="156" t="inlineStr">
        <is>
          <t>Sombreros</t>
        </is>
      </c>
      <c r="L1613" s="156" t="inlineStr">
        <is>
          <t>Unisex</t>
        </is>
      </c>
      <c r="M1613" s="156" t="inlineStr">
        <is>
          <t>Stetson</t>
        </is>
      </c>
      <c r="N1613" s="156" t="inlineStr">
        <is>
          <t>SS26</t>
        </is>
      </c>
      <c r="O1613" s="156" t="inlineStr">
        <is>
          <t>Seasonal</t>
        </is>
      </c>
      <c r="P1613" s="156" t="inlineStr">
        <is>
          <t>Negro</t>
        </is>
      </c>
      <c r="Q1613" s="156" t="n"/>
      <c r="R1613" s="156" t="inlineStr">
        <is>
          <t>Copa Cattleman</t>
        </is>
      </c>
      <c r="S1613" s="156" t="inlineStr">
        <is>
          <t>100% Fieltro de lana</t>
        </is>
      </c>
      <c r="T1613"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3" s="156" t="inlineStr">
        <is>
          <t>Estados Unidos</t>
        </is>
      </c>
      <c r="V1613" s="156" t="inlineStr">
        <is>
          <t>PZS</t>
        </is>
      </c>
      <c r="W1613" s="51" t="inlineStr">
        <is>
          <t>53102503</t>
        </is>
      </c>
      <c r="X1613" s="156" t="inlineStr">
        <is>
          <t>https://cdn.shopify.com/s/files/1/0888/3250/8267/files/SFSKYL-724007-06.jpg?v=1759777825</t>
        </is>
      </c>
      <c r="Y1613" s="54" t="n">
        <v>2756.25</v>
      </c>
      <c r="Z1613" s="54" t="n">
        <v>6724.137931</v>
      </c>
      <c r="AA1613" s="55">
        <f>IF(AND(A1613="", B1613="", E1613=""), "", IF(AB1613="", "Válido", IF((LEN(AB1613)-LEN(SUBSTITUTE(AB1613,"; ","")))/2+1&gt;(LEN(AB1613)-LEN(SUBSTITUTE(AB1613,"[Aviso]","")))/7, "Con Incidencias", "Válido")))</f>
        <v/>
      </c>
      <c r="AB1613" s="56">
        <f>IF(AND(A1613="", B1613="", E1613=""), "", TEXTJOIN("; ", TRUE, IF(OR(TRIM(A1613&amp;"")="", ISNUMBER(SEARCH("FALTA", A1613))), "UPC faltante/inválido", ""), IF(AND(A1613&lt;&gt;"", IFERROR(_xlfn.XMATCH(A1613,$A$2:$A$2509,0,1)&lt;&gt;_xlfn.XMATCH(A1613,$A$2:$A$2509,0,-1),FALSE)), "Código de barras duplicado", ""), IF(AND(E1613&lt;&gt;"", COUNTIF($E$2:$E$2509, E1613)&gt;1), "SKU duplicado", ""), IF(OR(J1613="", J1613=""), "[Aviso] División no capturada ()", IF(ISNA(MATCH(J1613, Criterios!$A$123:$A$126, 0)), "División no válida", "")), IF(OR(K1613="", K1613=""), "[Aviso] Categoría no capturada ()", IF(ISNA(MATCH(K1613, Criterios!$A$81:$A$120, 0)), "Categoría no válida", IF(AND(J1613&lt;&gt;"", J1613&lt;&gt;"", J1613&lt;&gt;VLOOKUP(K1613, Criterios!$A$81:$B$120, 2, FALSE)), "División no coincide con Categoría", ""))), IF(OR(L1613="", L1613=""), "[Aviso] Género no capturado ()", IF(ISNA(MATCH(L1613, Criterios!$B$123:$B$127, 0)), "Género no válido", "")), IF(OR(N1613="", N1613=""), "[Aviso] Temporada no capturada ()", IF(ISNA(MATCH(N1613, Criterios!$C$123:$C$128, 0)), "Temporada no válida", "")), IF(OR(O1613="", O1613=""), "[Aviso] Ciclo de vida no capturado ()", IF(ISNA(MATCH(O1613, Criterios!$D$123:$D$124, 0)), "Ciclo de vida no válido", ""))))</f>
        <v/>
      </c>
      <c r="AC1613" s="56" t="n"/>
      <c r="AD1613" s="51" t="n">
        <v>0</v>
      </c>
      <c r="AE1613" s="156" t="n"/>
      <c r="AF1613" s="51" t="n">
        <v>0</v>
      </c>
      <c r="AG1613" s="156" t="inlineStr">
        <is>
          <t>Catálogo existente</t>
        </is>
      </c>
      <c r="AH1613" s="156" t="inlineStr">
        <is>
          <t>Revisión 29/09/2026: Cruce de catálogo y criterios sin pendientes detectados | 01/10/2026: complementado desde Shopify Stetson México (match por código de barras): WB Fit, WB Silueta</t>
        </is>
      </c>
      <c r="AI1613" s="156" t="inlineStr">
        <is>
          <t>No</t>
        </is>
      </c>
      <c r="AJ1613" s="156" t="n"/>
      <c r="AK1613" s="155" t="inlineStr">
        <is>
          <t>Criterios: I [Q] | Shopify Stetson: producto 14786559836523 / variante 53849438060907 | Odoo: producto 14302 / plantilla 17879</t>
        </is>
      </c>
      <c r="AL1613" s="58" t="n">
        <v>2756.25</v>
      </c>
      <c r="AM1613" s="58" t="n">
        <v>6724.137931</v>
      </c>
      <c r="AN1613" s="155" t="inlineStr">
        <is>
          <t>Shopify Stetson México | Odoo Universal Unique Brands</t>
        </is>
      </c>
      <c r="AO1613" s="59" t="n">
        <v>1</v>
      </c>
      <c r="AP1613" s="59" t="n"/>
      <c r="AQ1613" s="59" t="n">
        <v>1</v>
      </c>
      <c r="AR1613" s="155" t="inlineStr">
        <is>
          <t>Shopify Stetson México › Stetson Americas: 1 | Odoo Universal Unique Brands › Bodega 25 › Bodega 25/General: 1</t>
        </is>
      </c>
    </row>
    <row r="1614">
      <c r="A1614" s="50" t="inlineStr">
        <is>
          <t>883383125016</t>
        </is>
      </c>
      <c r="B1614" s="51" t="inlineStr">
        <is>
          <t>110098</t>
        </is>
      </c>
      <c r="C1614" s="156" t="inlineStr">
        <is>
          <t>Multimarca</t>
        </is>
      </c>
      <c r="D1614" s="156" t="inlineStr">
        <is>
          <t>SFSKYL-724061</t>
        </is>
      </c>
      <c r="E1614" s="156" t="inlineStr">
        <is>
          <t>SFSKYL-72406167</t>
        </is>
      </c>
      <c r="F1614" s="156" t="inlineStr">
        <is>
          <t>6 7/8</t>
        </is>
      </c>
      <c r="G1614" s="156" t="inlineStr">
        <is>
          <t>6 7/8</t>
        </is>
      </c>
      <c r="H1614" s="156" t="inlineStr">
        <is>
          <t>Stetson</t>
        </is>
      </c>
      <c r="I1614" s="156" t="inlineStr">
        <is>
          <t>Texana Stetson Skyline Plata</t>
        </is>
      </c>
      <c r="J1614" s="156" t="inlineStr">
        <is>
          <t>Accesorios</t>
        </is>
      </c>
      <c r="K1614" s="156" t="inlineStr">
        <is>
          <t>Sombreros</t>
        </is>
      </c>
      <c r="L1614" s="156" t="inlineStr">
        <is>
          <t>Unisex</t>
        </is>
      </c>
      <c r="M1614" s="156" t="inlineStr">
        <is>
          <t>Stetson</t>
        </is>
      </c>
      <c r="N1614" s="156" t="inlineStr">
        <is>
          <t>SS26</t>
        </is>
      </c>
      <c r="O1614" s="156" t="inlineStr">
        <is>
          <t>Seasonal</t>
        </is>
      </c>
      <c r="P1614" s="156" t="inlineStr">
        <is>
          <t>Gris</t>
        </is>
      </c>
      <c r="Q1614" s="156" t="n"/>
      <c r="R1614" s="156" t="inlineStr">
        <is>
          <t>Copa Cattleman</t>
        </is>
      </c>
      <c r="S1614" s="156" t="inlineStr">
        <is>
          <t>100% Fieltro de lana</t>
        </is>
      </c>
      <c r="T1614"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4" s="156" t="inlineStr">
        <is>
          <t>Estados Unidos</t>
        </is>
      </c>
      <c r="V1614" s="156" t="inlineStr">
        <is>
          <t>PZS</t>
        </is>
      </c>
      <c r="W1614" s="51" t="inlineStr">
        <is>
          <t>53102503</t>
        </is>
      </c>
      <c r="X1614" s="156" t="inlineStr">
        <is>
          <t>https://cdn.shopify.com/s/files/1/0888/3250/8267/files/SFSKYL-724049-06.jpg?v=1759777825</t>
        </is>
      </c>
      <c r="Y1614" s="54" t="n">
        <v>2756.25</v>
      </c>
      <c r="Z1614" s="54" t="n">
        <v>6724.137931</v>
      </c>
      <c r="AA1614" s="55">
        <f>IF(AND(A1614="", B1614="", E1614=""), "", IF(AB1614="", "Válido", IF((LEN(AB1614)-LEN(SUBSTITUTE(AB1614,"; ","")))/2+1&gt;(LEN(AB1614)-LEN(SUBSTITUTE(AB1614,"[Aviso]","")))/7, "Con Incidencias", "Válido")))</f>
        <v/>
      </c>
      <c r="AB1614" s="56">
        <f>IF(AND(A1614="", B1614="", E1614=""), "", TEXTJOIN("; ", TRUE, IF(OR(TRIM(A1614&amp;"")="", ISNUMBER(SEARCH("FALTA", A1614))), "UPC faltante/inválido", ""), IF(AND(A1614&lt;&gt;"", IFERROR(_xlfn.XMATCH(A1614,$A$2:$A$2509,0,1)&lt;&gt;_xlfn.XMATCH(A1614,$A$2:$A$2509,0,-1),FALSE)), "Código de barras duplicado", ""), IF(AND(E1614&lt;&gt;"", COUNTIF($E$2:$E$2509, E1614)&gt;1), "SKU duplicado", ""), IF(OR(J1614="", J1614=""), "[Aviso] División no capturada ()", IF(ISNA(MATCH(J1614, Criterios!$A$123:$A$126, 0)), "División no válida", "")), IF(OR(K1614="", K1614=""), "[Aviso] Categoría no capturada ()", IF(ISNA(MATCH(K1614, Criterios!$A$81:$A$120, 0)), "Categoría no válida", IF(AND(J1614&lt;&gt;"", J1614&lt;&gt;"", J1614&lt;&gt;VLOOKUP(K1614, Criterios!$A$81:$B$120, 2, FALSE)), "División no coincide con Categoría", ""))), IF(OR(L1614="", L1614=""), "[Aviso] Género no capturado ()", IF(ISNA(MATCH(L1614, Criterios!$B$123:$B$127, 0)), "Género no válido", "")), IF(OR(N1614="", N1614=""), "[Aviso] Temporada no capturada ()", IF(ISNA(MATCH(N1614, Criterios!$C$123:$C$128, 0)), "Temporada no válida", "")), IF(OR(O1614="", O1614=""), "[Aviso] Ciclo de vida no capturado ()", IF(ISNA(MATCH(O1614, Criterios!$D$123:$D$124, 0)), "Ciclo de vida no válido", ""))))</f>
        <v/>
      </c>
      <c r="AC1614" s="56" t="n"/>
      <c r="AD1614" s="51" t="n">
        <v>0</v>
      </c>
      <c r="AE1614" s="156" t="inlineStr">
        <is>
          <t>STETSON AMERICAS (1)</t>
        </is>
      </c>
      <c r="AF1614" s="51" t="n">
        <v>1</v>
      </c>
      <c r="AG1614" s="156" t="inlineStr">
        <is>
          <t>Catálogo existente</t>
        </is>
      </c>
      <c r="AH161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4" s="156" t="inlineStr">
        <is>
          <t>Sí</t>
        </is>
      </c>
      <c r="AJ1614" s="156" t="inlineStr">
        <is>
          <t>PUNTO DE VENTA (-1)</t>
        </is>
      </c>
      <c r="AK1614" s="155" t="inlineStr">
        <is>
          <t>Criterios: I [Q] | Shopify Stetson: producto 14786559836523 / variante 53849467552107</t>
        </is>
      </c>
      <c r="AL1614" s="58" t="n">
        <v>2756.25</v>
      </c>
      <c r="AM1614" s="58" t="n">
        <v>6724.137931</v>
      </c>
      <c r="AN1614" s="155" t="inlineStr">
        <is>
          <t>Shopify Stetson México</t>
        </is>
      </c>
      <c r="AO1614" s="59" t="n">
        <v>-2</v>
      </c>
      <c r="AP1614" s="59" t="n"/>
      <c r="AQ1614" s="59" t="n"/>
      <c r="AR1614" s="155" t="n"/>
    </row>
    <row r="1615">
      <c r="A1615" s="50" t="inlineStr">
        <is>
          <t>883383125023</t>
        </is>
      </c>
      <c r="B1615" s="51" t="inlineStr">
        <is>
          <t>110099</t>
        </is>
      </c>
      <c r="C1615" s="156" t="inlineStr">
        <is>
          <t>Multimarca</t>
        </is>
      </c>
      <c r="D1615" s="156" t="inlineStr">
        <is>
          <t>SFSKYL-724061</t>
        </is>
      </c>
      <c r="E1615" s="156" t="inlineStr">
        <is>
          <t>SFSKYL-72406170</t>
        </is>
      </c>
      <c r="F1615" s="156" t="inlineStr">
        <is>
          <t>7</t>
        </is>
      </c>
      <c r="G1615" s="156" t="inlineStr">
        <is>
          <t>7</t>
        </is>
      </c>
      <c r="H1615" s="156" t="inlineStr">
        <is>
          <t>Stetson</t>
        </is>
      </c>
      <c r="I1615" s="156" t="inlineStr">
        <is>
          <t>Texana Stetson Skyline Plata</t>
        </is>
      </c>
      <c r="J1615" s="156" t="inlineStr">
        <is>
          <t>Accesorios</t>
        </is>
      </c>
      <c r="K1615" s="156" t="inlineStr">
        <is>
          <t>Sombreros</t>
        </is>
      </c>
      <c r="L1615" s="156" t="inlineStr">
        <is>
          <t>Unisex</t>
        </is>
      </c>
      <c r="M1615" s="156" t="inlineStr">
        <is>
          <t>Stetson</t>
        </is>
      </c>
      <c r="N1615" s="156" t="inlineStr">
        <is>
          <t>SS26</t>
        </is>
      </c>
      <c r="O1615" s="156" t="inlineStr">
        <is>
          <t>Seasonal</t>
        </is>
      </c>
      <c r="P1615" s="156" t="inlineStr">
        <is>
          <t>Gris</t>
        </is>
      </c>
      <c r="Q1615" s="156" t="n"/>
      <c r="R1615" s="156" t="inlineStr">
        <is>
          <t>Copa Cattleman</t>
        </is>
      </c>
      <c r="S1615" s="156" t="inlineStr">
        <is>
          <t>100% Fieltro de lana</t>
        </is>
      </c>
      <c r="T1615"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5" s="156" t="inlineStr">
        <is>
          <t>Estados Unidos</t>
        </is>
      </c>
      <c r="V1615" s="156" t="inlineStr">
        <is>
          <t>PZS</t>
        </is>
      </c>
      <c r="W1615" s="51" t="inlineStr">
        <is>
          <t>53102503</t>
        </is>
      </c>
      <c r="X1615" s="156" t="inlineStr">
        <is>
          <t>https://cdn.shopify.com/s/files/1/0888/3250/8267/files/SFSKYL-724049-07.jpg?v=1759777825</t>
        </is>
      </c>
      <c r="Y1615" s="54" t="n">
        <v>2756.25</v>
      </c>
      <c r="Z1615" s="54" t="n">
        <v>6724.137931</v>
      </c>
      <c r="AA1615" s="55">
        <f>IF(AND(A1615="", B1615="", E1615=""), "", IF(AB1615="", "Válido", IF((LEN(AB1615)-LEN(SUBSTITUTE(AB1615,"; ","")))/2+1&gt;(LEN(AB1615)-LEN(SUBSTITUTE(AB1615,"[Aviso]","")))/7, "Con Incidencias", "Válido")))</f>
        <v/>
      </c>
      <c r="AB1615" s="56">
        <f>IF(AND(A1615="", B1615="", E1615=""), "", TEXTJOIN("; ", TRUE, IF(OR(TRIM(A1615&amp;"")="", ISNUMBER(SEARCH("FALTA", A1615))), "UPC faltante/inválido", ""), IF(AND(A1615&lt;&gt;"", IFERROR(_xlfn.XMATCH(A1615,$A$2:$A$2509,0,1)&lt;&gt;_xlfn.XMATCH(A1615,$A$2:$A$2509,0,-1),FALSE)), "Código de barras duplicado", ""), IF(AND(E1615&lt;&gt;"", COUNTIF($E$2:$E$2509, E1615)&gt;1), "SKU duplicado", ""), IF(OR(J1615="", J1615=""), "[Aviso] División no capturada ()", IF(ISNA(MATCH(J1615, Criterios!$A$123:$A$126, 0)), "División no válida", "")), IF(OR(K1615="", K1615=""), "[Aviso] Categoría no capturada ()", IF(ISNA(MATCH(K1615, Criterios!$A$81:$A$120, 0)), "Categoría no válida", IF(AND(J1615&lt;&gt;"", J1615&lt;&gt;"", J1615&lt;&gt;VLOOKUP(K1615, Criterios!$A$81:$B$120, 2, FALSE)), "División no coincide con Categoría", ""))), IF(OR(L1615="", L1615=""), "[Aviso] Género no capturado ()", IF(ISNA(MATCH(L1615, Criterios!$B$123:$B$127, 0)), "Género no válido", "")), IF(OR(N1615="", N1615=""), "[Aviso] Temporada no capturada ()", IF(ISNA(MATCH(N1615, Criterios!$C$123:$C$128, 0)), "Temporada no válida", "")), IF(OR(O1615="", O1615=""), "[Aviso] Ciclo de vida no capturado ()", IF(ISNA(MATCH(O1615, Criterios!$D$123:$D$124, 0)), "Ciclo de vida no válido", ""))))</f>
        <v/>
      </c>
      <c r="AC1615" s="56" t="n"/>
      <c r="AD1615" s="51" t="n">
        <v>-2</v>
      </c>
      <c r="AE1615" s="156" t="n"/>
      <c r="AF1615" s="51" t="n">
        <v>0</v>
      </c>
      <c r="AG1615" s="156" t="inlineStr">
        <is>
          <t>Catálogo existente</t>
        </is>
      </c>
      <c r="AH161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15" s="156" t="inlineStr">
        <is>
          <t>Sí</t>
        </is>
      </c>
      <c r="AJ1615" s="156" t="inlineStr">
        <is>
          <t>STETSON AMERICAS (-2)</t>
        </is>
      </c>
      <c r="AK1615" s="155" t="inlineStr">
        <is>
          <t>Criterios: I [Q] | Shopify Stetson: producto 14786559836523 / variante 53849467617643</t>
        </is>
      </c>
      <c r="AL1615" s="58" t="n">
        <v>2756.25</v>
      </c>
      <c r="AM1615" s="58" t="n">
        <v>6724.137931</v>
      </c>
      <c r="AN1615" s="155" t="inlineStr">
        <is>
          <t>Shopify Stetson México</t>
        </is>
      </c>
      <c r="AO1615" s="59" t="n">
        <v>0</v>
      </c>
      <c r="AP1615" s="59" t="n"/>
      <c r="AQ1615" s="59" t="n"/>
      <c r="AR1615" s="155" t="n"/>
    </row>
    <row r="1616">
      <c r="A1616" s="50" t="inlineStr">
        <is>
          <t>883383125030</t>
        </is>
      </c>
      <c r="B1616" s="51" t="inlineStr">
        <is>
          <t>110100</t>
        </is>
      </c>
      <c r="C1616" s="156" t="inlineStr">
        <is>
          <t>Multimarca</t>
        </is>
      </c>
      <c r="D1616" s="156" t="inlineStr">
        <is>
          <t>SFSKYL-724061</t>
        </is>
      </c>
      <c r="E1616" s="156" t="inlineStr">
        <is>
          <t>SFSKYL-72406171</t>
        </is>
      </c>
      <c r="F1616" s="156" t="inlineStr">
        <is>
          <t>7 1/8</t>
        </is>
      </c>
      <c r="G1616" s="156" t="inlineStr">
        <is>
          <t>7 1/8</t>
        </is>
      </c>
      <c r="H1616" s="156" t="inlineStr">
        <is>
          <t>Stetson</t>
        </is>
      </c>
      <c r="I1616" s="156" t="inlineStr">
        <is>
          <t>Texana Stetson Skyline Plata</t>
        </is>
      </c>
      <c r="J1616" s="156" t="inlineStr">
        <is>
          <t>Accesorios</t>
        </is>
      </c>
      <c r="K1616" s="156" t="inlineStr">
        <is>
          <t>Sombreros</t>
        </is>
      </c>
      <c r="L1616" s="156" t="inlineStr">
        <is>
          <t>Unisex</t>
        </is>
      </c>
      <c r="M1616" s="156" t="inlineStr">
        <is>
          <t>Stetson</t>
        </is>
      </c>
      <c r="N1616" s="156" t="inlineStr">
        <is>
          <t>SS26</t>
        </is>
      </c>
      <c r="O1616" s="156" t="inlineStr">
        <is>
          <t>Seasonal</t>
        </is>
      </c>
      <c r="P1616" s="156" t="inlineStr">
        <is>
          <t>Gris</t>
        </is>
      </c>
      <c r="Q1616" s="156" t="n"/>
      <c r="R1616" s="156" t="inlineStr">
        <is>
          <t>Copa Cattleman</t>
        </is>
      </c>
      <c r="S1616" s="156" t="inlineStr">
        <is>
          <t>100% Fieltro de lana</t>
        </is>
      </c>
      <c r="T1616"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6" s="156" t="inlineStr">
        <is>
          <t>Estados Unidos</t>
        </is>
      </c>
      <c r="V1616" s="156" t="inlineStr">
        <is>
          <t>PZS</t>
        </is>
      </c>
      <c r="W1616" s="51" t="inlineStr">
        <is>
          <t>53102503</t>
        </is>
      </c>
      <c r="X1616" s="156" t="inlineStr">
        <is>
          <t>https://cdn.shopify.com/s/files/1/0888/3250/8267/files/SFSKYL-724061-01.jpg?v=1759777825</t>
        </is>
      </c>
      <c r="Y1616" s="54" t="n">
        <v>2756.25</v>
      </c>
      <c r="Z1616" s="54" t="n">
        <v>6724.137931</v>
      </c>
      <c r="AA1616" s="55">
        <f>IF(AND(A1616="", B1616="", E1616=""), "", IF(AB1616="", "Válido", IF((LEN(AB1616)-LEN(SUBSTITUTE(AB1616,"; ","")))/2+1&gt;(LEN(AB1616)-LEN(SUBSTITUTE(AB1616,"[Aviso]","")))/7, "Con Incidencias", "Válido")))</f>
        <v/>
      </c>
      <c r="AB1616" s="56">
        <f>IF(AND(A1616="", B1616="", E1616=""), "", TEXTJOIN("; ", TRUE, IF(OR(TRIM(A1616&amp;"")="", ISNUMBER(SEARCH("FALTA", A1616))), "UPC faltante/inválido", ""), IF(AND(A1616&lt;&gt;"", IFERROR(_xlfn.XMATCH(A1616,$A$2:$A$2509,0,1)&lt;&gt;_xlfn.XMATCH(A1616,$A$2:$A$2509,0,-1),FALSE)), "Código de barras duplicado", ""), IF(AND(E1616&lt;&gt;"", COUNTIF($E$2:$E$2509, E1616)&gt;1), "SKU duplicado", ""), IF(OR(J1616="", J1616=""), "[Aviso] División no capturada ()", IF(ISNA(MATCH(J1616, Criterios!$A$123:$A$126, 0)), "División no válida", "")), IF(OR(K1616="", K1616=""), "[Aviso] Categoría no capturada ()", IF(ISNA(MATCH(K1616, Criterios!$A$81:$A$120, 0)), "Categoría no válida", IF(AND(J1616&lt;&gt;"", J1616&lt;&gt;"", J1616&lt;&gt;VLOOKUP(K1616, Criterios!$A$81:$B$120, 2, FALSE)), "División no coincide con Categoría", ""))), IF(OR(L1616="", L1616=""), "[Aviso] Género no capturado ()", IF(ISNA(MATCH(L1616, Criterios!$B$123:$B$127, 0)), "Género no válido", "")), IF(OR(N1616="", N1616=""), "[Aviso] Temporada no capturada ()", IF(ISNA(MATCH(N1616, Criterios!$C$123:$C$128, 0)), "Temporada no válida", "")), IF(OR(O1616="", O1616=""), "[Aviso] Ciclo de vida no capturado ()", IF(ISNA(MATCH(O1616, Criterios!$D$123:$D$124, 0)), "Ciclo de vida no válido", ""))))</f>
        <v/>
      </c>
      <c r="AC1616" s="56" t="n"/>
      <c r="AD1616" s="51" t="n">
        <v>0</v>
      </c>
      <c r="AE1616" s="156" t="n"/>
      <c r="AF1616" s="51" t="n">
        <v>0</v>
      </c>
      <c r="AG1616" s="156" t="inlineStr">
        <is>
          <t>Catálogo existente</t>
        </is>
      </c>
      <c r="AH161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6" s="156" t="inlineStr">
        <is>
          <t>No</t>
        </is>
      </c>
      <c r="AJ1616" s="156" t="n"/>
      <c r="AK1616" s="155" t="inlineStr">
        <is>
          <t>Criterios: I [Q] | Shopify Stetson: producto 14786559836523 / variante 53849467683179</t>
        </is>
      </c>
      <c r="AL1616" s="58" t="n">
        <v>2756.25</v>
      </c>
      <c r="AM1616" s="58" t="n">
        <v>6724.137931</v>
      </c>
      <c r="AN1616" s="155" t="inlineStr">
        <is>
          <t>Shopify Stetson México</t>
        </is>
      </c>
      <c r="AO1616" s="59" t="n">
        <v>0</v>
      </c>
      <c r="AP1616" s="59" t="n"/>
      <c r="AQ1616" s="59" t="n"/>
      <c r="AR1616" s="155" t="n"/>
    </row>
    <row r="1617">
      <c r="A1617" s="50" t="inlineStr">
        <is>
          <t>883383125047</t>
        </is>
      </c>
      <c r="B1617" s="51" t="inlineStr">
        <is>
          <t>110101</t>
        </is>
      </c>
      <c r="C1617" s="156" t="inlineStr">
        <is>
          <t>Multimarca</t>
        </is>
      </c>
      <c r="D1617" s="156" t="inlineStr">
        <is>
          <t>SFSKYL-724061</t>
        </is>
      </c>
      <c r="E1617" s="156" t="inlineStr">
        <is>
          <t>SFSKYL-72406172</t>
        </is>
      </c>
      <c r="F1617" s="156" t="inlineStr">
        <is>
          <t>7 1/4</t>
        </is>
      </c>
      <c r="G1617" s="156" t="inlineStr">
        <is>
          <t>7 1/4</t>
        </is>
      </c>
      <c r="H1617" s="156" t="inlineStr">
        <is>
          <t>Stetson</t>
        </is>
      </c>
      <c r="I1617" s="156" t="inlineStr">
        <is>
          <t>Texana Stetson Skyline Plata</t>
        </is>
      </c>
      <c r="J1617" s="156" t="inlineStr">
        <is>
          <t>Accesorios</t>
        </is>
      </c>
      <c r="K1617" s="156" t="inlineStr">
        <is>
          <t>Sombreros</t>
        </is>
      </c>
      <c r="L1617" s="156" t="inlineStr">
        <is>
          <t>Unisex</t>
        </is>
      </c>
      <c r="M1617" s="156" t="inlineStr">
        <is>
          <t>Stetson</t>
        </is>
      </c>
      <c r="N1617" s="156" t="inlineStr">
        <is>
          <t>SS26</t>
        </is>
      </c>
      <c r="O1617" s="156" t="inlineStr">
        <is>
          <t>Seasonal</t>
        </is>
      </c>
      <c r="P1617" s="156" t="inlineStr">
        <is>
          <t>Gris</t>
        </is>
      </c>
      <c r="Q1617" s="156" t="n"/>
      <c r="R1617" s="156" t="inlineStr">
        <is>
          <t>Copa Cattleman</t>
        </is>
      </c>
      <c r="S1617" s="156" t="inlineStr">
        <is>
          <t>100% Fieltro de lana</t>
        </is>
      </c>
      <c r="T1617"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7" s="156" t="inlineStr">
        <is>
          <t>Estados Unidos</t>
        </is>
      </c>
      <c r="V1617" s="156" t="inlineStr">
        <is>
          <t>PZS</t>
        </is>
      </c>
      <c r="W1617" s="51" t="inlineStr">
        <is>
          <t>53102503</t>
        </is>
      </c>
      <c r="X1617" s="156" t="inlineStr">
        <is>
          <t>https://cdn.shopify.com/s/files/1/0888/3250/8267/files/SFSKYL-724061-02.jpg?v=1759777825</t>
        </is>
      </c>
      <c r="Y1617" s="54" t="n">
        <v>2756.25</v>
      </c>
      <c r="Z1617" s="54" t="n">
        <v>6724.137931</v>
      </c>
      <c r="AA1617" s="55">
        <f>IF(AND(A1617="", B1617="", E1617=""), "", IF(AB1617="", "Válido", IF((LEN(AB1617)-LEN(SUBSTITUTE(AB1617,"; ","")))/2+1&gt;(LEN(AB1617)-LEN(SUBSTITUTE(AB1617,"[Aviso]","")))/7, "Con Incidencias", "Válido")))</f>
        <v/>
      </c>
      <c r="AB1617" s="56">
        <f>IF(AND(A1617="", B1617="", E1617=""), "", TEXTJOIN("; ", TRUE, IF(OR(TRIM(A1617&amp;"")="", ISNUMBER(SEARCH("FALTA", A1617))), "UPC faltante/inválido", ""), IF(AND(A1617&lt;&gt;"", IFERROR(_xlfn.XMATCH(A1617,$A$2:$A$2509,0,1)&lt;&gt;_xlfn.XMATCH(A1617,$A$2:$A$2509,0,-1),FALSE)), "Código de barras duplicado", ""), IF(AND(E1617&lt;&gt;"", COUNTIF($E$2:$E$2509, E1617)&gt;1), "SKU duplicado", ""), IF(OR(J1617="", J1617=""), "[Aviso] División no capturada ()", IF(ISNA(MATCH(J1617, Criterios!$A$123:$A$126, 0)), "División no válida", "")), IF(OR(K1617="", K1617=""), "[Aviso] Categoría no capturada ()", IF(ISNA(MATCH(K1617, Criterios!$A$81:$A$120, 0)), "Categoría no válida", IF(AND(J1617&lt;&gt;"", J1617&lt;&gt;"", J1617&lt;&gt;VLOOKUP(K1617, Criterios!$A$81:$B$120, 2, FALSE)), "División no coincide con Categoría", ""))), IF(OR(L1617="", L1617=""), "[Aviso] Género no capturado ()", IF(ISNA(MATCH(L1617, Criterios!$B$123:$B$127, 0)), "Género no válido", "")), IF(OR(N1617="", N1617=""), "[Aviso] Temporada no capturada ()", IF(ISNA(MATCH(N1617, Criterios!$C$123:$C$128, 0)), "Temporada no válida", "")), IF(OR(O1617="", O1617=""), "[Aviso] Ciclo de vida no capturado ()", IF(ISNA(MATCH(O1617, Criterios!$D$123:$D$124, 0)), "Ciclo de vida no válido", ""))))</f>
        <v/>
      </c>
      <c r="AC1617" s="56" t="n"/>
      <c r="AD1617" s="51" t="n">
        <v>-1</v>
      </c>
      <c r="AE1617" s="156" t="inlineStr">
        <is>
          <t>STETSON AMERICAS (1)</t>
        </is>
      </c>
      <c r="AF1617" s="51" t="n">
        <v>1</v>
      </c>
      <c r="AG1617" s="156" t="inlineStr">
        <is>
          <t>Catálogo existente</t>
        </is>
      </c>
      <c r="AH161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17" s="156" t="inlineStr">
        <is>
          <t>Sí</t>
        </is>
      </c>
      <c r="AJ1617" s="156" t="inlineStr">
        <is>
          <t>PUNTO DE VENTA (-2)</t>
        </is>
      </c>
      <c r="AK1617" s="155" t="inlineStr">
        <is>
          <t>Criterios: I [Q] | Shopify Stetson: producto 14786559836523 / variante 53849467748715</t>
        </is>
      </c>
      <c r="AL1617" s="58" t="n">
        <v>2756.25</v>
      </c>
      <c r="AM1617" s="58" t="n">
        <v>6724.137931</v>
      </c>
      <c r="AN1617" s="155" t="inlineStr">
        <is>
          <t>Shopify Stetson México</t>
        </is>
      </c>
      <c r="AO1617" s="59" t="n">
        <v>0</v>
      </c>
      <c r="AP1617" s="59" t="n"/>
      <c r="AQ1617" s="59" t="n"/>
      <c r="AR1617" s="155" t="n"/>
    </row>
    <row r="1618">
      <c r="A1618" s="50" t="inlineStr">
        <is>
          <t>883383125054</t>
        </is>
      </c>
      <c r="B1618" s="51" t="inlineStr">
        <is>
          <t>110102</t>
        </is>
      </c>
      <c r="C1618" s="156" t="inlineStr">
        <is>
          <t>Multimarca</t>
        </is>
      </c>
      <c r="D1618" s="156" t="inlineStr">
        <is>
          <t>SFSKYL-724061</t>
        </is>
      </c>
      <c r="E1618" s="156" t="inlineStr">
        <is>
          <t>SFSKYL-72406173</t>
        </is>
      </c>
      <c r="F1618" s="156" t="inlineStr">
        <is>
          <t>7 3/8</t>
        </is>
      </c>
      <c r="G1618" s="156" t="inlineStr">
        <is>
          <t>7 3/8</t>
        </is>
      </c>
      <c r="H1618" s="156" t="inlineStr">
        <is>
          <t>Stetson</t>
        </is>
      </c>
      <c r="I1618" s="156" t="inlineStr">
        <is>
          <t>Texana Stetson Skyline Plata</t>
        </is>
      </c>
      <c r="J1618" s="156" t="inlineStr">
        <is>
          <t>Accesorios</t>
        </is>
      </c>
      <c r="K1618" s="156" t="inlineStr">
        <is>
          <t>Sombreros</t>
        </is>
      </c>
      <c r="L1618" s="156" t="inlineStr">
        <is>
          <t>Unisex</t>
        </is>
      </c>
      <c r="M1618" s="156" t="inlineStr">
        <is>
          <t>Stetson</t>
        </is>
      </c>
      <c r="N1618" s="156" t="inlineStr">
        <is>
          <t>SS26</t>
        </is>
      </c>
      <c r="O1618" s="156" t="inlineStr">
        <is>
          <t>Seasonal</t>
        </is>
      </c>
      <c r="P1618" s="156" t="inlineStr">
        <is>
          <t>Gris</t>
        </is>
      </c>
      <c r="Q1618" s="156" t="n"/>
      <c r="R1618" s="156" t="inlineStr">
        <is>
          <t>Copa Cattleman</t>
        </is>
      </c>
      <c r="S1618" s="156" t="inlineStr">
        <is>
          <t>100% Fieltro de lana</t>
        </is>
      </c>
      <c r="T1618"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8" s="156" t="inlineStr">
        <is>
          <t>Estados Unidos</t>
        </is>
      </c>
      <c r="V1618" s="156" t="inlineStr">
        <is>
          <t>PZS</t>
        </is>
      </c>
      <c r="W1618" s="51" t="inlineStr">
        <is>
          <t>53102503</t>
        </is>
      </c>
      <c r="X1618" s="156" t="inlineStr">
        <is>
          <t>https://cdn.shopify.com/s/files/1/0888/3250/8267/files/SFSKYL-724061-03.jpg?v=1759777825</t>
        </is>
      </c>
      <c r="Y1618" s="54" t="n">
        <v>2756.25</v>
      </c>
      <c r="Z1618" s="54" t="n">
        <v>6724.137931</v>
      </c>
      <c r="AA1618" s="55">
        <f>IF(AND(A1618="", B1618="", E1618=""), "", IF(AB1618="", "Válido", IF((LEN(AB1618)-LEN(SUBSTITUTE(AB1618,"; ","")))/2+1&gt;(LEN(AB1618)-LEN(SUBSTITUTE(AB1618,"[Aviso]","")))/7, "Con Incidencias", "Válido")))</f>
        <v/>
      </c>
      <c r="AB1618" s="56">
        <f>IF(AND(A1618="", B1618="", E1618=""), "", TEXTJOIN("; ", TRUE, IF(OR(TRIM(A1618&amp;"")="", ISNUMBER(SEARCH("FALTA", A1618))), "UPC faltante/inválido", ""), IF(AND(A1618&lt;&gt;"", IFERROR(_xlfn.XMATCH(A1618,$A$2:$A$2509,0,1)&lt;&gt;_xlfn.XMATCH(A1618,$A$2:$A$2509,0,-1),FALSE)), "Código de barras duplicado", ""), IF(AND(E1618&lt;&gt;"", COUNTIF($E$2:$E$2509, E1618)&gt;1), "SKU duplicado", ""), IF(OR(J1618="", J1618=""), "[Aviso] División no capturada ()", IF(ISNA(MATCH(J1618, Criterios!$A$123:$A$126, 0)), "División no válida", "")), IF(OR(K1618="", K1618=""), "[Aviso] Categoría no capturada ()", IF(ISNA(MATCH(K1618, Criterios!$A$81:$A$120, 0)), "Categoría no válida", IF(AND(J1618&lt;&gt;"", J1618&lt;&gt;"", J1618&lt;&gt;VLOOKUP(K1618, Criterios!$A$81:$B$120, 2, FALSE)), "División no coincide con Categoría", ""))), IF(OR(L1618="", L1618=""), "[Aviso] Género no capturado ()", IF(ISNA(MATCH(L1618, Criterios!$B$123:$B$127, 0)), "Género no válido", "")), IF(OR(N1618="", N1618=""), "[Aviso] Temporada no capturada ()", IF(ISNA(MATCH(N1618, Criterios!$C$123:$C$128, 0)), "Temporada no válida", "")), IF(OR(O1618="", O1618=""), "[Aviso] Ciclo de vida no capturado ()", IF(ISNA(MATCH(O1618, Criterios!$D$123:$D$124, 0)), "Ciclo de vida no válido", ""))))</f>
        <v/>
      </c>
      <c r="AC1618" s="56" t="n"/>
      <c r="AD1618" s="51" t="n">
        <v>1</v>
      </c>
      <c r="AE1618" s="156" t="inlineStr">
        <is>
          <t>PUNTO DE VENTA (1); B25 STETSON.MX (1)</t>
        </is>
      </c>
      <c r="AF1618" s="51" t="n">
        <v>2</v>
      </c>
      <c r="AG1618" s="156" t="inlineStr">
        <is>
          <t>Catálogo existente</t>
        </is>
      </c>
      <c r="AH161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8" s="156" t="inlineStr">
        <is>
          <t>Sí</t>
        </is>
      </c>
      <c r="AJ1618" s="156" t="inlineStr">
        <is>
          <t>STETSON AMERICAS (-1)</t>
        </is>
      </c>
      <c r="AK1618" s="155" t="inlineStr">
        <is>
          <t>Criterios: I [Q] | Shopify Stetson: producto 14786559836523 / variante 53849467814251</t>
        </is>
      </c>
      <c r="AL1618" s="58" t="n">
        <v>2756.25</v>
      </c>
      <c r="AM1618" s="58" t="n">
        <v>6724.137931</v>
      </c>
      <c r="AN1618" s="155" t="inlineStr">
        <is>
          <t>Shopify Stetson México</t>
        </is>
      </c>
      <c r="AO1618" s="59" t="n">
        <v>2</v>
      </c>
      <c r="AP1618" s="59" t="n"/>
      <c r="AQ1618" s="59" t="n"/>
      <c r="AR1618" s="155" t="inlineStr">
        <is>
          <t>Shopify Stetson México › Stetson Americas: 1 | Shopify Stetson México › Stetson México: 1</t>
        </is>
      </c>
    </row>
    <row r="1619">
      <c r="A1619" s="50" t="inlineStr">
        <is>
          <t>883383125061</t>
        </is>
      </c>
      <c r="B1619" s="51" t="inlineStr">
        <is>
          <t>110103</t>
        </is>
      </c>
      <c r="C1619" s="156" t="inlineStr">
        <is>
          <t>Multimarca</t>
        </is>
      </c>
      <c r="D1619" s="156" t="inlineStr">
        <is>
          <t>SFSKYL-724061</t>
        </is>
      </c>
      <c r="E1619" s="156" t="inlineStr">
        <is>
          <t>SFSKYL-72406174</t>
        </is>
      </c>
      <c r="F1619" s="156" t="inlineStr">
        <is>
          <t>7 1/2</t>
        </is>
      </c>
      <c r="G1619" s="156" t="inlineStr">
        <is>
          <t>7 1/2</t>
        </is>
      </c>
      <c r="H1619" s="156" t="inlineStr">
        <is>
          <t>Stetson</t>
        </is>
      </c>
      <c r="I1619" s="156" t="inlineStr">
        <is>
          <t>Texana Stetson Skyline Plata</t>
        </is>
      </c>
      <c r="J1619" s="156" t="inlineStr">
        <is>
          <t>Accesorios</t>
        </is>
      </c>
      <c r="K1619" s="156" t="inlineStr">
        <is>
          <t>Sombreros</t>
        </is>
      </c>
      <c r="L1619" s="156" t="inlineStr">
        <is>
          <t>Unisex</t>
        </is>
      </c>
      <c r="M1619" s="156" t="inlineStr">
        <is>
          <t>Stetson</t>
        </is>
      </c>
      <c r="N1619" s="156" t="inlineStr">
        <is>
          <t>SS26</t>
        </is>
      </c>
      <c r="O1619" s="156" t="inlineStr">
        <is>
          <t>Seasonal</t>
        </is>
      </c>
      <c r="P1619" s="156" t="inlineStr">
        <is>
          <t>Gris</t>
        </is>
      </c>
      <c r="Q1619" s="156" t="n"/>
      <c r="R1619" s="156" t="inlineStr">
        <is>
          <t>Copa Cattleman</t>
        </is>
      </c>
      <c r="S1619" s="156" t="inlineStr">
        <is>
          <t>100% Fieltro de lana</t>
        </is>
      </c>
      <c r="T1619"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9" s="156" t="inlineStr">
        <is>
          <t>Estados Unidos</t>
        </is>
      </c>
      <c r="V1619" s="156" t="inlineStr">
        <is>
          <t>PZS</t>
        </is>
      </c>
      <c r="W1619" s="51" t="inlineStr">
        <is>
          <t>53102503</t>
        </is>
      </c>
      <c r="X1619" s="156" t="inlineStr">
        <is>
          <t>https://cdn.shopify.com/s/files/1/0888/3250/8267/files/SFSKYL-724061-04.jpg?v=1759777825</t>
        </is>
      </c>
      <c r="Y1619" s="54" t="n">
        <v>2756.25</v>
      </c>
      <c r="Z1619" s="54" t="n">
        <v>6724.137931</v>
      </c>
      <c r="AA1619" s="55">
        <f>IF(AND(A1619="", B1619="", E1619=""), "", IF(AB1619="", "Válido", IF((LEN(AB1619)-LEN(SUBSTITUTE(AB1619,"; ","")))/2+1&gt;(LEN(AB1619)-LEN(SUBSTITUTE(AB1619,"[Aviso]","")))/7, "Con Incidencias", "Válido")))</f>
        <v/>
      </c>
      <c r="AB1619" s="56">
        <f>IF(AND(A1619="", B1619="", E1619=""), "", TEXTJOIN("; ", TRUE, IF(OR(TRIM(A1619&amp;"")="", ISNUMBER(SEARCH("FALTA", A1619))), "UPC faltante/inválido", ""), IF(AND(A1619&lt;&gt;"", IFERROR(_xlfn.XMATCH(A1619,$A$2:$A$2509,0,1)&lt;&gt;_xlfn.XMATCH(A1619,$A$2:$A$2509,0,-1),FALSE)), "Código de barras duplicado", ""), IF(AND(E1619&lt;&gt;"", COUNTIF($E$2:$E$2509, E1619)&gt;1), "SKU duplicado", ""), IF(OR(J1619="", J1619=""), "[Aviso] División no capturada ()", IF(ISNA(MATCH(J1619, Criterios!$A$123:$A$126, 0)), "División no válida", "")), IF(OR(K1619="", K1619=""), "[Aviso] Categoría no capturada ()", IF(ISNA(MATCH(K1619, Criterios!$A$81:$A$120, 0)), "Categoría no válida", IF(AND(J1619&lt;&gt;"", J1619&lt;&gt;"", J1619&lt;&gt;VLOOKUP(K1619, Criterios!$A$81:$B$120, 2, FALSE)), "División no coincide con Categoría", ""))), IF(OR(L1619="", L1619=""), "[Aviso] Género no capturado ()", IF(ISNA(MATCH(L1619, Criterios!$B$123:$B$127, 0)), "Género no válido", "")), IF(OR(N1619="", N1619=""), "[Aviso] Temporada no capturada ()", IF(ISNA(MATCH(N1619, Criterios!$C$123:$C$128, 0)), "Temporada no válida", "")), IF(OR(O1619="", O1619=""), "[Aviso] Ciclo de vida no capturado ()", IF(ISNA(MATCH(O1619, Criterios!$D$123:$D$124, 0)), "Ciclo de vida no válido", ""))))</f>
        <v/>
      </c>
      <c r="AC1619" s="56" t="n"/>
      <c r="AD1619" s="51" t="n">
        <v>0</v>
      </c>
      <c r="AE1619" s="156" t="n"/>
      <c r="AF1619" s="51" t="n">
        <v>0</v>
      </c>
      <c r="AG1619" s="156" t="inlineStr">
        <is>
          <t>Catálogo existente</t>
        </is>
      </c>
      <c r="AH161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9" s="156" t="inlineStr">
        <is>
          <t>No</t>
        </is>
      </c>
      <c r="AJ1619" s="156" t="n"/>
      <c r="AK1619" s="155" t="inlineStr">
        <is>
          <t>Criterios: I [Q] | Shopify Stetson: producto 14786559836523 / variante 53849467879787</t>
        </is>
      </c>
      <c r="AL1619" s="58" t="n">
        <v>2756.25</v>
      </c>
      <c r="AM1619" s="58" t="n">
        <v>6724.137931</v>
      </c>
      <c r="AN1619" s="155" t="inlineStr">
        <is>
          <t>Shopify Stetson México</t>
        </is>
      </c>
      <c r="AO1619" s="59" t="n">
        <v>0</v>
      </c>
      <c r="AP1619" s="59" t="n"/>
      <c r="AQ1619" s="59" t="n"/>
      <c r="AR1619" s="155" t="n"/>
    </row>
    <row r="1620">
      <c r="A1620" s="50" t="inlineStr">
        <is>
          <t>883383139174</t>
        </is>
      </c>
      <c r="B1620" s="51" t="inlineStr">
        <is>
          <t>110092</t>
        </is>
      </c>
      <c r="C1620" s="156" t="inlineStr">
        <is>
          <t>Multimarca</t>
        </is>
      </c>
      <c r="D1620" s="156" t="inlineStr">
        <is>
          <t>SFSKYL-724049</t>
        </is>
      </c>
      <c r="E1620" s="156" t="inlineStr">
        <is>
          <t>SFSKYL-72404967</t>
        </is>
      </c>
      <c r="F1620" s="156" t="inlineStr">
        <is>
          <t>6 7/8</t>
        </is>
      </c>
      <c r="G1620" s="156" t="inlineStr">
        <is>
          <t>6 7/8</t>
        </is>
      </c>
      <c r="H1620" s="156" t="inlineStr">
        <is>
          <t>Stetson</t>
        </is>
      </c>
      <c r="I1620" s="156" t="inlineStr">
        <is>
          <t>Texana Stetson Skyline Granito</t>
        </is>
      </c>
      <c r="J1620" s="156" t="inlineStr">
        <is>
          <t>Accesorios</t>
        </is>
      </c>
      <c r="K1620" s="156" t="inlineStr">
        <is>
          <t>Sombreros</t>
        </is>
      </c>
      <c r="L1620" s="156" t="inlineStr">
        <is>
          <t>Unisex</t>
        </is>
      </c>
      <c r="M1620" s="156" t="inlineStr">
        <is>
          <t>Stetson</t>
        </is>
      </c>
      <c r="N1620" s="156" t="inlineStr">
        <is>
          <t>SS26</t>
        </is>
      </c>
      <c r="O1620" s="156" t="inlineStr">
        <is>
          <t>Seasonal</t>
        </is>
      </c>
      <c r="P1620" s="156" t="inlineStr">
        <is>
          <t>Gris</t>
        </is>
      </c>
      <c r="Q1620" s="156" t="n"/>
      <c r="R1620" s="156" t="inlineStr">
        <is>
          <t>Copa Cattleman</t>
        </is>
      </c>
      <c r="S1620" s="156" t="inlineStr">
        <is>
          <t>100% Fieltro de lana</t>
        </is>
      </c>
      <c r="T1620"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0" s="156" t="inlineStr">
        <is>
          <t>Estados Unidos</t>
        </is>
      </c>
      <c r="V1620" s="156" t="inlineStr">
        <is>
          <t>PZS</t>
        </is>
      </c>
      <c r="W1620" s="51" t="inlineStr">
        <is>
          <t>53102503</t>
        </is>
      </c>
      <c r="X1620" s="156" t="inlineStr">
        <is>
          <t>https://cdn.shopify.com/s/files/1/0888/3250/8267/files/SFSKYL-724007-07.jpg?v=1759777825</t>
        </is>
      </c>
      <c r="Y1620" s="54" t="n">
        <v>2756.25</v>
      </c>
      <c r="Z1620" s="54" t="n">
        <v>6724.137931</v>
      </c>
      <c r="AA1620" s="55">
        <f>IF(AND(A1620="", B1620="", E1620=""), "", IF(AB1620="", "Válido", IF((LEN(AB1620)-LEN(SUBSTITUTE(AB1620,"; ","")))/2+1&gt;(LEN(AB1620)-LEN(SUBSTITUTE(AB1620,"[Aviso]","")))/7, "Con Incidencias", "Válido")))</f>
        <v/>
      </c>
      <c r="AB1620" s="56">
        <f>IF(AND(A1620="", B1620="", E1620=""), "", TEXTJOIN("; ", TRUE, IF(OR(TRIM(A1620&amp;"")="", ISNUMBER(SEARCH("FALTA", A1620))), "UPC faltante/inválido", ""), IF(AND(A1620&lt;&gt;"", IFERROR(_xlfn.XMATCH(A1620,$A$2:$A$2509,0,1)&lt;&gt;_xlfn.XMATCH(A1620,$A$2:$A$2509,0,-1),FALSE)), "Código de barras duplicado", ""), IF(AND(E1620&lt;&gt;"", COUNTIF($E$2:$E$2509, E1620)&gt;1), "SKU duplicado", ""), IF(OR(J1620="", J1620=""), "[Aviso] División no capturada ()", IF(ISNA(MATCH(J1620, Criterios!$A$123:$A$126, 0)), "División no válida", "")), IF(OR(K1620="", K1620=""), "[Aviso] Categoría no capturada ()", IF(ISNA(MATCH(K1620, Criterios!$A$81:$A$120, 0)), "Categoría no válida", IF(AND(J1620&lt;&gt;"", J1620&lt;&gt;"", J1620&lt;&gt;VLOOKUP(K1620, Criterios!$A$81:$B$120, 2, FALSE)), "División no coincide con Categoría", ""))), IF(OR(L1620="", L1620=""), "[Aviso] Género no capturado ()", IF(ISNA(MATCH(L1620, Criterios!$B$123:$B$127, 0)), "Género no válido", "")), IF(OR(N1620="", N1620=""), "[Aviso] Temporada no capturada ()", IF(ISNA(MATCH(N1620, Criterios!$C$123:$C$128, 0)), "Temporada no válida", "")), IF(OR(O1620="", O1620=""), "[Aviso] Ciclo de vida no capturado ()", IF(ISNA(MATCH(O1620, Criterios!$D$123:$D$124, 0)), "Ciclo de vida no válido", ""))))</f>
        <v/>
      </c>
      <c r="AC1620" s="56" t="n"/>
      <c r="AD1620" s="51" t="n">
        <v>-1</v>
      </c>
      <c r="AE1620" s="156" t="n"/>
      <c r="AF1620" s="51" t="n">
        <v>0</v>
      </c>
      <c r="AG1620" s="156" t="inlineStr">
        <is>
          <t>Catálogo existente</t>
        </is>
      </c>
      <c r="AH162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0" s="156" t="inlineStr">
        <is>
          <t>Sí</t>
        </is>
      </c>
      <c r="AJ1620" s="156" t="inlineStr">
        <is>
          <t>STETSON AMERICAS (-1)</t>
        </is>
      </c>
      <c r="AK1620" s="155" t="inlineStr">
        <is>
          <t>Criterios: I [Q] | Shopify Stetson: producto 14786559836523 / variante 53849438290283</t>
        </is>
      </c>
      <c r="AL1620" s="58" t="n">
        <v>2756.25</v>
      </c>
      <c r="AM1620" s="58" t="n">
        <v>6724.137931</v>
      </c>
      <c r="AN1620" s="155" t="inlineStr">
        <is>
          <t>Shopify Stetson México</t>
        </is>
      </c>
      <c r="AO1620" s="59" t="n">
        <v>0</v>
      </c>
      <c r="AP1620" s="59" t="n"/>
      <c r="AQ1620" s="59" t="n"/>
      <c r="AR1620" s="155" t="n"/>
    </row>
    <row r="1621">
      <c r="A1621" s="50" t="inlineStr">
        <is>
          <t>883383139181</t>
        </is>
      </c>
      <c r="B1621" s="51" t="inlineStr">
        <is>
          <t>110093</t>
        </is>
      </c>
      <c r="C1621" s="156" t="inlineStr">
        <is>
          <t>Multimarca</t>
        </is>
      </c>
      <c r="D1621" s="156" t="inlineStr">
        <is>
          <t>SFSKYL-724049</t>
        </is>
      </c>
      <c r="E1621" s="156" t="inlineStr">
        <is>
          <t>SFSKYL-72404970</t>
        </is>
      </c>
      <c r="F1621" s="156" t="inlineStr">
        <is>
          <t>7</t>
        </is>
      </c>
      <c r="G1621" s="156" t="inlineStr">
        <is>
          <t>7</t>
        </is>
      </c>
      <c r="H1621" s="156" t="inlineStr">
        <is>
          <t>Stetson</t>
        </is>
      </c>
      <c r="I1621" s="156" t="inlineStr">
        <is>
          <t>Texana Stetson Skyline Granito</t>
        </is>
      </c>
      <c r="J1621" s="156" t="inlineStr">
        <is>
          <t>Accesorios</t>
        </is>
      </c>
      <c r="K1621" s="156" t="inlineStr">
        <is>
          <t>Sombreros</t>
        </is>
      </c>
      <c r="L1621" s="156" t="inlineStr">
        <is>
          <t>Unisex</t>
        </is>
      </c>
      <c r="M1621" s="156" t="inlineStr">
        <is>
          <t>Stetson</t>
        </is>
      </c>
      <c r="N1621" s="156" t="inlineStr">
        <is>
          <t>SS26</t>
        </is>
      </c>
      <c r="O1621" s="156" t="inlineStr">
        <is>
          <t>Seasonal</t>
        </is>
      </c>
      <c r="P1621" s="156" t="inlineStr">
        <is>
          <t>Gris</t>
        </is>
      </c>
      <c r="Q1621" s="156" t="n"/>
      <c r="R1621" s="156" t="inlineStr">
        <is>
          <t>Copa Cattleman</t>
        </is>
      </c>
      <c r="S1621" s="156" t="inlineStr">
        <is>
          <t>100% Fieltro de lana</t>
        </is>
      </c>
      <c r="T1621"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1" s="156" t="inlineStr">
        <is>
          <t>Estados Unidos</t>
        </is>
      </c>
      <c r="V1621" s="156" t="inlineStr">
        <is>
          <t>PZS</t>
        </is>
      </c>
      <c r="W1621" s="51" t="inlineStr">
        <is>
          <t>53102503</t>
        </is>
      </c>
      <c r="X1621" s="156" t="inlineStr">
        <is>
          <t>https://cdn.shopify.com/s/files/1/0888/3250/8267/files/SFSKYL-724049-01.jpg?v=1759777824</t>
        </is>
      </c>
      <c r="Y1621" s="54" t="n">
        <v>2756.25</v>
      </c>
      <c r="Z1621" s="54" t="n">
        <v>6724.137931</v>
      </c>
      <c r="AA1621" s="55">
        <f>IF(AND(A1621="", B1621="", E1621=""), "", IF(AB1621="", "Válido", IF((LEN(AB1621)-LEN(SUBSTITUTE(AB1621,"; ","")))/2+1&gt;(LEN(AB1621)-LEN(SUBSTITUTE(AB1621,"[Aviso]","")))/7, "Con Incidencias", "Válido")))</f>
        <v/>
      </c>
      <c r="AB1621" s="56">
        <f>IF(AND(A1621="", B1621="", E1621=""), "", TEXTJOIN("; ", TRUE, IF(OR(TRIM(A1621&amp;"")="", ISNUMBER(SEARCH("FALTA", A1621))), "UPC faltante/inválido", ""), IF(AND(A1621&lt;&gt;"", IFERROR(_xlfn.XMATCH(A1621,$A$2:$A$2509,0,1)&lt;&gt;_xlfn.XMATCH(A1621,$A$2:$A$2509,0,-1),FALSE)), "Código de barras duplicado", ""), IF(AND(E1621&lt;&gt;"", COUNTIF($E$2:$E$2509, E1621)&gt;1), "SKU duplicado", ""), IF(OR(J1621="", J1621=""), "[Aviso] División no capturada ()", IF(ISNA(MATCH(J1621, Criterios!$A$123:$A$126, 0)), "División no válida", "")), IF(OR(K1621="", K1621=""), "[Aviso] Categoría no capturada ()", IF(ISNA(MATCH(K1621, Criterios!$A$81:$A$120, 0)), "Categoría no válida", IF(AND(J1621&lt;&gt;"", J1621&lt;&gt;"", J1621&lt;&gt;VLOOKUP(K1621, Criterios!$A$81:$B$120, 2, FALSE)), "División no coincide con Categoría", ""))), IF(OR(L1621="", L1621=""), "[Aviso] Género no capturado ()", IF(ISNA(MATCH(L1621, Criterios!$B$123:$B$127, 0)), "Género no válido", "")), IF(OR(N1621="", N1621=""), "[Aviso] Temporada no capturada ()", IF(ISNA(MATCH(N1621, Criterios!$C$123:$C$128, 0)), "Temporada no válida", "")), IF(OR(O1621="", O1621=""), "[Aviso] Ciclo de vida no capturado ()", IF(ISNA(MATCH(O1621, Criterios!$D$123:$D$124, 0)), "Ciclo de vida no válido", ""))))</f>
        <v/>
      </c>
      <c r="AC1621" s="56" t="n"/>
      <c r="AD1621" s="51" t="n">
        <v>-1</v>
      </c>
      <c r="AE1621" s="156" t="n"/>
      <c r="AF1621" s="51" t="n">
        <v>0</v>
      </c>
      <c r="AG1621" s="156" t="inlineStr">
        <is>
          <t>Catálogo existente</t>
        </is>
      </c>
      <c r="AH162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621" s="156" t="inlineStr">
        <is>
          <t>Sí</t>
        </is>
      </c>
      <c r="AJ1621" s="156" t="inlineStr">
        <is>
          <t>STETSON AMERICAS (-1)</t>
        </is>
      </c>
      <c r="AK1621" s="155" t="inlineStr">
        <is>
          <t>Criterios: I [Q] | Shopify Stetson: producto 14786559836523 / variante 53849438323051 | Odoo: producto 14303 / plantilla 17880</t>
        </is>
      </c>
      <c r="AL1621" s="58" t="n">
        <v>2756.25</v>
      </c>
      <c r="AM1621" s="58" t="n">
        <v>6724.137931</v>
      </c>
      <c r="AN1621" s="155" t="inlineStr">
        <is>
          <t>Shopify Stetson México | Odoo Universal Unique Brands</t>
        </is>
      </c>
      <c r="AO1621" s="59" t="n">
        <v>0</v>
      </c>
      <c r="AP1621" s="59" t="n"/>
      <c r="AQ1621" s="59" t="n">
        <v>1</v>
      </c>
      <c r="AR1621" s="155" t="inlineStr">
        <is>
          <t>Odoo Universal Unique Brands › Bodega 25 › Bodega 25/General: 1</t>
        </is>
      </c>
    </row>
    <row r="1622">
      <c r="A1622" s="50" t="inlineStr">
        <is>
          <t>883383139198</t>
        </is>
      </c>
      <c r="B1622" s="51" t="inlineStr">
        <is>
          <t>110094</t>
        </is>
      </c>
      <c r="C1622" s="156" t="inlineStr">
        <is>
          <t>Multimarca</t>
        </is>
      </c>
      <c r="D1622" s="156" t="inlineStr">
        <is>
          <t>SFSKYL-724049</t>
        </is>
      </c>
      <c r="E1622" s="156" t="inlineStr">
        <is>
          <t>SFSKYL-72404972</t>
        </is>
      </c>
      <c r="F1622" s="156" t="inlineStr">
        <is>
          <t>7 1/4</t>
        </is>
      </c>
      <c r="G1622" s="156" t="inlineStr">
        <is>
          <t>7 1/4</t>
        </is>
      </c>
      <c r="H1622" s="156" t="inlineStr">
        <is>
          <t>Stetson</t>
        </is>
      </c>
      <c r="I1622" s="156" t="inlineStr">
        <is>
          <t>Texana Stetson Skyline Granito</t>
        </is>
      </c>
      <c r="J1622" s="156" t="inlineStr">
        <is>
          <t>Accesorios</t>
        </is>
      </c>
      <c r="K1622" s="156" t="inlineStr">
        <is>
          <t>Sombreros</t>
        </is>
      </c>
      <c r="L1622" s="156" t="inlineStr">
        <is>
          <t>Unisex</t>
        </is>
      </c>
      <c r="M1622" s="156" t="inlineStr">
        <is>
          <t>Stetson</t>
        </is>
      </c>
      <c r="N1622" s="156" t="inlineStr">
        <is>
          <t>SS26</t>
        </is>
      </c>
      <c r="O1622" s="156" t="inlineStr">
        <is>
          <t>Seasonal</t>
        </is>
      </c>
      <c r="P1622" s="156" t="inlineStr">
        <is>
          <t>Gris</t>
        </is>
      </c>
      <c r="Q1622" s="156" t="n"/>
      <c r="R1622" s="156" t="inlineStr">
        <is>
          <t>Copa Cattleman</t>
        </is>
      </c>
      <c r="S1622" s="156" t="inlineStr">
        <is>
          <t>100% Fieltro de lana</t>
        </is>
      </c>
      <c r="T1622"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2" s="156" t="inlineStr">
        <is>
          <t>Estados Unidos</t>
        </is>
      </c>
      <c r="V1622" s="156" t="inlineStr">
        <is>
          <t>PZS</t>
        </is>
      </c>
      <c r="W1622" s="51" t="inlineStr">
        <is>
          <t>53102503</t>
        </is>
      </c>
      <c r="X1622" s="156" t="inlineStr">
        <is>
          <t>https://cdn.shopify.com/s/files/1/0888/3250/8267/files/SFSKYL-724049-03.jpg?v=1759777825</t>
        </is>
      </c>
      <c r="Y1622" s="54" t="n">
        <v>2756.25</v>
      </c>
      <c r="Z1622" s="54" t="n">
        <v>6724.137931</v>
      </c>
      <c r="AA1622" s="55">
        <f>IF(AND(A1622="", B1622="", E1622=""), "", IF(AB1622="", "Válido", IF((LEN(AB1622)-LEN(SUBSTITUTE(AB1622,"; ","")))/2+1&gt;(LEN(AB1622)-LEN(SUBSTITUTE(AB1622,"[Aviso]","")))/7, "Con Incidencias", "Válido")))</f>
        <v/>
      </c>
      <c r="AB1622" s="56">
        <f>IF(AND(A1622="", B1622="", E1622=""), "", TEXTJOIN("; ", TRUE, IF(OR(TRIM(A1622&amp;"")="", ISNUMBER(SEARCH("FALTA", A1622))), "UPC faltante/inválido", ""), IF(AND(A1622&lt;&gt;"", IFERROR(_xlfn.XMATCH(A1622,$A$2:$A$2509,0,1)&lt;&gt;_xlfn.XMATCH(A1622,$A$2:$A$2509,0,-1),FALSE)), "Código de barras duplicado", ""), IF(AND(E1622&lt;&gt;"", COUNTIF($E$2:$E$2509, E1622)&gt;1), "SKU duplicado", ""), IF(OR(J1622="", J1622=""), "[Aviso] División no capturada ()", IF(ISNA(MATCH(J1622, Criterios!$A$123:$A$126, 0)), "División no válida", "")), IF(OR(K1622="", K1622=""), "[Aviso] Categoría no capturada ()", IF(ISNA(MATCH(K1622, Criterios!$A$81:$A$120, 0)), "Categoría no válida", IF(AND(J1622&lt;&gt;"", J1622&lt;&gt;"", J1622&lt;&gt;VLOOKUP(K1622, Criterios!$A$81:$B$120, 2, FALSE)), "División no coincide con Categoría", ""))), IF(OR(L1622="", L1622=""), "[Aviso] Género no capturado ()", IF(ISNA(MATCH(L1622, Criterios!$B$123:$B$127, 0)), "Género no válido", "")), IF(OR(N1622="", N1622=""), "[Aviso] Temporada no capturada ()", IF(ISNA(MATCH(N1622, Criterios!$C$123:$C$128, 0)), "Temporada no válida", "")), IF(OR(O1622="", O1622=""), "[Aviso] Ciclo de vida no capturado ()", IF(ISNA(MATCH(O1622, Criterios!$D$123:$D$124, 0)), "Ciclo de vida no válido", ""))))</f>
        <v/>
      </c>
      <c r="AC1622" s="56" t="n"/>
      <c r="AD1622" s="51" t="n">
        <v>0</v>
      </c>
      <c r="AE1622" s="156" t="inlineStr">
        <is>
          <t>B25 STETSON.MX (1)</t>
        </is>
      </c>
      <c r="AF1622" s="51" t="n">
        <v>1</v>
      </c>
      <c r="AG1622" s="156" t="inlineStr">
        <is>
          <t>Catálogo existente</t>
        </is>
      </c>
      <c r="AH162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2" s="156" t="inlineStr">
        <is>
          <t>Sí</t>
        </is>
      </c>
      <c r="AJ1622" s="156" t="inlineStr">
        <is>
          <t>STETSON AMERICAS (-1)</t>
        </is>
      </c>
      <c r="AK1622" s="155" t="inlineStr">
        <is>
          <t>Criterios: I [Q] | Shopify Stetson: producto 14786559836523 / variante 53849438388587</t>
        </is>
      </c>
      <c r="AL1622" s="58" t="n">
        <v>2756.25</v>
      </c>
      <c r="AM1622" s="58" t="n">
        <v>6724.137931</v>
      </c>
      <c r="AN1622" s="155" t="inlineStr">
        <is>
          <t>Shopify Stetson México</t>
        </is>
      </c>
      <c r="AO1622" s="59" t="n">
        <v>1</v>
      </c>
      <c r="AP1622" s="59" t="n"/>
      <c r="AQ1622" s="59" t="n"/>
      <c r="AR1622" s="155" t="inlineStr">
        <is>
          <t>Shopify Stetson México › Stetson Americas: 1</t>
        </is>
      </c>
    </row>
    <row r="1623">
      <c r="A1623" s="50" t="inlineStr">
        <is>
          <t>883383139204</t>
        </is>
      </c>
      <c r="B1623" s="51" t="inlineStr">
        <is>
          <t>110095</t>
        </is>
      </c>
      <c r="C1623" s="156" t="inlineStr">
        <is>
          <t>Multimarca</t>
        </is>
      </c>
      <c r="D1623" s="156" t="inlineStr">
        <is>
          <t>SFSKYL-724049</t>
        </is>
      </c>
      <c r="E1623" s="156" t="inlineStr">
        <is>
          <t>SFSKYL-72404971</t>
        </is>
      </c>
      <c r="F1623" s="156" t="inlineStr">
        <is>
          <t>7 1/8</t>
        </is>
      </c>
      <c r="G1623" s="156" t="inlineStr">
        <is>
          <t>7 1/8</t>
        </is>
      </c>
      <c r="H1623" s="156" t="inlineStr">
        <is>
          <t>Stetson</t>
        </is>
      </c>
      <c r="I1623" s="156" t="inlineStr">
        <is>
          <t>Texana Stetson Skyline Granito</t>
        </is>
      </c>
      <c r="J1623" s="156" t="inlineStr">
        <is>
          <t>Accesorios</t>
        </is>
      </c>
      <c r="K1623" s="156" t="inlineStr">
        <is>
          <t>Sombreros</t>
        </is>
      </c>
      <c r="L1623" s="156" t="inlineStr">
        <is>
          <t>Unisex</t>
        </is>
      </c>
      <c r="M1623" s="156" t="inlineStr">
        <is>
          <t>Stetson</t>
        </is>
      </c>
      <c r="N1623" s="156" t="inlineStr">
        <is>
          <t>SS26</t>
        </is>
      </c>
      <c r="O1623" s="156" t="inlineStr">
        <is>
          <t>Seasonal</t>
        </is>
      </c>
      <c r="P1623" s="156" t="inlineStr">
        <is>
          <t>Gris</t>
        </is>
      </c>
      <c r="Q1623" s="156" t="n"/>
      <c r="R1623" s="156" t="inlineStr">
        <is>
          <t>Copa Cattleman</t>
        </is>
      </c>
      <c r="S1623" s="156" t="inlineStr">
        <is>
          <t>100% Fieltro de lana</t>
        </is>
      </c>
      <c r="T1623"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3" s="156" t="inlineStr">
        <is>
          <t>Estados Unidos</t>
        </is>
      </c>
      <c r="V1623" s="156" t="inlineStr">
        <is>
          <t>PZS</t>
        </is>
      </c>
      <c r="W1623" s="51" t="inlineStr">
        <is>
          <t>53102503</t>
        </is>
      </c>
      <c r="X1623" s="156" t="inlineStr">
        <is>
          <t>https://cdn.shopify.com/s/files/1/0888/3250/8267/files/SFSKYL-724049-02.jpg?v=1759777825</t>
        </is>
      </c>
      <c r="Y1623" s="54" t="n">
        <v>2756.25</v>
      </c>
      <c r="Z1623" s="54" t="n">
        <v>6724.137931</v>
      </c>
      <c r="AA1623" s="55">
        <f>IF(AND(A1623="", B1623="", E1623=""), "", IF(AB1623="", "Válido", IF((LEN(AB1623)-LEN(SUBSTITUTE(AB1623,"; ","")))/2+1&gt;(LEN(AB1623)-LEN(SUBSTITUTE(AB1623,"[Aviso]","")))/7, "Con Incidencias", "Válido")))</f>
        <v/>
      </c>
      <c r="AB1623" s="56">
        <f>IF(AND(A1623="", B1623="", E1623=""), "", TEXTJOIN("; ", TRUE, IF(OR(TRIM(A1623&amp;"")="", ISNUMBER(SEARCH("FALTA", A1623))), "UPC faltante/inválido", ""), IF(AND(A1623&lt;&gt;"", IFERROR(_xlfn.XMATCH(A1623,$A$2:$A$2509,0,1)&lt;&gt;_xlfn.XMATCH(A1623,$A$2:$A$2509,0,-1),FALSE)), "Código de barras duplicado", ""), IF(AND(E1623&lt;&gt;"", COUNTIF($E$2:$E$2509, E1623)&gt;1), "SKU duplicado", ""), IF(OR(J1623="", J1623=""), "[Aviso] División no capturada ()", IF(ISNA(MATCH(J1623, Criterios!$A$123:$A$126, 0)), "División no válida", "")), IF(OR(K1623="", K1623=""), "[Aviso] Categoría no capturada ()", IF(ISNA(MATCH(K1623, Criterios!$A$81:$A$120, 0)), "Categoría no válida", IF(AND(J1623&lt;&gt;"", J1623&lt;&gt;"", J1623&lt;&gt;VLOOKUP(K1623, Criterios!$A$81:$B$120, 2, FALSE)), "División no coincide con Categoría", ""))), IF(OR(L1623="", L1623=""), "[Aviso] Género no capturado ()", IF(ISNA(MATCH(L1623, Criterios!$B$123:$B$127, 0)), "Género no válido", "")), IF(OR(N1623="", N1623=""), "[Aviso] Temporada no capturada ()", IF(ISNA(MATCH(N1623, Criterios!$C$123:$C$128, 0)), "Temporada no válida", "")), IF(OR(O1623="", O1623=""), "[Aviso] Ciclo de vida no capturado ()", IF(ISNA(MATCH(O1623, Criterios!$D$123:$D$124, 0)), "Ciclo de vida no válido", ""))))</f>
        <v/>
      </c>
      <c r="AC1623" s="56" t="n"/>
      <c r="AD1623" s="51" t="n">
        <v>-1</v>
      </c>
      <c r="AE1623" s="156" t="inlineStr">
        <is>
          <t>B25 STETSON.MX (1)</t>
        </is>
      </c>
      <c r="AF1623" s="51" t="n">
        <v>1</v>
      </c>
      <c r="AG1623" s="156" t="inlineStr">
        <is>
          <t>Catálogo existente</t>
        </is>
      </c>
      <c r="AH162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3" s="156" t="inlineStr">
        <is>
          <t>Sí</t>
        </is>
      </c>
      <c r="AJ1623" s="156" t="inlineStr">
        <is>
          <t>STETSON AMERICAS (-2)</t>
        </is>
      </c>
      <c r="AK1623" s="155" t="inlineStr">
        <is>
          <t>Criterios: I [Q] | Shopify Stetson: producto 14786559836523 / variante 53849438355819</t>
        </is>
      </c>
      <c r="AL1623" s="58" t="n">
        <v>2756.25</v>
      </c>
      <c r="AM1623" s="58" t="n">
        <v>6724.137931</v>
      </c>
      <c r="AN1623" s="155" t="inlineStr">
        <is>
          <t>Shopify Stetson México</t>
        </is>
      </c>
      <c r="AO1623" s="59" t="n">
        <v>0</v>
      </c>
      <c r="AP1623" s="59" t="n"/>
      <c r="AQ1623" s="59" t="n"/>
      <c r="AR1623" s="155" t="n"/>
    </row>
    <row r="1624">
      <c r="A1624" s="50" t="inlineStr">
        <is>
          <t>883383139211</t>
        </is>
      </c>
      <c r="B1624" s="51" t="inlineStr">
        <is>
          <t>110096</t>
        </is>
      </c>
      <c r="C1624" s="156" t="inlineStr">
        <is>
          <t>Multimarca</t>
        </is>
      </c>
      <c r="D1624" s="156" t="inlineStr">
        <is>
          <t>SFSKYL-724049</t>
        </is>
      </c>
      <c r="E1624" s="156" t="inlineStr">
        <is>
          <t>SFSKYL-72404973</t>
        </is>
      </c>
      <c r="F1624" s="156" t="inlineStr">
        <is>
          <t>7 3/8</t>
        </is>
      </c>
      <c r="G1624" s="156" t="inlineStr">
        <is>
          <t>7 3/8</t>
        </is>
      </c>
      <c r="H1624" s="156" t="inlineStr">
        <is>
          <t>Stetson</t>
        </is>
      </c>
      <c r="I1624" s="156" t="inlineStr">
        <is>
          <t>Texana Stetson Skyline Granito</t>
        </is>
      </c>
      <c r="J1624" s="156" t="inlineStr">
        <is>
          <t>Accesorios</t>
        </is>
      </c>
      <c r="K1624" s="156" t="inlineStr">
        <is>
          <t>Sombreros</t>
        </is>
      </c>
      <c r="L1624" s="156" t="inlineStr">
        <is>
          <t>Unisex</t>
        </is>
      </c>
      <c r="M1624" s="156" t="inlineStr">
        <is>
          <t>Stetson</t>
        </is>
      </c>
      <c r="N1624" s="156" t="inlineStr">
        <is>
          <t>SS26</t>
        </is>
      </c>
      <c r="O1624" s="156" t="inlineStr">
        <is>
          <t>Seasonal</t>
        </is>
      </c>
      <c r="P1624" s="156" t="inlineStr">
        <is>
          <t>Gris</t>
        </is>
      </c>
      <c r="Q1624" s="156" t="n"/>
      <c r="R1624" s="156" t="inlineStr">
        <is>
          <t>Copa Cattleman</t>
        </is>
      </c>
      <c r="S1624" s="156" t="inlineStr">
        <is>
          <t>100% Fieltro de lana</t>
        </is>
      </c>
      <c r="T1624"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4" s="156" t="inlineStr">
        <is>
          <t>Estados Unidos</t>
        </is>
      </c>
      <c r="V1624" s="156" t="inlineStr">
        <is>
          <t>PZS</t>
        </is>
      </c>
      <c r="W1624" s="51" t="inlineStr">
        <is>
          <t>53102503</t>
        </is>
      </c>
      <c r="X1624" s="156" t="inlineStr">
        <is>
          <t>https://cdn.shopify.com/s/files/1/0888/3250/8267/files/SFSKYL-724049-04.jpg?v=1759777825</t>
        </is>
      </c>
      <c r="Y1624" s="54" t="n">
        <v>2756.25</v>
      </c>
      <c r="Z1624" s="54" t="n">
        <v>6724.137931</v>
      </c>
      <c r="AA1624" s="55">
        <f>IF(AND(A1624="", B1624="", E1624=""), "", IF(AB1624="", "Válido", IF((LEN(AB1624)-LEN(SUBSTITUTE(AB1624,"; ","")))/2+1&gt;(LEN(AB1624)-LEN(SUBSTITUTE(AB1624,"[Aviso]","")))/7, "Con Incidencias", "Válido")))</f>
        <v/>
      </c>
      <c r="AB1624" s="56">
        <f>IF(AND(A1624="", B1624="", E1624=""), "", TEXTJOIN("; ", TRUE, IF(OR(TRIM(A1624&amp;"")="", ISNUMBER(SEARCH("FALTA", A1624))), "UPC faltante/inválido", ""), IF(AND(A1624&lt;&gt;"", IFERROR(_xlfn.XMATCH(A1624,$A$2:$A$2509,0,1)&lt;&gt;_xlfn.XMATCH(A1624,$A$2:$A$2509,0,-1),FALSE)), "Código de barras duplicado", ""), IF(AND(E1624&lt;&gt;"", COUNTIF($E$2:$E$2509, E1624)&gt;1), "SKU duplicado", ""), IF(OR(J1624="", J1624=""), "[Aviso] División no capturada ()", IF(ISNA(MATCH(J1624, Criterios!$A$123:$A$126, 0)), "División no válida", "")), IF(OR(K1624="", K1624=""), "[Aviso] Categoría no capturada ()", IF(ISNA(MATCH(K1624, Criterios!$A$81:$A$120, 0)), "Categoría no válida", IF(AND(J1624&lt;&gt;"", J1624&lt;&gt;"", J1624&lt;&gt;VLOOKUP(K1624, Criterios!$A$81:$B$120, 2, FALSE)), "División no coincide con Categoría", ""))), IF(OR(L1624="", L1624=""), "[Aviso] Género no capturado ()", IF(ISNA(MATCH(L1624, Criterios!$B$123:$B$127, 0)), "Género no válido", "")), IF(OR(N1624="", N1624=""), "[Aviso] Temporada no capturada ()", IF(ISNA(MATCH(N1624, Criterios!$C$123:$C$128, 0)), "Temporada no válida", "")), IF(OR(O1624="", O1624=""), "[Aviso] Ciclo de vida no capturado ()", IF(ISNA(MATCH(O1624, Criterios!$D$123:$D$124, 0)), "Ciclo de vida no válido", ""))))</f>
        <v/>
      </c>
      <c r="AC1624" s="56" t="n"/>
      <c r="AD1624" s="51" t="n">
        <v>0</v>
      </c>
      <c r="AE1624" s="156" t="inlineStr">
        <is>
          <t>B25 STETSON.MX (2)</t>
        </is>
      </c>
      <c r="AF1624" s="51" t="n">
        <v>2</v>
      </c>
      <c r="AG1624" s="156" t="inlineStr">
        <is>
          <t>Catálogo existente</t>
        </is>
      </c>
      <c r="AH162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4" s="156" t="inlineStr">
        <is>
          <t>Sí</t>
        </is>
      </c>
      <c r="AJ1624" s="156" t="inlineStr">
        <is>
          <t>STETSON AMERICAS (-2)</t>
        </is>
      </c>
      <c r="AK1624" s="155" t="inlineStr">
        <is>
          <t>Criterios: I [Q] | Shopify Stetson: producto 14786559836523 / variante 53849438421355</t>
        </is>
      </c>
      <c r="AL1624" s="58" t="n">
        <v>2756.25</v>
      </c>
      <c r="AM1624" s="58" t="n">
        <v>6724.137931</v>
      </c>
      <c r="AN1624" s="155" t="inlineStr">
        <is>
          <t>Shopify Stetson México</t>
        </is>
      </c>
      <c r="AO1624" s="59" t="n">
        <v>1</v>
      </c>
      <c r="AP1624" s="59" t="n"/>
      <c r="AQ1624" s="59" t="n"/>
      <c r="AR1624" s="155" t="inlineStr">
        <is>
          <t>Shopify Stetson México › Stetson México: 1</t>
        </is>
      </c>
    </row>
    <row r="1625">
      <c r="A1625" s="50" t="inlineStr">
        <is>
          <t>883383139228</t>
        </is>
      </c>
      <c r="B1625" s="51" t="inlineStr">
        <is>
          <t>110097</t>
        </is>
      </c>
      <c r="C1625" s="156" t="inlineStr">
        <is>
          <t>Multimarca</t>
        </is>
      </c>
      <c r="D1625" s="156" t="inlineStr">
        <is>
          <t>SFSKYL-724049</t>
        </is>
      </c>
      <c r="E1625" s="156" t="inlineStr">
        <is>
          <t>SFSKYL-72404974</t>
        </is>
      </c>
      <c r="F1625" s="156" t="inlineStr">
        <is>
          <t>7 1/2</t>
        </is>
      </c>
      <c r="G1625" s="156" t="inlineStr">
        <is>
          <t>7 1/2</t>
        </is>
      </c>
      <c r="H1625" s="156" t="inlineStr">
        <is>
          <t>Stetson</t>
        </is>
      </c>
      <c r="I1625" s="156" t="inlineStr">
        <is>
          <t>Texana Stetson Skyline Granito</t>
        </is>
      </c>
      <c r="J1625" s="156" t="inlineStr">
        <is>
          <t>Accesorios</t>
        </is>
      </c>
      <c r="K1625" s="156" t="inlineStr">
        <is>
          <t>Sombreros</t>
        </is>
      </c>
      <c r="L1625" s="156" t="inlineStr">
        <is>
          <t>Unisex</t>
        </is>
      </c>
      <c r="M1625" s="156" t="inlineStr">
        <is>
          <t>Stetson</t>
        </is>
      </c>
      <c r="N1625" s="156" t="inlineStr">
        <is>
          <t>SS26</t>
        </is>
      </c>
      <c r="O1625" s="156" t="inlineStr">
        <is>
          <t>Seasonal</t>
        </is>
      </c>
      <c r="P1625" s="156" t="inlineStr">
        <is>
          <t>Gris</t>
        </is>
      </c>
      <c r="Q1625" s="156" t="n"/>
      <c r="R1625" s="156" t="inlineStr">
        <is>
          <t>Copa Cattleman</t>
        </is>
      </c>
      <c r="S1625" s="156" t="inlineStr">
        <is>
          <t>100% Fieltro de lana</t>
        </is>
      </c>
      <c r="T1625"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5" s="156" t="inlineStr">
        <is>
          <t>Estados Unidos</t>
        </is>
      </c>
      <c r="V1625" s="156" t="inlineStr">
        <is>
          <t>PZS</t>
        </is>
      </c>
      <c r="W1625" s="51" t="inlineStr">
        <is>
          <t>53102503</t>
        </is>
      </c>
      <c r="X1625" s="156" t="inlineStr">
        <is>
          <t>https://cdn.shopify.com/s/files/1/0888/3250/8267/files/SFSKYL-724049-05.jpg?v=1759777825</t>
        </is>
      </c>
      <c r="Y1625" s="54" t="n">
        <v>2756.25</v>
      </c>
      <c r="Z1625" s="54" t="n">
        <v>6724.137931</v>
      </c>
      <c r="AA1625" s="55">
        <f>IF(AND(A1625="", B1625="", E1625=""), "", IF(AB1625="", "Válido", IF((LEN(AB1625)-LEN(SUBSTITUTE(AB1625,"; ","")))/2+1&gt;(LEN(AB1625)-LEN(SUBSTITUTE(AB1625,"[Aviso]","")))/7, "Con Incidencias", "Válido")))</f>
        <v/>
      </c>
      <c r="AB1625" s="56">
        <f>IF(AND(A1625="", B1625="", E1625=""), "", TEXTJOIN("; ", TRUE, IF(OR(TRIM(A1625&amp;"")="", ISNUMBER(SEARCH("FALTA", A1625))), "UPC faltante/inválido", ""), IF(AND(A1625&lt;&gt;"", IFERROR(_xlfn.XMATCH(A1625,$A$2:$A$2509,0,1)&lt;&gt;_xlfn.XMATCH(A1625,$A$2:$A$2509,0,-1),FALSE)), "Código de barras duplicado", ""), IF(AND(E1625&lt;&gt;"", COUNTIF($E$2:$E$2509, E1625)&gt;1), "SKU duplicado", ""), IF(OR(J1625="", J1625=""), "[Aviso] División no capturada ()", IF(ISNA(MATCH(J1625, Criterios!$A$123:$A$126, 0)), "División no válida", "")), IF(OR(K1625="", K1625=""), "[Aviso] Categoría no capturada ()", IF(ISNA(MATCH(K1625, Criterios!$A$81:$A$120, 0)), "Categoría no válida", IF(AND(J1625&lt;&gt;"", J1625&lt;&gt;"", J1625&lt;&gt;VLOOKUP(K1625, Criterios!$A$81:$B$120, 2, FALSE)), "División no coincide con Categoría", ""))), IF(OR(L1625="", L1625=""), "[Aviso] Género no capturado ()", IF(ISNA(MATCH(L1625, Criterios!$B$123:$B$127, 0)), "Género no válido", "")), IF(OR(N1625="", N1625=""), "[Aviso] Temporada no capturada ()", IF(ISNA(MATCH(N1625, Criterios!$C$123:$C$128, 0)), "Temporada no válida", "")), IF(OR(O1625="", O1625=""), "[Aviso] Ciclo de vida no capturado ()", IF(ISNA(MATCH(O1625, Criterios!$D$123:$D$124, 0)), "Ciclo de vida no válido", ""))))</f>
        <v/>
      </c>
      <c r="AC1625" s="56" t="n"/>
      <c r="AD1625" s="51" t="n">
        <v>-2</v>
      </c>
      <c r="AE1625" s="156" t="n"/>
      <c r="AF1625" s="51" t="n">
        <v>0</v>
      </c>
      <c r="AG1625" s="156" t="inlineStr">
        <is>
          <t>Catálogo existente</t>
        </is>
      </c>
      <c r="AH162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625" s="156" t="inlineStr">
        <is>
          <t>Sí</t>
        </is>
      </c>
      <c r="AJ1625" s="156" t="inlineStr">
        <is>
          <t>STETSON AMERICAS (-2)</t>
        </is>
      </c>
      <c r="AK1625" s="155" t="inlineStr">
        <is>
          <t>Criterios: I [Q] | Shopify Stetson: producto 14786559836523 / variante 53849438454123 | Odoo: producto 14307 / plantilla 17884</t>
        </is>
      </c>
      <c r="AL1625" s="58" t="n">
        <v>2756.25</v>
      </c>
      <c r="AM1625" s="58" t="n">
        <v>6724.137931</v>
      </c>
      <c r="AN1625" s="155" t="inlineStr">
        <is>
          <t>Shopify Stetson México | Odoo Universal Unique Brands</t>
        </is>
      </c>
      <c r="AO1625" s="59" t="n">
        <v>-1</v>
      </c>
      <c r="AP1625" s="59" t="n"/>
      <c r="AQ1625" s="59" t="n">
        <v>1</v>
      </c>
      <c r="AR1625" s="155" t="inlineStr">
        <is>
          <t>Odoo Universal Unique Brands › Bodega 25 › Bodega 25/General: 1</t>
        </is>
      </c>
    </row>
    <row r="1626">
      <c r="A1626" s="50" t="inlineStr">
        <is>
          <t>883383148534</t>
        </is>
      </c>
      <c r="B1626" s="51" t="inlineStr">
        <is>
          <t>110116</t>
        </is>
      </c>
      <c r="C1626" s="156" t="inlineStr">
        <is>
          <t>Multimarca</t>
        </is>
      </c>
      <c r="D1626" s="156" t="inlineStr">
        <is>
          <t>SFSKYL-754049</t>
        </is>
      </c>
      <c r="E1626" s="156" t="inlineStr">
        <is>
          <t>SFSKYL-75404967</t>
        </is>
      </c>
      <c r="F1626" s="156" t="inlineStr">
        <is>
          <t>6 7/8</t>
        </is>
      </c>
      <c r="G1626" s="156" t="inlineStr">
        <is>
          <t>6 7/8</t>
        </is>
      </c>
      <c r="H1626" s="156" t="inlineStr">
        <is>
          <t>Stetson</t>
        </is>
      </c>
      <c r="I1626" s="156" t="inlineStr">
        <is>
          <t>Sombrero Stetson Skyline 6X Cowboy</t>
        </is>
      </c>
      <c r="J1626" s="156" t="inlineStr">
        <is>
          <t>Accesorios</t>
        </is>
      </c>
      <c r="K1626" s="156" t="inlineStr">
        <is>
          <t>Sombreros</t>
        </is>
      </c>
      <c r="L1626" s="156" t="inlineStr">
        <is>
          <t>Unisex</t>
        </is>
      </c>
      <c r="M1626" s="156" t="inlineStr">
        <is>
          <t>Stetson</t>
        </is>
      </c>
      <c r="N1626" s="156" t="inlineStr">
        <is>
          <t>SS26</t>
        </is>
      </c>
      <c r="O1626" s="156" t="inlineStr">
        <is>
          <t>Seasonal</t>
        </is>
      </c>
      <c r="P1626" s="156" t="inlineStr">
        <is>
          <t>Gris</t>
        </is>
      </c>
      <c r="Q1626" s="156" t="n"/>
      <c r="R1626" s="156" t="inlineStr">
        <is>
          <t>Copa Cattleman</t>
        </is>
      </c>
      <c r="S1626" s="156" t="inlineStr">
        <is>
          <t>100% Paja</t>
        </is>
      </c>
      <c r="T162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6" s="156" t="inlineStr">
        <is>
          <t>Estados Unidos</t>
        </is>
      </c>
      <c r="V1626" s="156" t="inlineStr">
        <is>
          <t>PZS</t>
        </is>
      </c>
      <c r="W1626" s="51" t="inlineStr">
        <is>
          <t>53102503</t>
        </is>
      </c>
      <c r="X1626" s="156" t="inlineStr">
        <is>
          <t>https://cdn.shopify.com/s/files/1/0888/3250/8267/files/SFSKYL-7540-E5-64_1.png?v=1759518014</t>
        </is>
      </c>
      <c r="Y1626" s="54" t="n">
        <v>2756.25</v>
      </c>
      <c r="Z1626" s="54" t="n">
        <v>6724.137931</v>
      </c>
      <c r="AA1626" s="55">
        <f>IF(AND(A1626="", B1626="", E1626=""), "", IF(AB1626="", "Válido", IF((LEN(AB1626)-LEN(SUBSTITUTE(AB1626,"; ","")))/2+1&gt;(LEN(AB1626)-LEN(SUBSTITUTE(AB1626,"[Aviso]","")))/7, "Con Incidencias", "Válido")))</f>
        <v/>
      </c>
      <c r="AB1626" s="56">
        <f>IF(AND(A1626="", B1626="", E1626=""), "", TEXTJOIN("; ", TRUE, IF(OR(TRIM(A1626&amp;"")="", ISNUMBER(SEARCH("FALTA", A1626))), "UPC faltante/inválido", ""), IF(AND(A1626&lt;&gt;"", IFERROR(_xlfn.XMATCH(A1626,$A$2:$A$2509,0,1)&lt;&gt;_xlfn.XMATCH(A1626,$A$2:$A$2509,0,-1),FALSE)), "Código de barras duplicado", ""), IF(AND(E1626&lt;&gt;"", COUNTIF($E$2:$E$2509, E1626)&gt;1), "SKU duplicado", ""), IF(OR(J1626="", J1626=""), "[Aviso] División no capturada ()", IF(ISNA(MATCH(J1626, Criterios!$A$123:$A$126, 0)), "División no válida", "")), IF(OR(K1626="", K1626=""), "[Aviso] Categoría no capturada ()", IF(ISNA(MATCH(K1626, Criterios!$A$81:$A$120, 0)), "Categoría no válida", IF(AND(J1626&lt;&gt;"", J1626&lt;&gt;"", J1626&lt;&gt;VLOOKUP(K1626, Criterios!$A$81:$B$120, 2, FALSE)), "División no coincide con Categoría", ""))), IF(OR(L1626="", L1626=""), "[Aviso] Género no capturado ()", IF(ISNA(MATCH(L1626, Criterios!$B$123:$B$127, 0)), "Género no válido", "")), IF(OR(N1626="", N1626=""), "[Aviso] Temporada no capturada ()", IF(ISNA(MATCH(N1626, Criterios!$C$123:$C$128, 0)), "Temporada no válida", "")), IF(OR(O1626="", O1626=""), "[Aviso] Ciclo de vida no capturado ()", IF(ISNA(MATCH(O1626, Criterios!$D$123:$D$124, 0)), "Ciclo de vida no válido", ""))))</f>
        <v/>
      </c>
      <c r="AC1626" s="56" t="n"/>
      <c r="AD1626" s="51" t="n">
        <v>0</v>
      </c>
      <c r="AE1626" s="156" t="n"/>
      <c r="AF1626" s="51" t="n">
        <v>0</v>
      </c>
      <c r="AG1626" s="156" t="inlineStr">
        <is>
          <t>Catálogo existente</t>
        </is>
      </c>
      <c r="AH162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6" s="156" t="inlineStr">
        <is>
          <t>No</t>
        </is>
      </c>
      <c r="AJ1626" s="156" t="n"/>
      <c r="AK1626" s="155" t="inlineStr">
        <is>
          <t>Criterios: I [Q] | Shopify Stetson: producto 14786559836523 / variante 53350612304235</t>
        </is>
      </c>
      <c r="AL1626" s="58" t="n">
        <v>2756.25</v>
      </c>
      <c r="AM1626" s="58" t="n">
        <v>6724.137931</v>
      </c>
      <c r="AN1626" s="155" t="inlineStr">
        <is>
          <t>Shopify Stetson México</t>
        </is>
      </c>
      <c r="AO1626" s="59" t="n">
        <v>1</v>
      </c>
      <c r="AP1626" s="59" t="n"/>
      <c r="AQ1626" s="59" t="n"/>
      <c r="AR1626" s="155" t="inlineStr">
        <is>
          <t>Shopify Stetson México › Stetson Americas: 1</t>
        </is>
      </c>
    </row>
    <row r="1627">
      <c r="A1627" s="50" t="inlineStr">
        <is>
          <t>883383148541</t>
        </is>
      </c>
      <c r="B1627" s="51" t="inlineStr">
        <is>
          <t>110117</t>
        </is>
      </c>
      <c r="C1627" s="156" t="inlineStr">
        <is>
          <t>Multimarca</t>
        </is>
      </c>
      <c r="D1627" s="156" t="inlineStr">
        <is>
          <t>SFSKYL-754049</t>
        </is>
      </c>
      <c r="E1627" s="156" t="inlineStr">
        <is>
          <t>SFSKYL-75404970</t>
        </is>
      </c>
      <c r="F1627" s="156" t="inlineStr">
        <is>
          <t>7</t>
        </is>
      </c>
      <c r="G1627" s="156" t="inlineStr">
        <is>
          <t>7</t>
        </is>
      </c>
      <c r="H1627" s="156" t="inlineStr">
        <is>
          <t>Stetson</t>
        </is>
      </c>
      <c r="I1627" s="156" t="inlineStr">
        <is>
          <t>Sombrero Stetson Skyline 6X Cowboy</t>
        </is>
      </c>
      <c r="J1627" s="156" t="inlineStr">
        <is>
          <t>Accesorios</t>
        </is>
      </c>
      <c r="K1627" s="156" t="inlineStr">
        <is>
          <t>Sombreros</t>
        </is>
      </c>
      <c r="L1627" s="156" t="inlineStr">
        <is>
          <t>Unisex</t>
        </is>
      </c>
      <c r="M1627" s="156" t="inlineStr">
        <is>
          <t>Stetson</t>
        </is>
      </c>
      <c r="N1627" s="156" t="inlineStr">
        <is>
          <t>SS26</t>
        </is>
      </c>
      <c r="O1627" s="156" t="inlineStr">
        <is>
          <t>Seasonal</t>
        </is>
      </c>
      <c r="P1627" s="156" t="inlineStr">
        <is>
          <t>Gris</t>
        </is>
      </c>
      <c r="Q1627" s="156" t="n"/>
      <c r="R1627" s="156" t="inlineStr">
        <is>
          <t>Copa Cattleman</t>
        </is>
      </c>
      <c r="S1627" s="156" t="inlineStr">
        <is>
          <t>100% Paja</t>
        </is>
      </c>
      <c r="T162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7" s="156" t="inlineStr">
        <is>
          <t>Estados Unidos</t>
        </is>
      </c>
      <c r="V1627" s="156" t="inlineStr">
        <is>
          <t>PZS</t>
        </is>
      </c>
      <c r="W1627" s="51" t="inlineStr">
        <is>
          <t>53102503</t>
        </is>
      </c>
      <c r="X1627" s="156" t="inlineStr">
        <is>
          <t>https://cdn.shopify.com/s/files/1/0888/3250/8267/files/SFSKYL-7540-E5-64_1_a2f9b756-a0bf-4bcf-adce-a55e150cc469.png?v=1789405684</t>
        </is>
      </c>
      <c r="Y1627" s="54" t="n">
        <v>2756.25</v>
      </c>
      <c r="Z1627" s="54" t="n">
        <v>6724.137931</v>
      </c>
      <c r="AA1627" s="55">
        <f>IF(AND(A1627="", B1627="", E1627=""), "", IF(AB1627="", "Válido", IF((LEN(AB1627)-LEN(SUBSTITUTE(AB1627,"; ","")))/2+1&gt;(LEN(AB1627)-LEN(SUBSTITUTE(AB1627,"[Aviso]","")))/7, "Con Incidencias", "Válido")))</f>
        <v/>
      </c>
      <c r="AB1627" s="56">
        <f>IF(AND(A1627="", B1627="", E1627=""), "", TEXTJOIN("; ", TRUE, IF(OR(TRIM(A1627&amp;"")="", ISNUMBER(SEARCH("FALTA", A1627))), "UPC faltante/inválido", ""), IF(AND(A1627&lt;&gt;"", IFERROR(_xlfn.XMATCH(A1627,$A$2:$A$2509,0,1)&lt;&gt;_xlfn.XMATCH(A1627,$A$2:$A$2509,0,-1),FALSE)), "Código de barras duplicado", ""), IF(AND(E1627&lt;&gt;"", COUNTIF($E$2:$E$2509, E1627)&gt;1), "SKU duplicado", ""), IF(OR(J1627="", J1627=""), "[Aviso] División no capturada ()", IF(ISNA(MATCH(J1627, Criterios!$A$123:$A$126, 0)), "División no válida", "")), IF(OR(K1627="", K1627=""), "[Aviso] Categoría no capturada ()", IF(ISNA(MATCH(K1627, Criterios!$A$81:$A$120, 0)), "Categoría no válida", IF(AND(J1627&lt;&gt;"", J1627&lt;&gt;"", J1627&lt;&gt;VLOOKUP(K1627, Criterios!$A$81:$B$120, 2, FALSE)), "División no coincide con Categoría", ""))), IF(OR(L1627="", L1627=""), "[Aviso] Género no capturado ()", IF(ISNA(MATCH(L1627, Criterios!$B$123:$B$127, 0)), "Género no válido", "")), IF(OR(N1627="", N1627=""), "[Aviso] Temporada no capturada ()", IF(ISNA(MATCH(N1627, Criterios!$C$123:$C$128, 0)), "Temporada no válida", "")), IF(OR(O1627="", O1627=""), "[Aviso] Ciclo de vida no capturado ()", IF(ISNA(MATCH(O1627, Criterios!$D$123:$D$124, 0)), "Ciclo de vida no válido", ""))))</f>
        <v/>
      </c>
      <c r="AC1627" s="56" t="n"/>
      <c r="AD1627" s="51" t="n">
        <v>-2</v>
      </c>
      <c r="AE1627" s="156" t="n"/>
      <c r="AF1627" s="51" t="n">
        <v>0</v>
      </c>
      <c r="AG1627" s="156" t="inlineStr">
        <is>
          <t>Catálogo existente</t>
        </is>
      </c>
      <c r="AH162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7" s="156" t="inlineStr">
        <is>
          <t>Sí</t>
        </is>
      </c>
      <c r="AJ1627" s="156" t="inlineStr">
        <is>
          <t>STETSON AMERICAS (-2)</t>
        </is>
      </c>
      <c r="AK1627" s="155" t="inlineStr">
        <is>
          <t>Criterios: I [Q] | Shopify Stetson: producto 14786559836523 / variante 53350612337003</t>
        </is>
      </c>
      <c r="AL1627" s="58" t="n">
        <v>2756.25</v>
      </c>
      <c r="AM1627" s="58" t="n">
        <v>6724.137931</v>
      </c>
      <c r="AN1627" s="155" t="inlineStr">
        <is>
          <t>Shopify Stetson México</t>
        </is>
      </c>
      <c r="AO1627" s="59" t="n">
        <v>0</v>
      </c>
      <c r="AP1627" s="59" t="n"/>
      <c r="AQ1627" s="59" t="n"/>
      <c r="AR1627" s="155" t="inlineStr">
        <is>
          <t>Shopify Stetson México › Eventos: 1</t>
        </is>
      </c>
    </row>
    <row r="1628">
      <c r="A1628" s="50" t="inlineStr">
        <is>
          <t>883383148558</t>
        </is>
      </c>
      <c r="B1628" s="51" t="inlineStr">
        <is>
          <t>110118</t>
        </is>
      </c>
      <c r="C1628" s="156" t="inlineStr">
        <is>
          <t>Multimarca</t>
        </is>
      </c>
      <c r="D1628" s="156" t="inlineStr">
        <is>
          <t>SFSKYL-754049</t>
        </is>
      </c>
      <c r="E1628" s="156" t="inlineStr">
        <is>
          <t>SFSKYL-75404971</t>
        </is>
      </c>
      <c r="F1628" s="156" t="inlineStr">
        <is>
          <t>7 1/8</t>
        </is>
      </c>
      <c r="G1628" s="156" t="inlineStr">
        <is>
          <t>7 1/8</t>
        </is>
      </c>
      <c r="H1628" s="156" t="inlineStr">
        <is>
          <t>Stetson</t>
        </is>
      </c>
      <c r="I1628" s="156" t="inlineStr">
        <is>
          <t>Sombrero Stetson Skyline 6X Cowboy</t>
        </is>
      </c>
      <c r="J1628" s="156" t="inlineStr">
        <is>
          <t>Accesorios</t>
        </is>
      </c>
      <c r="K1628" s="156" t="inlineStr">
        <is>
          <t>Sombreros</t>
        </is>
      </c>
      <c r="L1628" s="156" t="inlineStr">
        <is>
          <t>Unisex</t>
        </is>
      </c>
      <c r="M1628" s="156" t="inlineStr">
        <is>
          <t>Stetson</t>
        </is>
      </c>
      <c r="N1628" s="156" t="inlineStr">
        <is>
          <t>SS26</t>
        </is>
      </c>
      <c r="O1628" s="156" t="inlineStr">
        <is>
          <t>Seasonal</t>
        </is>
      </c>
      <c r="P1628" s="156" t="inlineStr">
        <is>
          <t>Gris</t>
        </is>
      </c>
      <c r="Q1628" s="156" t="n"/>
      <c r="R1628" s="156" t="inlineStr">
        <is>
          <t>Copa Cattleman</t>
        </is>
      </c>
      <c r="S1628" s="156" t="inlineStr">
        <is>
          <t>100% Paja</t>
        </is>
      </c>
      <c r="T162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8" s="156" t="inlineStr">
        <is>
          <t>Estados Unidos</t>
        </is>
      </c>
      <c r="V1628" s="156" t="inlineStr">
        <is>
          <t>PZS</t>
        </is>
      </c>
      <c r="W1628" s="51" t="inlineStr">
        <is>
          <t>53102503</t>
        </is>
      </c>
      <c r="X1628" s="156" t="inlineStr">
        <is>
          <t>https://cdn.shopify.com/s/files/1/0888/3250/8267/files/SFSKYL-7540-E5-64_2.png?v=1759518014</t>
        </is>
      </c>
      <c r="Y1628" s="54" t="n">
        <v>2756.25</v>
      </c>
      <c r="Z1628" s="54" t="n">
        <v>6724.137931</v>
      </c>
      <c r="AA1628" s="55">
        <f>IF(AND(A1628="", B1628="", E1628=""), "", IF(AB1628="", "Válido", IF((LEN(AB1628)-LEN(SUBSTITUTE(AB1628,"; ","")))/2+1&gt;(LEN(AB1628)-LEN(SUBSTITUTE(AB1628,"[Aviso]","")))/7, "Con Incidencias", "Válido")))</f>
        <v/>
      </c>
      <c r="AB1628" s="56">
        <f>IF(AND(A1628="", B1628="", E1628=""), "", TEXTJOIN("; ", TRUE, IF(OR(TRIM(A1628&amp;"")="", ISNUMBER(SEARCH("FALTA", A1628))), "UPC faltante/inválido", ""), IF(AND(A1628&lt;&gt;"", IFERROR(_xlfn.XMATCH(A1628,$A$2:$A$2509,0,1)&lt;&gt;_xlfn.XMATCH(A1628,$A$2:$A$2509,0,-1),FALSE)), "Código de barras duplicado", ""), IF(AND(E1628&lt;&gt;"", COUNTIF($E$2:$E$2509, E1628)&gt;1), "SKU duplicado", ""), IF(OR(J1628="", J1628=""), "[Aviso] División no capturada ()", IF(ISNA(MATCH(J1628, Criterios!$A$123:$A$126, 0)), "División no válida", "")), IF(OR(K1628="", K1628=""), "[Aviso] Categoría no capturada ()", IF(ISNA(MATCH(K1628, Criterios!$A$81:$A$120, 0)), "Categoría no válida", IF(AND(J1628&lt;&gt;"", J1628&lt;&gt;"", J1628&lt;&gt;VLOOKUP(K1628, Criterios!$A$81:$B$120, 2, FALSE)), "División no coincide con Categoría", ""))), IF(OR(L1628="", L1628=""), "[Aviso] Género no capturado ()", IF(ISNA(MATCH(L1628, Criterios!$B$123:$B$127, 0)), "Género no válido", "")), IF(OR(N1628="", N1628=""), "[Aviso] Temporada no capturada ()", IF(ISNA(MATCH(N1628, Criterios!$C$123:$C$128, 0)), "Temporada no válida", "")), IF(OR(O1628="", O1628=""), "[Aviso] Ciclo de vida no capturado ()", IF(ISNA(MATCH(O1628, Criterios!$D$123:$D$124, 0)), "Ciclo de vida no válido", ""))))</f>
        <v/>
      </c>
      <c r="AC1628" s="56" t="n"/>
      <c r="AD1628" s="51" t="n">
        <v>1</v>
      </c>
      <c r="AE1628" s="156" t="inlineStr">
        <is>
          <t>STETSON AMERICAS (1)</t>
        </is>
      </c>
      <c r="AF1628" s="51" t="n">
        <v>1</v>
      </c>
      <c r="AG1628" s="156" t="inlineStr">
        <is>
          <t>Catálogo existente</t>
        </is>
      </c>
      <c r="AH162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8" s="156" t="inlineStr">
        <is>
          <t>No</t>
        </is>
      </c>
      <c r="AJ1628" s="156" t="n"/>
      <c r="AK1628" s="155" t="inlineStr">
        <is>
          <t>Criterios: I [Q] | Shopify Stetson: producto 14786559836523 / variante 53350612369771</t>
        </is>
      </c>
      <c r="AL1628" s="58" t="n">
        <v>2756.25</v>
      </c>
      <c r="AM1628" s="58" t="n">
        <v>6724.137931</v>
      </c>
      <c r="AN1628" s="155" t="inlineStr">
        <is>
          <t>Shopify Stetson México</t>
        </is>
      </c>
      <c r="AO1628" s="59" t="n">
        <v>4</v>
      </c>
      <c r="AP1628" s="59" t="n"/>
      <c r="AQ1628" s="59" t="n"/>
      <c r="AR1628" s="155" t="inlineStr">
        <is>
          <t>Shopify Stetson México › Stetson Americas: 2 | Shopify Stetson México › Eventos: 2</t>
        </is>
      </c>
    </row>
    <row r="1629">
      <c r="A1629" s="50" t="inlineStr">
        <is>
          <t>883383148565</t>
        </is>
      </c>
      <c r="B1629" s="51" t="inlineStr">
        <is>
          <t>110119</t>
        </is>
      </c>
      <c r="C1629" s="156" t="inlineStr">
        <is>
          <t>Multimarca</t>
        </is>
      </c>
      <c r="D1629" s="156" t="inlineStr">
        <is>
          <t>SFSKYL-754049</t>
        </is>
      </c>
      <c r="E1629" s="156" t="inlineStr">
        <is>
          <t>SFSKYL-75404972</t>
        </is>
      </c>
      <c r="F1629" s="156" t="inlineStr">
        <is>
          <t>7 1/4</t>
        </is>
      </c>
      <c r="G1629" s="156" t="inlineStr">
        <is>
          <t>7 1/4</t>
        </is>
      </c>
      <c r="H1629" s="156" t="inlineStr">
        <is>
          <t>Stetson</t>
        </is>
      </c>
      <c r="I1629" s="156" t="inlineStr">
        <is>
          <t>Sombrero Stetson Skyline 6X Cowboy</t>
        </is>
      </c>
      <c r="J1629" s="156" t="inlineStr">
        <is>
          <t>Accesorios</t>
        </is>
      </c>
      <c r="K1629" s="156" t="inlineStr">
        <is>
          <t>Sombreros</t>
        </is>
      </c>
      <c r="L1629" s="156" t="inlineStr">
        <is>
          <t>Unisex</t>
        </is>
      </c>
      <c r="M1629" s="156" t="inlineStr">
        <is>
          <t>Stetson</t>
        </is>
      </c>
      <c r="N1629" s="156" t="inlineStr">
        <is>
          <t>SS26</t>
        </is>
      </c>
      <c r="O1629" s="156" t="inlineStr">
        <is>
          <t>Seasonal</t>
        </is>
      </c>
      <c r="P1629" s="156" t="inlineStr">
        <is>
          <t>Gris</t>
        </is>
      </c>
      <c r="Q1629" s="156" t="n"/>
      <c r="R1629" s="156" t="inlineStr">
        <is>
          <t>Copa Cattleman</t>
        </is>
      </c>
      <c r="S1629" s="156" t="inlineStr">
        <is>
          <t>100% Paja</t>
        </is>
      </c>
      <c r="T162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9" s="156" t="inlineStr">
        <is>
          <t>Estados Unidos</t>
        </is>
      </c>
      <c r="V1629" s="156" t="inlineStr">
        <is>
          <t>PZS</t>
        </is>
      </c>
      <c r="W1629" s="51" t="inlineStr">
        <is>
          <t>53102503</t>
        </is>
      </c>
      <c r="X1629" s="156" t="inlineStr">
        <is>
          <t>https://cdn.shopify.com/s/files/1/0888/3250/8267/files/SFSKYL-7540-E5-64_3.png?v=1759518014</t>
        </is>
      </c>
      <c r="Y1629" s="54" t="n">
        <v>2756.25</v>
      </c>
      <c r="Z1629" s="54" t="n">
        <v>6724.137931</v>
      </c>
      <c r="AA1629" s="55">
        <f>IF(AND(A1629="", B1629="", E1629=""), "", IF(AB1629="", "Válido", IF((LEN(AB1629)-LEN(SUBSTITUTE(AB1629,"; ","")))/2+1&gt;(LEN(AB1629)-LEN(SUBSTITUTE(AB1629,"[Aviso]","")))/7, "Con Incidencias", "Válido")))</f>
        <v/>
      </c>
      <c r="AB1629" s="56">
        <f>IF(AND(A1629="", B1629="", E1629=""), "", TEXTJOIN("; ", TRUE, IF(OR(TRIM(A1629&amp;"")="", ISNUMBER(SEARCH("FALTA", A1629))), "UPC faltante/inválido", ""), IF(AND(A1629&lt;&gt;"", IFERROR(_xlfn.XMATCH(A1629,$A$2:$A$2509,0,1)&lt;&gt;_xlfn.XMATCH(A1629,$A$2:$A$2509,0,-1),FALSE)), "Código de barras duplicado", ""), IF(AND(E1629&lt;&gt;"", COUNTIF($E$2:$E$2509, E1629)&gt;1), "SKU duplicado", ""), IF(OR(J1629="", J1629=""), "[Aviso] División no capturada ()", IF(ISNA(MATCH(J1629, Criterios!$A$123:$A$126, 0)), "División no válida", "")), IF(OR(K1629="", K1629=""), "[Aviso] Categoría no capturada ()", IF(ISNA(MATCH(K1629, Criterios!$A$81:$A$120, 0)), "Categoría no válida", IF(AND(J1629&lt;&gt;"", J1629&lt;&gt;"", J1629&lt;&gt;VLOOKUP(K1629, Criterios!$A$81:$B$120, 2, FALSE)), "División no coincide con Categoría", ""))), IF(OR(L1629="", L1629=""), "[Aviso] Género no capturado ()", IF(ISNA(MATCH(L1629, Criterios!$B$123:$B$127, 0)), "Género no válido", "")), IF(OR(N1629="", N1629=""), "[Aviso] Temporada no capturada ()", IF(ISNA(MATCH(N1629, Criterios!$C$123:$C$128, 0)), "Temporada no válida", "")), IF(OR(O1629="", O1629=""), "[Aviso] Ciclo de vida no capturado ()", IF(ISNA(MATCH(O1629, Criterios!$D$123:$D$124, 0)), "Ciclo de vida no válido", ""))))</f>
        <v/>
      </c>
      <c r="AC1629" s="56" t="n"/>
      <c r="AD1629" s="51" t="n">
        <v>-1</v>
      </c>
      <c r="AE1629" s="156" t="n"/>
      <c r="AF1629" s="51" t="n">
        <v>0</v>
      </c>
      <c r="AG1629" s="156" t="inlineStr">
        <is>
          <t>Catálogo existente</t>
        </is>
      </c>
      <c r="AH162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9" s="156" t="inlineStr">
        <is>
          <t>Sí</t>
        </is>
      </c>
      <c r="AJ1629" s="156" t="inlineStr">
        <is>
          <t>STETSON AMERICAS (-1)</t>
        </is>
      </c>
      <c r="AK1629" s="155" t="inlineStr">
        <is>
          <t>Criterios: I [Q] | Shopify Stetson: producto 14786559836523 / variante 53350612402539</t>
        </is>
      </c>
      <c r="AL1629" s="58" t="n">
        <v>2756.25</v>
      </c>
      <c r="AM1629" s="58" t="n">
        <v>6724.137931</v>
      </c>
      <c r="AN1629" s="155" t="inlineStr">
        <is>
          <t>Shopify Stetson México</t>
        </is>
      </c>
      <c r="AO1629" s="59" t="n">
        <v>0</v>
      </c>
      <c r="AP1629" s="59" t="n"/>
      <c r="AQ1629" s="59" t="n"/>
      <c r="AR1629" s="155" t="n"/>
    </row>
    <row r="1630">
      <c r="A1630" s="50" t="inlineStr">
        <is>
          <t>883383148572</t>
        </is>
      </c>
      <c r="B1630" s="51" t="inlineStr">
        <is>
          <t>110120</t>
        </is>
      </c>
      <c r="C1630" s="156" t="inlineStr">
        <is>
          <t>Multimarca</t>
        </is>
      </c>
      <c r="D1630" s="156" t="inlineStr">
        <is>
          <t>SFSKYL-754049</t>
        </is>
      </c>
      <c r="E1630" s="156" t="inlineStr">
        <is>
          <t>SFSKYL-75404973</t>
        </is>
      </c>
      <c r="F1630" s="156" t="inlineStr">
        <is>
          <t>7 3/8</t>
        </is>
      </c>
      <c r="G1630" s="156" t="inlineStr">
        <is>
          <t>7 3/8</t>
        </is>
      </c>
      <c r="H1630" s="156" t="inlineStr">
        <is>
          <t>Stetson</t>
        </is>
      </c>
      <c r="I1630" s="156" t="inlineStr">
        <is>
          <t>Sombrero Stetson Skyline 6X Cowboy</t>
        </is>
      </c>
      <c r="J1630" s="156" t="inlineStr">
        <is>
          <t>Accesorios</t>
        </is>
      </c>
      <c r="K1630" s="156" t="inlineStr">
        <is>
          <t>Sombreros</t>
        </is>
      </c>
      <c r="L1630" s="156" t="inlineStr">
        <is>
          <t>Unisex</t>
        </is>
      </c>
      <c r="M1630" s="156" t="inlineStr">
        <is>
          <t>Stetson</t>
        </is>
      </c>
      <c r="N1630" s="156" t="inlineStr">
        <is>
          <t>SS26</t>
        </is>
      </c>
      <c r="O1630" s="156" t="inlineStr">
        <is>
          <t>Seasonal</t>
        </is>
      </c>
      <c r="P1630" s="156" t="inlineStr">
        <is>
          <t>Gris</t>
        </is>
      </c>
      <c r="Q1630" s="156" t="n"/>
      <c r="R1630" s="156" t="inlineStr">
        <is>
          <t>Copa Cattleman</t>
        </is>
      </c>
      <c r="S1630" s="156" t="inlineStr">
        <is>
          <t>100% Paja</t>
        </is>
      </c>
      <c r="T163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30" s="156" t="inlineStr">
        <is>
          <t>Estados Unidos</t>
        </is>
      </c>
      <c r="V1630" s="156" t="inlineStr">
        <is>
          <t>PZS</t>
        </is>
      </c>
      <c r="W1630" s="51" t="inlineStr">
        <is>
          <t>53102503</t>
        </is>
      </c>
      <c r="X1630" s="156" t="inlineStr">
        <is>
          <t>https://cdn.shopify.com/s/files/1/0888/3250/8267/files/SFSKYL-7540-E5-64_4.png?v=1759518014</t>
        </is>
      </c>
      <c r="Y1630" s="54" t="n">
        <v>2756.25</v>
      </c>
      <c r="Z1630" s="54" t="n">
        <v>6724.137931</v>
      </c>
      <c r="AA1630" s="55">
        <f>IF(AND(A1630="", B1630="", E1630=""), "", IF(AB1630="", "Válido", IF((LEN(AB1630)-LEN(SUBSTITUTE(AB1630,"; ","")))/2+1&gt;(LEN(AB1630)-LEN(SUBSTITUTE(AB1630,"[Aviso]","")))/7, "Con Incidencias", "Válido")))</f>
        <v/>
      </c>
      <c r="AB1630" s="56">
        <f>IF(AND(A1630="", B1630="", E1630=""), "", TEXTJOIN("; ", TRUE, IF(OR(TRIM(A1630&amp;"")="", ISNUMBER(SEARCH("FALTA", A1630))), "UPC faltante/inválido", ""), IF(AND(A1630&lt;&gt;"", IFERROR(_xlfn.XMATCH(A1630,$A$2:$A$2509,0,1)&lt;&gt;_xlfn.XMATCH(A1630,$A$2:$A$2509,0,-1),FALSE)), "Código de barras duplicado", ""), IF(AND(E1630&lt;&gt;"", COUNTIF($E$2:$E$2509, E1630)&gt;1), "SKU duplicado", ""), IF(OR(J1630="", J1630=""), "[Aviso] División no capturada ()", IF(ISNA(MATCH(J1630, Criterios!$A$123:$A$126, 0)), "División no válida", "")), IF(OR(K1630="", K1630=""), "[Aviso] Categoría no capturada ()", IF(ISNA(MATCH(K1630, Criterios!$A$81:$A$120, 0)), "Categoría no válida", IF(AND(J1630&lt;&gt;"", J1630&lt;&gt;"", J1630&lt;&gt;VLOOKUP(K1630, Criterios!$A$81:$B$120, 2, FALSE)), "División no coincide con Categoría", ""))), IF(OR(L1630="", L1630=""), "[Aviso] Género no capturado ()", IF(ISNA(MATCH(L1630, Criterios!$B$123:$B$127, 0)), "Género no válido", "")), IF(OR(N1630="", N1630=""), "[Aviso] Temporada no capturada ()", IF(ISNA(MATCH(N1630, Criterios!$C$123:$C$128, 0)), "Temporada no válida", "")), IF(OR(O1630="", O1630=""), "[Aviso] Ciclo de vida no capturado ()", IF(ISNA(MATCH(O1630, Criterios!$D$123:$D$124, 0)), "Ciclo de vida no válido", ""))))</f>
        <v/>
      </c>
      <c r="AC1630" s="56" t="n"/>
      <c r="AD1630" s="51" t="n">
        <v>3</v>
      </c>
      <c r="AE1630" s="156" t="inlineStr">
        <is>
          <t>B25 STETSON.MX (2); PUNTO DE VENTA (2)</t>
        </is>
      </c>
      <c r="AF1630" s="51" t="n">
        <v>4</v>
      </c>
      <c r="AG1630" s="156" t="inlineStr">
        <is>
          <t>Catálogo existente</t>
        </is>
      </c>
      <c r="AH163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30" s="156" t="inlineStr">
        <is>
          <t>Sí</t>
        </is>
      </c>
      <c r="AJ1630" s="156" t="inlineStr">
        <is>
          <t>STETSON AMERICAS (-1)</t>
        </is>
      </c>
      <c r="AK1630" s="155" t="inlineStr">
        <is>
          <t>Criterios: I [Q] | Shopify Stetson: producto 14786559836523 / variante 53350612435307</t>
        </is>
      </c>
      <c r="AL1630" s="58" t="n">
        <v>2756.25</v>
      </c>
      <c r="AM1630" s="58" t="n">
        <v>6724.137931</v>
      </c>
      <c r="AN1630" s="155" t="inlineStr">
        <is>
          <t>Shopify Stetson México</t>
        </is>
      </c>
      <c r="AO1630" s="59" t="n">
        <v>4</v>
      </c>
      <c r="AP1630" s="59" t="n"/>
      <c r="AQ1630" s="59" t="n"/>
      <c r="AR1630" s="155" t="inlineStr">
        <is>
          <t>Shopify Stetson México › Stetson México: 2 | Shopify Stetson México › Eventos: 2</t>
        </is>
      </c>
    </row>
    <row r="1631">
      <c r="A1631" s="50" t="inlineStr">
        <is>
          <t>883383148589</t>
        </is>
      </c>
      <c r="B1631" s="51" t="inlineStr">
        <is>
          <t>110121</t>
        </is>
      </c>
      <c r="C1631" s="156" t="inlineStr">
        <is>
          <t>Multimarca</t>
        </is>
      </c>
      <c r="D1631" s="156" t="inlineStr">
        <is>
          <t>SFSKYL-754049</t>
        </is>
      </c>
      <c r="E1631" s="156" t="inlineStr">
        <is>
          <t>SFSKYL-75404974</t>
        </is>
      </c>
      <c r="F1631" s="156" t="inlineStr">
        <is>
          <t>7 1/2</t>
        </is>
      </c>
      <c r="G1631" s="156" t="inlineStr">
        <is>
          <t>7 1/2</t>
        </is>
      </c>
      <c r="H1631" s="156" t="inlineStr">
        <is>
          <t>Stetson</t>
        </is>
      </c>
      <c r="I1631" s="156" t="inlineStr">
        <is>
          <t>Sombrero Stetson Skyline 6X Cowboy</t>
        </is>
      </c>
      <c r="J1631" s="156" t="inlineStr">
        <is>
          <t>Accesorios</t>
        </is>
      </c>
      <c r="K1631" s="156" t="inlineStr">
        <is>
          <t>Sombreros</t>
        </is>
      </c>
      <c r="L1631" s="156" t="inlineStr">
        <is>
          <t>Unisex</t>
        </is>
      </c>
      <c r="M1631" s="156" t="inlineStr">
        <is>
          <t>Stetson</t>
        </is>
      </c>
      <c r="N1631" s="156" t="inlineStr">
        <is>
          <t>SS26</t>
        </is>
      </c>
      <c r="O1631" s="156" t="inlineStr">
        <is>
          <t>Seasonal</t>
        </is>
      </c>
      <c r="P1631" s="156" t="inlineStr">
        <is>
          <t>Gris</t>
        </is>
      </c>
      <c r="Q1631" s="156" t="n"/>
      <c r="R1631" s="156" t="inlineStr">
        <is>
          <t>Copa Cattleman</t>
        </is>
      </c>
      <c r="S1631" s="156" t="inlineStr">
        <is>
          <t>100% Paja</t>
        </is>
      </c>
      <c r="T163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31" s="156" t="inlineStr">
        <is>
          <t>Estados Unidos</t>
        </is>
      </c>
      <c r="V1631" s="156" t="inlineStr">
        <is>
          <t>PZS</t>
        </is>
      </c>
      <c r="W1631" s="51" t="inlineStr">
        <is>
          <t>53102503</t>
        </is>
      </c>
      <c r="X1631" s="156" t="inlineStr">
        <is>
          <t>https://cdn.shopify.com/s/files/1/0888/3250/8267/files/SFSKYL-7540-E5-64_5.png?v=1759518014</t>
        </is>
      </c>
      <c r="Y1631" s="54" t="n">
        <v>2756.25</v>
      </c>
      <c r="Z1631" s="54" t="n">
        <v>6724.137931</v>
      </c>
      <c r="AA1631" s="55">
        <f>IF(AND(A1631="", B1631="", E1631=""), "", IF(AB1631="", "Válido", IF((LEN(AB1631)-LEN(SUBSTITUTE(AB1631,"; ","")))/2+1&gt;(LEN(AB1631)-LEN(SUBSTITUTE(AB1631,"[Aviso]","")))/7, "Con Incidencias", "Válido")))</f>
        <v/>
      </c>
      <c r="AB1631" s="56">
        <f>IF(AND(A1631="", B1631="", E1631=""), "", TEXTJOIN("; ", TRUE, IF(OR(TRIM(A1631&amp;"")="", ISNUMBER(SEARCH("FALTA", A1631))), "UPC faltante/inválido", ""), IF(AND(A1631&lt;&gt;"", IFERROR(_xlfn.XMATCH(A1631,$A$2:$A$2509,0,1)&lt;&gt;_xlfn.XMATCH(A1631,$A$2:$A$2509,0,-1),FALSE)), "Código de barras duplicado", ""), IF(AND(E1631&lt;&gt;"", COUNTIF($E$2:$E$2509, E1631)&gt;1), "SKU duplicado", ""), IF(OR(J1631="", J1631=""), "[Aviso] División no capturada ()", IF(ISNA(MATCH(J1631, Criterios!$A$123:$A$126, 0)), "División no válida", "")), IF(OR(K1631="", K1631=""), "[Aviso] Categoría no capturada ()", IF(ISNA(MATCH(K1631, Criterios!$A$81:$A$120, 0)), "Categoría no válida", IF(AND(J1631&lt;&gt;"", J1631&lt;&gt;"", J1631&lt;&gt;VLOOKUP(K1631, Criterios!$A$81:$B$120, 2, FALSE)), "División no coincide con Categoría", ""))), IF(OR(L1631="", L1631=""), "[Aviso] Género no capturado ()", IF(ISNA(MATCH(L1631, Criterios!$B$123:$B$127, 0)), "Género no válido", "")), IF(OR(N1631="", N1631=""), "[Aviso] Temporada no capturada ()", IF(ISNA(MATCH(N1631, Criterios!$C$123:$C$128, 0)), "Temporada no válida", "")), IF(OR(O1631="", O1631=""), "[Aviso] Ciclo de vida no capturado ()", IF(ISNA(MATCH(O1631, Criterios!$D$123:$D$124, 0)), "Ciclo de vida no válido", ""))))</f>
        <v/>
      </c>
      <c r="AC1631" s="56" t="n"/>
      <c r="AD1631" s="51" t="n">
        <v>-1</v>
      </c>
      <c r="AE1631" s="156" t="n"/>
      <c r="AF1631" s="51" t="n">
        <v>0</v>
      </c>
      <c r="AG1631" s="156" t="inlineStr">
        <is>
          <t>Catálogo existente</t>
        </is>
      </c>
      <c r="AH163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31" s="156" t="inlineStr">
        <is>
          <t>Sí</t>
        </is>
      </c>
      <c r="AJ1631" s="156" t="inlineStr">
        <is>
          <t>STETSON AMERICAS (-1)</t>
        </is>
      </c>
      <c r="AK1631" s="155" t="inlineStr">
        <is>
          <t>Criterios: I [Q] | Shopify Stetson: producto 14786559836523 / variante 53350612468075</t>
        </is>
      </c>
      <c r="AL1631" s="58" t="n">
        <v>2756.25</v>
      </c>
      <c r="AM1631" s="58" t="n">
        <v>6724.137931</v>
      </c>
      <c r="AN1631" s="155" t="inlineStr">
        <is>
          <t>Shopify Stetson México</t>
        </is>
      </c>
      <c r="AO1631" s="59" t="n">
        <v>0</v>
      </c>
      <c r="AP1631" s="59" t="n"/>
      <c r="AQ1631" s="59" t="n"/>
      <c r="AR1631" s="155" t="n"/>
    </row>
    <row r="1632">
      <c r="A1632" s="50" t="inlineStr">
        <is>
          <t>883383201925</t>
        </is>
      </c>
      <c r="B1632" s="51" t="inlineStr">
        <is>
          <t>117580</t>
        </is>
      </c>
      <c r="C1632" s="156" t="inlineStr">
        <is>
          <t>Multimarca</t>
        </is>
      </c>
      <c r="D1632" s="156" t="inlineStr">
        <is>
          <t>SWBRNM-754028</t>
        </is>
      </c>
      <c r="E1632" s="156" t="inlineStr">
        <is>
          <t>SWBRNM-75402870</t>
        </is>
      </c>
      <c r="F1632" s="156" t="inlineStr">
        <is>
          <t>7</t>
        </is>
      </c>
      <c r="G1632" s="156" t="inlineStr">
        <is>
          <t>7</t>
        </is>
      </c>
      <c r="H1632" s="156" t="inlineStr">
        <is>
          <t>Stetson</t>
        </is>
      </c>
      <c r="I1632" s="156" t="inlineStr">
        <is>
          <t>Texana Stetson Brenham Marfil</t>
        </is>
      </c>
      <c r="J1632" s="156" t="inlineStr">
        <is>
          <t>Accesorios</t>
        </is>
      </c>
      <c r="K1632" s="156" t="inlineStr">
        <is>
          <t>Sombreros</t>
        </is>
      </c>
      <c r="L1632" s="156" t="inlineStr">
        <is>
          <t>Unisex</t>
        </is>
      </c>
      <c r="M1632" s="156" t="inlineStr">
        <is>
          <t>Stetson</t>
        </is>
      </c>
      <c r="N1632" s="156" t="inlineStr">
        <is>
          <t>FW26</t>
        </is>
      </c>
      <c r="O1632" s="156" t="inlineStr">
        <is>
          <t>Seasonal</t>
        </is>
      </c>
      <c r="P1632" s="156" t="inlineStr">
        <is>
          <t>Beige</t>
        </is>
      </c>
      <c r="Q1632" s="156" t="n"/>
      <c r="R1632" s="156" t="inlineStr">
        <is>
          <t>Copa Cattleman</t>
        </is>
      </c>
      <c r="S1632" s="156" t="inlineStr">
        <is>
          <t>Fieltro de pelo</t>
        </is>
      </c>
      <c r="T1632"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2" s="156" t="inlineStr">
        <is>
          <t>Estados Unidos</t>
        </is>
      </c>
      <c r="V1632" s="156" t="inlineStr">
        <is>
          <t>PZS</t>
        </is>
      </c>
      <c r="W1632" s="51" t="inlineStr">
        <is>
          <t>53102516</t>
        </is>
      </c>
      <c r="X1632" s="156" t="n"/>
      <c r="Y1632" s="54" t="n">
        <v>1181.25</v>
      </c>
      <c r="Z1632" s="54" t="n">
        <v>2844.827586</v>
      </c>
      <c r="AA1632" s="55">
        <f>IF(AND(A1632="", B1632="", E1632=""), "", IF(AB1632="", "Válido", IF((LEN(AB1632)-LEN(SUBSTITUTE(AB1632,"; ","")))/2+1&gt;(LEN(AB1632)-LEN(SUBSTITUTE(AB1632,"[Aviso]","")))/7, "Con Incidencias", "Válido")))</f>
        <v/>
      </c>
      <c r="AB1632" s="56">
        <f>IF(AND(A1632="", B1632="", E1632=""), "", TEXTJOIN("; ", TRUE, IF(OR(TRIM(A1632&amp;"")="", ISNUMBER(SEARCH("FALTA", A1632))), "UPC faltante/inválido", ""), IF(AND(A1632&lt;&gt;"", IFERROR(_xlfn.XMATCH(A1632,$A$2:$A$2509,0,1)&lt;&gt;_xlfn.XMATCH(A1632,$A$2:$A$2509,0,-1),FALSE)), "Código de barras duplicado", ""), IF(AND(E1632&lt;&gt;"", COUNTIF($E$2:$E$2509, E1632)&gt;1), "SKU duplicado", ""), IF(OR(J1632="", J1632=""), "[Aviso] División no capturada ()", IF(ISNA(MATCH(J1632, Criterios!$A$123:$A$126, 0)), "División no válida", "")), IF(OR(K1632="", K1632=""), "[Aviso] Categoría no capturada ()", IF(ISNA(MATCH(K1632, Criterios!$A$81:$A$120, 0)), "Categoría no válida", IF(AND(J1632&lt;&gt;"", J1632&lt;&gt;"", J1632&lt;&gt;VLOOKUP(K1632, Criterios!$A$81:$B$120, 2, FALSE)), "División no coincide con Categoría", ""))), IF(OR(L1632="", L1632=""), "[Aviso] Género no capturado ()", IF(ISNA(MATCH(L1632, Criterios!$B$123:$B$127, 0)), "Género no válido", "")), IF(OR(N1632="", N1632=""), "[Aviso] Temporada no capturada ()", IF(ISNA(MATCH(N1632, Criterios!$C$123:$C$128, 0)), "Temporada no válida", "")), IF(OR(O1632="", O1632=""), "[Aviso] Ciclo de vida no capturado ()", IF(ISNA(MATCH(O1632, Criterios!$D$123:$D$124, 0)), "Ciclo de vida no válido", ""))))</f>
        <v/>
      </c>
      <c r="AC1632" s="56" t="n"/>
      <c r="AD1632" s="51" t="n">
        <v>0</v>
      </c>
      <c r="AE1632" s="156" t="inlineStr">
        <is>
          <t>STETSON AMERICAS (1)</t>
        </is>
      </c>
      <c r="AF1632" s="51" t="n">
        <v>1</v>
      </c>
      <c r="AG1632" s="156" t="inlineStr">
        <is>
          <t>Catálogo existente</t>
        </is>
      </c>
      <c r="AH1632" s="156" t="inlineStr">
        <is>
          <t>Revisión 29/09/2026: Campos sin respaldo: X | 01/10/2026: complementado desde Shopify Stetson México (match por código de barras): WB Fit, WB Silueta</t>
        </is>
      </c>
      <c r="AI1632" s="156" t="inlineStr">
        <is>
          <t>Sí</t>
        </is>
      </c>
      <c r="AJ1632" s="156" t="inlineStr">
        <is>
          <t>PUNTO DE VENTA (-1)</t>
        </is>
      </c>
      <c r="AK1632" s="155" t="inlineStr">
        <is>
          <t>Criterios: I [Q] | Shopify Stetson: producto 15239426376043 / variante 53836805308779</t>
        </is>
      </c>
      <c r="AL1632" s="58" t="n">
        <v>1181.25</v>
      </c>
      <c r="AM1632" s="58" t="n">
        <v>2844.827586</v>
      </c>
      <c r="AN1632" s="155" t="inlineStr">
        <is>
          <t>Shopify Stetson México</t>
        </is>
      </c>
      <c r="AO1632" s="59" t="n">
        <v>1</v>
      </c>
      <c r="AP1632" s="59" t="n"/>
      <c r="AQ1632" s="59" t="n"/>
      <c r="AR1632" s="155" t="inlineStr">
        <is>
          <t>Shopify Stetson México › Stetson Americas: 1</t>
        </is>
      </c>
    </row>
    <row r="1633">
      <c r="A1633" s="50" t="inlineStr">
        <is>
          <t>883383201932</t>
        </is>
      </c>
      <c r="B1633" s="51" t="inlineStr">
        <is>
          <t>117578</t>
        </is>
      </c>
      <c r="C1633" s="156" t="inlineStr">
        <is>
          <t>Multimarca</t>
        </is>
      </c>
      <c r="D1633" s="156" t="inlineStr">
        <is>
          <t>SWBRNM-754028</t>
        </is>
      </c>
      <c r="E1633" s="156" t="inlineStr">
        <is>
          <t>SWBRNM-75402871</t>
        </is>
      </c>
      <c r="F1633" s="156" t="inlineStr">
        <is>
          <t>7 1/8</t>
        </is>
      </c>
      <c r="G1633" s="156" t="inlineStr">
        <is>
          <t>7 1/8</t>
        </is>
      </c>
      <c r="H1633" s="156" t="inlineStr">
        <is>
          <t>Stetson</t>
        </is>
      </c>
      <c r="I1633" s="156" t="inlineStr">
        <is>
          <t>Texana Stetson Brenham Marfil</t>
        </is>
      </c>
      <c r="J1633" s="156" t="inlineStr">
        <is>
          <t>Accesorios</t>
        </is>
      </c>
      <c r="K1633" s="156" t="inlineStr">
        <is>
          <t>Sombreros</t>
        </is>
      </c>
      <c r="L1633" s="156" t="inlineStr">
        <is>
          <t>Unisex</t>
        </is>
      </c>
      <c r="M1633" s="156" t="inlineStr">
        <is>
          <t>Stetson</t>
        </is>
      </c>
      <c r="N1633" s="156" t="inlineStr">
        <is>
          <t>FW26</t>
        </is>
      </c>
      <c r="O1633" s="156" t="inlineStr">
        <is>
          <t>Seasonal</t>
        </is>
      </c>
      <c r="P1633" s="156" t="inlineStr">
        <is>
          <t>Beige</t>
        </is>
      </c>
      <c r="Q1633" s="156" t="n"/>
      <c r="R1633" s="156" t="inlineStr">
        <is>
          <t>Copa Cattleman</t>
        </is>
      </c>
      <c r="S1633" s="156" t="inlineStr">
        <is>
          <t>Fieltro de pelo</t>
        </is>
      </c>
      <c r="T1633"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3" s="156" t="inlineStr">
        <is>
          <t>Estados Unidos</t>
        </is>
      </c>
      <c r="V1633" s="156" t="inlineStr">
        <is>
          <t>PZS</t>
        </is>
      </c>
      <c r="W1633" s="51" t="inlineStr">
        <is>
          <t>53102516</t>
        </is>
      </c>
      <c r="X1633" s="156" t="n"/>
      <c r="Y1633" s="54" t="n">
        <v>1181.25</v>
      </c>
      <c r="Z1633" s="54" t="n">
        <v>2844.827586</v>
      </c>
      <c r="AA1633" s="55">
        <f>IF(AND(A1633="", B1633="", E1633=""), "", IF(AB1633="", "Válido", IF((LEN(AB1633)-LEN(SUBSTITUTE(AB1633,"; ","")))/2+1&gt;(LEN(AB1633)-LEN(SUBSTITUTE(AB1633,"[Aviso]","")))/7, "Con Incidencias", "Válido")))</f>
        <v/>
      </c>
      <c r="AB1633" s="56">
        <f>IF(AND(A1633="", B1633="", E1633=""), "", TEXTJOIN("; ", TRUE, IF(OR(TRIM(A1633&amp;"")="", ISNUMBER(SEARCH("FALTA", A1633))), "UPC faltante/inválido", ""), IF(AND(A1633&lt;&gt;"", IFERROR(_xlfn.XMATCH(A1633,$A$2:$A$2509,0,1)&lt;&gt;_xlfn.XMATCH(A1633,$A$2:$A$2509,0,-1),FALSE)), "Código de barras duplicado", ""), IF(AND(E1633&lt;&gt;"", COUNTIF($E$2:$E$2509, E1633)&gt;1), "SKU duplicado", ""), IF(OR(J1633="", J1633=""), "[Aviso] División no capturada ()", IF(ISNA(MATCH(J1633, Criterios!$A$123:$A$126, 0)), "División no válida", "")), IF(OR(K1633="", K1633=""), "[Aviso] Categoría no capturada ()", IF(ISNA(MATCH(K1633, Criterios!$A$81:$A$120, 0)), "Categoría no válida", IF(AND(J1633&lt;&gt;"", J1633&lt;&gt;"", J1633&lt;&gt;VLOOKUP(K1633, Criterios!$A$81:$B$120, 2, FALSE)), "División no coincide con Categoría", ""))), IF(OR(L1633="", L1633=""), "[Aviso] Género no capturado ()", IF(ISNA(MATCH(L1633, Criterios!$B$123:$B$127, 0)), "Género no válido", "")), IF(OR(N1633="", N1633=""), "[Aviso] Temporada no capturada ()", IF(ISNA(MATCH(N1633, Criterios!$C$123:$C$128, 0)), "Temporada no válida", "")), IF(OR(O1633="", O1633=""), "[Aviso] Ciclo de vida no capturado ()", IF(ISNA(MATCH(O1633, Criterios!$D$123:$D$124, 0)), "Ciclo de vida no válido", ""))))</f>
        <v/>
      </c>
      <c r="AC1633" s="56" t="n"/>
      <c r="AD1633" s="51" t="n">
        <v>-1</v>
      </c>
      <c r="AE1633" s="156" t="n"/>
      <c r="AF1633" s="51" t="n">
        <v>0</v>
      </c>
      <c r="AG1633" s="156" t="inlineStr">
        <is>
          <t>Catálogo existente</t>
        </is>
      </c>
      <c r="AH1633" s="156" t="inlineStr">
        <is>
          <t>Revisión 29/09/2026: Campos sin respaldo: X | 01/10/2026: complementado desde Shopify Stetson México (match por código de barras): WB Fit, WB Silueta</t>
        </is>
      </c>
      <c r="AI1633" s="156" t="inlineStr">
        <is>
          <t>Sí</t>
        </is>
      </c>
      <c r="AJ1633" s="156" t="inlineStr">
        <is>
          <t>PUNTO DE VENTA (-1)</t>
        </is>
      </c>
      <c r="AK1633" s="155" t="inlineStr">
        <is>
          <t>Criterios: I [Q] | Shopify Stetson: producto 15239426376043 / variante 53836805341547</t>
        </is>
      </c>
      <c r="AL1633" s="58" t="n">
        <v>1181.25</v>
      </c>
      <c r="AM1633" s="58" t="n">
        <v>2844.827586</v>
      </c>
      <c r="AN1633" s="155" t="inlineStr">
        <is>
          <t>Shopify Stetson México</t>
        </is>
      </c>
      <c r="AO1633" s="59" t="n">
        <v>0</v>
      </c>
      <c r="AP1633" s="59" t="n"/>
      <c r="AQ1633" s="59" t="n"/>
      <c r="AR1633" s="155" t="n"/>
    </row>
    <row r="1634">
      <c r="A1634" s="50" t="inlineStr">
        <is>
          <t>883383201949</t>
        </is>
      </c>
      <c r="B1634" s="51" t="inlineStr">
        <is>
          <t>117579</t>
        </is>
      </c>
      <c r="C1634" s="156" t="inlineStr">
        <is>
          <t>Multimarca</t>
        </is>
      </c>
      <c r="D1634" s="156" t="inlineStr">
        <is>
          <t>SWBRNM-754028</t>
        </is>
      </c>
      <c r="E1634" s="156" t="inlineStr">
        <is>
          <t>SWBRNM-75402872</t>
        </is>
      </c>
      <c r="F1634" s="156" t="inlineStr">
        <is>
          <t>7 1/4</t>
        </is>
      </c>
      <c r="G1634" s="156" t="inlineStr">
        <is>
          <t>7 1/4</t>
        </is>
      </c>
      <c r="H1634" s="156" t="inlineStr">
        <is>
          <t>Stetson</t>
        </is>
      </c>
      <c r="I1634" s="156" t="inlineStr">
        <is>
          <t>Texana Stetson Brenham Marfil</t>
        </is>
      </c>
      <c r="J1634" s="156" t="inlineStr">
        <is>
          <t>Accesorios</t>
        </is>
      </c>
      <c r="K1634" s="156" t="inlineStr">
        <is>
          <t>Sombreros</t>
        </is>
      </c>
      <c r="L1634" s="156" t="inlineStr">
        <is>
          <t>Unisex</t>
        </is>
      </c>
      <c r="M1634" s="156" t="inlineStr">
        <is>
          <t>Stetson</t>
        </is>
      </c>
      <c r="N1634" s="156" t="inlineStr">
        <is>
          <t>FW26</t>
        </is>
      </c>
      <c r="O1634" s="156" t="inlineStr">
        <is>
          <t>Seasonal</t>
        </is>
      </c>
      <c r="P1634" s="156" t="inlineStr">
        <is>
          <t>Beige</t>
        </is>
      </c>
      <c r="Q1634" s="156" t="n"/>
      <c r="R1634" s="156" t="inlineStr">
        <is>
          <t>Copa Cattleman</t>
        </is>
      </c>
      <c r="S1634" s="156" t="inlineStr">
        <is>
          <t>Fieltro de pelo</t>
        </is>
      </c>
      <c r="T1634"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4" s="156" t="inlineStr">
        <is>
          <t>Estados Unidos</t>
        </is>
      </c>
      <c r="V1634" s="156" t="inlineStr">
        <is>
          <t>PZS</t>
        </is>
      </c>
      <c r="W1634" s="51" t="inlineStr">
        <is>
          <t>53102516</t>
        </is>
      </c>
      <c r="X1634" s="156" t="n"/>
      <c r="Y1634" s="54" t="n">
        <v>1181.25</v>
      </c>
      <c r="Z1634" s="54" t="n">
        <v>2844.827586</v>
      </c>
      <c r="AA1634" s="55">
        <f>IF(AND(A1634="", B1634="", E1634=""), "", IF(AB1634="", "Válido", IF((LEN(AB1634)-LEN(SUBSTITUTE(AB1634,"; ","")))/2+1&gt;(LEN(AB1634)-LEN(SUBSTITUTE(AB1634,"[Aviso]","")))/7, "Con Incidencias", "Válido")))</f>
        <v/>
      </c>
      <c r="AB1634" s="56">
        <f>IF(AND(A1634="", B1634="", E1634=""), "", TEXTJOIN("; ", TRUE, IF(OR(TRIM(A1634&amp;"")="", ISNUMBER(SEARCH("FALTA", A1634))), "UPC faltante/inválido", ""), IF(AND(A1634&lt;&gt;"", IFERROR(_xlfn.XMATCH(A1634,$A$2:$A$2509,0,1)&lt;&gt;_xlfn.XMATCH(A1634,$A$2:$A$2509,0,-1),FALSE)), "Código de barras duplicado", ""), IF(AND(E1634&lt;&gt;"", COUNTIF($E$2:$E$2509, E1634)&gt;1), "SKU duplicado", ""), IF(OR(J1634="", J1634=""), "[Aviso] División no capturada ()", IF(ISNA(MATCH(J1634, Criterios!$A$123:$A$126, 0)), "División no válida", "")), IF(OR(K1634="", K1634=""), "[Aviso] Categoría no capturada ()", IF(ISNA(MATCH(K1634, Criterios!$A$81:$A$120, 0)), "Categoría no válida", IF(AND(J1634&lt;&gt;"", J1634&lt;&gt;"", J1634&lt;&gt;VLOOKUP(K1634, Criterios!$A$81:$B$120, 2, FALSE)), "División no coincide con Categoría", ""))), IF(OR(L1634="", L1634=""), "[Aviso] Género no capturado ()", IF(ISNA(MATCH(L1634, Criterios!$B$123:$B$127, 0)), "Género no válido", "")), IF(OR(N1634="", N1634=""), "[Aviso] Temporada no capturada ()", IF(ISNA(MATCH(N1634, Criterios!$C$123:$C$128, 0)), "Temporada no válida", "")), IF(OR(O1634="", O1634=""), "[Aviso] Ciclo de vida no capturado ()", IF(ISNA(MATCH(O1634, Criterios!$D$123:$D$124, 0)), "Ciclo de vida no válido", ""))))</f>
        <v/>
      </c>
      <c r="AC1634" s="56" t="n"/>
      <c r="AD1634" s="51" t="n">
        <v>-1</v>
      </c>
      <c r="AE1634" s="156" t="n"/>
      <c r="AF1634" s="51" t="n">
        <v>0</v>
      </c>
      <c r="AG1634" s="156" t="inlineStr">
        <is>
          <t>Catálogo existente</t>
        </is>
      </c>
      <c r="AH1634" s="156" t="inlineStr">
        <is>
          <t>Stock negativo en sistema: revisar en conteo | Revisión 29/09/2026: Campos sin respaldo: X | 01/10/2026: complementado desde Shopify Stetson México (match por código de barras): WB Fit, WB Silueta</t>
        </is>
      </c>
      <c r="AI1634" s="156" t="inlineStr">
        <is>
          <t>Sí</t>
        </is>
      </c>
      <c r="AJ1634" s="156" t="inlineStr">
        <is>
          <t>PUNTO DE VENTA (-1)</t>
        </is>
      </c>
      <c r="AK1634" s="155" t="inlineStr">
        <is>
          <t>Criterios: I [Q] | Shopify Stetson: producto 15239426376043 / variante 53836805374315</t>
        </is>
      </c>
      <c r="AL1634" s="58" t="n">
        <v>1181.25</v>
      </c>
      <c r="AM1634" s="58" t="n">
        <v>2844.827586</v>
      </c>
      <c r="AN1634" s="155" t="inlineStr">
        <is>
          <t>Shopify Stetson México</t>
        </is>
      </c>
      <c r="AO1634" s="59" t="n">
        <v>0</v>
      </c>
      <c r="AP1634" s="59" t="n"/>
      <c r="AQ1634" s="59" t="n"/>
      <c r="AR1634" s="155" t="n"/>
    </row>
    <row r="1635">
      <c r="A1635" s="50" t="inlineStr">
        <is>
          <t>883383201956</t>
        </is>
      </c>
      <c r="B1635" s="51" t="inlineStr">
        <is>
          <t>117577</t>
        </is>
      </c>
      <c r="C1635" s="156" t="inlineStr">
        <is>
          <t>Multimarca</t>
        </is>
      </c>
      <c r="D1635" s="156" t="inlineStr">
        <is>
          <t>SWBRNM-754028</t>
        </is>
      </c>
      <c r="E1635" s="156" t="inlineStr">
        <is>
          <t>SWBRNM-75402873</t>
        </is>
      </c>
      <c r="F1635" s="156" t="inlineStr">
        <is>
          <t>7 3/8</t>
        </is>
      </c>
      <c r="G1635" s="156" t="inlineStr">
        <is>
          <t>7 3/8</t>
        </is>
      </c>
      <c r="H1635" s="156" t="inlineStr">
        <is>
          <t>Stetson</t>
        </is>
      </c>
      <c r="I1635" s="156" t="inlineStr">
        <is>
          <t>Texana Stetson Brenham Marfil</t>
        </is>
      </c>
      <c r="J1635" s="156" t="inlineStr">
        <is>
          <t>Accesorios</t>
        </is>
      </c>
      <c r="K1635" s="156" t="inlineStr">
        <is>
          <t>Sombreros</t>
        </is>
      </c>
      <c r="L1635" s="156" t="inlineStr">
        <is>
          <t>Unisex</t>
        </is>
      </c>
      <c r="M1635" s="156" t="inlineStr">
        <is>
          <t>Stetson</t>
        </is>
      </c>
      <c r="N1635" s="156" t="inlineStr">
        <is>
          <t>FW26</t>
        </is>
      </c>
      <c r="O1635" s="156" t="inlineStr">
        <is>
          <t>Seasonal</t>
        </is>
      </c>
      <c r="P1635" s="156" t="inlineStr">
        <is>
          <t>Beige</t>
        </is>
      </c>
      <c r="Q1635" s="156" t="n"/>
      <c r="R1635" s="156" t="inlineStr">
        <is>
          <t>Copa Cattleman</t>
        </is>
      </c>
      <c r="S1635" s="156" t="inlineStr">
        <is>
          <t>Fieltro de pelo</t>
        </is>
      </c>
      <c r="T1635"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5" s="156" t="inlineStr">
        <is>
          <t>Estados Unidos</t>
        </is>
      </c>
      <c r="V1635" s="156" t="inlineStr">
        <is>
          <t>PZS</t>
        </is>
      </c>
      <c r="W1635" s="51" t="inlineStr">
        <is>
          <t>53102516</t>
        </is>
      </c>
      <c r="X1635" s="156" t="n"/>
      <c r="Y1635" s="54" t="n">
        <v>1181.25</v>
      </c>
      <c r="Z1635" s="54" t="n">
        <v>2844.827586</v>
      </c>
      <c r="AA1635" s="55">
        <f>IF(AND(A1635="", B1635="", E1635=""), "", IF(AB1635="", "Válido", IF((LEN(AB1635)-LEN(SUBSTITUTE(AB1635,"; ","")))/2+1&gt;(LEN(AB1635)-LEN(SUBSTITUTE(AB1635,"[Aviso]","")))/7, "Con Incidencias", "Válido")))</f>
        <v/>
      </c>
      <c r="AB1635" s="56">
        <f>IF(AND(A1635="", B1635="", E1635=""), "", TEXTJOIN("; ", TRUE, IF(OR(TRIM(A1635&amp;"")="", ISNUMBER(SEARCH("FALTA", A1635))), "UPC faltante/inválido", ""), IF(AND(A1635&lt;&gt;"", IFERROR(_xlfn.XMATCH(A1635,$A$2:$A$2509,0,1)&lt;&gt;_xlfn.XMATCH(A1635,$A$2:$A$2509,0,-1),FALSE)), "Código de barras duplicado", ""), IF(AND(E1635&lt;&gt;"", COUNTIF($E$2:$E$2509, E1635)&gt;1), "SKU duplicado", ""), IF(OR(J1635="", J1635=""), "[Aviso] División no capturada ()", IF(ISNA(MATCH(J1635, Criterios!$A$123:$A$126, 0)), "División no válida", "")), IF(OR(K1635="", K1635=""), "[Aviso] Categoría no capturada ()", IF(ISNA(MATCH(K1635, Criterios!$A$81:$A$120, 0)), "Categoría no válida", IF(AND(J1635&lt;&gt;"", J1635&lt;&gt;"", J1635&lt;&gt;VLOOKUP(K1635, Criterios!$A$81:$B$120, 2, FALSE)), "División no coincide con Categoría", ""))), IF(OR(L1635="", L1635=""), "[Aviso] Género no capturado ()", IF(ISNA(MATCH(L1635, Criterios!$B$123:$B$127, 0)), "Género no válido", "")), IF(OR(N1635="", N1635=""), "[Aviso] Temporada no capturada ()", IF(ISNA(MATCH(N1635, Criterios!$C$123:$C$128, 0)), "Temporada no válida", "")), IF(OR(O1635="", O1635=""), "[Aviso] Ciclo de vida no capturado ()", IF(ISNA(MATCH(O1635, Criterios!$D$123:$D$124, 0)), "Ciclo de vida no válido", ""))))</f>
        <v/>
      </c>
      <c r="AC1635" s="56" t="n"/>
      <c r="AD1635" s="51" t="n">
        <v>-1</v>
      </c>
      <c r="AE1635" s="156" t="n"/>
      <c r="AF1635" s="51" t="n">
        <v>0</v>
      </c>
      <c r="AG1635" s="156" t="inlineStr">
        <is>
          <t>Catálogo existente</t>
        </is>
      </c>
      <c r="AH1635" s="156" t="inlineStr">
        <is>
          <t>Stock negativo en sistema: revisar en conteo | Revisión 29/09/2026: Campos sin respaldo: X | 01/10/2026: complementado desde Shopify Stetson México (match por código de barras): WB Fit, WB Silueta</t>
        </is>
      </c>
      <c r="AI1635" s="156" t="inlineStr">
        <is>
          <t>Sí</t>
        </is>
      </c>
      <c r="AJ1635" s="156" t="inlineStr">
        <is>
          <t>PUNTO DE VENTA (-1)</t>
        </is>
      </c>
      <c r="AK1635" s="155" t="inlineStr">
        <is>
          <t>Criterios: I [Q] | Shopify Stetson: producto 15239426376043 / variante 53836805407083</t>
        </is>
      </c>
      <c r="AL1635" s="58" t="n">
        <v>1181.25</v>
      </c>
      <c r="AM1635" s="58" t="n">
        <v>2844.827586</v>
      </c>
      <c r="AN1635" s="155" t="inlineStr">
        <is>
          <t>Shopify Stetson México</t>
        </is>
      </c>
      <c r="AO1635" s="59" t="n">
        <v>0</v>
      </c>
      <c r="AP1635" s="59" t="n"/>
      <c r="AQ1635" s="59" t="n"/>
      <c r="AR1635" s="155" t="n"/>
    </row>
    <row r="1636">
      <c r="A1636" s="50" t="inlineStr">
        <is>
          <t>883383202090</t>
        </is>
      </c>
      <c r="B1636" s="51" t="inlineStr">
        <is>
          <t>117392</t>
        </is>
      </c>
      <c r="C1636" s="156" t="inlineStr">
        <is>
          <t>Multimarca</t>
        </is>
      </c>
      <c r="D1636" s="156" t="inlineStr">
        <is>
          <t>SWMARS-6240D4</t>
        </is>
      </c>
      <c r="E1636" s="156" t="inlineStr">
        <is>
          <t>SWMARS-6240D467</t>
        </is>
      </c>
      <c r="F1636" s="156" t="inlineStr">
        <is>
          <t>6 7/8</t>
        </is>
      </c>
      <c r="G1636" s="156" t="inlineStr">
        <is>
          <t>6 7/8</t>
        </is>
      </c>
      <c r="H1636" s="156" t="inlineStr">
        <is>
          <t>Stetson</t>
        </is>
      </c>
      <c r="I1636" s="156" t="inlineStr">
        <is>
          <t>Texana Stetson Marshall Arena</t>
        </is>
      </c>
      <c r="J1636" s="156" t="inlineStr">
        <is>
          <t>Accesorios</t>
        </is>
      </c>
      <c r="K1636" s="156" t="inlineStr">
        <is>
          <t>Sombreros</t>
        </is>
      </c>
      <c r="L1636" s="156" t="inlineStr">
        <is>
          <t>Unisex</t>
        </is>
      </c>
      <c r="M1636" s="156" t="inlineStr">
        <is>
          <t>Stetson</t>
        </is>
      </c>
      <c r="N1636" s="156" t="inlineStr">
        <is>
          <t>FW26</t>
        </is>
      </c>
      <c r="O1636" s="156" t="inlineStr">
        <is>
          <t>Seasonal</t>
        </is>
      </c>
      <c r="P1636" s="156" t="inlineStr">
        <is>
          <t>Beige</t>
        </is>
      </c>
      <c r="Q1636" s="156" t="n"/>
      <c r="R1636" s="156" t="inlineStr">
        <is>
          <t>Copa Cattleman</t>
        </is>
      </c>
      <c r="S1636" s="156" t="inlineStr">
        <is>
          <t>Mezcla de lana</t>
        </is>
      </c>
      <c r="T1636" s="156" t="inlineStr">
        <is>
          <t>Texana Stetson Marshall Arena</t>
        </is>
      </c>
      <c r="U1636" s="156" t="inlineStr">
        <is>
          <t>Estados Unidos</t>
        </is>
      </c>
      <c r="V1636" s="156" t="inlineStr">
        <is>
          <t>PZS</t>
        </is>
      </c>
      <c r="W1636" s="51" t="inlineStr">
        <is>
          <t>53102503</t>
        </is>
      </c>
      <c r="X1636" s="156" t="inlineStr">
        <is>
          <t>https://cdn.shopify.com/s/files/1/0357/2432/9005/files/SWMARS-6240-D4_Ranch-Tan_1.jpg?v=1694025935</t>
        </is>
      </c>
      <c r="Y1636" s="54" t="n">
        <v>1260</v>
      </c>
      <c r="Z1636" s="54" t="n">
        <v>3103.448276</v>
      </c>
      <c r="AA1636" s="55">
        <f>IF(AND(A1636="", B1636="", E1636=""), "", IF(AB1636="", "Válido", IF((LEN(AB1636)-LEN(SUBSTITUTE(AB1636,"; ","")))/2+1&gt;(LEN(AB1636)-LEN(SUBSTITUTE(AB1636,"[Aviso]","")))/7, "Con Incidencias", "Válido")))</f>
        <v/>
      </c>
      <c r="AB1636" s="56">
        <f>IF(AND(A1636="", B1636="", E1636=""), "", TEXTJOIN("; ", TRUE, IF(OR(TRIM(A1636&amp;"")="", ISNUMBER(SEARCH("FALTA", A1636))), "UPC faltante/inválido", ""), IF(AND(A1636&lt;&gt;"", IFERROR(_xlfn.XMATCH(A1636,$A$2:$A$2509,0,1)&lt;&gt;_xlfn.XMATCH(A1636,$A$2:$A$2509,0,-1),FALSE)), "Código de barras duplicado", ""), IF(AND(E1636&lt;&gt;"", COUNTIF($E$2:$E$2509, E1636)&gt;1), "SKU duplicado", ""), IF(OR(J1636="", J1636=""), "[Aviso] División no capturada ()", IF(ISNA(MATCH(J1636, Criterios!$A$123:$A$126, 0)), "División no válida", "")), IF(OR(K1636="", K1636=""), "[Aviso] Categoría no capturada ()", IF(ISNA(MATCH(K1636, Criterios!$A$81:$A$120, 0)), "Categoría no válida", IF(AND(J1636&lt;&gt;"", J1636&lt;&gt;"", J1636&lt;&gt;VLOOKUP(K1636, Criterios!$A$81:$B$120, 2, FALSE)), "División no coincide con Categoría", ""))), IF(OR(L1636="", L1636=""), "[Aviso] Género no capturado ()", IF(ISNA(MATCH(L1636, Criterios!$B$123:$B$127, 0)), "Género no válido", "")), IF(OR(N1636="", N1636=""), "[Aviso] Temporada no capturada ()", IF(ISNA(MATCH(N1636, Criterios!$C$123:$C$128, 0)), "Temporada no válida", "")), IF(OR(O1636="", O1636=""), "[Aviso] Ciclo de vida no capturado ()", IF(ISNA(MATCH(O1636, Criterios!$D$123:$D$124, 0)), "Ciclo de vida no válido", ""))))</f>
        <v/>
      </c>
      <c r="AC1636" s="56" t="n"/>
      <c r="AD1636" s="51" t="n">
        <v>0</v>
      </c>
      <c r="AE1636" s="156" t="inlineStr">
        <is>
          <t>STETSON AMERICAS (1)</t>
        </is>
      </c>
      <c r="AF1636" s="51" t="n">
        <v>1</v>
      </c>
      <c r="AG1636" s="156" t="inlineStr">
        <is>
          <t>Catálogo existente</t>
        </is>
      </c>
      <c r="AH1636" s="156" t="inlineStr">
        <is>
          <t>Revisión 29/09/2026: Campos sin respaldo: X; Auditoría NetSuite 30/09/2026: llenado desde NetSuite [U] | 01/10/2026: complementado desde Shopify Stetson México (match por código de barras): WB Fit | Homologación G1522 06/10/2026: WB Silueta: «» → «Copa Cattleman» (Completado por investigación en línea) · Enlace de imagen: «» → «https://cdn.shopify.com/s/files/1/0357/2432/9005/files/SWMARS-6240-D4_Ranch-Tan_1.jpg?v=1694025935» (Completado por investigación en línea)</t>
        </is>
      </c>
      <c r="AI1636" s="156" t="inlineStr">
        <is>
          <t>Sí</t>
        </is>
      </c>
      <c r="AJ1636" s="156" t="inlineStr">
        <is>
          <t>B25 CEDIS (-1)</t>
        </is>
      </c>
      <c r="AK1636" s="155" t="inlineStr">
        <is>
          <t>Criterios: I [Q] | Descripción del registro fuente [T]; G1522_Extraccion_Articulos_NetSuite_2026-09-30.xlsx: fila 63849 [U] | Shopify Stetson: producto 15056329572715 / variante 53791838667115 | Investigación en línea 06/10/2026: https://www.stetson.com/products/marshall-4x-cowboy-hat-ranch-tan</t>
        </is>
      </c>
      <c r="AL1636" s="58" t="n">
        <v>1260</v>
      </c>
      <c r="AM1636" s="58" t="n">
        <v>3103.448276</v>
      </c>
      <c r="AN1636" s="155" t="inlineStr">
        <is>
          <t>Shopify Stetson México</t>
        </is>
      </c>
      <c r="AO1636" s="59" t="n">
        <v>1</v>
      </c>
      <c r="AP1636" s="59" t="n"/>
      <c r="AQ1636" s="59" t="n"/>
      <c r="AR1636" s="155" t="inlineStr">
        <is>
          <t>Shopify Stetson México › Stetson Americas: 1</t>
        </is>
      </c>
    </row>
    <row r="1637">
      <c r="A1637" s="50" t="inlineStr">
        <is>
          <t>883383202106</t>
        </is>
      </c>
      <c r="B1637" s="51" t="inlineStr">
        <is>
          <t>110435</t>
        </is>
      </c>
      <c r="C1637" s="156" t="inlineStr">
        <is>
          <t>Multimarca</t>
        </is>
      </c>
      <c r="D1637" s="156" t="inlineStr">
        <is>
          <t>SWMARS-6240D4</t>
        </is>
      </c>
      <c r="E1637" s="156" t="inlineStr">
        <is>
          <t>SWMARS-6240D470</t>
        </is>
      </c>
      <c r="F1637" s="156" t="inlineStr">
        <is>
          <t>7</t>
        </is>
      </c>
      <c r="G1637" s="156" t="inlineStr">
        <is>
          <t>7</t>
        </is>
      </c>
      <c r="H1637" s="156" t="inlineStr">
        <is>
          <t>Stetson</t>
        </is>
      </c>
      <c r="I1637" s="156" t="inlineStr">
        <is>
          <t>Texana Stetson Marshall Arena</t>
        </is>
      </c>
      <c r="J1637" s="156" t="inlineStr">
        <is>
          <t>Accesorios</t>
        </is>
      </c>
      <c r="K1637" s="156" t="inlineStr">
        <is>
          <t>Sombreros</t>
        </is>
      </c>
      <c r="L1637" s="156" t="inlineStr">
        <is>
          <t>Unisex</t>
        </is>
      </c>
      <c r="M1637" s="156" t="inlineStr">
        <is>
          <t>Stetson</t>
        </is>
      </c>
      <c r="N1637" s="156" t="inlineStr">
        <is>
          <t>SS26</t>
        </is>
      </c>
      <c r="O1637" s="156" t="inlineStr">
        <is>
          <t>Seasonal</t>
        </is>
      </c>
      <c r="P1637" s="156" t="inlineStr">
        <is>
          <t>Beige</t>
        </is>
      </c>
      <c r="Q1637" s="156" t="n"/>
      <c r="R1637" s="156" t="inlineStr">
        <is>
          <t>Copa Cattleman</t>
        </is>
      </c>
      <c r="S1637" s="156" t="inlineStr">
        <is>
          <t>100% Fieltro de lana</t>
        </is>
      </c>
      <c r="T1637" s="156" t="inlineStr">
        <is>
          <t>Texana Stetson Marshall Arena</t>
        </is>
      </c>
      <c r="U1637" s="156" t="inlineStr">
        <is>
          <t>Estados Unidos</t>
        </is>
      </c>
      <c r="V1637" s="156" t="inlineStr">
        <is>
          <t>PZS</t>
        </is>
      </c>
      <c r="W1637" s="51" t="inlineStr">
        <is>
          <t>53102503</t>
        </is>
      </c>
      <c r="X1637" s="156" t="inlineStr">
        <is>
          <t>https://cdn.shopify.com/s/files/1/0357/2432/9005/files/SWMARS-6240-D4_Ranch-Tan_1.jpg?v=1694025935</t>
        </is>
      </c>
      <c r="Y1637" s="54" t="n">
        <v>1260</v>
      </c>
      <c r="Z1637" s="54" t="n">
        <v>3103.448276</v>
      </c>
      <c r="AA1637" s="55">
        <f>IF(AND(A1637="", B1637="", E1637=""), "", IF(AB1637="", "Válido", IF((LEN(AB1637)-LEN(SUBSTITUTE(AB1637,"; ","")))/2+1&gt;(LEN(AB1637)-LEN(SUBSTITUTE(AB1637,"[Aviso]","")))/7, "Con Incidencias", "Válido")))</f>
        <v/>
      </c>
      <c r="AB1637" s="56">
        <f>IF(AND(A1637="", B1637="", E1637=""), "", TEXTJOIN("; ", TRUE, IF(OR(TRIM(A1637&amp;"")="", ISNUMBER(SEARCH("FALTA", A1637))), "UPC faltante/inválido", ""), IF(AND(A1637&lt;&gt;"", IFERROR(_xlfn.XMATCH(A1637,$A$2:$A$2509,0,1)&lt;&gt;_xlfn.XMATCH(A1637,$A$2:$A$2509,0,-1),FALSE)), "Código de barras duplicado", ""), IF(AND(E1637&lt;&gt;"", COUNTIF($E$2:$E$2509, E1637)&gt;1), "SKU duplicado", ""), IF(OR(J1637="", J1637=""), "[Aviso] División no capturada ()", IF(ISNA(MATCH(J1637, Criterios!$A$123:$A$126, 0)), "División no válida", "")), IF(OR(K1637="", K1637=""), "[Aviso] Categoría no capturada ()", IF(ISNA(MATCH(K1637, Criterios!$A$81:$A$120, 0)), "Categoría no válida", IF(AND(J1637&lt;&gt;"", J1637&lt;&gt;"", J1637&lt;&gt;VLOOKUP(K1637, Criterios!$A$81:$B$120, 2, FALSE)), "División no coincide con Categoría", ""))), IF(OR(L1637="", L1637=""), "[Aviso] Género no capturado ()", IF(ISNA(MATCH(L1637, Criterios!$B$123:$B$127, 0)), "Género no válido", "")), IF(OR(N1637="", N1637=""), "[Aviso] Temporada no capturada ()", IF(ISNA(MATCH(N1637, Criterios!$C$123:$C$128, 0)), "Temporada no válida", "")), IF(OR(O1637="", O1637=""), "[Aviso] Ciclo de vida no capturado ()", IF(ISNA(MATCH(O1637, Criterios!$D$123:$D$124, 0)), "Ciclo de vida no válido", ""))))</f>
        <v/>
      </c>
      <c r="AC1637" s="56" t="n"/>
      <c r="AD1637" s="51" t="n">
        <v>-1</v>
      </c>
      <c r="AE1637" s="156" t="n"/>
      <c r="AF1637" s="51" t="n">
        <v>0</v>
      </c>
      <c r="AG1637" s="156" t="inlineStr">
        <is>
          <t>Catálogo existente</t>
        </is>
      </c>
      <c r="AH1637"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7" s="156" t="inlineStr">
        <is>
          <t>Sí</t>
        </is>
      </c>
      <c r="AJ1637" s="156" t="inlineStr">
        <is>
          <t>B25 CEDIS (-1)</t>
        </is>
      </c>
      <c r="AK1637" s="155" t="inlineStr">
        <is>
          <t>Criterios: I [Q] | Descripción del registro fuente [T] | Shopify Stetson: producto 15056329572715 / variante 53357913702763 | Investigación en línea 06/10/2026: https://www.stetson.com/products/marshall-4x-cowboy-hat-ranch-tan</t>
        </is>
      </c>
      <c r="AL1637" s="58" t="n">
        <v>1260</v>
      </c>
      <c r="AM1637" s="58" t="n">
        <v>3103.448276</v>
      </c>
      <c r="AN1637" s="155" t="inlineStr">
        <is>
          <t>Shopify Stetson México</t>
        </is>
      </c>
      <c r="AO1637" s="59" t="n">
        <v>1</v>
      </c>
      <c r="AP1637" s="59" t="n"/>
      <c r="AQ1637" s="59" t="n"/>
      <c r="AR1637" s="155" t="inlineStr">
        <is>
          <t>Shopify Stetson México › Stetson Americas: 1</t>
        </is>
      </c>
    </row>
    <row r="1638">
      <c r="A1638" s="50" t="inlineStr">
        <is>
          <t>883383202113</t>
        </is>
      </c>
      <c r="B1638" s="51" t="inlineStr">
        <is>
          <t>110436</t>
        </is>
      </c>
      <c r="C1638" s="156" t="inlineStr">
        <is>
          <t>Multimarca</t>
        </is>
      </c>
      <c r="D1638" s="156" t="inlineStr">
        <is>
          <t>SWMARS-6240D4</t>
        </is>
      </c>
      <c r="E1638" s="156" t="inlineStr">
        <is>
          <t>SWMARS-6240D471</t>
        </is>
      </c>
      <c r="F1638" s="156" t="inlineStr">
        <is>
          <t>7 1/8</t>
        </is>
      </c>
      <c r="G1638" s="156" t="inlineStr">
        <is>
          <t>7 1/8</t>
        </is>
      </c>
      <c r="H1638" s="156" t="inlineStr">
        <is>
          <t>Stetson</t>
        </is>
      </c>
      <c r="I1638" s="156" t="inlineStr">
        <is>
          <t>Texana Stetson Marshall Arena</t>
        </is>
      </c>
      <c r="J1638" s="156" t="inlineStr">
        <is>
          <t>Accesorios</t>
        </is>
      </c>
      <c r="K1638" s="156" t="inlineStr">
        <is>
          <t>Sombreros</t>
        </is>
      </c>
      <c r="L1638" s="156" t="inlineStr">
        <is>
          <t>Unisex</t>
        </is>
      </c>
      <c r="M1638" s="156" t="inlineStr">
        <is>
          <t>Stetson</t>
        </is>
      </c>
      <c r="N1638" s="156" t="inlineStr">
        <is>
          <t>SS26</t>
        </is>
      </c>
      <c r="O1638" s="156" t="inlineStr">
        <is>
          <t>Seasonal</t>
        </is>
      </c>
      <c r="P1638" s="156" t="inlineStr">
        <is>
          <t>Beige</t>
        </is>
      </c>
      <c r="Q1638" s="156" t="n"/>
      <c r="R1638" s="156" t="inlineStr">
        <is>
          <t>Copa Cattleman</t>
        </is>
      </c>
      <c r="S1638" s="156" t="inlineStr">
        <is>
          <t>100% Fieltro de lana</t>
        </is>
      </c>
      <c r="T1638" s="156" t="inlineStr">
        <is>
          <t>Texana Stetson Marshall Arena</t>
        </is>
      </c>
      <c r="U1638" s="156" t="inlineStr">
        <is>
          <t>Estados Unidos</t>
        </is>
      </c>
      <c r="V1638" s="156" t="inlineStr">
        <is>
          <t>PZS</t>
        </is>
      </c>
      <c r="W1638" s="51" t="inlineStr">
        <is>
          <t>53102503</t>
        </is>
      </c>
      <c r="X1638" s="156" t="inlineStr">
        <is>
          <t>https://cdn.shopify.com/s/files/1/0357/2432/9005/files/SWMARS-6240-D4_Ranch-Tan_1.jpg?v=1694025935</t>
        </is>
      </c>
      <c r="Y1638" s="54" t="n">
        <v>1260</v>
      </c>
      <c r="Z1638" s="54" t="n">
        <v>3103.448276</v>
      </c>
      <c r="AA1638" s="55">
        <f>IF(AND(A1638="", B1638="", E1638=""), "", IF(AB1638="", "Válido", IF((LEN(AB1638)-LEN(SUBSTITUTE(AB1638,"; ","")))/2+1&gt;(LEN(AB1638)-LEN(SUBSTITUTE(AB1638,"[Aviso]","")))/7, "Con Incidencias", "Válido")))</f>
        <v/>
      </c>
      <c r="AB1638" s="56">
        <f>IF(AND(A1638="", B1638="", E1638=""), "", TEXTJOIN("; ", TRUE, IF(OR(TRIM(A1638&amp;"")="", ISNUMBER(SEARCH("FALTA", A1638))), "UPC faltante/inválido", ""), IF(AND(A1638&lt;&gt;"", IFERROR(_xlfn.XMATCH(A1638,$A$2:$A$2509,0,1)&lt;&gt;_xlfn.XMATCH(A1638,$A$2:$A$2509,0,-1),FALSE)), "Código de barras duplicado", ""), IF(AND(E1638&lt;&gt;"", COUNTIF($E$2:$E$2509, E1638)&gt;1), "SKU duplicado", ""), IF(OR(J1638="", J1638=""), "[Aviso] División no capturada ()", IF(ISNA(MATCH(J1638, Criterios!$A$123:$A$126, 0)), "División no válida", "")), IF(OR(K1638="", K1638=""), "[Aviso] Categoría no capturada ()", IF(ISNA(MATCH(K1638, Criterios!$A$81:$A$120, 0)), "Categoría no válida", IF(AND(J1638&lt;&gt;"", J1638&lt;&gt;"", J1638&lt;&gt;VLOOKUP(K1638, Criterios!$A$81:$B$120, 2, FALSE)), "División no coincide con Categoría", ""))), IF(OR(L1638="", L1638=""), "[Aviso] Género no capturado ()", IF(ISNA(MATCH(L1638, Criterios!$B$123:$B$127, 0)), "Género no válido", "")), IF(OR(N1638="", N1638=""), "[Aviso] Temporada no capturada ()", IF(ISNA(MATCH(N1638, Criterios!$C$123:$C$128, 0)), "Temporada no válida", "")), IF(OR(O1638="", O1638=""), "[Aviso] Ciclo de vida no capturado ()", IF(ISNA(MATCH(O1638, Criterios!$D$123:$D$124, 0)), "Ciclo de vida no válido", ""))))</f>
        <v/>
      </c>
      <c r="AC1638" s="56" t="n"/>
      <c r="AD1638" s="51" t="n">
        <v>-1</v>
      </c>
      <c r="AE1638" s="156" t="n"/>
      <c r="AF1638" s="51" t="n">
        <v>0</v>
      </c>
      <c r="AG1638" s="156" t="inlineStr">
        <is>
          <t>Catálogo existente</t>
        </is>
      </c>
      <c r="AH1638"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8" s="156" t="inlineStr">
        <is>
          <t>Sí</t>
        </is>
      </c>
      <c r="AJ1638" s="156" t="inlineStr">
        <is>
          <t>STETSON AMERICAS (-1)</t>
        </is>
      </c>
      <c r="AK1638" s="155" t="inlineStr">
        <is>
          <t>Criterios: I [Q] | Descripción del registro fuente [T] | Shopify Stetson: producto 15056329572715 / variante 53357913735531 | Investigación en línea 06/10/2026: https://www.stetson.com/products/marshall-4x-cowboy-hat-ranch-tan</t>
        </is>
      </c>
      <c r="AL1638" s="58" t="n">
        <v>1260</v>
      </c>
      <c r="AM1638" s="58" t="n">
        <v>3103.448276</v>
      </c>
      <c r="AN1638" s="155" t="inlineStr">
        <is>
          <t>Shopify Stetson México</t>
        </is>
      </c>
      <c r="AO1638" s="59" t="n">
        <v>1</v>
      </c>
      <c r="AP1638" s="59" t="n"/>
      <c r="AQ1638" s="59" t="n"/>
      <c r="AR1638" s="155" t="inlineStr">
        <is>
          <t>Shopify Stetson México › Stetson Americas: 1</t>
        </is>
      </c>
    </row>
    <row r="1639">
      <c r="A1639" s="50" t="inlineStr">
        <is>
          <t>883383202120</t>
        </is>
      </c>
      <c r="B1639" s="51" t="inlineStr">
        <is>
          <t>110437</t>
        </is>
      </c>
      <c r="C1639" s="156" t="inlineStr">
        <is>
          <t>Multimarca</t>
        </is>
      </c>
      <c r="D1639" s="156" t="inlineStr">
        <is>
          <t>SWMARS-6240D4</t>
        </is>
      </c>
      <c r="E1639" s="156" t="inlineStr">
        <is>
          <t>SWMARS-6240D472</t>
        </is>
      </c>
      <c r="F1639" s="156" t="inlineStr">
        <is>
          <t>7 1/4</t>
        </is>
      </c>
      <c r="G1639" s="156" t="inlineStr">
        <is>
          <t>7 1/4</t>
        </is>
      </c>
      <c r="H1639" s="156" t="inlineStr">
        <is>
          <t>Stetson</t>
        </is>
      </c>
      <c r="I1639" s="156" t="inlineStr">
        <is>
          <t>Texana Stetson Marshall Arena</t>
        </is>
      </c>
      <c r="J1639" s="156" t="inlineStr">
        <is>
          <t>Accesorios</t>
        </is>
      </c>
      <c r="K1639" s="156" t="inlineStr">
        <is>
          <t>Sombreros</t>
        </is>
      </c>
      <c r="L1639" s="156" t="inlineStr">
        <is>
          <t>Unisex</t>
        </is>
      </c>
      <c r="M1639" s="156" t="inlineStr">
        <is>
          <t>Stetson</t>
        </is>
      </c>
      <c r="N1639" s="156" t="inlineStr">
        <is>
          <t>SS26</t>
        </is>
      </c>
      <c r="O1639" s="156" t="inlineStr">
        <is>
          <t>Seasonal</t>
        </is>
      </c>
      <c r="P1639" s="156" t="inlineStr">
        <is>
          <t>Beige</t>
        </is>
      </c>
      <c r="Q1639" s="156" t="n"/>
      <c r="R1639" s="156" t="inlineStr">
        <is>
          <t>Copa Cattleman</t>
        </is>
      </c>
      <c r="S1639" s="156" t="inlineStr">
        <is>
          <t>100% Fieltro de lana</t>
        </is>
      </c>
      <c r="T1639" s="156" t="inlineStr">
        <is>
          <t>Texana Stetson Marshall Arena</t>
        </is>
      </c>
      <c r="U1639" s="156" t="inlineStr">
        <is>
          <t>Estados Unidos</t>
        </is>
      </c>
      <c r="V1639" s="156" t="inlineStr">
        <is>
          <t>PZS</t>
        </is>
      </c>
      <c r="W1639" s="51" t="inlineStr">
        <is>
          <t>53102503</t>
        </is>
      </c>
      <c r="X1639" s="156" t="inlineStr">
        <is>
          <t>https://cdn.shopify.com/s/files/1/0357/2432/9005/files/SWMARS-6240-D4_Ranch-Tan_1.jpg?v=1694025935</t>
        </is>
      </c>
      <c r="Y1639" s="54" t="n">
        <v>1260</v>
      </c>
      <c r="Z1639" s="54" t="n">
        <v>3103.448276</v>
      </c>
      <c r="AA1639" s="55">
        <f>IF(AND(A1639="", B1639="", E1639=""), "", IF(AB1639="", "Válido", IF((LEN(AB1639)-LEN(SUBSTITUTE(AB1639,"; ","")))/2+1&gt;(LEN(AB1639)-LEN(SUBSTITUTE(AB1639,"[Aviso]","")))/7, "Con Incidencias", "Válido")))</f>
        <v/>
      </c>
      <c r="AB1639" s="56">
        <f>IF(AND(A1639="", B1639="", E1639=""), "", TEXTJOIN("; ", TRUE, IF(OR(TRIM(A1639&amp;"")="", ISNUMBER(SEARCH("FALTA", A1639))), "UPC faltante/inválido", ""), IF(AND(A1639&lt;&gt;"", IFERROR(_xlfn.XMATCH(A1639,$A$2:$A$2509,0,1)&lt;&gt;_xlfn.XMATCH(A1639,$A$2:$A$2509,0,-1),FALSE)), "Código de barras duplicado", ""), IF(AND(E1639&lt;&gt;"", COUNTIF($E$2:$E$2509, E1639)&gt;1), "SKU duplicado", ""), IF(OR(J1639="", J1639=""), "[Aviso] División no capturada ()", IF(ISNA(MATCH(J1639, Criterios!$A$123:$A$126, 0)), "División no válida", "")), IF(OR(K1639="", K1639=""), "[Aviso] Categoría no capturada ()", IF(ISNA(MATCH(K1639, Criterios!$A$81:$A$120, 0)), "Categoría no válida", IF(AND(J1639&lt;&gt;"", J1639&lt;&gt;"", J1639&lt;&gt;VLOOKUP(K1639, Criterios!$A$81:$B$120, 2, FALSE)), "División no coincide con Categoría", ""))), IF(OR(L1639="", L1639=""), "[Aviso] Género no capturado ()", IF(ISNA(MATCH(L1639, Criterios!$B$123:$B$127, 0)), "Género no válido", "")), IF(OR(N1639="", N1639=""), "[Aviso] Temporada no capturada ()", IF(ISNA(MATCH(N1639, Criterios!$C$123:$C$128, 0)), "Temporada no válida", "")), IF(OR(O1639="", O1639=""), "[Aviso] Ciclo de vida no capturado ()", IF(ISNA(MATCH(O1639, Criterios!$D$123:$D$124, 0)), "Ciclo de vida no válido", ""))))</f>
        <v/>
      </c>
      <c r="AC1639" s="56" t="n"/>
      <c r="AD1639" s="51" t="n">
        <v>-2</v>
      </c>
      <c r="AE1639" s="156" t="n"/>
      <c r="AF1639" s="51" t="n">
        <v>0</v>
      </c>
      <c r="AG1639" s="156" t="inlineStr">
        <is>
          <t>Catálogo existente</t>
        </is>
      </c>
      <c r="AH1639"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9" s="156" t="inlineStr">
        <is>
          <t>Sí</t>
        </is>
      </c>
      <c r="AJ1639" s="156" t="inlineStr">
        <is>
          <t>STETSON AMERICAS (-2)</t>
        </is>
      </c>
      <c r="AK1639" s="155" t="inlineStr">
        <is>
          <t>Criterios: I [Q] | Descripción del registro fuente [T] | Shopify Stetson: producto 15056329572715 / variante 53357913768299 | Investigación en línea 06/10/2026: https://www.stetson.com/products/marshall-4x-cowboy-hat-ranch-tan</t>
        </is>
      </c>
      <c r="AL1639" s="58" t="n">
        <v>1260</v>
      </c>
      <c r="AM1639" s="58" t="n">
        <v>3103.448276</v>
      </c>
      <c r="AN1639" s="155" t="inlineStr">
        <is>
          <t>Shopify Stetson México</t>
        </is>
      </c>
      <c r="AO1639" s="59" t="n">
        <v>0</v>
      </c>
      <c r="AP1639" s="59" t="n"/>
      <c r="AQ1639" s="59" t="n"/>
      <c r="AR1639" s="155" t="n"/>
    </row>
    <row r="1640">
      <c r="A1640" s="50" t="inlineStr">
        <is>
          <t>883383202137</t>
        </is>
      </c>
      <c r="B1640" s="51" t="inlineStr">
        <is>
          <t>110438</t>
        </is>
      </c>
      <c r="C1640" s="156" t="inlineStr">
        <is>
          <t>Multimarca</t>
        </is>
      </c>
      <c r="D1640" s="156" t="inlineStr">
        <is>
          <t>SWMARS-6240D4</t>
        </is>
      </c>
      <c r="E1640" s="156" t="inlineStr">
        <is>
          <t>SWMARS-6240D473</t>
        </is>
      </c>
      <c r="F1640" s="156" t="inlineStr">
        <is>
          <t>7 3/8</t>
        </is>
      </c>
      <c r="G1640" s="156" t="inlineStr">
        <is>
          <t>7 3/8</t>
        </is>
      </c>
      <c r="H1640" s="156" t="inlineStr">
        <is>
          <t>Stetson</t>
        </is>
      </c>
      <c r="I1640" s="156" t="inlineStr">
        <is>
          <t>Texana Stetson Marshall Arena</t>
        </is>
      </c>
      <c r="J1640" s="156" t="inlineStr">
        <is>
          <t>Accesorios</t>
        </is>
      </c>
      <c r="K1640" s="156" t="inlineStr">
        <is>
          <t>Sombreros</t>
        </is>
      </c>
      <c r="L1640" s="156" t="inlineStr">
        <is>
          <t>Unisex</t>
        </is>
      </c>
      <c r="M1640" s="156" t="inlineStr">
        <is>
          <t>Stetson</t>
        </is>
      </c>
      <c r="N1640" s="156" t="inlineStr">
        <is>
          <t>SS26</t>
        </is>
      </c>
      <c r="O1640" s="156" t="inlineStr">
        <is>
          <t>Seasonal</t>
        </is>
      </c>
      <c r="P1640" s="156" t="inlineStr">
        <is>
          <t>Beige</t>
        </is>
      </c>
      <c r="Q1640" s="156" t="n"/>
      <c r="R1640" s="156" t="inlineStr">
        <is>
          <t>Copa Cattleman</t>
        </is>
      </c>
      <c r="S1640" s="156" t="inlineStr">
        <is>
          <t>100% Fieltro de lana</t>
        </is>
      </c>
      <c r="T1640" s="156" t="inlineStr">
        <is>
          <t>Texana Stetson Marshall Arena</t>
        </is>
      </c>
      <c r="U1640" s="156" t="inlineStr">
        <is>
          <t>Estados Unidos</t>
        </is>
      </c>
      <c r="V1640" s="156" t="inlineStr">
        <is>
          <t>PZS</t>
        </is>
      </c>
      <c r="W1640" s="51" t="inlineStr">
        <is>
          <t>53102503</t>
        </is>
      </c>
      <c r="X1640" s="156" t="inlineStr">
        <is>
          <t>https://cdn.shopify.com/s/files/1/0357/2432/9005/files/SWMARS-6240-D4_Ranch-Tan_1.jpg?v=1694025935</t>
        </is>
      </c>
      <c r="Y1640" s="54" t="n">
        <v>1260</v>
      </c>
      <c r="Z1640" s="54" t="n">
        <v>3103.448276</v>
      </c>
      <c r="AA1640" s="55">
        <f>IF(AND(A1640="", B1640="", E1640=""), "", IF(AB1640="", "Válido", IF((LEN(AB1640)-LEN(SUBSTITUTE(AB1640,"; ","")))/2+1&gt;(LEN(AB1640)-LEN(SUBSTITUTE(AB1640,"[Aviso]","")))/7, "Con Incidencias", "Válido")))</f>
        <v/>
      </c>
      <c r="AB1640" s="56">
        <f>IF(AND(A1640="", B1640="", E1640=""), "", TEXTJOIN("; ", TRUE, IF(OR(TRIM(A1640&amp;"")="", ISNUMBER(SEARCH("FALTA", A1640))), "UPC faltante/inválido", ""), IF(AND(A1640&lt;&gt;"", IFERROR(_xlfn.XMATCH(A1640,$A$2:$A$2509,0,1)&lt;&gt;_xlfn.XMATCH(A1640,$A$2:$A$2509,0,-1),FALSE)), "Código de barras duplicado", ""), IF(AND(E1640&lt;&gt;"", COUNTIF($E$2:$E$2509, E1640)&gt;1), "SKU duplicado", ""), IF(OR(J1640="", J1640=""), "[Aviso] División no capturada ()", IF(ISNA(MATCH(J1640, Criterios!$A$123:$A$126, 0)), "División no válida", "")), IF(OR(K1640="", K1640=""), "[Aviso] Categoría no capturada ()", IF(ISNA(MATCH(K1640, Criterios!$A$81:$A$120, 0)), "Categoría no válida", IF(AND(J1640&lt;&gt;"", J1640&lt;&gt;"", J1640&lt;&gt;VLOOKUP(K1640, Criterios!$A$81:$B$120, 2, FALSE)), "División no coincide con Categoría", ""))), IF(OR(L1640="", L1640=""), "[Aviso] Género no capturado ()", IF(ISNA(MATCH(L1640, Criterios!$B$123:$B$127, 0)), "Género no válido", "")), IF(OR(N1640="", N1640=""), "[Aviso] Temporada no capturada ()", IF(ISNA(MATCH(N1640, Criterios!$C$123:$C$128, 0)), "Temporada no válida", "")), IF(OR(O1640="", O1640=""), "[Aviso] Ciclo de vida no capturado ()", IF(ISNA(MATCH(O1640, Criterios!$D$123:$D$124, 0)), "Ciclo de vida no válido", ""))))</f>
        <v/>
      </c>
      <c r="AC1640" s="56" t="n"/>
      <c r="AD1640" s="51" t="n">
        <v>2</v>
      </c>
      <c r="AE1640" s="156" t="inlineStr">
        <is>
          <t>B25 STETSON.MX (2)</t>
        </is>
      </c>
      <c r="AF1640" s="51" t="n">
        <v>2</v>
      </c>
      <c r="AG1640" s="156" t="inlineStr">
        <is>
          <t>Catálogo existente</t>
        </is>
      </c>
      <c r="AH1640" s="156" t="inlineStr">
        <is>
          <t>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40" s="156" t="inlineStr">
        <is>
          <t>No</t>
        </is>
      </c>
      <c r="AJ1640" s="156" t="n"/>
      <c r="AK1640" s="155" t="inlineStr">
        <is>
          <t>Criterios: I [Q] | Descripción del registro fuente [T] | Shopify Stetson: producto 15056329572715 / variante 53357913801067 | Investigación en línea 06/10/2026: https://www.stetson.com/products/marshall-4x-cowboy-hat-ranch-tan</t>
        </is>
      </c>
      <c r="AL1640" s="58" t="n">
        <v>1260</v>
      </c>
      <c r="AM1640" s="58" t="n">
        <v>3103.448276</v>
      </c>
      <c r="AN1640" s="155" t="inlineStr">
        <is>
          <t>Shopify Stetson México</t>
        </is>
      </c>
      <c r="AO1640" s="59" t="n">
        <v>4</v>
      </c>
      <c r="AP1640" s="59" t="n"/>
      <c r="AQ1640" s="59" t="n"/>
      <c r="AR1640" s="155" t="inlineStr">
        <is>
          <t>Shopify Stetson México › Stetson México: 2 | Shopify Stetson México › Stetson Americas: 2</t>
        </is>
      </c>
    </row>
    <row r="1641">
      <c r="A1641" s="50" t="inlineStr">
        <is>
          <t>883383202144</t>
        </is>
      </c>
      <c r="B1641" s="51" t="inlineStr">
        <is>
          <t>110439</t>
        </is>
      </c>
      <c r="C1641" s="156" t="inlineStr">
        <is>
          <t>Multimarca</t>
        </is>
      </c>
      <c r="D1641" s="156" t="inlineStr">
        <is>
          <t>SWMARS-6240D4</t>
        </is>
      </c>
      <c r="E1641" s="156" t="inlineStr">
        <is>
          <t>SWMARS-6240D474</t>
        </is>
      </c>
      <c r="F1641" s="156" t="inlineStr">
        <is>
          <t>7 1/2</t>
        </is>
      </c>
      <c r="G1641" s="156" t="inlineStr">
        <is>
          <t>7 1/2</t>
        </is>
      </c>
      <c r="H1641" s="156" t="inlineStr">
        <is>
          <t>Stetson</t>
        </is>
      </c>
      <c r="I1641" s="156" t="inlineStr">
        <is>
          <t>Texana Stetson Marshall Arena</t>
        </is>
      </c>
      <c r="J1641" s="156" t="inlineStr">
        <is>
          <t>Accesorios</t>
        </is>
      </c>
      <c r="K1641" s="156" t="inlineStr">
        <is>
          <t>Sombreros</t>
        </is>
      </c>
      <c r="L1641" s="156" t="inlineStr">
        <is>
          <t>Unisex</t>
        </is>
      </c>
      <c r="M1641" s="156" t="inlineStr">
        <is>
          <t>Stetson</t>
        </is>
      </c>
      <c r="N1641" s="156" t="inlineStr">
        <is>
          <t>SS26</t>
        </is>
      </c>
      <c r="O1641" s="156" t="inlineStr">
        <is>
          <t>Seasonal</t>
        </is>
      </c>
      <c r="P1641" s="156" t="inlineStr">
        <is>
          <t>Beige</t>
        </is>
      </c>
      <c r="Q1641" s="156" t="n"/>
      <c r="R1641" s="156" t="inlineStr">
        <is>
          <t>Copa Cattleman</t>
        </is>
      </c>
      <c r="S1641" s="156" t="inlineStr">
        <is>
          <t>100% Fieltro de lana</t>
        </is>
      </c>
      <c r="T1641" s="156" t="inlineStr">
        <is>
          <t>Texana Stetson Marshall Arena</t>
        </is>
      </c>
      <c r="U1641" s="156" t="inlineStr">
        <is>
          <t>Estados Unidos</t>
        </is>
      </c>
      <c r="V1641" s="156" t="inlineStr">
        <is>
          <t>PZS</t>
        </is>
      </c>
      <c r="W1641" s="51" t="inlineStr">
        <is>
          <t>53102503</t>
        </is>
      </c>
      <c r="X1641" s="156" t="inlineStr">
        <is>
          <t>https://cdn.shopify.com/s/files/1/0357/2432/9005/files/SWMARS-6240-D4_Ranch-Tan_1.jpg?v=1694025935</t>
        </is>
      </c>
      <c r="Y1641" s="54" t="n">
        <v>1260</v>
      </c>
      <c r="Z1641" s="54" t="n">
        <v>3103.448276</v>
      </c>
      <c r="AA1641" s="55">
        <f>IF(AND(A1641="", B1641="", E1641=""), "", IF(AB1641="", "Válido", IF((LEN(AB1641)-LEN(SUBSTITUTE(AB1641,"; ","")))/2+1&gt;(LEN(AB1641)-LEN(SUBSTITUTE(AB1641,"[Aviso]","")))/7, "Con Incidencias", "Válido")))</f>
        <v/>
      </c>
      <c r="AB1641" s="56">
        <f>IF(AND(A1641="", B1641="", E1641=""), "", TEXTJOIN("; ", TRUE, IF(OR(TRIM(A1641&amp;"")="", ISNUMBER(SEARCH("FALTA", A1641))), "UPC faltante/inválido", ""), IF(AND(A1641&lt;&gt;"", IFERROR(_xlfn.XMATCH(A1641,$A$2:$A$2509,0,1)&lt;&gt;_xlfn.XMATCH(A1641,$A$2:$A$2509,0,-1),FALSE)), "Código de barras duplicado", ""), IF(AND(E1641&lt;&gt;"", COUNTIF($E$2:$E$2509, E1641)&gt;1), "SKU duplicado", ""), IF(OR(J1641="", J1641=""), "[Aviso] División no capturada ()", IF(ISNA(MATCH(J1641, Criterios!$A$123:$A$126, 0)), "División no válida", "")), IF(OR(K1641="", K1641=""), "[Aviso] Categoría no capturada ()", IF(ISNA(MATCH(K1641, Criterios!$A$81:$A$120, 0)), "Categoría no válida", IF(AND(J1641&lt;&gt;"", J1641&lt;&gt;"", J1641&lt;&gt;VLOOKUP(K1641, Criterios!$A$81:$B$120, 2, FALSE)), "División no coincide con Categoría", ""))), IF(OR(L1641="", L1641=""), "[Aviso] Género no capturado ()", IF(ISNA(MATCH(L1641, Criterios!$B$123:$B$127, 0)), "Género no válido", "")), IF(OR(N1641="", N1641=""), "[Aviso] Temporada no capturada ()", IF(ISNA(MATCH(N1641, Criterios!$C$123:$C$128, 0)), "Temporada no válida", "")), IF(OR(O1641="", O1641=""), "[Aviso] Ciclo de vida no capturado ()", IF(ISNA(MATCH(O1641, Criterios!$D$123:$D$124, 0)), "Ciclo de vida no válido", ""))))</f>
        <v/>
      </c>
      <c r="AC1641" s="56" t="n"/>
      <c r="AD1641" s="51" t="n">
        <v>-1</v>
      </c>
      <c r="AE1641" s="156" t="n"/>
      <c r="AF1641" s="51" t="n">
        <v>0</v>
      </c>
      <c r="AG1641" s="156" t="inlineStr">
        <is>
          <t>Catálogo existente</t>
        </is>
      </c>
      <c r="AH1641"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41" s="156" t="inlineStr">
        <is>
          <t>Sí</t>
        </is>
      </c>
      <c r="AJ1641" s="156" t="inlineStr">
        <is>
          <t>STETSON AMERICAS (-1)</t>
        </is>
      </c>
      <c r="AK1641" s="155" t="inlineStr">
        <is>
          <t>Criterios: I [Q] | Descripción del registro fuente [T] | Shopify Stetson: producto 15056329572715 / variante 53357913833835 | Investigación en línea 06/10/2026: https://www.stetson.com/products/marshall-4x-cowboy-hat-ranch-tan</t>
        </is>
      </c>
      <c r="AL1641" s="58" t="n">
        <v>1260</v>
      </c>
      <c r="AM1641" s="58" t="n">
        <v>3103.448276</v>
      </c>
      <c r="AN1641" s="155" t="inlineStr">
        <is>
          <t>Shopify Stetson México</t>
        </is>
      </c>
      <c r="AO1641" s="59" t="n">
        <v>0</v>
      </c>
      <c r="AP1641" s="59" t="n"/>
      <c r="AQ1641" s="59" t="n"/>
      <c r="AR1641" s="155" t="n"/>
    </row>
    <row r="1642">
      <c r="A1642" s="50" t="inlineStr">
        <is>
          <t>883383202359</t>
        </is>
      </c>
      <c r="B1642" s="51" t="inlineStr">
        <is>
          <t>110429</t>
        </is>
      </c>
      <c r="C1642" s="156" t="inlineStr">
        <is>
          <t>Multimarca</t>
        </is>
      </c>
      <c r="D1642" s="156" t="inlineStr">
        <is>
          <t>SWBRNM-754022</t>
        </is>
      </c>
      <c r="E1642" s="156" t="inlineStr">
        <is>
          <t>SWBRNM-75402267</t>
        </is>
      </c>
      <c r="F1642" s="156" t="inlineStr">
        <is>
          <t>6 7/8</t>
        </is>
      </c>
      <c r="G1642" s="156" t="inlineStr">
        <is>
          <t>6 7/8</t>
        </is>
      </c>
      <c r="H1642" s="156" t="inlineStr">
        <is>
          <t>Stetson</t>
        </is>
      </c>
      <c r="I1642" s="156" t="inlineStr">
        <is>
          <t>Texana Stetson Brenham Chocolate</t>
        </is>
      </c>
      <c r="J1642" s="156" t="inlineStr">
        <is>
          <t>Accesorios</t>
        </is>
      </c>
      <c r="K1642" s="156" t="inlineStr">
        <is>
          <t>Sombreros</t>
        </is>
      </c>
      <c r="L1642" s="156" t="inlineStr">
        <is>
          <t>Unisex</t>
        </is>
      </c>
      <c r="M1642" s="156" t="inlineStr">
        <is>
          <t>Stetson</t>
        </is>
      </c>
      <c r="N1642" s="156" t="inlineStr">
        <is>
          <t>SS26</t>
        </is>
      </c>
      <c r="O1642" s="156" t="inlineStr">
        <is>
          <t>Seasonal</t>
        </is>
      </c>
      <c r="P1642" s="156" t="inlineStr">
        <is>
          <t>Cafe</t>
        </is>
      </c>
      <c r="Q1642" s="156" t="n"/>
      <c r="R1642" s="156" t="n"/>
      <c r="S1642" s="156" t="inlineStr">
        <is>
          <t>100% Fieltro de lana</t>
        </is>
      </c>
      <c r="T1642" s="156" t="inlineStr">
        <is>
          <t>Texana Stetson Brenham Chocolate.
 Composición: 100% Fieltro de lana.
 Color: Chocolate.</t>
        </is>
      </c>
      <c r="U1642" s="156" t="n"/>
      <c r="V1642" s="156" t="inlineStr">
        <is>
          <t>PZS</t>
        </is>
      </c>
      <c r="W1642" s="51" t="inlineStr">
        <is>
          <t>53102503</t>
        </is>
      </c>
      <c r="X1642" s="156" t="n"/>
      <c r="Y1642" s="54" t="n">
        <v>1181.25</v>
      </c>
      <c r="Z1642" s="54" t="n">
        <v>2844.827586</v>
      </c>
      <c r="AA1642" s="55">
        <f>IF(AND(A1642="", B1642="", E1642=""), "", IF(AB1642="", "Válido", IF((LEN(AB1642)-LEN(SUBSTITUTE(AB1642,"; ","")))/2+1&gt;(LEN(AB1642)-LEN(SUBSTITUTE(AB1642,"[Aviso]","")))/7, "Con Incidencias", "Válido")))</f>
        <v/>
      </c>
      <c r="AB1642" s="56">
        <f>IF(AND(A1642="", B1642="", E1642=""), "", TEXTJOIN("; ", TRUE, IF(OR(TRIM(A1642&amp;"")="", ISNUMBER(SEARCH("FALTA", A1642))), "UPC faltante/inválido", ""), IF(AND(A1642&lt;&gt;"", IFERROR(_xlfn.XMATCH(A1642,$A$2:$A$2509,0,1)&lt;&gt;_xlfn.XMATCH(A1642,$A$2:$A$2509,0,-1),FALSE)), "Código de barras duplicado", ""), IF(AND(E1642&lt;&gt;"", COUNTIF($E$2:$E$2509, E1642)&gt;1), "SKU duplicado", ""), IF(OR(J1642="", J1642=""), "[Aviso] División no capturada ()", IF(ISNA(MATCH(J1642, Criterios!$A$123:$A$126, 0)), "División no válida", "")), IF(OR(K1642="", K1642=""), "[Aviso] Categoría no capturada ()", IF(ISNA(MATCH(K1642, Criterios!$A$81:$A$120, 0)), "Categoría no válida", IF(AND(J1642&lt;&gt;"", J1642&lt;&gt;"", J1642&lt;&gt;VLOOKUP(K1642, Criterios!$A$81:$B$120, 2, FALSE)), "División no coincide con Categoría", ""))), IF(OR(L1642="", L1642=""), "[Aviso] Género no capturado ()", IF(ISNA(MATCH(L1642, Criterios!$B$123:$B$127, 0)), "Género no válido", "")), IF(OR(N1642="", N1642=""), "[Aviso] Temporada no capturada ()", IF(ISNA(MATCH(N1642, Criterios!$C$123:$C$128, 0)), "Temporada no válida", "")), IF(OR(O1642="", O1642=""), "[Aviso] Ciclo de vida no capturado ()", IF(ISNA(MATCH(O1642, Criterios!$D$123:$D$124, 0)), "Ciclo de vida no válido", ""))))</f>
        <v/>
      </c>
      <c r="AC1642" s="56" t="n"/>
      <c r="AD1642" s="51" t="n">
        <v>1</v>
      </c>
      <c r="AE1642" s="156" t="inlineStr">
        <is>
          <t>B25 STETSON.MX (1); STETSON AMERICAS (1)</t>
        </is>
      </c>
      <c r="AF1642" s="51" t="n">
        <v>2</v>
      </c>
      <c r="AG1642" s="156" t="inlineStr">
        <is>
          <t>Catálogo existente</t>
        </is>
      </c>
      <c r="AH1642" s="156" t="inlineStr">
        <is>
          <t>Revisión 29/09/2026: Campos sin respaldo: U, X | 01/10/2026: complementado desde Shopify Stetson México (match por código de barras): WB Fit</t>
        </is>
      </c>
      <c r="AI1642" s="156" t="inlineStr">
        <is>
          <t>Sí</t>
        </is>
      </c>
      <c r="AJ1642" s="156" t="inlineStr">
        <is>
          <t>PUNTO DE VENTA (-1)</t>
        </is>
      </c>
      <c r="AK1642" s="155" t="inlineStr">
        <is>
          <t>Criterios: I [Q] | Shopify Stetson: producto 15056329539947 / variante 53357913506155</t>
        </is>
      </c>
      <c r="AL1642" s="58" t="n">
        <v>1181.25</v>
      </c>
      <c r="AM1642" s="58" t="n">
        <v>2844.827586</v>
      </c>
      <c r="AN1642" s="155" t="inlineStr">
        <is>
          <t>Shopify Stetson México</t>
        </is>
      </c>
      <c r="AO1642" s="59" t="n">
        <v>2</v>
      </c>
      <c r="AP1642" s="59" t="n"/>
      <c r="AQ1642" s="59" t="n"/>
      <c r="AR1642" s="155" t="inlineStr">
        <is>
          <t>Shopify Stetson México › Stetson México: 1 | Shopify Stetson México › Stetson Americas: 1</t>
        </is>
      </c>
    </row>
    <row r="1643">
      <c r="A1643" s="50" t="inlineStr">
        <is>
          <t>883383202366</t>
        </is>
      </c>
      <c r="B1643" s="51" t="inlineStr">
        <is>
          <t>110430</t>
        </is>
      </c>
      <c r="C1643" s="156" t="inlineStr">
        <is>
          <t>Multimarca</t>
        </is>
      </c>
      <c r="D1643" s="156" t="inlineStr">
        <is>
          <t>SWBRNM-754022</t>
        </is>
      </c>
      <c r="E1643" s="156" t="inlineStr">
        <is>
          <t>SWBRNM-75402270</t>
        </is>
      </c>
      <c r="F1643" s="156" t="inlineStr">
        <is>
          <t>7</t>
        </is>
      </c>
      <c r="G1643" s="156" t="inlineStr">
        <is>
          <t>7</t>
        </is>
      </c>
      <c r="H1643" s="156" t="inlineStr">
        <is>
          <t>Stetson</t>
        </is>
      </c>
      <c r="I1643" s="156" t="inlineStr">
        <is>
          <t>Texana Stetson Brenham Chocolate</t>
        </is>
      </c>
      <c r="J1643" s="156" t="inlineStr">
        <is>
          <t>Accesorios</t>
        </is>
      </c>
      <c r="K1643" s="156" t="inlineStr">
        <is>
          <t>Sombreros</t>
        </is>
      </c>
      <c r="L1643" s="156" t="inlineStr">
        <is>
          <t>Unisex</t>
        </is>
      </c>
      <c r="M1643" s="156" t="inlineStr">
        <is>
          <t>Stetson</t>
        </is>
      </c>
      <c r="N1643" s="156" t="inlineStr">
        <is>
          <t>SS26</t>
        </is>
      </c>
      <c r="O1643" s="156" t="inlineStr">
        <is>
          <t>Seasonal</t>
        </is>
      </c>
      <c r="P1643" s="156" t="inlineStr">
        <is>
          <t>Cafe</t>
        </is>
      </c>
      <c r="Q1643" s="156" t="n"/>
      <c r="R1643" s="156" t="n"/>
      <c r="S1643" s="156" t="inlineStr">
        <is>
          <t>100% Fieltro de lana</t>
        </is>
      </c>
      <c r="T1643" s="156" t="inlineStr">
        <is>
          <t>Texana Stetson Brenham Chocolate.
 Composición: 100% Fieltro de lana.
 Color: Chocolate.</t>
        </is>
      </c>
      <c r="U1643" s="156" t="n"/>
      <c r="V1643" s="156" t="inlineStr">
        <is>
          <t>PZS</t>
        </is>
      </c>
      <c r="W1643" s="51" t="inlineStr">
        <is>
          <t>53102503</t>
        </is>
      </c>
      <c r="X1643" s="156" t="n"/>
      <c r="Y1643" s="54" t="n">
        <v>1181.25</v>
      </c>
      <c r="Z1643" s="54" t="n">
        <v>2844.827586</v>
      </c>
      <c r="AA1643" s="55">
        <f>IF(AND(A1643="", B1643="", E1643=""), "", IF(AB1643="", "Válido", IF((LEN(AB1643)-LEN(SUBSTITUTE(AB1643,"; ","")))/2+1&gt;(LEN(AB1643)-LEN(SUBSTITUTE(AB1643,"[Aviso]","")))/7, "Con Incidencias", "Válido")))</f>
        <v/>
      </c>
      <c r="AB1643" s="56">
        <f>IF(AND(A1643="", B1643="", E1643=""), "", TEXTJOIN("; ", TRUE, IF(OR(TRIM(A1643&amp;"")="", ISNUMBER(SEARCH("FALTA", A1643))), "UPC faltante/inválido", ""), IF(AND(A1643&lt;&gt;"", IFERROR(_xlfn.XMATCH(A1643,$A$2:$A$2509,0,1)&lt;&gt;_xlfn.XMATCH(A1643,$A$2:$A$2509,0,-1),FALSE)), "Código de barras duplicado", ""), IF(AND(E1643&lt;&gt;"", COUNTIF($E$2:$E$2509, E1643)&gt;1), "SKU duplicado", ""), IF(OR(J1643="", J1643=""), "[Aviso] División no capturada ()", IF(ISNA(MATCH(J1643, Criterios!$A$123:$A$126, 0)), "División no válida", "")), IF(OR(K1643="", K1643=""), "[Aviso] Categoría no capturada ()", IF(ISNA(MATCH(K1643, Criterios!$A$81:$A$120, 0)), "Categoría no válida", IF(AND(J1643&lt;&gt;"", J1643&lt;&gt;"", J1643&lt;&gt;VLOOKUP(K1643, Criterios!$A$81:$B$120, 2, FALSE)), "División no coincide con Categoría", ""))), IF(OR(L1643="", L1643=""), "[Aviso] Género no capturado ()", IF(ISNA(MATCH(L1643, Criterios!$B$123:$B$127, 0)), "Género no válido", "")), IF(OR(N1643="", N1643=""), "[Aviso] Temporada no capturada ()", IF(ISNA(MATCH(N1643, Criterios!$C$123:$C$128, 0)), "Temporada no válida", "")), IF(OR(O1643="", O1643=""), "[Aviso] Ciclo de vida no capturado ()", IF(ISNA(MATCH(O1643, Criterios!$D$123:$D$124, 0)), "Ciclo de vida no válido", ""))))</f>
        <v/>
      </c>
      <c r="AC1643" s="56" t="n"/>
      <c r="AD1643" s="51" t="n">
        <v>0</v>
      </c>
      <c r="AE1643" s="156" t="inlineStr">
        <is>
          <t>B25 STETSON.MX (1)</t>
        </is>
      </c>
      <c r="AF1643" s="51" t="n">
        <v>1</v>
      </c>
      <c r="AG1643" s="156" t="inlineStr">
        <is>
          <t>Catálogo existente</t>
        </is>
      </c>
      <c r="AH1643" s="156" t="inlineStr">
        <is>
          <t>Revisión 29/09/2026: Campos sin respaldo: U, X | 01/10/2026: complementado desde Shopify Stetson México (match por código de barras): WB Fit</t>
        </is>
      </c>
      <c r="AI1643" s="156" t="inlineStr">
        <is>
          <t>Sí</t>
        </is>
      </c>
      <c r="AJ1643" s="156" t="inlineStr">
        <is>
          <t>PUNTO DE VENTA (-1)</t>
        </is>
      </c>
      <c r="AK1643" s="155" t="inlineStr">
        <is>
          <t>Criterios: I [Q] | Shopify Stetson: producto 15056329539947 / variante 53357913538923</t>
        </is>
      </c>
      <c r="AL1643" s="58" t="n">
        <v>1181.25</v>
      </c>
      <c r="AM1643" s="58" t="n">
        <v>2844.827586</v>
      </c>
      <c r="AN1643" s="155" t="inlineStr">
        <is>
          <t>Shopify Stetson México</t>
        </is>
      </c>
      <c r="AO1643" s="59" t="n">
        <v>2</v>
      </c>
      <c r="AP1643" s="59" t="n"/>
      <c r="AQ1643" s="59" t="n"/>
      <c r="AR1643" s="155" t="inlineStr">
        <is>
          <t>Shopify Stetson México › Stetson México: 1 | Shopify Stetson México › Stetson Americas: 1</t>
        </is>
      </c>
    </row>
    <row r="1644">
      <c r="A1644" s="50" t="inlineStr">
        <is>
          <t>883383202373</t>
        </is>
      </c>
      <c r="B1644" s="51" t="inlineStr">
        <is>
          <t>110431</t>
        </is>
      </c>
      <c r="C1644" s="156" t="inlineStr">
        <is>
          <t>Multimarca</t>
        </is>
      </c>
      <c r="D1644" s="156" t="inlineStr">
        <is>
          <t>SWBRNM-754022</t>
        </is>
      </c>
      <c r="E1644" s="156" t="inlineStr">
        <is>
          <t>SWBRNM-75402271</t>
        </is>
      </c>
      <c r="F1644" s="156" t="inlineStr">
        <is>
          <t>7 1/8</t>
        </is>
      </c>
      <c r="G1644" s="156" t="inlineStr">
        <is>
          <t>7 1/8</t>
        </is>
      </c>
      <c r="H1644" s="156" t="inlineStr">
        <is>
          <t>Stetson</t>
        </is>
      </c>
      <c r="I1644" s="156" t="inlineStr">
        <is>
          <t>Texana Stetson Brenham Chocolate</t>
        </is>
      </c>
      <c r="J1644" s="156" t="inlineStr">
        <is>
          <t>Accesorios</t>
        </is>
      </c>
      <c r="K1644" s="156" t="inlineStr">
        <is>
          <t>Sombreros</t>
        </is>
      </c>
      <c r="L1644" s="156" t="inlineStr">
        <is>
          <t>Unisex</t>
        </is>
      </c>
      <c r="M1644" s="156" t="inlineStr">
        <is>
          <t>Stetson</t>
        </is>
      </c>
      <c r="N1644" s="156" t="inlineStr">
        <is>
          <t>SS26</t>
        </is>
      </c>
      <c r="O1644" s="156" t="inlineStr">
        <is>
          <t>Seasonal</t>
        </is>
      </c>
      <c r="P1644" s="156" t="inlineStr">
        <is>
          <t>Cafe</t>
        </is>
      </c>
      <c r="Q1644" s="156" t="n"/>
      <c r="R1644" s="156" t="n"/>
      <c r="S1644" s="156" t="inlineStr">
        <is>
          <t>100% Fieltro de lana</t>
        </is>
      </c>
      <c r="T1644" s="156" t="inlineStr">
        <is>
          <t>Texana Stetson Brenham Chocolate.
 Composición: 100% Fieltro de lana.
 Color: Chocolate.</t>
        </is>
      </c>
      <c r="U1644" s="156" t="n"/>
      <c r="V1644" s="156" t="inlineStr">
        <is>
          <t>PZS</t>
        </is>
      </c>
      <c r="W1644" s="51" t="inlineStr">
        <is>
          <t>53102503</t>
        </is>
      </c>
      <c r="X1644" s="156" t="n"/>
      <c r="Y1644" s="54" t="n">
        <v>1181.25</v>
      </c>
      <c r="Z1644" s="54" t="n">
        <v>2844.827586</v>
      </c>
      <c r="AA1644" s="55">
        <f>IF(AND(A1644="", B1644="", E1644=""), "", IF(AB1644="", "Válido", IF((LEN(AB1644)-LEN(SUBSTITUTE(AB1644,"; ","")))/2+1&gt;(LEN(AB1644)-LEN(SUBSTITUTE(AB1644,"[Aviso]","")))/7, "Con Incidencias", "Válido")))</f>
        <v/>
      </c>
      <c r="AB1644" s="56">
        <f>IF(AND(A1644="", B1644="", E1644=""), "", TEXTJOIN("; ", TRUE, IF(OR(TRIM(A1644&amp;"")="", ISNUMBER(SEARCH("FALTA", A1644))), "UPC faltante/inválido", ""), IF(AND(A1644&lt;&gt;"", IFERROR(_xlfn.XMATCH(A1644,$A$2:$A$2509,0,1)&lt;&gt;_xlfn.XMATCH(A1644,$A$2:$A$2509,0,-1),FALSE)), "Código de barras duplicado", ""), IF(AND(E1644&lt;&gt;"", COUNTIF($E$2:$E$2509, E1644)&gt;1), "SKU duplicado", ""), IF(OR(J1644="", J1644=""), "[Aviso] División no capturada ()", IF(ISNA(MATCH(J1644, Criterios!$A$123:$A$126, 0)), "División no válida", "")), IF(OR(K1644="", K1644=""), "[Aviso] Categoría no capturada ()", IF(ISNA(MATCH(K1644, Criterios!$A$81:$A$120, 0)), "Categoría no válida", IF(AND(J1644&lt;&gt;"", J1644&lt;&gt;"", J1644&lt;&gt;VLOOKUP(K1644, Criterios!$A$81:$B$120, 2, FALSE)), "División no coincide con Categoría", ""))), IF(OR(L1644="", L1644=""), "[Aviso] Género no capturado ()", IF(ISNA(MATCH(L1644, Criterios!$B$123:$B$127, 0)), "Género no válido", "")), IF(OR(N1644="", N1644=""), "[Aviso] Temporada no capturada ()", IF(ISNA(MATCH(N1644, Criterios!$C$123:$C$128, 0)), "Temporada no válida", "")), IF(OR(O1644="", O1644=""), "[Aviso] Ciclo de vida no capturado ()", IF(ISNA(MATCH(O1644, Criterios!$D$123:$D$124, 0)), "Ciclo de vida no válido", ""))))</f>
        <v/>
      </c>
      <c r="AC1644" s="56" t="n"/>
      <c r="AD1644" s="51" t="n">
        <v>0</v>
      </c>
      <c r="AE1644" s="156" t="inlineStr">
        <is>
          <t>B25 STETSON.MX (2)</t>
        </is>
      </c>
      <c r="AF1644" s="51" t="n">
        <v>2</v>
      </c>
      <c r="AG1644" s="156" t="inlineStr">
        <is>
          <t>Catálogo existente</t>
        </is>
      </c>
      <c r="AH1644" s="156" t="inlineStr">
        <is>
          <t>Revisión 29/09/2026: Campos sin respaldo: U, X | 01/10/2026: complementado desde Shopify Stetson México (match por código de barras): WB Fit</t>
        </is>
      </c>
      <c r="AI1644" s="156" t="inlineStr">
        <is>
          <t>Sí</t>
        </is>
      </c>
      <c r="AJ1644" s="156" t="inlineStr">
        <is>
          <t>STETSON AMERICAS (-1); PUNTO DE VENTA (-1)</t>
        </is>
      </c>
      <c r="AK1644" s="155" t="inlineStr">
        <is>
          <t>Criterios: I [Q] | Shopify Stetson: producto 15056329539947 / variante 53357913571691</t>
        </is>
      </c>
      <c r="AL1644" s="58" t="n">
        <v>1181.25</v>
      </c>
      <c r="AM1644" s="58" t="n">
        <v>2844.827586</v>
      </c>
      <c r="AN1644" s="155" t="inlineStr">
        <is>
          <t>Shopify Stetson México</t>
        </is>
      </c>
      <c r="AO1644" s="59" t="n">
        <v>1</v>
      </c>
      <c r="AP1644" s="59" t="n"/>
      <c r="AQ1644" s="59" t="n"/>
      <c r="AR1644" s="155" t="inlineStr">
        <is>
          <t>Shopify Stetson México › Stetson México: 1</t>
        </is>
      </c>
    </row>
    <row r="1645">
      <c r="A1645" s="50" t="inlineStr">
        <is>
          <t>883383202380</t>
        </is>
      </c>
      <c r="B1645" s="51" t="inlineStr">
        <is>
          <t>110432</t>
        </is>
      </c>
      <c r="C1645" s="156" t="inlineStr">
        <is>
          <t>Multimarca</t>
        </is>
      </c>
      <c r="D1645" s="156" t="inlineStr">
        <is>
          <t>SWBRNM-754022</t>
        </is>
      </c>
      <c r="E1645" s="156" t="inlineStr">
        <is>
          <t>SWBRNM-75402272</t>
        </is>
      </c>
      <c r="F1645" s="156" t="inlineStr">
        <is>
          <t>7 1/4</t>
        </is>
      </c>
      <c r="G1645" s="156" t="inlineStr">
        <is>
          <t>7 1/4</t>
        </is>
      </c>
      <c r="H1645" s="156" t="inlineStr">
        <is>
          <t>Stetson</t>
        </is>
      </c>
      <c r="I1645" s="156" t="inlineStr">
        <is>
          <t>Texana Stetson Brenham Chocolate</t>
        </is>
      </c>
      <c r="J1645" s="156" t="inlineStr">
        <is>
          <t>Accesorios</t>
        </is>
      </c>
      <c r="K1645" s="156" t="inlineStr">
        <is>
          <t>Sombreros</t>
        </is>
      </c>
      <c r="L1645" s="156" t="inlineStr">
        <is>
          <t>Unisex</t>
        </is>
      </c>
      <c r="M1645" s="156" t="inlineStr">
        <is>
          <t>Stetson</t>
        </is>
      </c>
      <c r="N1645" s="156" t="inlineStr">
        <is>
          <t>SS26</t>
        </is>
      </c>
      <c r="O1645" s="156" t="inlineStr">
        <is>
          <t>Seasonal</t>
        </is>
      </c>
      <c r="P1645" s="156" t="inlineStr">
        <is>
          <t>Cafe</t>
        </is>
      </c>
      <c r="Q1645" s="156" t="n"/>
      <c r="R1645" s="156" t="n"/>
      <c r="S1645" s="156" t="inlineStr">
        <is>
          <t>100% Fieltro de lana</t>
        </is>
      </c>
      <c r="T1645" s="156" t="inlineStr">
        <is>
          <t>Texana Stetson Brenham Chocolate.
 Composición: 100% Fieltro de lana.
 Color: Chocolate.</t>
        </is>
      </c>
      <c r="U1645" s="156" t="n"/>
      <c r="V1645" s="156" t="inlineStr">
        <is>
          <t>PZS</t>
        </is>
      </c>
      <c r="W1645" s="51" t="inlineStr">
        <is>
          <t>53102503</t>
        </is>
      </c>
      <c r="X1645" s="156" t="n"/>
      <c r="Y1645" s="54" t="n">
        <v>1181.25</v>
      </c>
      <c r="Z1645" s="54" t="n">
        <v>2844.827586</v>
      </c>
      <c r="AA1645" s="55">
        <f>IF(AND(A1645="", B1645="", E1645=""), "", IF(AB1645="", "Válido", IF((LEN(AB1645)-LEN(SUBSTITUTE(AB1645,"; ","")))/2+1&gt;(LEN(AB1645)-LEN(SUBSTITUTE(AB1645,"[Aviso]","")))/7, "Con Incidencias", "Válido")))</f>
        <v/>
      </c>
      <c r="AB1645" s="56">
        <f>IF(AND(A1645="", B1645="", E1645=""), "", TEXTJOIN("; ", TRUE, IF(OR(TRIM(A1645&amp;"")="", ISNUMBER(SEARCH("FALTA", A1645))), "UPC faltante/inválido", ""), IF(AND(A1645&lt;&gt;"", IFERROR(_xlfn.XMATCH(A1645,$A$2:$A$2509,0,1)&lt;&gt;_xlfn.XMATCH(A1645,$A$2:$A$2509,0,-1),FALSE)), "Código de barras duplicado", ""), IF(AND(E1645&lt;&gt;"", COUNTIF($E$2:$E$2509, E1645)&gt;1), "SKU duplicado", ""), IF(OR(J1645="", J1645=""), "[Aviso] División no capturada ()", IF(ISNA(MATCH(J1645, Criterios!$A$123:$A$126, 0)), "División no válida", "")), IF(OR(K1645="", K1645=""), "[Aviso] Categoría no capturada ()", IF(ISNA(MATCH(K1645, Criterios!$A$81:$A$120, 0)), "Categoría no válida", IF(AND(J1645&lt;&gt;"", J1645&lt;&gt;"", J1645&lt;&gt;VLOOKUP(K1645, Criterios!$A$81:$B$120, 2, FALSE)), "División no coincide con Categoría", ""))), IF(OR(L1645="", L1645=""), "[Aviso] Género no capturado ()", IF(ISNA(MATCH(L1645, Criterios!$B$123:$B$127, 0)), "Género no válido", "")), IF(OR(N1645="", N1645=""), "[Aviso] Temporada no capturada ()", IF(ISNA(MATCH(N1645, Criterios!$C$123:$C$128, 0)), "Temporada no válida", "")), IF(OR(O1645="", O1645=""), "[Aviso] Ciclo de vida no capturado ()", IF(ISNA(MATCH(O1645, Criterios!$D$123:$D$124, 0)), "Ciclo de vida no válido", ""))))</f>
        <v/>
      </c>
      <c r="AC1645" s="56" t="n"/>
      <c r="AD1645" s="51" t="n">
        <v>3</v>
      </c>
      <c r="AE1645" s="156" t="inlineStr">
        <is>
          <t>B25 STETSON.MX (4)</t>
        </is>
      </c>
      <c r="AF1645" s="51" t="n">
        <v>4</v>
      </c>
      <c r="AG1645" s="156" t="inlineStr">
        <is>
          <t>Catálogo existente</t>
        </is>
      </c>
      <c r="AH1645" s="156" t="inlineStr">
        <is>
          <t>Revisión 29/09/2026: Campos sin respaldo: U, X | 01/10/2026: complementado desde Shopify Stetson México (match por código de barras): WB Fit</t>
        </is>
      </c>
      <c r="AI1645" s="156" t="inlineStr">
        <is>
          <t>Sí</t>
        </is>
      </c>
      <c r="AJ1645" s="156" t="inlineStr">
        <is>
          <t>STETSON AMERICAS (-1)</t>
        </is>
      </c>
      <c r="AK1645" s="155" t="inlineStr">
        <is>
          <t>Criterios: I [Q] | Shopify Stetson: producto 15056329539947 / variante 53357913604459</t>
        </is>
      </c>
      <c r="AL1645" s="58" t="n">
        <v>1181.25</v>
      </c>
      <c r="AM1645" s="58" t="n">
        <v>2844.827586</v>
      </c>
      <c r="AN1645" s="155" t="inlineStr">
        <is>
          <t>Shopify Stetson México</t>
        </is>
      </c>
      <c r="AO1645" s="59" t="n">
        <v>5</v>
      </c>
      <c r="AP1645" s="59" t="n"/>
      <c r="AQ1645" s="59" t="n"/>
      <c r="AR1645" s="155" t="inlineStr">
        <is>
          <t>Shopify Stetson México › Stetson México: 4 | Shopify Stetson México › Stetson Americas: 1</t>
        </is>
      </c>
    </row>
    <row r="1646">
      <c r="A1646" s="50" t="inlineStr">
        <is>
          <t>883383202397</t>
        </is>
      </c>
      <c r="B1646" s="51" t="inlineStr">
        <is>
          <t>110433</t>
        </is>
      </c>
      <c r="C1646" s="156" t="inlineStr">
        <is>
          <t>Multimarca</t>
        </is>
      </c>
      <c r="D1646" s="156" t="inlineStr">
        <is>
          <t>SWBRNM-754022</t>
        </is>
      </c>
      <c r="E1646" s="156" t="inlineStr">
        <is>
          <t>SWBRNM-75402273</t>
        </is>
      </c>
      <c r="F1646" s="156" t="inlineStr">
        <is>
          <t>7 3/8</t>
        </is>
      </c>
      <c r="G1646" s="156" t="inlineStr">
        <is>
          <t>7 3/8</t>
        </is>
      </c>
      <c r="H1646" s="156" t="inlineStr">
        <is>
          <t>Stetson</t>
        </is>
      </c>
      <c r="I1646" s="156" t="inlineStr">
        <is>
          <t>Texana Stetson Brenham Chocolate</t>
        </is>
      </c>
      <c r="J1646" s="156" t="inlineStr">
        <is>
          <t>Accesorios</t>
        </is>
      </c>
      <c r="K1646" s="156" t="inlineStr">
        <is>
          <t>Sombreros</t>
        </is>
      </c>
      <c r="L1646" s="156" t="inlineStr">
        <is>
          <t>Unisex</t>
        </is>
      </c>
      <c r="M1646" s="156" t="inlineStr">
        <is>
          <t>Stetson</t>
        </is>
      </c>
      <c r="N1646" s="156" t="inlineStr">
        <is>
          <t>SS26</t>
        </is>
      </c>
      <c r="O1646" s="156" t="inlineStr">
        <is>
          <t>Seasonal</t>
        </is>
      </c>
      <c r="P1646" s="156" t="inlineStr">
        <is>
          <t>Cafe</t>
        </is>
      </c>
      <c r="Q1646" s="156" t="n"/>
      <c r="R1646" s="156" t="n"/>
      <c r="S1646" s="156" t="inlineStr">
        <is>
          <t>100% Fieltro de lana</t>
        </is>
      </c>
      <c r="T1646" s="156" t="inlineStr">
        <is>
          <t>Texana Stetson Brenham Chocolate.
 Composición: 100% Fieltro de lana.
 Color: Chocolate.</t>
        </is>
      </c>
      <c r="U1646" s="156" t="n"/>
      <c r="V1646" s="156" t="inlineStr">
        <is>
          <t>PZS</t>
        </is>
      </c>
      <c r="W1646" s="51" t="inlineStr">
        <is>
          <t>53102503</t>
        </is>
      </c>
      <c r="X1646" s="156" t="n"/>
      <c r="Y1646" s="54" t="n">
        <v>1181.25</v>
      </c>
      <c r="Z1646" s="54" t="n">
        <v>2844.827586</v>
      </c>
      <c r="AA1646" s="55">
        <f>IF(AND(A1646="", B1646="", E1646=""), "", IF(AB1646="", "Válido", IF((LEN(AB1646)-LEN(SUBSTITUTE(AB1646,"; ","")))/2+1&gt;(LEN(AB1646)-LEN(SUBSTITUTE(AB1646,"[Aviso]","")))/7, "Con Incidencias", "Válido")))</f>
        <v/>
      </c>
      <c r="AB1646" s="56">
        <f>IF(AND(A1646="", B1646="", E1646=""), "", TEXTJOIN("; ", TRUE, IF(OR(TRIM(A1646&amp;"")="", ISNUMBER(SEARCH("FALTA", A1646))), "UPC faltante/inválido", ""), IF(AND(A1646&lt;&gt;"", IFERROR(_xlfn.XMATCH(A1646,$A$2:$A$2509,0,1)&lt;&gt;_xlfn.XMATCH(A1646,$A$2:$A$2509,0,-1),FALSE)), "Código de barras duplicado", ""), IF(AND(E1646&lt;&gt;"", COUNTIF($E$2:$E$2509, E1646)&gt;1), "SKU duplicado", ""), IF(OR(J1646="", J1646=""), "[Aviso] División no capturada ()", IF(ISNA(MATCH(J1646, Criterios!$A$123:$A$126, 0)), "División no válida", "")), IF(OR(K1646="", K1646=""), "[Aviso] Categoría no capturada ()", IF(ISNA(MATCH(K1646, Criterios!$A$81:$A$120, 0)), "Categoría no válida", IF(AND(J1646&lt;&gt;"", J1646&lt;&gt;"", J1646&lt;&gt;VLOOKUP(K1646, Criterios!$A$81:$B$120, 2, FALSE)), "División no coincide con Categoría", ""))), IF(OR(L1646="", L1646=""), "[Aviso] Género no capturado ()", IF(ISNA(MATCH(L1646, Criterios!$B$123:$B$127, 0)), "Género no válido", "")), IF(OR(N1646="", N1646=""), "[Aviso] Temporada no capturada ()", IF(ISNA(MATCH(N1646, Criterios!$C$123:$C$128, 0)), "Temporada no válida", "")), IF(OR(O1646="", O1646=""), "[Aviso] Ciclo de vida no capturado ()", IF(ISNA(MATCH(O1646, Criterios!$D$123:$D$124, 0)), "Ciclo de vida no válido", ""))))</f>
        <v/>
      </c>
      <c r="AC1646" s="56" t="n"/>
      <c r="AD1646" s="51" t="n">
        <v>2</v>
      </c>
      <c r="AE1646" s="156" t="inlineStr">
        <is>
          <t>B25 STETSON.MX (3)</t>
        </is>
      </c>
      <c r="AF1646" s="51" t="n">
        <v>3</v>
      </c>
      <c r="AG1646" s="156" t="inlineStr">
        <is>
          <t>Catálogo existente</t>
        </is>
      </c>
      <c r="AH1646" s="156" t="inlineStr">
        <is>
          <t>Revisión 29/09/2026: Campos sin respaldo: U, X | 01/10/2026: complementado desde Shopify Stetson México (match por código de barras): WB Fit</t>
        </is>
      </c>
      <c r="AI1646" s="156" t="inlineStr">
        <is>
          <t>Sí</t>
        </is>
      </c>
      <c r="AJ1646" s="156" t="inlineStr">
        <is>
          <t>STETSON AMERICAS (-1)</t>
        </is>
      </c>
      <c r="AK1646" s="155" t="inlineStr">
        <is>
          <t>Criterios: I [Q] | Shopify Stetson: producto 15056329539947 / variante 53357913637227</t>
        </is>
      </c>
      <c r="AL1646" s="58" t="n">
        <v>1181.25</v>
      </c>
      <c r="AM1646" s="58" t="n">
        <v>2844.827586</v>
      </c>
      <c r="AN1646" s="155" t="inlineStr">
        <is>
          <t>Shopify Stetson México</t>
        </is>
      </c>
      <c r="AO1646" s="59" t="n">
        <v>4</v>
      </c>
      <c r="AP1646" s="59" t="n"/>
      <c r="AQ1646" s="59" t="n"/>
      <c r="AR1646" s="155" t="inlineStr">
        <is>
          <t>Shopify Stetson México › Stetson México: 3 | Shopify Stetson México › Stetson Americas: 1</t>
        </is>
      </c>
    </row>
    <row r="1647">
      <c r="A1647" s="50" t="inlineStr">
        <is>
          <t>883383202403</t>
        </is>
      </c>
      <c r="B1647" s="51" t="inlineStr">
        <is>
          <t>110434</t>
        </is>
      </c>
      <c r="C1647" s="156" t="inlineStr">
        <is>
          <t>Multimarca</t>
        </is>
      </c>
      <c r="D1647" s="156" t="inlineStr">
        <is>
          <t>SWBRNM-754022</t>
        </is>
      </c>
      <c r="E1647" s="156" t="inlineStr">
        <is>
          <t>SWBRNM-75402274</t>
        </is>
      </c>
      <c r="F1647" s="156" t="inlineStr">
        <is>
          <t>7 1/2</t>
        </is>
      </c>
      <c r="G1647" s="156" t="inlineStr">
        <is>
          <t>7 1/2</t>
        </is>
      </c>
      <c r="H1647" s="156" t="inlineStr">
        <is>
          <t>Stetson</t>
        </is>
      </c>
      <c r="I1647" s="156" t="inlineStr">
        <is>
          <t>Texana Stetson Brenham Chocolate</t>
        </is>
      </c>
      <c r="J1647" s="156" t="inlineStr">
        <is>
          <t>Accesorios</t>
        </is>
      </c>
      <c r="K1647" s="156" t="inlineStr">
        <is>
          <t>Sombreros</t>
        </is>
      </c>
      <c r="L1647" s="156" t="inlineStr">
        <is>
          <t>Unisex</t>
        </is>
      </c>
      <c r="M1647" s="156" t="inlineStr">
        <is>
          <t>Stetson</t>
        </is>
      </c>
      <c r="N1647" s="156" t="inlineStr">
        <is>
          <t>SS26</t>
        </is>
      </c>
      <c r="O1647" s="156" t="inlineStr">
        <is>
          <t>Seasonal</t>
        </is>
      </c>
      <c r="P1647" s="156" t="inlineStr">
        <is>
          <t>Cafe</t>
        </is>
      </c>
      <c r="Q1647" s="156" t="n"/>
      <c r="R1647" s="156" t="n"/>
      <c r="S1647" s="156" t="inlineStr">
        <is>
          <t>100% Fieltro de lana</t>
        </is>
      </c>
      <c r="T1647" s="156" t="inlineStr">
        <is>
          <t>Texana Stetson Brenham Chocolate.
 Composición: 100% Fieltro de lana.
 Color: Chocolate.</t>
        </is>
      </c>
      <c r="U1647" s="156" t="n"/>
      <c r="V1647" s="156" t="inlineStr">
        <is>
          <t>PZS</t>
        </is>
      </c>
      <c r="W1647" s="51" t="inlineStr">
        <is>
          <t>53102503</t>
        </is>
      </c>
      <c r="X1647" s="156" t="n"/>
      <c r="Y1647" s="54" t="n">
        <v>1181.25</v>
      </c>
      <c r="Z1647" s="54" t="n">
        <v>2844.827586</v>
      </c>
      <c r="AA1647" s="55">
        <f>IF(AND(A1647="", B1647="", E1647=""), "", IF(AB1647="", "Válido", IF((LEN(AB1647)-LEN(SUBSTITUTE(AB1647,"; ","")))/2+1&gt;(LEN(AB1647)-LEN(SUBSTITUTE(AB1647,"[Aviso]","")))/7, "Con Incidencias", "Válido")))</f>
        <v/>
      </c>
      <c r="AB1647" s="56">
        <f>IF(AND(A1647="", B1647="", E1647=""), "", TEXTJOIN("; ", TRUE, IF(OR(TRIM(A1647&amp;"")="", ISNUMBER(SEARCH("FALTA", A1647))), "UPC faltante/inválido", ""), IF(AND(A1647&lt;&gt;"", IFERROR(_xlfn.XMATCH(A1647,$A$2:$A$2509,0,1)&lt;&gt;_xlfn.XMATCH(A1647,$A$2:$A$2509,0,-1),FALSE)), "Código de barras duplicado", ""), IF(AND(E1647&lt;&gt;"", COUNTIF($E$2:$E$2509, E1647)&gt;1), "SKU duplicado", ""), IF(OR(J1647="", J1647=""), "[Aviso] División no capturada ()", IF(ISNA(MATCH(J1647, Criterios!$A$123:$A$126, 0)), "División no válida", "")), IF(OR(K1647="", K1647=""), "[Aviso] Categoría no capturada ()", IF(ISNA(MATCH(K1647, Criterios!$A$81:$A$120, 0)), "Categoría no válida", IF(AND(J1647&lt;&gt;"", J1647&lt;&gt;"", J1647&lt;&gt;VLOOKUP(K1647, Criterios!$A$81:$B$120, 2, FALSE)), "División no coincide con Categoría", ""))), IF(OR(L1647="", L1647=""), "[Aviso] Género no capturado ()", IF(ISNA(MATCH(L1647, Criterios!$B$123:$B$127, 0)), "Género no válido", "")), IF(OR(N1647="", N1647=""), "[Aviso] Temporada no capturada ()", IF(ISNA(MATCH(N1647, Criterios!$C$123:$C$128, 0)), "Temporada no válida", "")), IF(OR(O1647="", O1647=""), "[Aviso] Ciclo de vida no capturado ()", IF(ISNA(MATCH(O1647, Criterios!$D$123:$D$124, 0)), "Ciclo de vida no válido", ""))))</f>
        <v/>
      </c>
      <c r="AC1647" s="56" t="n"/>
      <c r="AD1647" s="51" t="n">
        <v>0</v>
      </c>
      <c r="AE1647" s="156" t="inlineStr">
        <is>
          <t>STETSON AMERICAS (1)</t>
        </is>
      </c>
      <c r="AF1647" s="51" t="n">
        <v>1</v>
      </c>
      <c r="AG1647" s="156" t="inlineStr">
        <is>
          <t>Catálogo existente</t>
        </is>
      </c>
      <c r="AH1647" s="156" t="inlineStr">
        <is>
          <t>Revisión 29/09/2026: Campos sin respaldo: U, X | 01/10/2026: complementado desde Shopify Stetson México (match por código de barras): WB Fit</t>
        </is>
      </c>
      <c r="AI1647" s="156" t="inlineStr">
        <is>
          <t>Sí</t>
        </is>
      </c>
      <c r="AJ1647" s="156" t="inlineStr">
        <is>
          <t>PUNTO DE VENTA (-1)</t>
        </is>
      </c>
      <c r="AK1647" s="155" t="inlineStr">
        <is>
          <t>Criterios: I [Q] | Shopify Stetson: producto 15056329539947 / variante 53357913669995</t>
        </is>
      </c>
      <c r="AL1647" s="58" t="n">
        <v>1181.25</v>
      </c>
      <c r="AM1647" s="58" t="n">
        <v>2844.827586</v>
      </c>
      <c r="AN1647" s="155" t="inlineStr">
        <is>
          <t>Shopify Stetson México</t>
        </is>
      </c>
      <c r="AO1647" s="59" t="n">
        <v>1</v>
      </c>
      <c r="AP1647" s="59" t="n"/>
      <c r="AQ1647" s="59" t="n"/>
      <c r="AR1647" s="155" t="inlineStr">
        <is>
          <t>Shopify Stetson México › Stetson Americas: 1</t>
        </is>
      </c>
    </row>
    <row r="1648">
      <c r="A1648" s="50" t="inlineStr">
        <is>
          <t>883383203523</t>
        </is>
      </c>
      <c r="B1648" s="51" t="inlineStr">
        <is>
          <t>110415</t>
        </is>
      </c>
      <c r="C1648" s="156" t="inlineStr">
        <is>
          <t>Multimarca</t>
        </is>
      </c>
      <c r="D1648" s="156" t="inlineStr">
        <is>
          <t>SWBRNM-724207</t>
        </is>
      </c>
      <c r="E1648" s="156" t="inlineStr">
        <is>
          <t>SWBRNM-72420766</t>
        </is>
      </c>
      <c r="F1648" s="156" t="inlineStr">
        <is>
          <t>6 3/4</t>
        </is>
      </c>
      <c r="G1648" s="156" t="inlineStr">
        <is>
          <t>6 3/4</t>
        </is>
      </c>
      <c r="H1648" s="156" t="inlineStr">
        <is>
          <t>Stetson</t>
        </is>
      </c>
      <c r="I1648" s="156" t="inlineStr">
        <is>
          <t>Texana Stetson Brenham Negro</t>
        </is>
      </c>
      <c r="J1648" s="156" t="inlineStr">
        <is>
          <t>Accesorios</t>
        </is>
      </c>
      <c r="K1648" s="156" t="inlineStr">
        <is>
          <t>Sombreros</t>
        </is>
      </c>
      <c r="L1648" s="156" t="inlineStr">
        <is>
          <t>Unisex</t>
        </is>
      </c>
      <c r="M1648" s="156" t="inlineStr">
        <is>
          <t>Stetson</t>
        </is>
      </c>
      <c r="N1648" s="156" t="inlineStr">
        <is>
          <t>SS26</t>
        </is>
      </c>
      <c r="O1648" s="156" t="inlineStr">
        <is>
          <t>Seasonal</t>
        </is>
      </c>
      <c r="P1648" s="156" t="inlineStr">
        <is>
          <t>Negro</t>
        </is>
      </c>
      <c r="Q1648" s="156" t="n"/>
      <c r="R1648" s="156" t="inlineStr">
        <is>
          <t>Copa Rancher</t>
        </is>
      </c>
      <c r="S1648" s="156" t="inlineStr">
        <is>
          <t>100% Fieltro de lana</t>
        </is>
      </c>
      <c r="T1648"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48" s="156" t="inlineStr">
        <is>
          <t>Estados Unidos</t>
        </is>
      </c>
      <c r="V1648" s="156" t="inlineStr">
        <is>
          <t>PZS</t>
        </is>
      </c>
      <c r="W1648" s="51" t="inlineStr">
        <is>
          <t>53102503</t>
        </is>
      </c>
      <c r="X1648" s="156" t="inlineStr">
        <is>
          <t>https://cdn.shopify.com/s/files/1/0888/3250/8267/files/7242_18ef7fe1-dd0b-422a-926c-e1ff4245cd5d.jpg?v=1770748360</t>
        </is>
      </c>
      <c r="Y1648" s="54" t="n">
        <v>1181.25</v>
      </c>
      <c r="Z1648" s="54" t="n">
        <v>2844.827586</v>
      </c>
      <c r="AA1648" s="55">
        <f>IF(AND(A1648="", B1648="", E1648=""), "", IF(AB1648="", "Válido", IF((LEN(AB1648)-LEN(SUBSTITUTE(AB1648,"; ","")))/2+1&gt;(LEN(AB1648)-LEN(SUBSTITUTE(AB1648,"[Aviso]","")))/7, "Con Incidencias", "Válido")))</f>
        <v/>
      </c>
      <c r="AB1648" s="56">
        <f>IF(AND(A1648="", B1648="", E1648=""), "", TEXTJOIN("; ", TRUE, IF(OR(TRIM(A1648&amp;"")="", ISNUMBER(SEARCH("FALTA", A1648))), "UPC faltante/inválido", ""), IF(AND(A1648&lt;&gt;"", IFERROR(_xlfn.XMATCH(A1648,$A$2:$A$2509,0,1)&lt;&gt;_xlfn.XMATCH(A1648,$A$2:$A$2509,0,-1),FALSE)), "Código de barras duplicado", ""), IF(AND(E1648&lt;&gt;"", COUNTIF($E$2:$E$2509, E1648)&gt;1), "SKU duplicado", ""), IF(OR(J1648="", J1648=""), "[Aviso] División no capturada ()", IF(ISNA(MATCH(J1648, Criterios!$A$123:$A$126, 0)), "División no válida", "")), IF(OR(K1648="", K1648=""), "[Aviso] Categoría no capturada ()", IF(ISNA(MATCH(K1648, Criterios!$A$81:$A$120, 0)), "Categoría no válida", IF(AND(J1648&lt;&gt;"", J1648&lt;&gt;"", J1648&lt;&gt;VLOOKUP(K1648, Criterios!$A$81:$B$120, 2, FALSE)), "División no coincide con Categoría", ""))), IF(OR(L1648="", L1648=""), "[Aviso] Género no capturado ()", IF(ISNA(MATCH(L1648, Criterios!$B$123:$B$127, 0)), "Género no válido", "")), IF(OR(N1648="", N1648=""), "[Aviso] Temporada no capturada ()", IF(ISNA(MATCH(N1648, Criterios!$C$123:$C$128, 0)), "Temporada no válida", "")), IF(OR(O1648="", O1648=""), "[Aviso] Ciclo de vida no capturado ()", IF(ISNA(MATCH(O1648, Criterios!$D$123:$D$124, 0)), "Ciclo de vida no válido", ""))))</f>
        <v/>
      </c>
      <c r="AC1648" s="56" t="n"/>
      <c r="AD1648" s="51" t="n">
        <v>-2</v>
      </c>
      <c r="AE1648" s="156" t="n"/>
      <c r="AF1648" s="51" t="n">
        <v>0</v>
      </c>
      <c r="AG1648" s="156" t="inlineStr">
        <is>
          <t>Catálogo existente</t>
        </is>
      </c>
      <c r="AH1648" s="156" t="inlineStr">
        <is>
          <t>Stock negativo en sistema: revisar en conteo | Revisión 29/09/2026: Cruce de catálogo y criterios sin pendientes detectados | 01/10/2026: complementado desde Shopify Stetson México (match por código de barras): WB Fit, WB Silueta</t>
        </is>
      </c>
      <c r="AI1648" s="156" t="inlineStr">
        <is>
          <t>Sí</t>
        </is>
      </c>
      <c r="AJ1648" s="156" t="inlineStr">
        <is>
          <t>STETSON AMERICAS (-2)</t>
        </is>
      </c>
      <c r="AK1648" s="155" t="inlineStr">
        <is>
          <t>Criterios: I [Q] | Shopify Stetson: producto 14895831777643 / variante 53350594707819</t>
        </is>
      </c>
      <c r="AL1648" s="58" t="n">
        <v>1181.25</v>
      </c>
      <c r="AM1648" s="58" t="n">
        <v>2844.827586</v>
      </c>
      <c r="AN1648" s="155" t="inlineStr">
        <is>
          <t>Shopify Stetson México</t>
        </is>
      </c>
      <c r="AO1648" s="59" t="n">
        <v>0</v>
      </c>
      <c r="AP1648" s="59" t="n"/>
      <c r="AQ1648" s="59" t="n"/>
      <c r="AR1648" s="155" t="n"/>
    </row>
    <row r="1649">
      <c r="A1649" s="50" t="inlineStr">
        <is>
          <t>883383203530</t>
        </is>
      </c>
      <c r="B1649" s="51" t="inlineStr">
        <is>
          <t>110416</t>
        </is>
      </c>
      <c r="C1649" s="156" t="inlineStr">
        <is>
          <t>Multimarca</t>
        </is>
      </c>
      <c r="D1649" s="156" t="inlineStr">
        <is>
          <t>SWBRNM-724207</t>
        </is>
      </c>
      <c r="E1649" s="156" t="inlineStr">
        <is>
          <t>SWBRNM-72420767</t>
        </is>
      </c>
      <c r="F1649" s="156" t="inlineStr">
        <is>
          <t>6 7/8</t>
        </is>
      </c>
      <c r="G1649" s="156" t="inlineStr">
        <is>
          <t>6 7/8</t>
        </is>
      </c>
      <c r="H1649" s="156" t="inlineStr">
        <is>
          <t>Stetson</t>
        </is>
      </c>
      <c r="I1649" s="156" t="inlineStr">
        <is>
          <t>Texana Stetson Brenham Negro</t>
        </is>
      </c>
      <c r="J1649" s="156" t="inlineStr">
        <is>
          <t>Accesorios</t>
        </is>
      </c>
      <c r="K1649" s="156" t="inlineStr">
        <is>
          <t>Sombreros</t>
        </is>
      </c>
      <c r="L1649" s="156" t="inlineStr">
        <is>
          <t>Unisex</t>
        </is>
      </c>
      <c r="M1649" s="156" t="inlineStr">
        <is>
          <t>Stetson</t>
        </is>
      </c>
      <c r="N1649" s="156" t="inlineStr">
        <is>
          <t>SS26</t>
        </is>
      </c>
      <c r="O1649" s="156" t="inlineStr">
        <is>
          <t>Seasonal</t>
        </is>
      </c>
      <c r="P1649" s="156" t="inlineStr">
        <is>
          <t>Negro</t>
        </is>
      </c>
      <c r="Q1649" s="156" t="n"/>
      <c r="R1649" s="156" t="inlineStr">
        <is>
          <t>Copa Rancher</t>
        </is>
      </c>
      <c r="S1649" s="156" t="inlineStr">
        <is>
          <t>100% Fieltro de lana</t>
        </is>
      </c>
      <c r="T1649"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49" s="156" t="inlineStr">
        <is>
          <t>Estados Unidos</t>
        </is>
      </c>
      <c r="V1649" s="156" t="inlineStr">
        <is>
          <t>PZS</t>
        </is>
      </c>
      <c r="W1649" s="51" t="inlineStr">
        <is>
          <t>53102503</t>
        </is>
      </c>
      <c r="X1649" s="156" t="inlineStr">
        <is>
          <t>https://cdn.shopify.com/s/files/1/0888/3250/8267/files/SWBRNM-7242-07-01.jpg?v=1780958545</t>
        </is>
      </c>
      <c r="Y1649" s="54" t="n">
        <v>1181.25</v>
      </c>
      <c r="Z1649" s="54" t="n">
        <v>2844.827586</v>
      </c>
      <c r="AA1649" s="55">
        <f>IF(AND(A1649="", B1649="", E1649=""), "", IF(AB1649="", "Válido", IF((LEN(AB1649)-LEN(SUBSTITUTE(AB1649,"; ","")))/2+1&gt;(LEN(AB1649)-LEN(SUBSTITUTE(AB1649,"[Aviso]","")))/7, "Con Incidencias", "Válido")))</f>
        <v/>
      </c>
      <c r="AB1649" s="56">
        <f>IF(AND(A1649="", B1649="", E1649=""), "", TEXTJOIN("; ", TRUE, IF(OR(TRIM(A1649&amp;"")="", ISNUMBER(SEARCH("FALTA", A1649))), "UPC faltante/inválido", ""), IF(AND(A1649&lt;&gt;"", IFERROR(_xlfn.XMATCH(A1649,$A$2:$A$2509,0,1)&lt;&gt;_xlfn.XMATCH(A1649,$A$2:$A$2509,0,-1),FALSE)), "Código de barras duplicado", ""), IF(AND(E1649&lt;&gt;"", COUNTIF($E$2:$E$2509, E1649)&gt;1), "SKU duplicado", ""), IF(OR(J1649="", J1649=""), "[Aviso] División no capturada ()", IF(ISNA(MATCH(J1649, Criterios!$A$123:$A$126, 0)), "División no válida", "")), IF(OR(K1649="", K1649=""), "[Aviso] Categoría no capturada ()", IF(ISNA(MATCH(K1649, Criterios!$A$81:$A$120, 0)), "Categoría no válida", IF(AND(J1649&lt;&gt;"", J1649&lt;&gt;"", J1649&lt;&gt;VLOOKUP(K1649, Criterios!$A$81:$B$120, 2, FALSE)), "División no coincide con Categoría", ""))), IF(OR(L1649="", L1649=""), "[Aviso] Género no capturado ()", IF(ISNA(MATCH(L1649, Criterios!$B$123:$B$127, 0)), "Género no válido", "")), IF(OR(N1649="", N1649=""), "[Aviso] Temporada no capturada ()", IF(ISNA(MATCH(N1649, Criterios!$C$123:$C$128, 0)), "Temporada no válida", "")), IF(OR(O1649="", O1649=""), "[Aviso] Ciclo de vida no capturado ()", IF(ISNA(MATCH(O1649, Criterios!$D$123:$D$124, 0)), "Ciclo de vida no válido", ""))))</f>
        <v/>
      </c>
      <c r="AC1649" s="56" t="n"/>
      <c r="AD1649" s="51" t="n">
        <v>-3</v>
      </c>
      <c r="AE1649" s="156" t="n"/>
      <c r="AF1649" s="51" t="n">
        <v>0</v>
      </c>
      <c r="AG1649" s="156" t="inlineStr">
        <is>
          <t>Catálogo existente</t>
        </is>
      </c>
      <c r="AH1649" s="156" t="inlineStr">
        <is>
          <t>Stock negativo en sistema: revisar en conteo | Revisión 29/09/2026: Cruce de catálogo y criterios sin pendientes detectados | 01/10/2026: complementado desde Shopify Stetson México (match por código de barras): WB Fit, WB Silueta</t>
        </is>
      </c>
      <c r="AI1649" s="156" t="inlineStr">
        <is>
          <t>Sí</t>
        </is>
      </c>
      <c r="AJ1649" s="156" t="inlineStr">
        <is>
          <t>B25 STETSON.MX (-1); STETSON AMERICAS (-2)</t>
        </is>
      </c>
      <c r="AK1649" s="155" t="inlineStr">
        <is>
          <t>Criterios: I [Q] | Shopify Stetson: producto 14895831777643 / variante 53350594740587</t>
        </is>
      </c>
      <c r="AL1649" s="58" t="n">
        <v>1181.25</v>
      </c>
      <c r="AM1649" s="58" t="n">
        <v>2844.827586</v>
      </c>
      <c r="AN1649" s="155" t="inlineStr">
        <is>
          <t>Shopify Stetson México</t>
        </is>
      </c>
      <c r="AO1649" s="59" t="n">
        <v>0</v>
      </c>
      <c r="AP1649" s="59" t="n"/>
      <c r="AQ1649" s="59" t="n"/>
      <c r="AR1649" s="155" t="n"/>
    </row>
    <row r="1650">
      <c r="A1650" s="50" t="inlineStr">
        <is>
          <t>883383203547</t>
        </is>
      </c>
      <c r="B1650" s="51" t="inlineStr">
        <is>
          <t>110417</t>
        </is>
      </c>
      <c r="C1650" s="156" t="inlineStr">
        <is>
          <t>Multimarca</t>
        </is>
      </c>
      <c r="D1650" s="156" t="inlineStr">
        <is>
          <t>SWBRNM-724207</t>
        </is>
      </c>
      <c r="E1650" s="156" t="inlineStr">
        <is>
          <t>SWBRNM-72420770</t>
        </is>
      </c>
      <c r="F1650" s="156" t="inlineStr">
        <is>
          <t>7</t>
        </is>
      </c>
      <c r="G1650" s="156" t="inlineStr">
        <is>
          <t>7</t>
        </is>
      </c>
      <c r="H1650" s="156" t="inlineStr">
        <is>
          <t>Stetson</t>
        </is>
      </c>
      <c r="I1650" s="156" t="inlineStr">
        <is>
          <t>Texana Stetson Brenham Negro</t>
        </is>
      </c>
      <c r="J1650" s="156" t="inlineStr">
        <is>
          <t>Accesorios</t>
        </is>
      </c>
      <c r="K1650" s="156" t="inlineStr">
        <is>
          <t>Sombreros</t>
        </is>
      </c>
      <c r="L1650" s="156" t="inlineStr">
        <is>
          <t>Unisex</t>
        </is>
      </c>
      <c r="M1650" s="156" t="inlineStr">
        <is>
          <t>Stetson</t>
        </is>
      </c>
      <c r="N1650" s="156" t="inlineStr">
        <is>
          <t>SS26</t>
        </is>
      </c>
      <c r="O1650" s="156" t="inlineStr">
        <is>
          <t>Seasonal</t>
        </is>
      </c>
      <c r="P1650" s="156" t="inlineStr">
        <is>
          <t>Negro</t>
        </is>
      </c>
      <c r="Q1650" s="156" t="n"/>
      <c r="R1650" s="156" t="inlineStr">
        <is>
          <t>Copa Rancher</t>
        </is>
      </c>
      <c r="S1650" s="156" t="inlineStr">
        <is>
          <t>100% Fieltro de lana</t>
        </is>
      </c>
      <c r="T1650"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0" s="156" t="inlineStr">
        <is>
          <t>Estados Unidos</t>
        </is>
      </c>
      <c r="V1650" s="156" t="inlineStr">
        <is>
          <t>PZS</t>
        </is>
      </c>
      <c r="W1650" s="51" t="inlineStr">
        <is>
          <t>53102503</t>
        </is>
      </c>
      <c r="X1650" s="156" t="inlineStr">
        <is>
          <t>https://cdn.shopify.com/s/files/1/0888/3250/8267/files/SWBRNM-7242-07-02.jpg?v=1780958554</t>
        </is>
      </c>
      <c r="Y1650" s="54" t="n">
        <v>1181.25</v>
      </c>
      <c r="Z1650" s="54" t="n">
        <v>2844.827586</v>
      </c>
      <c r="AA1650" s="55">
        <f>IF(AND(A1650="", B1650="", E1650=""), "", IF(AB1650="", "Válido", IF((LEN(AB1650)-LEN(SUBSTITUTE(AB1650,"; ","")))/2+1&gt;(LEN(AB1650)-LEN(SUBSTITUTE(AB1650,"[Aviso]","")))/7, "Con Incidencias", "Válido")))</f>
        <v/>
      </c>
      <c r="AB1650" s="56">
        <f>IF(AND(A1650="", B1650="", E1650=""), "", TEXTJOIN("; ", TRUE, IF(OR(TRIM(A1650&amp;"")="", ISNUMBER(SEARCH("FALTA", A1650))), "UPC faltante/inválido", ""), IF(AND(A1650&lt;&gt;"", IFERROR(_xlfn.XMATCH(A1650,$A$2:$A$2509,0,1)&lt;&gt;_xlfn.XMATCH(A1650,$A$2:$A$2509,0,-1),FALSE)), "Código de barras duplicado", ""), IF(AND(E1650&lt;&gt;"", COUNTIF($E$2:$E$2509, E1650)&gt;1), "SKU duplicado", ""), IF(OR(J1650="", J1650=""), "[Aviso] División no capturada ()", IF(ISNA(MATCH(J1650, Criterios!$A$123:$A$126, 0)), "División no válida", "")), IF(OR(K1650="", K1650=""), "[Aviso] Categoría no capturada ()", IF(ISNA(MATCH(K1650, Criterios!$A$81:$A$120, 0)), "Categoría no válida", IF(AND(J1650&lt;&gt;"", J1650&lt;&gt;"", J1650&lt;&gt;VLOOKUP(K1650, Criterios!$A$81:$B$120, 2, FALSE)), "División no coincide con Categoría", ""))), IF(OR(L1650="", L1650=""), "[Aviso] Género no capturado ()", IF(ISNA(MATCH(L1650, Criterios!$B$123:$B$127, 0)), "Género no válido", "")), IF(OR(N1650="", N1650=""), "[Aviso] Temporada no capturada ()", IF(ISNA(MATCH(N1650, Criterios!$C$123:$C$128, 0)), "Temporada no válida", "")), IF(OR(O1650="", O1650=""), "[Aviso] Ciclo de vida no capturado ()", IF(ISNA(MATCH(O1650, Criterios!$D$123:$D$124, 0)), "Ciclo de vida no válido", ""))))</f>
        <v/>
      </c>
      <c r="AC1650" s="56" t="n"/>
      <c r="AD1650" s="51" t="n">
        <v>0</v>
      </c>
      <c r="AE1650" s="156" t="inlineStr">
        <is>
          <t>B25 STETSON.MX (1)</t>
        </is>
      </c>
      <c r="AF1650" s="51" t="n">
        <v>1</v>
      </c>
      <c r="AG1650" s="156" t="inlineStr">
        <is>
          <t>Catálogo existente</t>
        </is>
      </c>
      <c r="AH1650" s="156" t="inlineStr">
        <is>
          <t>Revisión 29/09/2026: Cruce de catálogo y criterios sin pendientes detectados | 01/10/2026: complementado desde Shopify Stetson México (match por código de barras): WB Fit, WB Silueta</t>
        </is>
      </c>
      <c r="AI1650" s="156" t="inlineStr">
        <is>
          <t>Sí</t>
        </is>
      </c>
      <c r="AJ1650" s="156" t="inlineStr">
        <is>
          <t>PUNTO DE VENTA (-1)</t>
        </is>
      </c>
      <c r="AK1650" s="155" t="inlineStr">
        <is>
          <t>Criterios: I [Q] | Shopify Stetson: producto 14895831777643 / variante 53350594773355</t>
        </is>
      </c>
      <c r="AL1650" s="58" t="n">
        <v>1181.25</v>
      </c>
      <c r="AM1650" s="58" t="n">
        <v>2844.827586</v>
      </c>
      <c r="AN1650" s="155" t="inlineStr">
        <is>
          <t>Shopify Stetson México</t>
        </is>
      </c>
      <c r="AO1650" s="59" t="n">
        <v>2</v>
      </c>
      <c r="AP1650" s="59" t="n"/>
      <c r="AQ1650" s="59" t="n"/>
      <c r="AR1650" s="155" t="inlineStr">
        <is>
          <t>Shopify Stetson México › Stetson México: 1 | Shopify Stetson México › Stetson Americas: 1</t>
        </is>
      </c>
    </row>
    <row r="1651">
      <c r="A1651" s="50" t="inlineStr">
        <is>
          <t>883383203554</t>
        </is>
      </c>
      <c r="B1651" s="51" t="inlineStr">
        <is>
          <t>110418</t>
        </is>
      </c>
      <c r="C1651" s="156" t="inlineStr">
        <is>
          <t>Multimarca</t>
        </is>
      </c>
      <c r="D1651" s="156" t="inlineStr">
        <is>
          <t>SWBRNM-724207</t>
        </is>
      </c>
      <c r="E1651" s="156" t="inlineStr">
        <is>
          <t>SWBRNM-72420771</t>
        </is>
      </c>
      <c r="F1651" s="156" t="inlineStr">
        <is>
          <t>7 1/8</t>
        </is>
      </c>
      <c r="G1651" s="156" t="inlineStr">
        <is>
          <t>7 1/8</t>
        </is>
      </c>
      <c r="H1651" s="156" t="inlineStr">
        <is>
          <t>Stetson</t>
        </is>
      </c>
      <c r="I1651" s="156" t="inlineStr">
        <is>
          <t>Texana Stetson Brenham Negro</t>
        </is>
      </c>
      <c r="J1651" s="156" t="inlineStr">
        <is>
          <t>Accesorios</t>
        </is>
      </c>
      <c r="K1651" s="156" t="inlineStr">
        <is>
          <t>Sombreros</t>
        </is>
      </c>
      <c r="L1651" s="156" t="inlineStr">
        <is>
          <t>Unisex</t>
        </is>
      </c>
      <c r="M1651" s="156" t="inlineStr">
        <is>
          <t>Stetson</t>
        </is>
      </c>
      <c r="N1651" s="156" t="inlineStr">
        <is>
          <t>SS26</t>
        </is>
      </c>
      <c r="O1651" s="156" t="inlineStr">
        <is>
          <t>Seasonal</t>
        </is>
      </c>
      <c r="P1651" s="156" t="inlineStr">
        <is>
          <t>Negro</t>
        </is>
      </c>
      <c r="Q1651" s="156" t="n"/>
      <c r="R1651" s="156" t="inlineStr">
        <is>
          <t>Copa Rancher</t>
        </is>
      </c>
      <c r="S1651" s="156" t="inlineStr">
        <is>
          <t>100% Fieltro de lana</t>
        </is>
      </c>
      <c r="T1651"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1" s="156" t="inlineStr">
        <is>
          <t>Estados Unidos</t>
        </is>
      </c>
      <c r="V1651" s="156" t="inlineStr">
        <is>
          <t>PZS</t>
        </is>
      </c>
      <c r="W1651" s="51" t="inlineStr">
        <is>
          <t>53102503</t>
        </is>
      </c>
      <c r="X1651" s="156" t="inlineStr">
        <is>
          <t>https://cdn.shopify.com/s/files/1/0888/3250/8267/files/SWBRNM-7242-07-05.jpg?v=1780958589</t>
        </is>
      </c>
      <c r="Y1651" s="54" t="n">
        <v>1181.25</v>
      </c>
      <c r="Z1651" s="54" t="n">
        <v>2844.827586</v>
      </c>
      <c r="AA1651" s="55">
        <f>IF(AND(A1651="", B1651="", E1651=""), "", IF(AB1651="", "Válido", IF((LEN(AB1651)-LEN(SUBSTITUTE(AB1651,"; ","")))/2+1&gt;(LEN(AB1651)-LEN(SUBSTITUTE(AB1651,"[Aviso]","")))/7, "Con Incidencias", "Válido")))</f>
        <v/>
      </c>
      <c r="AB1651" s="56">
        <f>IF(AND(A1651="", B1651="", E1651=""), "", TEXTJOIN("; ", TRUE, IF(OR(TRIM(A1651&amp;"")="", ISNUMBER(SEARCH("FALTA", A1651))), "UPC faltante/inválido", ""), IF(AND(A1651&lt;&gt;"", IFERROR(_xlfn.XMATCH(A1651,$A$2:$A$2509,0,1)&lt;&gt;_xlfn.XMATCH(A1651,$A$2:$A$2509,0,-1),FALSE)), "Código de barras duplicado", ""), IF(AND(E1651&lt;&gt;"", COUNTIF($E$2:$E$2509, E1651)&gt;1), "SKU duplicado", ""), IF(OR(J1651="", J1651=""), "[Aviso] División no capturada ()", IF(ISNA(MATCH(J1651, Criterios!$A$123:$A$126, 0)), "División no válida", "")), IF(OR(K1651="", K1651=""), "[Aviso] Categoría no capturada ()", IF(ISNA(MATCH(K1651, Criterios!$A$81:$A$120, 0)), "Categoría no válida", IF(AND(J1651&lt;&gt;"", J1651&lt;&gt;"", J1651&lt;&gt;VLOOKUP(K1651, Criterios!$A$81:$B$120, 2, FALSE)), "División no coincide con Categoría", ""))), IF(OR(L1651="", L1651=""), "[Aviso] Género no capturado ()", IF(ISNA(MATCH(L1651, Criterios!$B$123:$B$127, 0)), "Género no válido", "")), IF(OR(N1651="", N1651=""), "[Aviso] Temporada no capturada ()", IF(ISNA(MATCH(N1651, Criterios!$C$123:$C$128, 0)), "Temporada no válida", "")), IF(OR(O1651="", O1651=""), "[Aviso] Ciclo de vida no capturado ()", IF(ISNA(MATCH(O1651, Criterios!$D$123:$D$124, 0)), "Ciclo de vida no válido", ""))))</f>
        <v/>
      </c>
      <c r="AC1651" s="56" t="n"/>
      <c r="AD1651" s="51" t="n">
        <v>-2</v>
      </c>
      <c r="AE1651" s="156" t="n"/>
      <c r="AF1651" s="51" t="n">
        <v>0</v>
      </c>
      <c r="AG1651" s="156" t="inlineStr">
        <is>
          <t>Catálogo existente</t>
        </is>
      </c>
      <c r="AH1651" s="156" t="inlineStr">
        <is>
          <t>Stock negativo en sistema: revisar en conteo | Revisión 29/09/2026: Cruce de catálogo y criterios sin pendientes detectados | 01/10/2026: complementado desde Shopify Stetson México (match por código de barras): WB Fit, WB Silueta</t>
        </is>
      </c>
      <c r="AI1651" s="156" t="inlineStr">
        <is>
          <t>Sí</t>
        </is>
      </c>
      <c r="AJ1651" s="156" t="inlineStr">
        <is>
          <t>STETSON AMERICAS (-2)</t>
        </is>
      </c>
      <c r="AK1651" s="155" t="inlineStr">
        <is>
          <t>Criterios: I [Q] | Shopify Stetson: producto 14895831777643 / variante 53350594806123</t>
        </is>
      </c>
      <c r="AL1651" s="58" t="n">
        <v>1181.25</v>
      </c>
      <c r="AM1651" s="58" t="n">
        <v>2844.827586</v>
      </c>
      <c r="AN1651" s="155" t="inlineStr">
        <is>
          <t>Shopify Stetson México</t>
        </is>
      </c>
      <c r="AO1651" s="59" t="n">
        <v>1</v>
      </c>
      <c r="AP1651" s="59" t="n"/>
      <c r="AQ1651" s="59" t="n"/>
      <c r="AR1651" s="155" t="inlineStr">
        <is>
          <t>Shopify Stetson México › Stetson Americas: 1</t>
        </is>
      </c>
    </row>
    <row r="1652">
      <c r="A1652" s="50" t="inlineStr">
        <is>
          <t>883383203561</t>
        </is>
      </c>
      <c r="B1652" s="51" t="inlineStr">
        <is>
          <t>110419</t>
        </is>
      </c>
      <c r="C1652" s="156" t="inlineStr">
        <is>
          <t>Multimarca</t>
        </is>
      </c>
      <c r="D1652" s="156" t="inlineStr">
        <is>
          <t>SWBRNM-724207</t>
        </is>
      </c>
      <c r="E1652" s="156" t="inlineStr">
        <is>
          <t>SWBRNM-72420772</t>
        </is>
      </c>
      <c r="F1652" s="156" t="inlineStr">
        <is>
          <t>7 1/4</t>
        </is>
      </c>
      <c r="G1652" s="156" t="inlineStr">
        <is>
          <t>7 1/4</t>
        </is>
      </c>
      <c r="H1652" s="156" t="inlineStr">
        <is>
          <t>Stetson</t>
        </is>
      </c>
      <c r="I1652" s="156" t="inlineStr">
        <is>
          <t>Texana Stetson Brenham Negro</t>
        </is>
      </c>
      <c r="J1652" s="156" t="inlineStr">
        <is>
          <t>Accesorios</t>
        </is>
      </c>
      <c r="K1652" s="156" t="inlineStr">
        <is>
          <t>Sombreros</t>
        </is>
      </c>
      <c r="L1652" s="156" t="inlineStr">
        <is>
          <t>Unisex</t>
        </is>
      </c>
      <c r="M1652" s="156" t="inlineStr">
        <is>
          <t>Stetson</t>
        </is>
      </c>
      <c r="N1652" s="156" t="inlineStr">
        <is>
          <t>SS26</t>
        </is>
      </c>
      <c r="O1652" s="156" t="inlineStr">
        <is>
          <t>Seasonal</t>
        </is>
      </c>
      <c r="P1652" s="156" t="inlineStr">
        <is>
          <t>Negro</t>
        </is>
      </c>
      <c r="Q1652" s="156" t="n"/>
      <c r="R1652" s="156" t="inlineStr">
        <is>
          <t>Copa Rancher</t>
        </is>
      </c>
      <c r="S1652" s="156" t="inlineStr">
        <is>
          <t>100% Fieltro de lana</t>
        </is>
      </c>
      <c r="T1652"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2" s="156" t="inlineStr">
        <is>
          <t>Estados Unidos</t>
        </is>
      </c>
      <c r="V1652" s="156" t="inlineStr">
        <is>
          <t>PZS</t>
        </is>
      </c>
      <c r="W1652" s="51" t="inlineStr">
        <is>
          <t>53102503</t>
        </is>
      </c>
      <c r="X1652" s="156" t="inlineStr">
        <is>
          <t>https://cdn.shopify.com/s/files/1/0888/3250/8267/files/SWBRNM-7242-07-06.jpg?v=1780958595</t>
        </is>
      </c>
      <c r="Y1652" s="54" t="n">
        <v>1181.25</v>
      </c>
      <c r="Z1652" s="54" t="n">
        <v>2844.827586</v>
      </c>
      <c r="AA1652" s="55">
        <f>IF(AND(A1652="", B1652="", E1652=""), "", IF(AB1652="", "Válido", IF((LEN(AB1652)-LEN(SUBSTITUTE(AB1652,"; ","")))/2+1&gt;(LEN(AB1652)-LEN(SUBSTITUTE(AB1652,"[Aviso]","")))/7, "Con Incidencias", "Válido")))</f>
        <v/>
      </c>
      <c r="AB1652" s="56">
        <f>IF(AND(A1652="", B1652="", E1652=""), "", TEXTJOIN("; ", TRUE, IF(OR(TRIM(A1652&amp;"")="", ISNUMBER(SEARCH("FALTA", A1652))), "UPC faltante/inválido", ""), IF(AND(A1652&lt;&gt;"", IFERROR(_xlfn.XMATCH(A1652,$A$2:$A$2509,0,1)&lt;&gt;_xlfn.XMATCH(A1652,$A$2:$A$2509,0,-1),FALSE)), "Código de barras duplicado", ""), IF(AND(E1652&lt;&gt;"", COUNTIF($E$2:$E$2509, E1652)&gt;1), "SKU duplicado", ""), IF(OR(J1652="", J1652=""), "[Aviso] División no capturada ()", IF(ISNA(MATCH(J1652, Criterios!$A$123:$A$126, 0)), "División no válida", "")), IF(OR(K1652="", K1652=""), "[Aviso] Categoría no capturada ()", IF(ISNA(MATCH(K1652, Criterios!$A$81:$A$120, 0)), "Categoría no válida", IF(AND(J1652&lt;&gt;"", J1652&lt;&gt;"", J1652&lt;&gt;VLOOKUP(K1652, Criterios!$A$81:$B$120, 2, FALSE)), "División no coincide con Categoría", ""))), IF(OR(L1652="", L1652=""), "[Aviso] Género no capturado ()", IF(ISNA(MATCH(L1652, Criterios!$B$123:$B$127, 0)), "Género no válido", "")), IF(OR(N1652="", N1652=""), "[Aviso] Temporada no capturada ()", IF(ISNA(MATCH(N1652, Criterios!$C$123:$C$128, 0)), "Temporada no válida", "")), IF(OR(O1652="", O1652=""), "[Aviso] Ciclo de vida no capturado ()", IF(ISNA(MATCH(O1652, Criterios!$D$123:$D$124, 0)), "Ciclo de vida no válido", ""))))</f>
        <v/>
      </c>
      <c r="AC1652" s="56" t="n"/>
      <c r="AD1652" s="51" t="n">
        <v>-3</v>
      </c>
      <c r="AE1652" s="156" t="n"/>
      <c r="AF1652" s="51" t="n">
        <v>0</v>
      </c>
      <c r="AG1652" s="156" t="inlineStr">
        <is>
          <t>Catálogo existente</t>
        </is>
      </c>
      <c r="AH1652" s="156" t="inlineStr">
        <is>
          <t>Stock negativo en sistema: revisar en conteo | Revisión 29/09/2026: Cruce de catálogo y criterios sin pendientes detectados | 01/10/2026: complementado desde Shopify Stetson México (match por código de barras): WB Fit, WB Silueta</t>
        </is>
      </c>
      <c r="AI1652" s="156" t="inlineStr">
        <is>
          <t>Sí</t>
        </is>
      </c>
      <c r="AJ1652" s="156" t="inlineStr">
        <is>
          <t>STETSON AMERICAS (-3)</t>
        </is>
      </c>
      <c r="AK1652" s="155" t="inlineStr">
        <is>
          <t>Criterios: I [Q] | Shopify Stetson: producto 14895831777643 / variante 53350594838891</t>
        </is>
      </c>
      <c r="AL1652" s="58" t="n">
        <v>1181.25</v>
      </c>
      <c r="AM1652" s="58" t="n">
        <v>2844.827586</v>
      </c>
      <c r="AN1652" s="155" t="inlineStr">
        <is>
          <t>Shopify Stetson México</t>
        </is>
      </c>
      <c r="AO1652" s="59" t="n">
        <v>0</v>
      </c>
      <c r="AP1652" s="59" t="n"/>
      <c r="AQ1652" s="59" t="n"/>
      <c r="AR1652" s="155" t="n"/>
    </row>
    <row r="1653">
      <c r="A1653" s="50" t="inlineStr">
        <is>
          <t>883383203578</t>
        </is>
      </c>
      <c r="B1653" s="51" t="inlineStr">
        <is>
          <t>110420</t>
        </is>
      </c>
      <c r="C1653" s="156" t="inlineStr">
        <is>
          <t>Multimarca</t>
        </is>
      </c>
      <c r="D1653" s="156" t="inlineStr">
        <is>
          <t>SWBRNM-724207</t>
        </is>
      </c>
      <c r="E1653" s="156" t="inlineStr">
        <is>
          <t>SWBRNM-72420773</t>
        </is>
      </c>
      <c r="F1653" s="156" t="inlineStr">
        <is>
          <t>7 3/8</t>
        </is>
      </c>
      <c r="G1653" s="156" t="inlineStr">
        <is>
          <t>7 3/8</t>
        </is>
      </c>
      <c r="H1653" s="156" t="inlineStr">
        <is>
          <t>Stetson</t>
        </is>
      </c>
      <c r="I1653" s="156" t="inlineStr">
        <is>
          <t>Texana Stetson Brenham Negro</t>
        </is>
      </c>
      <c r="J1653" s="156" t="inlineStr">
        <is>
          <t>Accesorios</t>
        </is>
      </c>
      <c r="K1653" s="156" t="inlineStr">
        <is>
          <t>Sombreros</t>
        </is>
      </c>
      <c r="L1653" s="156" t="inlineStr">
        <is>
          <t>Unisex</t>
        </is>
      </c>
      <c r="M1653" s="156" t="inlineStr">
        <is>
          <t>Stetson</t>
        </is>
      </c>
      <c r="N1653" s="156" t="inlineStr">
        <is>
          <t>SS26</t>
        </is>
      </c>
      <c r="O1653" s="156" t="inlineStr">
        <is>
          <t>Seasonal</t>
        </is>
      </c>
      <c r="P1653" s="156" t="inlineStr">
        <is>
          <t>Negro</t>
        </is>
      </c>
      <c r="Q1653" s="156" t="n"/>
      <c r="R1653" s="156" t="inlineStr">
        <is>
          <t>Copa Rancher</t>
        </is>
      </c>
      <c r="S1653" s="156" t="inlineStr">
        <is>
          <t>100% Fieltro de lana</t>
        </is>
      </c>
      <c r="T1653"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3" s="156" t="inlineStr">
        <is>
          <t>Estados Unidos</t>
        </is>
      </c>
      <c r="V1653" s="156" t="inlineStr">
        <is>
          <t>PZS</t>
        </is>
      </c>
      <c r="W1653" s="51" t="inlineStr">
        <is>
          <t>53102503</t>
        </is>
      </c>
      <c r="X1653" s="156" t="inlineStr">
        <is>
          <t>https://cdn.shopify.com/s/files/1/0888/3250/8267/files/SWBRNM-7242-07-07.jpg?v=1780958603</t>
        </is>
      </c>
      <c r="Y1653" s="54" t="n">
        <v>1181.25</v>
      </c>
      <c r="Z1653" s="54" t="n">
        <v>2844.827586</v>
      </c>
      <c r="AA1653" s="55">
        <f>IF(AND(A1653="", B1653="", E1653=""), "", IF(AB1653="", "Válido", IF((LEN(AB1653)-LEN(SUBSTITUTE(AB1653,"; ","")))/2+1&gt;(LEN(AB1653)-LEN(SUBSTITUTE(AB1653,"[Aviso]","")))/7, "Con Incidencias", "Válido")))</f>
        <v/>
      </c>
      <c r="AB1653" s="56">
        <f>IF(AND(A1653="", B1653="", E1653=""), "", TEXTJOIN("; ", TRUE, IF(OR(TRIM(A1653&amp;"")="", ISNUMBER(SEARCH("FALTA", A1653))), "UPC faltante/inválido", ""), IF(AND(A1653&lt;&gt;"", IFERROR(_xlfn.XMATCH(A1653,$A$2:$A$2509,0,1)&lt;&gt;_xlfn.XMATCH(A1653,$A$2:$A$2509,0,-1),FALSE)), "Código de barras duplicado", ""), IF(AND(E1653&lt;&gt;"", COUNTIF($E$2:$E$2509, E1653)&gt;1), "SKU duplicado", ""), IF(OR(J1653="", J1653=""), "[Aviso] División no capturada ()", IF(ISNA(MATCH(J1653, Criterios!$A$123:$A$126, 0)), "División no válida", "")), IF(OR(K1653="", K1653=""), "[Aviso] Categoría no capturada ()", IF(ISNA(MATCH(K1653, Criterios!$A$81:$A$120, 0)), "Categoría no válida", IF(AND(J1653&lt;&gt;"", J1653&lt;&gt;"", J1653&lt;&gt;VLOOKUP(K1653, Criterios!$A$81:$B$120, 2, FALSE)), "División no coincide con Categoría", ""))), IF(OR(L1653="", L1653=""), "[Aviso] Género no capturado ()", IF(ISNA(MATCH(L1653, Criterios!$B$123:$B$127, 0)), "Género no válido", "")), IF(OR(N1653="", N1653=""), "[Aviso] Temporada no capturada ()", IF(ISNA(MATCH(N1653, Criterios!$C$123:$C$128, 0)), "Temporada no válida", "")), IF(OR(O1653="", O1653=""), "[Aviso] Ciclo de vida no capturado ()", IF(ISNA(MATCH(O1653, Criterios!$D$123:$D$124, 0)), "Ciclo de vida no válido", ""))))</f>
        <v/>
      </c>
      <c r="AC1653" s="56" t="n"/>
      <c r="AD1653" s="51" t="n">
        <v>3</v>
      </c>
      <c r="AE1653" s="156" t="inlineStr">
        <is>
          <t>B25 STETSON.MX (6)</t>
        </is>
      </c>
      <c r="AF1653" s="51" t="n">
        <v>6</v>
      </c>
      <c r="AG1653" s="156" t="inlineStr">
        <is>
          <t>Catálogo existente</t>
        </is>
      </c>
      <c r="AH1653" s="156" t="inlineStr">
        <is>
          <t>Revisión 29/09/2026: Cruce de catálogo y criterios sin pendientes detectados | 01/10/2026: complementado desde Shopify Stetson México (match por código de barras): WB Fit, WB Silueta</t>
        </is>
      </c>
      <c r="AI1653" s="156" t="inlineStr">
        <is>
          <t>Sí</t>
        </is>
      </c>
      <c r="AJ1653" s="156" t="inlineStr">
        <is>
          <t>STETSON AMERICAS (-3)</t>
        </is>
      </c>
      <c r="AK1653" s="155" t="inlineStr">
        <is>
          <t>Criterios: I [Q] | Shopify Stetson: producto 14895831777643 / variante 53350594871659</t>
        </is>
      </c>
      <c r="AL1653" s="58" t="n">
        <v>1181.25</v>
      </c>
      <c r="AM1653" s="58" t="n">
        <v>2844.827586</v>
      </c>
      <c r="AN1653" s="155" t="inlineStr">
        <is>
          <t>Shopify Stetson México</t>
        </is>
      </c>
      <c r="AO1653" s="59" t="n">
        <v>6</v>
      </c>
      <c r="AP1653" s="59" t="n"/>
      <c r="AQ1653" s="59" t="n"/>
      <c r="AR1653" s="155" t="inlineStr">
        <is>
          <t>Shopify Stetson México › Stetson México: 6</t>
        </is>
      </c>
    </row>
    <row r="1654">
      <c r="A1654" s="50" t="inlineStr">
        <is>
          <t>883383203585</t>
        </is>
      </c>
      <c r="B1654" s="51" t="inlineStr">
        <is>
          <t>110421</t>
        </is>
      </c>
      <c r="C1654" s="156" t="inlineStr">
        <is>
          <t>Multimarca</t>
        </is>
      </c>
      <c r="D1654" s="156" t="inlineStr">
        <is>
          <t>SWBRNM-724207</t>
        </is>
      </c>
      <c r="E1654" s="156" t="inlineStr">
        <is>
          <t>SWBRNM-72420774</t>
        </is>
      </c>
      <c r="F1654" s="156" t="inlineStr">
        <is>
          <t>7 1/2</t>
        </is>
      </c>
      <c r="G1654" s="156" t="inlineStr">
        <is>
          <t>7 1/2</t>
        </is>
      </c>
      <c r="H1654" s="156" t="inlineStr">
        <is>
          <t>Stetson</t>
        </is>
      </c>
      <c r="I1654" s="156" t="inlineStr">
        <is>
          <t>Texana Stetson Brenham Negro</t>
        </is>
      </c>
      <c r="J1654" s="156" t="inlineStr">
        <is>
          <t>Accesorios</t>
        </is>
      </c>
      <c r="K1654" s="156" t="inlineStr">
        <is>
          <t>Sombreros</t>
        </is>
      </c>
      <c r="L1654" s="156" t="inlineStr">
        <is>
          <t>Unisex</t>
        </is>
      </c>
      <c r="M1654" s="156" t="inlineStr">
        <is>
          <t>Stetson</t>
        </is>
      </c>
      <c r="N1654" s="156" t="inlineStr">
        <is>
          <t>SS26</t>
        </is>
      </c>
      <c r="O1654" s="156" t="inlineStr">
        <is>
          <t>Seasonal</t>
        </is>
      </c>
      <c r="P1654" s="156" t="inlineStr">
        <is>
          <t>Negro</t>
        </is>
      </c>
      <c r="Q1654" s="156" t="n"/>
      <c r="R1654" s="156" t="inlineStr">
        <is>
          <t>Copa Rancher</t>
        </is>
      </c>
      <c r="S1654" s="156" t="inlineStr">
        <is>
          <t>100% Fieltro de lana</t>
        </is>
      </c>
      <c r="T1654"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4" s="156" t="inlineStr">
        <is>
          <t>Estados Unidos</t>
        </is>
      </c>
      <c r="V1654" s="156" t="inlineStr">
        <is>
          <t>PZS</t>
        </is>
      </c>
      <c r="W1654" s="51" t="inlineStr">
        <is>
          <t>53102503</t>
        </is>
      </c>
      <c r="X1654" s="156" t="inlineStr">
        <is>
          <t>https://cdn.shopify.com/s/files/1/0888/3250/8267/files/swbrnm-7242_black_6.jpg?v=1770747974</t>
        </is>
      </c>
      <c r="Y1654" s="54" t="n">
        <v>1181.25</v>
      </c>
      <c r="Z1654" s="54" t="n">
        <v>2844.827586</v>
      </c>
      <c r="AA1654" s="55">
        <f>IF(AND(A1654="", B1654="", E1654=""), "", IF(AB1654="", "Válido", IF((LEN(AB1654)-LEN(SUBSTITUTE(AB1654,"; ","")))/2+1&gt;(LEN(AB1654)-LEN(SUBSTITUTE(AB1654,"[Aviso]","")))/7, "Con Incidencias", "Válido")))</f>
        <v/>
      </c>
      <c r="AB1654" s="56">
        <f>IF(AND(A1654="", B1654="", E1654=""), "", TEXTJOIN("; ", TRUE, IF(OR(TRIM(A1654&amp;"")="", ISNUMBER(SEARCH("FALTA", A1654))), "UPC faltante/inválido", ""), IF(AND(A1654&lt;&gt;"", IFERROR(_xlfn.XMATCH(A1654,$A$2:$A$2509,0,1)&lt;&gt;_xlfn.XMATCH(A1654,$A$2:$A$2509,0,-1),FALSE)), "Código de barras duplicado", ""), IF(AND(E1654&lt;&gt;"", COUNTIF($E$2:$E$2509, E1654)&gt;1), "SKU duplicado", ""), IF(OR(J1654="", J1654=""), "[Aviso] División no capturada ()", IF(ISNA(MATCH(J1654, Criterios!$A$123:$A$126, 0)), "División no válida", "")), IF(OR(K1654="", K1654=""), "[Aviso] Categoría no capturada ()", IF(ISNA(MATCH(K1654, Criterios!$A$81:$A$120, 0)), "Categoría no válida", IF(AND(J1654&lt;&gt;"", J1654&lt;&gt;"", J1654&lt;&gt;VLOOKUP(K1654, Criterios!$A$81:$B$120, 2, FALSE)), "División no coincide con Categoría", ""))), IF(OR(L1654="", L1654=""), "[Aviso] Género no capturado ()", IF(ISNA(MATCH(L1654, Criterios!$B$123:$B$127, 0)), "Género no válido", "")), IF(OR(N1654="", N1654=""), "[Aviso] Temporada no capturada ()", IF(ISNA(MATCH(N1654, Criterios!$C$123:$C$128, 0)), "Temporada no válida", "")), IF(OR(O1654="", O1654=""), "[Aviso] Ciclo de vida no capturado ()", IF(ISNA(MATCH(O1654, Criterios!$D$123:$D$124, 0)), "Ciclo de vida no válido", ""))))</f>
        <v/>
      </c>
      <c r="AC1654" s="56" t="n"/>
      <c r="AD1654" s="51" t="n">
        <v>-1</v>
      </c>
      <c r="AE1654" s="156" t="n"/>
      <c r="AF1654" s="51" t="n">
        <v>0</v>
      </c>
      <c r="AG1654" s="156" t="inlineStr">
        <is>
          <t>Catálogo existente</t>
        </is>
      </c>
      <c r="AH1654" s="156" t="inlineStr">
        <is>
          <t>Stock negativo en sistema: revisar en conteo | Revisión 29/09/2026: Cruce de catálogo y criterios sin pendientes detectados | 01/10/2026: complementado desde Shopify Stetson México (match por código de barras): WB Fit, WB Silueta</t>
        </is>
      </c>
      <c r="AI1654" s="156" t="inlineStr">
        <is>
          <t>Sí</t>
        </is>
      </c>
      <c r="AJ1654" s="156" t="inlineStr">
        <is>
          <t>STETSON AMERICAS (-1)</t>
        </is>
      </c>
      <c r="AK1654" s="155" t="inlineStr">
        <is>
          <t>Criterios: I [Q] | Shopify Stetson: producto 14895831777643 / variante 53350594904427</t>
        </is>
      </c>
      <c r="AL1654" s="58" t="n">
        <v>1181.25</v>
      </c>
      <c r="AM1654" s="58" t="n">
        <v>2844.827586</v>
      </c>
      <c r="AN1654" s="155" t="inlineStr">
        <is>
          <t>Shopify Stetson México</t>
        </is>
      </c>
      <c r="AO1654" s="59" t="n">
        <v>0</v>
      </c>
      <c r="AP1654" s="59" t="n"/>
      <c r="AQ1654" s="59" t="n"/>
      <c r="AR1654" s="155" t="n"/>
    </row>
    <row r="1655">
      <c r="A1655" s="50" t="inlineStr">
        <is>
          <t>883383203592</t>
        </is>
      </c>
      <c r="B1655" s="51" t="inlineStr">
        <is>
          <t>110422</t>
        </is>
      </c>
      <c r="C1655" s="156" t="inlineStr">
        <is>
          <t>Multimarca</t>
        </is>
      </c>
      <c r="D1655" s="156" t="inlineStr">
        <is>
          <t>SWBRNM-724207</t>
        </is>
      </c>
      <c r="E1655" s="156" t="inlineStr">
        <is>
          <t>SWBRNM-72420775</t>
        </is>
      </c>
      <c r="F1655" s="156" t="inlineStr">
        <is>
          <t>7 5/8</t>
        </is>
      </c>
      <c r="G1655" s="156" t="inlineStr">
        <is>
          <t>7 5/8</t>
        </is>
      </c>
      <c r="H1655" s="156" t="inlineStr">
        <is>
          <t>Stetson</t>
        </is>
      </c>
      <c r="I1655" s="156" t="inlineStr">
        <is>
          <t>Texana Stetson Brenham Negro</t>
        </is>
      </c>
      <c r="J1655" s="156" t="inlineStr">
        <is>
          <t>Accesorios</t>
        </is>
      </c>
      <c r="K1655" s="156" t="inlineStr">
        <is>
          <t>Sombreros</t>
        </is>
      </c>
      <c r="L1655" s="156" t="inlineStr">
        <is>
          <t>Unisex</t>
        </is>
      </c>
      <c r="M1655" s="156" t="inlineStr">
        <is>
          <t>Stetson</t>
        </is>
      </c>
      <c r="N1655" s="156" t="inlineStr">
        <is>
          <t>SS26</t>
        </is>
      </c>
      <c r="O1655" s="156" t="inlineStr">
        <is>
          <t>Seasonal</t>
        </is>
      </c>
      <c r="P1655" s="156" t="inlineStr">
        <is>
          <t>Negro</t>
        </is>
      </c>
      <c r="Q1655" s="156" t="n"/>
      <c r="R1655" s="156" t="inlineStr">
        <is>
          <t>Copa Rancher</t>
        </is>
      </c>
      <c r="S1655" s="156" t="inlineStr">
        <is>
          <t>100% Fieltro de lana</t>
        </is>
      </c>
      <c r="T1655"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5" s="156" t="inlineStr">
        <is>
          <t>Estados Unidos</t>
        </is>
      </c>
      <c r="V1655" s="156" t="inlineStr">
        <is>
          <t>PZS</t>
        </is>
      </c>
      <c r="W1655" s="51" t="inlineStr">
        <is>
          <t>53102503</t>
        </is>
      </c>
      <c r="X1655" s="156" t="inlineStr">
        <is>
          <t>https://cdn.shopify.com/s/files/1/0888/3250/8267/files/SWBRNM-7242-07-03.jpg?v=1780958561</t>
        </is>
      </c>
      <c r="Y1655" s="54" t="n">
        <v>1181.25</v>
      </c>
      <c r="Z1655" s="54" t="n">
        <v>2844.827586</v>
      </c>
      <c r="AA1655" s="55">
        <f>IF(AND(A1655="", B1655="", E1655=""), "", IF(AB1655="", "Válido", IF((LEN(AB1655)-LEN(SUBSTITUTE(AB1655,"; ","")))/2+1&gt;(LEN(AB1655)-LEN(SUBSTITUTE(AB1655,"[Aviso]","")))/7, "Con Incidencias", "Válido")))</f>
        <v/>
      </c>
      <c r="AB1655" s="56">
        <f>IF(AND(A1655="", B1655="", E1655=""), "", TEXTJOIN("; ", TRUE, IF(OR(TRIM(A1655&amp;"")="", ISNUMBER(SEARCH("FALTA", A1655))), "UPC faltante/inválido", ""), IF(AND(A1655&lt;&gt;"", IFERROR(_xlfn.XMATCH(A1655,$A$2:$A$2509,0,1)&lt;&gt;_xlfn.XMATCH(A1655,$A$2:$A$2509,0,-1),FALSE)), "Código de barras duplicado", ""), IF(AND(E1655&lt;&gt;"", COUNTIF($E$2:$E$2509, E1655)&gt;1), "SKU duplicado", ""), IF(OR(J1655="", J1655=""), "[Aviso] División no capturada ()", IF(ISNA(MATCH(J1655, Criterios!$A$123:$A$126, 0)), "División no válida", "")), IF(OR(K1655="", K1655=""), "[Aviso] Categoría no capturada ()", IF(ISNA(MATCH(K1655, Criterios!$A$81:$A$120, 0)), "Categoría no válida", IF(AND(J1655&lt;&gt;"", J1655&lt;&gt;"", J1655&lt;&gt;VLOOKUP(K1655, Criterios!$A$81:$B$120, 2, FALSE)), "División no coincide con Categoría", ""))), IF(OR(L1655="", L1655=""), "[Aviso] Género no capturado ()", IF(ISNA(MATCH(L1655, Criterios!$B$123:$B$127, 0)), "Género no válido", "")), IF(OR(N1655="", N1655=""), "[Aviso] Temporada no capturada ()", IF(ISNA(MATCH(N1655, Criterios!$C$123:$C$128, 0)), "Temporada no válida", "")), IF(OR(O1655="", O1655=""), "[Aviso] Ciclo de vida no capturado ()", IF(ISNA(MATCH(O1655, Criterios!$D$123:$D$124, 0)), "Ciclo de vida no válido", ""))))</f>
        <v/>
      </c>
      <c r="AC1655" s="56" t="n"/>
      <c r="AD1655" s="51" t="n">
        <v>-1</v>
      </c>
      <c r="AE1655" s="156" t="n"/>
      <c r="AF1655" s="51" t="n">
        <v>0</v>
      </c>
      <c r="AG1655" s="156" t="inlineStr">
        <is>
          <t>Catálogo existente</t>
        </is>
      </c>
      <c r="AH1655" s="156" t="inlineStr">
        <is>
          <t>Stock negativo en sistema: revisar en conteo | Revisión 29/09/2026: Cruce de catálogo y criterios sin pendientes detectados | 01/10/2026: complementado desde Shopify Stetson México (match por código de barras): WB Fit, WB Silueta</t>
        </is>
      </c>
      <c r="AI1655" s="156" t="inlineStr">
        <is>
          <t>Sí</t>
        </is>
      </c>
      <c r="AJ1655" s="156" t="inlineStr">
        <is>
          <t>PUNTO DE VENTA (-1)</t>
        </is>
      </c>
      <c r="AK1655" s="155" t="inlineStr">
        <is>
          <t>Criterios: I [Q] | Shopify Stetson: producto 14895831777643 / variante 53350594937195</t>
        </is>
      </c>
      <c r="AL1655" s="58" t="n">
        <v>1181.25</v>
      </c>
      <c r="AM1655" s="58" t="n">
        <v>2844.827586</v>
      </c>
      <c r="AN1655" s="155" t="inlineStr">
        <is>
          <t>Shopify Stetson México</t>
        </is>
      </c>
      <c r="AO1655" s="59" t="n">
        <v>0</v>
      </c>
      <c r="AP1655" s="59" t="n"/>
      <c r="AQ1655" s="59" t="n"/>
      <c r="AR1655" s="155" t="n"/>
    </row>
    <row r="1656">
      <c r="A1656" s="50" t="inlineStr">
        <is>
          <t>883383209037</t>
        </is>
      </c>
      <c r="B1656" s="51" t="inlineStr">
        <is>
          <t>117419</t>
        </is>
      </c>
      <c r="C1656" s="156" t="inlineStr">
        <is>
          <t>Multimarca</t>
        </is>
      </c>
      <c r="D1656" s="156" t="inlineStr">
        <is>
          <t>1360002</t>
        </is>
      </c>
      <c r="E1656" s="156" t="inlineStr">
        <is>
          <t>1360002</t>
        </is>
      </c>
      <c r="F1656" s="156" t="inlineStr">
        <is>
          <t>Talla única</t>
        </is>
      </c>
      <c r="G1656" s="156" t="inlineStr">
        <is>
          <t>One Size</t>
        </is>
      </c>
      <c r="H1656" s="156" t="inlineStr">
        <is>
          <t>Stetson</t>
        </is>
      </c>
      <c r="I1656" s="156" t="inlineStr">
        <is>
          <t>Esponja natural para limpieza de sombreros</t>
        </is>
      </c>
      <c r="J1656" s="156" t="inlineStr">
        <is>
          <t>Accesorios</t>
        </is>
      </c>
      <c r="K1656" s="156" t="inlineStr">
        <is>
          <t>Cuidado de Sombreros</t>
        </is>
      </c>
      <c r="L1656" s="156" t="inlineStr">
        <is>
          <t>Unisex</t>
        </is>
      </c>
      <c r="M1656" s="156" t="inlineStr">
        <is>
          <t>Stetson</t>
        </is>
      </c>
      <c r="N1656" s="156" t="inlineStr">
        <is>
          <t>FW26</t>
        </is>
      </c>
      <c r="O1656" s="156" t="inlineStr">
        <is>
          <t>Core</t>
        </is>
      </c>
      <c r="P1656" s="156" t="inlineStr">
        <is>
          <t>Naranja</t>
        </is>
      </c>
      <c r="Q1656" s="156" t="n"/>
      <c r="R1656" s="156" t="n"/>
      <c r="S1656" s="156" t="inlineStr">
        <is>
          <t>Esponja natural 100%</t>
        </is>
      </c>
      <c r="T1656" s="156" t="inlineStr">
        <is>
          <t>Esponja 100% natural para el cuidado y limpieza de tus sombreros. Su textura suave retira polvo y marcas superficiales del fieltro sin maltratar las fibras, ayudando a mantener tu texana como nueva.
 Características:
 • Esponja 100% natural.
 • Ideal para sombreros de fieltro de pelo y de lana.
 • Retira polvo, pelusa y marcas ligeras.
 • Úsala en seco, en el sentido de las fibras y en movimientos circulares suaves.
 • Tamaño único.
 Color: Naranja
 Material: Esponja natural 100%</t>
        </is>
      </c>
      <c r="U1656" s="156" t="inlineStr">
        <is>
          <t>Estados Unidos</t>
        </is>
      </c>
      <c r="V1656" s="156" t="inlineStr">
        <is>
          <t>PZS</t>
        </is>
      </c>
      <c r="W1656" s="51" t="inlineStr">
        <is>
          <t>01010101</t>
        </is>
      </c>
      <c r="X1656" s="156" t="n"/>
      <c r="Y1656" s="54" t="n">
        <v>39.375</v>
      </c>
      <c r="Z1656" s="54" t="n">
        <v>172.4137931</v>
      </c>
      <c r="AA1656" s="55">
        <f>IF(AND(A1656="", B1656="", E1656=""), "", IF(AB1656="", "Válido", IF((LEN(AB1656)-LEN(SUBSTITUTE(AB1656,"; ","")))/2+1&gt;(LEN(AB1656)-LEN(SUBSTITUTE(AB1656,"[Aviso]","")))/7, "Con Incidencias", "Válido")))</f>
        <v/>
      </c>
      <c r="AB1656" s="56">
        <f>IF(AND(A1656="", B1656="", E1656=""), "", TEXTJOIN("; ", TRUE, IF(OR(TRIM(A1656&amp;"")="", ISNUMBER(SEARCH("FALTA", A1656))), "UPC faltante/inválido", ""), IF(AND(A1656&lt;&gt;"", IFERROR(_xlfn.XMATCH(A1656,$A$2:$A$2509,0,1)&lt;&gt;_xlfn.XMATCH(A1656,$A$2:$A$2509,0,-1),FALSE)), "Código de barras duplicado", ""), IF(AND(E1656&lt;&gt;"", COUNTIF($E$2:$E$2509, E1656)&gt;1), "SKU duplicado", ""), IF(OR(J1656="", J1656=""), "[Aviso] División no capturada ()", IF(ISNA(MATCH(J1656, Criterios!$A$123:$A$126, 0)), "División no válida", "")), IF(OR(K1656="", K1656=""), "[Aviso] Categoría no capturada ()", IF(ISNA(MATCH(K1656, Criterios!$A$81:$A$120, 0)), "Categoría no válida", IF(AND(J1656&lt;&gt;"", J1656&lt;&gt;"", J1656&lt;&gt;VLOOKUP(K1656, Criterios!$A$81:$B$120, 2, FALSE)), "División no coincide con Categoría", ""))), IF(OR(L1656="", L1656=""), "[Aviso] Género no capturado ()", IF(ISNA(MATCH(L1656, Criterios!$B$123:$B$127, 0)), "Género no válido", "")), IF(OR(N1656="", N1656=""), "[Aviso] Temporada no capturada ()", IF(ISNA(MATCH(N1656, Criterios!$C$123:$C$128, 0)), "Temporada no válida", "")), IF(OR(O1656="", O1656=""), "[Aviso] Ciclo de vida no capturado ()", IF(ISNA(MATCH(O1656, Criterios!$D$123:$D$124, 0)), "Ciclo de vida no válido", ""))))</f>
        <v/>
      </c>
      <c r="AC1656" s="56" t="n"/>
      <c r="AD1656" s="51" t="n">
        <v>0</v>
      </c>
      <c r="AE1656" s="156" t="inlineStr">
        <is>
          <t>STETSON AMERICAS (6)</t>
        </is>
      </c>
      <c r="AF1656" s="51" t="n">
        <v>6</v>
      </c>
      <c r="AG1656" s="156" t="inlineStr">
        <is>
          <t>Catálogo existente</t>
        </is>
      </c>
      <c r="AH1656" s="156" t="inlineStr">
        <is>
          <t>Revisión 29/09/2026: Campos sin respaldo: X; Auditoría NetSuite 30/09/2026: llenado desde NetSuite [S] | 01/10/2026: complementado desde Shopify Stetson México (match por código de barras): WB Fit | 01/10/2026: Shopify Stetson México trae Categoría «Sombreros» — se conservó el valor de Productos | Homologación G1522 06/10/2026: SAT Clave de producto: «1010101» → «01010101» (Corrección aplicada)</t>
        </is>
      </c>
      <c r="AI1656" s="156" t="inlineStr">
        <is>
          <t>Sí</t>
        </is>
      </c>
      <c r="AJ1656" s="156" t="inlineStr">
        <is>
          <t>B25 CEDIS (-1); PUNTO DE VENTA (-5)</t>
        </is>
      </c>
      <c r="AK1656" s="155" t="inlineStr">
        <is>
          <t>Criterios: I [Q] | Criterios: J [R]; G1522_Extraccion_Articulos_NetSuite_2026-09-30.xlsx: fila 63876 [S] | Shopify Stetson: producto 15227651031403 / variante 53791840502123</t>
        </is>
      </c>
      <c r="AL1656" s="58" t="n">
        <v>39.375</v>
      </c>
      <c r="AM1656" s="58" t="n">
        <v>172.4137931</v>
      </c>
      <c r="AN1656" s="155" t="inlineStr">
        <is>
          <t>Shopify Stetson México</t>
        </is>
      </c>
      <c r="AO1656" s="59" t="n">
        <v>6</v>
      </c>
      <c r="AP1656" s="59" t="n"/>
      <c r="AQ1656" s="59" t="n"/>
      <c r="AR1656" s="155" t="inlineStr">
        <is>
          <t>Shopify Stetson México › Stetson Americas: 6</t>
        </is>
      </c>
    </row>
    <row r="1657">
      <c r="A1657" s="50" t="inlineStr">
        <is>
          <t>883383210071</t>
        </is>
      </c>
      <c r="B1657" s="51" t="inlineStr">
        <is>
          <t>117744</t>
        </is>
      </c>
      <c r="C1657" s="156" t="inlineStr">
        <is>
          <t>Multimarca</t>
        </is>
      </c>
      <c r="D1657" s="156" t="inlineStr">
        <is>
          <t>1360014R0O</t>
        </is>
      </c>
      <c r="E1657" s="156" t="inlineStr">
        <is>
          <t>1360014R0OMO</t>
        </is>
      </c>
      <c r="F1657" s="156" t="inlineStr">
        <is>
          <t>M</t>
        </is>
      </c>
      <c r="G1657" s="156" t="inlineStr">
        <is>
          <t>M</t>
        </is>
      </c>
      <c r="H1657" s="156" t="inlineStr">
        <is>
          <t>Stetson</t>
        </is>
      </c>
      <c r="I1657" s="156" t="inlineStr">
        <is>
          <t>Funda de lluvia para sombrero (plastico)</t>
        </is>
      </c>
      <c r="J1657" s="156" t="inlineStr">
        <is>
          <t>Accesorios</t>
        </is>
      </c>
      <c r="K1657" s="156" t="inlineStr">
        <is>
          <t>Cuidado de Sombreros</t>
        </is>
      </c>
      <c r="L1657" s="156" t="inlineStr">
        <is>
          <t>Unisex</t>
        </is>
      </c>
      <c r="M1657" s="156" t="inlineStr">
        <is>
          <t>Stetson</t>
        </is>
      </c>
      <c r="N1657" s="156" t="inlineStr">
        <is>
          <t>FW26</t>
        </is>
      </c>
      <c r="O1657" s="156" t="inlineStr">
        <is>
          <t>Core</t>
        </is>
      </c>
      <c r="P1657" s="156" t="inlineStr">
        <is>
          <t>Negro</t>
        </is>
      </c>
      <c r="Q1657" s="156" t="n"/>
      <c r="R1657" s="156" t="n"/>
      <c r="S1657" s="156" t="inlineStr">
        <is>
          <t>Plástico</t>
        </is>
      </c>
      <c r="T1657" s="156" t="inlineStr">
        <is>
          <t>Funda de lluvia para sombrero (plastico)</t>
        </is>
      </c>
      <c r="U1657" s="156" t="inlineStr">
        <is>
          <t>Estados Unidos</t>
        </is>
      </c>
      <c r="V1657" s="156" t="inlineStr">
        <is>
          <t>PZS</t>
        </is>
      </c>
      <c r="W1657" s="51" t="inlineStr">
        <is>
          <t>53102503</t>
        </is>
      </c>
      <c r="X1657" s="156" t="n"/>
      <c r="Y1657" s="54" t="n">
        <v>39.375</v>
      </c>
      <c r="Z1657" s="54" t="n">
        <v>172.4137931</v>
      </c>
      <c r="AA1657" s="55">
        <f>IF(AND(A1657="", B1657="", E1657=""), "", IF(AB1657="", "Válido", IF((LEN(AB1657)-LEN(SUBSTITUTE(AB1657,"; ","")))/2+1&gt;(LEN(AB1657)-LEN(SUBSTITUTE(AB1657,"[Aviso]","")))/7, "Con Incidencias", "Válido")))</f>
        <v/>
      </c>
      <c r="AB1657" s="56">
        <f>IF(AND(A1657="", B1657="", E1657=""), "", TEXTJOIN("; ", TRUE, IF(OR(TRIM(A1657&amp;"")="", ISNUMBER(SEARCH("FALTA", A1657))), "UPC faltante/inválido", ""), IF(AND(A1657&lt;&gt;"", IFERROR(_xlfn.XMATCH(A1657,$A$2:$A$2509,0,1)&lt;&gt;_xlfn.XMATCH(A1657,$A$2:$A$2509,0,-1),FALSE)), "Código de barras duplicado", ""), IF(AND(E1657&lt;&gt;"", COUNTIF($E$2:$E$2509, E1657)&gt;1), "SKU duplicado", ""), IF(OR(J1657="", J1657=""), "[Aviso] División no capturada ()", IF(ISNA(MATCH(J1657, Criterios!$A$123:$A$126, 0)), "División no válida", "")), IF(OR(K1657="", K1657=""), "[Aviso] Categoría no capturada ()", IF(ISNA(MATCH(K1657, Criterios!$A$81:$A$120, 0)), "Categoría no válida", IF(AND(J1657&lt;&gt;"", J1657&lt;&gt;"", J1657&lt;&gt;VLOOKUP(K1657, Criterios!$A$81:$B$120, 2, FALSE)), "División no coincide con Categoría", ""))), IF(OR(L1657="", L1657=""), "[Aviso] Género no capturado ()", IF(ISNA(MATCH(L1657, Criterios!$B$123:$B$127, 0)), "Género no válido", "")), IF(OR(N1657="", N1657=""), "[Aviso] Temporada no capturada ()", IF(ISNA(MATCH(N1657, Criterios!$C$123:$C$128, 0)), "Temporada no válida", "")), IF(OR(O1657="", O1657=""), "[Aviso] Ciclo de vida no capturado ()", IF(ISNA(MATCH(O1657, Criterios!$D$123:$D$124, 0)), "Ciclo de vida no válido", ""))))</f>
        <v/>
      </c>
      <c r="AC1657" s="56" t="n"/>
      <c r="AD1657" s="51" t="n">
        <v>0</v>
      </c>
      <c r="AE1657" s="156" t="n"/>
      <c r="AF1657" s="51" t="n">
        <v>0</v>
      </c>
      <c r="AG1657" s="156" t="inlineStr">
        <is>
          <t>Catálogo existente</t>
        </is>
      </c>
      <c r="AH1657" s="156" t="inlineStr">
        <is>
          <t>Revisión 29/09/2026: Campos sin respaldo: X; Auditoría NetSuite 30/09/2026: llenado desde NetSuite [U,S] | Homologación G1522 06/10/2026: WB País de origen: «US» → «Estados Unidos» (Corrección aplicada)</t>
        </is>
      </c>
      <c r="AI1657" s="156" t="inlineStr">
        <is>
          <t>No</t>
        </is>
      </c>
      <c r="AJ1657" s="156" t="n"/>
      <c r="AK1657" s="155" t="inlineStr">
        <is>
          <t>Criterios: I [Q] | Criterios: J [R] | Descripción del registro fuente [T]; G1522_Extraccion_Articulos_NetSuite_2026-09-30.xlsx: fila 63992 [U,S]</t>
        </is>
      </c>
      <c r="AL1657" s="58" t="n">
        <v>39.375</v>
      </c>
      <c r="AM1657" s="58" t="n">
        <v>172.4137931</v>
      </c>
      <c r="AN1657" s="155" t="n"/>
      <c r="AO1657" s="59" t="n"/>
      <c r="AP1657" s="59" t="n"/>
      <c r="AQ1657" s="59" t="n"/>
      <c r="AR1657" s="155" t="n"/>
    </row>
    <row r="1658">
      <c r="A1658" s="50" t="inlineStr">
        <is>
          <t>883383210088</t>
        </is>
      </c>
      <c r="B1658" s="51" t="inlineStr">
        <is>
          <t>117745</t>
        </is>
      </c>
      <c r="C1658" s="156" t="inlineStr">
        <is>
          <t>Multimarca</t>
        </is>
      </c>
      <c r="D1658" s="156" t="inlineStr">
        <is>
          <t>1360014R0O-1</t>
        </is>
      </c>
      <c r="E1658" s="156" t="inlineStr">
        <is>
          <t>1360014R0OLO</t>
        </is>
      </c>
      <c r="F1658" s="156" t="inlineStr">
        <is>
          <t>L</t>
        </is>
      </c>
      <c r="G1658" s="156" t="inlineStr">
        <is>
          <t>L</t>
        </is>
      </c>
      <c r="H1658" s="156" t="inlineStr">
        <is>
          <t>Stetson</t>
        </is>
      </c>
      <c r="I1658" s="156" t="inlineStr">
        <is>
          <t>Funda de lluvia para sombrero (plastico)</t>
        </is>
      </c>
      <c r="J1658" s="156" t="inlineStr">
        <is>
          <t>Accesorios</t>
        </is>
      </c>
      <c r="K1658" s="156" t="inlineStr">
        <is>
          <t>Cuidado de Sombreros</t>
        </is>
      </c>
      <c r="L1658" s="156" t="inlineStr">
        <is>
          <t>Unisex</t>
        </is>
      </c>
      <c r="M1658" s="156" t="inlineStr">
        <is>
          <t>Stetson</t>
        </is>
      </c>
      <c r="N1658" s="156" t="inlineStr">
        <is>
          <t>FW26</t>
        </is>
      </c>
      <c r="O1658" s="156" t="inlineStr">
        <is>
          <t>Core</t>
        </is>
      </c>
      <c r="P1658" s="156" t="inlineStr">
        <is>
          <t>Negro</t>
        </is>
      </c>
      <c r="Q1658" s="156" t="n"/>
      <c r="R1658" s="156" t="n"/>
      <c r="S1658" s="156" t="inlineStr">
        <is>
          <t>Plástico</t>
        </is>
      </c>
      <c r="T1658" s="156" t="inlineStr">
        <is>
          <t>Funda de lluvia para sombrero (plastico)</t>
        </is>
      </c>
      <c r="U1658" s="156" t="inlineStr">
        <is>
          <t>Estados Unidos</t>
        </is>
      </c>
      <c r="V1658" s="156" t="inlineStr">
        <is>
          <t>PZS</t>
        </is>
      </c>
      <c r="W1658" s="51" t="inlineStr">
        <is>
          <t>53102503</t>
        </is>
      </c>
      <c r="X1658" s="156" t="n"/>
      <c r="Y1658" s="54" t="n">
        <v>39.375</v>
      </c>
      <c r="Z1658" s="54" t="n">
        <v>172.4137931</v>
      </c>
      <c r="AA1658" s="55">
        <f>IF(AND(A1658="", B1658="", E1658=""), "", IF(AB1658="", "Válido", IF((LEN(AB1658)-LEN(SUBSTITUTE(AB1658,"; ","")))/2+1&gt;(LEN(AB1658)-LEN(SUBSTITUTE(AB1658,"[Aviso]","")))/7, "Con Incidencias", "Válido")))</f>
        <v/>
      </c>
      <c r="AB1658" s="56">
        <f>IF(AND(A1658="", B1658="", E1658=""), "", TEXTJOIN("; ", TRUE, IF(OR(TRIM(A1658&amp;"")="", ISNUMBER(SEARCH("FALTA", A1658))), "UPC faltante/inválido", ""), IF(AND(A1658&lt;&gt;"", IFERROR(_xlfn.XMATCH(A1658,$A$2:$A$2509,0,1)&lt;&gt;_xlfn.XMATCH(A1658,$A$2:$A$2509,0,-1),FALSE)), "Código de barras duplicado", ""), IF(AND(E1658&lt;&gt;"", COUNTIF($E$2:$E$2509, E1658)&gt;1), "SKU duplicado", ""), IF(OR(J1658="", J1658=""), "[Aviso] División no capturada ()", IF(ISNA(MATCH(J1658, Criterios!$A$123:$A$126, 0)), "División no válida", "")), IF(OR(K1658="", K1658=""), "[Aviso] Categoría no capturada ()", IF(ISNA(MATCH(K1658, Criterios!$A$81:$A$120, 0)), "Categoría no válida", IF(AND(J1658&lt;&gt;"", J1658&lt;&gt;"", J1658&lt;&gt;VLOOKUP(K1658, Criterios!$A$81:$B$120, 2, FALSE)), "División no coincide con Categoría", ""))), IF(OR(L1658="", L1658=""), "[Aviso] Género no capturado ()", IF(ISNA(MATCH(L1658, Criterios!$B$123:$B$127, 0)), "Género no válido", "")), IF(OR(N1658="", N1658=""), "[Aviso] Temporada no capturada ()", IF(ISNA(MATCH(N1658, Criterios!$C$123:$C$128, 0)), "Temporada no válida", "")), IF(OR(O1658="", O1658=""), "[Aviso] Ciclo de vida no capturado ()", IF(ISNA(MATCH(O1658, Criterios!$D$123:$D$124, 0)), "Ciclo de vida no válido", ""))))</f>
        <v/>
      </c>
      <c r="AC1658" s="56" t="n"/>
      <c r="AD1658" s="51" t="n">
        <v>0</v>
      </c>
      <c r="AE1658" s="156" t="n"/>
      <c r="AF1658" s="51" t="n">
        <v>0</v>
      </c>
      <c r="AG1658" s="156" t="inlineStr">
        <is>
          <t>Catálogo existente</t>
        </is>
      </c>
      <c r="AH1658" s="156" t="inlineStr">
        <is>
          <t>Revisión 29/09/2026: Campos sin respaldo: X; Auditoría NetSuite 30/09/2026: llenado desde NetSuite [U,S] | Homologación G1522 06/10/2026: WB País de origen: «US» → «Estados Unidos» (Corrección aplicada)</t>
        </is>
      </c>
      <c r="AI1658" s="156" t="inlineStr">
        <is>
          <t>No</t>
        </is>
      </c>
      <c r="AJ1658" s="156" t="n"/>
      <c r="AK1658" s="155" t="inlineStr">
        <is>
          <t>Criterios: I [Q] | Criterios: J [R] | Descripción del registro fuente [T]; G1522_Extraccion_Articulos_NetSuite_2026-09-30.xlsx: fila 63993 [U,S]</t>
        </is>
      </c>
      <c r="AL1658" s="58" t="n">
        <v>39.375</v>
      </c>
      <c r="AM1658" s="58" t="n">
        <v>172.4137931</v>
      </c>
      <c r="AN1658" s="155" t="n"/>
      <c r="AO1658" s="59" t="n"/>
      <c r="AP1658" s="59" t="n"/>
      <c r="AQ1658" s="59" t="n"/>
      <c r="AR1658" s="155" t="n"/>
    </row>
    <row r="1659">
      <c r="A1659" s="50" t="inlineStr">
        <is>
          <t>883383210095</t>
        </is>
      </c>
      <c r="B1659" s="51" t="inlineStr">
        <is>
          <t>117746</t>
        </is>
      </c>
      <c r="C1659" s="156" t="inlineStr">
        <is>
          <t>Multimarca</t>
        </is>
      </c>
      <c r="D1659" s="156" t="inlineStr">
        <is>
          <t>1360014R0O-2</t>
        </is>
      </c>
      <c r="E1659" s="156" t="inlineStr">
        <is>
          <t>1360014R0OXL</t>
        </is>
      </c>
      <c r="F1659" s="156" t="inlineStr">
        <is>
          <t>XL</t>
        </is>
      </c>
      <c r="G1659" s="156" t="inlineStr">
        <is>
          <t>XL</t>
        </is>
      </c>
      <c r="H1659" s="156" t="inlineStr">
        <is>
          <t>Stetson</t>
        </is>
      </c>
      <c r="I1659" s="156" t="inlineStr">
        <is>
          <t>Funda de lluvia para sombrero (plastico)</t>
        </is>
      </c>
      <c r="J1659" s="156" t="inlineStr">
        <is>
          <t>Accesorios</t>
        </is>
      </c>
      <c r="K1659" s="156" t="inlineStr">
        <is>
          <t>Cuidado de Sombreros</t>
        </is>
      </c>
      <c r="L1659" s="156" t="inlineStr">
        <is>
          <t>Unisex</t>
        </is>
      </c>
      <c r="M1659" s="156" t="inlineStr">
        <is>
          <t>Stetson</t>
        </is>
      </c>
      <c r="N1659" s="156" t="inlineStr">
        <is>
          <t>FW26</t>
        </is>
      </c>
      <c r="O1659" s="156" t="inlineStr">
        <is>
          <t>Core</t>
        </is>
      </c>
      <c r="P1659" s="156" t="inlineStr">
        <is>
          <t>Negro</t>
        </is>
      </c>
      <c r="Q1659" s="156" t="n"/>
      <c r="R1659" s="156" t="n"/>
      <c r="S1659" s="156" t="inlineStr">
        <is>
          <t>Plástico</t>
        </is>
      </c>
      <c r="T1659" s="156" t="inlineStr">
        <is>
          <t>Funda de lluvia para sombrero (plastico)</t>
        </is>
      </c>
      <c r="U1659" s="156" t="inlineStr">
        <is>
          <t>Estados Unidos</t>
        </is>
      </c>
      <c r="V1659" s="156" t="inlineStr">
        <is>
          <t>PZS</t>
        </is>
      </c>
      <c r="W1659" s="51" t="inlineStr">
        <is>
          <t>53102503</t>
        </is>
      </c>
      <c r="X1659" s="156" t="n"/>
      <c r="Y1659" s="54" t="n">
        <v>35.35</v>
      </c>
      <c r="Z1659" s="54" t="n">
        <v>172.4137931</v>
      </c>
      <c r="AA1659" s="55">
        <f>IF(AND(A1659="", B1659="", E1659=""), "", IF(AB1659="", "Válido", IF((LEN(AB1659)-LEN(SUBSTITUTE(AB1659,"; ","")))/2+1&gt;(LEN(AB1659)-LEN(SUBSTITUTE(AB1659,"[Aviso]","")))/7, "Con Incidencias", "Válido")))</f>
        <v/>
      </c>
      <c r="AB1659" s="56">
        <f>IF(AND(A1659="", B1659="", E1659=""), "", TEXTJOIN("; ", TRUE, IF(OR(TRIM(A1659&amp;"")="", ISNUMBER(SEARCH("FALTA", A1659))), "UPC faltante/inválido", ""), IF(AND(A1659&lt;&gt;"", IFERROR(_xlfn.XMATCH(A1659,$A$2:$A$2509,0,1)&lt;&gt;_xlfn.XMATCH(A1659,$A$2:$A$2509,0,-1),FALSE)), "Código de barras duplicado", ""), IF(AND(E1659&lt;&gt;"", COUNTIF($E$2:$E$2509, E1659)&gt;1), "SKU duplicado", ""), IF(OR(J1659="", J1659=""), "[Aviso] División no capturada ()", IF(ISNA(MATCH(J1659, Criterios!$A$123:$A$126, 0)), "División no válida", "")), IF(OR(K1659="", K1659=""), "[Aviso] Categoría no capturada ()", IF(ISNA(MATCH(K1659, Criterios!$A$81:$A$120, 0)), "Categoría no válida", IF(AND(J1659&lt;&gt;"", J1659&lt;&gt;"", J1659&lt;&gt;VLOOKUP(K1659, Criterios!$A$81:$B$120, 2, FALSE)), "División no coincide con Categoría", ""))), IF(OR(L1659="", L1659=""), "[Aviso] Género no capturado ()", IF(ISNA(MATCH(L1659, Criterios!$B$123:$B$127, 0)), "Género no válido", "")), IF(OR(N1659="", N1659=""), "[Aviso] Temporada no capturada ()", IF(ISNA(MATCH(N1659, Criterios!$C$123:$C$128, 0)), "Temporada no válida", "")), IF(OR(O1659="", O1659=""), "[Aviso] Ciclo de vida no capturado ()", IF(ISNA(MATCH(O1659, Criterios!$D$123:$D$124, 0)), "Ciclo de vida no válido", ""))))</f>
        <v/>
      </c>
      <c r="AC1659" s="56" t="n"/>
      <c r="AD1659" s="51" t="n">
        <v>0</v>
      </c>
      <c r="AE1659" s="156" t="n"/>
      <c r="AF1659" s="51" t="n">
        <v>0</v>
      </c>
      <c r="AG1659" s="156" t="inlineStr">
        <is>
          <t>Catálogo existente</t>
        </is>
      </c>
      <c r="AH1659" s="156" t="inlineStr">
        <is>
          <t>Revisión 29/09/2026: Campos sin respaldo: X; Auditoría NetSuite 30/09/2026: llenado desde NetSuite [U,S] | Homologación G1522 06/10/2026: WB País de origen: «US» → «Estados Unidos» (Corrección aplicada)</t>
        </is>
      </c>
      <c r="AI1659" s="156" t="inlineStr">
        <is>
          <t>No</t>
        </is>
      </c>
      <c r="AJ1659" s="156" t="n"/>
      <c r="AK1659" s="155" t="inlineStr">
        <is>
          <t>Criterios: I [Q] | Criterios: J [R] | Descripción del registro fuente [T]; G1522_Extraccion_Articulos_NetSuite_2026-09-30.xlsx: fila 63994 [U,S]</t>
        </is>
      </c>
      <c r="AL1659" s="58" t="n">
        <v>35.35</v>
      </c>
      <c r="AM1659" s="58" t="n">
        <v>172.4137931</v>
      </c>
      <c r="AN1659" s="155" t="n"/>
      <c r="AO1659" s="59" t="n"/>
      <c r="AP1659" s="59" t="n"/>
      <c r="AQ1659" s="59" t="n"/>
      <c r="AR1659" s="155" t="n"/>
    </row>
    <row r="1660">
      <c r="A1660" s="50" t="inlineStr">
        <is>
          <t>883383227154</t>
        </is>
      </c>
      <c r="B1660" s="51" t="inlineStr">
        <is>
          <t>117314</t>
        </is>
      </c>
      <c r="C1660" s="156" t="inlineStr">
        <is>
          <t>Multimarca</t>
        </is>
      </c>
      <c r="D1660" s="156" t="inlineStr">
        <is>
          <t>SBBBOW-694324</t>
        </is>
      </c>
      <c r="E1660" s="156" t="inlineStr">
        <is>
          <t>SBBBOW-69432467</t>
        </is>
      </c>
      <c r="F1660" s="156" t="inlineStr">
        <is>
          <t>6 7/8</t>
        </is>
      </c>
      <c r="G1660" s="156" t="inlineStr">
        <is>
          <t>6 7/8</t>
        </is>
      </c>
      <c r="H1660" s="156" t="inlineStr">
        <is>
          <t>Stetson</t>
        </is>
      </c>
      <c r="I1660" s="156" t="inlineStr">
        <is>
          <t>Texana Stetson Broken Bow Cafe</t>
        </is>
      </c>
      <c r="J1660" s="156" t="inlineStr">
        <is>
          <t>Accesorios</t>
        </is>
      </c>
      <c r="K1660" s="156" t="inlineStr">
        <is>
          <t>Sombreros</t>
        </is>
      </c>
      <c r="L1660" s="156" t="inlineStr">
        <is>
          <t>Unisex</t>
        </is>
      </c>
      <c r="M1660" s="156" t="inlineStr">
        <is>
          <t>Stetson</t>
        </is>
      </c>
      <c r="N1660" s="156" t="inlineStr">
        <is>
          <t>FW26</t>
        </is>
      </c>
      <c r="O1660" s="156" t="inlineStr">
        <is>
          <t>Seasonal</t>
        </is>
      </c>
      <c r="P1660" s="156" t="inlineStr">
        <is>
          <t>Cafe</t>
        </is>
      </c>
      <c r="Q1660" s="156" t="n"/>
      <c r="R1660" s="156" t="inlineStr">
        <is>
          <t>Copa Gus</t>
        </is>
      </c>
      <c r="S1660" s="156" t="inlineStr">
        <is>
          <t>Mezcla de lana</t>
        </is>
      </c>
      <c r="T1660"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0" s="156" t="inlineStr">
        <is>
          <t>Estados Unidos</t>
        </is>
      </c>
      <c r="V1660" s="156" t="inlineStr">
        <is>
          <t>PZS</t>
        </is>
      </c>
      <c r="W1660" s="51" t="inlineStr">
        <is>
          <t>53102503</t>
        </is>
      </c>
      <c r="X1660" s="156" t="inlineStr">
        <is>
          <t>https://cdn.shopify.com/s/files/1/0357/2432/9005/products/sbbbow-6943_buck_1.jpg?v=1590802226</t>
        </is>
      </c>
      <c r="Y1660" s="54" t="n">
        <v>1338.75</v>
      </c>
      <c r="Z1660" s="54" t="n">
        <v>3275.862069</v>
      </c>
      <c r="AA1660" s="55">
        <f>IF(AND(A1660="", B1660="", E1660=""), "", IF(AB1660="", "Válido", IF((LEN(AB1660)-LEN(SUBSTITUTE(AB1660,"; ","")))/2+1&gt;(LEN(AB1660)-LEN(SUBSTITUTE(AB1660,"[Aviso]","")))/7, "Con Incidencias", "Válido")))</f>
        <v/>
      </c>
      <c r="AB1660" s="56">
        <f>IF(AND(A1660="", B1660="", E1660=""), "", TEXTJOIN("; ", TRUE, IF(OR(TRIM(A1660&amp;"")="", ISNUMBER(SEARCH("FALTA", A1660))), "UPC faltante/inválido", ""), IF(AND(A1660&lt;&gt;"", IFERROR(_xlfn.XMATCH(A1660,$A$2:$A$2509,0,1)&lt;&gt;_xlfn.XMATCH(A1660,$A$2:$A$2509,0,-1),FALSE)), "Código de barras duplicado", ""), IF(AND(E1660&lt;&gt;"", COUNTIF($E$2:$E$2509, E1660)&gt;1), "SKU duplicado", ""), IF(OR(J1660="", J1660=""), "[Aviso] División no capturada ()", IF(ISNA(MATCH(J1660, Criterios!$A$123:$A$126, 0)), "División no válida", "")), IF(OR(K1660="", K1660=""), "[Aviso] Categoría no capturada ()", IF(ISNA(MATCH(K1660, Criterios!$A$81:$A$120, 0)), "Categoría no válida", IF(AND(J1660&lt;&gt;"", J1660&lt;&gt;"", J1660&lt;&gt;VLOOKUP(K1660, Criterios!$A$81:$B$120, 2, FALSE)), "División no coincide con Categoría", ""))), IF(OR(L1660="", L1660=""), "[Aviso] Género no capturado ()", IF(ISNA(MATCH(L1660, Criterios!$B$123:$B$127, 0)), "Género no válido", "")), IF(OR(N1660="", N1660=""), "[Aviso] Temporada no capturada ()", IF(ISNA(MATCH(N1660, Criterios!$C$123:$C$128, 0)), "Temporada no válida", "")), IF(OR(O1660="", O1660=""), "[Aviso] Ciclo de vida no capturado ()", IF(ISNA(MATCH(O1660, Criterios!$D$123:$D$124, 0)), "Ciclo de vida no válido", ""))))</f>
        <v/>
      </c>
      <c r="AC1660" s="56" t="n"/>
      <c r="AD1660" s="51" t="n">
        <v>0</v>
      </c>
      <c r="AE1660" s="156" t="inlineStr">
        <is>
          <t>STETSON AMERICAS (1)</t>
        </is>
      </c>
      <c r="AF1660" s="51" t="n">
        <v>1</v>
      </c>
      <c r="AG1660" s="156" t="inlineStr">
        <is>
          <t>Catálogo existente</t>
        </is>
      </c>
      <c r="AH1660"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0" s="156" t="inlineStr">
        <is>
          <t>Sí</t>
        </is>
      </c>
      <c r="AJ1660" s="156" t="inlineStr">
        <is>
          <t>B25 CEDIS (-1)</t>
        </is>
      </c>
      <c r="AK1660" s="155" t="inlineStr">
        <is>
          <t>Criterios: I [Q] | Shopify Stetson: producto 15227649327467 / variante 53791834472811 | Investigación en línea 06/10/2026: https://www.stetson.com/products/broken-bow-4x-cowboy-hat-buck</t>
        </is>
      </c>
      <c r="AL1660" s="58" t="n">
        <v>1338.75</v>
      </c>
      <c r="AM1660" s="58" t="n">
        <v>3275.862069</v>
      </c>
      <c r="AN1660" s="155" t="inlineStr">
        <is>
          <t>Shopify Stetson México</t>
        </is>
      </c>
      <c r="AO1660" s="59" t="n">
        <v>1</v>
      </c>
      <c r="AP1660" s="59" t="n"/>
      <c r="AQ1660" s="59" t="n"/>
      <c r="AR1660" s="155" t="inlineStr">
        <is>
          <t>Shopify Stetson México › Stetson Americas: 1</t>
        </is>
      </c>
    </row>
    <row r="1661">
      <c r="A1661" s="50" t="inlineStr">
        <is>
          <t>883383227161</t>
        </is>
      </c>
      <c r="B1661" s="51" t="inlineStr">
        <is>
          <t>117315</t>
        </is>
      </c>
      <c r="C1661" s="156" t="inlineStr">
        <is>
          <t>Multimarca</t>
        </is>
      </c>
      <c r="D1661" s="156" t="inlineStr">
        <is>
          <t>SBBBOW-694324</t>
        </is>
      </c>
      <c r="E1661" s="156" t="inlineStr">
        <is>
          <t>SBBBOW-69432470</t>
        </is>
      </c>
      <c r="F1661" s="156" t="inlineStr">
        <is>
          <t>7</t>
        </is>
      </c>
      <c r="G1661" s="156" t="inlineStr">
        <is>
          <t>7</t>
        </is>
      </c>
      <c r="H1661" s="156" t="inlineStr">
        <is>
          <t>Stetson</t>
        </is>
      </c>
      <c r="I1661" s="156" t="inlineStr">
        <is>
          <t>Texana Stetson Broken Bow Cafe</t>
        </is>
      </c>
      <c r="J1661" s="156" t="inlineStr">
        <is>
          <t>Accesorios</t>
        </is>
      </c>
      <c r="K1661" s="156" t="inlineStr">
        <is>
          <t>Sombreros</t>
        </is>
      </c>
      <c r="L1661" s="156" t="inlineStr">
        <is>
          <t>Unisex</t>
        </is>
      </c>
      <c r="M1661" s="156" t="inlineStr">
        <is>
          <t>Stetson</t>
        </is>
      </c>
      <c r="N1661" s="156" t="inlineStr">
        <is>
          <t>FW26</t>
        </is>
      </c>
      <c r="O1661" s="156" t="inlineStr">
        <is>
          <t>Seasonal</t>
        </is>
      </c>
      <c r="P1661" s="156" t="inlineStr">
        <is>
          <t>Cafe</t>
        </is>
      </c>
      <c r="Q1661" s="156" t="n"/>
      <c r="R1661" s="156" t="inlineStr">
        <is>
          <t>Copa Gus</t>
        </is>
      </c>
      <c r="S1661" s="156" t="inlineStr">
        <is>
          <t>Mezcla de lana</t>
        </is>
      </c>
      <c r="T1661"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1" s="156" t="inlineStr">
        <is>
          <t>Estados Unidos</t>
        </is>
      </c>
      <c r="V1661" s="156" t="inlineStr">
        <is>
          <t>PZS</t>
        </is>
      </c>
      <c r="W1661" s="51" t="inlineStr">
        <is>
          <t>53102503</t>
        </is>
      </c>
      <c r="X1661" s="156" t="inlineStr">
        <is>
          <t>https://cdn.shopify.com/s/files/1/0357/2432/9005/products/sbbbow-6943_buck_1.jpg?v=1590802226</t>
        </is>
      </c>
      <c r="Y1661" s="54" t="n">
        <v>1338.75</v>
      </c>
      <c r="Z1661" s="54" t="n">
        <v>3275.862069</v>
      </c>
      <c r="AA1661" s="55">
        <f>IF(AND(A1661="", B1661="", E1661=""), "", IF(AB1661="", "Válido", IF((LEN(AB1661)-LEN(SUBSTITUTE(AB1661,"; ","")))/2+1&gt;(LEN(AB1661)-LEN(SUBSTITUTE(AB1661,"[Aviso]","")))/7, "Con Incidencias", "Válido")))</f>
        <v/>
      </c>
      <c r="AB1661" s="56">
        <f>IF(AND(A1661="", B1661="", E1661=""), "", TEXTJOIN("; ", TRUE, IF(OR(TRIM(A1661&amp;"")="", ISNUMBER(SEARCH("FALTA", A1661))), "UPC faltante/inválido", ""), IF(AND(A1661&lt;&gt;"", IFERROR(_xlfn.XMATCH(A1661,$A$2:$A$2509,0,1)&lt;&gt;_xlfn.XMATCH(A1661,$A$2:$A$2509,0,-1),FALSE)), "Código de barras duplicado", ""), IF(AND(E1661&lt;&gt;"", COUNTIF($E$2:$E$2509, E1661)&gt;1), "SKU duplicado", ""), IF(OR(J1661="", J1661=""), "[Aviso] División no capturada ()", IF(ISNA(MATCH(J1661, Criterios!$A$123:$A$126, 0)), "División no válida", "")), IF(OR(K1661="", K1661=""), "[Aviso] Categoría no capturada ()", IF(ISNA(MATCH(K1661, Criterios!$A$81:$A$120, 0)), "Categoría no válida", IF(AND(J1661&lt;&gt;"", J1661&lt;&gt;"", J1661&lt;&gt;VLOOKUP(K1661, Criterios!$A$81:$B$120, 2, FALSE)), "División no coincide con Categoría", ""))), IF(OR(L1661="", L1661=""), "[Aviso] Género no capturado ()", IF(ISNA(MATCH(L1661, Criterios!$B$123:$B$127, 0)), "Género no válido", "")), IF(OR(N1661="", N1661=""), "[Aviso] Temporada no capturada ()", IF(ISNA(MATCH(N1661, Criterios!$C$123:$C$128, 0)), "Temporada no válida", "")), IF(OR(O1661="", O1661=""), "[Aviso] Ciclo de vida no capturado ()", IF(ISNA(MATCH(O1661, Criterios!$D$123:$D$124, 0)), "Ciclo de vida no válido", ""))))</f>
        <v/>
      </c>
      <c r="AC1661" s="56" t="n"/>
      <c r="AD1661" s="51" t="n">
        <v>0</v>
      </c>
      <c r="AE1661" s="156" t="inlineStr">
        <is>
          <t>STETSON AMERICAS (1)</t>
        </is>
      </c>
      <c r="AF1661" s="51" t="n">
        <v>1</v>
      </c>
      <c r="AG1661" s="156" t="inlineStr">
        <is>
          <t>Catálogo existente</t>
        </is>
      </c>
      <c r="AH1661"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1" s="156" t="inlineStr">
        <is>
          <t>Sí</t>
        </is>
      </c>
      <c r="AJ1661" s="156" t="inlineStr">
        <is>
          <t>B25 CEDIS (-1)</t>
        </is>
      </c>
      <c r="AK1661" s="155" t="inlineStr">
        <is>
          <t>Criterios: I [Q] | Shopify Stetson: producto 15227649327467 / variante 53791834505579 | Investigación en línea 06/10/2026: https://www.stetson.com/products/broken-bow-4x-cowboy-hat-buck</t>
        </is>
      </c>
      <c r="AL1661" s="58" t="n">
        <v>1338.75</v>
      </c>
      <c r="AM1661" s="58" t="n">
        <v>3275.862069</v>
      </c>
      <c r="AN1661" s="155" t="inlineStr">
        <is>
          <t>Shopify Stetson México</t>
        </is>
      </c>
      <c r="AO1661" s="59" t="n">
        <v>1</v>
      </c>
      <c r="AP1661" s="59" t="n"/>
      <c r="AQ1661" s="59" t="n"/>
      <c r="AR1661" s="155" t="inlineStr">
        <is>
          <t>Shopify Stetson México › Stetson Americas: 1</t>
        </is>
      </c>
    </row>
    <row r="1662">
      <c r="A1662" s="50" t="inlineStr">
        <is>
          <t>883383227178</t>
        </is>
      </c>
      <c r="B1662" s="51" t="inlineStr">
        <is>
          <t>117316</t>
        </is>
      </c>
      <c r="C1662" s="156" t="inlineStr">
        <is>
          <t>Multimarca</t>
        </is>
      </c>
      <c r="D1662" s="156" t="inlineStr">
        <is>
          <t>SBBBOW-694324</t>
        </is>
      </c>
      <c r="E1662" s="156" t="inlineStr">
        <is>
          <t>SBBBOW-69432471</t>
        </is>
      </c>
      <c r="F1662" s="156" t="inlineStr">
        <is>
          <t>7 1/8</t>
        </is>
      </c>
      <c r="G1662" s="156" t="inlineStr">
        <is>
          <t>7 1/8</t>
        </is>
      </c>
      <c r="H1662" s="156" t="inlineStr">
        <is>
          <t>Stetson</t>
        </is>
      </c>
      <c r="I1662" s="156" t="inlineStr">
        <is>
          <t>Texana Stetson Broken Bow Cafe</t>
        </is>
      </c>
      <c r="J1662" s="156" t="inlineStr">
        <is>
          <t>Accesorios</t>
        </is>
      </c>
      <c r="K1662" s="156" t="inlineStr">
        <is>
          <t>Sombreros</t>
        </is>
      </c>
      <c r="L1662" s="156" t="inlineStr">
        <is>
          <t>Unisex</t>
        </is>
      </c>
      <c r="M1662" s="156" t="inlineStr">
        <is>
          <t>Stetson</t>
        </is>
      </c>
      <c r="N1662" s="156" t="inlineStr">
        <is>
          <t>FW26</t>
        </is>
      </c>
      <c r="O1662" s="156" t="inlineStr">
        <is>
          <t>Seasonal</t>
        </is>
      </c>
      <c r="P1662" s="156" t="inlineStr">
        <is>
          <t>Cafe</t>
        </is>
      </c>
      <c r="Q1662" s="156" t="n"/>
      <c r="R1662" s="156" t="inlineStr">
        <is>
          <t>Copa Gus</t>
        </is>
      </c>
      <c r="S1662" s="156" t="inlineStr">
        <is>
          <t>Mezcla de lana</t>
        </is>
      </c>
      <c r="T1662"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2" s="156" t="inlineStr">
        <is>
          <t>Estados Unidos</t>
        </is>
      </c>
      <c r="V1662" s="156" t="inlineStr">
        <is>
          <t>PZS</t>
        </is>
      </c>
      <c r="W1662" s="51" t="inlineStr">
        <is>
          <t>53102503</t>
        </is>
      </c>
      <c r="X1662" s="156" t="inlineStr">
        <is>
          <t>https://cdn.shopify.com/s/files/1/0357/2432/9005/products/sbbbow-6943_buck_1.jpg?v=1590802226</t>
        </is>
      </c>
      <c r="Y1662" s="54" t="n">
        <v>1338.75</v>
      </c>
      <c r="Z1662" s="54" t="n">
        <v>3275.862069</v>
      </c>
      <c r="AA1662" s="55">
        <f>IF(AND(A1662="", B1662="", E1662=""), "", IF(AB1662="", "Válido", IF((LEN(AB1662)-LEN(SUBSTITUTE(AB1662,"; ","")))/2+1&gt;(LEN(AB1662)-LEN(SUBSTITUTE(AB1662,"[Aviso]","")))/7, "Con Incidencias", "Válido")))</f>
        <v/>
      </c>
      <c r="AB1662" s="56">
        <f>IF(AND(A1662="", B1662="", E1662=""), "", TEXTJOIN("; ", TRUE, IF(OR(TRIM(A1662&amp;"")="", ISNUMBER(SEARCH("FALTA", A1662))), "UPC faltante/inválido", ""), IF(AND(A1662&lt;&gt;"", IFERROR(_xlfn.XMATCH(A1662,$A$2:$A$2509,0,1)&lt;&gt;_xlfn.XMATCH(A1662,$A$2:$A$2509,0,-1),FALSE)), "Código de barras duplicado", ""), IF(AND(E1662&lt;&gt;"", COUNTIF($E$2:$E$2509, E1662)&gt;1), "SKU duplicado", ""), IF(OR(J1662="", J1662=""), "[Aviso] División no capturada ()", IF(ISNA(MATCH(J1662, Criterios!$A$123:$A$126, 0)), "División no válida", "")), IF(OR(K1662="", K1662=""), "[Aviso] Categoría no capturada ()", IF(ISNA(MATCH(K1662, Criterios!$A$81:$A$120, 0)), "Categoría no válida", IF(AND(J1662&lt;&gt;"", J1662&lt;&gt;"", J1662&lt;&gt;VLOOKUP(K1662, Criterios!$A$81:$B$120, 2, FALSE)), "División no coincide con Categoría", ""))), IF(OR(L1662="", L1662=""), "[Aviso] Género no capturado ()", IF(ISNA(MATCH(L1662, Criterios!$B$123:$B$127, 0)), "Género no válido", "")), IF(OR(N1662="", N1662=""), "[Aviso] Temporada no capturada ()", IF(ISNA(MATCH(N1662, Criterios!$C$123:$C$128, 0)), "Temporada no válida", "")), IF(OR(O1662="", O1662=""), "[Aviso] Ciclo de vida no capturado ()", IF(ISNA(MATCH(O1662, Criterios!$D$123:$D$124, 0)), "Ciclo de vida no válido", ""))))</f>
        <v/>
      </c>
      <c r="AC1662" s="56" t="n"/>
      <c r="AD1662" s="51" t="n">
        <v>0</v>
      </c>
      <c r="AE1662" s="156" t="inlineStr">
        <is>
          <t>STETSON AMERICAS (1)</t>
        </is>
      </c>
      <c r="AF1662" s="51" t="n">
        <v>1</v>
      </c>
      <c r="AG1662" s="156" t="inlineStr">
        <is>
          <t>Catálogo existente</t>
        </is>
      </c>
      <c r="AH1662"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2" s="156" t="inlineStr">
        <is>
          <t>Sí</t>
        </is>
      </c>
      <c r="AJ1662" s="156" t="inlineStr">
        <is>
          <t>B25 CEDIS (-1)</t>
        </is>
      </c>
      <c r="AK1662" s="155" t="inlineStr">
        <is>
          <t>Criterios: I [Q] | Shopify Stetson: producto 15227649327467 / variante 53791834538347 | Investigación en línea 06/10/2026: https://www.stetson.com/products/broken-bow-4x-cowboy-hat-buck</t>
        </is>
      </c>
      <c r="AL1662" s="58" t="n">
        <v>1338.75</v>
      </c>
      <c r="AM1662" s="58" t="n">
        <v>3275.862069</v>
      </c>
      <c r="AN1662" s="155" t="inlineStr">
        <is>
          <t>Shopify Stetson México</t>
        </is>
      </c>
      <c r="AO1662" s="59" t="n">
        <v>1</v>
      </c>
      <c r="AP1662" s="59" t="n"/>
      <c r="AQ1662" s="59" t="n"/>
      <c r="AR1662" s="155" t="inlineStr">
        <is>
          <t>Shopify Stetson México › Stetson Americas: 1</t>
        </is>
      </c>
    </row>
    <row r="1663">
      <c r="A1663" s="50" t="inlineStr">
        <is>
          <t>883383227185</t>
        </is>
      </c>
      <c r="B1663" s="51" t="inlineStr">
        <is>
          <t>117317</t>
        </is>
      </c>
      <c r="C1663" s="156" t="inlineStr">
        <is>
          <t>Multimarca</t>
        </is>
      </c>
      <c r="D1663" s="156" t="inlineStr">
        <is>
          <t>SBBBOW-694324</t>
        </is>
      </c>
      <c r="E1663" s="156" t="inlineStr">
        <is>
          <t>SBBBOW-69432472</t>
        </is>
      </c>
      <c r="F1663" s="156" t="inlineStr">
        <is>
          <t>7 1/4</t>
        </is>
      </c>
      <c r="G1663" s="156" t="inlineStr">
        <is>
          <t>7 1/4</t>
        </is>
      </c>
      <c r="H1663" s="156" t="inlineStr">
        <is>
          <t>Stetson</t>
        </is>
      </c>
      <c r="I1663" s="156" t="inlineStr">
        <is>
          <t>Texana Stetson Broken Bow Cafe</t>
        </is>
      </c>
      <c r="J1663" s="156" t="inlineStr">
        <is>
          <t>Accesorios</t>
        </is>
      </c>
      <c r="K1663" s="156" t="inlineStr">
        <is>
          <t>Sombreros</t>
        </is>
      </c>
      <c r="L1663" s="156" t="inlineStr">
        <is>
          <t>Unisex</t>
        </is>
      </c>
      <c r="M1663" s="156" t="inlineStr">
        <is>
          <t>Stetson</t>
        </is>
      </c>
      <c r="N1663" s="156" t="inlineStr">
        <is>
          <t>FW26</t>
        </is>
      </c>
      <c r="O1663" s="156" t="inlineStr">
        <is>
          <t>Seasonal</t>
        </is>
      </c>
      <c r="P1663" s="156" t="inlineStr">
        <is>
          <t>Cafe</t>
        </is>
      </c>
      <c r="Q1663" s="156" t="n"/>
      <c r="R1663" s="156" t="inlineStr">
        <is>
          <t>Copa Gus</t>
        </is>
      </c>
      <c r="S1663" s="156" t="inlineStr">
        <is>
          <t>Mezcla de lana</t>
        </is>
      </c>
      <c r="T1663"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3" s="156" t="inlineStr">
        <is>
          <t>Estados Unidos</t>
        </is>
      </c>
      <c r="V1663" s="156" t="inlineStr">
        <is>
          <t>PZS</t>
        </is>
      </c>
      <c r="W1663" s="51" t="inlineStr">
        <is>
          <t>53102503</t>
        </is>
      </c>
      <c r="X1663" s="156" t="inlineStr">
        <is>
          <t>https://cdn.shopify.com/s/files/1/0357/2432/9005/products/sbbbow-6943_buck_1.jpg?v=1590802226</t>
        </is>
      </c>
      <c r="Y1663" s="54" t="n">
        <v>1338.75</v>
      </c>
      <c r="Z1663" s="54" t="n">
        <v>3275.862069</v>
      </c>
      <c r="AA1663" s="55">
        <f>IF(AND(A1663="", B1663="", E1663=""), "", IF(AB1663="", "Válido", IF((LEN(AB1663)-LEN(SUBSTITUTE(AB1663,"; ","")))/2+1&gt;(LEN(AB1663)-LEN(SUBSTITUTE(AB1663,"[Aviso]","")))/7, "Con Incidencias", "Válido")))</f>
        <v/>
      </c>
      <c r="AB1663" s="56">
        <f>IF(AND(A1663="", B1663="", E1663=""), "", TEXTJOIN("; ", TRUE, IF(OR(TRIM(A1663&amp;"")="", ISNUMBER(SEARCH("FALTA", A1663))), "UPC faltante/inválido", ""), IF(AND(A1663&lt;&gt;"", IFERROR(_xlfn.XMATCH(A1663,$A$2:$A$2509,0,1)&lt;&gt;_xlfn.XMATCH(A1663,$A$2:$A$2509,0,-1),FALSE)), "Código de barras duplicado", ""), IF(AND(E1663&lt;&gt;"", COUNTIF($E$2:$E$2509, E1663)&gt;1), "SKU duplicado", ""), IF(OR(J1663="", J1663=""), "[Aviso] División no capturada ()", IF(ISNA(MATCH(J1663, Criterios!$A$123:$A$126, 0)), "División no válida", "")), IF(OR(K1663="", K1663=""), "[Aviso] Categoría no capturada ()", IF(ISNA(MATCH(K1663, Criterios!$A$81:$A$120, 0)), "Categoría no válida", IF(AND(J1663&lt;&gt;"", J1663&lt;&gt;"", J1663&lt;&gt;VLOOKUP(K1663, Criterios!$A$81:$B$120, 2, FALSE)), "División no coincide con Categoría", ""))), IF(OR(L1663="", L1663=""), "[Aviso] Género no capturado ()", IF(ISNA(MATCH(L1663, Criterios!$B$123:$B$127, 0)), "Género no válido", "")), IF(OR(N1663="", N1663=""), "[Aviso] Temporada no capturada ()", IF(ISNA(MATCH(N1663, Criterios!$C$123:$C$128, 0)), "Temporada no válida", "")), IF(OR(O1663="", O1663=""), "[Aviso] Ciclo de vida no capturado ()", IF(ISNA(MATCH(O1663, Criterios!$D$123:$D$124, 0)), "Ciclo de vida no válido", ""))))</f>
        <v/>
      </c>
      <c r="AC1663" s="56" t="n"/>
      <c r="AD1663" s="51" t="n">
        <v>-1</v>
      </c>
      <c r="AE1663" s="156" t="n"/>
      <c r="AF1663" s="51" t="n">
        <v>0</v>
      </c>
      <c r="AG1663" s="156" t="inlineStr">
        <is>
          <t>Catálogo existente</t>
        </is>
      </c>
      <c r="AH1663"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3" s="156" t="inlineStr">
        <is>
          <t>Sí</t>
        </is>
      </c>
      <c r="AJ1663" s="156" t="inlineStr">
        <is>
          <t>B25 CEDIS (-1)</t>
        </is>
      </c>
      <c r="AK1663" s="155" t="inlineStr">
        <is>
          <t>Criterios: I [Q] | Shopify Stetson: producto 15227649327467 / variante 53791834571115 | Investigación en línea 06/10/2026: https://www.stetson.com/products/broken-bow-4x-cowboy-hat-buck</t>
        </is>
      </c>
      <c r="AL1663" s="58" t="n">
        <v>1338.75</v>
      </c>
      <c r="AM1663" s="58" t="n">
        <v>3275.862069</v>
      </c>
      <c r="AN1663" s="155" t="inlineStr">
        <is>
          <t>Shopify Stetson México</t>
        </is>
      </c>
      <c r="AO1663" s="59" t="n">
        <v>0</v>
      </c>
      <c r="AP1663" s="59" t="n"/>
      <c r="AQ1663" s="59" t="n"/>
      <c r="AR1663" s="155" t="n"/>
    </row>
    <row r="1664">
      <c r="A1664" s="50" t="inlineStr">
        <is>
          <t>883383313284</t>
        </is>
      </c>
      <c r="B1664" s="51" t="inlineStr">
        <is>
          <t>110423</t>
        </is>
      </c>
      <c r="C1664" s="156" t="inlineStr">
        <is>
          <t>Multimarca</t>
        </is>
      </c>
      <c r="D1664" s="156" t="inlineStr">
        <is>
          <t>SWBRNM-724249</t>
        </is>
      </c>
      <c r="E1664" s="156" t="inlineStr">
        <is>
          <t>SWBRNM-72424967</t>
        </is>
      </c>
      <c r="F1664" s="156" t="inlineStr">
        <is>
          <t>6 7/8</t>
        </is>
      </c>
      <c r="G1664" s="156" t="inlineStr">
        <is>
          <t>6 7/8</t>
        </is>
      </c>
      <c r="H1664" s="156" t="inlineStr">
        <is>
          <t>Stetson</t>
        </is>
      </c>
      <c r="I1664" s="156" t="inlineStr">
        <is>
          <t>Texana Stetson Brenham 4X</t>
        </is>
      </c>
      <c r="J1664" s="156" t="inlineStr">
        <is>
          <t>Accesorios</t>
        </is>
      </c>
      <c r="K1664" s="156" t="inlineStr">
        <is>
          <t>Sombreros</t>
        </is>
      </c>
      <c r="L1664" s="156" t="inlineStr">
        <is>
          <t>Unisex</t>
        </is>
      </c>
      <c r="M1664" s="156" t="inlineStr">
        <is>
          <t>Stetson</t>
        </is>
      </c>
      <c r="N1664" s="156" t="inlineStr">
        <is>
          <t>SS26</t>
        </is>
      </c>
      <c r="O1664" s="156" t="inlineStr">
        <is>
          <t>Seasonal</t>
        </is>
      </c>
      <c r="P1664" s="156" t="inlineStr">
        <is>
          <t>Gris</t>
        </is>
      </c>
      <c r="Q1664" s="156" t="n"/>
      <c r="R1664" s="156" t="inlineStr">
        <is>
          <t>Copa Rancher</t>
        </is>
      </c>
      <c r="S1664" s="156" t="inlineStr">
        <is>
          <t>100% Fieltro de lana</t>
        </is>
      </c>
      <c r="T1664"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4" s="156" t="inlineStr">
        <is>
          <t>Estados Unidos</t>
        </is>
      </c>
      <c r="V1664" s="156" t="inlineStr">
        <is>
          <t>PZS</t>
        </is>
      </c>
      <c r="W1664" s="51" t="inlineStr">
        <is>
          <t>53102503</t>
        </is>
      </c>
      <c r="X1664" s="156" t="inlineStr">
        <is>
          <t>https://cdn.shopify.com/s/files/1/0888/3250/8267/files/SWBRNM-7242-49-01.jpg?v=1780958466</t>
        </is>
      </c>
      <c r="Y1664" s="54" t="n">
        <v>1181.25</v>
      </c>
      <c r="Z1664" s="54" t="n">
        <v>2844.827586</v>
      </c>
      <c r="AA1664" s="55">
        <f>IF(AND(A1664="", B1664="", E1664=""), "", IF(AB1664="", "Válido", IF((LEN(AB1664)-LEN(SUBSTITUTE(AB1664,"; ","")))/2+1&gt;(LEN(AB1664)-LEN(SUBSTITUTE(AB1664,"[Aviso]","")))/7, "Con Incidencias", "Válido")))</f>
        <v/>
      </c>
      <c r="AB1664" s="56">
        <f>IF(AND(A1664="", B1664="", E1664=""), "", TEXTJOIN("; ", TRUE, IF(OR(TRIM(A1664&amp;"")="", ISNUMBER(SEARCH("FALTA", A1664))), "UPC faltante/inválido", ""), IF(AND(A1664&lt;&gt;"", IFERROR(_xlfn.XMATCH(A1664,$A$2:$A$2509,0,1)&lt;&gt;_xlfn.XMATCH(A1664,$A$2:$A$2509,0,-1),FALSE)), "Código de barras duplicado", ""), IF(AND(E1664&lt;&gt;"", COUNTIF($E$2:$E$2509, E1664)&gt;1), "SKU duplicado", ""), IF(OR(J1664="", J1664=""), "[Aviso] División no capturada ()", IF(ISNA(MATCH(J1664, Criterios!$A$123:$A$126, 0)), "División no válida", "")), IF(OR(K1664="", K1664=""), "[Aviso] Categoría no capturada ()", IF(ISNA(MATCH(K1664, Criterios!$A$81:$A$120, 0)), "Categoría no válida", IF(AND(J1664&lt;&gt;"", J1664&lt;&gt;"", J1664&lt;&gt;VLOOKUP(K1664, Criterios!$A$81:$B$120, 2, FALSE)), "División no coincide con Categoría", ""))), IF(OR(L1664="", L1664=""), "[Aviso] Género no capturado ()", IF(ISNA(MATCH(L1664, Criterios!$B$123:$B$127, 0)), "Género no válido", "")), IF(OR(N1664="", N1664=""), "[Aviso] Temporada no capturada ()", IF(ISNA(MATCH(N1664, Criterios!$C$123:$C$128, 0)), "Temporada no válida", "")), IF(OR(O1664="", O1664=""), "[Aviso] Ciclo de vida no capturado ()", IF(ISNA(MATCH(O1664, Criterios!$D$123:$D$124, 0)), "Ciclo de vida no válido", ""))))</f>
        <v/>
      </c>
      <c r="AC1664" s="56" t="n"/>
      <c r="AD1664" s="51" t="n">
        <v>-2</v>
      </c>
      <c r="AE1664" s="156" t="n"/>
      <c r="AF1664" s="51" t="n">
        <v>0</v>
      </c>
      <c r="AG1664" s="156" t="inlineStr">
        <is>
          <t>Catálogo existente</t>
        </is>
      </c>
      <c r="AH166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4" s="156" t="inlineStr">
        <is>
          <t>Sí</t>
        </is>
      </c>
      <c r="AJ1664" s="156" t="inlineStr">
        <is>
          <t>STETSON AMERICAS (-2)</t>
        </is>
      </c>
      <c r="AK1664" s="155" t="inlineStr">
        <is>
          <t>Criterios: I [Q] | Shopify Stetson: producto 14895831777643 / variante 53350594511211</t>
        </is>
      </c>
      <c r="AL1664" s="58" t="n">
        <v>1181.25</v>
      </c>
      <c r="AM1664" s="58" t="n">
        <v>2844.827586</v>
      </c>
      <c r="AN1664" s="155" t="inlineStr">
        <is>
          <t>Shopify Stetson México</t>
        </is>
      </c>
      <c r="AO1664" s="59" t="n">
        <v>0</v>
      </c>
      <c r="AP1664" s="59" t="n"/>
      <c r="AQ1664" s="59" t="n"/>
      <c r="AR1664" s="155" t="n"/>
    </row>
    <row r="1665">
      <c r="A1665" s="50" t="inlineStr">
        <is>
          <t>883383313291</t>
        </is>
      </c>
      <c r="B1665" s="51" t="inlineStr">
        <is>
          <t>110424</t>
        </is>
      </c>
      <c r="C1665" s="156" t="inlineStr">
        <is>
          <t>Multimarca</t>
        </is>
      </c>
      <c r="D1665" s="156" t="inlineStr">
        <is>
          <t>SWBRNM-724249</t>
        </is>
      </c>
      <c r="E1665" s="156" t="inlineStr">
        <is>
          <t>SWBRNM-72424970</t>
        </is>
      </c>
      <c r="F1665" s="156" t="inlineStr">
        <is>
          <t>7</t>
        </is>
      </c>
      <c r="G1665" s="156" t="inlineStr">
        <is>
          <t>7</t>
        </is>
      </c>
      <c r="H1665" s="156" t="inlineStr">
        <is>
          <t>Stetson</t>
        </is>
      </c>
      <c r="I1665" s="156" t="inlineStr">
        <is>
          <t>Texana Stetson Brenham 4X</t>
        </is>
      </c>
      <c r="J1665" s="156" t="inlineStr">
        <is>
          <t>Accesorios</t>
        </is>
      </c>
      <c r="K1665" s="156" t="inlineStr">
        <is>
          <t>Sombreros</t>
        </is>
      </c>
      <c r="L1665" s="156" t="inlineStr">
        <is>
          <t>Unisex</t>
        </is>
      </c>
      <c r="M1665" s="156" t="inlineStr">
        <is>
          <t>Stetson</t>
        </is>
      </c>
      <c r="N1665" s="156" t="inlineStr">
        <is>
          <t>SS26</t>
        </is>
      </c>
      <c r="O1665" s="156" t="inlineStr">
        <is>
          <t>Seasonal</t>
        </is>
      </c>
      <c r="P1665" s="156" t="inlineStr">
        <is>
          <t>Gris</t>
        </is>
      </c>
      <c r="Q1665" s="156" t="n"/>
      <c r="R1665" s="156" t="inlineStr">
        <is>
          <t>Copa Rancher</t>
        </is>
      </c>
      <c r="S1665" s="156" t="inlineStr">
        <is>
          <t>100% Fieltro de lana</t>
        </is>
      </c>
      <c r="T1665"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5" s="156" t="inlineStr">
        <is>
          <t>Estados Unidos</t>
        </is>
      </c>
      <c r="V1665" s="156" t="inlineStr">
        <is>
          <t>PZS</t>
        </is>
      </c>
      <c r="W1665" s="51" t="inlineStr">
        <is>
          <t>53102503</t>
        </is>
      </c>
      <c r="X1665" s="156" t="inlineStr">
        <is>
          <t>https://cdn.shopify.com/s/files/1/0888/3250/8267/files/SWBRNM-7242-49-02.jpg?v=1780958474</t>
        </is>
      </c>
      <c r="Y1665" s="54" t="n">
        <v>1181.25</v>
      </c>
      <c r="Z1665" s="54" t="n">
        <v>2844.827586</v>
      </c>
      <c r="AA1665" s="55">
        <f>IF(AND(A1665="", B1665="", E1665=""), "", IF(AB1665="", "Válido", IF((LEN(AB1665)-LEN(SUBSTITUTE(AB1665,"; ","")))/2+1&gt;(LEN(AB1665)-LEN(SUBSTITUTE(AB1665,"[Aviso]","")))/7, "Con Incidencias", "Válido")))</f>
        <v/>
      </c>
      <c r="AB1665" s="56">
        <f>IF(AND(A1665="", B1665="", E1665=""), "", TEXTJOIN("; ", TRUE, IF(OR(TRIM(A1665&amp;"")="", ISNUMBER(SEARCH("FALTA", A1665))), "UPC faltante/inválido", ""), IF(AND(A1665&lt;&gt;"", IFERROR(_xlfn.XMATCH(A1665,$A$2:$A$2509,0,1)&lt;&gt;_xlfn.XMATCH(A1665,$A$2:$A$2509,0,-1),FALSE)), "Código de barras duplicado", ""), IF(AND(E1665&lt;&gt;"", COUNTIF($E$2:$E$2509, E1665)&gt;1), "SKU duplicado", ""), IF(OR(J1665="", J1665=""), "[Aviso] División no capturada ()", IF(ISNA(MATCH(J1665, Criterios!$A$123:$A$126, 0)), "División no válida", "")), IF(OR(K1665="", K1665=""), "[Aviso] Categoría no capturada ()", IF(ISNA(MATCH(K1665, Criterios!$A$81:$A$120, 0)), "Categoría no válida", IF(AND(J1665&lt;&gt;"", J1665&lt;&gt;"", J1665&lt;&gt;VLOOKUP(K1665, Criterios!$A$81:$B$120, 2, FALSE)), "División no coincide con Categoría", ""))), IF(OR(L1665="", L1665=""), "[Aviso] Género no capturado ()", IF(ISNA(MATCH(L1665, Criterios!$B$123:$B$127, 0)), "Género no válido", "")), IF(OR(N1665="", N1665=""), "[Aviso] Temporada no capturada ()", IF(ISNA(MATCH(N1665, Criterios!$C$123:$C$128, 0)), "Temporada no válida", "")), IF(OR(O1665="", O1665=""), "[Aviso] Ciclo de vida no capturado ()", IF(ISNA(MATCH(O1665, Criterios!$D$123:$D$124, 0)), "Ciclo de vida no válido", ""))))</f>
        <v/>
      </c>
      <c r="AC1665" s="56" t="n"/>
      <c r="AD1665" s="51" t="n">
        <v>-1</v>
      </c>
      <c r="AE1665" s="156" t="n"/>
      <c r="AF1665" s="51" t="n">
        <v>0</v>
      </c>
      <c r="AG1665" s="156" t="inlineStr">
        <is>
          <t>Catálogo existente</t>
        </is>
      </c>
      <c r="AH166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5" s="156" t="inlineStr">
        <is>
          <t>Sí</t>
        </is>
      </c>
      <c r="AJ1665" s="156" t="inlineStr">
        <is>
          <t>STETSON AMERICAS (-1)</t>
        </is>
      </c>
      <c r="AK1665" s="155" t="inlineStr">
        <is>
          <t>Criterios: I [Q] | Shopify Stetson: producto 14895831777643 / variante 53350594543979</t>
        </is>
      </c>
      <c r="AL1665" s="58" t="n">
        <v>1181.25</v>
      </c>
      <c r="AM1665" s="58" t="n">
        <v>2844.827586</v>
      </c>
      <c r="AN1665" s="155" t="inlineStr">
        <is>
          <t>Shopify Stetson México</t>
        </is>
      </c>
      <c r="AO1665" s="59" t="n">
        <v>0</v>
      </c>
      <c r="AP1665" s="59" t="n"/>
      <c r="AQ1665" s="59" t="n"/>
      <c r="AR1665" s="155" t="n"/>
    </row>
    <row r="1666">
      <c r="A1666" s="50" t="inlineStr">
        <is>
          <t>883383313307</t>
        </is>
      </c>
      <c r="B1666" s="51" t="inlineStr">
        <is>
          <t>110425</t>
        </is>
      </c>
      <c r="C1666" s="156" t="inlineStr">
        <is>
          <t>Multimarca</t>
        </is>
      </c>
      <c r="D1666" s="156" t="inlineStr">
        <is>
          <t>SWBRNM-724249</t>
        </is>
      </c>
      <c r="E1666" s="156" t="inlineStr">
        <is>
          <t>SWBRNM-72424971</t>
        </is>
      </c>
      <c r="F1666" s="156" t="inlineStr">
        <is>
          <t>7 1/8</t>
        </is>
      </c>
      <c r="G1666" s="156" t="inlineStr">
        <is>
          <t>7 1/8</t>
        </is>
      </c>
      <c r="H1666" s="156" t="inlineStr">
        <is>
          <t>Stetson</t>
        </is>
      </c>
      <c r="I1666" s="156" t="inlineStr">
        <is>
          <t>Texana Stetson Brenham 4X</t>
        </is>
      </c>
      <c r="J1666" s="156" t="inlineStr">
        <is>
          <t>Accesorios</t>
        </is>
      </c>
      <c r="K1666" s="156" t="inlineStr">
        <is>
          <t>Sombreros</t>
        </is>
      </c>
      <c r="L1666" s="156" t="inlineStr">
        <is>
          <t>Unisex</t>
        </is>
      </c>
      <c r="M1666" s="156" t="inlineStr">
        <is>
          <t>Stetson</t>
        </is>
      </c>
      <c r="N1666" s="156" t="inlineStr">
        <is>
          <t>SS26</t>
        </is>
      </c>
      <c r="O1666" s="156" t="inlineStr">
        <is>
          <t>Seasonal</t>
        </is>
      </c>
      <c r="P1666" s="156" t="inlineStr">
        <is>
          <t>Gris</t>
        </is>
      </c>
      <c r="Q1666" s="156" t="n"/>
      <c r="R1666" s="156" t="inlineStr">
        <is>
          <t>Copa Rancher</t>
        </is>
      </c>
      <c r="S1666" s="156" t="inlineStr">
        <is>
          <t>100% Fieltro de lana</t>
        </is>
      </c>
      <c r="T1666"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6" s="156" t="inlineStr">
        <is>
          <t>Estados Unidos</t>
        </is>
      </c>
      <c r="V1666" s="156" t="inlineStr">
        <is>
          <t>PZS</t>
        </is>
      </c>
      <c r="W1666" s="51" t="inlineStr">
        <is>
          <t>53102503</t>
        </is>
      </c>
      <c r="X1666" s="156" t="inlineStr">
        <is>
          <t>https://cdn.shopify.com/s/files/1/0888/3250/8267/files/SWBRNM-7242-49-04.jpg?v=1780958488</t>
        </is>
      </c>
      <c r="Y1666" s="54" t="n">
        <v>1181.25</v>
      </c>
      <c r="Z1666" s="54" t="n">
        <v>2844.827586</v>
      </c>
      <c r="AA1666" s="55">
        <f>IF(AND(A1666="", B1666="", E1666=""), "", IF(AB1666="", "Válido", IF((LEN(AB1666)-LEN(SUBSTITUTE(AB1666,"; ","")))/2+1&gt;(LEN(AB1666)-LEN(SUBSTITUTE(AB1666,"[Aviso]","")))/7, "Con Incidencias", "Válido")))</f>
        <v/>
      </c>
      <c r="AB1666" s="56">
        <f>IF(AND(A1666="", B1666="", E1666=""), "", TEXTJOIN("; ", TRUE, IF(OR(TRIM(A1666&amp;"")="", ISNUMBER(SEARCH("FALTA", A1666))), "UPC faltante/inválido", ""), IF(AND(A1666&lt;&gt;"", IFERROR(_xlfn.XMATCH(A1666,$A$2:$A$2509,0,1)&lt;&gt;_xlfn.XMATCH(A1666,$A$2:$A$2509,0,-1),FALSE)), "Código de barras duplicado", ""), IF(AND(E1666&lt;&gt;"", COUNTIF($E$2:$E$2509, E1666)&gt;1), "SKU duplicado", ""), IF(OR(J1666="", J1666=""), "[Aviso] División no capturada ()", IF(ISNA(MATCH(J1666, Criterios!$A$123:$A$126, 0)), "División no válida", "")), IF(OR(K1666="", K1666=""), "[Aviso] Categoría no capturada ()", IF(ISNA(MATCH(K1666, Criterios!$A$81:$A$120, 0)), "Categoría no válida", IF(AND(J1666&lt;&gt;"", J1666&lt;&gt;"", J1666&lt;&gt;VLOOKUP(K1666, Criterios!$A$81:$B$120, 2, FALSE)), "División no coincide con Categoría", ""))), IF(OR(L1666="", L1666=""), "[Aviso] Género no capturado ()", IF(ISNA(MATCH(L1666, Criterios!$B$123:$B$127, 0)), "Género no válido", "")), IF(OR(N1666="", N1666=""), "[Aviso] Temporada no capturada ()", IF(ISNA(MATCH(N1666, Criterios!$C$123:$C$128, 0)), "Temporada no válida", "")), IF(OR(O1666="", O1666=""), "[Aviso] Ciclo de vida no capturado ()", IF(ISNA(MATCH(O1666, Criterios!$D$123:$D$124, 0)), "Ciclo de vida no válido", ""))))</f>
        <v/>
      </c>
      <c r="AC1666" s="56" t="n"/>
      <c r="AD1666" s="51" t="n">
        <v>-1</v>
      </c>
      <c r="AE1666" s="156" t="n"/>
      <c r="AF1666" s="51" t="n">
        <v>0</v>
      </c>
      <c r="AG1666" s="156" t="inlineStr">
        <is>
          <t>Catálogo existente</t>
        </is>
      </c>
      <c r="AH166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6" s="156" t="inlineStr">
        <is>
          <t>Sí</t>
        </is>
      </c>
      <c r="AJ1666" s="156" t="inlineStr">
        <is>
          <t>STETSON AMERICAS (-1)</t>
        </is>
      </c>
      <c r="AK1666" s="155" t="inlineStr">
        <is>
          <t>Criterios: I [Q] | Shopify Stetson: producto 14895831777643 / variante 53350594576747</t>
        </is>
      </c>
      <c r="AL1666" s="58" t="n">
        <v>1181.25</v>
      </c>
      <c r="AM1666" s="58" t="n">
        <v>2844.827586</v>
      </c>
      <c r="AN1666" s="155" t="inlineStr">
        <is>
          <t>Shopify Stetson México</t>
        </is>
      </c>
      <c r="AO1666" s="59" t="n">
        <v>0</v>
      </c>
      <c r="AP1666" s="59" t="n"/>
      <c r="AQ1666" s="59" t="n"/>
      <c r="AR1666" s="155" t="n"/>
    </row>
    <row r="1667">
      <c r="A1667" s="50" t="inlineStr">
        <is>
          <t>883383313314</t>
        </is>
      </c>
      <c r="B1667" s="51" t="inlineStr">
        <is>
          <t>110426</t>
        </is>
      </c>
      <c r="C1667" s="156" t="inlineStr">
        <is>
          <t>Multimarca</t>
        </is>
      </c>
      <c r="D1667" s="156" t="inlineStr">
        <is>
          <t>SWBRNM-724249</t>
        </is>
      </c>
      <c r="E1667" s="156" t="inlineStr">
        <is>
          <t>SWBRNM-72424972</t>
        </is>
      </c>
      <c r="F1667" s="156" t="inlineStr">
        <is>
          <t>7 1/4</t>
        </is>
      </c>
      <c r="G1667" s="156" t="inlineStr">
        <is>
          <t>7 1/4</t>
        </is>
      </c>
      <c r="H1667" s="156" t="inlineStr">
        <is>
          <t>Stetson</t>
        </is>
      </c>
      <c r="I1667" s="156" t="inlineStr">
        <is>
          <t>Texana Stetson Brenham 4X</t>
        </is>
      </c>
      <c r="J1667" s="156" t="inlineStr">
        <is>
          <t>Accesorios</t>
        </is>
      </c>
      <c r="K1667" s="156" t="inlineStr">
        <is>
          <t>Sombreros</t>
        </is>
      </c>
      <c r="L1667" s="156" t="inlineStr">
        <is>
          <t>Unisex</t>
        </is>
      </c>
      <c r="M1667" s="156" t="inlineStr">
        <is>
          <t>Stetson</t>
        </is>
      </c>
      <c r="N1667" s="156" t="inlineStr">
        <is>
          <t>SS26</t>
        </is>
      </c>
      <c r="O1667" s="156" t="inlineStr">
        <is>
          <t>Seasonal</t>
        </is>
      </c>
      <c r="P1667" s="156" t="inlineStr">
        <is>
          <t>Gris</t>
        </is>
      </c>
      <c r="Q1667" s="156" t="n"/>
      <c r="R1667" s="156" t="inlineStr">
        <is>
          <t>Copa Rancher</t>
        </is>
      </c>
      <c r="S1667" s="156" t="inlineStr">
        <is>
          <t>100% Fieltro de lana</t>
        </is>
      </c>
      <c r="T1667"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7" s="156" t="inlineStr">
        <is>
          <t>Estados Unidos</t>
        </is>
      </c>
      <c r="V1667" s="156" t="inlineStr">
        <is>
          <t>PZS</t>
        </is>
      </c>
      <c r="W1667" s="51" t="inlineStr">
        <is>
          <t>53102503</t>
        </is>
      </c>
      <c r="X1667" s="156" t="inlineStr">
        <is>
          <t>https://cdn.shopify.com/s/files/1/0888/3250/8267/files/SWBRNM-7242-49-05.jpg?v=1780958496</t>
        </is>
      </c>
      <c r="Y1667" s="54" t="n">
        <v>1181.25</v>
      </c>
      <c r="Z1667" s="54" t="n">
        <v>2844.827586</v>
      </c>
      <c r="AA1667" s="55">
        <f>IF(AND(A1667="", B1667="", E1667=""), "", IF(AB1667="", "Válido", IF((LEN(AB1667)-LEN(SUBSTITUTE(AB1667,"; ","")))/2+1&gt;(LEN(AB1667)-LEN(SUBSTITUTE(AB1667,"[Aviso]","")))/7, "Con Incidencias", "Válido")))</f>
        <v/>
      </c>
      <c r="AB1667" s="56">
        <f>IF(AND(A1667="", B1667="", E1667=""), "", TEXTJOIN("; ", TRUE, IF(OR(TRIM(A1667&amp;"")="", ISNUMBER(SEARCH("FALTA", A1667))), "UPC faltante/inválido", ""), IF(AND(A1667&lt;&gt;"", IFERROR(_xlfn.XMATCH(A1667,$A$2:$A$2509,0,1)&lt;&gt;_xlfn.XMATCH(A1667,$A$2:$A$2509,0,-1),FALSE)), "Código de barras duplicado", ""), IF(AND(E1667&lt;&gt;"", COUNTIF($E$2:$E$2509, E1667)&gt;1), "SKU duplicado", ""), IF(OR(J1667="", J1667=""), "[Aviso] División no capturada ()", IF(ISNA(MATCH(J1667, Criterios!$A$123:$A$126, 0)), "División no válida", "")), IF(OR(K1667="", K1667=""), "[Aviso] Categoría no capturada ()", IF(ISNA(MATCH(K1667, Criterios!$A$81:$A$120, 0)), "Categoría no válida", IF(AND(J1667&lt;&gt;"", J1667&lt;&gt;"", J1667&lt;&gt;VLOOKUP(K1667, Criterios!$A$81:$B$120, 2, FALSE)), "División no coincide con Categoría", ""))), IF(OR(L1667="", L1667=""), "[Aviso] Género no capturado ()", IF(ISNA(MATCH(L1667, Criterios!$B$123:$B$127, 0)), "Género no válido", "")), IF(OR(N1667="", N1667=""), "[Aviso] Temporada no capturada ()", IF(ISNA(MATCH(N1667, Criterios!$C$123:$C$128, 0)), "Temporada no válida", "")), IF(OR(O1667="", O1667=""), "[Aviso] Ciclo de vida no capturado ()", IF(ISNA(MATCH(O1667, Criterios!$D$123:$D$124, 0)), "Ciclo de vida no válido", ""))))</f>
        <v/>
      </c>
      <c r="AC1667" s="56" t="n"/>
      <c r="AD1667" s="51" t="n">
        <v>-2</v>
      </c>
      <c r="AE1667" s="156" t="n"/>
      <c r="AF1667" s="51" t="n">
        <v>0</v>
      </c>
      <c r="AG1667" s="156" t="inlineStr">
        <is>
          <t>Catálogo existente</t>
        </is>
      </c>
      <c r="AH166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7" s="156" t="inlineStr">
        <is>
          <t>Sí</t>
        </is>
      </c>
      <c r="AJ1667" s="156" t="inlineStr">
        <is>
          <t>STETSON AMERICAS (-2)</t>
        </is>
      </c>
      <c r="AK1667" s="155" t="inlineStr">
        <is>
          <t>Criterios: I [Q] | Shopify Stetson: producto 14895831777643 / variante 53350594609515</t>
        </is>
      </c>
      <c r="AL1667" s="58" t="n">
        <v>1181.25</v>
      </c>
      <c r="AM1667" s="58" t="n">
        <v>2844.827586</v>
      </c>
      <c r="AN1667" s="155" t="inlineStr">
        <is>
          <t>Shopify Stetson México</t>
        </is>
      </c>
      <c r="AO1667" s="59" t="n">
        <v>0</v>
      </c>
      <c r="AP1667" s="59" t="n"/>
      <c r="AQ1667" s="59" t="n"/>
      <c r="AR1667" s="155" t="n"/>
    </row>
    <row r="1668">
      <c r="A1668" s="50" t="inlineStr">
        <is>
          <t>883383313321</t>
        </is>
      </c>
      <c r="B1668" s="51" t="inlineStr">
        <is>
          <t>110427</t>
        </is>
      </c>
      <c r="C1668" s="156" t="inlineStr">
        <is>
          <t>Multimarca</t>
        </is>
      </c>
      <c r="D1668" s="156" t="inlineStr">
        <is>
          <t>SWBRNM-724249</t>
        </is>
      </c>
      <c r="E1668" s="156" t="inlineStr">
        <is>
          <t>SWBRNM-72424973</t>
        </is>
      </c>
      <c r="F1668" s="156" t="inlineStr">
        <is>
          <t>7 3/8</t>
        </is>
      </c>
      <c r="G1668" s="156" t="inlineStr">
        <is>
          <t>7 3/8</t>
        </is>
      </c>
      <c r="H1668" s="156" t="inlineStr">
        <is>
          <t>Stetson</t>
        </is>
      </c>
      <c r="I1668" s="156" t="inlineStr">
        <is>
          <t>Texana Stetson Brenham 4X</t>
        </is>
      </c>
      <c r="J1668" s="156" t="inlineStr">
        <is>
          <t>Accesorios</t>
        </is>
      </c>
      <c r="K1668" s="156" t="inlineStr">
        <is>
          <t>Sombreros</t>
        </is>
      </c>
      <c r="L1668" s="156" t="inlineStr">
        <is>
          <t>Unisex</t>
        </is>
      </c>
      <c r="M1668" s="156" t="inlineStr">
        <is>
          <t>Stetson</t>
        </is>
      </c>
      <c r="N1668" s="156" t="inlineStr">
        <is>
          <t>SS26</t>
        </is>
      </c>
      <c r="O1668" s="156" t="inlineStr">
        <is>
          <t>Seasonal</t>
        </is>
      </c>
      <c r="P1668" s="156" t="inlineStr">
        <is>
          <t>Gris</t>
        </is>
      </c>
      <c r="Q1668" s="156" t="n"/>
      <c r="R1668" s="156" t="inlineStr">
        <is>
          <t>Copa Rancher</t>
        </is>
      </c>
      <c r="S1668" s="156" t="inlineStr">
        <is>
          <t>100% Fieltro de lana</t>
        </is>
      </c>
      <c r="T1668"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8" s="156" t="inlineStr">
        <is>
          <t>Estados Unidos</t>
        </is>
      </c>
      <c r="V1668" s="156" t="inlineStr">
        <is>
          <t>PZS</t>
        </is>
      </c>
      <c r="W1668" s="51" t="inlineStr">
        <is>
          <t>53102503</t>
        </is>
      </c>
      <c r="X1668" s="156" t="inlineStr">
        <is>
          <t>https://cdn.shopify.com/s/files/1/0888/3250/8267/files/SWBRNM-7242-49-06.jpg?v=1780958503</t>
        </is>
      </c>
      <c r="Y1668" s="54" t="n">
        <v>1181.25</v>
      </c>
      <c r="Z1668" s="54" t="n">
        <v>2844.827586</v>
      </c>
      <c r="AA1668" s="55">
        <f>IF(AND(A1668="", B1668="", E1668=""), "", IF(AB1668="", "Válido", IF((LEN(AB1668)-LEN(SUBSTITUTE(AB1668,"; ","")))/2+1&gt;(LEN(AB1668)-LEN(SUBSTITUTE(AB1668,"[Aviso]","")))/7, "Con Incidencias", "Válido")))</f>
        <v/>
      </c>
      <c r="AB1668" s="56">
        <f>IF(AND(A1668="", B1668="", E1668=""), "", TEXTJOIN("; ", TRUE, IF(OR(TRIM(A1668&amp;"")="", ISNUMBER(SEARCH("FALTA", A1668))), "UPC faltante/inválido", ""), IF(AND(A1668&lt;&gt;"", IFERROR(_xlfn.XMATCH(A1668,$A$2:$A$2509,0,1)&lt;&gt;_xlfn.XMATCH(A1668,$A$2:$A$2509,0,-1),FALSE)), "Código de barras duplicado", ""), IF(AND(E1668&lt;&gt;"", COUNTIF($E$2:$E$2509, E1668)&gt;1), "SKU duplicado", ""), IF(OR(J1668="", J1668=""), "[Aviso] División no capturada ()", IF(ISNA(MATCH(J1668, Criterios!$A$123:$A$126, 0)), "División no válida", "")), IF(OR(K1668="", K1668=""), "[Aviso] Categoría no capturada ()", IF(ISNA(MATCH(K1668, Criterios!$A$81:$A$120, 0)), "Categoría no válida", IF(AND(J1668&lt;&gt;"", J1668&lt;&gt;"", J1668&lt;&gt;VLOOKUP(K1668, Criterios!$A$81:$B$120, 2, FALSE)), "División no coincide con Categoría", ""))), IF(OR(L1668="", L1668=""), "[Aviso] Género no capturado ()", IF(ISNA(MATCH(L1668, Criterios!$B$123:$B$127, 0)), "Género no válido", "")), IF(OR(N1668="", N1668=""), "[Aviso] Temporada no capturada ()", IF(ISNA(MATCH(N1668, Criterios!$C$123:$C$128, 0)), "Temporada no válida", "")), IF(OR(O1668="", O1668=""), "[Aviso] Ciclo de vida no capturado ()", IF(ISNA(MATCH(O1668, Criterios!$D$123:$D$124, 0)), "Ciclo de vida no válido", ""))))</f>
        <v/>
      </c>
      <c r="AC1668" s="56" t="n"/>
      <c r="AD1668" s="51" t="n">
        <v>0</v>
      </c>
      <c r="AE1668" s="156" t="n"/>
      <c r="AF1668" s="51" t="n">
        <v>0</v>
      </c>
      <c r="AG1668" s="156" t="inlineStr">
        <is>
          <t>Catálogo existente</t>
        </is>
      </c>
      <c r="AH166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68" s="156" t="inlineStr">
        <is>
          <t>No</t>
        </is>
      </c>
      <c r="AJ1668" s="156" t="n"/>
      <c r="AK1668" s="155" t="inlineStr">
        <is>
          <t>Criterios: I [Q] | Shopify Stetson: producto 14895831777643 / variante 53350594642283</t>
        </is>
      </c>
      <c r="AL1668" s="58" t="n">
        <v>1181.25</v>
      </c>
      <c r="AM1668" s="58" t="n">
        <v>2844.827586</v>
      </c>
      <c r="AN1668" s="155" t="inlineStr">
        <is>
          <t>Shopify Stetson México</t>
        </is>
      </c>
      <c r="AO1668" s="59" t="n">
        <v>2</v>
      </c>
      <c r="AP1668" s="59" t="n"/>
      <c r="AQ1668" s="59" t="n"/>
      <c r="AR1668" s="155" t="inlineStr">
        <is>
          <t>Shopify Stetson México › Stetson Americas: 2</t>
        </is>
      </c>
    </row>
    <row r="1669">
      <c r="A1669" s="50" t="inlineStr">
        <is>
          <t>883383313338</t>
        </is>
      </c>
      <c r="B1669" s="51" t="inlineStr">
        <is>
          <t>110428</t>
        </is>
      </c>
      <c r="C1669" s="156" t="inlineStr">
        <is>
          <t>Multimarca</t>
        </is>
      </c>
      <c r="D1669" s="156" t="inlineStr">
        <is>
          <t>SWBRNM-724249</t>
        </is>
      </c>
      <c r="E1669" s="156" t="inlineStr">
        <is>
          <t>SWBRNM-72424974</t>
        </is>
      </c>
      <c r="F1669" s="156" t="inlineStr">
        <is>
          <t>7 1/2</t>
        </is>
      </c>
      <c r="G1669" s="156" t="inlineStr">
        <is>
          <t>7 1/2</t>
        </is>
      </c>
      <c r="H1669" s="156" t="inlineStr">
        <is>
          <t>Stetson</t>
        </is>
      </c>
      <c r="I1669" s="156" t="inlineStr">
        <is>
          <t>Texana Stetson Brenham 4X</t>
        </is>
      </c>
      <c r="J1669" s="156" t="inlineStr">
        <is>
          <t>Accesorios</t>
        </is>
      </c>
      <c r="K1669" s="156" t="inlineStr">
        <is>
          <t>Sombreros</t>
        </is>
      </c>
      <c r="L1669" s="156" t="inlineStr">
        <is>
          <t>Unisex</t>
        </is>
      </c>
      <c r="M1669" s="156" t="inlineStr">
        <is>
          <t>Stetson</t>
        </is>
      </c>
      <c r="N1669" s="156" t="inlineStr">
        <is>
          <t>SS26</t>
        </is>
      </c>
      <c r="O1669" s="156" t="inlineStr">
        <is>
          <t>Seasonal</t>
        </is>
      </c>
      <c r="P1669" s="156" t="inlineStr">
        <is>
          <t>Gris</t>
        </is>
      </c>
      <c r="Q1669" s="156" t="n"/>
      <c r="R1669" s="156" t="inlineStr">
        <is>
          <t>Copa Rancher</t>
        </is>
      </c>
      <c r="S1669" s="156" t="inlineStr">
        <is>
          <t>100% Fieltro de lana</t>
        </is>
      </c>
      <c r="T1669"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9" s="156" t="inlineStr">
        <is>
          <t>Estados Unidos</t>
        </is>
      </c>
      <c r="V1669" s="156" t="inlineStr">
        <is>
          <t>PZS</t>
        </is>
      </c>
      <c r="W1669" s="51" t="inlineStr">
        <is>
          <t>53102503</t>
        </is>
      </c>
      <c r="X1669" s="156" t="inlineStr">
        <is>
          <t>https://cdn.shopify.com/s/files/1/0888/3250/8267/files/SWBRNM-7242-49-03.jpg?v=1780958480</t>
        </is>
      </c>
      <c r="Y1669" s="54" t="n">
        <v>1181.25</v>
      </c>
      <c r="Z1669" s="54" t="n">
        <v>2844.827586</v>
      </c>
      <c r="AA1669" s="55">
        <f>IF(AND(A1669="", B1669="", E1669=""), "", IF(AB1669="", "Válido", IF((LEN(AB1669)-LEN(SUBSTITUTE(AB1669,"; ","")))/2+1&gt;(LEN(AB1669)-LEN(SUBSTITUTE(AB1669,"[Aviso]","")))/7, "Con Incidencias", "Válido")))</f>
        <v/>
      </c>
      <c r="AB1669" s="56">
        <f>IF(AND(A1669="", B1669="", E1669=""), "", TEXTJOIN("; ", TRUE, IF(OR(TRIM(A1669&amp;"")="", ISNUMBER(SEARCH("FALTA", A1669))), "UPC faltante/inválido", ""), IF(AND(A1669&lt;&gt;"", IFERROR(_xlfn.XMATCH(A1669,$A$2:$A$2509,0,1)&lt;&gt;_xlfn.XMATCH(A1669,$A$2:$A$2509,0,-1),FALSE)), "Código de barras duplicado", ""), IF(AND(E1669&lt;&gt;"", COUNTIF($E$2:$E$2509, E1669)&gt;1), "SKU duplicado", ""), IF(OR(J1669="", J1669=""), "[Aviso] División no capturada ()", IF(ISNA(MATCH(J1669, Criterios!$A$123:$A$126, 0)), "División no válida", "")), IF(OR(K1669="", K1669=""), "[Aviso] Categoría no capturada ()", IF(ISNA(MATCH(K1669, Criterios!$A$81:$A$120, 0)), "Categoría no válida", IF(AND(J1669&lt;&gt;"", J1669&lt;&gt;"", J1669&lt;&gt;VLOOKUP(K1669, Criterios!$A$81:$B$120, 2, FALSE)), "División no coincide con Categoría", ""))), IF(OR(L1669="", L1669=""), "[Aviso] Género no capturado ()", IF(ISNA(MATCH(L1669, Criterios!$B$123:$B$127, 0)), "Género no válido", "")), IF(OR(N1669="", N1669=""), "[Aviso] Temporada no capturada ()", IF(ISNA(MATCH(N1669, Criterios!$C$123:$C$128, 0)), "Temporada no válida", "")), IF(OR(O1669="", O1669=""), "[Aviso] Ciclo de vida no capturado ()", IF(ISNA(MATCH(O1669, Criterios!$D$123:$D$124, 0)), "Ciclo de vida no válido", ""))))</f>
        <v/>
      </c>
      <c r="AC1669" s="56" t="n"/>
      <c r="AD1669" s="51" t="n">
        <v>-2</v>
      </c>
      <c r="AE1669" s="156" t="n"/>
      <c r="AF1669" s="51" t="n">
        <v>0</v>
      </c>
      <c r="AG1669" s="156" t="inlineStr">
        <is>
          <t>Catálogo existente</t>
        </is>
      </c>
      <c r="AH166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9" s="156" t="inlineStr">
        <is>
          <t>Sí</t>
        </is>
      </c>
      <c r="AJ1669" s="156" t="inlineStr">
        <is>
          <t>STETSON AMERICAS (-2)</t>
        </is>
      </c>
      <c r="AK1669" s="155" t="inlineStr">
        <is>
          <t>Criterios: I [Q] | Shopify Stetson: producto 14895831777643 / variante 53350594675051</t>
        </is>
      </c>
      <c r="AL1669" s="58" t="n">
        <v>1181.25</v>
      </c>
      <c r="AM1669" s="58" t="n">
        <v>2844.827586</v>
      </c>
      <c r="AN1669" s="155" t="inlineStr">
        <is>
          <t>Shopify Stetson México</t>
        </is>
      </c>
      <c r="AO1669" s="59" t="n">
        <v>0</v>
      </c>
      <c r="AP1669" s="59" t="n"/>
      <c r="AQ1669" s="59" t="n"/>
      <c r="AR1669" s="155" t="n"/>
    </row>
    <row r="1670">
      <c r="A1670" s="50" t="inlineStr">
        <is>
          <t>883383319040</t>
        </is>
      </c>
      <c r="B1670" s="51" t="inlineStr">
        <is>
          <t>110187</t>
        </is>
      </c>
      <c r="C1670" s="156" t="inlineStr">
        <is>
          <t>Multimarca</t>
        </is>
      </c>
      <c r="D1670" s="156" t="inlineStr">
        <is>
          <t>SSLOBO-304281</t>
        </is>
      </c>
      <c r="E1670" s="156" t="inlineStr">
        <is>
          <t>SSLOBO-30428170</t>
        </is>
      </c>
      <c r="F1670" s="156" t="inlineStr">
        <is>
          <t>7</t>
        </is>
      </c>
      <c r="G1670" s="156" t="inlineStr">
        <is>
          <t>7</t>
        </is>
      </c>
      <c r="H1670" s="156" t="inlineStr">
        <is>
          <t>Stetson</t>
        </is>
      </c>
      <c r="I1670" s="156" t="inlineStr">
        <is>
          <t>Sombrero Stetson Lobo Natural</t>
        </is>
      </c>
      <c r="J1670" s="156" t="inlineStr">
        <is>
          <t>Accesorios</t>
        </is>
      </c>
      <c r="K1670" s="156" t="inlineStr">
        <is>
          <t>Sombreros</t>
        </is>
      </c>
      <c r="L1670" s="156" t="inlineStr">
        <is>
          <t>Unisex</t>
        </is>
      </c>
      <c r="M1670" s="156" t="inlineStr">
        <is>
          <t>Stetson</t>
        </is>
      </c>
      <c r="N1670" s="156" t="inlineStr">
        <is>
          <t>SS26</t>
        </is>
      </c>
      <c r="O1670" s="156" t="inlineStr">
        <is>
          <t>Seasonal</t>
        </is>
      </c>
      <c r="P1670" s="156" t="inlineStr">
        <is>
          <t>Beige</t>
        </is>
      </c>
      <c r="Q1670" s="156" t="n"/>
      <c r="R1670" s="156" t="inlineStr">
        <is>
          <t>Copa Cattleman</t>
        </is>
      </c>
      <c r="S1670" s="156" t="inlineStr">
        <is>
          <t>100% Paja</t>
        </is>
      </c>
      <c r="T1670"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0" s="156" t="inlineStr">
        <is>
          <t>Estados Unidos</t>
        </is>
      </c>
      <c r="V1670" s="156" t="inlineStr">
        <is>
          <t>PZS</t>
        </is>
      </c>
      <c r="W1670" s="51" t="inlineStr">
        <is>
          <t>53102503</t>
        </is>
      </c>
      <c r="X1670" s="156" t="inlineStr">
        <is>
          <t>https://cdn.shopify.com/s/files/1/0888/3250/8267/files/SSLOBO-3042-81-66_1.png?v=1759946273</t>
        </is>
      </c>
      <c r="Y1670" s="54" t="n">
        <v>1338.75</v>
      </c>
      <c r="Z1670" s="54" t="n">
        <v>3275.862069</v>
      </c>
      <c r="AA1670" s="55">
        <f>IF(AND(A1670="", B1670="", E1670=""), "", IF(AB1670="", "Válido", IF((LEN(AB1670)-LEN(SUBSTITUTE(AB1670,"; ","")))/2+1&gt;(LEN(AB1670)-LEN(SUBSTITUTE(AB1670,"[Aviso]","")))/7, "Con Incidencias", "Válido")))</f>
        <v/>
      </c>
      <c r="AB1670" s="56">
        <f>IF(AND(A1670="", B1670="", E1670=""), "", TEXTJOIN("; ", TRUE, IF(OR(TRIM(A1670&amp;"")="", ISNUMBER(SEARCH("FALTA", A1670))), "UPC faltante/inválido", ""), IF(AND(A1670&lt;&gt;"", IFERROR(_xlfn.XMATCH(A1670,$A$2:$A$2509,0,1)&lt;&gt;_xlfn.XMATCH(A1670,$A$2:$A$2509,0,-1),FALSE)), "Código de barras duplicado", ""), IF(AND(E1670&lt;&gt;"", COUNTIF($E$2:$E$2509, E1670)&gt;1), "SKU duplicado", ""), IF(OR(J1670="", J1670=""), "[Aviso] División no capturada ()", IF(ISNA(MATCH(J1670, Criterios!$A$123:$A$126, 0)), "División no válida", "")), IF(OR(K1670="", K1670=""), "[Aviso] Categoría no capturada ()", IF(ISNA(MATCH(K1670, Criterios!$A$81:$A$120, 0)), "Categoría no válida", IF(AND(J1670&lt;&gt;"", J1670&lt;&gt;"", J1670&lt;&gt;VLOOKUP(K1670, Criterios!$A$81:$B$120, 2, FALSE)), "División no coincide con Categoría", ""))), IF(OR(L1670="", L1670=""), "[Aviso] Género no capturado ()", IF(ISNA(MATCH(L1670, Criterios!$B$123:$B$127, 0)), "Género no válido", "")), IF(OR(N1670="", N1670=""), "[Aviso] Temporada no capturada ()", IF(ISNA(MATCH(N1670, Criterios!$C$123:$C$128, 0)), "Temporada no válida", "")), IF(OR(O1670="", O1670=""), "[Aviso] Ciclo de vida no capturado ()", IF(ISNA(MATCH(O1670, Criterios!$D$123:$D$124, 0)), "Ciclo de vida no válido", ""))))</f>
        <v/>
      </c>
      <c r="AC1670" s="56" t="n"/>
      <c r="AD1670" s="51" t="n">
        <v>0</v>
      </c>
      <c r="AE1670" s="156" t="inlineStr">
        <is>
          <t>B25 STETSON.MX (1)</t>
        </is>
      </c>
      <c r="AF1670" s="51" t="n">
        <v>1</v>
      </c>
      <c r="AG1670" s="156" t="inlineStr">
        <is>
          <t>Catálogo existente</t>
        </is>
      </c>
      <c r="AH167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0" s="156" t="inlineStr">
        <is>
          <t>Sí</t>
        </is>
      </c>
      <c r="AJ1670" s="156" t="inlineStr">
        <is>
          <t>STETSON AMERICAS (-1)</t>
        </is>
      </c>
      <c r="AK1670" s="155" t="inlineStr">
        <is>
          <t>Criterios: I [Q] | Shopify Stetson: producto 14788931387755 / variante 53350607618411</t>
        </is>
      </c>
      <c r="AL1670" s="58" t="n">
        <v>1338.75</v>
      </c>
      <c r="AM1670" s="58" t="n">
        <v>3275.862069</v>
      </c>
      <c r="AN1670" s="155" t="inlineStr">
        <is>
          <t>Shopify Stetson México</t>
        </is>
      </c>
      <c r="AO1670" s="59" t="n">
        <v>0</v>
      </c>
      <c r="AP1670" s="59" t="n"/>
      <c r="AQ1670" s="59" t="n"/>
      <c r="AR1670" s="155" t="n"/>
    </row>
    <row r="1671">
      <c r="A1671" s="50" t="inlineStr">
        <is>
          <t>883383319057</t>
        </is>
      </c>
      <c r="B1671" s="51" t="inlineStr">
        <is>
          <t>110188</t>
        </is>
      </c>
      <c r="C1671" s="156" t="inlineStr">
        <is>
          <t>Multimarca</t>
        </is>
      </c>
      <c r="D1671" s="156" t="inlineStr">
        <is>
          <t>SSLOBO-304281</t>
        </is>
      </c>
      <c r="E1671" s="156" t="inlineStr">
        <is>
          <t>SSLOBO-30428171</t>
        </is>
      </c>
      <c r="F1671" s="156" t="inlineStr">
        <is>
          <t>7 1/8</t>
        </is>
      </c>
      <c r="G1671" s="156" t="inlineStr">
        <is>
          <t>7 1/8</t>
        </is>
      </c>
      <c r="H1671" s="156" t="inlineStr">
        <is>
          <t>Stetson</t>
        </is>
      </c>
      <c r="I1671" s="156" t="inlineStr">
        <is>
          <t>Sombrero Stetson Lobo Natural</t>
        </is>
      </c>
      <c r="J1671" s="156" t="inlineStr">
        <is>
          <t>Accesorios</t>
        </is>
      </c>
      <c r="K1671" s="156" t="inlineStr">
        <is>
          <t>Sombreros</t>
        </is>
      </c>
      <c r="L1671" s="156" t="inlineStr">
        <is>
          <t>Unisex</t>
        </is>
      </c>
      <c r="M1671" s="156" t="inlineStr">
        <is>
          <t>Stetson</t>
        </is>
      </c>
      <c r="N1671" s="156" t="inlineStr">
        <is>
          <t>SS26</t>
        </is>
      </c>
      <c r="O1671" s="156" t="inlineStr">
        <is>
          <t>Seasonal</t>
        </is>
      </c>
      <c r="P1671" s="156" t="inlineStr">
        <is>
          <t>Beige</t>
        </is>
      </c>
      <c r="Q1671" s="156" t="n"/>
      <c r="R1671" s="156" t="inlineStr">
        <is>
          <t>Copa Cattleman</t>
        </is>
      </c>
      <c r="S1671" s="156" t="inlineStr">
        <is>
          <t>100% Paja</t>
        </is>
      </c>
      <c r="T1671"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1" s="156" t="inlineStr">
        <is>
          <t>Estados Unidos</t>
        </is>
      </c>
      <c r="V1671" s="156" t="inlineStr">
        <is>
          <t>PZS</t>
        </is>
      </c>
      <c r="W1671" s="51" t="inlineStr">
        <is>
          <t>53102503</t>
        </is>
      </c>
      <c r="X1671" s="156" t="inlineStr">
        <is>
          <t>https://cdn.shopify.com/s/files/1/0888/3250/8267/files/SSLOBO-3042-81-66_2.png?v=1759946273</t>
        </is>
      </c>
      <c r="Y1671" s="54" t="n">
        <v>1338.75</v>
      </c>
      <c r="Z1671" s="54" t="n">
        <v>3275.862069</v>
      </c>
      <c r="AA1671" s="55">
        <f>IF(AND(A1671="", B1671="", E1671=""), "", IF(AB1671="", "Válido", IF((LEN(AB1671)-LEN(SUBSTITUTE(AB1671,"; ","")))/2+1&gt;(LEN(AB1671)-LEN(SUBSTITUTE(AB1671,"[Aviso]","")))/7, "Con Incidencias", "Válido")))</f>
        <v/>
      </c>
      <c r="AB1671" s="56">
        <f>IF(AND(A1671="", B1671="", E1671=""), "", TEXTJOIN("; ", TRUE, IF(OR(TRIM(A1671&amp;"")="", ISNUMBER(SEARCH("FALTA", A1671))), "UPC faltante/inválido", ""), IF(AND(A1671&lt;&gt;"", IFERROR(_xlfn.XMATCH(A1671,$A$2:$A$2509,0,1)&lt;&gt;_xlfn.XMATCH(A1671,$A$2:$A$2509,0,-1),FALSE)), "Código de barras duplicado", ""), IF(AND(E1671&lt;&gt;"", COUNTIF($E$2:$E$2509, E1671)&gt;1), "SKU duplicado", ""), IF(OR(J1671="", J1671=""), "[Aviso] División no capturada ()", IF(ISNA(MATCH(J1671, Criterios!$A$123:$A$126, 0)), "División no válida", "")), IF(OR(K1671="", K1671=""), "[Aviso] Categoría no capturada ()", IF(ISNA(MATCH(K1671, Criterios!$A$81:$A$120, 0)), "Categoría no válida", IF(AND(J1671&lt;&gt;"", J1671&lt;&gt;"", J1671&lt;&gt;VLOOKUP(K1671, Criterios!$A$81:$B$120, 2, FALSE)), "División no coincide con Categoría", ""))), IF(OR(L1671="", L1671=""), "[Aviso] Género no capturado ()", IF(ISNA(MATCH(L1671, Criterios!$B$123:$B$127, 0)), "Género no válido", "")), IF(OR(N1671="", N1671=""), "[Aviso] Temporada no capturada ()", IF(ISNA(MATCH(N1671, Criterios!$C$123:$C$128, 0)), "Temporada no válida", "")), IF(OR(O1671="", O1671=""), "[Aviso] Ciclo de vida no capturado ()", IF(ISNA(MATCH(O1671, Criterios!$D$123:$D$124, 0)), "Ciclo de vida no válido", ""))))</f>
        <v/>
      </c>
      <c r="AC1671" s="56" t="n"/>
      <c r="AD1671" s="51" t="n">
        <v>0</v>
      </c>
      <c r="AE1671" s="156" t="n"/>
      <c r="AF1671" s="51" t="n">
        <v>0</v>
      </c>
      <c r="AG1671" s="156" t="inlineStr">
        <is>
          <t>Catálogo existente</t>
        </is>
      </c>
      <c r="AH167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1" s="156" t="inlineStr">
        <is>
          <t>No</t>
        </is>
      </c>
      <c r="AJ1671" s="156" t="n"/>
      <c r="AK1671" s="155" t="inlineStr">
        <is>
          <t>Criterios: I [Q] | Shopify Stetson: producto 14788931387755 / variante 53350607651179</t>
        </is>
      </c>
      <c r="AL1671" s="58" t="n">
        <v>1338.75</v>
      </c>
      <c r="AM1671" s="58" t="n">
        <v>3275.862069</v>
      </c>
      <c r="AN1671" s="155" t="inlineStr">
        <is>
          <t>Shopify Stetson México</t>
        </is>
      </c>
      <c r="AO1671" s="59" t="n">
        <v>1</v>
      </c>
      <c r="AP1671" s="59" t="n"/>
      <c r="AQ1671" s="59" t="n"/>
      <c r="AR1671" s="155" t="inlineStr">
        <is>
          <t>Shopify Stetson México › Stetson Americas: 1</t>
        </is>
      </c>
    </row>
    <row r="1672">
      <c r="A1672" s="50" t="inlineStr">
        <is>
          <t>883383319064</t>
        </is>
      </c>
      <c r="B1672" s="51" t="inlineStr">
        <is>
          <t>110189</t>
        </is>
      </c>
      <c r="C1672" s="156" t="inlineStr">
        <is>
          <t>Multimarca</t>
        </is>
      </c>
      <c r="D1672" s="156" t="inlineStr">
        <is>
          <t>SSLOBO-304281</t>
        </is>
      </c>
      <c r="E1672" s="156" t="inlineStr">
        <is>
          <t>SSLOBO-30428172</t>
        </is>
      </c>
      <c r="F1672" s="156" t="inlineStr">
        <is>
          <t>7 1/4</t>
        </is>
      </c>
      <c r="G1672" s="156" t="inlineStr">
        <is>
          <t>7 1/4</t>
        </is>
      </c>
      <c r="H1672" s="156" t="inlineStr">
        <is>
          <t>Stetson</t>
        </is>
      </c>
      <c r="I1672" s="156" t="inlineStr">
        <is>
          <t>Sombrero Stetson Lobo Natural</t>
        </is>
      </c>
      <c r="J1672" s="156" t="inlineStr">
        <is>
          <t>Accesorios</t>
        </is>
      </c>
      <c r="K1672" s="156" t="inlineStr">
        <is>
          <t>Sombreros</t>
        </is>
      </c>
      <c r="L1672" s="156" t="inlineStr">
        <is>
          <t>Unisex</t>
        </is>
      </c>
      <c r="M1672" s="156" t="inlineStr">
        <is>
          <t>Stetson</t>
        </is>
      </c>
      <c r="N1672" s="156" t="inlineStr">
        <is>
          <t>SS26</t>
        </is>
      </c>
      <c r="O1672" s="156" t="inlineStr">
        <is>
          <t>Seasonal</t>
        </is>
      </c>
      <c r="P1672" s="156" t="inlineStr">
        <is>
          <t>Beige</t>
        </is>
      </c>
      <c r="Q1672" s="156" t="n"/>
      <c r="R1672" s="156" t="inlineStr">
        <is>
          <t>Copa Cattleman</t>
        </is>
      </c>
      <c r="S1672" s="156" t="inlineStr">
        <is>
          <t>100% Paja</t>
        </is>
      </c>
      <c r="T1672"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2" s="156" t="inlineStr">
        <is>
          <t>Estados Unidos</t>
        </is>
      </c>
      <c r="V1672" s="156" t="inlineStr">
        <is>
          <t>PZS</t>
        </is>
      </c>
      <c r="W1672" s="51" t="inlineStr">
        <is>
          <t>53102503</t>
        </is>
      </c>
      <c r="X1672" s="156" t="inlineStr">
        <is>
          <t>https://cdn.shopify.com/s/files/1/0888/3250/8267/files/SSLOBO-3042-81-66_3.png?v=1759946273</t>
        </is>
      </c>
      <c r="Y1672" s="54" t="n">
        <v>1338.75</v>
      </c>
      <c r="Z1672" s="54" t="n">
        <v>3275.862069</v>
      </c>
      <c r="AA1672" s="55">
        <f>IF(AND(A1672="", B1672="", E1672=""), "", IF(AB1672="", "Válido", IF((LEN(AB1672)-LEN(SUBSTITUTE(AB1672,"; ","")))/2+1&gt;(LEN(AB1672)-LEN(SUBSTITUTE(AB1672,"[Aviso]","")))/7, "Con Incidencias", "Válido")))</f>
        <v/>
      </c>
      <c r="AB1672" s="56">
        <f>IF(AND(A1672="", B1672="", E1672=""), "", TEXTJOIN("; ", TRUE, IF(OR(TRIM(A1672&amp;"")="", ISNUMBER(SEARCH("FALTA", A1672))), "UPC faltante/inválido", ""), IF(AND(A1672&lt;&gt;"", IFERROR(_xlfn.XMATCH(A1672,$A$2:$A$2509,0,1)&lt;&gt;_xlfn.XMATCH(A1672,$A$2:$A$2509,0,-1),FALSE)), "Código de barras duplicado", ""), IF(AND(E1672&lt;&gt;"", COUNTIF($E$2:$E$2509, E1672)&gt;1), "SKU duplicado", ""), IF(OR(J1672="", J1672=""), "[Aviso] División no capturada ()", IF(ISNA(MATCH(J1672, Criterios!$A$123:$A$126, 0)), "División no válida", "")), IF(OR(K1672="", K1672=""), "[Aviso] Categoría no capturada ()", IF(ISNA(MATCH(K1672, Criterios!$A$81:$A$120, 0)), "Categoría no válida", IF(AND(J1672&lt;&gt;"", J1672&lt;&gt;"", J1672&lt;&gt;VLOOKUP(K1672, Criterios!$A$81:$B$120, 2, FALSE)), "División no coincide con Categoría", ""))), IF(OR(L1672="", L1672=""), "[Aviso] Género no capturado ()", IF(ISNA(MATCH(L1672, Criterios!$B$123:$B$127, 0)), "Género no válido", "")), IF(OR(N1672="", N1672=""), "[Aviso] Temporada no capturada ()", IF(ISNA(MATCH(N1672, Criterios!$C$123:$C$128, 0)), "Temporada no válida", "")), IF(OR(O1672="", O1672=""), "[Aviso] Ciclo de vida no capturado ()", IF(ISNA(MATCH(O1672, Criterios!$D$123:$D$124, 0)), "Ciclo de vida no válido", ""))))</f>
        <v/>
      </c>
      <c r="AC1672" s="56" t="n"/>
      <c r="AD1672" s="51" t="n">
        <v>0</v>
      </c>
      <c r="AE1672" s="156" t="n"/>
      <c r="AF1672" s="51" t="n">
        <v>0</v>
      </c>
      <c r="AG1672" s="156" t="inlineStr">
        <is>
          <t>Catálogo existente</t>
        </is>
      </c>
      <c r="AH167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2" s="156" t="inlineStr">
        <is>
          <t>No</t>
        </is>
      </c>
      <c r="AJ1672" s="156" t="n"/>
      <c r="AK1672" s="155" t="inlineStr">
        <is>
          <t>Criterios: I [Q] | Shopify Stetson: producto 14788931387755 / variante 53350607683947</t>
        </is>
      </c>
      <c r="AL1672" s="58" t="n">
        <v>1338.75</v>
      </c>
      <c r="AM1672" s="58" t="n">
        <v>3275.862069</v>
      </c>
      <c r="AN1672" s="155" t="inlineStr">
        <is>
          <t>Shopify Stetson México</t>
        </is>
      </c>
      <c r="AO1672" s="59" t="n">
        <v>1</v>
      </c>
      <c r="AP1672" s="59" t="n"/>
      <c r="AQ1672" s="59" t="n"/>
      <c r="AR1672" s="155" t="inlineStr">
        <is>
          <t>Shopify Stetson México › Stetson Americas: 1</t>
        </is>
      </c>
    </row>
    <row r="1673">
      <c r="A1673" s="50" t="inlineStr">
        <is>
          <t>883383319071</t>
        </is>
      </c>
      <c r="B1673" s="51" t="inlineStr">
        <is>
          <t>110190</t>
        </is>
      </c>
      <c r="C1673" s="156" t="inlineStr">
        <is>
          <t>Multimarca</t>
        </is>
      </c>
      <c r="D1673" s="156" t="inlineStr">
        <is>
          <t>SSLOBO-304281</t>
        </is>
      </c>
      <c r="E1673" s="156" t="inlineStr">
        <is>
          <t>SSLOBO-30428173</t>
        </is>
      </c>
      <c r="F1673" s="156" t="inlineStr">
        <is>
          <t>7 3/8</t>
        </is>
      </c>
      <c r="G1673" s="156" t="inlineStr">
        <is>
          <t>7 3/8</t>
        </is>
      </c>
      <c r="H1673" s="156" t="inlineStr">
        <is>
          <t>Stetson</t>
        </is>
      </c>
      <c r="I1673" s="156" t="inlineStr">
        <is>
          <t>Sombrero Stetson Lobo Natural</t>
        </is>
      </c>
      <c r="J1673" s="156" t="inlineStr">
        <is>
          <t>Accesorios</t>
        </is>
      </c>
      <c r="K1673" s="156" t="inlineStr">
        <is>
          <t>Sombreros</t>
        </is>
      </c>
      <c r="L1673" s="156" t="inlineStr">
        <is>
          <t>Unisex</t>
        </is>
      </c>
      <c r="M1673" s="156" t="inlineStr">
        <is>
          <t>Stetson</t>
        </is>
      </c>
      <c r="N1673" s="156" t="inlineStr">
        <is>
          <t>SS26</t>
        </is>
      </c>
      <c r="O1673" s="156" t="inlineStr">
        <is>
          <t>Seasonal</t>
        </is>
      </c>
      <c r="P1673" s="156" t="inlineStr">
        <is>
          <t>Beige</t>
        </is>
      </c>
      <c r="Q1673" s="156" t="n"/>
      <c r="R1673" s="156" t="inlineStr">
        <is>
          <t>Copa Cattleman</t>
        </is>
      </c>
      <c r="S1673" s="156" t="inlineStr">
        <is>
          <t>100% Paja</t>
        </is>
      </c>
      <c r="T1673"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3" s="156" t="inlineStr">
        <is>
          <t>Estados Unidos</t>
        </is>
      </c>
      <c r="V1673" s="156" t="inlineStr">
        <is>
          <t>PZS</t>
        </is>
      </c>
      <c r="W1673" s="51" t="inlineStr">
        <is>
          <t>53102503</t>
        </is>
      </c>
      <c r="X1673" s="156" t="inlineStr">
        <is>
          <t>https://cdn.shopify.com/s/files/1/0888/3250/8267/files/SSLOBO-3042-81-66_4.png?v=1759946273</t>
        </is>
      </c>
      <c r="Y1673" s="54" t="n">
        <v>1338.75</v>
      </c>
      <c r="Z1673" s="54" t="n">
        <v>3275.862069</v>
      </c>
      <c r="AA1673" s="55">
        <f>IF(AND(A1673="", B1673="", E1673=""), "", IF(AB1673="", "Válido", IF((LEN(AB1673)-LEN(SUBSTITUTE(AB1673,"; ","")))/2+1&gt;(LEN(AB1673)-LEN(SUBSTITUTE(AB1673,"[Aviso]","")))/7, "Con Incidencias", "Válido")))</f>
        <v/>
      </c>
      <c r="AB1673" s="56">
        <f>IF(AND(A1673="", B1673="", E1673=""), "", TEXTJOIN("; ", TRUE, IF(OR(TRIM(A1673&amp;"")="", ISNUMBER(SEARCH("FALTA", A1673))), "UPC faltante/inválido", ""), IF(AND(A1673&lt;&gt;"", IFERROR(_xlfn.XMATCH(A1673,$A$2:$A$2509,0,1)&lt;&gt;_xlfn.XMATCH(A1673,$A$2:$A$2509,0,-1),FALSE)), "Código de barras duplicado", ""), IF(AND(E1673&lt;&gt;"", COUNTIF($E$2:$E$2509, E1673)&gt;1), "SKU duplicado", ""), IF(OR(J1673="", J1673=""), "[Aviso] División no capturada ()", IF(ISNA(MATCH(J1673, Criterios!$A$123:$A$126, 0)), "División no válida", "")), IF(OR(K1673="", K1673=""), "[Aviso] Categoría no capturada ()", IF(ISNA(MATCH(K1673, Criterios!$A$81:$A$120, 0)), "Categoría no válida", IF(AND(J1673&lt;&gt;"", J1673&lt;&gt;"", J1673&lt;&gt;VLOOKUP(K1673, Criterios!$A$81:$B$120, 2, FALSE)), "División no coincide con Categoría", ""))), IF(OR(L1673="", L1673=""), "[Aviso] Género no capturado ()", IF(ISNA(MATCH(L1673, Criterios!$B$123:$B$127, 0)), "Género no válido", "")), IF(OR(N1673="", N1673=""), "[Aviso] Temporada no capturada ()", IF(ISNA(MATCH(N1673, Criterios!$C$123:$C$128, 0)), "Temporada no válida", "")), IF(OR(O1673="", O1673=""), "[Aviso] Ciclo de vida no capturado ()", IF(ISNA(MATCH(O1673, Criterios!$D$123:$D$124, 0)), "Ciclo de vida no válido", ""))))</f>
        <v/>
      </c>
      <c r="AC1673" s="56" t="n"/>
      <c r="AD1673" s="51" t="n">
        <v>-1</v>
      </c>
      <c r="AE1673" s="156" t="n"/>
      <c r="AF1673" s="51" t="n">
        <v>0</v>
      </c>
      <c r="AG1673" s="156" t="inlineStr">
        <is>
          <t>Catálogo existente</t>
        </is>
      </c>
      <c r="AH167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3" s="156" t="inlineStr">
        <is>
          <t>Sí</t>
        </is>
      </c>
      <c r="AJ1673" s="156" t="inlineStr">
        <is>
          <t>STETSON AMERICAS (-1)</t>
        </is>
      </c>
      <c r="AK1673" s="155" t="inlineStr">
        <is>
          <t>Criterios: I [Q] | Shopify Stetson: producto 14788931387755 / variante 53350607716715</t>
        </is>
      </c>
      <c r="AL1673" s="58" t="n">
        <v>1338.75</v>
      </c>
      <c r="AM1673" s="58" t="n">
        <v>3275.862069</v>
      </c>
      <c r="AN1673" s="155" t="inlineStr">
        <is>
          <t>Shopify Stetson México</t>
        </is>
      </c>
      <c r="AO1673" s="59" t="n">
        <v>2</v>
      </c>
      <c r="AP1673" s="59" t="n"/>
      <c r="AQ1673" s="59" t="n"/>
      <c r="AR1673" s="155" t="inlineStr">
        <is>
          <t>Shopify Stetson México › Stetson Americas: 2</t>
        </is>
      </c>
    </row>
    <row r="1674">
      <c r="A1674" s="50" t="inlineStr">
        <is>
          <t>883383319088</t>
        </is>
      </c>
      <c r="B1674" s="51" t="inlineStr">
        <is>
          <t>110191</t>
        </is>
      </c>
      <c r="C1674" s="156" t="inlineStr">
        <is>
          <t>Multimarca</t>
        </is>
      </c>
      <c r="D1674" s="156" t="inlineStr">
        <is>
          <t>SSLOBO-304281</t>
        </is>
      </c>
      <c r="E1674" s="156" t="inlineStr">
        <is>
          <t>SSLOBO-30428174</t>
        </is>
      </c>
      <c r="F1674" s="156" t="inlineStr">
        <is>
          <t>7 1/2</t>
        </is>
      </c>
      <c r="G1674" s="156" t="inlineStr">
        <is>
          <t>7 1/2</t>
        </is>
      </c>
      <c r="H1674" s="156" t="inlineStr">
        <is>
          <t>Stetson</t>
        </is>
      </c>
      <c r="I1674" s="156" t="inlineStr">
        <is>
          <t>Sombrero Stetson Lobo Natural</t>
        </is>
      </c>
      <c r="J1674" s="156" t="inlineStr">
        <is>
          <t>Accesorios</t>
        </is>
      </c>
      <c r="K1674" s="156" t="inlineStr">
        <is>
          <t>Sombreros</t>
        </is>
      </c>
      <c r="L1674" s="156" t="inlineStr">
        <is>
          <t>Unisex</t>
        </is>
      </c>
      <c r="M1674" s="156" t="inlineStr">
        <is>
          <t>Stetson</t>
        </is>
      </c>
      <c r="N1674" s="156" t="inlineStr">
        <is>
          <t>SS26</t>
        </is>
      </c>
      <c r="O1674" s="156" t="inlineStr">
        <is>
          <t>Seasonal</t>
        </is>
      </c>
      <c r="P1674" s="156" t="inlineStr">
        <is>
          <t>Beige</t>
        </is>
      </c>
      <c r="Q1674" s="156" t="n"/>
      <c r="R1674" s="156" t="inlineStr">
        <is>
          <t>Copa Cattleman</t>
        </is>
      </c>
      <c r="S1674" s="156" t="inlineStr">
        <is>
          <t>100% Paja</t>
        </is>
      </c>
      <c r="T1674"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4" s="156" t="inlineStr">
        <is>
          <t>Estados Unidos</t>
        </is>
      </c>
      <c r="V1674" s="156" t="inlineStr">
        <is>
          <t>PZS</t>
        </is>
      </c>
      <c r="W1674" s="51" t="inlineStr">
        <is>
          <t>53102503</t>
        </is>
      </c>
      <c r="X1674" s="156" t="inlineStr">
        <is>
          <t>https://cdn.shopify.com/s/files/1/0888/3250/8267/files/SSLOBO-3042-81-66_5.png?v=1759946273</t>
        </is>
      </c>
      <c r="Y1674" s="54" t="n">
        <v>1338.75</v>
      </c>
      <c r="Z1674" s="54" t="n">
        <v>3275.862069</v>
      </c>
      <c r="AA1674" s="55">
        <f>IF(AND(A1674="", B1674="", E1674=""), "", IF(AB1674="", "Válido", IF((LEN(AB1674)-LEN(SUBSTITUTE(AB1674,"; ","")))/2+1&gt;(LEN(AB1674)-LEN(SUBSTITUTE(AB1674,"[Aviso]","")))/7, "Con Incidencias", "Válido")))</f>
        <v/>
      </c>
      <c r="AB1674" s="56">
        <f>IF(AND(A1674="", B1674="", E1674=""), "", TEXTJOIN("; ", TRUE, IF(OR(TRIM(A1674&amp;"")="", ISNUMBER(SEARCH("FALTA", A1674))), "UPC faltante/inválido", ""), IF(AND(A1674&lt;&gt;"", IFERROR(_xlfn.XMATCH(A1674,$A$2:$A$2509,0,1)&lt;&gt;_xlfn.XMATCH(A1674,$A$2:$A$2509,0,-1),FALSE)), "Código de barras duplicado", ""), IF(AND(E1674&lt;&gt;"", COUNTIF($E$2:$E$2509, E1674)&gt;1), "SKU duplicado", ""), IF(OR(J1674="", J1674=""), "[Aviso] División no capturada ()", IF(ISNA(MATCH(J1674, Criterios!$A$123:$A$126, 0)), "División no válida", "")), IF(OR(K1674="", K1674=""), "[Aviso] Categoría no capturada ()", IF(ISNA(MATCH(K1674, Criterios!$A$81:$A$120, 0)), "Categoría no válida", IF(AND(J1674&lt;&gt;"", J1674&lt;&gt;"", J1674&lt;&gt;VLOOKUP(K1674, Criterios!$A$81:$B$120, 2, FALSE)), "División no coincide con Categoría", ""))), IF(OR(L1674="", L1674=""), "[Aviso] Género no capturado ()", IF(ISNA(MATCH(L1674, Criterios!$B$123:$B$127, 0)), "Género no válido", "")), IF(OR(N1674="", N1674=""), "[Aviso] Temporada no capturada ()", IF(ISNA(MATCH(N1674, Criterios!$C$123:$C$128, 0)), "Temporada no válida", "")), IF(OR(O1674="", O1674=""), "[Aviso] Ciclo de vida no capturado ()", IF(ISNA(MATCH(O1674, Criterios!$D$123:$D$124, 0)), "Ciclo de vida no válido", ""))))</f>
        <v/>
      </c>
      <c r="AC1674" s="56" t="n"/>
      <c r="AD1674" s="51" t="n">
        <v>0</v>
      </c>
      <c r="AE1674" s="156" t="n"/>
      <c r="AF1674" s="51" t="n">
        <v>0</v>
      </c>
      <c r="AG1674" s="156" t="inlineStr">
        <is>
          <t>Catálogo existente</t>
        </is>
      </c>
      <c r="AH167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4" s="156" t="inlineStr">
        <is>
          <t>No</t>
        </is>
      </c>
      <c r="AJ1674" s="156" t="n"/>
      <c r="AK1674" s="155" t="inlineStr">
        <is>
          <t>Criterios: I [Q] | Shopify Stetson: producto 14788931387755 / variante 53350607749483</t>
        </is>
      </c>
      <c r="AL1674" s="58" t="n">
        <v>1338.75</v>
      </c>
      <c r="AM1674" s="58" t="n">
        <v>3275.862069</v>
      </c>
      <c r="AN1674" s="155" t="inlineStr">
        <is>
          <t>Shopify Stetson México</t>
        </is>
      </c>
      <c r="AO1674" s="59" t="n">
        <v>1</v>
      </c>
      <c r="AP1674" s="59" t="n"/>
      <c r="AQ1674" s="59" t="n"/>
      <c r="AR1674" s="155" t="inlineStr">
        <is>
          <t>Shopify Stetson México › Stetson Americas: 1</t>
        </is>
      </c>
    </row>
    <row r="1675">
      <c r="A1675" s="50" t="inlineStr">
        <is>
          <t>883383558005</t>
        </is>
      </c>
      <c r="B1675" s="51" t="inlineStr">
        <is>
          <t>110152</t>
        </is>
      </c>
      <c r="C1675" s="156" t="inlineStr">
        <is>
          <t>Multimarca</t>
        </is>
      </c>
      <c r="D1675" s="156" t="inlineStr">
        <is>
          <t>SSBLJR-733681</t>
        </is>
      </c>
      <c r="E1675" s="156" t="inlineStr">
        <is>
          <t>SSBLJR-733681AL</t>
        </is>
      </c>
      <c r="F1675" s="156" t="inlineStr">
        <is>
          <t>Talla única</t>
        </is>
      </c>
      <c r="G1675" s="156" t="inlineStr">
        <is>
          <t>One Size</t>
        </is>
      </c>
      <c r="H1675" s="156" t="inlineStr">
        <is>
          <t>Stetson</t>
        </is>
      </c>
      <c r="I1675" s="156" t="inlineStr">
        <is>
          <t>Sombrero Stetson Billy Jr Natural</t>
        </is>
      </c>
      <c r="J1675" s="156" t="inlineStr">
        <is>
          <t>Accesorios</t>
        </is>
      </c>
      <c r="K1675" s="156" t="inlineStr">
        <is>
          <t>Sombreros</t>
        </is>
      </c>
      <c r="L1675" s="156" t="inlineStr">
        <is>
          <t>Unisex</t>
        </is>
      </c>
      <c r="M1675" s="156" t="inlineStr">
        <is>
          <t>Stetson</t>
        </is>
      </c>
      <c r="N1675" s="156" t="inlineStr">
        <is>
          <t>SS26</t>
        </is>
      </c>
      <c r="O1675" s="156" t="inlineStr">
        <is>
          <t>Seasonal</t>
        </is>
      </c>
      <c r="P1675" s="156" t="inlineStr">
        <is>
          <t>Beige</t>
        </is>
      </c>
      <c r="Q1675" s="156" t="n"/>
      <c r="R1675" s="156" t="inlineStr">
        <is>
          <t>Copa Rancher</t>
        </is>
      </c>
      <c r="S1675" s="156" t="inlineStr">
        <is>
          <t>100% Paja</t>
        </is>
      </c>
      <c r="T1675" s="156" t="inlineStr">
        <is>
          <t>El Stetson Billy Jr. Youth Cowboy Hat está diseñado para los pequeños que viven el espíritu del oeste desde temprana edad. Fabricado con materiales ligeros, resistentes y cómodos, ofrece el mismo estilo auténtico y la calidad que distinguen a Stetson, pero en una versión especialmente pensada para niños.
 Su diseño clásico Cattleman conserva la silueta del verdadero sombrero vaquero, brindando protección, frescura y un toque de carácter en cada aventura.
 Características / Detalles:
 • Confeccionado en paja de alta calidad, ligera y duradera.
 • Copa Cattleman de aproximadamente 4” (10.1 cm).
 • Ala de 3 1/2” (8.9 cm), ideal para un ajuste equilibrado en niños.
 • Corona ventilada para mayor transpirabilidad.
 • Banda textil o de cuero sintético, según el modelo.
 • Banda interior acolchada, cómoda y adaptable.
 • Hecho con la calidad Stetson, símbolo de tradición y autenticidad.</t>
        </is>
      </c>
      <c r="U1675" s="156" t="n"/>
      <c r="V1675" s="156" t="inlineStr">
        <is>
          <t>PZS</t>
        </is>
      </c>
      <c r="W1675" s="51" t="inlineStr">
        <is>
          <t>53102503</t>
        </is>
      </c>
      <c r="X1675" s="156" t="inlineStr">
        <is>
          <t>https://cdn.shopify.com/s/files/1/0888/3250/8267/files/SSBLJR-7336-81-AL_1.png?v=1760018477</t>
        </is>
      </c>
      <c r="Y1675" s="54" t="n">
        <v>315</v>
      </c>
      <c r="Z1675" s="54" t="n">
        <v>818.9655172</v>
      </c>
      <c r="AA1675" s="55">
        <f>IF(AND(A1675="", B1675="", E1675=""), "", IF(AB1675="", "Válido", IF((LEN(AB1675)-LEN(SUBSTITUTE(AB1675,"; ","")))/2+1&gt;(LEN(AB1675)-LEN(SUBSTITUTE(AB1675,"[Aviso]","")))/7, "Con Incidencias", "Válido")))</f>
        <v/>
      </c>
      <c r="AB1675" s="56">
        <f>IF(AND(A1675="", B1675="", E1675=""), "", TEXTJOIN("; ", TRUE, IF(OR(TRIM(A1675&amp;"")="", ISNUMBER(SEARCH("FALTA", A1675))), "UPC faltante/inválido", ""), IF(AND(A1675&lt;&gt;"", IFERROR(_xlfn.XMATCH(A1675,$A$2:$A$2509,0,1)&lt;&gt;_xlfn.XMATCH(A1675,$A$2:$A$2509,0,-1),FALSE)), "Código de barras duplicado", ""), IF(AND(E1675&lt;&gt;"", COUNTIF($E$2:$E$2509, E1675)&gt;1), "SKU duplicado", ""), IF(OR(J1675="", J1675=""), "[Aviso] División no capturada ()", IF(ISNA(MATCH(J1675, Criterios!$A$123:$A$126, 0)), "División no válida", "")), IF(OR(K1675="", K1675=""), "[Aviso] Categoría no capturada ()", IF(ISNA(MATCH(K1675, Criterios!$A$81:$A$120, 0)), "Categoría no válida", IF(AND(J1675&lt;&gt;"", J1675&lt;&gt;"", J1675&lt;&gt;VLOOKUP(K1675, Criterios!$A$81:$B$120, 2, FALSE)), "División no coincide con Categoría", ""))), IF(OR(L1675="", L1675=""), "[Aviso] Género no capturado ()", IF(ISNA(MATCH(L1675, Criterios!$B$123:$B$127, 0)), "Género no válido", "")), IF(OR(N1675="", N1675=""), "[Aviso] Temporada no capturada ()", IF(ISNA(MATCH(N1675, Criterios!$C$123:$C$128, 0)), "Temporada no válida", "")), IF(OR(O1675="", O1675=""), "[Aviso] Ciclo de vida no capturado ()", IF(ISNA(MATCH(O1675, Criterios!$D$123:$D$124, 0)), "Ciclo de vida no válido", ""))))</f>
        <v/>
      </c>
      <c r="AC1675" s="56" t="n"/>
      <c r="AD1675" s="51" t="n">
        <v>6</v>
      </c>
      <c r="AE1675" s="156" t="inlineStr">
        <is>
          <t>B25 STETSON.MX (10)</t>
        </is>
      </c>
      <c r="AF1675" s="51" t="n">
        <v>10</v>
      </c>
      <c r="AG1675" s="156" t="inlineStr">
        <is>
          <t>Catálogo existente</t>
        </is>
      </c>
      <c r="AH1675" s="156" t="inlineStr">
        <is>
          <t>Revisión 29/09/2026: Talla fuente Talla única sin equivalencia exacta en Criterios para Talla Sombrero; Campos sin respaldo: U | 01/10/2026: complementado desde Shopify Stetson México (match por código de barras): WB Fit, WB Silueta | 01/10/2026: Shopify Stetson México trae Género «Niño», Color «Varios» — se conservó el valor de Productos | 01/10/2026: Odoo Universal Unique Brands trae Color «Varios» — se conservó el valor de Productos</t>
        </is>
      </c>
      <c r="AI1675" s="156" t="inlineStr">
        <is>
          <t>Sí</t>
        </is>
      </c>
      <c r="AJ1675" s="156" t="inlineStr">
        <is>
          <t>STETSON AMERICAS (-4)</t>
        </is>
      </c>
      <c r="AK1675" s="155" t="inlineStr">
        <is>
          <t>Criterios: I [Q] | Shopify Stetson: producto 14789687935339 / variante 53350605652331 | Odoo: producto 13057 / plantilla 16634</t>
        </is>
      </c>
      <c r="AL1675" s="58" t="n">
        <v>315</v>
      </c>
      <c r="AM1675" s="58" t="n">
        <v>818.9655172</v>
      </c>
      <c r="AN1675" s="155" t="inlineStr">
        <is>
          <t>Shopify Stetson México | Odoo Universal Unique Brands</t>
        </is>
      </c>
      <c r="AO1675" s="59" t="n">
        <v>10</v>
      </c>
      <c r="AP1675" s="59" t="n"/>
      <c r="AQ1675" s="59" t="n">
        <v>24</v>
      </c>
      <c r="AR1675" s="155" t="inlineStr">
        <is>
          <t>Shopify Stetson México › Stetson México: 10 | Odoo Universal Unique Brands › Bodega 25 › Bodega 25/General: 24</t>
        </is>
      </c>
    </row>
    <row r="1676">
      <c r="A1676" s="50" t="inlineStr">
        <is>
          <t>883383570427</t>
        </is>
      </c>
      <c r="B1676" s="51" t="inlineStr">
        <is>
          <t>110171</t>
        </is>
      </c>
      <c r="C1676" s="156" t="inlineStr">
        <is>
          <t>Multimarca</t>
        </is>
      </c>
      <c r="D1676" s="156" t="inlineStr">
        <is>
          <t>SSGNFT-664281</t>
        </is>
      </c>
      <c r="E1676" s="156" t="inlineStr">
        <is>
          <t>SSGNFT-66428171</t>
        </is>
      </c>
      <c r="F1676" s="156" t="inlineStr">
        <is>
          <t>7 1/8</t>
        </is>
      </c>
      <c r="G1676" s="156" t="inlineStr">
        <is>
          <t>7 1/8</t>
        </is>
      </c>
      <c r="H1676" s="156" t="inlineStr">
        <is>
          <t>Stetson</t>
        </is>
      </c>
      <c r="I1676" s="156" t="inlineStr">
        <is>
          <t>Sombrero Stetson Gunfighter Natural</t>
        </is>
      </c>
      <c r="J1676" s="156" t="inlineStr">
        <is>
          <t>Accesorios</t>
        </is>
      </c>
      <c r="K1676" s="156" t="inlineStr">
        <is>
          <t>Sombreros</t>
        </is>
      </c>
      <c r="L1676" s="156" t="inlineStr">
        <is>
          <t>Unisex</t>
        </is>
      </c>
      <c r="M1676" s="156" t="inlineStr">
        <is>
          <t>Stetson</t>
        </is>
      </c>
      <c r="N1676" s="156" t="inlineStr">
        <is>
          <t>SS26</t>
        </is>
      </c>
      <c r="O1676" s="156" t="inlineStr">
        <is>
          <t>Seasonal</t>
        </is>
      </c>
      <c r="P1676" s="156" t="inlineStr">
        <is>
          <t>Beige</t>
        </is>
      </c>
      <c r="Q1676" s="156" t="n"/>
      <c r="R1676" s="156" t="inlineStr">
        <is>
          <t>Copa Cattleman</t>
        </is>
      </c>
      <c r="S1676" s="156" t="inlineStr">
        <is>
          <t>100% Paja</t>
        </is>
      </c>
      <c r="T1676"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6" s="156" t="inlineStr">
        <is>
          <t>Estados Unidos</t>
        </is>
      </c>
      <c r="V1676" s="156" t="inlineStr">
        <is>
          <t>PZS</t>
        </is>
      </c>
      <c r="W1676" s="51" t="inlineStr">
        <is>
          <t>53102503</t>
        </is>
      </c>
      <c r="X1676" s="156" t="inlineStr">
        <is>
          <t>https://cdn.shopify.com/s/files/1/0888/3250/8267/files/SSGNFT-664281-01.jpg?v=1759870002</t>
        </is>
      </c>
      <c r="Y1676" s="54" t="n">
        <v>1338.75</v>
      </c>
      <c r="Z1676" s="54" t="n">
        <v>3275.862069</v>
      </c>
      <c r="AA1676" s="55">
        <f>IF(AND(A1676="", B1676="", E1676=""), "", IF(AB1676="", "Válido", IF((LEN(AB1676)-LEN(SUBSTITUTE(AB1676,"; ","")))/2+1&gt;(LEN(AB1676)-LEN(SUBSTITUTE(AB1676,"[Aviso]","")))/7, "Con Incidencias", "Válido")))</f>
        <v/>
      </c>
      <c r="AB1676" s="56">
        <f>IF(AND(A1676="", B1676="", E1676=""), "", TEXTJOIN("; ", TRUE, IF(OR(TRIM(A1676&amp;"")="", ISNUMBER(SEARCH("FALTA", A1676))), "UPC faltante/inválido", ""), IF(AND(A1676&lt;&gt;"", IFERROR(_xlfn.XMATCH(A1676,$A$2:$A$2509,0,1)&lt;&gt;_xlfn.XMATCH(A1676,$A$2:$A$2509,0,-1),FALSE)), "Código de barras duplicado", ""), IF(AND(E1676&lt;&gt;"", COUNTIF($E$2:$E$2509, E1676)&gt;1), "SKU duplicado", ""), IF(OR(J1676="", J1676=""), "[Aviso] División no capturada ()", IF(ISNA(MATCH(J1676, Criterios!$A$123:$A$126, 0)), "División no válida", "")), IF(OR(K1676="", K1676=""), "[Aviso] Categoría no capturada ()", IF(ISNA(MATCH(K1676, Criterios!$A$81:$A$120, 0)), "Categoría no válida", IF(AND(J1676&lt;&gt;"", J1676&lt;&gt;"", J1676&lt;&gt;VLOOKUP(K1676, Criterios!$A$81:$B$120, 2, FALSE)), "División no coincide con Categoría", ""))), IF(OR(L1676="", L1676=""), "[Aviso] Género no capturado ()", IF(ISNA(MATCH(L1676, Criterios!$B$123:$B$127, 0)), "Género no válido", "")), IF(OR(N1676="", N1676=""), "[Aviso] Temporada no capturada ()", IF(ISNA(MATCH(N1676, Criterios!$C$123:$C$128, 0)), "Temporada no válida", "")), IF(OR(O1676="", O1676=""), "[Aviso] Ciclo de vida no capturado ()", IF(ISNA(MATCH(O1676, Criterios!$D$123:$D$124, 0)), "Ciclo de vida no válido", ""))))</f>
        <v/>
      </c>
      <c r="AC1676" s="56" t="n"/>
      <c r="AD1676" s="51" t="n">
        <v>1</v>
      </c>
      <c r="AE1676" s="156" t="inlineStr">
        <is>
          <t>B25 STETSON.MX (1)</t>
        </is>
      </c>
      <c r="AF1676" s="51" t="n">
        <v>1</v>
      </c>
      <c r="AG1676" s="156" t="inlineStr">
        <is>
          <t>Catálogo existente</t>
        </is>
      </c>
      <c r="AH167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6" s="156" t="inlineStr">
        <is>
          <t>No</t>
        </is>
      </c>
      <c r="AJ1676" s="156" t="n"/>
      <c r="AK1676" s="155" t="inlineStr">
        <is>
          <t>Criterios: I [Q] | Shopify Stetson: producto 14788879122795 / variante 53350608208235</t>
        </is>
      </c>
      <c r="AL1676" s="58" t="n">
        <v>1338.75</v>
      </c>
      <c r="AM1676" s="58" t="n">
        <v>3275.862069</v>
      </c>
      <c r="AN1676" s="155" t="inlineStr">
        <is>
          <t>Shopify Stetson México</t>
        </is>
      </c>
      <c r="AO1676" s="59" t="n">
        <v>2</v>
      </c>
      <c r="AP1676" s="59" t="n"/>
      <c r="AQ1676" s="59" t="n"/>
      <c r="AR1676" s="155" t="inlineStr">
        <is>
          <t>Shopify Stetson México › Stetson México: 1 | Shopify Stetson México › Stetson Americas: 1</t>
        </is>
      </c>
    </row>
    <row r="1677">
      <c r="A1677" s="50" t="inlineStr">
        <is>
          <t>883383570434</t>
        </is>
      </c>
      <c r="B1677" s="51" t="inlineStr">
        <is>
          <t>110172</t>
        </is>
      </c>
      <c r="C1677" s="156" t="inlineStr">
        <is>
          <t>Multimarca</t>
        </is>
      </c>
      <c r="D1677" s="156" t="inlineStr">
        <is>
          <t>SSGNFT-664281</t>
        </is>
      </c>
      <c r="E1677" s="156" t="inlineStr">
        <is>
          <t>SSGNFT-66428172</t>
        </is>
      </c>
      <c r="F1677" s="156" t="inlineStr">
        <is>
          <t>7 1/4</t>
        </is>
      </c>
      <c r="G1677" s="156" t="inlineStr">
        <is>
          <t>7 1/4</t>
        </is>
      </c>
      <c r="H1677" s="156" t="inlineStr">
        <is>
          <t>Stetson</t>
        </is>
      </c>
      <c r="I1677" s="156" t="inlineStr">
        <is>
          <t>Sombrero Stetson Gunfighter Natural</t>
        </is>
      </c>
      <c r="J1677" s="156" t="inlineStr">
        <is>
          <t>Accesorios</t>
        </is>
      </c>
      <c r="K1677" s="156" t="inlineStr">
        <is>
          <t>Sombreros</t>
        </is>
      </c>
      <c r="L1677" s="156" t="inlineStr">
        <is>
          <t>Unisex</t>
        </is>
      </c>
      <c r="M1677" s="156" t="inlineStr">
        <is>
          <t>Stetson</t>
        </is>
      </c>
      <c r="N1677" s="156" t="inlineStr">
        <is>
          <t>SS26</t>
        </is>
      </c>
      <c r="O1677" s="156" t="inlineStr">
        <is>
          <t>Seasonal</t>
        </is>
      </c>
      <c r="P1677" s="156" t="inlineStr">
        <is>
          <t>Beige</t>
        </is>
      </c>
      <c r="Q1677" s="156" t="n"/>
      <c r="R1677" s="156" t="inlineStr">
        <is>
          <t>Copa Cattleman</t>
        </is>
      </c>
      <c r="S1677" s="156" t="inlineStr">
        <is>
          <t>100% Paja</t>
        </is>
      </c>
      <c r="T1677"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7" s="156" t="inlineStr">
        <is>
          <t>Estados Unidos</t>
        </is>
      </c>
      <c r="V1677" s="156" t="inlineStr">
        <is>
          <t>PZS</t>
        </is>
      </c>
      <c r="W1677" s="51" t="inlineStr">
        <is>
          <t>53102503</t>
        </is>
      </c>
      <c r="X1677" s="156" t="inlineStr">
        <is>
          <t>https://cdn.shopify.com/s/files/1/0888/3250/8267/files/SSGNFT-664281-02.jpg?v=1759870002</t>
        </is>
      </c>
      <c r="Y1677" s="54" t="n">
        <v>1338.75</v>
      </c>
      <c r="Z1677" s="54" t="n">
        <v>3275.862069</v>
      </c>
      <c r="AA1677" s="55">
        <f>IF(AND(A1677="", B1677="", E1677=""), "", IF(AB1677="", "Válido", IF((LEN(AB1677)-LEN(SUBSTITUTE(AB1677,"; ","")))/2+1&gt;(LEN(AB1677)-LEN(SUBSTITUTE(AB1677,"[Aviso]","")))/7, "Con Incidencias", "Válido")))</f>
        <v/>
      </c>
      <c r="AB1677" s="56">
        <f>IF(AND(A1677="", B1677="", E1677=""), "", TEXTJOIN("; ", TRUE, IF(OR(TRIM(A1677&amp;"")="", ISNUMBER(SEARCH("FALTA", A1677))), "UPC faltante/inválido", ""), IF(AND(A1677&lt;&gt;"", IFERROR(_xlfn.XMATCH(A1677,$A$2:$A$2509,0,1)&lt;&gt;_xlfn.XMATCH(A1677,$A$2:$A$2509,0,-1),FALSE)), "Código de barras duplicado", ""), IF(AND(E1677&lt;&gt;"", COUNTIF($E$2:$E$2509, E1677)&gt;1), "SKU duplicado", ""), IF(OR(J1677="", J1677=""), "[Aviso] División no capturada ()", IF(ISNA(MATCH(J1677, Criterios!$A$123:$A$126, 0)), "División no válida", "")), IF(OR(K1677="", K1677=""), "[Aviso] Categoría no capturada ()", IF(ISNA(MATCH(K1677, Criterios!$A$81:$A$120, 0)), "Categoría no válida", IF(AND(J1677&lt;&gt;"", J1677&lt;&gt;"", J1677&lt;&gt;VLOOKUP(K1677, Criterios!$A$81:$B$120, 2, FALSE)), "División no coincide con Categoría", ""))), IF(OR(L1677="", L1677=""), "[Aviso] Género no capturado ()", IF(ISNA(MATCH(L1677, Criterios!$B$123:$B$127, 0)), "Género no válido", "")), IF(OR(N1677="", N1677=""), "[Aviso] Temporada no capturada ()", IF(ISNA(MATCH(N1677, Criterios!$C$123:$C$128, 0)), "Temporada no válida", "")), IF(OR(O1677="", O1677=""), "[Aviso] Ciclo de vida no capturado ()", IF(ISNA(MATCH(O1677, Criterios!$D$123:$D$124, 0)), "Ciclo de vida no válido", ""))))</f>
        <v/>
      </c>
      <c r="AC1677" s="56" t="n"/>
      <c r="AD1677" s="51" t="n">
        <v>0</v>
      </c>
      <c r="AE1677" s="156" t="n"/>
      <c r="AF1677" s="51" t="n">
        <v>0</v>
      </c>
      <c r="AG1677" s="156" t="inlineStr">
        <is>
          <t>Catálogo existente</t>
        </is>
      </c>
      <c r="AH167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7" s="156" t="inlineStr">
        <is>
          <t>No</t>
        </is>
      </c>
      <c r="AJ1677" s="156" t="n"/>
      <c r="AK1677" s="155" t="inlineStr">
        <is>
          <t>Criterios: I [Q] | Shopify Stetson: producto 14788879122795 / variante 53350608241003</t>
        </is>
      </c>
      <c r="AL1677" s="58" t="n">
        <v>1338.75</v>
      </c>
      <c r="AM1677" s="58" t="n">
        <v>3275.862069</v>
      </c>
      <c r="AN1677" s="155" t="inlineStr">
        <is>
          <t>Shopify Stetson México</t>
        </is>
      </c>
      <c r="AO1677" s="59" t="n">
        <v>1</v>
      </c>
      <c r="AP1677" s="59" t="n"/>
      <c r="AQ1677" s="59" t="n"/>
      <c r="AR1677" s="155" t="inlineStr">
        <is>
          <t>Shopify Stetson México › Stetson Americas: 1</t>
        </is>
      </c>
    </row>
    <row r="1678">
      <c r="A1678" s="50" t="inlineStr">
        <is>
          <t>883383570441</t>
        </is>
      </c>
      <c r="B1678" s="51" t="inlineStr">
        <is>
          <t>110173</t>
        </is>
      </c>
      <c r="C1678" s="156" t="inlineStr">
        <is>
          <t>Multimarca</t>
        </is>
      </c>
      <c r="D1678" s="156" t="inlineStr">
        <is>
          <t>SSGNFT-664281</t>
        </is>
      </c>
      <c r="E1678" s="156" t="inlineStr">
        <is>
          <t>SSGNFT-66428173</t>
        </is>
      </c>
      <c r="F1678" s="156" t="inlineStr">
        <is>
          <t>7 3/8</t>
        </is>
      </c>
      <c r="G1678" s="156" t="inlineStr">
        <is>
          <t>7 3/8</t>
        </is>
      </c>
      <c r="H1678" s="156" t="inlineStr">
        <is>
          <t>Stetson</t>
        </is>
      </c>
      <c r="I1678" s="156" t="inlineStr">
        <is>
          <t>Sombrero Stetson Gunfighter Natural</t>
        </is>
      </c>
      <c r="J1678" s="156" t="inlineStr">
        <is>
          <t>Accesorios</t>
        </is>
      </c>
      <c r="K1678" s="156" t="inlineStr">
        <is>
          <t>Sombreros</t>
        </is>
      </c>
      <c r="L1678" s="156" t="inlineStr">
        <is>
          <t>Unisex</t>
        </is>
      </c>
      <c r="M1678" s="156" t="inlineStr">
        <is>
          <t>Stetson</t>
        </is>
      </c>
      <c r="N1678" s="156" t="inlineStr">
        <is>
          <t>SS26</t>
        </is>
      </c>
      <c r="O1678" s="156" t="inlineStr">
        <is>
          <t>Seasonal</t>
        </is>
      </c>
      <c r="P1678" s="156" t="inlineStr">
        <is>
          <t>Beige</t>
        </is>
      </c>
      <c r="Q1678" s="156" t="n"/>
      <c r="R1678" s="156" t="inlineStr">
        <is>
          <t>Copa Cattleman</t>
        </is>
      </c>
      <c r="S1678" s="156" t="inlineStr">
        <is>
          <t>100% Paja</t>
        </is>
      </c>
      <c r="T1678"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8" s="156" t="inlineStr">
        <is>
          <t>Estados Unidos</t>
        </is>
      </c>
      <c r="V1678" s="156" t="inlineStr">
        <is>
          <t>PZS</t>
        </is>
      </c>
      <c r="W1678" s="51" t="inlineStr">
        <is>
          <t>53102503</t>
        </is>
      </c>
      <c r="X1678" s="156" t="inlineStr">
        <is>
          <t>https://cdn.shopify.com/s/files/1/0888/3250/8267/files/SSGNFT-664281-03.jpg?v=1759870002</t>
        </is>
      </c>
      <c r="Y1678" s="54" t="n">
        <v>1338.75</v>
      </c>
      <c r="Z1678" s="54" t="n">
        <v>3275.862069</v>
      </c>
      <c r="AA1678" s="55">
        <f>IF(AND(A1678="", B1678="", E1678=""), "", IF(AB1678="", "Válido", IF((LEN(AB1678)-LEN(SUBSTITUTE(AB1678,"; ","")))/2+1&gt;(LEN(AB1678)-LEN(SUBSTITUTE(AB1678,"[Aviso]","")))/7, "Con Incidencias", "Válido")))</f>
        <v/>
      </c>
      <c r="AB1678" s="56">
        <f>IF(AND(A1678="", B1678="", E1678=""), "", TEXTJOIN("; ", TRUE, IF(OR(TRIM(A1678&amp;"")="", ISNUMBER(SEARCH("FALTA", A1678))), "UPC faltante/inválido", ""), IF(AND(A1678&lt;&gt;"", IFERROR(_xlfn.XMATCH(A1678,$A$2:$A$2509,0,1)&lt;&gt;_xlfn.XMATCH(A1678,$A$2:$A$2509,0,-1),FALSE)), "Código de barras duplicado", ""), IF(AND(E1678&lt;&gt;"", COUNTIF($E$2:$E$2509, E1678)&gt;1), "SKU duplicado", ""), IF(OR(J1678="", J1678=""), "[Aviso] División no capturada ()", IF(ISNA(MATCH(J1678, Criterios!$A$123:$A$126, 0)), "División no válida", "")), IF(OR(K1678="", K1678=""), "[Aviso] Categoría no capturada ()", IF(ISNA(MATCH(K1678, Criterios!$A$81:$A$120, 0)), "Categoría no válida", IF(AND(J1678&lt;&gt;"", J1678&lt;&gt;"", J1678&lt;&gt;VLOOKUP(K1678, Criterios!$A$81:$B$120, 2, FALSE)), "División no coincide con Categoría", ""))), IF(OR(L1678="", L1678=""), "[Aviso] Género no capturado ()", IF(ISNA(MATCH(L1678, Criterios!$B$123:$B$127, 0)), "Género no válido", "")), IF(OR(N1678="", N1678=""), "[Aviso] Temporada no capturada ()", IF(ISNA(MATCH(N1678, Criterios!$C$123:$C$128, 0)), "Temporada no válida", "")), IF(OR(O1678="", O1678=""), "[Aviso] Ciclo de vida no capturado ()", IF(ISNA(MATCH(O1678, Criterios!$D$123:$D$124, 0)), "Ciclo de vida no válido", ""))))</f>
        <v/>
      </c>
      <c r="AC1678" s="56" t="n"/>
      <c r="AD1678" s="51" t="n">
        <v>-1</v>
      </c>
      <c r="AE1678" s="156" t="n"/>
      <c r="AF1678" s="51" t="n">
        <v>0</v>
      </c>
      <c r="AG1678" s="156" t="inlineStr">
        <is>
          <t>Catálogo existente</t>
        </is>
      </c>
      <c r="AH167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8" s="156" t="inlineStr">
        <is>
          <t>Sí</t>
        </is>
      </c>
      <c r="AJ1678" s="156" t="inlineStr">
        <is>
          <t>STETSON AMERICAS (-1)</t>
        </is>
      </c>
      <c r="AK1678" s="155" t="inlineStr">
        <is>
          <t>Criterios: I [Q] | Shopify Stetson: producto 14788879122795 / variante 53350608273771</t>
        </is>
      </c>
      <c r="AL1678" s="58" t="n">
        <v>1338.75</v>
      </c>
      <c r="AM1678" s="58" t="n">
        <v>3275.862069</v>
      </c>
      <c r="AN1678" s="155" t="inlineStr">
        <is>
          <t>Shopify Stetson México</t>
        </is>
      </c>
      <c r="AO1678" s="59" t="n">
        <v>0</v>
      </c>
      <c r="AP1678" s="59" t="n"/>
      <c r="AQ1678" s="59" t="n"/>
      <c r="AR1678" s="155" t="n"/>
    </row>
    <row r="1679">
      <c r="A1679" s="50" t="inlineStr">
        <is>
          <t>883383681451</t>
        </is>
      </c>
      <c r="B1679" s="51" t="inlineStr">
        <is>
          <t>117556</t>
        </is>
      </c>
      <c r="C1679" s="156" t="inlineStr">
        <is>
          <t>Multimarca</t>
        </is>
      </c>
      <c r="D1679" s="156" t="inlineStr">
        <is>
          <t>SSSDMN-304281</t>
        </is>
      </c>
      <c r="E1679" s="156" t="inlineStr">
        <is>
          <t>SSSDMN-30428170</t>
        </is>
      </c>
      <c r="F1679" s="156" t="inlineStr">
        <is>
          <t>7</t>
        </is>
      </c>
      <c r="G1679" s="156" t="inlineStr">
        <is>
          <t>7</t>
        </is>
      </c>
      <c r="H1679" s="156" t="inlineStr">
        <is>
          <t>Stetson</t>
        </is>
      </c>
      <c r="I1679" s="156" t="inlineStr">
        <is>
          <t>Sombrero Stetson Saddleman Natural</t>
        </is>
      </c>
      <c r="J1679" s="156" t="inlineStr">
        <is>
          <t>Accesorios</t>
        </is>
      </c>
      <c r="K1679" s="156" t="inlineStr">
        <is>
          <t>Sombreros</t>
        </is>
      </c>
      <c r="L1679" s="156" t="inlineStr">
        <is>
          <t>Unisex</t>
        </is>
      </c>
      <c r="M1679" s="156" t="inlineStr">
        <is>
          <t>Stetson</t>
        </is>
      </c>
      <c r="N1679" s="156" t="inlineStr">
        <is>
          <t>FW26</t>
        </is>
      </c>
      <c r="O1679" s="156" t="inlineStr">
        <is>
          <t>Seasonal</t>
        </is>
      </c>
      <c r="P1679" s="156" t="inlineStr">
        <is>
          <t>Beige</t>
        </is>
      </c>
      <c r="Q1679" s="156" t="n"/>
      <c r="R1679" s="156" t="inlineStr">
        <is>
          <t>Copa Rancher</t>
        </is>
      </c>
      <c r="S1679" s="156" t="inlineStr">
        <is>
          <t>100% Paja</t>
        </is>
      </c>
      <c r="T1679"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79" s="156" t="inlineStr">
        <is>
          <t>Estados Unidos</t>
        </is>
      </c>
      <c r="V1679" s="156" t="inlineStr">
        <is>
          <t>PZS</t>
        </is>
      </c>
      <c r="W1679" s="51" t="inlineStr">
        <is>
          <t>53102516</t>
        </is>
      </c>
      <c r="X1679" s="156" t="inlineStr">
        <is>
          <t>https://cdn.shopify.com/s/files/1/0888/3250/8267/files/SSSDMN-30428173_7.png?v=1760016147</t>
        </is>
      </c>
      <c r="Y1679" s="54" t="n">
        <v>1575</v>
      </c>
      <c r="Z1679" s="54" t="n">
        <v>3793.103448</v>
      </c>
      <c r="AA1679" s="55">
        <f>IF(AND(A1679="", B1679="", E1679=""), "", IF(AB1679="", "Válido", IF((LEN(AB1679)-LEN(SUBSTITUTE(AB1679,"; ","")))/2+1&gt;(LEN(AB1679)-LEN(SUBSTITUTE(AB1679,"[Aviso]","")))/7, "Con Incidencias", "Válido")))</f>
        <v/>
      </c>
      <c r="AB1679" s="56">
        <f>IF(AND(A1679="", B1679="", E1679=""), "", TEXTJOIN("; ", TRUE, IF(OR(TRIM(A1679&amp;"")="", ISNUMBER(SEARCH("FALTA", A1679))), "UPC faltante/inválido", ""), IF(AND(A1679&lt;&gt;"", IFERROR(_xlfn.XMATCH(A1679,$A$2:$A$2509,0,1)&lt;&gt;_xlfn.XMATCH(A1679,$A$2:$A$2509,0,-1),FALSE)), "Código de barras duplicado", ""), IF(AND(E1679&lt;&gt;"", COUNTIF($E$2:$E$2509, E1679)&gt;1), "SKU duplicado", ""), IF(OR(J1679="", J1679=""), "[Aviso] División no capturada ()", IF(ISNA(MATCH(J1679, Criterios!$A$123:$A$126, 0)), "División no válida", "")), IF(OR(K1679="", K1679=""), "[Aviso] Categoría no capturada ()", IF(ISNA(MATCH(K1679, Criterios!$A$81:$A$120, 0)), "Categoría no válida", IF(AND(J1679&lt;&gt;"", J1679&lt;&gt;"", J1679&lt;&gt;VLOOKUP(K1679, Criterios!$A$81:$B$120, 2, FALSE)), "División no coincide con Categoría", ""))), IF(OR(L1679="", L1679=""), "[Aviso] Género no capturado ()", IF(ISNA(MATCH(L1679, Criterios!$B$123:$B$127, 0)), "Género no válido", "")), IF(OR(N1679="", N1679=""), "[Aviso] Temporada no capturada ()", IF(ISNA(MATCH(N1679, Criterios!$C$123:$C$128, 0)), "Temporada no válida", "")), IF(OR(O1679="", O1679=""), "[Aviso] Ciclo de vida no capturado ()", IF(ISNA(MATCH(O1679, Criterios!$D$123:$D$124, 0)), "Ciclo de vida no válido", ""))))</f>
        <v/>
      </c>
      <c r="AC1679" s="56" t="n"/>
      <c r="AD1679" s="51" t="n">
        <v>-1</v>
      </c>
      <c r="AE1679" s="156" t="n"/>
      <c r="AF1679" s="51" t="n">
        <v>0</v>
      </c>
      <c r="AG1679" s="156" t="inlineStr">
        <is>
          <t>Catálogo existente</t>
        </is>
      </c>
      <c r="AH167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9" s="156" t="inlineStr">
        <is>
          <t>Sí</t>
        </is>
      </c>
      <c r="AJ1679" s="156" t="inlineStr">
        <is>
          <t>PUNTO DE VENTA (-1)</t>
        </is>
      </c>
      <c r="AK1679" s="155" t="inlineStr">
        <is>
          <t>Criterios: I [Q] | Shopify Stetson: producto 14789631050091 / variante 53836804325739</t>
        </is>
      </c>
      <c r="AL1679" s="58" t="n">
        <v>1575</v>
      </c>
      <c r="AM1679" s="58" t="n">
        <v>3793.103448</v>
      </c>
      <c r="AN1679" s="155" t="inlineStr">
        <is>
          <t>Shopify Stetson México</t>
        </is>
      </c>
      <c r="AO1679" s="59" t="n">
        <v>0</v>
      </c>
      <c r="AP1679" s="59" t="n"/>
      <c r="AQ1679" s="59" t="n"/>
      <c r="AR1679" s="155" t="n"/>
    </row>
    <row r="1680">
      <c r="A1680" s="50" t="inlineStr">
        <is>
          <t>883383681468</t>
        </is>
      </c>
      <c r="B1680" s="51" t="inlineStr">
        <is>
          <t>117557</t>
        </is>
      </c>
      <c r="C1680" s="156" t="inlineStr">
        <is>
          <t>Multimarca</t>
        </is>
      </c>
      <c r="D1680" s="156" t="inlineStr">
        <is>
          <t>SSSDMN-304281</t>
        </is>
      </c>
      <c r="E1680" s="156" t="inlineStr">
        <is>
          <t>SSSDMN-30428171</t>
        </is>
      </c>
      <c r="F1680" s="156" t="inlineStr">
        <is>
          <t>7 1/8</t>
        </is>
      </c>
      <c r="G1680" s="156" t="inlineStr">
        <is>
          <t>7 1/8</t>
        </is>
      </c>
      <c r="H1680" s="156" t="inlineStr">
        <is>
          <t>Stetson</t>
        </is>
      </c>
      <c r="I1680" s="156" t="inlineStr">
        <is>
          <t>Sombrero Stetson Saddleman Natural</t>
        </is>
      </c>
      <c r="J1680" s="156" t="inlineStr">
        <is>
          <t>Accesorios</t>
        </is>
      </c>
      <c r="K1680" s="156" t="inlineStr">
        <is>
          <t>Sombreros</t>
        </is>
      </c>
      <c r="L1680" s="156" t="inlineStr">
        <is>
          <t>Unisex</t>
        </is>
      </c>
      <c r="M1680" s="156" t="inlineStr">
        <is>
          <t>Stetson</t>
        </is>
      </c>
      <c r="N1680" s="156" t="inlineStr">
        <is>
          <t>FW26</t>
        </is>
      </c>
      <c r="O1680" s="156" t="inlineStr">
        <is>
          <t>Seasonal</t>
        </is>
      </c>
      <c r="P1680" s="156" t="inlineStr">
        <is>
          <t>Beige</t>
        </is>
      </c>
      <c r="Q1680" s="156" t="n"/>
      <c r="R1680" s="156" t="inlineStr">
        <is>
          <t>Copa Rancher</t>
        </is>
      </c>
      <c r="S1680" s="156" t="inlineStr">
        <is>
          <t>100% Paja</t>
        </is>
      </c>
      <c r="T1680"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0" s="156" t="inlineStr">
        <is>
          <t>Estados Unidos</t>
        </is>
      </c>
      <c r="V1680" s="156" t="inlineStr">
        <is>
          <t>PZS</t>
        </is>
      </c>
      <c r="W1680" s="51" t="inlineStr">
        <is>
          <t>53102516</t>
        </is>
      </c>
      <c r="X1680" s="156" t="inlineStr">
        <is>
          <t>https://cdn.shopify.com/s/files/1/0888/3250/8267/files/SSSDMN-30428173_2.png?v=1760016147</t>
        </is>
      </c>
      <c r="Y1680" s="54" t="n">
        <v>1575</v>
      </c>
      <c r="Z1680" s="54" t="n">
        <v>3793.103448</v>
      </c>
      <c r="AA1680" s="55">
        <f>IF(AND(A1680="", B1680="", E1680=""), "", IF(AB1680="", "Válido", IF((LEN(AB1680)-LEN(SUBSTITUTE(AB1680,"; ","")))/2+1&gt;(LEN(AB1680)-LEN(SUBSTITUTE(AB1680,"[Aviso]","")))/7, "Con Incidencias", "Válido")))</f>
        <v/>
      </c>
      <c r="AB1680" s="56">
        <f>IF(AND(A1680="", B1680="", E1680=""), "", TEXTJOIN("; ", TRUE, IF(OR(TRIM(A1680&amp;"")="", ISNUMBER(SEARCH("FALTA", A1680))), "UPC faltante/inválido", ""), IF(AND(A1680&lt;&gt;"", IFERROR(_xlfn.XMATCH(A1680,$A$2:$A$2509,0,1)&lt;&gt;_xlfn.XMATCH(A1680,$A$2:$A$2509,0,-1),FALSE)), "Código de barras duplicado", ""), IF(AND(E1680&lt;&gt;"", COUNTIF($E$2:$E$2509, E1680)&gt;1), "SKU duplicado", ""), IF(OR(J1680="", J1680=""), "[Aviso] División no capturada ()", IF(ISNA(MATCH(J1680, Criterios!$A$123:$A$126, 0)), "División no válida", "")), IF(OR(K1680="", K1680=""), "[Aviso] Categoría no capturada ()", IF(ISNA(MATCH(K1680, Criterios!$A$81:$A$120, 0)), "Categoría no válida", IF(AND(J1680&lt;&gt;"", J1680&lt;&gt;"", J1680&lt;&gt;VLOOKUP(K1680, Criterios!$A$81:$B$120, 2, FALSE)), "División no coincide con Categoría", ""))), IF(OR(L1680="", L1680=""), "[Aviso] Género no capturado ()", IF(ISNA(MATCH(L1680, Criterios!$B$123:$B$127, 0)), "Género no válido", "")), IF(OR(N1680="", N1680=""), "[Aviso] Temporada no capturada ()", IF(ISNA(MATCH(N1680, Criterios!$C$123:$C$128, 0)), "Temporada no válida", "")), IF(OR(O1680="", O1680=""), "[Aviso] Ciclo de vida no capturado ()", IF(ISNA(MATCH(O1680, Criterios!$D$123:$D$124, 0)), "Ciclo de vida no válido", ""))))</f>
        <v/>
      </c>
      <c r="AC1680" s="56" t="n"/>
      <c r="AD1680" s="51" t="n">
        <v>0</v>
      </c>
      <c r="AE1680" s="156" t="inlineStr">
        <is>
          <t>STETSON AMERICAS (2)</t>
        </is>
      </c>
      <c r="AF1680" s="51" t="n">
        <v>2</v>
      </c>
      <c r="AG1680" s="156" t="inlineStr">
        <is>
          <t>Catálogo existente</t>
        </is>
      </c>
      <c r="AH168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0" s="156" t="inlineStr">
        <is>
          <t>Sí</t>
        </is>
      </c>
      <c r="AJ1680" s="156" t="inlineStr">
        <is>
          <t>PUNTO DE VENTA (-2)</t>
        </is>
      </c>
      <c r="AK1680" s="155" t="inlineStr">
        <is>
          <t>Criterios: I [Q] | Shopify Stetson: producto 14789631050091 / variante 53836804358507</t>
        </is>
      </c>
      <c r="AL1680" s="58" t="n">
        <v>1575</v>
      </c>
      <c r="AM1680" s="58" t="n">
        <v>3793.103448</v>
      </c>
      <c r="AN1680" s="155" t="inlineStr">
        <is>
          <t>Shopify Stetson México</t>
        </is>
      </c>
      <c r="AO1680" s="59" t="n">
        <v>2</v>
      </c>
      <c r="AP1680" s="59" t="n"/>
      <c r="AQ1680" s="59" t="n"/>
      <c r="AR1680" s="155" t="inlineStr">
        <is>
          <t>Shopify Stetson México › Stetson Americas: 2</t>
        </is>
      </c>
    </row>
    <row r="1681">
      <c r="A1681" s="50" t="inlineStr">
        <is>
          <t>883383681475</t>
        </is>
      </c>
      <c r="B1681" s="51" t="inlineStr">
        <is>
          <t>117558</t>
        </is>
      </c>
      <c r="C1681" s="156" t="inlineStr">
        <is>
          <t>Multimarca</t>
        </is>
      </c>
      <c r="D1681" s="156" t="inlineStr">
        <is>
          <t>SSSDMN-304281</t>
        </is>
      </c>
      <c r="E1681" s="156" t="inlineStr">
        <is>
          <t>SSSDMN-30428172</t>
        </is>
      </c>
      <c r="F1681" s="156" t="inlineStr">
        <is>
          <t>7 1/4</t>
        </is>
      </c>
      <c r="G1681" s="156" t="inlineStr">
        <is>
          <t>7 1/4</t>
        </is>
      </c>
      <c r="H1681" s="156" t="inlineStr">
        <is>
          <t>Stetson</t>
        </is>
      </c>
      <c r="I1681" s="156" t="inlineStr">
        <is>
          <t>Sombrero Stetson Saddleman Natural</t>
        </is>
      </c>
      <c r="J1681" s="156" t="inlineStr">
        <is>
          <t>Accesorios</t>
        </is>
      </c>
      <c r="K1681" s="156" t="inlineStr">
        <is>
          <t>Sombreros</t>
        </is>
      </c>
      <c r="L1681" s="156" t="inlineStr">
        <is>
          <t>Unisex</t>
        </is>
      </c>
      <c r="M1681" s="156" t="inlineStr">
        <is>
          <t>Stetson</t>
        </is>
      </c>
      <c r="N1681" s="156" t="inlineStr">
        <is>
          <t>FW26</t>
        </is>
      </c>
      <c r="O1681" s="156" t="inlineStr">
        <is>
          <t>Seasonal</t>
        </is>
      </c>
      <c r="P1681" s="156" t="inlineStr">
        <is>
          <t>Beige</t>
        </is>
      </c>
      <c r="Q1681" s="156" t="n"/>
      <c r="R1681" s="156" t="inlineStr">
        <is>
          <t>Copa Rancher</t>
        </is>
      </c>
      <c r="S1681" s="156" t="inlineStr">
        <is>
          <t>100% Paja</t>
        </is>
      </c>
      <c r="T1681"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1" s="156" t="inlineStr">
        <is>
          <t>Estados Unidos</t>
        </is>
      </c>
      <c r="V1681" s="156" t="inlineStr">
        <is>
          <t>PZS</t>
        </is>
      </c>
      <c r="W1681" s="51" t="inlineStr">
        <is>
          <t>53102516</t>
        </is>
      </c>
      <c r="X1681" s="156" t="inlineStr">
        <is>
          <t>https://cdn.shopify.com/s/files/1/0888/3250/8267/files/SSSDMN-30428173_3.png?v=1760016147</t>
        </is>
      </c>
      <c r="Y1681" s="54" t="n">
        <v>1575</v>
      </c>
      <c r="Z1681" s="54" t="n">
        <v>3793.103448</v>
      </c>
      <c r="AA1681" s="55">
        <f>IF(AND(A1681="", B1681="", E1681=""), "", IF(AB1681="", "Válido", IF((LEN(AB1681)-LEN(SUBSTITUTE(AB1681,"; ","")))/2+1&gt;(LEN(AB1681)-LEN(SUBSTITUTE(AB1681,"[Aviso]","")))/7, "Con Incidencias", "Válido")))</f>
        <v/>
      </c>
      <c r="AB1681" s="56">
        <f>IF(AND(A1681="", B1681="", E1681=""), "", TEXTJOIN("; ", TRUE, IF(OR(TRIM(A1681&amp;"")="", ISNUMBER(SEARCH("FALTA", A1681))), "UPC faltante/inválido", ""), IF(AND(A1681&lt;&gt;"", IFERROR(_xlfn.XMATCH(A1681,$A$2:$A$2509,0,1)&lt;&gt;_xlfn.XMATCH(A1681,$A$2:$A$2509,0,-1),FALSE)), "Código de barras duplicado", ""), IF(AND(E1681&lt;&gt;"", COUNTIF($E$2:$E$2509, E1681)&gt;1), "SKU duplicado", ""), IF(OR(J1681="", J1681=""), "[Aviso] División no capturada ()", IF(ISNA(MATCH(J1681, Criterios!$A$123:$A$126, 0)), "División no válida", "")), IF(OR(K1681="", K1681=""), "[Aviso] Categoría no capturada ()", IF(ISNA(MATCH(K1681, Criterios!$A$81:$A$120, 0)), "Categoría no válida", IF(AND(J1681&lt;&gt;"", J1681&lt;&gt;"", J1681&lt;&gt;VLOOKUP(K1681, Criterios!$A$81:$B$120, 2, FALSE)), "División no coincide con Categoría", ""))), IF(OR(L1681="", L1681=""), "[Aviso] Género no capturado ()", IF(ISNA(MATCH(L1681, Criterios!$B$123:$B$127, 0)), "Género no válido", "")), IF(OR(N1681="", N1681=""), "[Aviso] Temporada no capturada ()", IF(ISNA(MATCH(N1681, Criterios!$C$123:$C$128, 0)), "Temporada no válida", "")), IF(OR(O1681="", O1681=""), "[Aviso] Ciclo de vida no capturado ()", IF(ISNA(MATCH(O1681, Criterios!$D$123:$D$124, 0)), "Ciclo de vida no válido", ""))))</f>
        <v/>
      </c>
      <c r="AC1681" s="56" t="n"/>
      <c r="AD1681" s="51" t="n">
        <v>-1</v>
      </c>
      <c r="AE1681" s="156" t="inlineStr">
        <is>
          <t>STETSON AMERICAS (1)</t>
        </is>
      </c>
      <c r="AF1681" s="51" t="n">
        <v>1</v>
      </c>
      <c r="AG1681" s="156" t="inlineStr">
        <is>
          <t>Catálogo existente</t>
        </is>
      </c>
      <c r="AH168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1" s="156" t="inlineStr">
        <is>
          <t>Sí</t>
        </is>
      </c>
      <c r="AJ1681" s="156" t="inlineStr">
        <is>
          <t>PUNTO DE VENTA (-2)</t>
        </is>
      </c>
      <c r="AK1681" s="155" t="inlineStr">
        <is>
          <t>Criterios: I [Q] | Shopify Stetson: producto 14789631050091 / variante 53836804391275</t>
        </is>
      </c>
      <c r="AL1681" s="58" t="n">
        <v>1575</v>
      </c>
      <c r="AM1681" s="58" t="n">
        <v>3793.103448</v>
      </c>
      <c r="AN1681" s="155" t="inlineStr">
        <is>
          <t>Shopify Stetson México</t>
        </is>
      </c>
      <c r="AO1681" s="59" t="n">
        <v>1</v>
      </c>
      <c r="AP1681" s="59" t="n"/>
      <c r="AQ1681" s="59" t="n"/>
      <c r="AR1681" s="155" t="inlineStr">
        <is>
          <t>Shopify Stetson México › Stetson Americas: 1</t>
        </is>
      </c>
    </row>
    <row r="1682">
      <c r="A1682" s="50" t="inlineStr">
        <is>
          <t>883383681482</t>
        </is>
      </c>
      <c r="B1682" s="51" t="inlineStr">
        <is>
          <t>110218</t>
        </is>
      </c>
      <c r="C1682" s="156" t="inlineStr">
        <is>
          <t>Multimarca</t>
        </is>
      </c>
      <c r="D1682" s="156" t="inlineStr">
        <is>
          <t>SSSDMN-304281</t>
        </is>
      </c>
      <c r="E1682" s="156" t="inlineStr">
        <is>
          <t>SSSDMN-30428173</t>
        </is>
      </c>
      <c r="F1682" s="156" t="inlineStr">
        <is>
          <t>7 3/8</t>
        </is>
      </c>
      <c r="G1682" s="156" t="inlineStr">
        <is>
          <t>7 3/8</t>
        </is>
      </c>
      <c r="H1682" s="156" t="inlineStr">
        <is>
          <t>Stetson</t>
        </is>
      </c>
      <c r="I1682" s="156" t="inlineStr">
        <is>
          <t>Sombrero Stetson Saddleman Natural</t>
        </is>
      </c>
      <c r="J1682" s="156" t="inlineStr">
        <is>
          <t>Accesorios</t>
        </is>
      </c>
      <c r="K1682" s="156" t="inlineStr">
        <is>
          <t>Sombreros</t>
        </is>
      </c>
      <c r="L1682" s="156" t="inlineStr">
        <is>
          <t>Unisex</t>
        </is>
      </c>
      <c r="M1682" s="156" t="inlineStr">
        <is>
          <t>Stetson</t>
        </is>
      </c>
      <c r="N1682" s="156" t="inlineStr">
        <is>
          <t>SS26</t>
        </is>
      </c>
      <c r="O1682" s="156" t="inlineStr">
        <is>
          <t>Seasonal</t>
        </is>
      </c>
      <c r="P1682" s="156" t="inlineStr">
        <is>
          <t>Beige</t>
        </is>
      </c>
      <c r="Q1682" s="156" t="n"/>
      <c r="R1682" s="156" t="inlineStr">
        <is>
          <t>Copa Rancher</t>
        </is>
      </c>
      <c r="S1682" s="156" t="inlineStr">
        <is>
          <t>100% Paja</t>
        </is>
      </c>
      <c r="T1682"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2" s="156" t="inlineStr">
        <is>
          <t>Estados Unidos</t>
        </is>
      </c>
      <c r="V1682" s="156" t="inlineStr">
        <is>
          <t>PZS</t>
        </is>
      </c>
      <c r="W1682" s="51" t="inlineStr">
        <is>
          <t>53102503</t>
        </is>
      </c>
      <c r="X1682" s="156" t="inlineStr">
        <is>
          <t>https://cdn.shopify.com/s/files/1/0888/3250/8267/files/SSSDMN-30428173_1.jpg?v=1760016147</t>
        </is>
      </c>
      <c r="Y1682" s="54" t="n">
        <v>1575</v>
      </c>
      <c r="Z1682" s="54" t="n">
        <v>3793.103448</v>
      </c>
      <c r="AA1682" s="55">
        <f>IF(AND(A1682="", B1682="", E1682=""), "", IF(AB1682="", "Válido", IF((LEN(AB1682)-LEN(SUBSTITUTE(AB1682,"; ","")))/2+1&gt;(LEN(AB1682)-LEN(SUBSTITUTE(AB1682,"[Aviso]","")))/7, "Con Incidencias", "Válido")))</f>
        <v/>
      </c>
      <c r="AB1682" s="56">
        <f>IF(AND(A1682="", B1682="", E1682=""), "", TEXTJOIN("; ", TRUE, IF(OR(TRIM(A1682&amp;"")="", ISNUMBER(SEARCH("FALTA", A1682))), "UPC faltante/inválido", ""), IF(AND(A1682&lt;&gt;"", IFERROR(_xlfn.XMATCH(A1682,$A$2:$A$2509,0,1)&lt;&gt;_xlfn.XMATCH(A1682,$A$2:$A$2509,0,-1),FALSE)), "Código de barras duplicado", ""), IF(AND(E1682&lt;&gt;"", COUNTIF($E$2:$E$2509, E1682)&gt;1), "SKU duplicado", ""), IF(OR(J1682="", J1682=""), "[Aviso] División no capturada ()", IF(ISNA(MATCH(J1682, Criterios!$A$123:$A$126, 0)), "División no válida", "")), IF(OR(K1682="", K1682=""), "[Aviso] Categoría no capturada ()", IF(ISNA(MATCH(K1682, Criterios!$A$81:$A$120, 0)), "Categoría no válida", IF(AND(J1682&lt;&gt;"", J1682&lt;&gt;"", J1682&lt;&gt;VLOOKUP(K1682, Criterios!$A$81:$B$120, 2, FALSE)), "División no coincide con Categoría", ""))), IF(OR(L1682="", L1682=""), "[Aviso] Género no capturado ()", IF(ISNA(MATCH(L1682, Criterios!$B$123:$B$127, 0)), "Género no válido", "")), IF(OR(N1682="", N1682=""), "[Aviso] Temporada no capturada ()", IF(ISNA(MATCH(N1682, Criterios!$C$123:$C$128, 0)), "Temporada no válida", "")), IF(OR(O1682="", O1682=""), "[Aviso] Ciclo de vida no capturado ()", IF(ISNA(MATCH(O1682, Criterios!$D$123:$D$124, 0)), "Ciclo de vida no válido", ""))))</f>
        <v/>
      </c>
      <c r="AC1682" s="56" t="n"/>
      <c r="AD1682" s="51" t="n">
        <v>2</v>
      </c>
      <c r="AE1682" s="156" t="inlineStr">
        <is>
          <t>PUNTO DE VENTA (1); B25 STETSON.MX (2)</t>
        </is>
      </c>
      <c r="AF1682" s="51" t="n">
        <v>3</v>
      </c>
      <c r="AG1682" s="156" t="inlineStr">
        <is>
          <t>Catálogo existente</t>
        </is>
      </c>
      <c r="AH16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2" s="156" t="inlineStr">
        <is>
          <t>Sí</t>
        </is>
      </c>
      <c r="AJ1682" s="156" t="inlineStr">
        <is>
          <t>STETSON AMERICAS (-1)</t>
        </is>
      </c>
      <c r="AK1682" s="155" t="inlineStr">
        <is>
          <t>Criterios: I [Q] | Shopify Stetson: producto 14789631050091 / variante 53350605980011</t>
        </is>
      </c>
      <c r="AL1682" s="58" t="n">
        <v>1575</v>
      </c>
      <c r="AM1682" s="58" t="n">
        <v>3793.103448</v>
      </c>
      <c r="AN1682" s="155" t="inlineStr">
        <is>
          <t>Shopify Stetson México</t>
        </is>
      </c>
      <c r="AO1682" s="59" t="n">
        <v>1</v>
      </c>
      <c r="AP1682" s="59" t="n"/>
      <c r="AQ1682" s="59" t="n"/>
      <c r="AR1682" s="155" t="inlineStr">
        <is>
          <t>Shopify Stetson México › Stetson México: 1</t>
        </is>
      </c>
    </row>
    <row r="1683">
      <c r="A1683" s="50" t="inlineStr">
        <is>
          <t>883383681499</t>
        </is>
      </c>
      <c r="B1683" s="51" t="inlineStr">
        <is>
          <t>117559</t>
        </is>
      </c>
      <c r="C1683" s="156" t="inlineStr">
        <is>
          <t>Multimarca</t>
        </is>
      </c>
      <c r="D1683" s="156" t="inlineStr">
        <is>
          <t>SSSDMN-304281</t>
        </is>
      </c>
      <c r="E1683" s="156" t="inlineStr">
        <is>
          <t>SSSDMN-30428174</t>
        </is>
      </c>
      <c r="F1683" s="156" t="inlineStr">
        <is>
          <t>7 1/2</t>
        </is>
      </c>
      <c r="G1683" s="156" t="inlineStr">
        <is>
          <t>7 1/2</t>
        </is>
      </c>
      <c r="H1683" s="156" t="inlineStr">
        <is>
          <t>Stetson</t>
        </is>
      </c>
      <c r="I1683" s="156" t="inlineStr">
        <is>
          <t>Sombrero Stetson Saddleman Natural</t>
        </is>
      </c>
      <c r="J1683" s="156" t="inlineStr">
        <is>
          <t>Accesorios</t>
        </is>
      </c>
      <c r="K1683" s="156" t="inlineStr">
        <is>
          <t>Sombreros</t>
        </is>
      </c>
      <c r="L1683" s="156" t="inlineStr">
        <is>
          <t>Unisex</t>
        </is>
      </c>
      <c r="M1683" s="156" t="inlineStr">
        <is>
          <t>Stetson</t>
        </is>
      </c>
      <c r="N1683" s="156" t="inlineStr">
        <is>
          <t>FW26</t>
        </is>
      </c>
      <c r="O1683" s="156" t="inlineStr">
        <is>
          <t>Seasonal</t>
        </is>
      </c>
      <c r="P1683" s="156" t="inlineStr">
        <is>
          <t>Beige</t>
        </is>
      </c>
      <c r="Q1683" s="156" t="n"/>
      <c r="R1683" s="156" t="inlineStr">
        <is>
          <t>Copa Rancher</t>
        </is>
      </c>
      <c r="S1683" s="156" t="inlineStr">
        <is>
          <t>100% Paja</t>
        </is>
      </c>
      <c r="T1683"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3" s="156" t="inlineStr">
        <is>
          <t>Estados Unidos</t>
        </is>
      </c>
      <c r="V1683" s="156" t="inlineStr">
        <is>
          <t>PZS</t>
        </is>
      </c>
      <c r="W1683" s="51" t="inlineStr">
        <is>
          <t>53102516</t>
        </is>
      </c>
      <c r="X1683" s="156" t="inlineStr">
        <is>
          <t>https://cdn.shopify.com/s/files/1/0888/3250/8267/files/SSSDMN-30428173_4.png?v=1760016147</t>
        </is>
      </c>
      <c r="Y1683" s="54" t="n">
        <v>1575</v>
      </c>
      <c r="Z1683" s="54" t="n">
        <v>3793.103448</v>
      </c>
      <c r="AA1683" s="55">
        <f>IF(AND(A1683="", B1683="", E1683=""), "", IF(AB1683="", "Válido", IF((LEN(AB1683)-LEN(SUBSTITUTE(AB1683,"; ","")))/2+1&gt;(LEN(AB1683)-LEN(SUBSTITUTE(AB1683,"[Aviso]","")))/7, "Con Incidencias", "Válido")))</f>
        <v/>
      </c>
      <c r="AB1683" s="56">
        <f>IF(AND(A1683="", B1683="", E1683=""), "", TEXTJOIN("; ", TRUE, IF(OR(TRIM(A1683&amp;"")="", ISNUMBER(SEARCH("FALTA", A1683))), "UPC faltante/inválido", ""), IF(AND(A1683&lt;&gt;"", IFERROR(_xlfn.XMATCH(A1683,$A$2:$A$2509,0,1)&lt;&gt;_xlfn.XMATCH(A1683,$A$2:$A$2509,0,-1),FALSE)), "Código de barras duplicado", ""), IF(AND(E1683&lt;&gt;"", COUNTIF($E$2:$E$2509, E1683)&gt;1), "SKU duplicado", ""), IF(OR(J1683="", J1683=""), "[Aviso] División no capturada ()", IF(ISNA(MATCH(J1683, Criterios!$A$123:$A$126, 0)), "División no válida", "")), IF(OR(K1683="", K1683=""), "[Aviso] Categoría no capturada ()", IF(ISNA(MATCH(K1683, Criterios!$A$81:$A$120, 0)), "Categoría no válida", IF(AND(J1683&lt;&gt;"", J1683&lt;&gt;"", J1683&lt;&gt;VLOOKUP(K1683, Criterios!$A$81:$B$120, 2, FALSE)), "División no coincide con Categoría", ""))), IF(OR(L1683="", L1683=""), "[Aviso] Género no capturado ()", IF(ISNA(MATCH(L1683, Criterios!$B$123:$B$127, 0)), "Género no válido", "")), IF(OR(N1683="", N1683=""), "[Aviso] Temporada no capturada ()", IF(ISNA(MATCH(N1683, Criterios!$C$123:$C$128, 0)), "Temporada no válida", "")), IF(OR(O1683="", O1683=""), "[Aviso] Ciclo de vida no capturado ()", IF(ISNA(MATCH(O1683, Criterios!$D$123:$D$124, 0)), "Ciclo de vida no válido", ""))))</f>
        <v/>
      </c>
      <c r="AC1683" s="56" t="n"/>
      <c r="AD1683" s="51" t="n">
        <v>-1</v>
      </c>
      <c r="AE1683" s="156" t="n"/>
      <c r="AF1683" s="51" t="n">
        <v>0</v>
      </c>
      <c r="AG1683" s="156" t="inlineStr">
        <is>
          <t>Catálogo existente</t>
        </is>
      </c>
      <c r="AH168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83" s="156" t="inlineStr">
        <is>
          <t>Sí</t>
        </is>
      </c>
      <c r="AJ1683" s="156" t="inlineStr">
        <is>
          <t>PUNTO DE VENTA (-1)</t>
        </is>
      </c>
      <c r="AK1683" s="155" t="inlineStr">
        <is>
          <t>Criterios: I [Q] | Shopify Stetson: producto 14789631050091 / variante 53836804424043</t>
        </is>
      </c>
      <c r="AL1683" s="58" t="n">
        <v>1575</v>
      </c>
      <c r="AM1683" s="58" t="n">
        <v>3793.103448</v>
      </c>
      <c r="AN1683" s="155" t="inlineStr">
        <is>
          <t>Shopify Stetson México</t>
        </is>
      </c>
      <c r="AO1683" s="59" t="n">
        <v>0</v>
      </c>
      <c r="AP1683" s="59" t="n"/>
      <c r="AQ1683" s="59" t="n"/>
      <c r="AR1683" s="155" t="n"/>
    </row>
    <row r="1684">
      <c r="A1684" s="50" t="inlineStr">
        <is>
          <t>883383683226</t>
        </is>
      </c>
      <c r="B1684" s="51" t="inlineStr">
        <is>
          <t>110137</t>
        </is>
      </c>
      <c r="C1684" s="156" t="inlineStr">
        <is>
          <t>Multimarca</t>
        </is>
      </c>
      <c r="D1684" s="156" t="inlineStr">
        <is>
          <t>SSARPH-304281</t>
        </is>
      </c>
      <c r="E1684" s="156" t="inlineStr">
        <is>
          <t>SSARPH-30428170</t>
        </is>
      </c>
      <c r="F1684" s="156" t="inlineStr">
        <is>
          <t>7</t>
        </is>
      </c>
      <c r="G1684" s="156" t="inlineStr">
        <is>
          <t>7</t>
        </is>
      </c>
      <c r="H1684" s="156" t="inlineStr">
        <is>
          <t>Stetson</t>
        </is>
      </c>
      <c r="I1684" s="156" t="inlineStr">
        <is>
          <t>Texana Stetson Arapaho Natural</t>
        </is>
      </c>
      <c r="J1684" s="156" t="inlineStr">
        <is>
          <t>Accesorios</t>
        </is>
      </c>
      <c r="K1684" s="156" t="inlineStr">
        <is>
          <t>Sombreros</t>
        </is>
      </c>
      <c r="L1684" s="156" t="inlineStr">
        <is>
          <t>Unisex</t>
        </is>
      </c>
      <c r="M1684" s="156" t="inlineStr">
        <is>
          <t>Stetson</t>
        </is>
      </c>
      <c r="N1684" s="156" t="inlineStr">
        <is>
          <t>SS26</t>
        </is>
      </c>
      <c r="O1684" s="156" t="inlineStr">
        <is>
          <t>Seasonal</t>
        </is>
      </c>
      <c r="P1684" s="156" t="inlineStr">
        <is>
          <t>Beige</t>
        </is>
      </c>
      <c r="Q1684" s="156" t="n"/>
      <c r="R1684" s="156" t="inlineStr">
        <is>
          <t>Copa Cattleman</t>
        </is>
      </c>
      <c r="S1684" s="156" t="inlineStr">
        <is>
          <t>100% Fieltro de lana</t>
        </is>
      </c>
      <c r="T1684"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4" s="156" t="n"/>
      <c r="V1684" s="156" t="inlineStr">
        <is>
          <t>PZS</t>
        </is>
      </c>
      <c r="W1684" s="51" t="inlineStr">
        <is>
          <t>53102503</t>
        </is>
      </c>
      <c r="X1684" s="156" t="inlineStr">
        <is>
          <t>https://cdn.shopify.com/s/files/1/0888/3250/8267/files/SSARPH-304281-011.jpg?v=1759853691</t>
        </is>
      </c>
      <c r="Y1684" s="54" t="n">
        <v>1338.75</v>
      </c>
      <c r="Z1684" s="54" t="n">
        <v>3275.862069</v>
      </c>
      <c r="AA1684" s="55">
        <f>IF(AND(A1684="", B1684="", E1684=""), "", IF(AB1684="", "Válido", IF((LEN(AB1684)-LEN(SUBSTITUTE(AB1684,"; ","")))/2+1&gt;(LEN(AB1684)-LEN(SUBSTITUTE(AB1684,"[Aviso]","")))/7, "Con Incidencias", "Válido")))</f>
        <v/>
      </c>
      <c r="AB1684" s="56">
        <f>IF(AND(A1684="", B1684="", E1684=""), "", TEXTJOIN("; ", TRUE, IF(OR(TRIM(A1684&amp;"")="", ISNUMBER(SEARCH("FALTA", A1684))), "UPC faltante/inválido", ""), IF(AND(A1684&lt;&gt;"", IFERROR(_xlfn.XMATCH(A1684,$A$2:$A$2509,0,1)&lt;&gt;_xlfn.XMATCH(A1684,$A$2:$A$2509,0,-1),FALSE)), "Código de barras duplicado", ""), IF(AND(E1684&lt;&gt;"", COUNTIF($E$2:$E$2509, E1684)&gt;1), "SKU duplicado", ""), IF(OR(J1684="", J1684=""), "[Aviso] División no capturada ()", IF(ISNA(MATCH(J1684, Criterios!$A$123:$A$126, 0)), "División no válida", "")), IF(OR(K1684="", K1684=""), "[Aviso] Categoría no capturada ()", IF(ISNA(MATCH(K1684, Criterios!$A$81:$A$120, 0)), "Categoría no válida", IF(AND(J1684&lt;&gt;"", J1684&lt;&gt;"", J1684&lt;&gt;VLOOKUP(K1684, Criterios!$A$81:$B$120, 2, FALSE)), "División no coincide con Categoría", ""))), IF(OR(L1684="", L1684=""), "[Aviso] Género no capturado ()", IF(ISNA(MATCH(L1684, Criterios!$B$123:$B$127, 0)), "Género no válido", "")), IF(OR(N1684="", N1684=""), "[Aviso] Temporada no capturada ()", IF(ISNA(MATCH(N1684, Criterios!$C$123:$C$128, 0)), "Temporada no válida", "")), IF(OR(O1684="", O1684=""), "[Aviso] Ciclo de vida no capturado ()", IF(ISNA(MATCH(O1684, Criterios!$D$123:$D$124, 0)), "Ciclo de vida no válido", ""))))</f>
        <v/>
      </c>
      <c r="AC1684" s="56" t="n"/>
      <c r="AD1684" s="51" t="n">
        <v>0</v>
      </c>
      <c r="AE1684" s="156" t="inlineStr">
        <is>
          <t>B25 STETSON.MX (1)</t>
        </is>
      </c>
      <c r="AF1684" s="51" t="n">
        <v>1</v>
      </c>
      <c r="AG1684" s="156" t="inlineStr">
        <is>
          <t>Catálogo existente</t>
        </is>
      </c>
      <c r="AH1684" s="156" t="inlineStr">
        <is>
          <t>Revisión 29/09/2026: Campos sin respaldo: U | 01/10/2026: complementado desde Shopify Stetson México (match por código de barras): WB Fit, WB Silueta | 01/10/2026: Shopify Stetson México trae Color «Varios» — se conservó el valor de Productos</t>
        </is>
      </c>
      <c r="AI1684" s="156" t="inlineStr">
        <is>
          <t>Sí</t>
        </is>
      </c>
      <c r="AJ1684" s="156" t="inlineStr">
        <is>
          <t>STETSON AMERICAS (-1)</t>
        </is>
      </c>
      <c r="AK1684" s="155" t="inlineStr">
        <is>
          <t>Criterios: I [Q] | Shopify Stetson: producto 14788703846763 / variante 53350608699755</t>
        </is>
      </c>
      <c r="AL1684" s="58" t="n">
        <v>1338.75</v>
      </c>
      <c r="AM1684" s="58" t="n">
        <v>3275.862069</v>
      </c>
      <c r="AN1684" s="155" t="inlineStr">
        <is>
          <t>Shopify Stetson México</t>
        </is>
      </c>
      <c r="AO1684" s="59" t="n">
        <v>1</v>
      </c>
      <c r="AP1684" s="59" t="n"/>
      <c r="AQ1684" s="59" t="n"/>
      <c r="AR1684" s="155" t="inlineStr">
        <is>
          <t>Shopify Stetson México › Stetson México: 1</t>
        </is>
      </c>
    </row>
    <row r="1685">
      <c r="A1685" s="50" t="inlineStr">
        <is>
          <t>883383683233</t>
        </is>
      </c>
      <c r="B1685" s="51" t="inlineStr">
        <is>
          <t>110138</t>
        </is>
      </c>
      <c r="C1685" s="156" t="inlineStr">
        <is>
          <t>Multimarca</t>
        </is>
      </c>
      <c r="D1685" s="156" t="inlineStr">
        <is>
          <t>SSARPH-304281</t>
        </is>
      </c>
      <c r="E1685" s="156" t="inlineStr">
        <is>
          <t>SSARPH-30428171</t>
        </is>
      </c>
      <c r="F1685" s="156" t="inlineStr">
        <is>
          <t>7 1/8</t>
        </is>
      </c>
      <c r="G1685" s="156" t="inlineStr">
        <is>
          <t>7 1/8</t>
        </is>
      </c>
      <c r="H1685" s="156" t="inlineStr">
        <is>
          <t>Stetson</t>
        </is>
      </c>
      <c r="I1685" s="156" t="inlineStr">
        <is>
          <t>Texana Stetson Arapaho Natural</t>
        </is>
      </c>
      <c r="J1685" s="156" t="inlineStr">
        <is>
          <t>Accesorios</t>
        </is>
      </c>
      <c r="K1685" s="156" t="inlineStr">
        <is>
          <t>Sombreros</t>
        </is>
      </c>
      <c r="L1685" s="156" t="inlineStr">
        <is>
          <t>Unisex</t>
        </is>
      </c>
      <c r="M1685" s="156" t="inlineStr">
        <is>
          <t>Stetson</t>
        </is>
      </c>
      <c r="N1685" s="156" t="inlineStr">
        <is>
          <t>SS26</t>
        </is>
      </c>
      <c r="O1685" s="156" t="inlineStr">
        <is>
          <t>Seasonal</t>
        </is>
      </c>
      <c r="P1685" s="156" t="inlineStr">
        <is>
          <t>Beige</t>
        </is>
      </c>
      <c r="Q1685" s="156" t="n"/>
      <c r="R1685" s="156" t="inlineStr">
        <is>
          <t>Copa Cattleman</t>
        </is>
      </c>
      <c r="S1685" s="156" t="inlineStr">
        <is>
          <t>100% Fieltro de lana</t>
        </is>
      </c>
      <c r="T1685"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5" s="156" t="n"/>
      <c r="V1685" s="156" t="inlineStr">
        <is>
          <t>PZS</t>
        </is>
      </c>
      <c r="W1685" s="51" t="inlineStr">
        <is>
          <t>53102503</t>
        </is>
      </c>
      <c r="X1685" s="156" t="inlineStr">
        <is>
          <t>https://cdn.shopify.com/s/files/1/0888/3250/8267/files/SSARPH-304281-01.jpg?v=1759853691</t>
        </is>
      </c>
      <c r="Y1685" s="54" t="n">
        <v>1338.75</v>
      </c>
      <c r="Z1685" s="54" t="n">
        <v>3275.862069</v>
      </c>
      <c r="AA1685" s="55">
        <f>IF(AND(A1685="", B1685="", E1685=""), "", IF(AB1685="", "Válido", IF((LEN(AB1685)-LEN(SUBSTITUTE(AB1685,"; ","")))/2+1&gt;(LEN(AB1685)-LEN(SUBSTITUTE(AB1685,"[Aviso]","")))/7, "Con Incidencias", "Válido")))</f>
        <v/>
      </c>
      <c r="AB1685" s="56">
        <f>IF(AND(A1685="", B1685="", E1685=""), "", TEXTJOIN("; ", TRUE, IF(OR(TRIM(A1685&amp;"")="", ISNUMBER(SEARCH("FALTA", A1685))), "UPC faltante/inválido", ""), IF(AND(A1685&lt;&gt;"", IFERROR(_xlfn.XMATCH(A1685,$A$2:$A$2509,0,1)&lt;&gt;_xlfn.XMATCH(A1685,$A$2:$A$2509,0,-1),FALSE)), "Código de barras duplicado", ""), IF(AND(E1685&lt;&gt;"", COUNTIF($E$2:$E$2509, E1685)&gt;1), "SKU duplicado", ""), IF(OR(J1685="", J1685=""), "[Aviso] División no capturada ()", IF(ISNA(MATCH(J1685, Criterios!$A$123:$A$126, 0)), "División no válida", "")), IF(OR(K1685="", K1685=""), "[Aviso] Categoría no capturada ()", IF(ISNA(MATCH(K1685, Criterios!$A$81:$A$120, 0)), "Categoría no válida", IF(AND(J1685&lt;&gt;"", J1685&lt;&gt;"", J1685&lt;&gt;VLOOKUP(K1685, Criterios!$A$81:$B$120, 2, FALSE)), "División no coincide con Categoría", ""))), IF(OR(L1685="", L1685=""), "[Aviso] Género no capturado ()", IF(ISNA(MATCH(L1685, Criterios!$B$123:$B$127, 0)), "Género no válido", "")), IF(OR(N1685="", N1685=""), "[Aviso] Temporada no capturada ()", IF(ISNA(MATCH(N1685, Criterios!$C$123:$C$128, 0)), "Temporada no válida", "")), IF(OR(O1685="", O1685=""), "[Aviso] Ciclo de vida no capturado ()", IF(ISNA(MATCH(O1685, Criterios!$D$123:$D$124, 0)), "Ciclo de vida no válido", ""))))</f>
        <v/>
      </c>
      <c r="AC1685" s="56" t="n"/>
      <c r="AD1685" s="51" t="n">
        <v>-1</v>
      </c>
      <c r="AE1685" s="156" t="inlineStr">
        <is>
          <t>B25 STETSON.MX (2)</t>
        </is>
      </c>
      <c r="AF1685" s="51" t="n">
        <v>2</v>
      </c>
      <c r="AG1685" s="156" t="inlineStr">
        <is>
          <t>Catálogo existente</t>
        </is>
      </c>
      <c r="AH1685"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5" s="156" t="inlineStr">
        <is>
          <t>Sí</t>
        </is>
      </c>
      <c r="AJ1685" s="156" t="inlineStr">
        <is>
          <t>PUNTO DE VENTA (-1); STETSON AMERICAS (-2)</t>
        </is>
      </c>
      <c r="AK1685" s="155" t="inlineStr">
        <is>
          <t>Criterios: I [Q] | Shopify Stetson: producto 14788703846763 / variante 53350608732523</t>
        </is>
      </c>
      <c r="AL1685" s="58" t="n">
        <v>1338.75</v>
      </c>
      <c r="AM1685" s="58" t="n">
        <v>3275.862069</v>
      </c>
      <c r="AN1685" s="155" t="inlineStr">
        <is>
          <t>Shopify Stetson México</t>
        </is>
      </c>
      <c r="AO1685" s="59" t="n">
        <v>1</v>
      </c>
      <c r="AP1685" s="59" t="n"/>
      <c r="AQ1685" s="59" t="n"/>
      <c r="AR1685" s="155" t="inlineStr">
        <is>
          <t>Shopify Stetson México › Stetson México: 1</t>
        </is>
      </c>
    </row>
    <row r="1686">
      <c r="A1686" s="50" t="inlineStr">
        <is>
          <t>883383683240</t>
        </is>
      </c>
      <c r="B1686" s="51" t="inlineStr">
        <is>
          <t>110139</t>
        </is>
      </c>
      <c r="C1686" s="156" t="inlineStr">
        <is>
          <t>Multimarca</t>
        </is>
      </c>
      <c r="D1686" s="156" t="inlineStr">
        <is>
          <t>SSARPH-304281</t>
        </is>
      </c>
      <c r="E1686" s="156" t="inlineStr">
        <is>
          <t>SSARPH-30428172</t>
        </is>
      </c>
      <c r="F1686" s="156" t="inlineStr">
        <is>
          <t>7 1/4</t>
        </is>
      </c>
      <c r="G1686" s="156" t="inlineStr">
        <is>
          <t>7 1/4</t>
        </is>
      </c>
      <c r="H1686" s="156" t="inlineStr">
        <is>
          <t>Stetson</t>
        </is>
      </c>
      <c r="I1686" s="156" t="inlineStr">
        <is>
          <t>Texana Stetson Arapaho Natural</t>
        </is>
      </c>
      <c r="J1686" s="156" t="inlineStr">
        <is>
          <t>Accesorios</t>
        </is>
      </c>
      <c r="K1686" s="156" t="inlineStr">
        <is>
          <t>Sombreros</t>
        </is>
      </c>
      <c r="L1686" s="156" t="inlineStr">
        <is>
          <t>Unisex</t>
        </is>
      </c>
      <c r="M1686" s="156" t="inlineStr">
        <is>
          <t>Stetson</t>
        </is>
      </c>
      <c r="N1686" s="156" t="inlineStr">
        <is>
          <t>SS26</t>
        </is>
      </c>
      <c r="O1686" s="156" t="inlineStr">
        <is>
          <t>Seasonal</t>
        </is>
      </c>
      <c r="P1686" s="156" t="inlineStr">
        <is>
          <t>Beige</t>
        </is>
      </c>
      <c r="Q1686" s="156" t="n"/>
      <c r="R1686" s="156" t="inlineStr">
        <is>
          <t>Copa Cattleman</t>
        </is>
      </c>
      <c r="S1686" s="156" t="inlineStr">
        <is>
          <t>100% Fieltro de lana</t>
        </is>
      </c>
      <c r="T1686"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6" s="156" t="n"/>
      <c r="V1686" s="156" t="inlineStr">
        <is>
          <t>PZS</t>
        </is>
      </c>
      <c r="W1686" s="51" t="inlineStr">
        <is>
          <t>53102503</t>
        </is>
      </c>
      <c r="X1686" s="156" t="inlineStr">
        <is>
          <t>https://cdn.shopify.com/s/files/1/0888/3250/8267/files/SSARPH-304281-02.jpg?v=1759853691</t>
        </is>
      </c>
      <c r="Y1686" s="54" t="n">
        <v>1338.75</v>
      </c>
      <c r="Z1686" s="54" t="n">
        <v>3275.862069</v>
      </c>
      <c r="AA1686" s="55">
        <f>IF(AND(A1686="", B1686="", E1686=""), "", IF(AB1686="", "Válido", IF((LEN(AB1686)-LEN(SUBSTITUTE(AB1686,"; ","")))/2+1&gt;(LEN(AB1686)-LEN(SUBSTITUTE(AB1686,"[Aviso]","")))/7, "Con Incidencias", "Válido")))</f>
        <v/>
      </c>
      <c r="AB1686" s="56">
        <f>IF(AND(A1686="", B1686="", E1686=""), "", TEXTJOIN("; ", TRUE, IF(OR(TRIM(A1686&amp;"")="", ISNUMBER(SEARCH("FALTA", A1686))), "UPC faltante/inválido", ""), IF(AND(A1686&lt;&gt;"", IFERROR(_xlfn.XMATCH(A1686,$A$2:$A$2509,0,1)&lt;&gt;_xlfn.XMATCH(A1686,$A$2:$A$2509,0,-1),FALSE)), "Código de barras duplicado", ""), IF(AND(E1686&lt;&gt;"", COUNTIF($E$2:$E$2509, E1686)&gt;1), "SKU duplicado", ""), IF(OR(J1686="", J1686=""), "[Aviso] División no capturada ()", IF(ISNA(MATCH(J1686, Criterios!$A$123:$A$126, 0)), "División no válida", "")), IF(OR(K1686="", K1686=""), "[Aviso] Categoría no capturada ()", IF(ISNA(MATCH(K1686, Criterios!$A$81:$A$120, 0)), "Categoría no válida", IF(AND(J1686&lt;&gt;"", J1686&lt;&gt;"", J1686&lt;&gt;VLOOKUP(K1686, Criterios!$A$81:$B$120, 2, FALSE)), "División no coincide con Categoría", ""))), IF(OR(L1686="", L1686=""), "[Aviso] Género no capturado ()", IF(ISNA(MATCH(L1686, Criterios!$B$123:$B$127, 0)), "Género no válido", "")), IF(OR(N1686="", N1686=""), "[Aviso] Temporada no capturada ()", IF(ISNA(MATCH(N1686, Criterios!$C$123:$C$128, 0)), "Temporada no válida", "")), IF(OR(O1686="", O1686=""), "[Aviso] Ciclo de vida no capturado ()", IF(ISNA(MATCH(O1686, Criterios!$D$123:$D$124, 0)), "Ciclo de vida no válido", ""))))</f>
        <v/>
      </c>
      <c r="AC1686" s="56" t="n"/>
      <c r="AD1686" s="51" t="n">
        <v>-1</v>
      </c>
      <c r="AE1686" s="156" t="inlineStr">
        <is>
          <t>B25 STETSON.MX (1)</t>
        </is>
      </c>
      <c r="AF1686" s="51" t="n">
        <v>1</v>
      </c>
      <c r="AG1686" s="156" t="inlineStr">
        <is>
          <t>Catálogo existente</t>
        </is>
      </c>
      <c r="AH168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6" s="156" t="inlineStr">
        <is>
          <t>Sí</t>
        </is>
      </c>
      <c r="AJ1686" s="156" t="inlineStr">
        <is>
          <t>STETSON AMERICAS (-2)</t>
        </is>
      </c>
      <c r="AK1686" s="155" t="inlineStr">
        <is>
          <t>Criterios: I [Q] | Shopify Stetson: producto 14788703846763 / variante 53350608765291</t>
        </is>
      </c>
      <c r="AL1686" s="58" t="n">
        <v>1338.75</v>
      </c>
      <c r="AM1686" s="58" t="n">
        <v>3275.862069</v>
      </c>
      <c r="AN1686" s="155" t="inlineStr">
        <is>
          <t>Shopify Stetson México</t>
        </is>
      </c>
      <c r="AO1686" s="59" t="n">
        <v>1</v>
      </c>
      <c r="AP1686" s="59" t="n"/>
      <c r="AQ1686" s="59" t="n"/>
      <c r="AR1686" s="155" t="inlineStr">
        <is>
          <t>Shopify Stetson México › Stetson Americas: 1</t>
        </is>
      </c>
    </row>
    <row r="1687">
      <c r="A1687" s="50" t="inlineStr">
        <is>
          <t>883383683257</t>
        </is>
      </c>
      <c r="B1687" s="51" t="inlineStr">
        <is>
          <t>110140</t>
        </is>
      </c>
      <c r="C1687" s="156" t="inlineStr">
        <is>
          <t>Multimarca</t>
        </is>
      </c>
      <c r="D1687" s="156" t="inlineStr">
        <is>
          <t>SSARPH-304281</t>
        </is>
      </c>
      <c r="E1687" s="156" t="inlineStr">
        <is>
          <t>SSARPH-30428173</t>
        </is>
      </c>
      <c r="F1687" s="156" t="inlineStr">
        <is>
          <t>7 3/8</t>
        </is>
      </c>
      <c r="G1687" s="156" t="inlineStr">
        <is>
          <t>7 3/8</t>
        </is>
      </c>
      <c r="H1687" s="156" t="inlineStr">
        <is>
          <t>Stetson</t>
        </is>
      </c>
      <c r="I1687" s="156" t="inlineStr">
        <is>
          <t>Texana Stetson Arapaho Natural</t>
        </is>
      </c>
      <c r="J1687" s="156" t="inlineStr">
        <is>
          <t>Accesorios</t>
        </is>
      </c>
      <c r="K1687" s="156" t="inlineStr">
        <is>
          <t>Sombreros</t>
        </is>
      </c>
      <c r="L1687" s="156" t="inlineStr">
        <is>
          <t>Unisex</t>
        </is>
      </c>
      <c r="M1687" s="156" t="inlineStr">
        <is>
          <t>Stetson</t>
        </is>
      </c>
      <c r="N1687" s="156" t="inlineStr">
        <is>
          <t>SS26</t>
        </is>
      </c>
      <c r="O1687" s="156" t="inlineStr">
        <is>
          <t>Seasonal</t>
        </is>
      </c>
      <c r="P1687" s="156" t="inlineStr">
        <is>
          <t>Beige</t>
        </is>
      </c>
      <c r="Q1687" s="156" t="n"/>
      <c r="R1687" s="156" t="inlineStr">
        <is>
          <t>Copa Cattleman</t>
        </is>
      </c>
      <c r="S1687" s="156" t="inlineStr">
        <is>
          <t>100% Fieltro de lana</t>
        </is>
      </c>
      <c r="T1687"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7" s="156" t="n"/>
      <c r="V1687" s="156" t="inlineStr">
        <is>
          <t>PZS</t>
        </is>
      </c>
      <c r="W1687" s="51" t="inlineStr">
        <is>
          <t>53102503</t>
        </is>
      </c>
      <c r="X1687" s="156" t="inlineStr">
        <is>
          <t>https://cdn.shopify.com/s/files/1/0888/3250/8267/files/SSARPH-304281-03.jpg?v=1759853691</t>
        </is>
      </c>
      <c r="Y1687" s="54" t="n">
        <v>1338.75</v>
      </c>
      <c r="Z1687" s="54" t="n">
        <v>3275.862069</v>
      </c>
      <c r="AA1687" s="55">
        <f>IF(AND(A1687="", B1687="", E1687=""), "", IF(AB1687="", "Válido", IF((LEN(AB1687)-LEN(SUBSTITUTE(AB1687,"; ","")))/2+1&gt;(LEN(AB1687)-LEN(SUBSTITUTE(AB1687,"[Aviso]","")))/7, "Con Incidencias", "Válido")))</f>
        <v/>
      </c>
      <c r="AB1687" s="56">
        <f>IF(AND(A1687="", B1687="", E1687=""), "", TEXTJOIN("; ", TRUE, IF(OR(TRIM(A1687&amp;"")="", ISNUMBER(SEARCH("FALTA", A1687))), "UPC faltante/inválido", ""), IF(AND(A1687&lt;&gt;"", IFERROR(_xlfn.XMATCH(A1687,$A$2:$A$2509,0,1)&lt;&gt;_xlfn.XMATCH(A1687,$A$2:$A$2509,0,-1),FALSE)), "Código de barras duplicado", ""), IF(AND(E1687&lt;&gt;"", COUNTIF($E$2:$E$2509, E1687)&gt;1), "SKU duplicado", ""), IF(OR(J1687="", J1687=""), "[Aviso] División no capturada ()", IF(ISNA(MATCH(J1687, Criterios!$A$123:$A$126, 0)), "División no válida", "")), IF(OR(K1687="", K1687=""), "[Aviso] Categoría no capturada ()", IF(ISNA(MATCH(K1687, Criterios!$A$81:$A$120, 0)), "Categoría no válida", IF(AND(J1687&lt;&gt;"", J1687&lt;&gt;"", J1687&lt;&gt;VLOOKUP(K1687, Criterios!$A$81:$B$120, 2, FALSE)), "División no coincide con Categoría", ""))), IF(OR(L1687="", L1687=""), "[Aviso] Género no capturado ()", IF(ISNA(MATCH(L1687, Criterios!$B$123:$B$127, 0)), "Género no válido", "")), IF(OR(N1687="", N1687=""), "[Aviso] Temporada no capturada ()", IF(ISNA(MATCH(N1687, Criterios!$C$123:$C$128, 0)), "Temporada no válida", "")), IF(OR(O1687="", O1687=""), "[Aviso] Ciclo de vida no capturado ()", IF(ISNA(MATCH(O1687, Criterios!$D$123:$D$124, 0)), "Ciclo de vida no válido", ""))))</f>
        <v/>
      </c>
      <c r="AC1687" s="56" t="n"/>
      <c r="AD1687" s="51" t="n">
        <v>0</v>
      </c>
      <c r="AE1687" s="156" t="inlineStr">
        <is>
          <t>B25 STETSON.MX (4)</t>
        </is>
      </c>
      <c r="AF1687" s="51" t="n">
        <v>4</v>
      </c>
      <c r="AG1687" s="156" t="inlineStr">
        <is>
          <t>Catálogo existente</t>
        </is>
      </c>
      <c r="AH1687" s="156" t="inlineStr">
        <is>
          <t>Revisión 29/09/2026: Campos sin respaldo: U | 01/10/2026: complementado desde Shopify Stetson México (match por código de barras): WB Fit, WB Silueta | 01/10/2026: Shopify Stetson México trae Color «Varios» — se conservó el valor de Productos</t>
        </is>
      </c>
      <c r="AI1687" s="156" t="inlineStr">
        <is>
          <t>Sí</t>
        </is>
      </c>
      <c r="AJ1687" s="156" t="inlineStr">
        <is>
          <t>STETSON AMERICAS (-4)</t>
        </is>
      </c>
      <c r="AK1687" s="155" t="inlineStr">
        <is>
          <t>Criterios: I [Q] | Shopify Stetson: producto 14788703846763 / variante 53350608798059</t>
        </is>
      </c>
      <c r="AL1687" s="58" t="n">
        <v>1338.75</v>
      </c>
      <c r="AM1687" s="58" t="n">
        <v>3275.862069</v>
      </c>
      <c r="AN1687" s="155" t="inlineStr">
        <is>
          <t>Shopify Stetson México</t>
        </is>
      </c>
      <c r="AO1687" s="59" t="n">
        <v>2</v>
      </c>
      <c r="AP1687" s="59" t="n"/>
      <c r="AQ1687" s="59" t="n"/>
      <c r="AR1687" s="155" t="inlineStr">
        <is>
          <t>Shopify Stetson México › Stetson México: 3</t>
        </is>
      </c>
    </row>
    <row r="1688">
      <c r="A1688" s="50" t="inlineStr">
        <is>
          <t>883383683264</t>
        </is>
      </c>
      <c r="B1688" s="51" t="inlineStr">
        <is>
          <t>110141</t>
        </is>
      </c>
      <c r="C1688" s="156" t="inlineStr">
        <is>
          <t>Multimarca</t>
        </is>
      </c>
      <c r="D1688" s="156" t="inlineStr">
        <is>
          <t>SSARPH-304281</t>
        </is>
      </c>
      <c r="E1688" s="156" t="inlineStr">
        <is>
          <t>SSARPH-30428174</t>
        </is>
      </c>
      <c r="F1688" s="156" t="inlineStr">
        <is>
          <t>7 1/2</t>
        </is>
      </c>
      <c r="G1688" s="156" t="inlineStr">
        <is>
          <t>7 1/2</t>
        </is>
      </c>
      <c r="H1688" s="156" t="inlineStr">
        <is>
          <t>Stetson</t>
        </is>
      </c>
      <c r="I1688" s="156" t="inlineStr">
        <is>
          <t>Texana Stetson Arapaho Natural</t>
        </is>
      </c>
      <c r="J1688" s="156" t="inlineStr">
        <is>
          <t>Accesorios</t>
        </is>
      </c>
      <c r="K1688" s="156" t="inlineStr">
        <is>
          <t>Sombreros</t>
        </is>
      </c>
      <c r="L1688" s="156" t="inlineStr">
        <is>
          <t>Unisex</t>
        </is>
      </c>
      <c r="M1688" s="156" t="inlineStr">
        <is>
          <t>Stetson</t>
        </is>
      </c>
      <c r="N1688" s="156" t="inlineStr">
        <is>
          <t>SS26</t>
        </is>
      </c>
      <c r="O1688" s="156" t="inlineStr">
        <is>
          <t>Seasonal</t>
        </is>
      </c>
      <c r="P1688" s="156" t="inlineStr">
        <is>
          <t>Beige</t>
        </is>
      </c>
      <c r="Q1688" s="156" t="n"/>
      <c r="R1688" s="156" t="inlineStr">
        <is>
          <t>Copa Cattleman</t>
        </is>
      </c>
      <c r="S1688" s="156" t="inlineStr">
        <is>
          <t>100% Fieltro de lana</t>
        </is>
      </c>
      <c r="T1688"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8" s="156" t="n"/>
      <c r="V1688" s="156" t="inlineStr">
        <is>
          <t>PZS</t>
        </is>
      </c>
      <c r="W1688" s="51" t="inlineStr">
        <is>
          <t>53102503</t>
        </is>
      </c>
      <c r="X1688" s="156" t="inlineStr">
        <is>
          <t>https://cdn.shopify.com/s/files/1/0888/3250/8267/files/SSARPH-304281-04.jpg?v=1759853691</t>
        </is>
      </c>
      <c r="Y1688" s="54" t="n">
        <v>1338.75</v>
      </c>
      <c r="Z1688" s="54" t="n">
        <v>3275.862069</v>
      </c>
      <c r="AA1688" s="55">
        <f>IF(AND(A1688="", B1688="", E1688=""), "", IF(AB1688="", "Válido", IF((LEN(AB1688)-LEN(SUBSTITUTE(AB1688,"; ","")))/2+1&gt;(LEN(AB1688)-LEN(SUBSTITUTE(AB1688,"[Aviso]","")))/7, "Con Incidencias", "Válido")))</f>
        <v/>
      </c>
      <c r="AB1688" s="56">
        <f>IF(AND(A1688="", B1688="", E1688=""), "", TEXTJOIN("; ", TRUE, IF(OR(TRIM(A1688&amp;"")="", ISNUMBER(SEARCH("FALTA", A1688))), "UPC faltante/inválido", ""), IF(AND(A1688&lt;&gt;"", IFERROR(_xlfn.XMATCH(A1688,$A$2:$A$2509,0,1)&lt;&gt;_xlfn.XMATCH(A1688,$A$2:$A$2509,0,-1),FALSE)), "Código de barras duplicado", ""), IF(AND(E1688&lt;&gt;"", COUNTIF($E$2:$E$2509, E1688)&gt;1), "SKU duplicado", ""), IF(OR(J1688="", J1688=""), "[Aviso] División no capturada ()", IF(ISNA(MATCH(J1688, Criterios!$A$123:$A$126, 0)), "División no válida", "")), IF(OR(K1688="", K1688=""), "[Aviso] Categoría no capturada ()", IF(ISNA(MATCH(K1688, Criterios!$A$81:$A$120, 0)), "Categoría no válida", IF(AND(J1688&lt;&gt;"", J1688&lt;&gt;"", J1688&lt;&gt;VLOOKUP(K1688, Criterios!$A$81:$B$120, 2, FALSE)), "División no coincide con Categoría", ""))), IF(OR(L1688="", L1688=""), "[Aviso] Género no capturado ()", IF(ISNA(MATCH(L1688, Criterios!$B$123:$B$127, 0)), "Género no válido", "")), IF(OR(N1688="", N1688=""), "[Aviso] Temporada no capturada ()", IF(ISNA(MATCH(N1688, Criterios!$C$123:$C$128, 0)), "Temporada no válida", "")), IF(OR(O1688="", O1688=""), "[Aviso] Ciclo de vida no capturado ()", IF(ISNA(MATCH(O1688, Criterios!$D$123:$D$124, 0)), "Ciclo de vida no válido", ""))))</f>
        <v/>
      </c>
      <c r="AC1688" s="56" t="n"/>
      <c r="AD1688" s="51" t="n">
        <v>-2</v>
      </c>
      <c r="AE1688" s="156" t="n"/>
      <c r="AF1688" s="51" t="n">
        <v>0</v>
      </c>
      <c r="AG1688" s="156" t="inlineStr">
        <is>
          <t>Catálogo existente</t>
        </is>
      </c>
      <c r="AH1688"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8" s="156" t="inlineStr">
        <is>
          <t>Sí</t>
        </is>
      </c>
      <c r="AJ1688" s="156" t="inlineStr">
        <is>
          <t>STETSON AMERICAS (-2)</t>
        </is>
      </c>
      <c r="AK1688" s="155" t="inlineStr">
        <is>
          <t>Criterios: I [Q] | Shopify Stetson: producto 14788703846763 / variante 53350608830827</t>
        </is>
      </c>
      <c r="AL1688" s="58" t="n">
        <v>1338.75</v>
      </c>
      <c r="AM1688" s="58" t="n">
        <v>3275.862069</v>
      </c>
      <c r="AN1688" s="155" t="inlineStr">
        <is>
          <t>Shopify Stetson México</t>
        </is>
      </c>
      <c r="AO1688" s="59" t="n">
        <v>0</v>
      </c>
      <c r="AP1688" s="59" t="n"/>
      <c r="AQ1688" s="59" t="n"/>
      <c r="AR1688" s="155" t="n"/>
    </row>
    <row r="1689">
      <c r="A1689" s="50" t="inlineStr">
        <is>
          <t>883383708202</t>
        </is>
      </c>
      <c r="B1689" s="51" t="inlineStr">
        <is>
          <t>109940</t>
        </is>
      </c>
      <c r="C1689" s="156" t="inlineStr">
        <is>
          <t>Multimarca</t>
        </is>
      </c>
      <c r="D1689" s="156" t="inlineStr">
        <is>
          <t>SFGUDL-484007</t>
        </is>
      </c>
      <c r="E1689" s="156" t="inlineStr">
        <is>
          <t>SFGUDL-48400767</t>
        </is>
      </c>
      <c r="F1689" s="156" t="inlineStr">
        <is>
          <t>6 7/8</t>
        </is>
      </c>
      <c r="G1689" s="156" t="inlineStr">
        <is>
          <t>6 7/8</t>
        </is>
      </c>
      <c r="H1689" s="156" t="inlineStr">
        <is>
          <t>Stetson</t>
        </is>
      </c>
      <c r="I1689" s="156" t="inlineStr">
        <is>
          <t>Texana Stetson Guadalupana Negro</t>
        </is>
      </c>
      <c r="J1689" s="156" t="inlineStr">
        <is>
          <t>Accesorios</t>
        </is>
      </c>
      <c r="K1689" s="156" t="inlineStr">
        <is>
          <t>Sombreros</t>
        </is>
      </c>
      <c r="L1689" s="156" t="inlineStr">
        <is>
          <t>Unisex</t>
        </is>
      </c>
      <c r="M1689" s="156" t="inlineStr">
        <is>
          <t>Stetson</t>
        </is>
      </c>
      <c r="N1689" s="156" t="inlineStr">
        <is>
          <t>SS26</t>
        </is>
      </c>
      <c r="O1689" s="156" t="inlineStr">
        <is>
          <t>Seasonal</t>
        </is>
      </c>
      <c r="P1689" s="156" t="inlineStr">
        <is>
          <t>Negro</t>
        </is>
      </c>
      <c r="Q1689" s="156" t="n"/>
      <c r="R1689" s="156" t="n"/>
      <c r="S1689" s="156" t="inlineStr">
        <is>
          <t>Fieltro</t>
        </is>
      </c>
      <c r="T168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689" s="156" t="inlineStr">
        <is>
          <t>Estados Unidos</t>
        </is>
      </c>
      <c r="V1689" s="156" t="inlineStr">
        <is>
          <t>PZS</t>
        </is>
      </c>
      <c r="W1689" s="51" t="inlineStr">
        <is>
          <t>53102503</t>
        </is>
      </c>
      <c r="X1689" s="156" t="inlineStr">
        <is>
          <t>https://cdn.shopify.com/s/files/1/0888/3250/8267/files/SFGUDL-48400772-01.jpg?v=1768851453</t>
        </is>
      </c>
      <c r="Y1689" s="54" t="n">
        <v>2756.25</v>
      </c>
      <c r="Z1689" s="54" t="n">
        <v>6724.137931</v>
      </c>
      <c r="AA1689" s="55">
        <f>IF(AND(A1689="", B1689="", E1689=""), "", IF(AB1689="", "Válido", IF((LEN(AB1689)-LEN(SUBSTITUTE(AB1689,"; ","")))/2+1&gt;(LEN(AB1689)-LEN(SUBSTITUTE(AB1689,"[Aviso]","")))/7, "Con Incidencias", "Válido")))</f>
        <v/>
      </c>
      <c r="AB1689" s="56">
        <f>IF(AND(A1689="", B1689="", E1689=""), "", TEXTJOIN("; ", TRUE, IF(OR(TRIM(A1689&amp;"")="", ISNUMBER(SEARCH("FALTA", A1689))), "UPC faltante/inválido", ""), IF(AND(A1689&lt;&gt;"", IFERROR(_xlfn.XMATCH(A1689,$A$2:$A$2509,0,1)&lt;&gt;_xlfn.XMATCH(A1689,$A$2:$A$2509,0,-1),FALSE)), "Código de barras duplicado", ""), IF(AND(E1689&lt;&gt;"", COUNTIF($E$2:$E$2509, E1689)&gt;1), "SKU duplicado", ""), IF(OR(J1689="", J1689=""), "[Aviso] División no capturada ()", IF(ISNA(MATCH(J1689, Criterios!$A$123:$A$126, 0)), "División no válida", "")), IF(OR(K1689="", K1689=""), "[Aviso] Categoría no capturada ()", IF(ISNA(MATCH(K1689, Criterios!$A$81:$A$120, 0)), "Categoría no válida", IF(AND(J1689&lt;&gt;"", J1689&lt;&gt;"", J1689&lt;&gt;VLOOKUP(K1689, Criterios!$A$81:$B$120, 2, FALSE)), "División no coincide con Categoría", ""))), IF(OR(L1689="", L1689=""), "[Aviso] Género no capturado ()", IF(ISNA(MATCH(L1689, Criterios!$B$123:$B$127, 0)), "Género no válido", "")), IF(OR(N1689="", N1689=""), "[Aviso] Temporada no capturada ()", IF(ISNA(MATCH(N1689, Criterios!$C$123:$C$128, 0)), "Temporada no válida", "")), IF(OR(O1689="", O1689=""), "[Aviso] Ciclo de vida no capturado ()", IF(ISNA(MATCH(O1689, Criterios!$D$123:$D$124, 0)), "Ciclo de vida no válido", ""))))</f>
        <v/>
      </c>
      <c r="AC1689" s="56" t="n"/>
      <c r="AD1689" s="51" t="n">
        <v>-1</v>
      </c>
      <c r="AE1689" s="156" t="n"/>
      <c r="AF1689" s="51" t="n">
        <v>0</v>
      </c>
      <c r="AG1689" s="156" t="inlineStr">
        <is>
          <t>Catálogo existente</t>
        </is>
      </c>
      <c r="AH1689" s="156" t="inlineStr">
        <is>
          <t>Stock negativo en sistema: revisar en conteo | Revisión 29/09/2026: Campos sin respaldo: X | 01/10/2026: complementado desde Shopify Stetson México (match por código de barras): WB Fit, Enlace de imagen</t>
        </is>
      </c>
      <c r="AI1689" s="156" t="inlineStr">
        <is>
          <t>Sí</t>
        </is>
      </c>
      <c r="AJ1689" s="156" t="inlineStr">
        <is>
          <t>STETSON AMERICAS (-1)</t>
        </is>
      </c>
      <c r="AK1689" s="155" t="inlineStr">
        <is>
          <t>Criterios: I [Q] | Shopify Stetson: producto 14786585526635 / variante 53350611485035</t>
        </is>
      </c>
      <c r="AL1689" s="58" t="n">
        <v>2756.25</v>
      </c>
      <c r="AM1689" s="58" t="n">
        <v>6724.137931</v>
      </c>
      <c r="AN1689" s="155" t="inlineStr">
        <is>
          <t>Shopify Stetson México</t>
        </is>
      </c>
      <c r="AO1689" s="59" t="n">
        <v>0</v>
      </c>
      <c r="AP1689" s="59" t="n"/>
      <c r="AQ1689" s="59" t="n"/>
      <c r="AR1689" s="155" t="n"/>
    </row>
    <row r="1690">
      <c r="A1690" s="50" t="inlineStr">
        <is>
          <t>883383708219</t>
        </is>
      </c>
      <c r="B1690" s="51" t="inlineStr">
        <is>
          <t>109947</t>
        </is>
      </c>
      <c r="C1690" s="156" t="inlineStr">
        <is>
          <t>Multimarca</t>
        </is>
      </c>
      <c r="D1690" s="156" t="inlineStr">
        <is>
          <t>SFGUDL-484061</t>
        </is>
      </c>
      <c r="E1690" s="156" t="inlineStr">
        <is>
          <t>SFGUDL-48406167</t>
        </is>
      </c>
      <c r="F1690" s="156" t="inlineStr">
        <is>
          <t>6 7/8</t>
        </is>
      </c>
      <c r="G1690" s="156" t="inlineStr">
        <is>
          <t>6 7/8</t>
        </is>
      </c>
      <c r="H1690" s="156" t="inlineStr">
        <is>
          <t>Stetson</t>
        </is>
      </c>
      <c r="I1690" s="156" t="inlineStr">
        <is>
          <t>Texana Stetson Guadalupana Plata</t>
        </is>
      </c>
      <c r="J1690" s="156" t="inlineStr">
        <is>
          <t>Accesorios</t>
        </is>
      </c>
      <c r="K1690" s="156" t="inlineStr">
        <is>
          <t>Sombreros</t>
        </is>
      </c>
      <c r="L1690" s="156" t="inlineStr">
        <is>
          <t>Unisex</t>
        </is>
      </c>
      <c r="M1690" s="156" t="inlineStr">
        <is>
          <t>Stetson</t>
        </is>
      </c>
      <c r="N1690" s="156" t="inlineStr">
        <is>
          <t>SS26</t>
        </is>
      </c>
      <c r="O1690" s="156" t="inlineStr">
        <is>
          <t>Seasonal</t>
        </is>
      </c>
      <c r="P1690" s="156" t="inlineStr">
        <is>
          <t>Gris</t>
        </is>
      </c>
      <c r="Q1690" s="156" t="n"/>
      <c r="R1690" s="156" t="n"/>
      <c r="S1690" s="156" t="inlineStr">
        <is>
          <t>Fieltro</t>
        </is>
      </c>
      <c r="T169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690" s="156" t="inlineStr">
        <is>
          <t>Estados Unidos</t>
        </is>
      </c>
      <c r="V1690" s="156" t="inlineStr">
        <is>
          <t>PZS</t>
        </is>
      </c>
      <c r="W1690" s="51" t="inlineStr">
        <is>
          <t>53102503</t>
        </is>
      </c>
      <c r="X1690" s="156" t="inlineStr">
        <is>
          <t>https://cdn.shopify.com/s/files/1/0888/3250/8267/files/SFGUDL-484061-04.jpg?v=1759767981</t>
        </is>
      </c>
      <c r="Y1690" s="54" t="n">
        <v>2756.25</v>
      </c>
      <c r="Z1690" s="54" t="n">
        <v>6724.137931</v>
      </c>
      <c r="AA1690" s="55">
        <f>IF(AND(A1690="", B1690="", E1690=""), "", IF(AB1690="", "Válido", IF((LEN(AB1690)-LEN(SUBSTITUTE(AB1690,"; ","")))/2+1&gt;(LEN(AB1690)-LEN(SUBSTITUTE(AB1690,"[Aviso]","")))/7, "Con Incidencias", "Válido")))</f>
        <v/>
      </c>
      <c r="AB1690" s="56">
        <f>IF(AND(A1690="", B1690="", E1690=""), "", TEXTJOIN("; ", TRUE, IF(OR(TRIM(A1690&amp;"")="", ISNUMBER(SEARCH("FALTA", A1690))), "UPC faltante/inválido", ""), IF(AND(A1690&lt;&gt;"", IFERROR(_xlfn.XMATCH(A1690,$A$2:$A$2509,0,1)&lt;&gt;_xlfn.XMATCH(A1690,$A$2:$A$2509,0,-1),FALSE)), "Código de barras duplicado", ""), IF(AND(E1690&lt;&gt;"", COUNTIF($E$2:$E$2509, E1690)&gt;1), "SKU duplicado", ""), IF(OR(J1690="", J1690=""), "[Aviso] División no capturada ()", IF(ISNA(MATCH(J1690, Criterios!$A$123:$A$126, 0)), "División no válida", "")), IF(OR(K1690="", K1690=""), "[Aviso] Categoría no capturada ()", IF(ISNA(MATCH(K1690, Criterios!$A$81:$A$120, 0)), "Categoría no válida", IF(AND(J1690&lt;&gt;"", J1690&lt;&gt;"", J1690&lt;&gt;VLOOKUP(K1690, Criterios!$A$81:$B$120, 2, FALSE)), "División no coincide con Categoría", ""))), IF(OR(L1690="", L1690=""), "[Aviso] Género no capturado ()", IF(ISNA(MATCH(L1690, Criterios!$B$123:$B$127, 0)), "Género no válido", "")), IF(OR(N1690="", N1690=""), "[Aviso] Temporada no capturada ()", IF(ISNA(MATCH(N1690, Criterios!$C$123:$C$128, 0)), "Temporada no válida", "")), IF(OR(O1690="", O1690=""), "[Aviso] Ciclo de vida no capturado ()", IF(ISNA(MATCH(O1690, Criterios!$D$123:$D$124, 0)), "Ciclo de vida no válido", ""))))</f>
        <v/>
      </c>
      <c r="AC1690" s="56" t="n"/>
      <c r="AD1690" s="51" t="n">
        <v>-1</v>
      </c>
      <c r="AE1690" s="156" t="n"/>
      <c r="AF1690" s="51" t="n">
        <v>0</v>
      </c>
      <c r="AG1690" s="156" t="inlineStr">
        <is>
          <t>Catálogo existente</t>
        </is>
      </c>
      <c r="AH1690" s="156" t="inlineStr">
        <is>
          <t>Stock negativo en sistema: revisar en conteo | Revisión 29/09/2026: Cruce de catálogo y criterios sin pendientes detectados | 01/10/2026: complementado desde Shopify Stetson México (match por código de barras): WB Fit | 01/10/2026: Shopify Stetson México trae Color «Varios» — se conservó el valor de Productos</t>
        </is>
      </c>
      <c r="AI1690" s="156" t="inlineStr">
        <is>
          <t>Sí</t>
        </is>
      </c>
      <c r="AJ1690" s="156" t="inlineStr">
        <is>
          <t>STETSON AMERICAS (-1)</t>
        </is>
      </c>
      <c r="AK1690" s="155" t="inlineStr">
        <is>
          <t>Criterios: I [Q] | Shopify Stetson: producto 14786585526635 / variante 53350611059051</t>
        </is>
      </c>
      <c r="AL1690" s="58" t="n">
        <v>2756.25</v>
      </c>
      <c r="AM1690" s="58" t="n">
        <v>6724.137931</v>
      </c>
      <c r="AN1690" s="155" t="inlineStr">
        <is>
          <t>Shopify Stetson México</t>
        </is>
      </c>
      <c r="AO1690" s="59" t="n">
        <v>0</v>
      </c>
      <c r="AP1690" s="59" t="n"/>
      <c r="AQ1690" s="59" t="n"/>
      <c r="AR1690" s="155" t="n"/>
    </row>
    <row r="1691">
      <c r="A1691" s="50" t="inlineStr">
        <is>
          <t>883383708226</t>
        </is>
      </c>
      <c r="B1691" s="51" t="inlineStr">
        <is>
          <t>109941</t>
        </is>
      </c>
      <c r="C1691" s="156" t="inlineStr">
        <is>
          <t>Multimarca</t>
        </is>
      </c>
      <c r="D1691" s="156" t="inlineStr">
        <is>
          <t>SFGUDL-484007</t>
        </is>
      </c>
      <c r="E1691" s="156" t="inlineStr">
        <is>
          <t>SFGUDL-48400770</t>
        </is>
      </c>
      <c r="F1691" s="156" t="inlineStr">
        <is>
          <t>7</t>
        </is>
      </c>
      <c r="G1691" s="156" t="inlineStr">
        <is>
          <t>7</t>
        </is>
      </c>
      <c r="H1691" s="156" t="inlineStr">
        <is>
          <t>Stetson</t>
        </is>
      </c>
      <c r="I1691" s="156" t="inlineStr">
        <is>
          <t>Texana Stetson Guadalupana Negro</t>
        </is>
      </c>
      <c r="J1691" s="156" t="inlineStr">
        <is>
          <t>Accesorios</t>
        </is>
      </c>
      <c r="K1691" s="156" t="inlineStr">
        <is>
          <t>Sombreros</t>
        </is>
      </c>
      <c r="L1691" s="156" t="inlineStr">
        <is>
          <t>Unisex</t>
        </is>
      </c>
      <c r="M1691" s="156" t="inlineStr">
        <is>
          <t>Stetson</t>
        </is>
      </c>
      <c r="N1691" s="156" t="inlineStr">
        <is>
          <t>SS26</t>
        </is>
      </c>
      <c r="O1691" s="156" t="inlineStr">
        <is>
          <t>Seasonal</t>
        </is>
      </c>
      <c r="P1691" s="156" t="inlineStr">
        <is>
          <t>Negro</t>
        </is>
      </c>
      <c r="Q1691" s="156" t="n"/>
      <c r="R1691" s="156" t="n"/>
      <c r="S1691" s="156" t="inlineStr">
        <is>
          <t>Fieltro</t>
        </is>
      </c>
      <c r="T1691"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1" s="156" t="n"/>
      <c r="V1691" s="156" t="inlineStr">
        <is>
          <t>PZS</t>
        </is>
      </c>
      <c r="W1691" s="51" t="inlineStr">
        <is>
          <t>53102503</t>
        </is>
      </c>
      <c r="X1691" s="156" t="inlineStr">
        <is>
          <t>https://cdn.shopify.com/s/files/1/0888/3250/8267/files/SFGUDL-48400772-01.jpg?v=1768851453</t>
        </is>
      </c>
      <c r="Y1691" s="54" t="n">
        <v>2756.25</v>
      </c>
      <c r="Z1691" s="54" t="n">
        <v>6724.137931</v>
      </c>
      <c r="AA1691" s="55">
        <f>IF(AND(A1691="", B1691="", E1691=""), "", IF(AB1691="", "Válido", IF((LEN(AB1691)-LEN(SUBSTITUTE(AB1691,"; ","")))/2+1&gt;(LEN(AB1691)-LEN(SUBSTITUTE(AB1691,"[Aviso]","")))/7, "Con Incidencias", "Válido")))</f>
        <v/>
      </c>
      <c r="AB1691" s="56">
        <f>IF(AND(A1691="", B1691="", E1691=""), "", TEXTJOIN("; ", TRUE, IF(OR(TRIM(A1691&amp;"")="", ISNUMBER(SEARCH("FALTA", A1691))), "UPC faltante/inválido", ""), IF(AND(A1691&lt;&gt;"", IFERROR(_xlfn.XMATCH(A1691,$A$2:$A$2509,0,1)&lt;&gt;_xlfn.XMATCH(A1691,$A$2:$A$2509,0,-1),FALSE)), "Código de barras duplicado", ""), IF(AND(E1691&lt;&gt;"", COUNTIF($E$2:$E$2509, E1691)&gt;1), "SKU duplicado", ""), IF(OR(J1691="", J1691=""), "[Aviso] División no capturada ()", IF(ISNA(MATCH(J1691, Criterios!$A$123:$A$126, 0)), "División no válida", "")), IF(OR(K1691="", K1691=""), "[Aviso] Categoría no capturada ()", IF(ISNA(MATCH(K1691, Criterios!$A$81:$A$120, 0)), "Categoría no válida", IF(AND(J1691&lt;&gt;"", J1691&lt;&gt;"", J1691&lt;&gt;VLOOKUP(K1691, Criterios!$A$81:$B$120, 2, FALSE)), "División no coincide con Categoría", ""))), IF(OR(L1691="", L1691=""), "[Aviso] Género no capturado ()", IF(ISNA(MATCH(L1691, Criterios!$B$123:$B$127, 0)), "Género no válido", "")), IF(OR(N1691="", N1691=""), "[Aviso] Temporada no capturada ()", IF(ISNA(MATCH(N1691, Criterios!$C$123:$C$128, 0)), "Temporada no válida", "")), IF(OR(O1691="", O1691=""), "[Aviso] Ciclo de vida no capturado ()", IF(ISNA(MATCH(O1691, Criterios!$D$123:$D$124, 0)), "Ciclo de vida no válido", ""))))</f>
        <v/>
      </c>
      <c r="AC1691" s="56" t="n"/>
      <c r="AD1691" s="51" t="n">
        <v>-1</v>
      </c>
      <c r="AE1691" s="156" t="inlineStr">
        <is>
          <t>B25 STETSON.MX (1)</t>
        </is>
      </c>
      <c r="AF1691" s="51" t="n">
        <v>1</v>
      </c>
      <c r="AG1691" s="156" t="inlineStr">
        <is>
          <t>Catálogo existente</t>
        </is>
      </c>
      <c r="AH1691" s="156" t="inlineStr">
        <is>
          <t>Stock negativo en sistema: revisar en conteo | Revisión 29/09/2026: Campos sin respaldo: U, X | 01/10/2026: complementado desde Shopify Stetson México (match por código de barras): WB Fit, Enlace de imagen</t>
        </is>
      </c>
      <c r="AI1691" s="156" t="inlineStr">
        <is>
          <t>Sí</t>
        </is>
      </c>
      <c r="AJ1691" s="156" t="inlineStr">
        <is>
          <t>STETSON AMERICAS (-2)</t>
        </is>
      </c>
      <c r="AK1691" s="155" t="inlineStr">
        <is>
          <t>Criterios: I [Q] | Shopify Stetson: producto 14786585526635 / variante 53350611517803</t>
        </is>
      </c>
      <c r="AL1691" s="58" t="n">
        <v>2756.25</v>
      </c>
      <c r="AM1691" s="58" t="n">
        <v>6724.137931</v>
      </c>
      <c r="AN1691" s="155" t="inlineStr">
        <is>
          <t>Shopify Stetson México</t>
        </is>
      </c>
      <c r="AO1691" s="59" t="n">
        <v>1</v>
      </c>
      <c r="AP1691" s="59" t="n"/>
      <c r="AQ1691" s="59" t="n"/>
      <c r="AR1691" s="155" t="inlineStr">
        <is>
          <t>Shopify Stetson México › Stetson México: 1</t>
        </is>
      </c>
    </row>
    <row r="1692">
      <c r="A1692" s="50" t="inlineStr">
        <is>
          <t>883383708233</t>
        </is>
      </c>
      <c r="B1692" s="51" t="inlineStr">
        <is>
          <t>109948</t>
        </is>
      </c>
      <c r="C1692" s="156" t="inlineStr">
        <is>
          <t>Multimarca</t>
        </is>
      </c>
      <c r="D1692" s="156" t="inlineStr">
        <is>
          <t>SFGUDL-484061</t>
        </is>
      </c>
      <c r="E1692" s="156" t="inlineStr">
        <is>
          <t>SFGUDL-48406170</t>
        </is>
      </c>
      <c r="F1692" s="156" t="inlineStr">
        <is>
          <t>7</t>
        </is>
      </c>
      <c r="G1692" s="156" t="inlineStr">
        <is>
          <t>7</t>
        </is>
      </c>
      <c r="H1692" s="156" t="inlineStr">
        <is>
          <t>Stetson</t>
        </is>
      </c>
      <c r="I1692" s="156" t="inlineStr">
        <is>
          <t>Texana Stetson Guadalupana Plata</t>
        </is>
      </c>
      <c r="J1692" s="156" t="inlineStr">
        <is>
          <t>Accesorios</t>
        </is>
      </c>
      <c r="K1692" s="156" t="inlineStr">
        <is>
          <t>Sombreros</t>
        </is>
      </c>
      <c r="L1692" s="156" t="inlineStr">
        <is>
          <t>Unisex</t>
        </is>
      </c>
      <c r="M1692" s="156" t="inlineStr">
        <is>
          <t>Stetson</t>
        </is>
      </c>
      <c r="N1692" s="156" t="inlineStr">
        <is>
          <t>SS26</t>
        </is>
      </c>
      <c r="O1692" s="156" t="inlineStr">
        <is>
          <t>Seasonal</t>
        </is>
      </c>
      <c r="P1692" s="156" t="inlineStr">
        <is>
          <t>Gris</t>
        </is>
      </c>
      <c r="Q1692" s="156" t="n"/>
      <c r="R1692" s="156" t="n"/>
      <c r="S1692" s="156" t="inlineStr">
        <is>
          <t>Fieltro</t>
        </is>
      </c>
      <c r="T1692"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2" s="156" t="n"/>
      <c r="V1692" s="156" t="inlineStr">
        <is>
          <t>PZS</t>
        </is>
      </c>
      <c r="W1692" s="51" t="inlineStr">
        <is>
          <t>53102503</t>
        </is>
      </c>
      <c r="X1692" s="156" t="inlineStr">
        <is>
          <t>https://cdn.shopify.com/s/files/1/0888/3250/8267/files/SFGUDL-484061-05.jpg?v=1759767981</t>
        </is>
      </c>
      <c r="Y1692" s="54" t="n">
        <v>2756.25</v>
      </c>
      <c r="Z1692" s="54" t="n">
        <v>6724.137931</v>
      </c>
      <c r="AA1692" s="55">
        <f>IF(AND(A1692="", B1692="", E1692=""), "", IF(AB1692="", "Válido", IF((LEN(AB1692)-LEN(SUBSTITUTE(AB1692,"; ","")))/2+1&gt;(LEN(AB1692)-LEN(SUBSTITUTE(AB1692,"[Aviso]","")))/7, "Con Incidencias", "Válido")))</f>
        <v/>
      </c>
      <c r="AB1692" s="56">
        <f>IF(AND(A1692="", B1692="", E1692=""), "", TEXTJOIN("; ", TRUE, IF(OR(TRIM(A1692&amp;"")="", ISNUMBER(SEARCH("FALTA", A1692))), "UPC faltante/inválido", ""), IF(AND(A1692&lt;&gt;"", IFERROR(_xlfn.XMATCH(A1692,$A$2:$A$2509,0,1)&lt;&gt;_xlfn.XMATCH(A1692,$A$2:$A$2509,0,-1),FALSE)), "Código de barras duplicado", ""), IF(AND(E1692&lt;&gt;"", COUNTIF($E$2:$E$2509, E1692)&gt;1), "SKU duplicado", ""), IF(OR(J1692="", J1692=""), "[Aviso] División no capturada ()", IF(ISNA(MATCH(J1692, Criterios!$A$123:$A$126, 0)), "División no válida", "")), IF(OR(K1692="", K1692=""), "[Aviso] Categoría no capturada ()", IF(ISNA(MATCH(K1692, Criterios!$A$81:$A$120, 0)), "Categoría no válida", IF(AND(J1692&lt;&gt;"", J1692&lt;&gt;"", J1692&lt;&gt;VLOOKUP(K1692, Criterios!$A$81:$B$120, 2, FALSE)), "División no coincide con Categoría", ""))), IF(OR(L1692="", L1692=""), "[Aviso] Género no capturado ()", IF(ISNA(MATCH(L1692, Criterios!$B$123:$B$127, 0)), "Género no válido", "")), IF(OR(N1692="", N1692=""), "[Aviso] Temporada no capturada ()", IF(ISNA(MATCH(N1692, Criterios!$C$123:$C$128, 0)), "Temporada no válida", "")), IF(OR(O1692="", O1692=""), "[Aviso] Ciclo de vida no capturado ()", IF(ISNA(MATCH(O1692, Criterios!$D$123:$D$124, 0)), "Ciclo de vida no válido", ""))))</f>
        <v/>
      </c>
      <c r="AC1692" s="56" t="n"/>
      <c r="AD1692" s="51" t="n">
        <v>0</v>
      </c>
      <c r="AE1692" s="156" t="inlineStr">
        <is>
          <t>B25 STETSON.MX (1)</t>
        </is>
      </c>
      <c r="AF1692" s="51" t="n">
        <v>1</v>
      </c>
      <c r="AG1692" s="156" t="inlineStr">
        <is>
          <t>Catálogo existente</t>
        </is>
      </c>
      <c r="AH1692" s="156" t="inlineStr">
        <is>
          <t>Revisión 29/09/2026: Campos sin respaldo: U | 01/10/2026: complementado desde Shopify Stetson México (match por código de barras): WB Fit | 01/10/2026: Shopify Stetson México trae Color «Varios» — se conservó el valor de Productos</t>
        </is>
      </c>
      <c r="AI1692" s="156" t="inlineStr">
        <is>
          <t>Sí</t>
        </is>
      </c>
      <c r="AJ1692" s="156" t="inlineStr">
        <is>
          <t>PUNTO DE VENTA (-1)</t>
        </is>
      </c>
      <c r="AK1692" s="155" t="inlineStr">
        <is>
          <t>Criterios: I [Q] | Shopify Stetson: producto 14786585526635 / variante 53350611091819</t>
        </is>
      </c>
      <c r="AL1692" s="58" t="n">
        <v>2756.25</v>
      </c>
      <c r="AM1692" s="58" t="n">
        <v>6724.137931</v>
      </c>
      <c r="AN1692" s="155" t="inlineStr">
        <is>
          <t>Shopify Stetson México</t>
        </is>
      </c>
      <c r="AO1692" s="59" t="n">
        <v>1</v>
      </c>
      <c r="AP1692" s="59" t="n"/>
      <c r="AQ1692" s="59" t="n"/>
      <c r="AR1692" s="155" t="inlineStr">
        <is>
          <t>Shopify Stetson México › Stetson México: 1</t>
        </is>
      </c>
    </row>
    <row r="1693">
      <c r="A1693" s="50" t="inlineStr">
        <is>
          <t>883383708240</t>
        </is>
      </c>
      <c r="B1693" s="51" t="inlineStr">
        <is>
          <t>109942</t>
        </is>
      </c>
      <c r="C1693" s="156" t="inlineStr">
        <is>
          <t>Multimarca</t>
        </is>
      </c>
      <c r="D1693" s="156" t="inlineStr">
        <is>
          <t>SFGUDL-484007</t>
        </is>
      </c>
      <c r="E1693" s="156" t="inlineStr">
        <is>
          <t>SFGUDL-48400771</t>
        </is>
      </c>
      <c r="F1693" s="156" t="inlineStr">
        <is>
          <t>7 1/8</t>
        </is>
      </c>
      <c r="G1693" s="156" t="inlineStr">
        <is>
          <t>7 1/8</t>
        </is>
      </c>
      <c r="H1693" s="156" t="inlineStr">
        <is>
          <t>Stetson</t>
        </is>
      </c>
      <c r="I1693" s="156" t="inlineStr">
        <is>
          <t>Texana Stetson Guadalupana Negro</t>
        </is>
      </c>
      <c r="J1693" s="156" t="inlineStr">
        <is>
          <t>Accesorios</t>
        </is>
      </c>
      <c r="K1693" s="156" t="inlineStr">
        <is>
          <t>Sombreros</t>
        </is>
      </c>
      <c r="L1693" s="156" t="inlineStr">
        <is>
          <t>Unisex</t>
        </is>
      </c>
      <c r="M1693" s="156" t="inlineStr">
        <is>
          <t>Stetson</t>
        </is>
      </c>
      <c r="N1693" s="156" t="inlineStr">
        <is>
          <t>SS26</t>
        </is>
      </c>
      <c r="O1693" s="156" t="inlineStr">
        <is>
          <t>Seasonal</t>
        </is>
      </c>
      <c r="P1693" s="156" t="inlineStr">
        <is>
          <t>Negro</t>
        </is>
      </c>
      <c r="Q1693" s="156" t="n"/>
      <c r="R1693" s="156" t="n"/>
      <c r="S1693" s="156" t="inlineStr">
        <is>
          <t>Fieltro</t>
        </is>
      </c>
      <c r="T1693"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3" s="156" t="n"/>
      <c r="V1693" s="156" t="inlineStr">
        <is>
          <t>PZS</t>
        </is>
      </c>
      <c r="W1693" s="51" t="inlineStr">
        <is>
          <t>53102503</t>
        </is>
      </c>
      <c r="X1693" s="156" t="inlineStr">
        <is>
          <t>https://cdn.shopify.com/s/files/1/0888/3250/8267/files/SFGUDL-48400772-01.jpg?v=1768851453</t>
        </is>
      </c>
      <c r="Y1693" s="54" t="n">
        <v>2756.25</v>
      </c>
      <c r="Z1693" s="54" t="n">
        <v>6724.137931</v>
      </c>
      <c r="AA1693" s="55">
        <f>IF(AND(A1693="", B1693="", E1693=""), "", IF(AB1693="", "Válido", IF((LEN(AB1693)-LEN(SUBSTITUTE(AB1693,"; ","")))/2+1&gt;(LEN(AB1693)-LEN(SUBSTITUTE(AB1693,"[Aviso]","")))/7, "Con Incidencias", "Válido")))</f>
        <v/>
      </c>
      <c r="AB1693" s="56">
        <f>IF(AND(A1693="", B1693="", E1693=""), "", TEXTJOIN("; ", TRUE, IF(OR(TRIM(A1693&amp;"")="", ISNUMBER(SEARCH("FALTA", A1693))), "UPC faltante/inválido", ""), IF(AND(A1693&lt;&gt;"", IFERROR(_xlfn.XMATCH(A1693,$A$2:$A$2509,0,1)&lt;&gt;_xlfn.XMATCH(A1693,$A$2:$A$2509,0,-1),FALSE)), "Código de barras duplicado", ""), IF(AND(E1693&lt;&gt;"", COUNTIF($E$2:$E$2509, E1693)&gt;1), "SKU duplicado", ""), IF(OR(J1693="", J1693=""), "[Aviso] División no capturada ()", IF(ISNA(MATCH(J1693, Criterios!$A$123:$A$126, 0)), "División no válida", "")), IF(OR(K1693="", K1693=""), "[Aviso] Categoría no capturada ()", IF(ISNA(MATCH(K1693, Criterios!$A$81:$A$120, 0)), "Categoría no válida", IF(AND(J1693&lt;&gt;"", J1693&lt;&gt;"", J1693&lt;&gt;VLOOKUP(K1693, Criterios!$A$81:$B$120, 2, FALSE)), "División no coincide con Categoría", ""))), IF(OR(L1693="", L1693=""), "[Aviso] Género no capturado ()", IF(ISNA(MATCH(L1693, Criterios!$B$123:$B$127, 0)), "Género no válido", "")), IF(OR(N1693="", N1693=""), "[Aviso] Temporada no capturada ()", IF(ISNA(MATCH(N1693, Criterios!$C$123:$C$128, 0)), "Temporada no válida", "")), IF(OR(O1693="", O1693=""), "[Aviso] Ciclo de vida no capturado ()", IF(ISNA(MATCH(O1693, Criterios!$D$123:$D$124, 0)), "Ciclo de vida no válido", ""))))</f>
        <v/>
      </c>
      <c r="AC1693" s="56" t="n"/>
      <c r="AD1693" s="51" t="n">
        <v>0</v>
      </c>
      <c r="AE1693" s="156" t="inlineStr">
        <is>
          <t>STETSON AMERICAS (1); B25 STETSON.MX (1)</t>
        </is>
      </c>
      <c r="AF1693" s="51" t="n">
        <v>2</v>
      </c>
      <c r="AG1693" s="156" t="inlineStr">
        <is>
          <t>Catálogo existente</t>
        </is>
      </c>
      <c r="AH1693" s="156" t="inlineStr">
        <is>
          <t>Revisión 29/09/2026: Campos sin respaldo: U, X | 01/10/2026: complementado desde Shopify Stetson México (match por código de barras): WB Fit, Enlace de imagen</t>
        </is>
      </c>
      <c r="AI1693" s="156" t="inlineStr">
        <is>
          <t>Sí</t>
        </is>
      </c>
      <c r="AJ1693" s="156" t="inlineStr">
        <is>
          <t>PUNTO DE VENTA (-2)</t>
        </is>
      </c>
      <c r="AK1693" s="155" t="inlineStr">
        <is>
          <t>Criterios: I [Q] | Shopify Stetson: producto 14786585526635 / variante 53350611550571</t>
        </is>
      </c>
      <c r="AL1693" s="58" t="n">
        <v>2756.25</v>
      </c>
      <c r="AM1693" s="58" t="n">
        <v>6724.137931</v>
      </c>
      <c r="AN1693" s="155" t="inlineStr">
        <is>
          <t>Shopify Stetson México</t>
        </is>
      </c>
      <c r="AO1693" s="59" t="n">
        <v>3</v>
      </c>
      <c r="AP1693" s="59" t="n"/>
      <c r="AQ1693" s="59" t="n"/>
      <c r="AR1693" s="155" t="inlineStr">
        <is>
          <t>Shopify Stetson México › Stetson México: 1 | Shopify Stetson México › Stetson Americas: 2</t>
        </is>
      </c>
    </row>
    <row r="1694">
      <c r="A1694" s="50" t="inlineStr">
        <is>
          <t>883383708257</t>
        </is>
      </c>
      <c r="B1694" s="51" t="inlineStr">
        <is>
          <t>109949</t>
        </is>
      </c>
      <c r="C1694" s="156" t="inlineStr">
        <is>
          <t>Multimarca</t>
        </is>
      </c>
      <c r="D1694" s="156" t="inlineStr">
        <is>
          <t>SFGUDL-484061</t>
        </is>
      </c>
      <c r="E1694" s="156" t="inlineStr">
        <is>
          <t>SFGUDL-48406171</t>
        </is>
      </c>
      <c r="F1694" s="156" t="inlineStr">
        <is>
          <t>7 1/8</t>
        </is>
      </c>
      <c r="G1694" s="156" t="inlineStr">
        <is>
          <t>7 1/8</t>
        </is>
      </c>
      <c r="H1694" s="156" t="inlineStr">
        <is>
          <t>Stetson</t>
        </is>
      </c>
      <c r="I1694" s="156" t="inlineStr">
        <is>
          <t>Texana Stetson Guadalupana Plata</t>
        </is>
      </c>
      <c r="J1694" s="156" t="inlineStr">
        <is>
          <t>Accesorios</t>
        </is>
      </c>
      <c r="K1694" s="156" t="inlineStr">
        <is>
          <t>Sombreros</t>
        </is>
      </c>
      <c r="L1694" s="156" t="inlineStr">
        <is>
          <t>Unisex</t>
        </is>
      </c>
      <c r="M1694" s="156" t="inlineStr">
        <is>
          <t>Stetson</t>
        </is>
      </c>
      <c r="N1694" s="156" t="inlineStr">
        <is>
          <t>SS26</t>
        </is>
      </c>
      <c r="O1694" s="156" t="inlineStr">
        <is>
          <t>Seasonal</t>
        </is>
      </c>
      <c r="P1694" s="156" t="inlineStr">
        <is>
          <t>Gris</t>
        </is>
      </c>
      <c r="Q1694" s="156" t="n"/>
      <c r="R1694" s="156" t="n"/>
      <c r="S1694" s="156" t="inlineStr">
        <is>
          <t>Fieltro</t>
        </is>
      </c>
      <c r="T1694"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4" s="156" t="n"/>
      <c r="V1694" s="156" t="inlineStr">
        <is>
          <t>PZS</t>
        </is>
      </c>
      <c r="W1694" s="51" t="inlineStr">
        <is>
          <t>53102503</t>
        </is>
      </c>
      <c r="X1694" s="156" t="inlineStr">
        <is>
          <t>https://cdn.shopify.com/s/files/1/0888/3250/8267/files/SFGUDL-48400772-01.jpg?v=1768851453</t>
        </is>
      </c>
      <c r="Y1694" s="54" t="n">
        <v>2756.25</v>
      </c>
      <c r="Z1694" s="54" t="n">
        <v>6724.137931</v>
      </c>
      <c r="AA1694" s="55">
        <f>IF(AND(A1694="", B1694="", E1694=""), "", IF(AB1694="", "Válido", IF((LEN(AB1694)-LEN(SUBSTITUTE(AB1694,"; ","")))/2+1&gt;(LEN(AB1694)-LEN(SUBSTITUTE(AB1694,"[Aviso]","")))/7, "Con Incidencias", "Válido")))</f>
        <v/>
      </c>
      <c r="AB1694" s="56">
        <f>IF(AND(A1694="", B1694="", E1694=""), "", TEXTJOIN("; ", TRUE, IF(OR(TRIM(A1694&amp;"")="", ISNUMBER(SEARCH("FALTA", A1694))), "UPC faltante/inválido", ""), IF(AND(A1694&lt;&gt;"", IFERROR(_xlfn.XMATCH(A1694,$A$2:$A$2509,0,1)&lt;&gt;_xlfn.XMATCH(A1694,$A$2:$A$2509,0,-1),FALSE)), "Código de barras duplicado", ""), IF(AND(E1694&lt;&gt;"", COUNTIF($E$2:$E$2509, E1694)&gt;1), "SKU duplicado", ""), IF(OR(J1694="", J1694=""), "[Aviso] División no capturada ()", IF(ISNA(MATCH(J1694, Criterios!$A$123:$A$126, 0)), "División no válida", "")), IF(OR(K1694="", K1694=""), "[Aviso] Categoría no capturada ()", IF(ISNA(MATCH(K1694, Criterios!$A$81:$A$120, 0)), "Categoría no válida", IF(AND(J1694&lt;&gt;"", J1694&lt;&gt;"", J1694&lt;&gt;VLOOKUP(K1694, Criterios!$A$81:$B$120, 2, FALSE)), "División no coincide con Categoría", ""))), IF(OR(L1694="", L1694=""), "[Aviso] Género no capturado ()", IF(ISNA(MATCH(L1694, Criterios!$B$123:$B$127, 0)), "Género no válido", "")), IF(OR(N1694="", N1694=""), "[Aviso] Temporada no capturada ()", IF(ISNA(MATCH(N1694, Criterios!$C$123:$C$128, 0)), "Temporada no válida", "")), IF(OR(O1694="", O1694=""), "[Aviso] Ciclo de vida no capturado ()", IF(ISNA(MATCH(O1694, Criterios!$D$123:$D$124, 0)), "Ciclo de vida no válido", ""))))</f>
        <v/>
      </c>
      <c r="AC1694" s="56" t="n"/>
      <c r="AD1694" s="51" t="n">
        <v>1</v>
      </c>
      <c r="AE1694" s="156" t="inlineStr">
        <is>
          <t>STETSON AMERICAS (2)</t>
        </is>
      </c>
      <c r="AF1694" s="51" t="n">
        <v>2</v>
      </c>
      <c r="AG1694" s="156" t="inlineStr">
        <is>
          <t>Catálogo existente</t>
        </is>
      </c>
      <c r="AH1694" s="156" t="inlineStr">
        <is>
          <t>Revisión 29/09/2026: Campos sin respaldo: U | 01/10/2026: complementado desde Shopify Stetson México (match por código de barras): WB Fit | 01/10/2026: Shopify Stetson México trae Color «Varios» — se conservó el valor de Productos</t>
        </is>
      </c>
      <c r="AI1694" s="156" t="inlineStr">
        <is>
          <t>Sí</t>
        </is>
      </c>
      <c r="AJ1694" s="156" t="inlineStr">
        <is>
          <t>PUNTO DE VENTA (-1)</t>
        </is>
      </c>
      <c r="AK1694" s="155" t="inlineStr">
        <is>
          <t>Criterios: I [Q] | Shopify Stetson: producto 14786585526635 / variante 53350611124587</t>
        </is>
      </c>
      <c r="AL1694" s="58" t="n">
        <v>2756.25</v>
      </c>
      <c r="AM1694" s="58" t="n">
        <v>6724.137931</v>
      </c>
      <c r="AN1694" s="155" t="inlineStr">
        <is>
          <t>Shopify Stetson México</t>
        </is>
      </c>
      <c r="AO1694" s="59" t="n">
        <v>4</v>
      </c>
      <c r="AP1694" s="59" t="n"/>
      <c r="AQ1694" s="59" t="n"/>
      <c r="AR1694" s="155" t="inlineStr">
        <is>
          <t>Shopify Stetson México › Stetson Americas: 3 | Shopify Stetson México › Eventos: 1</t>
        </is>
      </c>
    </row>
    <row r="1695">
      <c r="A1695" s="50" t="inlineStr">
        <is>
          <t>883383708264</t>
        </is>
      </c>
      <c r="B1695" s="51" t="inlineStr">
        <is>
          <t>109943</t>
        </is>
      </c>
      <c r="C1695" s="156" t="inlineStr">
        <is>
          <t>Multimarca</t>
        </is>
      </c>
      <c r="D1695" s="156" t="inlineStr">
        <is>
          <t>SFGUDL-484007</t>
        </is>
      </c>
      <c r="E1695" s="156" t="inlineStr">
        <is>
          <t>SFGUDL-48400772</t>
        </is>
      </c>
      <c r="F1695" s="156" t="inlineStr">
        <is>
          <t>7 1/4</t>
        </is>
      </c>
      <c r="G1695" s="156" t="inlineStr">
        <is>
          <t>7 1/4</t>
        </is>
      </c>
      <c r="H1695" s="156" t="inlineStr">
        <is>
          <t>Stetson</t>
        </is>
      </c>
      <c r="I1695" s="156" t="inlineStr">
        <is>
          <t>Texana Stetson Guadalupana Negro</t>
        </is>
      </c>
      <c r="J1695" s="156" t="inlineStr">
        <is>
          <t>Accesorios</t>
        </is>
      </c>
      <c r="K1695" s="156" t="inlineStr">
        <is>
          <t>Sombreros</t>
        </is>
      </c>
      <c r="L1695" s="156" t="inlineStr">
        <is>
          <t>Unisex</t>
        </is>
      </c>
      <c r="M1695" s="156" t="inlineStr">
        <is>
          <t>Stetson</t>
        </is>
      </c>
      <c r="N1695" s="156" t="inlineStr">
        <is>
          <t>SS26</t>
        </is>
      </c>
      <c r="O1695" s="156" t="inlineStr">
        <is>
          <t>Seasonal</t>
        </is>
      </c>
      <c r="P1695" s="156" t="inlineStr">
        <is>
          <t>Negro</t>
        </is>
      </c>
      <c r="Q1695" s="156" t="n"/>
      <c r="R1695" s="156" t="n"/>
      <c r="S1695" s="156" t="inlineStr">
        <is>
          <t>Fieltro</t>
        </is>
      </c>
      <c r="T1695"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5" s="156" t="n"/>
      <c r="V1695" s="156" t="inlineStr">
        <is>
          <t>PZS</t>
        </is>
      </c>
      <c r="W1695" s="51" t="inlineStr">
        <is>
          <t>53102503</t>
        </is>
      </c>
      <c r="X1695" s="156" t="inlineStr">
        <is>
          <t>https://cdn.shopify.com/s/files/1/0888/3250/8267/files/SFGUDL-48400772-01.jpg?v=1768851453</t>
        </is>
      </c>
      <c r="Y1695" s="54" t="n">
        <v>2756.25</v>
      </c>
      <c r="Z1695" s="54" t="n">
        <v>6724.137931</v>
      </c>
      <c r="AA1695" s="55">
        <f>IF(AND(A1695="", B1695="", E1695=""), "", IF(AB1695="", "Válido", IF((LEN(AB1695)-LEN(SUBSTITUTE(AB1695,"; ","")))/2+1&gt;(LEN(AB1695)-LEN(SUBSTITUTE(AB1695,"[Aviso]","")))/7, "Con Incidencias", "Válido")))</f>
        <v/>
      </c>
      <c r="AB1695" s="56">
        <f>IF(AND(A1695="", B1695="", E1695=""), "", TEXTJOIN("; ", TRUE, IF(OR(TRIM(A1695&amp;"")="", ISNUMBER(SEARCH("FALTA", A1695))), "UPC faltante/inválido", ""), IF(AND(A1695&lt;&gt;"", IFERROR(_xlfn.XMATCH(A1695,$A$2:$A$2509,0,1)&lt;&gt;_xlfn.XMATCH(A1695,$A$2:$A$2509,0,-1),FALSE)), "Código de barras duplicado", ""), IF(AND(E1695&lt;&gt;"", COUNTIF($E$2:$E$2509, E1695)&gt;1), "SKU duplicado", ""), IF(OR(J1695="", J1695=""), "[Aviso] División no capturada ()", IF(ISNA(MATCH(J1695, Criterios!$A$123:$A$126, 0)), "División no válida", "")), IF(OR(K1695="", K1695=""), "[Aviso] Categoría no capturada ()", IF(ISNA(MATCH(K1695, Criterios!$A$81:$A$120, 0)), "Categoría no válida", IF(AND(J1695&lt;&gt;"", J1695&lt;&gt;"", J1695&lt;&gt;VLOOKUP(K1695, Criterios!$A$81:$B$120, 2, FALSE)), "División no coincide con Categoría", ""))), IF(OR(L1695="", L1695=""), "[Aviso] Género no capturado ()", IF(ISNA(MATCH(L1695, Criterios!$B$123:$B$127, 0)), "Género no válido", "")), IF(OR(N1695="", N1695=""), "[Aviso] Temporada no capturada ()", IF(ISNA(MATCH(N1695, Criterios!$C$123:$C$128, 0)), "Temporada no válida", "")), IF(OR(O1695="", O1695=""), "[Aviso] Ciclo de vida no capturado ()", IF(ISNA(MATCH(O1695, Criterios!$D$123:$D$124, 0)), "Ciclo de vida no válido", ""))))</f>
        <v/>
      </c>
      <c r="AC1695" s="56" t="n"/>
      <c r="AD1695" s="51" t="n">
        <v>4</v>
      </c>
      <c r="AE1695" s="156" t="inlineStr">
        <is>
          <t>STETSON AMERICAS (4); B25 STETSON.MX (2)</t>
        </is>
      </c>
      <c r="AF1695" s="51" t="n">
        <v>6</v>
      </c>
      <c r="AG1695" s="156" t="inlineStr">
        <is>
          <t>Catálogo existente</t>
        </is>
      </c>
      <c r="AH1695" s="156" t="inlineStr">
        <is>
          <t>Revisión 29/09/2026: Campos sin respaldo: U, X | 01/10/2026: complementado desde Shopify Stetson México (match por código de barras): WB Fit, Enlace de imagen</t>
        </is>
      </c>
      <c r="AI1695" s="156" t="inlineStr">
        <is>
          <t>Sí</t>
        </is>
      </c>
      <c r="AJ1695" s="156" t="inlineStr">
        <is>
          <t>PUNTO DE VENTA (-2)</t>
        </is>
      </c>
      <c r="AK1695" s="155" t="inlineStr">
        <is>
          <t>Criterios: I [Q] | Shopify Stetson: producto 14786585526635 / variante 53350611583339</t>
        </is>
      </c>
      <c r="AL1695" s="58" t="n">
        <v>2756.25</v>
      </c>
      <c r="AM1695" s="58" t="n">
        <v>6724.137931</v>
      </c>
      <c r="AN1695" s="155" t="inlineStr">
        <is>
          <t>Shopify Stetson México</t>
        </is>
      </c>
      <c r="AO1695" s="59" t="n">
        <v>4</v>
      </c>
      <c r="AP1695" s="59" t="n"/>
      <c r="AQ1695" s="59" t="n"/>
      <c r="AR1695" s="155" t="inlineStr">
        <is>
          <t>Shopify Stetson México › Stetson México: 2 | Shopify Stetson México › Stetson Americas: 2</t>
        </is>
      </c>
    </row>
    <row r="1696">
      <c r="A1696" s="50" t="inlineStr">
        <is>
          <t>883383708271</t>
        </is>
      </c>
      <c r="B1696" s="51" t="inlineStr">
        <is>
          <t>109950</t>
        </is>
      </c>
      <c r="C1696" s="156" t="inlineStr">
        <is>
          <t>Multimarca</t>
        </is>
      </c>
      <c r="D1696" s="156" t="inlineStr">
        <is>
          <t>SFGUDL-484061</t>
        </is>
      </c>
      <c r="E1696" s="156" t="inlineStr">
        <is>
          <t>SFGUDL-48406172</t>
        </is>
      </c>
      <c r="F1696" s="156" t="inlineStr">
        <is>
          <t>7 1/4</t>
        </is>
      </c>
      <c r="G1696" s="156" t="inlineStr">
        <is>
          <t>7 1/4</t>
        </is>
      </c>
      <c r="H1696" s="156" t="inlineStr">
        <is>
          <t>Stetson</t>
        </is>
      </c>
      <c r="I1696" s="156" t="inlineStr">
        <is>
          <t>Texana Stetson Guadalupana Plata</t>
        </is>
      </c>
      <c r="J1696" s="156" t="inlineStr">
        <is>
          <t>Accesorios</t>
        </is>
      </c>
      <c r="K1696" s="156" t="inlineStr">
        <is>
          <t>Sombreros</t>
        </is>
      </c>
      <c r="L1696" s="156" t="inlineStr">
        <is>
          <t>Unisex</t>
        </is>
      </c>
      <c r="M1696" s="156" t="inlineStr">
        <is>
          <t>Stetson</t>
        </is>
      </c>
      <c r="N1696" s="156" t="inlineStr">
        <is>
          <t>SS26</t>
        </is>
      </c>
      <c r="O1696" s="156" t="inlineStr">
        <is>
          <t>Seasonal</t>
        </is>
      </c>
      <c r="P1696" s="156" t="inlineStr">
        <is>
          <t>Gris</t>
        </is>
      </c>
      <c r="Q1696" s="156" t="n"/>
      <c r="R1696" s="156" t="n"/>
      <c r="S1696" s="156" t="inlineStr">
        <is>
          <t>Fieltro</t>
        </is>
      </c>
      <c r="T1696"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6" s="156" t="n"/>
      <c r="V1696" s="156" t="inlineStr">
        <is>
          <t>PZS</t>
        </is>
      </c>
      <c r="W1696" s="51" t="inlineStr">
        <is>
          <t>53102503</t>
        </is>
      </c>
      <c r="X1696" s="156" t="inlineStr">
        <is>
          <t>https://cdn.shopify.com/s/files/1/0888/3250/8267/files/SFGUDL-48400772-02.jpg?v=1768851453</t>
        </is>
      </c>
      <c r="Y1696" s="54" t="n">
        <v>2756.25</v>
      </c>
      <c r="Z1696" s="54" t="n">
        <v>6724.137931</v>
      </c>
      <c r="AA1696" s="55">
        <f>IF(AND(A1696="", B1696="", E1696=""), "", IF(AB1696="", "Válido", IF((LEN(AB1696)-LEN(SUBSTITUTE(AB1696,"; ","")))/2+1&gt;(LEN(AB1696)-LEN(SUBSTITUTE(AB1696,"[Aviso]","")))/7, "Con Incidencias", "Válido")))</f>
        <v/>
      </c>
      <c r="AB1696" s="56">
        <f>IF(AND(A1696="", B1696="", E1696=""), "", TEXTJOIN("; ", TRUE, IF(OR(TRIM(A1696&amp;"")="", ISNUMBER(SEARCH("FALTA", A1696))), "UPC faltante/inválido", ""), IF(AND(A1696&lt;&gt;"", IFERROR(_xlfn.XMATCH(A1696,$A$2:$A$2509,0,1)&lt;&gt;_xlfn.XMATCH(A1696,$A$2:$A$2509,0,-1),FALSE)), "Código de barras duplicado", ""), IF(AND(E1696&lt;&gt;"", COUNTIF($E$2:$E$2509, E1696)&gt;1), "SKU duplicado", ""), IF(OR(J1696="", J1696=""), "[Aviso] División no capturada ()", IF(ISNA(MATCH(J1696, Criterios!$A$123:$A$126, 0)), "División no válida", "")), IF(OR(K1696="", K1696=""), "[Aviso] Categoría no capturada ()", IF(ISNA(MATCH(K1696, Criterios!$A$81:$A$120, 0)), "Categoría no válida", IF(AND(J1696&lt;&gt;"", J1696&lt;&gt;"", J1696&lt;&gt;VLOOKUP(K1696, Criterios!$A$81:$B$120, 2, FALSE)), "División no coincide con Categoría", ""))), IF(OR(L1696="", L1696=""), "[Aviso] Género no capturado ()", IF(ISNA(MATCH(L1696, Criterios!$B$123:$B$127, 0)), "Género no válido", "")), IF(OR(N1696="", N1696=""), "[Aviso] Temporada no capturada ()", IF(ISNA(MATCH(N1696, Criterios!$C$123:$C$128, 0)), "Temporada no válida", "")), IF(OR(O1696="", O1696=""), "[Aviso] Ciclo de vida no capturado ()", IF(ISNA(MATCH(O1696, Criterios!$D$123:$D$124, 0)), "Ciclo de vida no válido", ""))))</f>
        <v/>
      </c>
      <c r="AC1696" s="56" t="n"/>
      <c r="AD1696" s="51" t="n">
        <v>0</v>
      </c>
      <c r="AE1696" s="156" t="inlineStr">
        <is>
          <t>STETSON AMERICAS (1)</t>
        </is>
      </c>
      <c r="AF1696" s="51" t="n">
        <v>1</v>
      </c>
      <c r="AG1696" s="156" t="inlineStr">
        <is>
          <t>Catálogo existente</t>
        </is>
      </c>
      <c r="AH1696" s="156" t="inlineStr">
        <is>
          <t>Revisión 29/09/2026: Campos sin respaldo: U | 01/10/2026: complementado desde Shopify Stetson México (match por código de barras): WB Fit | 01/10/2026: Shopify Stetson México trae Color «Varios» — se conservó el valor de Productos</t>
        </is>
      </c>
      <c r="AI1696" s="156" t="inlineStr">
        <is>
          <t>Sí</t>
        </is>
      </c>
      <c r="AJ1696" s="156" t="inlineStr">
        <is>
          <t>PUNTO DE VENTA (-1)</t>
        </is>
      </c>
      <c r="AK1696" s="155" t="inlineStr">
        <is>
          <t>Criterios: I [Q] | Shopify Stetson: producto 14786585526635 / variante 53350611157355</t>
        </is>
      </c>
      <c r="AL1696" s="58" t="n">
        <v>2756.25</v>
      </c>
      <c r="AM1696" s="58" t="n">
        <v>6724.137931</v>
      </c>
      <c r="AN1696" s="155" t="inlineStr">
        <is>
          <t>Shopify Stetson México</t>
        </is>
      </c>
      <c r="AO1696" s="59" t="n">
        <v>1</v>
      </c>
      <c r="AP1696" s="59" t="n"/>
      <c r="AQ1696" s="59" t="n"/>
      <c r="AR1696" s="155" t="inlineStr">
        <is>
          <t>Shopify Stetson México › Stetson Americas: 1</t>
        </is>
      </c>
    </row>
    <row r="1697">
      <c r="A1697" s="50" t="inlineStr">
        <is>
          <t>883383708288</t>
        </is>
      </c>
      <c r="B1697" s="51" t="inlineStr">
        <is>
          <t>109944</t>
        </is>
      </c>
      <c r="C1697" s="156" t="inlineStr">
        <is>
          <t>Multimarca</t>
        </is>
      </c>
      <c r="D1697" s="156" t="inlineStr">
        <is>
          <t>SFGUDL-484007</t>
        </is>
      </c>
      <c r="E1697" s="156" t="inlineStr">
        <is>
          <t>SFGUDL-48400773</t>
        </is>
      </c>
      <c r="F1697" s="156" t="inlineStr">
        <is>
          <t>7 3/8</t>
        </is>
      </c>
      <c r="G1697" s="156" t="inlineStr">
        <is>
          <t>7 3/8</t>
        </is>
      </c>
      <c r="H1697" s="156" t="inlineStr">
        <is>
          <t>Stetson</t>
        </is>
      </c>
      <c r="I1697" s="156" t="inlineStr">
        <is>
          <t>Texana Stetson Guadalupana Negro</t>
        </is>
      </c>
      <c r="J1697" s="156" t="inlineStr">
        <is>
          <t>Accesorios</t>
        </is>
      </c>
      <c r="K1697" s="156" t="inlineStr">
        <is>
          <t>Sombreros</t>
        </is>
      </c>
      <c r="L1697" s="156" t="inlineStr">
        <is>
          <t>Unisex</t>
        </is>
      </c>
      <c r="M1697" s="156" t="inlineStr">
        <is>
          <t>Stetson</t>
        </is>
      </c>
      <c r="N1697" s="156" t="inlineStr">
        <is>
          <t>SS26</t>
        </is>
      </c>
      <c r="O1697" s="156" t="inlineStr">
        <is>
          <t>Seasonal</t>
        </is>
      </c>
      <c r="P1697" s="156" t="inlineStr">
        <is>
          <t>Negro</t>
        </is>
      </c>
      <c r="Q1697" s="156" t="n"/>
      <c r="R1697" s="156" t="n"/>
      <c r="S1697" s="156" t="inlineStr">
        <is>
          <t>Fieltro</t>
        </is>
      </c>
      <c r="T1697"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7" s="156" t="n"/>
      <c r="V1697" s="156" t="inlineStr">
        <is>
          <t>PZS</t>
        </is>
      </c>
      <c r="W1697" s="51" t="inlineStr">
        <is>
          <t>53102503</t>
        </is>
      </c>
      <c r="X1697" s="156" t="inlineStr">
        <is>
          <t>https://cdn.shopify.com/s/files/1/0888/3250/8267/files/SFGUDL-48400772-01.jpg?v=1768851453</t>
        </is>
      </c>
      <c r="Y1697" s="54" t="n">
        <v>2756.25</v>
      </c>
      <c r="Z1697" s="54" t="n">
        <v>6724.137931</v>
      </c>
      <c r="AA1697" s="55">
        <f>IF(AND(A1697="", B1697="", E1697=""), "", IF(AB1697="", "Válido", IF((LEN(AB1697)-LEN(SUBSTITUTE(AB1697,"; ","")))/2+1&gt;(LEN(AB1697)-LEN(SUBSTITUTE(AB1697,"[Aviso]","")))/7, "Con Incidencias", "Válido")))</f>
        <v/>
      </c>
      <c r="AB1697" s="56">
        <f>IF(AND(A1697="", B1697="", E1697=""), "", TEXTJOIN("; ", TRUE, IF(OR(TRIM(A1697&amp;"")="", ISNUMBER(SEARCH("FALTA", A1697))), "UPC faltante/inválido", ""), IF(AND(A1697&lt;&gt;"", IFERROR(_xlfn.XMATCH(A1697,$A$2:$A$2509,0,1)&lt;&gt;_xlfn.XMATCH(A1697,$A$2:$A$2509,0,-1),FALSE)), "Código de barras duplicado", ""), IF(AND(E1697&lt;&gt;"", COUNTIF($E$2:$E$2509, E1697)&gt;1), "SKU duplicado", ""), IF(OR(J1697="", J1697=""), "[Aviso] División no capturada ()", IF(ISNA(MATCH(J1697, Criterios!$A$123:$A$126, 0)), "División no válida", "")), IF(OR(K1697="", K1697=""), "[Aviso] Categoría no capturada ()", IF(ISNA(MATCH(K1697, Criterios!$A$81:$A$120, 0)), "Categoría no válida", IF(AND(J1697&lt;&gt;"", J1697&lt;&gt;"", J1697&lt;&gt;VLOOKUP(K1697, Criterios!$A$81:$B$120, 2, FALSE)), "División no coincide con Categoría", ""))), IF(OR(L1697="", L1697=""), "[Aviso] Género no capturado ()", IF(ISNA(MATCH(L1697, Criterios!$B$123:$B$127, 0)), "Género no válido", "")), IF(OR(N1697="", N1697=""), "[Aviso] Temporada no capturada ()", IF(ISNA(MATCH(N1697, Criterios!$C$123:$C$128, 0)), "Temporada no válida", "")), IF(OR(O1697="", O1697=""), "[Aviso] Ciclo de vida no capturado ()", IF(ISNA(MATCH(O1697, Criterios!$D$123:$D$124, 0)), "Ciclo de vida no válido", ""))))</f>
        <v/>
      </c>
      <c r="AC1697" s="56" t="n"/>
      <c r="AD1697" s="51" t="n">
        <v>-2</v>
      </c>
      <c r="AE1697" s="156" t="n"/>
      <c r="AF1697" s="51" t="n">
        <v>0</v>
      </c>
      <c r="AG1697" s="156" t="inlineStr">
        <is>
          <t>Catálogo existente</t>
        </is>
      </c>
      <c r="AH1697" s="156" t="inlineStr">
        <is>
          <t>Stock negativo en sistema: revisar en conteo | Revisión 29/09/2026: Campos sin respaldo: U, X | 01/10/2026: complementado desde Shopify Stetson México (match por código de barras): WB Fit, Enlace de imagen</t>
        </is>
      </c>
      <c r="AI1697" s="156" t="inlineStr">
        <is>
          <t>Sí</t>
        </is>
      </c>
      <c r="AJ1697" s="156" t="inlineStr">
        <is>
          <t>PUNTO DE VENTA (-2)</t>
        </is>
      </c>
      <c r="AK1697" s="155" t="inlineStr">
        <is>
          <t>Criterios: I [Q] | Shopify Stetson: producto 14786585526635 / variante 53350611616107</t>
        </is>
      </c>
      <c r="AL1697" s="58" t="n">
        <v>2756.25</v>
      </c>
      <c r="AM1697" s="58" t="n">
        <v>6724.137931</v>
      </c>
      <c r="AN1697" s="155" t="inlineStr">
        <is>
          <t>Shopify Stetson México</t>
        </is>
      </c>
      <c r="AO1697" s="59" t="n">
        <v>0</v>
      </c>
      <c r="AP1697" s="59" t="n"/>
      <c r="AQ1697" s="59" t="n"/>
      <c r="AR1697" s="155" t="n"/>
    </row>
    <row r="1698">
      <c r="A1698" s="50" t="inlineStr">
        <is>
          <t>883383708295</t>
        </is>
      </c>
      <c r="B1698" s="51" t="inlineStr">
        <is>
          <t>109951</t>
        </is>
      </c>
      <c r="C1698" s="156" t="inlineStr">
        <is>
          <t>Multimarca</t>
        </is>
      </c>
      <c r="D1698" s="156" t="inlineStr">
        <is>
          <t>SFGUDL-484061</t>
        </is>
      </c>
      <c r="E1698" s="156" t="inlineStr">
        <is>
          <t>SFGUDL-48406173</t>
        </is>
      </c>
      <c r="F1698" s="156" t="inlineStr">
        <is>
          <t>7 3/8</t>
        </is>
      </c>
      <c r="G1698" s="156" t="inlineStr">
        <is>
          <t>7 3/8</t>
        </is>
      </c>
      <c r="H1698" s="156" t="inlineStr">
        <is>
          <t>Stetson</t>
        </is>
      </c>
      <c r="I1698" s="156" t="inlineStr">
        <is>
          <t>Texana Stetson Guadalupana Plata</t>
        </is>
      </c>
      <c r="J1698" s="156" t="inlineStr">
        <is>
          <t>Accesorios</t>
        </is>
      </c>
      <c r="K1698" s="156" t="inlineStr">
        <is>
          <t>Sombreros</t>
        </is>
      </c>
      <c r="L1698" s="156" t="inlineStr">
        <is>
          <t>Unisex</t>
        </is>
      </c>
      <c r="M1698" s="156" t="inlineStr">
        <is>
          <t>Stetson</t>
        </is>
      </c>
      <c r="N1698" s="156" t="inlineStr">
        <is>
          <t>SS26</t>
        </is>
      </c>
      <c r="O1698" s="156" t="inlineStr">
        <is>
          <t>Seasonal</t>
        </is>
      </c>
      <c r="P1698" s="156" t="inlineStr">
        <is>
          <t>Gris</t>
        </is>
      </c>
      <c r="Q1698" s="156" t="n"/>
      <c r="R1698" s="156" t="n"/>
      <c r="S1698" s="156" t="inlineStr">
        <is>
          <t>Fieltro</t>
        </is>
      </c>
      <c r="T1698"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8" s="156" t="n"/>
      <c r="V1698" s="156" t="inlineStr">
        <is>
          <t>PZS</t>
        </is>
      </c>
      <c r="W1698" s="51" t="inlineStr">
        <is>
          <t>53102503</t>
        </is>
      </c>
      <c r="X1698" s="156" t="inlineStr">
        <is>
          <t>https://cdn.shopify.com/s/files/1/0888/3250/8267/files/SFGUDL-48400772-03.jpg?v=1768851453</t>
        </is>
      </c>
      <c r="Y1698" s="54" t="n">
        <v>2756.25</v>
      </c>
      <c r="Z1698" s="54" t="n">
        <v>6724.137931</v>
      </c>
      <c r="AA1698" s="55">
        <f>IF(AND(A1698="", B1698="", E1698=""), "", IF(AB1698="", "Válido", IF((LEN(AB1698)-LEN(SUBSTITUTE(AB1698,"; ","")))/2+1&gt;(LEN(AB1698)-LEN(SUBSTITUTE(AB1698,"[Aviso]","")))/7, "Con Incidencias", "Válido")))</f>
        <v/>
      </c>
      <c r="AB1698" s="56">
        <f>IF(AND(A1698="", B1698="", E1698=""), "", TEXTJOIN("; ", TRUE, IF(OR(TRIM(A1698&amp;"")="", ISNUMBER(SEARCH("FALTA", A1698))), "UPC faltante/inválido", ""), IF(AND(A1698&lt;&gt;"", IFERROR(_xlfn.XMATCH(A1698,$A$2:$A$2509,0,1)&lt;&gt;_xlfn.XMATCH(A1698,$A$2:$A$2509,0,-1),FALSE)), "Código de barras duplicado", ""), IF(AND(E1698&lt;&gt;"", COUNTIF($E$2:$E$2509, E1698)&gt;1), "SKU duplicado", ""), IF(OR(J1698="", J1698=""), "[Aviso] División no capturada ()", IF(ISNA(MATCH(J1698, Criterios!$A$123:$A$126, 0)), "División no válida", "")), IF(OR(K1698="", K1698=""), "[Aviso] Categoría no capturada ()", IF(ISNA(MATCH(K1698, Criterios!$A$81:$A$120, 0)), "Categoría no válida", IF(AND(J1698&lt;&gt;"", J1698&lt;&gt;"", J1698&lt;&gt;VLOOKUP(K1698, Criterios!$A$81:$B$120, 2, FALSE)), "División no coincide con Categoría", ""))), IF(OR(L1698="", L1698=""), "[Aviso] Género no capturado ()", IF(ISNA(MATCH(L1698, Criterios!$B$123:$B$127, 0)), "Género no válido", "")), IF(OR(N1698="", N1698=""), "[Aviso] Temporada no capturada ()", IF(ISNA(MATCH(N1698, Criterios!$C$123:$C$128, 0)), "Temporada no válida", "")), IF(OR(O1698="", O1698=""), "[Aviso] Ciclo de vida no capturado ()", IF(ISNA(MATCH(O1698, Criterios!$D$123:$D$124, 0)), "Ciclo de vida no válido", ""))))</f>
        <v/>
      </c>
      <c r="AC1698" s="56" t="n"/>
      <c r="AD1698" s="51" t="n">
        <v>-1</v>
      </c>
      <c r="AE1698" s="156" t="n"/>
      <c r="AF1698" s="51" t="n">
        <v>0</v>
      </c>
      <c r="AG1698" s="156" t="inlineStr">
        <is>
          <t>Catálogo existente</t>
        </is>
      </c>
      <c r="AH1698" s="156" t="inlineStr">
        <is>
          <t>Stock negativo en sistema: revisar en conteo | Revisión 29/09/2026: Campos sin respaldo: U | 01/10/2026: complementado desde Shopify Stetson México (match por código de barras): WB Fit | 01/10/2026: Shopify Stetson México trae Color «Varios» — se conservó el valor de Productos</t>
        </is>
      </c>
      <c r="AI1698" s="156" t="inlineStr">
        <is>
          <t>Sí</t>
        </is>
      </c>
      <c r="AJ1698" s="156" t="inlineStr">
        <is>
          <t>PUNTO DE VENTA (-1)</t>
        </is>
      </c>
      <c r="AK1698" s="155" t="inlineStr">
        <is>
          <t>Criterios: I [Q] | Shopify Stetson: producto 14786585526635 / variante 53350611190123</t>
        </is>
      </c>
      <c r="AL1698" s="58" t="n">
        <v>2756.25</v>
      </c>
      <c r="AM1698" s="58" t="n">
        <v>6724.137931</v>
      </c>
      <c r="AN1698" s="155" t="inlineStr">
        <is>
          <t>Shopify Stetson México</t>
        </is>
      </c>
      <c r="AO1698" s="59" t="n">
        <v>0</v>
      </c>
      <c r="AP1698" s="59" t="n"/>
      <c r="AQ1698" s="59" t="n"/>
      <c r="AR1698" s="155" t="n"/>
    </row>
    <row r="1699">
      <c r="A1699" s="50" t="inlineStr">
        <is>
          <t>883383708301</t>
        </is>
      </c>
      <c r="B1699" s="51" t="inlineStr">
        <is>
          <t>109945</t>
        </is>
      </c>
      <c r="C1699" s="156" t="inlineStr">
        <is>
          <t>Multimarca</t>
        </is>
      </c>
      <c r="D1699" s="156" t="inlineStr">
        <is>
          <t>SFGUDL-484007</t>
        </is>
      </c>
      <c r="E1699" s="156" t="inlineStr">
        <is>
          <t>SFGUDL-48400774</t>
        </is>
      </c>
      <c r="F1699" s="156" t="inlineStr">
        <is>
          <t>7 1/2</t>
        </is>
      </c>
      <c r="G1699" s="156" t="inlineStr">
        <is>
          <t>7 1/2</t>
        </is>
      </c>
      <c r="H1699" s="156" t="inlineStr">
        <is>
          <t>Stetson</t>
        </is>
      </c>
      <c r="I1699" s="156" t="inlineStr">
        <is>
          <t>Texana Stetson Guadalupana Negro</t>
        </is>
      </c>
      <c r="J1699" s="156" t="inlineStr">
        <is>
          <t>Accesorios</t>
        </is>
      </c>
      <c r="K1699" s="156" t="inlineStr">
        <is>
          <t>Sombreros</t>
        </is>
      </c>
      <c r="L1699" s="156" t="inlineStr">
        <is>
          <t>Unisex</t>
        </is>
      </c>
      <c r="M1699" s="156" t="inlineStr">
        <is>
          <t>Stetson</t>
        </is>
      </c>
      <c r="N1699" s="156" t="inlineStr">
        <is>
          <t>SS26</t>
        </is>
      </c>
      <c r="O1699" s="156" t="inlineStr">
        <is>
          <t>Seasonal</t>
        </is>
      </c>
      <c r="P1699" s="156" t="inlineStr">
        <is>
          <t>Negro</t>
        </is>
      </c>
      <c r="Q1699" s="156" t="n"/>
      <c r="R1699" s="156" t="n"/>
      <c r="S1699" s="156" t="inlineStr">
        <is>
          <t>Fieltro</t>
        </is>
      </c>
      <c r="T1699"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9" s="156" t="n"/>
      <c r="V1699" s="156" t="inlineStr">
        <is>
          <t>PZS</t>
        </is>
      </c>
      <c r="W1699" s="51" t="inlineStr">
        <is>
          <t>53102503</t>
        </is>
      </c>
      <c r="X1699" s="156" t="inlineStr">
        <is>
          <t>https://cdn.shopify.com/s/files/1/0888/3250/8267/files/SFGUDL-48400772-01.jpg?v=1768851453</t>
        </is>
      </c>
      <c r="Y1699" s="54" t="n">
        <v>2756.25</v>
      </c>
      <c r="Z1699" s="54" t="n">
        <v>6724.137931</v>
      </c>
      <c r="AA1699" s="55">
        <f>IF(AND(A1699="", B1699="", E1699=""), "", IF(AB1699="", "Válido", IF((LEN(AB1699)-LEN(SUBSTITUTE(AB1699,"; ","")))/2+1&gt;(LEN(AB1699)-LEN(SUBSTITUTE(AB1699,"[Aviso]","")))/7, "Con Incidencias", "Válido")))</f>
        <v/>
      </c>
      <c r="AB1699" s="56">
        <f>IF(AND(A1699="", B1699="", E1699=""), "", TEXTJOIN("; ", TRUE, IF(OR(TRIM(A1699&amp;"")="", ISNUMBER(SEARCH("FALTA", A1699))), "UPC faltante/inválido", ""), IF(AND(A1699&lt;&gt;"", IFERROR(_xlfn.XMATCH(A1699,$A$2:$A$2509,0,1)&lt;&gt;_xlfn.XMATCH(A1699,$A$2:$A$2509,0,-1),FALSE)), "Código de barras duplicado", ""), IF(AND(E1699&lt;&gt;"", COUNTIF($E$2:$E$2509, E1699)&gt;1), "SKU duplicado", ""), IF(OR(J1699="", J1699=""), "[Aviso] División no capturada ()", IF(ISNA(MATCH(J1699, Criterios!$A$123:$A$126, 0)), "División no válida", "")), IF(OR(K1699="", K1699=""), "[Aviso] Categoría no capturada ()", IF(ISNA(MATCH(K1699, Criterios!$A$81:$A$120, 0)), "Categoría no válida", IF(AND(J1699&lt;&gt;"", J1699&lt;&gt;"", J1699&lt;&gt;VLOOKUP(K1699, Criterios!$A$81:$B$120, 2, FALSE)), "División no coincide con Categoría", ""))), IF(OR(L1699="", L1699=""), "[Aviso] Género no capturado ()", IF(ISNA(MATCH(L1699, Criterios!$B$123:$B$127, 0)), "Género no válido", "")), IF(OR(N1699="", N1699=""), "[Aviso] Temporada no capturada ()", IF(ISNA(MATCH(N1699, Criterios!$C$123:$C$128, 0)), "Temporada no válida", "")), IF(OR(O1699="", O1699=""), "[Aviso] Ciclo de vida no capturado ()", IF(ISNA(MATCH(O1699, Criterios!$D$123:$D$124, 0)), "Ciclo de vida no válido", ""))))</f>
        <v/>
      </c>
      <c r="AC1699" s="56" t="n"/>
      <c r="AD1699" s="51" t="n">
        <v>1</v>
      </c>
      <c r="AE1699" s="156" t="inlineStr">
        <is>
          <t>B25 STETSON.MX (1)</t>
        </is>
      </c>
      <c r="AF1699" s="51" t="n">
        <v>1</v>
      </c>
      <c r="AG1699" s="156" t="inlineStr">
        <is>
          <t>Catálogo existente</t>
        </is>
      </c>
      <c r="AH1699" s="156" t="inlineStr">
        <is>
          <t>Revisión 29/09/2026: Campos sin respaldo: U, X | 01/10/2026: complementado desde Shopify Stetson México (match por código de barras): WB Fit, Enlace de imagen</t>
        </is>
      </c>
      <c r="AI1699" s="156" t="inlineStr">
        <is>
          <t>No</t>
        </is>
      </c>
      <c r="AJ1699" s="156" t="n"/>
      <c r="AK1699" s="155" t="inlineStr">
        <is>
          <t>Criterios: I [Q] | Shopify Stetson: producto 14786585526635 / variante 53350611648875</t>
        </is>
      </c>
      <c r="AL1699" s="58" t="n">
        <v>2756.25</v>
      </c>
      <c r="AM1699" s="58" t="n">
        <v>6724.137931</v>
      </c>
      <c r="AN1699" s="155" t="inlineStr">
        <is>
          <t>Shopify Stetson México</t>
        </is>
      </c>
      <c r="AO1699" s="59" t="n">
        <v>2</v>
      </c>
      <c r="AP1699" s="59" t="n"/>
      <c r="AQ1699" s="59" t="n"/>
      <c r="AR1699" s="155" t="inlineStr">
        <is>
          <t>Shopify Stetson México › Stetson México: 1 | Shopify Stetson México › Stetson Americas: 1</t>
        </is>
      </c>
    </row>
    <row r="1700">
      <c r="A1700" s="50" t="inlineStr">
        <is>
          <t>883383708318</t>
        </is>
      </c>
      <c r="B1700" s="51" t="inlineStr">
        <is>
          <t>109952</t>
        </is>
      </c>
      <c r="C1700" s="156" t="inlineStr">
        <is>
          <t>Multimarca</t>
        </is>
      </c>
      <c r="D1700" s="156" t="inlineStr">
        <is>
          <t>SFGUDL-484061</t>
        </is>
      </c>
      <c r="E1700" s="156" t="inlineStr">
        <is>
          <t>SFGUDL-48406174</t>
        </is>
      </c>
      <c r="F1700" s="156" t="inlineStr">
        <is>
          <t>7 1/2</t>
        </is>
      </c>
      <c r="G1700" s="156" t="inlineStr">
        <is>
          <t>7 1/2</t>
        </is>
      </c>
      <c r="H1700" s="156" t="inlineStr">
        <is>
          <t>Stetson</t>
        </is>
      </c>
      <c r="I1700" s="156" t="inlineStr">
        <is>
          <t>Texana Stetson Guadalupana Plata</t>
        </is>
      </c>
      <c r="J1700" s="156" t="inlineStr">
        <is>
          <t>Accesorios</t>
        </is>
      </c>
      <c r="K1700" s="156" t="inlineStr">
        <is>
          <t>Sombreros</t>
        </is>
      </c>
      <c r="L1700" s="156" t="inlineStr">
        <is>
          <t>Unisex</t>
        </is>
      </c>
      <c r="M1700" s="156" t="inlineStr">
        <is>
          <t>Stetson</t>
        </is>
      </c>
      <c r="N1700" s="156" t="inlineStr">
        <is>
          <t>SS26</t>
        </is>
      </c>
      <c r="O1700" s="156" t="inlineStr">
        <is>
          <t>Seasonal</t>
        </is>
      </c>
      <c r="P1700" s="156" t="inlineStr">
        <is>
          <t>Gris</t>
        </is>
      </c>
      <c r="Q1700" s="156" t="n"/>
      <c r="R1700" s="156" t="n"/>
      <c r="S1700" s="156" t="inlineStr">
        <is>
          <t>Fieltro</t>
        </is>
      </c>
      <c r="T170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0" s="156" t="inlineStr">
        <is>
          <t>Estados Unidos</t>
        </is>
      </c>
      <c r="V1700" s="156" t="inlineStr">
        <is>
          <t>PZS</t>
        </is>
      </c>
      <c r="W1700" s="51" t="inlineStr">
        <is>
          <t>53102503</t>
        </is>
      </c>
      <c r="X1700" s="156" t="inlineStr">
        <is>
          <t>https://cdn.shopify.com/s/files/1/0888/3250/8267/files/SFGUDL-48400772-04.jpg?v=1768851453</t>
        </is>
      </c>
      <c r="Y1700" s="54" t="n">
        <v>2756.25</v>
      </c>
      <c r="Z1700" s="54" t="n">
        <v>6724.137931</v>
      </c>
      <c r="AA1700" s="55">
        <f>IF(AND(A1700="", B1700="", E1700=""), "", IF(AB1700="", "Válido", IF((LEN(AB1700)-LEN(SUBSTITUTE(AB1700,"; ","")))/2+1&gt;(LEN(AB1700)-LEN(SUBSTITUTE(AB1700,"[Aviso]","")))/7, "Con Incidencias", "Válido")))</f>
        <v/>
      </c>
      <c r="AB1700" s="56">
        <f>IF(AND(A1700="", B1700="", E1700=""), "", TEXTJOIN("; ", TRUE, IF(OR(TRIM(A1700&amp;"")="", ISNUMBER(SEARCH("FALTA", A1700))), "UPC faltante/inválido", ""), IF(AND(A1700&lt;&gt;"", IFERROR(_xlfn.XMATCH(A1700,$A$2:$A$2509,0,1)&lt;&gt;_xlfn.XMATCH(A1700,$A$2:$A$2509,0,-1),FALSE)), "Código de barras duplicado", ""), IF(AND(E1700&lt;&gt;"", COUNTIF($E$2:$E$2509, E1700)&gt;1), "SKU duplicado", ""), IF(OR(J1700="", J1700=""), "[Aviso] División no capturada ()", IF(ISNA(MATCH(J1700, Criterios!$A$123:$A$126, 0)), "División no válida", "")), IF(OR(K1700="", K1700=""), "[Aviso] Categoría no capturada ()", IF(ISNA(MATCH(K1700, Criterios!$A$81:$A$120, 0)), "Categoría no válida", IF(AND(J1700&lt;&gt;"", J1700&lt;&gt;"", J1700&lt;&gt;VLOOKUP(K1700, Criterios!$A$81:$B$120, 2, FALSE)), "División no coincide con Categoría", ""))), IF(OR(L1700="", L1700=""), "[Aviso] Género no capturado ()", IF(ISNA(MATCH(L1700, Criterios!$B$123:$B$127, 0)), "Género no válido", "")), IF(OR(N1700="", N1700=""), "[Aviso] Temporada no capturada ()", IF(ISNA(MATCH(N1700, Criterios!$C$123:$C$128, 0)), "Temporada no válida", "")), IF(OR(O1700="", O1700=""), "[Aviso] Ciclo de vida no capturado ()", IF(ISNA(MATCH(O1700, Criterios!$D$123:$D$124, 0)), "Ciclo de vida no válido", ""))))</f>
        <v/>
      </c>
      <c r="AC1700" s="56" t="n"/>
      <c r="AD1700" s="51" t="n">
        <v>-1</v>
      </c>
      <c r="AE1700" s="156" t="n"/>
      <c r="AF1700" s="51" t="n">
        <v>0</v>
      </c>
      <c r="AG1700" s="156" t="inlineStr">
        <is>
          <t>Catálogo existente</t>
        </is>
      </c>
      <c r="AH1700" s="156" t="inlineStr">
        <is>
          <t>Stock negativo en sistema: revisar en conteo | Revisión 29/09/2026: Cruce de catálogo y criterios sin pendientes detectados | 01/10/2026: complementado desde Shopify Stetson México (match por código de barras): WB Fit | 01/10/2026: Shopify Stetson México trae Color «Varios» — se conservó el valor de Productos</t>
        </is>
      </c>
      <c r="AI1700" s="156" t="inlineStr">
        <is>
          <t>Sí</t>
        </is>
      </c>
      <c r="AJ1700" s="156" t="inlineStr">
        <is>
          <t>STETSON AMERICAS (-1)</t>
        </is>
      </c>
      <c r="AK1700" s="155" t="inlineStr">
        <is>
          <t>Criterios: I [Q] | Shopify Stetson: producto 14786585526635 / variante 53350611222891</t>
        </is>
      </c>
      <c r="AL1700" s="58" t="n">
        <v>2756.25</v>
      </c>
      <c r="AM1700" s="58" t="n">
        <v>6724.137931</v>
      </c>
      <c r="AN1700" s="155" t="inlineStr">
        <is>
          <t>Shopify Stetson México</t>
        </is>
      </c>
      <c r="AO1700" s="59" t="n">
        <v>0</v>
      </c>
      <c r="AP1700" s="59" t="n"/>
      <c r="AQ1700" s="59" t="n"/>
      <c r="AR1700" s="155" t="n"/>
    </row>
    <row r="1701">
      <c r="A1701" s="50" t="inlineStr">
        <is>
          <t>883383708325</t>
        </is>
      </c>
      <c r="B1701" s="51" t="inlineStr">
        <is>
          <t>109946</t>
        </is>
      </c>
      <c r="C1701" s="156" t="inlineStr">
        <is>
          <t>Multimarca</t>
        </is>
      </c>
      <c r="D1701" s="156" t="inlineStr">
        <is>
          <t>SFGUDL-484007</t>
        </is>
      </c>
      <c r="E1701" s="156" t="inlineStr">
        <is>
          <t>SFGUDL-48400775</t>
        </is>
      </c>
      <c r="F1701" s="156" t="inlineStr">
        <is>
          <t>7 5/8</t>
        </is>
      </c>
      <c r="G1701" s="156" t="inlineStr">
        <is>
          <t>7 5/8</t>
        </is>
      </c>
      <c r="H1701" s="156" t="inlineStr">
        <is>
          <t>Stetson</t>
        </is>
      </c>
      <c r="I1701" s="156" t="inlineStr">
        <is>
          <t>Texana Stetson Guadalupana Negro</t>
        </is>
      </c>
      <c r="J1701" s="156" t="inlineStr">
        <is>
          <t>Accesorios</t>
        </is>
      </c>
      <c r="K1701" s="156" t="inlineStr">
        <is>
          <t>Sombreros</t>
        </is>
      </c>
      <c r="L1701" s="156" t="inlineStr">
        <is>
          <t>Unisex</t>
        </is>
      </c>
      <c r="M1701" s="156" t="inlineStr">
        <is>
          <t>Stetson</t>
        </is>
      </c>
      <c r="N1701" s="156" t="inlineStr">
        <is>
          <t>SS26</t>
        </is>
      </c>
      <c r="O1701" s="156" t="inlineStr">
        <is>
          <t>Seasonal</t>
        </is>
      </c>
      <c r="P1701" s="156" t="inlineStr">
        <is>
          <t>Negro</t>
        </is>
      </c>
      <c r="Q1701" s="156" t="n"/>
      <c r="R1701" s="156" t="n"/>
      <c r="S1701" s="156" t="inlineStr">
        <is>
          <t>Fieltro</t>
        </is>
      </c>
      <c r="T1701"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1" s="156" t="inlineStr">
        <is>
          <t>Estados Unidos</t>
        </is>
      </c>
      <c r="V1701" s="156" t="inlineStr">
        <is>
          <t>PZS</t>
        </is>
      </c>
      <c r="W1701" s="51" t="inlineStr">
        <is>
          <t>53102503</t>
        </is>
      </c>
      <c r="X1701" s="156" t="inlineStr">
        <is>
          <t>https://cdn.shopify.com/s/files/1/0888/3250/8267/files/SFGUDL-48400772-01.jpg?v=1768851453</t>
        </is>
      </c>
      <c r="Y1701" s="54" t="n">
        <v>2756.25</v>
      </c>
      <c r="Z1701" s="54" t="n">
        <v>6724.137931</v>
      </c>
      <c r="AA1701" s="55">
        <f>IF(AND(A1701="", B1701="", E1701=""), "", IF(AB1701="", "Válido", IF((LEN(AB1701)-LEN(SUBSTITUTE(AB1701,"; ","")))/2+1&gt;(LEN(AB1701)-LEN(SUBSTITUTE(AB1701,"[Aviso]","")))/7, "Con Incidencias", "Válido")))</f>
        <v/>
      </c>
      <c r="AB1701" s="56">
        <f>IF(AND(A1701="", B1701="", E1701=""), "", TEXTJOIN("; ", TRUE, IF(OR(TRIM(A1701&amp;"")="", ISNUMBER(SEARCH("FALTA", A1701))), "UPC faltante/inválido", ""), IF(AND(A1701&lt;&gt;"", IFERROR(_xlfn.XMATCH(A1701,$A$2:$A$2509,0,1)&lt;&gt;_xlfn.XMATCH(A1701,$A$2:$A$2509,0,-1),FALSE)), "Código de barras duplicado", ""), IF(AND(E1701&lt;&gt;"", COUNTIF($E$2:$E$2509, E1701)&gt;1), "SKU duplicado", ""), IF(OR(J1701="", J1701=""), "[Aviso] División no capturada ()", IF(ISNA(MATCH(J1701, Criterios!$A$123:$A$126, 0)), "División no válida", "")), IF(OR(K1701="", K1701=""), "[Aviso] Categoría no capturada ()", IF(ISNA(MATCH(K1701, Criterios!$A$81:$A$120, 0)), "Categoría no válida", IF(AND(J1701&lt;&gt;"", J1701&lt;&gt;"", J1701&lt;&gt;VLOOKUP(K1701, Criterios!$A$81:$B$120, 2, FALSE)), "División no coincide con Categoría", ""))), IF(OR(L1701="", L1701=""), "[Aviso] Género no capturado ()", IF(ISNA(MATCH(L1701, Criterios!$B$123:$B$127, 0)), "Género no válido", "")), IF(OR(N1701="", N1701=""), "[Aviso] Temporada no capturada ()", IF(ISNA(MATCH(N1701, Criterios!$C$123:$C$128, 0)), "Temporada no válida", "")), IF(OR(O1701="", O1701=""), "[Aviso] Ciclo de vida no capturado ()", IF(ISNA(MATCH(O1701, Criterios!$D$123:$D$124, 0)), "Ciclo de vida no válido", ""))))</f>
        <v/>
      </c>
      <c r="AC1701" s="56" t="n"/>
      <c r="AD1701" s="51" t="n">
        <v>0</v>
      </c>
      <c r="AE1701" s="156" t="n"/>
      <c r="AF1701" s="51" t="n">
        <v>0</v>
      </c>
      <c r="AG1701" s="156" t="inlineStr">
        <is>
          <t>Catálogo existente</t>
        </is>
      </c>
      <c r="AH1701" s="156" t="inlineStr">
        <is>
          <t>Revisión 29/09/2026: Campos sin respaldo: X | 01/10/2026: complementado desde Shopify Stetson México (match por código de barras): WB Fit, Enlace de imagen</t>
        </is>
      </c>
      <c r="AI1701" s="156" t="inlineStr">
        <is>
          <t>No</t>
        </is>
      </c>
      <c r="AJ1701" s="156" t="n"/>
      <c r="AK1701" s="155" t="inlineStr">
        <is>
          <t>Criterios: I [Q] | Shopify Stetson: producto 14786585526635 / variante 53350611681643 | Odoo: producto 14297 / plantilla 17874</t>
        </is>
      </c>
      <c r="AL1701" s="58" t="n">
        <v>2756.25</v>
      </c>
      <c r="AM1701" s="58" t="n">
        <v>6724.137931</v>
      </c>
      <c r="AN1701" s="155" t="inlineStr">
        <is>
          <t>Shopify Stetson México | Odoo Universal Unique Brands</t>
        </is>
      </c>
      <c r="AO1701" s="59" t="n">
        <v>1</v>
      </c>
      <c r="AP1701" s="59" t="n"/>
      <c r="AQ1701" s="59" t="n">
        <v>1</v>
      </c>
      <c r="AR1701" s="155" t="inlineStr">
        <is>
          <t>Shopify Stetson México › Stetson Americas: 1 | Odoo Universal Unique Brands › Stetson Americas › Stetson Americas/Stock: 1</t>
        </is>
      </c>
    </row>
    <row r="1702">
      <c r="A1702" s="50" t="inlineStr">
        <is>
          <t>883383708332</t>
        </is>
      </c>
      <c r="B1702" s="51" t="inlineStr">
        <is>
          <t>109953</t>
        </is>
      </c>
      <c r="C1702" s="156" t="inlineStr">
        <is>
          <t>Multimarca</t>
        </is>
      </c>
      <c r="D1702" s="156" t="inlineStr">
        <is>
          <t>SFGUDL-484061</t>
        </is>
      </c>
      <c r="E1702" s="156" t="inlineStr">
        <is>
          <t>SFGUDL-48406175</t>
        </is>
      </c>
      <c r="F1702" s="156" t="inlineStr">
        <is>
          <t>7 5/8</t>
        </is>
      </c>
      <c r="G1702" s="156" t="inlineStr">
        <is>
          <t>7 5/8</t>
        </is>
      </c>
      <c r="H1702" s="156" t="inlineStr">
        <is>
          <t>Stetson</t>
        </is>
      </c>
      <c r="I1702" s="156" t="inlineStr">
        <is>
          <t>Texana Stetson Guadalupana Plata</t>
        </is>
      </c>
      <c r="J1702" s="156" t="inlineStr">
        <is>
          <t>Accesorios</t>
        </is>
      </c>
      <c r="K1702" s="156" t="inlineStr">
        <is>
          <t>Sombreros</t>
        </is>
      </c>
      <c r="L1702" s="156" t="inlineStr">
        <is>
          <t>Unisex</t>
        </is>
      </c>
      <c r="M1702" s="156" t="inlineStr">
        <is>
          <t>Stetson</t>
        </is>
      </c>
      <c r="N1702" s="156" t="inlineStr">
        <is>
          <t>SS26</t>
        </is>
      </c>
      <c r="O1702" s="156" t="inlineStr">
        <is>
          <t>Seasonal</t>
        </is>
      </c>
      <c r="P1702" s="156" t="inlineStr">
        <is>
          <t>Gris</t>
        </is>
      </c>
      <c r="Q1702" s="156" t="n"/>
      <c r="R1702" s="156" t="n"/>
      <c r="S1702" s="156" t="inlineStr">
        <is>
          <t>Fieltro</t>
        </is>
      </c>
      <c r="T1702"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2" s="156" t="inlineStr">
        <is>
          <t>Estados Unidos</t>
        </is>
      </c>
      <c r="V1702" s="156" t="inlineStr">
        <is>
          <t>PZS</t>
        </is>
      </c>
      <c r="W1702" s="51" t="inlineStr">
        <is>
          <t>53102503</t>
        </is>
      </c>
      <c r="X1702" s="156" t="inlineStr">
        <is>
          <t>https://cdn.shopify.com/s/files/1/0888/3250/8267/files/SFGUDL-484061-01_81f99577-bdba-4e10-a1ce-f6e69e08187a.jpg?v=1759767981</t>
        </is>
      </c>
      <c r="Y1702" s="54" t="n">
        <v>2756.25</v>
      </c>
      <c r="Z1702" s="54" t="n">
        <v>6724.137931</v>
      </c>
      <c r="AA1702" s="55">
        <f>IF(AND(A1702="", B1702="", E1702=""), "", IF(AB1702="", "Válido", IF((LEN(AB1702)-LEN(SUBSTITUTE(AB1702,"; ","")))/2+1&gt;(LEN(AB1702)-LEN(SUBSTITUTE(AB1702,"[Aviso]","")))/7, "Con Incidencias", "Válido")))</f>
        <v/>
      </c>
      <c r="AB1702" s="56">
        <f>IF(AND(A1702="", B1702="", E1702=""), "", TEXTJOIN("; ", TRUE, IF(OR(TRIM(A1702&amp;"")="", ISNUMBER(SEARCH("FALTA", A1702))), "UPC faltante/inválido", ""), IF(AND(A1702&lt;&gt;"", IFERROR(_xlfn.XMATCH(A1702,$A$2:$A$2509,0,1)&lt;&gt;_xlfn.XMATCH(A1702,$A$2:$A$2509,0,-1),FALSE)), "Código de barras duplicado", ""), IF(AND(E1702&lt;&gt;"", COUNTIF($E$2:$E$2509, E1702)&gt;1), "SKU duplicado", ""), IF(OR(J1702="", J1702=""), "[Aviso] División no capturada ()", IF(ISNA(MATCH(J1702, Criterios!$A$123:$A$126, 0)), "División no válida", "")), IF(OR(K1702="", K1702=""), "[Aviso] Categoría no capturada ()", IF(ISNA(MATCH(K1702, Criterios!$A$81:$A$120, 0)), "Categoría no válida", IF(AND(J1702&lt;&gt;"", J1702&lt;&gt;"", J1702&lt;&gt;VLOOKUP(K1702, Criterios!$A$81:$B$120, 2, FALSE)), "División no coincide con Categoría", ""))), IF(OR(L1702="", L1702=""), "[Aviso] Género no capturado ()", IF(ISNA(MATCH(L1702, Criterios!$B$123:$B$127, 0)), "Género no válido", "")), IF(OR(N1702="", N1702=""), "[Aviso] Temporada no capturada ()", IF(ISNA(MATCH(N1702, Criterios!$C$123:$C$128, 0)), "Temporada no válida", "")), IF(OR(O1702="", O1702=""), "[Aviso] Ciclo de vida no capturado ()", IF(ISNA(MATCH(O1702, Criterios!$D$123:$D$124, 0)), "Ciclo de vida no válido", ""))))</f>
        <v/>
      </c>
      <c r="AC1702" s="56" t="n"/>
      <c r="AD1702" s="51" t="n">
        <v>-1</v>
      </c>
      <c r="AE1702" s="156" t="n"/>
      <c r="AF1702" s="51" t="n">
        <v>0</v>
      </c>
      <c r="AG1702" s="156" t="inlineStr">
        <is>
          <t>Catálogo existente</t>
        </is>
      </c>
      <c r="AH1702" s="156" t="inlineStr">
        <is>
          <t>Stock negativo en sistema: revisar en conteo | Revisión 29/09/2026: Campos sin respaldo: X | 01/10/2026: complementado desde Shopify Stetson México (match por código de barras): WB Fit, Enlace de imagen | 01/10/2026: Shopify Stetson México trae Color «Varios» — se conservó el valor de Productos</t>
        </is>
      </c>
      <c r="AI1702" s="156" t="inlineStr">
        <is>
          <t>Sí</t>
        </is>
      </c>
      <c r="AJ1702" s="156" t="inlineStr">
        <is>
          <t>STETSON AMERICAS (-1)</t>
        </is>
      </c>
      <c r="AK1702" s="155" t="inlineStr">
        <is>
          <t>Criterios: I [Q] | Shopify Stetson: producto 14786585526635 / variante 53350611255659</t>
        </is>
      </c>
      <c r="AL1702" s="58" t="n">
        <v>2756.25</v>
      </c>
      <c r="AM1702" s="58" t="n">
        <v>6724.137931</v>
      </c>
      <c r="AN1702" s="155" t="inlineStr">
        <is>
          <t>Shopify Stetson México</t>
        </is>
      </c>
      <c r="AO1702" s="59" t="n">
        <v>0</v>
      </c>
      <c r="AP1702" s="59" t="n"/>
      <c r="AQ1702" s="59" t="n"/>
      <c r="AR1702" s="155" t="n"/>
    </row>
    <row r="1703">
      <c r="A1703" s="50" t="inlineStr">
        <is>
          <t>883383717082</t>
        </is>
      </c>
      <c r="B1703" s="51" t="inlineStr">
        <is>
          <t>117399</t>
        </is>
      </c>
      <c r="C1703" s="156" t="inlineStr">
        <is>
          <t>Multimarca</t>
        </is>
      </c>
      <c r="D1703" s="156" t="inlineStr">
        <is>
          <t>TWBOZE-8130C7</t>
        </is>
      </c>
      <c r="E1703" s="156" t="inlineStr">
        <is>
          <t>TWBOZE-8130C7L0</t>
        </is>
      </c>
      <c r="F1703" s="156" t="inlineStr">
        <is>
          <t>L</t>
        </is>
      </c>
      <c r="G1703" s="156" t="inlineStr">
        <is>
          <t>L</t>
        </is>
      </c>
      <c r="H1703" s="156" t="inlineStr">
        <is>
          <t>Stetson</t>
        </is>
      </c>
      <c r="I1703" s="156" t="inlineStr">
        <is>
          <t>Texana Stetson Bozeman Cafe</t>
        </is>
      </c>
      <c r="J1703" s="156" t="inlineStr">
        <is>
          <t>Accesorios</t>
        </is>
      </c>
      <c r="K1703" s="156" t="inlineStr">
        <is>
          <t>Sombreros</t>
        </is>
      </c>
      <c r="L1703" s="156" t="inlineStr">
        <is>
          <t>Unisex</t>
        </is>
      </c>
      <c r="M1703" s="156" t="inlineStr">
        <is>
          <t>Stetson</t>
        </is>
      </c>
      <c r="N1703" s="156" t="inlineStr">
        <is>
          <t>FW26</t>
        </is>
      </c>
      <c r="O1703" s="156" t="inlineStr">
        <is>
          <t>Seasonal</t>
        </is>
      </c>
      <c r="P1703" s="156" t="inlineStr">
        <is>
          <t>Cafe</t>
        </is>
      </c>
      <c r="Q1703" s="156" t="n"/>
      <c r="R1703" s="156" t="inlineStr">
        <is>
          <t>Copa Pinch Front</t>
        </is>
      </c>
      <c r="S1703" s="156" t="inlineStr">
        <is>
          <t>Mezcla de lana</t>
        </is>
      </c>
      <c r="T1703"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Café Claro (color oficial Stetson: Light Brown)
 Material: 100% lana repelente al agua
 Fabricación: Hecho a mano en EE. UU.</t>
        </is>
      </c>
      <c r="U1703" s="156" t="inlineStr">
        <is>
          <t>Estados Unidos</t>
        </is>
      </c>
      <c r="V1703" s="156" t="inlineStr">
        <is>
          <t>PZS</t>
        </is>
      </c>
      <c r="W1703" s="51" t="inlineStr">
        <is>
          <t>53102503</t>
        </is>
      </c>
      <c r="X1703" s="156" t="inlineStr">
        <is>
          <t>https://cdn.shopify.com/s/files/1/0357/2432/9005/files/changeFrom_1_1.jpg?v=1763055662</t>
        </is>
      </c>
      <c r="Y1703" s="54" t="n">
        <v>1102.5</v>
      </c>
      <c r="Z1703" s="54" t="n">
        <v>2672.413793</v>
      </c>
      <c r="AA1703" s="55">
        <f>IF(AND(A1703="", B1703="", E1703=""), "", IF(AB1703="", "Válido", IF((LEN(AB1703)-LEN(SUBSTITUTE(AB1703,"; ","")))/2+1&gt;(LEN(AB1703)-LEN(SUBSTITUTE(AB1703,"[Aviso]","")))/7, "Con Incidencias", "Válido")))</f>
        <v/>
      </c>
      <c r="AB1703" s="56">
        <f>IF(AND(A1703="", B1703="", E1703=""), "", TEXTJOIN("; ", TRUE, IF(OR(TRIM(A1703&amp;"")="", ISNUMBER(SEARCH("FALTA", A1703))), "UPC faltante/inválido", ""), IF(AND(A1703&lt;&gt;"", IFERROR(_xlfn.XMATCH(A1703,$A$2:$A$2509,0,1)&lt;&gt;_xlfn.XMATCH(A1703,$A$2:$A$2509,0,-1),FALSE)), "Código de barras duplicado", ""), IF(AND(E1703&lt;&gt;"", COUNTIF($E$2:$E$2509, E1703)&gt;1), "SKU duplicado", ""), IF(OR(J1703="", J1703=""), "[Aviso] División no capturada ()", IF(ISNA(MATCH(J1703, Criterios!$A$123:$A$126, 0)), "División no válida", "")), IF(OR(K1703="", K1703=""), "[Aviso] Categoría no capturada ()", IF(ISNA(MATCH(K1703, Criterios!$A$81:$A$120, 0)), "Categoría no válida", IF(AND(J1703&lt;&gt;"", J1703&lt;&gt;"", J1703&lt;&gt;VLOOKUP(K1703, Criterios!$A$81:$B$120, 2, FALSE)), "División no coincide con Categoría", ""))), IF(OR(L1703="", L1703=""), "[Aviso] Género no capturado ()", IF(ISNA(MATCH(L1703, Criterios!$B$123:$B$127, 0)), "Género no válido", "")), IF(OR(N1703="", N1703=""), "[Aviso] Temporada no capturada ()", IF(ISNA(MATCH(N1703, Criterios!$C$123:$C$128, 0)), "Temporada no válida", "")), IF(OR(O1703="", O1703=""), "[Aviso] Ciclo de vida no capturado ()", IF(ISNA(MATCH(O1703, Criterios!$D$123:$D$124, 0)), "Ciclo de vida no válido", ""))))</f>
        <v/>
      </c>
      <c r="AC1703" s="56" t="n"/>
      <c r="AD1703" s="51" t="n">
        <v>0</v>
      </c>
      <c r="AE1703" s="156" t="inlineStr">
        <is>
          <t>STETSON AMERICAS (2)</t>
        </is>
      </c>
      <c r="AF1703" s="51" t="n">
        <v>2</v>
      </c>
      <c r="AG1703" s="156" t="inlineStr">
        <is>
          <t>Catálogo existente</t>
        </is>
      </c>
      <c r="AH1703"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«https://cdn.shopify.com/s/files/1/0357/2432/9005/files/changeFrom_1_1.jpg?v=1763055662» (Completado por investigación en línea)</t>
        </is>
      </c>
      <c r="AI1703" s="156" t="inlineStr">
        <is>
          <t>Sí</t>
        </is>
      </c>
      <c r="AJ1703" s="156" t="inlineStr">
        <is>
          <t>B25 CEDIS (-1); PUNTO DE VENTA (-1)</t>
        </is>
      </c>
      <c r="AK1703" s="155" t="inlineStr">
        <is>
          <t>Criterios: I [Q] | Shopify Stetson: producto 15227650474347 / variante 53791839486315 | Investigación en línea 06/10/2026: https://www.stetson.com/products/bozeman-outdoor-hat-light-brown</t>
        </is>
      </c>
      <c r="AL1703" s="58" t="n">
        <v>1102.5</v>
      </c>
      <c r="AM1703" s="58" t="n">
        <v>2672.413793</v>
      </c>
      <c r="AN1703" s="155" t="inlineStr">
        <is>
          <t>Shopify Stetson México</t>
        </is>
      </c>
      <c r="AO1703" s="59" t="n">
        <v>2</v>
      </c>
      <c r="AP1703" s="59" t="n"/>
      <c r="AQ1703" s="59" t="n"/>
      <c r="AR1703" s="155" t="inlineStr">
        <is>
          <t>Shopify Stetson México › Stetson Americas: 2</t>
        </is>
      </c>
    </row>
    <row r="1704">
      <c r="A1704" s="50" t="inlineStr">
        <is>
          <t>883383717099</t>
        </is>
      </c>
      <c r="B1704" s="51" t="inlineStr">
        <is>
          <t>117400</t>
        </is>
      </c>
      <c r="C1704" s="156" t="inlineStr">
        <is>
          <t>Multimarca</t>
        </is>
      </c>
      <c r="D1704" s="156" t="inlineStr">
        <is>
          <t>TWBOZE-8130C7</t>
        </is>
      </c>
      <c r="E1704" s="156" t="inlineStr">
        <is>
          <t>TWBOZE-8130C7M0</t>
        </is>
      </c>
      <c r="F1704" s="156" t="inlineStr">
        <is>
          <t>M</t>
        </is>
      </c>
      <c r="G1704" s="156" t="inlineStr">
        <is>
          <t>M</t>
        </is>
      </c>
      <c r="H1704" s="156" t="inlineStr">
        <is>
          <t>Stetson</t>
        </is>
      </c>
      <c r="I1704" s="156" t="inlineStr">
        <is>
          <t>Texana Stetson Bozeman Cafe</t>
        </is>
      </c>
      <c r="J1704" s="156" t="inlineStr">
        <is>
          <t>Accesorios</t>
        </is>
      </c>
      <c r="K1704" s="156" t="inlineStr">
        <is>
          <t>Sombreros</t>
        </is>
      </c>
      <c r="L1704" s="156" t="inlineStr">
        <is>
          <t>Unisex</t>
        </is>
      </c>
      <c r="M1704" s="156" t="inlineStr">
        <is>
          <t>Stetson</t>
        </is>
      </c>
      <c r="N1704" s="156" t="inlineStr">
        <is>
          <t>FW26</t>
        </is>
      </c>
      <c r="O1704" s="156" t="inlineStr">
        <is>
          <t>Seasonal</t>
        </is>
      </c>
      <c r="P1704" s="156" t="inlineStr">
        <is>
          <t>Cafe</t>
        </is>
      </c>
      <c r="Q1704" s="156" t="n"/>
      <c r="R1704" s="156" t="inlineStr">
        <is>
          <t>Copa Pinch Front</t>
        </is>
      </c>
      <c r="S1704" s="156" t="inlineStr">
        <is>
          <t>Mezcla de lana</t>
        </is>
      </c>
      <c r="T1704"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Café Claro (color oficial Stetson: Light Brown)
 Material: 100% lana repelente al agua
 Fabricación: Hecho a mano en EE. UU.</t>
        </is>
      </c>
      <c r="U1704" s="156" t="inlineStr">
        <is>
          <t>Estados Unidos</t>
        </is>
      </c>
      <c r="V1704" s="156" t="inlineStr">
        <is>
          <t>PZS</t>
        </is>
      </c>
      <c r="W1704" s="51" t="inlineStr">
        <is>
          <t>53102503</t>
        </is>
      </c>
      <c r="X1704" s="156" t="inlineStr">
        <is>
          <t>https://cdn.shopify.com/s/files/1/0357/2432/9005/files/changeFrom_1_1.jpg?v=1763055662</t>
        </is>
      </c>
      <c r="Y1704" s="54" t="n">
        <v>1102.5</v>
      </c>
      <c r="Z1704" s="54" t="n">
        <v>2672.413793</v>
      </c>
      <c r="AA1704" s="55">
        <f>IF(AND(A1704="", B1704="", E1704=""), "", IF(AB1704="", "Válido", IF((LEN(AB1704)-LEN(SUBSTITUTE(AB1704,"; ","")))/2+1&gt;(LEN(AB1704)-LEN(SUBSTITUTE(AB1704,"[Aviso]","")))/7, "Con Incidencias", "Válido")))</f>
        <v/>
      </c>
      <c r="AB1704" s="56">
        <f>IF(AND(A1704="", B1704="", E1704=""), "", TEXTJOIN("; ", TRUE, IF(OR(TRIM(A1704&amp;"")="", ISNUMBER(SEARCH("FALTA", A1704))), "UPC faltante/inválido", ""), IF(AND(A1704&lt;&gt;"", IFERROR(_xlfn.XMATCH(A1704,$A$2:$A$2509,0,1)&lt;&gt;_xlfn.XMATCH(A1704,$A$2:$A$2509,0,-1),FALSE)), "Código de barras duplicado", ""), IF(AND(E1704&lt;&gt;"", COUNTIF($E$2:$E$2509, E1704)&gt;1), "SKU duplicado", ""), IF(OR(J1704="", J1704=""), "[Aviso] División no capturada ()", IF(ISNA(MATCH(J1704, Criterios!$A$123:$A$126, 0)), "División no válida", "")), IF(OR(K1704="", K1704=""), "[Aviso] Categoría no capturada ()", IF(ISNA(MATCH(K1704, Criterios!$A$81:$A$120, 0)), "Categoría no válida", IF(AND(J1704&lt;&gt;"", J1704&lt;&gt;"", J1704&lt;&gt;VLOOKUP(K1704, Criterios!$A$81:$B$120, 2, FALSE)), "División no coincide con Categoría", ""))), IF(OR(L1704="", L1704=""), "[Aviso] Género no capturado ()", IF(ISNA(MATCH(L1704, Criterios!$B$123:$B$127, 0)), "Género no válido", "")), IF(OR(N1704="", N1704=""), "[Aviso] Temporada no capturada ()", IF(ISNA(MATCH(N1704, Criterios!$C$123:$C$128, 0)), "Temporada no válida", "")), IF(OR(O1704="", O1704=""), "[Aviso] Ciclo de vida no capturado ()", IF(ISNA(MATCH(O1704, Criterios!$D$123:$D$124, 0)), "Ciclo de vida no válido", ""))))</f>
        <v/>
      </c>
      <c r="AC1704" s="56" t="n"/>
      <c r="AD1704" s="51" t="n">
        <v>-1</v>
      </c>
      <c r="AE1704" s="156" t="inlineStr">
        <is>
          <t>STETSON AMERICAS (1)</t>
        </is>
      </c>
      <c r="AF1704" s="51" t="n">
        <v>1</v>
      </c>
      <c r="AG1704" s="156" t="inlineStr">
        <is>
          <t>Catálogo existente</t>
        </is>
      </c>
      <c r="AH1704"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«https://cdn.shopify.com/s/files/1/0357/2432/9005/files/changeFrom_1_1.jpg?v=1763055662» (Completado por investigación en línea)</t>
        </is>
      </c>
      <c r="AI1704" s="156" t="inlineStr">
        <is>
          <t>Sí</t>
        </is>
      </c>
      <c r="AJ1704" s="156" t="inlineStr">
        <is>
          <t>PUNTO DE VENTA (-1); B25 CEDIS (-1)</t>
        </is>
      </c>
      <c r="AK1704" s="155" t="inlineStr">
        <is>
          <t>Criterios: I [Q] | Shopify Stetson: producto 15227650474347 / variante 53791839519083 | Investigación en línea 06/10/2026: https://www.stetson.com/products/bozeman-outdoor-hat-light-brown</t>
        </is>
      </c>
      <c r="AL1704" s="58" t="n">
        <v>1102.5</v>
      </c>
      <c r="AM1704" s="58" t="n">
        <v>2672.413793</v>
      </c>
      <c r="AN1704" s="155" t="inlineStr">
        <is>
          <t>Shopify Stetson México</t>
        </is>
      </c>
      <c r="AO1704" s="59" t="n">
        <v>1</v>
      </c>
      <c r="AP1704" s="59" t="n"/>
      <c r="AQ1704" s="59" t="n"/>
      <c r="AR1704" s="155" t="inlineStr">
        <is>
          <t>Shopify Stetson México › Stetson Americas: 1</t>
        </is>
      </c>
    </row>
    <row r="1705">
      <c r="A1705" s="50" t="inlineStr">
        <is>
          <t>883383942781</t>
        </is>
      </c>
      <c r="B1705" s="51" t="inlineStr">
        <is>
          <t>109954</t>
        </is>
      </c>
      <c r="C1705" s="156" t="inlineStr">
        <is>
          <t>Multimarca</t>
        </is>
      </c>
      <c r="D1705" s="156" t="inlineStr">
        <is>
          <t>SFMNFD-754242</t>
        </is>
      </c>
      <c r="E1705" s="156" t="inlineStr">
        <is>
          <t>SFMNFD-75424267</t>
        </is>
      </c>
      <c r="F1705" s="156" t="inlineStr">
        <is>
          <t>6 7/8</t>
        </is>
      </c>
      <c r="G1705" s="156" t="inlineStr">
        <is>
          <t>6 7/8</t>
        </is>
      </c>
      <c r="H1705" s="156" t="inlineStr">
        <is>
          <t>Stetson</t>
        </is>
      </c>
      <c r="I1705" s="156" t="inlineStr">
        <is>
          <t>Texana Stetson Munford Salvia</t>
        </is>
      </c>
      <c r="J1705" s="156" t="inlineStr">
        <is>
          <t>Accesorios</t>
        </is>
      </c>
      <c r="K1705" s="156" t="inlineStr">
        <is>
          <t>Sombreros</t>
        </is>
      </c>
      <c r="L1705" s="156" t="inlineStr">
        <is>
          <t>Unisex</t>
        </is>
      </c>
      <c r="M1705" s="156" t="inlineStr">
        <is>
          <t>Stetson</t>
        </is>
      </c>
      <c r="N1705" s="156" t="inlineStr">
        <is>
          <t>SS26</t>
        </is>
      </c>
      <c r="O1705" s="156" t="inlineStr">
        <is>
          <t>Seasonal</t>
        </is>
      </c>
      <c r="P1705" s="156" t="inlineStr">
        <is>
          <t>Verde</t>
        </is>
      </c>
      <c r="Q1705" s="156" t="n"/>
      <c r="R1705" s="156" t="inlineStr">
        <is>
          <t>Copa Cattleman</t>
        </is>
      </c>
      <c r="S1705" s="156" t="inlineStr">
        <is>
          <t>100% Fieltro de lana</t>
        </is>
      </c>
      <c r="T1705"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5" s="156" t="inlineStr">
        <is>
          <t>Estados Unidos</t>
        </is>
      </c>
      <c r="V1705" s="156" t="inlineStr">
        <is>
          <t>PZS</t>
        </is>
      </c>
      <c r="W1705" s="51" t="inlineStr">
        <is>
          <t>53102503</t>
        </is>
      </c>
      <c r="X1705" s="156" t="inlineStr">
        <is>
          <t>https://cdn.shopify.com/s/files/1/0888/3250/8267/files/SFMNFD-754242-01.jpg?v=1759780378</t>
        </is>
      </c>
      <c r="Y1705" s="54" t="n">
        <v>2756.25</v>
      </c>
      <c r="Z1705" s="54" t="n">
        <v>6724.137931</v>
      </c>
      <c r="AA1705" s="55">
        <f>IF(AND(A1705="", B1705="", E1705=""), "", IF(AB1705="", "Válido", IF((LEN(AB1705)-LEN(SUBSTITUTE(AB1705,"; ","")))/2+1&gt;(LEN(AB1705)-LEN(SUBSTITUTE(AB1705,"[Aviso]","")))/7, "Con Incidencias", "Válido")))</f>
        <v/>
      </c>
      <c r="AB1705" s="56">
        <f>IF(AND(A1705="", B1705="", E1705=""), "", TEXTJOIN("; ", TRUE, IF(OR(TRIM(A1705&amp;"")="", ISNUMBER(SEARCH("FALTA", A1705))), "UPC faltante/inválido", ""), IF(AND(A1705&lt;&gt;"", IFERROR(_xlfn.XMATCH(A1705,$A$2:$A$2509,0,1)&lt;&gt;_xlfn.XMATCH(A1705,$A$2:$A$2509,0,-1),FALSE)), "Código de barras duplicado", ""), IF(AND(E1705&lt;&gt;"", COUNTIF($E$2:$E$2509, E1705)&gt;1), "SKU duplicado", ""), IF(OR(J1705="", J1705=""), "[Aviso] División no capturada ()", IF(ISNA(MATCH(J1705, Criterios!$A$123:$A$126, 0)), "División no válida", "")), IF(OR(K1705="", K1705=""), "[Aviso] Categoría no capturada ()", IF(ISNA(MATCH(K1705, Criterios!$A$81:$A$120, 0)), "Categoría no válida", IF(AND(J1705&lt;&gt;"", J1705&lt;&gt;"", J1705&lt;&gt;VLOOKUP(K1705, Criterios!$A$81:$B$120, 2, FALSE)), "División no coincide con Categoría", ""))), IF(OR(L1705="", L1705=""), "[Aviso] Género no capturado ()", IF(ISNA(MATCH(L1705, Criterios!$B$123:$B$127, 0)), "Género no válido", "")), IF(OR(N1705="", N1705=""), "[Aviso] Temporada no capturada ()", IF(ISNA(MATCH(N1705, Criterios!$C$123:$C$128, 0)), "Temporada no válida", "")), IF(OR(O1705="", O1705=""), "[Aviso] Ciclo de vida no capturado ()", IF(ISNA(MATCH(O1705, Criterios!$D$123:$D$124, 0)), "Ciclo de vida no válido", ""))))</f>
        <v/>
      </c>
      <c r="AC1705" s="56" t="n"/>
      <c r="AD1705" s="51" t="n">
        <v>-1</v>
      </c>
      <c r="AE1705" s="156" t="n"/>
      <c r="AF1705" s="51" t="n">
        <v>0</v>
      </c>
      <c r="AG1705" s="156" t="inlineStr">
        <is>
          <t>Catálogo existente</t>
        </is>
      </c>
      <c r="AH170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5" s="156" t="inlineStr">
        <is>
          <t>Sí</t>
        </is>
      </c>
      <c r="AJ1705" s="156" t="inlineStr">
        <is>
          <t>STETSON AMERICAS (-1)</t>
        </is>
      </c>
      <c r="AK1705" s="155" t="inlineStr">
        <is>
          <t>Criterios: I [Q] | Shopify Stetson: producto 14788268786027 / variante 53350609912171</t>
        </is>
      </c>
      <c r="AL1705" s="58" t="n">
        <v>2756.25</v>
      </c>
      <c r="AM1705" s="58" t="n">
        <v>6724.137931</v>
      </c>
      <c r="AN1705" s="155" t="inlineStr">
        <is>
          <t>Shopify Stetson México</t>
        </is>
      </c>
      <c r="AO1705" s="59" t="n">
        <v>0</v>
      </c>
      <c r="AP1705" s="59" t="n"/>
      <c r="AQ1705" s="59" t="n"/>
      <c r="AR1705" s="155" t="n"/>
    </row>
    <row r="1706">
      <c r="A1706" s="50" t="inlineStr">
        <is>
          <t>883383942804</t>
        </is>
      </c>
      <c r="B1706" s="51" t="inlineStr">
        <is>
          <t>109955</t>
        </is>
      </c>
      <c r="C1706" s="156" t="inlineStr">
        <is>
          <t>Multimarca</t>
        </is>
      </c>
      <c r="D1706" s="156" t="inlineStr">
        <is>
          <t>SFMNFD-754242</t>
        </is>
      </c>
      <c r="E1706" s="156" t="inlineStr">
        <is>
          <t>SFMNFD-75424270</t>
        </is>
      </c>
      <c r="F1706" s="156" t="inlineStr">
        <is>
          <t>7</t>
        </is>
      </c>
      <c r="G1706" s="156" t="inlineStr">
        <is>
          <t>7</t>
        </is>
      </c>
      <c r="H1706" s="156" t="inlineStr">
        <is>
          <t>Stetson</t>
        </is>
      </c>
      <c r="I1706" s="156" t="inlineStr">
        <is>
          <t>Texana Stetson Munford Salvia</t>
        </is>
      </c>
      <c r="J1706" s="156" t="inlineStr">
        <is>
          <t>Accesorios</t>
        </is>
      </c>
      <c r="K1706" s="156" t="inlineStr">
        <is>
          <t>Sombreros</t>
        </is>
      </c>
      <c r="L1706" s="156" t="inlineStr">
        <is>
          <t>Unisex</t>
        </is>
      </c>
      <c r="M1706" s="156" t="inlineStr">
        <is>
          <t>Stetson</t>
        </is>
      </c>
      <c r="N1706" s="156" t="inlineStr">
        <is>
          <t>SS26</t>
        </is>
      </c>
      <c r="O1706" s="156" t="inlineStr">
        <is>
          <t>Seasonal</t>
        </is>
      </c>
      <c r="P1706" s="156" t="inlineStr">
        <is>
          <t>Verde</t>
        </is>
      </c>
      <c r="Q1706" s="156" t="n"/>
      <c r="R1706" s="156" t="inlineStr">
        <is>
          <t>Copa Cattleman</t>
        </is>
      </c>
      <c r="S1706" s="156" t="inlineStr">
        <is>
          <t>100% Fieltro de lana</t>
        </is>
      </c>
      <c r="T1706"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6" s="156" t="inlineStr">
        <is>
          <t>Estados Unidos</t>
        </is>
      </c>
      <c r="V1706" s="156" t="inlineStr">
        <is>
          <t>PZS</t>
        </is>
      </c>
      <c r="W1706" s="51" t="inlineStr">
        <is>
          <t>53102503</t>
        </is>
      </c>
      <c r="X1706" s="156" t="inlineStr">
        <is>
          <t>https://cdn.shopify.com/s/files/1/0888/3250/8267/files/SFMNFD-754242-02.jpg?v=1759780378</t>
        </is>
      </c>
      <c r="Y1706" s="54" t="n">
        <v>2756.25</v>
      </c>
      <c r="Z1706" s="54" t="n">
        <v>6724.137931</v>
      </c>
      <c r="AA1706" s="55">
        <f>IF(AND(A1706="", B1706="", E1706=""), "", IF(AB1706="", "Válido", IF((LEN(AB1706)-LEN(SUBSTITUTE(AB1706,"; ","")))/2+1&gt;(LEN(AB1706)-LEN(SUBSTITUTE(AB1706,"[Aviso]","")))/7, "Con Incidencias", "Válido")))</f>
        <v/>
      </c>
      <c r="AB1706" s="56">
        <f>IF(AND(A1706="", B1706="", E1706=""), "", TEXTJOIN("; ", TRUE, IF(OR(TRIM(A1706&amp;"")="", ISNUMBER(SEARCH("FALTA", A1706))), "UPC faltante/inválido", ""), IF(AND(A1706&lt;&gt;"", IFERROR(_xlfn.XMATCH(A1706,$A$2:$A$2509,0,1)&lt;&gt;_xlfn.XMATCH(A1706,$A$2:$A$2509,0,-1),FALSE)), "Código de barras duplicado", ""), IF(AND(E1706&lt;&gt;"", COUNTIF($E$2:$E$2509, E1706)&gt;1), "SKU duplicado", ""), IF(OR(J1706="", J1706=""), "[Aviso] División no capturada ()", IF(ISNA(MATCH(J1706, Criterios!$A$123:$A$126, 0)), "División no válida", "")), IF(OR(K1706="", K1706=""), "[Aviso] Categoría no capturada ()", IF(ISNA(MATCH(K1706, Criterios!$A$81:$A$120, 0)), "Categoría no válida", IF(AND(J1706&lt;&gt;"", J1706&lt;&gt;"", J1706&lt;&gt;VLOOKUP(K1706, Criterios!$A$81:$B$120, 2, FALSE)), "División no coincide con Categoría", ""))), IF(OR(L1706="", L1706=""), "[Aviso] Género no capturado ()", IF(ISNA(MATCH(L1706, Criterios!$B$123:$B$127, 0)), "Género no válido", "")), IF(OR(N1706="", N1706=""), "[Aviso] Temporada no capturada ()", IF(ISNA(MATCH(N1706, Criterios!$C$123:$C$128, 0)), "Temporada no válida", "")), IF(OR(O1706="", O1706=""), "[Aviso] Ciclo de vida no capturado ()", IF(ISNA(MATCH(O1706, Criterios!$D$123:$D$124, 0)), "Ciclo de vida no válido", ""))))</f>
        <v/>
      </c>
      <c r="AC1706" s="56" t="n"/>
      <c r="AD1706" s="51" t="n">
        <v>0</v>
      </c>
      <c r="AE1706" s="156" t="n"/>
      <c r="AF1706" s="51" t="n">
        <v>0</v>
      </c>
      <c r="AG1706" s="156" t="inlineStr">
        <is>
          <t>Catálogo existente</t>
        </is>
      </c>
      <c r="AH170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06" s="156" t="inlineStr">
        <is>
          <t>No</t>
        </is>
      </c>
      <c r="AJ1706" s="156" t="n"/>
      <c r="AK1706" s="155" t="inlineStr">
        <is>
          <t>Criterios: I [Q] | Shopify Stetson: producto 14788268786027 / variante 53350609944939</t>
        </is>
      </c>
      <c r="AL1706" s="58" t="n">
        <v>2756.25</v>
      </c>
      <c r="AM1706" s="58" t="n">
        <v>6724.137931</v>
      </c>
      <c r="AN1706" s="155" t="inlineStr">
        <is>
          <t>Shopify Stetson México</t>
        </is>
      </c>
      <c r="AO1706" s="59" t="n">
        <v>0</v>
      </c>
      <c r="AP1706" s="59" t="n"/>
      <c r="AQ1706" s="59" t="n"/>
      <c r="AR1706" s="155" t="n"/>
    </row>
    <row r="1707">
      <c r="A1707" s="50" t="inlineStr">
        <is>
          <t>883383942828</t>
        </is>
      </c>
      <c r="B1707" s="51" t="inlineStr">
        <is>
          <t>109956</t>
        </is>
      </c>
      <c r="C1707" s="156" t="inlineStr">
        <is>
          <t>Multimarca</t>
        </is>
      </c>
      <c r="D1707" s="156" t="inlineStr">
        <is>
          <t>SFMNFD-754242</t>
        </is>
      </c>
      <c r="E1707" s="156" t="inlineStr">
        <is>
          <t>SFMNFD-75424271</t>
        </is>
      </c>
      <c r="F1707" s="156" t="inlineStr">
        <is>
          <t>7 1/8</t>
        </is>
      </c>
      <c r="G1707" s="156" t="inlineStr">
        <is>
          <t>7 1/8</t>
        </is>
      </c>
      <c r="H1707" s="156" t="inlineStr">
        <is>
          <t>Stetson</t>
        </is>
      </c>
      <c r="I1707" s="156" t="inlineStr">
        <is>
          <t>Texana Stetson Munford Salvia</t>
        </is>
      </c>
      <c r="J1707" s="156" t="inlineStr">
        <is>
          <t>Accesorios</t>
        </is>
      </c>
      <c r="K1707" s="156" t="inlineStr">
        <is>
          <t>Sombreros</t>
        </is>
      </c>
      <c r="L1707" s="156" t="inlineStr">
        <is>
          <t>Unisex</t>
        </is>
      </c>
      <c r="M1707" s="156" t="inlineStr">
        <is>
          <t>Stetson</t>
        </is>
      </c>
      <c r="N1707" s="156" t="inlineStr">
        <is>
          <t>SS26</t>
        </is>
      </c>
      <c r="O1707" s="156" t="inlineStr">
        <is>
          <t>Seasonal</t>
        </is>
      </c>
      <c r="P1707" s="156" t="inlineStr">
        <is>
          <t>Verde</t>
        </is>
      </c>
      <c r="Q1707" s="156" t="n"/>
      <c r="R1707" s="156" t="inlineStr">
        <is>
          <t>Copa Cattleman</t>
        </is>
      </c>
      <c r="S1707" s="156" t="inlineStr">
        <is>
          <t>100% Fieltro de lana</t>
        </is>
      </c>
      <c r="T1707"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7" s="156" t="inlineStr">
        <is>
          <t>Estados Unidos</t>
        </is>
      </c>
      <c r="V1707" s="156" t="inlineStr">
        <is>
          <t>PZS</t>
        </is>
      </c>
      <c r="W1707" s="51" t="inlineStr">
        <is>
          <t>53102503</t>
        </is>
      </c>
      <c r="X1707" s="156" t="inlineStr">
        <is>
          <t>https://cdn.shopify.com/s/files/1/0888/3250/8267/files/SFMNFD-754242-03.jpg?v=1759780378</t>
        </is>
      </c>
      <c r="Y1707" s="54" t="n">
        <v>2756.25</v>
      </c>
      <c r="Z1707" s="54" t="n">
        <v>6724.137931</v>
      </c>
      <c r="AA1707" s="55">
        <f>IF(AND(A1707="", B1707="", E1707=""), "", IF(AB1707="", "Válido", IF((LEN(AB1707)-LEN(SUBSTITUTE(AB1707,"; ","")))/2+1&gt;(LEN(AB1707)-LEN(SUBSTITUTE(AB1707,"[Aviso]","")))/7, "Con Incidencias", "Válido")))</f>
        <v/>
      </c>
      <c r="AB1707" s="56">
        <f>IF(AND(A1707="", B1707="", E1707=""), "", TEXTJOIN("; ", TRUE, IF(OR(TRIM(A1707&amp;"")="", ISNUMBER(SEARCH("FALTA", A1707))), "UPC faltante/inválido", ""), IF(AND(A1707&lt;&gt;"", IFERROR(_xlfn.XMATCH(A1707,$A$2:$A$2509,0,1)&lt;&gt;_xlfn.XMATCH(A1707,$A$2:$A$2509,0,-1),FALSE)), "Código de barras duplicado", ""), IF(AND(E1707&lt;&gt;"", COUNTIF($E$2:$E$2509, E1707)&gt;1), "SKU duplicado", ""), IF(OR(J1707="", J1707=""), "[Aviso] División no capturada ()", IF(ISNA(MATCH(J1707, Criterios!$A$123:$A$126, 0)), "División no válida", "")), IF(OR(K1707="", K1707=""), "[Aviso] Categoría no capturada ()", IF(ISNA(MATCH(K1707, Criterios!$A$81:$A$120, 0)), "Categoría no válida", IF(AND(J1707&lt;&gt;"", J1707&lt;&gt;"", J1707&lt;&gt;VLOOKUP(K1707, Criterios!$A$81:$B$120, 2, FALSE)), "División no coincide con Categoría", ""))), IF(OR(L1707="", L1707=""), "[Aviso] Género no capturado ()", IF(ISNA(MATCH(L1707, Criterios!$B$123:$B$127, 0)), "Género no válido", "")), IF(OR(N1707="", N1707=""), "[Aviso] Temporada no capturada ()", IF(ISNA(MATCH(N1707, Criterios!$C$123:$C$128, 0)), "Temporada no válida", "")), IF(OR(O1707="", O1707=""), "[Aviso] Ciclo de vida no capturado ()", IF(ISNA(MATCH(O1707, Criterios!$D$123:$D$124, 0)), "Ciclo de vida no válido", ""))))</f>
        <v/>
      </c>
      <c r="AC1707" s="56" t="n"/>
      <c r="AD1707" s="51" t="n">
        <v>-1</v>
      </c>
      <c r="AE1707" s="156" t="n"/>
      <c r="AF1707" s="51" t="n">
        <v>0</v>
      </c>
      <c r="AG1707" s="156" t="inlineStr">
        <is>
          <t>Catálogo existente</t>
        </is>
      </c>
      <c r="AH170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7" s="156" t="inlineStr">
        <is>
          <t>Sí</t>
        </is>
      </c>
      <c r="AJ1707" s="156" t="inlineStr">
        <is>
          <t>STETSON AMERICAS (-1)</t>
        </is>
      </c>
      <c r="AK1707" s="155" t="inlineStr">
        <is>
          <t>Criterios: I [Q] | Shopify Stetson: producto 14788268786027 / variante 53350609977707</t>
        </is>
      </c>
      <c r="AL1707" s="58" t="n">
        <v>2756.25</v>
      </c>
      <c r="AM1707" s="58" t="n">
        <v>6724.137931</v>
      </c>
      <c r="AN1707" s="155" t="inlineStr">
        <is>
          <t>Shopify Stetson México</t>
        </is>
      </c>
      <c r="AO1707" s="59" t="n">
        <v>0</v>
      </c>
      <c r="AP1707" s="59" t="n"/>
      <c r="AQ1707" s="59" t="n"/>
      <c r="AR1707" s="155" t="n"/>
    </row>
    <row r="1708">
      <c r="A1708" s="50" t="inlineStr">
        <is>
          <t>883383942842</t>
        </is>
      </c>
      <c r="B1708" s="51" t="inlineStr">
        <is>
          <t>109957</t>
        </is>
      </c>
      <c r="C1708" s="156" t="inlineStr">
        <is>
          <t>Multimarca</t>
        </is>
      </c>
      <c r="D1708" s="156" t="inlineStr">
        <is>
          <t>SFMNFD-754242</t>
        </is>
      </c>
      <c r="E1708" s="156" t="inlineStr">
        <is>
          <t>SFMNFD-75424272</t>
        </is>
      </c>
      <c r="F1708" s="156" t="inlineStr">
        <is>
          <t>7 1/4</t>
        </is>
      </c>
      <c r="G1708" s="156" t="inlineStr">
        <is>
          <t>7 1/4</t>
        </is>
      </c>
      <c r="H1708" s="156" t="inlineStr">
        <is>
          <t>Stetson</t>
        </is>
      </c>
      <c r="I1708" s="156" t="inlineStr">
        <is>
          <t>Texana Stetson Munford Salvia</t>
        </is>
      </c>
      <c r="J1708" s="156" t="inlineStr">
        <is>
          <t>Accesorios</t>
        </is>
      </c>
      <c r="K1708" s="156" t="inlineStr">
        <is>
          <t>Sombreros</t>
        </is>
      </c>
      <c r="L1708" s="156" t="inlineStr">
        <is>
          <t>Unisex</t>
        </is>
      </c>
      <c r="M1708" s="156" t="inlineStr">
        <is>
          <t>Stetson</t>
        </is>
      </c>
      <c r="N1708" s="156" t="inlineStr">
        <is>
          <t>SS26</t>
        </is>
      </c>
      <c r="O1708" s="156" t="inlineStr">
        <is>
          <t>Seasonal</t>
        </is>
      </c>
      <c r="P1708" s="156" t="inlineStr">
        <is>
          <t>Verde</t>
        </is>
      </c>
      <c r="Q1708" s="156" t="n"/>
      <c r="R1708" s="156" t="inlineStr">
        <is>
          <t>Copa Cattleman</t>
        </is>
      </c>
      <c r="S1708" s="156" t="inlineStr">
        <is>
          <t>100% Fieltro de lana</t>
        </is>
      </c>
      <c r="T1708"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8" s="156" t="inlineStr">
        <is>
          <t>Estados Unidos</t>
        </is>
      </c>
      <c r="V1708" s="156" t="inlineStr">
        <is>
          <t>PZS</t>
        </is>
      </c>
      <c r="W1708" s="51" t="inlineStr">
        <is>
          <t>53102503</t>
        </is>
      </c>
      <c r="X1708" s="156" t="inlineStr">
        <is>
          <t>https://cdn.shopify.com/s/files/1/0888/3250/8267/files/SFMNFD-754242-04.jpg?v=1759780378</t>
        </is>
      </c>
      <c r="Y1708" s="54" t="n">
        <v>2756.25</v>
      </c>
      <c r="Z1708" s="54" t="n">
        <v>6724.137931</v>
      </c>
      <c r="AA1708" s="55">
        <f>IF(AND(A1708="", B1708="", E1708=""), "", IF(AB1708="", "Válido", IF((LEN(AB1708)-LEN(SUBSTITUTE(AB1708,"; ","")))/2+1&gt;(LEN(AB1708)-LEN(SUBSTITUTE(AB1708,"[Aviso]","")))/7, "Con Incidencias", "Válido")))</f>
        <v/>
      </c>
      <c r="AB1708" s="56">
        <f>IF(AND(A1708="", B1708="", E1708=""), "", TEXTJOIN("; ", TRUE, IF(OR(TRIM(A1708&amp;"")="", ISNUMBER(SEARCH("FALTA", A1708))), "UPC faltante/inválido", ""), IF(AND(A1708&lt;&gt;"", IFERROR(_xlfn.XMATCH(A1708,$A$2:$A$2509,0,1)&lt;&gt;_xlfn.XMATCH(A1708,$A$2:$A$2509,0,-1),FALSE)), "Código de barras duplicado", ""), IF(AND(E1708&lt;&gt;"", COUNTIF($E$2:$E$2509, E1708)&gt;1), "SKU duplicado", ""), IF(OR(J1708="", J1708=""), "[Aviso] División no capturada ()", IF(ISNA(MATCH(J1708, Criterios!$A$123:$A$126, 0)), "División no válida", "")), IF(OR(K1708="", K1708=""), "[Aviso] Categoría no capturada ()", IF(ISNA(MATCH(K1708, Criterios!$A$81:$A$120, 0)), "Categoría no válida", IF(AND(J1708&lt;&gt;"", J1708&lt;&gt;"", J1708&lt;&gt;VLOOKUP(K1708, Criterios!$A$81:$B$120, 2, FALSE)), "División no coincide con Categoría", ""))), IF(OR(L1708="", L1708=""), "[Aviso] Género no capturado ()", IF(ISNA(MATCH(L1708, Criterios!$B$123:$B$127, 0)), "Género no válido", "")), IF(OR(N1708="", N1708=""), "[Aviso] Temporada no capturada ()", IF(ISNA(MATCH(N1708, Criterios!$C$123:$C$128, 0)), "Temporada no válida", "")), IF(OR(O1708="", O1708=""), "[Aviso] Ciclo de vida no capturado ()", IF(ISNA(MATCH(O1708, Criterios!$D$123:$D$124, 0)), "Ciclo de vida no válido", ""))))</f>
        <v/>
      </c>
      <c r="AC1708" s="56" t="n"/>
      <c r="AD1708" s="51" t="n">
        <v>-1</v>
      </c>
      <c r="AE1708" s="156" t="n"/>
      <c r="AF1708" s="51" t="n">
        <v>0</v>
      </c>
      <c r="AG1708" s="156" t="inlineStr">
        <is>
          <t>Catálogo existente</t>
        </is>
      </c>
      <c r="AH170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8" s="156" t="inlineStr">
        <is>
          <t>Sí</t>
        </is>
      </c>
      <c r="AJ1708" s="156" t="inlineStr">
        <is>
          <t>STETSON AMERICAS (-1)</t>
        </is>
      </c>
      <c r="AK1708" s="155" t="inlineStr">
        <is>
          <t>Criterios: I [Q] | Shopify Stetson: producto 14788268786027 / variante 53350610010475</t>
        </is>
      </c>
      <c r="AL1708" s="58" t="n">
        <v>2756.25</v>
      </c>
      <c r="AM1708" s="58" t="n">
        <v>6724.137931</v>
      </c>
      <c r="AN1708" s="155" t="inlineStr">
        <is>
          <t>Shopify Stetson México</t>
        </is>
      </c>
      <c r="AO1708" s="59" t="n">
        <v>0</v>
      </c>
      <c r="AP1708" s="59" t="n"/>
      <c r="AQ1708" s="59" t="n"/>
      <c r="AR1708" s="155" t="n"/>
    </row>
    <row r="1709">
      <c r="A1709" s="50" t="inlineStr">
        <is>
          <t>883383942866</t>
        </is>
      </c>
      <c r="B1709" s="51" t="inlineStr">
        <is>
          <t>109958</t>
        </is>
      </c>
      <c r="C1709" s="156" t="inlineStr">
        <is>
          <t>Multimarca</t>
        </is>
      </c>
      <c r="D1709" s="156" t="inlineStr">
        <is>
          <t>SFMNFD-754242</t>
        </is>
      </c>
      <c r="E1709" s="156" t="inlineStr">
        <is>
          <t>SFMNFD-75424273</t>
        </is>
      </c>
      <c r="F1709" s="156" t="inlineStr">
        <is>
          <t>7 3/8</t>
        </is>
      </c>
      <c r="G1709" s="156" t="inlineStr">
        <is>
          <t>7 3/8</t>
        </is>
      </c>
      <c r="H1709" s="156" t="inlineStr">
        <is>
          <t>Stetson</t>
        </is>
      </c>
      <c r="I1709" s="156" t="inlineStr">
        <is>
          <t>Texana Stetson Munford Salvia</t>
        </is>
      </c>
      <c r="J1709" s="156" t="inlineStr">
        <is>
          <t>Accesorios</t>
        </is>
      </c>
      <c r="K1709" s="156" t="inlineStr">
        <is>
          <t>Sombreros</t>
        </is>
      </c>
      <c r="L1709" s="156" t="inlineStr">
        <is>
          <t>Unisex</t>
        </is>
      </c>
      <c r="M1709" s="156" t="inlineStr">
        <is>
          <t>Stetson</t>
        </is>
      </c>
      <c r="N1709" s="156" t="inlineStr">
        <is>
          <t>SS26</t>
        </is>
      </c>
      <c r="O1709" s="156" t="inlineStr">
        <is>
          <t>Seasonal</t>
        </is>
      </c>
      <c r="P1709" s="156" t="inlineStr">
        <is>
          <t>Verde</t>
        </is>
      </c>
      <c r="Q1709" s="156" t="n"/>
      <c r="R1709" s="156" t="inlineStr">
        <is>
          <t>Copa Cattleman</t>
        </is>
      </c>
      <c r="S1709" s="156" t="inlineStr">
        <is>
          <t>100% Fieltro de lana</t>
        </is>
      </c>
      <c r="T1709"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9" s="156" t="inlineStr">
        <is>
          <t>Estados Unidos</t>
        </is>
      </c>
      <c r="V1709" s="156" t="inlineStr">
        <is>
          <t>PZS</t>
        </is>
      </c>
      <c r="W1709" s="51" t="inlineStr">
        <is>
          <t>53102503</t>
        </is>
      </c>
      <c r="X1709" s="156" t="inlineStr">
        <is>
          <t>https://cdn.shopify.com/s/files/1/0888/3250/8267/files/SFMNFD-754242-05.jpg?v=1759780378</t>
        </is>
      </c>
      <c r="Y1709" s="54" t="n">
        <v>2756.25</v>
      </c>
      <c r="Z1709" s="54" t="n">
        <v>6724.137931</v>
      </c>
      <c r="AA1709" s="55">
        <f>IF(AND(A1709="", B1709="", E1709=""), "", IF(AB1709="", "Válido", IF((LEN(AB1709)-LEN(SUBSTITUTE(AB1709,"; ","")))/2+1&gt;(LEN(AB1709)-LEN(SUBSTITUTE(AB1709,"[Aviso]","")))/7, "Con Incidencias", "Válido")))</f>
        <v/>
      </c>
      <c r="AB1709" s="56">
        <f>IF(AND(A1709="", B1709="", E1709=""), "", TEXTJOIN("; ", TRUE, IF(OR(TRIM(A1709&amp;"")="", ISNUMBER(SEARCH("FALTA", A1709))), "UPC faltante/inválido", ""), IF(AND(A1709&lt;&gt;"", IFERROR(_xlfn.XMATCH(A1709,$A$2:$A$2509,0,1)&lt;&gt;_xlfn.XMATCH(A1709,$A$2:$A$2509,0,-1),FALSE)), "Código de barras duplicado", ""), IF(AND(E1709&lt;&gt;"", COUNTIF($E$2:$E$2509, E1709)&gt;1), "SKU duplicado", ""), IF(OR(J1709="", J1709=""), "[Aviso] División no capturada ()", IF(ISNA(MATCH(J1709, Criterios!$A$123:$A$126, 0)), "División no válida", "")), IF(OR(K1709="", K1709=""), "[Aviso] Categoría no capturada ()", IF(ISNA(MATCH(K1709, Criterios!$A$81:$A$120, 0)), "Categoría no válida", IF(AND(J1709&lt;&gt;"", J1709&lt;&gt;"", J1709&lt;&gt;VLOOKUP(K1709, Criterios!$A$81:$B$120, 2, FALSE)), "División no coincide con Categoría", ""))), IF(OR(L1709="", L1709=""), "[Aviso] Género no capturado ()", IF(ISNA(MATCH(L1709, Criterios!$B$123:$B$127, 0)), "Género no válido", "")), IF(OR(N1709="", N1709=""), "[Aviso] Temporada no capturada ()", IF(ISNA(MATCH(N1709, Criterios!$C$123:$C$128, 0)), "Temporada no válida", "")), IF(OR(O1709="", O1709=""), "[Aviso] Ciclo de vida no capturado ()", IF(ISNA(MATCH(O1709, Criterios!$D$123:$D$124, 0)), "Ciclo de vida no válido", ""))))</f>
        <v/>
      </c>
      <c r="AC1709" s="56" t="n"/>
      <c r="AD1709" s="51" t="n">
        <v>-2</v>
      </c>
      <c r="AE1709" s="156" t="n"/>
      <c r="AF1709" s="51" t="n">
        <v>0</v>
      </c>
      <c r="AG1709" s="156" t="inlineStr">
        <is>
          <t>Catálogo existente</t>
        </is>
      </c>
      <c r="AH170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9" s="156" t="inlineStr">
        <is>
          <t>Sí</t>
        </is>
      </c>
      <c r="AJ1709" s="156" t="inlineStr">
        <is>
          <t>STETSON AMERICAS (-2)</t>
        </is>
      </c>
      <c r="AK1709" s="155" t="inlineStr">
        <is>
          <t>Criterios: I [Q] | Shopify Stetson: producto 14788268786027 / variante 53350610043243</t>
        </is>
      </c>
      <c r="AL1709" s="58" t="n">
        <v>2756.25</v>
      </c>
      <c r="AM1709" s="58" t="n">
        <v>6724.137931</v>
      </c>
      <c r="AN1709" s="155" t="inlineStr">
        <is>
          <t>Shopify Stetson México</t>
        </is>
      </c>
      <c r="AO1709" s="59" t="n">
        <v>0</v>
      </c>
      <c r="AP1709" s="59" t="n"/>
      <c r="AQ1709" s="59" t="n"/>
      <c r="AR1709" s="155" t="n"/>
    </row>
    <row r="1710">
      <c r="A1710" s="50" t="inlineStr">
        <is>
          <t>883383942880</t>
        </is>
      </c>
      <c r="B1710" s="51" t="inlineStr">
        <is>
          <t>109959</t>
        </is>
      </c>
      <c r="C1710" s="156" t="inlineStr">
        <is>
          <t>Multimarca</t>
        </is>
      </c>
      <c r="D1710" s="156" t="inlineStr">
        <is>
          <t>SFMNFD-754242</t>
        </is>
      </c>
      <c r="E1710" s="156" t="inlineStr">
        <is>
          <t>SFMNFD-75424274</t>
        </is>
      </c>
      <c r="F1710" s="156" t="inlineStr">
        <is>
          <t>7 1/2</t>
        </is>
      </c>
      <c r="G1710" s="156" t="inlineStr">
        <is>
          <t>7 1/2</t>
        </is>
      </c>
      <c r="H1710" s="156" t="inlineStr">
        <is>
          <t>Stetson</t>
        </is>
      </c>
      <c r="I1710" s="156" t="inlineStr">
        <is>
          <t>Texana Stetson Munford Salvia</t>
        </is>
      </c>
      <c r="J1710" s="156" t="inlineStr">
        <is>
          <t>Accesorios</t>
        </is>
      </c>
      <c r="K1710" s="156" t="inlineStr">
        <is>
          <t>Sombreros</t>
        </is>
      </c>
      <c r="L1710" s="156" t="inlineStr">
        <is>
          <t>Unisex</t>
        </is>
      </c>
      <c r="M1710" s="156" t="inlineStr">
        <is>
          <t>Stetson</t>
        </is>
      </c>
      <c r="N1710" s="156" t="inlineStr">
        <is>
          <t>SS26</t>
        </is>
      </c>
      <c r="O1710" s="156" t="inlineStr">
        <is>
          <t>Seasonal</t>
        </is>
      </c>
      <c r="P1710" s="156" t="inlineStr">
        <is>
          <t>Verde</t>
        </is>
      </c>
      <c r="Q1710" s="156" t="n"/>
      <c r="R1710" s="156" t="inlineStr">
        <is>
          <t>Copa Cattleman</t>
        </is>
      </c>
      <c r="S1710" s="156" t="inlineStr">
        <is>
          <t>100% Fieltro de lana</t>
        </is>
      </c>
      <c r="T1710"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10" s="156" t="inlineStr">
        <is>
          <t>Estados Unidos</t>
        </is>
      </c>
      <c r="V1710" s="156" t="inlineStr">
        <is>
          <t>PZS</t>
        </is>
      </c>
      <c r="W1710" s="51" t="inlineStr">
        <is>
          <t>53102503</t>
        </is>
      </c>
      <c r="X1710" s="156" t="inlineStr">
        <is>
          <t>https://cdn.shopify.com/s/files/1/0888/3250/8267/files/SFMNFD-754242-06.jpg?v=1759780378</t>
        </is>
      </c>
      <c r="Y1710" s="54" t="n">
        <v>2756.25</v>
      </c>
      <c r="Z1710" s="54" t="n">
        <v>6724.137931</v>
      </c>
      <c r="AA1710" s="55">
        <f>IF(AND(A1710="", B1710="", E1710=""), "", IF(AB1710="", "Válido", IF((LEN(AB1710)-LEN(SUBSTITUTE(AB1710,"; ","")))/2+1&gt;(LEN(AB1710)-LEN(SUBSTITUTE(AB1710,"[Aviso]","")))/7, "Con Incidencias", "Válido")))</f>
        <v/>
      </c>
      <c r="AB1710" s="56">
        <f>IF(AND(A1710="", B1710="", E1710=""), "", TEXTJOIN("; ", TRUE, IF(OR(TRIM(A1710&amp;"")="", ISNUMBER(SEARCH("FALTA", A1710))), "UPC faltante/inválido", ""), IF(AND(A1710&lt;&gt;"", IFERROR(_xlfn.XMATCH(A1710,$A$2:$A$2509,0,1)&lt;&gt;_xlfn.XMATCH(A1710,$A$2:$A$2509,0,-1),FALSE)), "Código de barras duplicado", ""), IF(AND(E1710&lt;&gt;"", COUNTIF($E$2:$E$2509, E1710)&gt;1), "SKU duplicado", ""), IF(OR(J1710="", J1710=""), "[Aviso] División no capturada ()", IF(ISNA(MATCH(J1710, Criterios!$A$123:$A$126, 0)), "División no válida", "")), IF(OR(K1710="", K1710=""), "[Aviso] Categoría no capturada ()", IF(ISNA(MATCH(K1710, Criterios!$A$81:$A$120, 0)), "Categoría no válida", IF(AND(J1710&lt;&gt;"", J1710&lt;&gt;"", J1710&lt;&gt;VLOOKUP(K1710, Criterios!$A$81:$B$120, 2, FALSE)), "División no coincide con Categoría", ""))), IF(OR(L1710="", L1710=""), "[Aviso] Género no capturado ()", IF(ISNA(MATCH(L1710, Criterios!$B$123:$B$127, 0)), "Género no válido", "")), IF(OR(N1710="", N1710=""), "[Aviso] Temporada no capturada ()", IF(ISNA(MATCH(N1710, Criterios!$C$123:$C$128, 0)), "Temporada no válida", "")), IF(OR(O1710="", O1710=""), "[Aviso] Ciclo de vida no capturado ()", IF(ISNA(MATCH(O1710, Criterios!$D$123:$D$124, 0)), "Ciclo de vida no válido", ""))))</f>
        <v/>
      </c>
      <c r="AC1710" s="56" t="n"/>
      <c r="AD1710" s="51" t="n">
        <v>0</v>
      </c>
      <c r="AE1710" s="156" t="n"/>
      <c r="AF1710" s="51" t="n">
        <v>0</v>
      </c>
      <c r="AG1710" s="156" t="inlineStr">
        <is>
          <t>Catálogo existente</t>
        </is>
      </c>
      <c r="AH171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10" s="156" t="inlineStr">
        <is>
          <t>No</t>
        </is>
      </c>
      <c r="AJ1710" s="156" t="n"/>
      <c r="AK1710" s="155" t="inlineStr">
        <is>
          <t>Criterios: I [Q] | Shopify Stetson: producto 14788268786027 / variante 53350610076011</t>
        </is>
      </c>
      <c r="AL1710" s="58" t="n">
        <v>2756.25</v>
      </c>
      <c r="AM1710" s="58" t="n">
        <v>6724.137931</v>
      </c>
      <c r="AN1710" s="155" t="inlineStr">
        <is>
          <t>Shopify Stetson México</t>
        </is>
      </c>
      <c r="AO1710" s="59" t="n">
        <v>0</v>
      </c>
      <c r="AP1710" s="59" t="n"/>
      <c r="AQ1710" s="59" t="n"/>
      <c r="AR1710" s="155" t="n"/>
    </row>
    <row r="1711">
      <c r="A1711" s="50" t="inlineStr">
        <is>
          <t>883383950335</t>
        </is>
      </c>
      <c r="B1711" s="51" t="inlineStr">
        <is>
          <t>110461</t>
        </is>
      </c>
      <c r="C1711" s="156" t="inlineStr">
        <is>
          <t>Multimarca</t>
        </is>
      </c>
      <c r="D1711" s="156" t="inlineStr">
        <is>
          <t>TWHDRKB104074</t>
        </is>
      </c>
      <c r="E1711" s="156" t="inlineStr">
        <is>
          <t>TWHDRKB104074L0</t>
        </is>
      </c>
      <c r="F1711" s="156" t="inlineStr">
        <is>
          <t>L</t>
        </is>
      </c>
      <c r="G1711" s="156" t="inlineStr">
        <is>
          <t>L</t>
        </is>
      </c>
      <c r="H1711" s="156" t="inlineStr">
        <is>
          <t>Stetson</t>
        </is>
      </c>
      <c r="I1711" s="156" t="inlineStr">
        <is>
          <t>Texana Stetson Hardrock B Hueso</t>
        </is>
      </c>
      <c r="J1711" s="156" t="inlineStr">
        <is>
          <t>Accesorios</t>
        </is>
      </c>
      <c r="K1711" s="156" t="inlineStr">
        <is>
          <t>Sombreros</t>
        </is>
      </c>
      <c r="L1711" s="156" t="inlineStr">
        <is>
          <t>Unisex</t>
        </is>
      </c>
      <c r="M1711" s="156" t="inlineStr">
        <is>
          <t>Stetson</t>
        </is>
      </c>
      <c r="N1711" s="156" t="inlineStr">
        <is>
          <t>SS26</t>
        </is>
      </c>
      <c r="O1711" s="156" t="inlineStr">
        <is>
          <t>Seasonal</t>
        </is>
      </c>
      <c r="P1711" s="156" t="inlineStr">
        <is>
          <t>Beige</t>
        </is>
      </c>
      <c r="Q1711" s="156" t="n"/>
      <c r="R1711" s="156" t="inlineStr">
        <is>
          <t>Copa Teardrop</t>
        </is>
      </c>
      <c r="S1711" s="156" t="inlineStr">
        <is>
          <t>100% Fieltro de lana</t>
        </is>
      </c>
      <c r="T1711" s="156" t="inlineStr">
        <is>
          <t>Texana Stetson Hardrock B Hueso.
 Composición: 100% Fieltro de lana.
 Color: Hueso.</t>
        </is>
      </c>
      <c r="U1711" s="156" t="inlineStr">
        <is>
          <t>Estados Unidos</t>
        </is>
      </c>
      <c r="V1711" s="156" t="inlineStr">
        <is>
          <t>PZS</t>
        </is>
      </c>
      <c r="W1711" s="51" t="inlineStr">
        <is>
          <t>53102503</t>
        </is>
      </c>
      <c r="X1711" s="156" t="inlineStr">
        <is>
          <t>https://cdn.shopify.com/s/files/1/0357/2432/9005/products/TWHDRKB1040-74_Bone_1.jpg?v=1673998062</t>
        </is>
      </c>
      <c r="Y1711" s="54" t="n">
        <v>1653.75</v>
      </c>
      <c r="Z1711" s="54" t="n">
        <v>4051.724138</v>
      </c>
      <c r="AA1711" s="55">
        <f>IF(AND(A1711="", B1711="", E1711=""), "", IF(AB1711="", "Válido", IF((LEN(AB1711)-LEN(SUBSTITUTE(AB1711,"; ","")))/2+1&gt;(LEN(AB1711)-LEN(SUBSTITUTE(AB1711,"[Aviso]","")))/7, "Con Incidencias", "Válido")))</f>
        <v/>
      </c>
      <c r="AB1711" s="56">
        <f>IF(AND(A1711="", B1711="", E1711=""), "", TEXTJOIN("; ", TRUE, IF(OR(TRIM(A1711&amp;"")="", ISNUMBER(SEARCH("FALTA", A1711))), "UPC faltante/inválido", ""), IF(AND(A1711&lt;&gt;"", IFERROR(_xlfn.XMATCH(A1711,$A$2:$A$2509,0,1)&lt;&gt;_xlfn.XMATCH(A1711,$A$2:$A$2509,0,-1),FALSE)), "Código de barras duplicado", ""), IF(AND(E1711&lt;&gt;"", COUNTIF($E$2:$E$2509, E1711)&gt;1), "SKU duplicado", ""), IF(OR(J1711="", J1711=""), "[Aviso] División no capturada ()", IF(ISNA(MATCH(J1711, Criterios!$A$123:$A$126, 0)), "División no válida", "")), IF(OR(K1711="", K1711=""), "[Aviso] Categoría no capturada ()", IF(ISNA(MATCH(K1711, Criterios!$A$81:$A$120, 0)), "Categoría no válida", IF(AND(J1711&lt;&gt;"", J1711&lt;&gt;"", J1711&lt;&gt;VLOOKUP(K1711, Criterios!$A$81:$B$120, 2, FALSE)), "División no coincide con Categoría", ""))), IF(OR(L1711="", L1711=""), "[Aviso] Género no capturado ()", IF(ISNA(MATCH(L1711, Criterios!$B$123:$B$127, 0)), "Género no válido", "")), IF(OR(N1711="", N1711=""), "[Aviso] Temporada no capturada ()", IF(ISNA(MATCH(N1711, Criterios!$C$123:$C$128, 0)), "Temporada no válida", "")), IF(OR(O1711="", O1711=""), "[Aviso] Ciclo de vida no capturado ()", IF(ISNA(MATCH(O1711, Criterios!$D$123:$D$124, 0)), "Ciclo de vida no válido", ""))))</f>
        <v/>
      </c>
      <c r="AC1711" s="56" t="n"/>
      <c r="AD1711" s="51" t="n">
        <v>1</v>
      </c>
      <c r="AE1711" s="156" t="inlineStr">
        <is>
          <t>B25 STETSON.MX (1)</t>
        </is>
      </c>
      <c r="AF1711" s="51" t="n">
        <v>1</v>
      </c>
      <c r="AG1711" s="156" t="inlineStr">
        <is>
          <t>Catálogo existente</t>
        </is>
      </c>
      <c r="AH1711" s="156" t="inlineStr">
        <is>
          <t>Revisión 29/09/2026: Talla fuente 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1" s="156" t="inlineStr">
        <is>
          <t>No</t>
        </is>
      </c>
      <c r="AJ1711" s="156" t="n"/>
      <c r="AK1711" s="155" t="inlineStr">
        <is>
          <t>Criterios: I [Q] | Shopify Stetson: producto 15068371255659 / variante 53409785446763 | Odoo: producto 19409 / plantilla 23896 | Investigación en línea 06/10/2026: https://www.stetson.com/products/hardrock-b-bone</t>
        </is>
      </c>
      <c r="AL1711" s="58" t="n">
        <v>1653.75</v>
      </c>
      <c r="AM1711" s="58" t="n">
        <v>4051.724138</v>
      </c>
      <c r="AN1711" s="155" t="inlineStr">
        <is>
          <t>Shopify Stetson México | Odoo Universal Unique Brands</t>
        </is>
      </c>
      <c r="AO1711" s="59" t="n">
        <v>2</v>
      </c>
      <c r="AP1711" s="59" t="n"/>
      <c r="AQ1711" s="59" t="n">
        <v>2</v>
      </c>
      <c r="AR1711" s="155" t="inlineStr">
        <is>
          <t>Shopify Stetson México › Stetson México: 1 | Shopify Stetson México › Stetson Americas: 1 | Odoo Universal Unique Brands › Bodega 25 › Bodega 25/General: 2</t>
        </is>
      </c>
    </row>
    <row r="1712">
      <c r="A1712" s="50" t="inlineStr">
        <is>
          <t>883383950359</t>
        </is>
      </c>
      <c r="B1712" s="51" t="inlineStr">
        <is>
          <t>110462</t>
        </is>
      </c>
      <c r="C1712" s="156" t="inlineStr">
        <is>
          <t>Multimarca</t>
        </is>
      </c>
      <c r="D1712" s="156" t="inlineStr">
        <is>
          <t>TWHDRKB104074</t>
        </is>
      </c>
      <c r="E1712" s="156" t="inlineStr">
        <is>
          <t>TWHDRKB104074M0</t>
        </is>
      </c>
      <c r="F1712" s="156" t="inlineStr">
        <is>
          <t>M</t>
        </is>
      </c>
      <c r="G1712" s="156" t="inlineStr">
        <is>
          <t>M</t>
        </is>
      </c>
      <c r="H1712" s="156" t="inlineStr">
        <is>
          <t>Stetson</t>
        </is>
      </c>
      <c r="I1712" s="156" t="inlineStr">
        <is>
          <t>Texana Stetson Hardrock B Hueso</t>
        </is>
      </c>
      <c r="J1712" s="156" t="inlineStr">
        <is>
          <t>Accesorios</t>
        </is>
      </c>
      <c r="K1712" s="156" t="inlineStr">
        <is>
          <t>Sombreros</t>
        </is>
      </c>
      <c r="L1712" s="156" t="inlineStr">
        <is>
          <t>Unisex</t>
        </is>
      </c>
      <c r="M1712" s="156" t="inlineStr">
        <is>
          <t>Stetson</t>
        </is>
      </c>
      <c r="N1712" s="156" t="inlineStr">
        <is>
          <t>SS26</t>
        </is>
      </c>
      <c r="O1712" s="156" t="inlineStr">
        <is>
          <t>Seasonal</t>
        </is>
      </c>
      <c r="P1712" s="156" t="inlineStr">
        <is>
          <t>Beige</t>
        </is>
      </c>
      <c r="Q1712" s="156" t="n"/>
      <c r="R1712" s="156" t="inlineStr">
        <is>
          <t>Copa Teardrop</t>
        </is>
      </c>
      <c r="S1712" s="156" t="inlineStr">
        <is>
          <t>100% Fieltro de lana</t>
        </is>
      </c>
      <c r="T1712" s="156" t="inlineStr">
        <is>
          <t>Texana Stetson Hardrock B Hueso.
 Composición: 100% Fieltro de lana.
 Color: Hueso.</t>
        </is>
      </c>
      <c r="U1712" s="156" t="inlineStr">
        <is>
          <t>Estados Unidos</t>
        </is>
      </c>
      <c r="V1712" s="156" t="inlineStr">
        <is>
          <t>PZS</t>
        </is>
      </c>
      <c r="W1712" s="51" t="inlineStr">
        <is>
          <t>53102503</t>
        </is>
      </c>
      <c r="X1712" s="156" t="inlineStr">
        <is>
          <t>https://cdn.shopify.com/s/files/1/0357/2432/9005/products/TWHDRKB1040-74_Bone_1.jpg?v=1673998062</t>
        </is>
      </c>
      <c r="Y1712" s="54" t="n">
        <v>1653.75</v>
      </c>
      <c r="Z1712" s="54" t="n">
        <v>4051.724138</v>
      </c>
      <c r="AA1712" s="55">
        <f>IF(AND(A1712="", B1712="", E1712=""), "", IF(AB1712="", "Válido", IF((LEN(AB1712)-LEN(SUBSTITUTE(AB1712,"; ","")))/2+1&gt;(LEN(AB1712)-LEN(SUBSTITUTE(AB1712,"[Aviso]","")))/7, "Con Incidencias", "Válido")))</f>
        <v/>
      </c>
      <c r="AB1712" s="56">
        <f>IF(AND(A1712="", B1712="", E1712=""), "", TEXTJOIN("; ", TRUE, IF(OR(TRIM(A1712&amp;"")="", ISNUMBER(SEARCH("FALTA", A1712))), "UPC faltante/inválido", ""), IF(AND(A1712&lt;&gt;"", IFERROR(_xlfn.XMATCH(A1712,$A$2:$A$2509,0,1)&lt;&gt;_xlfn.XMATCH(A1712,$A$2:$A$2509,0,-1),FALSE)), "Código de barras duplicado", ""), IF(AND(E1712&lt;&gt;"", COUNTIF($E$2:$E$2509, E1712)&gt;1), "SKU duplicado", ""), IF(OR(J1712="", J1712=""), "[Aviso] División no capturada ()", IF(ISNA(MATCH(J1712, Criterios!$A$123:$A$126, 0)), "División no válida", "")), IF(OR(K1712="", K1712=""), "[Aviso] Categoría no capturada ()", IF(ISNA(MATCH(K1712, Criterios!$A$81:$A$120, 0)), "Categoría no válida", IF(AND(J1712&lt;&gt;"", J1712&lt;&gt;"", J1712&lt;&gt;VLOOKUP(K1712, Criterios!$A$81:$B$120, 2, FALSE)), "División no coincide con Categoría", ""))), IF(OR(L1712="", L1712=""), "[Aviso] Género no capturado ()", IF(ISNA(MATCH(L1712, Criterios!$B$123:$B$127, 0)), "Género no válido", "")), IF(OR(N1712="", N1712=""), "[Aviso] Temporada no capturada ()", IF(ISNA(MATCH(N1712, Criterios!$C$123:$C$128, 0)), "Temporada no válida", "")), IF(OR(O1712="", O1712=""), "[Aviso] Ciclo de vida no capturado ()", IF(ISNA(MATCH(O1712, Criterios!$D$123:$D$124, 0)), "Ciclo de vida no válido", ""))))</f>
        <v/>
      </c>
      <c r="AC1712" s="56" t="n"/>
      <c r="AD1712" s="51" t="n">
        <v>0</v>
      </c>
      <c r="AE1712" s="156" t="n"/>
      <c r="AF1712" s="51" t="n">
        <v>0</v>
      </c>
      <c r="AG1712" s="156" t="inlineStr">
        <is>
          <t>Catálogo existente</t>
        </is>
      </c>
      <c r="AH1712" s="156" t="inlineStr">
        <is>
          <t>Revisión 29/09/2026: Talla fuente M sin equivalencia exacta en Criterios para Talla Sombrero; Campos sin respaldo: U, X | 01/10/2026: complementado desde Odoo Universal Unique Brands (match por código de barras): WB Fit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2" s="156" t="inlineStr">
        <is>
          <t>No</t>
        </is>
      </c>
      <c r="AJ1712" s="156" t="n"/>
      <c r="AK1712" s="155" t="inlineStr">
        <is>
          <t>Criterios: I [Q] | Odoo: producto 19408 / plantilla 23895 | Investigación en línea 06/10/2026: https://www.stetson.com/products/hardrock-b-bone</t>
        </is>
      </c>
      <c r="AL1712" s="58" t="n">
        <v>1653.75</v>
      </c>
      <c r="AM1712" s="58" t="n">
        <v>4051.724138</v>
      </c>
      <c r="AN1712" s="155" t="inlineStr">
        <is>
          <t>Odoo Universal Unique Brands</t>
        </is>
      </c>
      <c r="AO1712" s="59" t="n"/>
      <c r="AP1712" s="59" t="n"/>
      <c r="AQ1712" s="59" t="n">
        <v>2</v>
      </c>
      <c r="AR1712" s="155" t="inlineStr">
        <is>
          <t>Odoo Universal Unique Brands › Bodega 25 › Bodega 25/General: 2</t>
        </is>
      </c>
    </row>
    <row r="1713">
      <c r="A1713" s="50" t="inlineStr">
        <is>
          <t>883383950373</t>
        </is>
      </c>
      <c r="B1713" s="51" t="inlineStr">
        <is>
          <t>110463</t>
        </is>
      </c>
      <c r="C1713" s="156" t="inlineStr">
        <is>
          <t>Multimarca</t>
        </is>
      </c>
      <c r="D1713" s="156" t="inlineStr">
        <is>
          <t>TWHDRKB104074</t>
        </is>
      </c>
      <c r="E1713" s="156" t="inlineStr">
        <is>
          <t>TWHDRKB104074S0</t>
        </is>
      </c>
      <c r="F1713" s="156" t="inlineStr">
        <is>
          <t>S</t>
        </is>
      </c>
      <c r="G1713" s="156" t="inlineStr">
        <is>
          <t>S</t>
        </is>
      </c>
      <c r="H1713" s="156" t="inlineStr">
        <is>
          <t>Stetson</t>
        </is>
      </c>
      <c r="I1713" s="156" t="inlineStr">
        <is>
          <t>Texana Stetson Hardrock B Hueso</t>
        </is>
      </c>
      <c r="J1713" s="156" t="inlineStr">
        <is>
          <t>Accesorios</t>
        </is>
      </c>
      <c r="K1713" s="156" t="inlineStr">
        <is>
          <t>Sombreros</t>
        </is>
      </c>
      <c r="L1713" s="156" t="inlineStr">
        <is>
          <t>Unisex</t>
        </is>
      </c>
      <c r="M1713" s="156" t="inlineStr">
        <is>
          <t>Stetson</t>
        </is>
      </c>
      <c r="N1713" s="156" t="inlineStr">
        <is>
          <t>SS26</t>
        </is>
      </c>
      <c r="O1713" s="156" t="inlineStr">
        <is>
          <t>Seasonal</t>
        </is>
      </c>
      <c r="P1713" s="156" t="inlineStr">
        <is>
          <t>Beige</t>
        </is>
      </c>
      <c r="Q1713" s="156" t="n"/>
      <c r="R1713" s="156" t="inlineStr">
        <is>
          <t>Copa Teardrop</t>
        </is>
      </c>
      <c r="S1713" s="156" t="inlineStr">
        <is>
          <t>100% Fieltro de lana</t>
        </is>
      </c>
      <c r="T1713" s="156" t="inlineStr">
        <is>
          <t>Texana Stetson Hardrock B Hueso.
 Composición: 100% Fieltro de lana.
 Color: Hueso.</t>
        </is>
      </c>
      <c r="U1713" s="156" t="inlineStr">
        <is>
          <t>Estados Unidos</t>
        </is>
      </c>
      <c r="V1713" s="156" t="inlineStr">
        <is>
          <t>PZS</t>
        </is>
      </c>
      <c r="W1713" s="51" t="inlineStr">
        <is>
          <t>53102503</t>
        </is>
      </c>
      <c r="X1713" s="156" t="inlineStr">
        <is>
          <t>https://cdn.shopify.com/s/files/1/0357/2432/9005/products/TWHDRKB1040-74_Bone_1.jpg?v=1673998062</t>
        </is>
      </c>
      <c r="Y1713" s="54" t="n">
        <v>1653.75</v>
      </c>
      <c r="Z1713" s="54" t="n">
        <v>4051.724138</v>
      </c>
      <c r="AA1713" s="55">
        <f>IF(AND(A1713="", B1713="", E1713=""), "", IF(AB1713="", "Válido", IF((LEN(AB1713)-LEN(SUBSTITUTE(AB1713,"; ","")))/2+1&gt;(LEN(AB1713)-LEN(SUBSTITUTE(AB1713,"[Aviso]","")))/7, "Con Incidencias", "Válido")))</f>
        <v/>
      </c>
      <c r="AB1713" s="56">
        <f>IF(AND(A1713="", B1713="", E1713=""), "", TEXTJOIN("; ", TRUE, IF(OR(TRIM(A1713&amp;"")="", ISNUMBER(SEARCH("FALTA", A1713))), "UPC faltante/inválido", ""), IF(AND(A1713&lt;&gt;"", IFERROR(_xlfn.XMATCH(A1713,$A$2:$A$2509,0,1)&lt;&gt;_xlfn.XMATCH(A1713,$A$2:$A$2509,0,-1),FALSE)), "Código de barras duplicado", ""), IF(AND(E1713&lt;&gt;"", COUNTIF($E$2:$E$2509, E1713)&gt;1), "SKU duplicado", ""), IF(OR(J1713="", J1713=""), "[Aviso] División no capturada ()", IF(ISNA(MATCH(J1713, Criterios!$A$123:$A$126, 0)), "División no válida", "")), IF(OR(K1713="", K1713=""), "[Aviso] Categoría no capturada ()", IF(ISNA(MATCH(K1713, Criterios!$A$81:$A$120, 0)), "Categoría no válida", IF(AND(J1713&lt;&gt;"", J1713&lt;&gt;"", J1713&lt;&gt;VLOOKUP(K1713, Criterios!$A$81:$B$120, 2, FALSE)), "División no coincide con Categoría", ""))), IF(OR(L1713="", L1713=""), "[Aviso] Género no capturado ()", IF(ISNA(MATCH(L1713, Criterios!$B$123:$B$127, 0)), "Género no válido", "")), IF(OR(N1713="", N1713=""), "[Aviso] Temporada no capturada ()", IF(ISNA(MATCH(N1713, Criterios!$C$123:$C$128, 0)), "Temporada no válida", "")), IF(OR(O1713="", O1713=""), "[Aviso] Ciclo de vida no capturado ()", IF(ISNA(MATCH(O1713, Criterios!$D$123:$D$124, 0)), "Ciclo de vida no válido", ""))))</f>
        <v/>
      </c>
      <c r="AC1713" s="56" t="n"/>
      <c r="AD1713" s="51" t="n">
        <v>-1</v>
      </c>
      <c r="AE1713" s="156" t="n"/>
      <c r="AF1713" s="51" t="n">
        <v>0</v>
      </c>
      <c r="AG1713" s="156" t="inlineStr">
        <is>
          <t>Catálogo existente</t>
        </is>
      </c>
      <c r="AH1713" s="156" t="inlineStr">
        <is>
          <t>Stock negativo en sistema: revisar en conteo | Revisión 29/09/2026: Talla fuente S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3" s="156" t="inlineStr">
        <is>
          <t>Sí</t>
        </is>
      </c>
      <c r="AJ1713" s="156" t="inlineStr">
        <is>
          <t>STETSON AMERICAS (-1)</t>
        </is>
      </c>
      <c r="AK1713" s="155" t="inlineStr">
        <is>
          <t>Criterios: I [Q] | Shopify Stetson: producto 15068371255659 / variante 53409785413995 | Odoo: producto 19407 / plantilla 23894 | Investigación en línea 06/10/2026: https://www.stetson.com/products/hardrock-b-bone</t>
        </is>
      </c>
      <c r="AL1713" s="58" t="n">
        <v>1653.75</v>
      </c>
      <c r="AM1713" s="58" t="n">
        <v>4051.724138</v>
      </c>
      <c r="AN1713" s="155" t="inlineStr">
        <is>
          <t>Shopify Stetson México | Odoo Universal Unique Brands</t>
        </is>
      </c>
      <c r="AO1713" s="59" t="n">
        <v>0</v>
      </c>
      <c r="AP1713" s="59" t="n"/>
      <c r="AQ1713" s="59" t="n">
        <v>1</v>
      </c>
      <c r="AR1713" s="155" t="inlineStr">
        <is>
          <t>Odoo Universal Unique Brands › Bodega 25 › Bodega 25/General: 1</t>
        </is>
      </c>
    </row>
    <row r="1714">
      <c r="A1714" s="50" t="inlineStr">
        <is>
          <t>883383950397</t>
        </is>
      </c>
      <c r="B1714" s="51" t="inlineStr">
        <is>
          <t>110464</t>
        </is>
      </c>
      <c r="C1714" s="156" t="inlineStr">
        <is>
          <t>Multimarca</t>
        </is>
      </c>
      <c r="D1714" s="156" t="inlineStr">
        <is>
          <t>TWHDRKB104074</t>
        </is>
      </c>
      <c r="E1714" s="156" t="inlineStr">
        <is>
          <t>TWHDRKB104074XL</t>
        </is>
      </c>
      <c r="F1714" s="156" t="inlineStr">
        <is>
          <t>XL</t>
        </is>
      </c>
      <c r="G1714" s="156" t="inlineStr">
        <is>
          <t>XL</t>
        </is>
      </c>
      <c r="H1714" s="156" t="inlineStr">
        <is>
          <t>Stetson</t>
        </is>
      </c>
      <c r="I1714" s="156" t="inlineStr">
        <is>
          <t>Texana Stetson Hardrock B Hueso</t>
        </is>
      </c>
      <c r="J1714" s="156" t="inlineStr">
        <is>
          <t>Accesorios</t>
        </is>
      </c>
      <c r="K1714" s="156" t="inlineStr">
        <is>
          <t>Sombreros</t>
        </is>
      </c>
      <c r="L1714" s="156" t="inlineStr">
        <is>
          <t>Unisex</t>
        </is>
      </c>
      <c r="M1714" s="156" t="inlineStr">
        <is>
          <t>Stetson</t>
        </is>
      </c>
      <c r="N1714" s="156" t="inlineStr">
        <is>
          <t>SS26</t>
        </is>
      </c>
      <c r="O1714" s="156" t="inlineStr">
        <is>
          <t>Seasonal</t>
        </is>
      </c>
      <c r="P1714" s="156" t="inlineStr">
        <is>
          <t>Beige</t>
        </is>
      </c>
      <c r="Q1714" s="156" t="n"/>
      <c r="R1714" s="156" t="inlineStr">
        <is>
          <t>Copa Teardrop</t>
        </is>
      </c>
      <c r="S1714" s="156" t="inlineStr">
        <is>
          <t>100% Fieltro de lana</t>
        </is>
      </c>
      <c r="T1714" s="156" t="inlineStr">
        <is>
          <t>Texana Stetson Hardrock B Hueso.
 Composición: 100% Fieltro de lana.
 Color: Hueso.</t>
        </is>
      </c>
      <c r="U1714" s="156" t="inlineStr">
        <is>
          <t>Estados Unidos</t>
        </is>
      </c>
      <c r="V1714" s="156" t="inlineStr">
        <is>
          <t>PZS</t>
        </is>
      </c>
      <c r="W1714" s="51" t="inlineStr">
        <is>
          <t>53102503</t>
        </is>
      </c>
      <c r="X1714" s="156" t="inlineStr">
        <is>
          <t>https://cdn.shopify.com/s/files/1/0357/2432/9005/products/TWHDRKB1040-74_Bone_1.jpg?v=1673998062</t>
        </is>
      </c>
      <c r="Y1714" s="54" t="n">
        <v>1653.75</v>
      </c>
      <c r="Z1714" s="54" t="n">
        <v>4051.724138</v>
      </c>
      <c r="AA1714" s="55">
        <f>IF(AND(A1714="", B1714="", E1714=""), "", IF(AB1714="", "Válido", IF((LEN(AB1714)-LEN(SUBSTITUTE(AB1714,"; ","")))/2+1&gt;(LEN(AB1714)-LEN(SUBSTITUTE(AB1714,"[Aviso]","")))/7, "Con Incidencias", "Válido")))</f>
        <v/>
      </c>
      <c r="AB1714" s="56">
        <f>IF(AND(A1714="", B1714="", E1714=""), "", TEXTJOIN("; ", TRUE, IF(OR(TRIM(A1714&amp;"")="", ISNUMBER(SEARCH("FALTA", A1714))), "UPC faltante/inválido", ""), IF(AND(A1714&lt;&gt;"", IFERROR(_xlfn.XMATCH(A1714,$A$2:$A$2509,0,1)&lt;&gt;_xlfn.XMATCH(A1714,$A$2:$A$2509,0,-1),FALSE)), "Código de barras duplicado", ""), IF(AND(E1714&lt;&gt;"", COUNTIF($E$2:$E$2509, E1714)&gt;1), "SKU duplicado", ""), IF(OR(J1714="", J1714=""), "[Aviso] División no capturada ()", IF(ISNA(MATCH(J1714, Criterios!$A$123:$A$126, 0)), "División no válida", "")), IF(OR(K1714="", K1714=""), "[Aviso] Categoría no capturada ()", IF(ISNA(MATCH(K1714, Criterios!$A$81:$A$120, 0)), "Categoría no válida", IF(AND(J1714&lt;&gt;"", J1714&lt;&gt;"", J1714&lt;&gt;VLOOKUP(K1714, Criterios!$A$81:$B$120, 2, FALSE)), "División no coincide con Categoría", ""))), IF(OR(L1714="", L1714=""), "[Aviso] Género no capturado ()", IF(ISNA(MATCH(L1714, Criterios!$B$123:$B$127, 0)), "Género no válido", "")), IF(OR(N1714="", N1714=""), "[Aviso] Temporada no capturada ()", IF(ISNA(MATCH(N1714, Criterios!$C$123:$C$128, 0)), "Temporada no válida", "")), IF(OR(O1714="", O1714=""), "[Aviso] Ciclo de vida no capturado ()", IF(ISNA(MATCH(O1714, Criterios!$D$123:$D$124, 0)), "Ciclo de vida no válido", ""))))</f>
        <v/>
      </c>
      <c r="AC1714" s="56" t="n"/>
      <c r="AD1714" s="51" t="n">
        <v>0</v>
      </c>
      <c r="AE1714" s="156" t="n"/>
      <c r="AF1714" s="51" t="n">
        <v>0</v>
      </c>
      <c r="AG1714" s="156" t="inlineStr">
        <is>
          <t>Catálogo existente</t>
        </is>
      </c>
      <c r="AH1714" s="156" t="inlineStr">
        <is>
          <t>Revisión 29/09/2026: Talla fuente XL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4" s="156" t="inlineStr">
        <is>
          <t>No</t>
        </is>
      </c>
      <c r="AJ1714" s="156" t="n"/>
      <c r="AK1714" s="155" t="inlineStr">
        <is>
          <t>Criterios: I [Q] | Shopify Stetson: producto 15068371255659 / variante 53409785479531 | Odoo: producto 19410 / plantilla 23897 | Investigación en línea 06/10/2026: https://www.stetson.com/products/hardrock-b-bone</t>
        </is>
      </c>
      <c r="AL1714" s="58" t="n">
        <v>1653.75</v>
      </c>
      <c r="AM1714" s="58" t="n">
        <v>4051.724138</v>
      </c>
      <c r="AN1714" s="155" t="inlineStr">
        <is>
          <t>Shopify Stetson México | Odoo Universal Unique Brands</t>
        </is>
      </c>
      <c r="AO1714" s="59" t="n">
        <v>1</v>
      </c>
      <c r="AP1714" s="59" t="n"/>
      <c r="AQ1714" s="59" t="n">
        <v>1</v>
      </c>
      <c r="AR1714" s="155" t="inlineStr">
        <is>
          <t>Shopify Stetson México › Stetson Americas: 1 | Odoo Universal Unique Brands › Bodega 25 › Bodega 25/General: 1</t>
        </is>
      </c>
    </row>
    <row r="1715">
      <c r="A1715" s="50" t="inlineStr">
        <is>
          <t>883383950786</t>
        </is>
      </c>
      <c r="B1715" s="51" t="inlineStr">
        <is>
          <t>117405</t>
        </is>
      </c>
      <c r="C1715" s="156" t="inlineStr">
        <is>
          <t>Multimarca</t>
        </is>
      </c>
      <c r="D1715" s="156" t="inlineStr">
        <is>
          <t>TWMDNTB1036KB</t>
        </is>
      </c>
      <c r="E1715" s="156" t="inlineStr">
        <is>
          <t>TWMDNTB1036KBL0</t>
        </is>
      </c>
      <c r="F1715" s="156" t="inlineStr">
        <is>
          <t>L</t>
        </is>
      </c>
      <c r="G1715" s="156" t="inlineStr">
        <is>
          <t>L</t>
        </is>
      </c>
      <c r="H1715" s="156" t="inlineStr">
        <is>
          <t>Stetson</t>
        </is>
      </c>
      <c r="I1715" s="156" t="inlineStr">
        <is>
          <t>Texana Stetson Midnight Negro</t>
        </is>
      </c>
      <c r="J1715" s="156" t="inlineStr">
        <is>
          <t>Accesorios</t>
        </is>
      </c>
      <c r="K1715" s="156" t="inlineStr">
        <is>
          <t>Sombreros</t>
        </is>
      </c>
      <c r="L1715" s="156" t="inlineStr">
        <is>
          <t>Unisex</t>
        </is>
      </c>
      <c r="M1715" s="156" t="inlineStr">
        <is>
          <t>Stetson</t>
        </is>
      </c>
      <c r="N1715" s="156" t="inlineStr">
        <is>
          <t>FW26</t>
        </is>
      </c>
      <c r="O1715" s="156" t="inlineStr">
        <is>
          <t>Seasonal</t>
        </is>
      </c>
      <c r="P1715" s="156" t="inlineStr">
        <is>
          <t>Negro</t>
        </is>
      </c>
      <c r="Q1715" s="156" t="n"/>
      <c r="R1715" s="156" t="inlineStr">
        <is>
          <t>Copa Pinch Front</t>
        </is>
      </c>
      <c r="S1715" s="156" t="inlineStr">
        <is>
          <t>Mezcla de lana</t>
        </is>
      </c>
      <c r="T1715"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Roble (color oficial Stetson: Oak)
 Material: Fieltro de lana de calidad
 Fabricación: Hecho a mano en Garland, Texas, EE. UU.</t>
        </is>
      </c>
      <c r="U1715" s="156" t="inlineStr">
        <is>
          <t>Estados Unidos</t>
        </is>
      </c>
      <c r="V1715" s="156" t="inlineStr">
        <is>
          <t>PZS</t>
        </is>
      </c>
      <c r="W1715" s="51" t="inlineStr">
        <is>
          <t>53102503</t>
        </is>
      </c>
      <c r="X1715" s="156" t="inlineStr">
        <is>
          <t>https://cdn.shopify.com/s/files/1/0357/2432/9005/products/TWMDNTB1036-KB_OAK_1.jpg?v=1649099984</t>
        </is>
      </c>
      <c r="Y1715" s="54" t="n">
        <v>1338.75</v>
      </c>
      <c r="Z1715" s="54" t="n">
        <v>3275.862069</v>
      </c>
      <c r="AA1715" s="55">
        <f>IF(AND(A1715="", B1715="", E1715=""), "", IF(AB1715="", "Válido", IF((LEN(AB1715)-LEN(SUBSTITUTE(AB1715,"; ","")))/2+1&gt;(LEN(AB1715)-LEN(SUBSTITUTE(AB1715,"[Aviso]","")))/7, "Con Incidencias", "Válido")))</f>
        <v/>
      </c>
      <c r="AB1715" s="56">
        <f>IF(AND(A1715="", B1715="", E1715=""), "", TEXTJOIN("; ", TRUE, IF(OR(TRIM(A1715&amp;"")="", ISNUMBER(SEARCH("FALTA", A1715))), "UPC faltante/inválido", ""), IF(AND(A1715&lt;&gt;"", IFERROR(_xlfn.XMATCH(A1715,$A$2:$A$2509,0,1)&lt;&gt;_xlfn.XMATCH(A1715,$A$2:$A$2509,0,-1),FALSE)), "Código de barras duplicado", ""), IF(AND(E1715&lt;&gt;"", COUNTIF($E$2:$E$2509, E1715)&gt;1), "SKU duplicado", ""), IF(OR(J1715="", J1715=""), "[Aviso] División no capturada ()", IF(ISNA(MATCH(J1715, Criterios!$A$123:$A$126, 0)), "División no válida", "")), IF(OR(K1715="", K1715=""), "[Aviso] Categoría no capturada ()", IF(ISNA(MATCH(K1715, Criterios!$A$81:$A$120, 0)), "Categoría no válida", IF(AND(J1715&lt;&gt;"", J1715&lt;&gt;"", J1715&lt;&gt;VLOOKUP(K1715, Criterios!$A$81:$B$120, 2, FALSE)), "División no coincide con Categoría", ""))), IF(OR(L1715="", L1715=""), "[Aviso] Género no capturado ()", IF(ISNA(MATCH(L1715, Criterios!$B$123:$B$127, 0)), "Género no válido", "")), IF(OR(N1715="", N1715=""), "[Aviso] Temporada no capturada ()", IF(ISNA(MATCH(N1715, Criterios!$C$123:$C$128, 0)), "Temporada no válida", "")), IF(OR(O1715="", O1715=""), "[Aviso] Ciclo de vida no capturado ()", IF(ISNA(MATCH(O1715, Criterios!$D$123:$D$124, 0)), "Ciclo de vida no válido", ""))))</f>
        <v/>
      </c>
      <c r="AC1715" s="56" t="n"/>
      <c r="AD1715" s="51" t="n">
        <v>0</v>
      </c>
      <c r="AE1715" s="156" t="inlineStr">
        <is>
          <t>STETSON AMERICAS (2)</t>
        </is>
      </c>
      <c r="AF1715" s="51" t="n">
        <v>2</v>
      </c>
      <c r="AG1715" s="156" t="inlineStr">
        <is>
          <t>Catálogo existente</t>
        </is>
      </c>
      <c r="AH1715"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«https://cdn.shopify.com/s/files/1/0357/2432/9005/products/TWMDNTB1036-KB_OAK_1.jpg?v=1649099984» (Completado por investigación en línea)</t>
        </is>
      </c>
      <c r="AI1715" s="156" t="inlineStr">
        <is>
          <t>Sí</t>
        </is>
      </c>
      <c r="AJ1715" s="156" t="inlineStr">
        <is>
          <t>PUNTO DE VENTA (-1); B25 CEDIS (-1)</t>
        </is>
      </c>
      <c r="AK1715" s="155" t="inlineStr">
        <is>
          <t>Criterios: I [Q] | Shopify Stetson: producto 15243008147819 / variante 53849434063211 | Investigación en línea 06/10/2026: https://www.stetson.com/products/midtown-wide-flat-brim-hat-oak</t>
        </is>
      </c>
      <c r="AL1715" s="58" t="n">
        <v>1338.75</v>
      </c>
      <c r="AM1715" s="58" t="n">
        <v>3275.862069</v>
      </c>
      <c r="AN1715" s="155" t="inlineStr">
        <is>
          <t>Shopify Stetson México</t>
        </is>
      </c>
      <c r="AO1715" s="59" t="n">
        <v>2</v>
      </c>
      <c r="AP1715" s="59" t="n"/>
      <c r="AQ1715" s="59" t="n"/>
      <c r="AR1715" s="155" t="inlineStr">
        <is>
          <t>Shopify Stetson México › Stetson Americas: 2</t>
        </is>
      </c>
    </row>
    <row r="1716">
      <c r="A1716" s="50" t="inlineStr">
        <is>
          <t>883383950816</t>
        </is>
      </c>
      <c r="B1716" s="51" t="inlineStr">
        <is>
          <t>117406</t>
        </is>
      </c>
      <c r="C1716" s="156" t="inlineStr">
        <is>
          <t>Multimarca</t>
        </is>
      </c>
      <c r="D1716" s="156" t="inlineStr">
        <is>
          <t>TWMDNTB1036KB</t>
        </is>
      </c>
      <c r="E1716" s="156" t="inlineStr">
        <is>
          <t>TWMDNTB1036KBM0</t>
        </is>
      </c>
      <c r="F1716" s="156" t="inlineStr">
        <is>
          <t>M</t>
        </is>
      </c>
      <c r="G1716" s="156" t="inlineStr">
        <is>
          <t>M</t>
        </is>
      </c>
      <c r="H1716" s="156" t="inlineStr">
        <is>
          <t>Stetson</t>
        </is>
      </c>
      <c r="I1716" s="156" t="inlineStr">
        <is>
          <t>Texana Stetson Midnight Negro</t>
        </is>
      </c>
      <c r="J1716" s="156" t="inlineStr">
        <is>
          <t>Accesorios</t>
        </is>
      </c>
      <c r="K1716" s="156" t="inlineStr">
        <is>
          <t>Sombreros</t>
        </is>
      </c>
      <c r="L1716" s="156" t="inlineStr">
        <is>
          <t>Unisex</t>
        </is>
      </c>
      <c r="M1716" s="156" t="inlineStr">
        <is>
          <t>Stetson</t>
        </is>
      </c>
      <c r="N1716" s="156" t="inlineStr">
        <is>
          <t>FW26</t>
        </is>
      </c>
      <c r="O1716" s="156" t="inlineStr">
        <is>
          <t>Seasonal</t>
        </is>
      </c>
      <c r="P1716" s="156" t="inlineStr">
        <is>
          <t>Negro</t>
        </is>
      </c>
      <c r="Q1716" s="156" t="n"/>
      <c r="R1716" s="156" t="inlineStr">
        <is>
          <t>Copa Pinch Front</t>
        </is>
      </c>
      <c r="S1716" s="156" t="inlineStr">
        <is>
          <t>Mezcla de lana</t>
        </is>
      </c>
      <c r="T1716"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Roble (color oficial Stetson: Oak)
 Material: Fieltro de lana de calidad
 Fabricación: Hecho a mano en Garland, Texas, EE. UU.</t>
        </is>
      </c>
      <c r="U1716" s="156" t="inlineStr">
        <is>
          <t>Estados Unidos</t>
        </is>
      </c>
      <c r="V1716" s="156" t="inlineStr">
        <is>
          <t>PZS</t>
        </is>
      </c>
      <c r="W1716" s="51" t="inlineStr">
        <is>
          <t>53102503</t>
        </is>
      </c>
      <c r="X1716" s="156" t="inlineStr">
        <is>
          <t>https://cdn.shopify.com/s/files/1/0357/2432/9005/products/TWMDNTB1036-KB_OAK_1.jpg?v=1649099984</t>
        </is>
      </c>
      <c r="Y1716" s="54" t="n">
        <v>1338.75</v>
      </c>
      <c r="Z1716" s="54" t="n">
        <v>3275.862069</v>
      </c>
      <c r="AA1716" s="55">
        <f>IF(AND(A1716="", B1716="", E1716=""), "", IF(AB1716="", "Válido", IF((LEN(AB1716)-LEN(SUBSTITUTE(AB1716,"; ","")))/2+1&gt;(LEN(AB1716)-LEN(SUBSTITUTE(AB1716,"[Aviso]","")))/7, "Con Incidencias", "Válido")))</f>
        <v/>
      </c>
      <c r="AB1716" s="56">
        <f>IF(AND(A1716="", B1716="", E1716=""), "", TEXTJOIN("; ", TRUE, IF(OR(TRIM(A1716&amp;"")="", ISNUMBER(SEARCH("FALTA", A1716))), "UPC faltante/inválido", ""), IF(AND(A1716&lt;&gt;"", IFERROR(_xlfn.XMATCH(A1716,$A$2:$A$2509,0,1)&lt;&gt;_xlfn.XMATCH(A1716,$A$2:$A$2509,0,-1),FALSE)), "Código de barras duplicado", ""), IF(AND(E1716&lt;&gt;"", COUNTIF($E$2:$E$2509, E1716)&gt;1), "SKU duplicado", ""), IF(OR(J1716="", J1716=""), "[Aviso] División no capturada ()", IF(ISNA(MATCH(J1716, Criterios!$A$123:$A$126, 0)), "División no válida", "")), IF(OR(K1716="", K1716=""), "[Aviso] Categoría no capturada ()", IF(ISNA(MATCH(K1716, Criterios!$A$81:$A$120, 0)), "Categoría no válida", IF(AND(J1716&lt;&gt;"", J1716&lt;&gt;"", J1716&lt;&gt;VLOOKUP(K1716, Criterios!$A$81:$B$120, 2, FALSE)), "División no coincide con Categoría", ""))), IF(OR(L1716="", L1716=""), "[Aviso] Género no capturado ()", IF(ISNA(MATCH(L1716, Criterios!$B$123:$B$127, 0)), "Género no válido", "")), IF(OR(N1716="", N1716=""), "[Aviso] Temporada no capturada ()", IF(ISNA(MATCH(N1716, Criterios!$C$123:$C$128, 0)), "Temporada no válida", "")), IF(OR(O1716="", O1716=""), "[Aviso] Ciclo de vida no capturado ()", IF(ISNA(MATCH(O1716, Criterios!$D$123:$D$124, 0)), "Ciclo de vida no válido", ""))))</f>
        <v/>
      </c>
      <c r="AC1716" s="56" t="n"/>
      <c r="AD1716" s="51" t="n">
        <v>-1</v>
      </c>
      <c r="AE1716" s="156" t="inlineStr">
        <is>
          <t>STETSON AMERICAS (1)</t>
        </is>
      </c>
      <c r="AF1716" s="51" t="n">
        <v>1</v>
      </c>
      <c r="AG1716" s="156" t="inlineStr">
        <is>
          <t>Catálogo existente</t>
        </is>
      </c>
      <c r="AH1716"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«https://cdn.shopify.com/s/files/1/0357/2432/9005/products/TWMDNTB1036-KB_OAK_1.jpg?v=1649099984» (Completado por investigación en línea)</t>
        </is>
      </c>
      <c r="AI1716" s="156" t="inlineStr">
        <is>
          <t>Sí</t>
        </is>
      </c>
      <c r="AJ1716" s="156" t="inlineStr">
        <is>
          <t>B25 CEDIS (-1); PUNTO DE VENTA (-1)</t>
        </is>
      </c>
      <c r="AK1716" s="155" t="inlineStr">
        <is>
          <t>Criterios: I [Q] | Shopify Stetson: producto 15243008147819 / variante 53849434095979 | Investigación en línea 06/10/2026: https://www.stetson.com/products/midtown-wide-flat-brim-hat-oak</t>
        </is>
      </c>
      <c r="AL1716" s="58" t="n">
        <v>1338.75</v>
      </c>
      <c r="AM1716" s="58" t="n">
        <v>3275.862069</v>
      </c>
      <c r="AN1716" s="155" t="inlineStr">
        <is>
          <t>Shopify Stetson México</t>
        </is>
      </c>
      <c r="AO1716" s="59" t="n">
        <v>1</v>
      </c>
      <c r="AP1716" s="59" t="n"/>
      <c r="AQ1716" s="59" t="n"/>
      <c r="AR1716" s="155" t="inlineStr">
        <is>
          <t>Shopify Stetson México › Stetson Americas: 1</t>
        </is>
      </c>
    </row>
    <row r="1717">
      <c r="A1717" s="50" t="inlineStr">
        <is>
          <t>883383951431</t>
        </is>
      </c>
      <c r="B1717" s="51" t="inlineStr">
        <is>
          <t>110448</t>
        </is>
      </c>
      <c r="C1717" s="156" t="inlineStr">
        <is>
          <t>Multimarca</t>
        </is>
      </c>
      <c r="D1717" s="156" t="inlineStr">
        <is>
          <t>TWDYLN-143407</t>
        </is>
      </c>
      <c r="E1717" s="156" t="inlineStr">
        <is>
          <t>TWDYLN-143407L0</t>
        </is>
      </c>
      <c r="F1717" s="156" t="inlineStr">
        <is>
          <t>L</t>
        </is>
      </c>
      <c r="G1717" s="156" t="inlineStr">
        <is>
          <t>L</t>
        </is>
      </c>
      <c r="H1717" s="156" t="inlineStr">
        <is>
          <t>Stetson</t>
        </is>
      </c>
      <c r="I1717" s="156" t="inlineStr">
        <is>
          <t>Texana Stetson Dylan Negro</t>
        </is>
      </c>
      <c r="J1717" s="156" t="inlineStr">
        <is>
          <t>Accesorios</t>
        </is>
      </c>
      <c r="K1717" s="156" t="inlineStr">
        <is>
          <t>Sombreros</t>
        </is>
      </c>
      <c r="L1717" s="156" t="inlineStr">
        <is>
          <t>Unisex</t>
        </is>
      </c>
      <c r="M1717" s="156" t="inlineStr">
        <is>
          <t>Stetson</t>
        </is>
      </c>
      <c r="N1717" s="156" t="inlineStr">
        <is>
          <t>SS26</t>
        </is>
      </c>
      <c r="O1717" s="156" t="inlineStr">
        <is>
          <t>Seasonal</t>
        </is>
      </c>
      <c r="P1717" s="156" t="inlineStr">
        <is>
          <t>Negro</t>
        </is>
      </c>
      <c r="Q1717" s="156" t="n"/>
      <c r="R1717" s="156" t="n"/>
      <c r="S1717" s="156" t="inlineStr">
        <is>
          <t>100% Fieltro de lana</t>
        </is>
      </c>
      <c r="T1717" s="156" t="inlineStr">
        <is>
          <t>Texana Stetson Dylan Negro.
 Composición: 100% Fieltro de lana.
 Color: Negro.</t>
        </is>
      </c>
      <c r="U1717" s="156" t="n"/>
      <c r="V1717" s="156" t="inlineStr">
        <is>
          <t>PZS</t>
        </is>
      </c>
      <c r="W1717" s="51" t="inlineStr">
        <is>
          <t>53102503</t>
        </is>
      </c>
      <c r="X1717" s="156" t="n"/>
      <c r="Y1717" s="54" t="n">
        <v>1141.875</v>
      </c>
      <c r="Z1717" s="54" t="n">
        <v>2758.62069</v>
      </c>
      <c r="AA1717" s="55">
        <f>IF(AND(A1717="", B1717="", E1717=""), "", IF(AB1717="", "Válido", IF((LEN(AB1717)-LEN(SUBSTITUTE(AB1717,"; ","")))/2+1&gt;(LEN(AB1717)-LEN(SUBSTITUTE(AB1717,"[Aviso]","")))/7, "Con Incidencias", "Válido")))</f>
        <v/>
      </c>
      <c r="AB1717" s="56">
        <f>IF(AND(A1717="", B1717="", E1717=""), "", TEXTJOIN("; ", TRUE, IF(OR(TRIM(A1717&amp;"")="", ISNUMBER(SEARCH("FALTA", A1717))), "UPC faltante/inválido", ""), IF(AND(A1717&lt;&gt;"", IFERROR(_xlfn.XMATCH(A1717,$A$2:$A$2509,0,1)&lt;&gt;_xlfn.XMATCH(A1717,$A$2:$A$2509,0,-1),FALSE)), "Código de barras duplicado", ""), IF(AND(E1717&lt;&gt;"", COUNTIF($E$2:$E$2509, E1717)&gt;1), "SKU duplicado", ""), IF(OR(J1717="", J1717=""), "[Aviso] División no capturada ()", IF(ISNA(MATCH(J1717, Criterios!$A$123:$A$126, 0)), "División no válida", "")), IF(OR(K1717="", K1717=""), "[Aviso] Categoría no capturada ()", IF(ISNA(MATCH(K1717, Criterios!$A$81:$A$120, 0)), "Categoría no válida", IF(AND(J1717&lt;&gt;"", J1717&lt;&gt;"", J1717&lt;&gt;VLOOKUP(K1717, Criterios!$A$81:$B$120, 2, FALSE)), "División no coincide con Categoría", ""))), IF(OR(L1717="", L1717=""), "[Aviso] Género no capturado ()", IF(ISNA(MATCH(L1717, Criterios!$B$123:$B$127, 0)), "Género no válido", "")), IF(OR(N1717="", N1717=""), "[Aviso] Temporada no capturada ()", IF(ISNA(MATCH(N1717, Criterios!$C$123:$C$128, 0)), "Temporada no válida", "")), IF(OR(O1717="", O1717=""), "[Aviso] Ciclo de vida no capturado ()", IF(ISNA(MATCH(O1717, Criterios!$D$123:$D$124, 0)), "Ciclo de vida no válido", ""))))</f>
        <v/>
      </c>
      <c r="AC1717" s="56" t="n"/>
      <c r="AD1717" s="51" t="n">
        <v>-1</v>
      </c>
      <c r="AE1717" s="156" t="n"/>
      <c r="AF1717" s="51" t="n">
        <v>0</v>
      </c>
      <c r="AG1717" s="156" t="inlineStr">
        <is>
          <t>Catálogo existente</t>
        </is>
      </c>
      <c r="AH1717" s="156" t="inlineStr">
        <is>
          <t>Stock negativo en sistema: revisar en conteo | Revisión 29/09/2026: Talla fuente L sin equivalencia exacta en Criterios para Talla Sombrero; Campos sin respaldo: U, X | 01/10/2026: complementado desde Shopify Stetson México (match por código de barras): WB Fit</t>
        </is>
      </c>
      <c r="AI1717" s="156" t="inlineStr">
        <is>
          <t>Sí</t>
        </is>
      </c>
      <c r="AJ1717" s="156" t="inlineStr">
        <is>
          <t>STETSON AMERICAS (-1)</t>
        </is>
      </c>
      <c r="AK1717" s="155" t="inlineStr">
        <is>
          <t>Criterios: I [Q] | Shopify Stetson: producto 15056329638251 / variante 53357914030443</t>
        </is>
      </c>
      <c r="AL1717" s="58" t="n">
        <v>1141.875</v>
      </c>
      <c r="AM1717" s="58" t="n">
        <v>2758.62069</v>
      </c>
      <c r="AN1717" s="155" t="inlineStr">
        <is>
          <t>Shopify Stetson México</t>
        </is>
      </c>
      <c r="AO1717" s="59" t="n">
        <v>0</v>
      </c>
      <c r="AP1717" s="59" t="n"/>
      <c r="AQ1717" s="59" t="n"/>
      <c r="AR1717" s="155" t="n"/>
    </row>
    <row r="1718">
      <c r="A1718" s="50" t="inlineStr">
        <is>
          <t>883383951448</t>
        </is>
      </c>
      <c r="B1718" s="51" t="inlineStr">
        <is>
          <t>110451</t>
        </is>
      </c>
      <c r="C1718" s="156" t="inlineStr">
        <is>
          <t>Multimarca</t>
        </is>
      </c>
      <c r="D1718" s="156" t="inlineStr">
        <is>
          <t>TWDYLN-143423</t>
        </is>
      </c>
      <c r="E1718" s="156" t="inlineStr">
        <is>
          <t>TWDYLN-143423L0</t>
        </is>
      </c>
      <c r="F1718" s="156" t="inlineStr">
        <is>
          <t>L</t>
        </is>
      </c>
      <c r="G1718" s="156" t="inlineStr">
        <is>
          <t>L</t>
        </is>
      </c>
      <c r="H1718" s="156" t="inlineStr">
        <is>
          <t>Stetson</t>
        </is>
      </c>
      <c r="I1718" s="156" t="inlineStr">
        <is>
          <t>Texana Stetson Dylan Visón</t>
        </is>
      </c>
      <c r="J1718" s="156" t="inlineStr">
        <is>
          <t>Accesorios</t>
        </is>
      </c>
      <c r="K1718" s="156" t="inlineStr">
        <is>
          <t>Sombreros</t>
        </is>
      </c>
      <c r="L1718" s="156" t="inlineStr">
        <is>
          <t>Unisex</t>
        </is>
      </c>
      <c r="M1718" s="156" t="inlineStr">
        <is>
          <t>Stetson</t>
        </is>
      </c>
      <c r="N1718" s="156" t="inlineStr">
        <is>
          <t>SS26</t>
        </is>
      </c>
      <c r="O1718" s="156" t="inlineStr">
        <is>
          <t>Seasonal</t>
        </is>
      </c>
      <c r="P1718" s="156" t="inlineStr">
        <is>
          <t>Cafe</t>
        </is>
      </c>
      <c r="Q1718" s="156" t="n"/>
      <c r="R1718" s="156" t="n"/>
      <c r="S1718" s="156" t="inlineStr">
        <is>
          <t>100% Fieltro de lana</t>
        </is>
      </c>
      <c r="T1718" s="156" t="inlineStr">
        <is>
          <t>Texana Stetson Dylan Visón.
 Composición: 100% Fieltro de lana.
 Color: Visón.</t>
        </is>
      </c>
      <c r="U1718" s="156" t="n"/>
      <c r="V1718" s="156" t="inlineStr">
        <is>
          <t>PZS</t>
        </is>
      </c>
      <c r="W1718" s="51" t="inlineStr">
        <is>
          <t>53102503</t>
        </is>
      </c>
      <c r="X1718" s="156" t="n"/>
      <c r="Y1718" s="54" t="n">
        <v>1141.875</v>
      </c>
      <c r="Z1718" s="54" t="n">
        <v>2758.62069</v>
      </c>
      <c r="AA1718" s="55">
        <f>IF(AND(A1718="", B1718="", E1718=""), "", IF(AB1718="", "Válido", IF((LEN(AB1718)-LEN(SUBSTITUTE(AB1718,"; ","")))/2+1&gt;(LEN(AB1718)-LEN(SUBSTITUTE(AB1718,"[Aviso]","")))/7, "Con Incidencias", "Válido")))</f>
        <v/>
      </c>
      <c r="AB1718" s="56">
        <f>IF(AND(A1718="", B1718="", E1718=""), "", TEXTJOIN("; ", TRUE, IF(OR(TRIM(A1718&amp;"")="", ISNUMBER(SEARCH("FALTA", A1718))), "UPC faltante/inválido", ""), IF(AND(A1718&lt;&gt;"", IFERROR(_xlfn.XMATCH(A1718,$A$2:$A$2509,0,1)&lt;&gt;_xlfn.XMATCH(A1718,$A$2:$A$2509,0,-1),FALSE)), "Código de barras duplicado", ""), IF(AND(E1718&lt;&gt;"", COUNTIF($E$2:$E$2509, E1718)&gt;1), "SKU duplicado", ""), IF(OR(J1718="", J1718=""), "[Aviso] División no capturada ()", IF(ISNA(MATCH(J1718, Criterios!$A$123:$A$126, 0)), "División no válida", "")), IF(OR(K1718="", K1718=""), "[Aviso] Categoría no capturada ()", IF(ISNA(MATCH(K1718, Criterios!$A$81:$A$120, 0)), "Categoría no válida", IF(AND(J1718&lt;&gt;"", J1718&lt;&gt;"", J1718&lt;&gt;VLOOKUP(K1718, Criterios!$A$81:$B$120, 2, FALSE)), "División no coincide con Categoría", ""))), IF(OR(L1718="", L1718=""), "[Aviso] Género no capturado ()", IF(ISNA(MATCH(L1718, Criterios!$B$123:$B$127, 0)), "Género no válido", "")), IF(OR(N1718="", N1718=""), "[Aviso] Temporada no capturada ()", IF(ISNA(MATCH(N1718, Criterios!$C$123:$C$128, 0)), "Temporada no válida", "")), IF(OR(O1718="", O1718=""), "[Aviso] Ciclo de vida no capturado ()", IF(ISNA(MATCH(O1718, Criterios!$D$123:$D$124, 0)), "Ciclo de vida no válido", ""))))</f>
        <v/>
      </c>
      <c r="AC1718" s="56" t="n"/>
      <c r="AD1718" s="51" t="n">
        <v>0</v>
      </c>
      <c r="AE1718" s="156" t="n"/>
      <c r="AF1718" s="51" t="n">
        <v>0</v>
      </c>
      <c r="AG1718" s="156" t="inlineStr">
        <is>
          <t>Catálogo existente</t>
        </is>
      </c>
      <c r="AH1718" s="156" t="inlineStr">
        <is>
          <t>Revisión 29/09/2026: Talla fuente L sin equivalencia exacta en Criterios para Talla Sombrero; Campos sin respaldo: U, X | 01/10/2026: complementado desde Shopify Stetson México (match por código de barras): WB Fit</t>
        </is>
      </c>
      <c r="AI1718" s="156" t="inlineStr">
        <is>
          <t>No</t>
        </is>
      </c>
      <c r="AJ1718" s="156" t="n"/>
      <c r="AK1718" s="155" t="inlineStr">
        <is>
          <t>Criterios: I [Q] | Shopify Stetson: producto 15056329671019 / variante 53357914128747</t>
        </is>
      </c>
      <c r="AL1718" s="58" t="n">
        <v>1141.875</v>
      </c>
      <c r="AM1718" s="58" t="n">
        <v>2758.62069</v>
      </c>
      <c r="AN1718" s="155" t="inlineStr">
        <is>
          <t>Shopify Stetson México</t>
        </is>
      </c>
      <c r="AO1718" s="59" t="n">
        <v>1</v>
      </c>
      <c r="AP1718" s="59" t="n"/>
      <c r="AQ1718" s="59" t="n"/>
      <c r="AR1718" s="155" t="inlineStr">
        <is>
          <t>Shopify Stetson México › Stetson Americas: 1</t>
        </is>
      </c>
    </row>
    <row r="1719">
      <c r="A1719" s="50" t="inlineStr">
        <is>
          <t>883383951455</t>
        </is>
      </c>
      <c r="B1719" s="51" t="inlineStr">
        <is>
          <t>110454</t>
        </is>
      </c>
      <c r="C1719" s="156" t="inlineStr">
        <is>
          <t>Multimarca</t>
        </is>
      </c>
      <c r="D1719" s="156" t="inlineStr">
        <is>
          <t>TWDYLN-143448</t>
        </is>
      </c>
      <c r="E1719" s="156" t="inlineStr">
        <is>
          <t>TWDYLN-143448L0</t>
        </is>
      </c>
      <c r="F1719" s="156" t="inlineStr">
        <is>
          <t>L</t>
        </is>
      </c>
      <c r="G1719" s="156" t="inlineStr">
        <is>
          <t>L</t>
        </is>
      </c>
      <c r="H1719" s="156" t="inlineStr">
        <is>
          <t>Stetson</t>
        </is>
      </c>
      <c r="I1719" s="156" t="inlineStr">
        <is>
          <t>Texana Stetson Dylan Marino</t>
        </is>
      </c>
      <c r="J1719" s="156" t="inlineStr">
        <is>
          <t>Accesorios</t>
        </is>
      </c>
      <c r="K1719" s="156" t="inlineStr">
        <is>
          <t>Sombreros</t>
        </is>
      </c>
      <c r="L1719" s="156" t="inlineStr">
        <is>
          <t>Unisex</t>
        </is>
      </c>
      <c r="M1719" s="156" t="inlineStr">
        <is>
          <t>Stetson</t>
        </is>
      </c>
      <c r="N1719" s="156" t="inlineStr">
        <is>
          <t>SS26</t>
        </is>
      </c>
      <c r="O1719" s="156" t="inlineStr">
        <is>
          <t>Seasonal</t>
        </is>
      </c>
      <c r="P1719" s="156" t="inlineStr">
        <is>
          <t>Azul</t>
        </is>
      </c>
      <c r="Q1719" s="156" t="n"/>
      <c r="R1719" s="156" t="n"/>
      <c r="S1719" s="156" t="inlineStr">
        <is>
          <t>100% Fieltro de lana</t>
        </is>
      </c>
      <c r="T1719" s="156" t="inlineStr">
        <is>
          <t>Texana Stetson Dylan Marino.
 Composición: 100% Fieltro de lana.
 Color: Marino.</t>
        </is>
      </c>
      <c r="U1719" s="156" t="n"/>
      <c r="V1719" s="156" t="inlineStr">
        <is>
          <t>PZS</t>
        </is>
      </c>
      <c r="W1719" s="51" t="inlineStr">
        <is>
          <t>53102503</t>
        </is>
      </c>
      <c r="X1719" s="156" t="n"/>
      <c r="Y1719" s="54" t="n">
        <v>1141.875</v>
      </c>
      <c r="Z1719" s="54" t="n">
        <v>2758.62069</v>
      </c>
      <c r="AA1719" s="55">
        <f>IF(AND(A1719="", B1719="", E1719=""), "", IF(AB1719="", "Válido", IF((LEN(AB1719)-LEN(SUBSTITUTE(AB1719,"; ","")))/2+1&gt;(LEN(AB1719)-LEN(SUBSTITUTE(AB1719,"[Aviso]","")))/7, "Con Incidencias", "Válido")))</f>
        <v/>
      </c>
      <c r="AB1719" s="56">
        <f>IF(AND(A1719="", B1719="", E1719=""), "", TEXTJOIN("; ", TRUE, IF(OR(TRIM(A1719&amp;"")="", ISNUMBER(SEARCH("FALTA", A1719))), "UPC faltante/inválido", ""), IF(AND(A1719&lt;&gt;"", IFERROR(_xlfn.XMATCH(A1719,$A$2:$A$2509,0,1)&lt;&gt;_xlfn.XMATCH(A1719,$A$2:$A$2509,0,-1),FALSE)), "Código de barras duplicado", ""), IF(AND(E1719&lt;&gt;"", COUNTIF($E$2:$E$2509, E1719)&gt;1), "SKU duplicado", ""), IF(OR(J1719="", J1719=""), "[Aviso] División no capturada ()", IF(ISNA(MATCH(J1719, Criterios!$A$123:$A$126, 0)), "División no válida", "")), IF(OR(K1719="", K1719=""), "[Aviso] Categoría no capturada ()", IF(ISNA(MATCH(K1719, Criterios!$A$81:$A$120, 0)), "Categoría no válida", IF(AND(J1719&lt;&gt;"", J1719&lt;&gt;"", J1719&lt;&gt;VLOOKUP(K1719, Criterios!$A$81:$B$120, 2, FALSE)), "División no coincide con Categoría", ""))), IF(OR(L1719="", L1719=""), "[Aviso] Género no capturado ()", IF(ISNA(MATCH(L1719, Criterios!$B$123:$B$127, 0)), "Género no válido", "")), IF(OR(N1719="", N1719=""), "[Aviso] Temporada no capturada ()", IF(ISNA(MATCH(N1719, Criterios!$C$123:$C$128, 0)), "Temporada no válida", "")), IF(OR(O1719="", O1719=""), "[Aviso] Ciclo de vida no capturado ()", IF(ISNA(MATCH(O1719, Criterios!$D$123:$D$124, 0)), "Ciclo de vida no válido", ""))))</f>
        <v/>
      </c>
      <c r="AC1719" s="56" t="n"/>
      <c r="AD1719" s="51" t="n">
        <v>0</v>
      </c>
      <c r="AE1719" s="156" t="n"/>
      <c r="AF1719" s="51" t="n">
        <v>0</v>
      </c>
      <c r="AG1719" s="156" t="inlineStr">
        <is>
          <t>Catálogo existente</t>
        </is>
      </c>
      <c r="AH1719" s="156" t="inlineStr">
        <is>
          <t>Revisión 29/09/2026: Talla fuente L sin equivalencia exacta en Criterios para Talla Sombrero; Campos sin respaldo: U, X</t>
        </is>
      </c>
      <c r="AI1719" s="156" t="inlineStr">
        <is>
          <t>No</t>
        </is>
      </c>
      <c r="AJ1719" s="156" t="n"/>
      <c r="AK1719" s="155" t="inlineStr">
        <is>
          <t>Criterios: I [Q]</t>
        </is>
      </c>
      <c r="AL1719" s="58" t="n">
        <v>1141.875</v>
      </c>
      <c r="AM1719" s="58" t="n">
        <v>2758.62069</v>
      </c>
      <c r="AN1719" s="155" t="n"/>
      <c r="AO1719" s="59" t="n"/>
      <c r="AP1719" s="59" t="n"/>
      <c r="AQ1719" s="59" t="n"/>
      <c r="AR1719" s="155" t="n"/>
    </row>
    <row r="1720">
      <c r="A1720" s="50" t="inlineStr">
        <is>
          <t>883383951462</t>
        </is>
      </c>
      <c r="B1720" s="51" t="inlineStr">
        <is>
          <t>110449</t>
        </is>
      </c>
      <c r="C1720" s="156" t="inlineStr">
        <is>
          <t>Multimarca</t>
        </is>
      </c>
      <c r="D1720" s="156" t="inlineStr">
        <is>
          <t>TWDYLN-143407</t>
        </is>
      </c>
      <c r="E1720" s="156" t="inlineStr">
        <is>
          <t>TWDYLN-143407M0</t>
        </is>
      </c>
      <c r="F1720" s="156" t="inlineStr">
        <is>
          <t>M</t>
        </is>
      </c>
      <c r="G1720" s="156" t="inlineStr">
        <is>
          <t>M</t>
        </is>
      </c>
      <c r="H1720" s="156" t="inlineStr">
        <is>
          <t>Stetson</t>
        </is>
      </c>
      <c r="I1720" s="156" t="inlineStr">
        <is>
          <t>Texana Stetson Dylan Negro</t>
        </is>
      </c>
      <c r="J1720" s="156" t="inlineStr">
        <is>
          <t>Accesorios</t>
        </is>
      </c>
      <c r="K1720" s="156" t="inlineStr">
        <is>
          <t>Sombreros</t>
        </is>
      </c>
      <c r="L1720" s="156" t="inlineStr">
        <is>
          <t>Unisex</t>
        </is>
      </c>
      <c r="M1720" s="156" t="inlineStr">
        <is>
          <t>Stetson</t>
        </is>
      </c>
      <c r="N1720" s="156" t="inlineStr">
        <is>
          <t>SS26</t>
        </is>
      </c>
      <c r="O1720" s="156" t="inlineStr">
        <is>
          <t>Seasonal</t>
        </is>
      </c>
      <c r="P1720" s="156" t="inlineStr">
        <is>
          <t>Negro</t>
        </is>
      </c>
      <c r="Q1720" s="156" t="n"/>
      <c r="R1720" s="156" t="n"/>
      <c r="S1720" s="156" t="inlineStr">
        <is>
          <t>100% Fieltro de lana</t>
        </is>
      </c>
      <c r="T1720" s="156" t="inlineStr">
        <is>
          <t>Texana Stetson Dylan Negro.
 Composición: 100% Fieltro de lana.
 Color: Negro.</t>
        </is>
      </c>
      <c r="U1720" s="156" t="n"/>
      <c r="V1720" s="156" t="inlineStr">
        <is>
          <t>PZS</t>
        </is>
      </c>
      <c r="W1720" s="51" t="inlineStr">
        <is>
          <t>53102503</t>
        </is>
      </c>
      <c r="X1720" s="156" t="n"/>
      <c r="Y1720" s="54" t="n">
        <v>1141.875</v>
      </c>
      <c r="Z1720" s="54" t="n">
        <v>2758.62069</v>
      </c>
      <c r="AA1720" s="55">
        <f>IF(AND(A1720="", B1720="", E1720=""), "", IF(AB1720="", "Válido", IF((LEN(AB1720)-LEN(SUBSTITUTE(AB1720,"; ","")))/2+1&gt;(LEN(AB1720)-LEN(SUBSTITUTE(AB1720,"[Aviso]","")))/7, "Con Incidencias", "Válido")))</f>
        <v/>
      </c>
      <c r="AB1720" s="56">
        <f>IF(AND(A1720="", B1720="", E1720=""), "", TEXTJOIN("; ", TRUE, IF(OR(TRIM(A1720&amp;"")="", ISNUMBER(SEARCH("FALTA", A1720))), "UPC faltante/inválido", ""), IF(AND(A1720&lt;&gt;"", IFERROR(_xlfn.XMATCH(A1720,$A$2:$A$2509,0,1)&lt;&gt;_xlfn.XMATCH(A1720,$A$2:$A$2509,0,-1),FALSE)), "Código de barras duplicado", ""), IF(AND(E1720&lt;&gt;"", COUNTIF($E$2:$E$2509, E1720)&gt;1), "SKU duplicado", ""), IF(OR(J1720="", J1720=""), "[Aviso] División no capturada ()", IF(ISNA(MATCH(J1720, Criterios!$A$123:$A$126, 0)), "División no válida", "")), IF(OR(K1720="", K1720=""), "[Aviso] Categoría no capturada ()", IF(ISNA(MATCH(K1720, Criterios!$A$81:$A$120, 0)), "Categoría no válida", IF(AND(J1720&lt;&gt;"", J1720&lt;&gt;"", J1720&lt;&gt;VLOOKUP(K1720, Criterios!$A$81:$B$120, 2, FALSE)), "División no coincide con Categoría", ""))), IF(OR(L1720="", L1720=""), "[Aviso] Género no capturado ()", IF(ISNA(MATCH(L1720, Criterios!$B$123:$B$127, 0)), "Género no válido", "")), IF(OR(N1720="", N1720=""), "[Aviso] Temporada no capturada ()", IF(ISNA(MATCH(N1720, Criterios!$C$123:$C$128, 0)), "Temporada no válida", "")), IF(OR(O1720="", O1720=""), "[Aviso] Ciclo de vida no capturado ()", IF(ISNA(MATCH(O1720, Criterios!$D$123:$D$124, 0)), "Ciclo de vida no válido", ""))))</f>
        <v/>
      </c>
      <c r="AC1720" s="56" t="n"/>
      <c r="AD1720" s="51" t="n">
        <v>0</v>
      </c>
      <c r="AE1720" s="156" t="inlineStr">
        <is>
          <t>B25 STETSON.MX (1)</t>
        </is>
      </c>
      <c r="AF1720" s="51" t="n">
        <v>1</v>
      </c>
      <c r="AG1720" s="156" t="inlineStr">
        <is>
          <t>Catálogo existente</t>
        </is>
      </c>
      <c r="AH1720" s="156" t="inlineStr">
        <is>
          <t>Revisión 29/09/2026: Talla fuente M sin equivalencia exacta en Criterios para Talla Sombrero; Campos sin respaldo: U, X | 01/10/2026: complementado desde Shopify Stetson México (match por código de barras): WB Fit</t>
        </is>
      </c>
      <c r="AI1720" s="156" t="inlineStr">
        <is>
          <t>Sí</t>
        </is>
      </c>
      <c r="AJ1720" s="156" t="inlineStr">
        <is>
          <t>STETSON AMERICAS (-1)</t>
        </is>
      </c>
      <c r="AK1720" s="155" t="inlineStr">
        <is>
          <t>Criterios: I [Q] | Shopify Stetson: producto 15056329638251 / variante 53357913997675</t>
        </is>
      </c>
      <c r="AL1720" s="58" t="n">
        <v>1141.875</v>
      </c>
      <c r="AM1720" s="58" t="n">
        <v>2758.62069</v>
      </c>
      <c r="AN1720" s="155" t="inlineStr">
        <is>
          <t>Shopify Stetson México</t>
        </is>
      </c>
      <c r="AO1720" s="59" t="n">
        <v>1</v>
      </c>
      <c r="AP1720" s="59" t="n"/>
      <c r="AQ1720" s="59" t="n"/>
      <c r="AR1720" s="155" t="inlineStr">
        <is>
          <t>Shopify Stetson México › Stetson México: 1</t>
        </is>
      </c>
    </row>
    <row r="1721">
      <c r="A1721" s="50" t="inlineStr">
        <is>
          <t>883383951479</t>
        </is>
      </c>
      <c r="B1721" s="51" t="inlineStr">
        <is>
          <t>110452</t>
        </is>
      </c>
      <c r="C1721" s="156" t="inlineStr">
        <is>
          <t>Multimarca</t>
        </is>
      </c>
      <c r="D1721" s="156" t="inlineStr">
        <is>
          <t>TWDYLN-143423</t>
        </is>
      </c>
      <c r="E1721" s="156" t="inlineStr">
        <is>
          <t>TWDYLN-143423M0</t>
        </is>
      </c>
      <c r="F1721" s="156" t="inlineStr">
        <is>
          <t>M</t>
        </is>
      </c>
      <c r="G1721" s="156" t="inlineStr">
        <is>
          <t>M</t>
        </is>
      </c>
      <c r="H1721" s="156" t="inlineStr">
        <is>
          <t>Stetson</t>
        </is>
      </c>
      <c r="I1721" s="156" t="inlineStr">
        <is>
          <t>Texana Stetson Dylan Visón</t>
        </is>
      </c>
      <c r="J1721" s="156" t="inlineStr">
        <is>
          <t>Accesorios</t>
        </is>
      </c>
      <c r="K1721" s="156" t="inlineStr">
        <is>
          <t>Sombreros</t>
        </is>
      </c>
      <c r="L1721" s="156" t="inlineStr">
        <is>
          <t>Unisex</t>
        </is>
      </c>
      <c r="M1721" s="156" t="inlineStr">
        <is>
          <t>Stetson</t>
        </is>
      </c>
      <c r="N1721" s="156" t="inlineStr">
        <is>
          <t>SS26</t>
        </is>
      </c>
      <c r="O1721" s="156" t="inlineStr">
        <is>
          <t>Seasonal</t>
        </is>
      </c>
      <c r="P1721" s="156" t="inlineStr">
        <is>
          <t>Cafe</t>
        </is>
      </c>
      <c r="Q1721" s="156" t="n"/>
      <c r="R1721" s="156" t="n"/>
      <c r="S1721" s="156" t="inlineStr">
        <is>
          <t>100% Fieltro de lana</t>
        </is>
      </c>
      <c r="T1721" s="156" t="inlineStr">
        <is>
          <t>Texana Stetson Dylan Visón.
 Composición: 100% Fieltro de lana.
 Color: Visón.</t>
        </is>
      </c>
      <c r="U1721" s="156" t="n"/>
      <c r="V1721" s="156" t="inlineStr">
        <is>
          <t>PZS</t>
        </is>
      </c>
      <c r="W1721" s="51" t="inlineStr">
        <is>
          <t>53102503</t>
        </is>
      </c>
      <c r="X1721" s="156" t="n"/>
      <c r="Y1721" s="54" t="n">
        <v>1141.875</v>
      </c>
      <c r="Z1721" s="54" t="n">
        <v>2758.62069</v>
      </c>
      <c r="AA1721" s="55">
        <f>IF(AND(A1721="", B1721="", E1721=""), "", IF(AB1721="", "Válido", IF((LEN(AB1721)-LEN(SUBSTITUTE(AB1721,"; ","")))/2+1&gt;(LEN(AB1721)-LEN(SUBSTITUTE(AB1721,"[Aviso]","")))/7, "Con Incidencias", "Válido")))</f>
        <v/>
      </c>
      <c r="AB1721" s="56">
        <f>IF(AND(A1721="", B1721="", E1721=""), "", TEXTJOIN("; ", TRUE, IF(OR(TRIM(A1721&amp;"")="", ISNUMBER(SEARCH("FALTA", A1721))), "UPC faltante/inválido", ""), IF(AND(A1721&lt;&gt;"", IFERROR(_xlfn.XMATCH(A1721,$A$2:$A$2509,0,1)&lt;&gt;_xlfn.XMATCH(A1721,$A$2:$A$2509,0,-1),FALSE)), "Código de barras duplicado", ""), IF(AND(E1721&lt;&gt;"", COUNTIF($E$2:$E$2509, E1721)&gt;1), "SKU duplicado", ""), IF(OR(J1721="", J1721=""), "[Aviso] División no capturada ()", IF(ISNA(MATCH(J1721, Criterios!$A$123:$A$126, 0)), "División no válida", "")), IF(OR(K1721="", K1721=""), "[Aviso] Categoría no capturada ()", IF(ISNA(MATCH(K1721, Criterios!$A$81:$A$120, 0)), "Categoría no válida", IF(AND(J1721&lt;&gt;"", J1721&lt;&gt;"", J1721&lt;&gt;VLOOKUP(K1721, Criterios!$A$81:$B$120, 2, FALSE)), "División no coincide con Categoría", ""))), IF(OR(L1721="", L1721=""), "[Aviso] Género no capturado ()", IF(ISNA(MATCH(L1721, Criterios!$B$123:$B$127, 0)), "Género no válido", "")), IF(OR(N1721="", N1721=""), "[Aviso] Temporada no capturada ()", IF(ISNA(MATCH(N1721, Criterios!$C$123:$C$128, 0)), "Temporada no válida", "")), IF(OR(O1721="", O1721=""), "[Aviso] Ciclo de vida no capturado ()", IF(ISNA(MATCH(O1721, Criterios!$D$123:$D$124, 0)), "Ciclo de vida no válido", ""))))</f>
        <v/>
      </c>
      <c r="AC1721" s="56" t="n"/>
      <c r="AD1721" s="51" t="n">
        <v>-1</v>
      </c>
      <c r="AE1721" s="156" t="n"/>
      <c r="AF1721" s="51" t="n">
        <v>0</v>
      </c>
      <c r="AG1721" s="156" t="inlineStr">
        <is>
          <t>Catálogo existente</t>
        </is>
      </c>
      <c r="AH1721" s="156" t="inlineStr">
        <is>
          <t>Stock negativo en sistema: revisar en conteo | Revisión 29/09/2026: Talla fuente M sin equivalencia exacta en Criterios para Talla Sombrero; Campos sin respaldo: U, X | 01/10/2026: complementado desde Shopify Stetson México (match por código de barras): WB Fit</t>
        </is>
      </c>
      <c r="AI1721" s="156" t="inlineStr">
        <is>
          <t>Sí</t>
        </is>
      </c>
      <c r="AJ1721" s="156" t="inlineStr">
        <is>
          <t>STETSON AMERICAS (-1)</t>
        </is>
      </c>
      <c r="AK1721" s="155" t="inlineStr">
        <is>
          <t>Criterios: I [Q] | Shopify Stetson: producto 15056329671019 / variante 53357914095979</t>
        </is>
      </c>
      <c r="AL1721" s="58" t="n">
        <v>1141.875</v>
      </c>
      <c r="AM1721" s="58" t="n">
        <v>2758.62069</v>
      </c>
      <c r="AN1721" s="155" t="inlineStr">
        <is>
          <t>Shopify Stetson México</t>
        </is>
      </c>
      <c r="AO1721" s="59" t="n">
        <v>0</v>
      </c>
      <c r="AP1721" s="59" t="n"/>
      <c r="AQ1721" s="59" t="n"/>
      <c r="AR1721" s="155" t="n"/>
    </row>
    <row r="1722">
      <c r="A1722" s="50" t="inlineStr">
        <is>
          <t>883383951486</t>
        </is>
      </c>
      <c r="B1722" s="51" t="inlineStr">
        <is>
          <t>110455</t>
        </is>
      </c>
      <c r="C1722" s="156" t="inlineStr">
        <is>
          <t>Multimarca</t>
        </is>
      </c>
      <c r="D1722" s="156" t="inlineStr">
        <is>
          <t>TWDYLN-143448</t>
        </is>
      </c>
      <c r="E1722" s="156" t="inlineStr">
        <is>
          <t>TWDYLN-143448M0</t>
        </is>
      </c>
      <c r="F1722" s="156" t="inlineStr">
        <is>
          <t>M</t>
        </is>
      </c>
      <c r="G1722" s="156" t="inlineStr">
        <is>
          <t>M</t>
        </is>
      </c>
      <c r="H1722" s="156" t="inlineStr">
        <is>
          <t>Stetson</t>
        </is>
      </c>
      <c r="I1722" s="156" t="inlineStr">
        <is>
          <t>Texana Stetson Dylan Marino</t>
        </is>
      </c>
      <c r="J1722" s="156" t="inlineStr">
        <is>
          <t>Accesorios</t>
        </is>
      </c>
      <c r="K1722" s="156" t="inlineStr">
        <is>
          <t>Sombreros</t>
        </is>
      </c>
      <c r="L1722" s="156" t="inlineStr">
        <is>
          <t>Unisex</t>
        </is>
      </c>
      <c r="M1722" s="156" t="inlineStr">
        <is>
          <t>Stetson</t>
        </is>
      </c>
      <c r="N1722" s="156" t="inlineStr">
        <is>
          <t>SS26</t>
        </is>
      </c>
      <c r="O1722" s="156" t="inlineStr">
        <is>
          <t>Seasonal</t>
        </is>
      </c>
      <c r="P1722" s="156" t="inlineStr">
        <is>
          <t>Azul</t>
        </is>
      </c>
      <c r="Q1722" s="156" t="n"/>
      <c r="R1722" s="156" t="n"/>
      <c r="S1722" s="156" t="inlineStr">
        <is>
          <t>100% Fieltro de lana</t>
        </is>
      </c>
      <c r="T1722" s="156" t="inlineStr">
        <is>
          <t>Texana Stetson Dylan Marino.
 Composición: 100% Fieltro de lana.
 Color: Marino.</t>
        </is>
      </c>
      <c r="U1722" s="156" t="n"/>
      <c r="V1722" s="156" t="inlineStr">
        <is>
          <t>PZS</t>
        </is>
      </c>
      <c r="W1722" s="51" t="inlineStr">
        <is>
          <t>53102503</t>
        </is>
      </c>
      <c r="X1722" s="156" t="n"/>
      <c r="Y1722" s="54" t="n">
        <v>1141.875</v>
      </c>
      <c r="Z1722" s="54" t="n">
        <v>2758.62069</v>
      </c>
      <c r="AA1722" s="55">
        <f>IF(AND(A1722="", B1722="", E1722=""), "", IF(AB1722="", "Válido", IF((LEN(AB1722)-LEN(SUBSTITUTE(AB1722,"; ","")))/2+1&gt;(LEN(AB1722)-LEN(SUBSTITUTE(AB1722,"[Aviso]","")))/7, "Con Incidencias", "Válido")))</f>
        <v/>
      </c>
      <c r="AB1722" s="56">
        <f>IF(AND(A1722="", B1722="", E1722=""), "", TEXTJOIN("; ", TRUE, IF(OR(TRIM(A1722&amp;"")="", ISNUMBER(SEARCH("FALTA", A1722))), "UPC faltante/inválido", ""), IF(AND(A1722&lt;&gt;"", IFERROR(_xlfn.XMATCH(A1722,$A$2:$A$2509,0,1)&lt;&gt;_xlfn.XMATCH(A1722,$A$2:$A$2509,0,-1),FALSE)), "Código de barras duplicado", ""), IF(AND(E1722&lt;&gt;"", COUNTIF($E$2:$E$2509, E1722)&gt;1), "SKU duplicado", ""), IF(OR(J1722="", J1722=""), "[Aviso] División no capturada ()", IF(ISNA(MATCH(J1722, Criterios!$A$123:$A$126, 0)), "División no válida", "")), IF(OR(K1722="", K1722=""), "[Aviso] Categoría no capturada ()", IF(ISNA(MATCH(K1722, Criterios!$A$81:$A$120, 0)), "Categoría no válida", IF(AND(J1722&lt;&gt;"", J1722&lt;&gt;"", J1722&lt;&gt;VLOOKUP(K1722, Criterios!$A$81:$B$120, 2, FALSE)), "División no coincide con Categoría", ""))), IF(OR(L1722="", L1722=""), "[Aviso] Género no capturado ()", IF(ISNA(MATCH(L1722, Criterios!$B$123:$B$127, 0)), "Género no válido", "")), IF(OR(N1722="", N1722=""), "[Aviso] Temporada no capturada ()", IF(ISNA(MATCH(N1722, Criterios!$C$123:$C$128, 0)), "Temporada no válida", "")), IF(OR(O1722="", O1722=""), "[Aviso] Ciclo de vida no capturado ()", IF(ISNA(MATCH(O1722, Criterios!$D$123:$D$124, 0)), "Ciclo de vida no válido", ""))))</f>
        <v/>
      </c>
      <c r="AC1722" s="56" t="n"/>
      <c r="AD1722" s="51" t="n">
        <v>0</v>
      </c>
      <c r="AE1722" s="156" t="inlineStr">
        <is>
          <t>B25 STETSON.MX (1)</t>
        </is>
      </c>
      <c r="AF1722" s="51" t="n">
        <v>1</v>
      </c>
      <c r="AG1722" s="156" t="inlineStr">
        <is>
          <t>Catálogo existente</t>
        </is>
      </c>
      <c r="AH1722" s="156" t="inlineStr">
        <is>
          <t>Revisión 29/09/2026: Talla fuente M sin equivalencia exacta en Criterios para Talla Sombrero; Campos sin respaldo: U, X | 01/10/2026: complementado desde Shopify Stetson México (match por código de barras): WB Fit</t>
        </is>
      </c>
      <c r="AI1722" s="156" t="inlineStr">
        <is>
          <t>Sí</t>
        </is>
      </c>
      <c r="AJ1722" s="156" t="inlineStr">
        <is>
          <t>STETSON AMERICAS (-1)</t>
        </is>
      </c>
      <c r="AK1722" s="155" t="inlineStr">
        <is>
          <t>Criterios: I [Q] | Shopify Stetson: producto 15056329703787 / variante 53357914194283</t>
        </is>
      </c>
      <c r="AL1722" s="58" t="n">
        <v>1141.875</v>
      </c>
      <c r="AM1722" s="58" t="n">
        <v>2758.62069</v>
      </c>
      <c r="AN1722" s="155" t="inlineStr">
        <is>
          <t>Shopify Stetson México</t>
        </is>
      </c>
      <c r="AO1722" s="59" t="n">
        <v>0</v>
      </c>
      <c r="AP1722" s="59" t="n"/>
      <c r="AQ1722" s="59" t="n"/>
      <c r="AR1722" s="155" t="n"/>
    </row>
    <row r="1723">
      <c r="A1723" s="50" t="inlineStr">
        <is>
          <t>883383951493</t>
        </is>
      </c>
      <c r="B1723" s="51" t="inlineStr">
        <is>
          <t>110450</t>
        </is>
      </c>
      <c r="C1723" s="156" t="inlineStr">
        <is>
          <t>Multimarca</t>
        </is>
      </c>
      <c r="D1723" s="156" t="inlineStr">
        <is>
          <t>TWDYLN-143407</t>
        </is>
      </c>
      <c r="E1723" s="156" t="inlineStr">
        <is>
          <t>TWDYLN-143407S0</t>
        </is>
      </c>
      <c r="F1723" s="156" t="inlineStr">
        <is>
          <t>S</t>
        </is>
      </c>
      <c r="G1723" s="156" t="inlineStr">
        <is>
          <t>S</t>
        </is>
      </c>
      <c r="H1723" s="156" t="inlineStr">
        <is>
          <t>Stetson</t>
        </is>
      </c>
      <c r="I1723" s="156" t="inlineStr">
        <is>
          <t>Texana Stetson Dylan Negro</t>
        </is>
      </c>
      <c r="J1723" s="156" t="inlineStr">
        <is>
          <t>Accesorios</t>
        </is>
      </c>
      <c r="K1723" s="156" t="inlineStr">
        <is>
          <t>Sombreros</t>
        </is>
      </c>
      <c r="L1723" s="156" t="inlineStr">
        <is>
          <t>Unisex</t>
        </is>
      </c>
      <c r="M1723" s="156" t="inlineStr">
        <is>
          <t>Stetson</t>
        </is>
      </c>
      <c r="N1723" s="156" t="inlineStr">
        <is>
          <t>SS26</t>
        </is>
      </c>
      <c r="O1723" s="156" t="inlineStr">
        <is>
          <t>Seasonal</t>
        </is>
      </c>
      <c r="P1723" s="156" t="inlineStr">
        <is>
          <t>Negro</t>
        </is>
      </c>
      <c r="Q1723" s="156" t="n"/>
      <c r="R1723" s="156" t="n"/>
      <c r="S1723" s="156" t="inlineStr">
        <is>
          <t>100% Fieltro de lana</t>
        </is>
      </c>
      <c r="T1723" s="156" t="inlineStr">
        <is>
          <t>Texana Stetson Dylan Negro.
 Composición: 100% Fieltro de lana.
 Color: Negro.</t>
        </is>
      </c>
      <c r="U1723" s="156" t="n"/>
      <c r="V1723" s="156" t="inlineStr">
        <is>
          <t>PZS</t>
        </is>
      </c>
      <c r="W1723" s="51" t="inlineStr">
        <is>
          <t>53102503</t>
        </is>
      </c>
      <c r="X1723" s="156" t="n"/>
      <c r="Y1723" s="54" t="n">
        <v>1141.875</v>
      </c>
      <c r="Z1723" s="54" t="n">
        <v>2758.62069</v>
      </c>
      <c r="AA1723" s="55">
        <f>IF(AND(A1723="", B1723="", E1723=""), "", IF(AB1723="", "Válido", IF((LEN(AB1723)-LEN(SUBSTITUTE(AB1723,"; ","")))/2+1&gt;(LEN(AB1723)-LEN(SUBSTITUTE(AB1723,"[Aviso]","")))/7, "Con Incidencias", "Válido")))</f>
        <v/>
      </c>
      <c r="AB1723" s="56">
        <f>IF(AND(A1723="", B1723="", E1723=""), "", TEXTJOIN("; ", TRUE, IF(OR(TRIM(A1723&amp;"")="", ISNUMBER(SEARCH("FALTA", A1723))), "UPC faltante/inválido", ""), IF(AND(A1723&lt;&gt;"", IFERROR(_xlfn.XMATCH(A1723,$A$2:$A$2509,0,1)&lt;&gt;_xlfn.XMATCH(A1723,$A$2:$A$2509,0,-1),FALSE)), "Código de barras duplicado", ""), IF(AND(E1723&lt;&gt;"", COUNTIF($E$2:$E$2509, E1723)&gt;1), "SKU duplicado", ""), IF(OR(J1723="", J1723=""), "[Aviso] División no capturada ()", IF(ISNA(MATCH(J1723, Criterios!$A$123:$A$126, 0)), "División no válida", "")), IF(OR(K1723="", K1723=""), "[Aviso] Categoría no capturada ()", IF(ISNA(MATCH(K1723, Criterios!$A$81:$A$120, 0)), "Categoría no válida", IF(AND(J1723&lt;&gt;"", J1723&lt;&gt;"", J1723&lt;&gt;VLOOKUP(K1723, Criterios!$A$81:$B$120, 2, FALSE)), "División no coincide con Categoría", ""))), IF(OR(L1723="", L1723=""), "[Aviso] Género no capturado ()", IF(ISNA(MATCH(L1723, Criterios!$B$123:$B$127, 0)), "Género no válido", "")), IF(OR(N1723="", N1723=""), "[Aviso] Temporada no capturada ()", IF(ISNA(MATCH(N1723, Criterios!$C$123:$C$128, 0)), "Temporada no válida", "")), IF(OR(O1723="", O1723=""), "[Aviso] Ciclo de vida no capturado ()", IF(ISNA(MATCH(O1723, Criterios!$D$123:$D$124, 0)), "Ciclo de vida no válido", ""))))</f>
        <v/>
      </c>
      <c r="AC1723" s="56" t="n"/>
      <c r="AD1723" s="51" t="n">
        <v>0</v>
      </c>
      <c r="AE1723" s="156" t="n"/>
      <c r="AF1723" s="51" t="n">
        <v>0</v>
      </c>
      <c r="AG1723" s="156" t="inlineStr">
        <is>
          <t>Catálogo existente</t>
        </is>
      </c>
      <c r="AH1723" s="156" t="inlineStr">
        <is>
          <t>Revisión 29/09/2026: Talla fuente S sin equivalencia exacta en Criterios para Talla Sombrero; Campos sin respaldo: U, X | 01/10/2026: complementado desde Odoo Universal Unique Brands (match por código de barras): WB Fit</t>
        </is>
      </c>
      <c r="AI1723" s="156" t="inlineStr">
        <is>
          <t>No</t>
        </is>
      </c>
      <c r="AJ1723" s="156" t="n"/>
      <c r="AK1723" s="155" t="inlineStr">
        <is>
          <t>Criterios: I [Q] | Odoo: producto 19403 / plantilla 23890</t>
        </is>
      </c>
      <c r="AL1723" s="58" t="n">
        <v>1141.875</v>
      </c>
      <c r="AM1723" s="58" t="n">
        <v>2758.62069</v>
      </c>
      <c r="AN1723" s="155" t="inlineStr">
        <is>
          <t>Odoo Universal Unique Brands</t>
        </is>
      </c>
      <c r="AO1723" s="59" t="n"/>
      <c r="AP1723" s="59" t="n"/>
      <c r="AQ1723" s="59" t="n">
        <v>1</v>
      </c>
      <c r="AR1723" s="155" t="inlineStr">
        <is>
          <t>Odoo Universal Unique Brands › Bodega 25 › Bodega 25/General: 1</t>
        </is>
      </c>
    </row>
    <row r="1724">
      <c r="A1724" s="50" t="inlineStr">
        <is>
          <t>883383951509</t>
        </is>
      </c>
      <c r="B1724" s="51" t="inlineStr">
        <is>
          <t>110453</t>
        </is>
      </c>
      <c r="C1724" s="156" t="inlineStr">
        <is>
          <t>Multimarca</t>
        </is>
      </c>
      <c r="D1724" s="156" t="inlineStr">
        <is>
          <t>TWDYLN-143423</t>
        </is>
      </c>
      <c r="E1724" s="156" t="inlineStr">
        <is>
          <t>TWDYLN-143423S0</t>
        </is>
      </c>
      <c r="F1724" s="156" t="inlineStr">
        <is>
          <t>S</t>
        </is>
      </c>
      <c r="G1724" s="156" t="inlineStr">
        <is>
          <t>S</t>
        </is>
      </c>
      <c r="H1724" s="156" t="inlineStr">
        <is>
          <t>Stetson</t>
        </is>
      </c>
      <c r="I1724" s="156" t="inlineStr">
        <is>
          <t>Texana Stetson Dylan Visón</t>
        </is>
      </c>
      <c r="J1724" s="156" t="inlineStr">
        <is>
          <t>Accesorios</t>
        </is>
      </c>
      <c r="K1724" s="156" t="inlineStr">
        <is>
          <t>Sombreros</t>
        </is>
      </c>
      <c r="L1724" s="156" t="inlineStr">
        <is>
          <t>Unisex</t>
        </is>
      </c>
      <c r="M1724" s="156" t="inlineStr">
        <is>
          <t>Stetson</t>
        </is>
      </c>
      <c r="N1724" s="156" t="inlineStr">
        <is>
          <t>SS26</t>
        </is>
      </c>
      <c r="O1724" s="156" t="inlineStr">
        <is>
          <t>Seasonal</t>
        </is>
      </c>
      <c r="P1724" s="156" t="inlineStr">
        <is>
          <t>Cafe</t>
        </is>
      </c>
      <c r="Q1724" s="156" t="n"/>
      <c r="R1724" s="156" t="n"/>
      <c r="S1724" s="156" t="inlineStr">
        <is>
          <t>100% Fieltro de lana</t>
        </is>
      </c>
      <c r="T1724" s="156" t="inlineStr">
        <is>
          <t>Texana Stetson Dylan Visón.
 Composición: 100% Fieltro de lana.
 Color: Visón.</t>
        </is>
      </c>
      <c r="U1724" s="156" t="n"/>
      <c r="V1724" s="156" t="inlineStr">
        <is>
          <t>PZS</t>
        </is>
      </c>
      <c r="W1724" s="51" t="inlineStr">
        <is>
          <t>53102503</t>
        </is>
      </c>
      <c r="X1724" s="156" t="n"/>
      <c r="Y1724" s="54" t="n">
        <v>1141.875</v>
      </c>
      <c r="Z1724" s="54" t="n">
        <v>2758.62069</v>
      </c>
      <c r="AA1724" s="55">
        <f>IF(AND(A1724="", B1724="", E1724=""), "", IF(AB1724="", "Válido", IF((LEN(AB1724)-LEN(SUBSTITUTE(AB1724,"; ","")))/2+1&gt;(LEN(AB1724)-LEN(SUBSTITUTE(AB1724,"[Aviso]","")))/7, "Con Incidencias", "Válido")))</f>
        <v/>
      </c>
      <c r="AB1724" s="56">
        <f>IF(AND(A1724="", B1724="", E1724=""), "", TEXTJOIN("; ", TRUE, IF(OR(TRIM(A1724&amp;"")="", ISNUMBER(SEARCH("FALTA", A1724))), "UPC faltante/inválido", ""), IF(AND(A1724&lt;&gt;"", IFERROR(_xlfn.XMATCH(A1724,$A$2:$A$2509,0,1)&lt;&gt;_xlfn.XMATCH(A1724,$A$2:$A$2509,0,-1),FALSE)), "Código de barras duplicado", ""), IF(AND(E1724&lt;&gt;"", COUNTIF($E$2:$E$2509, E1724)&gt;1), "SKU duplicado", ""), IF(OR(J1724="", J1724=""), "[Aviso] División no capturada ()", IF(ISNA(MATCH(J1724, Criterios!$A$123:$A$126, 0)), "División no válida", "")), IF(OR(K1724="", K1724=""), "[Aviso] Categoría no capturada ()", IF(ISNA(MATCH(K1724, Criterios!$A$81:$A$120, 0)), "Categoría no válida", IF(AND(J1724&lt;&gt;"", J1724&lt;&gt;"", J1724&lt;&gt;VLOOKUP(K1724, Criterios!$A$81:$B$120, 2, FALSE)), "División no coincide con Categoría", ""))), IF(OR(L1724="", L1724=""), "[Aviso] Género no capturado ()", IF(ISNA(MATCH(L1724, Criterios!$B$123:$B$127, 0)), "Género no válido", "")), IF(OR(N1724="", N1724=""), "[Aviso] Temporada no capturada ()", IF(ISNA(MATCH(N1724, Criterios!$C$123:$C$128, 0)), "Temporada no válida", "")), IF(OR(O1724="", O1724=""), "[Aviso] Ciclo de vida no capturado ()", IF(ISNA(MATCH(O1724, Criterios!$D$123:$D$124, 0)), "Ciclo de vida no válido", ""))))</f>
        <v/>
      </c>
      <c r="AC1724" s="56" t="n"/>
      <c r="AD1724" s="51" t="n">
        <v>-1</v>
      </c>
      <c r="AE1724" s="156" t="n"/>
      <c r="AF1724" s="51" t="n">
        <v>0</v>
      </c>
      <c r="AG1724" s="156" t="inlineStr">
        <is>
          <t>Catálogo existente</t>
        </is>
      </c>
      <c r="AH1724" s="156" t="inlineStr">
        <is>
          <t>Stock negativo en sistema: revisar en conteo | Revisión 29/09/2026: Talla fuente S sin equivalencia exacta en Criterios para Talla Sombrero; Campos sin respaldo: U, X | 01/10/2026: complementado desde Shopify Stetson México (match por código de barras): WB Fit</t>
        </is>
      </c>
      <c r="AI1724" s="156" t="inlineStr">
        <is>
          <t>Sí</t>
        </is>
      </c>
      <c r="AJ1724" s="156" t="inlineStr">
        <is>
          <t>STETSON AMERICAS (-1)</t>
        </is>
      </c>
      <c r="AK1724" s="155" t="inlineStr">
        <is>
          <t>Criterios: I [Q] | Shopify Stetson: producto 15056329671019 / variante 53357914063211</t>
        </is>
      </c>
      <c r="AL1724" s="58" t="n">
        <v>1141.875</v>
      </c>
      <c r="AM1724" s="58" t="n">
        <v>2758.62069</v>
      </c>
      <c r="AN1724" s="155" t="inlineStr">
        <is>
          <t>Shopify Stetson México</t>
        </is>
      </c>
      <c r="AO1724" s="59" t="n">
        <v>0</v>
      </c>
      <c r="AP1724" s="59" t="n"/>
      <c r="AQ1724" s="59" t="n"/>
      <c r="AR1724" s="155" t="n"/>
    </row>
    <row r="1725">
      <c r="A1725" s="50" t="inlineStr">
        <is>
          <t>883383951516</t>
        </is>
      </c>
      <c r="B1725" s="51" t="inlineStr">
        <is>
          <t>110456</t>
        </is>
      </c>
      <c r="C1725" s="156" t="inlineStr">
        <is>
          <t>Multimarca</t>
        </is>
      </c>
      <c r="D1725" s="156" t="inlineStr">
        <is>
          <t>TWDYLN-143448</t>
        </is>
      </c>
      <c r="E1725" s="156" t="inlineStr">
        <is>
          <t>TWDYLN-143448S0</t>
        </is>
      </c>
      <c r="F1725" s="156" t="inlineStr">
        <is>
          <t>S</t>
        </is>
      </c>
      <c r="G1725" s="156" t="inlineStr">
        <is>
          <t>S</t>
        </is>
      </c>
      <c r="H1725" s="156" t="inlineStr">
        <is>
          <t>Stetson</t>
        </is>
      </c>
      <c r="I1725" s="156" t="inlineStr">
        <is>
          <t>Texana Stetson Dylan Marino</t>
        </is>
      </c>
      <c r="J1725" s="156" t="inlineStr">
        <is>
          <t>Accesorios</t>
        </is>
      </c>
      <c r="K1725" s="156" t="inlineStr">
        <is>
          <t>Sombreros</t>
        </is>
      </c>
      <c r="L1725" s="156" t="inlineStr">
        <is>
          <t>Unisex</t>
        </is>
      </c>
      <c r="M1725" s="156" t="inlineStr">
        <is>
          <t>Stetson</t>
        </is>
      </c>
      <c r="N1725" s="156" t="inlineStr">
        <is>
          <t>SS26</t>
        </is>
      </c>
      <c r="O1725" s="156" t="inlineStr">
        <is>
          <t>Seasonal</t>
        </is>
      </c>
      <c r="P1725" s="156" t="inlineStr">
        <is>
          <t>Azul</t>
        </is>
      </c>
      <c r="Q1725" s="156" t="n"/>
      <c r="R1725" s="156" t="n"/>
      <c r="S1725" s="156" t="inlineStr">
        <is>
          <t>100% Fieltro de lana</t>
        </is>
      </c>
      <c r="T1725" s="156" t="inlineStr">
        <is>
          <t>Texana Stetson Dylan Marino.
 Composición: 100% Fieltro de lana.
 Color: Marino.</t>
        </is>
      </c>
      <c r="U1725" s="156" t="n"/>
      <c r="V1725" s="156" t="inlineStr">
        <is>
          <t>PZS</t>
        </is>
      </c>
      <c r="W1725" s="51" t="inlineStr">
        <is>
          <t>53102503</t>
        </is>
      </c>
      <c r="X1725" s="156" t="n"/>
      <c r="Y1725" s="54" t="n">
        <v>1141.875</v>
      </c>
      <c r="Z1725" s="54" t="n">
        <v>2758.62069</v>
      </c>
      <c r="AA1725" s="55">
        <f>IF(AND(A1725="", B1725="", E1725=""), "", IF(AB1725="", "Válido", IF((LEN(AB1725)-LEN(SUBSTITUTE(AB1725,"; ","")))/2+1&gt;(LEN(AB1725)-LEN(SUBSTITUTE(AB1725,"[Aviso]","")))/7, "Con Incidencias", "Válido")))</f>
        <v/>
      </c>
      <c r="AB1725" s="56">
        <f>IF(AND(A1725="", B1725="", E1725=""), "", TEXTJOIN("; ", TRUE, IF(OR(TRIM(A1725&amp;"")="", ISNUMBER(SEARCH("FALTA", A1725))), "UPC faltante/inválido", ""), IF(AND(A1725&lt;&gt;"", IFERROR(_xlfn.XMATCH(A1725,$A$2:$A$2509,0,1)&lt;&gt;_xlfn.XMATCH(A1725,$A$2:$A$2509,0,-1),FALSE)), "Código de barras duplicado", ""), IF(AND(E1725&lt;&gt;"", COUNTIF($E$2:$E$2509, E1725)&gt;1), "SKU duplicado", ""), IF(OR(J1725="", J1725=""), "[Aviso] División no capturada ()", IF(ISNA(MATCH(J1725, Criterios!$A$123:$A$126, 0)), "División no válida", "")), IF(OR(K1725="", K1725=""), "[Aviso] Categoría no capturada ()", IF(ISNA(MATCH(K1725, Criterios!$A$81:$A$120, 0)), "Categoría no válida", IF(AND(J1725&lt;&gt;"", J1725&lt;&gt;"", J1725&lt;&gt;VLOOKUP(K1725, Criterios!$A$81:$B$120, 2, FALSE)), "División no coincide con Categoría", ""))), IF(OR(L1725="", L1725=""), "[Aviso] Género no capturado ()", IF(ISNA(MATCH(L1725, Criterios!$B$123:$B$127, 0)), "Género no válido", "")), IF(OR(N1725="", N1725=""), "[Aviso] Temporada no capturada ()", IF(ISNA(MATCH(N1725, Criterios!$C$123:$C$128, 0)), "Temporada no válida", "")), IF(OR(O1725="", O1725=""), "[Aviso] Ciclo de vida no capturado ()", IF(ISNA(MATCH(O1725, Criterios!$D$123:$D$124, 0)), "Ciclo de vida no válido", ""))))</f>
        <v/>
      </c>
      <c r="AC1725" s="56" t="n"/>
      <c r="AD1725" s="51" t="n">
        <v>-1</v>
      </c>
      <c r="AE1725" s="156" t="n"/>
      <c r="AF1725" s="51" t="n">
        <v>0</v>
      </c>
      <c r="AG1725" s="156" t="inlineStr">
        <is>
          <t>Catálogo existente</t>
        </is>
      </c>
      <c r="AH1725" s="156" t="inlineStr">
        <is>
          <t>Stock negativo en sistema: revisar en conteo | Revisión 29/09/2026: Talla fuente S sin equivalencia exacta en Criterios para Talla Sombrero; Campos sin respaldo: U, X | 01/10/2026: complementado desde Shopify Stetson México (match por código de barras): WB Fit</t>
        </is>
      </c>
      <c r="AI1725" s="156" t="inlineStr">
        <is>
          <t>Sí</t>
        </is>
      </c>
      <c r="AJ1725" s="156" t="inlineStr">
        <is>
          <t>STETSON AMERICAS (-1)</t>
        </is>
      </c>
      <c r="AK1725" s="155" t="inlineStr">
        <is>
          <t>Criterios: I [Q] | Shopify Stetson: producto 15056329703787 / variante 53357914161515</t>
        </is>
      </c>
      <c r="AL1725" s="58" t="n">
        <v>1141.875</v>
      </c>
      <c r="AM1725" s="58" t="n">
        <v>2758.62069</v>
      </c>
      <c r="AN1725" s="155" t="inlineStr">
        <is>
          <t>Shopify Stetson México</t>
        </is>
      </c>
      <c r="AO1725" s="59" t="n">
        <v>0</v>
      </c>
      <c r="AP1725" s="59" t="n"/>
      <c r="AQ1725" s="59" t="n"/>
      <c r="AR1725" s="155" t="n"/>
    </row>
    <row r="1726">
      <c r="A1726" s="50" t="inlineStr">
        <is>
          <t>883383972870</t>
        </is>
      </c>
      <c r="B1726" s="51" t="inlineStr">
        <is>
          <t>110153</t>
        </is>
      </c>
      <c r="C1726" s="156" t="inlineStr">
        <is>
          <t>Multimarca</t>
        </is>
      </c>
      <c r="D1726" s="156" t="inlineStr">
        <is>
          <t>SSCRLY-304281</t>
        </is>
      </c>
      <c r="E1726" s="156" t="inlineStr">
        <is>
          <t>SSCRLY-30428167</t>
        </is>
      </c>
      <c r="F1726" s="156" t="inlineStr">
        <is>
          <t>6 7/8</t>
        </is>
      </c>
      <c r="G1726" s="156" t="inlineStr">
        <is>
          <t>6 7/8</t>
        </is>
      </c>
      <c r="H1726" s="156" t="inlineStr">
        <is>
          <t>Stetson</t>
        </is>
      </c>
      <c r="I1726" s="156" t="inlineStr">
        <is>
          <t>Sombrero Stetson Crowley Natural</t>
        </is>
      </c>
      <c r="J1726" s="156" t="inlineStr">
        <is>
          <t>Accesorios</t>
        </is>
      </c>
      <c r="K1726" s="156" t="inlineStr">
        <is>
          <t>Sombreros</t>
        </is>
      </c>
      <c r="L1726" s="156" t="inlineStr">
        <is>
          <t>Unisex</t>
        </is>
      </c>
      <c r="M1726" s="156" t="inlineStr">
        <is>
          <t>Stetson</t>
        </is>
      </c>
      <c r="N1726" s="156" t="inlineStr">
        <is>
          <t>SS26</t>
        </is>
      </c>
      <c r="O1726" s="156" t="inlineStr">
        <is>
          <t>Seasonal</t>
        </is>
      </c>
      <c r="P1726" s="156" t="inlineStr">
        <is>
          <t>Beige</t>
        </is>
      </c>
      <c r="Q1726" s="156" t="n"/>
      <c r="R1726" s="156" t="inlineStr">
        <is>
          <t>Copa Cattleman</t>
        </is>
      </c>
      <c r="S1726" s="156" t="inlineStr">
        <is>
          <t>100% Paja</t>
        </is>
      </c>
      <c r="T1726"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6" s="156" t="inlineStr">
        <is>
          <t>Estados Unidos</t>
        </is>
      </c>
      <c r="V1726" s="156" t="inlineStr">
        <is>
          <t>PZS</t>
        </is>
      </c>
      <c r="W1726" s="51" t="inlineStr">
        <is>
          <t>53102503</t>
        </is>
      </c>
      <c r="X1726" s="156" t="inlineStr">
        <is>
          <t>https://cdn.shopify.com/s/files/1/0888/3250/8267/files/SSCRLY-304281-01.jpg?v=1759854546</t>
        </is>
      </c>
      <c r="Y1726" s="54" t="n">
        <v>1338.75</v>
      </c>
      <c r="Z1726" s="54" t="n">
        <v>3275.862069</v>
      </c>
      <c r="AA1726" s="55">
        <f>IF(AND(A1726="", B1726="", E1726=""), "", IF(AB1726="", "Válido", IF((LEN(AB1726)-LEN(SUBSTITUTE(AB1726,"; ","")))/2+1&gt;(LEN(AB1726)-LEN(SUBSTITUTE(AB1726,"[Aviso]","")))/7, "Con Incidencias", "Válido")))</f>
        <v/>
      </c>
      <c r="AB1726" s="56">
        <f>IF(AND(A1726="", B1726="", E1726=""), "", TEXTJOIN("; ", TRUE, IF(OR(TRIM(A1726&amp;"")="", ISNUMBER(SEARCH("FALTA", A1726))), "UPC faltante/inválido", ""), IF(AND(A1726&lt;&gt;"", IFERROR(_xlfn.XMATCH(A1726,$A$2:$A$2509,0,1)&lt;&gt;_xlfn.XMATCH(A1726,$A$2:$A$2509,0,-1),FALSE)), "Código de barras duplicado", ""), IF(AND(E1726&lt;&gt;"", COUNTIF($E$2:$E$2509, E1726)&gt;1), "SKU duplicado", ""), IF(OR(J1726="", J1726=""), "[Aviso] División no capturada ()", IF(ISNA(MATCH(J1726, Criterios!$A$123:$A$126, 0)), "División no válida", "")), IF(OR(K1726="", K1726=""), "[Aviso] Categoría no capturada ()", IF(ISNA(MATCH(K1726, Criterios!$A$81:$A$120, 0)), "Categoría no válida", IF(AND(J1726&lt;&gt;"", J1726&lt;&gt;"", J1726&lt;&gt;VLOOKUP(K1726, Criterios!$A$81:$B$120, 2, FALSE)), "División no coincide con Categoría", ""))), IF(OR(L1726="", L1726=""), "[Aviso] Género no capturado ()", IF(ISNA(MATCH(L1726, Criterios!$B$123:$B$127, 0)), "Género no válido", "")), IF(OR(N1726="", N1726=""), "[Aviso] Temporada no capturada ()", IF(ISNA(MATCH(N1726, Criterios!$C$123:$C$128, 0)), "Temporada no válida", "")), IF(OR(O1726="", O1726=""), "[Aviso] Ciclo de vida no capturado ()", IF(ISNA(MATCH(O1726, Criterios!$D$123:$D$124, 0)), "Ciclo de vida no válido", ""))))</f>
        <v/>
      </c>
      <c r="AC1726" s="56" t="n"/>
      <c r="AD1726" s="51" t="n">
        <v>-1</v>
      </c>
      <c r="AE1726" s="156" t="n"/>
      <c r="AF1726" s="51" t="n">
        <v>0</v>
      </c>
      <c r="AG1726" s="156" t="inlineStr">
        <is>
          <t>Catálogo existente</t>
        </is>
      </c>
      <c r="AH172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6" s="156" t="inlineStr">
        <is>
          <t>Sí</t>
        </is>
      </c>
      <c r="AJ1726" s="156" t="inlineStr">
        <is>
          <t>STETSON AMERICAS (-1)</t>
        </is>
      </c>
      <c r="AK1726" s="155" t="inlineStr">
        <is>
          <t>Criterios: I [Q] | Shopify Stetson: producto 14788711416171 / variante 53350608503147 | Investigación en línea 06/10/2026: https://www.stetson.com/products/crowley-10x-straw-cowboy-hat-natural</t>
        </is>
      </c>
      <c r="AL1726" s="58" t="n">
        <v>1338.75</v>
      </c>
      <c r="AM1726" s="58" t="n">
        <v>3275.862069</v>
      </c>
      <c r="AN1726" s="155" t="inlineStr">
        <is>
          <t>Shopify Stetson México</t>
        </is>
      </c>
      <c r="AO1726" s="59" t="n">
        <v>0</v>
      </c>
      <c r="AP1726" s="59" t="n"/>
      <c r="AQ1726" s="59" t="n"/>
      <c r="AR1726" s="155" t="n"/>
    </row>
    <row r="1727">
      <c r="A1727" s="50" t="inlineStr">
        <is>
          <t>883383972887</t>
        </is>
      </c>
      <c r="B1727" s="51" t="inlineStr">
        <is>
          <t>110154</t>
        </is>
      </c>
      <c r="C1727" s="156" t="inlineStr">
        <is>
          <t>Multimarca</t>
        </is>
      </c>
      <c r="D1727" s="156" t="inlineStr">
        <is>
          <t>SSCRLY-304281</t>
        </is>
      </c>
      <c r="E1727" s="156" t="inlineStr">
        <is>
          <t>SSCRLY-30428170</t>
        </is>
      </c>
      <c r="F1727" s="156" t="inlineStr">
        <is>
          <t>7</t>
        </is>
      </c>
      <c r="G1727" s="156" t="inlineStr">
        <is>
          <t>7</t>
        </is>
      </c>
      <c r="H1727" s="156" t="inlineStr">
        <is>
          <t>Stetson</t>
        </is>
      </c>
      <c r="I1727" s="156" t="inlineStr">
        <is>
          <t>Sombrero Stetson Crowley Natural</t>
        </is>
      </c>
      <c r="J1727" s="156" t="inlineStr">
        <is>
          <t>Accesorios</t>
        </is>
      </c>
      <c r="K1727" s="156" t="inlineStr">
        <is>
          <t>Sombreros</t>
        </is>
      </c>
      <c r="L1727" s="156" t="inlineStr">
        <is>
          <t>Unisex</t>
        </is>
      </c>
      <c r="M1727" s="156" t="inlineStr">
        <is>
          <t>Stetson</t>
        </is>
      </c>
      <c r="N1727" s="156" t="inlineStr">
        <is>
          <t>SS26</t>
        </is>
      </c>
      <c r="O1727" s="156" t="inlineStr">
        <is>
          <t>Seasonal</t>
        </is>
      </c>
      <c r="P1727" s="156" t="inlineStr">
        <is>
          <t>Beige</t>
        </is>
      </c>
      <c r="Q1727" s="156" t="n"/>
      <c r="R1727" s="156" t="inlineStr">
        <is>
          <t>Copa Cattleman</t>
        </is>
      </c>
      <c r="S1727" s="156" t="inlineStr">
        <is>
          <t>100% Paja</t>
        </is>
      </c>
      <c r="T1727"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7" s="156" t="inlineStr">
        <is>
          <t>Estados Unidos</t>
        </is>
      </c>
      <c r="V1727" s="156" t="inlineStr">
        <is>
          <t>PZS</t>
        </is>
      </c>
      <c r="W1727" s="51" t="inlineStr">
        <is>
          <t>53102503</t>
        </is>
      </c>
      <c r="X1727" s="156" t="inlineStr">
        <is>
          <t>https://cdn.shopify.com/s/files/1/0888/3250/8267/files/SSCRLY-304281-02.jpg?v=1759854546</t>
        </is>
      </c>
      <c r="Y1727" s="54" t="n">
        <v>1338.75</v>
      </c>
      <c r="Z1727" s="54" t="n">
        <v>3275.862069</v>
      </c>
      <c r="AA1727" s="55">
        <f>IF(AND(A1727="", B1727="", E1727=""), "", IF(AB1727="", "Válido", IF((LEN(AB1727)-LEN(SUBSTITUTE(AB1727,"; ","")))/2+1&gt;(LEN(AB1727)-LEN(SUBSTITUTE(AB1727,"[Aviso]","")))/7, "Con Incidencias", "Válido")))</f>
        <v/>
      </c>
      <c r="AB1727" s="56">
        <f>IF(AND(A1727="", B1727="", E1727=""), "", TEXTJOIN("; ", TRUE, IF(OR(TRIM(A1727&amp;"")="", ISNUMBER(SEARCH("FALTA", A1727))), "UPC faltante/inválido", ""), IF(AND(A1727&lt;&gt;"", IFERROR(_xlfn.XMATCH(A1727,$A$2:$A$2509,0,1)&lt;&gt;_xlfn.XMATCH(A1727,$A$2:$A$2509,0,-1),FALSE)), "Código de barras duplicado", ""), IF(AND(E1727&lt;&gt;"", COUNTIF($E$2:$E$2509, E1727)&gt;1), "SKU duplicado", ""), IF(OR(J1727="", J1727=""), "[Aviso] División no capturada ()", IF(ISNA(MATCH(J1727, Criterios!$A$123:$A$126, 0)), "División no válida", "")), IF(OR(K1727="", K1727=""), "[Aviso] Categoría no capturada ()", IF(ISNA(MATCH(K1727, Criterios!$A$81:$A$120, 0)), "Categoría no válida", IF(AND(J1727&lt;&gt;"", J1727&lt;&gt;"", J1727&lt;&gt;VLOOKUP(K1727, Criterios!$A$81:$B$120, 2, FALSE)), "División no coincide con Categoría", ""))), IF(OR(L1727="", L1727=""), "[Aviso] Género no capturado ()", IF(ISNA(MATCH(L1727, Criterios!$B$123:$B$127, 0)), "Género no válido", "")), IF(OR(N1727="", N1727=""), "[Aviso] Temporada no capturada ()", IF(ISNA(MATCH(N1727, Criterios!$C$123:$C$128, 0)), "Temporada no válida", "")), IF(OR(O1727="", O1727=""), "[Aviso] Ciclo de vida no capturado ()", IF(ISNA(MATCH(O1727, Criterios!$D$123:$D$124, 0)), "Ciclo de vida no válido", ""))))</f>
        <v/>
      </c>
      <c r="AC1727" s="56" t="n"/>
      <c r="AD1727" s="51" t="n">
        <v>0</v>
      </c>
      <c r="AE1727" s="156" t="n"/>
      <c r="AF1727" s="51" t="n">
        <v>0</v>
      </c>
      <c r="AG1727" s="156" t="inlineStr">
        <is>
          <t>Catálogo existente</t>
        </is>
      </c>
      <c r="AH172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7" s="156" t="inlineStr">
        <is>
          <t>No</t>
        </is>
      </c>
      <c r="AJ1727" s="156" t="n"/>
      <c r="AK1727" s="155" t="inlineStr">
        <is>
          <t>Criterios: I [Q] | Shopify Stetson: producto 14788711416171 / variante 53350608535915 | Investigación en línea 06/10/2026: https://www.stetson.com/products/crowley-10x-straw-cowboy-hat-natural</t>
        </is>
      </c>
      <c r="AL1727" s="58" t="n">
        <v>1338.75</v>
      </c>
      <c r="AM1727" s="58" t="n">
        <v>3275.862069</v>
      </c>
      <c r="AN1727" s="155" t="inlineStr">
        <is>
          <t>Shopify Stetson México</t>
        </is>
      </c>
      <c r="AO1727" s="59" t="n">
        <v>1</v>
      </c>
      <c r="AP1727" s="59" t="n"/>
      <c r="AQ1727" s="59" t="n"/>
      <c r="AR1727" s="155" t="inlineStr">
        <is>
          <t>Shopify Stetson México › Stetson Americas: 1</t>
        </is>
      </c>
    </row>
    <row r="1728">
      <c r="A1728" s="50" t="inlineStr">
        <is>
          <t>883383972894</t>
        </is>
      </c>
      <c r="B1728" s="51" t="inlineStr">
        <is>
          <t>110155</t>
        </is>
      </c>
      <c r="C1728" s="156" t="inlineStr">
        <is>
          <t>Multimarca</t>
        </is>
      </c>
      <c r="D1728" s="156" t="inlineStr">
        <is>
          <t>SSCRLY-304281</t>
        </is>
      </c>
      <c r="E1728" s="156" t="inlineStr">
        <is>
          <t>SSCRLY-30428171</t>
        </is>
      </c>
      <c r="F1728" s="156" t="inlineStr">
        <is>
          <t>7 1/8</t>
        </is>
      </c>
      <c r="G1728" s="156" t="inlineStr">
        <is>
          <t>7 1/8</t>
        </is>
      </c>
      <c r="H1728" s="156" t="inlineStr">
        <is>
          <t>Stetson</t>
        </is>
      </c>
      <c r="I1728" s="156" t="inlineStr">
        <is>
          <t>Sombrero Stetson Crowley Natural</t>
        </is>
      </c>
      <c r="J1728" s="156" t="inlineStr">
        <is>
          <t>Accesorios</t>
        </is>
      </c>
      <c r="K1728" s="156" t="inlineStr">
        <is>
          <t>Sombreros</t>
        </is>
      </c>
      <c r="L1728" s="156" t="inlineStr">
        <is>
          <t>Unisex</t>
        </is>
      </c>
      <c r="M1728" s="156" t="inlineStr">
        <is>
          <t>Stetson</t>
        </is>
      </c>
      <c r="N1728" s="156" t="inlineStr">
        <is>
          <t>SS26</t>
        </is>
      </c>
      <c r="O1728" s="156" t="inlineStr">
        <is>
          <t>Seasonal</t>
        </is>
      </c>
      <c r="P1728" s="156" t="inlineStr">
        <is>
          <t>Beige</t>
        </is>
      </c>
      <c r="Q1728" s="156" t="n"/>
      <c r="R1728" s="156" t="inlineStr">
        <is>
          <t>Copa Cattleman</t>
        </is>
      </c>
      <c r="S1728" s="156" t="inlineStr">
        <is>
          <t>100% Paja</t>
        </is>
      </c>
      <c r="T1728"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8" s="156" t="inlineStr">
        <is>
          <t>Estados Unidos</t>
        </is>
      </c>
      <c r="V1728" s="156" t="inlineStr">
        <is>
          <t>PZS</t>
        </is>
      </c>
      <c r="W1728" s="51" t="inlineStr">
        <is>
          <t>53102503</t>
        </is>
      </c>
      <c r="X1728" s="156" t="inlineStr">
        <is>
          <t>https://cdn.shopify.com/s/files/1/0888/3250/8267/files/SSCRLY-304281-03.jpg?v=1759854546</t>
        </is>
      </c>
      <c r="Y1728" s="54" t="n">
        <v>1338.75</v>
      </c>
      <c r="Z1728" s="54" t="n">
        <v>3275.862069</v>
      </c>
      <c r="AA1728" s="55">
        <f>IF(AND(A1728="", B1728="", E1728=""), "", IF(AB1728="", "Válido", IF((LEN(AB1728)-LEN(SUBSTITUTE(AB1728,"; ","")))/2+1&gt;(LEN(AB1728)-LEN(SUBSTITUTE(AB1728,"[Aviso]","")))/7, "Con Incidencias", "Válido")))</f>
        <v/>
      </c>
      <c r="AB1728" s="56">
        <f>IF(AND(A1728="", B1728="", E1728=""), "", TEXTJOIN("; ", TRUE, IF(OR(TRIM(A1728&amp;"")="", ISNUMBER(SEARCH("FALTA", A1728))), "UPC faltante/inválido", ""), IF(AND(A1728&lt;&gt;"", IFERROR(_xlfn.XMATCH(A1728,$A$2:$A$2509,0,1)&lt;&gt;_xlfn.XMATCH(A1728,$A$2:$A$2509,0,-1),FALSE)), "Código de barras duplicado", ""), IF(AND(E1728&lt;&gt;"", COUNTIF($E$2:$E$2509, E1728)&gt;1), "SKU duplicado", ""), IF(OR(J1728="", J1728=""), "[Aviso] División no capturada ()", IF(ISNA(MATCH(J1728, Criterios!$A$123:$A$126, 0)), "División no válida", "")), IF(OR(K1728="", K1728=""), "[Aviso] Categoría no capturada ()", IF(ISNA(MATCH(K1728, Criterios!$A$81:$A$120, 0)), "Categoría no válida", IF(AND(J1728&lt;&gt;"", J1728&lt;&gt;"", J1728&lt;&gt;VLOOKUP(K1728, Criterios!$A$81:$B$120, 2, FALSE)), "División no coincide con Categoría", ""))), IF(OR(L1728="", L1728=""), "[Aviso] Género no capturado ()", IF(ISNA(MATCH(L1728, Criterios!$B$123:$B$127, 0)), "Género no válido", "")), IF(OR(N1728="", N1728=""), "[Aviso] Temporada no capturada ()", IF(ISNA(MATCH(N1728, Criterios!$C$123:$C$128, 0)), "Temporada no válida", "")), IF(OR(O1728="", O1728=""), "[Aviso] Ciclo de vida no capturado ()", IF(ISNA(MATCH(O1728, Criterios!$D$123:$D$124, 0)), "Ciclo de vida no válido", ""))))</f>
        <v/>
      </c>
      <c r="AC1728" s="56" t="n"/>
      <c r="AD1728" s="51" t="n">
        <v>1</v>
      </c>
      <c r="AE1728" s="156" t="inlineStr">
        <is>
          <t>B25 STETSON.MX (2)</t>
        </is>
      </c>
      <c r="AF1728" s="51" t="n">
        <v>2</v>
      </c>
      <c r="AG1728" s="156" t="inlineStr">
        <is>
          <t>Catálogo existente</t>
        </is>
      </c>
      <c r="AH172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8" s="156" t="inlineStr">
        <is>
          <t>Sí</t>
        </is>
      </c>
      <c r="AJ1728" s="156" t="inlineStr">
        <is>
          <t>STETSON AMERICAS (-1)</t>
        </is>
      </c>
      <c r="AK1728" s="155" t="inlineStr">
        <is>
          <t>Criterios: I [Q] | Shopify Stetson: producto 14788711416171 / variante 53350608568683 | Investigación en línea 06/10/2026: https://www.stetson.com/products/crowley-10x-straw-cowboy-hat-natural</t>
        </is>
      </c>
      <c r="AL1728" s="58" t="n">
        <v>1338.75</v>
      </c>
      <c r="AM1728" s="58" t="n">
        <v>3275.862069</v>
      </c>
      <c r="AN1728" s="155" t="inlineStr">
        <is>
          <t>Shopify Stetson México</t>
        </is>
      </c>
      <c r="AO1728" s="59" t="n">
        <v>3</v>
      </c>
      <c r="AP1728" s="59" t="n"/>
      <c r="AQ1728" s="59" t="n"/>
      <c r="AR1728" s="155" t="inlineStr">
        <is>
          <t>Shopify Stetson México › Stetson México: 2 | Shopify Stetson México › Stetson Americas: 1</t>
        </is>
      </c>
    </row>
    <row r="1729">
      <c r="A1729" s="50" t="inlineStr">
        <is>
          <t>883383972900</t>
        </is>
      </c>
      <c r="B1729" s="51" t="inlineStr">
        <is>
          <t>110156</t>
        </is>
      </c>
      <c r="C1729" s="156" t="inlineStr">
        <is>
          <t>Multimarca</t>
        </is>
      </c>
      <c r="D1729" s="156" t="inlineStr">
        <is>
          <t>SSCRLY-304281</t>
        </is>
      </c>
      <c r="E1729" s="156" t="inlineStr">
        <is>
          <t>SSCRLY-30428172</t>
        </is>
      </c>
      <c r="F1729" s="156" t="inlineStr">
        <is>
          <t>7 1/4</t>
        </is>
      </c>
      <c r="G1729" s="156" t="inlineStr">
        <is>
          <t>7 1/4</t>
        </is>
      </c>
      <c r="H1729" s="156" t="inlineStr">
        <is>
          <t>Stetson</t>
        </is>
      </c>
      <c r="I1729" s="156" t="inlineStr">
        <is>
          <t>Sombrero Stetson Crowley Natural</t>
        </is>
      </c>
      <c r="J1729" s="156" t="inlineStr">
        <is>
          <t>Accesorios</t>
        </is>
      </c>
      <c r="K1729" s="156" t="inlineStr">
        <is>
          <t>Sombreros</t>
        </is>
      </c>
      <c r="L1729" s="156" t="inlineStr">
        <is>
          <t>Unisex</t>
        </is>
      </c>
      <c r="M1729" s="156" t="inlineStr">
        <is>
          <t>Stetson</t>
        </is>
      </c>
      <c r="N1729" s="156" t="inlineStr">
        <is>
          <t>SS26</t>
        </is>
      </c>
      <c r="O1729" s="156" t="inlineStr">
        <is>
          <t>Seasonal</t>
        </is>
      </c>
      <c r="P1729" s="156" t="inlineStr">
        <is>
          <t>Beige</t>
        </is>
      </c>
      <c r="Q1729" s="156" t="n"/>
      <c r="R1729" s="156" t="inlineStr">
        <is>
          <t>Copa Cattleman</t>
        </is>
      </c>
      <c r="S1729" s="156" t="inlineStr">
        <is>
          <t>100% Paja</t>
        </is>
      </c>
      <c r="T1729"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9" s="156" t="inlineStr">
        <is>
          <t>Estados Unidos</t>
        </is>
      </c>
      <c r="V1729" s="156" t="inlineStr">
        <is>
          <t>PZS</t>
        </is>
      </c>
      <c r="W1729" s="51" t="inlineStr">
        <is>
          <t>53102503</t>
        </is>
      </c>
      <c r="X1729" s="156" t="inlineStr">
        <is>
          <t>https://cdn.shopify.com/s/files/1/0888/3250/8267/files/SSCRLY-304281-04.jpg?v=1759854546</t>
        </is>
      </c>
      <c r="Y1729" s="54" t="n">
        <v>1338.75</v>
      </c>
      <c r="Z1729" s="54" t="n">
        <v>3275.862069</v>
      </c>
      <c r="AA1729" s="55">
        <f>IF(AND(A1729="", B1729="", E1729=""), "", IF(AB1729="", "Válido", IF((LEN(AB1729)-LEN(SUBSTITUTE(AB1729,"; ","")))/2+1&gt;(LEN(AB1729)-LEN(SUBSTITUTE(AB1729,"[Aviso]","")))/7, "Con Incidencias", "Válido")))</f>
        <v/>
      </c>
      <c r="AB1729" s="56">
        <f>IF(AND(A1729="", B1729="", E1729=""), "", TEXTJOIN("; ", TRUE, IF(OR(TRIM(A1729&amp;"")="", ISNUMBER(SEARCH("FALTA", A1729))), "UPC faltante/inválido", ""), IF(AND(A1729&lt;&gt;"", IFERROR(_xlfn.XMATCH(A1729,$A$2:$A$2509,0,1)&lt;&gt;_xlfn.XMATCH(A1729,$A$2:$A$2509,0,-1),FALSE)), "Código de barras duplicado", ""), IF(AND(E1729&lt;&gt;"", COUNTIF($E$2:$E$2509, E1729)&gt;1), "SKU duplicado", ""), IF(OR(J1729="", J1729=""), "[Aviso] División no capturada ()", IF(ISNA(MATCH(J1729, Criterios!$A$123:$A$126, 0)), "División no válida", "")), IF(OR(K1729="", K1729=""), "[Aviso] Categoría no capturada ()", IF(ISNA(MATCH(K1729, Criterios!$A$81:$A$120, 0)), "Categoría no válida", IF(AND(J1729&lt;&gt;"", J1729&lt;&gt;"", J1729&lt;&gt;VLOOKUP(K1729, Criterios!$A$81:$B$120, 2, FALSE)), "División no coincide con Categoría", ""))), IF(OR(L1729="", L1729=""), "[Aviso] Género no capturado ()", IF(ISNA(MATCH(L1729, Criterios!$B$123:$B$127, 0)), "Género no válido", "")), IF(OR(N1729="", N1729=""), "[Aviso] Temporada no capturada ()", IF(ISNA(MATCH(N1729, Criterios!$C$123:$C$128, 0)), "Temporada no válida", "")), IF(OR(O1729="", O1729=""), "[Aviso] Ciclo de vida no capturado ()", IF(ISNA(MATCH(O1729, Criterios!$D$123:$D$124, 0)), "Ciclo de vida no válido", ""))))</f>
        <v/>
      </c>
      <c r="AC1729" s="56" t="n"/>
      <c r="AD1729" s="51" t="n">
        <v>1</v>
      </c>
      <c r="AE1729" s="156" t="inlineStr">
        <is>
          <t>B25 STETSON.MX (2)</t>
        </is>
      </c>
      <c r="AF1729" s="51" t="n">
        <v>2</v>
      </c>
      <c r="AG1729" s="156" t="inlineStr">
        <is>
          <t>Catálogo existente</t>
        </is>
      </c>
      <c r="AH1729"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9" s="156" t="inlineStr">
        <is>
          <t>Sí</t>
        </is>
      </c>
      <c r="AJ1729" s="156" t="inlineStr">
        <is>
          <t>STETSON AMERICAS (-1)</t>
        </is>
      </c>
      <c r="AK1729" s="155" t="inlineStr">
        <is>
          <t>Criterios: I [Q] | Shopify Stetson: producto 14788711416171 / variante 53350608601451 | Investigación en línea 06/10/2026: https://www.stetson.com/products/crowley-10x-straw-cowboy-hat-natural</t>
        </is>
      </c>
      <c r="AL1729" s="58" t="n">
        <v>1338.75</v>
      </c>
      <c r="AM1729" s="58" t="n">
        <v>3275.862069</v>
      </c>
      <c r="AN1729" s="155" t="inlineStr">
        <is>
          <t>Shopify Stetson México</t>
        </is>
      </c>
      <c r="AO1729" s="59" t="n">
        <v>2</v>
      </c>
      <c r="AP1729" s="59" t="n"/>
      <c r="AQ1729" s="59" t="n"/>
      <c r="AR1729" s="155" t="inlineStr">
        <is>
          <t>Shopify Stetson México › Stetson México: 2</t>
        </is>
      </c>
    </row>
    <row r="1730">
      <c r="A1730" s="50" t="inlineStr">
        <is>
          <t>883383972917</t>
        </is>
      </c>
      <c r="B1730" s="51" t="inlineStr">
        <is>
          <t>110157</t>
        </is>
      </c>
      <c r="C1730" s="156" t="inlineStr">
        <is>
          <t>Multimarca</t>
        </is>
      </c>
      <c r="D1730" s="156" t="inlineStr">
        <is>
          <t>SSCRLY-304281</t>
        </is>
      </c>
      <c r="E1730" s="156" t="inlineStr">
        <is>
          <t>SSCRLY-30428173</t>
        </is>
      </c>
      <c r="F1730" s="156" t="inlineStr">
        <is>
          <t>7 3/8</t>
        </is>
      </c>
      <c r="G1730" s="156" t="inlineStr">
        <is>
          <t>7 3/8</t>
        </is>
      </c>
      <c r="H1730" s="156" t="inlineStr">
        <is>
          <t>Stetson</t>
        </is>
      </c>
      <c r="I1730" s="156" t="inlineStr">
        <is>
          <t>Sombrero Stetson Crowley Natural</t>
        </is>
      </c>
      <c r="J1730" s="156" t="inlineStr">
        <is>
          <t>Accesorios</t>
        </is>
      </c>
      <c r="K1730" s="156" t="inlineStr">
        <is>
          <t>Sombreros</t>
        </is>
      </c>
      <c r="L1730" s="156" t="inlineStr">
        <is>
          <t>Unisex</t>
        </is>
      </c>
      <c r="M1730" s="156" t="inlineStr">
        <is>
          <t>Stetson</t>
        </is>
      </c>
      <c r="N1730" s="156" t="inlineStr">
        <is>
          <t>SS26</t>
        </is>
      </c>
      <c r="O1730" s="156" t="inlineStr">
        <is>
          <t>Seasonal</t>
        </is>
      </c>
      <c r="P1730" s="156" t="inlineStr">
        <is>
          <t>Beige</t>
        </is>
      </c>
      <c r="Q1730" s="156" t="n"/>
      <c r="R1730" s="156" t="inlineStr">
        <is>
          <t>Copa Cattleman</t>
        </is>
      </c>
      <c r="S1730" s="156" t="inlineStr">
        <is>
          <t>100% Paja</t>
        </is>
      </c>
      <c r="T1730"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30" s="156" t="inlineStr">
        <is>
          <t>Estados Unidos</t>
        </is>
      </c>
      <c r="V1730" s="156" t="inlineStr">
        <is>
          <t>PZS</t>
        </is>
      </c>
      <c r="W1730" s="51" t="inlineStr">
        <is>
          <t>53102503</t>
        </is>
      </c>
      <c r="X1730" s="156" t="inlineStr">
        <is>
          <t>https://cdn.shopify.com/s/files/1/0888/3250/8267/files/SSCRLY-304281-05.jpg?v=1759854546</t>
        </is>
      </c>
      <c r="Y1730" s="54" t="n">
        <v>1338.75</v>
      </c>
      <c r="Z1730" s="54" t="n">
        <v>3275.862069</v>
      </c>
      <c r="AA1730" s="55">
        <f>IF(AND(A1730="", B1730="", E1730=""), "", IF(AB1730="", "Válido", IF((LEN(AB1730)-LEN(SUBSTITUTE(AB1730,"; ","")))/2+1&gt;(LEN(AB1730)-LEN(SUBSTITUTE(AB1730,"[Aviso]","")))/7, "Con Incidencias", "Válido")))</f>
        <v/>
      </c>
      <c r="AB1730" s="56">
        <f>IF(AND(A1730="", B1730="", E1730=""), "", TEXTJOIN("; ", TRUE, IF(OR(TRIM(A1730&amp;"")="", ISNUMBER(SEARCH("FALTA", A1730))), "UPC faltante/inválido", ""), IF(AND(A1730&lt;&gt;"", IFERROR(_xlfn.XMATCH(A1730,$A$2:$A$2509,0,1)&lt;&gt;_xlfn.XMATCH(A1730,$A$2:$A$2509,0,-1),FALSE)), "Código de barras duplicado", ""), IF(AND(E1730&lt;&gt;"", COUNTIF($E$2:$E$2509, E1730)&gt;1), "SKU duplicado", ""), IF(OR(J1730="", J1730=""), "[Aviso] División no capturada ()", IF(ISNA(MATCH(J1730, Criterios!$A$123:$A$126, 0)), "División no válida", "")), IF(OR(K1730="", K1730=""), "[Aviso] Categoría no capturada ()", IF(ISNA(MATCH(K1730, Criterios!$A$81:$A$120, 0)), "Categoría no válida", IF(AND(J1730&lt;&gt;"", J1730&lt;&gt;"", J1730&lt;&gt;VLOOKUP(K1730, Criterios!$A$81:$B$120, 2, FALSE)), "División no coincide con Categoría", ""))), IF(OR(L1730="", L1730=""), "[Aviso] Género no capturado ()", IF(ISNA(MATCH(L1730, Criterios!$B$123:$B$127, 0)), "Género no válido", "")), IF(OR(N1730="", N1730=""), "[Aviso] Temporada no capturada ()", IF(ISNA(MATCH(N1730, Criterios!$C$123:$C$128, 0)), "Temporada no válida", "")), IF(OR(O1730="", O1730=""), "[Aviso] Ciclo de vida no capturado ()", IF(ISNA(MATCH(O1730, Criterios!$D$123:$D$124, 0)), "Ciclo de vida no válido", ""))))</f>
        <v/>
      </c>
      <c r="AC1730" s="56" t="n"/>
      <c r="AD1730" s="51" t="n">
        <v>1</v>
      </c>
      <c r="AE1730" s="156" t="inlineStr">
        <is>
          <t>PUNTO DE VENTA (1); B25 STETSON.MX (1)</t>
        </is>
      </c>
      <c r="AF1730" s="51" t="n">
        <v>2</v>
      </c>
      <c r="AG1730" s="156" t="inlineStr">
        <is>
          <t>Catálogo existente</t>
        </is>
      </c>
      <c r="AH1730"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0" s="156" t="inlineStr">
        <is>
          <t>Sí</t>
        </is>
      </c>
      <c r="AJ1730" s="156" t="inlineStr">
        <is>
          <t>STETSON AMERICAS (-1)</t>
        </is>
      </c>
      <c r="AK1730" s="155" t="inlineStr">
        <is>
          <t>Criterios: I [Q] | Shopify Stetson: producto 14788711416171 / variante 53350608634219 | Investigación en línea 06/10/2026: https://www.stetson.com/products/crowley-10x-straw-cowboy-hat-natural</t>
        </is>
      </c>
      <c r="AL1730" s="58" t="n">
        <v>1338.75</v>
      </c>
      <c r="AM1730" s="58" t="n">
        <v>3275.862069</v>
      </c>
      <c r="AN1730" s="155" t="inlineStr">
        <is>
          <t>Shopify Stetson México</t>
        </is>
      </c>
      <c r="AO1730" s="59" t="n">
        <v>2</v>
      </c>
      <c r="AP1730" s="59" t="n"/>
      <c r="AQ1730" s="59" t="n"/>
      <c r="AR1730" s="155" t="inlineStr">
        <is>
          <t>Shopify Stetson México › Stetson México: 1 | Shopify Stetson México › Stetson Americas: 1</t>
        </is>
      </c>
    </row>
    <row r="1731">
      <c r="A1731" s="50" t="inlineStr">
        <is>
          <t>883383972924</t>
        </is>
      </c>
      <c r="B1731" s="51" t="inlineStr">
        <is>
          <t>110158</t>
        </is>
      </c>
      <c r="C1731" s="156" t="inlineStr">
        <is>
          <t>Multimarca</t>
        </is>
      </c>
      <c r="D1731" s="156" t="inlineStr">
        <is>
          <t>SSCRLY-304281</t>
        </is>
      </c>
      <c r="E1731" s="156" t="inlineStr">
        <is>
          <t>SSCRLY-30428174</t>
        </is>
      </c>
      <c r="F1731" s="156" t="inlineStr">
        <is>
          <t>7 1/2</t>
        </is>
      </c>
      <c r="G1731" s="156" t="inlineStr">
        <is>
          <t>7 1/2</t>
        </is>
      </c>
      <c r="H1731" s="156" t="inlineStr">
        <is>
          <t>Stetson</t>
        </is>
      </c>
      <c r="I1731" s="156" t="inlineStr">
        <is>
          <t>Sombrero Stetson Crowley Natural</t>
        </is>
      </c>
      <c r="J1731" s="156" t="inlineStr">
        <is>
          <t>Accesorios</t>
        </is>
      </c>
      <c r="K1731" s="156" t="inlineStr">
        <is>
          <t>Sombreros</t>
        </is>
      </c>
      <c r="L1731" s="156" t="inlineStr">
        <is>
          <t>Unisex</t>
        </is>
      </c>
      <c r="M1731" s="156" t="inlineStr">
        <is>
          <t>Stetson</t>
        </is>
      </c>
      <c r="N1731" s="156" t="inlineStr">
        <is>
          <t>SS26</t>
        </is>
      </c>
      <c r="O1731" s="156" t="inlineStr">
        <is>
          <t>Seasonal</t>
        </is>
      </c>
      <c r="P1731" s="156" t="inlineStr">
        <is>
          <t>Beige</t>
        </is>
      </c>
      <c r="Q1731" s="156" t="n"/>
      <c r="R1731" s="156" t="inlineStr">
        <is>
          <t>Copa Cattleman</t>
        </is>
      </c>
      <c r="S1731" s="156" t="inlineStr">
        <is>
          <t>100% Paja</t>
        </is>
      </c>
      <c r="T1731"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31" s="156" t="inlineStr">
        <is>
          <t>Estados Unidos</t>
        </is>
      </c>
      <c r="V1731" s="156" t="inlineStr">
        <is>
          <t>PZS</t>
        </is>
      </c>
      <c r="W1731" s="51" t="inlineStr">
        <is>
          <t>53102503</t>
        </is>
      </c>
      <c r="X1731" s="156" t="inlineStr">
        <is>
          <t>https://cdn.shopify.com/s/files/1/0888/3250/8267/files/SSCRLY-304281-06.jpg?v=1759854546</t>
        </is>
      </c>
      <c r="Y1731" s="54" t="n">
        <v>1338.75</v>
      </c>
      <c r="Z1731" s="54" t="n">
        <v>3275.862069</v>
      </c>
      <c r="AA1731" s="55">
        <f>IF(AND(A1731="", B1731="", E1731=""), "", IF(AB1731="", "Válido", IF((LEN(AB1731)-LEN(SUBSTITUTE(AB1731,"; ","")))/2+1&gt;(LEN(AB1731)-LEN(SUBSTITUTE(AB1731,"[Aviso]","")))/7, "Con Incidencias", "Válido")))</f>
        <v/>
      </c>
      <c r="AB1731" s="56">
        <f>IF(AND(A1731="", B1731="", E1731=""), "", TEXTJOIN("; ", TRUE, IF(OR(TRIM(A1731&amp;"")="", ISNUMBER(SEARCH("FALTA", A1731))), "UPC faltante/inválido", ""), IF(AND(A1731&lt;&gt;"", IFERROR(_xlfn.XMATCH(A1731,$A$2:$A$2509,0,1)&lt;&gt;_xlfn.XMATCH(A1731,$A$2:$A$2509,0,-1),FALSE)), "Código de barras duplicado", ""), IF(AND(E1731&lt;&gt;"", COUNTIF($E$2:$E$2509, E1731)&gt;1), "SKU duplicado", ""), IF(OR(J1731="", J1731=""), "[Aviso] División no capturada ()", IF(ISNA(MATCH(J1731, Criterios!$A$123:$A$126, 0)), "División no válida", "")), IF(OR(K1731="", K1731=""), "[Aviso] Categoría no capturada ()", IF(ISNA(MATCH(K1731, Criterios!$A$81:$A$120, 0)), "Categoría no válida", IF(AND(J1731&lt;&gt;"", J1731&lt;&gt;"", J1731&lt;&gt;VLOOKUP(K1731, Criterios!$A$81:$B$120, 2, FALSE)), "División no coincide con Categoría", ""))), IF(OR(L1731="", L1731=""), "[Aviso] Género no capturado ()", IF(ISNA(MATCH(L1731, Criterios!$B$123:$B$127, 0)), "Género no válido", "")), IF(OR(N1731="", N1731=""), "[Aviso] Temporada no capturada ()", IF(ISNA(MATCH(N1731, Criterios!$C$123:$C$128, 0)), "Temporada no válida", "")), IF(OR(O1731="", O1731=""), "[Aviso] Ciclo de vida no capturado ()", IF(ISNA(MATCH(O1731, Criterios!$D$123:$D$124, 0)), "Ciclo de vida no válido", ""))))</f>
        <v/>
      </c>
      <c r="AC1731" s="56" t="n"/>
      <c r="AD1731" s="51" t="n">
        <v>0</v>
      </c>
      <c r="AE1731" s="156" t="n"/>
      <c r="AF1731" s="51" t="n">
        <v>0</v>
      </c>
      <c r="AG1731" s="156" t="inlineStr">
        <is>
          <t>Catálogo existente</t>
        </is>
      </c>
      <c r="AH1731"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1" s="156" t="inlineStr">
        <is>
          <t>No</t>
        </is>
      </c>
      <c r="AJ1731" s="156" t="n"/>
      <c r="AK1731" s="155" t="inlineStr">
        <is>
          <t>Criterios: I [Q] | Shopify Stetson: producto 14788711416171 / variante 53350608666987 | Investigación en línea 06/10/2026: https://www.stetson.com/products/crowley-10x-straw-cowboy-hat-natural</t>
        </is>
      </c>
      <c r="AL1731" s="58" t="n">
        <v>1338.75</v>
      </c>
      <c r="AM1731" s="58" t="n">
        <v>3275.862069</v>
      </c>
      <c r="AN1731" s="155" t="inlineStr">
        <is>
          <t>Shopify Stetson México</t>
        </is>
      </c>
      <c r="AO1731" s="59" t="n">
        <v>1</v>
      </c>
      <c r="AP1731" s="59" t="n"/>
      <c r="AQ1731" s="59" t="n"/>
      <c r="AR1731" s="155" t="inlineStr">
        <is>
          <t>Shopify Stetson México › Stetson Americas: 1</t>
        </is>
      </c>
    </row>
    <row r="1732">
      <c r="A1732" s="50" t="inlineStr">
        <is>
          <t>883383973327</t>
        </is>
      </c>
      <c r="B1732" s="51" t="inlineStr">
        <is>
          <t>110174</t>
        </is>
      </c>
      <c r="C1732" s="156" t="inlineStr">
        <is>
          <t>Multimarca</t>
        </is>
      </c>
      <c r="D1732" s="156" t="inlineStr">
        <is>
          <t>SSHGMN-304281</t>
        </is>
      </c>
      <c r="E1732" s="156" t="inlineStr">
        <is>
          <t>SSHGMN-30428167</t>
        </is>
      </c>
      <c r="F1732" s="156" t="inlineStr">
        <is>
          <t>6 7/8</t>
        </is>
      </c>
      <c r="G1732" s="156" t="inlineStr">
        <is>
          <t>6 7/8</t>
        </is>
      </c>
      <c r="H1732" s="156" t="inlineStr">
        <is>
          <t>Stetson</t>
        </is>
      </c>
      <c r="I1732" s="156" t="inlineStr">
        <is>
          <t>Sombrero Stetson Hagerman Natural</t>
        </is>
      </c>
      <c r="J1732" s="156" t="inlineStr">
        <is>
          <t>Accesorios</t>
        </is>
      </c>
      <c r="K1732" s="156" t="inlineStr">
        <is>
          <t>Sombreros</t>
        </is>
      </c>
      <c r="L1732" s="156" t="inlineStr">
        <is>
          <t>Unisex</t>
        </is>
      </c>
      <c r="M1732" s="156" t="inlineStr">
        <is>
          <t>Stetson</t>
        </is>
      </c>
      <c r="N1732" s="156" t="inlineStr">
        <is>
          <t>SS26</t>
        </is>
      </c>
      <c r="O1732" s="156" t="inlineStr">
        <is>
          <t>Seasonal</t>
        </is>
      </c>
      <c r="P1732" s="156" t="inlineStr">
        <is>
          <t>Beige</t>
        </is>
      </c>
      <c r="Q1732" s="156" t="n"/>
      <c r="R1732" s="156" t="inlineStr">
        <is>
          <t>Copa Cattleman</t>
        </is>
      </c>
      <c r="S1732" s="156" t="inlineStr">
        <is>
          <t>100% Paja</t>
        </is>
      </c>
      <c r="T1732"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2" s="156" t="inlineStr">
        <is>
          <t>Estados Unidos</t>
        </is>
      </c>
      <c r="V1732" s="156" t="inlineStr">
        <is>
          <t>PZS</t>
        </is>
      </c>
      <c r="W1732" s="51" t="inlineStr">
        <is>
          <t>53102503</t>
        </is>
      </c>
      <c r="X1732" s="156" t="inlineStr">
        <is>
          <t>https://cdn.shopify.com/s/files/1/0888/3250/8267/files/SSHGMN-3042-81-66_1.png?v=1759870586</t>
        </is>
      </c>
      <c r="Y1732" s="54" t="n">
        <v>1338.75</v>
      </c>
      <c r="Z1732" s="54" t="n">
        <v>3275.862069</v>
      </c>
      <c r="AA1732" s="55">
        <f>IF(AND(A1732="", B1732="", E1732=""), "", IF(AB1732="", "Válido", IF((LEN(AB1732)-LEN(SUBSTITUTE(AB1732,"; ","")))/2+1&gt;(LEN(AB1732)-LEN(SUBSTITUTE(AB1732,"[Aviso]","")))/7, "Con Incidencias", "Válido")))</f>
        <v/>
      </c>
      <c r="AB1732" s="56">
        <f>IF(AND(A1732="", B1732="", E1732=""), "", TEXTJOIN("; ", TRUE, IF(OR(TRIM(A1732&amp;"")="", ISNUMBER(SEARCH("FALTA", A1732))), "UPC faltante/inválido", ""), IF(AND(A1732&lt;&gt;"", IFERROR(_xlfn.XMATCH(A1732,$A$2:$A$2509,0,1)&lt;&gt;_xlfn.XMATCH(A1732,$A$2:$A$2509,0,-1),FALSE)), "Código de barras duplicado", ""), IF(AND(E1732&lt;&gt;"", COUNTIF($E$2:$E$2509, E1732)&gt;1), "SKU duplicado", ""), IF(OR(J1732="", J1732=""), "[Aviso] División no capturada ()", IF(ISNA(MATCH(J1732, Criterios!$A$123:$A$126, 0)), "División no válida", "")), IF(OR(K1732="", K1732=""), "[Aviso] Categoría no capturada ()", IF(ISNA(MATCH(K1732, Criterios!$A$81:$A$120, 0)), "Categoría no válida", IF(AND(J1732&lt;&gt;"", J1732&lt;&gt;"", J1732&lt;&gt;VLOOKUP(K1732, Criterios!$A$81:$B$120, 2, FALSE)), "División no coincide con Categoría", ""))), IF(OR(L1732="", L1732=""), "[Aviso] Género no capturado ()", IF(ISNA(MATCH(L1732, Criterios!$B$123:$B$127, 0)), "Género no válido", "")), IF(OR(N1732="", N1732=""), "[Aviso] Temporada no capturada ()", IF(ISNA(MATCH(N1732, Criterios!$C$123:$C$128, 0)), "Temporada no válida", "")), IF(OR(O1732="", O1732=""), "[Aviso] Ciclo de vida no capturado ()", IF(ISNA(MATCH(O1732, Criterios!$D$123:$D$124, 0)), "Ciclo de vida no válido", ""))))</f>
        <v/>
      </c>
      <c r="AC1732" s="56" t="n"/>
      <c r="AD1732" s="51" t="n">
        <v>1</v>
      </c>
      <c r="AE1732" s="156" t="inlineStr">
        <is>
          <t>B25 STETSON.MX (1)</t>
        </is>
      </c>
      <c r="AF1732" s="51" t="n">
        <v>1</v>
      </c>
      <c r="AG1732" s="156" t="inlineStr">
        <is>
          <t>Catálogo existente</t>
        </is>
      </c>
      <c r="AH1732"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2" s="156" t="inlineStr">
        <is>
          <t>No</t>
        </is>
      </c>
      <c r="AJ1732" s="156" t="n"/>
      <c r="AK1732" s="155" t="inlineStr">
        <is>
          <t>Criterios: I [Q] | Shopify Stetson: producto 14788879810923 / variante 53350607978859 | Investigación en línea 06/10/2026: https://www.stetson.com/products/hagerman-10x-straw-cowboy-hat-natural</t>
        </is>
      </c>
      <c r="AL1732" s="58" t="n">
        <v>1338.75</v>
      </c>
      <c r="AM1732" s="58" t="n">
        <v>3275.862069</v>
      </c>
      <c r="AN1732" s="155" t="inlineStr">
        <is>
          <t>Shopify Stetson México</t>
        </is>
      </c>
      <c r="AO1732" s="59" t="n">
        <v>0</v>
      </c>
      <c r="AP1732" s="59" t="n"/>
      <c r="AQ1732" s="59" t="n"/>
      <c r="AR1732" s="155" t="n"/>
    </row>
    <row r="1733">
      <c r="A1733" s="50" t="inlineStr">
        <is>
          <t>883383973334</t>
        </is>
      </c>
      <c r="B1733" s="51" t="inlineStr">
        <is>
          <t>110175</t>
        </is>
      </c>
      <c r="C1733" s="156" t="inlineStr">
        <is>
          <t>Multimarca</t>
        </is>
      </c>
      <c r="D1733" s="156" t="inlineStr">
        <is>
          <t>SSHGMN-304281</t>
        </is>
      </c>
      <c r="E1733" s="156" t="inlineStr">
        <is>
          <t>SSHGMN-30428170</t>
        </is>
      </c>
      <c r="F1733" s="156" t="inlineStr">
        <is>
          <t>7</t>
        </is>
      </c>
      <c r="G1733" s="156" t="inlineStr">
        <is>
          <t>7</t>
        </is>
      </c>
      <c r="H1733" s="156" t="inlineStr">
        <is>
          <t>Stetson</t>
        </is>
      </c>
      <c r="I1733" s="156" t="inlineStr">
        <is>
          <t>Sombrero Stetson Hagerman Natural</t>
        </is>
      </c>
      <c r="J1733" s="156" t="inlineStr">
        <is>
          <t>Accesorios</t>
        </is>
      </c>
      <c r="K1733" s="156" t="inlineStr">
        <is>
          <t>Sombreros</t>
        </is>
      </c>
      <c r="L1733" s="156" t="inlineStr">
        <is>
          <t>Unisex</t>
        </is>
      </c>
      <c r="M1733" s="156" t="inlineStr">
        <is>
          <t>Stetson</t>
        </is>
      </c>
      <c r="N1733" s="156" t="inlineStr">
        <is>
          <t>SS26</t>
        </is>
      </c>
      <c r="O1733" s="156" t="inlineStr">
        <is>
          <t>Seasonal</t>
        </is>
      </c>
      <c r="P1733" s="156" t="inlineStr">
        <is>
          <t>Beige</t>
        </is>
      </c>
      <c r="Q1733" s="156" t="n"/>
      <c r="R1733" s="156" t="inlineStr">
        <is>
          <t>Copa Cattleman</t>
        </is>
      </c>
      <c r="S1733" s="156" t="inlineStr">
        <is>
          <t>100% Paja</t>
        </is>
      </c>
      <c r="T1733"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3" s="156" t="inlineStr">
        <is>
          <t>Estados Unidos</t>
        </is>
      </c>
      <c r="V1733" s="156" t="inlineStr">
        <is>
          <t>PZS</t>
        </is>
      </c>
      <c r="W1733" s="51" t="inlineStr">
        <is>
          <t>53102503</t>
        </is>
      </c>
      <c r="X1733" s="156" t="inlineStr">
        <is>
          <t>https://cdn.shopify.com/s/files/1/0888/3250/8267/files/SSHGMN-3042-81-66_2.png?v=1759870586</t>
        </is>
      </c>
      <c r="Y1733" s="54" t="n">
        <v>1338.75</v>
      </c>
      <c r="Z1733" s="54" t="n">
        <v>3275.862069</v>
      </c>
      <c r="AA1733" s="55">
        <f>IF(AND(A1733="", B1733="", E1733=""), "", IF(AB1733="", "Válido", IF((LEN(AB1733)-LEN(SUBSTITUTE(AB1733,"; ","")))/2+1&gt;(LEN(AB1733)-LEN(SUBSTITUTE(AB1733,"[Aviso]","")))/7, "Con Incidencias", "Válido")))</f>
        <v/>
      </c>
      <c r="AB1733" s="56">
        <f>IF(AND(A1733="", B1733="", E1733=""), "", TEXTJOIN("; ", TRUE, IF(OR(TRIM(A1733&amp;"")="", ISNUMBER(SEARCH("FALTA", A1733))), "UPC faltante/inválido", ""), IF(AND(A1733&lt;&gt;"", IFERROR(_xlfn.XMATCH(A1733,$A$2:$A$2509,0,1)&lt;&gt;_xlfn.XMATCH(A1733,$A$2:$A$2509,0,-1),FALSE)), "Código de barras duplicado", ""), IF(AND(E1733&lt;&gt;"", COUNTIF($E$2:$E$2509, E1733)&gt;1), "SKU duplicado", ""), IF(OR(J1733="", J1733=""), "[Aviso] División no capturada ()", IF(ISNA(MATCH(J1733, Criterios!$A$123:$A$126, 0)), "División no válida", "")), IF(OR(K1733="", K1733=""), "[Aviso] Categoría no capturada ()", IF(ISNA(MATCH(K1733, Criterios!$A$81:$A$120, 0)), "Categoría no válida", IF(AND(J1733&lt;&gt;"", J1733&lt;&gt;"", J1733&lt;&gt;VLOOKUP(K1733, Criterios!$A$81:$B$120, 2, FALSE)), "División no coincide con Categoría", ""))), IF(OR(L1733="", L1733=""), "[Aviso] Género no capturado ()", IF(ISNA(MATCH(L1733, Criterios!$B$123:$B$127, 0)), "Género no válido", "")), IF(OR(N1733="", N1733=""), "[Aviso] Temporada no capturada ()", IF(ISNA(MATCH(N1733, Criterios!$C$123:$C$128, 0)), "Temporada no válida", "")), IF(OR(O1733="", O1733=""), "[Aviso] Ciclo de vida no capturado ()", IF(ISNA(MATCH(O1733, Criterios!$D$123:$D$124, 0)), "Ciclo de vida no válido", ""))))</f>
        <v/>
      </c>
      <c r="AC1733" s="56" t="n"/>
      <c r="AD1733" s="51" t="n">
        <v>0</v>
      </c>
      <c r="AE1733" s="156" t="n"/>
      <c r="AF1733" s="51" t="n">
        <v>0</v>
      </c>
      <c r="AG1733" s="156" t="inlineStr">
        <is>
          <t>Catálogo existente</t>
        </is>
      </c>
      <c r="AH1733"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3" s="156" t="inlineStr">
        <is>
          <t>No</t>
        </is>
      </c>
      <c r="AJ1733" s="156" t="n"/>
      <c r="AK1733" s="155" t="inlineStr">
        <is>
          <t>Criterios: I [Q] | Shopify Stetson: producto 14788879810923 / variante 53350608011627 | Investigación en línea 06/10/2026: https://www.stetson.com/products/hagerman-10x-straw-cowboy-hat-natural</t>
        </is>
      </c>
      <c r="AL1733" s="58" t="n">
        <v>1338.75</v>
      </c>
      <c r="AM1733" s="58" t="n">
        <v>3275.862069</v>
      </c>
      <c r="AN1733" s="155" t="inlineStr">
        <is>
          <t>Shopify Stetson México</t>
        </is>
      </c>
      <c r="AO1733" s="59" t="n">
        <v>0</v>
      </c>
      <c r="AP1733" s="59" t="n"/>
      <c r="AQ1733" s="59" t="n"/>
      <c r="AR1733" s="155" t="n"/>
    </row>
    <row r="1734">
      <c r="A1734" s="50" t="inlineStr">
        <is>
          <t>883383973341</t>
        </is>
      </c>
      <c r="B1734" s="51" t="inlineStr">
        <is>
          <t>110176</t>
        </is>
      </c>
      <c r="C1734" s="156" t="inlineStr">
        <is>
          <t>Multimarca</t>
        </is>
      </c>
      <c r="D1734" s="156" t="inlineStr">
        <is>
          <t>SSHGMN-304281</t>
        </is>
      </c>
      <c r="E1734" s="156" t="inlineStr">
        <is>
          <t>SSHGMN-30428171</t>
        </is>
      </c>
      <c r="F1734" s="156" t="inlineStr">
        <is>
          <t>7 1/8</t>
        </is>
      </c>
      <c r="G1734" s="156" t="inlineStr">
        <is>
          <t>7 1/8</t>
        </is>
      </c>
      <c r="H1734" s="156" t="inlineStr">
        <is>
          <t>Stetson</t>
        </is>
      </c>
      <c r="I1734" s="156" t="inlineStr">
        <is>
          <t>Sombrero Stetson Hagerman Natural</t>
        </is>
      </c>
      <c r="J1734" s="156" t="inlineStr">
        <is>
          <t>Accesorios</t>
        </is>
      </c>
      <c r="K1734" s="156" t="inlineStr">
        <is>
          <t>Sombreros</t>
        </is>
      </c>
      <c r="L1734" s="156" t="inlineStr">
        <is>
          <t>Unisex</t>
        </is>
      </c>
      <c r="M1734" s="156" t="inlineStr">
        <is>
          <t>Stetson</t>
        </is>
      </c>
      <c r="N1734" s="156" t="inlineStr">
        <is>
          <t>SS26</t>
        </is>
      </c>
      <c r="O1734" s="156" t="inlineStr">
        <is>
          <t>Seasonal</t>
        </is>
      </c>
      <c r="P1734" s="156" t="inlineStr">
        <is>
          <t>Beige</t>
        </is>
      </c>
      <c r="Q1734" s="156" t="n"/>
      <c r="R1734" s="156" t="inlineStr">
        <is>
          <t>Copa Cattleman</t>
        </is>
      </c>
      <c r="S1734" s="156" t="inlineStr">
        <is>
          <t>100% Paja</t>
        </is>
      </c>
      <c r="T1734"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4" s="156" t="inlineStr">
        <is>
          <t>Estados Unidos</t>
        </is>
      </c>
      <c r="V1734" s="156" t="inlineStr">
        <is>
          <t>PZS</t>
        </is>
      </c>
      <c r="W1734" s="51" t="inlineStr">
        <is>
          <t>53102503</t>
        </is>
      </c>
      <c r="X1734" s="156" t="inlineStr">
        <is>
          <t>https://cdn.shopify.com/s/files/1/0888/3250/8267/files/SSHGMN-3042-81-66_3.png?v=1759870586</t>
        </is>
      </c>
      <c r="Y1734" s="54" t="n">
        <v>1338.75</v>
      </c>
      <c r="Z1734" s="54" t="n">
        <v>3275.862069</v>
      </c>
      <c r="AA1734" s="55">
        <f>IF(AND(A1734="", B1734="", E1734=""), "", IF(AB1734="", "Válido", IF((LEN(AB1734)-LEN(SUBSTITUTE(AB1734,"; ","")))/2+1&gt;(LEN(AB1734)-LEN(SUBSTITUTE(AB1734,"[Aviso]","")))/7, "Con Incidencias", "Válido")))</f>
        <v/>
      </c>
      <c r="AB1734" s="56">
        <f>IF(AND(A1734="", B1734="", E1734=""), "", TEXTJOIN("; ", TRUE, IF(OR(TRIM(A1734&amp;"")="", ISNUMBER(SEARCH("FALTA", A1734))), "UPC faltante/inválido", ""), IF(AND(A1734&lt;&gt;"", IFERROR(_xlfn.XMATCH(A1734,$A$2:$A$2509,0,1)&lt;&gt;_xlfn.XMATCH(A1734,$A$2:$A$2509,0,-1),FALSE)), "Código de barras duplicado", ""), IF(AND(E1734&lt;&gt;"", COUNTIF($E$2:$E$2509, E1734)&gt;1), "SKU duplicado", ""), IF(OR(J1734="", J1734=""), "[Aviso] División no capturada ()", IF(ISNA(MATCH(J1734, Criterios!$A$123:$A$126, 0)), "División no válida", "")), IF(OR(K1734="", K1734=""), "[Aviso] Categoría no capturada ()", IF(ISNA(MATCH(K1734, Criterios!$A$81:$A$120, 0)), "Categoría no válida", IF(AND(J1734&lt;&gt;"", J1734&lt;&gt;"", J1734&lt;&gt;VLOOKUP(K1734, Criterios!$A$81:$B$120, 2, FALSE)), "División no coincide con Categoría", ""))), IF(OR(L1734="", L1734=""), "[Aviso] Género no capturado ()", IF(ISNA(MATCH(L1734, Criterios!$B$123:$B$127, 0)), "Género no válido", "")), IF(OR(N1734="", N1734=""), "[Aviso] Temporada no capturada ()", IF(ISNA(MATCH(N1734, Criterios!$C$123:$C$128, 0)), "Temporada no válida", "")), IF(OR(O1734="", O1734=""), "[Aviso] Ciclo de vida no capturado ()", IF(ISNA(MATCH(O1734, Criterios!$D$123:$D$124, 0)), "Ciclo de vida no válido", ""))))</f>
        <v/>
      </c>
      <c r="AC1734" s="56" t="n"/>
      <c r="AD1734" s="51" t="n">
        <v>2</v>
      </c>
      <c r="AE1734" s="156" t="inlineStr">
        <is>
          <t>B25 STETSON.MX (3)</t>
        </is>
      </c>
      <c r="AF1734" s="51" t="n">
        <v>3</v>
      </c>
      <c r="AG1734" s="156" t="inlineStr">
        <is>
          <t>Catálogo existente</t>
        </is>
      </c>
      <c r="AH1734"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4" s="156" t="inlineStr">
        <is>
          <t>Sí</t>
        </is>
      </c>
      <c r="AJ1734" s="156" t="inlineStr">
        <is>
          <t>STETSON AMERICAS (-1)</t>
        </is>
      </c>
      <c r="AK1734" s="155" t="inlineStr">
        <is>
          <t>Criterios: I [Q] | Shopify Stetson: producto 14788879810923 / variante 53350608044395 | Investigación en línea 06/10/2026: https://www.stetson.com/products/hagerman-10x-straw-cowboy-hat-natural</t>
        </is>
      </c>
      <c r="AL1734" s="58" t="n">
        <v>1338.75</v>
      </c>
      <c r="AM1734" s="58" t="n">
        <v>3275.862069</v>
      </c>
      <c r="AN1734" s="155" t="inlineStr">
        <is>
          <t>Shopify Stetson México</t>
        </is>
      </c>
      <c r="AO1734" s="59" t="n">
        <v>2</v>
      </c>
      <c r="AP1734" s="59" t="n"/>
      <c r="AQ1734" s="59" t="n"/>
      <c r="AR1734" s="155" t="inlineStr">
        <is>
          <t>Shopify Stetson México › Stetson México: 2</t>
        </is>
      </c>
    </row>
    <row r="1735">
      <c r="A1735" s="50" t="inlineStr">
        <is>
          <t>883383973358</t>
        </is>
      </c>
      <c r="B1735" s="51" t="inlineStr">
        <is>
          <t>110177</t>
        </is>
      </c>
      <c r="C1735" s="156" t="inlineStr">
        <is>
          <t>Multimarca</t>
        </is>
      </c>
      <c r="D1735" s="156" t="inlineStr">
        <is>
          <t>SSHGMN-304281</t>
        </is>
      </c>
      <c r="E1735" s="156" t="inlineStr">
        <is>
          <t>SSHGMN-30428172</t>
        </is>
      </c>
      <c r="F1735" s="156" t="inlineStr">
        <is>
          <t>7 1/4</t>
        </is>
      </c>
      <c r="G1735" s="156" t="inlineStr">
        <is>
          <t>7 1/4</t>
        </is>
      </c>
      <c r="H1735" s="156" t="inlineStr">
        <is>
          <t>Stetson</t>
        </is>
      </c>
      <c r="I1735" s="156" t="inlineStr">
        <is>
          <t>Sombrero Stetson Hagerman Natural</t>
        </is>
      </c>
      <c r="J1735" s="156" t="inlineStr">
        <is>
          <t>Accesorios</t>
        </is>
      </c>
      <c r="K1735" s="156" t="inlineStr">
        <is>
          <t>Sombreros</t>
        </is>
      </c>
      <c r="L1735" s="156" t="inlineStr">
        <is>
          <t>Unisex</t>
        </is>
      </c>
      <c r="M1735" s="156" t="inlineStr">
        <is>
          <t>Stetson</t>
        </is>
      </c>
      <c r="N1735" s="156" t="inlineStr">
        <is>
          <t>SS26</t>
        </is>
      </c>
      <c r="O1735" s="156" t="inlineStr">
        <is>
          <t>Seasonal</t>
        </is>
      </c>
      <c r="P1735" s="156" t="inlineStr">
        <is>
          <t>Beige</t>
        </is>
      </c>
      <c r="Q1735" s="156" t="n"/>
      <c r="R1735" s="156" t="inlineStr">
        <is>
          <t>Copa Cattleman</t>
        </is>
      </c>
      <c r="S1735" s="156" t="inlineStr">
        <is>
          <t>100% Paja</t>
        </is>
      </c>
      <c r="T1735"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5" s="156" t="inlineStr">
        <is>
          <t>Estados Unidos</t>
        </is>
      </c>
      <c r="V1735" s="156" t="inlineStr">
        <is>
          <t>PZS</t>
        </is>
      </c>
      <c r="W1735" s="51" t="inlineStr">
        <is>
          <t>53102503</t>
        </is>
      </c>
      <c r="X1735" s="156" t="inlineStr">
        <is>
          <t>https://cdn.shopify.com/s/files/1/0888/3250/8267/files/SSHGMN-3042-81-66_4.png?v=1759870586</t>
        </is>
      </c>
      <c r="Y1735" s="54" t="n">
        <v>1338.75</v>
      </c>
      <c r="Z1735" s="54" t="n">
        <v>3275.862069</v>
      </c>
      <c r="AA1735" s="55">
        <f>IF(AND(A1735="", B1735="", E1735=""), "", IF(AB1735="", "Válido", IF((LEN(AB1735)-LEN(SUBSTITUTE(AB1735,"; ","")))/2+1&gt;(LEN(AB1735)-LEN(SUBSTITUTE(AB1735,"[Aviso]","")))/7, "Con Incidencias", "Válido")))</f>
        <v/>
      </c>
      <c r="AB1735" s="56">
        <f>IF(AND(A1735="", B1735="", E1735=""), "", TEXTJOIN("; ", TRUE, IF(OR(TRIM(A1735&amp;"")="", ISNUMBER(SEARCH("FALTA", A1735))), "UPC faltante/inválido", ""), IF(AND(A1735&lt;&gt;"", IFERROR(_xlfn.XMATCH(A1735,$A$2:$A$2509,0,1)&lt;&gt;_xlfn.XMATCH(A1735,$A$2:$A$2509,0,-1),FALSE)), "Código de barras duplicado", ""), IF(AND(E1735&lt;&gt;"", COUNTIF($E$2:$E$2509, E1735)&gt;1), "SKU duplicado", ""), IF(OR(J1735="", J1735=""), "[Aviso] División no capturada ()", IF(ISNA(MATCH(J1735, Criterios!$A$123:$A$126, 0)), "División no válida", "")), IF(OR(K1735="", K1735=""), "[Aviso] Categoría no capturada ()", IF(ISNA(MATCH(K1735, Criterios!$A$81:$A$120, 0)), "Categoría no válida", IF(AND(J1735&lt;&gt;"", J1735&lt;&gt;"", J1735&lt;&gt;VLOOKUP(K1735, Criterios!$A$81:$B$120, 2, FALSE)), "División no coincide con Categoría", ""))), IF(OR(L1735="", L1735=""), "[Aviso] Género no capturado ()", IF(ISNA(MATCH(L1735, Criterios!$B$123:$B$127, 0)), "Género no válido", "")), IF(OR(N1735="", N1735=""), "[Aviso] Temporada no capturada ()", IF(ISNA(MATCH(N1735, Criterios!$C$123:$C$128, 0)), "Temporada no válida", "")), IF(OR(O1735="", O1735=""), "[Aviso] Ciclo de vida no capturado ()", IF(ISNA(MATCH(O1735, Criterios!$D$123:$D$124, 0)), "Ciclo de vida no válido", ""))))</f>
        <v/>
      </c>
      <c r="AC1735" s="56" t="n"/>
      <c r="AD1735" s="51" t="n">
        <v>3</v>
      </c>
      <c r="AE1735" s="156" t="inlineStr">
        <is>
          <t>B25 STETSON.MX (3)</t>
        </is>
      </c>
      <c r="AF1735" s="51" t="n">
        <v>3</v>
      </c>
      <c r="AG1735" s="156" t="inlineStr">
        <is>
          <t>Catálogo existente</t>
        </is>
      </c>
      <c r="AH1735"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5" s="156" t="inlineStr">
        <is>
          <t>No</t>
        </is>
      </c>
      <c r="AJ1735" s="156" t="n"/>
      <c r="AK1735" s="155" t="inlineStr">
        <is>
          <t>Criterios: I [Q] | Shopify Stetson: producto 14788879810923 / variante 53350608077163 | Investigación en línea 06/10/2026: https://www.stetson.com/products/hagerman-10x-straw-cowboy-hat-natural</t>
        </is>
      </c>
      <c r="AL1735" s="58" t="n">
        <v>1338.75</v>
      </c>
      <c r="AM1735" s="58" t="n">
        <v>3275.862069</v>
      </c>
      <c r="AN1735" s="155" t="inlineStr">
        <is>
          <t>Shopify Stetson México</t>
        </is>
      </c>
      <c r="AO1735" s="59" t="n">
        <v>0</v>
      </c>
      <c r="AP1735" s="59" t="n"/>
      <c r="AQ1735" s="59" t="n"/>
      <c r="AR1735" s="155" t="n"/>
    </row>
    <row r="1736">
      <c r="A1736" s="50" t="inlineStr">
        <is>
          <t>883383973365</t>
        </is>
      </c>
      <c r="B1736" s="51" t="inlineStr">
        <is>
          <t>110178</t>
        </is>
      </c>
      <c r="C1736" s="156" t="inlineStr">
        <is>
          <t>Multimarca</t>
        </is>
      </c>
      <c r="D1736" s="156" t="inlineStr">
        <is>
          <t>SSHGMN-304281</t>
        </is>
      </c>
      <c r="E1736" s="156" t="inlineStr">
        <is>
          <t>SSHGMN-30428173</t>
        </is>
      </c>
      <c r="F1736" s="156" t="inlineStr">
        <is>
          <t>7 3/8</t>
        </is>
      </c>
      <c r="G1736" s="156" t="inlineStr">
        <is>
          <t>7 3/8</t>
        </is>
      </c>
      <c r="H1736" s="156" t="inlineStr">
        <is>
          <t>Stetson</t>
        </is>
      </c>
      <c r="I1736" s="156" t="inlineStr">
        <is>
          <t>Sombrero Stetson Hagerman Natural</t>
        </is>
      </c>
      <c r="J1736" s="156" t="inlineStr">
        <is>
          <t>Accesorios</t>
        </is>
      </c>
      <c r="K1736" s="156" t="inlineStr">
        <is>
          <t>Sombreros</t>
        </is>
      </c>
      <c r="L1736" s="156" t="inlineStr">
        <is>
          <t>Unisex</t>
        </is>
      </c>
      <c r="M1736" s="156" t="inlineStr">
        <is>
          <t>Stetson</t>
        </is>
      </c>
      <c r="N1736" s="156" t="inlineStr">
        <is>
          <t>SS26</t>
        </is>
      </c>
      <c r="O1736" s="156" t="inlineStr">
        <is>
          <t>Seasonal</t>
        </is>
      </c>
      <c r="P1736" s="156" t="inlineStr">
        <is>
          <t>Beige</t>
        </is>
      </c>
      <c r="Q1736" s="156" t="n"/>
      <c r="R1736" s="156" t="inlineStr">
        <is>
          <t>Copa Cattleman</t>
        </is>
      </c>
      <c r="S1736" s="156" t="inlineStr">
        <is>
          <t>100% Paja</t>
        </is>
      </c>
      <c r="T1736"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6" s="156" t="inlineStr">
        <is>
          <t>Estados Unidos</t>
        </is>
      </c>
      <c r="V1736" s="156" t="inlineStr">
        <is>
          <t>PZS</t>
        </is>
      </c>
      <c r="W1736" s="51" t="inlineStr">
        <is>
          <t>53102503</t>
        </is>
      </c>
      <c r="X1736" s="156" t="inlineStr">
        <is>
          <t>https://cdn.shopify.com/s/files/1/0888/3250/8267/files/SSHGMN-3042-81-66_5.png?v=1759870586</t>
        </is>
      </c>
      <c r="Y1736" s="54" t="n">
        <v>1338.75</v>
      </c>
      <c r="Z1736" s="54" t="n">
        <v>3275.862069</v>
      </c>
      <c r="AA1736" s="55">
        <f>IF(AND(A1736="", B1736="", E1736=""), "", IF(AB1736="", "Válido", IF((LEN(AB1736)-LEN(SUBSTITUTE(AB1736,"; ","")))/2+1&gt;(LEN(AB1736)-LEN(SUBSTITUTE(AB1736,"[Aviso]","")))/7, "Con Incidencias", "Válido")))</f>
        <v/>
      </c>
      <c r="AB1736" s="56">
        <f>IF(AND(A1736="", B1736="", E1736=""), "", TEXTJOIN("; ", TRUE, IF(OR(TRIM(A1736&amp;"")="", ISNUMBER(SEARCH("FALTA", A1736))), "UPC faltante/inválido", ""), IF(AND(A1736&lt;&gt;"", IFERROR(_xlfn.XMATCH(A1736,$A$2:$A$2509,0,1)&lt;&gt;_xlfn.XMATCH(A1736,$A$2:$A$2509,0,-1),FALSE)), "Código de barras duplicado", ""), IF(AND(E1736&lt;&gt;"", COUNTIF($E$2:$E$2509, E1736)&gt;1), "SKU duplicado", ""), IF(OR(J1736="", J1736=""), "[Aviso] División no capturada ()", IF(ISNA(MATCH(J1736, Criterios!$A$123:$A$126, 0)), "División no válida", "")), IF(OR(K1736="", K1736=""), "[Aviso] Categoría no capturada ()", IF(ISNA(MATCH(K1736, Criterios!$A$81:$A$120, 0)), "Categoría no válida", IF(AND(J1736&lt;&gt;"", J1736&lt;&gt;"", J1736&lt;&gt;VLOOKUP(K1736, Criterios!$A$81:$B$120, 2, FALSE)), "División no coincide con Categoría", ""))), IF(OR(L1736="", L1736=""), "[Aviso] Género no capturado ()", IF(ISNA(MATCH(L1736, Criterios!$B$123:$B$127, 0)), "Género no válido", "")), IF(OR(N1736="", N1736=""), "[Aviso] Temporada no capturada ()", IF(ISNA(MATCH(N1736, Criterios!$C$123:$C$128, 0)), "Temporada no válida", "")), IF(OR(O1736="", O1736=""), "[Aviso] Ciclo de vida no capturado ()", IF(ISNA(MATCH(O1736, Criterios!$D$123:$D$124, 0)), "Ciclo de vida no válido", ""))))</f>
        <v/>
      </c>
      <c r="AC1736" s="56" t="n"/>
      <c r="AD1736" s="51" t="n">
        <v>1</v>
      </c>
      <c r="AE1736" s="156" t="inlineStr">
        <is>
          <t>B25 STETSON.MX (2)</t>
        </is>
      </c>
      <c r="AF1736" s="51" t="n">
        <v>2</v>
      </c>
      <c r="AG1736" s="156" t="inlineStr">
        <is>
          <t>Catálogo existente</t>
        </is>
      </c>
      <c r="AH1736"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6" s="156" t="inlineStr">
        <is>
          <t>Sí</t>
        </is>
      </c>
      <c r="AJ1736" s="156" t="inlineStr">
        <is>
          <t>STETSON AMERICAS (-1)</t>
        </is>
      </c>
      <c r="AK1736" s="155" t="inlineStr">
        <is>
          <t>Criterios: I [Q] | Shopify Stetson: producto 14788879810923 / variante 53350608109931 | Investigación en línea 06/10/2026: https://www.stetson.com/products/hagerman-10x-straw-cowboy-hat-natural</t>
        </is>
      </c>
      <c r="AL1736" s="58" t="n">
        <v>1338.75</v>
      </c>
      <c r="AM1736" s="58" t="n">
        <v>3275.862069</v>
      </c>
      <c r="AN1736" s="155" t="inlineStr">
        <is>
          <t>Shopify Stetson México</t>
        </is>
      </c>
      <c r="AO1736" s="59" t="n">
        <v>4</v>
      </c>
      <c r="AP1736" s="59" t="n"/>
      <c r="AQ1736" s="59" t="n"/>
      <c r="AR1736" s="155" t="inlineStr">
        <is>
          <t>Shopify Stetson México › Stetson México: 4</t>
        </is>
      </c>
    </row>
    <row r="1737">
      <c r="A1737" s="50" t="inlineStr">
        <is>
          <t>883383973372</t>
        </is>
      </c>
      <c r="B1737" s="51" t="inlineStr">
        <is>
          <t>110179</t>
        </is>
      </c>
      <c r="C1737" s="156" t="inlineStr">
        <is>
          <t>Multimarca</t>
        </is>
      </c>
      <c r="D1737" s="156" t="inlineStr">
        <is>
          <t>SSHGMN-304281</t>
        </is>
      </c>
      <c r="E1737" s="156" t="inlineStr">
        <is>
          <t>SSHGMN-30428174</t>
        </is>
      </c>
      <c r="F1737" s="156" t="inlineStr">
        <is>
          <t>7 1/2</t>
        </is>
      </c>
      <c r="G1737" s="156" t="inlineStr">
        <is>
          <t>7 1/2</t>
        </is>
      </c>
      <c r="H1737" s="156" t="inlineStr">
        <is>
          <t>Stetson</t>
        </is>
      </c>
      <c r="I1737" s="156" t="inlineStr">
        <is>
          <t>Sombrero Stetson Hagerman Natural</t>
        </is>
      </c>
      <c r="J1737" s="156" t="inlineStr">
        <is>
          <t>Accesorios</t>
        </is>
      </c>
      <c r="K1737" s="156" t="inlineStr">
        <is>
          <t>Sombreros</t>
        </is>
      </c>
      <c r="L1737" s="156" t="inlineStr">
        <is>
          <t>Unisex</t>
        </is>
      </c>
      <c r="M1737" s="156" t="inlineStr">
        <is>
          <t>Stetson</t>
        </is>
      </c>
      <c r="N1737" s="156" t="inlineStr">
        <is>
          <t>SS26</t>
        </is>
      </c>
      <c r="O1737" s="156" t="inlineStr">
        <is>
          <t>Seasonal</t>
        </is>
      </c>
      <c r="P1737" s="156" t="inlineStr">
        <is>
          <t>Beige</t>
        </is>
      </c>
      <c r="Q1737" s="156" t="n"/>
      <c r="R1737" s="156" t="inlineStr">
        <is>
          <t>Copa Cattleman</t>
        </is>
      </c>
      <c r="S1737" s="156" t="inlineStr">
        <is>
          <t>100% Paja</t>
        </is>
      </c>
      <c r="T1737"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7" s="156" t="inlineStr">
        <is>
          <t>Estados Unidos</t>
        </is>
      </c>
      <c r="V1737" s="156" t="inlineStr">
        <is>
          <t>PZS</t>
        </is>
      </c>
      <c r="W1737" s="51" t="inlineStr">
        <is>
          <t>53102503</t>
        </is>
      </c>
      <c r="X1737" s="156" t="inlineStr">
        <is>
          <t>https://cdn.shopify.com/s/files/1/0888/3250/8267/files/SSHGMN-3042-81-66_6.png?v=1759870586</t>
        </is>
      </c>
      <c r="Y1737" s="54" t="n">
        <v>1338.75</v>
      </c>
      <c r="Z1737" s="54" t="n">
        <v>3275.862069</v>
      </c>
      <c r="AA1737" s="55">
        <f>IF(AND(A1737="", B1737="", E1737=""), "", IF(AB1737="", "Válido", IF((LEN(AB1737)-LEN(SUBSTITUTE(AB1737,"; ","")))/2+1&gt;(LEN(AB1737)-LEN(SUBSTITUTE(AB1737,"[Aviso]","")))/7, "Con Incidencias", "Válido")))</f>
        <v/>
      </c>
      <c r="AB1737" s="56">
        <f>IF(AND(A1737="", B1737="", E1737=""), "", TEXTJOIN("; ", TRUE, IF(OR(TRIM(A1737&amp;"")="", ISNUMBER(SEARCH("FALTA", A1737))), "UPC faltante/inválido", ""), IF(AND(A1737&lt;&gt;"", IFERROR(_xlfn.XMATCH(A1737,$A$2:$A$2509,0,1)&lt;&gt;_xlfn.XMATCH(A1737,$A$2:$A$2509,0,-1),FALSE)), "Código de barras duplicado", ""), IF(AND(E1737&lt;&gt;"", COUNTIF($E$2:$E$2509, E1737)&gt;1), "SKU duplicado", ""), IF(OR(J1737="", J1737=""), "[Aviso] División no capturada ()", IF(ISNA(MATCH(J1737, Criterios!$A$123:$A$126, 0)), "División no válida", "")), IF(OR(K1737="", K1737=""), "[Aviso] Categoría no capturada ()", IF(ISNA(MATCH(K1737, Criterios!$A$81:$A$120, 0)), "Categoría no válida", IF(AND(J1737&lt;&gt;"", J1737&lt;&gt;"", J1737&lt;&gt;VLOOKUP(K1737, Criterios!$A$81:$B$120, 2, FALSE)), "División no coincide con Categoría", ""))), IF(OR(L1737="", L1737=""), "[Aviso] Género no capturado ()", IF(ISNA(MATCH(L1737, Criterios!$B$123:$B$127, 0)), "Género no válido", "")), IF(OR(N1737="", N1737=""), "[Aviso] Temporada no capturada ()", IF(ISNA(MATCH(N1737, Criterios!$C$123:$C$128, 0)), "Temporada no válida", "")), IF(OR(O1737="", O1737=""), "[Aviso] Ciclo de vida no capturado ()", IF(ISNA(MATCH(O1737, Criterios!$D$123:$D$124, 0)), "Ciclo de vida no válido", ""))))</f>
        <v/>
      </c>
      <c r="AC1737" s="56" t="n"/>
      <c r="AD1737" s="51" t="n">
        <v>0</v>
      </c>
      <c r="AE1737" s="156" t="n"/>
      <c r="AF1737" s="51" t="n">
        <v>0</v>
      </c>
      <c r="AG1737" s="156" t="inlineStr">
        <is>
          <t>Catálogo existente</t>
        </is>
      </c>
      <c r="AH173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7" s="156" t="inlineStr">
        <is>
          <t>No</t>
        </is>
      </c>
      <c r="AJ1737" s="156" t="n"/>
      <c r="AK1737" s="155" t="inlineStr">
        <is>
          <t>Criterios: I [Q] | Shopify Stetson: producto 14788879810923 / variante 53350608142699 | Investigación en línea 06/10/2026: https://www.stetson.com/products/hagerman-10x-straw-cowboy-hat-natural</t>
        </is>
      </c>
      <c r="AL1737" s="58" t="n">
        <v>1338.75</v>
      </c>
      <c r="AM1737" s="58" t="n">
        <v>3275.862069</v>
      </c>
      <c r="AN1737" s="155" t="inlineStr">
        <is>
          <t>Shopify Stetson México</t>
        </is>
      </c>
      <c r="AO1737" s="59" t="n">
        <v>0</v>
      </c>
      <c r="AP1737" s="59" t="n"/>
      <c r="AQ1737" s="59" t="n"/>
      <c r="AR1737" s="155" t="n"/>
    </row>
    <row r="1738">
      <c r="A1738" s="50" t="inlineStr">
        <is>
          <t>883383973389</t>
        </is>
      </c>
      <c r="B1738" s="51" t="inlineStr">
        <is>
          <t>110180</t>
        </is>
      </c>
      <c r="C1738" s="156" t="inlineStr">
        <is>
          <t>Multimarca</t>
        </is>
      </c>
      <c r="D1738" s="156" t="inlineStr">
        <is>
          <t>SSHGMN-304281</t>
        </is>
      </c>
      <c r="E1738" s="156" t="inlineStr">
        <is>
          <t>SSHGMN-30428175</t>
        </is>
      </c>
      <c r="F1738" s="156" t="inlineStr">
        <is>
          <t>7 5/8</t>
        </is>
      </c>
      <c r="G1738" s="156" t="inlineStr">
        <is>
          <t>7 5/8</t>
        </is>
      </c>
      <c r="H1738" s="156" t="inlineStr">
        <is>
          <t>Stetson</t>
        </is>
      </c>
      <c r="I1738" s="156" t="inlineStr">
        <is>
          <t>Sombrero Stetson Hagerman Natural</t>
        </is>
      </c>
      <c r="J1738" s="156" t="inlineStr">
        <is>
          <t>Accesorios</t>
        </is>
      </c>
      <c r="K1738" s="156" t="inlineStr">
        <is>
          <t>Sombreros</t>
        </is>
      </c>
      <c r="L1738" s="156" t="inlineStr">
        <is>
          <t>Unisex</t>
        </is>
      </c>
      <c r="M1738" s="156" t="inlineStr">
        <is>
          <t>Stetson</t>
        </is>
      </c>
      <c r="N1738" s="156" t="inlineStr">
        <is>
          <t>SS26</t>
        </is>
      </c>
      <c r="O1738" s="156" t="inlineStr">
        <is>
          <t>Seasonal</t>
        </is>
      </c>
      <c r="P1738" s="156" t="inlineStr">
        <is>
          <t>Beige</t>
        </is>
      </c>
      <c r="Q1738" s="156" t="n"/>
      <c r="R1738" s="156" t="inlineStr">
        <is>
          <t>Copa Cattleman</t>
        </is>
      </c>
      <c r="S1738" s="156" t="inlineStr">
        <is>
          <t>100% Paja</t>
        </is>
      </c>
      <c r="T1738"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8" s="156" t="inlineStr">
        <is>
          <t>Estados Unidos</t>
        </is>
      </c>
      <c r="V1738" s="156" t="inlineStr">
        <is>
          <t>PZS</t>
        </is>
      </c>
      <c r="W1738" s="51" t="inlineStr">
        <is>
          <t>53102503</t>
        </is>
      </c>
      <c r="X1738" s="156" t="inlineStr">
        <is>
          <t>https://cdn.shopify.com/s/files/1/0888/3250/8267/files/SSHGMN-3042-81-66_1_ec417b12-50f7-44a7-80c9-e8aa0938ff04.png?v=1759871222</t>
        </is>
      </c>
      <c r="Y1738" s="54" t="n">
        <v>1338.75</v>
      </c>
      <c r="Z1738" s="54" t="n">
        <v>3275.862069</v>
      </c>
      <c r="AA1738" s="55">
        <f>IF(AND(A1738="", B1738="", E1738=""), "", IF(AB1738="", "Válido", IF((LEN(AB1738)-LEN(SUBSTITUTE(AB1738,"; ","")))/2+1&gt;(LEN(AB1738)-LEN(SUBSTITUTE(AB1738,"[Aviso]","")))/7, "Con Incidencias", "Válido")))</f>
        <v/>
      </c>
      <c r="AB1738" s="56">
        <f>IF(AND(A1738="", B1738="", E1738=""), "", TEXTJOIN("; ", TRUE, IF(OR(TRIM(A1738&amp;"")="", ISNUMBER(SEARCH("FALTA", A1738))), "UPC faltante/inválido", ""), IF(AND(A1738&lt;&gt;"", IFERROR(_xlfn.XMATCH(A1738,$A$2:$A$2509,0,1)&lt;&gt;_xlfn.XMATCH(A1738,$A$2:$A$2509,0,-1),FALSE)), "Código de barras duplicado", ""), IF(AND(E1738&lt;&gt;"", COUNTIF($E$2:$E$2509, E1738)&gt;1), "SKU duplicado", ""), IF(OR(J1738="", J1738=""), "[Aviso] División no capturada ()", IF(ISNA(MATCH(J1738, Criterios!$A$123:$A$126, 0)), "División no válida", "")), IF(OR(K1738="", K1738=""), "[Aviso] Categoría no capturada ()", IF(ISNA(MATCH(K1738, Criterios!$A$81:$A$120, 0)), "Categoría no válida", IF(AND(J1738&lt;&gt;"", J1738&lt;&gt;"", J1738&lt;&gt;VLOOKUP(K1738, Criterios!$A$81:$B$120, 2, FALSE)), "División no coincide con Categoría", ""))), IF(OR(L1738="", L1738=""), "[Aviso] Género no capturado ()", IF(ISNA(MATCH(L1738, Criterios!$B$123:$B$127, 0)), "Género no válido", "")), IF(OR(N1738="", N1738=""), "[Aviso] Temporada no capturada ()", IF(ISNA(MATCH(N1738, Criterios!$C$123:$C$128, 0)), "Temporada no válida", "")), IF(OR(O1738="", O1738=""), "[Aviso] Ciclo de vida no capturado ()", IF(ISNA(MATCH(O1738, Criterios!$D$123:$D$124, 0)), "Ciclo de vida no válido", ""))))</f>
        <v/>
      </c>
      <c r="AC1738" s="56" t="n"/>
      <c r="AD1738" s="51" t="n">
        <v>0</v>
      </c>
      <c r="AE1738" s="156" t="n"/>
      <c r="AF1738" s="51" t="n">
        <v>0</v>
      </c>
      <c r="AG1738" s="156" t="inlineStr">
        <is>
          <t>Catálogo existente</t>
        </is>
      </c>
      <c r="AH173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8" s="156" t="inlineStr">
        <is>
          <t>No</t>
        </is>
      </c>
      <c r="AJ1738" s="156" t="n"/>
      <c r="AK1738" s="155" t="inlineStr">
        <is>
          <t>Criterios: I [Q] | Shopify Stetson: producto 14788879810923 / variante 53350608175467 | Investigación en línea 06/10/2026: https://www.stetson.com/products/hagerman-10x-straw-cowboy-hat-natural</t>
        </is>
      </c>
      <c r="AL1738" s="58" t="n">
        <v>1338.75</v>
      </c>
      <c r="AM1738" s="58" t="n">
        <v>3275.862069</v>
      </c>
      <c r="AN1738" s="155" t="inlineStr">
        <is>
          <t>Shopify Stetson México</t>
        </is>
      </c>
      <c r="AO1738" s="59" t="n">
        <v>0</v>
      </c>
      <c r="AP1738" s="59" t="n"/>
      <c r="AQ1738" s="59" t="n"/>
      <c r="AR1738" s="155" t="n"/>
    </row>
    <row r="1739">
      <c r="A1739" s="50" t="inlineStr">
        <is>
          <t>883383973426</t>
        </is>
      </c>
      <c r="B1739" s="51" t="inlineStr">
        <is>
          <t>110142</t>
        </is>
      </c>
      <c r="C1739" s="156" t="inlineStr">
        <is>
          <t>Multimarca</t>
        </is>
      </c>
      <c r="D1739" s="156" t="inlineStr">
        <is>
          <t>SSBKER-304281</t>
        </is>
      </c>
      <c r="E1739" s="156" t="inlineStr">
        <is>
          <t>SSBKER-30428170</t>
        </is>
      </c>
      <c r="F1739" s="156" t="inlineStr">
        <is>
          <t>7</t>
        </is>
      </c>
      <c r="G1739" s="156" t="inlineStr">
        <is>
          <t>7</t>
        </is>
      </c>
      <c r="H1739" s="156" t="inlineStr">
        <is>
          <t>Stetson</t>
        </is>
      </c>
      <c r="I1739" s="156" t="inlineStr">
        <is>
          <t>Texana Stetson Baker Natural</t>
        </is>
      </c>
      <c r="J1739" s="156" t="inlineStr">
        <is>
          <t>Accesorios</t>
        </is>
      </c>
      <c r="K1739" s="156" t="inlineStr">
        <is>
          <t>Sombreros</t>
        </is>
      </c>
      <c r="L1739" s="156" t="inlineStr">
        <is>
          <t>Unisex</t>
        </is>
      </c>
      <c r="M1739" s="156" t="inlineStr">
        <is>
          <t>Stetson</t>
        </is>
      </c>
      <c r="N1739" s="156" t="inlineStr">
        <is>
          <t>SS26</t>
        </is>
      </c>
      <c r="O1739" s="156" t="inlineStr">
        <is>
          <t>Seasonal</t>
        </is>
      </c>
      <c r="P1739" s="156" t="inlineStr">
        <is>
          <t>Beige</t>
        </is>
      </c>
      <c r="Q1739" s="156" t="n"/>
      <c r="R1739" s="156" t="inlineStr">
        <is>
          <t>Copa Cattleman</t>
        </is>
      </c>
      <c r="S1739" s="156" t="inlineStr">
        <is>
          <t>100% Fieltro de lana</t>
        </is>
      </c>
      <c r="T1739"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39" s="156" t="inlineStr">
        <is>
          <t>Estados Unidos</t>
        </is>
      </c>
      <c r="V1739" s="156" t="inlineStr">
        <is>
          <t>PZS</t>
        </is>
      </c>
      <c r="W1739" s="51" t="inlineStr">
        <is>
          <t>53102503</t>
        </is>
      </c>
      <c r="X1739" s="156" t="inlineStr">
        <is>
          <t>https://cdn.shopify.com/s/files/1/0888/3250/8267/files/SSBKER-3042-81-73-01_1.png?v=1759961229</t>
        </is>
      </c>
      <c r="Y1739" s="54" t="n">
        <v>1575</v>
      </c>
      <c r="Z1739" s="54" t="n">
        <v>3793.103448</v>
      </c>
      <c r="AA1739" s="55">
        <f>IF(AND(A1739="", B1739="", E1739=""), "", IF(AB1739="", "Válido", IF((LEN(AB1739)-LEN(SUBSTITUTE(AB1739,"; ","")))/2+1&gt;(LEN(AB1739)-LEN(SUBSTITUTE(AB1739,"[Aviso]","")))/7, "Con Incidencias", "Válido")))</f>
        <v/>
      </c>
      <c r="AB1739" s="56">
        <f>IF(AND(A1739="", B1739="", E1739=""), "", TEXTJOIN("; ", TRUE, IF(OR(TRIM(A1739&amp;"")="", ISNUMBER(SEARCH("FALTA", A1739))), "UPC faltante/inválido", ""), IF(AND(A1739&lt;&gt;"", IFERROR(_xlfn.XMATCH(A1739,$A$2:$A$2509,0,1)&lt;&gt;_xlfn.XMATCH(A1739,$A$2:$A$2509,0,-1),FALSE)), "Código de barras duplicado", ""), IF(AND(E1739&lt;&gt;"", COUNTIF($E$2:$E$2509, E1739)&gt;1), "SKU duplicado", ""), IF(OR(J1739="", J1739=""), "[Aviso] División no capturada ()", IF(ISNA(MATCH(J1739, Criterios!$A$123:$A$126, 0)), "División no válida", "")), IF(OR(K1739="", K1739=""), "[Aviso] Categoría no capturada ()", IF(ISNA(MATCH(K1739, Criterios!$A$81:$A$120, 0)), "Categoría no válida", IF(AND(J1739&lt;&gt;"", J1739&lt;&gt;"", J1739&lt;&gt;VLOOKUP(K1739, Criterios!$A$81:$B$120, 2, FALSE)), "División no coincide con Categoría", ""))), IF(OR(L1739="", L1739=""), "[Aviso] Género no capturado ()", IF(ISNA(MATCH(L1739, Criterios!$B$123:$B$127, 0)), "Género no válido", "")), IF(OR(N1739="", N1739=""), "[Aviso] Temporada no capturada ()", IF(ISNA(MATCH(N1739, Criterios!$C$123:$C$128, 0)), "Temporada no válida", "")), IF(OR(O1739="", O1739=""), "[Aviso] Ciclo de vida no capturado ()", IF(ISNA(MATCH(O1739, Criterios!$D$123:$D$124, 0)), "Ciclo de vida no válido", ""))))</f>
        <v/>
      </c>
      <c r="AC1739" s="56" t="n"/>
      <c r="AD1739" s="51" t="n">
        <v>-1</v>
      </c>
      <c r="AE1739" s="156" t="n"/>
      <c r="AF1739" s="51" t="n">
        <v>0</v>
      </c>
      <c r="AG1739" s="156" t="inlineStr">
        <is>
          <t>Catálogo existente</t>
        </is>
      </c>
      <c r="AH173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39" s="156" t="inlineStr">
        <is>
          <t>Sí</t>
        </is>
      </c>
      <c r="AJ1739" s="156" t="inlineStr">
        <is>
          <t>STETSON AMERICAS (-1)</t>
        </is>
      </c>
      <c r="AK1739" s="155" t="inlineStr">
        <is>
          <t>Criterios: I [Q] | Shopify Stetson: producto 14789252153707 / variante 53350606471531</t>
        </is>
      </c>
      <c r="AL1739" s="58" t="n">
        <v>1575</v>
      </c>
      <c r="AM1739" s="58" t="n">
        <v>3793.103448</v>
      </c>
      <c r="AN1739" s="155" t="inlineStr">
        <is>
          <t>Shopify Stetson México</t>
        </is>
      </c>
      <c r="AO1739" s="59" t="n">
        <v>1</v>
      </c>
      <c r="AP1739" s="59" t="n"/>
      <c r="AQ1739" s="59" t="n"/>
      <c r="AR1739" s="155" t="inlineStr">
        <is>
          <t>Shopify Stetson México › Stetson Americas: 1</t>
        </is>
      </c>
    </row>
    <row r="1740">
      <c r="A1740" s="50" t="inlineStr">
        <is>
          <t>883383973433</t>
        </is>
      </c>
      <c r="B1740" s="51" t="inlineStr">
        <is>
          <t>110143</t>
        </is>
      </c>
      <c r="C1740" s="156" t="inlineStr">
        <is>
          <t>Multimarca</t>
        </is>
      </c>
      <c r="D1740" s="156" t="inlineStr">
        <is>
          <t>SSBKER-304281</t>
        </is>
      </c>
      <c r="E1740" s="156" t="inlineStr">
        <is>
          <t>SSBKER-30428171</t>
        </is>
      </c>
      <c r="F1740" s="156" t="inlineStr">
        <is>
          <t>7 1/8</t>
        </is>
      </c>
      <c r="G1740" s="156" t="inlineStr">
        <is>
          <t>7 1/8</t>
        </is>
      </c>
      <c r="H1740" s="156" t="inlineStr">
        <is>
          <t>Stetson</t>
        </is>
      </c>
      <c r="I1740" s="156" t="inlineStr">
        <is>
          <t>Texana Stetson Baker Natural</t>
        </is>
      </c>
      <c r="J1740" s="156" t="inlineStr">
        <is>
          <t>Accesorios</t>
        </is>
      </c>
      <c r="K1740" s="156" t="inlineStr">
        <is>
          <t>Sombreros</t>
        </is>
      </c>
      <c r="L1740" s="156" t="inlineStr">
        <is>
          <t>Unisex</t>
        </is>
      </c>
      <c r="M1740" s="156" t="inlineStr">
        <is>
          <t>Stetson</t>
        </is>
      </c>
      <c r="N1740" s="156" t="inlineStr">
        <is>
          <t>SS26</t>
        </is>
      </c>
      <c r="O1740" s="156" t="inlineStr">
        <is>
          <t>Seasonal</t>
        </is>
      </c>
      <c r="P1740" s="156" t="inlineStr">
        <is>
          <t>Beige</t>
        </is>
      </c>
      <c r="Q1740" s="156" t="n"/>
      <c r="R1740" s="156" t="inlineStr">
        <is>
          <t>Copa Cattleman</t>
        </is>
      </c>
      <c r="S1740" s="156" t="inlineStr">
        <is>
          <t>100% Fieltro de lana</t>
        </is>
      </c>
      <c r="T1740"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0" s="156" t="inlineStr">
        <is>
          <t>Estados Unidos</t>
        </is>
      </c>
      <c r="V1740" s="156" t="inlineStr">
        <is>
          <t>PZS</t>
        </is>
      </c>
      <c r="W1740" s="51" t="inlineStr">
        <is>
          <t>53102503</t>
        </is>
      </c>
      <c r="X1740" s="156" t="inlineStr">
        <is>
          <t>https://cdn.shopify.com/s/files/1/0888/3250/8267/files/SSBKER-3042-81-73-01_2.png?v=1759961229</t>
        </is>
      </c>
      <c r="Y1740" s="54" t="n">
        <v>1575</v>
      </c>
      <c r="Z1740" s="54" t="n">
        <v>3793.103448</v>
      </c>
      <c r="AA1740" s="55">
        <f>IF(AND(A1740="", B1740="", E1740=""), "", IF(AB1740="", "Válido", IF((LEN(AB1740)-LEN(SUBSTITUTE(AB1740,"; ","")))/2+1&gt;(LEN(AB1740)-LEN(SUBSTITUTE(AB1740,"[Aviso]","")))/7, "Con Incidencias", "Válido")))</f>
        <v/>
      </c>
      <c r="AB1740" s="56">
        <f>IF(AND(A1740="", B1740="", E1740=""), "", TEXTJOIN("; ", TRUE, IF(OR(TRIM(A1740&amp;"")="", ISNUMBER(SEARCH("FALTA", A1740))), "UPC faltante/inválido", ""), IF(AND(A1740&lt;&gt;"", IFERROR(_xlfn.XMATCH(A1740,$A$2:$A$2509,0,1)&lt;&gt;_xlfn.XMATCH(A1740,$A$2:$A$2509,0,-1),FALSE)), "Código de barras duplicado", ""), IF(AND(E1740&lt;&gt;"", COUNTIF($E$2:$E$2509, E1740)&gt;1), "SKU duplicado", ""), IF(OR(J1740="", J1740=""), "[Aviso] División no capturada ()", IF(ISNA(MATCH(J1740, Criterios!$A$123:$A$126, 0)), "División no válida", "")), IF(OR(K1740="", K1740=""), "[Aviso] Categoría no capturada ()", IF(ISNA(MATCH(K1740, Criterios!$A$81:$A$120, 0)), "Categoría no válida", IF(AND(J1740&lt;&gt;"", J1740&lt;&gt;"", J1740&lt;&gt;VLOOKUP(K1740, Criterios!$A$81:$B$120, 2, FALSE)), "División no coincide con Categoría", ""))), IF(OR(L1740="", L1740=""), "[Aviso] Género no capturado ()", IF(ISNA(MATCH(L1740, Criterios!$B$123:$B$127, 0)), "Género no válido", "")), IF(OR(N1740="", N1740=""), "[Aviso] Temporada no capturada ()", IF(ISNA(MATCH(N1740, Criterios!$C$123:$C$128, 0)), "Temporada no válida", "")), IF(OR(O1740="", O1740=""), "[Aviso] Ciclo de vida no capturado ()", IF(ISNA(MATCH(O1740, Criterios!$D$123:$D$124, 0)), "Ciclo de vida no válido", ""))))</f>
        <v/>
      </c>
      <c r="AC1740" s="56" t="n"/>
      <c r="AD1740" s="51" t="n">
        <v>-1</v>
      </c>
      <c r="AE1740" s="156" t="n"/>
      <c r="AF1740" s="51" t="n">
        <v>0</v>
      </c>
      <c r="AG1740" s="156" t="inlineStr">
        <is>
          <t>Catálogo existente</t>
        </is>
      </c>
      <c r="AH174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0" s="156" t="inlineStr">
        <is>
          <t>Sí</t>
        </is>
      </c>
      <c r="AJ1740" s="156" t="inlineStr">
        <is>
          <t>STETSON AMERICAS (-1)</t>
        </is>
      </c>
      <c r="AK1740" s="155" t="inlineStr">
        <is>
          <t>Criterios: I [Q] | Shopify Stetson: producto 14789252153707 / variante 53350606504299</t>
        </is>
      </c>
      <c r="AL1740" s="58" t="n">
        <v>1575</v>
      </c>
      <c r="AM1740" s="58" t="n">
        <v>3793.103448</v>
      </c>
      <c r="AN1740" s="155" t="inlineStr">
        <is>
          <t>Shopify Stetson México</t>
        </is>
      </c>
      <c r="AO1740" s="59" t="n">
        <v>0</v>
      </c>
      <c r="AP1740" s="59" t="n"/>
      <c r="AQ1740" s="59" t="n"/>
      <c r="AR1740" s="155" t="n"/>
    </row>
    <row r="1741">
      <c r="A1741" s="50" t="inlineStr">
        <is>
          <t>883383973440</t>
        </is>
      </c>
      <c r="B1741" s="51" t="inlineStr">
        <is>
          <t>110144</t>
        </is>
      </c>
      <c r="C1741" s="156" t="inlineStr">
        <is>
          <t>Multimarca</t>
        </is>
      </c>
      <c r="D1741" s="156" t="inlineStr">
        <is>
          <t>SSBKER-304281</t>
        </is>
      </c>
      <c r="E1741" s="156" t="inlineStr">
        <is>
          <t>SSBKER-30428172</t>
        </is>
      </c>
      <c r="F1741" s="156" t="inlineStr">
        <is>
          <t>7 1/4</t>
        </is>
      </c>
      <c r="G1741" s="156" t="inlineStr">
        <is>
          <t>7 1/4</t>
        </is>
      </c>
      <c r="H1741" s="156" t="inlineStr">
        <is>
          <t>Stetson</t>
        </is>
      </c>
      <c r="I1741" s="156" t="inlineStr">
        <is>
          <t>Texana Stetson Baker Natural</t>
        </is>
      </c>
      <c r="J1741" s="156" t="inlineStr">
        <is>
          <t>Accesorios</t>
        </is>
      </c>
      <c r="K1741" s="156" t="inlineStr">
        <is>
          <t>Sombreros</t>
        </is>
      </c>
      <c r="L1741" s="156" t="inlineStr">
        <is>
          <t>Unisex</t>
        </is>
      </c>
      <c r="M1741" s="156" t="inlineStr">
        <is>
          <t>Stetson</t>
        </is>
      </c>
      <c r="N1741" s="156" t="inlineStr">
        <is>
          <t>SS26</t>
        </is>
      </c>
      <c r="O1741" s="156" t="inlineStr">
        <is>
          <t>Seasonal</t>
        </is>
      </c>
      <c r="P1741" s="156" t="inlineStr">
        <is>
          <t>Beige</t>
        </is>
      </c>
      <c r="Q1741" s="156" t="n"/>
      <c r="R1741" s="156" t="inlineStr">
        <is>
          <t>Copa Cattleman</t>
        </is>
      </c>
      <c r="S1741" s="156" t="inlineStr">
        <is>
          <t>100% Fieltro de lana</t>
        </is>
      </c>
      <c r="T1741"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1" s="156" t="inlineStr">
        <is>
          <t>Estados Unidos</t>
        </is>
      </c>
      <c r="V1741" s="156" t="inlineStr">
        <is>
          <t>PZS</t>
        </is>
      </c>
      <c r="W1741" s="51" t="inlineStr">
        <is>
          <t>53102503</t>
        </is>
      </c>
      <c r="X1741" s="156" t="inlineStr">
        <is>
          <t>https://cdn.shopify.com/s/files/1/0888/3250/8267/files/SSBKER-3042-81-73-01_3.png?v=1759961229</t>
        </is>
      </c>
      <c r="Y1741" s="54" t="n">
        <v>1575</v>
      </c>
      <c r="Z1741" s="54" t="n">
        <v>3793.103448</v>
      </c>
      <c r="AA1741" s="55">
        <f>IF(AND(A1741="", B1741="", E1741=""), "", IF(AB1741="", "Válido", IF((LEN(AB1741)-LEN(SUBSTITUTE(AB1741,"; ","")))/2+1&gt;(LEN(AB1741)-LEN(SUBSTITUTE(AB1741,"[Aviso]","")))/7, "Con Incidencias", "Válido")))</f>
        <v/>
      </c>
      <c r="AB1741" s="56">
        <f>IF(AND(A1741="", B1741="", E1741=""), "", TEXTJOIN("; ", TRUE, IF(OR(TRIM(A1741&amp;"")="", ISNUMBER(SEARCH("FALTA", A1741))), "UPC faltante/inválido", ""), IF(AND(A1741&lt;&gt;"", IFERROR(_xlfn.XMATCH(A1741,$A$2:$A$2509,0,1)&lt;&gt;_xlfn.XMATCH(A1741,$A$2:$A$2509,0,-1),FALSE)), "Código de barras duplicado", ""), IF(AND(E1741&lt;&gt;"", COUNTIF($E$2:$E$2509, E1741)&gt;1), "SKU duplicado", ""), IF(OR(J1741="", J1741=""), "[Aviso] División no capturada ()", IF(ISNA(MATCH(J1741, Criterios!$A$123:$A$126, 0)), "División no válida", "")), IF(OR(K1741="", K1741=""), "[Aviso] Categoría no capturada ()", IF(ISNA(MATCH(K1741, Criterios!$A$81:$A$120, 0)), "Categoría no válida", IF(AND(J1741&lt;&gt;"", J1741&lt;&gt;"", J1741&lt;&gt;VLOOKUP(K1741, Criterios!$A$81:$B$120, 2, FALSE)), "División no coincide con Categoría", ""))), IF(OR(L1741="", L1741=""), "[Aviso] Género no capturado ()", IF(ISNA(MATCH(L1741, Criterios!$B$123:$B$127, 0)), "Género no válido", "")), IF(OR(N1741="", N1741=""), "[Aviso] Temporada no capturada ()", IF(ISNA(MATCH(N1741, Criterios!$C$123:$C$128, 0)), "Temporada no válida", "")), IF(OR(O1741="", O1741=""), "[Aviso] Ciclo de vida no capturado ()", IF(ISNA(MATCH(O1741, Criterios!$D$123:$D$124, 0)), "Ciclo de vida no válido", ""))))</f>
        <v/>
      </c>
      <c r="AC1741" s="56" t="n"/>
      <c r="AD1741" s="51" t="n">
        <v>-1</v>
      </c>
      <c r="AE1741" s="156" t="n"/>
      <c r="AF1741" s="51" t="n">
        <v>0</v>
      </c>
      <c r="AG1741" s="156" t="inlineStr">
        <is>
          <t>Catálogo existente</t>
        </is>
      </c>
      <c r="AH174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1" s="156" t="inlineStr">
        <is>
          <t>Sí</t>
        </is>
      </c>
      <c r="AJ1741" s="156" t="inlineStr">
        <is>
          <t>STETSON AMERICAS (-1)</t>
        </is>
      </c>
      <c r="AK1741" s="155" t="inlineStr">
        <is>
          <t>Criterios: I [Q] | Shopify Stetson: producto 14789252153707 / variante 53350606537067</t>
        </is>
      </c>
      <c r="AL1741" s="58" t="n">
        <v>1575</v>
      </c>
      <c r="AM1741" s="58" t="n">
        <v>3793.103448</v>
      </c>
      <c r="AN1741" s="155" t="inlineStr">
        <is>
          <t>Shopify Stetson México</t>
        </is>
      </c>
      <c r="AO1741" s="59" t="n">
        <v>0</v>
      </c>
      <c r="AP1741" s="59" t="n"/>
      <c r="AQ1741" s="59" t="n"/>
      <c r="AR1741" s="155" t="n"/>
    </row>
    <row r="1742">
      <c r="A1742" s="50" t="inlineStr">
        <is>
          <t>883383973457</t>
        </is>
      </c>
      <c r="B1742" s="51" t="inlineStr">
        <is>
          <t>110145</t>
        </is>
      </c>
      <c r="C1742" s="156" t="inlineStr">
        <is>
          <t>Multimarca</t>
        </is>
      </c>
      <c r="D1742" s="156" t="inlineStr">
        <is>
          <t>SSBKER-304281</t>
        </is>
      </c>
      <c r="E1742" s="156" t="inlineStr">
        <is>
          <t>SSBKER-30428173</t>
        </is>
      </c>
      <c r="F1742" s="156" t="inlineStr">
        <is>
          <t>7 3/8</t>
        </is>
      </c>
      <c r="G1742" s="156" t="inlineStr">
        <is>
          <t>7 3/8</t>
        </is>
      </c>
      <c r="H1742" s="156" t="inlineStr">
        <is>
          <t>Stetson</t>
        </is>
      </c>
      <c r="I1742" s="156" t="inlineStr">
        <is>
          <t>Texana Stetson Baker Natural</t>
        </is>
      </c>
      <c r="J1742" s="156" t="inlineStr">
        <is>
          <t>Accesorios</t>
        </is>
      </c>
      <c r="K1742" s="156" t="inlineStr">
        <is>
          <t>Sombreros</t>
        </is>
      </c>
      <c r="L1742" s="156" t="inlineStr">
        <is>
          <t>Unisex</t>
        </is>
      </c>
      <c r="M1742" s="156" t="inlineStr">
        <is>
          <t>Stetson</t>
        </is>
      </c>
      <c r="N1742" s="156" t="inlineStr">
        <is>
          <t>SS26</t>
        </is>
      </c>
      <c r="O1742" s="156" t="inlineStr">
        <is>
          <t>Seasonal</t>
        </is>
      </c>
      <c r="P1742" s="156" t="inlineStr">
        <is>
          <t>Beige</t>
        </is>
      </c>
      <c r="Q1742" s="156" t="n"/>
      <c r="R1742" s="156" t="inlineStr">
        <is>
          <t>Copa Cattleman</t>
        </is>
      </c>
      <c r="S1742" s="156" t="inlineStr">
        <is>
          <t>100% Fieltro de lana</t>
        </is>
      </c>
      <c r="T1742"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2" s="156" t="inlineStr">
        <is>
          <t>Estados Unidos</t>
        </is>
      </c>
      <c r="V1742" s="156" t="inlineStr">
        <is>
          <t>PZS</t>
        </is>
      </c>
      <c r="W1742" s="51" t="inlineStr">
        <is>
          <t>53102503</t>
        </is>
      </c>
      <c r="X1742" s="156" t="inlineStr">
        <is>
          <t>https://cdn.shopify.com/s/files/1/0888/3250/8267/files/SSBKER-3042-81-73-01_4.png?v=1759961229</t>
        </is>
      </c>
      <c r="Y1742" s="54" t="n">
        <v>1575</v>
      </c>
      <c r="Z1742" s="54" t="n">
        <v>3793.103448</v>
      </c>
      <c r="AA1742" s="55">
        <f>IF(AND(A1742="", B1742="", E1742=""), "", IF(AB1742="", "Válido", IF((LEN(AB1742)-LEN(SUBSTITUTE(AB1742,"; ","")))/2+1&gt;(LEN(AB1742)-LEN(SUBSTITUTE(AB1742,"[Aviso]","")))/7, "Con Incidencias", "Válido")))</f>
        <v/>
      </c>
      <c r="AB1742" s="56">
        <f>IF(AND(A1742="", B1742="", E1742=""), "", TEXTJOIN("; ", TRUE, IF(OR(TRIM(A1742&amp;"")="", ISNUMBER(SEARCH("FALTA", A1742))), "UPC faltante/inválido", ""), IF(AND(A1742&lt;&gt;"", IFERROR(_xlfn.XMATCH(A1742,$A$2:$A$2509,0,1)&lt;&gt;_xlfn.XMATCH(A1742,$A$2:$A$2509,0,-1),FALSE)), "Código de barras duplicado", ""), IF(AND(E1742&lt;&gt;"", COUNTIF($E$2:$E$2509, E1742)&gt;1), "SKU duplicado", ""), IF(OR(J1742="", J1742=""), "[Aviso] División no capturada ()", IF(ISNA(MATCH(J1742, Criterios!$A$123:$A$126, 0)), "División no válida", "")), IF(OR(K1742="", K1742=""), "[Aviso] Categoría no capturada ()", IF(ISNA(MATCH(K1742, Criterios!$A$81:$A$120, 0)), "Categoría no válida", IF(AND(J1742&lt;&gt;"", J1742&lt;&gt;"", J1742&lt;&gt;VLOOKUP(K1742, Criterios!$A$81:$B$120, 2, FALSE)), "División no coincide con Categoría", ""))), IF(OR(L1742="", L1742=""), "[Aviso] Género no capturado ()", IF(ISNA(MATCH(L1742, Criterios!$B$123:$B$127, 0)), "Género no válido", "")), IF(OR(N1742="", N1742=""), "[Aviso] Temporada no capturada ()", IF(ISNA(MATCH(N1742, Criterios!$C$123:$C$128, 0)), "Temporada no válida", "")), IF(OR(O1742="", O1742=""), "[Aviso] Ciclo de vida no capturado ()", IF(ISNA(MATCH(O1742, Criterios!$D$123:$D$124, 0)), "Ciclo de vida no válido", ""))))</f>
        <v/>
      </c>
      <c r="AC1742" s="56" t="n"/>
      <c r="AD1742" s="51" t="n">
        <v>1</v>
      </c>
      <c r="AE1742" s="156" t="inlineStr">
        <is>
          <t>B25 STETSON.MX (1)</t>
        </is>
      </c>
      <c r="AF1742" s="51" t="n">
        <v>1</v>
      </c>
      <c r="AG1742" s="156" t="inlineStr">
        <is>
          <t>Catálogo existente</t>
        </is>
      </c>
      <c r="AH174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2" s="156" t="inlineStr">
        <is>
          <t>No</t>
        </is>
      </c>
      <c r="AJ1742" s="156" t="n"/>
      <c r="AK1742" s="155" t="inlineStr">
        <is>
          <t>Criterios: I [Q] | Shopify Stetson: producto 14789252153707 / variante 53350606569835</t>
        </is>
      </c>
      <c r="AL1742" s="58" t="n">
        <v>1575</v>
      </c>
      <c r="AM1742" s="58" t="n">
        <v>3793.103448</v>
      </c>
      <c r="AN1742" s="155" t="inlineStr">
        <is>
          <t>Shopify Stetson México</t>
        </is>
      </c>
      <c r="AO1742" s="59" t="n">
        <v>0</v>
      </c>
      <c r="AP1742" s="59" t="n"/>
      <c r="AQ1742" s="59" t="n"/>
      <c r="AR1742" s="155" t="n"/>
    </row>
    <row r="1743">
      <c r="A1743" s="50" t="inlineStr">
        <is>
          <t>883383973464</t>
        </is>
      </c>
      <c r="B1743" s="51" t="inlineStr">
        <is>
          <t>110146</t>
        </is>
      </c>
      <c r="C1743" s="156" t="inlineStr">
        <is>
          <t>Multimarca</t>
        </is>
      </c>
      <c r="D1743" s="156" t="inlineStr">
        <is>
          <t>SSBKER-304281</t>
        </is>
      </c>
      <c r="E1743" s="156" t="inlineStr">
        <is>
          <t>SSBKER-30428174</t>
        </is>
      </c>
      <c r="F1743" s="156" t="inlineStr">
        <is>
          <t>7 1/2</t>
        </is>
      </c>
      <c r="G1743" s="156" t="inlineStr">
        <is>
          <t>7 1/2</t>
        </is>
      </c>
      <c r="H1743" s="156" t="inlineStr">
        <is>
          <t>Stetson</t>
        </is>
      </c>
      <c r="I1743" s="156" t="inlineStr">
        <is>
          <t>Texana Stetson Baker Natural</t>
        </is>
      </c>
      <c r="J1743" s="156" t="inlineStr">
        <is>
          <t>Accesorios</t>
        </is>
      </c>
      <c r="K1743" s="156" t="inlineStr">
        <is>
          <t>Sombreros</t>
        </is>
      </c>
      <c r="L1743" s="156" t="inlineStr">
        <is>
          <t>Unisex</t>
        </is>
      </c>
      <c r="M1743" s="156" t="inlineStr">
        <is>
          <t>Stetson</t>
        </is>
      </c>
      <c r="N1743" s="156" t="inlineStr">
        <is>
          <t>SS26</t>
        </is>
      </c>
      <c r="O1743" s="156" t="inlineStr">
        <is>
          <t>Seasonal</t>
        </is>
      </c>
      <c r="P1743" s="156" t="inlineStr">
        <is>
          <t>Beige</t>
        </is>
      </c>
      <c r="Q1743" s="156" t="n"/>
      <c r="R1743" s="156" t="inlineStr">
        <is>
          <t>Copa Cattleman</t>
        </is>
      </c>
      <c r="S1743" s="156" t="inlineStr">
        <is>
          <t>100% Fieltro de lana</t>
        </is>
      </c>
      <c r="T1743"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3" s="156" t="inlineStr">
        <is>
          <t>Estados Unidos</t>
        </is>
      </c>
      <c r="V1743" s="156" t="inlineStr">
        <is>
          <t>PZS</t>
        </is>
      </c>
      <c r="W1743" s="51" t="inlineStr">
        <is>
          <t>53102503</t>
        </is>
      </c>
      <c r="X1743" s="156" t="inlineStr">
        <is>
          <t>https://cdn.shopify.com/s/files/1/0888/3250/8267/files/SSBKER-3042-81-73-01_5.png?v=1759961230</t>
        </is>
      </c>
      <c r="Y1743" s="54" t="n">
        <v>1575</v>
      </c>
      <c r="Z1743" s="54" t="n">
        <v>3793.103448</v>
      </c>
      <c r="AA1743" s="55">
        <f>IF(AND(A1743="", B1743="", E1743=""), "", IF(AB1743="", "Válido", IF((LEN(AB1743)-LEN(SUBSTITUTE(AB1743,"; ","")))/2+1&gt;(LEN(AB1743)-LEN(SUBSTITUTE(AB1743,"[Aviso]","")))/7, "Con Incidencias", "Válido")))</f>
        <v/>
      </c>
      <c r="AB1743" s="56">
        <f>IF(AND(A1743="", B1743="", E1743=""), "", TEXTJOIN("; ", TRUE, IF(OR(TRIM(A1743&amp;"")="", ISNUMBER(SEARCH("FALTA", A1743))), "UPC faltante/inválido", ""), IF(AND(A1743&lt;&gt;"", IFERROR(_xlfn.XMATCH(A1743,$A$2:$A$2509,0,1)&lt;&gt;_xlfn.XMATCH(A1743,$A$2:$A$2509,0,-1),FALSE)), "Código de barras duplicado", ""), IF(AND(E1743&lt;&gt;"", COUNTIF($E$2:$E$2509, E1743)&gt;1), "SKU duplicado", ""), IF(OR(J1743="", J1743=""), "[Aviso] División no capturada ()", IF(ISNA(MATCH(J1743, Criterios!$A$123:$A$126, 0)), "División no válida", "")), IF(OR(K1743="", K1743=""), "[Aviso] Categoría no capturada ()", IF(ISNA(MATCH(K1743, Criterios!$A$81:$A$120, 0)), "Categoría no válida", IF(AND(J1743&lt;&gt;"", J1743&lt;&gt;"", J1743&lt;&gt;VLOOKUP(K1743, Criterios!$A$81:$B$120, 2, FALSE)), "División no coincide con Categoría", ""))), IF(OR(L1743="", L1743=""), "[Aviso] Género no capturado ()", IF(ISNA(MATCH(L1743, Criterios!$B$123:$B$127, 0)), "Género no válido", "")), IF(OR(N1743="", N1743=""), "[Aviso] Temporada no capturada ()", IF(ISNA(MATCH(N1743, Criterios!$C$123:$C$128, 0)), "Temporada no válida", "")), IF(OR(O1743="", O1743=""), "[Aviso] Ciclo de vida no capturado ()", IF(ISNA(MATCH(O1743, Criterios!$D$123:$D$124, 0)), "Ciclo de vida no válido", ""))))</f>
        <v/>
      </c>
      <c r="AC1743" s="56" t="n"/>
      <c r="AD1743" s="51" t="n">
        <v>0</v>
      </c>
      <c r="AE1743" s="156" t="inlineStr">
        <is>
          <t>B25 STETSON.MX (1)</t>
        </is>
      </c>
      <c r="AF1743" s="51" t="n">
        <v>1</v>
      </c>
      <c r="AG1743" s="156" t="inlineStr">
        <is>
          <t>Catálogo existente</t>
        </is>
      </c>
      <c r="AH174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3" s="156" t="inlineStr">
        <is>
          <t>Sí</t>
        </is>
      </c>
      <c r="AJ1743" s="156" t="inlineStr">
        <is>
          <t>STETSON AMERICAS (-1)</t>
        </is>
      </c>
      <c r="AK1743" s="155" t="inlineStr">
        <is>
          <t>Criterios: I [Q] | Shopify Stetson: producto 14789252153707 / variante 53350606602603</t>
        </is>
      </c>
      <c r="AL1743" s="58" t="n">
        <v>1575</v>
      </c>
      <c r="AM1743" s="58" t="n">
        <v>3793.103448</v>
      </c>
      <c r="AN1743" s="155" t="inlineStr">
        <is>
          <t>Shopify Stetson México</t>
        </is>
      </c>
      <c r="AO1743" s="59" t="n">
        <v>1</v>
      </c>
      <c r="AP1743" s="59" t="n"/>
      <c r="AQ1743" s="59" t="n"/>
      <c r="AR1743" s="155" t="inlineStr">
        <is>
          <t>Shopify Stetson México › Stetson México: 1</t>
        </is>
      </c>
    </row>
    <row r="1744">
      <c r="A1744" s="50" t="inlineStr">
        <is>
          <t>883383978476</t>
        </is>
      </c>
      <c r="B1744" s="51" t="inlineStr">
        <is>
          <t>110159</t>
        </is>
      </c>
      <c r="C1744" s="156" t="inlineStr">
        <is>
          <t>Multimarca</t>
        </is>
      </c>
      <c r="D1744" s="156" t="inlineStr">
        <is>
          <t>SSELMW-304281</t>
        </is>
      </c>
      <c r="E1744" s="156" t="inlineStr">
        <is>
          <t>SSELMW-30428170</t>
        </is>
      </c>
      <c r="F1744" s="156" t="inlineStr">
        <is>
          <t>7</t>
        </is>
      </c>
      <c r="G1744" s="156" t="inlineStr">
        <is>
          <t>7</t>
        </is>
      </c>
      <c r="H1744" s="156" t="inlineStr">
        <is>
          <t>Stetson</t>
        </is>
      </c>
      <c r="I1744" s="156" t="inlineStr">
        <is>
          <t>Texana Stetson Elmwood Natural</t>
        </is>
      </c>
      <c r="J1744" s="156" t="inlineStr">
        <is>
          <t>Accesorios</t>
        </is>
      </c>
      <c r="K1744" s="156" t="inlineStr">
        <is>
          <t>Sombreros</t>
        </is>
      </c>
      <c r="L1744" s="156" t="inlineStr">
        <is>
          <t>Unisex</t>
        </is>
      </c>
      <c r="M1744" s="156" t="inlineStr">
        <is>
          <t>Stetson</t>
        </is>
      </c>
      <c r="N1744" s="156" t="inlineStr">
        <is>
          <t>SS26</t>
        </is>
      </c>
      <c r="O1744" s="156" t="inlineStr">
        <is>
          <t>Seasonal</t>
        </is>
      </c>
      <c r="P1744" s="156" t="inlineStr">
        <is>
          <t>Beige</t>
        </is>
      </c>
      <c r="Q1744" s="156" t="n"/>
      <c r="R1744" s="156" t="inlineStr">
        <is>
          <t>Copa Cattleman</t>
        </is>
      </c>
      <c r="S1744" s="156" t="inlineStr">
        <is>
          <t>100% Fieltro de lana</t>
        </is>
      </c>
      <c r="T1744"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4" s="156" t="inlineStr">
        <is>
          <t>Estados Unidos</t>
        </is>
      </c>
      <c r="V1744" s="156" t="inlineStr">
        <is>
          <t>PZS</t>
        </is>
      </c>
      <c r="W1744" s="51" t="inlineStr">
        <is>
          <t>53102503</t>
        </is>
      </c>
      <c r="X1744" s="156" t="inlineStr">
        <is>
          <t>https://cdn.shopify.com/s/files/1/0888/3250/8267/files/SSELMW-304281-011.jpg?v=1759948545</t>
        </is>
      </c>
      <c r="Y1744" s="54" t="n">
        <v>1338.75</v>
      </c>
      <c r="Z1744" s="54" t="n">
        <v>3275.862069</v>
      </c>
      <c r="AA1744" s="55">
        <f>IF(AND(A1744="", B1744="", E1744=""), "", IF(AB1744="", "Válido", IF((LEN(AB1744)-LEN(SUBSTITUTE(AB1744,"; ","")))/2+1&gt;(LEN(AB1744)-LEN(SUBSTITUTE(AB1744,"[Aviso]","")))/7, "Con Incidencias", "Válido")))</f>
        <v/>
      </c>
      <c r="AB1744" s="56">
        <f>IF(AND(A1744="", B1744="", E1744=""), "", TEXTJOIN("; ", TRUE, IF(OR(TRIM(A1744&amp;"")="", ISNUMBER(SEARCH("FALTA", A1744))), "UPC faltante/inválido", ""), IF(AND(A1744&lt;&gt;"", IFERROR(_xlfn.XMATCH(A1744,$A$2:$A$2509,0,1)&lt;&gt;_xlfn.XMATCH(A1744,$A$2:$A$2509,0,-1),FALSE)), "Código de barras duplicado", ""), IF(AND(E1744&lt;&gt;"", COUNTIF($E$2:$E$2509, E1744)&gt;1), "SKU duplicado", ""), IF(OR(J1744="", J1744=""), "[Aviso] División no capturada ()", IF(ISNA(MATCH(J1744, Criterios!$A$123:$A$126, 0)), "División no válida", "")), IF(OR(K1744="", K1744=""), "[Aviso] Categoría no capturada ()", IF(ISNA(MATCH(K1744, Criterios!$A$81:$A$120, 0)), "Categoría no válida", IF(AND(J1744&lt;&gt;"", J1744&lt;&gt;"", J1744&lt;&gt;VLOOKUP(K1744, Criterios!$A$81:$B$120, 2, FALSE)), "División no coincide con Categoría", ""))), IF(OR(L1744="", L1744=""), "[Aviso] Género no capturado ()", IF(ISNA(MATCH(L1744, Criterios!$B$123:$B$127, 0)), "Género no válido", "")), IF(OR(N1744="", N1744=""), "[Aviso] Temporada no capturada ()", IF(ISNA(MATCH(N1744, Criterios!$C$123:$C$128, 0)), "Temporada no válida", "")), IF(OR(O1744="", O1744=""), "[Aviso] Ciclo de vida no capturado ()", IF(ISNA(MATCH(O1744, Criterios!$D$123:$D$124, 0)), "Ciclo de vida no válido", ""))))</f>
        <v/>
      </c>
      <c r="AC1744" s="56" t="n"/>
      <c r="AD1744" s="51" t="n">
        <v>-1</v>
      </c>
      <c r="AE1744" s="156" t="inlineStr">
        <is>
          <t>B25 STETSON.MX (1)</t>
        </is>
      </c>
      <c r="AF1744" s="51" t="n">
        <v>1</v>
      </c>
      <c r="AG1744" s="156" t="inlineStr">
        <is>
          <t>Catálogo existente</t>
        </is>
      </c>
      <c r="AH174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44" s="156" t="inlineStr">
        <is>
          <t>Sí</t>
        </is>
      </c>
      <c r="AJ1744" s="156" t="inlineStr">
        <is>
          <t>STETSON AMERICAS (-2)</t>
        </is>
      </c>
      <c r="AK1744" s="155" t="inlineStr">
        <is>
          <t>Criterios: I [Q] | Shopify Stetson: producto 14789224694123 / variante 53350607421803</t>
        </is>
      </c>
      <c r="AL1744" s="58" t="n">
        <v>1338.75</v>
      </c>
      <c r="AM1744" s="58" t="n">
        <v>3275.862069</v>
      </c>
      <c r="AN1744" s="155" t="inlineStr">
        <is>
          <t>Shopify Stetson México</t>
        </is>
      </c>
      <c r="AO1744" s="59" t="n">
        <v>3</v>
      </c>
      <c r="AP1744" s="59" t="n"/>
      <c r="AQ1744" s="59" t="n"/>
      <c r="AR1744" s="155" t="inlineStr">
        <is>
          <t>Shopify Stetson México › Stetson México: 2 | Shopify Stetson México › Stetson Americas: 1</t>
        </is>
      </c>
    </row>
    <row r="1745">
      <c r="A1745" s="50" t="inlineStr">
        <is>
          <t>883383978483</t>
        </is>
      </c>
      <c r="B1745" s="51" t="inlineStr">
        <is>
          <t>110160</t>
        </is>
      </c>
      <c r="C1745" s="156" t="inlineStr">
        <is>
          <t>Multimarca</t>
        </is>
      </c>
      <c r="D1745" s="156" t="inlineStr">
        <is>
          <t>SSELMW-304281</t>
        </is>
      </c>
      <c r="E1745" s="156" t="inlineStr">
        <is>
          <t>SSELMW-30428171</t>
        </is>
      </c>
      <c r="F1745" s="156" t="inlineStr">
        <is>
          <t>7 1/8</t>
        </is>
      </c>
      <c r="G1745" s="156" t="inlineStr">
        <is>
          <t>7 1/8</t>
        </is>
      </c>
      <c r="H1745" s="156" t="inlineStr">
        <is>
          <t>Stetson</t>
        </is>
      </c>
      <c r="I1745" s="156" t="inlineStr">
        <is>
          <t>Texana Stetson Elmwood Natural</t>
        </is>
      </c>
      <c r="J1745" s="156" t="inlineStr">
        <is>
          <t>Accesorios</t>
        </is>
      </c>
      <c r="K1745" s="156" t="inlineStr">
        <is>
          <t>Sombreros</t>
        </is>
      </c>
      <c r="L1745" s="156" t="inlineStr">
        <is>
          <t>Unisex</t>
        </is>
      </c>
      <c r="M1745" s="156" t="inlineStr">
        <is>
          <t>Stetson</t>
        </is>
      </c>
      <c r="N1745" s="156" t="inlineStr">
        <is>
          <t>SS26</t>
        </is>
      </c>
      <c r="O1745" s="156" t="inlineStr">
        <is>
          <t>Seasonal</t>
        </is>
      </c>
      <c r="P1745" s="156" t="inlineStr">
        <is>
          <t>Beige</t>
        </is>
      </c>
      <c r="Q1745" s="156" t="n"/>
      <c r="R1745" s="156" t="inlineStr">
        <is>
          <t>Copa Cattleman</t>
        </is>
      </c>
      <c r="S1745" s="156" t="inlineStr">
        <is>
          <t>100% Fieltro de lana</t>
        </is>
      </c>
      <c r="T1745"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5" s="156" t="inlineStr">
        <is>
          <t>Estados Unidos</t>
        </is>
      </c>
      <c r="V1745" s="156" t="inlineStr">
        <is>
          <t>PZS</t>
        </is>
      </c>
      <c r="W1745" s="51" t="inlineStr">
        <is>
          <t>53102503</t>
        </is>
      </c>
      <c r="X1745" s="156" t="inlineStr">
        <is>
          <t>https://cdn.shopify.com/s/files/1/0888/3250/8267/files/SSELMW-304281-02.jpg?v=1759948550</t>
        </is>
      </c>
      <c r="Y1745" s="54" t="n">
        <v>1338.75</v>
      </c>
      <c r="Z1745" s="54" t="n">
        <v>3275.862069</v>
      </c>
      <c r="AA1745" s="55">
        <f>IF(AND(A1745="", B1745="", E1745=""), "", IF(AB1745="", "Válido", IF((LEN(AB1745)-LEN(SUBSTITUTE(AB1745,"; ","")))/2+1&gt;(LEN(AB1745)-LEN(SUBSTITUTE(AB1745,"[Aviso]","")))/7, "Con Incidencias", "Válido")))</f>
        <v/>
      </c>
      <c r="AB1745" s="56">
        <f>IF(AND(A1745="", B1745="", E1745=""), "", TEXTJOIN("; ", TRUE, IF(OR(TRIM(A1745&amp;"")="", ISNUMBER(SEARCH("FALTA", A1745))), "UPC faltante/inválido", ""), IF(AND(A1745&lt;&gt;"", IFERROR(_xlfn.XMATCH(A1745,$A$2:$A$2509,0,1)&lt;&gt;_xlfn.XMATCH(A1745,$A$2:$A$2509,0,-1),FALSE)), "Código de barras duplicado", ""), IF(AND(E1745&lt;&gt;"", COUNTIF($E$2:$E$2509, E1745)&gt;1), "SKU duplicado", ""), IF(OR(J1745="", J1745=""), "[Aviso] División no capturada ()", IF(ISNA(MATCH(J1745, Criterios!$A$123:$A$126, 0)), "División no válida", "")), IF(OR(K1745="", K1745=""), "[Aviso] Categoría no capturada ()", IF(ISNA(MATCH(K1745, Criterios!$A$81:$A$120, 0)), "Categoría no válida", IF(AND(J1745&lt;&gt;"", J1745&lt;&gt;"", J1745&lt;&gt;VLOOKUP(K1745, Criterios!$A$81:$B$120, 2, FALSE)), "División no coincide con Categoría", ""))), IF(OR(L1745="", L1745=""), "[Aviso] Género no capturado ()", IF(ISNA(MATCH(L1745, Criterios!$B$123:$B$127, 0)), "Género no válido", "")), IF(OR(N1745="", N1745=""), "[Aviso] Temporada no capturada ()", IF(ISNA(MATCH(N1745, Criterios!$C$123:$C$128, 0)), "Temporada no válida", "")), IF(OR(O1745="", O1745=""), "[Aviso] Ciclo de vida no capturado ()", IF(ISNA(MATCH(O1745, Criterios!$D$123:$D$124, 0)), "Ciclo de vida no válido", ""))))</f>
        <v/>
      </c>
      <c r="AC1745" s="56" t="n"/>
      <c r="AD1745" s="51" t="n">
        <v>1</v>
      </c>
      <c r="AE1745" s="156" t="inlineStr">
        <is>
          <t>B25 STETSON.MX (2)</t>
        </is>
      </c>
      <c r="AF1745" s="51" t="n">
        <v>2</v>
      </c>
      <c r="AG1745" s="156" t="inlineStr">
        <is>
          <t>Catálogo existente</t>
        </is>
      </c>
      <c r="AH174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5" s="156" t="inlineStr">
        <is>
          <t>Sí</t>
        </is>
      </c>
      <c r="AJ1745" s="156" t="inlineStr">
        <is>
          <t>STETSON AMERICAS (-1)</t>
        </is>
      </c>
      <c r="AK1745" s="155" t="inlineStr">
        <is>
          <t>Criterios: I [Q] | Shopify Stetson: producto 14789224694123 / variante 53350607454571</t>
        </is>
      </c>
      <c r="AL1745" s="58" t="n">
        <v>1338.75</v>
      </c>
      <c r="AM1745" s="58" t="n">
        <v>3275.862069</v>
      </c>
      <c r="AN1745" s="155" t="inlineStr">
        <is>
          <t>Shopify Stetson México</t>
        </is>
      </c>
      <c r="AO1745" s="59" t="n">
        <v>3</v>
      </c>
      <c r="AP1745" s="59" t="n"/>
      <c r="AQ1745" s="59" t="n"/>
      <c r="AR1745" s="155" t="inlineStr">
        <is>
          <t>Shopify Stetson México › Stetson México: 2 | Shopify Stetson México › Stetson Americas: 1</t>
        </is>
      </c>
    </row>
    <row r="1746">
      <c r="A1746" s="50" t="inlineStr">
        <is>
          <t>883383978490</t>
        </is>
      </c>
      <c r="B1746" s="51" t="inlineStr">
        <is>
          <t>110161</t>
        </is>
      </c>
      <c r="C1746" s="156" t="inlineStr">
        <is>
          <t>Multimarca</t>
        </is>
      </c>
      <c r="D1746" s="156" t="inlineStr">
        <is>
          <t>SSELMW-304281</t>
        </is>
      </c>
      <c r="E1746" s="156" t="inlineStr">
        <is>
          <t>SSELMW-30428172</t>
        </is>
      </c>
      <c r="F1746" s="156" t="inlineStr">
        <is>
          <t>7 1/4</t>
        </is>
      </c>
      <c r="G1746" s="156" t="inlineStr">
        <is>
          <t>7 1/4</t>
        </is>
      </c>
      <c r="H1746" s="156" t="inlineStr">
        <is>
          <t>Stetson</t>
        </is>
      </c>
      <c r="I1746" s="156" t="inlineStr">
        <is>
          <t>Texana Stetson Elmwood Natural</t>
        </is>
      </c>
      <c r="J1746" s="156" t="inlineStr">
        <is>
          <t>Accesorios</t>
        </is>
      </c>
      <c r="K1746" s="156" t="inlineStr">
        <is>
          <t>Sombreros</t>
        </is>
      </c>
      <c r="L1746" s="156" t="inlineStr">
        <is>
          <t>Unisex</t>
        </is>
      </c>
      <c r="M1746" s="156" t="inlineStr">
        <is>
          <t>Stetson</t>
        </is>
      </c>
      <c r="N1746" s="156" t="inlineStr">
        <is>
          <t>SS26</t>
        </is>
      </c>
      <c r="O1746" s="156" t="inlineStr">
        <is>
          <t>Seasonal</t>
        </is>
      </c>
      <c r="P1746" s="156" t="inlineStr">
        <is>
          <t>Beige</t>
        </is>
      </c>
      <c r="Q1746" s="156" t="n"/>
      <c r="R1746" s="156" t="inlineStr">
        <is>
          <t>Copa Cattleman</t>
        </is>
      </c>
      <c r="S1746" s="156" t="inlineStr">
        <is>
          <t>100% Fieltro de lana</t>
        </is>
      </c>
      <c r="T1746"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6" s="156" t="inlineStr">
        <is>
          <t>Estados Unidos</t>
        </is>
      </c>
      <c r="V1746" s="156" t="inlineStr">
        <is>
          <t>PZS</t>
        </is>
      </c>
      <c r="W1746" s="51" t="inlineStr">
        <is>
          <t>53102503</t>
        </is>
      </c>
      <c r="X1746" s="156" t="inlineStr">
        <is>
          <t>https://cdn.shopify.com/s/files/1/0888/3250/8267/files/SSELMW-304281-03.jpg?v=1759948550</t>
        </is>
      </c>
      <c r="Y1746" s="54" t="n">
        <v>1338.75</v>
      </c>
      <c r="Z1746" s="54" t="n">
        <v>3275.862069</v>
      </c>
      <c r="AA1746" s="55">
        <f>IF(AND(A1746="", B1746="", E1746=""), "", IF(AB1746="", "Válido", IF((LEN(AB1746)-LEN(SUBSTITUTE(AB1746,"; ","")))/2+1&gt;(LEN(AB1746)-LEN(SUBSTITUTE(AB1746,"[Aviso]","")))/7, "Con Incidencias", "Válido")))</f>
        <v/>
      </c>
      <c r="AB1746" s="56">
        <f>IF(AND(A1746="", B1746="", E1746=""), "", TEXTJOIN("; ", TRUE, IF(OR(TRIM(A1746&amp;"")="", ISNUMBER(SEARCH("FALTA", A1746))), "UPC faltante/inválido", ""), IF(AND(A1746&lt;&gt;"", IFERROR(_xlfn.XMATCH(A1746,$A$2:$A$2509,0,1)&lt;&gt;_xlfn.XMATCH(A1746,$A$2:$A$2509,0,-1),FALSE)), "Código de barras duplicado", ""), IF(AND(E1746&lt;&gt;"", COUNTIF($E$2:$E$2509, E1746)&gt;1), "SKU duplicado", ""), IF(OR(J1746="", J1746=""), "[Aviso] División no capturada ()", IF(ISNA(MATCH(J1746, Criterios!$A$123:$A$126, 0)), "División no válida", "")), IF(OR(K1746="", K1746=""), "[Aviso] Categoría no capturada ()", IF(ISNA(MATCH(K1746, Criterios!$A$81:$A$120, 0)), "Categoría no válida", IF(AND(J1746&lt;&gt;"", J1746&lt;&gt;"", J1746&lt;&gt;VLOOKUP(K1746, Criterios!$A$81:$B$120, 2, FALSE)), "División no coincide con Categoría", ""))), IF(OR(L1746="", L1746=""), "[Aviso] Género no capturado ()", IF(ISNA(MATCH(L1746, Criterios!$B$123:$B$127, 0)), "Género no válido", "")), IF(OR(N1746="", N1746=""), "[Aviso] Temporada no capturada ()", IF(ISNA(MATCH(N1746, Criterios!$C$123:$C$128, 0)), "Temporada no válida", "")), IF(OR(O1746="", O1746=""), "[Aviso] Ciclo de vida no capturado ()", IF(ISNA(MATCH(O1746, Criterios!$D$123:$D$124, 0)), "Ciclo de vida no válido", ""))))</f>
        <v/>
      </c>
      <c r="AC1746" s="56" t="n"/>
      <c r="AD1746" s="51" t="n">
        <v>1</v>
      </c>
      <c r="AE1746" s="156" t="inlineStr">
        <is>
          <t>B25 STETSON.MX (4)</t>
        </is>
      </c>
      <c r="AF1746" s="51" t="n">
        <v>4</v>
      </c>
      <c r="AG1746" s="156" t="inlineStr">
        <is>
          <t>Catálogo existente</t>
        </is>
      </c>
      <c r="AH174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6" s="156" t="inlineStr">
        <is>
          <t>Sí</t>
        </is>
      </c>
      <c r="AJ1746" s="156" t="inlineStr">
        <is>
          <t>STETSON AMERICAS (-3)</t>
        </is>
      </c>
      <c r="AK1746" s="155" t="inlineStr">
        <is>
          <t>Criterios: I [Q] | Shopify Stetson: producto 14789224694123 / variante 53350607487339</t>
        </is>
      </c>
      <c r="AL1746" s="58" t="n">
        <v>1338.75</v>
      </c>
      <c r="AM1746" s="58" t="n">
        <v>3275.862069</v>
      </c>
      <c r="AN1746" s="155" t="inlineStr">
        <is>
          <t>Shopify Stetson México</t>
        </is>
      </c>
      <c r="AO1746" s="59" t="n">
        <v>4</v>
      </c>
      <c r="AP1746" s="59" t="n"/>
      <c r="AQ1746" s="59" t="n"/>
      <c r="AR1746" s="155" t="inlineStr">
        <is>
          <t>Shopify Stetson México › Stetson México: 4</t>
        </is>
      </c>
    </row>
    <row r="1747">
      <c r="A1747" s="50" t="inlineStr">
        <is>
          <t>883383978506</t>
        </is>
      </c>
      <c r="B1747" s="51" t="inlineStr">
        <is>
          <t>110162</t>
        </is>
      </c>
      <c r="C1747" s="156" t="inlineStr">
        <is>
          <t>Multimarca</t>
        </is>
      </c>
      <c r="D1747" s="156" t="inlineStr">
        <is>
          <t>SSELMW-304281</t>
        </is>
      </c>
      <c r="E1747" s="156" t="inlineStr">
        <is>
          <t>SSELMW-30428173</t>
        </is>
      </c>
      <c r="F1747" s="156" t="inlineStr">
        <is>
          <t>7 3/8</t>
        </is>
      </c>
      <c r="G1747" s="156" t="inlineStr">
        <is>
          <t>7 3/8</t>
        </is>
      </c>
      <c r="H1747" s="156" t="inlineStr">
        <is>
          <t>Stetson</t>
        </is>
      </c>
      <c r="I1747" s="156" t="inlineStr">
        <is>
          <t>Texana Stetson Elmwood Natural</t>
        </is>
      </c>
      <c r="J1747" s="156" t="inlineStr">
        <is>
          <t>Accesorios</t>
        </is>
      </c>
      <c r="K1747" s="156" t="inlineStr">
        <is>
          <t>Sombreros</t>
        </is>
      </c>
      <c r="L1747" s="156" t="inlineStr">
        <is>
          <t>Unisex</t>
        </is>
      </c>
      <c r="M1747" s="156" t="inlineStr">
        <is>
          <t>Stetson</t>
        </is>
      </c>
      <c r="N1747" s="156" t="inlineStr">
        <is>
          <t>SS26</t>
        </is>
      </c>
      <c r="O1747" s="156" t="inlineStr">
        <is>
          <t>Seasonal</t>
        </is>
      </c>
      <c r="P1747" s="156" t="inlineStr">
        <is>
          <t>Beige</t>
        </is>
      </c>
      <c r="Q1747" s="156" t="n"/>
      <c r="R1747" s="156" t="inlineStr">
        <is>
          <t>Copa Cattleman</t>
        </is>
      </c>
      <c r="S1747" s="156" t="inlineStr">
        <is>
          <t>100% Fieltro de lana</t>
        </is>
      </c>
      <c r="T1747"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7" s="156" t="inlineStr">
        <is>
          <t>Estados Unidos</t>
        </is>
      </c>
      <c r="V1747" s="156" t="inlineStr">
        <is>
          <t>PZS</t>
        </is>
      </c>
      <c r="W1747" s="51" t="inlineStr">
        <is>
          <t>53102503</t>
        </is>
      </c>
      <c r="X1747" s="156" t="inlineStr">
        <is>
          <t>https://cdn.shopify.com/s/files/1/0888/3250/8267/files/SSELMW-304281-04.jpg?v=1759948550</t>
        </is>
      </c>
      <c r="Y1747" s="54" t="n">
        <v>1338.75</v>
      </c>
      <c r="Z1747" s="54" t="n">
        <v>3275.862069</v>
      </c>
      <c r="AA1747" s="55">
        <f>IF(AND(A1747="", B1747="", E1747=""), "", IF(AB1747="", "Válido", IF((LEN(AB1747)-LEN(SUBSTITUTE(AB1747,"; ","")))/2+1&gt;(LEN(AB1747)-LEN(SUBSTITUTE(AB1747,"[Aviso]","")))/7, "Con Incidencias", "Válido")))</f>
        <v/>
      </c>
      <c r="AB1747" s="56">
        <f>IF(AND(A1747="", B1747="", E1747=""), "", TEXTJOIN("; ", TRUE, IF(OR(TRIM(A1747&amp;"")="", ISNUMBER(SEARCH("FALTA", A1747))), "UPC faltante/inválido", ""), IF(AND(A1747&lt;&gt;"", IFERROR(_xlfn.XMATCH(A1747,$A$2:$A$2509,0,1)&lt;&gt;_xlfn.XMATCH(A1747,$A$2:$A$2509,0,-1),FALSE)), "Código de barras duplicado", ""), IF(AND(E1747&lt;&gt;"", COUNTIF($E$2:$E$2509, E1747)&gt;1), "SKU duplicado", ""), IF(OR(J1747="", J1747=""), "[Aviso] División no capturada ()", IF(ISNA(MATCH(J1747, Criterios!$A$123:$A$126, 0)), "División no válida", "")), IF(OR(K1747="", K1747=""), "[Aviso] Categoría no capturada ()", IF(ISNA(MATCH(K1747, Criterios!$A$81:$A$120, 0)), "Categoría no válida", IF(AND(J1747&lt;&gt;"", J1747&lt;&gt;"", J1747&lt;&gt;VLOOKUP(K1747, Criterios!$A$81:$B$120, 2, FALSE)), "División no coincide con Categoría", ""))), IF(OR(L1747="", L1747=""), "[Aviso] Género no capturado ()", IF(ISNA(MATCH(L1747, Criterios!$B$123:$B$127, 0)), "Género no válido", "")), IF(OR(N1747="", N1747=""), "[Aviso] Temporada no capturada ()", IF(ISNA(MATCH(N1747, Criterios!$C$123:$C$128, 0)), "Temporada no válida", "")), IF(OR(O1747="", O1747=""), "[Aviso] Ciclo de vida no capturado ()", IF(ISNA(MATCH(O1747, Criterios!$D$123:$D$124, 0)), "Ciclo de vida no válido", ""))))</f>
        <v/>
      </c>
      <c r="AC1747" s="56" t="n"/>
      <c r="AD1747" s="51" t="n">
        <v>2</v>
      </c>
      <c r="AE1747" s="156" t="inlineStr">
        <is>
          <t>B25 STETSON.MX (4)</t>
        </is>
      </c>
      <c r="AF1747" s="51" t="n">
        <v>4</v>
      </c>
      <c r="AG1747" s="156" t="inlineStr">
        <is>
          <t>Catálogo existente</t>
        </is>
      </c>
      <c r="AH174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7" s="156" t="inlineStr">
        <is>
          <t>Sí</t>
        </is>
      </c>
      <c r="AJ1747" s="156" t="inlineStr">
        <is>
          <t>STETSON AMERICAS (-2)</t>
        </is>
      </c>
      <c r="AK1747" s="155" t="inlineStr">
        <is>
          <t>Criterios: I [Q] | Shopify Stetson: producto 14789224694123 / variante 53350607520107</t>
        </is>
      </c>
      <c r="AL1747" s="58" t="n">
        <v>1338.75</v>
      </c>
      <c r="AM1747" s="58" t="n">
        <v>3275.862069</v>
      </c>
      <c r="AN1747" s="155" t="inlineStr">
        <is>
          <t>Shopify Stetson México</t>
        </is>
      </c>
      <c r="AO1747" s="59" t="n">
        <v>1</v>
      </c>
      <c r="AP1747" s="59" t="n"/>
      <c r="AQ1747" s="59" t="n"/>
      <c r="AR1747" s="155" t="inlineStr">
        <is>
          <t>Shopify Stetson México › Stetson México: 1</t>
        </is>
      </c>
    </row>
    <row r="1748">
      <c r="A1748" s="50" t="inlineStr">
        <is>
          <t>883383978513</t>
        </is>
      </c>
      <c r="B1748" s="51" t="inlineStr">
        <is>
          <t>110163</t>
        </is>
      </c>
      <c r="C1748" s="156" t="inlineStr">
        <is>
          <t>Multimarca</t>
        </is>
      </c>
      <c r="D1748" s="156" t="inlineStr">
        <is>
          <t>SSELMW-304281</t>
        </is>
      </c>
      <c r="E1748" s="156" t="inlineStr">
        <is>
          <t>SSELMW-30428174</t>
        </is>
      </c>
      <c r="F1748" s="156" t="inlineStr">
        <is>
          <t>7 1/2</t>
        </is>
      </c>
      <c r="G1748" s="156" t="inlineStr">
        <is>
          <t>7 1/2</t>
        </is>
      </c>
      <c r="H1748" s="156" t="inlineStr">
        <is>
          <t>Stetson</t>
        </is>
      </c>
      <c r="I1748" s="156" t="inlineStr">
        <is>
          <t>Texana Stetson Elmwood Natural</t>
        </is>
      </c>
      <c r="J1748" s="156" t="inlineStr">
        <is>
          <t>Accesorios</t>
        </is>
      </c>
      <c r="K1748" s="156" t="inlineStr">
        <is>
          <t>Sombreros</t>
        </is>
      </c>
      <c r="L1748" s="156" t="inlineStr">
        <is>
          <t>Unisex</t>
        </is>
      </c>
      <c r="M1748" s="156" t="inlineStr">
        <is>
          <t>Stetson</t>
        </is>
      </c>
      <c r="N1748" s="156" t="inlineStr">
        <is>
          <t>SS26</t>
        </is>
      </c>
      <c r="O1748" s="156" t="inlineStr">
        <is>
          <t>Seasonal</t>
        </is>
      </c>
      <c r="P1748" s="156" t="inlineStr">
        <is>
          <t>Beige</t>
        </is>
      </c>
      <c r="Q1748" s="156" t="n"/>
      <c r="R1748" s="156" t="inlineStr">
        <is>
          <t>Copa Cattleman</t>
        </is>
      </c>
      <c r="S1748" s="156" t="inlineStr">
        <is>
          <t>100% Fieltro de lana</t>
        </is>
      </c>
      <c r="T1748"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8" s="156" t="inlineStr">
        <is>
          <t>Estados Unidos</t>
        </is>
      </c>
      <c r="V1748" s="156" t="inlineStr">
        <is>
          <t>PZS</t>
        </is>
      </c>
      <c r="W1748" s="51" t="inlineStr">
        <is>
          <t>53102503</t>
        </is>
      </c>
      <c r="X1748" s="156" t="inlineStr">
        <is>
          <t>https://cdn.shopify.com/s/files/1/0888/3250/8267/files/SSELMW-304281-05.jpg?v=1759948550</t>
        </is>
      </c>
      <c r="Y1748" s="54" t="n">
        <v>1338.75</v>
      </c>
      <c r="Z1748" s="54" t="n">
        <v>3275.862069</v>
      </c>
      <c r="AA1748" s="55">
        <f>IF(AND(A1748="", B1748="", E1748=""), "", IF(AB1748="", "Válido", IF((LEN(AB1748)-LEN(SUBSTITUTE(AB1748,"; ","")))/2+1&gt;(LEN(AB1748)-LEN(SUBSTITUTE(AB1748,"[Aviso]","")))/7, "Con Incidencias", "Válido")))</f>
        <v/>
      </c>
      <c r="AB1748" s="56">
        <f>IF(AND(A1748="", B1748="", E1748=""), "", TEXTJOIN("; ", TRUE, IF(OR(TRIM(A1748&amp;"")="", ISNUMBER(SEARCH("FALTA", A1748))), "UPC faltante/inválido", ""), IF(AND(A1748&lt;&gt;"", IFERROR(_xlfn.XMATCH(A1748,$A$2:$A$2509,0,1)&lt;&gt;_xlfn.XMATCH(A1748,$A$2:$A$2509,0,-1),FALSE)), "Código de barras duplicado", ""), IF(AND(E1748&lt;&gt;"", COUNTIF($E$2:$E$2509, E1748)&gt;1), "SKU duplicado", ""), IF(OR(J1748="", J1748=""), "[Aviso] División no capturada ()", IF(ISNA(MATCH(J1748, Criterios!$A$123:$A$126, 0)), "División no válida", "")), IF(OR(K1748="", K1748=""), "[Aviso] Categoría no capturada ()", IF(ISNA(MATCH(K1748, Criterios!$A$81:$A$120, 0)), "Categoría no válida", IF(AND(J1748&lt;&gt;"", J1748&lt;&gt;"", J1748&lt;&gt;VLOOKUP(K1748, Criterios!$A$81:$B$120, 2, FALSE)), "División no coincide con Categoría", ""))), IF(OR(L1748="", L1748=""), "[Aviso] Género no capturado ()", IF(ISNA(MATCH(L1748, Criterios!$B$123:$B$127, 0)), "Género no válido", "")), IF(OR(N1748="", N1748=""), "[Aviso] Temporada no capturada ()", IF(ISNA(MATCH(N1748, Criterios!$C$123:$C$128, 0)), "Temporada no válida", "")), IF(OR(O1748="", O1748=""), "[Aviso] Ciclo de vida no capturado ()", IF(ISNA(MATCH(O1748, Criterios!$D$123:$D$124, 0)), "Ciclo de vida no válido", ""))))</f>
        <v/>
      </c>
      <c r="AC1748" s="56" t="n"/>
      <c r="AD1748" s="51" t="n">
        <v>3</v>
      </c>
      <c r="AE1748" s="156" t="inlineStr">
        <is>
          <t>B25 STETSON.MX (3)</t>
        </is>
      </c>
      <c r="AF1748" s="51" t="n">
        <v>3</v>
      </c>
      <c r="AG1748" s="156" t="inlineStr">
        <is>
          <t>Catálogo existente</t>
        </is>
      </c>
      <c r="AH174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8" s="156" t="inlineStr">
        <is>
          <t>No</t>
        </is>
      </c>
      <c r="AJ1748" s="156" t="n"/>
      <c r="AK1748" s="155" t="inlineStr">
        <is>
          <t>Criterios: I [Q] | Shopify Stetson: producto 14789224694123 / variante 53350607552875</t>
        </is>
      </c>
      <c r="AL1748" s="58" t="n">
        <v>1338.75</v>
      </c>
      <c r="AM1748" s="58" t="n">
        <v>3275.862069</v>
      </c>
      <c r="AN1748" s="155" t="inlineStr">
        <is>
          <t>Shopify Stetson México</t>
        </is>
      </c>
      <c r="AO1748" s="59" t="n">
        <v>3</v>
      </c>
      <c r="AP1748" s="59" t="n"/>
      <c r="AQ1748" s="59" t="n"/>
      <c r="AR1748" s="155" t="inlineStr">
        <is>
          <t>Shopify Stetson México › Stetson México: 3</t>
        </is>
      </c>
    </row>
    <row r="1749">
      <c r="A1749" s="50" t="inlineStr">
        <is>
          <t>883383978520</t>
        </is>
      </c>
      <c r="B1749" s="51" t="inlineStr">
        <is>
          <t>110164</t>
        </is>
      </c>
      <c r="C1749" s="156" t="inlineStr">
        <is>
          <t>Multimarca</t>
        </is>
      </c>
      <c r="D1749" s="156" t="inlineStr">
        <is>
          <t>SSELMW-304281</t>
        </is>
      </c>
      <c r="E1749" s="156" t="inlineStr">
        <is>
          <t>SSELMW-30428175</t>
        </is>
      </c>
      <c r="F1749" s="156" t="inlineStr">
        <is>
          <t>7 5/8</t>
        </is>
      </c>
      <c r="G1749" s="156" t="inlineStr">
        <is>
          <t>7 5/8</t>
        </is>
      </c>
      <c r="H1749" s="156" t="inlineStr">
        <is>
          <t>Stetson</t>
        </is>
      </c>
      <c r="I1749" s="156" t="inlineStr">
        <is>
          <t>Texana Stetson Elmwood Natural</t>
        </is>
      </c>
      <c r="J1749" s="156" t="inlineStr">
        <is>
          <t>Accesorios</t>
        </is>
      </c>
      <c r="K1749" s="156" t="inlineStr">
        <is>
          <t>Sombreros</t>
        </is>
      </c>
      <c r="L1749" s="156" t="inlineStr">
        <is>
          <t>Unisex</t>
        </is>
      </c>
      <c r="M1749" s="156" t="inlineStr">
        <is>
          <t>Stetson</t>
        </is>
      </c>
      <c r="N1749" s="156" t="inlineStr">
        <is>
          <t>SS26</t>
        </is>
      </c>
      <c r="O1749" s="156" t="inlineStr">
        <is>
          <t>Seasonal</t>
        </is>
      </c>
      <c r="P1749" s="156" t="inlineStr">
        <is>
          <t>Beige</t>
        </is>
      </c>
      <c r="Q1749" s="156" t="n"/>
      <c r="R1749" s="156" t="inlineStr">
        <is>
          <t>Copa Cattleman</t>
        </is>
      </c>
      <c r="S1749" s="156" t="inlineStr">
        <is>
          <t>100% Fieltro de lana</t>
        </is>
      </c>
      <c r="T1749"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9" s="156" t="inlineStr">
        <is>
          <t>Estados Unidos</t>
        </is>
      </c>
      <c r="V1749" s="156" t="inlineStr">
        <is>
          <t>PZS</t>
        </is>
      </c>
      <c r="W1749" s="51" t="inlineStr">
        <is>
          <t>53102503</t>
        </is>
      </c>
      <c r="X1749" s="156" t="inlineStr">
        <is>
          <t>https://cdn.shopify.com/s/files/1/0888/3250/8267/files/SSELMW-304281-011.jpg?v=1759948545</t>
        </is>
      </c>
      <c r="Y1749" s="54" t="n">
        <v>1338.75</v>
      </c>
      <c r="Z1749" s="54" t="n">
        <v>3275.862069</v>
      </c>
      <c r="AA1749" s="55">
        <f>IF(AND(A1749="", B1749="", E1749=""), "", IF(AB1749="", "Válido", IF((LEN(AB1749)-LEN(SUBSTITUTE(AB1749,"; ","")))/2+1&gt;(LEN(AB1749)-LEN(SUBSTITUTE(AB1749,"[Aviso]","")))/7, "Con Incidencias", "Válido")))</f>
        <v/>
      </c>
      <c r="AB1749" s="56">
        <f>IF(AND(A1749="", B1749="", E1749=""), "", TEXTJOIN("; ", TRUE, IF(OR(TRIM(A1749&amp;"")="", ISNUMBER(SEARCH("FALTA", A1749))), "UPC faltante/inválido", ""), IF(AND(A1749&lt;&gt;"", IFERROR(_xlfn.XMATCH(A1749,$A$2:$A$2509,0,1)&lt;&gt;_xlfn.XMATCH(A1749,$A$2:$A$2509,0,-1),FALSE)), "Código de barras duplicado", ""), IF(AND(E1749&lt;&gt;"", COUNTIF($E$2:$E$2509, E1749)&gt;1), "SKU duplicado", ""), IF(OR(J1749="", J1749=""), "[Aviso] División no capturada ()", IF(ISNA(MATCH(J1749, Criterios!$A$123:$A$126, 0)), "División no válida", "")), IF(OR(K1749="", K1749=""), "[Aviso] Categoría no capturada ()", IF(ISNA(MATCH(K1749, Criterios!$A$81:$A$120, 0)), "Categoría no válida", IF(AND(J1749&lt;&gt;"", J1749&lt;&gt;"", J1749&lt;&gt;VLOOKUP(K1749, Criterios!$A$81:$B$120, 2, FALSE)), "División no coincide con Categoría", ""))), IF(OR(L1749="", L1749=""), "[Aviso] Género no capturado ()", IF(ISNA(MATCH(L1749, Criterios!$B$123:$B$127, 0)), "Género no válido", "")), IF(OR(N1749="", N1749=""), "[Aviso] Temporada no capturada ()", IF(ISNA(MATCH(N1749, Criterios!$C$123:$C$128, 0)), "Temporada no válida", "")), IF(OR(O1749="", O1749=""), "[Aviso] Ciclo de vida no capturado ()", IF(ISNA(MATCH(O1749, Criterios!$D$123:$D$124, 0)), "Ciclo de vida no válido", ""))))</f>
        <v/>
      </c>
      <c r="AC1749" s="56" t="n"/>
      <c r="AD1749" s="51" t="n">
        <v>-1</v>
      </c>
      <c r="AE1749" s="156" t="n"/>
      <c r="AF1749" s="51" t="n">
        <v>0</v>
      </c>
      <c r="AG1749" s="156" t="inlineStr">
        <is>
          <t>Catálogo existente</t>
        </is>
      </c>
      <c r="AH1749"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749" s="156" t="inlineStr">
        <is>
          <t>Sí</t>
        </is>
      </c>
      <c r="AJ1749" s="156" t="inlineStr">
        <is>
          <t>STETSON AMERICAS (-1)</t>
        </is>
      </c>
      <c r="AK1749" s="155" t="inlineStr">
        <is>
          <t>Criterios: I [Q] | Shopify Stetson: producto 14789224694123 / variante 53350607585643</t>
        </is>
      </c>
      <c r="AL1749" s="58" t="n">
        <v>1338.75</v>
      </c>
      <c r="AM1749" s="58" t="n">
        <v>3275.862069</v>
      </c>
      <c r="AN1749" s="155" t="inlineStr">
        <is>
          <t>Shopify Stetson México</t>
        </is>
      </c>
      <c r="AO1749" s="59" t="n">
        <v>0</v>
      </c>
      <c r="AP1749" s="59" t="n"/>
      <c r="AQ1749" s="59" t="n"/>
      <c r="AR1749" s="155" t="n"/>
    </row>
    <row r="1750">
      <c r="A1750" s="50" t="inlineStr">
        <is>
          <t>884426255431</t>
        </is>
      </c>
      <c r="B1750" s="51" t="inlineStr">
        <is>
          <t>110787</t>
        </is>
      </c>
      <c r="C1750" s="156" t="inlineStr">
        <is>
          <t>Multimarca</t>
        </is>
      </c>
      <c r="D1750" s="156" t="inlineStr">
        <is>
          <t>11-097-0539-6620</t>
        </is>
      </c>
      <c r="E1750" s="156" t="inlineStr">
        <is>
          <t>11-097-0539-6620-L</t>
        </is>
      </c>
      <c r="F1750" s="156" t="inlineStr">
        <is>
          <t>L</t>
        </is>
      </c>
      <c r="G1750" s="156" t="inlineStr">
        <is>
          <t>L</t>
        </is>
      </c>
      <c r="H1750" s="156" t="inlineStr">
        <is>
          <t>Stetson</t>
        </is>
      </c>
      <c r="I1750" s="156" t="inlineStr">
        <is>
          <t>Chamarra Piel Café Oscuro Frente / Canvas Espalda y Mangas</t>
        </is>
      </c>
      <c r="J1750" s="156" t="inlineStr">
        <is>
          <t>Ropa</t>
        </is>
      </c>
      <c r="K1750" s="156" t="inlineStr">
        <is>
          <t>Chamarras</t>
        </is>
      </c>
      <c r="L1750" s="156" t="inlineStr">
        <is>
          <t>Hombre</t>
        </is>
      </c>
      <c r="M1750" s="156" t="inlineStr">
        <is>
          <t>Stetson</t>
        </is>
      </c>
      <c r="N1750" s="156" t="inlineStr">
        <is>
          <t>SS26</t>
        </is>
      </c>
      <c r="O1750" s="156" t="inlineStr">
        <is>
          <t>Seasonal</t>
        </is>
      </c>
      <c r="P1750" s="156" t="inlineStr">
        <is>
          <t>Cafe</t>
        </is>
      </c>
      <c r="Q1750" s="156" t="inlineStr">
        <is>
          <t>Regular</t>
        </is>
      </c>
      <c r="R1750" s="156" t="n"/>
      <c r="S1750" s="156" t="inlineStr">
        <is>
          <t>Cuero</t>
        </is>
      </c>
      <c r="T1750" s="156" t="inlineStr">
        <is>
          <t>Chamarra Piel Café Oscuro Frente / Canvas Espalda y Mangas Regular</t>
        </is>
      </c>
      <c r="U1750" s="156" t="n"/>
      <c r="V1750" s="156" t="inlineStr">
        <is>
          <t>PZS</t>
        </is>
      </c>
      <c r="W1750" s="51" t="inlineStr">
        <is>
          <t>53101802</t>
        </is>
      </c>
      <c r="X1750" s="156" t="n"/>
      <c r="Y1750" s="54" t="n">
        <v>3142.241379</v>
      </c>
      <c r="Z1750" s="54" t="n">
        <v>6982.758621</v>
      </c>
      <c r="AA1750" s="55">
        <f>IF(AND(A1750="", B1750="", E1750=""), "", IF(AB1750="", "Válido", IF((LEN(AB1750)-LEN(SUBSTITUTE(AB1750,"; ","")))/2+1&gt;(LEN(AB1750)-LEN(SUBSTITUTE(AB1750,"[Aviso]","")))/7, "Con Incidencias", "Válido")))</f>
        <v/>
      </c>
      <c r="AB1750" s="56">
        <f>IF(AND(A1750="", B1750="", E1750=""), "", TEXTJOIN("; ", TRUE, IF(OR(TRIM(A1750&amp;"")="", ISNUMBER(SEARCH("FALTA", A1750))), "UPC faltante/inválido", ""), IF(AND(A1750&lt;&gt;"", IFERROR(_xlfn.XMATCH(A1750,$A$2:$A$2509,0,1)&lt;&gt;_xlfn.XMATCH(A1750,$A$2:$A$2509,0,-1),FALSE)), "Código de barras duplicado", ""), IF(AND(E1750&lt;&gt;"", COUNTIF($E$2:$E$2509, E1750)&gt;1), "SKU duplicado", ""), IF(OR(J1750="", J1750=""), "[Aviso] División no capturada ()", IF(ISNA(MATCH(J1750, Criterios!$A$123:$A$126, 0)), "División no válida", "")), IF(OR(K1750="", K1750=""), "[Aviso] Categoría no capturada ()", IF(ISNA(MATCH(K1750, Criterios!$A$81:$A$120, 0)), "Categoría no válida", IF(AND(J1750&lt;&gt;"", J1750&lt;&gt;"", J1750&lt;&gt;VLOOKUP(K1750, Criterios!$A$81:$B$120, 2, FALSE)), "División no coincide con Categoría", ""))), IF(OR(L1750="", L1750=""), "[Aviso] Género no capturado ()", IF(ISNA(MATCH(L1750, Criterios!$B$123:$B$127, 0)), "Género no válido", "")), IF(OR(N1750="", N1750=""), "[Aviso] Temporada no capturada ()", IF(ISNA(MATCH(N1750, Criterios!$C$123:$C$128, 0)), "Temporada no válida", "")), IF(OR(O1750="", O1750=""), "[Aviso] Ciclo de vida no capturado ()", IF(ISNA(MATCH(O1750, Criterios!$D$123:$D$124, 0)), "Ciclo de vida no válido", ""))))</f>
        <v/>
      </c>
      <c r="AC1750" s="56" t="n"/>
      <c r="AD1750" s="51" t="n">
        <v>-1</v>
      </c>
      <c r="AE1750" s="156" t="n"/>
      <c r="AF1750" s="51" t="n">
        <v>0</v>
      </c>
      <c r="AG1750" s="156" t="inlineStr">
        <is>
          <t>Catálogo existente</t>
        </is>
      </c>
      <c r="AH1750" s="156" t="inlineStr">
        <is>
          <t>Stock negativo en sistema: revisar en conteo | Revisión 29/09/2026: Campos sin respaldo: U, X; Auditoría NetSuite 30/09/2026: llenado desde NetSuite [S] | 01/10/2026: complementado desde Shopify Stetson México (match por código de barras): WB Silueta</t>
        </is>
      </c>
      <c r="AI1750" s="156" t="inlineStr">
        <is>
          <t>Sí</t>
        </is>
      </c>
      <c r="AJ1750" s="156" t="inlineStr">
        <is>
          <t>STETSON AMERICAS (-1)</t>
        </is>
      </c>
      <c r="AK1750" s="155" t="inlineStr">
        <is>
          <t>Criterios: J [R]; G1522_Extraccion_Articulos_NetSuite_2026-09-30.xlsx: fila 58602 [S] | Shopify Stetson: producto 15051552686443 / variante 53350589202795 | Odoo: producto 29685 / plantilla 38389</t>
        </is>
      </c>
      <c r="AL1750" s="58" t="n">
        <v>3142.241379</v>
      </c>
      <c r="AM1750" s="58" t="n">
        <v>6982.758621</v>
      </c>
      <c r="AN1750" s="155" t="inlineStr">
        <is>
          <t>Shopify Stetson México | Odoo Universal Unique Brands</t>
        </is>
      </c>
      <c r="AO1750" s="59" t="n">
        <v>1</v>
      </c>
      <c r="AP1750" s="59" t="n"/>
      <c r="AQ1750" s="59" t="n">
        <v>2</v>
      </c>
      <c r="AR1750" s="155" t="inlineStr">
        <is>
          <t>Shopify Stetson México › Stetson Americas: 1 | Odoo Universal Unique Brands › Bodega 25 › Bodega 25/General: 2</t>
        </is>
      </c>
    </row>
    <row r="1751">
      <c r="A1751" s="50" t="inlineStr">
        <is>
          <t>884426255448</t>
        </is>
      </c>
      <c r="B1751" s="51" t="inlineStr">
        <is>
          <t>110788</t>
        </is>
      </c>
      <c r="C1751" s="156" t="inlineStr">
        <is>
          <t>Multimarca</t>
        </is>
      </c>
      <c r="D1751" s="156" t="inlineStr">
        <is>
          <t>11-097-0539-6620</t>
        </is>
      </c>
      <c r="E1751" s="156" t="inlineStr">
        <is>
          <t>11-097-0539-6620-M</t>
        </is>
      </c>
      <c r="F1751" s="156" t="inlineStr">
        <is>
          <t>M</t>
        </is>
      </c>
      <c r="G1751" s="156" t="inlineStr">
        <is>
          <t>M</t>
        </is>
      </c>
      <c r="H1751" s="156" t="inlineStr">
        <is>
          <t>Stetson</t>
        </is>
      </c>
      <c r="I1751" s="156" t="inlineStr">
        <is>
          <t>Chamarra Piel Café Oscuro Frente / Canvas Espalda y Mangas</t>
        </is>
      </c>
      <c r="J1751" s="156" t="inlineStr">
        <is>
          <t>Ropa</t>
        </is>
      </c>
      <c r="K1751" s="156" t="inlineStr">
        <is>
          <t>Chamarras</t>
        </is>
      </c>
      <c r="L1751" s="156" t="inlineStr">
        <is>
          <t>Hombre</t>
        </is>
      </c>
      <c r="M1751" s="156" t="inlineStr">
        <is>
          <t>Stetson</t>
        </is>
      </c>
      <c r="N1751" s="156" t="inlineStr">
        <is>
          <t>SS26</t>
        </is>
      </c>
      <c r="O1751" s="156" t="inlineStr">
        <is>
          <t>Seasonal</t>
        </is>
      </c>
      <c r="P1751" s="156" t="inlineStr">
        <is>
          <t>Cafe</t>
        </is>
      </c>
      <c r="Q1751" s="156" t="inlineStr">
        <is>
          <t>Regular</t>
        </is>
      </c>
      <c r="R1751" s="156" t="n"/>
      <c r="S1751" s="156" t="inlineStr">
        <is>
          <t>Cuero</t>
        </is>
      </c>
      <c r="T1751" s="156" t="inlineStr">
        <is>
          <t>Chamarra Piel Café Oscuro Frente / Canvas Espalda y Mangas Regular</t>
        </is>
      </c>
      <c r="U1751" s="156" t="n"/>
      <c r="V1751" s="156" t="inlineStr">
        <is>
          <t>PZS</t>
        </is>
      </c>
      <c r="W1751" s="51" t="inlineStr">
        <is>
          <t>53101802</t>
        </is>
      </c>
      <c r="X1751" s="156" t="n"/>
      <c r="Y1751" s="54" t="n">
        <v>3142.241379</v>
      </c>
      <c r="Z1751" s="54" t="n">
        <v>6982.758621</v>
      </c>
      <c r="AA1751" s="55">
        <f>IF(AND(A1751="", B1751="", E1751=""), "", IF(AB1751="", "Válido", IF((LEN(AB1751)-LEN(SUBSTITUTE(AB1751,"; ","")))/2+1&gt;(LEN(AB1751)-LEN(SUBSTITUTE(AB1751,"[Aviso]","")))/7, "Con Incidencias", "Válido")))</f>
        <v/>
      </c>
      <c r="AB1751" s="56">
        <f>IF(AND(A1751="", B1751="", E1751=""), "", TEXTJOIN("; ", TRUE, IF(OR(TRIM(A1751&amp;"")="", ISNUMBER(SEARCH("FALTA", A1751))), "UPC faltante/inválido", ""), IF(AND(A1751&lt;&gt;"", IFERROR(_xlfn.XMATCH(A1751,$A$2:$A$2509,0,1)&lt;&gt;_xlfn.XMATCH(A1751,$A$2:$A$2509,0,-1),FALSE)), "Código de barras duplicado", ""), IF(AND(E1751&lt;&gt;"", COUNTIF($E$2:$E$2509, E1751)&gt;1), "SKU duplicado", ""), IF(OR(J1751="", J1751=""), "[Aviso] División no capturada ()", IF(ISNA(MATCH(J1751, Criterios!$A$123:$A$126, 0)), "División no válida", "")), IF(OR(K1751="", K1751=""), "[Aviso] Categoría no capturada ()", IF(ISNA(MATCH(K1751, Criterios!$A$81:$A$120, 0)), "Categoría no válida", IF(AND(J1751&lt;&gt;"", J1751&lt;&gt;"", J1751&lt;&gt;VLOOKUP(K1751, Criterios!$A$81:$B$120, 2, FALSE)), "División no coincide con Categoría", ""))), IF(OR(L1751="", L1751=""), "[Aviso] Género no capturado ()", IF(ISNA(MATCH(L1751, Criterios!$B$123:$B$127, 0)), "Género no válido", "")), IF(OR(N1751="", N1751=""), "[Aviso] Temporada no capturada ()", IF(ISNA(MATCH(N1751, Criterios!$C$123:$C$128, 0)), "Temporada no válida", "")), IF(OR(O1751="", O1751=""), "[Aviso] Ciclo de vida no capturado ()", IF(ISNA(MATCH(O1751, Criterios!$D$123:$D$124, 0)), "Ciclo de vida no válido", ""))))</f>
        <v/>
      </c>
      <c r="AC1751" s="56" t="n"/>
      <c r="AD1751" s="51" t="n">
        <v>-1</v>
      </c>
      <c r="AE1751" s="156" t="n"/>
      <c r="AF1751" s="51" t="n">
        <v>0</v>
      </c>
      <c r="AG1751" s="156" t="inlineStr">
        <is>
          <t>Catálogo existente</t>
        </is>
      </c>
      <c r="AH1751" s="156" t="inlineStr">
        <is>
          <t>Stock negativo en sistema: revisar en conteo | Revisión 29/09/2026: Campos sin respaldo: U, X; Auditoría NetSuite 30/09/2026: llenado desde NetSuite [S] | 01/10/2026: complementado desde Shopify Stetson México (match por código de barras): WB Silueta</t>
        </is>
      </c>
      <c r="AI1751" s="156" t="inlineStr">
        <is>
          <t>Sí</t>
        </is>
      </c>
      <c r="AJ1751" s="156" t="inlineStr">
        <is>
          <t>STETSON AMERICAS (-1)</t>
        </is>
      </c>
      <c r="AK1751" s="155" t="inlineStr">
        <is>
          <t>Criterios: J [R]; G1522_Extraccion_Articulos_NetSuite_2026-09-30.xlsx: fila 58603 [S] | Shopify Stetson: producto 15051552686443 / variante 53350589170027 | Odoo: producto 29684 / plantilla 38388</t>
        </is>
      </c>
      <c r="AL1751" s="58" t="n">
        <v>3142.241379</v>
      </c>
      <c r="AM1751" s="58" t="n">
        <v>6982.758621</v>
      </c>
      <c r="AN1751" s="155" t="inlineStr">
        <is>
          <t>Shopify Stetson México | Odoo Universal Unique Brands</t>
        </is>
      </c>
      <c r="AO1751" s="59" t="n">
        <v>0</v>
      </c>
      <c r="AP1751" s="59" t="n"/>
      <c r="AQ1751" s="59" t="n">
        <v>2</v>
      </c>
      <c r="AR1751" s="155" t="inlineStr">
        <is>
          <t>Odoo Universal Unique Brands › Bodega 25 › Bodega 25/General: 2</t>
        </is>
      </c>
    </row>
    <row r="1752">
      <c r="A1752" s="50" t="inlineStr">
        <is>
          <t>884426255455</t>
        </is>
      </c>
      <c r="B1752" s="51" t="inlineStr">
        <is>
          <t>110789</t>
        </is>
      </c>
      <c r="C1752" s="156" t="inlineStr">
        <is>
          <t>Multimarca</t>
        </is>
      </c>
      <c r="D1752" s="156" t="inlineStr">
        <is>
          <t>11-097-0539-6620</t>
        </is>
      </c>
      <c r="E1752" s="156" t="inlineStr">
        <is>
          <t>11-097-0539-6620-S</t>
        </is>
      </c>
      <c r="F1752" s="156" t="inlineStr">
        <is>
          <t>S</t>
        </is>
      </c>
      <c r="G1752" s="156" t="inlineStr">
        <is>
          <t>S</t>
        </is>
      </c>
      <c r="H1752" s="156" t="inlineStr">
        <is>
          <t>Stetson</t>
        </is>
      </c>
      <c r="I1752" s="156" t="inlineStr">
        <is>
          <t>Chamarra Piel Café Oscuro Frente / Canvas Espalda y Mangas</t>
        </is>
      </c>
      <c r="J1752" s="156" t="inlineStr">
        <is>
          <t>Ropa</t>
        </is>
      </c>
      <c r="K1752" s="156" t="inlineStr">
        <is>
          <t>Chamarras</t>
        </is>
      </c>
      <c r="L1752" s="156" t="inlineStr">
        <is>
          <t>Hombre</t>
        </is>
      </c>
      <c r="M1752" s="156" t="inlineStr">
        <is>
          <t>Stetson</t>
        </is>
      </c>
      <c r="N1752" s="156" t="inlineStr">
        <is>
          <t>SS26</t>
        </is>
      </c>
      <c r="O1752" s="156" t="inlineStr">
        <is>
          <t>Seasonal</t>
        </is>
      </c>
      <c r="P1752" s="156" t="inlineStr">
        <is>
          <t>Cafe</t>
        </is>
      </c>
      <c r="Q1752" s="156" t="inlineStr">
        <is>
          <t>Regular</t>
        </is>
      </c>
      <c r="R1752" s="156" t="n"/>
      <c r="S1752" s="156" t="inlineStr">
        <is>
          <t>Cuero</t>
        </is>
      </c>
      <c r="T1752" s="156" t="inlineStr">
        <is>
          <t>Chamarra Piel Café Oscuro Frente / Canvas Espalda y Mangas Regular</t>
        </is>
      </c>
      <c r="U1752" s="156" t="n"/>
      <c r="V1752" s="156" t="inlineStr">
        <is>
          <t>PZS</t>
        </is>
      </c>
      <c r="W1752" s="51" t="inlineStr">
        <is>
          <t>53101802</t>
        </is>
      </c>
      <c r="X1752" s="156" t="n"/>
      <c r="Y1752" s="54" t="n">
        <v>3142.241379</v>
      </c>
      <c r="Z1752" s="54" t="n">
        <v>6982.758621</v>
      </c>
      <c r="AA1752" s="55">
        <f>IF(AND(A1752="", B1752="", E1752=""), "", IF(AB1752="", "Válido", IF((LEN(AB1752)-LEN(SUBSTITUTE(AB1752,"; ","")))/2+1&gt;(LEN(AB1752)-LEN(SUBSTITUTE(AB1752,"[Aviso]","")))/7, "Con Incidencias", "Válido")))</f>
        <v/>
      </c>
      <c r="AB1752" s="56">
        <f>IF(AND(A1752="", B1752="", E1752=""), "", TEXTJOIN("; ", TRUE, IF(OR(TRIM(A1752&amp;"")="", ISNUMBER(SEARCH("FALTA", A1752))), "UPC faltante/inválido", ""), IF(AND(A1752&lt;&gt;"", IFERROR(_xlfn.XMATCH(A1752,$A$2:$A$2509,0,1)&lt;&gt;_xlfn.XMATCH(A1752,$A$2:$A$2509,0,-1),FALSE)), "Código de barras duplicado", ""), IF(AND(E1752&lt;&gt;"", COUNTIF($E$2:$E$2509, E1752)&gt;1), "SKU duplicado", ""), IF(OR(J1752="", J1752=""), "[Aviso] División no capturada ()", IF(ISNA(MATCH(J1752, Criterios!$A$123:$A$126, 0)), "División no válida", "")), IF(OR(K1752="", K1752=""), "[Aviso] Categoría no capturada ()", IF(ISNA(MATCH(K1752, Criterios!$A$81:$A$120, 0)), "Categoría no válida", IF(AND(J1752&lt;&gt;"", J1752&lt;&gt;"", J1752&lt;&gt;VLOOKUP(K1752, Criterios!$A$81:$B$120, 2, FALSE)), "División no coincide con Categoría", ""))), IF(OR(L1752="", L1752=""), "[Aviso] Género no capturado ()", IF(ISNA(MATCH(L1752, Criterios!$B$123:$B$127, 0)), "Género no válido", "")), IF(OR(N1752="", N1752=""), "[Aviso] Temporada no capturada ()", IF(ISNA(MATCH(N1752, Criterios!$C$123:$C$128, 0)), "Temporada no válida", "")), IF(OR(O1752="", O1752=""), "[Aviso] Ciclo de vida no capturado ()", IF(ISNA(MATCH(O1752, Criterios!$D$123:$D$124, 0)), "Ciclo de vida no válido", ""))))</f>
        <v/>
      </c>
      <c r="AC1752" s="56" t="n"/>
      <c r="AD1752" s="51" t="n">
        <v>0</v>
      </c>
      <c r="AE1752" s="156" t="n"/>
      <c r="AF1752" s="51" t="n">
        <v>0</v>
      </c>
      <c r="AG1752" s="156" t="inlineStr">
        <is>
          <t>Catálogo existente</t>
        </is>
      </c>
      <c r="AH1752" s="156" t="inlineStr">
        <is>
          <t>Revisión 29/09/2026: Campos sin respaldo: U, X; Auditoría NetSuite 30/09/2026: llenado desde NetSuite [S] | 01/10/2026: complementado desde Shopify Stetson México (match por código de barras): WB Silueta</t>
        </is>
      </c>
      <c r="AI1752" s="156" t="inlineStr">
        <is>
          <t>No</t>
        </is>
      </c>
      <c r="AJ1752" s="156" t="n"/>
      <c r="AK1752" s="155" t="inlineStr">
        <is>
          <t>Criterios: J [R]; G1522_Extraccion_Articulos_NetSuite_2026-09-30.xlsx: fila 58604 [S] | Shopify Stetson: producto 15051552686443 / variante 53350589137259 | Odoo: producto 29683 / plantilla 38387</t>
        </is>
      </c>
      <c r="AL1752" s="58" t="n">
        <v>3142.241379</v>
      </c>
      <c r="AM1752" s="58" t="n">
        <v>6982.758621</v>
      </c>
      <c r="AN1752" s="155" t="inlineStr">
        <is>
          <t>Shopify Stetson México | Odoo Universal Unique Brands</t>
        </is>
      </c>
      <c r="AO1752" s="59" t="n">
        <v>1</v>
      </c>
      <c r="AP1752" s="59" t="n"/>
      <c r="AQ1752" s="59" t="n">
        <v>1</v>
      </c>
      <c r="AR1752" s="155" t="inlineStr">
        <is>
          <t>Shopify Stetson México › Stetson Americas: 1 | Odoo Universal Unique Brands › Bodega 25 › Bodega 25/General: 1</t>
        </is>
      </c>
    </row>
    <row r="1753">
      <c r="A1753" s="50" t="inlineStr">
        <is>
          <t>884426255462</t>
        </is>
      </c>
      <c r="B1753" s="51" t="inlineStr">
        <is>
          <t>110790</t>
        </is>
      </c>
      <c r="C1753" s="156" t="inlineStr">
        <is>
          <t>Multimarca</t>
        </is>
      </c>
      <c r="D1753" s="156" t="inlineStr">
        <is>
          <t>11-097-0539-6620</t>
        </is>
      </c>
      <c r="E1753" s="156" t="inlineStr">
        <is>
          <t>11-097-0539-6620-XL</t>
        </is>
      </c>
      <c r="F1753" s="156" t="inlineStr">
        <is>
          <t>XL</t>
        </is>
      </c>
      <c r="G1753" s="156" t="inlineStr">
        <is>
          <t>XL</t>
        </is>
      </c>
      <c r="H1753" s="156" t="inlineStr">
        <is>
          <t>Stetson</t>
        </is>
      </c>
      <c r="I1753" s="156" t="inlineStr">
        <is>
          <t>Chamarra Piel Café Oscuro Frente / Canvas Espalda y Mangas</t>
        </is>
      </c>
      <c r="J1753" s="156" t="inlineStr">
        <is>
          <t>Ropa</t>
        </is>
      </c>
      <c r="K1753" s="156" t="inlineStr">
        <is>
          <t>Chamarras</t>
        </is>
      </c>
      <c r="L1753" s="156" t="inlineStr">
        <is>
          <t>Hombre</t>
        </is>
      </c>
      <c r="M1753" s="156" t="inlineStr">
        <is>
          <t>Stetson</t>
        </is>
      </c>
      <c r="N1753" s="156" t="inlineStr">
        <is>
          <t>SS26</t>
        </is>
      </c>
      <c r="O1753" s="156" t="inlineStr">
        <is>
          <t>Seasonal</t>
        </is>
      </c>
      <c r="P1753" s="156" t="inlineStr">
        <is>
          <t>Cafe</t>
        </is>
      </c>
      <c r="Q1753" s="156" t="inlineStr">
        <is>
          <t>Regular</t>
        </is>
      </c>
      <c r="R1753" s="156" t="n"/>
      <c r="S1753" s="156" t="inlineStr">
        <is>
          <t>Cuero</t>
        </is>
      </c>
      <c r="T1753" s="156" t="inlineStr">
        <is>
          <t>Chamarra Piel Café Oscuro Frente / Canvas Espalda y Mangas Regular</t>
        </is>
      </c>
      <c r="U1753" s="156" t="n"/>
      <c r="V1753" s="156" t="inlineStr">
        <is>
          <t>PZS</t>
        </is>
      </c>
      <c r="W1753" s="51" t="inlineStr">
        <is>
          <t>53101802</t>
        </is>
      </c>
      <c r="X1753" s="156" t="n"/>
      <c r="Y1753" s="54" t="n">
        <v>3142.241379</v>
      </c>
      <c r="Z1753" s="54" t="n">
        <v>6982.758621</v>
      </c>
      <c r="AA1753" s="55">
        <f>IF(AND(A1753="", B1753="", E1753=""), "", IF(AB1753="", "Válido", IF((LEN(AB1753)-LEN(SUBSTITUTE(AB1753,"; ","")))/2+1&gt;(LEN(AB1753)-LEN(SUBSTITUTE(AB1753,"[Aviso]","")))/7, "Con Incidencias", "Válido")))</f>
        <v/>
      </c>
      <c r="AB1753" s="56">
        <f>IF(AND(A1753="", B1753="", E1753=""), "", TEXTJOIN("; ", TRUE, IF(OR(TRIM(A1753&amp;"")="", ISNUMBER(SEARCH("FALTA", A1753))), "UPC faltante/inválido", ""), IF(AND(A1753&lt;&gt;"", IFERROR(_xlfn.XMATCH(A1753,$A$2:$A$2509,0,1)&lt;&gt;_xlfn.XMATCH(A1753,$A$2:$A$2509,0,-1),FALSE)), "Código de barras duplicado", ""), IF(AND(E1753&lt;&gt;"", COUNTIF($E$2:$E$2509, E1753)&gt;1), "SKU duplicado", ""), IF(OR(J1753="", J1753=""), "[Aviso] División no capturada ()", IF(ISNA(MATCH(J1753, Criterios!$A$123:$A$126, 0)), "División no válida", "")), IF(OR(K1753="", K1753=""), "[Aviso] Categoría no capturada ()", IF(ISNA(MATCH(K1753, Criterios!$A$81:$A$120, 0)), "Categoría no válida", IF(AND(J1753&lt;&gt;"", J1753&lt;&gt;"", J1753&lt;&gt;VLOOKUP(K1753, Criterios!$A$81:$B$120, 2, FALSE)), "División no coincide con Categoría", ""))), IF(OR(L1753="", L1753=""), "[Aviso] Género no capturado ()", IF(ISNA(MATCH(L1753, Criterios!$B$123:$B$127, 0)), "Género no válido", "")), IF(OR(N1753="", N1753=""), "[Aviso] Temporada no capturada ()", IF(ISNA(MATCH(N1753, Criterios!$C$123:$C$128, 0)), "Temporada no válida", "")), IF(OR(O1753="", O1753=""), "[Aviso] Ciclo de vida no capturado ()", IF(ISNA(MATCH(O1753, Criterios!$D$123:$D$124, 0)), "Ciclo de vida no válido", ""))))</f>
        <v/>
      </c>
      <c r="AC1753" s="56" t="n"/>
      <c r="AD1753" s="51" t="n">
        <v>-1</v>
      </c>
      <c r="AE1753" s="156" t="n"/>
      <c r="AF1753" s="51" t="n">
        <v>0</v>
      </c>
      <c r="AG1753" s="156" t="inlineStr">
        <is>
          <t>Catálogo existente</t>
        </is>
      </c>
      <c r="AH1753" s="156" t="inlineStr">
        <is>
          <t>Stock negativo en sistema: revisar en conteo | Revisión 29/09/2026: Campos sin respaldo: U, X; Auditoría NetSuite 30/09/2026: llenado desde NetSuite [S] | 01/10/2026: complementado desde Shopify Stetson México (match por código de barras): WB Silueta</t>
        </is>
      </c>
      <c r="AI1753" s="156" t="inlineStr">
        <is>
          <t>Sí</t>
        </is>
      </c>
      <c r="AJ1753" s="156" t="inlineStr">
        <is>
          <t>STETSON AMERICAS (-1)</t>
        </is>
      </c>
      <c r="AK1753" s="155" t="inlineStr">
        <is>
          <t>Criterios: J [R]; G1522_Extraccion_Articulos_NetSuite_2026-09-30.xlsx: fila 58605 [S] | Shopify Stetson: producto 15051552686443 / variante 53350589235563 | Odoo: producto 29686 / plantilla 38390</t>
        </is>
      </c>
      <c r="AL1753" s="58" t="n">
        <v>3142.241379</v>
      </c>
      <c r="AM1753" s="58" t="n">
        <v>6982.758621</v>
      </c>
      <c r="AN1753" s="155" t="inlineStr">
        <is>
          <t>Shopify Stetson México | Odoo Universal Unique Brands</t>
        </is>
      </c>
      <c r="AO1753" s="59" t="n">
        <v>0</v>
      </c>
      <c r="AP1753" s="59" t="n"/>
      <c r="AQ1753" s="59" t="n">
        <v>1</v>
      </c>
      <c r="AR1753" s="155" t="inlineStr">
        <is>
          <t>Odoo Universal Unique Brands › Bodega 25 › Bodega 25/General: 1</t>
        </is>
      </c>
    </row>
    <row r="1754">
      <c r="A1754" s="50" t="inlineStr">
        <is>
          <t>884426264846</t>
        </is>
      </c>
      <c r="B1754" s="51" t="inlineStr">
        <is>
          <t>109600</t>
        </is>
      </c>
      <c r="C1754" s="156" t="inlineStr">
        <is>
          <t>Multimarca</t>
        </is>
      </c>
      <c r="D1754" s="156" t="inlineStr">
        <is>
          <t>11-001-0489-1022</t>
        </is>
      </c>
      <c r="E1754" s="156" t="inlineStr">
        <is>
          <t>11-001-0489-1022-L</t>
        </is>
      </c>
      <c r="F1754" s="156" t="inlineStr">
        <is>
          <t>L</t>
        </is>
      </c>
      <c r="G1754" s="156" t="inlineStr">
        <is>
          <t>L</t>
        </is>
      </c>
      <c r="H1754" s="156" t="inlineStr">
        <is>
          <t>Stetson</t>
        </is>
      </c>
      <c r="I1754" s="156" t="inlineStr">
        <is>
          <t>Camisa Logo Stetson Negro</t>
        </is>
      </c>
      <c r="J1754" s="156" t="inlineStr">
        <is>
          <t>Ropa</t>
        </is>
      </c>
      <c r="K1754" s="156" t="inlineStr">
        <is>
          <t>Camisas</t>
        </is>
      </c>
      <c r="L1754" s="156" t="inlineStr">
        <is>
          <t>Hombre</t>
        </is>
      </c>
      <c r="M1754" s="156" t="inlineStr">
        <is>
          <t>Stetson</t>
        </is>
      </c>
      <c r="N1754" s="156" t="inlineStr">
        <is>
          <t>SS26</t>
        </is>
      </c>
      <c r="O1754" s="156" t="inlineStr">
        <is>
          <t>Seasonal</t>
        </is>
      </c>
      <c r="P1754" s="156" t="inlineStr">
        <is>
          <t>Negro</t>
        </is>
      </c>
      <c r="Q1754" s="156" t="inlineStr">
        <is>
          <t>Regular</t>
        </is>
      </c>
      <c r="R1754" s="156" t="n"/>
      <c r="S1754" s="156" t="inlineStr">
        <is>
          <t>100% Algodón</t>
        </is>
      </c>
      <c r="T1754"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4" s="156" t="n"/>
      <c r="V1754" s="156" t="inlineStr">
        <is>
          <t>PZS</t>
        </is>
      </c>
      <c r="W1754" s="51" t="inlineStr">
        <is>
          <t>53101600</t>
        </is>
      </c>
      <c r="X1754" s="156" t="inlineStr">
        <is>
          <t>https://cdn.shopify.com/s/files/1/0888/3250/8267/files/ST-TI-003-OR-03_095d7761-bdc2-491d-8e73-cbdea8dc6fa8.jpg?v=1764612621</t>
        </is>
      </c>
      <c r="Y1754" s="54" t="n">
        <v>737.0689655</v>
      </c>
      <c r="Z1754" s="54" t="n">
        <v>1637.931034</v>
      </c>
      <c r="AA1754" s="55">
        <f>IF(AND(A1754="", B1754="", E1754=""), "", IF(AB1754="", "Válido", IF((LEN(AB1754)-LEN(SUBSTITUTE(AB1754,"; ","")))/2+1&gt;(LEN(AB1754)-LEN(SUBSTITUTE(AB1754,"[Aviso]","")))/7, "Con Incidencias", "Válido")))</f>
        <v/>
      </c>
      <c r="AB1754" s="56">
        <f>IF(AND(A1754="", B1754="", E1754=""), "", TEXTJOIN("; ", TRUE, IF(OR(TRIM(A1754&amp;"")="", ISNUMBER(SEARCH("FALTA", A1754))), "UPC faltante/inválido", ""), IF(AND(A1754&lt;&gt;"", IFERROR(_xlfn.XMATCH(A1754,$A$2:$A$2509,0,1)&lt;&gt;_xlfn.XMATCH(A1754,$A$2:$A$2509,0,-1),FALSE)), "Código de barras duplicado", ""), IF(AND(E1754&lt;&gt;"", COUNTIF($E$2:$E$2509, E1754)&gt;1), "SKU duplicado", ""), IF(OR(J1754="", J1754=""), "[Aviso] División no capturada ()", IF(ISNA(MATCH(J1754, Criterios!$A$123:$A$126, 0)), "División no válida", "")), IF(OR(K1754="", K1754=""), "[Aviso] Categoría no capturada ()", IF(ISNA(MATCH(K1754, Criterios!$A$81:$A$120, 0)), "Categoría no válida", IF(AND(J1754&lt;&gt;"", J1754&lt;&gt;"", J1754&lt;&gt;VLOOKUP(K1754, Criterios!$A$81:$B$120, 2, FALSE)), "División no coincide con Categoría", ""))), IF(OR(L1754="", L1754=""), "[Aviso] Género no capturado ()", IF(ISNA(MATCH(L1754, Criterios!$B$123:$B$127, 0)), "Género no válido", "")), IF(OR(N1754="", N1754=""), "[Aviso] Temporada no capturada ()", IF(ISNA(MATCH(N1754, Criterios!$C$123:$C$128, 0)), "Temporada no válida", "")), IF(OR(O1754="", O1754=""), "[Aviso] Ciclo de vida no capturado ()", IF(ISNA(MATCH(O1754, Criterios!$D$123:$D$124, 0)), "Ciclo de vida no válido", ""))))</f>
        <v/>
      </c>
      <c r="AC1754" s="56" t="n"/>
      <c r="AD1754" s="51" t="n">
        <v>0</v>
      </c>
      <c r="AE1754" s="156" t="n"/>
      <c r="AF1754" s="51" t="n">
        <v>0</v>
      </c>
      <c r="AG1754" s="156" t="inlineStr">
        <is>
          <t>Catálogo existente</t>
        </is>
      </c>
      <c r="AH175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4" s="156" t="inlineStr">
        <is>
          <t>No</t>
        </is>
      </c>
      <c r="AJ1754" s="156" t="n"/>
      <c r="AK1754" s="155" t="inlineStr">
        <is>
          <t>Criterios: J [R]; G1522_Extraccion_Articulos_NetSuite_2026-09-30.xlsx: fila 57415 [S] | Shopify Stetson: producto 14695102251371 / variante 53350616236395</t>
        </is>
      </c>
      <c r="AL1754" s="58" t="n">
        <v>737.0689655</v>
      </c>
      <c r="AM1754" s="58" t="n">
        <v>1637.931034</v>
      </c>
      <c r="AN1754" s="155" t="inlineStr">
        <is>
          <t>Shopify Stetson México</t>
        </is>
      </c>
      <c r="AO1754" s="59" t="n">
        <v>0</v>
      </c>
      <c r="AP1754" s="59" t="n"/>
      <c r="AQ1754" s="59" t="n"/>
      <c r="AR1754" s="155" t="n"/>
    </row>
    <row r="1755">
      <c r="A1755" s="50" t="inlineStr">
        <is>
          <t>884426264853</t>
        </is>
      </c>
      <c r="B1755" s="51" t="inlineStr">
        <is>
          <t>109601</t>
        </is>
      </c>
      <c r="C1755" s="156" t="inlineStr">
        <is>
          <t>Multimarca</t>
        </is>
      </c>
      <c r="D1755" s="156" t="inlineStr">
        <is>
          <t>11-001-0489-1022</t>
        </is>
      </c>
      <c r="E1755" s="156" t="inlineStr">
        <is>
          <t>11-001-0489-1022-M</t>
        </is>
      </c>
      <c r="F1755" s="156" t="inlineStr">
        <is>
          <t>M</t>
        </is>
      </c>
      <c r="G1755" s="156" t="inlineStr">
        <is>
          <t>M</t>
        </is>
      </c>
      <c r="H1755" s="156" t="inlineStr">
        <is>
          <t>Stetson</t>
        </is>
      </c>
      <c r="I1755" s="156" t="inlineStr">
        <is>
          <t>Camisa Logo Stetson Negro</t>
        </is>
      </c>
      <c r="J1755" s="156" t="inlineStr">
        <is>
          <t>Ropa</t>
        </is>
      </c>
      <c r="K1755" s="156" t="inlineStr">
        <is>
          <t>Camisas</t>
        </is>
      </c>
      <c r="L1755" s="156" t="inlineStr">
        <is>
          <t>Hombre</t>
        </is>
      </c>
      <c r="M1755" s="156" t="inlineStr">
        <is>
          <t>Stetson</t>
        </is>
      </c>
      <c r="N1755" s="156" t="inlineStr">
        <is>
          <t>SS26</t>
        </is>
      </c>
      <c r="O1755" s="156" t="inlineStr">
        <is>
          <t>Seasonal</t>
        </is>
      </c>
      <c r="P1755" s="156" t="inlineStr">
        <is>
          <t>Negro</t>
        </is>
      </c>
      <c r="Q1755" s="156" t="inlineStr">
        <is>
          <t>Regular</t>
        </is>
      </c>
      <c r="R1755" s="156" t="n"/>
      <c r="S1755" s="156" t="inlineStr">
        <is>
          <t>100% Algodón</t>
        </is>
      </c>
      <c r="T1755"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5" s="156" t="n"/>
      <c r="V1755" s="156" t="inlineStr">
        <is>
          <t>PZS</t>
        </is>
      </c>
      <c r="W1755" s="51" t="inlineStr">
        <is>
          <t>53101600</t>
        </is>
      </c>
      <c r="X1755" s="156" t="inlineStr">
        <is>
          <t>https://cdn.shopify.com/s/files/1/0888/3250/8267/files/ST-TI-003-OR-02_df214838-e8ae-4479-a537-1bbc350b3aa6.jpg?v=1764612614</t>
        </is>
      </c>
      <c r="Y1755" s="54" t="n">
        <v>737.0689655</v>
      </c>
      <c r="Z1755" s="54" t="n">
        <v>1637.931034</v>
      </c>
      <c r="AA1755" s="55">
        <f>IF(AND(A1755="", B1755="", E1755=""), "", IF(AB1755="", "Válido", IF((LEN(AB1755)-LEN(SUBSTITUTE(AB1755,"; ","")))/2+1&gt;(LEN(AB1755)-LEN(SUBSTITUTE(AB1755,"[Aviso]","")))/7, "Con Incidencias", "Válido")))</f>
        <v/>
      </c>
      <c r="AB1755" s="56">
        <f>IF(AND(A1755="", B1755="", E1755=""), "", TEXTJOIN("; ", TRUE, IF(OR(TRIM(A1755&amp;"")="", ISNUMBER(SEARCH("FALTA", A1755))), "UPC faltante/inválido", ""), IF(AND(A1755&lt;&gt;"", IFERROR(_xlfn.XMATCH(A1755,$A$2:$A$2509,0,1)&lt;&gt;_xlfn.XMATCH(A1755,$A$2:$A$2509,0,-1),FALSE)), "Código de barras duplicado", ""), IF(AND(E1755&lt;&gt;"", COUNTIF($E$2:$E$2509, E1755)&gt;1), "SKU duplicado", ""), IF(OR(J1755="", J1755=""), "[Aviso] División no capturada ()", IF(ISNA(MATCH(J1755, Criterios!$A$123:$A$126, 0)), "División no válida", "")), IF(OR(K1755="", K1755=""), "[Aviso] Categoría no capturada ()", IF(ISNA(MATCH(K1755, Criterios!$A$81:$A$120, 0)), "Categoría no válida", IF(AND(J1755&lt;&gt;"", J1755&lt;&gt;"", J1755&lt;&gt;VLOOKUP(K1755, Criterios!$A$81:$B$120, 2, FALSE)), "División no coincide con Categoría", ""))), IF(OR(L1755="", L1755=""), "[Aviso] Género no capturado ()", IF(ISNA(MATCH(L1755, Criterios!$B$123:$B$127, 0)), "Género no válido", "")), IF(OR(N1755="", N1755=""), "[Aviso] Temporada no capturada ()", IF(ISNA(MATCH(N1755, Criterios!$C$123:$C$128, 0)), "Temporada no válida", "")), IF(OR(O1755="", O1755=""), "[Aviso] Ciclo de vida no capturado ()", IF(ISNA(MATCH(O1755, Criterios!$D$123:$D$124, 0)), "Ciclo de vida no válido", ""))))</f>
        <v/>
      </c>
      <c r="AC1755" s="56" t="n"/>
      <c r="AD1755" s="51" t="n">
        <v>0</v>
      </c>
      <c r="AE1755" s="156" t="n"/>
      <c r="AF1755" s="51" t="n">
        <v>0</v>
      </c>
      <c r="AG1755" s="156" t="inlineStr">
        <is>
          <t>Catálogo existente</t>
        </is>
      </c>
      <c r="AH175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5" s="156" t="inlineStr">
        <is>
          <t>No</t>
        </is>
      </c>
      <c r="AJ1755" s="156" t="n"/>
      <c r="AK1755" s="155" t="inlineStr">
        <is>
          <t>Criterios: J [R]; G1522_Extraccion_Articulos_NetSuite_2026-09-30.xlsx: fila 57416 [S] | Shopify Stetson: producto 14695102251371 / variante 53350616203627</t>
        </is>
      </c>
      <c r="AL1755" s="58" t="n">
        <v>737.0689655</v>
      </c>
      <c r="AM1755" s="58" t="n">
        <v>1637.931034</v>
      </c>
      <c r="AN1755" s="155" t="inlineStr">
        <is>
          <t>Shopify Stetson México</t>
        </is>
      </c>
      <c r="AO1755" s="59" t="n">
        <v>0</v>
      </c>
      <c r="AP1755" s="59" t="n"/>
      <c r="AQ1755" s="59" t="n"/>
      <c r="AR1755" s="155" t="n"/>
    </row>
    <row r="1756">
      <c r="A1756" s="50" t="inlineStr">
        <is>
          <t>884426264860</t>
        </is>
      </c>
      <c r="B1756" s="51" t="inlineStr">
        <is>
          <t>109602</t>
        </is>
      </c>
      <c r="C1756" s="156" t="inlineStr">
        <is>
          <t>Multimarca</t>
        </is>
      </c>
      <c r="D1756" s="156" t="inlineStr">
        <is>
          <t>11-001-0489-1022</t>
        </is>
      </c>
      <c r="E1756" s="156" t="inlineStr">
        <is>
          <t>11-001-0489-1022-S</t>
        </is>
      </c>
      <c r="F1756" s="156" t="inlineStr">
        <is>
          <t>S</t>
        </is>
      </c>
      <c r="G1756" s="156" t="inlineStr">
        <is>
          <t>S</t>
        </is>
      </c>
      <c r="H1756" s="156" t="inlineStr">
        <is>
          <t>Stetson</t>
        </is>
      </c>
      <c r="I1756" s="156" t="inlineStr">
        <is>
          <t>Camisa Logo Stetson Negro</t>
        </is>
      </c>
      <c r="J1756" s="156" t="inlineStr">
        <is>
          <t>Ropa</t>
        </is>
      </c>
      <c r="K1756" s="156" t="inlineStr">
        <is>
          <t>Camisas</t>
        </is>
      </c>
      <c r="L1756" s="156" t="inlineStr">
        <is>
          <t>Hombre</t>
        </is>
      </c>
      <c r="M1756" s="156" t="inlineStr">
        <is>
          <t>Stetson</t>
        </is>
      </c>
      <c r="N1756" s="156" t="inlineStr">
        <is>
          <t>SS26</t>
        </is>
      </c>
      <c r="O1756" s="156" t="inlineStr">
        <is>
          <t>Seasonal</t>
        </is>
      </c>
      <c r="P1756" s="156" t="inlineStr">
        <is>
          <t>Negro</t>
        </is>
      </c>
      <c r="Q1756" s="156" t="inlineStr">
        <is>
          <t>Regular</t>
        </is>
      </c>
      <c r="R1756" s="156" t="n"/>
      <c r="S1756" s="156" t="inlineStr">
        <is>
          <t>100% Algodón</t>
        </is>
      </c>
      <c r="T1756"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6" s="156" t="n"/>
      <c r="V1756" s="156" t="inlineStr">
        <is>
          <t>PZS</t>
        </is>
      </c>
      <c r="W1756" s="51" t="inlineStr">
        <is>
          <t>53101600</t>
        </is>
      </c>
      <c r="X1756" s="156" t="inlineStr">
        <is>
          <t>https://cdn.shopify.com/s/files/1/0888/3250/8267/files/ST-TI-003-OR-01_3360074b-6381-41f7-9af5-88b7f04ea2c6.jpg?v=1764612605</t>
        </is>
      </c>
      <c r="Y1756" s="54" t="n">
        <v>737.0689655</v>
      </c>
      <c r="Z1756" s="54" t="n">
        <v>1637.931034</v>
      </c>
      <c r="AA1756" s="55">
        <f>IF(AND(A1756="", B1756="", E1756=""), "", IF(AB1756="", "Válido", IF((LEN(AB1756)-LEN(SUBSTITUTE(AB1756,"; ","")))/2+1&gt;(LEN(AB1756)-LEN(SUBSTITUTE(AB1756,"[Aviso]","")))/7, "Con Incidencias", "Válido")))</f>
        <v/>
      </c>
      <c r="AB1756" s="56">
        <f>IF(AND(A1756="", B1756="", E1756=""), "", TEXTJOIN("; ", TRUE, IF(OR(TRIM(A1756&amp;"")="", ISNUMBER(SEARCH("FALTA", A1756))), "UPC faltante/inválido", ""), IF(AND(A1756&lt;&gt;"", IFERROR(_xlfn.XMATCH(A1756,$A$2:$A$2509,0,1)&lt;&gt;_xlfn.XMATCH(A1756,$A$2:$A$2509,0,-1),FALSE)), "Código de barras duplicado", ""), IF(AND(E1756&lt;&gt;"", COUNTIF($E$2:$E$2509, E1756)&gt;1), "SKU duplicado", ""), IF(OR(J1756="", J1756=""), "[Aviso] División no capturada ()", IF(ISNA(MATCH(J1756, Criterios!$A$123:$A$126, 0)), "División no válida", "")), IF(OR(K1756="", K1756=""), "[Aviso] Categoría no capturada ()", IF(ISNA(MATCH(K1756, Criterios!$A$81:$A$120, 0)), "Categoría no válida", IF(AND(J1756&lt;&gt;"", J1756&lt;&gt;"", J1756&lt;&gt;VLOOKUP(K1756, Criterios!$A$81:$B$120, 2, FALSE)), "División no coincide con Categoría", ""))), IF(OR(L1756="", L1756=""), "[Aviso] Género no capturado ()", IF(ISNA(MATCH(L1756, Criterios!$B$123:$B$127, 0)), "Género no válido", "")), IF(OR(N1756="", N1756=""), "[Aviso] Temporada no capturada ()", IF(ISNA(MATCH(N1756, Criterios!$C$123:$C$128, 0)), "Temporada no válida", "")), IF(OR(O1756="", O1756=""), "[Aviso] Ciclo de vida no capturado ()", IF(ISNA(MATCH(O1756, Criterios!$D$123:$D$124, 0)), "Ciclo de vida no válido", ""))))</f>
        <v/>
      </c>
      <c r="AC1756" s="56" t="n"/>
      <c r="AD1756" s="51" t="n">
        <v>0</v>
      </c>
      <c r="AE1756" s="156" t="n"/>
      <c r="AF1756" s="51" t="n">
        <v>0</v>
      </c>
      <c r="AG1756" s="156" t="inlineStr">
        <is>
          <t>Catálogo existente</t>
        </is>
      </c>
      <c r="AH175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6" s="156" t="inlineStr">
        <is>
          <t>No</t>
        </is>
      </c>
      <c r="AJ1756" s="156" t="n"/>
      <c r="AK1756" s="155" t="inlineStr">
        <is>
          <t>Criterios: J [R]; G1522_Extraccion_Articulos_NetSuite_2026-09-30.xlsx: fila 57417 [S] | Shopify Stetson: producto 14695102251371 / variante 53350616170859</t>
        </is>
      </c>
      <c r="AL1756" s="58" t="n">
        <v>737.0689655</v>
      </c>
      <c r="AM1756" s="58" t="n">
        <v>1637.931034</v>
      </c>
      <c r="AN1756" s="155" t="inlineStr">
        <is>
          <t>Shopify Stetson México</t>
        </is>
      </c>
      <c r="AO1756" s="59" t="n">
        <v>0</v>
      </c>
      <c r="AP1756" s="59" t="n"/>
      <c r="AQ1756" s="59" t="n"/>
      <c r="AR1756" s="155" t="n"/>
    </row>
    <row r="1757">
      <c r="A1757" s="50" t="inlineStr">
        <is>
          <t>884426264877</t>
        </is>
      </c>
      <c r="B1757" s="51" t="inlineStr">
        <is>
          <t>109603</t>
        </is>
      </c>
      <c r="C1757" s="156" t="inlineStr">
        <is>
          <t>Multimarca</t>
        </is>
      </c>
      <c r="D1757" s="156" t="inlineStr">
        <is>
          <t>11-001-0489-1022</t>
        </is>
      </c>
      <c r="E1757" s="156" t="inlineStr">
        <is>
          <t>11-001-0489-1022-XL</t>
        </is>
      </c>
      <c r="F1757" s="156" t="inlineStr">
        <is>
          <t>XL</t>
        </is>
      </c>
      <c r="G1757" s="156" t="inlineStr">
        <is>
          <t>XL</t>
        </is>
      </c>
      <c r="H1757" s="156" t="inlineStr">
        <is>
          <t>Stetson</t>
        </is>
      </c>
      <c r="I1757" s="156" t="inlineStr">
        <is>
          <t>Camisa Logo Stetson Negro</t>
        </is>
      </c>
      <c r="J1757" s="156" t="inlineStr">
        <is>
          <t>Ropa</t>
        </is>
      </c>
      <c r="K1757" s="156" t="inlineStr">
        <is>
          <t>Camisas</t>
        </is>
      </c>
      <c r="L1757" s="156" t="inlineStr">
        <is>
          <t>Hombre</t>
        </is>
      </c>
      <c r="M1757" s="156" t="inlineStr">
        <is>
          <t>Stetson</t>
        </is>
      </c>
      <c r="N1757" s="156" t="inlineStr">
        <is>
          <t>SS26</t>
        </is>
      </c>
      <c r="O1757" s="156" t="inlineStr">
        <is>
          <t>Seasonal</t>
        </is>
      </c>
      <c r="P1757" s="156" t="inlineStr">
        <is>
          <t>Negro</t>
        </is>
      </c>
      <c r="Q1757" s="156" t="inlineStr">
        <is>
          <t>Regular</t>
        </is>
      </c>
      <c r="R1757" s="156" t="n"/>
      <c r="S1757" s="156" t="inlineStr">
        <is>
          <t>100% Algodón</t>
        </is>
      </c>
      <c r="T1757"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7" s="156" t="n"/>
      <c r="V1757" s="156" t="inlineStr">
        <is>
          <t>PZS</t>
        </is>
      </c>
      <c r="W1757" s="51" t="inlineStr">
        <is>
          <t>53101600</t>
        </is>
      </c>
      <c r="X1757" s="156" t="inlineStr">
        <is>
          <t>https://cdn.shopify.com/s/files/1/0888/3250/8267/files/ST-TI-003-OR-01_3360074b-6381-41f7-9af5-88b7f04ea2c6.jpg?v=1764612605</t>
        </is>
      </c>
      <c r="Y1757" s="54" t="n">
        <v>737.0689655</v>
      </c>
      <c r="Z1757" s="54" t="n">
        <v>1637.931034</v>
      </c>
      <c r="AA1757" s="55">
        <f>IF(AND(A1757="", B1757="", E1757=""), "", IF(AB1757="", "Válido", IF((LEN(AB1757)-LEN(SUBSTITUTE(AB1757,"; ","")))/2+1&gt;(LEN(AB1757)-LEN(SUBSTITUTE(AB1757,"[Aviso]","")))/7, "Con Incidencias", "Válido")))</f>
        <v/>
      </c>
      <c r="AB1757" s="56">
        <f>IF(AND(A1757="", B1757="", E1757=""), "", TEXTJOIN("; ", TRUE, IF(OR(TRIM(A1757&amp;"")="", ISNUMBER(SEARCH("FALTA", A1757))), "UPC faltante/inválido", ""), IF(AND(A1757&lt;&gt;"", IFERROR(_xlfn.XMATCH(A1757,$A$2:$A$2509,0,1)&lt;&gt;_xlfn.XMATCH(A1757,$A$2:$A$2509,0,-1),FALSE)), "Código de barras duplicado", ""), IF(AND(E1757&lt;&gt;"", COUNTIF($E$2:$E$2509, E1757)&gt;1), "SKU duplicado", ""), IF(OR(J1757="", J1757=""), "[Aviso] División no capturada ()", IF(ISNA(MATCH(J1757, Criterios!$A$123:$A$126, 0)), "División no válida", "")), IF(OR(K1757="", K1757=""), "[Aviso] Categoría no capturada ()", IF(ISNA(MATCH(K1757, Criterios!$A$81:$A$120, 0)), "Categoría no válida", IF(AND(J1757&lt;&gt;"", J1757&lt;&gt;"", J1757&lt;&gt;VLOOKUP(K1757, Criterios!$A$81:$B$120, 2, FALSE)), "División no coincide con Categoría", ""))), IF(OR(L1757="", L1757=""), "[Aviso] Género no capturado ()", IF(ISNA(MATCH(L1757, Criterios!$B$123:$B$127, 0)), "Género no válido", "")), IF(OR(N1757="", N1757=""), "[Aviso] Temporada no capturada ()", IF(ISNA(MATCH(N1757, Criterios!$C$123:$C$128, 0)), "Temporada no válida", "")), IF(OR(O1757="", O1757=""), "[Aviso] Ciclo de vida no capturado ()", IF(ISNA(MATCH(O1757, Criterios!$D$123:$D$124, 0)), "Ciclo de vida no válido", ""))))</f>
        <v/>
      </c>
      <c r="AC1757" s="56" t="n"/>
      <c r="AD1757" s="51" t="n">
        <v>0</v>
      </c>
      <c r="AE1757" s="156" t="n"/>
      <c r="AF1757" s="51" t="n">
        <v>0</v>
      </c>
      <c r="AG1757" s="156" t="inlineStr">
        <is>
          <t>Catálogo existente</t>
        </is>
      </c>
      <c r="AH175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7" s="156" t="inlineStr">
        <is>
          <t>No</t>
        </is>
      </c>
      <c r="AJ1757" s="156" t="n"/>
      <c r="AK1757" s="155" t="inlineStr">
        <is>
          <t>Criterios: J [R]; G1522_Extraccion_Articulos_NetSuite_2026-09-30.xlsx: fila 57418 [S] | Shopify Stetson: producto 14695102251371 / variante 53350616269163</t>
        </is>
      </c>
      <c r="AL1757" s="58" t="n">
        <v>737.0689655</v>
      </c>
      <c r="AM1757" s="58" t="n">
        <v>1637.931034</v>
      </c>
      <c r="AN1757" s="155" t="inlineStr">
        <is>
          <t>Shopify Stetson México</t>
        </is>
      </c>
      <c r="AO1757" s="59" t="n">
        <v>0</v>
      </c>
      <c r="AP1757" s="59" t="n"/>
      <c r="AQ1757" s="59" t="n"/>
      <c r="AR1757" s="155" t="n"/>
    </row>
    <row r="1758">
      <c r="A1758" s="50" t="inlineStr">
        <is>
          <t>884426264884</t>
        </is>
      </c>
      <c r="B1758" s="51" t="inlineStr">
        <is>
          <t>109604</t>
        </is>
      </c>
      <c r="C1758" s="156" t="inlineStr">
        <is>
          <t>Multimarca</t>
        </is>
      </c>
      <c r="D1758" s="156" t="inlineStr">
        <is>
          <t>11-001-0489-1022</t>
        </is>
      </c>
      <c r="E1758" s="156" t="inlineStr">
        <is>
          <t>11-001-0489-1022-XXL</t>
        </is>
      </c>
      <c r="F1758" s="156" t="inlineStr">
        <is>
          <t>XXL</t>
        </is>
      </c>
      <c r="G1758" s="156" t="inlineStr">
        <is>
          <t>XXL</t>
        </is>
      </c>
      <c r="H1758" s="156" t="inlineStr">
        <is>
          <t>Stetson</t>
        </is>
      </c>
      <c r="I1758" s="156" t="inlineStr">
        <is>
          <t>Camisa Logo Stetson Negro</t>
        </is>
      </c>
      <c r="J1758" s="156" t="inlineStr">
        <is>
          <t>Ropa</t>
        </is>
      </c>
      <c r="K1758" s="156" t="inlineStr">
        <is>
          <t>Camisas</t>
        </is>
      </c>
      <c r="L1758" s="156" t="inlineStr">
        <is>
          <t>Hombre</t>
        </is>
      </c>
      <c r="M1758" s="156" t="inlineStr">
        <is>
          <t>Stetson</t>
        </is>
      </c>
      <c r="N1758" s="156" t="inlineStr">
        <is>
          <t>SS26</t>
        </is>
      </c>
      <c r="O1758" s="156" t="inlineStr">
        <is>
          <t>Seasonal</t>
        </is>
      </c>
      <c r="P1758" s="156" t="inlineStr">
        <is>
          <t>Negro</t>
        </is>
      </c>
      <c r="Q1758" s="156" t="inlineStr">
        <is>
          <t>Regular</t>
        </is>
      </c>
      <c r="R1758" s="156" t="n"/>
      <c r="S1758" s="156" t="inlineStr">
        <is>
          <t>100% Algodón</t>
        </is>
      </c>
      <c r="T1758"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8" s="156" t="n"/>
      <c r="V1758" s="156" t="inlineStr">
        <is>
          <t>PZS</t>
        </is>
      </c>
      <c r="W1758" s="51" t="inlineStr">
        <is>
          <t>53101600</t>
        </is>
      </c>
      <c r="X1758" s="156" t="inlineStr">
        <is>
          <t>https://cdn.shopify.com/s/files/1/0888/3250/8267/files/ST-TI-003-OR-01_3360074b-6381-41f7-9af5-88b7f04ea2c6.jpg?v=1764612605</t>
        </is>
      </c>
      <c r="Y1758" s="54" t="n">
        <v>737.0689655</v>
      </c>
      <c r="Z1758" s="54" t="n">
        <v>1637.931034</v>
      </c>
      <c r="AA1758" s="55">
        <f>IF(AND(A1758="", B1758="", E1758=""), "", IF(AB1758="", "Válido", IF((LEN(AB1758)-LEN(SUBSTITUTE(AB1758,"; ","")))/2+1&gt;(LEN(AB1758)-LEN(SUBSTITUTE(AB1758,"[Aviso]","")))/7, "Con Incidencias", "Válido")))</f>
        <v/>
      </c>
      <c r="AB1758" s="56">
        <f>IF(AND(A1758="", B1758="", E1758=""), "", TEXTJOIN("; ", TRUE, IF(OR(TRIM(A1758&amp;"")="", ISNUMBER(SEARCH("FALTA", A1758))), "UPC faltante/inválido", ""), IF(AND(A1758&lt;&gt;"", IFERROR(_xlfn.XMATCH(A1758,$A$2:$A$2509,0,1)&lt;&gt;_xlfn.XMATCH(A1758,$A$2:$A$2509,0,-1),FALSE)), "Código de barras duplicado", ""), IF(AND(E1758&lt;&gt;"", COUNTIF($E$2:$E$2509, E1758)&gt;1), "SKU duplicado", ""), IF(OR(J1758="", J1758=""), "[Aviso] División no capturada ()", IF(ISNA(MATCH(J1758, Criterios!$A$123:$A$126, 0)), "División no válida", "")), IF(OR(K1758="", K1758=""), "[Aviso] Categoría no capturada ()", IF(ISNA(MATCH(K1758, Criterios!$A$81:$A$120, 0)), "Categoría no válida", IF(AND(J1758&lt;&gt;"", J1758&lt;&gt;"", J1758&lt;&gt;VLOOKUP(K1758, Criterios!$A$81:$B$120, 2, FALSE)), "División no coincide con Categoría", ""))), IF(OR(L1758="", L1758=""), "[Aviso] Género no capturado ()", IF(ISNA(MATCH(L1758, Criterios!$B$123:$B$127, 0)), "Género no válido", "")), IF(OR(N1758="", N1758=""), "[Aviso] Temporada no capturada ()", IF(ISNA(MATCH(N1758, Criterios!$C$123:$C$128, 0)), "Temporada no válida", "")), IF(OR(O1758="", O1758=""), "[Aviso] Ciclo de vida no capturado ()", IF(ISNA(MATCH(O1758, Criterios!$D$123:$D$124, 0)), "Ciclo de vida no válido", ""))))</f>
        <v/>
      </c>
      <c r="AC1758" s="56" t="n"/>
      <c r="AD1758" s="51" t="n">
        <v>0</v>
      </c>
      <c r="AE1758" s="156" t="n"/>
      <c r="AF1758" s="51" t="n">
        <v>0</v>
      </c>
      <c r="AG1758" s="156" t="inlineStr">
        <is>
          <t>Catálogo existente</t>
        </is>
      </c>
      <c r="AH175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8" s="156" t="inlineStr">
        <is>
          <t>No</t>
        </is>
      </c>
      <c r="AJ1758" s="156" t="n"/>
      <c r="AK1758" s="155" t="inlineStr">
        <is>
          <t>Criterios: J [R]; G1522_Extraccion_Articulos_NetSuite_2026-09-30.xlsx: fila 57419 [S] | Shopify Stetson: producto 14695102251371 / variante 53350616301931</t>
        </is>
      </c>
      <c r="AL1758" s="58" t="n">
        <v>737.0689655</v>
      </c>
      <c r="AM1758" s="58" t="n">
        <v>1637.931034</v>
      </c>
      <c r="AN1758" s="155" t="inlineStr">
        <is>
          <t>Shopify Stetson México</t>
        </is>
      </c>
      <c r="AO1758" s="59" t="n">
        <v>0</v>
      </c>
      <c r="AP1758" s="59" t="n"/>
      <c r="AQ1758" s="59" t="n"/>
      <c r="AR1758" s="155" t="n"/>
    </row>
    <row r="1759">
      <c r="A1759" s="50" t="inlineStr">
        <is>
          <t>884426264891</t>
        </is>
      </c>
      <c r="B1759" s="51" t="inlineStr">
        <is>
          <t>109605</t>
        </is>
      </c>
      <c r="C1759" s="156" t="inlineStr">
        <is>
          <t>Multimarca</t>
        </is>
      </c>
      <c r="D1759" s="156" t="inlineStr">
        <is>
          <t>11-001-0489-1022</t>
        </is>
      </c>
      <c r="E1759" s="156" t="inlineStr">
        <is>
          <t>11-001-0489-1022-3XL</t>
        </is>
      </c>
      <c r="F1759" s="156" t="inlineStr">
        <is>
          <t>XXXL</t>
        </is>
      </c>
      <c r="G1759" s="156" t="inlineStr">
        <is>
          <t>XXXL</t>
        </is>
      </c>
      <c r="H1759" s="156" t="inlineStr">
        <is>
          <t>Stetson</t>
        </is>
      </c>
      <c r="I1759" s="156" t="inlineStr">
        <is>
          <t>Camisa Logo Stetson Negro</t>
        </is>
      </c>
      <c r="J1759" s="156" t="inlineStr">
        <is>
          <t>Ropa</t>
        </is>
      </c>
      <c r="K1759" s="156" t="inlineStr">
        <is>
          <t>Camisas</t>
        </is>
      </c>
      <c r="L1759" s="156" t="inlineStr">
        <is>
          <t>Hombre</t>
        </is>
      </c>
      <c r="M1759" s="156" t="inlineStr">
        <is>
          <t>Stetson</t>
        </is>
      </c>
      <c r="N1759" s="156" t="inlineStr">
        <is>
          <t>SS26</t>
        </is>
      </c>
      <c r="O1759" s="156" t="inlineStr">
        <is>
          <t>Seasonal</t>
        </is>
      </c>
      <c r="P1759" s="156" t="inlineStr">
        <is>
          <t>Negro</t>
        </is>
      </c>
      <c r="Q1759" s="156" t="inlineStr">
        <is>
          <t>Regular</t>
        </is>
      </c>
      <c r="R1759" s="156" t="n"/>
      <c r="S1759" s="156" t="inlineStr">
        <is>
          <t>100% Algodón</t>
        </is>
      </c>
      <c r="T1759"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9" s="156" t="n"/>
      <c r="V1759" s="156" t="inlineStr">
        <is>
          <t>PZS</t>
        </is>
      </c>
      <c r="W1759" s="51" t="inlineStr">
        <is>
          <t>53101600</t>
        </is>
      </c>
      <c r="X1759" s="156" t="inlineStr">
        <is>
          <t>https://cdn.shopify.com/s/files/1/0888/3250/8267/files/ST-TI-003-OR-01_3360074b-6381-41f7-9af5-88b7f04ea2c6.jpg?v=1764612605</t>
        </is>
      </c>
      <c r="Y1759" s="54" t="n">
        <v>737.0689655</v>
      </c>
      <c r="Z1759" s="54" t="n">
        <v>1637.931034</v>
      </c>
      <c r="AA1759" s="55">
        <f>IF(AND(A1759="", B1759="", E1759=""), "", IF(AB1759="", "Válido", IF((LEN(AB1759)-LEN(SUBSTITUTE(AB1759,"; ","")))/2+1&gt;(LEN(AB1759)-LEN(SUBSTITUTE(AB1759,"[Aviso]","")))/7, "Con Incidencias", "Válido")))</f>
        <v/>
      </c>
      <c r="AB1759" s="56">
        <f>IF(AND(A1759="", B1759="", E1759=""), "", TEXTJOIN("; ", TRUE, IF(OR(TRIM(A1759&amp;"")="", ISNUMBER(SEARCH("FALTA", A1759))), "UPC faltante/inválido", ""), IF(AND(A1759&lt;&gt;"", IFERROR(_xlfn.XMATCH(A1759,$A$2:$A$2509,0,1)&lt;&gt;_xlfn.XMATCH(A1759,$A$2:$A$2509,0,-1),FALSE)), "Código de barras duplicado", ""), IF(AND(E1759&lt;&gt;"", COUNTIF($E$2:$E$2509, E1759)&gt;1), "SKU duplicado", ""), IF(OR(J1759="", J1759=""), "[Aviso] División no capturada ()", IF(ISNA(MATCH(J1759, Criterios!$A$123:$A$126, 0)), "División no válida", "")), IF(OR(K1759="", K1759=""), "[Aviso] Categoría no capturada ()", IF(ISNA(MATCH(K1759, Criterios!$A$81:$A$120, 0)), "Categoría no válida", IF(AND(J1759&lt;&gt;"", J1759&lt;&gt;"", J1759&lt;&gt;VLOOKUP(K1759, Criterios!$A$81:$B$120, 2, FALSE)), "División no coincide con Categoría", ""))), IF(OR(L1759="", L1759=""), "[Aviso] Género no capturado ()", IF(ISNA(MATCH(L1759, Criterios!$B$123:$B$127, 0)), "Género no válido", "")), IF(OR(N1759="", N1759=""), "[Aviso] Temporada no capturada ()", IF(ISNA(MATCH(N1759, Criterios!$C$123:$C$128, 0)), "Temporada no válida", "")), IF(OR(O1759="", O1759=""), "[Aviso] Ciclo de vida no capturado ()", IF(ISNA(MATCH(O1759, Criterios!$D$123:$D$124, 0)), "Ciclo de vida no válido", ""))))</f>
        <v/>
      </c>
      <c r="AC1759" s="56" t="n"/>
      <c r="AD1759" s="51" t="n">
        <v>0</v>
      </c>
      <c r="AE1759" s="156" t="n"/>
      <c r="AF1759" s="51" t="n">
        <v>0</v>
      </c>
      <c r="AG1759" s="156" t="inlineStr">
        <is>
          <t>Catálogo existente</t>
        </is>
      </c>
      <c r="AH175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9" s="156" t="inlineStr">
        <is>
          <t>No</t>
        </is>
      </c>
      <c r="AJ1759" s="156" t="n"/>
      <c r="AK1759" s="155" t="inlineStr">
        <is>
          <t>Criterios: J [R]; G1522_Extraccion_Articulos_NetSuite_2026-09-30.xlsx: fila 57420 [S] | Shopify Stetson: producto 14695102251371 / variante 53350616334699</t>
        </is>
      </c>
      <c r="AL1759" s="58" t="n">
        <v>737.0689655</v>
      </c>
      <c r="AM1759" s="58" t="n">
        <v>1637.931034</v>
      </c>
      <c r="AN1759" s="155" t="inlineStr">
        <is>
          <t>Shopify Stetson México</t>
        </is>
      </c>
      <c r="AO1759" s="59" t="n">
        <v>0</v>
      </c>
      <c r="AP1759" s="59" t="n"/>
      <c r="AQ1759" s="59" t="n"/>
      <c r="AR1759" s="155" t="n"/>
    </row>
    <row r="1760">
      <c r="A1760" s="50" t="inlineStr">
        <is>
          <t>884426307901</t>
        </is>
      </c>
      <c r="B1760" s="51" t="inlineStr">
        <is>
          <t>110721</t>
        </is>
      </c>
      <c r="C1760" s="156" t="inlineStr">
        <is>
          <t>Multimarca</t>
        </is>
      </c>
      <c r="D1760" s="156" t="inlineStr">
        <is>
          <t>11-054-0921-2407</t>
        </is>
      </c>
      <c r="E1760" s="156" t="inlineStr">
        <is>
          <t>11-054-0921-2407-0R</t>
        </is>
      </c>
      <c r="F1760" s="156" t="inlineStr">
        <is>
          <t>3</t>
        </is>
      </c>
      <c r="G1760" s="156" t="inlineStr">
        <is>
          <t>0</t>
        </is>
      </c>
      <c r="H1760" s="156" t="inlineStr">
        <is>
          <t>Stetson</t>
        </is>
      </c>
      <c r="I1760" s="156" t="inlineStr">
        <is>
          <t>Jean Mujer Bolsa Lisa con Yoke Decorativo</t>
        </is>
      </c>
      <c r="J1760" s="156" t="inlineStr">
        <is>
          <t>Denim</t>
        </is>
      </c>
      <c r="K1760" s="156" t="inlineStr">
        <is>
          <t>Jeans</t>
        </is>
      </c>
      <c r="L1760" s="156" t="inlineStr">
        <is>
          <t>Mujer</t>
        </is>
      </c>
      <c r="M1760" s="156" t="inlineStr">
        <is>
          <t>Stetson</t>
        </is>
      </c>
      <c r="N1760" s="156" t="inlineStr">
        <is>
          <t>SS26</t>
        </is>
      </c>
      <c r="O1760" s="156" t="inlineStr">
        <is>
          <t>Seasonal</t>
        </is>
      </c>
      <c r="P1760" s="156" t="inlineStr">
        <is>
          <t>Azul</t>
        </is>
      </c>
      <c r="Q1760" s="156" t="inlineStr">
        <is>
          <t>Slim</t>
        </is>
      </c>
      <c r="R1760" s="156" t="inlineStr">
        <is>
          <t>Recto</t>
        </is>
      </c>
      <c r="S1760" s="156" t="inlineStr">
        <is>
          <t>98% Algodón 2% Elastano</t>
        </is>
      </c>
      <c r="T1760" s="156" t="inlineStr">
        <is>
          <t>Jean Mujer Bolsa Lisa con Yoke Decorativo Fitted</t>
        </is>
      </c>
      <c r="U1760" s="156" t="n"/>
      <c r="V1760" s="156" t="inlineStr">
        <is>
          <t>PZS</t>
        </is>
      </c>
      <c r="W1760" s="51" t="inlineStr">
        <is>
          <t>53101503</t>
        </is>
      </c>
      <c r="X1760" s="156" t="n"/>
      <c r="Y1760" s="54" t="n">
        <v>775.862069</v>
      </c>
      <c r="Z1760" s="54" t="n">
        <v>1724.137931</v>
      </c>
      <c r="AA1760" s="55">
        <f>IF(AND(A1760="", B1760="", E1760=""), "", IF(AB1760="", "Válido", IF((LEN(AB1760)-LEN(SUBSTITUTE(AB1760,"; ","")))/2+1&gt;(LEN(AB1760)-LEN(SUBSTITUTE(AB1760,"[Aviso]","")))/7, "Con Incidencias", "Válido")))</f>
        <v/>
      </c>
      <c r="AB1760" s="56">
        <f>IF(AND(A1760="", B1760="", E1760=""), "", TEXTJOIN("; ", TRUE, IF(OR(TRIM(A1760&amp;"")="", ISNUMBER(SEARCH("FALTA", A1760))), "UPC faltante/inválido", ""), IF(AND(A1760&lt;&gt;"", IFERROR(_xlfn.XMATCH(A1760,$A$2:$A$2509,0,1)&lt;&gt;_xlfn.XMATCH(A1760,$A$2:$A$2509,0,-1),FALSE)), "Código de barras duplicado", ""), IF(AND(E1760&lt;&gt;"", COUNTIF($E$2:$E$2509, E1760)&gt;1), "SKU duplicado", ""), IF(OR(J1760="", J1760=""), "[Aviso] División no capturada ()", IF(ISNA(MATCH(J1760, Criterios!$A$123:$A$126, 0)), "División no válida", "")), IF(OR(K1760="", K1760=""), "[Aviso] Categoría no capturada ()", IF(ISNA(MATCH(K1760, Criterios!$A$81:$A$120, 0)), "Categoría no válida", IF(AND(J1760&lt;&gt;"", J1760&lt;&gt;"", J1760&lt;&gt;VLOOKUP(K1760, Criterios!$A$81:$B$120, 2, FALSE)), "División no coincide con Categoría", ""))), IF(OR(L1760="", L1760=""), "[Aviso] Género no capturado ()", IF(ISNA(MATCH(L1760, Criterios!$B$123:$B$127, 0)), "Género no válido", "")), IF(OR(N1760="", N1760=""), "[Aviso] Temporada no capturada ()", IF(ISNA(MATCH(N1760, Criterios!$C$123:$C$128, 0)), "Temporada no válida", "")), IF(OR(O1760="", O1760=""), "[Aviso] Ciclo de vida no capturado ()", IF(ISNA(MATCH(O1760, Criterios!$D$123:$D$124, 0)), "Ciclo de vida no válido", ""))))</f>
        <v/>
      </c>
      <c r="AC1760" s="56" t="n"/>
      <c r="AD1760" s="51" t="n">
        <v>-1</v>
      </c>
      <c r="AE1760" s="156" t="n"/>
      <c r="AF1760" s="51" t="n">
        <v>0</v>
      </c>
      <c r="AG1760" s="156" t="inlineStr">
        <is>
          <t>Catálogo existente</t>
        </is>
      </c>
      <c r="AH1760" s="156" t="inlineStr">
        <is>
          <t>Stock negativo en sistema: revisar en conteo</t>
        </is>
      </c>
      <c r="AI1760" s="156" t="inlineStr">
        <is>
          <t>Sí</t>
        </is>
      </c>
      <c r="AJ1760" s="156" t="inlineStr">
        <is>
          <t>STETSON AMERICAS (-1)</t>
        </is>
      </c>
      <c r="AK1760" s="155" t="inlineStr">
        <is>
          <t>Shopify Stetson: producto 15051555504491 / variante 53342130930027 | Odoo: producto 29940 / plantilla 38644</t>
        </is>
      </c>
      <c r="AL1760" s="58" t="n">
        <v>775.862069</v>
      </c>
      <c r="AM1760" s="58" t="n">
        <v>1724.137931</v>
      </c>
      <c r="AN1760" s="155" t="inlineStr">
        <is>
          <t>Shopify Stetson México | Odoo Universal Unique Brands</t>
        </is>
      </c>
      <c r="AO1760" s="59" t="n">
        <v>1</v>
      </c>
      <c r="AP1760" s="59" t="n"/>
      <c r="AQ1760" s="59" t="n">
        <v>2</v>
      </c>
      <c r="AR1760" s="155" t="inlineStr">
        <is>
          <t>Shopify Stetson México › Stetson Americas: 1 | Odoo Universal Unique Brands › Bodega 25 › Bodega 25/General: 2</t>
        </is>
      </c>
    </row>
    <row r="1761">
      <c r="A1761" s="50" t="inlineStr">
        <is>
          <t>884426309363</t>
        </is>
      </c>
      <c r="B1761" s="51" t="inlineStr">
        <is>
          <t>110722</t>
        </is>
      </c>
      <c r="C1761" s="156" t="inlineStr">
        <is>
          <t>Multimarca</t>
        </is>
      </c>
      <c r="D1761" s="156" t="inlineStr">
        <is>
          <t>11-054-0921-2407</t>
        </is>
      </c>
      <c r="E1761" s="156" t="inlineStr">
        <is>
          <t>11-054-0921-2407-10L</t>
        </is>
      </c>
      <c r="F1761" s="156" t="inlineStr">
        <is>
          <t>13 Largo</t>
        </is>
      </c>
      <c r="G1761" s="156" t="inlineStr">
        <is>
          <t>10 Long</t>
        </is>
      </c>
      <c r="H1761" s="156" t="inlineStr">
        <is>
          <t>Stetson</t>
        </is>
      </c>
      <c r="I1761" s="156" t="inlineStr">
        <is>
          <t>Jean Mujer Bolsa Lisa con Yoke Decorativo</t>
        </is>
      </c>
      <c r="J1761" s="156" t="inlineStr">
        <is>
          <t>Denim</t>
        </is>
      </c>
      <c r="K1761" s="156" t="inlineStr">
        <is>
          <t>Jeans</t>
        </is>
      </c>
      <c r="L1761" s="156" t="inlineStr">
        <is>
          <t>Mujer</t>
        </is>
      </c>
      <c r="M1761" s="156" t="inlineStr">
        <is>
          <t>Stetson</t>
        </is>
      </c>
      <c r="N1761" s="156" t="inlineStr">
        <is>
          <t>SS26</t>
        </is>
      </c>
      <c r="O1761" s="156" t="inlineStr">
        <is>
          <t>Seasonal</t>
        </is>
      </c>
      <c r="P1761" s="156" t="inlineStr">
        <is>
          <t>Azul</t>
        </is>
      </c>
      <c r="Q1761" s="156" t="inlineStr">
        <is>
          <t>Slim</t>
        </is>
      </c>
      <c r="R1761" s="156" t="inlineStr">
        <is>
          <t>Recto</t>
        </is>
      </c>
      <c r="S1761" s="156" t="inlineStr">
        <is>
          <t>98% Algodón 2% Elastano</t>
        </is>
      </c>
      <c r="T1761" s="156" t="inlineStr">
        <is>
          <t>Jean Mujer Bolsa Lisa con Yoke Decorativo Fitted</t>
        </is>
      </c>
      <c r="U1761" s="156" t="n"/>
      <c r="V1761" s="156" t="inlineStr">
        <is>
          <t>PZS</t>
        </is>
      </c>
      <c r="W1761" s="51" t="inlineStr">
        <is>
          <t>53101503</t>
        </is>
      </c>
      <c r="X1761" s="156" t="n"/>
      <c r="Y1761" s="54" t="n">
        <v>775.862069</v>
      </c>
      <c r="Z1761" s="54" t="n">
        <v>1724.137931</v>
      </c>
      <c r="AA1761" s="55">
        <f>IF(AND(A1761="", B1761="", E1761=""), "", IF(AB1761="", "Válido", IF((LEN(AB1761)-LEN(SUBSTITUTE(AB1761,"; ","")))/2+1&gt;(LEN(AB1761)-LEN(SUBSTITUTE(AB1761,"[Aviso]","")))/7, "Con Incidencias", "Válido")))</f>
        <v/>
      </c>
      <c r="AB1761" s="56">
        <f>IF(AND(A1761="", B1761="", E1761=""), "", TEXTJOIN("; ", TRUE, IF(OR(TRIM(A1761&amp;"")="", ISNUMBER(SEARCH("FALTA", A1761))), "UPC faltante/inválido", ""), IF(AND(A1761&lt;&gt;"", IFERROR(_xlfn.XMATCH(A1761,$A$2:$A$2509,0,1)&lt;&gt;_xlfn.XMATCH(A1761,$A$2:$A$2509,0,-1),FALSE)), "Código de barras duplicado", ""), IF(AND(E1761&lt;&gt;"", COUNTIF($E$2:$E$2509, E1761)&gt;1), "SKU duplicado", ""), IF(OR(J1761="", J1761=""), "[Aviso] División no capturada ()", IF(ISNA(MATCH(J1761, Criterios!$A$123:$A$126, 0)), "División no válida", "")), IF(OR(K1761="", K1761=""), "[Aviso] Categoría no capturada ()", IF(ISNA(MATCH(K1761, Criterios!$A$81:$A$120, 0)), "Categoría no válida", IF(AND(J1761&lt;&gt;"", J1761&lt;&gt;"", J1761&lt;&gt;VLOOKUP(K1761, Criterios!$A$81:$B$120, 2, FALSE)), "División no coincide con Categoría", ""))), IF(OR(L1761="", L1761=""), "[Aviso] Género no capturado ()", IF(ISNA(MATCH(L1761, Criterios!$B$123:$B$127, 0)), "Género no válido", "")), IF(OR(N1761="", N1761=""), "[Aviso] Temporada no capturada ()", IF(ISNA(MATCH(N1761, Criterios!$C$123:$C$128, 0)), "Temporada no válida", "")), IF(OR(O1761="", O1761=""), "[Aviso] Ciclo de vida no capturado ()", IF(ISNA(MATCH(O1761, Criterios!$D$123:$D$124, 0)), "Ciclo de vida no válido", ""))))</f>
        <v/>
      </c>
      <c r="AC1761" s="56" t="n"/>
      <c r="AD1761" s="51" t="n">
        <v>0</v>
      </c>
      <c r="AE1761" s="156" t="n"/>
      <c r="AF1761" s="51" t="n">
        <v>0</v>
      </c>
      <c r="AG1761" s="156" t="inlineStr">
        <is>
          <t>Catálogo existente</t>
        </is>
      </c>
      <c r="AH1761" s="156" t="n"/>
      <c r="AI1761" s="156" t="inlineStr">
        <is>
          <t>No</t>
        </is>
      </c>
      <c r="AJ1761" s="156" t="n"/>
      <c r="AK1761" s="155" t="inlineStr">
        <is>
          <t>Shopify Stetson: producto 15051555504491 / variante 53342131224939 | Odoo: producto 29949 / plantilla 38653</t>
        </is>
      </c>
      <c r="AL1761" s="58" t="n">
        <v>775.862069</v>
      </c>
      <c r="AM1761" s="58" t="n">
        <v>1724.137931</v>
      </c>
      <c r="AN1761" s="155" t="inlineStr">
        <is>
          <t>Shopify Stetson México | Odoo Universal Unique Brands</t>
        </is>
      </c>
      <c r="AO1761" s="59" t="n">
        <v>1</v>
      </c>
      <c r="AP1761" s="59" t="n"/>
      <c r="AQ1761" s="59" t="n">
        <v>1</v>
      </c>
      <c r="AR1761" s="155" t="inlineStr">
        <is>
          <t>Shopify Stetson México › Stetson Americas: 1 | Odoo Universal Unique Brands › Bodega 25 › Bodega 25/General: 1</t>
        </is>
      </c>
    </row>
    <row r="1762">
      <c r="A1762" s="50" t="inlineStr">
        <is>
          <t>884426309370</t>
        </is>
      </c>
      <c r="B1762" s="51" t="inlineStr">
        <is>
          <t>110723</t>
        </is>
      </c>
      <c r="C1762" s="156" t="inlineStr">
        <is>
          <t>Multimarca</t>
        </is>
      </c>
      <c r="D1762" s="156" t="inlineStr">
        <is>
          <t>11-054-0921-2407</t>
        </is>
      </c>
      <c r="E1762" s="156" t="inlineStr">
        <is>
          <t>11-054-0921-2407-10R</t>
        </is>
      </c>
      <c r="F1762" s="156" t="inlineStr">
        <is>
          <t>13</t>
        </is>
      </c>
      <c r="G1762" s="156" t="inlineStr">
        <is>
          <t>10</t>
        </is>
      </c>
      <c r="H1762" s="156" t="inlineStr">
        <is>
          <t>Stetson</t>
        </is>
      </c>
      <c r="I1762" s="156" t="inlineStr">
        <is>
          <t>Jean Mujer Bolsa Lisa con Yoke Decorativo</t>
        </is>
      </c>
      <c r="J1762" s="156" t="inlineStr">
        <is>
          <t>Denim</t>
        </is>
      </c>
      <c r="K1762" s="156" t="inlineStr">
        <is>
          <t>Jeans</t>
        </is>
      </c>
      <c r="L1762" s="156" t="inlineStr">
        <is>
          <t>Mujer</t>
        </is>
      </c>
      <c r="M1762" s="156" t="inlineStr">
        <is>
          <t>Stetson</t>
        </is>
      </c>
      <c r="N1762" s="156" t="inlineStr">
        <is>
          <t>SS26</t>
        </is>
      </c>
      <c r="O1762" s="156" t="inlineStr">
        <is>
          <t>Seasonal</t>
        </is>
      </c>
      <c r="P1762" s="156" t="inlineStr">
        <is>
          <t>Azul</t>
        </is>
      </c>
      <c r="Q1762" s="156" t="inlineStr">
        <is>
          <t>Slim</t>
        </is>
      </c>
      <c r="R1762" s="156" t="inlineStr">
        <is>
          <t>Recto</t>
        </is>
      </c>
      <c r="S1762" s="156" t="inlineStr">
        <is>
          <t>98% Algodón 2% Elastano</t>
        </is>
      </c>
      <c r="T1762" s="156" t="inlineStr">
        <is>
          <t>Jean Mujer Bolsa Lisa con Yoke Decorativo Fitted</t>
        </is>
      </c>
      <c r="U1762" s="156" t="n"/>
      <c r="V1762" s="156" t="inlineStr">
        <is>
          <t>PZS</t>
        </is>
      </c>
      <c r="W1762" s="51" t="inlineStr">
        <is>
          <t>53101503</t>
        </is>
      </c>
      <c r="X1762" s="156" t="n"/>
      <c r="Y1762" s="54" t="n">
        <v>775.862069</v>
      </c>
      <c r="Z1762" s="54" t="n">
        <v>1724.137931</v>
      </c>
      <c r="AA1762" s="55">
        <f>IF(AND(A1762="", B1762="", E1762=""), "", IF(AB1762="", "Válido", IF((LEN(AB1762)-LEN(SUBSTITUTE(AB1762,"; ","")))/2+1&gt;(LEN(AB1762)-LEN(SUBSTITUTE(AB1762,"[Aviso]","")))/7, "Con Incidencias", "Válido")))</f>
        <v/>
      </c>
      <c r="AB1762" s="56">
        <f>IF(AND(A1762="", B1762="", E1762=""), "", TEXTJOIN("; ", TRUE, IF(OR(TRIM(A1762&amp;"")="", ISNUMBER(SEARCH("FALTA", A1762))), "UPC faltante/inválido", ""), IF(AND(A1762&lt;&gt;"", IFERROR(_xlfn.XMATCH(A1762,$A$2:$A$2509,0,1)&lt;&gt;_xlfn.XMATCH(A1762,$A$2:$A$2509,0,-1),FALSE)), "Código de barras duplicado", ""), IF(AND(E1762&lt;&gt;"", COUNTIF($E$2:$E$2509, E1762)&gt;1), "SKU duplicado", ""), IF(OR(J1762="", J1762=""), "[Aviso] División no capturada ()", IF(ISNA(MATCH(J1762, Criterios!$A$123:$A$126, 0)), "División no válida", "")), IF(OR(K1762="", K1762=""), "[Aviso] Categoría no capturada ()", IF(ISNA(MATCH(K1762, Criterios!$A$81:$A$120, 0)), "Categoría no válida", IF(AND(J1762&lt;&gt;"", J1762&lt;&gt;"", J1762&lt;&gt;VLOOKUP(K1762, Criterios!$A$81:$B$120, 2, FALSE)), "División no coincide con Categoría", ""))), IF(OR(L1762="", L1762=""), "[Aviso] Género no capturado ()", IF(ISNA(MATCH(L1762, Criterios!$B$123:$B$127, 0)), "Género no válido", "")), IF(OR(N1762="", N1762=""), "[Aviso] Temporada no capturada ()", IF(ISNA(MATCH(N1762, Criterios!$C$123:$C$128, 0)), "Temporada no válida", "")), IF(OR(O1762="", O1762=""), "[Aviso] Ciclo de vida no capturado ()", IF(ISNA(MATCH(O1762, Criterios!$D$123:$D$124, 0)), "Ciclo de vida no válido", ""))))</f>
        <v/>
      </c>
      <c r="AC1762" s="56" t="n"/>
      <c r="AD1762" s="51" t="n">
        <v>-1</v>
      </c>
      <c r="AE1762" s="156" t="n"/>
      <c r="AF1762" s="51" t="n">
        <v>0</v>
      </c>
      <c r="AG1762" s="156" t="inlineStr">
        <is>
          <t>Catálogo existente</t>
        </is>
      </c>
      <c r="AH1762" s="156" t="inlineStr">
        <is>
          <t>Stock negativo en sistema: revisar en conteo</t>
        </is>
      </c>
      <c r="AI1762" s="156" t="inlineStr">
        <is>
          <t>Sí</t>
        </is>
      </c>
      <c r="AJ1762" s="156" t="inlineStr">
        <is>
          <t>STETSON AMERICAS (-1)</t>
        </is>
      </c>
      <c r="AK1762" s="155" t="inlineStr">
        <is>
          <t>Shopify Stetson: producto 15051555504491 / variante 53342131192171 | Odoo: producto 29948 / plantilla 38652</t>
        </is>
      </c>
      <c r="AL1762" s="58" t="n">
        <v>775.862069</v>
      </c>
      <c r="AM1762" s="58" t="n">
        <v>1724.137931</v>
      </c>
      <c r="AN1762" s="155" t="inlineStr">
        <is>
          <t>Shopify Stetson México | Odoo Universal Unique Brands</t>
        </is>
      </c>
      <c r="AO1762" s="59" t="n">
        <v>1</v>
      </c>
      <c r="AP1762" s="59" t="n"/>
      <c r="AQ1762" s="59" t="n">
        <v>2</v>
      </c>
      <c r="AR1762" s="155" t="inlineStr">
        <is>
          <t>Shopify Stetson México › Stetson Americas: 1 | Odoo Universal Unique Brands › Bodega 25 › Bodega 25/General: 2</t>
        </is>
      </c>
    </row>
    <row r="1763">
      <c r="A1763" s="50" t="inlineStr">
        <is>
          <t>884426315753</t>
        </is>
      </c>
      <c r="B1763" s="51" t="inlineStr">
        <is>
          <t>110724</t>
        </is>
      </c>
      <c r="C1763" s="156" t="inlineStr">
        <is>
          <t>Multimarca</t>
        </is>
      </c>
      <c r="D1763" s="156" t="inlineStr">
        <is>
          <t>11-054-0921-2407</t>
        </is>
      </c>
      <c r="E1763" s="156" t="inlineStr">
        <is>
          <t>11-054-0921-2407-2R</t>
        </is>
      </c>
      <c r="F1763" s="156" t="inlineStr">
        <is>
          <t>5</t>
        </is>
      </c>
      <c r="G1763" s="156" t="inlineStr">
        <is>
          <t>2</t>
        </is>
      </c>
      <c r="H1763" s="156" t="inlineStr">
        <is>
          <t>Stetson</t>
        </is>
      </c>
      <c r="I1763" s="156" t="inlineStr">
        <is>
          <t>Jean Mujer Bolsa Lisa con Yoke Decorativo</t>
        </is>
      </c>
      <c r="J1763" s="156" t="inlineStr">
        <is>
          <t>Denim</t>
        </is>
      </c>
      <c r="K1763" s="156" t="inlineStr">
        <is>
          <t>Jeans</t>
        </is>
      </c>
      <c r="L1763" s="156" t="inlineStr">
        <is>
          <t>Mujer</t>
        </is>
      </c>
      <c r="M1763" s="156" t="inlineStr">
        <is>
          <t>Stetson</t>
        </is>
      </c>
      <c r="N1763" s="156" t="inlineStr">
        <is>
          <t>SS26</t>
        </is>
      </c>
      <c r="O1763" s="156" t="inlineStr">
        <is>
          <t>Seasonal</t>
        </is>
      </c>
      <c r="P1763" s="156" t="inlineStr">
        <is>
          <t>Azul</t>
        </is>
      </c>
      <c r="Q1763" s="156" t="inlineStr">
        <is>
          <t>Slim</t>
        </is>
      </c>
      <c r="R1763" s="156" t="inlineStr">
        <is>
          <t>Recto</t>
        </is>
      </c>
      <c r="S1763" s="156" t="inlineStr">
        <is>
          <t>98% Algodón 2% Elastano</t>
        </is>
      </c>
      <c r="T1763" s="156" t="inlineStr">
        <is>
          <t>Jean Mujer Bolsa Lisa con Yoke Decorativo Fitted</t>
        </is>
      </c>
      <c r="U1763" s="156" t="n"/>
      <c r="V1763" s="156" t="inlineStr">
        <is>
          <t>PZS</t>
        </is>
      </c>
      <c r="W1763" s="51" t="inlineStr">
        <is>
          <t>53101503</t>
        </is>
      </c>
      <c r="X1763" s="156" t="n"/>
      <c r="Y1763" s="54" t="n">
        <v>775.862069</v>
      </c>
      <c r="Z1763" s="54" t="n">
        <v>1724.137931</v>
      </c>
      <c r="AA1763" s="55">
        <f>IF(AND(A1763="", B1763="", E1763=""), "", IF(AB1763="", "Válido", IF((LEN(AB1763)-LEN(SUBSTITUTE(AB1763,"; ","")))/2+1&gt;(LEN(AB1763)-LEN(SUBSTITUTE(AB1763,"[Aviso]","")))/7, "Con Incidencias", "Válido")))</f>
        <v/>
      </c>
      <c r="AB1763" s="56">
        <f>IF(AND(A1763="", B1763="", E1763=""), "", TEXTJOIN("; ", TRUE, IF(OR(TRIM(A1763&amp;"")="", ISNUMBER(SEARCH("FALTA", A1763))), "UPC faltante/inválido", ""), IF(AND(A1763&lt;&gt;"", IFERROR(_xlfn.XMATCH(A1763,$A$2:$A$2509,0,1)&lt;&gt;_xlfn.XMATCH(A1763,$A$2:$A$2509,0,-1),FALSE)), "Código de barras duplicado", ""), IF(AND(E1763&lt;&gt;"", COUNTIF($E$2:$E$2509, E1763)&gt;1), "SKU duplicado", ""), IF(OR(J1763="", J1763=""), "[Aviso] División no capturada ()", IF(ISNA(MATCH(J1763, Criterios!$A$123:$A$126, 0)), "División no válida", "")), IF(OR(K1763="", K1763=""), "[Aviso] Categoría no capturada ()", IF(ISNA(MATCH(K1763, Criterios!$A$81:$A$120, 0)), "Categoría no válida", IF(AND(J1763&lt;&gt;"", J1763&lt;&gt;"", J1763&lt;&gt;VLOOKUP(K1763, Criterios!$A$81:$B$120, 2, FALSE)), "División no coincide con Categoría", ""))), IF(OR(L1763="", L1763=""), "[Aviso] Género no capturado ()", IF(ISNA(MATCH(L1763, Criterios!$B$123:$B$127, 0)), "Género no válido", "")), IF(OR(N1763="", N1763=""), "[Aviso] Temporada no capturada ()", IF(ISNA(MATCH(N1763, Criterios!$C$123:$C$128, 0)), "Temporada no válida", "")), IF(OR(O1763="", O1763=""), "[Aviso] Ciclo de vida no capturado ()", IF(ISNA(MATCH(O1763, Criterios!$D$123:$D$124, 0)), "Ciclo de vida no válido", ""))))</f>
        <v/>
      </c>
      <c r="AC1763" s="56" t="n"/>
      <c r="AD1763" s="51" t="n">
        <v>-1</v>
      </c>
      <c r="AE1763" s="156" t="n"/>
      <c r="AF1763" s="51" t="n">
        <v>0</v>
      </c>
      <c r="AG1763" s="156" t="inlineStr">
        <is>
          <t>Catálogo existente</t>
        </is>
      </c>
      <c r="AH1763" s="156" t="inlineStr">
        <is>
          <t>Stock negativo en sistema: revisar en conteo</t>
        </is>
      </c>
      <c r="AI1763" s="156" t="inlineStr">
        <is>
          <t>Sí</t>
        </is>
      </c>
      <c r="AJ1763" s="156" t="inlineStr">
        <is>
          <t>STETSON AMERICAS (-1)</t>
        </is>
      </c>
      <c r="AK1763" s="155" t="inlineStr">
        <is>
          <t>Shopify Stetson: producto 15051555504491 / variante 53342130962795 | Odoo: producto 29941 / plantilla 38645</t>
        </is>
      </c>
      <c r="AL1763" s="58" t="n">
        <v>775.862069</v>
      </c>
      <c r="AM1763" s="58" t="n">
        <v>1724.137931</v>
      </c>
      <c r="AN1763" s="155" t="inlineStr">
        <is>
          <t>Shopify Stetson México | Odoo Universal Unique Brands</t>
        </is>
      </c>
      <c r="AO1763" s="59" t="n">
        <v>1</v>
      </c>
      <c r="AP1763" s="59" t="n"/>
      <c r="AQ1763" s="59" t="n">
        <v>2</v>
      </c>
      <c r="AR1763" s="155" t="inlineStr">
        <is>
          <t>Shopify Stetson México › Stetson Americas: 1 | Odoo Universal Unique Brands › Bodega 25 › Bodega 25/General: 2</t>
        </is>
      </c>
    </row>
    <row r="1764">
      <c r="A1764" s="50" t="inlineStr">
        <is>
          <t>884426315777</t>
        </is>
      </c>
      <c r="B1764" s="51" t="inlineStr">
        <is>
          <t>110725</t>
        </is>
      </c>
      <c r="C1764" s="156" t="inlineStr">
        <is>
          <t>Multimarca</t>
        </is>
      </c>
      <c r="D1764" s="156" t="inlineStr">
        <is>
          <t>11-054-0921-2407</t>
        </is>
      </c>
      <c r="E1764" s="156" t="inlineStr">
        <is>
          <t>11-054-0921-2407-4L</t>
        </is>
      </c>
      <c r="F1764" s="156" t="inlineStr">
        <is>
          <t>7 Largo</t>
        </is>
      </c>
      <c r="G1764" s="156" t="inlineStr">
        <is>
          <t>4 Long</t>
        </is>
      </c>
      <c r="H1764" s="156" t="inlineStr">
        <is>
          <t>Stetson</t>
        </is>
      </c>
      <c r="I1764" s="156" t="inlineStr">
        <is>
          <t>Jean Mujer Bolsa Lisa con Yoke Decorativo</t>
        </is>
      </c>
      <c r="J1764" s="156" t="inlineStr">
        <is>
          <t>Denim</t>
        </is>
      </c>
      <c r="K1764" s="156" t="inlineStr">
        <is>
          <t>Jeans</t>
        </is>
      </c>
      <c r="L1764" s="156" t="inlineStr">
        <is>
          <t>Mujer</t>
        </is>
      </c>
      <c r="M1764" s="156" t="inlineStr">
        <is>
          <t>Stetson</t>
        </is>
      </c>
      <c r="N1764" s="156" t="inlineStr">
        <is>
          <t>SS26</t>
        </is>
      </c>
      <c r="O1764" s="156" t="inlineStr">
        <is>
          <t>Seasonal</t>
        </is>
      </c>
      <c r="P1764" s="156" t="inlineStr">
        <is>
          <t>Azul</t>
        </is>
      </c>
      <c r="Q1764" s="156" t="inlineStr">
        <is>
          <t>Slim</t>
        </is>
      </c>
      <c r="R1764" s="156" t="inlineStr">
        <is>
          <t>Recto</t>
        </is>
      </c>
      <c r="S1764" s="156" t="inlineStr">
        <is>
          <t>98% Algodón 2% Elastano</t>
        </is>
      </c>
      <c r="T1764" s="156" t="inlineStr">
        <is>
          <t>Jean Mujer Bolsa Lisa con Yoke Decorativo Fitted</t>
        </is>
      </c>
      <c r="U1764" s="156" t="n"/>
      <c r="V1764" s="156" t="inlineStr">
        <is>
          <t>PZS</t>
        </is>
      </c>
      <c r="W1764" s="51" t="inlineStr">
        <is>
          <t>53101503</t>
        </is>
      </c>
      <c r="X1764" s="156" t="n"/>
      <c r="Y1764" s="54" t="n">
        <v>775.862069</v>
      </c>
      <c r="Z1764" s="54" t="n">
        <v>1724.137931</v>
      </c>
      <c r="AA1764" s="55">
        <f>IF(AND(A1764="", B1764="", E1764=""), "", IF(AB1764="", "Válido", IF((LEN(AB1764)-LEN(SUBSTITUTE(AB1764,"; ","")))/2+1&gt;(LEN(AB1764)-LEN(SUBSTITUTE(AB1764,"[Aviso]","")))/7, "Con Incidencias", "Válido")))</f>
        <v/>
      </c>
      <c r="AB1764" s="56">
        <f>IF(AND(A1764="", B1764="", E1764=""), "", TEXTJOIN("; ", TRUE, IF(OR(TRIM(A1764&amp;"")="", ISNUMBER(SEARCH("FALTA", A1764))), "UPC faltante/inválido", ""), IF(AND(A1764&lt;&gt;"", IFERROR(_xlfn.XMATCH(A1764,$A$2:$A$2509,0,1)&lt;&gt;_xlfn.XMATCH(A1764,$A$2:$A$2509,0,-1),FALSE)), "Código de barras duplicado", ""), IF(AND(E1764&lt;&gt;"", COUNTIF($E$2:$E$2509, E1764)&gt;1), "SKU duplicado", ""), IF(OR(J1764="", J1764=""), "[Aviso] División no capturada ()", IF(ISNA(MATCH(J1764, Criterios!$A$123:$A$126, 0)), "División no válida", "")), IF(OR(K1764="", K1764=""), "[Aviso] Categoría no capturada ()", IF(ISNA(MATCH(K1764, Criterios!$A$81:$A$120, 0)), "Categoría no válida", IF(AND(J1764&lt;&gt;"", J1764&lt;&gt;"", J1764&lt;&gt;VLOOKUP(K1764, Criterios!$A$81:$B$120, 2, FALSE)), "División no coincide con Categoría", ""))), IF(OR(L1764="", L1764=""), "[Aviso] Género no capturado ()", IF(ISNA(MATCH(L1764, Criterios!$B$123:$B$127, 0)), "Género no válido", "")), IF(OR(N1764="", N1764=""), "[Aviso] Temporada no capturada ()", IF(ISNA(MATCH(N1764, Criterios!$C$123:$C$128, 0)), "Temporada no válida", "")), IF(OR(O1764="", O1764=""), "[Aviso] Ciclo de vida no capturado ()", IF(ISNA(MATCH(O1764, Criterios!$D$123:$D$124, 0)), "Ciclo de vida no válido", ""))))</f>
        <v/>
      </c>
      <c r="AC1764" s="56" t="n"/>
      <c r="AD1764" s="51" t="n">
        <v>0</v>
      </c>
      <c r="AE1764" s="156" t="n"/>
      <c r="AF1764" s="51" t="n">
        <v>0</v>
      </c>
      <c r="AG1764" s="156" t="inlineStr">
        <is>
          <t>Catálogo existente</t>
        </is>
      </c>
      <c r="AH1764" s="156" t="n"/>
      <c r="AI1764" s="156" t="inlineStr">
        <is>
          <t>No</t>
        </is>
      </c>
      <c r="AJ1764" s="156" t="n"/>
      <c r="AK1764" s="155" t="inlineStr">
        <is>
          <t>Shopify Stetson: producto 15051555504491 / variante 53342131028331 | Odoo: producto 29943 / plantilla 38647</t>
        </is>
      </c>
      <c r="AL1764" s="58" t="n">
        <v>775.862069</v>
      </c>
      <c r="AM1764" s="58" t="n">
        <v>1724.137931</v>
      </c>
      <c r="AN1764" s="155" t="inlineStr">
        <is>
          <t>Shopify Stetson México | Odoo Universal Unique Brands</t>
        </is>
      </c>
      <c r="AO1764" s="59" t="n">
        <v>1</v>
      </c>
      <c r="AP1764" s="59" t="n"/>
      <c r="AQ1764" s="59" t="n">
        <v>1</v>
      </c>
      <c r="AR1764" s="155" t="inlineStr">
        <is>
          <t>Shopify Stetson México › Stetson Americas: 1 | Odoo Universal Unique Brands › Bodega 25 › Bodega 25/General: 1</t>
        </is>
      </c>
    </row>
    <row r="1765">
      <c r="A1765" s="50" t="inlineStr">
        <is>
          <t>884426315784</t>
        </is>
      </c>
      <c r="B1765" s="51" t="inlineStr">
        <is>
          <t>110726</t>
        </is>
      </c>
      <c r="C1765" s="156" t="inlineStr">
        <is>
          <t>Multimarca</t>
        </is>
      </c>
      <c r="D1765" s="156" t="inlineStr">
        <is>
          <t>11-054-0921-2407</t>
        </is>
      </c>
      <c r="E1765" s="156" t="inlineStr">
        <is>
          <t>11-054-0921-2407-4R</t>
        </is>
      </c>
      <c r="F1765" s="156" t="inlineStr">
        <is>
          <t>7</t>
        </is>
      </c>
      <c r="G1765" s="156" t="inlineStr">
        <is>
          <t>4</t>
        </is>
      </c>
      <c r="H1765" s="156" t="inlineStr">
        <is>
          <t>Stetson</t>
        </is>
      </c>
      <c r="I1765" s="156" t="inlineStr">
        <is>
          <t>Jean Mujer Bolsa Lisa con Yoke Decorativo</t>
        </is>
      </c>
      <c r="J1765" s="156" t="inlineStr">
        <is>
          <t>Denim</t>
        </is>
      </c>
      <c r="K1765" s="156" t="inlineStr">
        <is>
          <t>Jeans</t>
        </is>
      </c>
      <c r="L1765" s="156" t="inlineStr">
        <is>
          <t>Mujer</t>
        </is>
      </c>
      <c r="M1765" s="156" t="inlineStr">
        <is>
          <t>Stetson</t>
        </is>
      </c>
      <c r="N1765" s="156" t="inlineStr">
        <is>
          <t>SS26</t>
        </is>
      </c>
      <c r="O1765" s="156" t="inlineStr">
        <is>
          <t>Seasonal</t>
        </is>
      </c>
      <c r="P1765" s="156" t="inlineStr">
        <is>
          <t>Azul</t>
        </is>
      </c>
      <c r="Q1765" s="156" t="inlineStr">
        <is>
          <t>Slim</t>
        </is>
      </c>
      <c r="R1765" s="156" t="inlineStr">
        <is>
          <t>Recto</t>
        </is>
      </c>
      <c r="S1765" s="156" t="inlineStr">
        <is>
          <t>98% Algodón 2% Elastano</t>
        </is>
      </c>
      <c r="T1765" s="156" t="inlineStr">
        <is>
          <t>Jean Mujer Bolsa Lisa con Yoke Decorativo Fitted</t>
        </is>
      </c>
      <c r="U1765" s="156" t="n"/>
      <c r="V1765" s="156" t="inlineStr">
        <is>
          <t>PZS</t>
        </is>
      </c>
      <c r="W1765" s="51" t="inlineStr">
        <is>
          <t>53101503</t>
        </is>
      </c>
      <c r="X1765" s="156" t="n"/>
      <c r="Y1765" s="54" t="n">
        <v>775.862069</v>
      </c>
      <c r="Z1765" s="54" t="n">
        <v>1724.137931</v>
      </c>
      <c r="AA1765" s="55">
        <f>IF(AND(A1765="", B1765="", E1765=""), "", IF(AB1765="", "Válido", IF((LEN(AB1765)-LEN(SUBSTITUTE(AB1765,"; ","")))/2+1&gt;(LEN(AB1765)-LEN(SUBSTITUTE(AB1765,"[Aviso]","")))/7, "Con Incidencias", "Válido")))</f>
        <v/>
      </c>
      <c r="AB1765" s="56">
        <f>IF(AND(A1765="", B1765="", E1765=""), "", TEXTJOIN("; ", TRUE, IF(OR(TRIM(A1765&amp;"")="", ISNUMBER(SEARCH("FALTA", A1765))), "UPC faltante/inválido", ""), IF(AND(A1765&lt;&gt;"", IFERROR(_xlfn.XMATCH(A1765,$A$2:$A$2509,0,1)&lt;&gt;_xlfn.XMATCH(A1765,$A$2:$A$2509,0,-1),FALSE)), "Código de barras duplicado", ""), IF(AND(E1765&lt;&gt;"", COUNTIF($E$2:$E$2509, E1765)&gt;1), "SKU duplicado", ""), IF(OR(J1765="", J1765=""), "[Aviso] División no capturada ()", IF(ISNA(MATCH(J1765, Criterios!$A$123:$A$126, 0)), "División no válida", "")), IF(OR(K1765="", K1765=""), "[Aviso] Categoría no capturada ()", IF(ISNA(MATCH(K1765, Criterios!$A$81:$A$120, 0)), "Categoría no válida", IF(AND(J1765&lt;&gt;"", J1765&lt;&gt;"", J1765&lt;&gt;VLOOKUP(K1765, Criterios!$A$81:$B$120, 2, FALSE)), "División no coincide con Categoría", ""))), IF(OR(L1765="", L1765=""), "[Aviso] Género no capturado ()", IF(ISNA(MATCH(L1765, Criterios!$B$123:$B$127, 0)), "Género no válido", "")), IF(OR(N1765="", N1765=""), "[Aviso] Temporada no capturada ()", IF(ISNA(MATCH(N1765, Criterios!$C$123:$C$128, 0)), "Temporada no válida", "")), IF(OR(O1765="", O1765=""), "[Aviso] Ciclo de vida no capturado ()", IF(ISNA(MATCH(O1765, Criterios!$D$123:$D$124, 0)), "Ciclo de vida no válido", ""))))</f>
        <v/>
      </c>
      <c r="AC1765" s="56" t="n"/>
      <c r="AD1765" s="51" t="n">
        <v>0</v>
      </c>
      <c r="AE1765" s="156" t="n"/>
      <c r="AF1765" s="51" t="n">
        <v>0</v>
      </c>
      <c r="AG1765" s="156" t="inlineStr">
        <is>
          <t>Catálogo existente</t>
        </is>
      </c>
      <c r="AH1765" s="156" t="n"/>
      <c r="AI1765" s="156" t="inlineStr">
        <is>
          <t>No</t>
        </is>
      </c>
      <c r="AJ1765" s="156" t="n"/>
      <c r="AK1765" s="155" t="inlineStr">
        <is>
          <t>Shopify Stetson: producto 15051555504491 / variante 53342130995563 | Odoo: producto 29942 / plantilla 38646</t>
        </is>
      </c>
      <c r="AL1765" s="58" t="n">
        <v>775.862069</v>
      </c>
      <c r="AM1765" s="58" t="n">
        <v>1724.137931</v>
      </c>
      <c r="AN1765" s="155" t="inlineStr">
        <is>
          <t>Shopify Stetson México | Odoo Universal Unique Brands</t>
        </is>
      </c>
      <c r="AO1765" s="59" t="n">
        <v>2</v>
      </c>
      <c r="AP1765" s="59" t="n"/>
      <c r="AQ1765" s="59" t="n">
        <v>2</v>
      </c>
      <c r="AR1765" s="155" t="inlineStr">
        <is>
          <t>Shopify Stetson México › Stetson Americas: 2 | Odoo Universal Unique Brands › Bodega 25 › Bodega 25/General: 2</t>
        </is>
      </c>
    </row>
    <row r="1766">
      <c r="A1766" s="50" t="inlineStr">
        <is>
          <t>884426316385</t>
        </is>
      </c>
      <c r="B1766" s="51" t="inlineStr">
        <is>
          <t>110727</t>
        </is>
      </c>
      <c r="C1766" s="156" t="inlineStr">
        <is>
          <t>Multimarca</t>
        </is>
      </c>
      <c r="D1766" s="156" t="inlineStr">
        <is>
          <t>11-054-0921-2407</t>
        </is>
      </c>
      <c r="E1766" s="156" t="inlineStr">
        <is>
          <t>11-054-0921-2407-6L</t>
        </is>
      </c>
      <c r="F1766" s="156" t="inlineStr">
        <is>
          <t>9 Largo</t>
        </is>
      </c>
      <c r="G1766" s="156" t="inlineStr">
        <is>
          <t>6 Long</t>
        </is>
      </c>
      <c r="H1766" s="156" t="inlineStr">
        <is>
          <t>Stetson</t>
        </is>
      </c>
      <c r="I1766" s="156" t="inlineStr">
        <is>
          <t>Jean Mujer Bolsa Lisa con Yoke Decorativo</t>
        </is>
      </c>
      <c r="J1766" s="156" t="inlineStr">
        <is>
          <t>Denim</t>
        </is>
      </c>
      <c r="K1766" s="156" t="inlineStr">
        <is>
          <t>Jeans</t>
        </is>
      </c>
      <c r="L1766" s="156" t="inlineStr">
        <is>
          <t>Mujer</t>
        </is>
      </c>
      <c r="M1766" s="156" t="inlineStr">
        <is>
          <t>Stetson</t>
        </is>
      </c>
      <c r="N1766" s="156" t="inlineStr">
        <is>
          <t>SS26</t>
        </is>
      </c>
      <c r="O1766" s="156" t="inlineStr">
        <is>
          <t>Seasonal</t>
        </is>
      </c>
      <c r="P1766" s="156" t="inlineStr">
        <is>
          <t>Azul</t>
        </is>
      </c>
      <c r="Q1766" s="156" t="inlineStr">
        <is>
          <t>Slim</t>
        </is>
      </c>
      <c r="R1766" s="156" t="inlineStr">
        <is>
          <t>Recto</t>
        </is>
      </c>
      <c r="S1766" s="156" t="inlineStr">
        <is>
          <t>98% Algodón 2% Elastano</t>
        </is>
      </c>
      <c r="T1766" s="156" t="inlineStr">
        <is>
          <t>Jean Mujer Bolsa Lisa con Yoke Decorativo Fitted</t>
        </is>
      </c>
      <c r="U1766" s="156" t="n"/>
      <c r="V1766" s="156" t="inlineStr">
        <is>
          <t>PZS</t>
        </is>
      </c>
      <c r="W1766" s="51" t="inlineStr">
        <is>
          <t>53101503</t>
        </is>
      </c>
      <c r="X1766" s="156" t="n"/>
      <c r="Y1766" s="54" t="n">
        <v>775.862069</v>
      </c>
      <c r="Z1766" s="54" t="n">
        <v>1724.137931</v>
      </c>
      <c r="AA1766" s="55">
        <f>IF(AND(A1766="", B1766="", E1766=""), "", IF(AB1766="", "Válido", IF((LEN(AB1766)-LEN(SUBSTITUTE(AB1766,"; ","")))/2+1&gt;(LEN(AB1766)-LEN(SUBSTITUTE(AB1766,"[Aviso]","")))/7, "Con Incidencias", "Válido")))</f>
        <v/>
      </c>
      <c r="AB1766" s="56">
        <f>IF(AND(A1766="", B1766="", E1766=""), "", TEXTJOIN("; ", TRUE, IF(OR(TRIM(A1766&amp;"")="", ISNUMBER(SEARCH("FALTA", A1766))), "UPC faltante/inválido", ""), IF(AND(A1766&lt;&gt;"", IFERROR(_xlfn.XMATCH(A1766,$A$2:$A$2509,0,1)&lt;&gt;_xlfn.XMATCH(A1766,$A$2:$A$2509,0,-1),FALSE)), "Código de barras duplicado", ""), IF(AND(E1766&lt;&gt;"", COUNTIF($E$2:$E$2509, E1766)&gt;1), "SKU duplicado", ""), IF(OR(J1766="", J1766=""), "[Aviso] División no capturada ()", IF(ISNA(MATCH(J1766, Criterios!$A$123:$A$126, 0)), "División no válida", "")), IF(OR(K1766="", K1766=""), "[Aviso] Categoría no capturada ()", IF(ISNA(MATCH(K1766, Criterios!$A$81:$A$120, 0)), "Categoría no válida", IF(AND(J1766&lt;&gt;"", J1766&lt;&gt;"", J1766&lt;&gt;VLOOKUP(K1766, Criterios!$A$81:$B$120, 2, FALSE)), "División no coincide con Categoría", ""))), IF(OR(L1766="", L1766=""), "[Aviso] Género no capturado ()", IF(ISNA(MATCH(L1766, Criterios!$B$123:$B$127, 0)), "Género no válido", "")), IF(OR(N1766="", N1766=""), "[Aviso] Temporada no capturada ()", IF(ISNA(MATCH(N1766, Criterios!$C$123:$C$128, 0)), "Temporada no válida", "")), IF(OR(O1766="", O1766=""), "[Aviso] Ciclo de vida no capturado ()", IF(ISNA(MATCH(O1766, Criterios!$D$123:$D$124, 0)), "Ciclo de vida no válido", ""))))</f>
        <v/>
      </c>
      <c r="AC1766" s="56" t="n"/>
      <c r="AD1766" s="51" t="n">
        <v>0</v>
      </c>
      <c r="AE1766" s="156" t="n"/>
      <c r="AF1766" s="51" t="n">
        <v>0</v>
      </c>
      <c r="AG1766" s="156" t="inlineStr">
        <is>
          <t>Catálogo existente</t>
        </is>
      </c>
      <c r="AH1766" s="156" t="n"/>
      <c r="AI1766" s="156" t="inlineStr">
        <is>
          <t>No</t>
        </is>
      </c>
      <c r="AJ1766" s="156" t="n"/>
      <c r="AK1766" s="155" t="inlineStr">
        <is>
          <t>Shopify Stetson: producto 15051555504491 / variante 53342131093867 | Odoo: producto 29945 / plantilla 38649</t>
        </is>
      </c>
      <c r="AL1766" s="58" t="n">
        <v>775.862069</v>
      </c>
      <c r="AM1766" s="58" t="n">
        <v>1724.137931</v>
      </c>
      <c r="AN1766" s="155" t="inlineStr">
        <is>
          <t>Shopify Stetson México | Odoo Universal Unique Brands</t>
        </is>
      </c>
      <c r="AO1766" s="59" t="n">
        <v>1</v>
      </c>
      <c r="AP1766" s="59" t="n"/>
      <c r="AQ1766" s="59" t="n">
        <v>1</v>
      </c>
      <c r="AR1766" s="155" t="inlineStr">
        <is>
          <t>Shopify Stetson México › Stetson Americas: 1 | Odoo Universal Unique Brands › Bodega 25 › Bodega 25/General: 1</t>
        </is>
      </c>
    </row>
    <row r="1767">
      <c r="A1767" s="50" t="inlineStr">
        <is>
          <t>884426316392</t>
        </is>
      </c>
      <c r="B1767" s="51" t="inlineStr">
        <is>
          <t>110728</t>
        </is>
      </c>
      <c r="C1767" s="156" t="inlineStr">
        <is>
          <t>Multimarca</t>
        </is>
      </c>
      <c r="D1767" s="156" t="inlineStr">
        <is>
          <t>11-054-0921-2407</t>
        </is>
      </c>
      <c r="E1767" s="156" t="inlineStr">
        <is>
          <t>11-054-0921-2407-6R</t>
        </is>
      </c>
      <c r="F1767" s="156" t="inlineStr">
        <is>
          <t>9</t>
        </is>
      </c>
      <c r="G1767" s="156" t="inlineStr">
        <is>
          <t>6</t>
        </is>
      </c>
      <c r="H1767" s="156" t="inlineStr">
        <is>
          <t>Stetson</t>
        </is>
      </c>
      <c r="I1767" s="156" t="inlineStr">
        <is>
          <t>Jean Mujer Bolsa Lisa con Yoke Decorativo</t>
        </is>
      </c>
      <c r="J1767" s="156" t="inlineStr">
        <is>
          <t>Denim</t>
        </is>
      </c>
      <c r="K1767" s="156" t="inlineStr">
        <is>
          <t>Jeans</t>
        </is>
      </c>
      <c r="L1767" s="156" t="inlineStr">
        <is>
          <t>Mujer</t>
        </is>
      </c>
      <c r="M1767" s="156" t="inlineStr">
        <is>
          <t>Stetson</t>
        </is>
      </c>
      <c r="N1767" s="156" t="inlineStr">
        <is>
          <t>SS26</t>
        </is>
      </c>
      <c r="O1767" s="156" t="inlineStr">
        <is>
          <t>Seasonal</t>
        </is>
      </c>
      <c r="P1767" s="156" t="inlineStr">
        <is>
          <t>Azul</t>
        </is>
      </c>
      <c r="Q1767" s="156" t="inlineStr">
        <is>
          <t>Slim</t>
        </is>
      </c>
      <c r="R1767" s="156" t="inlineStr">
        <is>
          <t>Recto</t>
        </is>
      </c>
      <c r="S1767" s="156" t="inlineStr">
        <is>
          <t>98% Algodón 2% Elastano</t>
        </is>
      </c>
      <c r="T1767" s="156" t="inlineStr">
        <is>
          <t>Jean Mujer Bolsa Lisa con Yoke Decorativo Fitted</t>
        </is>
      </c>
      <c r="U1767" s="156" t="n"/>
      <c r="V1767" s="156" t="inlineStr">
        <is>
          <t>PZS</t>
        </is>
      </c>
      <c r="W1767" s="51" t="inlineStr">
        <is>
          <t>53101503</t>
        </is>
      </c>
      <c r="X1767" s="156" t="n"/>
      <c r="Y1767" s="54" t="n">
        <v>775.862069</v>
      </c>
      <c r="Z1767" s="54" t="n">
        <v>1724.137931</v>
      </c>
      <c r="AA1767" s="55">
        <f>IF(AND(A1767="", B1767="", E1767=""), "", IF(AB1767="", "Válido", IF((LEN(AB1767)-LEN(SUBSTITUTE(AB1767,"; ","")))/2+1&gt;(LEN(AB1767)-LEN(SUBSTITUTE(AB1767,"[Aviso]","")))/7, "Con Incidencias", "Válido")))</f>
        <v/>
      </c>
      <c r="AB1767" s="56">
        <f>IF(AND(A1767="", B1767="", E1767=""), "", TEXTJOIN("; ", TRUE, IF(OR(TRIM(A1767&amp;"")="", ISNUMBER(SEARCH("FALTA", A1767))), "UPC faltante/inválido", ""), IF(AND(A1767&lt;&gt;"", IFERROR(_xlfn.XMATCH(A1767,$A$2:$A$2509,0,1)&lt;&gt;_xlfn.XMATCH(A1767,$A$2:$A$2509,0,-1),FALSE)), "Código de barras duplicado", ""), IF(AND(E1767&lt;&gt;"", COUNTIF($E$2:$E$2509, E1767)&gt;1), "SKU duplicado", ""), IF(OR(J1767="", J1767=""), "[Aviso] División no capturada ()", IF(ISNA(MATCH(J1767, Criterios!$A$123:$A$126, 0)), "División no válida", "")), IF(OR(K1767="", K1767=""), "[Aviso] Categoría no capturada ()", IF(ISNA(MATCH(K1767, Criterios!$A$81:$A$120, 0)), "Categoría no válida", IF(AND(J1767&lt;&gt;"", J1767&lt;&gt;"", J1767&lt;&gt;VLOOKUP(K1767, Criterios!$A$81:$B$120, 2, FALSE)), "División no coincide con Categoría", ""))), IF(OR(L1767="", L1767=""), "[Aviso] Género no capturado ()", IF(ISNA(MATCH(L1767, Criterios!$B$123:$B$127, 0)), "Género no válido", "")), IF(OR(N1767="", N1767=""), "[Aviso] Temporada no capturada ()", IF(ISNA(MATCH(N1767, Criterios!$C$123:$C$128, 0)), "Temporada no válida", "")), IF(OR(O1767="", O1767=""), "[Aviso] Ciclo de vida no capturado ()", IF(ISNA(MATCH(O1767, Criterios!$D$123:$D$124, 0)), "Ciclo de vida no válido", ""))))</f>
        <v/>
      </c>
      <c r="AC1767" s="56" t="n"/>
      <c r="AD1767" s="51" t="n">
        <v>-1</v>
      </c>
      <c r="AE1767" s="156" t="n"/>
      <c r="AF1767" s="51" t="n">
        <v>0</v>
      </c>
      <c r="AG1767" s="156" t="inlineStr">
        <is>
          <t>Catálogo existente</t>
        </is>
      </c>
      <c r="AH1767" s="156" t="inlineStr">
        <is>
          <t>Stock negativo en sistema: revisar en conteo</t>
        </is>
      </c>
      <c r="AI1767" s="156" t="inlineStr">
        <is>
          <t>Sí</t>
        </is>
      </c>
      <c r="AJ1767" s="156" t="inlineStr">
        <is>
          <t>STETSON AMERICAS (-1)</t>
        </is>
      </c>
      <c r="AK1767" s="155" t="inlineStr">
        <is>
          <t>Shopify Stetson: producto 15051555504491 / variante 53342131061099 | Odoo: producto 29944 / plantilla 38648</t>
        </is>
      </c>
      <c r="AL1767" s="58" t="n">
        <v>775.862069</v>
      </c>
      <c r="AM1767" s="58" t="n">
        <v>1724.137931</v>
      </c>
      <c r="AN1767" s="155" t="inlineStr">
        <is>
          <t>Shopify Stetson México | Odoo Universal Unique Brands</t>
        </is>
      </c>
      <c r="AO1767" s="59" t="n">
        <v>1</v>
      </c>
      <c r="AP1767" s="59" t="n"/>
      <c r="AQ1767" s="59" t="n">
        <v>2</v>
      </c>
      <c r="AR1767" s="155" t="inlineStr">
        <is>
          <t>Shopify Stetson México › Stetson Americas: 1 | Odoo Universal Unique Brands › Bodega 25 › Bodega 25/General: 2</t>
        </is>
      </c>
    </row>
    <row r="1768">
      <c r="A1768" s="50" t="inlineStr">
        <is>
          <t>884426316415</t>
        </is>
      </c>
      <c r="B1768" s="51" t="inlineStr">
        <is>
          <t>110729</t>
        </is>
      </c>
      <c r="C1768" s="156" t="inlineStr">
        <is>
          <t>Multimarca</t>
        </is>
      </c>
      <c r="D1768" s="156" t="inlineStr">
        <is>
          <t>11-054-0921-2407</t>
        </is>
      </c>
      <c r="E1768" s="156" t="inlineStr">
        <is>
          <t>11-054-0921-2407-8L</t>
        </is>
      </c>
      <c r="F1768" s="156" t="inlineStr">
        <is>
          <t>11 Largo</t>
        </is>
      </c>
      <c r="G1768" s="156" t="inlineStr">
        <is>
          <t>8 Long</t>
        </is>
      </c>
      <c r="H1768" s="156" t="inlineStr">
        <is>
          <t>Stetson</t>
        </is>
      </c>
      <c r="I1768" s="156" t="inlineStr">
        <is>
          <t>Jean Mujer Bolsa Lisa con Yoke Decorativo</t>
        </is>
      </c>
      <c r="J1768" s="156" t="inlineStr">
        <is>
          <t>Denim</t>
        </is>
      </c>
      <c r="K1768" s="156" t="inlineStr">
        <is>
          <t>Jeans</t>
        </is>
      </c>
      <c r="L1768" s="156" t="inlineStr">
        <is>
          <t>Mujer</t>
        </is>
      </c>
      <c r="M1768" s="156" t="inlineStr">
        <is>
          <t>Stetson</t>
        </is>
      </c>
      <c r="N1768" s="156" t="inlineStr">
        <is>
          <t>SS26</t>
        </is>
      </c>
      <c r="O1768" s="156" t="inlineStr">
        <is>
          <t>Seasonal</t>
        </is>
      </c>
      <c r="P1768" s="156" t="inlineStr">
        <is>
          <t>Azul</t>
        </is>
      </c>
      <c r="Q1768" s="156" t="inlineStr">
        <is>
          <t>Slim</t>
        </is>
      </c>
      <c r="R1768" s="156" t="inlineStr">
        <is>
          <t>Recto</t>
        </is>
      </c>
      <c r="S1768" s="156" t="inlineStr">
        <is>
          <t>98% Algodón 2% Elastano</t>
        </is>
      </c>
      <c r="T1768" s="156" t="inlineStr">
        <is>
          <t>Jean Mujer Bolsa Lisa con Yoke Decorativo Fitted</t>
        </is>
      </c>
      <c r="U1768" s="156" t="n"/>
      <c r="V1768" s="156" t="inlineStr">
        <is>
          <t>PZS</t>
        </is>
      </c>
      <c r="W1768" s="51" t="inlineStr">
        <is>
          <t>53101503</t>
        </is>
      </c>
      <c r="X1768" s="156" t="n"/>
      <c r="Y1768" s="54" t="n">
        <v>775.862069</v>
      </c>
      <c r="Z1768" s="54" t="n">
        <v>1724.137931</v>
      </c>
      <c r="AA1768" s="55">
        <f>IF(AND(A1768="", B1768="", E1768=""), "", IF(AB1768="", "Válido", IF((LEN(AB1768)-LEN(SUBSTITUTE(AB1768,"; ","")))/2+1&gt;(LEN(AB1768)-LEN(SUBSTITUTE(AB1768,"[Aviso]","")))/7, "Con Incidencias", "Válido")))</f>
        <v/>
      </c>
      <c r="AB1768" s="56">
        <f>IF(AND(A1768="", B1768="", E1768=""), "", TEXTJOIN("; ", TRUE, IF(OR(TRIM(A1768&amp;"")="", ISNUMBER(SEARCH("FALTA", A1768))), "UPC faltante/inválido", ""), IF(AND(A1768&lt;&gt;"", IFERROR(_xlfn.XMATCH(A1768,$A$2:$A$2509,0,1)&lt;&gt;_xlfn.XMATCH(A1768,$A$2:$A$2509,0,-1),FALSE)), "Código de barras duplicado", ""), IF(AND(E1768&lt;&gt;"", COUNTIF($E$2:$E$2509, E1768)&gt;1), "SKU duplicado", ""), IF(OR(J1768="", J1768=""), "[Aviso] División no capturada ()", IF(ISNA(MATCH(J1768, Criterios!$A$123:$A$126, 0)), "División no válida", "")), IF(OR(K1768="", K1768=""), "[Aviso] Categoría no capturada ()", IF(ISNA(MATCH(K1768, Criterios!$A$81:$A$120, 0)), "Categoría no válida", IF(AND(J1768&lt;&gt;"", J1768&lt;&gt;"", J1768&lt;&gt;VLOOKUP(K1768, Criterios!$A$81:$B$120, 2, FALSE)), "División no coincide con Categoría", ""))), IF(OR(L1768="", L1768=""), "[Aviso] Género no capturado ()", IF(ISNA(MATCH(L1768, Criterios!$B$123:$B$127, 0)), "Género no válido", "")), IF(OR(N1768="", N1768=""), "[Aviso] Temporada no capturada ()", IF(ISNA(MATCH(N1768, Criterios!$C$123:$C$128, 0)), "Temporada no válida", "")), IF(OR(O1768="", O1768=""), "[Aviso] Ciclo de vida no capturado ()", IF(ISNA(MATCH(O1768, Criterios!$D$123:$D$124, 0)), "Ciclo de vida no válido", ""))))</f>
        <v/>
      </c>
      <c r="AC1768" s="56" t="n"/>
      <c r="AD1768" s="51" t="n">
        <v>0</v>
      </c>
      <c r="AE1768" s="156" t="n"/>
      <c r="AF1768" s="51" t="n">
        <v>0</v>
      </c>
      <c r="AG1768" s="156" t="inlineStr">
        <is>
          <t>Catálogo existente</t>
        </is>
      </c>
      <c r="AH1768" s="156" t="n"/>
      <c r="AI1768" s="156" t="inlineStr">
        <is>
          <t>No</t>
        </is>
      </c>
      <c r="AJ1768" s="156" t="n"/>
      <c r="AK1768" s="155" t="inlineStr">
        <is>
          <t>Shopify Stetson: producto 15051555504491 / variante 53342131159403 | Odoo: producto 29947 / plantilla 38651</t>
        </is>
      </c>
      <c r="AL1768" s="58" t="n">
        <v>775.862069</v>
      </c>
      <c r="AM1768" s="58" t="n">
        <v>1724.137931</v>
      </c>
      <c r="AN1768" s="155" t="inlineStr">
        <is>
          <t>Shopify Stetson México | Odoo Universal Unique Brands</t>
        </is>
      </c>
      <c r="AO1768" s="59" t="n">
        <v>1</v>
      </c>
      <c r="AP1768" s="59" t="n"/>
      <c r="AQ1768" s="59" t="n">
        <v>1</v>
      </c>
      <c r="AR1768" s="155" t="inlineStr">
        <is>
          <t>Shopify Stetson México › Stetson Americas: 1 | Odoo Universal Unique Brands › Bodega 25 › Bodega 25/General: 1</t>
        </is>
      </c>
    </row>
    <row r="1769">
      <c r="A1769" s="50" t="inlineStr">
        <is>
          <t>884426316422</t>
        </is>
      </c>
      <c r="B1769" s="51" t="inlineStr">
        <is>
          <t>110730</t>
        </is>
      </c>
      <c r="C1769" s="156" t="inlineStr">
        <is>
          <t>Multimarca</t>
        </is>
      </c>
      <c r="D1769" s="156" t="inlineStr">
        <is>
          <t>11-054-0921-2407</t>
        </is>
      </c>
      <c r="E1769" s="156" t="inlineStr">
        <is>
          <t>11-054-0921-2407-8R</t>
        </is>
      </c>
      <c r="F1769" s="156" t="inlineStr">
        <is>
          <t>11</t>
        </is>
      </c>
      <c r="G1769" s="156" t="inlineStr">
        <is>
          <t>8</t>
        </is>
      </c>
      <c r="H1769" s="156" t="inlineStr">
        <is>
          <t>Stetson</t>
        </is>
      </c>
      <c r="I1769" s="156" t="inlineStr">
        <is>
          <t>Jean Mujer Bolsa Lisa con Yoke Decorativo</t>
        </is>
      </c>
      <c r="J1769" s="156" t="inlineStr">
        <is>
          <t>Denim</t>
        </is>
      </c>
      <c r="K1769" s="156" t="inlineStr">
        <is>
          <t>Jeans</t>
        </is>
      </c>
      <c r="L1769" s="156" t="inlineStr">
        <is>
          <t>Mujer</t>
        </is>
      </c>
      <c r="M1769" s="156" t="inlineStr">
        <is>
          <t>Stetson</t>
        </is>
      </c>
      <c r="N1769" s="156" t="inlineStr">
        <is>
          <t>SS26</t>
        </is>
      </c>
      <c r="O1769" s="156" t="inlineStr">
        <is>
          <t>Seasonal</t>
        </is>
      </c>
      <c r="P1769" s="156" t="inlineStr">
        <is>
          <t>Azul</t>
        </is>
      </c>
      <c r="Q1769" s="156" t="inlineStr">
        <is>
          <t>Slim</t>
        </is>
      </c>
      <c r="R1769" s="156" t="inlineStr">
        <is>
          <t>Recto</t>
        </is>
      </c>
      <c r="S1769" s="156" t="inlineStr">
        <is>
          <t>98% Algodón 2% Elastano</t>
        </is>
      </c>
      <c r="T1769" s="156" t="inlineStr">
        <is>
          <t>Jean Mujer Bolsa Lisa con Yoke Decorativo Fitted</t>
        </is>
      </c>
      <c r="U1769" s="156" t="n"/>
      <c r="V1769" s="156" t="inlineStr">
        <is>
          <t>PZS</t>
        </is>
      </c>
      <c r="W1769" s="51" t="inlineStr">
        <is>
          <t>53101503</t>
        </is>
      </c>
      <c r="X1769" s="156" t="n"/>
      <c r="Y1769" s="54" t="n">
        <v>775.862069</v>
      </c>
      <c r="Z1769" s="54" t="n">
        <v>1724.137931</v>
      </c>
      <c r="AA1769" s="55">
        <f>IF(AND(A1769="", B1769="", E1769=""), "", IF(AB1769="", "Válido", IF((LEN(AB1769)-LEN(SUBSTITUTE(AB1769,"; ","")))/2+1&gt;(LEN(AB1769)-LEN(SUBSTITUTE(AB1769,"[Aviso]","")))/7, "Con Incidencias", "Válido")))</f>
        <v/>
      </c>
      <c r="AB1769" s="56">
        <f>IF(AND(A1769="", B1769="", E1769=""), "", TEXTJOIN("; ", TRUE, IF(OR(TRIM(A1769&amp;"")="", ISNUMBER(SEARCH("FALTA", A1769))), "UPC faltante/inválido", ""), IF(AND(A1769&lt;&gt;"", IFERROR(_xlfn.XMATCH(A1769,$A$2:$A$2509,0,1)&lt;&gt;_xlfn.XMATCH(A1769,$A$2:$A$2509,0,-1),FALSE)), "Código de barras duplicado", ""), IF(AND(E1769&lt;&gt;"", COUNTIF($E$2:$E$2509, E1769)&gt;1), "SKU duplicado", ""), IF(OR(J1769="", J1769=""), "[Aviso] División no capturada ()", IF(ISNA(MATCH(J1769, Criterios!$A$123:$A$126, 0)), "División no válida", "")), IF(OR(K1769="", K1769=""), "[Aviso] Categoría no capturada ()", IF(ISNA(MATCH(K1769, Criterios!$A$81:$A$120, 0)), "Categoría no válida", IF(AND(J1769&lt;&gt;"", J1769&lt;&gt;"", J1769&lt;&gt;VLOOKUP(K1769, Criterios!$A$81:$B$120, 2, FALSE)), "División no coincide con Categoría", ""))), IF(OR(L1769="", L1769=""), "[Aviso] Género no capturado ()", IF(ISNA(MATCH(L1769, Criterios!$B$123:$B$127, 0)), "Género no válido", "")), IF(OR(N1769="", N1769=""), "[Aviso] Temporada no capturada ()", IF(ISNA(MATCH(N1769, Criterios!$C$123:$C$128, 0)), "Temporada no válida", "")), IF(OR(O1769="", O1769=""), "[Aviso] Ciclo de vida no capturado ()", IF(ISNA(MATCH(O1769, Criterios!$D$123:$D$124, 0)), "Ciclo de vida no válido", ""))))</f>
        <v/>
      </c>
      <c r="AC1769" s="56" t="n"/>
      <c r="AD1769" s="51" t="n">
        <v>-2</v>
      </c>
      <c r="AE1769" s="156" t="n"/>
      <c r="AF1769" s="51" t="n">
        <v>0</v>
      </c>
      <c r="AG1769" s="156" t="inlineStr">
        <is>
          <t>Catálogo existente</t>
        </is>
      </c>
      <c r="AH1769" s="156" t="inlineStr">
        <is>
          <t>Stock negativo en sistema: revisar en conteo</t>
        </is>
      </c>
      <c r="AI1769" s="156" t="inlineStr">
        <is>
          <t>Sí</t>
        </is>
      </c>
      <c r="AJ1769" s="156" t="inlineStr">
        <is>
          <t>STETSON AMERICAS (-2)</t>
        </is>
      </c>
      <c r="AK1769" s="155" t="inlineStr">
        <is>
          <t>Shopify Stetson: producto 15051555504491 / variante 53342131126635 | Odoo: producto 29946 / plantilla 38650</t>
        </is>
      </c>
      <c r="AL1769" s="58" t="n">
        <v>775.862069</v>
      </c>
      <c r="AM1769" s="58" t="n">
        <v>1724.137931</v>
      </c>
      <c r="AN1769" s="155" t="inlineStr">
        <is>
          <t>Shopify Stetson México | Odoo Universal Unique Brands</t>
        </is>
      </c>
      <c r="AO1769" s="59" t="n">
        <v>0</v>
      </c>
      <c r="AP1769" s="59" t="n"/>
      <c r="AQ1769" s="59" t="n">
        <v>2</v>
      </c>
      <c r="AR1769" s="155" t="inlineStr">
        <is>
          <t>Odoo Universal Unique Brands › Bodega 25 › Bodega 25/General: 2</t>
        </is>
      </c>
    </row>
    <row r="1770">
      <c r="A1770" s="50" t="inlineStr">
        <is>
          <t>884426365352</t>
        </is>
      </c>
      <c r="B1770" s="51" t="inlineStr">
        <is>
          <t>110791</t>
        </is>
      </c>
      <c r="C1770" s="156" t="inlineStr">
        <is>
          <t>Multimarca</t>
        </is>
      </c>
      <c r="D1770" s="156" t="inlineStr">
        <is>
          <t>11-097-0539-6632</t>
        </is>
      </c>
      <c r="E1770" s="156" t="inlineStr">
        <is>
          <t>11-097-0539-6632-M</t>
        </is>
      </c>
      <c r="F1770" s="156" t="inlineStr">
        <is>
          <t>M</t>
        </is>
      </c>
      <c r="G1770" s="156" t="inlineStr">
        <is>
          <t>M</t>
        </is>
      </c>
      <c r="H1770" s="156" t="inlineStr">
        <is>
          <t>Stetson</t>
        </is>
      </c>
      <c r="I1770" s="156" t="inlineStr">
        <is>
          <t>Chamarra Jean Piel Negra Desgastada</t>
        </is>
      </c>
      <c r="J1770" s="156" t="inlineStr">
        <is>
          <t>Ropa</t>
        </is>
      </c>
      <c r="K1770" s="156" t="inlineStr">
        <is>
          <t>Chamarras</t>
        </is>
      </c>
      <c r="L1770" s="156" t="inlineStr">
        <is>
          <t>Hombre</t>
        </is>
      </c>
      <c r="M1770" s="156" t="inlineStr">
        <is>
          <t>Stetson</t>
        </is>
      </c>
      <c r="N1770" s="156" t="inlineStr">
        <is>
          <t>SS26</t>
        </is>
      </c>
      <c r="O1770" s="156" t="inlineStr">
        <is>
          <t>Seasonal</t>
        </is>
      </c>
      <c r="P1770" s="156" t="inlineStr">
        <is>
          <t>Negro</t>
        </is>
      </c>
      <c r="Q1770" s="156" t="inlineStr">
        <is>
          <t>Regular</t>
        </is>
      </c>
      <c r="R1770" s="156" t="n"/>
      <c r="S1770" s="156" t="inlineStr">
        <is>
          <t>Cuero</t>
        </is>
      </c>
      <c r="T1770" s="156" t="inlineStr">
        <is>
          <t>Chamarra Jean Piel Negra Desgastada Regular</t>
        </is>
      </c>
      <c r="U1770" s="156" t="n"/>
      <c r="V1770" s="156" t="inlineStr">
        <is>
          <t>PZS</t>
        </is>
      </c>
      <c r="W1770" s="51" t="inlineStr">
        <is>
          <t>53101802</t>
        </is>
      </c>
      <c r="X1770" s="156" t="n"/>
      <c r="Y1770" s="54" t="n">
        <v>3607.758621</v>
      </c>
      <c r="Z1770" s="54" t="n">
        <v>8017.241379</v>
      </c>
      <c r="AA1770" s="55">
        <f>IF(AND(A1770="", B1770="", E1770=""), "", IF(AB1770="", "Válido", IF((LEN(AB1770)-LEN(SUBSTITUTE(AB1770,"; ","")))/2+1&gt;(LEN(AB1770)-LEN(SUBSTITUTE(AB1770,"[Aviso]","")))/7, "Con Incidencias", "Válido")))</f>
        <v/>
      </c>
      <c r="AB1770" s="56">
        <f>IF(AND(A1770="", B1770="", E1770=""), "", TEXTJOIN("; ", TRUE, IF(OR(TRIM(A1770&amp;"")="", ISNUMBER(SEARCH("FALTA", A1770))), "UPC faltante/inválido", ""), IF(AND(A1770&lt;&gt;"", IFERROR(_xlfn.XMATCH(A1770,$A$2:$A$2509,0,1)&lt;&gt;_xlfn.XMATCH(A1770,$A$2:$A$2509,0,-1),FALSE)), "Código de barras duplicado", ""), IF(AND(E1770&lt;&gt;"", COUNTIF($E$2:$E$2509, E1770)&gt;1), "SKU duplicado", ""), IF(OR(J1770="", J1770=""), "[Aviso] División no capturada ()", IF(ISNA(MATCH(J1770, Criterios!$A$123:$A$126, 0)), "División no válida", "")), IF(OR(K1770="", K1770=""), "[Aviso] Categoría no capturada ()", IF(ISNA(MATCH(K1770, Criterios!$A$81:$A$120, 0)), "Categoría no válida", IF(AND(J1770&lt;&gt;"", J1770&lt;&gt;"", J1770&lt;&gt;VLOOKUP(K1770, Criterios!$A$81:$B$120, 2, FALSE)), "División no coincide con Categoría", ""))), IF(OR(L1770="", L1770=""), "[Aviso] Género no capturado ()", IF(ISNA(MATCH(L1770, Criterios!$B$123:$B$127, 0)), "Género no válido", "")), IF(OR(N1770="", N1770=""), "[Aviso] Temporada no capturada ()", IF(ISNA(MATCH(N1770, Criterios!$C$123:$C$128, 0)), "Temporada no válida", "")), IF(OR(O1770="", O1770=""), "[Aviso] Ciclo de vida no capturado ()", IF(ISNA(MATCH(O1770, Criterios!$D$123:$D$124, 0)), "Ciclo de vida no válido", ""))))</f>
        <v/>
      </c>
      <c r="AC1770" s="56" t="n"/>
      <c r="AD1770" s="51" t="n">
        <v>-2</v>
      </c>
      <c r="AE1770" s="156" t="n"/>
      <c r="AF1770" s="51" t="n">
        <v>0</v>
      </c>
      <c r="AG1770" s="156" t="inlineStr">
        <is>
          <t>Catálogo existente</t>
        </is>
      </c>
      <c r="AH1770" s="156" t="inlineStr">
        <is>
          <t>Stock negativo en sistema: revisar en conteo | Revisión 29/09/2026: Campos sin respaldo: U, X; Auditoría NetSuite 30/09/2026: llenado desde NetSuite [S] | 01/10/2026: complementado desde Shopify Stetson México (match por código de barras): WB Silueta</t>
        </is>
      </c>
      <c r="AI1770" s="156" t="inlineStr">
        <is>
          <t>Sí</t>
        </is>
      </c>
      <c r="AJ1770" s="156" t="inlineStr">
        <is>
          <t>STETSON AMERICAS (-2)</t>
        </is>
      </c>
      <c r="AK1770" s="155" t="inlineStr">
        <is>
          <t>Criterios: J [R]; G1522_Extraccion_Articulos_NetSuite_2026-09-30.xlsx: fila 58606 [S] | Shopify Stetson: producto 15051552751979 / variante 53350589071723 | Odoo: producto 29687 / plantilla 38391</t>
        </is>
      </c>
      <c r="AL1770" s="58" t="n">
        <v>3607.758621</v>
      </c>
      <c r="AM1770" s="58" t="n">
        <v>8017.241379</v>
      </c>
      <c r="AN1770" s="155" t="inlineStr">
        <is>
          <t>Shopify Stetson México | Odoo Universal Unique Brands</t>
        </is>
      </c>
      <c r="AO1770" s="59" t="n">
        <v>0</v>
      </c>
      <c r="AP1770" s="59" t="n"/>
      <c r="AQ1770" s="59" t="n">
        <v>2</v>
      </c>
      <c r="AR1770" s="155" t="inlineStr">
        <is>
          <t>Odoo Universal Unique Brands › Bodega 25 › Bodega 25/General: 2</t>
        </is>
      </c>
    </row>
    <row r="1771">
      <c r="A1771" s="50" t="inlineStr">
        <is>
          <t>884426365383</t>
        </is>
      </c>
      <c r="B1771" s="51" t="inlineStr">
        <is>
          <t>110792</t>
        </is>
      </c>
      <c r="C1771" s="156" t="inlineStr">
        <is>
          <t>Multimarca</t>
        </is>
      </c>
      <c r="D1771" s="156" t="inlineStr">
        <is>
          <t>11-097-0539-6632</t>
        </is>
      </c>
      <c r="E1771" s="156" t="inlineStr">
        <is>
          <t>11-097-0539-6632-XL</t>
        </is>
      </c>
      <c r="F1771" s="156" t="inlineStr">
        <is>
          <t>XL</t>
        </is>
      </c>
      <c r="G1771" s="156" t="inlineStr">
        <is>
          <t>XL</t>
        </is>
      </c>
      <c r="H1771" s="156" t="inlineStr">
        <is>
          <t>Stetson</t>
        </is>
      </c>
      <c r="I1771" s="156" t="inlineStr">
        <is>
          <t>Chamarra Jean Piel Negra Desgastada</t>
        </is>
      </c>
      <c r="J1771" s="156" t="inlineStr">
        <is>
          <t>Ropa</t>
        </is>
      </c>
      <c r="K1771" s="156" t="inlineStr">
        <is>
          <t>Chamarras</t>
        </is>
      </c>
      <c r="L1771" s="156" t="inlineStr">
        <is>
          <t>Hombre</t>
        </is>
      </c>
      <c r="M1771" s="156" t="inlineStr">
        <is>
          <t>Stetson</t>
        </is>
      </c>
      <c r="N1771" s="156" t="inlineStr">
        <is>
          <t>SS26</t>
        </is>
      </c>
      <c r="O1771" s="156" t="inlineStr">
        <is>
          <t>Seasonal</t>
        </is>
      </c>
      <c r="P1771" s="156" t="inlineStr">
        <is>
          <t>Negro</t>
        </is>
      </c>
      <c r="Q1771" s="156" t="inlineStr">
        <is>
          <t>Regular</t>
        </is>
      </c>
      <c r="R1771" s="156" t="n"/>
      <c r="S1771" s="156" t="inlineStr">
        <is>
          <t>Cuero</t>
        </is>
      </c>
      <c r="T1771" s="156" t="inlineStr">
        <is>
          <t>Chamarra Jean Piel Negra Desgastada Regular</t>
        </is>
      </c>
      <c r="U1771" s="156" t="n"/>
      <c r="V1771" s="156" t="inlineStr">
        <is>
          <t>PZS</t>
        </is>
      </c>
      <c r="W1771" s="51" t="inlineStr">
        <is>
          <t>53101802</t>
        </is>
      </c>
      <c r="X1771" s="156" t="n"/>
      <c r="Y1771" s="54" t="n">
        <v>3607.758621</v>
      </c>
      <c r="Z1771" s="54" t="n">
        <v>8017.241379</v>
      </c>
      <c r="AA1771" s="55">
        <f>IF(AND(A1771="", B1771="", E1771=""), "", IF(AB1771="", "Válido", IF((LEN(AB1771)-LEN(SUBSTITUTE(AB1771,"; ","")))/2+1&gt;(LEN(AB1771)-LEN(SUBSTITUTE(AB1771,"[Aviso]","")))/7, "Con Incidencias", "Válido")))</f>
        <v/>
      </c>
      <c r="AB1771" s="56">
        <f>IF(AND(A1771="", B1771="", E1771=""), "", TEXTJOIN("; ", TRUE, IF(OR(TRIM(A1771&amp;"")="", ISNUMBER(SEARCH("FALTA", A1771))), "UPC faltante/inválido", ""), IF(AND(A1771&lt;&gt;"", IFERROR(_xlfn.XMATCH(A1771,$A$2:$A$2509,0,1)&lt;&gt;_xlfn.XMATCH(A1771,$A$2:$A$2509,0,-1),FALSE)), "Código de barras duplicado", ""), IF(AND(E1771&lt;&gt;"", COUNTIF($E$2:$E$2509, E1771)&gt;1), "SKU duplicado", ""), IF(OR(J1771="", J1771=""), "[Aviso] División no capturada ()", IF(ISNA(MATCH(J1771, Criterios!$A$123:$A$126, 0)), "División no válida", "")), IF(OR(K1771="", K1771=""), "[Aviso] Categoría no capturada ()", IF(ISNA(MATCH(K1771, Criterios!$A$81:$A$120, 0)), "Categoría no válida", IF(AND(J1771&lt;&gt;"", J1771&lt;&gt;"", J1771&lt;&gt;VLOOKUP(K1771, Criterios!$A$81:$B$120, 2, FALSE)), "División no coincide con Categoría", ""))), IF(OR(L1771="", L1771=""), "[Aviso] Género no capturado ()", IF(ISNA(MATCH(L1771, Criterios!$B$123:$B$127, 0)), "Género no válido", "")), IF(OR(N1771="", N1771=""), "[Aviso] Temporada no capturada ()", IF(ISNA(MATCH(N1771, Criterios!$C$123:$C$128, 0)), "Temporada no válida", "")), IF(OR(O1771="", O1771=""), "[Aviso] Ciclo de vida no capturado ()", IF(ISNA(MATCH(O1771, Criterios!$D$123:$D$124, 0)), "Ciclo de vida no válido", ""))))</f>
        <v/>
      </c>
      <c r="AC1771" s="56" t="n"/>
      <c r="AD1771" s="51" t="n">
        <v>-2</v>
      </c>
      <c r="AE1771" s="156" t="n"/>
      <c r="AF1771" s="51" t="n">
        <v>0</v>
      </c>
      <c r="AG1771" s="156" t="inlineStr">
        <is>
          <t>Catálogo existente</t>
        </is>
      </c>
      <c r="AH1771" s="156" t="inlineStr">
        <is>
          <t>Stock negativo en sistema: revisar en conteo | Revisión 29/09/2026: Campos sin respaldo: U, X; Auditoría NetSuite 30/09/2026: llenado desde NetSuite [S] | 01/10/2026: complementado desde Shopify Stetson México (match por código de barras): WB Silueta</t>
        </is>
      </c>
      <c r="AI1771" s="156" t="inlineStr">
        <is>
          <t>Sí</t>
        </is>
      </c>
      <c r="AJ1771" s="156" t="inlineStr">
        <is>
          <t>STETSON AMERICAS (-2)</t>
        </is>
      </c>
      <c r="AK1771" s="155" t="inlineStr">
        <is>
          <t>Criterios: J [R]; G1522_Extraccion_Articulos_NetSuite_2026-09-30.xlsx: fila 58607 [S] | Shopify Stetson: producto 15051552751979 / variante 53350589104491 | Odoo: producto 29688 / plantilla 38392</t>
        </is>
      </c>
      <c r="AL1771" s="58" t="n">
        <v>3607.758621</v>
      </c>
      <c r="AM1771" s="58" t="n">
        <v>8017.241379</v>
      </c>
      <c r="AN1771" s="155" t="inlineStr">
        <is>
          <t>Shopify Stetson México | Odoo Universal Unique Brands</t>
        </is>
      </c>
      <c r="AO1771" s="59" t="n">
        <v>0</v>
      </c>
      <c r="AP1771" s="59" t="n"/>
      <c r="AQ1771" s="59" t="n">
        <v>2</v>
      </c>
      <c r="AR1771" s="155" t="inlineStr">
        <is>
          <t>Odoo Universal Unique Brands › Bodega 25 › Bodega 25/General: 2</t>
        </is>
      </c>
    </row>
    <row r="1772">
      <c r="A1772" s="50" t="inlineStr">
        <is>
          <t>884426489379</t>
        </is>
      </c>
      <c r="B1772" s="51" t="inlineStr">
        <is>
          <t>109537</t>
        </is>
      </c>
      <c r="C1772" s="156" t="inlineStr">
        <is>
          <t>Multimarca</t>
        </is>
      </c>
      <c r="D1772" s="156" t="inlineStr">
        <is>
          <t>11-001-0465-0073</t>
        </is>
      </c>
      <c r="E1772" s="156" t="inlineStr">
        <is>
          <t>11-001-0465-0073-L</t>
        </is>
      </c>
      <c r="F1772" s="156" t="inlineStr">
        <is>
          <t>L</t>
        </is>
      </c>
      <c r="G1772" s="156" t="inlineStr">
        <is>
          <t>L</t>
        </is>
      </c>
      <c r="H1772" s="156" t="inlineStr">
        <is>
          <t>Stetson</t>
        </is>
      </c>
      <c r="I1772" s="156" t="inlineStr">
        <is>
          <t>Camisa Manga Larga Mezclilla Negra</t>
        </is>
      </c>
      <c r="J1772" s="156" t="inlineStr">
        <is>
          <t>Ropa</t>
        </is>
      </c>
      <c r="K1772" s="156" t="inlineStr">
        <is>
          <t>Camisas</t>
        </is>
      </c>
      <c r="L1772" s="156" t="inlineStr">
        <is>
          <t>Hombre</t>
        </is>
      </c>
      <c r="M1772" s="156" t="inlineStr">
        <is>
          <t>Stetson</t>
        </is>
      </c>
      <c r="N1772" s="156" t="inlineStr">
        <is>
          <t>SS26</t>
        </is>
      </c>
      <c r="O1772" s="156" t="inlineStr">
        <is>
          <t>Seasonal</t>
        </is>
      </c>
      <c r="P1772" s="156" t="inlineStr">
        <is>
          <t>Azul</t>
        </is>
      </c>
      <c r="Q1772" s="156" t="inlineStr">
        <is>
          <t>Clásico</t>
        </is>
      </c>
      <c r="R1772" s="156" t="n"/>
      <c r="S1772" s="156" t="inlineStr">
        <is>
          <t>Mezclilla</t>
        </is>
      </c>
      <c r="T1772"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2" s="156" t="n"/>
      <c r="V1772" s="156" t="inlineStr">
        <is>
          <t>PZS</t>
        </is>
      </c>
      <c r="W1772" s="51" t="inlineStr">
        <is>
          <t>53101600</t>
        </is>
      </c>
      <c r="X1772" s="156" t="inlineStr">
        <is>
          <t>https://cdn.shopify.com/s/files/1/0888/3250/8267/files/1100104650073c.jpg?v=1744233326</t>
        </is>
      </c>
      <c r="Y1772" s="54" t="n">
        <v>717.6724138</v>
      </c>
      <c r="Z1772" s="54" t="n">
        <v>1594.827586</v>
      </c>
      <c r="AA1772" s="55">
        <f>IF(AND(A1772="", B1772="", E1772=""), "", IF(AB1772="", "Válido", IF((LEN(AB1772)-LEN(SUBSTITUTE(AB1772,"; ","")))/2+1&gt;(LEN(AB1772)-LEN(SUBSTITUTE(AB1772,"[Aviso]","")))/7, "Con Incidencias", "Válido")))</f>
        <v/>
      </c>
      <c r="AB1772" s="56">
        <f>IF(AND(A1772="", B1772="", E1772=""), "", TEXTJOIN("; ", TRUE, IF(OR(TRIM(A1772&amp;"")="", ISNUMBER(SEARCH("FALTA", A1772))), "UPC faltante/inválido", ""), IF(AND(A1772&lt;&gt;"", IFERROR(_xlfn.XMATCH(A1772,$A$2:$A$2509,0,1)&lt;&gt;_xlfn.XMATCH(A1772,$A$2:$A$2509,0,-1),FALSE)), "Código de barras duplicado", ""), IF(AND(E1772&lt;&gt;"", COUNTIF($E$2:$E$2509, E1772)&gt;1), "SKU duplicado", ""), IF(OR(J1772="", J1772=""), "[Aviso] División no capturada ()", IF(ISNA(MATCH(J1772, Criterios!$A$123:$A$126, 0)), "División no válida", "")), IF(OR(K1772="", K1772=""), "[Aviso] Categoría no capturada ()", IF(ISNA(MATCH(K1772, Criterios!$A$81:$A$120, 0)), "Categoría no válida", IF(AND(J1772&lt;&gt;"", J1772&lt;&gt;"", J1772&lt;&gt;VLOOKUP(K1772, Criterios!$A$81:$B$120, 2, FALSE)), "División no coincide con Categoría", ""))), IF(OR(L1772="", L1772=""), "[Aviso] Género no capturado ()", IF(ISNA(MATCH(L1772, Criterios!$B$123:$B$127, 0)), "Género no válido", "")), IF(OR(N1772="", N1772=""), "[Aviso] Temporada no capturada ()", IF(ISNA(MATCH(N1772, Criterios!$C$123:$C$128, 0)), "Temporada no válida", "")), IF(OR(O1772="", O1772=""), "[Aviso] Ciclo de vida no capturado ()", IF(ISNA(MATCH(O1772, Criterios!$D$123:$D$124, 0)), "Ciclo de vida no válido", ""))))</f>
        <v/>
      </c>
      <c r="AC1772" s="56" t="n"/>
      <c r="AD1772" s="51" t="n">
        <v>0</v>
      </c>
      <c r="AE1772" s="156" t="n"/>
      <c r="AF1772" s="51" t="n">
        <v>0</v>
      </c>
      <c r="AG1772" s="156" t="inlineStr">
        <is>
          <t>Catálogo existente</t>
        </is>
      </c>
      <c r="AH1772" s="156" t="inlineStr">
        <is>
          <t>Revisión 29/09/2026: Campos sin respaldo: U; Auditoría NetSuite 30/09/2026: llenado desde NetSuite [S] | 01/10/2026: complementado desde Shopify Stetson México (match por código de barras): WB Silueta</t>
        </is>
      </c>
      <c r="AI1772" s="156" t="inlineStr">
        <is>
          <t>No</t>
        </is>
      </c>
      <c r="AJ1772" s="156" t="n"/>
      <c r="AK1772" s="155" t="inlineStr">
        <is>
          <t>Criterios: J [R]; G1522_Extraccion_Articulos_NetSuite_2026-09-30.xlsx: fila 57352 [S] | Shopify Stetson: producto 14693945147755 / variante 51994454983019</t>
        </is>
      </c>
      <c r="AL1772" s="58" t="n">
        <v>717.6724138</v>
      </c>
      <c r="AM1772" s="58" t="n">
        <v>1594.827586</v>
      </c>
      <c r="AN1772" s="155" t="inlineStr">
        <is>
          <t>Shopify Stetson México</t>
        </is>
      </c>
      <c r="AO1772" s="59" t="n">
        <v>0</v>
      </c>
      <c r="AP1772" s="59" t="n"/>
      <c r="AQ1772" s="59" t="n"/>
      <c r="AR1772" s="155" t="n"/>
    </row>
    <row r="1773">
      <c r="A1773" s="50" t="inlineStr">
        <is>
          <t>884426489386</t>
        </is>
      </c>
      <c r="B1773" s="51" t="inlineStr">
        <is>
          <t>109538</t>
        </is>
      </c>
      <c r="C1773" s="156" t="inlineStr">
        <is>
          <t>Multimarca</t>
        </is>
      </c>
      <c r="D1773" s="156" t="inlineStr">
        <is>
          <t>11-001-0465-0073</t>
        </is>
      </c>
      <c r="E1773" s="156" t="inlineStr">
        <is>
          <t>11-001-0465-0073-M</t>
        </is>
      </c>
      <c r="F1773" s="156" t="inlineStr">
        <is>
          <t>M</t>
        </is>
      </c>
      <c r="G1773" s="156" t="inlineStr">
        <is>
          <t>M</t>
        </is>
      </c>
      <c r="H1773" s="156" t="inlineStr">
        <is>
          <t>Stetson</t>
        </is>
      </c>
      <c r="I1773" s="156" t="inlineStr">
        <is>
          <t>Camisa Manga Larga Mezclilla Negra</t>
        </is>
      </c>
      <c r="J1773" s="156" t="inlineStr">
        <is>
          <t>Ropa</t>
        </is>
      </c>
      <c r="K1773" s="156" t="inlineStr">
        <is>
          <t>Camisas</t>
        </is>
      </c>
      <c r="L1773" s="156" t="inlineStr">
        <is>
          <t>Hombre</t>
        </is>
      </c>
      <c r="M1773" s="156" t="inlineStr">
        <is>
          <t>Stetson</t>
        </is>
      </c>
      <c r="N1773" s="156" t="inlineStr">
        <is>
          <t>SS26</t>
        </is>
      </c>
      <c r="O1773" s="156" t="inlineStr">
        <is>
          <t>Seasonal</t>
        </is>
      </c>
      <c r="P1773" s="156" t="inlineStr">
        <is>
          <t>Azul</t>
        </is>
      </c>
      <c r="Q1773" s="156" t="inlineStr">
        <is>
          <t>Clásico</t>
        </is>
      </c>
      <c r="R1773" s="156" t="n"/>
      <c r="S1773" s="156" t="inlineStr">
        <is>
          <t>Mezclilla</t>
        </is>
      </c>
      <c r="T1773"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3" s="156" t="n"/>
      <c r="V1773" s="156" t="inlineStr">
        <is>
          <t>PZS</t>
        </is>
      </c>
      <c r="W1773" s="51" t="inlineStr">
        <is>
          <t>53101600</t>
        </is>
      </c>
      <c r="X1773" s="156" t="inlineStr">
        <is>
          <t>https://cdn.shopify.com/s/files/1/0888/3250/8267/files/1100104650073b.jpg?v=1744233299</t>
        </is>
      </c>
      <c r="Y1773" s="54" t="n">
        <v>717.6724138</v>
      </c>
      <c r="Z1773" s="54" t="n">
        <v>1594.827586</v>
      </c>
      <c r="AA1773" s="55">
        <f>IF(AND(A1773="", B1773="", E1773=""), "", IF(AB1773="", "Válido", IF((LEN(AB1773)-LEN(SUBSTITUTE(AB1773,"; ","")))/2+1&gt;(LEN(AB1773)-LEN(SUBSTITUTE(AB1773,"[Aviso]","")))/7, "Con Incidencias", "Válido")))</f>
        <v/>
      </c>
      <c r="AB1773" s="56">
        <f>IF(AND(A1773="", B1773="", E1773=""), "", TEXTJOIN("; ", TRUE, IF(OR(TRIM(A1773&amp;"")="", ISNUMBER(SEARCH("FALTA", A1773))), "UPC faltante/inválido", ""), IF(AND(A1773&lt;&gt;"", IFERROR(_xlfn.XMATCH(A1773,$A$2:$A$2509,0,1)&lt;&gt;_xlfn.XMATCH(A1773,$A$2:$A$2509,0,-1),FALSE)), "Código de barras duplicado", ""), IF(AND(E1773&lt;&gt;"", COUNTIF($E$2:$E$2509, E1773)&gt;1), "SKU duplicado", ""), IF(OR(J1773="", J1773=""), "[Aviso] División no capturada ()", IF(ISNA(MATCH(J1773, Criterios!$A$123:$A$126, 0)), "División no válida", "")), IF(OR(K1773="", K1773=""), "[Aviso] Categoría no capturada ()", IF(ISNA(MATCH(K1773, Criterios!$A$81:$A$120, 0)), "Categoría no válida", IF(AND(J1773&lt;&gt;"", J1773&lt;&gt;"", J1773&lt;&gt;VLOOKUP(K1773, Criterios!$A$81:$B$120, 2, FALSE)), "División no coincide con Categoría", ""))), IF(OR(L1773="", L1773=""), "[Aviso] Género no capturado ()", IF(ISNA(MATCH(L1773, Criterios!$B$123:$B$127, 0)), "Género no válido", "")), IF(OR(N1773="", N1773=""), "[Aviso] Temporada no capturada ()", IF(ISNA(MATCH(N1773, Criterios!$C$123:$C$128, 0)), "Temporada no válida", "")), IF(OR(O1773="", O1773=""), "[Aviso] Ciclo de vida no capturado ()", IF(ISNA(MATCH(O1773, Criterios!$D$123:$D$124, 0)), "Ciclo de vida no válido", ""))))</f>
        <v/>
      </c>
      <c r="AC1773" s="56" t="n"/>
      <c r="AD1773" s="51" t="n">
        <v>0</v>
      </c>
      <c r="AE1773" s="156" t="n"/>
      <c r="AF1773" s="51" t="n">
        <v>0</v>
      </c>
      <c r="AG1773" s="156" t="inlineStr">
        <is>
          <t>Catálogo existente</t>
        </is>
      </c>
      <c r="AH1773" s="156" t="inlineStr">
        <is>
          <t>Revisión 29/09/2026: Campos sin respaldo: U; Auditoría NetSuite 30/09/2026: llenado desde NetSuite [S] | 01/10/2026: complementado desde Shopify Stetson México (match por código de barras): WB Silueta</t>
        </is>
      </c>
      <c r="AI1773" s="156" t="inlineStr">
        <is>
          <t>No</t>
        </is>
      </c>
      <c r="AJ1773" s="156" t="n"/>
      <c r="AK1773" s="155" t="inlineStr">
        <is>
          <t>Criterios: J [R]; G1522_Extraccion_Articulos_NetSuite_2026-09-30.xlsx: fila 57353 [S] | Shopify Stetson: producto 14693945147755 / variante 51994454950251</t>
        </is>
      </c>
      <c r="AL1773" s="58" t="n">
        <v>717.6724138</v>
      </c>
      <c r="AM1773" s="58" t="n">
        <v>1594.827586</v>
      </c>
      <c r="AN1773" s="155" t="inlineStr">
        <is>
          <t>Shopify Stetson México</t>
        </is>
      </c>
      <c r="AO1773" s="59" t="n">
        <v>0</v>
      </c>
      <c r="AP1773" s="59" t="n"/>
      <c r="AQ1773" s="59" t="n"/>
      <c r="AR1773" s="155" t="n"/>
    </row>
    <row r="1774">
      <c r="A1774" s="50" t="inlineStr">
        <is>
          <t>884426489393</t>
        </is>
      </c>
      <c r="B1774" s="51" t="inlineStr">
        <is>
          <t>109539</t>
        </is>
      </c>
      <c r="C1774" s="156" t="inlineStr">
        <is>
          <t>Multimarca</t>
        </is>
      </c>
      <c r="D1774" s="156" t="inlineStr">
        <is>
          <t>11-001-0465-0073</t>
        </is>
      </c>
      <c r="E1774" s="156" t="inlineStr">
        <is>
          <t>11-001-0465-0073-S</t>
        </is>
      </c>
      <c r="F1774" s="156" t="inlineStr">
        <is>
          <t>S</t>
        </is>
      </c>
      <c r="G1774" s="156" t="inlineStr">
        <is>
          <t>S</t>
        </is>
      </c>
      <c r="H1774" s="156" t="inlineStr">
        <is>
          <t>Stetson</t>
        </is>
      </c>
      <c r="I1774" s="156" t="inlineStr">
        <is>
          <t>Camisa Manga Larga Mezclilla Negra</t>
        </is>
      </c>
      <c r="J1774" s="156" t="inlineStr">
        <is>
          <t>Ropa</t>
        </is>
      </c>
      <c r="K1774" s="156" t="inlineStr">
        <is>
          <t>Camisas</t>
        </is>
      </c>
      <c r="L1774" s="156" t="inlineStr">
        <is>
          <t>Hombre</t>
        </is>
      </c>
      <c r="M1774" s="156" t="inlineStr">
        <is>
          <t>Stetson</t>
        </is>
      </c>
      <c r="N1774" s="156" t="inlineStr">
        <is>
          <t>SS26</t>
        </is>
      </c>
      <c r="O1774" s="156" t="inlineStr">
        <is>
          <t>Seasonal</t>
        </is>
      </c>
      <c r="P1774" s="156" t="inlineStr">
        <is>
          <t>Azul</t>
        </is>
      </c>
      <c r="Q1774" s="156" t="inlineStr">
        <is>
          <t>Clásico</t>
        </is>
      </c>
      <c r="R1774" s="156" t="n"/>
      <c r="S1774" s="156" t="inlineStr">
        <is>
          <t>Mezclilla</t>
        </is>
      </c>
      <c r="T1774"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4" s="156" t="n"/>
      <c r="V1774" s="156" t="inlineStr">
        <is>
          <t>PZS</t>
        </is>
      </c>
      <c r="W1774" s="51" t="inlineStr">
        <is>
          <t>53101600</t>
        </is>
      </c>
      <c r="X1774" s="156" t="inlineStr">
        <is>
          <t>https://cdn.shopify.com/s/files/1/0888/3250/8267/files/1100104650073a.jpg?v=1744233294</t>
        </is>
      </c>
      <c r="Y1774" s="54" t="n">
        <v>717.6724138</v>
      </c>
      <c r="Z1774" s="54" t="n">
        <v>1594.827586</v>
      </c>
      <c r="AA1774" s="55">
        <f>IF(AND(A1774="", B1774="", E1774=""), "", IF(AB1774="", "Válido", IF((LEN(AB1774)-LEN(SUBSTITUTE(AB1774,"; ","")))/2+1&gt;(LEN(AB1774)-LEN(SUBSTITUTE(AB1774,"[Aviso]","")))/7, "Con Incidencias", "Válido")))</f>
        <v/>
      </c>
      <c r="AB1774" s="56">
        <f>IF(AND(A1774="", B1774="", E1774=""), "", TEXTJOIN("; ", TRUE, IF(OR(TRIM(A1774&amp;"")="", ISNUMBER(SEARCH("FALTA", A1774))), "UPC faltante/inválido", ""), IF(AND(A1774&lt;&gt;"", IFERROR(_xlfn.XMATCH(A1774,$A$2:$A$2509,0,1)&lt;&gt;_xlfn.XMATCH(A1774,$A$2:$A$2509,0,-1),FALSE)), "Código de barras duplicado", ""), IF(AND(E1774&lt;&gt;"", COUNTIF($E$2:$E$2509, E1774)&gt;1), "SKU duplicado", ""), IF(OR(J1774="", J1774=""), "[Aviso] División no capturada ()", IF(ISNA(MATCH(J1774, Criterios!$A$123:$A$126, 0)), "División no válida", "")), IF(OR(K1774="", K1774=""), "[Aviso] Categoría no capturada ()", IF(ISNA(MATCH(K1774, Criterios!$A$81:$A$120, 0)), "Categoría no válida", IF(AND(J1774&lt;&gt;"", J1774&lt;&gt;"", J1774&lt;&gt;VLOOKUP(K1774, Criterios!$A$81:$B$120, 2, FALSE)), "División no coincide con Categoría", ""))), IF(OR(L1774="", L1774=""), "[Aviso] Género no capturado ()", IF(ISNA(MATCH(L1774, Criterios!$B$123:$B$127, 0)), "Género no válido", "")), IF(OR(N1774="", N1774=""), "[Aviso] Temporada no capturada ()", IF(ISNA(MATCH(N1774, Criterios!$C$123:$C$128, 0)), "Temporada no válida", "")), IF(OR(O1774="", O1774=""), "[Aviso] Ciclo de vida no capturado ()", IF(ISNA(MATCH(O1774, Criterios!$D$123:$D$124, 0)), "Ciclo de vida no válido", ""))))</f>
        <v/>
      </c>
      <c r="AC1774" s="56" t="n"/>
      <c r="AD1774" s="51" t="n">
        <v>0</v>
      </c>
      <c r="AE1774" s="156" t="n"/>
      <c r="AF1774" s="51" t="n">
        <v>0</v>
      </c>
      <c r="AG1774" s="156" t="inlineStr">
        <is>
          <t>Catálogo existente</t>
        </is>
      </c>
      <c r="AH1774" s="156" t="inlineStr">
        <is>
          <t>Revisión 29/09/2026: Campos sin respaldo: U; Auditoría NetSuite 30/09/2026: llenado desde NetSuite [S] | 01/10/2026: complementado desde Shopify Stetson México (match por código de barras): WB Silueta</t>
        </is>
      </c>
      <c r="AI1774" s="156" t="inlineStr">
        <is>
          <t>No</t>
        </is>
      </c>
      <c r="AJ1774" s="156" t="n"/>
      <c r="AK1774" s="155" t="inlineStr">
        <is>
          <t>Criterios: J [R]; G1522_Extraccion_Articulos_NetSuite_2026-09-30.xlsx: fila 57354 [S] | Shopify Stetson: producto 14693945147755 / variante 51994454917483</t>
        </is>
      </c>
      <c r="AL1774" s="58" t="n">
        <v>717.6724138</v>
      </c>
      <c r="AM1774" s="58" t="n">
        <v>1594.827586</v>
      </c>
      <c r="AN1774" s="155" t="inlineStr">
        <is>
          <t>Shopify Stetson México</t>
        </is>
      </c>
      <c r="AO1774" s="59" t="n">
        <v>0</v>
      </c>
      <c r="AP1774" s="59" t="n"/>
      <c r="AQ1774" s="59" t="n"/>
      <c r="AR1774" s="155" t="n"/>
    </row>
    <row r="1775">
      <c r="A1775" s="50" t="inlineStr">
        <is>
          <t>884426489409</t>
        </is>
      </c>
      <c r="B1775" s="51" t="inlineStr">
        <is>
          <t>109540</t>
        </is>
      </c>
      <c r="C1775" s="156" t="inlineStr">
        <is>
          <t>Multimarca</t>
        </is>
      </c>
      <c r="D1775" s="156" t="inlineStr">
        <is>
          <t>11-001-0465-0073</t>
        </is>
      </c>
      <c r="E1775" s="156" t="inlineStr">
        <is>
          <t>11-001-0465-0073-XL</t>
        </is>
      </c>
      <c r="F1775" s="156" t="inlineStr">
        <is>
          <t>XL</t>
        </is>
      </c>
      <c r="G1775" s="156" t="inlineStr">
        <is>
          <t>XL</t>
        </is>
      </c>
      <c r="H1775" s="156" t="inlineStr">
        <is>
          <t>Stetson</t>
        </is>
      </c>
      <c r="I1775" s="156" t="inlineStr">
        <is>
          <t>Camisa Manga Larga Mezclilla Negra</t>
        </is>
      </c>
      <c r="J1775" s="156" t="inlineStr">
        <is>
          <t>Ropa</t>
        </is>
      </c>
      <c r="K1775" s="156" t="inlineStr">
        <is>
          <t>Camisas</t>
        </is>
      </c>
      <c r="L1775" s="156" t="inlineStr">
        <is>
          <t>Hombre</t>
        </is>
      </c>
      <c r="M1775" s="156" t="inlineStr">
        <is>
          <t>Stetson</t>
        </is>
      </c>
      <c r="N1775" s="156" t="inlineStr">
        <is>
          <t>SS26</t>
        </is>
      </c>
      <c r="O1775" s="156" t="inlineStr">
        <is>
          <t>Seasonal</t>
        </is>
      </c>
      <c r="P1775" s="156" t="inlineStr">
        <is>
          <t>Azul</t>
        </is>
      </c>
      <c r="Q1775" s="156" t="inlineStr">
        <is>
          <t>Clásico</t>
        </is>
      </c>
      <c r="R1775" s="156" t="n"/>
      <c r="S1775" s="156" t="inlineStr">
        <is>
          <t>Mezclilla</t>
        </is>
      </c>
      <c r="T1775"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5" s="156" t="n"/>
      <c r="V1775" s="156" t="inlineStr">
        <is>
          <t>PZS</t>
        </is>
      </c>
      <c r="W1775" s="51" t="inlineStr">
        <is>
          <t>53101600</t>
        </is>
      </c>
      <c r="X1775" s="156" t="inlineStr">
        <is>
          <t>https://cdn.shopify.com/s/files/1/0888/3250/8267/files/1100104650073a.jpg?v=1744233294</t>
        </is>
      </c>
      <c r="Y1775" s="54" t="n">
        <v>717.6724138</v>
      </c>
      <c r="Z1775" s="54" t="n">
        <v>1594.827586</v>
      </c>
      <c r="AA1775" s="55">
        <f>IF(AND(A1775="", B1775="", E1775=""), "", IF(AB1775="", "Válido", IF((LEN(AB1775)-LEN(SUBSTITUTE(AB1775,"; ","")))/2+1&gt;(LEN(AB1775)-LEN(SUBSTITUTE(AB1775,"[Aviso]","")))/7, "Con Incidencias", "Válido")))</f>
        <v/>
      </c>
      <c r="AB1775" s="56">
        <f>IF(AND(A1775="", B1775="", E1775=""), "", TEXTJOIN("; ", TRUE, IF(OR(TRIM(A1775&amp;"")="", ISNUMBER(SEARCH("FALTA", A1775))), "UPC faltante/inválido", ""), IF(AND(A1775&lt;&gt;"", IFERROR(_xlfn.XMATCH(A1775,$A$2:$A$2509,0,1)&lt;&gt;_xlfn.XMATCH(A1775,$A$2:$A$2509,0,-1),FALSE)), "Código de barras duplicado", ""), IF(AND(E1775&lt;&gt;"", COUNTIF($E$2:$E$2509, E1775)&gt;1), "SKU duplicado", ""), IF(OR(J1775="", J1775=""), "[Aviso] División no capturada ()", IF(ISNA(MATCH(J1775, Criterios!$A$123:$A$126, 0)), "División no válida", "")), IF(OR(K1775="", K1775=""), "[Aviso] Categoría no capturada ()", IF(ISNA(MATCH(K1775, Criterios!$A$81:$A$120, 0)), "Categoría no válida", IF(AND(J1775&lt;&gt;"", J1775&lt;&gt;"", J1775&lt;&gt;VLOOKUP(K1775, Criterios!$A$81:$B$120, 2, FALSE)), "División no coincide con Categoría", ""))), IF(OR(L1775="", L1775=""), "[Aviso] Género no capturado ()", IF(ISNA(MATCH(L1775, Criterios!$B$123:$B$127, 0)), "Género no válido", "")), IF(OR(N1775="", N1775=""), "[Aviso] Temporada no capturada ()", IF(ISNA(MATCH(N1775, Criterios!$C$123:$C$128, 0)), "Temporada no válida", "")), IF(OR(O1775="", O1775=""), "[Aviso] Ciclo de vida no capturado ()", IF(ISNA(MATCH(O1775, Criterios!$D$123:$D$124, 0)), "Ciclo de vida no válido", ""))))</f>
        <v/>
      </c>
      <c r="AC1775" s="56" t="n"/>
      <c r="AD1775" s="51" t="n">
        <v>0</v>
      </c>
      <c r="AE1775" s="156" t="n"/>
      <c r="AF1775" s="51" t="n">
        <v>0</v>
      </c>
      <c r="AG1775" s="156" t="inlineStr">
        <is>
          <t>Catálogo existente</t>
        </is>
      </c>
      <c r="AH1775" s="156" t="inlineStr">
        <is>
          <t>Revisión 29/09/2026: Campos sin respaldo: U, X; Auditoría NetSuite 30/09/2026: llenado desde NetSuite [S] | 01/10/2026: complementado desde Shopify Stetson México (match por código de barras): WB Silueta, Enlace de imagen</t>
        </is>
      </c>
      <c r="AI1775" s="156" t="inlineStr">
        <is>
          <t>No</t>
        </is>
      </c>
      <c r="AJ1775" s="156" t="n"/>
      <c r="AK1775" s="155" t="inlineStr">
        <is>
          <t>Criterios: J [R]; G1522_Extraccion_Articulos_NetSuite_2026-09-30.xlsx: fila 57355 [S] | Shopify Stetson: producto 14693945147755 / variante 51994455015787</t>
        </is>
      </c>
      <c r="AL1775" s="58" t="n">
        <v>717.6724138</v>
      </c>
      <c r="AM1775" s="58" t="n">
        <v>1594.827586</v>
      </c>
      <c r="AN1775" s="155" t="inlineStr">
        <is>
          <t>Shopify Stetson México</t>
        </is>
      </c>
      <c r="AO1775" s="59" t="n">
        <v>0</v>
      </c>
      <c r="AP1775" s="59" t="n"/>
      <c r="AQ1775" s="59" t="n"/>
      <c r="AR1775" s="155" t="n"/>
    </row>
    <row r="1776">
      <c r="A1776" s="50" t="inlineStr">
        <is>
          <t>884426489416</t>
        </is>
      </c>
      <c r="B1776" s="51" t="inlineStr">
        <is>
          <t>109541</t>
        </is>
      </c>
      <c r="C1776" s="156" t="inlineStr">
        <is>
          <t>Multimarca</t>
        </is>
      </c>
      <c r="D1776" s="156" t="inlineStr">
        <is>
          <t>11-001-0465-0073</t>
        </is>
      </c>
      <c r="E1776" s="156" t="inlineStr">
        <is>
          <t>11-001-0465-0073-XXL</t>
        </is>
      </c>
      <c r="F1776" s="156" t="inlineStr">
        <is>
          <t>XXL</t>
        </is>
      </c>
      <c r="G1776" s="156" t="inlineStr">
        <is>
          <t>XXL</t>
        </is>
      </c>
      <c r="H1776" s="156" t="inlineStr">
        <is>
          <t>Stetson</t>
        </is>
      </c>
      <c r="I1776" s="156" t="inlineStr">
        <is>
          <t>Camisa Manga Larga Mezclilla Negra</t>
        </is>
      </c>
      <c r="J1776" s="156" t="inlineStr">
        <is>
          <t>Ropa</t>
        </is>
      </c>
      <c r="K1776" s="156" t="inlineStr">
        <is>
          <t>Camisas</t>
        </is>
      </c>
      <c r="L1776" s="156" t="inlineStr">
        <is>
          <t>Hombre</t>
        </is>
      </c>
      <c r="M1776" s="156" t="inlineStr">
        <is>
          <t>Stetson</t>
        </is>
      </c>
      <c r="N1776" s="156" t="inlineStr">
        <is>
          <t>SS26</t>
        </is>
      </c>
      <c r="O1776" s="156" t="inlineStr">
        <is>
          <t>Seasonal</t>
        </is>
      </c>
      <c r="P1776" s="156" t="inlineStr">
        <is>
          <t>Azul</t>
        </is>
      </c>
      <c r="Q1776" s="156" t="inlineStr">
        <is>
          <t>Clásico</t>
        </is>
      </c>
      <c r="R1776" s="156" t="n"/>
      <c r="S1776" s="156" t="inlineStr">
        <is>
          <t>Mezclilla</t>
        </is>
      </c>
      <c r="T1776"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6" s="156" t="n"/>
      <c r="V1776" s="156" t="inlineStr">
        <is>
          <t>PZS</t>
        </is>
      </c>
      <c r="W1776" s="51" t="inlineStr">
        <is>
          <t>53101600</t>
        </is>
      </c>
      <c r="X1776" s="156" t="inlineStr">
        <is>
          <t>https://cdn.shopify.com/s/files/1/0888/3250/8267/files/1100104650073a.jpg?v=1744233294</t>
        </is>
      </c>
      <c r="Y1776" s="54" t="n">
        <v>717.6724138</v>
      </c>
      <c r="Z1776" s="54" t="n">
        <v>1594.827586</v>
      </c>
      <c r="AA1776" s="55">
        <f>IF(AND(A1776="", B1776="", E1776=""), "", IF(AB1776="", "Válido", IF((LEN(AB1776)-LEN(SUBSTITUTE(AB1776,"; ","")))/2+1&gt;(LEN(AB1776)-LEN(SUBSTITUTE(AB1776,"[Aviso]","")))/7, "Con Incidencias", "Válido")))</f>
        <v/>
      </c>
      <c r="AB1776" s="56">
        <f>IF(AND(A1776="", B1776="", E1776=""), "", TEXTJOIN("; ", TRUE, IF(OR(TRIM(A1776&amp;"")="", ISNUMBER(SEARCH("FALTA", A1776))), "UPC faltante/inválido", ""), IF(AND(A1776&lt;&gt;"", IFERROR(_xlfn.XMATCH(A1776,$A$2:$A$2509,0,1)&lt;&gt;_xlfn.XMATCH(A1776,$A$2:$A$2509,0,-1),FALSE)), "Código de barras duplicado", ""), IF(AND(E1776&lt;&gt;"", COUNTIF($E$2:$E$2509, E1776)&gt;1), "SKU duplicado", ""), IF(OR(J1776="", J1776=""), "[Aviso] División no capturada ()", IF(ISNA(MATCH(J1776, Criterios!$A$123:$A$126, 0)), "División no válida", "")), IF(OR(K1776="", K1776=""), "[Aviso] Categoría no capturada ()", IF(ISNA(MATCH(K1776, Criterios!$A$81:$A$120, 0)), "Categoría no válida", IF(AND(J1776&lt;&gt;"", J1776&lt;&gt;"", J1776&lt;&gt;VLOOKUP(K1776, Criterios!$A$81:$B$120, 2, FALSE)), "División no coincide con Categoría", ""))), IF(OR(L1776="", L1776=""), "[Aviso] Género no capturado ()", IF(ISNA(MATCH(L1776, Criterios!$B$123:$B$127, 0)), "Género no válido", "")), IF(OR(N1776="", N1776=""), "[Aviso] Temporada no capturada ()", IF(ISNA(MATCH(N1776, Criterios!$C$123:$C$128, 0)), "Temporada no válida", "")), IF(OR(O1776="", O1776=""), "[Aviso] Ciclo de vida no capturado ()", IF(ISNA(MATCH(O1776, Criterios!$D$123:$D$124, 0)), "Ciclo de vida no válido", ""))))</f>
        <v/>
      </c>
      <c r="AC1776" s="56" t="n"/>
      <c r="AD1776" s="51" t="n">
        <v>0</v>
      </c>
      <c r="AE1776" s="156" t="n"/>
      <c r="AF1776" s="51" t="n">
        <v>0</v>
      </c>
      <c r="AG1776" s="156" t="inlineStr">
        <is>
          <t>Catálogo existente</t>
        </is>
      </c>
      <c r="AH1776" s="156" t="inlineStr">
        <is>
          <t>Revisión 29/09/2026: Campos sin respaldo: U, X; Auditoría NetSuite 30/09/2026: llenado desde NetSuite [S] | 01/10/2026: complementado desde Shopify Stetson México (match por código de barras): WB Silueta, Enlace de imagen</t>
        </is>
      </c>
      <c r="AI1776" s="156" t="inlineStr">
        <is>
          <t>No</t>
        </is>
      </c>
      <c r="AJ1776" s="156" t="n"/>
      <c r="AK1776" s="155" t="inlineStr">
        <is>
          <t>Criterios: J [R]; G1522_Extraccion_Articulos_NetSuite_2026-09-30.xlsx: fila 57356 [S] | Shopify Stetson: producto 14693945147755 / variante 51994455048555</t>
        </is>
      </c>
      <c r="AL1776" s="58" t="n">
        <v>717.6724138</v>
      </c>
      <c r="AM1776" s="58" t="n">
        <v>1594.827586</v>
      </c>
      <c r="AN1776" s="155" t="inlineStr">
        <is>
          <t>Shopify Stetson México</t>
        </is>
      </c>
      <c r="AO1776" s="59" t="n">
        <v>0</v>
      </c>
      <c r="AP1776" s="59" t="n"/>
      <c r="AQ1776" s="59" t="n"/>
      <c r="AR1776" s="155" t="n"/>
    </row>
    <row r="1777">
      <c r="A1777" s="50" t="inlineStr">
        <is>
          <t>884426497138</t>
        </is>
      </c>
      <c r="B1777" s="51" t="inlineStr">
        <is>
          <t>110703</t>
        </is>
      </c>
      <c r="C1777" s="156" t="inlineStr">
        <is>
          <t>Multimarca</t>
        </is>
      </c>
      <c r="D1777" s="156" t="inlineStr">
        <is>
          <t>11-054-0816-1320</t>
        </is>
      </c>
      <c r="E1777" s="156" t="inlineStr">
        <is>
          <t>11-054-0816-1320-0R</t>
        </is>
      </c>
      <c r="F1777" s="156" t="inlineStr">
        <is>
          <t>3</t>
        </is>
      </c>
      <c r="G1777" s="156" t="inlineStr">
        <is>
          <t>0</t>
        </is>
      </c>
      <c r="H1777" s="156" t="inlineStr">
        <is>
          <t>Stetson</t>
        </is>
      </c>
      <c r="I1777" s="156" t="inlineStr">
        <is>
          <t>Jean Mujer Puntada Bordado Semicírculo Azul Marino</t>
        </is>
      </c>
      <c r="J1777" s="156" t="inlineStr">
        <is>
          <t>Denim</t>
        </is>
      </c>
      <c r="K1777" s="156" t="inlineStr">
        <is>
          <t>Jeans</t>
        </is>
      </c>
      <c r="L1777" s="156" t="inlineStr">
        <is>
          <t>Mujer</t>
        </is>
      </c>
      <c r="M1777" s="156" t="inlineStr">
        <is>
          <t>Stetson</t>
        </is>
      </c>
      <c r="N1777" s="156" t="inlineStr">
        <is>
          <t>SS26</t>
        </is>
      </c>
      <c r="O1777" s="156" t="inlineStr">
        <is>
          <t>Seasonal</t>
        </is>
      </c>
      <c r="P1777" s="156" t="inlineStr">
        <is>
          <t>Azul</t>
        </is>
      </c>
      <c r="Q1777" s="156" t="inlineStr">
        <is>
          <t>Slim</t>
        </is>
      </c>
      <c r="R1777" s="156" t="inlineStr">
        <is>
          <t>Recto</t>
        </is>
      </c>
      <c r="S1777" s="156" t="inlineStr">
        <is>
          <t>98% Algodón 2% Elastano</t>
        </is>
      </c>
      <c r="T1777" s="156" t="inlineStr">
        <is>
          <t>Jean Mujer Puntada Bordado Semicírculo Azul Marino Fitted</t>
        </is>
      </c>
      <c r="U1777" s="156" t="n"/>
      <c r="V1777" s="156" t="inlineStr">
        <is>
          <t>PZS</t>
        </is>
      </c>
      <c r="W1777" s="51" t="inlineStr">
        <is>
          <t>53101503</t>
        </is>
      </c>
      <c r="X1777" s="156" t="n"/>
      <c r="Y1777" s="54" t="n">
        <v>775.862069</v>
      </c>
      <c r="Z1777" s="54" t="n">
        <v>1724.137931</v>
      </c>
      <c r="AA1777" s="55">
        <f>IF(AND(A1777="", B1777="", E1777=""), "", IF(AB1777="", "Válido", IF((LEN(AB1777)-LEN(SUBSTITUTE(AB1777,"; ","")))/2+1&gt;(LEN(AB1777)-LEN(SUBSTITUTE(AB1777,"[Aviso]","")))/7, "Con Incidencias", "Válido")))</f>
        <v/>
      </c>
      <c r="AB1777" s="56">
        <f>IF(AND(A1777="", B1777="", E1777=""), "", TEXTJOIN("; ", TRUE, IF(OR(TRIM(A1777&amp;"")="", ISNUMBER(SEARCH("FALTA", A1777))), "UPC faltante/inválido", ""), IF(AND(A1777&lt;&gt;"", IFERROR(_xlfn.XMATCH(A1777,$A$2:$A$2509,0,1)&lt;&gt;_xlfn.XMATCH(A1777,$A$2:$A$2509,0,-1),FALSE)), "Código de barras duplicado", ""), IF(AND(E1777&lt;&gt;"", COUNTIF($E$2:$E$2509, E1777)&gt;1), "SKU duplicado", ""), IF(OR(J1777="", J1777=""), "[Aviso] División no capturada ()", IF(ISNA(MATCH(J1777, Criterios!$A$123:$A$126, 0)), "División no válida", "")), IF(OR(K1777="", K1777=""), "[Aviso] Categoría no capturada ()", IF(ISNA(MATCH(K1777, Criterios!$A$81:$A$120, 0)), "Categoría no válida", IF(AND(J1777&lt;&gt;"", J1777&lt;&gt;"", J1777&lt;&gt;VLOOKUP(K1777, Criterios!$A$81:$B$120, 2, FALSE)), "División no coincide con Categoría", ""))), IF(OR(L1777="", L1777=""), "[Aviso] Género no capturado ()", IF(ISNA(MATCH(L1777, Criterios!$B$123:$B$127, 0)), "Género no válido", "")), IF(OR(N1777="", N1777=""), "[Aviso] Temporada no capturada ()", IF(ISNA(MATCH(N1777, Criterios!$C$123:$C$128, 0)), "Temporada no válida", "")), IF(OR(O1777="", O1777=""), "[Aviso] Ciclo de vida no capturado ()", IF(ISNA(MATCH(O1777, Criterios!$D$123:$D$124, 0)), "Ciclo de vida no válido", ""))))</f>
        <v/>
      </c>
      <c r="AC1777" s="56" t="n"/>
      <c r="AD1777" s="51" t="n">
        <v>-2</v>
      </c>
      <c r="AE1777" s="156" t="n"/>
      <c r="AF1777" s="51" t="n">
        <v>0</v>
      </c>
      <c r="AG1777" s="156" t="inlineStr">
        <is>
          <t>Catálogo existente</t>
        </is>
      </c>
      <c r="AH1777" s="156" t="inlineStr">
        <is>
          <t>Stock negativo en sistema: revisar en conteo</t>
        </is>
      </c>
      <c r="AI1777" s="156" t="inlineStr">
        <is>
          <t>Sí</t>
        </is>
      </c>
      <c r="AJ1777" s="156" t="inlineStr">
        <is>
          <t>STETSON AMERICAS (-2)</t>
        </is>
      </c>
      <c r="AK1777" s="155" t="inlineStr">
        <is>
          <t>Shopify Stetson: producto 15051555340651 / variante 53342130241899 | Odoo: producto 29922 / plantilla 38626</t>
        </is>
      </c>
      <c r="AL1777" s="58" t="n">
        <v>775.862069</v>
      </c>
      <c r="AM1777" s="58" t="n">
        <v>1724.137931</v>
      </c>
      <c r="AN1777" s="155" t="inlineStr">
        <is>
          <t>Shopify Stetson México | Odoo Universal Unique Brands</t>
        </is>
      </c>
      <c r="AO1777" s="59" t="n">
        <v>0</v>
      </c>
      <c r="AP1777" s="59" t="n"/>
      <c r="AQ1777" s="59" t="n">
        <v>2</v>
      </c>
      <c r="AR1777" s="155" t="inlineStr">
        <is>
          <t>Odoo Universal Unique Brands › Bodega 25 › Bodega 25/General: 2</t>
        </is>
      </c>
    </row>
    <row r="1778">
      <c r="A1778" s="50" t="inlineStr">
        <is>
          <t>884426497176</t>
        </is>
      </c>
      <c r="B1778" s="51" t="inlineStr">
        <is>
          <t>110704</t>
        </is>
      </c>
      <c r="C1778" s="156" t="inlineStr">
        <is>
          <t>Multimarca</t>
        </is>
      </c>
      <c r="D1778" s="156" t="inlineStr">
        <is>
          <t>11-054-0816-1320</t>
        </is>
      </c>
      <c r="E1778" s="156" t="inlineStr">
        <is>
          <t>11-054-0816-1320-10L</t>
        </is>
      </c>
      <c r="F1778" s="156" t="inlineStr">
        <is>
          <t>13 Largo</t>
        </is>
      </c>
      <c r="G1778" s="156" t="inlineStr">
        <is>
          <t>10 Long</t>
        </is>
      </c>
      <c r="H1778" s="156" t="inlineStr">
        <is>
          <t>Stetson</t>
        </is>
      </c>
      <c r="I1778" s="156" t="inlineStr">
        <is>
          <t>Jean Mujer Puntada Bordado Semicírculo Azul Marino</t>
        </is>
      </c>
      <c r="J1778" s="156" t="inlineStr">
        <is>
          <t>Denim</t>
        </is>
      </c>
      <c r="K1778" s="156" t="inlineStr">
        <is>
          <t>Jeans</t>
        </is>
      </c>
      <c r="L1778" s="156" t="inlineStr">
        <is>
          <t>Mujer</t>
        </is>
      </c>
      <c r="M1778" s="156" t="inlineStr">
        <is>
          <t>Stetson</t>
        </is>
      </c>
      <c r="N1778" s="156" t="inlineStr">
        <is>
          <t>SS26</t>
        </is>
      </c>
      <c r="O1778" s="156" t="inlineStr">
        <is>
          <t>Seasonal</t>
        </is>
      </c>
      <c r="P1778" s="156" t="inlineStr">
        <is>
          <t>Azul</t>
        </is>
      </c>
      <c r="Q1778" s="156" t="inlineStr">
        <is>
          <t>Slim</t>
        </is>
      </c>
      <c r="R1778" s="156" t="inlineStr">
        <is>
          <t>Recto</t>
        </is>
      </c>
      <c r="S1778" s="156" t="inlineStr">
        <is>
          <t>98% Algodón 2% Elastano</t>
        </is>
      </c>
      <c r="T1778" s="156" t="inlineStr">
        <is>
          <t>Jean Mujer Puntada Bordado Semicírculo Azul Marino Fitted</t>
        </is>
      </c>
      <c r="U1778" s="156" t="n"/>
      <c r="V1778" s="156" t="inlineStr">
        <is>
          <t>PZS</t>
        </is>
      </c>
      <c r="W1778" s="51" t="inlineStr">
        <is>
          <t>53101503</t>
        </is>
      </c>
      <c r="X1778" s="156" t="n"/>
      <c r="Y1778" s="54" t="n">
        <v>775.862069</v>
      </c>
      <c r="Z1778" s="54" t="n">
        <v>1724.137931</v>
      </c>
      <c r="AA1778" s="55">
        <f>IF(AND(A1778="", B1778="", E1778=""), "", IF(AB1778="", "Válido", IF((LEN(AB1778)-LEN(SUBSTITUTE(AB1778,"; ","")))/2+1&gt;(LEN(AB1778)-LEN(SUBSTITUTE(AB1778,"[Aviso]","")))/7, "Con Incidencias", "Válido")))</f>
        <v/>
      </c>
      <c r="AB1778" s="56">
        <f>IF(AND(A1778="", B1778="", E1778=""), "", TEXTJOIN("; ", TRUE, IF(OR(TRIM(A1778&amp;"")="", ISNUMBER(SEARCH("FALTA", A1778))), "UPC faltante/inválido", ""), IF(AND(A1778&lt;&gt;"", IFERROR(_xlfn.XMATCH(A1778,$A$2:$A$2509,0,1)&lt;&gt;_xlfn.XMATCH(A1778,$A$2:$A$2509,0,-1),FALSE)), "Código de barras duplicado", ""), IF(AND(E1778&lt;&gt;"", COUNTIF($E$2:$E$2509, E1778)&gt;1), "SKU duplicado", ""), IF(OR(J1778="", J1778=""), "[Aviso] División no capturada ()", IF(ISNA(MATCH(J1778, Criterios!$A$123:$A$126, 0)), "División no válida", "")), IF(OR(K1778="", K1778=""), "[Aviso] Categoría no capturada ()", IF(ISNA(MATCH(K1778, Criterios!$A$81:$A$120, 0)), "Categoría no válida", IF(AND(J1778&lt;&gt;"", J1778&lt;&gt;"", J1778&lt;&gt;VLOOKUP(K1778, Criterios!$A$81:$B$120, 2, FALSE)), "División no coincide con Categoría", ""))), IF(OR(L1778="", L1778=""), "[Aviso] Género no capturado ()", IF(ISNA(MATCH(L1778, Criterios!$B$123:$B$127, 0)), "Género no válido", "")), IF(OR(N1778="", N1778=""), "[Aviso] Temporada no capturada ()", IF(ISNA(MATCH(N1778, Criterios!$C$123:$C$128, 0)), "Temporada no válida", "")), IF(OR(O1778="", O1778=""), "[Aviso] Ciclo de vida no capturado ()", IF(ISNA(MATCH(O1778, Criterios!$D$123:$D$124, 0)), "Ciclo de vida no válido", ""))))</f>
        <v/>
      </c>
      <c r="AC1778" s="56" t="n"/>
      <c r="AD1778" s="51" t="n">
        <v>-1</v>
      </c>
      <c r="AE1778" s="156" t="n"/>
      <c r="AF1778" s="51" t="n">
        <v>0</v>
      </c>
      <c r="AG1778" s="156" t="inlineStr">
        <is>
          <t>Catálogo existente</t>
        </is>
      </c>
      <c r="AH1778" s="156" t="inlineStr">
        <is>
          <t>Stock negativo en sistema: revisar en conteo</t>
        </is>
      </c>
      <c r="AI1778" s="156" t="inlineStr">
        <is>
          <t>Sí</t>
        </is>
      </c>
      <c r="AJ1778" s="156" t="inlineStr">
        <is>
          <t>STETSON AMERICAS (-1)</t>
        </is>
      </c>
      <c r="AK1778" s="155" t="inlineStr">
        <is>
          <t>Shopify Stetson: producto 15051555340651 / variante 53342130569579 | Odoo: producto 29932 / plantilla 38636</t>
        </is>
      </c>
      <c r="AL1778" s="58" t="n">
        <v>775.862069</v>
      </c>
      <c r="AM1778" s="58" t="n">
        <v>1724.137931</v>
      </c>
      <c r="AN1778" s="155" t="inlineStr">
        <is>
          <t>Shopify Stetson México | Odoo Universal Unique Brands</t>
        </is>
      </c>
      <c r="AO1778" s="59" t="n">
        <v>0</v>
      </c>
      <c r="AP1778" s="59" t="n"/>
      <c r="AQ1778" s="59" t="n">
        <v>1</v>
      </c>
      <c r="AR1778" s="155" t="inlineStr">
        <is>
          <t>Odoo Universal Unique Brands › Bodega 25 › Bodega 25/General: 1</t>
        </is>
      </c>
    </row>
    <row r="1779">
      <c r="A1779" s="50" t="inlineStr">
        <is>
          <t>884426497183</t>
        </is>
      </c>
      <c r="B1779" s="51" t="inlineStr">
        <is>
          <t>110705</t>
        </is>
      </c>
      <c r="C1779" s="156" t="inlineStr">
        <is>
          <t>Multimarca</t>
        </is>
      </c>
      <c r="D1779" s="156" t="inlineStr">
        <is>
          <t>11-054-0816-1320</t>
        </is>
      </c>
      <c r="E1779" s="156" t="inlineStr">
        <is>
          <t>11-054-0816-1320-10R</t>
        </is>
      </c>
      <c r="F1779" s="156" t="inlineStr">
        <is>
          <t>13</t>
        </is>
      </c>
      <c r="G1779" s="156" t="inlineStr">
        <is>
          <t>10</t>
        </is>
      </c>
      <c r="H1779" s="156" t="inlineStr">
        <is>
          <t>Stetson</t>
        </is>
      </c>
      <c r="I1779" s="156" t="inlineStr">
        <is>
          <t>Jean Mujer Puntada Bordado Semicírculo Azul Marino</t>
        </is>
      </c>
      <c r="J1779" s="156" t="inlineStr">
        <is>
          <t>Denim</t>
        </is>
      </c>
      <c r="K1779" s="156" t="inlineStr">
        <is>
          <t>Jeans</t>
        </is>
      </c>
      <c r="L1779" s="156" t="inlineStr">
        <is>
          <t>Mujer</t>
        </is>
      </c>
      <c r="M1779" s="156" t="inlineStr">
        <is>
          <t>Stetson</t>
        </is>
      </c>
      <c r="N1779" s="156" t="inlineStr">
        <is>
          <t>SS26</t>
        </is>
      </c>
      <c r="O1779" s="156" t="inlineStr">
        <is>
          <t>Seasonal</t>
        </is>
      </c>
      <c r="P1779" s="156" t="inlineStr">
        <is>
          <t>Azul</t>
        </is>
      </c>
      <c r="Q1779" s="156" t="inlineStr">
        <is>
          <t>Slim</t>
        </is>
      </c>
      <c r="R1779" s="156" t="inlineStr">
        <is>
          <t>Recto</t>
        </is>
      </c>
      <c r="S1779" s="156" t="inlineStr">
        <is>
          <t>98% Algodón 2% Elastano</t>
        </is>
      </c>
      <c r="T1779" s="156" t="inlineStr">
        <is>
          <t>Jean Mujer Puntada Bordado Semicírculo Azul Marino Fitted</t>
        </is>
      </c>
      <c r="U1779" s="156" t="n"/>
      <c r="V1779" s="156" t="inlineStr">
        <is>
          <t>PZS</t>
        </is>
      </c>
      <c r="W1779" s="51" t="inlineStr">
        <is>
          <t>53101503</t>
        </is>
      </c>
      <c r="X1779" s="156" t="n"/>
      <c r="Y1779" s="54" t="n">
        <v>775.862069</v>
      </c>
      <c r="Z1779" s="54" t="n">
        <v>1724.137931</v>
      </c>
      <c r="AA1779" s="55">
        <f>IF(AND(A1779="", B1779="", E1779=""), "", IF(AB1779="", "Válido", IF((LEN(AB1779)-LEN(SUBSTITUTE(AB1779,"; ","")))/2+1&gt;(LEN(AB1779)-LEN(SUBSTITUTE(AB1779,"[Aviso]","")))/7, "Con Incidencias", "Válido")))</f>
        <v/>
      </c>
      <c r="AB1779" s="56">
        <f>IF(AND(A1779="", B1779="", E1779=""), "", TEXTJOIN("; ", TRUE, IF(OR(TRIM(A1779&amp;"")="", ISNUMBER(SEARCH("FALTA", A1779))), "UPC faltante/inválido", ""), IF(AND(A1779&lt;&gt;"", IFERROR(_xlfn.XMATCH(A1779,$A$2:$A$2509,0,1)&lt;&gt;_xlfn.XMATCH(A1779,$A$2:$A$2509,0,-1),FALSE)), "Código de barras duplicado", ""), IF(AND(E1779&lt;&gt;"", COUNTIF($E$2:$E$2509, E1779)&gt;1), "SKU duplicado", ""), IF(OR(J1779="", J1779=""), "[Aviso] División no capturada ()", IF(ISNA(MATCH(J1779, Criterios!$A$123:$A$126, 0)), "División no válida", "")), IF(OR(K1779="", K1779=""), "[Aviso] Categoría no capturada ()", IF(ISNA(MATCH(K1779, Criterios!$A$81:$A$120, 0)), "Categoría no válida", IF(AND(J1779&lt;&gt;"", J1779&lt;&gt;"", J1779&lt;&gt;VLOOKUP(K1779, Criterios!$A$81:$B$120, 2, FALSE)), "División no coincide con Categoría", ""))), IF(OR(L1779="", L1779=""), "[Aviso] Género no capturado ()", IF(ISNA(MATCH(L1779, Criterios!$B$123:$B$127, 0)), "Género no válido", "")), IF(OR(N1779="", N1779=""), "[Aviso] Temporada no capturada ()", IF(ISNA(MATCH(N1779, Criterios!$C$123:$C$128, 0)), "Temporada no válida", "")), IF(OR(O1779="", O1779=""), "[Aviso] Ciclo de vida no capturado ()", IF(ISNA(MATCH(O1779, Criterios!$D$123:$D$124, 0)), "Ciclo de vida no válido", ""))))</f>
        <v/>
      </c>
      <c r="AC1779" s="56" t="n"/>
      <c r="AD1779" s="51" t="n">
        <v>0</v>
      </c>
      <c r="AE1779" s="156" t="n"/>
      <c r="AF1779" s="51" t="n">
        <v>0</v>
      </c>
      <c r="AG1779" s="156" t="inlineStr">
        <is>
          <t>Catálogo existente</t>
        </is>
      </c>
      <c r="AH1779" s="156" t="n"/>
      <c r="AI1779" s="156" t="inlineStr">
        <is>
          <t>No</t>
        </is>
      </c>
      <c r="AJ1779" s="156" t="n"/>
      <c r="AK1779" s="155" t="inlineStr">
        <is>
          <t>Shopify Stetson: producto 15051555340651 / variante 53342130536811 | Odoo: producto 29931 / plantilla 38635</t>
        </is>
      </c>
      <c r="AL1779" s="58" t="n">
        <v>775.862069</v>
      </c>
      <c r="AM1779" s="58" t="n">
        <v>1724.137931</v>
      </c>
      <c r="AN1779" s="155" t="inlineStr">
        <is>
          <t>Shopify Stetson México | Odoo Universal Unique Brands</t>
        </is>
      </c>
      <c r="AO1779" s="59" t="n">
        <v>1</v>
      </c>
      <c r="AP1779" s="59" t="n"/>
      <c r="AQ1779" s="59" t="n">
        <v>2</v>
      </c>
      <c r="AR1779" s="155" t="inlineStr">
        <is>
          <t>Shopify Stetson México › Stetson Americas: 1 | Odoo Universal Unique Brands › Bodega 25 › Bodega 25/General: 2</t>
        </is>
      </c>
    </row>
    <row r="1780">
      <c r="A1780" s="50" t="inlineStr">
        <is>
          <t>884426497237</t>
        </is>
      </c>
      <c r="B1780" s="51" t="inlineStr">
        <is>
          <t>110706</t>
        </is>
      </c>
      <c r="C1780" s="156" t="inlineStr">
        <is>
          <t>Multimarca</t>
        </is>
      </c>
      <c r="D1780" s="156" t="inlineStr">
        <is>
          <t>11-054-0816-1320</t>
        </is>
      </c>
      <c r="E1780" s="156" t="inlineStr">
        <is>
          <t>11-054-0816-1320-12R</t>
        </is>
      </c>
      <c r="F1780" s="156" t="inlineStr">
        <is>
          <t>15</t>
        </is>
      </c>
      <c r="G1780" s="156" t="inlineStr">
        <is>
          <t>12</t>
        </is>
      </c>
      <c r="H1780" s="156" t="inlineStr">
        <is>
          <t>Stetson</t>
        </is>
      </c>
      <c r="I1780" s="156" t="inlineStr">
        <is>
          <t>Jean Mujer Puntada Bordado Semicírculo Azul Marino</t>
        </is>
      </c>
      <c r="J1780" s="156" t="inlineStr">
        <is>
          <t>Denim</t>
        </is>
      </c>
      <c r="K1780" s="156" t="inlineStr">
        <is>
          <t>Jeans</t>
        </is>
      </c>
      <c r="L1780" s="156" t="inlineStr">
        <is>
          <t>Mujer</t>
        </is>
      </c>
      <c r="M1780" s="156" t="inlineStr">
        <is>
          <t>Stetson</t>
        </is>
      </c>
      <c r="N1780" s="156" t="inlineStr">
        <is>
          <t>SS26</t>
        </is>
      </c>
      <c r="O1780" s="156" t="inlineStr">
        <is>
          <t>Seasonal</t>
        </is>
      </c>
      <c r="P1780" s="156" t="inlineStr">
        <is>
          <t>Azul</t>
        </is>
      </c>
      <c r="Q1780" s="156" t="inlineStr">
        <is>
          <t>Slim</t>
        </is>
      </c>
      <c r="R1780" s="156" t="inlineStr">
        <is>
          <t>Recto</t>
        </is>
      </c>
      <c r="S1780" s="156" t="inlineStr">
        <is>
          <t>98% Algodón 2% Elastano</t>
        </is>
      </c>
      <c r="T1780" s="156" t="inlineStr">
        <is>
          <t>Jean Mujer Puntada Bordado Semicírculo Azul Marino Fitted</t>
        </is>
      </c>
      <c r="U1780" s="156" t="n"/>
      <c r="V1780" s="156" t="inlineStr">
        <is>
          <t>PZS</t>
        </is>
      </c>
      <c r="W1780" s="51" t="inlineStr">
        <is>
          <t>53101503</t>
        </is>
      </c>
      <c r="X1780" s="156" t="n"/>
      <c r="Y1780" s="54" t="n">
        <v>775.862069</v>
      </c>
      <c r="Z1780" s="54" t="n">
        <v>1724.137931</v>
      </c>
      <c r="AA1780" s="55">
        <f>IF(AND(A1780="", B1780="", E1780=""), "", IF(AB1780="", "Válido", IF((LEN(AB1780)-LEN(SUBSTITUTE(AB1780,"; ","")))/2+1&gt;(LEN(AB1780)-LEN(SUBSTITUTE(AB1780,"[Aviso]","")))/7, "Con Incidencias", "Válido")))</f>
        <v/>
      </c>
      <c r="AB1780" s="56">
        <f>IF(AND(A1780="", B1780="", E1780=""), "", TEXTJOIN("; ", TRUE, IF(OR(TRIM(A1780&amp;"")="", ISNUMBER(SEARCH("FALTA", A1780))), "UPC faltante/inválido", ""), IF(AND(A1780&lt;&gt;"", IFERROR(_xlfn.XMATCH(A1780,$A$2:$A$2509,0,1)&lt;&gt;_xlfn.XMATCH(A1780,$A$2:$A$2509,0,-1),FALSE)), "Código de barras duplicado", ""), IF(AND(E1780&lt;&gt;"", COUNTIF($E$2:$E$2509, E1780)&gt;1), "SKU duplicado", ""), IF(OR(J1780="", J1780=""), "[Aviso] División no capturada ()", IF(ISNA(MATCH(J1780, Criterios!$A$123:$A$126, 0)), "División no válida", "")), IF(OR(K1780="", K1780=""), "[Aviso] Categoría no capturada ()", IF(ISNA(MATCH(K1780, Criterios!$A$81:$A$120, 0)), "Categoría no válida", IF(AND(J1780&lt;&gt;"", J1780&lt;&gt;"", J1780&lt;&gt;VLOOKUP(K1780, Criterios!$A$81:$B$120, 2, FALSE)), "División no coincide con Categoría", ""))), IF(OR(L1780="", L1780=""), "[Aviso] Género no capturado ()", IF(ISNA(MATCH(L1780, Criterios!$B$123:$B$127, 0)), "Género no válido", "")), IF(OR(N1780="", N1780=""), "[Aviso] Temporada no capturada ()", IF(ISNA(MATCH(N1780, Criterios!$C$123:$C$128, 0)), "Temporada no válida", "")), IF(OR(O1780="", O1780=""), "[Aviso] Ciclo de vida no capturado ()", IF(ISNA(MATCH(O1780, Criterios!$D$123:$D$124, 0)), "Ciclo de vida no válido", ""))))</f>
        <v/>
      </c>
      <c r="AC1780" s="56" t="n"/>
      <c r="AD1780" s="51" t="n">
        <v>0</v>
      </c>
      <c r="AE1780" s="156" t="n"/>
      <c r="AF1780" s="51" t="n">
        <v>0</v>
      </c>
      <c r="AG1780" s="156" t="inlineStr">
        <is>
          <t>Catálogo existente</t>
        </is>
      </c>
      <c r="AH1780" s="156" t="n"/>
      <c r="AI1780" s="156" t="inlineStr">
        <is>
          <t>No</t>
        </is>
      </c>
      <c r="AJ1780" s="156" t="n"/>
      <c r="AK1780" s="155" t="inlineStr">
        <is>
          <t>Shopify Stetson: producto 15051555340651 / variante 53342130602347 | Odoo: producto 29933 / plantilla 38637</t>
        </is>
      </c>
      <c r="AL1780" s="58" t="n">
        <v>775.862069</v>
      </c>
      <c r="AM1780" s="58" t="n">
        <v>1724.137931</v>
      </c>
      <c r="AN1780" s="155" t="inlineStr">
        <is>
          <t>Shopify Stetson México | Odoo Universal Unique Brands</t>
        </is>
      </c>
      <c r="AO1780" s="59" t="n">
        <v>1</v>
      </c>
      <c r="AP1780" s="59" t="n"/>
      <c r="AQ1780" s="59" t="n">
        <v>1</v>
      </c>
      <c r="AR1780" s="155" t="inlineStr">
        <is>
          <t>Shopify Stetson México › Stetson Americas: 1 | Odoo Universal Unique Brands › Bodega 25 › Bodega 25/General: 1</t>
        </is>
      </c>
    </row>
    <row r="1781">
      <c r="A1781" s="50" t="inlineStr">
        <is>
          <t>884426497428</t>
        </is>
      </c>
      <c r="B1781" s="51" t="inlineStr">
        <is>
          <t>110707</t>
        </is>
      </c>
      <c r="C1781" s="156" t="inlineStr">
        <is>
          <t>Multimarca</t>
        </is>
      </c>
      <c r="D1781" s="156" t="inlineStr">
        <is>
          <t>11-054-0816-1320</t>
        </is>
      </c>
      <c r="E1781" s="156" t="inlineStr">
        <is>
          <t>11-054-0816-1320-2L</t>
        </is>
      </c>
      <c r="F1781" s="156" t="inlineStr">
        <is>
          <t>5 Largo</t>
        </is>
      </c>
      <c r="G1781" s="156" t="inlineStr">
        <is>
          <t>2 Long</t>
        </is>
      </c>
      <c r="H1781" s="156" t="inlineStr">
        <is>
          <t>Stetson</t>
        </is>
      </c>
      <c r="I1781" s="156" t="inlineStr">
        <is>
          <t>Jean Mujer Puntada Bordado Semicírculo Azul Marino</t>
        </is>
      </c>
      <c r="J1781" s="156" t="inlineStr">
        <is>
          <t>Denim</t>
        </is>
      </c>
      <c r="K1781" s="156" t="inlineStr">
        <is>
          <t>Jeans</t>
        </is>
      </c>
      <c r="L1781" s="156" t="inlineStr">
        <is>
          <t>Mujer</t>
        </is>
      </c>
      <c r="M1781" s="156" t="inlineStr">
        <is>
          <t>Stetson</t>
        </is>
      </c>
      <c r="N1781" s="156" t="inlineStr">
        <is>
          <t>SS26</t>
        </is>
      </c>
      <c r="O1781" s="156" t="inlineStr">
        <is>
          <t>Seasonal</t>
        </is>
      </c>
      <c r="P1781" s="156" t="inlineStr">
        <is>
          <t>Azul</t>
        </is>
      </c>
      <c r="Q1781" s="156" t="inlineStr">
        <is>
          <t>Slim</t>
        </is>
      </c>
      <c r="R1781" s="156" t="inlineStr">
        <is>
          <t>Recto</t>
        </is>
      </c>
      <c r="S1781" s="156" t="inlineStr">
        <is>
          <t>98% Algodón 2% Elastano</t>
        </is>
      </c>
      <c r="T1781" s="156" t="inlineStr">
        <is>
          <t>Jean Mujer Puntada Bordado Semicírculo Azul Marino Fitted</t>
        </is>
      </c>
      <c r="U1781" s="156" t="n"/>
      <c r="V1781" s="156" t="inlineStr">
        <is>
          <t>PZS</t>
        </is>
      </c>
      <c r="W1781" s="51" t="inlineStr">
        <is>
          <t>53101503</t>
        </is>
      </c>
      <c r="X1781" s="156" t="n"/>
      <c r="Y1781" s="54" t="n">
        <v>775.862069</v>
      </c>
      <c r="Z1781" s="54" t="n">
        <v>1724.137931</v>
      </c>
      <c r="AA1781" s="55">
        <f>IF(AND(A1781="", B1781="", E1781=""), "", IF(AB1781="", "Válido", IF((LEN(AB1781)-LEN(SUBSTITUTE(AB1781,"; ","")))/2+1&gt;(LEN(AB1781)-LEN(SUBSTITUTE(AB1781,"[Aviso]","")))/7, "Con Incidencias", "Válido")))</f>
        <v/>
      </c>
      <c r="AB1781" s="56">
        <f>IF(AND(A1781="", B1781="", E1781=""), "", TEXTJOIN("; ", TRUE, IF(OR(TRIM(A1781&amp;"")="", ISNUMBER(SEARCH("FALTA", A1781))), "UPC faltante/inválido", ""), IF(AND(A1781&lt;&gt;"", IFERROR(_xlfn.XMATCH(A1781,$A$2:$A$2509,0,1)&lt;&gt;_xlfn.XMATCH(A1781,$A$2:$A$2509,0,-1),FALSE)), "Código de barras duplicado", ""), IF(AND(E1781&lt;&gt;"", COUNTIF($E$2:$E$2509, E1781)&gt;1), "SKU duplicado", ""), IF(OR(J1781="", J1781=""), "[Aviso] División no capturada ()", IF(ISNA(MATCH(J1781, Criterios!$A$123:$A$126, 0)), "División no válida", "")), IF(OR(K1781="", K1781=""), "[Aviso] Categoría no capturada ()", IF(ISNA(MATCH(K1781, Criterios!$A$81:$A$120, 0)), "Categoría no válida", IF(AND(J1781&lt;&gt;"", J1781&lt;&gt;"", J1781&lt;&gt;VLOOKUP(K1781, Criterios!$A$81:$B$120, 2, FALSE)), "División no coincide con Categoría", ""))), IF(OR(L1781="", L1781=""), "[Aviso] Género no capturado ()", IF(ISNA(MATCH(L1781, Criterios!$B$123:$B$127, 0)), "Género no válido", "")), IF(OR(N1781="", N1781=""), "[Aviso] Temporada no capturada ()", IF(ISNA(MATCH(N1781, Criterios!$C$123:$C$128, 0)), "Temporada no válida", "")), IF(OR(O1781="", O1781=""), "[Aviso] Ciclo de vida no capturado ()", IF(ISNA(MATCH(O1781, Criterios!$D$123:$D$124, 0)), "Ciclo de vida no válido", ""))))</f>
        <v/>
      </c>
      <c r="AC1781" s="56" t="n"/>
      <c r="AD1781" s="51" t="n">
        <v>-1</v>
      </c>
      <c r="AE1781" s="156" t="n"/>
      <c r="AF1781" s="51" t="n">
        <v>0</v>
      </c>
      <c r="AG1781" s="156" t="inlineStr">
        <is>
          <t>Catálogo existente</t>
        </is>
      </c>
      <c r="AH1781" s="156" t="inlineStr">
        <is>
          <t>Stock negativo en sistema: revisar en conteo</t>
        </is>
      </c>
      <c r="AI1781" s="156" t="inlineStr">
        <is>
          <t>Sí</t>
        </is>
      </c>
      <c r="AJ1781" s="156" t="inlineStr">
        <is>
          <t>STETSON AMERICAS (-1)</t>
        </is>
      </c>
      <c r="AK1781" s="155" t="inlineStr">
        <is>
          <t>Shopify Stetson: producto 15051555340651 / variante 53342130307435 | Odoo: producto 29924 / plantilla 38628</t>
        </is>
      </c>
      <c r="AL1781" s="58" t="n">
        <v>775.862069</v>
      </c>
      <c r="AM1781" s="58" t="n">
        <v>1724.137931</v>
      </c>
      <c r="AN1781" s="155" t="inlineStr">
        <is>
          <t>Shopify Stetson México | Odoo Universal Unique Brands</t>
        </is>
      </c>
      <c r="AO1781" s="59" t="n">
        <v>0</v>
      </c>
      <c r="AP1781" s="59" t="n"/>
      <c r="AQ1781" s="59" t="n">
        <v>1</v>
      </c>
      <c r="AR1781" s="155" t="inlineStr">
        <is>
          <t>Odoo Universal Unique Brands › Bodega 25 › Bodega 25/General: 1</t>
        </is>
      </c>
    </row>
    <row r="1782">
      <c r="A1782" s="50" t="inlineStr">
        <is>
          <t>884426497435</t>
        </is>
      </c>
      <c r="B1782" s="51" t="inlineStr">
        <is>
          <t>110708</t>
        </is>
      </c>
      <c r="C1782" s="156" t="inlineStr">
        <is>
          <t>Multimarca</t>
        </is>
      </c>
      <c r="D1782" s="156" t="inlineStr">
        <is>
          <t>11-054-0816-1320</t>
        </is>
      </c>
      <c r="E1782" s="156" t="inlineStr">
        <is>
          <t>11-054-0816-1320-2R</t>
        </is>
      </c>
      <c r="F1782" s="156" t="inlineStr">
        <is>
          <t>5</t>
        </is>
      </c>
      <c r="G1782" s="156" t="inlineStr">
        <is>
          <t>2</t>
        </is>
      </c>
      <c r="H1782" s="156" t="inlineStr">
        <is>
          <t>Stetson</t>
        </is>
      </c>
      <c r="I1782" s="156" t="inlineStr">
        <is>
          <t>Jean Mujer Puntada Bordado Semicírculo Azul Marino</t>
        </is>
      </c>
      <c r="J1782" s="156" t="inlineStr">
        <is>
          <t>Denim</t>
        </is>
      </c>
      <c r="K1782" s="156" t="inlineStr">
        <is>
          <t>Jeans</t>
        </is>
      </c>
      <c r="L1782" s="156" t="inlineStr">
        <is>
          <t>Mujer</t>
        </is>
      </c>
      <c r="M1782" s="156" t="inlineStr">
        <is>
          <t>Stetson</t>
        </is>
      </c>
      <c r="N1782" s="156" t="inlineStr">
        <is>
          <t>SS26</t>
        </is>
      </c>
      <c r="O1782" s="156" t="inlineStr">
        <is>
          <t>Seasonal</t>
        </is>
      </c>
      <c r="P1782" s="156" t="inlineStr">
        <is>
          <t>Azul</t>
        </is>
      </c>
      <c r="Q1782" s="156" t="inlineStr">
        <is>
          <t>Slim</t>
        </is>
      </c>
      <c r="R1782" s="156" t="inlineStr">
        <is>
          <t>Recto</t>
        </is>
      </c>
      <c r="S1782" s="156" t="inlineStr">
        <is>
          <t>98% Algodón 2% Elastano</t>
        </is>
      </c>
      <c r="T1782" s="156" t="inlineStr">
        <is>
          <t>Jean Mujer Puntada Bordado Semicírculo Azul Marino Fitted</t>
        </is>
      </c>
      <c r="U1782" s="156" t="n"/>
      <c r="V1782" s="156" t="inlineStr">
        <is>
          <t>PZS</t>
        </is>
      </c>
      <c r="W1782" s="51" t="inlineStr">
        <is>
          <t>53101503</t>
        </is>
      </c>
      <c r="X1782" s="156" t="n"/>
      <c r="Y1782" s="54" t="n">
        <v>775.862069</v>
      </c>
      <c r="Z1782" s="54" t="n">
        <v>1724.137931</v>
      </c>
      <c r="AA1782" s="55">
        <f>IF(AND(A1782="", B1782="", E1782=""), "", IF(AB1782="", "Válido", IF((LEN(AB1782)-LEN(SUBSTITUTE(AB1782,"; ","")))/2+1&gt;(LEN(AB1782)-LEN(SUBSTITUTE(AB1782,"[Aviso]","")))/7, "Con Incidencias", "Válido")))</f>
        <v/>
      </c>
      <c r="AB1782" s="56">
        <f>IF(AND(A1782="", B1782="", E1782=""), "", TEXTJOIN("; ", TRUE, IF(OR(TRIM(A1782&amp;"")="", ISNUMBER(SEARCH("FALTA", A1782))), "UPC faltante/inválido", ""), IF(AND(A1782&lt;&gt;"", IFERROR(_xlfn.XMATCH(A1782,$A$2:$A$2509,0,1)&lt;&gt;_xlfn.XMATCH(A1782,$A$2:$A$2509,0,-1),FALSE)), "Código de barras duplicado", ""), IF(AND(E1782&lt;&gt;"", COUNTIF($E$2:$E$2509, E1782)&gt;1), "SKU duplicado", ""), IF(OR(J1782="", J1782=""), "[Aviso] División no capturada ()", IF(ISNA(MATCH(J1782, Criterios!$A$123:$A$126, 0)), "División no válida", "")), IF(OR(K1782="", K1782=""), "[Aviso] Categoría no capturada ()", IF(ISNA(MATCH(K1782, Criterios!$A$81:$A$120, 0)), "Categoría no válida", IF(AND(J1782&lt;&gt;"", J1782&lt;&gt;"", J1782&lt;&gt;VLOOKUP(K1782, Criterios!$A$81:$B$120, 2, FALSE)), "División no coincide con Categoría", ""))), IF(OR(L1782="", L1782=""), "[Aviso] Género no capturado ()", IF(ISNA(MATCH(L1782, Criterios!$B$123:$B$127, 0)), "Género no válido", "")), IF(OR(N1782="", N1782=""), "[Aviso] Temporada no capturada ()", IF(ISNA(MATCH(N1782, Criterios!$C$123:$C$128, 0)), "Temporada no válida", "")), IF(OR(O1782="", O1782=""), "[Aviso] Ciclo de vida no capturado ()", IF(ISNA(MATCH(O1782, Criterios!$D$123:$D$124, 0)), "Ciclo de vida no válido", ""))))</f>
        <v/>
      </c>
      <c r="AC1782" s="56" t="n"/>
      <c r="AD1782" s="51" t="n">
        <v>-2</v>
      </c>
      <c r="AE1782" s="156" t="n"/>
      <c r="AF1782" s="51" t="n">
        <v>0</v>
      </c>
      <c r="AG1782" s="156" t="inlineStr">
        <is>
          <t>Catálogo existente</t>
        </is>
      </c>
      <c r="AH1782" s="156" t="inlineStr">
        <is>
          <t>Stock negativo en sistema: revisar en conteo</t>
        </is>
      </c>
      <c r="AI1782" s="156" t="inlineStr">
        <is>
          <t>Sí</t>
        </is>
      </c>
      <c r="AJ1782" s="156" t="inlineStr">
        <is>
          <t>STETSON AMERICAS (-2)</t>
        </is>
      </c>
      <c r="AK1782" s="155" t="inlineStr">
        <is>
          <t>Shopify Stetson: producto 15051555340651 / variante 53342130274667 | Odoo: producto 29923 / plantilla 38627</t>
        </is>
      </c>
      <c r="AL1782" s="58" t="n">
        <v>775.862069</v>
      </c>
      <c r="AM1782" s="58" t="n">
        <v>1724.137931</v>
      </c>
      <c r="AN1782" s="155" t="inlineStr">
        <is>
          <t>Shopify Stetson México | Odoo Universal Unique Brands</t>
        </is>
      </c>
      <c r="AO1782" s="59" t="n">
        <v>0</v>
      </c>
      <c r="AP1782" s="59" t="n"/>
      <c r="AQ1782" s="59" t="n">
        <v>2</v>
      </c>
      <c r="AR1782" s="155" t="inlineStr">
        <is>
          <t>Odoo Universal Unique Brands › Bodega 25 › Bodega 25/General: 2</t>
        </is>
      </c>
    </row>
    <row r="1783">
      <c r="A1783" s="50" t="inlineStr">
        <is>
          <t>884426497473</t>
        </is>
      </c>
      <c r="B1783" s="51" t="inlineStr">
        <is>
          <t>110709</t>
        </is>
      </c>
      <c r="C1783" s="156" t="inlineStr">
        <is>
          <t>Multimarca</t>
        </is>
      </c>
      <c r="D1783" s="156" t="inlineStr">
        <is>
          <t>11-054-0816-1320</t>
        </is>
      </c>
      <c r="E1783" s="156" t="inlineStr">
        <is>
          <t>11-054-0816-1320-4L</t>
        </is>
      </c>
      <c r="F1783" s="156" t="inlineStr">
        <is>
          <t>7 Largo</t>
        </is>
      </c>
      <c r="G1783" s="156" t="inlineStr">
        <is>
          <t>4 Long</t>
        </is>
      </c>
      <c r="H1783" s="156" t="inlineStr">
        <is>
          <t>Stetson</t>
        </is>
      </c>
      <c r="I1783" s="156" t="inlineStr">
        <is>
          <t>Jean Mujer Puntada Bordado Semicírculo Azul Marino</t>
        </is>
      </c>
      <c r="J1783" s="156" t="inlineStr">
        <is>
          <t>Denim</t>
        </is>
      </c>
      <c r="K1783" s="156" t="inlineStr">
        <is>
          <t>Jeans</t>
        </is>
      </c>
      <c r="L1783" s="156" t="inlineStr">
        <is>
          <t>Mujer</t>
        </is>
      </c>
      <c r="M1783" s="156" t="inlineStr">
        <is>
          <t>Stetson</t>
        </is>
      </c>
      <c r="N1783" s="156" t="inlineStr">
        <is>
          <t>SS26</t>
        </is>
      </c>
      <c r="O1783" s="156" t="inlineStr">
        <is>
          <t>Seasonal</t>
        </is>
      </c>
      <c r="P1783" s="156" t="inlineStr">
        <is>
          <t>Azul</t>
        </is>
      </c>
      <c r="Q1783" s="156" t="inlineStr">
        <is>
          <t>Slim</t>
        </is>
      </c>
      <c r="R1783" s="156" t="inlineStr">
        <is>
          <t>Recto</t>
        </is>
      </c>
      <c r="S1783" s="156" t="inlineStr">
        <is>
          <t>98% Algodón 2% Elastano</t>
        </is>
      </c>
      <c r="T1783" s="156" t="inlineStr">
        <is>
          <t>Jean Mujer Puntada Bordado Semicírculo Azul Marino Fitted</t>
        </is>
      </c>
      <c r="U1783" s="156" t="n"/>
      <c r="V1783" s="156" t="inlineStr">
        <is>
          <t>PZS</t>
        </is>
      </c>
      <c r="W1783" s="51" t="inlineStr">
        <is>
          <t>53101503</t>
        </is>
      </c>
      <c r="X1783" s="156" t="n"/>
      <c r="Y1783" s="54" t="n">
        <v>775.862069</v>
      </c>
      <c r="Z1783" s="54" t="n">
        <v>1724.137931</v>
      </c>
      <c r="AA1783" s="55">
        <f>IF(AND(A1783="", B1783="", E1783=""), "", IF(AB1783="", "Válido", IF((LEN(AB1783)-LEN(SUBSTITUTE(AB1783,"; ","")))/2+1&gt;(LEN(AB1783)-LEN(SUBSTITUTE(AB1783,"[Aviso]","")))/7, "Con Incidencias", "Válido")))</f>
        <v/>
      </c>
      <c r="AB1783" s="56">
        <f>IF(AND(A1783="", B1783="", E1783=""), "", TEXTJOIN("; ", TRUE, IF(OR(TRIM(A1783&amp;"")="", ISNUMBER(SEARCH("FALTA", A1783))), "UPC faltante/inválido", ""), IF(AND(A1783&lt;&gt;"", IFERROR(_xlfn.XMATCH(A1783,$A$2:$A$2509,0,1)&lt;&gt;_xlfn.XMATCH(A1783,$A$2:$A$2509,0,-1),FALSE)), "Código de barras duplicado", ""), IF(AND(E1783&lt;&gt;"", COUNTIF($E$2:$E$2509, E1783)&gt;1), "SKU duplicado", ""), IF(OR(J1783="", J1783=""), "[Aviso] División no capturada ()", IF(ISNA(MATCH(J1783, Criterios!$A$123:$A$126, 0)), "División no válida", "")), IF(OR(K1783="", K1783=""), "[Aviso] Categoría no capturada ()", IF(ISNA(MATCH(K1783, Criterios!$A$81:$A$120, 0)), "Categoría no válida", IF(AND(J1783&lt;&gt;"", J1783&lt;&gt;"", J1783&lt;&gt;VLOOKUP(K1783, Criterios!$A$81:$B$120, 2, FALSE)), "División no coincide con Categoría", ""))), IF(OR(L1783="", L1783=""), "[Aviso] Género no capturado ()", IF(ISNA(MATCH(L1783, Criterios!$B$123:$B$127, 0)), "Género no válido", "")), IF(OR(N1783="", N1783=""), "[Aviso] Temporada no capturada ()", IF(ISNA(MATCH(N1783, Criterios!$C$123:$C$128, 0)), "Temporada no válida", "")), IF(OR(O1783="", O1783=""), "[Aviso] Ciclo de vida no capturado ()", IF(ISNA(MATCH(O1783, Criterios!$D$123:$D$124, 0)), "Ciclo de vida no válido", ""))))</f>
        <v/>
      </c>
      <c r="AC1783" s="56" t="n"/>
      <c r="AD1783" s="51" t="n">
        <v>-1</v>
      </c>
      <c r="AE1783" s="156" t="n"/>
      <c r="AF1783" s="51" t="n">
        <v>0</v>
      </c>
      <c r="AG1783" s="156" t="inlineStr">
        <is>
          <t>Catálogo existente</t>
        </is>
      </c>
      <c r="AH1783" s="156" t="inlineStr">
        <is>
          <t>Stock negativo en sistema: revisar en conteo</t>
        </is>
      </c>
      <c r="AI1783" s="156" t="inlineStr">
        <is>
          <t>Sí</t>
        </is>
      </c>
      <c r="AJ1783" s="156" t="inlineStr">
        <is>
          <t>STETSON AMERICAS (-1)</t>
        </is>
      </c>
      <c r="AK1783" s="155" t="inlineStr">
        <is>
          <t>Shopify Stetson: producto 15051555340651 / variante 53342130372971 | Odoo: producto 29926 / plantilla 38630</t>
        </is>
      </c>
      <c r="AL1783" s="58" t="n">
        <v>775.862069</v>
      </c>
      <c r="AM1783" s="58" t="n">
        <v>1724.137931</v>
      </c>
      <c r="AN1783" s="155" t="inlineStr">
        <is>
          <t>Shopify Stetson México | Odoo Universal Unique Brands</t>
        </is>
      </c>
      <c r="AO1783" s="59" t="n">
        <v>0</v>
      </c>
      <c r="AP1783" s="59" t="n"/>
      <c r="AQ1783" s="59" t="n">
        <v>1</v>
      </c>
      <c r="AR1783" s="155" t="inlineStr">
        <is>
          <t>Odoo Universal Unique Brands › Bodega 25 › Bodega 25/General: 1</t>
        </is>
      </c>
    </row>
    <row r="1784">
      <c r="A1784" s="50" t="inlineStr">
        <is>
          <t>884426497480</t>
        </is>
      </c>
      <c r="B1784" s="51" t="inlineStr">
        <is>
          <t>110710</t>
        </is>
      </c>
      <c r="C1784" s="156" t="inlineStr">
        <is>
          <t>Multimarca</t>
        </is>
      </c>
      <c r="D1784" s="156" t="inlineStr">
        <is>
          <t>11-054-0816-1320</t>
        </is>
      </c>
      <c r="E1784" s="156" t="inlineStr">
        <is>
          <t>11-054-0816-1320-4R</t>
        </is>
      </c>
      <c r="F1784" s="156" t="inlineStr">
        <is>
          <t>7</t>
        </is>
      </c>
      <c r="G1784" s="156" t="inlineStr">
        <is>
          <t>4</t>
        </is>
      </c>
      <c r="H1784" s="156" t="inlineStr">
        <is>
          <t>Stetson</t>
        </is>
      </c>
      <c r="I1784" s="156" t="inlineStr">
        <is>
          <t>Jean Mujer Puntada Bordado Semicírculo Azul Marino</t>
        </is>
      </c>
      <c r="J1784" s="156" t="inlineStr">
        <is>
          <t>Denim</t>
        </is>
      </c>
      <c r="K1784" s="156" t="inlineStr">
        <is>
          <t>Jeans</t>
        </is>
      </c>
      <c r="L1784" s="156" t="inlineStr">
        <is>
          <t>Mujer</t>
        </is>
      </c>
      <c r="M1784" s="156" t="inlineStr">
        <is>
          <t>Stetson</t>
        </is>
      </c>
      <c r="N1784" s="156" t="inlineStr">
        <is>
          <t>SS26</t>
        </is>
      </c>
      <c r="O1784" s="156" t="inlineStr">
        <is>
          <t>Seasonal</t>
        </is>
      </c>
      <c r="P1784" s="156" t="inlineStr">
        <is>
          <t>Azul</t>
        </is>
      </c>
      <c r="Q1784" s="156" t="inlineStr">
        <is>
          <t>Slim</t>
        </is>
      </c>
      <c r="R1784" s="156" t="inlineStr">
        <is>
          <t>Recto</t>
        </is>
      </c>
      <c r="S1784" s="156" t="inlineStr">
        <is>
          <t>98% Algodón 2% Elastano</t>
        </is>
      </c>
      <c r="T1784" s="156" t="inlineStr">
        <is>
          <t>Jean Mujer Puntada Bordado Semicírculo Azul Marino Fitted</t>
        </is>
      </c>
      <c r="U1784" s="156" t="n"/>
      <c r="V1784" s="156" t="inlineStr">
        <is>
          <t>PZS</t>
        </is>
      </c>
      <c r="W1784" s="51" t="inlineStr">
        <is>
          <t>53101503</t>
        </is>
      </c>
      <c r="X1784" s="156" t="n"/>
      <c r="Y1784" s="54" t="n">
        <v>775.862069</v>
      </c>
      <c r="Z1784" s="54" t="n">
        <v>1724.137931</v>
      </c>
      <c r="AA1784" s="55">
        <f>IF(AND(A1784="", B1784="", E1784=""), "", IF(AB1784="", "Válido", IF((LEN(AB1784)-LEN(SUBSTITUTE(AB1784,"; ","")))/2+1&gt;(LEN(AB1784)-LEN(SUBSTITUTE(AB1784,"[Aviso]","")))/7, "Con Incidencias", "Válido")))</f>
        <v/>
      </c>
      <c r="AB1784" s="56">
        <f>IF(AND(A1784="", B1784="", E1784=""), "", TEXTJOIN("; ", TRUE, IF(OR(TRIM(A1784&amp;"")="", ISNUMBER(SEARCH("FALTA", A1784))), "UPC faltante/inválido", ""), IF(AND(A1784&lt;&gt;"", IFERROR(_xlfn.XMATCH(A1784,$A$2:$A$2509,0,1)&lt;&gt;_xlfn.XMATCH(A1784,$A$2:$A$2509,0,-1),FALSE)), "Código de barras duplicado", ""), IF(AND(E1784&lt;&gt;"", COUNTIF($E$2:$E$2509, E1784)&gt;1), "SKU duplicado", ""), IF(OR(J1784="", J1784=""), "[Aviso] División no capturada ()", IF(ISNA(MATCH(J1784, Criterios!$A$123:$A$126, 0)), "División no válida", "")), IF(OR(K1784="", K1784=""), "[Aviso] Categoría no capturada ()", IF(ISNA(MATCH(K1784, Criterios!$A$81:$A$120, 0)), "Categoría no válida", IF(AND(J1784&lt;&gt;"", J1784&lt;&gt;"", J1784&lt;&gt;VLOOKUP(K1784, Criterios!$A$81:$B$120, 2, FALSE)), "División no coincide con Categoría", ""))), IF(OR(L1784="", L1784=""), "[Aviso] Género no capturado ()", IF(ISNA(MATCH(L1784, Criterios!$B$123:$B$127, 0)), "Género no válido", "")), IF(OR(N1784="", N1784=""), "[Aviso] Temporada no capturada ()", IF(ISNA(MATCH(N1784, Criterios!$C$123:$C$128, 0)), "Temporada no válida", "")), IF(OR(O1784="", O1784=""), "[Aviso] Ciclo de vida no capturado ()", IF(ISNA(MATCH(O1784, Criterios!$D$123:$D$124, 0)), "Ciclo de vida no válido", ""))))</f>
        <v/>
      </c>
      <c r="AC1784" s="56" t="n"/>
      <c r="AD1784" s="51" t="n">
        <v>-2</v>
      </c>
      <c r="AE1784" s="156" t="n"/>
      <c r="AF1784" s="51" t="n">
        <v>0</v>
      </c>
      <c r="AG1784" s="156" t="inlineStr">
        <is>
          <t>Catálogo existente</t>
        </is>
      </c>
      <c r="AH1784" s="156" t="inlineStr">
        <is>
          <t>Stock negativo en sistema: revisar en conteo</t>
        </is>
      </c>
      <c r="AI1784" s="156" t="inlineStr">
        <is>
          <t>Sí</t>
        </is>
      </c>
      <c r="AJ1784" s="156" t="inlineStr">
        <is>
          <t>STETSON AMERICAS (-2)</t>
        </is>
      </c>
      <c r="AK1784" s="155" t="inlineStr">
        <is>
          <t>Shopify Stetson: producto 15051555340651 / variante 53342130340203 | Odoo: producto 29925 / plantilla 38629</t>
        </is>
      </c>
      <c r="AL1784" s="58" t="n">
        <v>775.862069</v>
      </c>
      <c r="AM1784" s="58" t="n">
        <v>1724.137931</v>
      </c>
      <c r="AN1784" s="155" t="inlineStr">
        <is>
          <t>Shopify Stetson México | Odoo Universal Unique Brands</t>
        </is>
      </c>
      <c r="AO1784" s="59" t="n">
        <v>0</v>
      </c>
      <c r="AP1784" s="59" t="n"/>
      <c r="AQ1784" s="59" t="n">
        <v>2</v>
      </c>
      <c r="AR1784" s="155" t="inlineStr">
        <is>
          <t>Odoo Universal Unique Brands › Bodega 25 › Bodega 25/General: 2</t>
        </is>
      </c>
    </row>
    <row r="1785">
      <c r="A1785" s="50" t="inlineStr">
        <is>
          <t>884426497527</t>
        </is>
      </c>
      <c r="B1785" s="51" t="inlineStr">
        <is>
          <t>110711</t>
        </is>
      </c>
      <c r="C1785" s="156" t="inlineStr">
        <is>
          <t>Multimarca</t>
        </is>
      </c>
      <c r="D1785" s="156" t="inlineStr">
        <is>
          <t>11-054-0816-1320</t>
        </is>
      </c>
      <c r="E1785" s="156" t="inlineStr">
        <is>
          <t>11-054-0816-1320-6L</t>
        </is>
      </c>
      <c r="F1785" s="156" t="inlineStr">
        <is>
          <t>9 Largo</t>
        </is>
      </c>
      <c r="G1785" s="156" t="inlineStr">
        <is>
          <t>6 Long</t>
        </is>
      </c>
      <c r="H1785" s="156" t="inlineStr">
        <is>
          <t>Stetson</t>
        </is>
      </c>
      <c r="I1785" s="156" t="inlineStr">
        <is>
          <t>Jean Mujer Puntada Bordado Semicírculo Azul Marino</t>
        </is>
      </c>
      <c r="J1785" s="156" t="inlineStr">
        <is>
          <t>Denim</t>
        </is>
      </c>
      <c r="K1785" s="156" t="inlineStr">
        <is>
          <t>Jeans</t>
        </is>
      </c>
      <c r="L1785" s="156" t="inlineStr">
        <is>
          <t>Mujer</t>
        </is>
      </c>
      <c r="M1785" s="156" t="inlineStr">
        <is>
          <t>Stetson</t>
        </is>
      </c>
      <c r="N1785" s="156" t="inlineStr">
        <is>
          <t>SS26</t>
        </is>
      </c>
      <c r="O1785" s="156" t="inlineStr">
        <is>
          <t>Seasonal</t>
        </is>
      </c>
      <c r="P1785" s="156" t="inlineStr">
        <is>
          <t>Azul</t>
        </is>
      </c>
      <c r="Q1785" s="156" t="inlineStr">
        <is>
          <t>Slim</t>
        </is>
      </c>
      <c r="R1785" s="156" t="inlineStr">
        <is>
          <t>Recto</t>
        </is>
      </c>
      <c r="S1785" s="156" t="inlineStr">
        <is>
          <t>98% Algodón 2% Elastano</t>
        </is>
      </c>
      <c r="T1785" s="156" t="inlineStr">
        <is>
          <t>Jean Mujer Puntada Bordado Semicírculo Azul Marino Fitted</t>
        </is>
      </c>
      <c r="U1785" s="156" t="n"/>
      <c r="V1785" s="156" t="inlineStr">
        <is>
          <t>PZS</t>
        </is>
      </c>
      <c r="W1785" s="51" t="inlineStr">
        <is>
          <t>53101503</t>
        </is>
      </c>
      <c r="X1785" s="156" t="n"/>
      <c r="Y1785" s="54" t="n">
        <v>775.862069</v>
      </c>
      <c r="Z1785" s="54" t="n">
        <v>1724.137931</v>
      </c>
      <c r="AA1785" s="55">
        <f>IF(AND(A1785="", B1785="", E1785=""), "", IF(AB1785="", "Válido", IF((LEN(AB1785)-LEN(SUBSTITUTE(AB1785,"; ","")))/2+1&gt;(LEN(AB1785)-LEN(SUBSTITUTE(AB1785,"[Aviso]","")))/7, "Con Incidencias", "Válido")))</f>
        <v/>
      </c>
      <c r="AB1785" s="56">
        <f>IF(AND(A1785="", B1785="", E1785=""), "", TEXTJOIN("; ", TRUE, IF(OR(TRIM(A1785&amp;"")="", ISNUMBER(SEARCH("FALTA", A1785))), "UPC faltante/inválido", ""), IF(AND(A1785&lt;&gt;"", IFERROR(_xlfn.XMATCH(A1785,$A$2:$A$2509,0,1)&lt;&gt;_xlfn.XMATCH(A1785,$A$2:$A$2509,0,-1),FALSE)), "Código de barras duplicado", ""), IF(AND(E1785&lt;&gt;"", COUNTIF($E$2:$E$2509, E1785)&gt;1), "SKU duplicado", ""), IF(OR(J1785="", J1785=""), "[Aviso] División no capturada ()", IF(ISNA(MATCH(J1785, Criterios!$A$123:$A$126, 0)), "División no válida", "")), IF(OR(K1785="", K1785=""), "[Aviso] Categoría no capturada ()", IF(ISNA(MATCH(K1785, Criterios!$A$81:$A$120, 0)), "Categoría no válida", IF(AND(J1785&lt;&gt;"", J1785&lt;&gt;"", J1785&lt;&gt;VLOOKUP(K1785, Criterios!$A$81:$B$120, 2, FALSE)), "División no coincide con Categoría", ""))), IF(OR(L1785="", L1785=""), "[Aviso] Género no capturado ()", IF(ISNA(MATCH(L1785, Criterios!$B$123:$B$127, 0)), "Género no válido", "")), IF(OR(N1785="", N1785=""), "[Aviso] Temporada no capturada ()", IF(ISNA(MATCH(N1785, Criterios!$C$123:$C$128, 0)), "Temporada no válida", "")), IF(OR(O1785="", O1785=""), "[Aviso] Ciclo de vida no capturado ()", IF(ISNA(MATCH(O1785, Criterios!$D$123:$D$124, 0)), "Ciclo de vida no válido", ""))))</f>
        <v/>
      </c>
      <c r="AC1785" s="56" t="n"/>
      <c r="AD1785" s="51" t="n">
        <v>-1</v>
      </c>
      <c r="AE1785" s="156" t="n"/>
      <c r="AF1785" s="51" t="n">
        <v>0</v>
      </c>
      <c r="AG1785" s="156" t="inlineStr">
        <is>
          <t>Catálogo existente</t>
        </is>
      </c>
      <c r="AH1785" s="156" t="inlineStr">
        <is>
          <t>Stock negativo en sistema: revisar en conteo</t>
        </is>
      </c>
      <c r="AI1785" s="156" t="inlineStr">
        <is>
          <t>Sí</t>
        </is>
      </c>
      <c r="AJ1785" s="156" t="inlineStr">
        <is>
          <t>STETSON AMERICAS (-1)</t>
        </is>
      </c>
      <c r="AK1785" s="155" t="inlineStr">
        <is>
          <t>Shopify Stetson: producto 15051555340651 / variante 53342130438507 | Odoo: producto 29928 / plantilla 38632</t>
        </is>
      </c>
      <c r="AL1785" s="58" t="n">
        <v>775.862069</v>
      </c>
      <c r="AM1785" s="58" t="n">
        <v>1724.137931</v>
      </c>
      <c r="AN1785" s="155" t="inlineStr">
        <is>
          <t>Shopify Stetson México | Odoo Universal Unique Brands</t>
        </is>
      </c>
      <c r="AO1785" s="59" t="n">
        <v>0</v>
      </c>
      <c r="AP1785" s="59" t="n"/>
      <c r="AQ1785" s="59" t="n">
        <v>1</v>
      </c>
      <c r="AR1785" s="155" t="inlineStr">
        <is>
          <t>Odoo Universal Unique Brands › Bodega 25 › Bodega 25/General: 1</t>
        </is>
      </c>
    </row>
    <row r="1786">
      <c r="A1786" s="50" t="inlineStr">
        <is>
          <t>884426497534</t>
        </is>
      </c>
      <c r="B1786" s="51" t="inlineStr">
        <is>
          <t>110712</t>
        </is>
      </c>
      <c r="C1786" s="156" t="inlineStr">
        <is>
          <t>Multimarca</t>
        </is>
      </c>
      <c r="D1786" s="156" t="inlineStr">
        <is>
          <t>11-054-0816-1320</t>
        </is>
      </c>
      <c r="E1786" s="156" t="inlineStr">
        <is>
          <t>11-054-0816-1320-6R</t>
        </is>
      </c>
      <c r="F1786" s="156" t="inlineStr">
        <is>
          <t>9</t>
        </is>
      </c>
      <c r="G1786" s="156" t="inlineStr">
        <is>
          <t>6</t>
        </is>
      </c>
      <c r="H1786" s="156" t="inlineStr">
        <is>
          <t>Stetson</t>
        </is>
      </c>
      <c r="I1786" s="156" t="inlineStr">
        <is>
          <t>Jean Mujer Puntada Bordado Semicírculo Azul Marino</t>
        </is>
      </c>
      <c r="J1786" s="156" t="inlineStr">
        <is>
          <t>Denim</t>
        </is>
      </c>
      <c r="K1786" s="156" t="inlineStr">
        <is>
          <t>Jeans</t>
        </is>
      </c>
      <c r="L1786" s="156" t="inlineStr">
        <is>
          <t>Mujer</t>
        </is>
      </c>
      <c r="M1786" s="156" t="inlineStr">
        <is>
          <t>Stetson</t>
        </is>
      </c>
      <c r="N1786" s="156" t="inlineStr">
        <is>
          <t>SS26</t>
        </is>
      </c>
      <c r="O1786" s="156" t="inlineStr">
        <is>
          <t>Seasonal</t>
        </is>
      </c>
      <c r="P1786" s="156" t="inlineStr">
        <is>
          <t>Azul</t>
        </is>
      </c>
      <c r="Q1786" s="156" t="inlineStr">
        <is>
          <t>Slim</t>
        </is>
      </c>
      <c r="R1786" s="156" t="inlineStr">
        <is>
          <t>Recto</t>
        </is>
      </c>
      <c r="S1786" s="156" t="inlineStr">
        <is>
          <t>98% Algodón 2% Elastano</t>
        </is>
      </c>
      <c r="T1786" s="156" t="inlineStr">
        <is>
          <t>Jean Mujer Puntada Bordado Semicírculo Azul Marino Fitted</t>
        </is>
      </c>
      <c r="U1786" s="156" t="n"/>
      <c r="V1786" s="156" t="inlineStr">
        <is>
          <t>PZS</t>
        </is>
      </c>
      <c r="W1786" s="51" t="inlineStr">
        <is>
          <t>53101503</t>
        </is>
      </c>
      <c r="X1786" s="156" t="n"/>
      <c r="Y1786" s="54" t="n">
        <v>775.862069</v>
      </c>
      <c r="Z1786" s="54" t="n">
        <v>1724.137931</v>
      </c>
      <c r="AA1786" s="55">
        <f>IF(AND(A1786="", B1786="", E1786=""), "", IF(AB1786="", "Válido", IF((LEN(AB1786)-LEN(SUBSTITUTE(AB1786,"; ","")))/2+1&gt;(LEN(AB1786)-LEN(SUBSTITUTE(AB1786,"[Aviso]","")))/7, "Con Incidencias", "Válido")))</f>
        <v/>
      </c>
      <c r="AB1786" s="56">
        <f>IF(AND(A1786="", B1786="", E1786=""), "", TEXTJOIN("; ", TRUE, IF(OR(TRIM(A1786&amp;"")="", ISNUMBER(SEARCH("FALTA", A1786))), "UPC faltante/inválido", ""), IF(AND(A1786&lt;&gt;"", IFERROR(_xlfn.XMATCH(A1786,$A$2:$A$2509,0,1)&lt;&gt;_xlfn.XMATCH(A1786,$A$2:$A$2509,0,-1),FALSE)), "Código de barras duplicado", ""), IF(AND(E1786&lt;&gt;"", COUNTIF($E$2:$E$2509, E1786)&gt;1), "SKU duplicado", ""), IF(OR(J1786="", J1786=""), "[Aviso] División no capturada ()", IF(ISNA(MATCH(J1786, Criterios!$A$123:$A$126, 0)), "División no válida", "")), IF(OR(K1786="", K1786=""), "[Aviso] Categoría no capturada ()", IF(ISNA(MATCH(K1786, Criterios!$A$81:$A$120, 0)), "Categoría no válida", IF(AND(J1786&lt;&gt;"", J1786&lt;&gt;"", J1786&lt;&gt;VLOOKUP(K1786, Criterios!$A$81:$B$120, 2, FALSE)), "División no coincide con Categoría", ""))), IF(OR(L1786="", L1786=""), "[Aviso] Género no capturado ()", IF(ISNA(MATCH(L1786, Criterios!$B$123:$B$127, 0)), "Género no válido", "")), IF(OR(N1786="", N1786=""), "[Aviso] Temporada no capturada ()", IF(ISNA(MATCH(N1786, Criterios!$C$123:$C$128, 0)), "Temporada no válida", "")), IF(OR(O1786="", O1786=""), "[Aviso] Ciclo de vida no capturado ()", IF(ISNA(MATCH(O1786, Criterios!$D$123:$D$124, 0)), "Ciclo de vida no válido", ""))))</f>
        <v/>
      </c>
      <c r="AC1786" s="56" t="n"/>
      <c r="AD1786" s="51" t="n">
        <v>-1</v>
      </c>
      <c r="AE1786" s="156" t="n"/>
      <c r="AF1786" s="51" t="n">
        <v>0</v>
      </c>
      <c r="AG1786" s="156" t="inlineStr">
        <is>
          <t>Catálogo existente</t>
        </is>
      </c>
      <c r="AH1786" s="156" t="inlineStr">
        <is>
          <t>Stock negativo en sistema: revisar en conteo</t>
        </is>
      </c>
      <c r="AI1786" s="156" t="inlineStr">
        <is>
          <t>Sí</t>
        </is>
      </c>
      <c r="AJ1786" s="156" t="inlineStr">
        <is>
          <t>STETSON AMERICAS (-1)</t>
        </is>
      </c>
      <c r="AK1786" s="155" t="inlineStr">
        <is>
          <t>Shopify Stetson: producto 15051555340651 / variante 53342130405739 | Odoo: producto 29927 / plantilla 38631</t>
        </is>
      </c>
      <c r="AL1786" s="58" t="n">
        <v>775.862069</v>
      </c>
      <c r="AM1786" s="58" t="n">
        <v>1724.137931</v>
      </c>
      <c r="AN1786" s="155" t="inlineStr">
        <is>
          <t>Shopify Stetson México | Odoo Universal Unique Brands</t>
        </is>
      </c>
      <c r="AO1786" s="59" t="n">
        <v>1</v>
      </c>
      <c r="AP1786" s="59" t="n"/>
      <c r="AQ1786" s="59" t="n">
        <v>2</v>
      </c>
      <c r="AR1786" s="155" t="inlineStr">
        <is>
          <t>Shopify Stetson México › Stetson Americas: 1 | Odoo Universal Unique Brands › Bodega 25 › Bodega 25/General: 2</t>
        </is>
      </c>
    </row>
    <row r="1787">
      <c r="A1787" s="50" t="inlineStr">
        <is>
          <t>884426497572</t>
        </is>
      </c>
      <c r="B1787" s="51" t="inlineStr">
        <is>
          <t>110713</t>
        </is>
      </c>
      <c r="C1787" s="156" t="inlineStr">
        <is>
          <t>Multimarca</t>
        </is>
      </c>
      <c r="D1787" s="156" t="inlineStr">
        <is>
          <t>11-054-0816-1320</t>
        </is>
      </c>
      <c r="E1787" s="156" t="inlineStr">
        <is>
          <t>11-054-0816-1320-8L</t>
        </is>
      </c>
      <c r="F1787" s="156" t="inlineStr">
        <is>
          <t>11 Largo</t>
        </is>
      </c>
      <c r="G1787" s="156" t="inlineStr">
        <is>
          <t>8 Long</t>
        </is>
      </c>
      <c r="H1787" s="156" t="inlineStr">
        <is>
          <t>Stetson</t>
        </is>
      </c>
      <c r="I1787" s="156" t="inlineStr">
        <is>
          <t>Jean Mujer Puntada Bordado Semicírculo Azul Marino</t>
        </is>
      </c>
      <c r="J1787" s="156" t="inlineStr">
        <is>
          <t>Denim</t>
        </is>
      </c>
      <c r="K1787" s="156" t="inlineStr">
        <is>
          <t>Jeans</t>
        </is>
      </c>
      <c r="L1787" s="156" t="inlineStr">
        <is>
          <t>Mujer</t>
        </is>
      </c>
      <c r="M1787" s="156" t="inlineStr">
        <is>
          <t>Stetson</t>
        </is>
      </c>
      <c r="N1787" s="156" t="inlineStr">
        <is>
          <t>SS26</t>
        </is>
      </c>
      <c r="O1787" s="156" t="inlineStr">
        <is>
          <t>Seasonal</t>
        </is>
      </c>
      <c r="P1787" s="156" t="inlineStr">
        <is>
          <t>Azul</t>
        </is>
      </c>
      <c r="Q1787" s="156" t="inlineStr">
        <is>
          <t>Slim</t>
        </is>
      </c>
      <c r="R1787" s="156" t="inlineStr">
        <is>
          <t>Recto</t>
        </is>
      </c>
      <c r="S1787" s="156" t="inlineStr">
        <is>
          <t>98% Algodón 2% Elastano</t>
        </is>
      </c>
      <c r="T1787" s="156" t="inlineStr">
        <is>
          <t>Jean Mujer Puntada Bordado Semicírculo Azul Marino Fitted</t>
        </is>
      </c>
      <c r="U1787" s="156" t="n"/>
      <c r="V1787" s="156" t="inlineStr">
        <is>
          <t>PZS</t>
        </is>
      </c>
      <c r="W1787" s="51" t="inlineStr">
        <is>
          <t>53101503</t>
        </is>
      </c>
      <c r="X1787" s="156" t="n"/>
      <c r="Y1787" s="54" t="n">
        <v>775.862069</v>
      </c>
      <c r="Z1787" s="54" t="n">
        <v>1724.137931</v>
      </c>
      <c r="AA1787" s="55">
        <f>IF(AND(A1787="", B1787="", E1787=""), "", IF(AB1787="", "Válido", IF((LEN(AB1787)-LEN(SUBSTITUTE(AB1787,"; ","")))/2+1&gt;(LEN(AB1787)-LEN(SUBSTITUTE(AB1787,"[Aviso]","")))/7, "Con Incidencias", "Válido")))</f>
        <v/>
      </c>
      <c r="AB1787" s="56">
        <f>IF(AND(A1787="", B1787="", E1787=""), "", TEXTJOIN("; ", TRUE, IF(OR(TRIM(A1787&amp;"")="", ISNUMBER(SEARCH("FALTA", A1787))), "UPC faltante/inválido", ""), IF(AND(A1787&lt;&gt;"", IFERROR(_xlfn.XMATCH(A1787,$A$2:$A$2509,0,1)&lt;&gt;_xlfn.XMATCH(A1787,$A$2:$A$2509,0,-1),FALSE)), "Código de barras duplicado", ""), IF(AND(E1787&lt;&gt;"", COUNTIF($E$2:$E$2509, E1787)&gt;1), "SKU duplicado", ""), IF(OR(J1787="", J1787=""), "[Aviso] División no capturada ()", IF(ISNA(MATCH(J1787, Criterios!$A$123:$A$126, 0)), "División no válida", "")), IF(OR(K1787="", K1787=""), "[Aviso] Categoría no capturada ()", IF(ISNA(MATCH(K1787, Criterios!$A$81:$A$120, 0)), "Categoría no válida", IF(AND(J1787&lt;&gt;"", J1787&lt;&gt;"", J1787&lt;&gt;VLOOKUP(K1787, Criterios!$A$81:$B$120, 2, FALSE)), "División no coincide con Categoría", ""))), IF(OR(L1787="", L1787=""), "[Aviso] Género no capturado ()", IF(ISNA(MATCH(L1787, Criterios!$B$123:$B$127, 0)), "Género no válido", "")), IF(OR(N1787="", N1787=""), "[Aviso] Temporada no capturada ()", IF(ISNA(MATCH(N1787, Criterios!$C$123:$C$128, 0)), "Temporada no válida", "")), IF(OR(O1787="", O1787=""), "[Aviso] Ciclo de vida no capturado ()", IF(ISNA(MATCH(O1787, Criterios!$D$123:$D$124, 0)), "Ciclo de vida no válido", ""))))</f>
        <v/>
      </c>
      <c r="AC1787" s="56" t="n"/>
      <c r="AD1787" s="51" t="n">
        <v>-1</v>
      </c>
      <c r="AE1787" s="156" t="n"/>
      <c r="AF1787" s="51" t="n">
        <v>0</v>
      </c>
      <c r="AG1787" s="156" t="inlineStr">
        <is>
          <t>Catálogo existente</t>
        </is>
      </c>
      <c r="AH1787" s="156" t="inlineStr">
        <is>
          <t>Stock negativo en sistema: revisar en conteo</t>
        </is>
      </c>
      <c r="AI1787" s="156" t="inlineStr">
        <is>
          <t>Sí</t>
        </is>
      </c>
      <c r="AJ1787" s="156" t="inlineStr">
        <is>
          <t>STETSON AMERICAS (-1)</t>
        </is>
      </c>
      <c r="AK1787" s="155" t="inlineStr">
        <is>
          <t>Shopify Stetson: producto 15051555340651 / variante 53342130504043 | Odoo: producto 29930 / plantilla 38634</t>
        </is>
      </c>
      <c r="AL1787" s="58" t="n">
        <v>775.862069</v>
      </c>
      <c r="AM1787" s="58" t="n">
        <v>1724.137931</v>
      </c>
      <c r="AN1787" s="155" t="inlineStr">
        <is>
          <t>Shopify Stetson México | Odoo Universal Unique Brands</t>
        </is>
      </c>
      <c r="AO1787" s="59" t="n">
        <v>0</v>
      </c>
      <c r="AP1787" s="59" t="n"/>
      <c r="AQ1787" s="59" t="n">
        <v>1</v>
      </c>
      <c r="AR1787" s="155" t="inlineStr">
        <is>
          <t>Odoo Universal Unique Brands › Bodega 25 › Bodega 25/General: 1</t>
        </is>
      </c>
    </row>
    <row r="1788">
      <c r="A1788" s="50" t="inlineStr">
        <is>
          <t>884426497589</t>
        </is>
      </c>
      <c r="B1788" s="51" t="inlineStr">
        <is>
          <t>110714</t>
        </is>
      </c>
      <c r="C1788" s="156" t="inlineStr">
        <is>
          <t>Multimarca</t>
        </is>
      </c>
      <c r="D1788" s="156" t="inlineStr">
        <is>
          <t>11-054-0816-1320</t>
        </is>
      </c>
      <c r="E1788" s="156" t="inlineStr">
        <is>
          <t>11-054-0816-1320-8R</t>
        </is>
      </c>
      <c r="F1788" s="156" t="inlineStr">
        <is>
          <t>11</t>
        </is>
      </c>
      <c r="G1788" s="156" t="inlineStr">
        <is>
          <t>8</t>
        </is>
      </c>
      <c r="H1788" s="156" t="inlineStr">
        <is>
          <t>Stetson</t>
        </is>
      </c>
      <c r="I1788" s="156" t="inlineStr">
        <is>
          <t>Jean Mujer Puntada Bordado Semicírculo Azul Marino</t>
        </is>
      </c>
      <c r="J1788" s="156" t="inlineStr">
        <is>
          <t>Denim</t>
        </is>
      </c>
      <c r="K1788" s="156" t="inlineStr">
        <is>
          <t>Jeans</t>
        </is>
      </c>
      <c r="L1788" s="156" t="inlineStr">
        <is>
          <t>Mujer</t>
        </is>
      </c>
      <c r="M1788" s="156" t="inlineStr">
        <is>
          <t>Stetson</t>
        </is>
      </c>
      <c r="N1788" s="156" t="inlineStr">
        <is>
          <t>SS26</t>
        </is>
      </c>
      <c r="O1788" s="156" t="inlineStr">
        <is>
          <t>Seasonal</t>
        </is>
      </c>
      <c r="P1788" s="156" t="inlineStr">
        <is>
          <t>Azul</t>
        </is>
      </c>
      <c r="Q1788" s="156" t="inlineStr">
        <is>
          <t>Slim</t>
        </is>
      </c>
      <c r="R1788" s="156" t="inlineStr">
        <is>
          <t>Recto</t>
        </is>
      </c>
      <c r="S1788" s="156" t="inlineStr">
        <is>
          <t>98% Algodón 2% Elastano</t>
        </is>
      </c>
      <c r="T1788" s="156" t="inlineStr">
        <is>
          <t>Jean Mujer Puntada Bordado Semicírculo Azul Marino Fitted</t>
        </is>
      </c>
      <c r="U1788" s="156" t="n"/>
      <c r="V1788" s="156" t="inlineStr">
        <is>
          <t>PZS</t>
        </is>
      </c>
      <c r="W1788" s="51" t="inlineStr">
        <is>
          <t>53101503</t>
        </is>
      </c>
      <c r="X1788" s="156" t="n"/>
      <c r="Y1788" s="54" t="n">
        <v>775.862069</v>
      </c>
      <c r="Z1788" s="54" t="n">
        <v>1724.137931</v>
      </c>
      <c r="AA1788" s="55">
        <f>IF(AND(A1788="", B1788="", E1788=""), "", IF(AB1788="", "Válido", IF((LEN(AB1788)-LEN(SUBSTITUTE(AB1788,"; ","")))/2+1&gt;(LEN(AB1788)-LEN(SUBSTITUTE(AB1788,"[Aviso]","")))/7, "Con Incidencias", "Válido")))</f>
        <v/>
      </c>
      <c r="AB1788" s="56">
        <f>IF(AND(A1788="", B1788="", E1788=""), "", TEXTJOIN("; ", TRUE, IF(OR(TRIM(A1788&amp;"")="", ISNUMBER(SEARCH("FALTA", A1788))), "UPC faltante/inválido", ""), IF(AND(A1788&lt;&gt;"", IFERROR(_xlfn.XMATCH(A1788,$A$2:$A$2509,0,1)&lt;&gt;_xlfn.XMATCH(A1788,$A$2:$A$2509,0,-1),FALSE)), "Código de barras duplicado", ""), IF(AND(E1788&lt;&gt;"", COUNTIF($E$2:$E$2509, E1788)&gt;1), "SKU duplicado", ""), IF(OR(J1788="", J1788=""), "[Aviso] División no capturada ()", IF(ISNA(MATCH(J1788, Criterios!$A$123:$A$126, 0)), "División no válida", "")), IF(OR(K1788="", K1788=""), "[Aviso] Categoría no capturada ()", IF(ISNA(MATCH(K1788, Criterios!$A$81:$A$120, 0)), "Categoría no válida", IF(AND(J1788&lt;&gt;"", J1788&lt;&gt;"", J1788&lt;&gt;VLOOKUP(K1788, Criterios!$A$81:$B$120, 2, FALSE)), "División no coincide con Categoría", ""))), IF(OR(L1788="", L1788=""), "[Aviso] Género no capturado ()", IF(ISNA(MATCH(L1788, Criterios!$B$123:$B$127, 0)), "Género no válido", "")), IF(OR(N1788="", N1788=""), "[Aviso] Temporada no capturada ()", IF(ISNA(MATCH(N1788, Criterios!$C$123:$C$128, 0)), "Temporada no válida", "")), IF(OR(O1788="", O1788=""), "[Aviso] Ciclo de vida no capturado ()", IF(ISNA(MATCH(O1788, Criterios!$D$123:$D$124, 0)), "Ciclo de vida no válido", ""))))</f>
        <v/>
      </c>
      <c r="AC1788" s="56" t="n"/>
      <c r="AD1788" s="51" t="n">
        <v>-1</v>
      </c>
      <c r="AE1788" s="156" t="n"/>
      <c r="AF1788" s="51" t="n">
        <v>0</v>
      </c>
      <c r="AG1788" s="156" t="inlineStr">
        <is>
          <t>Catálogo existente</t>
        </is>
      </c>
      <c r="AH1788" s="156" t="inlineStr">
        <is>
          <t>Stock negativo en sistema: revisar en conteo</t>
        </is>
      </c>
      <c r="AI1788" s="156" t="inlineStr">
        <is>
          <t>Sí</t>
        </is>
      </c>
      <c r="AJ1788" s="156" t="inlineStr">
        <is>
          <t>STETSON AMERICAS (-1)</t>
        </is>
      </c>
      <c r="AK1788" s="155" t="inlineStr">
        <is>
          <t>Shopify Stetson: producto 15051555340651 / variante 53342130471275 | Odoo: producto 29929 / plantilla 38633</t>
        </is>
      </c>
      <c r="AL1788" s="58" t="n">
        <v>775.862069</v>
      </c>
      <c r="AM1788" s="58" t="n">
        <v>1724.137931</v>
      </c>
      <c r="AN1788" s="155" t="inlineStr">
        <is>
          <t>Shopify Stetson México | Odoo Universal Unique Brands</t>
        </is>
      </c>
      <c r="AO1788" s="59" t="n">
        <v>1</v>
      </c>
      <c r="AP1788" s="59" t="n"/>
      <c r="AQ1788" s="59" t="n">
        <v>2</v>
      </c>
      <c r="AR1788" s="155" t="inlineStr">
        <is>
          <t>Shopify Stetson México › Stetson Americas: 1 | Odoo Universal Unique Brands › Bodega 25 › Bodega 25/General: 2</t>
        </is>
      </c>
    </row>
    <row r="1789">
      <c r="A1789" s="50" t="inlineStr">
        <is>
          <t>884426634045</t>
        </is>
      </c>
      <c r="B1789" s="51" t="inlineStr">
        <is>
          <t>110526</t>
        </is>
      </c>
      <c r="C1789" s="156" t="inlineStr">
        <is>
          <t>Multimarca</t>
        </is>
      </c>
      <c r="D1789" s="156" t="inlineStr">
        <is>
          <t>11-004-1014-3000</t>
        </is>
      </c>
      <c r="E1789" s="156" t="inlineStr">
        <is>
          <t>11-004-1014-3000-29 32</t>
        </is>
      </c>
      <c r="F1789" s="156" t="inlineStr">
        <is>
          <t>29 x 32</t>
        </is>
      </c>
      <c r="G1789" s="156" t="inlineStr">
        <is>
          <t>29W / 32L</t>
        </is>
      </c>
      <c r="H1789" s="156" t="inlineStr">
        <is>
          <t>Stetson</t>
        </is>
      </c>
      <c r="I1789" s="156" t="inlineStr">
        <is>
          <t>Jean Lavado Oscuro con Bordado X Destrucción en Bolsa</t>
        </is>
      </c>
      <c r="J1789" s="156" t="inlineStr">
        <is>
          <t>Denim</t>
        </is>
      </c>
      <c r="K1789" s="156" t="inlineStr">
        <is>
          <t>Jeans</t>
        </is>
      </c>
      <c r="L1789" s="156" t="inlineStr">
        <is>
          <t>Hombre</t>
        </is>
      </c>
      <c r="M1789" s="156" t="inlineStr">
        <is>
          <t>Stetson</t>
        </is>
      </c>
      <c r="N1789" s="156" t="inlineStr">
        <is>
          <t>SS26</t>
        </is>
      </c>
      <c r="O1789" s="156" t="inlineStr">
        <is>
          <t>Seasonal</t>
        </is>
      </c>
      <c r="P1789" s="156" t="inlineStr">
        <is>
          <t>Azul</t>
        </is>
      </c>
      <c r="Q1789" s="156" t="inlineStr">
        <is>
          <t>Slim</t>
        </is>
      </c>
      <c r="R1789" s="156" t="inlineStr">
        <is>
          <t>Bootcut</t>
        </is>
      </c>
      <c r="S1789" s="156" t="inlineStr">
        <is>
          <t>100% Algodón</t>
        </is>
      </c>
      <c r="T1789" s="156" t="inlineStr">
        <is>
          <t>Jean Lavado Oscuro con Bordado X Destrucción en Bolsa Fitted</t>
        </is>
      </c>
      <c r="U1789" s="156" t="n"/>
      <c r="V1789" s="156" t="inlineStr">
        <is>
          <t>PZS</t>
        </is>
      </c>
      <c r="W1789" s="51" t="inlineStr">
        <is>
          <t>53101502</t>
        </is>
      </c>
      <c r="X1789" s="156" t="n"/>
      <c r="Y1789" s="54" t="n">
        <v>775.862069</v>
      </c>
      <c r="Z1789" s="54" t="n">
        <v>1724.137931</v>
      </c>
      <c r="AA1789" s="55">
        <f>IF(AND(A1789="", B1789="", E1789=""), "", IF(AB1789="", "Válido", IF((LEN(AB1789)-LEN(SUBSTITUTE(AB1789,"; ","")))/2+1&gt;(LEN(AB1789)-LEN(SUBSTITUTE(AB1789,"[Aviso]","")))/7, "Con Incidencias", "Válido")))</f>
        <v/>
      </c>
      <c r="AB1789" s="56">
        <f>IF(AND(A1789="", B1789="", E1789=""), "", TEXTJOIN("; ", TRUE, IF(OR(TRIM(A1789&amp;"")="", ISNUMBER(SEARCH("FALTA", A1789))), "UPC faltante/inválido", ""), IF(AND(A1789&lt;&gt;"", IFERROR(_xlfn.XMATCH(A1789,$A$2:$A$2509,0,1)&lt;&gt;_xlfn.XMATCH(A1789,$A$2:$A$2509,0,-1),FALSE)), "Código de barras duplicado", ""), IF(AND(E1789&lt;&gt;"", COUNTIF($E$2:$E$2509, E1789)&gt;1), "SKU duplicado", ""), IF(OR(J1789="", J1789=""), "[Aviso] División no capturada ()", IF(ISNA(MATCH(J1789, Criterios!$A$123:$A$126, 0)), "División no válida", "")), IF(OR(K1789="", K1789=""), "[Aviso] Categoría no capturada ()", IF(ISNA(MATCH(K1789, Criterios!$A$81:$A$120, 0)), "Categoría no válida", IF(AND(J1789&lt;&gt;"", J1789&lt;&gt;"", J1789&lt;&gt;VLOOKUP(K1789, Criterios!$A$81:$B$120, 2, FALSE)), "División no coincide con Categoría", ""))), IF(OR(L1789="", L1789=""), "[Aviso] Género no capturado ()", IF(ISNA(MATCH(L1789, Criterios!$B$123:$B$127, 0)), "Género no válido", "")), IF(OR(N1789="", N1789=""), "[Aviso] Temporada no capturada ()", IF(ISNA(MATCH(N1789, Criterios!$C$123:$C$128, 0)), "Temporada no válida", "")), IF(OR(O1789="", O1789=""), "[Aviso] Ciclo de vida no capturado ()", IF(ISNA(MATCH(O1789, Criterios!$D$123:$D$124, 0)), "Ciclo de vida no válido", ""))))</f>
        <v/>
      </c>
      <c r="AC1789" s="56" t="n"/>
      <c r="AD1789" s="51" t="n">
        <v>-1</v>
      </c>
      <c r="AE1789" s="156" t="n"/>
      <c r="AF1789" s="51" t="n">
        <v>0</v>
      </c>
      <c r="AG1789" s="156" t="inlineStr">
        <is>
          <t>Catálogo existente</t>
        </is>
      </c>
      <c r="AH1789" s="156" t="inlineStr">
        <is>
          <t>Stock negativo en sistema: revisar en conteo</t>
        </is>
      </c>
      <c r="AI1789" s="156" t="inlineStr">
        <is>
          <t>Sí</t>
        </is>
      </c>
      <c r="AJ1789" s="156" t="inlineStr">
        <is>
          <t>STETSON AMERICAS (-1)</t>
        </is>
      </c>
      <c r="AK1789" s="155" t="inlineStr">
        <is>
          <t>Shopify Stetson: producto 15051554062699 / variante 53342124081515 | Odoo: producto 29767 / plantilla 38471</t>
        </is>
      </c>
      <c r="AL1789" s="58" t="n">
        <v>775.862069</v>
      </c>
      <c r="AM1789" s="58" t="n">
        <v>1724.137931</v>
      </c>
      <c r="AN1789" s="155" t="inlineStr">
        <is>
          <t>Shopify Stetson México | Odoo Universal Unique Brands</t>
        </is>
      </c>
      <c r="AO1789" s="59" t="n">
        <v>1</v>
      </c>
      <c r="AP1789" s="59" t="n"/>
      <c r="AQ1789" s="59" t="n">
        <v>2</v>
      </c>
      <c r="AR1789" s="155" t="inlineStr">
        <is>
          <t>Shopify Stetson México › Stetson Americas: 1 | Odoo Universal Unique Brands › Bodega 25 › Bodega 25/General: 2</t>
        </is>
      </c>
    </row>
    <row r="1790">
      <c r="A1790" s="50" t="inlineStr">
        <is>
          <t>884426634106</t>
        </is>
      </c>
      <c r="B1790" s="51" t="inlineStr">
        <is>
          <t>110527</t>
        </is>
      </c>
      <c r="C1790" s="156" t="inlineStr">
        <is>
          <t>Multimarca</t>
        </is>
      </c>
      <c r="D1790" s="156" t="inlineStr">
        <is>
          <t>11-004-1014-3000</t>
        </is>
      </c>
      <c r="E1790" s="156" t="inlineStr">
        <is>
          <t>11-004-1014-3000-30 32</t>
        </is>
      </c>
      <c r="F1790" s="156" t="inlineStr">
        <is>
          <t>30 x 32</t>
        </is>
      </c>
      <c r="G1790" s="156" t="inlineStr">
        <is>
          <t>30W / 32L</t>
        </is>
      </c>
      <c r="H1790" s="156" t="inlineStr">
        <is>
          <t>Stetson</t>
        </is>
      </c>
      <c r="I1790" s="156" t="inlineStr">
        <is>
          <t>Jean Lavado Oscuro con Bordado X Destrucción en Bolsa</t>
        </is>
      </c>
      <c r="J1790" s="156" t="inlineStr">
        <is>
          <t>Denim</t>
        </is>
      </c>
      <c r="K1790" s="156" t="inlineStr">
        <is>
          <t>Jeans</t>
        </is>
      </c>
      <c r="L1790" s="156" t="inlineStr">
        <is>
          <t>Hombre</t>
        </is>
      </c>
      <c r="M1790" s="156" t="inlineStr">
        <is>
          <t>Stetson</t>
        </is>
      </c>
      <c r="N1790" s="156" t="inlineStr">
        <is>
          <t>SS26</t>
        </is>
      </c>
      <c r="O1790" s="156" t="inlineStr">
        <is>
          <t>Seasonal</t>
        </is>
      </c>
      <c r="P1790" s="156" t="inlineStr">
        <is>
          <t>Azul</t>
        </is>
      </c>
      <c r="Q1790" s="156" t="inlineStr">
        <is>
          <t>Slim</t>
        </is>
      </c>
      <c r="R1790" s="156" t="inlineStr">
        <is>
          <t>Bootcut</t>
        </is>
      </c>
      <c r="S1790" s="156" t="inlineStr">
        <is>
          <t>100% Algodón</t>
        </is>
      </c>
      <c r="T1790" s="156" t="inlineStr">
        <is>
          <t>Jean Lavado Oscuro con Bordado X Destrucción en Bolsa Fitted</t>
        </is>
      </c>
      <c r="U1790" s="156" t="n"/>
      <c r="V1790" s="156" t="inlineStr">
        <is>
          <t>PZS</t>
        </is>
      </c>
      <c r="W1790" s="51" t="inlineStr">
        <is>
          <t>53101502</t>
        </is>
      </c>
      <c r="X1790" s="156" t="n"/>
      <c r="Y1790" s="54" t="n">
        <v>775.862069</v>
      </c>
      <c r="Z1790" s="54" t="n">
        <v>1724.137931</v>
      </c>
      <c r="AA1790" s="55">
        <f>IF(AND(A1790="", B1790="", E1790=""), "", IF(AB1790="", "Válido", IF((LEN(AB1790)-LEN(SUBSTITUTE(AB1790,"; ","")))/2+1&gt;(LEN(AB1790)-LEN(SUBSTITUTE(AB1790,"[Aviso]","")))/7, "Con Incidencias", "Válido")))</f>
        <v/>
      </c>
      <c r="AB1790" s="56">
        <f>IF(AND(A1790="", B1790="", E1790=""), "", TEXTJOIN("; ", TRUE, IF(OR(TRIM(A1790&amp;"")="", ISNUMBER(SEARCH("FALTA", A1790))), "UPC faltante/inválido", ""), IF(AND(A1790&lt;&gt;"", IFERROR(_xlfn.XMATCH(A1790,$A$2:$A$2509,0,1)&lt;&gt;_xlfn.XMATCH(A1790,$A$2:$A$2509,0,-1),FALSE)), "Código de barras duplicado", ""), IF(AND(E1790&lt;&gt;"", COUNTIF($E$2:$E$2509, E1790)&gt;1), "SKU duplicado", ""), IF(OR(J1790="", J1790=""), "[Aviso] División no capturada ()", IF(ISNA(MATCH(J1790, Criterios!$A$123:$A$126, 0)), "División no válida", "")), IF(OR(K1790="", K1790=""), "[Aviso] Categoría no capturada ()", IF(ISNA(MATCH(K1790, Criterios!$A$81:$A$120, 0)), "Categoría no válida", IF(AND(J1790&lt;&gt;"", J1790&lt;&gt;"", J1790&lt;&gt;VLOOKUP(K1790, Criterios!$A$81:$B$120, 2, FALSE)), "División no coincide con Categoría", ""))), IF(OR(L1790="", L1790=""), "[Aviso] Género no capturado ()", IF(ISNA(MATCH(L1790, Criterios!$B$123:$B$127, 0)), "Género no válido", "")), IF(OR(N1790="", N1790=""), "[Aviso] Temporada no capturada ()", IF(ISNA(MATCH(N1790, Criterios!$C$123:$C$128, 0)), "Temporada no válida", "")), IF(OR(O1790="", O1790=""), "[Aviso] Ciclo de vida no capturado ()", IF(ISNA(MATCH(O1790, Criterios!$D$123:$D$124, 0)), "Ciclo de vida no válido", ""))))</f>
        <v/>
      </c>
      <c r="AC1790" s="56" t="n"/>
      <c r="AD1790" s="51" t="n">
        <v>-1</v>
      </c>
      <c r="AE1790" s="156" t="n"/>
      <c r="AF1790" s="51" t="n">
        <v>0</v>
      </c>
      <c r="AG1790" s="156" t="inlineStr">
        <is>
          <t>Catálogo existente</t>
        </is>
      </c>
      <c r="AH1790" s="156" t="inlineStr">
        <is>
          <t>Stock negativo en sistema: revisar en conteo</t>
        </is>
      </c>
      <c r="AI1790" s="156" t="inlineStr">
        <is>
          <t>Sí</t>
        </is>
      </c>
      <c r="AJ1790" s="156" t="inlineStr">
        <is>
          <t>STETSON AMERICAS (-1)</t>
        </is>
      </c>
      <c r="AK1790" s="155" t="inlineStr">
        <is>
          <t>Shopify Stetson: producto 15051554062699 / variante 53342124114283 | Odoo: producto 29768 / plantilla 38472</t>
        </is>
      </c>
      <c r="AL1790" s="58" t="n">
        <v>775.862069</v>
      </c>
      <c r="AM1790" s="58" t="n">
        <v>1724.137931</v>
      </c>
      <c r="AN1790" s="155" t="inlineStr">
        <is>
          <t>Shopify Stetson México | Odoo Universal Unique Brands</t>
        </is>
      </c>
      <c r="AO1790" s="59" t="n">
        <v>3</v>
      </c>
      <c r="AP1790" s="59" t="n"/>
      <c r="AQ1790" s="59" t="n">
        <v>4</v>
      </c>
      <c r="AR1790" s="155" t="inlineStr">
        <is>
          <t>Shopify Stetson México › Stetson Americas: 3 | Odoo Universal Unique Brands › Bodega 25 › Bodega 25/General: 4</t>
        </is>
      </c>
    </row>
    <row r="1791">
      <c r="A1791" s="50" t="inlineStr">
        <is>
          <t>884426634168</t>
        </is>
      </c>
      <c r="B1791" s="51" t="inlineStr">
        <is>
          <t>110528</t>
        </is>
      </c>
      <c r="C1791" s="156" t="inlineStr">
        <is>
          <t>Multimarca</t>
        </is>
      </c>
      <c r="D1791" s="156" t="inlineStr">
        <is>
          <t>11-004-1014-3000</t>
        </is>
      </c>
      <c r="E1791" s="156" t="inlineStr">
        <is>
          <t>11-004-1014-3000-31 32</t>
        </is>
      </c>
      <c r="F1791" s="156" t="inlineStr">
        <is>
          <t>31 x 32</t>
        </is>
      </c>
      <c r="G1791" s="156" t="inlineStr">
        <is>
          <t>31W / 32L</t>
        </is>
      </c>
      <c r="H1791" s="156" t="inlineStr">
        <is>
          <t>Stetson</t>
        </is>
      </c>
      <c r="I1791" s="156" t="inlineStr">
        <is>
          <t>Jean Lavado Oscuro con Bordado X Destrucción en Bolsa</t>
        </is>
      </c>
      <c r="J1791" s="156" t="inlineStr">
        <is>
          <t>Denim</t>
        </is>
      </c>
      <c r="K1791" s="156" t="inlineStr">
        <is>
          <t>Jeans</t>
        </is>
      </c>
      <c r="L1791" s="156" t="inlineStr">
        <is>
          <t>Hombre</t>
        </is>
      </c>
      <c r="M1791" s="156" t="inlineStr">
        <is>
          <t>Stetson</t>
        </is>
      </c>
      <c r="N1791" s="156" t="inlineStr">
        <is>
          <t>SS26</t>
        </is>
      </c>
      <c r="O1791" s="156" t="inlineStr">
        <is>
          <t>Seasonal</t>
        </is>
      </c>
      <c r="P1791" s="156" t="inlineStr">
        <is>
          <t>Azul</t>
        </is>
      </c>
      <c r="Q1791" s="156" t="inlineStr">
        <is>
          <t>Slim</t>
        </is>
      </c>
      <c r="R1791" s="156" t="inlineStr">
        <is>
          <t>Bootcut</t>
        </is>
      </c>
      <c r="S1791" s="156" t="inlineStr">
        <is>
          <t>100% Algodón</t>
        </is>
      </c>
      <c r="T1791" s="156" t="inlineStr">
        <is>
          <t>Jean Lavado Oscuro con Bordado X Destrucción en Bolsa Fitted</t>
        </is>
      </c>
      <c r="U1791" s="156" t="n"/>
      <c r="V1791" s="156" t="inlineStr">
        <is>
          <t>PZS</t>
        </is>
      </c>
      <c r="W1791" s="51" t="inlineStr">
        <is>
          <t>53101502</t>
        </is>
      </c>
      <c r="X1791" s="156" t="n"/>
      <c r="Y1791" s="54" t="n">
        <v>775.862069</v>
      </c>
      <c r="Z1791" s="54" t="n">
        <v>1724.137931</v>
      </c>
      <c r="AA1791" s="55">
        <f>IF(AND(A1791="", B1791="", E1791=""), "", IF(AB1791="", "Válido", IF((LEN(AB1791)-LEN(SUBSTITUTE(AB1791,"; ","")))/2+1&gt;(LEN(AB1791)-LEN(SUBSTITUTE(AB1791,"[Aviso]","")))/7, "Con Incidencias", "Válido")))</f>
        <v/>
      </c>
      <c r="AB1791" s="56">
        <f>IF(AND(A1791="", B1791="", E1791=""), "", TEXTJOIN("; ", TRUE, IF(OR(TRIM(A1791&amp;"")="", ISNUMBER(SEARCH("FALTA", A1791))), "UPC faltante/inválido", ""), IF(AND(A1791&lt;&gt;"", IFERROR(_xlfn.XMATCH(A1791,$A$2:$A$2509,0,1)&lt;&gt;_xlfn.XMATCH(A1791,$A$2:$A$2509,0,-1),FALSE)), "Código de barras duplicado", ""), IF(AND(E1791&lt;&gt;"", COUNTIF($E$2:$E$2509, E1791)&gt;1), "SKU duplicado", ""), IF(OR(J1791="", J1791=""), "[Aviso] División no capturada ()", IF(ISNA(MATCH(J1791, Criterios!$A$123:$A$126, 0)), "División no válida", "")), IF(OR(K1791="", K1791=""), "[Aviso] Categoría no capturada ()", IF(ISNA(MATCH(K1791, Criterios!$A$81:$A$120, 0)), "Categoría no válida", IF(AND(J1791&lt;&gt;"", J1791&lt;&gt;"", J1791&lt;&gt;VLOOKUP(K1791, Criterios!$A$81:$B$120, 2, FALSE)), "División no coincide con Categoría", ""))), IF(OR(L1791="", L1791=""), "[Aviso] Género no capturado ()", IF(ISNA(MATCH(L1791, Criterios!$B$123:$B$127, 0)), "Género no válido", "")), IF(OR(N1791="", N1791=""), "[Aviso] Temporada no capturada ()", IF(ISNA(MATCH(N1791, Criterios!$C$123:$C$128, 0)), "Temporada no válida", "")), IF(OR(O1791="", O1791=""), "[Aviso] Ciclo de vida no capturado ()", IF(ISNA(MATCH(O1791, Criterios!$D$123:$D$124, 0)), "Ciclo de vida no válido", ""))))</f>
        <v/>
      </c>
      <c r="AC1791" s="56" t="n"/>
      <c r="AD1791" s="51" t="n">
        <v>0</v>
      </c>
      <c r="AE1791" s="156" t="n"/>
      <c r="AF1791" s="51" t="n">
        <v>0</v>
      </c>
      <c r="AG1791" s="156" t="inlineStr">
        <is>
          <t>Catálogo existente</t>
        </is>
      </c>
      <c r="AH1791" s="156" t="n"/>
      <c r="AI1791" s="156" t="inlineStr">
        <is>
          <t>No</t>
        </is>
      </c>
      <c r="AJ1791" s="156" t="n"/>
      <c r="AK1791" s="155" t="inlineStr">
        <is>
          <t>Shopify Stetson: producto 15051554062699 / variante 53342124147051 | Odoo: producto 29769 / plantilla 38473</t>
        </is>
      </c>
      <c r="AL1791" s="58" t="n">
        <v>775.862069</v>
      </c>
      <c r="AM1791" s="58" t="n">
        <v>1724.137931</v>
      </c>
      <c r="AN1791" s="155" t="inlineStr">
        <is>
          <t>Shopify Stetson México | Odoo Universal Unique Brands</t>
        </is>
      </c>
      <c r="AO1791" s="59" t="n">
        <v>4</v>
      </c>
      <c r="AP1791" s="59" t="n"/>
      <c r="AQ1791" s="59" t="n">
        <v>4</v>
      </c>
      <c r="AR1791" s="155" t="inlineStr">
        <is>
          <t>Shopify Stetson México › Stetson Americas: 4 | Odoo Universal Unique Brands › Bodega 25 › Bodega 25/General: 4</t>
        </is>
      </c>
    </row>
    <row r="1792">
      <c r="A1792" s="50" t="inlineStr">
        <is>
          <t>884426634229</t>
        </is>
      </c>
      <c r="B1792" s="51" t="inlineStr">
        <is>
          <t>110529</t>
        </is>
      </c>
      <c r="C1792" s="156" t="inlineStr">
        <is>
          <t>Multimarca</t>
        </is>
      </c>
      <c r="D1792" s="156" t="inlineStr">
        <is>
          <t>11-004-1014-3000</t>
        </is>
      </c>
      <c r="E1792" s="156" t="inlineStr">
        <is>
          <t>11-004-1014-3000-32 32</t>
        </is>
      </c>
      <c r="F1792" s="156" t="inlineStr">
        <is>
          <t>32 x 32</t>
        </is>
      </c>
      <c r="G1792" s="156" t="inlineStr">
        <is>
          <t>32W / 32L</t>
        </is>
      </c>
      <c r="H1792" s="156" t="inlineStr">
        <is>
          <t>Stetson</t>
        </is>
      </c>
      <c r="I1792" s="156" t="inlineStr">
        <is>
          <t>Jean Lavado Oscuro con Bordado X Destrucción en Bolsa</t>
        </is>
      </c>
      <c r="J1792" s="156" t="inlineStr">
        <is>
          <t>Denim</t>
        </is>
      </c>
      <c r="K1792" s="156" t="inlineStr">
        <is>
          <t>Jeans</t>
        </is>
      </c>
      <c r="L1792" s="156" t="inlineStr">
        <is>
          <t>Hombre</t>
        </is>
      </c>
      <c r="M1792" s="156" t="inlineStr">
        <is>
          <t>Stetson</t>
        </is>
      </c>
      <c r="N1792" s="156" t="inlineStr">
        <is>
          <t>SS26</t>
        </is>
      </c>
      <c r="O1792" s="156" t="inlineStr">
        <is>
          <t>Seasonal</t>
        </is>
      </c>
      <c r="P1792" s="156" t="inlineStr">
        <is>
          <t>Azul</t>
        </is>
      </c>
      <c r="Q1792" s="156" t="inlineStr">
        <is>
          <t>Slim</t>
        </is>
      </c>
      <c r="R1792" s="156" t="inlineStr">
        <is>
          <t>Bootcut</t>
        </is>
      </c>
      <c r="S1792" s="156" t="inlineStr">
        <is>
          <t>100% Algodón</t>
        </is>
      </c>
      <c r="T1792" s="156" t="inlineStr">
        <is>
          <t>Jean Lavado Oscuro con Bordado X Destrucción en Bolsa Fitted</t>
        </is>
      </c>
      <c r="U1792" s="156" t="n"/>
      <c r="V1792" s="156" t="inlineStr">
        <is>
          <t>PZS</t>
        </is>
      </c>
      <c r="W1792" s="51" t="inlineStr">
        <is>
          <t>53101502</t>
        </is>
      </c>
      <c r="X1792" s="156" t="n"/>
      <c r="Y1792" s="54" t="n">
        <v>775.862069</v>
      </c>
      <c r="Z1792" s="54" t="n">
        <v>1724.137931</v>
      </c>
      <c r="AA1792" s="55">
        <f>IF(AND(A1792="", B1792="", E1792=""), "", IF(AB1792="", "Válido", IF((LEN(AB1792)-LEN(SUBSTITUTE(AB1792,"; ","")))/2+1&gt;(LEN(AB1792)-LEN(SUBSTITUTE(AB1792,"[Aviso]","")))/7, "Con Incidencias", "Válido")))</f>
        <v/>
      </c>
      <c r="AB1792" s="56">
        <f>IF(AND(A1792="", B1792="", E1792=""), "", TEXTJOIN("; ", TRUE, IF(OR(TRIM(A1792&amp;"")="", ISNUMBER(SEARCH("FALTA", A1792))), "UPC faltante/inválido", ""), IF(AND(A1792&lt;&gt;"", IFERROR(_xlfn.XMATCH(A1792,$A$2:$A$2509,0,1)&lt;&gt;_xlfn.XMATCH(A1792,$A$2:$A$2509,0,-1),FALSE)), "Código de barras duplicado", ""), IF(AND(E1792&lt;&gt;"", COUNTIF($E$2:$E$2509, E1792)&gt;1), "SKU duplicado", ""), IF(OR(J1792="", J1792=""), "[Aviso] División no capturada ()", IF(ISNA(MATCH(J1792, Criterios!$A$123:$A$126, 0)), "División no válida", "")), IF(OR(K1792="", K1792=""), "[Aviso] Categoría no capturada ()", IF(ISNA(MATCH(K1792, Criterios!$A$81:$A$120, 0)), "Categoría no válida", IF(AND(J1792&lt;&gt;"", J1792&lt;&gt;"", J1792&lt;&gt;VLOOKUP(K1792, Criterios!$A$81:$B$120, 2, FALSE)), "División no coincide con Categoría", ""))), IF(OR(L1792="", L1792=""), "[Aviso] Género no capturado ()", IF(ISNA(MATCH(L1792, Criterios!$B$123:$B$127, 0)), "Género no válido", "")), IF(OR(N1792="", N1792=""), "[Aviso] Temporada no capturada ()", IF(ISNA(MATCH(N1792, Criterios!$C$123:$C$128, 0)), "Temporada no válida", "")), IF(OR(O1792="", O1792=""), "[Aviso] Ciclo de vida no capturado ()", IF(ISNA(MATCH(O1792, Criterios!$D$123:$D$124, 0)), "Ciclo de vida no válido", ""))))</f>
        <v/>
      </c>
      <c r="AC1792" s="56" t="n"/>
      <c r="AD1792" s="51" t="n">
        <v>-3</v>
      </c>
      <c r="AE1792" s="156" t="n"/>
      <c r="AF1792" s="51" t="n">
        <v>0</v>
      </c>
      <c r="AG1792" s="156" t="inlineStr">
        <is>
          <t>Catálogo existente</t>
        </is>
      </c>
      <c r="AH1792" s="156" t="inlineStr">
        <is>
          <t>Stock negativo en sistema: revisar en conteo</t>
        </is>
      </c>
      <c r="AI1792" s="156" t="inlineStr">
        <is>
          <t>Sí</t>
        </is>
      </c>
      <c r="AJ1792" s="156" t="inlineStr">
        <is>
          <t>STETSON AMERICAS (-3)</t>
        </is>
      </c>
      <c r="AK1792" s="155" t="inlineStr">
        <is>
          <t>Shopify Stetson: producto 15051554062699 / variante 53342124179819 | Odoo: producto 29770 / plantilla 38474</t>
        </is>
      </c>
      <c r="AL1792" s="58" t="n">
        <v>775.862069</v>
      </c>
      <c r="AM1792" s="58" t="n">
        <v>1724.137931</v>
      </c>
      <c r="AN1792" s="155" t="inlineStr">
        <is>
          <t>Shopify Stetson México | Odoo Universal Unique Brands</t>
        </is>
      </c>
      <c r="AO1792" s="59" t="n">
        <v>7</v>
      </c>
      <c r="AP1792" s="59" t="n"/>
      <c r="AQ1792" s="59" t="n">
        <v>10</v>
      </c>
      <c r="AR1792" s="155" t="inlineStr">
        <is>
          <t>Shopify Stetson México › Stetson Americas: 7 | Odoo Universal Unique Brands › Bodega 25 › Bodega 25/General: 10</t>
        </is>
      </c>
    </row>
    <row r="1793">
      <c r="A1793" s="50" t="inlineStr">
        <is>
          <t>884426634236</t>
        </is>
      </c>
      <c r="B1793" s="51" t="inlineStr">
        <is>
          <t>110530</t>
        </is>
      </c>
      <c r="C1793" s="156" t="inlineStr">
        <is>
          <t>Multimarca</t>
        </is>
      </c>
      <c r="D1793" s="156" t="inlineStr">
        <is>
          <t>11-004-1014-3000</t>
        </is>
      </c>
      <c r="E1793" s="156" t="inlineStr">
        <is>
          <t>11-004-1014-3000-32 34</t>
        </is>
      </c>
      <c r="F1793" s="156" t="inlineStr">
        <is>
          <t>32 x 34</t>
        </is>
      </c>
      <c r="G1793" s="156" t="inlineStr">
        <is>
          <t>32W / 34L</t>
        </is>
      </c>
      <c r="H1793" s="156" t="inlineStr">
        <is>
          <t>Stetson</t>
        </is>
      </c>
      <c r="I1793" s="156" t="inlineStr">
        <is>
          <t>Jean Lavado Oscuro con Bordado X Destrucción en Bolsa</t>
        </is>
      </c>
      <c r="J1793" s="156" t="inlineStr">
        <is>
          <t>Denim</t>
        </is>
      </c>
      <c r="K1793" s="156" t="inlineStr">
        <is>
          <t>Jeans</t>
        </is>
      </c>
      <c r="L1793" s="156" t="inlineStr">
        <is>
          <t>Hombre</t>
        </is>
      </c>
      <c r="M1793" s="156" t="inlineStr">
        <is>
          <t>Stetson</t>
        </is>
      </c>
      <c r="N1793" s="156" t="inlineStr">
        <is>
          <t>SS26</t>
        </is>
      </c>
      <c r="O1793" s="156" t="inlineStr">
        <is>
          <t>Seasonal</t>
        </is>
      </c>
      <c r="P1793" s="156" t="inlineStr">
        <is>
          <t>Azul</t>
        </is>
      </c>
      <c r="Q1793" s="156" t="inlineStr">
        <is>
          <t>Slim</t>
        </is>
      </c>
      <c r="R1793" s="156" t="inlineStr">
        <is>
          <t>Bootcut</t>
        </is>
      </c>
      <c r="S1793" s="156" t="inlineStr">
        <is>
          <t>100% Algodón</t>
        </is>
      </c>
      <c r="T1793" s="156" t="inlineStr">
        <is>
          <t>Jean Lavado Oscuro con Bordado X Destrucción en Bolsa Fitted</t>
        </is>
      </c>
      <c r="U1793" s="156" t="n"/>
      <c r="V1793" s="156" t="inlineStr">
        <is>
          <t>PZS</t>
        </is>
      </c>
      <c r="W1793" s="51" t="inlineStr">
        <is>
          <t>53101502</t>
        </is>
      </c>
      <c r="X1793" s="156" t="n"/>
      <c r="Y1793" s="54" t="n">
        <v>775.862069</v>
      </c>
      <c r="Z1793" s="54" t="n">
        <v>1724.137931</v>
      </c>
      <c r="AA1793" s="55">
        <f>IF(AND(A1793="", B1793="", E1793=""), "", IF(AB1793="", "Válido", IF((LEN(AB1793)-LEN(SUBSTITUTE(AB1793,"; ","")))/2+1&gt;(LEN(AB1793)-LEN(SUBSTITUTE(AB1793,"[Aviso]","")))/7, "Con Incidencias", "Válido")))</f>
        <v/>
      </c>
      <c r="AB1793" s="56">
        <f>IF(AND(A1793="", B1793="", E1793=""), "", TEXTJOIN("; ", TRUE, IF(OR(TRIM(A1793&amp;"")="", ISNUMBER(SEARCH("FALTA", A1793))), "UPC faltante/inválido", ""), IF(AND(A1793&lt;&gt;"", IFERROR(_xlfn.XMATCH(A1793,$A$2:$A$2509,0,1)&lt;&gt;_xlfn.XMATCH(A1793,$A$2:$A$2509,0,-1),FALSE)), "Código de barras duplicado", ""), IF(AND(E1793&lt;&gt;"", COUNTIF($E$2:$E$2509, E1793)&gt;1), "SKU duplicado", ""), IF(OR(J1793="", J1793=""), "[Aviso] División no capturada ()", IF(ISNA(MATCH(J1793, Criterios!$A$123:$A$126, 0)), "División no válida", "")), IF(OR(K1793="", K1793=""), "[Aviso] Categoría no capturada ()", IF(ISNA(MATCH(K1793, Criterios!$A$81:$A$120, 0)), "Categoría no válida", IF(AND(J1793&lt;&gt;"", J1793&lt;&gt;"", J1793&lt;&gt;VLOOKUP(K1793, Criterios!$A$81:$B$120, 2, FALSE)), "División no coincide con Categoría", ""))), IF(OR(L1793="", L1793=""), "[Aviso] Género no capturado ()", IF(ISNA(MATCH(L1793, Criterios!$B$123:$B$127, 0)), "Género no válido", "")), IF(OR(N1793="", N1793=""), "[Aviso] Temporada no capturada ()", IF(ISNA(MATCH(N1793, Criterios!$C$123:$C$128, 0)), "Temporada no válida", "")), IF(OR(O1793="", O1793=""), "[Aviso] Ciclo de vida no capturado ()", IF(ISNA(MATCH(O1793, Criterios!$D$123:$D$124, 0)), "Ciclo de vida no válido", ""))))</f>
        <v/>
      </c>
      <c r="AC1793" s="56" t="n"/>
      <c r="AD1793" s="51" t="n">
        <v>-1</v>
      </c>
      <c r="AE1793" s="156" t="n"/>
      <c r="AF1793" s="51" t="n">
        <v>0</v>
      </c>
      <c r="AG1793" s="156" t="inlineStr">
        <is>
          <t>Catálogo existente</t>
        </is>
      </c>
      <c r="AH1793" s="156" t="inlineStr">
        <is>
          <t>Stock negativo en sistema: revisar en conteo</t>
        </is>
      </c>
      <c r="AI1793" s="156" t="inlineStr">
        <is>
          <t>Sí</t>
        </is>
      </c>
      <c r="AJ1793" s="156" t="inlineStr">
        <is>
          <t>STETSON AMERICAS (-1)</t>
        </is>
      </c>
      <c r="AK1793" s="155" t="inlineStr">
        <is>
          <t>Shopify Stetson: producto 15051554062699 / variante 53342124212587 | Odoo: producto 29771 / plantilla 38475</t>
        </is>
      </c>
      <c r="AL1793" s="58" t="n">
        <v>775.862069</v>
      </c>
      <c r="AM1793" s="58" t="n">
        <v>1724.137931</v>
      </c>
      <c r="AN1793" s="155" t="inlineStr">
        <is>
          <t>Shopify Stetson México | Odoo Universal Unique Brands</t>
        </is>
      </c>
      <c r="AO1793" s="59" t="n">
        <v>6</v>
      </c>
      <c r="AP1793" s="59" t="n"/>
      <c r="AQ1793" s="59" t="n">
        <v>7</v>
      </c>
      <c r="AR1793" s="155" t="inlineStr">
        <is>
          <t>Shopify Stetson México › Stetson Americas: 6 | Odoo Universal Unique Brands › Bodega 25 › Bodega 25/General: 7</t>
        </is>
      </c>
    </row>
    <row r="1794">
      <c r="A1794" s="50" t="inlineStr">
        <is>
          <t>884426634281</t>
        </is>
      </c>
      <c r="B1794" s="51" t="inlineStr">
        <is>
          <t>110531</t>
        </is>
      </c>
      <c r="C1794" s="156" t="inlineStr">
        <is>
          <t>Multimarca</t>
        </is>
      </c>
      <c r="D1794" s="156" t="inlineStr">
        <is>
          <t>11-004-1014-3000</t>
        </is>
      </c>
      <c r="E1794" s="156" t="inlineStr">
        <is>
          <t>11-004-1014-3000-33 32</t>
        </is>
      </c>
      <c r="F1794" s="156" t="inlineStr">
        <is>
          <t>33 x 32</t>
        </is>
      </c>
      <c r="G1794" s="156" t="inlineStr">
        <is>
          <t>33W / 32L</t>
        </is>
      </c>
      <c r="H1794" s="156" t="inlineStr">
        <is>
          <t>Stetson</t>
        </is>
      </c>
      <c r="I1794" s="156" t="inlineStr">
        <is>
          <t>Jean Lavado Oscuro con Bordado X Destrucción en Bolsa</t>
        </is>
      </c>
      <c r="J1794" s="156" t="inlineStr">
        <is>
          <t>Denim</t>
        </is>
      </c>
      <c r="K1794" s="156" t="inlineStr">
        <is>
          <t>Jeans</t>
        </is>
      </c>
      <c r="L1794" s="156" t="inlineStr">
        <is>
          <t>Hombre</t>
        </is>
      </c>
      <c r="M1794" s="156" t="inlineStr">
        <is>
          <t>Stetson</t>
        </is>
      </c>
      <c r="N1794" s="156" t="inlineStr">
        <is>
          <t>SS26</t>
        </is>
      </c>
      <c r="O1794" s="156" t="inlineStr">
        <is>
          <t>Seasonal</t>
        </is>
      </c>
      <c r="P1794" s="156" t="inlineStr">
        <is>
          <t>Azul</t>
        </is>
      </c>
      <c r="Q1794" s="156" t="inlineStr">
        <is>
          <t>Slim</t>
        </is>
      </c>
      <c r="R1794" s="156" t="inlineStr">
        <is>
          <t>Bootcut</t>
        </is>
      </c>
      <c r="S1794" s="156" t="inlineStr">
        <is>
          <t>100% Algodón</t>
        </is>
      </c>
      <c r="T1794" s="156" t="inlineStr">
        <is>
          <t>Jean Lavado Oscuro con Bordado X Destrucción en Bolsa Fitted</t>
        </is>
      </c>
      <c r="U1794" s="156" t="n"/>
      <c r="V1794" s="156" t="inlineStr">
        <is>
          <t>PZS</t>
        </is>
      </c>
      <c r="W1794" s="51" t="inlineStr">
        <is>
          <t>53101502</t>
        </is>
      </c>
      <c r="X1794" s="156" t="n"/>
      <c r="Y1794" s="54" t="n">
        <v>775.862069</v>
      </c>
      <c r="Z1794" s="54" t="n">
        <v>1724.137931</v>
      </c>
      <c r="AA1794" s="55">
        <f>IF(AND(A1794="", B1794="", E1794=""), "", IF(AB1794="", "Válido", IF((LEN(AB1794)-LEN(SUBSTITUTE(AB1794,"; ","")))/2+1&gt;(LEN(AB1794)-LEN(SUBSTITUTE(AB1794,"[Aviso]","")))/7, "Con Incidencias", "Válido")))</f>
        <v/>
      </c>
      <c r="AB1794" s="56">
        <f>IF(AND(A1794="", B1794="", E1794=""), "", TEXTJOIN("; ", TRUE, IF(OR(TRIM(A1794&amp;"")="", ISNUMBER(SEARCH("FALTA", A1794))), "UPC faltante/inválido", ""), IF(AND(A1794&lt;&gt;"", IFERROR(_xlfn.XMATCH(A1794,$A$2:$A$2509,0,1)&lt;&gt;_xlfn.XMATCH(A1794,$A$2:$A$2509,0,-1),FALSE)), "Código de barras duplicado", ""), IF(AND(E1794&lt;&gt;"", COUNTIF($E$2:$E$2509, E1794)&gt;1), "SKU duplicado", ""), IF(OR(J1794="", J1794=""), "[Aviso] División no capturada ()", IF(ISNA(MATCH(J1794, Criterios!$A$123:$A$126, 0)), "División no válida", "")), IF(OR(K1794="", K1794=""), "[Aviso] Categoría no capturada ()", IF(ISNA(MATCH(K1794, Criterios!$A$81:$A$120, 0)), "Categoría no válida", IF(AND(J1794&lt;&gt;"", J1794&lt;&gt;"", J1794&lt;&gt;VLOOKUP(K1794, Criterios!$A$81:$B$120, 2, FALSE)), "División no coincide con Categoría", ""))), IF(OR(L1794="", L1794=""), "[Aviso] Género no capturado ()", IF(ISNA(MATCH(L1794, Criterios!$B$123:$B$127, 0)), "Género no válido", "")), IF(OR(N1794="", N1794=""), "[Aviso] Temporada no capturada ()", IF(ISNA(MATCH(N1794, Criterios!$C$123:$C$128, 0)), "Temporada no válida", "")), IF(OR(O1794="", O1794=""), "[Aviso] Ciclo de vida no capturado ()", IF(ISNA(MATCH(O1794, Criterios!$D$123:$D$124, 0)), "Ciclo de vida no válido", ""))))</f>
        <v/>
      </c>
      <c r="AC1794" s="56" t="n"/>
      <c r="AD1794" s="51" t="n">
        <v>-1</v>
      </c>
      <c r="AE1794" s="156" t="n"/>
      <c r="AF1794" s="51" t="n">
        <v>0</v>
      </c>
      <c r="AG1794" s="156" t="inlineStr">
        <is>
          <t>Catálogo existente</t>
        </is>
      </c>
      <c r="AH1794" s="156" t="inlineStr">
        <is>
          <t>Stock negativo en sistema: revisar en conteo</t>
        </is>
      </c>
      <c r="AI1794" s="156" t="inlineStr">
        <is>
          <t>Sí</t>
        </is>
      </c>
      <c r="AJ1794" s="156" t="inlineStr">
        <is>
          <t>STETSON AMERICAS (-1)</t>
        </is>
      </c>
      <c r="AK1794" s="155" t="inlineStr">
        <is>
          <t>Shopify Stetson: producto 15051554062699 / variante 53342124245355 | Odoo: producto 29772 / plantilla 38476</t>
        </is>
      </c>
      <c r="AL1794" s="58" t="n">
        <v>775.862069</v>
      </c>
      <c r="AM1794" s="58" t="n">
        <v>1724.137931</v>
      </c>
      <c r="AN1794" s="155" t="inlineStr">
        <is>
          <t>Shopify Stetson México | Odoo Universal Unique Brands</t>
        </is>
      </c>
      <c r="AO1794" s="59" t="n">
        <v>4</v>
      </c>
      <c r="AP1794" s="59" t="n"/>
      <c r="AQ1794" s="59" t="n">
        <v>6</v>
      </c>
      <c r="AR1794" s="155" t="inlineStr">
        <is>
          <t>Shopify Stetson México › Stetson Americas: 4 | Odoo Universal Unique Brands › Bodega 25 › Bodega 25/General: 6</t>
        </is>
      </c>
    </row>
    <row r="1795">
      <c r="A1795" s="50" t="inlineStr">
        <is>
          <t>884426634342</t>
        </is>
      </c>
      <c r="B1795" s="51" t="inlineStr">
        <is>
          <t>110532</t>
        </is>
      </c>
      <c r="C1795" s="156" t="inlineStr">
        <is>
          <t>Multimarca</t>
        </is>
      </c>
      <c r="D1795" s="156" t="inlineStr">
        <is>
          <t>11-004-1014-3000</t>
        </is>
      </c>
      <c r="E1795" s="156" t="inlineStr">
        <is>
          <t>11-004-1014-3000-34 32</t>
        </is>
      </c>
      <c r="F1795" s="156" t="inlineStr">
        <is>
          <t>34 x 32</t>
        </is>
      </c>
      <c r="G1795" s="156" t="inlineStr">
        <is>
          <t>34W / 32L</t>
        </is>
      </c>
      <c r="H1795" s="156" t="inlineStr">
        <is>
          <t>Stetson</t>
        </is>
      </c>
      <c r="I1795" s="156" t="inlineStr">
        <is>
          <t>Jean Lavado Oscuro con Bordado X Destrucción en Bolsa</t>
        </is>
      </c>
      <c r="J1795" s="156" t="inlineStr">
        <is>
          <t>Denim</t>
        </is>
      </c>
      <c r="K1795" s="156" t="inlineStr">
        <is>
          <t>Jeans</t>
        </is>
      </c>
      <c r="L1795" s="156" t="inlineStr">
        <is>
          <t>Hombre</t>
        </is>
      </c>
      <c r="M1795" s="156" t="inlineStr">
        <is>
          <t>Stetson</t>
        </is>
      </c>
      <c r="N1795" s="156" t="inlineStr">
        <is>
          <t>SS26</t>
        </is>
      </c>
      <c r="O1795" s="156" t="inlineStr">
        <is>
          <t>Seasonal</t>
        </is>
      </c>
      <c r="P1795" s="156" t="inlineStr">
        <is>
          <t>Azul</t>
        </is>
      </c>
      <c r="Q1795" s="156" t="inlineStr">
        <is>
          <t>Slim</t>
        </is>
      </c>
      <c r="R1795" s="156" t="inlineStr">
        <is>
          <t>Bootcut</t>
        </is>
      </c>
      <c r="S1795" s="156" t="inlineStr">
        <is>
          <t>100% Algodón</t>
        </is>
      </c>
      <c r="T1795" s="156" t="inlineStr">
        <is>
          <t>Jean Lavado Oscuro con Bordado X Destrucción en Bolsa Fitted</t>
        </is>
      </c>
      <c r="U1795" s="156" t="n"/>
      <c r="V1795" s="156" t="inlineStr">
        <is>
          <t>PZS</t>
        </is>
      </c>
      <c r="W1795" s="51" t="inlineStr">
        <is>
          <t>53101502</t>
        </is>
      </c>
      <c r="X1795" s="156" t="n"/>
      <c r="Y1795" s="54" t="n">
        <v>775.862069</v>
      </c>
      <c r="Z1795" s="54" t="n">
        <v>1724.137931</v>
      </c>
      <c r="AA1795" s="55">
        <f>IF(AND(A1795="", B1795="", E1795=""), "", IF(AB1795="", "Válido", IF((LEN(AB1795)-LEN(SUBSTITUTE(AB1795,"; ","")))/2+1&gt;(LEN(AB1795)-LEN(SUBSTITUTE(AB1795,"[Aviso]","")))/7, "Con Incidencias", "Válido")))</f>
        <v/>
      </c>
      <c r="AB1795" s="56">
        <f>IF(AND(A1795="", B1795="", E1795=""), "", TEXTJOIN("; ", TRUE, IF(OR(TRIM(A1795&amp;"")="", ISNUMBER(SEARCH("FALTA", A1795))), "UPC faltante/inválido", ""), IF(AND(A1795&lt;&gt;"", IFERROR(_xlfn.XMATCH(A1795,$A$2:$A$2509,0,1)&lt;&gt;_xlfn.XMATCH(A1795,$A$2:$A$2509,0,-1),FALSE)), "Código de barras duplicado", ""), IF(AND(E1795&lt;&gt;"", COUNTIF($E$2:$E$2509, E1795)&gt;1), "SKU duplicado", ""), IF(OR(J1795="", J1795=""), "[Aviso] División no capturada ()", IF(ISNA(MATCH(J1795, Criterios!$A$123:$A$126, 0)), "División no válida", "")), IF(OR(K1795="", K1795=""), "[Aviso] Categoría no capturada ()", IF(ISNA(MATCH(K1795, Criterios!$A$81:$A$120, 0)), "Categoría no válida", IF(AND(J1795&lt;&gt;"", J1795&lt;&gt;"", J1795&lt;&gt;VLOOKUP(K1795, Criterios!$A$81:$B$120, 2, FALSE)), "División no coincide con Categoría", ""))), IF(OR(L1795="", L1795=""), "[Aviso] Género no capturado ()", IF(ISNA(MATCH(L1795, Criterios!$B$123:$B$127, 0)), "Género no válido", "")), IF(OR(N1795="", N1795=""), "[Aviso] Temporada no capturada ()", IF(ISNA(MATCH(N1795, Criterios!$C$123:$C$128, 0)), "Temporada no válida", "")), IF(OR(O1795="", O1795=""), "[Aviso] Ciclo de vida no capturado ()", IF(ISNA(MATCH(O1795, Criterios!$D$123:$D$124, 0)), "Ciclo de vida no válido", ""))))</f>
        <v/>
      </c>
      <c r="AC1795" s="56" t="n"/>
      <c r="AD1795" s="51" t="n">
        <v>-3</v>
      </c>
      <c r="AE1795" s="156" t="n"/>
      <c r="AF1795" s="51" t="n">
        <v>0</v>
      </c>
      <c r="AG1795" s="156" t="inlineStr">
        <is>
          <t>Catálogo existente</t>
        </is>
      </c>
      <c r="AH1795" s="156" t="inlineStr">
        <is>
          <t>Stock negativo en sistema: revisar en conteo</t>
        </is>
      </c>
      <c r="AI1795" s="156" t="inlineStr">
        <is>
          <t>Sí</t>
        </is>
      </c>
      <c r="AJ1795" s="156" t="inlineStr">
        <is>
          <t>STETSON AMERICAS (-3)</t>
        </is>
      </c>
      <c r="AK1795" s="155" t="inlineStr">
        <is>
          <t>Shopify Stetson: producto 15051554062699 / variante 53342124278123 | Odoo: producto 29773 / plantilla 38477</t>
        </is>
      </c>
      <c r="AL1795" s="58" t="n">
        <v>775.862069</v>
      </c>
      <c r="AM1795" s="58" t="n">
        <v>1724.137931</v>
      </c>
      <c r="AN1795" s="155" t="inlineStr">
        <is>
          <t>Shopify Stetson México | Odoo Universal Unique Brands</t>
        </is>
      </c>
      <c r="AO1795" s="59" t="n">
        <v>5</v>
      </c>
      <c r="AP1795" s="59" t="n"/>
      <c r="AQ1795" s="59" t="n">
        <v>8</v>
      </c>
      <c r="AR1795" s="155" t="inlineStr">
        <is>
          <t>Shopify Stetson México › Stetson Americas: 5 | Odoo Universal Unique Brands › Bodega 25 › Bodega 25/General: 8</t>
        </is>
      </c>
    </row>
    <row r="1796">
      <c r="A1796" s="50" t="inlineStr">
        <is>
          <t>884426634359</t>
        </is>
      </c>
      <c r="B1796" s="51" t="inlineStr">
        <is>
          <t>110533</t>
        </is>
      </c>
      <c r="C1796" s="156" t="inlineStr">
        <is>
          <t>Multimarca</t>
        </is>
      </c>
      <c r="D1796" s="156" t="inlineStr">
        <is>
          <t>11-004-1014-3000</t>
        </is>
      </c>
      <c r="E1796" s="156" t="inlineStr">
        <is>
          <t>11-004-1014-3000-34 34</t>
        </is>
      </c>
      <c r="F1796" s="156" t="inlineStr">
        <is>
          <t>34 x 34</t>
        </is>
      </c>
      <c r="G1796" s="156" t="inlineStr">
        <is>
          <t>34W / 34L</t>
        </is>
      </c>
      <c r="H1796" s="156" t="inlineStr">
        <is>
          <t>Stetson</t>
        </is>
      </c>
      <c r="I1796" s="156" t="inlineStr">
        <is>
          <t>Jean Lavado Oscuro con Bordado X Destrucción en Bolsa</t>
        </is>
      </c>
      <c r="J1796" s="156" t="inlineStr">
        <is>
          <t>Denim</t>
        </is>
      </c>
      <c r="K1796" s="156" t="inlineStr">
        <is>
          <t>Jeans</t>
        </is>
      </c>
      <c r="L1796" s="156" t="inlineStr">
        <is>
          <t>Hombre</t>
        </is>
      </c>
      <c r="M1796" s="156" t="inlineStr">
        <is>
          <t>Stetson</t>
        </is>
      </c>
      <c r="N1796" s="156" t="inlineStr">
        <is>
          <t>SS26</t>
        </is>
      </c>
      <c r="O1796" s="156" t="inlineStr">
        <is>
          <t>Seasonal</t>
        </is>
      </c>
      <c r="P1796" s="156" t="inlineStr">
        <is>
          <t>Azul</t>
        </is>
      </c>
      <c r="Q1796" s="156" t="inlineStr">
        <is>
          <t>Slim</t>
        </is>
      </c>
      <c r="R1796" s="156" t="inlineStr">
        <is>
          <t>Bootcut</t>
        </is>
      </c>
      <c r="S1796" s="156" t="inlineStr">
        <is>
          <t>100% Algodón</t>
        </is>
      </c>
      <c r="T1796" s="156" t="inlineStr">
        <is>
          <t>Jean Lavado Oscuro con Bordado X Destrucción en Bolsa Fitted</t>
        </is>
      </c>
      <c r="U1796" s="156" t="n"/>
      <c r="V1796" s="156" t="inlineStr">
        <is>
          <t>PZS</t>
        </is>
      </c>
      <c r="W1796" s="51" t="inlineStr">
        <is>
          <t>53101502</t>
        </is>
      </c>
      <c r="X1796" s="156" t="n"/>
      <c r="Y1796" s="54" t="n">
        <v>775.862069</v>
      </c>
      <c r="Z1796" s="54" t="n">
        <v>1724.137931</v>
      </c>
      <c r="AA1796" s="55">
        <f>IF(AND(A1796="", B1796="", E1796=""), "", IF(AB1796="", "Válido", IF((LEN(AB1796)-LEN(SUBSTITUTE(AB1796,"; ","")))/2+1&gt;(LEN(AB1796)-LEN(SUBSTITUTE(AB1796,"[Aviso]","")))/7, "Con Incidencias", "Válido")))</f>
        <v/>
      </c>
      <c r="AB1796" s="56">
        <f>IF(AND(A1796="", B1796="", E1796=""), "", TEXTJOIN("; ", TRUE, IF(OR(TRIM(A1796&amp;"")="", ISNUMBER(SEARCH("FALTA", A1796))), "UPC faltante/inválido", ""), IF(AND(A1796&lt;&gt;"", IFERROR(_xlfn.XMATCH(A1796,$A$2:$A$2509,0,1)&lt;&gt;_xlfn.XMATCH(A1796,$A$2:$A$2509,0,-1),FALSE)), "Código de barras duplicado", ""), IF(AND(E1796&lt;&gt;"", COUNTIF($E$2:$E$2509, E1796)&gt;1), "SKU duplicado", ""), IF(OR(J1796="", J1796=""), "[Aviso] División no capturada ()", IF(ISNA(MATCH(J1796, Criterios!$A$123:$A$126, 0)), "División no válida", "")), IF(OR(K1796="", K1796=""), "[Aviso] Categoría no capturada ()", IF(ISNA(MATCH(K1796, Criterios!$A$81:$A$120, 0)), "Categoría no válida", IF(AND(J1796&lt;&gt;"", J1796&lt;&gt;"", J1796&lt;&gt;VLOOKUP(K1796, Criterios!$A$81:$B$120, 2, FALSE)), "División no coincide con Categoría", ""))), IF(OR(L1796="", L1796=""), "[Aviso] Género no capturado ()", IF(ISNA(MATCH(L1796, Criterios!$B$123:$B$127, 0)), "Género no válido", "")), IF(OR(N1796="", N1796=""), "[Aviso] Temporada no capturada ()", IF(ISNA(MATCH(N1796, Criterios!$C$123:$C$128, 0)), "Temporada no válida", "")), IF(OR(O1796="", O1796=""), "[Aviso] Ciclo de vida no capturado ()", IF(ISNA(MATCH(O1796, Criterios!$D$123:$D$124, 0)), "Ciclo de vida no válido", ""))))</f>
        <v/>
      </c>
      <c r="AC1796" s="56" t="n"/>
      <c r="AD1796" s="51" t="n">
        <v>0</v>
      </c>
      <c r="AE1796" s="156" t="n"/>
      <c r="AF1796" s="51" t="n">
        <v>0</v>
      </c>
      <c r="AG1796" s="156" t="inlineStr">
        <is>
          <t>Catálogo existente</t>
        </is>
      </c>
      <c r="AH1796" s="156" t="n"/>
      <c r="AI1796" s="156" t="inlineStr">
        <is>
          <t>No</t>
        </is>
      </c>
      <c r="AJ1796" s="156" t="n"/>
      <c r="AK1796" s="155" t="inlineStr">
        <is>
          <t>Shopify Stetson: producto 15051554062699 / variante 53342124310891 | Odoo: producto 29774 / plantilla 38478</t>
        </is>
      </c>
      <c r="AL1796" s="58" t="n">
        <v>775.862069</v>
      </c>
      <c r="AM1796" s="58" t="n">
        <v>1724.137931</v>
      </c>
      <c r="AN1796" s="155" t="inlineStr">
        <is>
          <t>Shopify Stetson México | Odoo Universal Unique Brands</t>
        </is>
      </c>
      <c r="AO1796" s="59" t="n">
        <v>6</v>
      </c>
      <c r="AP1796" s="59" t="n"/>
      <c r="AQ1796" s="59" t="n">
        <v>6</v>
      </c>
      <c r="AR1796" s="155" t="inlineStr">
        <is>
          <t>Shopify Stetson México › Stetson Americas: 6 | Odoo Universal Unique Brands › Bodega 25 › Bodega 25/General: 6</t>
        </is>
      </c>
    </row>
    <row r="1797">
      <c r="A1797" s="50" t="inlineStr">
        <is>
          <t>884426634366</t>
        </is>
      </c>
      <c r="B1797" s="51" t="inlineStr">
        <is>
          <t>110534</t>
        </is>
      </c>
      <c r="C1797" s="156" t="inlineStr">
        <is>
          <t>Multimarca</t>
        </is>
      </c>
      <c r="D1797" s="156" t="inlineStr">
        <is>
          <t>11-004-1014-3000</t>
        </is>
      </c>
      <c r="E1797" s="156" t="inlineStr">
        <is>
          <t>11-004-1014-3000-34 36</t>
        </is>
      </c>
      <c r="F1797" s="156" t="inlineStr">
        <is>
          <t>34 x 36</t>
        </is>
      </c>
      <c r="G1797" s="156" t="inlineStr">
        <is>
          <t>34W / 36L</t>
        </is>
      </c>
      <c r="H1797" s="156" t="inlineStr">
        <is>
          <t>Stetson</t>
        </is>
      </c>
      <c r="I1797" s="156" t="inlineStr">
        <is>
          <t>Jean Lavado Oscuro con Bordado X Destrucción en Bolsa</t>
        </is>
      </c>
      <c r="J1797" s="156" t="inlineStr">
        <is>
          <t>Denim</t>
        </is>
      </c>
      <c r="K1797" s="156" t="inlineStr">
        <is>
          <t>Jeans</t>
        </is>
      </c>
      <c r="L1797" s="156" t="inlineStr">
        <is>
          <t>Hombre</t>
        </is>
      </c>
      <c r="M1797" s="156" t="inlineStr">
        <is>
          <t>Stetson</t>
        </is>
      </c>
      <c r="N1797" s="156" t="inlineStr">
        <is>
          <t>SS26</t>
        </is>
      </c>
      <c r="O1797" s="156" t="inlineStr">
        <is>
          <t>Seasonal</t>
        </is>
      </c>
      <c r="P1797" s="156" t="inlineStr">
        <is>
          <t>Azul</t>
        </is>
      </c>
      <c r="Q1797" s="156" t="inlineStr">
        <is>
          <t>Slim</t>
        </is>
      </c>
      <c r="R1797" s="156" t="inlineStr">
        <is>
          <t>Bootcut</t>
        </is>
      </c>
      <c r="S1797" s="156" t="inlineStr">
        <is>
          <t>100% Algodón</t>
        </is>
      </c>
      <c r="T1797" s="156" t="inlineStr">
        <is>
          <t>Jean Lavado Oscuro con Bordado X Destrucción en Bolsa Fitted</t>
        </is>
      </c>
      <c r="U1797" s="156" t="n"/>
      <c r="V1797" s="156" t="inlineStr">
        <is>
          <t>PZS</t>
        </is>
      </c>
      <c r="W1797" s="51" t="inlineStr">
        <is>
          <t>53101502</t>
        </is>
      </c>
      <c r="X1797" s="156" t="n"/>
      <c r="Y1797" s="54" t="n">
        <v>775.862069</v>
      </c>
      <c r="Z1797" s="54" t="n">
        <v>1724.137931</v>
      </c>
      <c r="AA1797" s="55">
        <f>IF(AND(A1797="", B1797="", E1797=""), "", IF(AB1797="", "Válido", IF((LEN(AB1797)-LEN(SUBSTITUTE(AB1797,"; ","")))/2+1&gt;(LEN(AB1797)-LEN(SUBSTITUTE(AB1797,"[Aviso]","")))/7, "Con Incidencias", "Válido")))</f>
        <v/>
      </c>
      <c r="AB1797" s="56">
        <f>IF(AND(A1797="", B1797="", E1797=""), "", TEXTJOIN("; ", TRUE, IF(OR(TRIM(A1797&amp;"")="", ISNUMBER(SEARCH("FALTA", A1797))), "UPC faltante/inválido", ""), IF(AND(A1797&lt;&gt;"", IFERROR(_xlfn.XMATCH(A1797,$A$2:$A$2509,0,1)&lt;&gt;_xlfn.XMATCH(A1797,$A$2:$A$2509,0,-1),FALSE)), "Código de barras duplicado", ""), IF(AND(E1797&lt;&gt;"", COUNTIF($E$2:$E$2509, E1797)&gt;1), "SKU duplicado", ""), IF(OR(J1797="", J1797=""), "[Aviso] División no capturada ()", IF(ISNA(MATCH(J1797, Criterios!$A$123:$A$126, 0)), "División no válida", "")), IF(OR(K1797="", K1797=""), "[Aviso] Categoría no capturada ()", IF(ISNA(MATCH(K1797, Criterios!$A$81:$A$120, 0)), "Categoría no válida", IF(AND(J1797&lt;&gt;"", J1797&lt;&gt;"", J1797&lt;&gt;VLOOKUP(K1797, Criterios!$A$81:$B$120, 2, FALSE)), "División no coincide con Categoría", ""))), IF(OR(L1797="", L1797=""), "[Aviso] Género no capturado ()", IF(ISNA(MATCH(L1797, Criterios!$B$123:$B$127, 0)), "Género no válido", "")), IF(OR(N1797="", N1797=""), "[Aviso] Temporada no capturada ()", IF(ISNA(MATCH(N1797, Criterios!$C$123:$C$128, 0)), "Temporada no válida", "")), IF(OR(O1797="", O1797=""), "[Aviso] Ciclo de vida no capturado ()", IF(ISNA(MATCH(O1797, Criterios!$D$123:$D$124, 0)), "Ciclo de vida no válido", ""))))</f>
        <v/>
      </c>
      <c r="AC1797" s="56" t="n"/>
      <c r="AD1797" s="51" t="n">
        <v>-1</v>
      </c>
      <c r="AE1797" s="156" t="n"/>
      <c r="AF1797" s="51" t="n">
        <v>0</v>
      </c>
      <c r="AG1797" s="156" t="inlineStr">
        <is>
          <t>Catálogo existente</t>
        </is>
      </c>
      <c r="AH1797" s="156" t="inlineStr">
        <is>
          <t>Stock negativo en sistema: revisar en conteo</t>
        </is>
      </c>
      <c r="AI1797" s="156" t="inlineStr">
        <is>
          <t>Sí</t>
        </is>
      </c>
      <c r="AJ1797" s="156" t="inlineStr">
        <is>
          <t>STETSON AMERICAS (-1)</t>
        </is>
      </c>
      <c r="AK1797" s="155" t="inlineStr">
        <is>
          <t>Shopify Stetson: producto 15051554062699 / variante 53342124343659 | Odoo: producto 29775 / plantilla 38479</t>
        </is>
      </c>
      <c r="AL1797" s="58" t="n">
        <v>775.862069</v>
      </c>
      <c r="AM1797" s="58" t="n">
        <v>1724.137931</v>
      </c>
      <c r="AN1797" s="155" t="inlineStr">
        <is>
          <t>Shopify Stetson México | Odoo Universal Unique Brands</t>
        </is>
      </c>
      <c r="AO1797" s="59" t="n">
        <v>2</v>
      </c>
      <c r="AP1797" s="59" t="n"/>
      <c r="AQ1797" s="59" t="n">
        <v>3</v>
      </c>
      <c r="AR1797" s="155" t="inlineStr">
        <is>
          <t>Shopify Stetson México › Stetson Americas: 2 | Odoo Universal Unique Brands › Bodega 25 › Bodega 25/General: 3</t>
        </is>
      </c>
    </row>
    <row r="1798">
      <c r="A1798" s="50" t="inlineStr">
        <is>
          <t>884426634465</t>
        </is>
      </c>
      <c r="B1798" s="51" t="inlineStr">
        <is>
          <t>110535</t>
        </is>
      </c>
      <c r="C1798" s="156" t="inlineStr">
        <is>
          <t>Multimarca</t>
        </is>
      </c>
      <c r="D1798" s="156" t="inlineStr">
        <is>
          <t>11-004-1014-3000</t>
        </is>
      </c>
      <c r="E1798" s="156" t="inlineStr">
        <is>
          <t>11-004-1014-3000-36 32</t>
        </is>
      </c>
      <c r="F1798" s="156" t="inlineStr">
        <is>
          <t>36 x 32</t>
        </is>
      </c>
      <c r="G1798" s="156" t="inlineStr">
        <is>
          <t>36W / 32L</t>
        </is>
      </c>
      <c r="H1798" s="156" t="inlineStr">
        <is>
          <t>Stetson</t>
        </is>
      </c>
      <c r="I1798" s="156" t="inlineStr">
        <is>
          <t>Jean Lavado Oscuro con Bordado X Destrucción en Bolsa</t>
        </is>
      </c>
      <c r="J1798" s="156" t="inlineStr">
        <is>
          <t>Denim</t>
        </is>
      </c>
      <c r="K1798" s="156" t="inlineStr">
        <is>
          <t>Jeans</t>
        </is>
      </c>
      <c r="L1798" s="156" t="inlineStr">
        <is>
          <t>Hombre</t>
        </is>
      </c>
      <c r="M1798" s="156" t="inlineStr">
        <is>
          <t>Stetson</t>
        </is>
      </c>
      <c r="N1798" s="156" t="inlineStr">
        <is>
          <t>SS26</t>
        </is>
      </c>
      <c r="O1798" s="156" t="inlineStr">
        <is>
          <t>Seasonal</t>
        </is>
      </c>
      <c r="P1798" s="156" t="inlineStr">
        <is>
          <t>Azul</t>
        </is>
      </c>
      <c r="Q1798" s="156" t="inlineStr">
        <is>
          <t>Slim</t>
        </is>
      </c>
      <c r="R1798" s="156" t="inlineStr">
        <is>
          <t>Bootcut</t>
        </is>
      </c>
      <c r="S1798" s="156" t="inlineStr">
        <is>
          <t>100% Algodón</t>
        </is>
      </c>
      <c r="T1798" s="156" t="inlineStr">
        <is>
          <t>Jean Lavado Oscuro con Bordado X Destrucción en Bolsa Fitted</t>
        </is>
      </c>
      <c r="U1798" s="156" t="n"/>
      <c r="V1798" s="156" t="inlineStr">
        <is>
          <t>PZS</t>
        </is>
      </c>
      <c r="W1798" s="51" t="inlineStr">
        <is>
          <t>53101502</t>
        </is>
      </c>
      <c r="X1798" s="156" t="n"/>
      <c r="Y1798" s="54" t="n">
        <v>775.862069</v>
      </c>
      <c r="Z1798" s="54" t="n">
        <v>1724.137931</v>
      </c>
      <c r="AA1798" s="55">
        <f>IF(AND(A1798="", B1798="", E1798=""), "", IF(AB1798="", "Válido", IF((LEN(AB1798)-LEN(SUBSTITUTE(AB1798,"; ","")))/2+1&gt;(LEN(AB1798)-LEN(SUBSTITUTE(AB1798,"[Aviso]","")))/7, "Con Incidencias", "Válido")))</f>
        <v/>
      </c>
      <c r="AB1798" s="56">
        <f>IF(AND(A1798="", B1798="", E1798=""), "", TEXTJOIN("; ", TRUE, IF(OR(TRIM(A1798&amp;"")="", ISNUMBER(SEARCH("FALTA", A1798))), "UPC faltante/inválido", ""), IF(AND(A1798&lt;&gt;"", IFERROR(_xlfn.XMATCH(A1798,$A$2:$A$2509,0,1)&lt;&gt;_xlfn.XMATCH(A1798,$A$2:$A$2509,0,-1),FALSE)), "Código de barras duplicado", ""), IF(AND(E1798&lt;&gt;"", COUNTIF($E$2:$E$2509, E1798)&gt;1), "SKU duplicado", ""), IF(OR(J1798="", J1798=""), "[Aviso] División no capturada ()", IF(ISNA(MATCH(J1798, Criterios!$A$123:$A$126, 0)), "División no válida", "")), IF(OR(K1798="", K1798=""), "[Aviso] Categoría no capturada ()", IF(ISNA(MATCH(K1798, Criterios!$A$81:$A$120, 0)), "Categoría no válida", IF(AND(J1798&lt;&gt;"", J1798&lt;&gt;"", J1798&lt;&gt;VLOOKUP(K1798, Criterios!$A$81:$B$120, 2, FALSE)), "División no coincide con Categoría", ""))), IF(OR(L1798="", L1798=""), "[Aviso] Género no capturado ()", IF(ISNA(MATCH(L1798, Criterios!$B$123:$B$127, 0)), "Género no válido", "")), IF(OR(N1798="", N1798=""), "[Aviso] Temporada no capturada ()", IF(ISNA(MATCH(N1798, Criterios!$C$123:$C$128, 0)), "Temporada no válida", "")), IF(OR(O1798="", O1798=""), "[Aviso] Ciclo de vida no capturado ()", IF(ISNA(MATCH(O1798, Criterios!$D$123:$D$124, 0)), "Ciclo de vida no válido", ""))))</f>
        <v/>
      </c>
      <c r="AC1798" s="56" t="n"/>
      <c r="AD1798" s="51" t="n">
        <v>-2</v>
      </c>
      <c r="AE1798" s="156" t="n"/>
      <c r="AF1798" s="51" t="n">
        <v>0</v>
      </c>
      <c r="AG1798" s="156" t="inlineStr">
        <is>
          <t>Catálogo existente</t>
        </is>
      </c>
      <c r="AH1798" s="156" t="inlineStr">
        <is>
          <t>Stock negativo en sistema: revisar en conteo</t>
        </is>
      </c>
      <c r="AI1798" s="156" t="inlineStr">
        <is>
          <t>Sí</t>
        </is>
      </c>
      <c r="AJ1798" s="156" t="inlineStr">
        <is>
          <t>STETSON AMERICAS (-2)</t>
        </is>
      </c>
      <c r="AK1798" s="155" t="inlineStr">
        <is>
          <t>Shopify Stetson: producto 15051554062699 / variante 53342124376427 | Odoo: producto 29776 / plantilla 38480</t>
        </is>
      </c>
      <c r="AL1798" s="58" t="n">
        <v>775.862069</v>
      </c>
      <c r="AM1798" s="58" t="n">
        <v>1724.137931</v>
      </c>
      <c r="AN1798" s="155" t="inlineStr">
        <is>
          <t>Shopify Stetson México | Odoo Universal Unique Brands</t>
        </is>
      </c>
      <c r="AO1798" s="59" t="n">
        <v>2</v>
      </c>
      <c r="AP1798" s="59" t="n"/>
      <c r="AQ1798" s="59" t="n">
        <v>4</v>
      </c>
      <c r="AR1798" s="155" t="inlineStr">
        <is>
          <t>Shopify Stetson México › Stetson Americas: 2 | Odoo Universal Unique Brands › Bodega 25 › Bodega 25/General: 4</t>
        </is>
      </c>
    </row>
    <row r="1799">
      <c r="A1799" s="50" t="inlineStr">
        <is>
          <t>884426634472</t>
        </is>
      </c>
      <c r="B1799" s="51" t="inlineStr">
        <is>
          <t>110536</t>
        </is>
      </c>
      <c r="C1799" s="156" t="inlineStr">
        <is>
          <t>Multimarca</t>
        </is>
      </c>
      <c r="D1799" s="156" t="inlineStr">
        <is>
          <t>11-004-1014-3000</t>
        </is>
      </c>
      <c r="E1799" s="156" t="inlineStr">
        <is>
          <t>11-004-1014-3000-36 34</t>
        </is>
      </c>
      <c r="F1799" s="156" t="inlineStr">
        <is>
          <t>36 x 34</t>
        </is>
      </c>
      <c r="G1799" s="156" t="inlineStr">
        <is>
          <t>36W / 34L</t>
        </is>
      </c>
      <c r="H1799" s="156" t="inlineStr">
        <is>
          <t>Stetson</t>
        </is>
      </c>
      <c r="I1799" s="156" t="inlineStr">
        <is>
          <t>Jean Lavado Oscuro con Bordado X Destrucción en Bolsa</t>
        </is>
      </c>
      <c r="J1799" s="156" t="inlineStr">
        <is>
          <t>Denim</t>
        </is>
      </c>
      <c r="K1799" s="156" t="inlineStr">
        <is>
          <t>Jeans</t>
        </is>
      </c>
      <c r="L1799" s="156" t="inlineStr">
        <is>
          <t>Hombre</t>
        </is>
      </c>
      <c r="M1799" s="156" t="inlineStr">
        <is>
          <t>Stetson</t>
        </is>
      </c>
      <c r="N1799" s="156" t="inlineStr">
        <is>
          <t>SS26</t>
        </is>
      </c>
      <c r="O1799" s="156" t="inlineStr">
        <is>
          <t>Seasonal</t>
        </is>
      </c>
      <c r="P1799" s="156" t="inlineStr">
        <is>
          <t>Azul</t>
        </is>
      </c>
      <c r="Q1799" s="156" t="inlineStr">
        <is>
          <t>Slim</t>
        </is>
      </c>
      <c r="R1799" s="156" t="inlineStr">
        <is>
          <t>Bootcut</t>
        </is>
      </c>
      <c r="S1799" s="156" t="inlineStr">
        <is>
          <t>100% Algodón</t>
        </is>
      </c>
      <c r="T1799" s="156" t="inlineStr">
        <is>
          <t>Jean Lavado Oscuro con Bordado X Destrucción en Bolsa Fitted</t>
        </is>
      </c>
      <c r="U1799" s="156" t="n"/>
      <c r="V1799" s="156" t="inlineStr">
        <is>
          <t>PZS</t>
        </is>
      </c>
      <c r="W1799" s="51" t="inlineStr">
        <is>
          <t>53101502</t>
        </is>
      </c>
      <c r="X1799" s="156" t="n"/>
      <c r="Y1799" s="54" t="n">
        <v>775.862069</v>
      </c>
      <c r="Z1799" s="54" t="n">
        <v>1724.137931</v>
      </c>
      <c r="AA1799" s="55">
        <f>IF(AND(A1799="", B1799="", E1799=""), "", IF(AB1799="", "Válido", IF((LEN(AB1799)-LEN(SUBSTITUTE(AB1799,"; ","")))/2+1&gt;(LEN(AB1799)-LEN(SUBSTITUTE(AB1799,"[Aviso]","")))/7, "Con Incidencias", "Válido")))</f>
        <v/>
      </c>
      <c r="AB1799" s="56">
        <f>IF(AND(A1799="", B1799="", E1799=""), "", TEXTJOIN("; ", TRUE, IF(OR(TRIM(A1799&amp;"")="", ISNUMBER(SEARCH("FALTA", A1799))), "UPC faltante/inválido", ""), IF(AND(A1799&lt;&gt;"", IFERROR(_xlfn.XMATCH(A1799,$A$2:$A$2509,0,1)&lt;&gt;_xlfn.XMATCH(A1799,$A$2:$A$2509,0,-1),FALSE)), "Código de barras duplicado", ""), IF(AND(E1799&lt;&gt;"", COUNTIF($E$2:$E$2509, E1799)&gt;1), "SKU duplicado", ""), IF(OR(J1799="", J1799=""), "[Aviso] División no capturada ()", IF(ISNA(MATCH(J1799, Criterios!$A$123:$A$126, 0)), "División no válida", "")), IF(OR(K1799="", K1799=""), "[Aviso] Categoría no capturada ()", IF(ISNA(MATCH(K1799, Criterios!$A$81:$A$120, 0)), "Categoría no válida", IF(AND(J1799&lt;&gt;"", J1799&lt;&gt;"", J1799&lt;&gt;VLOOKUP(K1799, Criterios!$A$81:$B$120, 2, FALSE)), "División no coincide con Categoría", ""))), IF(OR(L1799="", L1799=""), "[Aviso] Género no capturado ()", IF(ISNA(MATCH(L1799, Criterios!$B$123:$B$127, 0)), "Género no válido", "")), IF(OR(N1799="", N1799=""), "[Aviso] Temporada no capturada ()", IF(ISNA(MATCH(N1799, Criterios!$C$123:$C$128, 0)), "Temporada no válida", "")), IF(OR(O1799="", O1799=""), "[Aviso] Ciclo de vida no capturado ()", IF(ISNA(MATCH(O1799, Criterios!$D$123:$D$124, 0)), "Ciclo de vida no válido", ""))))</f>
        <v/>
      </c>
      <c r="AC1799" s="56" t="n"/>
      <c r="AD1799" s="51" t="n">
        <v>-1</v>
      </c>
      <c r="AE1799" s="156" t="n"/>
      <c r="AF1799" s="51" t="n">
        <v>0</v>
      </c>
      <c r="AG1799" s="156" t="inlineStr">
        <is>
          <t>Catálogo existente</t>
        </is>
      </c>
      <c r="AH1799" s="156" t="inlineStr">
        <is>
          <t>Stock negativo en sistema: revisar en conteo</t>
        </is>
      </c>
      <c r="AI1799" s="156" t="inlineStr">
        <is>
          <t>Sí</t>
        </is>
      </c>
      <c r="AJ1799" s="156" t="inlineStr">
        <is>
          <t>STETSON AMERICAS (-1)</t>
        </is>
      </c>
      <c r="AK1799" s="155" t="inlineStr">
        <is>
          <t>Shopify Stetson: producto 15051554062699 / variante 53342124409195 | Odoo: producto 29777 / plantilla 38481</t>
        </is>
      </c>
      <c r="AL1799" s="58" t="n">
        <v>775.862069</v>
      </c>
      <c r="AM1799" s="58" t="n">
        <v>1724.137931</v>
      </c>
      <c r="AN1799" s="155" t="inlineStr">
        <is>
          <t>Shopify Stetson México | Odoo Universal Unique Brands</t>
        </is>
      </c>
      <c r="AO1799" s="59" t="n">
        <v>1</v>
      </c>
      <c r="AP1799" s="59" t="n"/>
      <c r="AQ1799" s="59" t="n">
        <v>2</v>
      </c>
      <c r="AR1799" s="155" t="inlineStr">
        <is>
          <t>Shopify Stetson México › Stetson Americas: 1 | Odoo Universal Unique Brands › Bodega 25 › Bodega 25/General: 2</t>
        </is>
      </c>
    </row>
    <row r="1800">
      <c r="A1800" s="50" t="inlineStr">
        <is>
          <t>884426634489</t>
        </is>
      </c>
      <c r="B1800" s="51" t="inlineStr">
        <is>
          <t>110537</t>
        </is>
      </c>
      <c r="C1800" s="156" t="inlineStr">
        <is>
          <t>Multimarca</t>
        </is>
      </c>
      <c r="D1800" s="156" t="inlineStr">
        <is>
          <t>11-004-1014-3000</t>
        </is>
      </c>
      <c r="E1800" s="156" t="inlineStr">
        <is>
          <t>11-004-1014-3000-36 36</t>
        </is>
      </c>
      <c r="F1800" s="156" t="inlineStr">
        <is>
          <t>36 x 36</t>
        </is>
      </c>
      <c r="G1800" s="156" t="inlineStr">
        <is>
          <t>36W / 36L</t>
        </is>
      </c>
      <c r="H1800" s="156" t="inlineStr">
        <is>
          <t>Stetson</t>
        </is>
      </c>
      <c r="I1800" s="156" t="inlineStr">
        <is>
          <t>Jean Lavado Oscuro con Bordado X Destrucción en Bolsa</t>
        </is>
      </c>
      <c r="J1800" s="156" t="inlineStr">
        <is>
          <t>Denim</t>
        </is>
      </c>
      <c r="K1800" s="156" t="inlineStr">
        <is>
          <t>Jeans</t>
        </is>
      </c>
      <c r="L1800" s="156" t="inlineStr">
        <is>
          <t>Hombre</t>
        </is>
      </c>
      <c r="M1800" s="156" t="inlineStr">
        <is>
          <t>Stetson</t>
        </is>
      </c>
      <c r="N1800" s="156" t="inlineStr">
        <is>
          <t>SS26</t>
        </is>
      </c>
      <c r="O1800" s="156" t="inlineStr">
        <is>
          <t>Seasonal</t>
        </is>
      </c>
      <c r="P1800" s="156" t="inlineStr">
        <is>
          <t>Azul</t>
        </is>
      </c>
      <c r="Q1800" s="156" t="inlineStr">
        <is>
          <t>Slim</t>
        </is>
      </c>
      <c r="R1800" s="156" t="inlineStr">
        <is>
          <t>Bootcut</t>
        </is>
      </c>
      <c r="S1800" s="156" t="inlineStr">
        <is>
          <t>100% Algodón</t>
        </is>
      </c>
      <c r="T1800" s="156" t="inlineStr">
        <is>
          <t>Jean Lavado Oscuro con Bordado X Destrucción en Bolsa Fitted</t>
        </is>
      </c>
      <c r="U1800" s="156" t="n"/>
      <c r="V1800" s="156" t="inlineStr">
        <is>
          <t>PZS</t>
        </is>
      </c>
      <c r="W1800" s="51" t="inlineStr">
        <is>
          <t>53101502</t>
        </is>
      </c>
      <c r="X1800" s="156" t="n"/>
      <c r="Y1800" s="54" t="n">
        <v>775.862069</v>
      </c>
      <c r="Z1800" s="54" t="n">
        <v>1724.137931</v>
      </c>
      <c r="AA1800" s="55">
        <f>IF(AND(A1800="", B1800="", E1800=""), "", IF(AB1800="", "Válido", IF((LEN(AB1800)-LEN(SUBSTITUTE(AB1800,"; ","")))/2+1&gt;(LEN(AB1800)-LEN(SUBSTITUTE(AB1800,"[Aviso]","")))/7, "Con Incidencias", "Válido")))</f>
        <v/>
      </c>
      <c r="AB1800" s="56">
        <f>IF(AND(A1800="", B1800="", E1800=""), "", TEXTJOIN("; ", TRUE, IF(OR(TRIM(A1800&amp;"")="", ISNUMBER(SEARCH("FALTA", A1800))), "UPC faltante/inválido", ""), IF(AND(A1800&lt;&gt;"", IFERROR(_xlfn.XMATCH(A1800,$A$2:$A$2509,0,1)&lt;&gt;_xlfn.XMATCH(A1800,$A$2:$A$2509,0,-1),FALSE)), "Código de barras duplicado", ""), IF(AND(E1800&lt;&gt;"", COUNTIF($E$2:$E$2509, E1800)&gt;1), "SKU duplicado", ""), IF(OR(J1800="", J1800=""), "[Aviso] División no capturada ()", IF(ISNA(MATCH(J1800, Criterios!$A$123:$A$126, 0)), "División no válida", "")), IF(OR(K1800="", K1800=""), "[Aviso] Categoría no capturada ()", IF(ISNA(MATCH(K1800, Criterios!$A$81:$A$120, 0)), "Categoría no válida", IF(AND(J1800&lt;&gt;"", J1800&lt;&gt;"", J1800&lt;&gt;VLOOKUP(K1800, Criterios!$A$81:$B$120, 2, FALSE)), "División no coincide con Categoría", ""))), IF(OR(L1800="", L1800=""), "[Aviso] Género no capturado ()", IF(ISNA(MATCH(L1800, Criterios!$B$123:$B$127, 0)), "Género no válido", "")), IF(OR(N1800="", N1800=""), "[Aviso] Temporada no capturada ()", IF(ISNA(MATCH(N1800, Criterios!$C$123:$C$128, 0)), "Temporada no válida", "")), IF(OR(O1800="", O1800=""), "[Aviso] Ciclo de vida no capturado ()", IF(ISNA(MATCH(O1800, Criterios!$D$123:$D$124, 0)), "Ciclo de vida no válido", ""))))</f>
        <v/>
      </c>
      <c r="AC1800" s="56" t="n"/>
      <c r="AD1800" s="51" t="n">
        <v>0</v>
      </c>
      <c r="AE1800" s="156" t="n"/>
      <c r="AF1800" s="51" t="n">
        <v>0</v>
      </c>
      <c r="AG1800" s="156" t="inlineStr">
        <is>
          <t>Catálogo existente</t>
        </is>
      </c>
      <c r="AH1800" s="156" t="n"/>
      <c r="AI1800" s="156" t="inlineStr">
        <is>
          <t>No</t>
        </is>
      </c>
      <c r="AJ1800" s="156" t="n"/>
      <c r="AK1800" s="155" t="inlineStr">
        <is>
          <t>Shopify Stetson: producto 15051554062699 / variante 53342124441963 | Odoo: producto 29778 / plantilla 38482</t>
        </is>
      </c>
      <c r="AL1800" s="58" t="n">
        <v>775.862069</v>
      </c>
      <c r="AM1800" s="58" t="n">
        <v>1724.137931</v>
      </c>
      <c r="AN1800" s="155" t="inlineStr">
        <is>
          <t>Shopify Stetson México | Odoo Universal Unique Brands</t>
        </is>
      </c>
      <c r="AO1800" s="59" t="n">
        <v>3</v>
      </c>
      <c r="AP1800" s="59" t="n"/>
      <c r="AQ1800" s="59" t="n">
        <v>3</v>
      </c>
      <c r="AR1800" s="155" t="inlineStr">
        <is>
          <t>Shopify Stetson México › Stetson Americas: 3 | Odoo Universal Unique Brands › Bodega 25 › Bodega 25/General: 3</t>
        </is>
      </c>
    </row>
    <row r="1801">
      <c r="A1801" s="50" t="inlineStr">
        <is>
          <t>884426634526</t>
        </is>
      </c>
      <c r="B1801" s="51" t="inlineStr">
        <is>
          <t>110538</t>
        </is>
      </c>
      <c r="C1801" s="156" t="inlineStr">
        <is>
          <t>Multimarca</t>
        </is>
      </c>
      <c r="D1801" s="156" t="inlineStr">
        <is>
          <t>11-004-1014-3000</t>
        </is>
      </c>
      <c r="E1801" s="156" t="inlineStr">
        <is>
          <t>11-004-1014-3000-38 32</t>
        </is>
      </c>
      <c r="F1801" s="156" t="inlineStr">
        <is>
          <t>38 x 32</t>
        </is>
      </c>
      <c r="G1801" s="156" t="inlineStr">
        <is>
          <t>38W / 32L</t>
        </is>
      </c>
      <c r="H1801" s="156" t="inlineStr">
        <is>
          <t>Stetson</t>
        </is>
      </c>
      <c r="I1801" s="156" t="inlineStr">
        <is>
          <t>Jean Lavado Oscuro con Bordado X Destrucción en Bolsa</t>
        </is>
      </c>
      <c r="J1801" s="156" t="inlineStr">
        <is>
          <t>Denim</t>
        </is>
      </c>
      <c r="K1801" s="156" t="inlineStr">
        <is>
          <t>Jeans</t>
        </is>
      </c>
      <c r="L1801" s="156" t="inlineStr">
        <is>
          <t>Hombre</t>
        </is>
      </c>
      <c r="M1801" s="156" t="inlineStr">
        <is>
          <t>Stetson</t>
        </is>
      </c>
      <c r="N1801" s="156" t="inlineStr">
        <is>
          <t>SS26</t>
        </is>
      </c>
      <c r="O1801" s="156" t="inlineStr">
        <is>
          <t>Seasonal</t>
        </is>
      </c>
      <c r="P1801" s="156" t="inlineStr">
        <is>
          <t>Azul</t>
        </is>
      </c>
      <c r="Q1801" s="156" t="inlineStr">
        <is>
          <t>Slim</t>
        </is>
      </c>
      <c r="R1801" s="156" t="inlineStr">
        <is>
          <t>Bootcut</t>
        </is>
      </c>
      <c r="S1801" s="156" t="inlineStr">
        <is>
          <t>100% Algodón</t>
        </is>
      </c>
      <c r="T1801" s="156" t="inlineStr">
        <is>
          <t>Jean Lavado Oscuro con Bordado X Destrucción en Bolsa Fitted</t>
        </is>
      </c>
      <c r="U1801" s="156" t="n"/>
      <c r="V1801" s="156" t="inlineStr">
        <is>
          <t>PZS</t>
        </is>
      </c>
      <c r="W1801" s="51" t="inlineStr">
        <is>
          <t>53101502</t>
        </is>
      </c>
      <c r="X1801" s="156" t="n"/>
      <c r="Y1801" s="54" t="n">
        <v>775.862069</v>
      </c>
      <c r="Z1801" s="54" t="n">
        <v>1724.137931</v>
      </c>
      <c r="AA1801" s="55">
        <f>IF(AND(A1801="", B1801="", E1801=""), "", IF(AB1801="", "Válido", IF((LEN(AB1801)-LEN(SUBSTITUTE(AB1801,"; ","")))/2+1&gt;(LEN(AB1801)-LEN(SUBSTITUTE(AB1801,"[Aviso]","")))/7, "Con Incidencias", "Válido")))</f>
        <v/>
      </c>
      <c r="AB1801" s="56">
        <f>IF(AND(A1801="", B1801="", E1801=""), "", TEXTJOIN("; ", TRUE, IF(OR(TRIM(A1801&amp;"")="", ISNUMBER(SEARCH("FALTA", A1801))), "UPC faltante/inválido", ""), IF(AND(A1801&lt;&gt;"", IFERROR(_xlfn.XMATCH(A1801,$A$2:$A$2509,0,1)&lt;&gt;_xlfn.XMATCH(A1801,$A$2:$A$2509,0,-1),FALSE)), "Código de barras duplicado", ""), IF(AND(E1801&lt;&gt;"", COUNTIF($E$2:$E$2509, E1801)&gt;1), "SKU duplicado", ""), IF(OR(J1801="", J1801=""), "[Aviso] División no capturada ()", IF(ISNA(MATCH(J1801, Criterios!$A$123:$A$126, 0)), "División no válida", "")), IF(OR(K1801="", K1801=""), "[Aviso] Categoría no capturada ()", IF(ISNA(MATCH(K1801, Criterios!$A$81:$A$120, 0)), "Categoría no válida", IF(AND(J1801&lt;&gt;"", J1801&lt;&gt;"", J1801&lt;&gt;VLOOKUP(K1801, Criterios!$A$81:$B$120, 2, FALSE)), "División no coincide con Categoría", ""))), IF(OR(L1801="", L1801=""), "[Aviso] Género no capturado ()", IF(ISNA(MATCH(L1801, Criterios!$B$123:$B$127, 0)), "Género no válido", "")), IF(OR(N1801="", N1801=""), "[Aviso] Temporada no capturada ()", IF(ISNA(MATCH(N1801, Criterios!$C$123:$C$128, 0)), "Temporada no válida", "")), IF(OR(O1801="", O1801=""), "[Aviso] Ciclo de vida no capturado ()", IF(ISNA(MATCH(O1801, Criterios!$D$123:$D$124, 0)), "Ciclo de vida no válido", ""))))</f>
        <v/>
      </c>
      <c r="AC1801" s="56" t="n"/>
      <c r="AD1801" s="51" t="n">
        <v>0</v>
      </c>
      <c r="AE1801" s="156" t="n"/>
      <c r="AF1801" s="51" t="n">
        <v>0</v>
      </c>
      <c r="AG1801" s="156" t="inlineStr">
        <is>
          <t>Catálogo existente</t>
        </is>
      </c>
      <c r="AH1801" s="156" t="n"/>
      <c r="AI1801" s="156" t="inlineStr">
        <is>
          <t>No</t>
        </is>
      </c>
      <c r="AJ1801" s="156" t="n"/>
      <c r="AK1801" s="155" t="inlineStr">
        <is>
          <t>Shopify Stetson: producto 15051554062699 / variante 53342124474731 | Odoo: producto 29779 / plantilla 38483</t>
        </is>
      </c>
      <c r="AL1801" s="58" t="n">
        <v>775.862069</v>
      </c>
      <c r="AM1801" s="58" t="n">
        <v>1724.137931</v>
      </c>
      <c r="AN1801" s="155" t="inlineStr">
        <is>
          <t>Shopify Stetson México | Odoo Universal Unique Brands</t>
        </is>
      </c>
      <c r="AO1801" s="59" t="n">
        <v>2</v>
      </c>
      <c r="AP1801" s="59" t="n"/>
      <c r="AQ1801" s="59" t="n">
        <v>2</v>
      </c>
      <c r="AR1801" s="155" t="inlineStr">
        <is>
          <t>Shopify Stetson México › Stetson Americas: 2 | Odoo Universal Unique Brands › Bodega 25 › Bodega 25/General: 2</t>
        </is>
      </c>
    </row>
    <row r="1802">
      <c r="A1802" s="50" t="inlineStr">
        <is>
          <t>884426634588</t>
        </is>
      </c>
      <c r="B1802" s="51" t="inlineStr">
        <is>
          <t>110539</t>
        </is>
      </c>
      <c r="C1802" s="156" t="inlineStr">
        <is>
          <t>Multimarca</t>
        </is>
      </c>
      <c r="D1802" s="156" t="inlineStr">
        <is>
          <t>11-004-1014-3000</t>
        </is>
      </c>
      <c r="E1802" s="156" t="inlineStr">
        <is>
          <t>11-004-1014-3000-40 32</t>
        </is>
      </c>
      <c r="F1802" s="156" t="inlineStr">
        <is>
          <t>40 x 32</t>
        </is>
      </c>
      <c r="G1802" s="156" t="inlineStr">
        <is>
          <t>40W / 32L</t>
        </is>
      </c>
      <c r="H1802" s="156" t="inlineStr">
        <is>
          <t>Stetson</t>
        </is>
      </c>
      <c r="I1802" s="156" t="inlineStr">
        <is>
          <t>Jean Lavado Oscuro con Bordado X Destrucción en Bolsa</t>
        </is>
      </c>
      <c r="J1802" s="156" t="inlineStr">
        <is>
          <t>Denim</t>
        </is>
      </c>
      <c r="K1802" s="156" t="inlineStr">
        <is>
          <t>Jeans</t>
        </is>
      </c>
      <c r="L1802" s="156" t="inlineStr">
        <is>
          <t>Hombre</t>
        </is>
      </c>
      <c r="M1802" s="156" t="inlineStr">
        <is>
          <t>Stetson</t>
        </is>
      </c>
      <c r="N1802" s="156" t="inlineStr">
        <is>
          <t>SS26</t>
        </is>
      </c>
      <c r="O1802" s="156" t="inlineStr">
        <is>
          <t>Seasonal</t>
        </is>
      </c>
      <c r="P1802" s="156" t="inlineStr">
        <is>
          <t>Azul</t>
        </is>
      </c>
      <c r="Q1802" s="156" t="inlineStr">
        <is>
          <t>Slim</t>
        </is>
      </c>
      <c r="R1802" s="156" t="inlineStr">
        <is>
          <t>Bootcut</t>
        </is>
      </c>
      <c r="S1802" s="156" t="inlineStr">
        <is>
          <t>100% Algodón</t>
        </is>
      </c>
      <c r="T1802" s="156" t="inlineStr">
        <is>
          <t>Jean Lavado Oscuro con Bordado X Destrucción en Bolsa Fitted</t>
        </is>
      </c>
      <c r="U1802" s="156" t="n"/>
      <c r="V1802" s="156" t="inlineStr">
        <is>
          <t>PZS</t>
        </is>
      </c>
      <c r="W1802" s="51" t="inlineStr">
        <is>
          <t>53101502</t>
        </is>
      </c>
      <c r="X1802" s="156" t="n"/>
      <c r="Y1802" s="54" t="n">
        <v>775.862069</v>
      </c>
      <c r="Z1802" s="54" t="n">
        <v>1724.137931</v>
      </c>
      <c r="AA1802" s="55">
        <f>IF(AND(A1802="", B1802="", E1802=""), "", IF(AB1802="", "Válido", IF((LEN(AB1802)-LEN(SUBSTITUTE(AB1802,"; ","")))/2+1&gt;(LEN(AB1802)-LEN(SUBSTITUTE(AB1802,"[Aviso]","")))/7, "Con Incidencias", "Válido")))</f>
        <v/>
      </c>
      <c r="AB1802" s="56">
        <f>IF(AND(A1802="", B1802="", E1802=""), "", TEXTJOIN("; ", TRUE, IF(OR(TRIM(A1802&amp;"")="", ISNUMBER(SEARCH("FALTA", A1802))), "UPC faltante/inválido", ""), IF(AND(A1802&lt;&gt;"", IFERROR(_xlfn.XMATCH(A1802,$A$2:$A$2509,0,1)&lt;&gt;_xlfn.XMATCH(A1802,$A$2:$A$2509,0,-1),FALSE)), "Código de barras duplicado", ""), IF(AND(E1802&lt;&gt;"", COUNTIF($E$2:$E$2509, E1802)&gt;1), "SKU duplicado", ""), IF(OR(J1802="", J1802=""), "[Aviso] División no capturada ()", IF(ISNA(MATCH(J1802, Criterios!$A$123:$A$126, 0)), "División no válida", "")), IF(OR(K1802="", K1802=""), "[Aviso] Categoría no capturada ()", IF(ISNA(MATCH(K1802, Criterios!$A$81:$A$120, 0)), "Categoría no válida", IF(AND(J1802&lt;&gt;"", J1802&lt;&gt;"", J1802&lt;&gt;VLOOKUP(K1802, Criterios!$A$81:$B$120, 2, FALSE)), "División no coincide con Categoría", ""))), IF(OR(L1802="", L1802=""), "[Aviso] Género no capturado ()", IF(ISNA(MATCH(L1802, Criterios!$B$123:$B$127, 0)), "Género no válido", "")), IF(OR(N1802="", N1802=""), "[Aviso] Temporada no capturada ()", IF(ISNA(MATCH(N1802, Criterios!$C$123:$C$128, 0)), "Temporada no válida", "")), IF(OR(O1802="", O1802=""), "[Aviso] Ciclo de vida no capturado ()", IF(ISNA(MATCH(O1802, Criterios!$D$123:$D$124, 0)), "Ciclo de vida no válido", ""))))</f>
        <v/>
      </c>
      <c r="AC1802" s="56" t="n"/>
      <c r="AD1802" s="51" t="n">
        <v>0</v>
      </c>
      <c r="AE1802" s="156" t="n"/>
      <c r="AF1802" s="51" t="n">
        <v>0</v>
      </c>
      <c r="AG1802" s="156" t="inlineStr">
        <is>
          <t>Catálogo existente</t>
        </is>
      </c>
      <c r="AH1802" s="156" t="n"/>
      <c r="AI1802" s="156" t="inlineStr">
        <is>
          <t>No</t>
        </is>
      </c>
      <c r="AJ1802" s="156" t="n"/>
      <c r="AK1802" s="155" t="inlineStr">
        <is>
          <t>Shopify Stetson: producto 15051554062699 / variante 53342124507499 | Odoo: producto 29780 / plantilla 38484</t>
        </is>
      </c>
      <c r="AL1802" s="58" t="n">
        <v>775.862069</v>
      </c>
      <c r="AM1802" s="58" t="n">
        <v>1724.137931</v>
      </c>
      <c r="AN1802" s="155" t="inlineStr">
        <is>
          <t>Shopify Stetson México | Odoo Universal Unique Brands</t>
        </is>
      </c>
      <c r="AO1802" s="59" t="n">
        <v>2</v>
      </c>
      <c r="AP1802" s="59" t="n"/>
      <c r="AQ1802" s="59" t="n">
        <v>2</v>
      </c>
      <c r="AR1802" s="155" t="inlineStr">
        <is>
          <t>Shopify Stetson México › Stetson Americas: 2 | Odoo Universal Unique Brands › Bodega 25 › Bodega 25/General: 2</t>
        </is>
      </c>
    </row>
    <row r="1803">
      <c r="A1803" s="50" t="inlineStr">
        <is>
          <t>035393527265</t>
        </is>
      </c>
      <c r="B1803" s="51" t="inlineStr">
        <is>
          <t>112100</t>
        </is>
      </c>
      <c r="C1803" s="156" t="inlineStr">
        <is>
          <t>Multimarca</t>
        </is>
      </c>
      <c r="D1803" s="156" t="inlineStr">
        <is>
          <t>1380342-NA-AL</t>
        </is>
      </c>
      <c r="E1803" s="156" t="inlineStr">
        <is>
          <t>1380342-NA-AL</t>
        </is>
      </c>
      <c r="F1803" s="156" t="inlineStr">
        <is>
          <t>Talla única</t>
        </is>
      </c>
      <c r="G1803" s="156" t="inlineStr">
        <is>
          <t>One Size</t>
        </is>
      </c>
      <c r="H1803" s="156" t="inlineStr">
        <is>
          <t>Stetson</t>
        </is>
      </c>
      <c r="I1803" s="156" t="inlineStr">
        <is>
          <t>Estuche para Sombreros Stetson</t>
        </is>
      </c>
      <c r="J1803" s="156" t="inlineStr">
        <is>
          <t>Accesorios</t>
        </is>
      </c>
      <c r="K1803" s="156" t="inlineStr">
        <is>
          <t>Estuches</t>
        </is>
      </c>
      <c r="L1803" s="156" t="inlineStr">
        <is>
          <t>Hombre</t>
        </is>
      </c>
      <c r="M1803" s="156" t="inlineStr">
        <is>
          <t>Stetson</t>
        </is>
      </c>
      <c r="N1803" s="156" t="inlineStr">
        <is>
          <t>SS26</t>
        </is>
      </c>
      <c r="O1803" s="156" t="inlineStr">
        <is>
          <t>Core</t>
        </is>
      </c>
      <c r="P1803" s="156" t="inlineStr">
        <is>
          <t>Negro</t>
        </is>
      </c>
      <c r="Q1803" s="156" t="n"/>
      <c r="R1803" s="156" t="n"/>
      <c r="S1803" s="156" t="inlineStr">
        <is>
          <t>Plastico</t>
        </is>
      </c>
      <c r="T1803" s="156" t="inlineStr">
        <is>
          <t>Protege tu inversión con el estuche oficial de Stetson. Diseñado para los amantes de los sombreros que viajan constantemente o que buscan el almacenamiento perfecto en casa, este estuche de uso rudo (heavy duty) garantiza que tu sombrero Stetson favorito mantenga su forma original, libre de polvo, humedad y deformaciones.
 Características clave:
 • Protección Superior: Estructura de alta resistencia diseñada para absorber impactos durante viajes en coche o avión.
 • Diseño a la Medida: Espacio optimizado para proteger tanto la copa como el ala de tu sombrero sin presionarlo.
 • Portabilidad Cómoda: Cuenta con un asa ergonómica resistente para transportarlo con facilidad.
 • Sello de Calidad: Logotipo oficial de la marca Stetson grabado en el exterior.
 Especificaciones Técnicas:
 • Medidas Exteriores: 47 cm de largo x 42 cm de ancho.</t>
        </is>
      </c>
      <c r="U1803" s="156" t="inlineStr">
        <is>
          <t>Estados Unidos</t>
        </is>
      </c>
      <c r="V1803" s="156" t="inlineStr">
        <is>
          <t>PZS</t>
        </is>
      </c>
      <c r="W1803" s="51" t="inlineStr">
        <is>
          <t>53121705</t>
        </is>
      </c>
      <c r="X1803" s="156" t="inlineStr">
        <is>
          <t>https://cdn.shopify.com/s/files/1/0888/3250/8267/files/1380342-na_na-1.webp?v=1782854535</t>
        </is>
      </c>
      <c r="Y1803" s="54" t="n">
        <v>756</v>
      </c>
      <c r="Z1803" s="54" t="n">
        <v>1551.724138</v>
      </c>
      <c r="AA1803" s="55">
        <f>IF(AND(A1803="", B1803="", E1803=""), "", IF(AB1803="", "Válido", IF((LEN(AB1803)-LEN(SUBSTITUTE(AB1803,"; ","")))/2+1&gt;(LEN(AB1803)-LEN(SUBSTITUTE(AB1803,"[Aviso]","")))/7, "Con Incidencias", "Válido")))</f>
        <v/>
      </c>
      <c r="AB1803" s="56">
        <f>IF(AND(A1803="", B1803="", E1803=""), "", TEXTJOIN("; ", TRUE, IF(OR(TRIM(A1803&amp;"")="", ISNUMBER(SEARCH("FALTA", A1803))), "UPC faltante/inválido", ""), IF(AND(A1803&lt;&gt;"", IFERROR(_xlfn.XMATCH(A1803,$A$2:$A$2509,0,1)&lt;&gt;_xlfn.XMATCH(A1803,$A$2:$A$2509,0,-1),FALSE)), "Código de barras duplicado", ""), IF(AND(E1803&lt;&gt;"", COUNTIF($E$2:$E$2509, E1803)&gt;1), "SKU duplicado", ""), IF(OR(J1803="", J1803=""), "[Aviso] División no capturada ()", IF(ISNA(MATCH(J1803, Criterios!$A$123:$A$126, 0)), "División no válida", "")), IF(OR(K1803="", K1803=""), "[Aviso] Categoría no capturada ()", IF(ISNA(MATCH(K1803, Criterios!$A$81:$A$120, 0)), "Categoría no válida", IF(AND(J1803&lt;&gt;"", J1803&lt;&gt;"", J1803&lt;&gt;VLOOKUP(K1803, Criterios!$A$81:$B$120, 2, FALSE)), "División no coincide con Categoría", ""))), IF(OR(L1803="", L1803=""), "[Aviso] Género no capturado ()", IF(ISNA(MATCH(L1803, Criterios!$B$123:$B$127, 0)), "Género no válido", "")), IF(OR(N1803="", N1803=""), "[Aviso] Temporada no capturada ()", IF(ISNA(MATCH(N1803, Criterios!$C$123:$C$128, 0)), "Temporada no válida", "")), IF(OR(O1803="", O1803=""), "[Aviso] Ciclo de vida no capturado ()", IF(ISNA(MATCH(O1803, Criterios!$D$123:$D$124, 0)), "Ciclo de vida no válido", ""))))</f>
        <v/>
      </c>
      <c r="AC1803" s="56" t="n"/>
      <c r="AD1803" s="51" t="n">
        <v>-9</v>
      </c>
      <c r="AE1803" s="156" t="n"/>
      <c r="AF1803" s="51" t="n">
        <v>0</v>
      </c>
      <c r="AG1803" s="156" t="inlineStr">
        <is>
          <t>Catálogo existente</t>
        </is>
      </c>
      <c r="AH1803" s="156" t="inlineStr">
        <is>
          <t>Stock negativo en sistema: revisar en conteo | Revisión 29/09/2026: Campos sin respaldo: P | 30/09/2026: código corregido a 035393527265 (se había perdido el 0 inicial); fuente NetSuite ID 112100 | 01/10/2026: complementado desde Shopify Stetson México (match por código de barras): WB Fit, WB Silueta | 01/10/2026: Shopify Stetson México trae Género «Unisex» — se conservó el valor de Productos | Homologación G1522 06/10/2026: WB Color: «» → «Negro» (Completado por investigación en línea) · Validación G1522: Dígito de control del código de barras inválido</t>
        </is>
      </c>
      <c r="AI1803" s="156" t="inlineStr">
        <is>
          <t>Sí</t>
        </is>
      </c>
      <c r="AJ1803" s="156" t="inlineStr">
        <is>
          <t>STETSON AMERICAS (-9)</t>
        </is>
      </c>
      <c r="AK1803" s="155" t="inlineStr">
        <is>
          <t>Criterios: I [Q] | Criterios: J [R] | Shopify Stetson: producto 15079456276843 / variante 53442543190379 | Investigación en línea 06/10/2026: https://www.stetson.com/products/stetson-branded-hat-case-na</t>
        </is>
      </c>
      <c r="AL1803" s="58" t="n">
        <v>756</v>
      </c>
      <c r="AM1803" s="58" t="n">
        <v>1551.724138</v>
      </c>
      <c r="AN1803" s="155" t="inlineStr">
        <is>
          <t>Shopify Stetson México</t>
        </is>
      </c>
      <c r="AO1803" s="59" t="n">
        <v>-2</v>
      </c>
      <c r="AP1803" s="59" t="n"/>
      <c r="AQ1803" s="59" t="n"/>
      <c r="AR1803" s="155" t="n"/>
    </row>
    <row r="1804">
      <c r="A1804" s="50" t="inlineStr">
        <is>
          <t>100000STH101</t>
        </is>
      </c>
      <c r="B1804" s="51" t="inlineStr">
        <is>
          <t>110231</t>
        </is>
      </c>
      <c r="C1804" s="156" t="inlineStr">
        <is>
          <t>Multimarca</t>
        </is>
      </c>
      <c r="D1804" s="156" t="inlineStr">
        <is>
          <t>ST-H101</t>
        </is>
      </c>
      <c r="E1804" s="156" t="inlineStr">
        <is>
          <t>ST-H101</t>
        </is>
      </c>
      <c r="F1804" s="156" t="inlineStr">
        <is>
          <t>Talla única</t>
        </is>
      </c>
      <c r="G1804" s="156" t="inlineStr">
        <is>
          <t>One Size</t>
        </is>
      </c>
      <c r="H1804" s="156" t="inlineStr">
        <is>
          <t>Stetson</t>
        </is>
      </c>
      <c r="I1804" s="156" t="inlineStr">
        <is>
          <t>Hebilla Bisonte Metal</t>
        </is>
      </c>
      <c r="J1804" s="156" t="inlineStr">
        <is>
          <t>Accesorios</t>
        </is>
      </c>
      <c r="K1804" s="156" t="inlineStr">
        <is>
          <t>Hebillas</t>
        </is>
      </c>
      <c r="L1804" s="156" t="inlineStr">
        <is>
          <t>Hombre</t>
        </is>
      </c>
      <c r="M1804" s="156" t="inlineStr">
        <is>
          <t>Stetson</t>
        </is>
      </c>
      <c r="N1804" s="156" t="inlineStr">
        <is>
          <t>SS26</t>
        </is>
      </c>
      <c r="O1804" s="156" t="inlineStr">
        <is>
          <t>Seasonal</t>
        </is>
      </c>
      <c r="P1804" s="156" t="inlineStr">
        <is>
          <t>Gris</t>
        </is>
      </c>
      <c r="Q1804" s="156" t="n"/>
      <c r="R1804" s="156" t="n"/>
      <c r="S1804" s="156" t="inlineStr">
        <is>
          <t>Cuero</t>
        </is>
      </c>
      <c r="T1804" s="156" t="inlineStr">
        <is>
          <t>Hebilla Stetson Bisonte – Metal Netak, Acabado Plata y Oro
 El espíritu del Viejo Oeste cobra vida con esta hebilla original Stetson. Forjada en resistente metal netak, combina tonos plata envejecida y detalles en dorado que resaltan la imponente figura del bisonte, símbolo de fuerza y libertad. Ideal para quienes valoran la tradición, la calidad y el estilo vaquero auténtico.
 Perfecta para cinturones de cuero y looks que no necesitan gritar para imponerse.</t>
        </is>
      </c>
      <c r="U1804" s="156" t="n"/>
      <c r="V1804" s="156" t="inlineStr">
        <is>
          <t>PZS</t>
        </is>
      </c>
      <c r="W1804" s="51" t="inlineStr">
        <is>
          <t>53102501</t>
        </is>
      </c>
      <c r="X1804" s="156" t="inlineStr">
        <is>
          <t>https://cdn.shopify.com/s/files/1/0888/3250/8267/files/ST-H101-01.jpg?v=1751494897</t>
        </is>
      </c>
      <c r="Y1804" s="54" t="n">
        <v>329.7413793</v>
      </c>
      <c r="Z1804" s="54" t="n">
        <v>732.7586207000001</v>
      </c>
      <c r="AA1804" s="55">
        <f>IF(AND(A1804="", B1804="", E1804=""), "", IF(AB1804="", "Válido", IF((LEN(AB1804)-LEN(SUBSTITUTE(AB1804,"; ","")))/2+1&gt;(LEN(AB1804)-LEN(SUBSTITUTE(AB1804,"[Aviso]","")))/7, "Con Incidencias", "Válido")))</f>
        <v/>
      </c>
      <c r="AB1804" s="56">
        <f>IF(AND(A1804="", B1804="", E1804=""), "", TEXTJOIN("; ", TRUE, IF(OR(TRIM(A1804&amp;"")="", ISNUMBER(SEARCH("FALTA", A1804))), "UPC faltante/inválido", ""), IF(AND(A1804&lt;&gt;"", IFERROR(_xlfn.XMATCH(A1804,$A$2:$A$2509,0,1)&lt;&gt;_xlfn.XMATCH(A1804,$A$2:$A$2509,0,-1),FALSE)), "Código de barras duplicado", ""), IF(AND(E1804&lt;&gt;"", COUNTIF($E$2:$E$2509, E1804)&gt;1), "SKU duplicado", ""), IF(OR(J1804="", J1804=""), "[Aviso] División no capturada ()", IF(ISNA(MATCH(J1804, Criterios!$A$123:$A$126, 0)), "División no válida", "")), IF(OR(K1804="", K1804=""), "[Aviso] Categoría no capturada ()", IF(ISNA(MATCH(K1804, Criterios!$A$81:$A$120, 0)), "Categoría no válida", IF(AND(J1804&lt;&gt;"", J1804&lt;&gt;"", J1804&lt;&gt;VLOOKUP(K1804, Criterios!$A$81:$B$120, 2, FALSE)), "División no coincide con Categoría", ""))), IF(OR(L1804="", L1804=""), "[Aviso] Género no capturado ()", IF(ISNA(MATCH(L1804, Criterios!$B$123:$B$127, 0)), "Género no válido", "")), IF(OR(N1804="", N1804=""), "[Aviso] Temporada no capturada ()", IF(ISNA(MATCH(N1804, Criterios!$C$123:$C$128, 0)), "Temporada no válida", "")), IF(OR(O1804="", O1804=""), "[Aviso] Ciclo de vida no capturado ()", IF(ISNA(MATCH(O1804, Criterios!$D$123:$D$124, 0)), "Ciclo de vida no válido", ""))))</f>
        <v/>
      </c>
      <c r="AC1804" s="56" t="n"/>
      <c r="AD1804" s="51" t="n">
        <v>-1</v>
      </c>
      <c r="AE1804" s="156" t="n"/>
      <c r="AF1804" s="51" t="n">
        <v>0</v>
      </c>
      <c r="AG1804" s="156" t="inlineStr">
        <is>
          <t>Catálogo existente</t>
        </is>
      </c>
      <c r="AH1804" s="156" t="inlineStr">
        <is>
          <t>Stock negativo en sistema: revisar en conteo | Revisión 29/09/2026: Campos sin respaldo: U; Auditoría NetSuite 30/09/2026: llenado desde NetSuite [S] | 01/10/2026: complementado desde Shopify Stetson México (match por SKU): WB Fit, WB Silueta | Homologación G1522 06/10/2026: Validación G1522: Código de barras con caracteres no numéricos</t>
        </is>
      </c>
      <c r="AI1804" s="156" t="inlineStr">
        <is>
          <t>Sí</t>
        </is>
      </c>
      <c r="AJ1804" s="156" t="inlineStr">
        <is>
          <t>STETSON AMERICAS (-1)</t>
        </is>
      </c>
      <c r="AK1804" s="155" t="inlineStr">
        <is>
          <t>Criterios: I [Q] | Criterios: J [R]; G1522_Extraccion_Articulos_NetSuite_2026-09-30.xlsx: fila 58046 [S] | Shopify Stetson: producto 14730268442987 / variante 52160269517163</t>
        </is>
      </c>
      <c r="AL1804" s="58" t="n">
        <v>329.7413793</v>
      </c>
      <c r="AM1804" s="58" t="n">
        <v>732.7586207000001</v>
      </c>
      <c r="AN1804" s="155" t="inlineStr">
        <is>
          <t>Shopify Stetson México</t>
        </is>
      </c>
      <c r="AO1804" s="59" t="n">
        <v>1</v>
      </c>
      <c r="AP1804" s="59" t="n"/>
      <c r="AQ1804" s="59" t="n"/>
      <c r="AR1804" s="155" t="inlineStr">
        <is>
          <t>Shopify Stetson México › Stetson Americas: 1</t>
        </is>
      </c>
    </row>
    <row r="1805">
      <c r="A1805" s="50" t="inlineStr">
        <is>
          <t>100000STH102</t>
        </is>
      </c>
      <c r="B1805" s="51" t="inlineStr">
        <is>
          <t>110232</t>
        </is>
      </c>
      <c r="C1805" s="156" t="inlineStr">
        <is>
          <t>Multimarca</t>
        </is>
      </c>
      <c r="D1805" s="156" t="inlineStr">
        <is>
          <t>ST-H102</t>
        </is>
      </c>
      <c r="E1805" s="156" t="inlineStr">
        <is>
          <t>ST-H102</t>
        </is>
      </c>
      <c r="F1805" s="156" t="inlineStr">
        <is>
          <t>Talla única</t>
        </is>
      </c>
      <c r="G1805" s="156" t="inlineStr">
        <is>
          <t>One Size</t>
        </is>
      </c>
      <c r="H1805" s="156" t="inlineStr">
        <is>
          <t>Stetson</t>
        </is>
      </c>
      <c r="I1805" s="156" t="inlineStr">
        <is>
          <t>Hebilla Pergaminos Diamantes Rojos Metal</t>
        </is>
      </c>
      <c r="J1805" s="156" t="inlineStr">
        <is>
          <t>Accesorios</t>
        </is>
      </c>
      <c r="K1805" s="156" t="inlineStr">
        <is>
          <t>Hebillas</t>
        </is>
      </c>
      <c r="L1805" s="156" t="inlineStr">
        <is>
          <t>Hombre</t>
        </is>
      </c>
      <c r="M1805" s="156" t="inlineStr">
        <is>
          <t>Stetson</t>
        </is>
      </c>
      <c r="N1805" s="156" t="inlineStr">
        <is>
          <t>SS26</t>
        </is>
      </c>
      <c r="O1805" s="156" t="inlineStr">
        <is>
          <t>Seasonal</t>
        </is>
      </c>
      <c r="P1805" s="156" t="inlineStr">
        <is>
          <t>Rojo</t>
        </is>
      </c>
      <c r="Q1805" s="156" t="n"/>
      <c r="R1805" s="156" t="n"/>
      <c r="S1805" s="156" t="n"/>
      <c r="T1805" s="156" t="inlineStr">
        <is>
          <t>Hebilla Stetson Pergaminos Diamantes Rojos – Estilo Clásico del Oeste Auténtica hebilla Stetson con diseño de pergaminos en relieve y detalles de diamante en color rojo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1805" s="156" t="n"/>
      <c r="V1805" s="156" t="inlineStr">
        <is>
          <t>PZS</t>
        </is>
      </c>
      <c r="W1805" s="51" t="inlineStr">
        <is>
          <t>53102501</t>
        </is>
      </c>
      <c r="X1805" s="156" t="inlineStr">
        <is>
          <t>https://cdn.shopify.com/s/files/1/0888/3250/8267/files/ST-H102-01.jpg?v=1751495488</t>
        </is>
      </c>
      <c r="Y1805" s="54" t="n">
        <v>329.7413793</v>
      </c>
      <c r="Z1805" s="54" t="n">
        <v>732.7586207000001</v>
      </c>
      <c r="AA1805" s="55">
        <f>IF(AND(A1805="", B1805="", E1805=""), "", IF(AB1805="", "Válido", IF((LEN(AB1805)-LEN(SUBSTITUTE(AB1805,"; ","")))/2+1&gt;(LEN(AB1805)-LEN(SUBSTITUTE(AB1805,"[Aviso]","")))/7, "Con Incidencias", "Válido")))</f>
        <v/>
      </c>
      <c r="AB1805" s="56">
        <f>IF(AND(A1805="", B1805="", E1805=""), "", TEXTJOIN("; ", TRUE, IF(OR(TRIM(A1805&amp;"")="", ISNUMBER(SEARCH("FALTA", A1805))), "UPC faltante/inválido", ""), IF(AND(A1805&lt;&gt;"", IFERROR(_xlfn.XMATCH(A1805,$A$2:$A$2509,0,1)&lt;&gt;_xlfn.XMATCH(A1805,$A$2:$A$2509,0,-1),FALSE)), "Código de barras duplicado", ""), IF(AND(E1805&lt;&gt;"", COUNTIF($E$2:$E$2509, E1805)&gt;1), "SKU duplicado", ""), IF(OR(J1805="", J1805=""), "[Aviso] División no capturada ()", IF(ISNA(MATCH(J1805, Criterios!$A$123:$A$126, 0)), "División no válida", "")), IF(OR(K1805="", K1805=""), "[Aviso] Categoría no capturada ()", IF(ISNA(MATCH(K1805, Criterios!$A$81:$A$120, 0)), "Categoría no válida", IF(AND(J1805&lt;&gt;"", J1805&lt;&gt;"", J1805&lt;&gt;VLOOKUP(K1805, Criterios!$A$81:$B$120, 2, FALSE)), "División no coincide con Categoría", ""))), IF(OR(L1805="", L1805=""), "[Aviso] Género no capturado ()", IF(ISNA(MATCH(L1805, Criterios!$B$123:$B$127, 0)), "Género no válido", "")), IF(OR(N1805="", N1805=""), "[Aviso] Temporada no capturada ()", IF(ISNA(MATCH(N1805, Criterios!$C$123:$C$128, 0)), "Temporada no válida", "")), IF(OR(O1805="", O1805=""), "[Aviso] Ciclo de vida no capturado ()", IF(ISNA(MATCH(O1805, Criterios!$D$123:$D$124, 0)), "Ciclo de vida no válido", ""))))</f>
        <v/>
      </c>
      <c r="AC1805" s="56" t="n"/>
      <c r="AD1805" s="51" t="n">
        <v>-1</v>
      </c>
      <c r="AE1805" s="156" t="n"/>
      <c r="AF1805" s="51" t="n">
        <v>0</v>
      </c>
      <c r="AG1805" s="156" t="inlineStr">
        <is>
          <t>Catálogo existente</t>
        </is>
      </c>
      <c r="AH1805"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1805" s="156" t="inlineStr">
        <is>
          <t>Sí</t>
        </is>
      </c>
      <c r="AJ1805" s="156" t="inlineStr">
        <is>
          <t>STETSON AMERICAS (-1)</t>
        </is>
      </c>
      <c r="AK1805" s="155" t="inlineStr">
        <is>
          <t>Criterios: I [Q] | Criterios: J [R]; G1522_Extraccion_Articulos_NetSuite_2026-09-30.xlsx: fila 58047 [T] | Shopify Stetson: producto 14730269229419 / variante 52160282198379</t>
        </is>
      </c>
      <c r="AL1805" s="58" t="n">
        <v>329.7413793</v>
      </c>
      <c r="AM1805" s="58" t="n">
        <v>732.7586207000001</v>
      </c>
      <c r="AN1805" s="155" t="inlineStr">
        <is>
          <t>Shopify Stetson México</t>
        </is>
      </c>
      <c r="AO1805" s="59" t="n">
        <v>0</v>
      </c>
      <c r="AP1805" s="59" t="n"/>
      <c r="AQ1805" s="59" t="n"/>
      <c r="AR1805" s="155" t="n"/>
    </row>
    <row r="1806">
      <c r="A1806" s="50" t="inlineStr">
        <is>
          <t>100000STH103</t>
        </is>
      </c>
      <c r="B1806" s="51" t="inlineStr">
        <is>
          <t>110233</t>
        </is>
      </c>
      <c r="C1806" s="156" t="inlineStr">
        <is>
          <t>Multimarca</t>
        </is>
      </c>
      <c r="D1806" s="156" t="inlineStr">
        <is>
          <t>ST-H103</t>
        </is>
      </c>
      <c r="E1806" s="156" t="inlineStr">
        <is>
          <t>ST-H103</t>
        </is>
      </c>
      <c r="F1806" s="156" t="inlineStr">
        <is>
          <t>Talla única</t>
        </is>
      </c>
      <c r="G1806" s="156" t="inlineStr">
        <is>
          <t>One Size</t>
        </is>
      </c>
      <c r="H1806" s="156" t="inlineStr">
        <is>
          <t>Stetson</t>
        </is>
      </c>
      <c r="I1806" s="156" t="inlineStr">
        <is>
          <t>Hebilla Caballo Metal</t>
        </is>
      </c>
      <c r="J1806" s="156" t="inlineStr">
        <is>
          <t>Accesorios</t>
        </is>
      </c>
      <c r="K1806" s="156" t="inlineStr">
        <is>
          <t>Hebillas</t>
        </is>
      </c>
      <c r="L1806" s="156" t="inlineStr">
        <is>
          <t>Hombre</t>
        </is>
      </c>
      <c r="M1806" s="156" t="inlineStr">
        <is>
          <t>Stetson</t>
        </is>
      </c>
      <c r="N1806" s="156" t="inlineStr">
        <is>
          <t>SS26</t>
        </is>
      </c>
      <c r="O1806" s="156" t="inlineStr">
        <is>
          <t>Seasonal</t>
        </is>
      </c>
      <c r="P1806" s="156" t="inlineStr">
        <is>
          <t>Gris</t>
        </is>
      </c>
      <c r="Q1806" s="156" t="n"/>
      <c r="R1806" s="156" t="n"/>
      <c r="S1806" s="156" t="n"/>
      <c r="T1806" s="156" t="inlineStr">
        <is>
          <t>Hebilla Stetson Caballo Rojo – Estilo Clásico del Oeste El espíritu del Viejo Oeste cobra vida con esta hebilla original Stetson. Forjada en resistente metal, combina tonos plata envejecida y detalles en dorado que resaltan la imponente figura del Caballo. Ideal para quienes valoran la tradición, la calidad y el estilo vaquero auténtico. Detalles en color rojo intenso, resaltan cada detalle ornamental. Un accesorio con carácter que rinde homenaje al estilo tradicional del cowboy americano. Ideal para quienes viven con orgullo sus raíces y saben que el estilo empieza por los detalles.</t>
        </is>
      </c>
      <c r="U1806" s="156" t="n"/>
      <c r="V1806" s="156" t="inlineStr">
        <is>
          <t>PZS</t>
        </is>
      </c>
      <c r="W1806" s="51" t="inlineStr">
        <is>
          <t>53102501</t>
        </is>
      </c>
      <c r="X1806" s="156" t="inlineStr">
        <is>
          <t>https://cdn.shopify.com/s/files/1/0888/3250/8267/files/ST-H103-01.jpg?v=1751495737</t>
        </is>
      </c>
      <c r="Y1806" s="54" t="n">
        <v>329.7413793</v>
      </c>
      <c r="Z1806" s="54" t="n">
        <v>732.7586207000001</v>
      </c>
      <c r="AA1806" s="55">
        <f>IF(AND(A1806="", B1806="", E1806=""), "", IF(AB1806="", "Válido", IF((LEN(AB1806)-LEN(SUBSTITUTE(AB1806,"; ","")))/2+1&gt;(LEN(AB1806)-LEN(SUBSTITUTE(AB1806,"[Aviso]","")))/7, "Con Incidencias", "Válido")))</f>
        <v/>
      </c>
      <c r="AB1806" s="56">
        <f>IF(AND(A1806="", B1806="", E1806=""), "", TEXTJOIN("; ", TRUE, IF(OR(TRIM(A1806&amp;"")="", ISNUMBER(SEARCH("FALTA", A1806))), "UPC faltante/inválido", ""), IF(AND(A1806&lt;&gt;"", IFERROR(_xlfn.XMATCH(A1806,$A$2:$A$2509,0,1)&lt;&gt;_xlfn.XMATCH(A1806,$A$2:$A$2509,0,-1),FALSE)), "Código de barras duplicado", ""), IF(AND(E1806&lt;&gt;"", COUNTIF($E$2:$E$2509, E1806)&gt;1), "SKU duplicado", ""), IF(OR(J1806="", J1806=""), "[Aviso] División no capturada ()", IF(ISNA(MATCH(J1806, Criterios!$A$123:$A$126, 0)), "División no válida", "")), IF(OR(K1806="", K1806=""), "[Aviso] Categoría no capturada ()", IF(ISNA(MATCH(K1806, Criterios!$A$81:$A$120, 0)), "Categoría no válida", IF(AND(J1806&lt;&gt;"", J1806&lt;&gt;"", J1806&lt;&gt;VLOOKUP(K1806, Criterios!$A$81:$B$120, 2, FALSE)), "División no coincide con Categoría", ""))), IF(OR(L1806="", L1806=""), "[Aviso] Género no capturado ()", IF(ISNA(MATCH(L1806, Criterios!$B$123:$B$127, 0)), "Género no válido", "")), IF(OR(N1806="", N1806=""), "[Aviso] Temporada no capturada ()", IF(ISNA(MATCH(N1806, Criterios!$C$123:$C$128, 0)), "Temporada no válida", "")), IF(OR(O1806="", O1806=""), "[Aviso] Ciclo de vida no capturado ()", IF(ISNA(MATCH(O1806, Criterios!$D$123:$D$124, 0)), "Ciclo de vida no válido", ""))))</f>
        <v/>
      </c>
      <c r="AC1806" s="56" t="n"/>
      <c r="AD1806" s="51" t="n">
        <v>-3</v>
      </c>
      <c r="AE1806" s="156" t="n"/>
      <c r="AF1806" s="51" t="n">
        <v>0</v>
      </c>
      <c r="AG1806" s="156" t="inlineStr">
        <is>
          <t>Catálogo existente</t>
        </is>
      </c>
      <c r="AH1806"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1806" s="156" t="inlineStr">
        <is>
          <t>Sí</t>
        </is>
      </c>
      <c r="AJ1806" s="156" t="inlineStr">
        <is>
          <t>STETSON AMERICAS (-3)</t>
        </is>
      </c>
      <c r="AK1806" s="155" t="inlineStr">
        <is>
          <t>Criterios: I [Q] | Criterios: J [R]; G1522_Extraccion_Articulos_NetSuite_2026-09-30.xlsx: fila 58048 [T] | Shopify Stetson: producto 14730271326571 / variante 52160297697643</t>
        </is>
      </c>
      <c r="AL1806" s="58" t="n">
        <v>329.7413793</v>
      </c>
      <c r="AM1806" s="58" t="n">
        <v>732.7586207000001</v>
      </c>
      <c r="AN1806" s="155" t="inlineStr">
        <is>
          <t>Shopify Stetson México</t>
        </is>
      </c>
      <c r="AO1806" s="59" t="n">
        <v>0</v>
      </c>
      <c r="AP1806" s="59" t="n"/>
      <c r="AQ1806" s="59" t="n"/>
      <c r="AR1806" s="155" t="n"/>
    </row>
    <row r="1807">
      <c r="A1807" s="50" t="inlineStr">
        <is>
          <t>100000STH104</t>
        </is>
      </c>
      <c r="B1807" s="51" t="inlineStr">
        <is>
          <t>110234</t>
        </is>
      </c>
      <c r="C1807" s="156" t="inlineStr">
        <is>
          <t>Multimarca</t>
        </is>
      </c>
      <c r="D1807" s="156" t="inlineStr">
        <is>
          <t>ST-H104</t>
        </is>
      </c>
      <c r="E1807" s="156" t="inlineStr">
        <is>
          <t>ST-H104</t>
        </is>
      </c>
      <c r="F1807" s="156" t="inlineStr">
        <is>
          <t>Talla única</t>
        </is>
      </c>
      <c r="G1807" s="156" t="inlineStr">
        <is>
          <t>One Size</t>
        </is>
      </c>
      <c r="H1807" s="156" t="inlineStr">
        <is>
          <t>Stetson</t>
        </is>
      </c>
      <c r="I1807" s="156" t="inlineStr">
        <is>
          <t>Hebilla Caballo Cruz Metal</t>
        </is>
      </c>
      <c r="J1807" s="156" t="inlineStr">
        <is>
          <t>Accesorios</t>
        </is>
      </c>
      <c r="K1807" s="156" t="inlineStr">
        <is>
          <t>Hebillas</t>
        </is>
      </c>
      <c r="L1807" s="156" t="inlineStr">
        <is>
          <t>Hombre</t>
        </is>
      </c>
      <c r="M1807" s="156" t="inlineStr">
        <is>
          <t>Stetson</t>
        </is>
      </c>
      <c r="N1807" s="156" t="inlineStr">
        <is>
          <t>SS26</t>
        </is>
      </c>
      <c r="O1807" s="156" t="inlineStr">
        <is>
          <t>Seasonal</t>
        </is>
      </c>
      <c r="P1807" s="156" t="inlineStr">
        <is>
          <t>Gris</t>
        </is>
      </c>
      <c r="Q1807" s="156" t="n"/>
      <c r="R1807" s="156" t="n"/>
      <c r="S1807" s="156" t="inlineStr">
        <is>
          <t>Cuero</t>
        </is>
      </c>
      <c r="T1807" s="156" t="inlineStr">
        <is>
          <t>Hebilla Stetson Caballo Cruz – Metal, Acabado Plata y Oro
 El espíritu del Viejo Oeste cobra vida con esta hebilla original Stetson. Forjada en resistente metal, combina tonos plata envejecida y detalles en dorado que resaltan la imponente figura del Caballo y la cruz. Ideal para quienes valoran la tradición, la calidad y el estilo vaquero auténtico.
 Perfecta para cinturones de cuero y looks que no necesitan gritar para imponerse.</t>
        </is>
      </c>
      <c r="U1807" s="156" t="n"/>
      <c r="V1807" s="156" t="inlineStr">
        <is>
          <t>PZS</t>
        </is>
      </c>
      <c r="W1807" s="51" t="inlineStr">
        <is>
          <t>53102501</t>
        </is>
      </c>
      <c r="X1807" s="156" t="inlineStr">
        <is>
          <t>https://cdn.shopify.com/s/files/1/0888/3250/8267/files/ST-H104-01.jpg?v=1751992975</t>
        </is>
      </c>
      <c r="Y1807" s="54" t="n">
        <v>329.7413793</v>
      </c>
      <c r="Z1807" s="54" t="n">
        <v>732.7586207000001</v>
      </c>
      <c r="AA1807" s="55">
        <f>IF(AND(A1807="", B1807="", E1807=""), "", IF(AB1807="", "Válido", IF((LEN(AB1807)-LEN(SUBSTITUTE(AB1807,"; ","")))/2+1&gt;(LEN(AB1807)-LEN(SUBSTITUTE(AB1807,"[Aviso]","")))/7, "Con Incidencias", "Válido")))</f>
        <v/>
      </c>
      <c r="AB1807" s="56">
        <f>IF(AND(A1807="", B1807="", E1807=""), "", TEXTJOIN("; ", TRUE, IF(OR(TRIM(A1807&amp;"")="", ISNUMBER(SEARCH("FALTA", A1807))), "UPC faltante/inválido", ""), IF(AND(A1807&lt;&gt;"", IFERROR(_xlfn.XMATCH(A1807,$A$2:$A$2509,0,1)&lt;&gt;_xlfn.XMATCH(A1807,$A$2:$A$2509,0,-1),FALSE)), "Código de barras duplicado", ""), IF(AND(E1807&lt;&gt;"", COUNTIF($E$2:$E$2509, E1807)&gt;1), "SKU duplicado", ""), IF(OR(J1807="", J1807=""), "[Aviso] División no capturada ()", IF(ISNA(MATCH(J1807, Criterios!$A$123:$A$126, 0)), "División no válida", "")), IF(OR(K1807="", K1807=""), "[Aviso] Categoría no capturada ()", IF(ISNA(MATCH(K1807, Criterios!$A$81:$A$120, 0)), "Categoría no válida", IF(AND(J1807&lt;&gt;"", J1807&lt;&gt;"", J1807&lt;&gt;VLOOKUP(K1807, Criterios!$A$81:$B$120, 2, FALSE)), "División no coincide con Categoría", ""))), IF(OR(L1807="", L1807=""), "[Aviso] Género no capturado ()", IF(ISNA(MATCH(L1807, Criterios!$B$123:$B$127, 0)), "Género no válido", "")), IF(OR(N1807="", N1807=""), "[Aviso] Temporada no capturada ()", IF(ISNA(MATCH(N1807, Criterios!$C$123:$C$128, 0)), "Temporada no válida", "")), IF(OR(O1807="", O1807=""), "[Aviso] Ciclo de vida no capturado ()", IF(ISNA(MATCH(O1807, Criterios!$D$123:$D$124, 0)), "Ciclo de vida no válido", ""))))</f>
        <v/>
      </c>
      <c r="AC1807" s="56" t="n"/>
      <c r="AD1807" s="51" t="n">
        <v>0</v>
      </c>
      <c r="AE1807" s="156" t="n"/>
      <c r="AF1807" s="51" t="n">
        <v>0</v>
      </c>
      <c r="AG1807" s="156" t="inlineStr">
        <is>
          <t>Catálogo existente</t>
        </is>
      </c>
      <c r="AH1807" s="156" t="inlineStr">
        <is>
          <t>Revisión 29/09/2026: Campos sin respaldo: U; Auditoría NetSuite 30/09/2026: llenado desde NetSuite [S] | 01/10/2026: complementado desde Shopify Stetson México (match por SKU): WB Fit, WB Silueta | Homologación G1522 06/10/2026: Validación G1522: Código de barras con caracteres no numéricos</t>
        </is>
      </c>
      <c r="AI1807" s="156" t="inlineStr">
        <is>
          <t>No</t>
        </is>
      </c>
      <c r="AJ1807" s="156" t="n"/>
      <c r="AK1807" s="155" t="inlineStr">
        <is>
          <t>Criterios: I [Q] | Criterios: J [R]; G1522_Extraccion_Articulos_NetSuite_2026-09-30.xlsx: fila 58049 [S] | Shopify Stetson: producto 14733518012779 / variante 52179780239723</t>
        </is>
      </c>
      <c r="AL1807" s="58" t="n">
        <v>329.7413793</v>
      </c>
      <c r="AM1807" s="58" t="n">
        <v>732.7586207000001</v>
      </c>
      <c r="AN1807" s="155" t="inlineStr">
        <is>
          <t>Shopify Stetson México</t>
        </is>
      </c>
      <c r="AO1807" s="59" t="n">
        <v>1</v>
      </c>
      <c r="AP1807" s="59" t="n"/>
      <c r="AQ1807" s="59" t="n"/>
      <c r="AR1807" s="155" t="inlineStr">
        <is>
          <t>Shopify Stetson México › Stetson Americas: 1</t>
        </is>
      </c>
    </row>
    <row r="1808">
      <c r="A1808" s="50" t="inlineStr">
        <is>
          <t>100000STH105</t>
        </is>
      </c>
      <c r="B1808" s="51" t="inlineStr">
        <is>
          <t>110235</t>
        </is>
      </c>
      <c r="C1808" s="156" t="inlineStr">
        <is>
          <t>Multimarca</t>
        </is>
      </c>
      <c r="D1808" s="156" t="inlineStr">
        <is>
          <t>ST-H105</t>
        </is>
      </c>
      <c r="E1808" s="156" t="inlineStr">
        <is>
          <t>ST-H105</t>
        </is>
      </c>
      <c r="F1808" s="156" t="inlineStr">
        <is>
          <t>Talla única</t>
        </is>
      </c>
      <c r="G1808" s="156" t="inlineStr">
        <is>
          <t>One Size</t>
        </is>
      </c>
      <c r="H1808" s="156" t="inlineStr">
        <is>
          <t>Stetson</t>
        </is>
      </c>
      <c r="I1808" s="156" t="inlineStr">
        <is>
          <t>Hebilla Indio Cactus Metal</t>
        </is>
      </c>
      <c r="J1808" s="156" t="inlineStr">
        <is>
          <t>Accesorios</t>
        </is>
      </c>
      <c r="K1808" s="156" t="inlineStr">
        <is>
          <t>Hebillas</t>
        </is>
      </c>
      <c r="L1808" s="156" t="inlineStr">
        <is>
          <t>Hombre</t>
        </is>
      </c>
      <c r="M1808" s="156" t="inlineStr">
        <is>
          <t>Stetson</t>
        </is>
      </c>
      <c r="N1808" s="156" t="inlineStr">
        <is>
          <t>SS26</t>
        </is>
      </c>
      <c r="O1808" s="156" t="inlineStr">
        <is>
          <t>Seasonal</t>
        </is>
      </c>
      <c r="P1808" s="156" t="inlineStr">
        <is>
          <t>Gris</t>
        </is>
      </c>
      <c r="Q1808" s="156" t="n"/>
      <c r="R1808" s="156" t="n"/>
      <c r="S1808" s="156" t="inlineStr">
        <is>
          <t>Metal</t>
        </is>
      </c>
      <c r="T1808" s="156" t="inlineStr">
        <is>
          <t>Hebilla Stetson Indio Cactus – Metal, Acabado Plata y Oro
 El espíritu del Viejo Oeste cobra vida con esta hebilla original Stetson. Forjada en resistente metal, combina tonos plata envejecida y detalles en dorado que resaltan la imponente figura del Indio y los cactus. Ideal para quienes valoran la tradición, la calidad y el estilo vaquero auténtico.
 Perfecta para cinturones de cuero y looks que no necesitan gritar para imponerse.</t>
        </is>
      </c>
      <c r="U1808" s="156" t="n"/>
      <c r="V1808" s="156" t="inlineStr">
        <is>
          <t>PZS</t>
        </is>
      </c>
      <c r="W1808" s="51" t="inlineStr">
        <is>
          <t>53102501</t>
        </is>
      </c>
      <c r="X1808" s="156" t="inlineStr">
        <is>
          <t>https://cdn.shopify.com/s/files/1/0888/3250/8267/files/ST-H105-01.jpg?v=1751993885</t>
        </is>
      </c>
      <c r="Y1808" s="54" t="n">
        <v>329.7413793</v>
      </c>
      <c r="Z1808" s="54" t="n">
        <v>732.7586207000001</v>
      </c>
      <c r="AA1808" s="55">
        <f>IF(AND(A1808="", B1808="", E1808=""), "", IF(AB1808="", "Válido", IF((LEN(AB1808)-LEN(SUBSTITUTE(AB1808,"; ","")))/2+1&gt;(LEN(AB1808)-LEN(SUBSTITUTE(AB1808,"[Aviso]","")))/7, "Con Incidencias", "Válido")))</f>
        <v/>
      </c>
      <c r="AB1808" s="56">
        <f>IF(AND(A1808="", B1808="", E1808=""), "", TEXTJOIN("; ", TRUE, IF(OR(TRIM(A1808&amp;"")="", ISNUMBER(SEARCH("FALTA", A1808))), "UPC faltante/inválido", ""), IF(AND(A1808&lt;&gt;"", IFERROR(_xlfn.XMATCH(A1808,$A$2:$A$2509,0,1)&lt;&gt;_xlfn.XMATCH(A1808,$A$2:$A$2509,0,-1),FALSE)), "Código de barras duplicado", ""), IF(AND(E1808&lt;&gt;"", COUNTIF($E$2:$E$2509, E1808)&gt;1), "SKU duplicado", ""), IF(OR(J1808="", J1808=""), "[Aviso] División no capturada ()", IF(ISNA(MATCH(J1808, Criterios!$A$123:$A$126, 0)), "División no válida", "")), IF(OR(K1808="", K1808=""), "[Aviso] Categoría no capturada ()", IF(ISNA(MATCH(K1808, Criterios!$A$81:$A$120, 0)), "Categoría no válida", IF(AND(J1808&lt;&gt;"", J1808&lt;&gt;"", J1808&lt;&gt;VLOOKUP(K1808, Criterios!$A$81:$B$120, 2, FALSE)), "División no coincide con Categoría", ""))), IF(OR(L1808="", L1808=""), "[Aviso] Género no capturado ()", IF(ISNA(MATCH(L1808, Criterios!$B$123:$B$127, 0)), "Género no válido", "")), IF(OR(N1808="", N1808=""), "[Aviso] Temporada no capturada ()", IF(ISNA(MATCH(N1808, Criterios!$C$123:$C$128, 0)), "Temporada no válida", "")), IF(OR(O1808="", O1808=""), "[Aviso] Ciclo de vida no capturado ()", IF(ISNA(MATCH(O1808, Criterios!$D$123:$D$124, 0)), "Ciclo de vida no válido", ""))))</f>
        <v/>
      </c>
      <c r="AC1808" s="56" t="n"/>
      <c r="AD1808" s="51" t="n">
        <v>-5</v>
      </c>
      <c r="AE1808" s="156" t="n"/>
      <c r="AF1808" s="51" t="n">
        <v>0</v>
      </c>
      <c r="AG1808" s="156" t="inlineStr">
        <is>
          <t>Catálogo existente</t>
        </is>
      </c>
      <c r="AH1808" s="156" t="inlineStr">
        <is>
          <t>Stock negativo en sistema: revisar en conteo | Revisión 29/09/2026: Campos sin respaldo: U | Consolidado 30/09/2026 con 1 registro(s) duplicado(s) (ver hoja «Consolidación Duplicados»). Completado desde duplicado: WB Composición. Valores alternos del duplicado (dos): Marca principal: Stetson | WB Descripcion: Hebilla Stetson Indio Cactus | WB Género: Unisex | WB Color: Varios | WB Silueta: Hebilla para cinturón | WB Descripción larga: Hebilla Stetson Indio Cactus; hebilla para cinturón; metal. | 01/10/2026: complementado desde Shopify Stetson México (match por SKU): WB Fit, WB Silueta | Homologación G1522 06/10/2026: Validación G1522: Código de barras con caracteres no numéricos</t>
        </is>
      </c>
      <c r="AI1808" s="156" t="inlineStr">
        <is>
          <t>Sí</t>
        </is>
      </c>
      <c r="AJ1808" s="156" t="inlineStr">
        <is>
          <t>STETSON AMERICAS (-5)</t>
        </is>
      </c>
      <c r="AK1808" s="155" t="inlineStr">
        <is>
          <t>Criterios: I [Q] | Criterios: J [R] | Shopify Stetson: producto 14733522043243 / variante 52179795378539</t>
        </is>
      </c>
      <c r="AL1808" s="58" t="n">
        <v>329.7413793</v>
      </c>
      <c r="AM1808" s="58" t="n">
        <v>732.7586207000001</v>
      </c>
      <c r="AN1808" s="155" t="inlineStr">
        <is>
          <t>Shopify Stetson México</t>
        </is>
      </c>
      <c r="AO1808" s="59" t="n">
        <v>16</v>
      </c>
      <c r="AP1808" s="59" t="n"/>
      <c r="AQ1808" s="59" t="n"/>
      <c r="AR1808" s="155" t="inlineStr">
        <is>
          <t>Shopify Stetson México › Stetson Americas: 16</t>
        </is>
      </c>
    </row>
    <row r="1809">
      <c r="A1809" s="50" t="inlineStr">
        <is>
          <t>100000STH114</t>
        </is>
      </c>
      <c r="B1809" s="51" t="inlineStr">
        <is>
          <t>110238</t>
        </is>
      </c>
      <c r="C1809" s="156" t="inlineStr">
        <is>
          <t>Multimarca</t>
        </is>
      </c>
      <c r="D1809" s="156" t="inlineStr">
        <is>
          <t>ST-H114</t>
        </is>
      </c>
      <c r="E1809" s="156" t="inlineStr">
        <is>
          <t>ST-H114</t>
        </is>
      </c>
      <c r="F1809" s="156" t="inlineStr">
        <is>
          <t>Talla única</t>
        </is>
      </c>
      <c r="G1809" s="156" t="inlineStr">
        <is>
          <t>One Size</t>
        </is>
      </c>
      <c r="H1809" s="156" t="inlineStr">
        <is>
          <t>Stetson</t>
        </is>
      </c>
      <c r="I1809" s="156" t="inlineStr">
        <is>
          <t>Hebilla Toro Cactus Metal</t>
        </is>
      </c>
      <c r="J1809" s="156" t="inlineStr">
        <is>
          <t>Accesorios</t>
        </is>
      </c>
      <c r="K1809" s="156" t="inlineStr">
        <is>
          <t>Hebillas</t>
        </is>
      </c>
      <c r="L1809" s="156" t="inlineStr">
        <is>
          <t>Hombre</t>
        </is>
      </c>
      <c r="M1809" s="156" t="inlineStr">
        <is>
          <t>Stetson</t>
        </is>
      </c>
      <c r="N1809" s="156" t="inlineStr">
        <is>
          <t>SS26</t>
        </is>
      </c>
      <c r="O1809" s="156" t="inlineStr">
        <is>
          <t>Seasonal</t>
        </is>
      </c>
      <c r="P1809" s="156" t="inlineStr">
        <is>
          <t>Gris</t>
        </is>
      </c>
      <c r="Q1809" s="156" t="n"/>
      <c r="R1809" s="156" t="n"/>
      <c r="S1809" s="156" t="inlineStr">
        <is>
          <t>Cuero</t>
        </is>
      </c>
      <c r="T1809" s="156" t="inlineStr">
        <is>
          <t>Hebilla Stetson Toro Cactus – Metal, Acabado Plata y Oro
 El espíritu del Viejo Oeste cobra vida con esta hebilla original Stetson. Forjada en resistente metal, combina tonos plata envejecida y detalles en dorado que resaltan la imponente figura del Toro y los cactus. Ideal para quienes valoran la tradición, la calidad y el estilo vaquero auténtico.
 Perfecta para cinturones de cuero y looks que no necesitan gritar para imponerse.</t>
        </is>
      </c>
      <c r="U1809" s="156" t="n"/>
      <c r="V1809" s="156" t="inlineStr">
        <is>
          <t>PZS</t>
        </is>
      </c>
      <c r="W1809" s="51" t="inlineStr">
        <is>
          <t>53102501</t>
        </is>
      </c>
      <c r="X1809" s="156" t="inlineStr">
        <is>
          <t>https://cdn.shopify.com/s/files/1/0888/3250/8267/files/ST-H114-01.jpg?v=1751994685</t>
        </is>
      </c>
      <c r="Y1809" s="54" t="n">
        <v>329.7413793</v>
      </c>
      <c r="Z1809" s="54" t="n">
        <v>732.7586207000001</v>
      </c>
      <c r="AA1809" s="55">
        <f>IF(AND(A1809="", B1809="", E1809=""), "", IF(AB1809="", "Válido", IF((LEN(AB1809)-LEN(SUBSTITUTE(AB1809,"; ","")))/2+1&gt;(LEN(AB1809)-LEN(SUBSTITUTE(AB1809,"[Aviso]","")))/7, "Con Incidencias", "Válido")))</f>
        <v/>
      </c>
      <c r="AB1809" s="56">
        <f>IF(AND(A1809="", B1809="", E1809=""), "", TEXTJOIN("; ", TRUE, IF(OR(TRIM(A1809&amp;"")="", ISNUMBER(SEARCH("FALTA", A1809))), "UPC faltante/inválido", ""), IF(AND(A1809&lt;&gt;"", IFERROR(_xlfn.XMATCH(A1809,$A$2:$A$2509,0,1)&lt;&gt;_xlfn.XMATCH(A1809,$A$2:$A$2509,0,-1),FALSE)), "Código de barras duplicado", ""), IF(AND(E1809&lt;&gt;"", COUNTIF($E$2:$E$2509, E1809)&gt;1), "SKU duplicado", ""), IF(OR(J1809="", J1809=""), "[Aviso] División no capturada ()", IF(ISNA(MATCH(J1809, Criterios!$A$123:$A$126, 0)), "División no válida", "")), IF(OR(K1809="", K1809=""), "[Aviso] Categoría no capturada ()", IF(ISNA(MATCH(K1809, Criterios!$A$81:$A$120, 0)), "Categoría no válida", IF(AND(J1809&lt;&gt;"", J1809&lt;&gt;"", J1809&lt;&gt;VLOOKUP(K1809, Criterios!$A$81:$B$120, 2, FALSE)), "División no coincide con Categoría", ""))), IF(OR(L1809="", L1809=""), "[Aviso] Género no capturado ()", IF(ISNA(MATCH(L1809, Criterios!$B$123:$B$127, 0)), "Género no válido", "")), IF(OR(N1809="", N1809=""), "[Aviso] Temporada no capturada ()", IF(ISNA(MATCH(N1809, Criterios!$C$123:$C$128, 0)), "Temporada no válida", "")), IF(OR(O1809="", O1809=""), "[Aviso] Ciclo de vida no capturado ()", IF(ISNA(MATCH(O1809, Criterios!$D$123:$D$124, 0)), "Ciclo de vida no válido", ""))))</f>
        <v/>
      </c>
      <c r="AC1809" s="56" t="n"/>
      <c r="AD1809" s="51" t="n">
        <v>-3</v>
      </c>
      <c r="AE1809" s="156" t="n"/>
      <c r="AF1809" s="51" t="n">
        <v>0</v>
      </c>
      <c r="AG1809" s="156" t="inlineStr">
        <is>
          <t>Catálogo existente</t>
        </is>
      </c>
      <c r="AH1809" s="156" t="inlineStr">
        <is>
          <t>Stock negativo en sistema: revisar en conteo | Revisión 29/09/2026: Campos sin respaldo: U | Consolidado 30/09/2026 con 1 registro(s) duplicado(s) (ver hoja «Consolidación Duplicados»). Valores alternos del duplicado (dos): Marca principal: Stetson | WB Descripcion: Hebilla Stetson ST-H114 | WB Género: Unisex | WB Color: Varios | WB Descripción larga: Hebilla Stetson ST-H114.; Auditoría NetSuite 30/09/2026: llenado desde NetSuite [S] | 01/10/2026: complementado desde Shopify Stetson México (match por SKU): WB Fit, WB Silueta | Homologación G1522 06/10/2026: Validación G1522: Código de barras con caracteres no numéricos</t>
        </is>
      </c>
      <c r="AI1809" s="156" t="inlineStr">
        <is>
          <t>Sí</t>
        </is>
      </c>
      <c r="AJ1809" s="156" t="inlineStr">
        <is>
          <t>STETSON AMERICAS (-3)</t>
        </is>
      </c>
      <c r="AK1809" s="155" t="inlineStr">
        <is>
          <t>Criterios: I [Q] | Criterios: J [R]; G1522_Extraccion_Articulos_NetSuite_2026-09-30.xlsx: fila 58053 [S] | Shopify Stetson: producto 14733524500843 / variante 52179799900523</t>
        </is>
      </c>
      <c r="AL1809" s="58" t="n">
        <v>329.7413793</v>
      </c>
      <c r="AM1809" s="58" t="n">
        <v>732.7586207000001</v>
      </c>
      <c r="AN1809" s="155" t="inlineStr">
        <is>
          <t>Shopify Stetson México</t>
        </is>
      </c>
      <c r="AO1809" s="59" t="n">
        <v>0</v>
      </c>
      <c r="AP1809" s="59" t="n"/>
      <c r="AQ1809" s="59" t="n"/>
      <c r="AR1809" s="155" t="n"/>
    </row>
    <row r="1810">
      <c r="A1810" s="50" t="inlineStr">
        <is>
          <t>12020000131043026</t>
        </is>
      </c>
      <c r="B1810" s="51" t="n"/>
      <c r="C1810" s="156" t="inlineStr">
        <is>
          <t>Multimarca</t>
        </is>
      </c>
      <c r="D1810" s="156" t="inlineStr">
        <is>
          <t>12-020-BS000-13-1043</t>
        </is>
      </c>
      <c r="E1810" s="156" t="inlineStr">
        <is>
          <t>12-020-BS000-13-1043-026</t>
        </is>
      </c>
      <c r="F1810" s="156" t="inlineStr">
        <is>
          <t>26</t>
        </is>
      </c>
      <c r="G1810" s="156" t="inlineStr">
        <is>
          <t>9</t>
        </is>
      </c>
      <c r="H1810" s="156" t="inlineStr">
        <is>
          <t>Stetson</t>
        </is>
      </c>
      <c r="I1810" s="156" t="inlineStr">
        <is>
          <t>Bota Dama Pitón Crema</t>
        </is>
      </c>
      <c r="J1810" s="156" t="inlineStr">
        <is>
          <t>Calzado</t>
        </is>
      </c>
      <c r="K1810" s="156" t="inlineStr">
        <is>
          <t>Botas</t>
        </is>
      </c>
      <c r="L1810" s="156" t="inlineStr">
        <is>
          <t>Mujer</t>
        </is>
      </c>
      <c r="M1810" s="156" t="inlineStr">
        <is>
          <t>Stetson</t>
        </is>
      </c>
      <c r="N1810" s="156" t="inlineStr">
        <is>
          <t>SS26</t>
        </is>
      </c>
      <c r="O1810" s="156" t="n"/>
      <c r="P1810" s="156" t="inlineStr">
        <is>
          <t>Beige</t>
        </is>
      </c>
      <c r="Q1810" s="156" t="n"/>
      <c r="R1810" s="156" t="inlineStr">
        <is>
          <t>Horma Alexia</t>
        </is>
      </c>
      <c r="S1810" s="156" t="inlineStr">
        <is>
          <t>Piel de pitón</t>
        </is>
      </c>
      <c r="T1810" s="156" t="inlineStr">
        <is>
          <t>Bota Dama Piel de pitón Crema Horma Alexia</t>
        </is>
      </c>
      <c r="U1810" s="156" t="n"/>
      <c r="V1810" s="156" t="inlineStr">
        <is>
          <t>PRS</t>
        </is>
      </c>
      <c r="W1810" s="51" t="inlineStr">
        <is>
          <t>53111502</t>
        </is>
      </c>
      <c r="X1810" s="156" t="n"/>
      <c r="Y1810" s="54" t="n"/>
      <c r="Z1810" s="54" t="n">
        <v>8300</v>
      </c>
      <c r="AA1810" s="55">
        <f>IF(AND(A1810="", B1810="", E1810=""), "", IF(AB1810="", "Válido", IF((LEN(AB1810)-LEN(SUBSTITUTE(AB1810,"; ","")))/2+1&gt;(LEN(AB1810)-LEN(SUBSTITUTE(AB1810,"[Aviso]","")))/7, "Con Incidencias", "Válido")))</f>
        <v/>
      </c>
      <c r="AB1810" s="56">
        <f>IF(AND(A1810="", B1810="", E1810=""), "", TEXTJOIN("; ", TRUE, IF(OR(TRIM(A1810&amp;"")="", ISNUMBER(SEARCH("FALTA", A1810))), "UPC faltante/inválido", ""), IF(AND(A1810&lt;&gt;"", IFERROR(_xlfn.XMATCH(A1810,$A$2:$A$2509,0,1)&lt;&gt;_xlfn.XMATCH(A1810,$A$2:$A$2509,0,-1),FALSE)), "Código de barras duplicado", ""), IF(AND(E1810&lt;&gt;"", COUNTIF($E$2:$E$2509, E1810)&gt;1), "SKU duplicado", ""), IF(OR(J1810="", J1810=""), "[Aviso] División no capturada ()", IF(ISNA(MATCH(J1810, Criterios!$A$123:$A$126, 0)), "División no válida", "")), IF(OR(K1810="", K1810=""), "[Aviso] Categoría no capturada ()", IF(ISNA(MATCH(K1810, Criterios!$A$81:$A$120, 0)), "Categoría no válida", IF(AND(J1810&lt;&gt;"", J1810&lt;&gt;"", J1810&lt;&gt;VLOOKUP(K1810, Criterios!$A$81:$B$120, 2, FALSE)), "División no coincide con Categoría", ""))), IF(OR(L1810="", L1810=""), "[Aviso] Género no capturado ()", IF(ISNA(MATCH(L1810, Criterios!$B$123:$B$127, 0)), "Género no válido", "")), IF(OR(N1810="", N1810=""), "[Aviso] Temporada no capturada ()", IF(ISNA(MATCH(N1810, Criterios!$C$123:$C$128, 0)), "Temporada no válida", "")), IF(OR(O1810="", O1810=""), "[Aviso] Ciclo de vida no capturado ()", IF(ISNA(MATCH(O1810, Criterios!$D$123:$D$124, 0)), "Ciclo de vida no válido", ""))))</f>
        <v/>
      </c>
      <c r="AC1810" s="56" t="n"/>
      <c r="AD1810" s="51" t="n">
        <v>0</v>
      </c>
      <c r="AE1810" s="156" t="inlineStr">
        <is>
          <t>Sin coincidencia en NetSuite</t>
        </is>
      </c>
      <c r="AF1810" s="51" t="n"/>
      <c r="AG1810" s="156" t="inlineStr">
        <is>
          <t>Catálogo existente</t>
        </is>
      </c>
      <c r="AH181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0" s="156" t="n"/>
      <c r="AJ1810" s="156" t="n"/>
      <c r="AK1810" s="155" t="inlineStr">
        <is>
          <t>Shopify Stetson: producto 15054565179755 / variante 53350562627947</t>
        </is>
      </c>
      <c r="AL1810" s="58" t="n"/>
      <c r="AM1810" s="58" t="n">
        <v>8300</v>
      </c>
      <c r="AN1810" s="155" t="inlineStr">
        <is>
          <t>Shopify Stetson México</t>
        </is>
      </c>
      <c r="AO1810" s="59" t="n">
        <v>0</v>
      </c>
      <c r="AP1810" s="59" t="n"/>
      <c r="AQ1810" s="59" t="n"/>
      <c r="AR1810" s="155" t="n"/>
    </row>
    <row r="1811">
      <c r="A1811" s="50" t="inlineStr">
        <is>
          <t>12020000131043027</t>
        </is>
      </c>
      <c r="B1811" s="51" t="n"/>
      <c r="C1811" s="156" t="inlineStr">
        <is>
          <t>Multimarca</t>
        </is>
      </c>
      <c r="D1811" s="156" t="inlineStr">
        <is>
          <t>12-020-BS000-13-1043</t>
        </is>
      </c>
      <c r="E1811" s="156" t="inlineStr">
        <is>
          <t>12-020-BS000-13-1043-027</t>
        </is>
      </c>
      <c r="F1811" s="156" t="inlineStr">
        <is>
          <t>27</t>
        </is>
      </c>
      <c r="G1811" s="156" t="inlineStr">
        <is>
          <t>10</t>
        </is>
      </c>
      <c r="H1811" s="156" t="inlineStr">
        <is>
          <t>Stetson</t>
        </is>
      </c>
      <c r="I1811" s="156" t="inlineStr">
        <is>
          <t>Bota Dama Pitón Crema</t>
        </is>
      </c>
      <c r="J1811" s="156" t="inlineStr">
        <is>
          <t>Calzado</t>
        </is>
      </c>
      <c r="K1811" s="156" t="inlineStr">
        <is>
          <t>Botas</t>
        </is>
      </c>
      <c r="L1811" s="156" t="inlineStr">
        <is>
          <t>Mujer</t>
        </is>
      </c>
      <c r="M1811" s="156" t="inlineStr">
        <is>
          <t>Stetson</t>
        </is>
      </c>
      <c r="N1811" s="156" t="inlineStr">
        <is>
          <t>SS26</t>
        </is>
      </c>
      <c r="O1811" s="156" t="n"/>
      <c r="P1811" s="156" t="inlineStr">
        <is>
          <t>Beige</t>
        </is>
      </c>
      <c r="Q1811" s="156" t="n"/>
      <c r="R1811" s="156" t="inlineStr">
        <is>
          <t>Horma Alexia</t>
        </is>
      </c>
      <c r="S1811" s="156" t="inlineStr">
        <is>
          <t>Piel de pitón</t>
        </is>
      </c>
      <c r="T1811" s="156" t="inlineStr">
        <is>
          <t>Bota Dama Piel de pitón Crema Horma Alexia</t>
        </is>
      </c>
      <c r="U1811" s="156" t="n"/>
      <c r="V1811" s="156" t="inlineStr">
        <is>
          <t>PRS</t>
        </is>
      </c>
      <c r="W1811" s="51" t="inlineStr">
        <is>
          <t>53111502</t>
        </is>
      </c>
      <c r="X1811" s="156" t="n"/>
      <c r="Y1811" s="54" t="n"/>
      <c r="Z1811" s="54" t="n">
        <v>8300</v>
      </c>
      <c r="AA1811" s="55">
        <f>IF(AND(A1811="", B1811="", E1811=""), "", IF(AB1811="", "Válido", IF((LEN(AB1811)-LEN(SUBSTITUTE(AB1811,"; ","")))/2+1&gt;(LEN(AB1811)-LEN(SUBSTITUTE(AB1811,"[Aviso]","")))/7, "Con Incidencias", "Válido")))</f>
        <v/>
      </c>
      <c r="AB1811" s="56">
        <f>IF(AND(A1811="", B1811="", E1811=""), "", TEXTJOIN("; ", TRUE, IF(OR(TRIM(A1811&amp;"")="", ISNUMBER(SEARCH("FALTA", A1811))), "UPC faltante/inválido", ""), IF(AND(A1811&lt;&gt;"", IFERROR(_xlfn.XMATCH(A1811,$A$2:$A$2509,0,1)&lt;&gt;_xlfn.XMATCH(A1811,$A$2:$A$2509,0,-1),FALSE)), "Código de barras duplicado", ""), IF(AND(E1811&lt;&gt;"", COUNTIF($E$2:$E$2509, E1811)&gt;1), "SKU duplicado", ""), IF(OR(J1811="", J1811=""), "[Aviso] División no capturada ()", IF(ISNA(MATCH(J1811, Criterios!$A$123:$A$126, 0)), "División no válida", "")), IF(OR(K1811="", K1811=""), "[Aviso] Categoría no capturada ()", IF(ISNA(MATCH(K1811, Criterios!$A$81:$A$120, 0)), "Categoría no válida", IF(AND(J1811&lt;&gt;"", J1811&lt;&gt;"", J1811&lt;&gt;VLOOKUP(K1811, Criterios!$A$81:$B$120, 2, FALSE)), "División no coincide con Categoría", ""))), IF(OR(L1811="", L1811=""), "[Aviso] Género no capturado ()", IF(ISNA(MATCH(L1811, Criterios!$B$123:$B$127, 0)), "Género no válido", "")), IF(OR(N1811="", N1811=""), "[Aviso] Temporada no capturada ()", IF(ISNA(MATCH(N1811, Criterios!$C$123:$C$128, 0)), "Temporada no válida", "")), IF(OR(O1811="", O1811=""), "[Aviso] Ciclo de vida no capturado ()", IF(ISNA(MATCH(O1811, Criterios!$D$123:$D$124, 0)), "Ciclo de vida no válido", ""))))</f>
        <v/>
      </c>
      <c r="AC1811" s="56" t="n"/>
      <c r="AD1811" s="51" t="n">
        <v>0</v>
      </c>
      <c r="AE1811" s="156" t="inlineStr">
        <is>
          <t>Sin coincidencia en NetSuite</t>
        </is>
      </c>
      <c r="AF1811" s="51" t="n"/>
      <c r="AG1811" s="156" t="inlineStr">
        <is>
          <t>Catálogo existente</t>
        </is>
      </c>
      <c r="AH181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1" s="156" t="n"/>
      <c r="AJ1811" s="156" t="n"/>
      <c r="AK1811" s="155" t="inlineStr">
        <is>
          <t>Shopify Stetson: producto 15054565179755 / variante 53350562693483</t>
        </is>
      </c>
      <c r="AL1811" s="58" t="n"/>
      <c r="AM1811" s="58" t="n">
        <v>8300</v>
      </c>
      <c r="AN1811" s="155" t="inlineStr">
        <is>
          <t>Shopify Stetson México</t>
        </is>
      </c>
      <c r="AO1811" s="59" t="n">
        <v>0</v>
      </c>
      <c r="AP1811" s="59" t="n"/>
      <c r="AQ1811" s="59" t="n"/>
      <c r="AR1811" s="155" t="n"/>
    </row>
    <row r="1812">
      <c r="A1812" s="50" t="inlineStr">
        <is>
          <t>12020000131043255</t>
        </is>
      </c>
      <c r="B1812" s="51" t="n"/>
      <c r="C1812" s="156" t="inlineStr">
        <is>
          <t>Multimarca</t>
        </is>
      </c>
      <c r="D1812" s="156" t="inlineStr">
        <is>
          <t>12-020-BS000-13-1043</t>
        </is>
      </c>
      <c r="E1812" s="156" t="inlineStr">
        <is>
          <t>12-020-BS000-13-1043-255</t>
        </is>
      </c>
      <c r="F1812" s="156" t="inlineStr">
        <is>
          <t>25.5</t>
        </is>
      </c>
      <c r="G1812" s="156" t="inlineStr">
        <is>
          <t>8.5</t>
        </is>
      </c>
      <c r="H1812" s="156" t="inlineStr">
        <is>
          <t>Stetson</t>
        </is>
      </c>
      <c r="I1812" s="156" t="inlineStr">
        <is>
          <t>Bota Dama Pitón Crema</t>
        </is>
      </c>
      <c r="J1812" s="156" t="inlineStr">
        <is>
          <t>Calzado</t>
        </is>
      </c>
      <c r="K1812" s="156" t="inlineStr">
        <is>
          <t>Botas</t>
        </is>
      </c>
      <c r="L1812" s="156" t="inlineStr">
        <is>
          <t>Mujer</t>
        </is>
      </c>
      <c r="M1812" s="156" t="inlineStr">
        <is>
          <t>Stetson</t>
        </is>
      </c>
      <c r="N1812" s="156" t="inlineStr">
        <is>
          <t>SS26</t>
        </is>
      </c>
      <c r="O1812" s="156" t="n"/>
      <c r="P1812" s="156" t="inlineStr">
        <is>
          <t>Beige</t>
        </is>
      </c>
      <c r="Q1812" s="156" t="n"/>
      <c r="R1812" s="156" t="inlineStr">
        <is>
          <t>Horma Alexia</t>
        </is>
      </c>
      <c r="S1812" s="156" t="inlineStr">
        <is>
          <t>Piel de pitón</t>
        </is>
      </c>
      <c r="T1812" s="156" t="inlineStr">
        <is>
          <t>Bota Dama Piel de pitón Crema Horma Alexia</t>
        </is>
      </c>
      <c r="U1812" s="156" t="n"/>
      <c r="V1812" s="156" t="inlineStr">
        <is>
          <t>PRS</t>
        </is>
      </c>
      <c r="W1812" s="51" t="inlineStr">
        <is>
          <t>53111502</t>
        </is>
      </c>
      <c r="X1812" s="156" t="n"/>
      <c r="Y1812" s="54" t="n"/>
      <c r="Z1812" s="54" t="n">
        <v>8300</v>
      </c>
      <c r="AA1812" s="55">
        <f>IF(AND(A1812="", B1812="", E1812=""), "", IF(AB1812="", "Válido", IF((LEN(AB1812)-LEN(SUBSTITUTE(AB1812,"; ","")))/2+1&gt;(LEN(AB1812)-LEN(SUBSTITUTE(AB1812,"[Aviso]","")))/7, "Con Incidencias", "Válido")))</f>
        <v/>
      </c>
      <c r="AB1812" s="56">
        <f>IF(AND(A1812="", B1812="", E1812=""), "", TEXTJOIN("; ", TRUE, IF(OR(TRIM(A1812&amp;"")="", ISNUMBER(SEARCH("FALTA", A1812))), "UPC faltante/inválido", ""), IF(AND(A1812&lt;&gt;"", IFERROR(_xlfn.XMATCH(A1812,$A$2:$A$2509,0,1)&lt;&gt;_xlfn.XMATCH(A1812,$A$2:$A$2509,0,-1),FALSE)), "Código de barras duplicado", ""), IF(AND(E1812&lt;&gt;"", COUNTIF($E$2:$E$2509, E1812)&gt;1), "SKU duplicado", ""), IF(OR(J1812="", J1812=""), "[Aviso] División no capturada ()", IF(ISNA(MATCH(J1812, Criterios!$A$123:$A$126, 0)), "División no válida", "")), IF(OR(K1812="", K1812=""), "[Aviso] Categoría no capturada ()", IF(ISNA(MATCH(K1812, Criterios!$A$81:$A$120, 0)), "Categoría no válida", IF(AND(J1812&lt;&gt;"", J1812&lt;&gt;"", J1812&lt;&gt;VLOOKUP(K1812, Criterios!$A$81:$B$120, 2, FALSE)), "División no coincide con Categoría", ""))), IF(OR(L1812="", L1812=""), "[Aviso] Género no capturado ()", IF(ISNA(MATCH(L1812, Criterios!$B$123:$B$127, 0)), "Género no válido", "")), IF(OR(N1812="", N1812=""), "[Aviso] Temporada no capturada ()", IF(ISNA(MATCH(N1812, Criterios!$C$123:$C$128, 0)), "Temporada no válida", "")), IF(OR(O1812="", O1812=""), "[Aviso] Ciclo de vida no capturado ()", IF(ISNA(MATCH(O1812, Criterios!$D$123:$D$124, 0)), "Ciclo de vida no válido", ""))))</f>
        <v/>
      </c>
      <c r="AC1812" s="56" t="n"/>
      <c r="AD1812" s="51" t="n">
        <v>0</v>
      </c>
      <c r="AE1812" s="156" t="inlineStr">
        <is>
          <t>Sin coincidencia en NetSuite</t>
        </is>
      </c>
      <c r="AF1812" s="51" t="n"/>
      <c r="AG1812" s="156" t="inlineStr">
        <is>
          <t>Catálogo existente</t>
        </is>
      </c>
      <c r="AH181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2" s="156" t="n"/>
      <c r="AJ1812" s="156" t="n"/>
      <c r="AK1812" s="155" t="inlineStr">
        <is>
          <t>Shopify Stetson: producto 15054565179755 / variante 53350562595179</t>
        </is>
      </c>
      <c r="AL1812" s="58" t="n"/>
      <c r="AM1812" s="58" t="n">
        <v>8300</v>
      </c>
      <c r="AN1812" s="155" t="inlineStr">
        <is>
          <t>Shopify Stetson México</t>
        </is>
      </c>
      <c r="AO1812" s="59" t="n">
        <v>1</v>
      </c>
      <c r="AP1812" s="59" t="n"/>
      <c r="AQ1812" s="59" t="n"/>
      <c r="AR1812" s="155" t="inlineStr">
        <is>
          <t>Shopify Stetson México › Stetson Americas: 1</t>
        </is>
      </c>
    </row>
    <row r="1813">
      <c r="A1813" s="50" t="inlineStr">
        <is>
          <t>12020000131043265</t>
        </is>
      </c>
      <c r="B1813" s="51" t="n"/>
      <c r="C1813" s="156" t="inlineStr">
        <is>
          <t>Multimarca</t>
        </is>
      </c>
      <c r="D1813" s="156" t="inlineStr">
        <is>
          <t>12-020-BS000-13-1043</t>
        </is>
      </c>
      <c r="E1813" s="156" t="inlineStr">
        <is>
          <t>12-020-BS000-13-1043-265</t>
        </is>
      </c>
      <c r="F1813" s="156" t="inlineStr">
        <is>
          <t>26.5</t>
        </is>
      </c>
      <c r="G1813" s="156" t="inlineStr">
        <is>
          <t>9.5</t>
        </is>
      </c>
      <c r="H1813" s="156" t="inlineStr">
        <is>
          <t>Stetson</t>
        </is>
      </c>
      <c r="I1813" s="156" t="inlineStr">
        <is>
          <t>Bota Dama Pitón Crema</t>
        </is>
      </c>
      <c r="J1813" s="156" t="inlineStr">
        <is>
          <t>Calzado</t>
        </is>
      </c>
      <c r="K1813" s="156" t="inlineStr">
        <is>
          <t>Botas</t>
        </is>
      </c>
      <c r="L1813" s="156" t="inlineStr">
        <is>
          <t>Mujer</t>
        </is>
      </c>
      <c r="M1813" s="156" t="inlineStr">
        <is>
          <t>Stetson</t>
        </is>
      </c>
      <c r="N1813" s="156" t="inlineStr">
        <is>
          <t>SS26</t>
        </is>
      </c>
      <c r="O1813" s="156" t="n"/>
      <c r="P1813" s="156" t="inlineStr">
        <is>
          <t>Beige</t>
        </is>
      </c>
      <c r="Q1813" s="156" t="n"/>
      <c r="R1813" s="156" t="inlineStr">
        <is>
          <t>Horma Alexia</t>
        </is>
      </c>
      <c r="S1813" s="156" t="inlineStr">
        <is>
          <t>Piel de pitón</t>
        </is>
      </c>
      <c r="T1813" s="156" t="inlineStr">
        <is>
          <t>Bota Dama Piel de pitón Crema Horma Alexia</t>
        </is>
      </c>
      <c r="U1813" s="156" t="n"/>
      <c r="V1813" s="156" t="inlineStr">
        <is>
          <t>PRS</t>
        </is>
      </c>
      <c r="W1813" s="51" t="inlineStr">
        <is>
          <t>53111502</t>
        </is>
      </c>
      <c r="X1813" s="156" t="n"/>
      <c r="Y1813" s="54" t="n"/>
      <c r="Z1813" s="54" t="n">
        <v>8300</v>
      </c>
      <c r="AA1813" s="55">
        <f>IF(AND(A1813="", B1813="", E1813=""), "", IF(AB1813="", "Válido", IF((LEN(AB1813)-LEN(SUBSTITUTE(AB1813,"; ","")))/2+1&gt;(LEN(AB1813)-LEN(SUBSTITUTE(AB1813,"[Aviso]","")))/7, "Con Incidencias", "Válido")))</f>
        <v/>
      </c>
      <c r="AB1813" s="56">
        <f>IF(AND(A1813="", B1813="", E1813=""), "", TEXTJOIN("; ", TRUE, IF(OR(TRIM(A1813&amp;"")="", ISNUMBER(SEARCH("FALTA", A1813))), "UPC faltante/inválido", ""), IF(AND(A1813&lt;&gt;"", IFERROR(_xlfn.XMATCH(A1813,$A$2:$A$2509,0,1)&lt;&gt;_xlfn.XMATCH(A1813,$A$2:$A$2509,0,-1),FALSE)), "Código de barras duplicado", ""), IF(AND(E1813&lt;&gt;"", COUNTIF($E$2:$E$2509, E1813)&gt;1), "SKU duplicado", ""), IF(OR(J1813="", J1813=""), "[Aviso] División no capturada ()", IF(ISNA(MATCH(J1813, Criterios!$A$123:$A$126, 0)), "División no válida", "")), IF(OR(K1813="", K1813=""), "[Aviso] Categoría no capturada ()", IF(ISNA(MATCH(K1813, Criterios!$A$81:$A$120, 0)), "Categoría no válida", IF(AND(J1813&lt;&gt;"", J1813&lt;&gt;"", J1813&lt;&gt;VLOOKUP(K1813, Criterios!$A$81:$B$120, 2, FALSE)), "División no coincide con Categoría", ""))), IF(OR(L1813="", L1813=""), "[Aviso] Género no capturado ()", IF(ISNA(MATCH(L1813, Criterios!$B$123:$B$127, 0)), "Género no válido", "")), IF(OR(N1813="", N1813=""), "[Aviso] Temporada no capturada ()", IF(ISNA(MATCH(N1813, Criterios!$C$123:$C$128, 0)), "Temporada no válida", "")), IF(OR(O1813="", O1813=""), "[Aviso] Ciclo de vida no capturado ()", IF(ISNA(MATCH(O1813, Criterios!$D$123:$D$124, 0)), "Ciclo de vida no válido", ""))))</f>
        <v/>
      </c>
      <c r="AC1813" s="56" t="n"/>
      <c r="AD1813" s="51" t="n">
        <v>0</v>
      </c>
      <c r="AE1813" s="156" t="inlineStr">
        <is>
          <t>Sin coincidencia en NetSuite</t>
        </is>
      </c>
      <c r="AF1813" s="51" t="n"/>
      <c r="AG1813" s="156" t="inlineStr">
        <is>
          <t>Catálogo existente</t>
        </is>
      </c>
      <c r="AH181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3" s="156" t="n"/>
      <c r="AJ1813" s="156" t="n"/>
      <c r="AK1813" s="155" t="inlineStr">
        <is>
          <t>Shopify Stetson: producto 15054565179755 / variante 53350562660715</t>
        </is>
      </c>
      <c r="AL1813" s="58" t="n"/>
      <c r="AM1813" s="58" t="n">
        <v>8300</v>
      </c>
      <c r="AN1813" s="155" t="inlineStr">
        <is>
          <t>Shopify Stetson México</t>
        </is>
      </c>
      <c r="AO1813" s="59" t="n">
        <v>0</v>
      </c>
      <c r="AP1813" s="59" t="n"/>
      <c r="AQ1813" s="59" t="n"/>
      <c r="AR1813" s="155" t="n"/>
    </row>
    <row r="1814">
      <c r="A1814" s="50" t="inlineStr">
        <is>
          <t>12020000131043275</t>
        </is>
      </c>
      <c r="B1814" s="51" t="n"/>
      <c r="C1814" s="156" t="inlineStr">
        <is>
          <t>Multimarca</t>
        </is>
      </c>
      <c r="D1814" s="156" t="inlineStr">
        <is>
          <t>12-020-BS000-13-1043</t>
        </is>
      </c>
      <c r="E1814" s="156" t="inlineStr">
        <is>
          <t>12-020-BS000-13-1043-275</t>
        </is>
      </c>
      <c r="F1814" s="156" t="inlineStr">
        <is>
          <t>27.5</t>
        </is>
      </c>
      <c r="G1814" s="156" t="inlineStr">
        <is>
          <t>10.5</t>
        </is>
      </c>
      <c r="H1814" s="156" t="inlineStr">
        <is>
          <t>Stetson</t>
        </is>
      </c>
      <c r="I1814" s="156" t="inlineStr">
        <is>
          <t>Bota Dama Pitón Crema</t>
        </is>
      </c>
      <c r="J1814" s="156" t="inlineStr">
        <is>
          <t>Calzado</t>
        </is>
      </c>
      <c r="K1814" s="156" t="inlineStr">
        <is>
          <t>Botas</t>
        </is>
      </c>
      <c r="L1814" s="156" t="inlineStr">
        <is>
          <t>Mujer</t>
        </is>
      </c>
      <c r="M1814" s="156" t="inlineStr">
        <is>
          <t>Stetson</t>
        </is>
      </c>
      <c r="N1814" s="156" t="inlineStr">
        <is>
          <t>SS26</t>
        </is>
      </c>
      <c r="O1814" s="156" t="n"/>
      <c r="P1814" s="156" t="inlineStr">
        <is>
          <t>Beige</t>
        </is>
      </c>
      <c r="Q1814" s="156" t="n"/>
      <c r="R1814" s="156" t="inlineStr">
        <is>
          <t>Horma Alexia</t>
        </is>
      </c>
      <c r="S1814" s="156" t="inlineStr">
        <is>
          <t>Piel de pitón</t>
        </is>
      </c>
      <c r="T1814" s="156" t="inlineStr">
        <is>
          <t>Bota Dama Piel de pitón Crema Horma Alexia</t>
        </is>
      </c>
      <c r="U1814" s="156" t="n"/>
      <c r="V1814" s="156" t="inlineStr">
        <is>
          <t>PRS</t>
        </is>
      </c>
      <c r="W1814" s="51" t="inlineStr">
        <is>
          <t>53111502</t>
        </is>
      </c>
      <c r="X1814" s="156" t="n"/>
      <c r="Y1814" s="54" t="n"/>
      <c r="Z1814" s="54" t="n">
        <v>8300</v>
      </c>
      <c r="AA1814" s="55">
        <f>IF(AND(A1814="", B1814="", E1814=""), "", IF(AB1814="", "Válido", IF((LEN(AB1814)-LEN(SUBSTITUTE(AB1814,"; ","")))/2+1&gt;(LEN(AB1814)-LEN(SUBSTITUTE(AB1814,"[Aviso]","")))/7, "Con Incidencias", "Válido")))</f>
        <v/>
      </c>
      <c r="AB1814" s="56">
        <f>IF(AND(A1814="", B1814="", E1814=""), "", TEXTJOIN("; ", TRUE, IF(OR(TRIM(A1814&amp;"")="", ISNUMBER(SEARCH("FALTA", A1814))), "UPC faltante/inválido", ""), IF(AND(A1814&lt;&gt;"", IFERROR(_xlfn.XMATCH(A1814,$A$2:$A$2509,0,1)&lt;&gt;_xlfn.XMATCH(A1814,$A$2:$A$2509,0,-1),FALSE)), "Código de barras duplicado", ""), IF(AND(E1814&lt;&gt;"", COUNTIF($E$2:$E$2509, E1814)&gt;1), "SKU duplicado", ""), IF(OR(J1814="", J1814=""), "[Aviso] División no capturada ()", IF(ISNA(MATCH(J1814, Criterios!$A$123:$A$126, 0)), "División no válida", "")), IF(OR(K1814="", K1814=""), "[Aviso] Categoría no capturada ()", IF(ISNA(MATCH(K1814, Criterios!$A$81:$A$120, 0)), "Categoría no válida", IF(AND(J1814&lt;&gt;"", J1814&lt;&gt;"", J1814&lt;&gt;VLOOKUP(K1814, Criterios!$A$81:$B$120, 2, FALSE)), "División no coincide con Categoría", ""))), IF(OR(L1814="", L1814=""), "[Aviso] Género no capturado ()", IF(ISNA(MATCH(L1814, Criterios!$B$123:$B$127, 0)), "Género no válido", "")), IF(OR(N1814="", N1814=""), "[Aviso] Temporada no capturada ()", IF(ISNA(MATCH(N1814, Criterios!$C$123:$C$128, 0)), "Temporada no válida", "")), IF(OR(O1814="", O1814=""), "[Aviso] Ciclo de vida no capturado ()", IF(ISNA(MATCH(O1814, Criterios!$D$123:$D$124, 0)), "Ciclo de vida no válido", ""))))</f>
        <v/>
      </c>
      <c r="AC1814" s="56" t="n"/>
      <c r="AD1814" s="51" t="n">
        <v>0</v>
      </c>
      <c r="AE1814" s="156" t="inlineStr">
        <is>
          <t>Sin coincidencia en NetSuite</t>
        </is>
      </c>
      <c r="AF1814" s="51" t="n"/>
      <c r="AG1814" s="156" t="inlineStr">
        <is>
          <t>Catálogo existente</t>
        </is>
      </c>
      <c r="AH181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4" s="156" t="n"/>
      <c r="AJ1814" s="156" t="n"/>
      <c r="AK1814" s="155" t="inlineStr">
        <is>
          <t>Shopify Stetson: producto 15054565179755 / variante 53350562726251</t>
        </is>
      </c>
      <c r="AL1814" s="58" t="n"/>
      <c r="AM1814" s="58" t="n">
        <v>8300</v>
      </c>
      <c r="AN1814" s="155" t="inlineStr">
        <is>
          <t>Shopify Stetson México</t>
        </is>
      </c>
      <c r="AO1814" s="59" t="n">
        <v>0</v>
      </c>
      <c r="AP1814" s="59" t="n"/>
      <c r="AQ1814" s="59" t="n"/>
      <c r="AR1814" s="155" t="n"/>
    </row>
    <row r="1815">
      <c r="A1815" s="50" t="inlineStr">
        <is>
          <t>12020000131044026</t>
        </is>
      </c>
      <c r="B1815" s="51" t="n"/>
      <c r="C1815" s="156" t="inlineStr">
        <is>
          <t>Multimarca</t>
        </is>
      </c>
      <c r="D1815" s="156" t="inlineStr">
        <is>
          <t>12-020-BS000-13-1044</t>
        </is>
      </c>
      <c r="E1815" s="156" t="inlineStr">
        <is>
          <t>12-020-BS000-13-1044-026</t>
        </is>
      </c>
      <c r="F1815" s="156" t="inlineStr">
        <is>
          <t>26</t>
        </is>
      </c>
      <c r="G1815" s="156" t="inlineStr">
        <is>
          <t>9</t>
        </is>
      </c>
      <c r="H1815" s="156" t="inlineStr">
        <is>
          <t>Stetson</t>
        </is>
      </c>
      <c r="I1815" s="156" t="inlineStr">
        <is>
          <t>Bota Dama Pitón Negro</t>
        </is>
      </c>
      <c r="J1815" s="156" t="inlineStr">
        <is>
          <t>Calzado</t>
        </is>
      </c>
      <c r="K1815" s="156" t="inlineStr">
        <is>
          <t>Botas</t>
        </is>
      </c>
      <c r="L1815" s="156" t="inlineStr">
        <is>
          <t>Mujer</t>
        </is>
      </c>
      <c r="M1815" s="156" t="inlineStr">
        <is>
          <t>Stetson</t>
        </is>
      </c>
      <c r="N1815" s="156" t="inlineStr">
        <is>
          <t>SS26</t>
        </is>
      </c>
      <c r="O1815" s="156" t="n"/>
      <c r="P1815" s="156" t="inlineStr">
        <is>
          <t>Negro</t>
        </is>
      </c>
      <c r="Q1815" s="156" t="n"/>
      <c r="R1815" s="156" t="inlineStr">
        <is>
          <t>Horma Alexia</t>
        </is>
      </c>
      <c r="S1815" s="156" t="inlineStr">
        <is>
          <t>Piel de pitón</t>
        </is>
      </c>
      <c r="T1815" s="156" t="inlineStr">
        <is>
          <t>Bota Dama Piel de pitón Negro Horma Alexia</t>
        </is>
      </c>
      <c r="U1815" s="156" t="n"/>
      <c r="V1815" s="156" t="inlineStr">
        <is>
          <t>PRS</t>
        </is>
      </c>
      <c r="W1815" s="51" t="inlineStr">
        <is>
          <t>53111502</t>
        </is>
      </c>
      <c r="X1815" s="156" t="n"/>
      <c r="Y1815" s="54" t="n"/>
      <c r="Z1815" s="54" t="n">
        <v>8300</v>
      </c>
      <c r="AA1815" s="55">
        <f>IF(AND(A1815="", B1815="", E1815=""), "", IF(AB1815="", "Válido", IF((LEN(AB1815)-LEN(SUBSTITUTE(AB1815,"; ","")))/2+1&gt;(LEN(AB1815)-LEN(SUBSTITUTE(AB1815,"[Aviso]","")))/7, "Con Incidencias", "Válido")))</f>
        <v/>
      </c>
      <c r="AB1815" s="56">
        <f>IF(AND(A1815="", B1815="", E1815=""), "", TEXTJOIN("; ", TRUE, IF(OR(TRIM(A1815&amp;"")="", ISNUMBER(SEARCH("FALTA", A1815))), "UPC faltante/inválido", ""), IF(AND(A1815&lt;&gt;"", IFERROR(_xlfn.XMATCH(A1815,$A$2:$A$2509,0,1)&lt;&gt;_xlfn.XMATCH(A1815,$A$2:$A$2509,0,-1),FALSE)), "Código de barras duplicado", ""), IF(AND(E1815&lt;&gt;"", COUNTIF($E$2:$E$2509, E1815)&gt;1), "SKU duplicado", ""), IF(OR(J1815="", J1815=""), "[Aviso] División no capturada ()", IF(ISNA(MATCH(J1815, Criterios!$A$123:$A$126, 0)), "División no válida", "")), IF(OR(K1815="", K1815=""), "[Aviso] Categoría no capturada ()", IF(ISNA(MATCH(K1815, Criterios!$A$81:$A$120, 0)), "Categoría no válida", IF(AND(J1815&lt;&gt;"", J1815&lt;&gt;"", J1815&lt;&gt;VLOOKUP(K1815, Criterios!$A$81:$B$120, 2, FALSE)), "División no coincide con Categoría", ""))), IF(OR(L1815="", L1815=""), "[Aviso] Género no capturado ()", IF(ISNA(MATCH(L1815, Criterios!$B$123:$B$127, 0)), "Género no válido", "")), IF(OR(N1815="", N1815=""), "[Aviso] Temporada no capturada ()", IF(ISNA(MATCH(N1815, Criterios!$C$123:$C$128, 0)), "Temporada no válida", "")), IF(OR(O1815="", O1815=""), "[Aviso] Ciclo de vida no capturado ()", IF(ISNA(MATCH(O1815, Criterios!$D$123:$D$124, 0)), "Ciclo de vida no válido", ""))))</f>
        <v/>
      </c>
      <c r="AC1815" s="56" t="n"/>
      <c r="AD1815" s="51" t="n">
        <v>0</v>
      </c>
      <c r="AE1815" s="156" t="inlineStr">
        <is>
          <t>Sin coincidencia en NetSuite</t>
        </is>
      </c>
      <c r="AF1815" s="51" t="n"/>
      <c r="AG1815" s="156" t="inlineStr">
        <is>
          <t>Catálogo existente</t>
        </is>
      </c>
      <c r="AH181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5" s="156" t="n"/>
      <c r="AJ1815" s="156" t="n"/>
      <c r="AK1815" s="155" t="inlineStr">
        <is>
          <t>Shopify Stetson: producto 15054565212523 / variante 53350563021163</t>
        </is>
      </c>
      <c r="AL1815" s="58" t="n"/>
      <c r="AM1815" s="58" t="n">
        <v>8300</v>
      </c>
      <c r="AN1815" s="155" t="inlineStr">
        <is>
          <t>Shopify Stetson México</t>
        </is>
      </c>
      <c r="AO1815" s="59" t="n">
        <v>0</v>
      </c>
      <c r="AP1815" s="59" t="n"/>
      <c r="AQ1815" s="59" t="n"/>
      <c r="AR1815" s="155" t="n"/>
    </row>
    <row r="1816">
      <c r="A1816" s="50" t="inlineStr">
        <is>
          <t>12020000131044027</t>
        </is>
      </c>
      <c r="B1816" s="51" t="n"/>
      <c r="C1816" s="156" t="inlineStr">
        <is>
          <t>Multimarca</t>
        </is>
      </c>
      <c r="D1816" s="156" t="inlineStr">
        <is>
          <t>12-020-BS000-13-1044</t>
        </is>
      </c>
      <c r="E1816" s="156" t="inlineStr">
        <is>
          <t>12-020-BS000-13-1044-027</t>
        </is>
      </c>
      <c r="F1816" s="156" t="inlineStr">
        <is>
          <t>27</t>
        </is>
      </c>
      <c r="G1816" s="156" t="inlineStr">
        <is>
          <t>10</t>
        </is>
      </c>
      <c r="H1816" s="156" t="inlineStr">
        <is>
          <t>Stetson</t>
        </is>
      </c>
      <c r="I1816" s="156" t="inlineStr">
        <is>
          <t>Bota Dama Pitón Negro</t>
        </is>
      </c>
      <c r="J1816" s="156" t="inlineStr">
        <is>
          <t>Calzado</t>
        </is>
      </c>
      <c r="K1816" s="156" t="inlineStr">
        <is>
          <t>Botas</t>
        </is>
      </c>
      <c r="L1816" s="156" t="inlineStr">
        <is>
          <t>Mujer</t>
        </is>
      </c>
      <c r="M1816" s="156" t="inlineStr">
        <is>
          <t>Stetson</t>
        </is>
      </c>
      <c r="N1816" s="156" t="inlineStr">
        <is>
          <t>SS26</t>
        </is>
      </c>
      <c r="O1816" s="156" t="n"/>
      <c r="P1816" s="156" t="inlineStr">
        <is>
          <t>Negro</t>
        </is>
      </c>
      <c r="Q1816" s="156" t="n"/>
      <c r="R1816" s="156" t="inlineStr">
        <is>
          <t>Horma Alexia</t>
        </is>
      </c>
      <c r="S1816" s="156" t="inlineStr">
        <is>
          <t>Piel de pitón</t>
        </is>
      </c>
      <c r="T1816" s="156" t="inlineStr">
        <is>
          <t>Bota Dama Piel de pitón Negro Horma Alexia</t>
        </is>
      </c>
      <c r="U1816" s="156" t="n"/>
      <c r="V1816" s="156" t="inlineStr">
        <is>
          <t>PRS</t>
        </is>
      </c>
      <c r="W1816" s="51" t="inlineStr">
        <is>
          <t>53111502</t>
        </is>
      </c>
      <c r="X1816" s="156" t="n"/>
      <c r="Y1816" s="54" t="n"/>
      <c r="Z1816" s="54" t="n">
        <v>8300</v>
      </c>
      <c r="AA1816" s="55">
        <f>IF(AND(A1816="", B1816="", E1816=""), "", IF(AB1816="", "Válido", IF((LEN(AB1816)-LEN(SUBSTITUTE(AB1816,"; ","")))/2+1&gt;(LEN(AB1816)-LEN(SUBSTITUTE(AB1816,"[Aviso]","")))/7, "Con Incidencias", "Válido")))</f>
        <v/>
      </c>
      <c r="AB1816" s="56">
        <f>IF(AND(A1816="", B1816="", E1816=""), "", TEXTJOIN("; ", TRUE, IF(OR(TRIM(A1816&amp;"")="", ISNUMBER(SEARCH("FALTA", A1816))), "UPC faltante/inválido", ""), IF(AND(A1816&lt;&gt;"", IFERROR(_xlfn.XMATCH(A1816,$A$2:$A$2509,0,1)&lt;&gt;_xlfn.XMATCH(A1816,$A$2:$A$2509,0,-1),FALSE)), "Código de barras duplicado", ""), IF(AND(E1816&lt;&gt;"", COUNTIF($E$2:$E$2509, E1816)&gt;1), "SKU duplicado", ""), IF(OR(J1816="", J1816=""), "[Aviso] División no capturada ()", IF(ISNA(MATCH(J1816, Criterios!$A$123:$A$126, 0)), "División no válida", "")), IF(OR(K1816="", K1816=""), "[Aviso] Categoría no capturada ()", IF(ISNA(MATCH(K1816, Criterios!$A$81:$A$120, 0)), "Categoría no válida", IF(AND(J1816&lt;&gt;"", J1816&lt;&gt;"", J1816&lt;&gt;VLOOKUP(K1816, Criterios!$A$81:$B$120, 2, FALSE)), "División no coincide con Categoría", ""))), IF(OR(L1816="", L1816=""), "[Aviso] Género no capturado ()", IF(ISNA(MATCH(L1816, Criterios!$B$123:$B$127, 0)), "Género no válido", "")), IF(OR(N1816="", N1816=""), "[Aviso] Temporada no capturada ()", IF(ISNA(MATCH(N1816, Criterios!$C$123:$C$128, 0)), "Temporada no válida", "")), IF(OR(O1816="", O1816=""), "[Aviso] Ciclo de vida no capturado ()", IF(ISNA(MATCH(O1816, Criterios!$D$123:$D$124, 0)), "Ciclo de vida no válido", ""))))</f>
        <v/>
      </c>
      <c r="AC1816" s="56" t="n"/>
      <c r="AD1816" s="51" t="n">
        <v>0</v>
      </c>
      <c r="AE1816" s="156" t="inlineStr">
        <is>
          <t>Sin coincidencia en NetSuite</t>
        </is>
      </c>
      <c r="AF1816" s="51" t="n"/>
      <c r="AG1816" s="156" t="inlineStr">
        <is>
          <t>Catálogo existente</t>
        </is>
      </c>
      <c r="AH181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6" s="156" t="n"/>
      <c r="AJ1816" s="156" t="n"/>
      <c r="AK1816" s="155" t="inlineStr">
        <is>
          <t>Shopify Stetson: producto 15054565212523 / variante 53350563086699</t>
        </is>
      </c>
      <c r="AL1816" s="58" t="n"/>
      <c r="AM1816" s="58" t="n">
        <v>8300</v>
      </c>
      <c r="AN1816" s="155" t="inlineStr">
        <is>
          <t>Shopify Stetson México</t>
        </is>
      </c>
      <c r="AO1816" s="59" t="n">
        <v>0</v>
      </c>
      <c r="AP1816" s="59" t="n"/>
      <c r="AQ1816" s="59" t="n"/>
      <c r="AR1816" s="155" t="n"/>
    </row>
    <row r="1817">
      <c r="A1817" s="50" t="inlineStr">
        <is>
          <t>12020000131044255</t>
        </is>
      </c>
      <c r="B1817" s="51" t="n"/>
      <c r="C1817" s="156" t="inlineStr">
        <is>
          <t>Multimarca</t>
        </is>
      </c>
      <c r="D1817" s="156" t="inlineStr">
        <is>
          <t>12-020-BS000-13-1044</t>
        </is>
      </c>
      <c r="E1817" s="156" t="inlineStr">
        <is>
          <t>12-020-BS000-13-1044-255</t>
        </is>
      </c>
      <c r="F1817" s="156" t="inlineStr">
        <is>
          <t>25.5</t>
        </is>
      </c>
      <c r="G1817" s="156" t="inlineStr">
        <is>
          <t>8.5</t>
        </is>
      </c>
      <c r="H1817" s="156" t="inlineStr">
        <is>
          <t>Stetson</t>
        </is>
      </c>
      <c r="I1817" s="156" t="inlineStr">
        <is>
          <t>Bota Dama Pitón Negro</t>
        </is>
      </c>
      <c r="J1817" s="156" t="inlineStr">
        <is>
          <t>Calzado</t>
        </is>
      </c>
      <c r="K1817" s="156" t="inlineStr">
        <is>
          <t>Botas</t>
        </is>
      </c>
      <c r="L1817" s="156" t="inlineStr">
        <is>
          <t>Mujer</t>
        </is>
      </c>
      <c r="M1817" s="156" t="inlineStr">
        <is>
          <t>Stetson</t>
        </is>
      </c>
      <c r="N1817" s="156" t="inlineStr">
        <is>
          <t>SS26</t>
        </is>
      </c>
      <c r="O1817" s="156" t="n"/>
      <c r="P1817" s="156" t="inlineStr">
        <is>
          <t>Negro</t>
        </is>
      </c>
      <c r="Q1817" s="156" t="n"/>
      <c r="R1817" s="156" t="inlineStr">
        <is>
          <t>Horma Alexia</t>
        </is>
      </c>
      <c r="S1817" s="156" t="inlineStr">
        <is>
          <t>Piel de pitón</t>
        </is>
      </c>
      <c r="T1817" s="156" t="inlineStr">
        <is>
          <t>Bota Dama Piel de pitón Negro Horma Alexia</t>
        </is>
      </c>
      <c r="U1817" s="156" t="n"/>
      <c r="V1817" s="156" t="inlineStr">
        <is>
          <t>PRS</t>
        </is>
      </c>
      <c r="W1817" s="51" t="inlineStr">
        <is>
          <t>53111502</t>
        </is>
      </c>
      <c r="X1817" s="156" t="n"/>
      <c r="Y1817" s="54" t="n"/>
      <c r="Z1817" s="54" t="n">
        <v>8300</v>
      </c>
      <c r="AA1817" s="55">
        <f>IF(AND(A1817="", B1817="", E1817=""), "", IF(AB1817="", "Válido", IF((LEN(AB1817)-LEN(SUBSTITUTE(AB1817,"; ","")))/2+1&gt;(LEN(AB1817)-LEN(SUBSTITUTE(AB1817,"[Aviso]","")))/7, "Con Incidencias", "Válido")))</f>
        <v/>
      </c>
      <c r="AB1817" s="56">
        <f>IF(AND(A1817="", B1817="", E1817=""), "", TEXTJOIN("; ", TRUE, IF(OR(TRIM(A1817&amp;"")="", ISNUMBER(SEARCH("FALTA", A1817))), "UPC faltante/inválido", ""), IF(AND(A1817&lt;&gt;"", IFERROR(_xlfn.XMATCH(A1817,$A$2:$A$2509,0,1)&lt;&gt;_xlfn.XMATCH(A1817,$A$2:$A$2509,0,-1),FALSE)), "Código de barras duplicado", ""), IF(AND(E1817&lt;&gt;"", COUNTIF($E$2:$E$2509, E1817)&gt;1), "SKU duplicado", ""), IF(OR(J1817="", J1817=""), "[Aviso] División no capturada ()", IF(ISNA(MATCH(J1817, Criterios!$A$123:$A$126, 0)), "División no válida", "")), IF(OR(K1817="", K1817=""), "[Aviso] Categoría no capturada ()", IF(ISNA(MATCH(K1817, Criterios!$A$81:$A$120, 0)), "Categoría no válida", IF(AND(J1817&lt;&gt;"", J1817&lt;&gt;"", J1817&lt;&gt;VLOOKUP(K1817, Criterios!$A$81:$B$120, 2, FALSE)), "División no coincide con Categoría", ""))), IF(OR(L1817="", L1817=""), "[Aviso] Género no capturado ()", IF(ISNA(MATCH(L1817, Criterios!$B$123:$B$127, 0)), "Género no válido", "")), IF(OR(N1817="", N1817=""), "[Aviso] Temporada no capturada ()", IF(ISNA(MATCH(N1817, Criterios!$C$123:$C$128, 0)), "Temporada no válida", "")), IF(OR(O1817="", O1817=""), "[Aviso] Ciclo de vida no capturado ()", IF(ISNA(MATCH(O1817, Criterios!$D$123:$D$124, 0)), "Ciclo de vida no válido", ""))))</f>
        <v/>
      </c>
      <c r="AC1817" s="56" t="n"/>
      <c r="AD1817" s="51" t="n">
        <v>0</v>
      </c>
      <c r="AE1817" s="156" t="inlineStr">
        <is>
          <t>Sin coincidencia en NetSuite</t>
        </is>
      </c>
      <c r="AF1817" s="51" t="n"/>
      <c r="AG1817" s="156" t="inlineStr">
        <is>
          <t>Catálogo existente</t>
        </is>
      </c>
      <c r="AH181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7" s="156" t="n"/>
      <c r="AJ1817" s="156" t="n"/>
      <c r="AK1817" s="155" t="inlineStr">
        <is>
          <t>Shopify Stetson: producto 15054565212523 / variante 53350562988395</t>
        </is>
      </c>
      <c r="AL1817" s="58" t="n"/>
      <c r="AM1817" s="58" t="n">
        <v>8300</v>
      </c>
      <c r="AN1817" s="155" t="inlineStr">
        <is>
          <t>Shopify Stetson México</t>
        </is>
      </c>
      <c r="AO1817" s="59" t="n">
        <v>1</v>
      </c>
      <c r="AP1817" s="59" t="n"/>
      <c r="AQ1817" s="59" t="n"/>
      <c r="AR1817" s="155" t="inlineStr">
        <is>
          <t>Shopify Stetson México › Stetson Americas: 1</t>
        </is>
      </c>
    </row>
    <row r="1818">
      <c r="A1818" s="50" t="inlineStr">
        <is>
          <t>12020000131044265</t>
        </is>
      </c>
      <c r="B1818" s="51" t="n"/>
      <c r="C1818" s="156" t="inlineStr">
        <is>
          <t>Multimarca</t>
        </is>
      </c>
      <c r="D1818" s="156" t="inlineStr">
        <is>
          <t>12-020-BS000-13-1044</t>
        </is>
      </c>
      <c r="E1818" s="156" t="inlineStr">
        <is>
          <t>12-020-BS000-13-1044-265</t>
        </is>
      </c>
      <c r="F1818" s="156" t="inlineStr">
        <is>
          <t>26.5</t>
        </is>
      </c>
      <c r="G1818" s="156" t="inlineStr">
        <is>
          <t>9.5</t>
        </is>
      </c>
      <c r="H1818" s="156" t="inlineStr">
        <is>
          <t>Stetson</t>
        </is>
      </c>
      <c r="I1818" s="156" t="inlineStr">
        <is>
          <t>Bota Dama Pitón Negro</t>
        </is>
      </c>
      <c r="J1818" s="156" t="inlineStr">
        <is>
          <t>Calzado</t>
        </is>
      </c>
      <c r="K1818" s="156" t="inlineStr">
        <is>
          <t>Botas</t>
        </is>
      </c>
      <c r="L1818" s="156" t="inlineStr">
        <is>
          <t>Mujer</t>
        </is>
      </c>
      <c r="M1818" s="156" t="inlineStr">
        <is>
          <t>Stetson</t>
        </is>
      </c>
      <c r="N1818" s="156" t="inlineStr">
        <is>
          <t>SS26</t>
        </is>
      </c>
      <c r="O1818" s="156" t="n"/>
      <c r="P1818" s="156" t="inlineStr">
        <is>
          <t>Negro</t>
        </is>
      </c>
      <c r="Q1818" s="156" t="n"/>
      <c r="R1818" s="156" t="inlineStr">
        <is>
          <t>Horma Alexia</t>
        </is>
      </c>
      <c r="S1818" s="156" t="inlineStr">
        <is>
          <t>Piel de pitón</t>
        </is>
      </c>
      <c r="T1818" s="156" t="inlineStr">
        <is>
          <t>Bota Dama Piel de pitón Negro Horma Alexia</t>
        </is>
      </c>
      <c r="U1818" s="156" t="n"/>
      <c r="V1818" s="156" t="inlineStr">
        <is>
          <t>PRS</t>
        </is>
      </c>
      <c r="W1818" s="51" t="inlineStr">
        <is>
          <t>53111502</t>
        </is>
      </c>
      <c r="X1818" s="156" t="n"/>
      <c r="Y1818" s="54" t="n"/>
      <c r="Z1818" s="54" t="n">
        <v>8300</v>
      </c>
      <c r="AA1818" s="55">
        <f>IF(AND(A1818="", B1818="", E1818=""), "", IF(AB1818="", "Válido", IF((LEN(AB1818)-LEN(SUBSTITUTE(AB1818,"; ","")))/2+1&gt;(LEN(AB1818)-LEN(SUBSTITUTE(AB1818,"[Aviso]","")))/7, "Con Incidencias", "Válido")))</f>
        <v/>
      </c>
      <c r="AB1818" s="56">
        <f>IF(AND(A1818="", B1818="", E1818=""), "", TEXTJOIN("; ", TRUE, IF(OR(TRIM(A1818&amp;"")="", ISNUMBER(SEARCH("FALTA", A1818))), "UPC faltante/inválido", ""), IF(AND(A1818&lt;&gt;"", IFERROR(_xlfn.XMATCH(A1818,$A$2:$A$2509,0,1)&lt;&gt;_xlfn.XMATCH(A1818,$A$2:$A$2509,0,-1),FALSE)), "Código de barras duplicado", ""), IF(AND(E1818&lt;&gt;"", COUNTIF($E$2:$E$2509, E1818)&gt;1), "SKU duplicado", ""), IF(OR(J1818="", J1818=""), "[Aviso] División no capturada ()", IF(ISNA(MATCH(J1818, Criterios!$A$123:$A$126, 0)), "División no válida", "")), IF(OR(K1818="", K1818=""), "[Aviso] Categoría no capturada ()", IF(ISNA(MATCH(K1818, Criterios!$A$81:$A$120, 0)), "Categoría no válida", IF(AND(J1818&lt;&gt;"", J1818&lt;&gt;"", J1818&lt;&gt;VLOOKUP(K1818, Criterios!$A$81:$B$120, 2, FALSE)), "División no coincide con Categoría", ""))), IF(OR(L1818="", L1818=""), "[Aviso] Género no capturado ()", IF(ISNA(MATCH(L1818, Criterios!$B$123:$B$127, 0)), "Género no válido", "")), IF(OR(N1818="", N1818=""), "[Aviso] Temporada no capturada ()", IF(ISNA(MATCH(N1818, Criterios!$C$123:$C$128, 0)), "Temporada no válida", "")), IF(OR(O1818="", O1818=""), "[Aviso] Ciclo de vida no capturado ()", IF(ISNA(MATCH(O1818, Criterios!$D$123:$D$124, 0)), "Ciclo de vida no válido", ""))))</f>
        <v/>
      </c>
      <c r="AC1818" s="56" t="n"/>
      <c r="AD1818" s="51" t="n">
        <v>0</v>
      </c>
      <c r="AE1818" s="156" t="inlineStr">
        <is>
          <t>Sin coincidencia en NetSuite</t>
        </is>
      </c>
      <c r="AF1818" s="51" t="n"/>
      <c r="AG1818" s="156" t="inlineStr">
        <is>
          <t>Catálogo existente</t>
        </is>
      </c>
      <c r="AH181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8" s="156" t="n"/>
      <c r="AJ1818" s="156" t="n"/>
      <c r="AK1818" s="155" t="inlineStr">
        <is>
          <t>Shopify Stetson: producto 15054565212523 / variante 53350563053931</t>
        </is>
      </c>
      <c r="AL1818" s="58" t="n"/>
      <c r="AM1818" s="58" t="n">
        <v>8300</v>
      </c>
      <c r="AN1818" s="155" t="inlineStr">
        <is>
          <t>Shopify Stetson México</t>
        </is>
      </c>
      <c r="AO1818" s="59" t="n">
        <v>0</v>
      </c>
      <c r="AP1818" s="59" t="n"/>
      <c r="AQ1818" s="59" t="n"/>
      <c r="AR1818" s="155" t="n"/>
    </row>
    <row r="1819">
      <c r="A1819" s="50" t="inlineStr">
        <is>
          <t>12020000131044275</t>
        </is>
      </c>
      <c r="B1819" s="51" t="n"/>
      <c r="C1819" s="156" t="inlineStr">
        <is>
          <t>Multimarca</t>
        </is>
      </c>
      <c r="D1819" s="156" t="inlineStr">
        <is>
          <t>12-020-BS000-13-1044</t>
        </is>
      </c>
      <c r="E1819" s="156" t="inlineStr">
        <is>
          <t>12-020-BS000-13-1044-275</t>
        </is>
      </c>
      <c r="F1819" s="156" t="inlineStr">
        <is>
          <t>27.5</t>
        </is>
      </c>
      <c r="G1819" s="156" t="inlineStr">
        <is>
          <t>10.5</t>
        </is>
      </c>
      <c r="H1819" s="156" t="inlineStr">
        <is>
          <t>Stetson</t>
        </is>
      </c>
      <c r="I1819" s="156" t="inlineStr">
        <is>
          <t>Bota Dama Pitón Negro</t>
        </is>
      </c>
      <c r="J1819" s="156" t="inlineStr">
        <is>
          <t>Calzado</t>
        </is>
      </c>
      <c r="K1819" s="156" t="inlineStr">
        <is>
          <t>Botas</t>
        </is>
      </c>
      <c r="L1819" s="156" t="inlineStr">
        <is>
          <t>Mujer</t>
        </is>
      </c>
      <c r="M1819" s="156" t="inlineStr">
        <is>
          <t>Stetson</t>
        </is>
      </c>
      <c r="N1819" s="156" t="inlineStr">
        <is>
          <t>SS26</t>
        </is>
      </c>
      <c r="O1819" s="156" t="n"/>
      <c r="P1819" s="156" t="inlineStr">
        <is>
          <t>Negro</t>
        </is>
      </c>
      <c r="Q1819" s="156" t="n"/>
      <c r="R1819" s="156" t="inlineStr">
        <is>
          <t>Horma Alexia</t>
        </is>
      </c>
      <c r="S1819" s="156" t="inlineStr">
        <is>
          <t>Piel de pitón</t>
        </is>
      </c>
      <c r="T1819" s="156" t="inlineStr">
        <is>
          <t>Bota Dama Piel de pitón Negro Horma Alexia</t>
        </is>
      </c>
      <c r="U1819" s="156" t="n"/>
      <c r="V1819" s="156" t="inlineStr">
        <is>
          <t>PRS</t>
        </is>
      </c>
      <c r="W1819" s="51" t="inlineStr">
        <is>
          <t>53111502</t>
        </is>
      </c>
      <c r="X1819" s="156" t="n"/>
      <c r="Y1819" s="54" t="n"/>
      <c r="Z1819" s="54" t="n">
        <v>8300</v>
      </c>
      <c r="AA1819" s="55">
        <f>IF(AND(A1819="", B1819="", E1819=""), "", IF(AB1819="", "Válido", IF((LEN(AB1819)-LEN(SUBSTITUTE(AB1819,"; ","")))/2+1&gt;(LEN(AB1819)-LEN(SUBSTITUTE(AB1819,"[Aviso]","")))/7, "Con Incidencias", "Válido")))</f>
        <v/>
      </c>
      <c r="AB1819" s="56">
        <f>IF(AND(A1819="", B1819="", E1819=""), "", TEXTJOIN("; ", TRUE, IF(OR(TRIM(A1819&amp;"")="", ISNUMBER(SEARCH("FALTA", A1819))), "UPC faltante/inválido", ""), IF(AND(A1819&lt;&gt;"", IFERROR(_xlfn.XMATCH(A1819,$A$2:$A$2509,0,1)&lt;&gt;_xlfn.XMATCH(A1819,$A$2:$A$2509,0,-1),FALSE)), "Código de barras duplicado", ""), IF(AND(E1819&lt;&gt;"", COUNTIF($E$2:$E$2509, E1819)&gt;1), "SKU duplicado", ""), IF(OR(J1819="", J1819=""), "[Aviso] División no capturada ()", IF(ISNA(MATCH(J1819, Criterios!$A$123:$A$126, 0)), "División no válida", "")), IF(OR(K1819="", K1819=""), "[Aviso] Categoría no capturada ()", IF(ISNA(MATCH(K1819, Criterios!$A$81:$A$120, 0)), "Categoría no válida", IF(AND(J1819&lt;&gt;"", J1819&lt;&gt;"", J1819&lt;&gt;VLOOKUP(K1819, Criterios!$A$81:$B$120, 2, FALSE)), "División no coincide con Categoría", ""))), IF(OR(L1819="", L1819=""), "[Aviso] Género no capturado ()", IF(ISNA(MATCH(L1819, Criterios!$B$123:$B$127, 0)), "Género no válido", "")), IF(OR(N1819="", N1819=""), "[Aviso] Temporada no capturada ()", IF(ISNA(MATCH(N1819, Criterios!$C$123:$C$128, 0)), "Temporada no válida", "")), IF(OR(O1819="", O1819=""), "[Aviso] Ciclo de vida no capturado ()", IF(ISNA(MATCH(O1819, Criterios!$D$123:$D$124, 0)), "Ciclo de vida no válido", ""))))</f>
        <v/>
      </c>
      <c r="AC1819" s="56" t="n"/>
      <c r="AD1819" s="51" t="n">
        <v>0</v>
      </c>
      <c r="AE1819" s="156" t="inlineStr">
        <is>
          <t>Sin coincidencia en NetSuite</t>
        </is>
      </c>
      <c r="AF1819" s="51" t="n"/>
      <c r="AG1819" s="156" t="inlineStr">
        <is>
          <t>Catálogo existente</t>
        </is>
      </c>
      <c r="AH181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9" s="156" t="n"/>
      <c r="AJ1819" s="156" t="n"/>
      <c r="AK1819" s="155" t="inlineStr">
        <is>
          <t>Shopify Stetson: producto 15054565212523 / variante 53350563119467</t>
        </is>
      </c>
      <c r="AL1819" s="58" t="n"/>
      <c r="AM1819" s="58" t="n">
        <v>8300</v>
      </c>
      <c r="AN1819" s="155" t="inlineStr">
        <is>
          <t>Shopify Stetson México</t>
        </is>
      </c>
      <c r="AO1819" s="59" t="n">
        <v>0</v>
      </c>
      <c r="AP1819" s="59" t="n"/>
      <c r="AQ1819" s="59" t="n"/>
      <c r="AR1819" s="155" t="n"/>
    </row>
    <row r="1820">
      <c r="A1820" s="50" t="inlineStr">
        <is>
          <t>12020000131045026</t>
        </is>
      </c>
      <c r="B1820" s="51" t="n"/>
      <c r="C1820" s="156" t="inlineStr">
        <is>
          <t>Multimarca</t>
        </is>
      </c>
      <c r="D1820" s="156" t="inlineStr">
        <is>
          <t>12-020-BS000-13-1045</t>
        </is>
      </c>
      <c r="E1820" s="156" t="inlineStr">
        <is>
          <t>12-020-BS000-13-1045-026</t>
        </is>
      </c>
      <c r="F1820" s="156" t="inlineStr">
        <is>
          <t>26</t>
        </is>
      </c>
      <c r="G1820" s="156" t="inlineStr">
        <is>
          <t>9</t>
        </is>
      </c>
      <c r="H1820" s="156" t="inlineStr">
        <is>
          <t>Stetson</t>
        </is>
      </c>
      <c r="I1820" s="156" t="inlineStr">
        <is>
          <t>Bota Pitón Rojo</t>
        </is>
      </c>
      <c r="J1820" s="156" t="inlineStr">
        <is>
          <t>Calzado</t>
        </is>
      </c>
      <c r="K1820" s="156" t="inlineStr">
        <is>
          <t>Botas</t>
        </is>
      </c>
      <c r="L1820" s="156" t="inlineStr">
        <is>
          <t>Mujer</t>
        </is>
      </c>
      <c r="M1820" s="156" t="inlineStr">
        <is>
          <t>Stetson</t>
        </is>
      </c>
      <c r="N1820" s="156" t="inlineStr">
        <is>
          <t>SS26</t>
        </is>
      </c>
      <c r="O1820" s="156" t="inlineStr">
        <is>
          <t>Seasonal</t>
        </is>
      </c>
      <c r="P1820" s="156" t="inlineStr">
        <is>
          <t>Rojo</t>
        </is>
      </c>
      <c r="Q1820" s="156" t="n"/>
      <c r="R1820" s="156" t="inlineStr">
        <is>
          <t>Horma Alexia</t>
        </is>
      </c>
      <c r="S1820" s="156" t="inlineStr">
        <is>
          <t>Piel de pitón</t>
        </is>
      </c>
      <c r="T1820" s="156" t="inlineStr">
        <is>
          <t>Bota Dama Piel de pitón Rojo Horma Alexia</t>
        </is>
      </c>
      <c r="U1820" s="156" t="inlineStr">
        <is>
          <t>México</t>
        </is>
      </c>
      <c r="V1820" s="156" t="inlineStr">
        <is>
          <t>PRS</t>
        </is>
      </c>
      <c r="W1820" s="51" t="inlineStr">
        <is>
          <t>53111502</t>
        </is>
      </c>
      <c r="X1820" s="156" t="n"/>
      <c r="Y1820" s="54" t="n"/>
      <c r="Z1820" s="54" t="n">
        <v>8300</v>
      </c>
      <c r="AA1820" s="55">
        <f>IF(AND(A1820="", B1820="", E1820=""), "", IF(AB1820="", "Válido", IF((LEN(AB1820)-LEN(SUBSTITUTE(AB1820,"; ","")))/2+1&gt;(LEN(AB1820)-LEN(SUBSTITUTE(AB1820,"[Aviso]","")))/7, "Con Incidencias", "Válido")))</f>
        <v/>
      </c>
      <c r="AB1820" s="56">
        <f>IF(AND(A1820="", B1820="", E1820=""), "", TEXTJOIN("; ", TRUE, IF(OR(TRIM(A1820&amp;"")="", ISNUMBER(SEARCH("FALTA", A1820))), "UPC faltante/inválido", ""), IF(AND(A1820&lt;&gt;"", IFERROR(_xlfn.XMATCH(A1820,$A$2:$A$2509,0,1)&lt;&gt;_xlfn.XMATCH(A1820,$A$2:$A$2509,0,-1),FALSE)), "Código de barras duplicado", ""), IF(AND(E1820&lt;&gt;"", COUNTIF($E$2:$E$2509, E1820)&gt;1), "SKU duplicado", ""), IF(OR(J1820="", J1820=""), "[Aviso] División no capturada ()", IF(ISNA(MATCH(J1820, Criterios!$A$123:$A$126, 0)), "División no válida", "")), IF(OR(K1820="", K1820=""), "[Aviso] Categoría no capturada ()", IF(ISNA(MATCH(K1820, Criterios!$A$81:$A$120, 0)), "Categoría no válida", IF(AND(J1820&lt;&gt;"", J1820&lt;&gt;"", J1820&lt;&gt;VLOOKUP(K1820, Criterios!$A$81:$B$120, 2, FALSE)), "División no coincide con Categoría", ""))), IF(OR(L1820="", L1820=""), "[Aviso] Género no capturado ()", IF(ISNA(MATCH(L1820, Criterios!$B$123:$B$127, 0)), "Género no válido", "")), IF(OR(N1820="", N1820=""), "[Aviso] Temporada no capturada ()", IF(ISNA(MATCH(N1820, Criterios!$C$123:$C$128, 0)), "Temporada no válida", "")), IF(OR(O1820="", O1820=""), "[Aviso] Ciclo de vida no capturado ()", IF(ISNA(MATCH(O1820, Criterios!$D$123:$D$124, 0)), "Ciclo de vida no válido", ""))))</f>
        <v/>
      </c>
      <c r="AC1820" s="56" t="n"/>
      <c r="AD1820" s="51" t="n">
        <v>0</v>
      </c>
      <c r="AE1820" s="156" t="inlineStr">
        <is>
          <t>Sin coincidencia en NetSuite</t>
        </is>
      </c>
      <c r="AF1820" s="51" t="n"/>
      <c r="AG1820" s="156" t="inlineStr">
        <is>
          <t>Catálogo existente</t>
        </is>
      </c>
      <c r="AH182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0" s="156" t="n"/>
      <c r="AJ1820" s="156" t="n"/>
      <c r="AK1820" s="155" t="inlineStr">
        <is>
          <t>Shopify Stetson: producto 15054565245291 / variante 53350563414379</t>
        </is>
      </c>
      <c r="AL1820" s="58" t="n"/>
      <c r="AM1820" s="58" t="n">
        <v>8300</v>
      </c>
      <c r="AN1820" s="155" t="inlineStr">
        <is>
          <t>Shopify Stetson México</t>
        </is>
      </c>
      <c r="AO1820" s="59" t="n">
        <v>0</v>
      </c>
      <c r="AP1820" s="59" t="n"/>
      <c r="AQ1820" s="59" t="n"/>
      <c r="AR1820" s="155" t="n"/>
    </row>
    <row r="1821">
      <c r="A1821" s="50" t="inlineStr">
        <is>
          <t>12020000131045027</t>
        </is>
      </c>
      <c r="B1821" s="51" t="n"/>
      <c r="C1821" s="156" t="inlineStr">
        <is>
          <t>Multimarca</t>
        </is>
      </c>
      <c r="D1821" s="156" t="inlineStr">
        <is>
          <t>12-020-BS000-13-1045</t>
        </is>
      </c>
      <c r="E1821" s="156" t="inlineStr">
        <is>
          <t>12-020-BS000-13-1045-027</t>
        </is>
      </c>
      <c r="F1821" s="156" t="inlineStr">
        <is>
          <t>27</t>
        </is>
      </c>
      <c r="G1821" s="156" t="inlineStr">
        <is>
          <t>10</t>
        </is>
      </c>
      <c r="H1821" s="156" t="inlineStr">
        <is>
          <t>Stetson</t>
        </is>
      </c>
      <c r="I1821" s="156" t="inlineStr">
        <is>
          <t>Bota Pitón Rojo</t>
        </is>
      </c>
      <c r="J1821" s="156" t="inlineStr">
        <is>
          <t>Calzado</t>
        </is>
      </c>
      <c r="K1821" s="156" t="inlineStr">
        <is>
          <t>Botas</t>
        </is>
      </c>
      <c r="L1821" s="156" t="inlineStr">
        <is>
          <t>Mujer</t>
        </is>
      </c>
      <c r="M1821" s="156" t="inlineStr">
        <is>
          <t>Stetson</t>
        </is>
      </c>
      <c r="N1821" s="156" t="inlineStr">
        <is>
          <t>SS26</t>
        </is>
      </c>
      <c r="O1821" s="156" t="inlineStr">
        <is>
          <t>Seasonal</t>
        </is>
      </c>
      <c r="P1821" s="156" t="inlineStr">
        <is>
          <t>Rojo</t>
        </is>
      </c>
      <c r="Q1821" s="156" t="n"/>
      <c r="R1821" s="156" t="inlineStr">
        <is>
          <t>Horma Alexia</t>
        </is>
      </c>
      <c r="S1821" s="156" t="inlineStr">
        <is>
          <t>Piel de pitón</t>
        </is>
      </c>
      <c r="T1821" s="156" t="inlineStr">
        <is>
          <t>Bota Dama Piel de pitón Rojo Horma Alexia</t>
        </is>
      </c>
      <c r="U1821" s="156" t="inlineStr">
        <is>
          <t>México</t>
        </is>
      </c>
      <c r="V1821" s="156" t="inlineStr">
        <is>
          <t>PRS</t>
        </is>
      </c>
      <c r="W1821" s="51" t="inlineStr">
        <is>
          <t>53111502</t>
        </is>
      </c>
      <c r="X1821" s="156" t="n"/>
      <c r="Y1821" s="54" t="n"/>
      <c r="Z1821" s="54" t="n">
        <v>8300</v>
      </c>
      <c r="AA1821" s="55">
        <f>IF(AND(A1821="", B1821="", E1821=""), "", IF(AB1821="", "Válido", IF((LEN(AB1821)-LEN(SUBSTITUTE(AB1821,"; ","")))/2+1&gt;(LEN(AB1821)-LEN(SUBSTITUTE(AB1821,"[Aviso]","")))/7, "Con Incidencias", "Válido")))</f>
        <v/>
      </c>
      <c r="AB1821" s="56">
        <f>IF(AND(A1821="", B1821="", E1821=""), "", TEXTJOIN("; ", TRUE, IF(OR(TRIM(A1821&amp;"")="", ISNUMBER(SEARCH("FALTA", A1821))), "UPC faltante/inválido", ""), IF(AND(A1821&lt;&gt;"", IFERROR(_xlfn.XMATCH(A1821,$A$2:$A$2509,0,1)&lt;&gt;_xlfn.XMATCH(A1821,$A$2:$A$2509,0,-1),FALSE)), "Código de barras duplicado", ""), IF(AND(E1821&lt;&gt;"", COUNTIF($E$2:$E$2509, E1821)&gt;1), "SKU duplicado", ""), IF(OR(J1821="", J1821=""), "[Aviso] División no capturada ()", IF(ISNA(MATCH(J1821, Criterios!$A$123:$A$126, 0)), "División no válida", "")), IF(OR(K1821="", K1821=""), "[Aviso] Categoría no capturada ()", IF(ISNA(MATCH(K1821, Criterios!$A$81:$A$120, 0)), "Categoría no válida", IF(AND(J1821&lt;&gt;"", J1821&lt;&gt;"", J1821&lt;&gt;VLOOKUP(K1821, Criterios!$A$81:$B$120, 2, FALSE)), "División no coincide con Categoría", ""))), IF(OR(L1821="", L1821=""), "[Aviso] Género no capturado ()", IF(ISNA(MATCH(L1821, Criterios!$B$123:$B$127, 0)), "Género no válido", "")), IF(OR(N1821="", N1821=""), "[Aviso] Temporada no capturada ()", IF(ISNA(MATCH(N1821, Criterios!$C$123:$C$128, 0)), "Temporada no válida", "")), IF(OR(O1821="", O1821=""), "[Aviso] Ciclo de vida no capturado ()", IF(ISNA(MATCH(O1821, Criterios!$D$123:$D$124, 0)), "Ciclo de vida no válido", ""))))</f>
        <v/>
      </c>
      <c r="AC1821" s="56" t="n"/>
      <c r="AD1821" s="51" t="n">
        <v>0</v>
      </c>
      <c r="AE1821" s="156" t="inlineStr">
        <is>
          <t>Sin coincidencia en NetSuite</t>
        </is>
      </c>
      <c r="AF1821" s="51" t="n"/>
      <c r="AG1821" s="156" t="inlineStr">
        <is>
          <t>Catálogo existente</t>
        </is>
      </c>
      <c r="AH182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1" s="156" t="n"/>
      <c r="AJ1821" s="156" t="n"/>
      <c r="AK1821" s="155" t="inlineStr">
        <is>
          <t>Shopify Stetson: producto 15054565245291 / variante 53350563479915</t>
        </is>
      </c>
      <c r="AL1821" s="58" t="n"/>
      <c r="AM1821" s="58" t="n">
        <v>8300</v>
      </c>
      <c r="AN1821" s="155" t="inlineStr">
        <is>
          <t>Shopify Stetson México</t>
        </is>
      </c>
      <c r="AO1821" s="59" t="n">
        <v>0</v>
      </c>
      <c r="AP1821" s="59" t="n"/>
      <c r="AQ1821" s="59" t="n"/>
      <c r="AR1821" s="155" t="n"/>
    </row>
    <row r="1822">
      <c r="A1822" s="50" t="inlineStr">
        <is>
          <t>12020000131045255</t>
        </is>
      </c>
      <c r="B1822" s="51" t="n"/>
      <c r="C1822" s="156" t="inlineStr">
        <is>
          <t>Multimarca</t>
        </is>
      </c>
      <c r="D1822" s="156" t="inlineStr">
        <is>
          <t>12-020-BS000-13-1045</t>
        </is>
      </c>
      <c r="E1822" s="156" t="inlineStr">
        <is>
          <t>12-020-BS000-13-1045-255</t>
        </is>
      </c>
      <c r="F1822" s="156" t="inlineStr">
        <is>
          <t>25.5</t>
        </is>
      </c>
      <c r="G1822" s="156" t="inlineStr">
        <is>
          <t>8.5</t>
        </is>
      </c>
      <c r="H1822" s="156" t="inlineStr">
        <is>
          <t>Stetson</t>
        </is>
      </c>
      <c r="I1822" s="156" t="inlineStr">
        <is>
          <t>Bota Pitón Rojo</t>
        </is>
      </c>
      <c r="J1822" s="156" t="inlineStr">
        <is>
          <t>Calzado</t>
        </is>
      </c>
      <c r="K1822" s="156" t="inlineStr">
        <is>
          <t>Botas</t>
        </is>
      </c>
      <c r="L1822" s="156" t="inlineStr">
        <is>
          <t>Mujer</t>
        </is>
      </c>
      <c r="M1822" s="156" t="inlineStr">
        <is>
          <t>Stetson</t>
        </is>
      </c>
      <c r="N1822" s="156" t="inlineStr">
        <is>
          <t>SS26</t>
        </is>
      </c>
      <c r="O1822" s="156" t="inlineStr">
        <is>
          <t>Seasonal</t>
        </is>
      </c>
      <c r="P1822" s="156" t="inlineStr">
        <is>
          <t>Rojo</t>
        </is>
      </c>
      <c r="Q1822" s="156" t="n"/>
      <c r="R1822" s="156" t="inlineStr">
        <is>
          <t>Horma Alexia</t>
        </is>
      </c>
      <c r="S1822" s="156" t="inlineStr">
        <is>
          <t>Piel de pitón</t>
        </is>
      </c>
      <c r="T1822" s="156" t="inlineStr">
        <is>
          <t>Bota Dama Piel de pitón Rojo Horma Alexia</t>
        </is>
      </c>
      <c r="U1822" s="156" t="inlineStr">
        <is>
          <t>México</t>
        </is>
      </c>
      <c r="V1822" s="156" t="inlineStr">
        <is>
          <t>PRS</t>
        </is>
      </c>
      <c r="W1822" s="51" t="inlineStr">
        <is>
          <t>53111502</t>
        </is>
      </c>
      <c r="X1822" s="156" t="n"/>
      <c r="Y1822" s="54" t="n"/>
      <c r="Z1822" s="54" t="n">
        <v>8300</v>
      </c>
      <c r="AA1822" s="55">
        <f>IF(AND(A1822="", B1822="", E1822=""), "", IF(AB1822="", "Válido", IF((LEN(AB1822)-LEN(SUBSTITUTE(AB1822,"; ","")))/2+1&gt;(LEN(AB1822)-LEN(SUBSTITUTE(AB1822,"[Aviso]","")))/7, "Con Incidencias", "Válido")))</f>
        <v/>
      </c>
      <c r="AB1822" s="56">
        <f>IF(AND(A1822="", B1822="", E1822=""), "", TEXTJOIN("; ", TRUE, IF(OR(TRIM(A1822&amp;"")="", ISNUMBER(SEARCH("FALTA", A1822))), "UPC faltante/inválido", ""), IF(AND(A1822&lt;&gt;"", IFERROR(_xlfn.XMATCH(A1822,$A$2:$A$2509,0,1)&lt;&gt;_xlfn.XMATCH(A1822,$A$2:$A$2509,0,-1),FALSE)), "Código de barras duplicado", ""), IF(AND(E1822&lt;&gt;"", COUNTIF($E$2:$E$2509, E1822)&gt;1), "SKU duplicado", ""), IF(OR(J1822="", J1822=""), "[Aviso] División no capturada ()", IF(ISNA(MATCH(J1822, Criterios!$A$123:$A$126, 0)), "División no válida", "")), IF(OR(K1822="", K1822=""), "[Aviso] Categoría no capturada ()", IF(ISNA(MATCH(K1822, Criterios!$A$81:$A$120, 0)), "Categoría no válida", IF(AND(J1822&lt;&gt;"", J1822&lt;&gt;"", J1822&lt;&gt;VLOOKUP(K1822, Criterios!$A$81:$B$120, 2, FALSE)), "División no coincide con Categoría", ""))), IF(OR(L1822="", L1822=""), "[Aviso] Género no capturado ()", IF(ISNA(MATCH(L1822, Criterios!$B$123:$B$127, 0)), "Género no válido", "")), IF(OR(N1822="", N1822=""), "[Aviso] Temporada no capturada ()", IF(ISNA(MATCH(N1822, Criterios!$C$123:$C$128, 0)), "Temporada no válida", "")), IF(OR(O1822="", O1822=""), "[Aviso] Ciclo de vida no capturado ()", IF(ISNA(MATCH(O1822, Criterios!$D$123:$D$124, 0)), "Ciclo de vida no válido", ""))))</f>
        <v/>
      </c>
      <c r="AC1822" s="56" t="n"/>
      <c r="AD1822" s="51" t="n">
        <v>0</v>
      </c>
      <c r="AE1822" s="156" t="inlineStr">
        <is>
          <t>Sin coincidencia en NetSuite</t>
        </is>
      </c>
      <c r="AF1822" s="51" t="n"/>
      <c r="AG1822" s="156" t="inlineStr">
        <is>
          <t>Catálogo existente</t>
        </is>
      </c>
      <c r="AH182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2" s="156" t="n"/>
      <c r="AJ1822" s="156" t="n"/>
      <c r="AK1822" s="155" t="inlineStr">
        <is>
          <t>Shopify Stetson: producto 15054565245291 / variante 53350563381611</t>
        </is>
      </c>
      <c r="AL1822" s="58" t="n"/>
      <c r="AM1822" s="58" t="n">
        <v>8300</v>
      </c>
      <c r="AN1822" s="155" t="inlineStr">
        <is>
          <t>Shopify Stetson México</t>
        </is>
      </c>
      <c r="AO1822" s="59" t="n">
        <v>2</v>
      </c>
      <c r="AP1822" s="59" t="n"/>
      <c r="AQ1822" s="59" t="n"/>
      <c r="AR1822" s="155" t="inlineStr">
        <is>
          <t>Shopify Stetson México › Stetson Americas: 2</t>
        </is>
      </c>
    </row>
    <row r="1823">
      <c r="A1823" s="50" t="inlineStr">
        <is>
          <t>12020000131045265</t>
        </is>
      </c>
      <c r="B1823" s="51" t="n"/>
      <c r="C1823" s="156" t="inlineStr">
        <is>
          <t>Multimarca</t>
        </is>
      </c>
      <c r="D1823" s="156" t="inlineStr">
        <is>
          <t>12-020-BS000-13-1045</t>
        </is>
      </c>
      <c r="E1823" s="156" t="inlineStr">
        <is>
          <t>12-020-BS000-13-1045-265</t>
        </is>
      </c>
      <c r="F1823" s="156" t="inlineStr">
        <is>
          <t>26.5</t>
        </is>
      </c>
      <c r="G1823" s="156" t="inlineStr">
        <is>
          <t>9.5</t>
        </is>
      </c>
      <c r="H1823" s="156" t="inlineStr">
        <is>
          <t>Stetson</t>
        </is>
      </c>
      <c r="I1823" s="156" t="inlineStr">
        <is>
          <t>Bota Pitón Rojo</t>
        </is>
      </c>
      <c r="J1823" s="156" t="inlineStr">
        <is>
          <t>Calzado</t>
        </is>
      </c>
      <c r="K1823" s="156" t="inlineStr">
        <is>
          <t>Botas</t>
        </is>
      </c>
      <c r="L1823" s="156" t="inlineStr">
        <is>
          <t>Mujer</t>
        </is>
      </c>
      <c r="M1823" s="156" t="inlineStr">
        <is>
          <t>Stetson</t>
        </is>
      </c>
      <c r="N1823" s="156" t="inlineStr">
        <is>
          <t>SS26</t>
        </is>
      </c>
      <c r="O1823" s="156" t="inlineStr">
        <is>
          <t>Seasonal</t>
        </is>
      </c>
      <c r="P1823" s="156" t="inlineStr">
        <is>
          <t>Rojo</t>
        </is>
      </c>
      <c r="Q1823" s="156" t="n"/>
      <c r="R1823" s="156" t="inlineStr">
        <is>
          <t>Horma Alexia</t>
        </is>
      </c>
      <c r="S1823" s="156" t="inlineStr">
        <is>
          <t>Piel de pitón</t>
        </is>
      </c>
      <c r="T1823" s="156" t="inlineStr">
        <is>
          <t>Bota Dama Piel de pitón Rojo Horma Alexia</t>
        </is>
      </c>
      <c r="U1823" s="156" t="inlineStr">
        <is>
          <t>México</t>
        </is>
      </c>
      <c r="V1823" s="156" t="inlineStr">
        <is>
          <t>PRS</t>
        </is>
      </c>
      <c r="W1823" s="51" t="inlineStr">
        <is>
          <t>53111502</t>
        </is>
      </c>
      <c r="X1823" s="156" t="n"/>
      <c r="Y1823" s="54" t="n"/>
      <c r="Z1823" s="54" t="n">
        <v>8300</v>
      </c>
      <c r="AA1823" s="55">
        <f>IF(AND(A1823="", B1823="", E1823=""), "", IF(AB1823="", "Válido", IF((LEN(AB1823)-LEN(SUBSTITUTE(AB1823,"; ","")))/2+1&gt;(LEN(AB1823)-LEN(SUBSTITUTE(AB1823,"[Aviso]","")))/7, "Con Incidencias", "Válido")))</f>
        <v/>
      </c>
      <c r="AB1823" s="56">
        <f>IF(AND(A1823="", B1823="", E1823=""), "", TEXTJOIN("; ", TRUE, IF(OR(TRIM(A1823&amp;"")="", ISNUMBER(SEARCH("FALTA", A1823))), "UPC faltante/inválido", ""), IF(AND(A1823&lt;&gt;"", IFERROR(_xlfn.XMATCH(A1823,$A$2:$A$2509,0,1)&lt;&gt;_xlfn.XMATCH(A1823,$A$2:$A$2509,0,-1),FALSE)), "Código de barras duplicado", ""), IF(AND(E1823&lt;&gt;"", COUNTIF($E$2:$E$2509, E1823)&gt;1), "SKU duplicado", ""), IF(OR(J1823="", J1823=""), "[Aviso] División no capturada ()", IF(ISNA(MATCH(J1823, Criterios!$A$123:$A$126, 0)), "División no válida", "")), IF(OR(K1823="", K1823=""), "[Aviso] Categoría no capturada ()", IF(ISNA(MATCH(K1823, Criterios!$A$81:$A$120, 0)), "Categoría no válida", IF(AND(J1823&lt;&gt;"", J1823&lt;&gt;"", J1823&lt;&gt;VLOOKUP(K1823, Criterios!$A$81:$B$120, 2, FALSE)), "División no coincide con Categoría", ""))), IF(OR(L1823="", L1823=""), "[Aviso] Género no capturado ()", IF(ISNA(MATCH(L1823, Criterios!$B$123:$B$127, 0)), "Género no válido", "")), IF(OR(N1823="", N1823=""), "[Aviso] Temporada no capturada ()", IF(ISNA(MATCH(N1823, Criterios!$C$123:$C$128, 0)), "Temporada no válida", "")), IF(OR(O1823="", O1823=""), "[Aviso] Ciclo de vida no capturado ()", IF(ISNA(MATCH(O1823, Criterios!$D$123:$D$124, 0)), "Ciclo de vida no válido", ""))))</f>
        <v/>
      </c>
      <c r="AC1823" s="56" t="n"/>
      <c r="AD1823" s="51" t="n">
        <v>0</v>
      </c>
      <c r="AE1823" s="156" t="inlineStr">
        <is>
          <t>Sin coincidencia en NetSuite</t>
        </is>
      </c>
      <c r="AF1823" s="51" t="n"/>
      <c r="AG1823" s="156" t="inlineStr">
        <is>
          <t>Catálogo existente</t>
        </is>
      </c>
      <c r="AH182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3" s="156" t="n"/>
      <c r="AJ1823" s="156" t="n"/>
      <c r="AK1823" s="155" t="inlineStr">
        <is>
          <t>Shopify Stetson: producto 15054565245291 / variante 53350563447147</t>
        </is>
      </c>
      <c r="AL1823" s="58" t="n"/>
      <c r="AM1823" s="58" t="n">
        <v>8300</v>
      </c>
      <c r="AN1823" s="155" t="inlineStr">
        <is>
          <t>Shopify Stetson México</t>
        </is>
      </c>
      <c r="AO1823" s="59" t="n">
        <v>0</v>
      </c>
      <c r="AP1823" s="59" t="n"/>
      <c r="AQ1823" s="59" t="n"/>
      <c r="AR1823" s="155" t="n"/>
    </row>
    <row r="1824">
      <c r="A1824" s="50" t="inlineStr">
        <is>
          <t>12020000131045275</t>
        </is>
      </c>
      <c r="B1824" s="51" t="n"/>
      <c r="C1824" s="156" t="inlineStr">
        <is>
          <t>Multimarca</t>
        </is>
      </c>
      <c r="D1824" s="156" t="inlineStr">
        <is>
          <t>12-020-BS000-13-1045</t>
        </is>
      </c>
      <c r="E1824" s="156" t="inlineStr">
        <is>
          <t>12-020-BS000-13-1045-275</t>
        </is>
      </c>
      <c r="F1824" s="156" t="inlineStr">
        <is>
          <t>27.5</t>
        </is>
      </c>
      <c r="G1824" s="156" t="inlineStr">
        <is>
          <t>10.5</t>
        </is>
      </c>
      <c r="H1824" s="156" t="inlineStr">
        <is>
          <t>Stetson</t>
        </is>
      </c>
      <c r="I1824" s="156" t="inlineStr">
        <is>
          <t>Bota Pitón Rojo</t>
        </is>
      </c>
      <c r="J1824" s="156" t="inlineStr">
        <is>
          <t>Calzado</t>
        </is>
      </c>
      <c r="K1824" s="156" t="inlineStr">
        <is>
          <t>Botas</t>
        </is>
      </c>
      <c r="L1824" s="156" t="inlineStr">
        <is>
          <t>Mujer</t>
        </is>
      </c>
      <c r="M1824" s="156" t="inlineStr">
        <is>
          <t>Stetson</t>
        </is>
      </c>
      <c r="N1824" s="156" t="inlineStr">
        <is>
          <t>SS26</t>
        </is>
      </c>
      <c r="O1824" s="156" t="inlineStr">
        <is>
          <t>Seasonal</t>
        </is>
      </c>
      <c r="P1824" s="156" t="inlineStr">
        <is>
          <t>Rojo</t>
        </is>
      </c>
      <c r="Q1824" s="156" t="n"/>
      <c r="R1824" s="156" t="inlineStr">
        <is>
          <t>Horma Alexia</t>
        </is>
      </c>
      <c r="S1824" s="156" t="inlineStr">
        <is>
          <t>Piel de pitón</t>
        </is>
      </c>
      <c r="T1824" s="156" t="inlineStr">
        <is>
          <t>Bota Dama Piel de pitón Rojo Horma Alexia</t>
        </is>
      </c>
      <c r="U1824" s="156" t="inlineStr">
        <is>
          <t>México</t>
        </is>
      </c>
      <c r="V1824" s="156" t="inlineStr">
        <is>
          <t>PRS</t>
        </is>
      </c>
      <c r="W1824" s="51" t="inlineStr">
        <is>
          <t>53111502</t>
        </is>
      </c>
      <c r="X1824" s="156" t="n"/>
      <c r="Y1824" s="54" t="n"/>
      <c r="Z1824" s="54" t="n">
        <v>8300</v>
      </c>
      <c r="AA1824" s="55">
        <f>IF(AND(A1824="", B1824="", E1824=""), "", IF(AB1824="", "Válido", IF((LEN(AB1824)-LEN(SUBSTITUTE(AB1824,"; ","")))/2+1&gt;(LEN(AB1824)-LEN(SUBSTITUTE(AB1824,"[Aviso]","")))/7, "Con Incidencias", "Válido")))</f>
        <v/>
      </c>
      <c r="AB1824" s="56">
        <f>IF(AND(A1824="", B1824="", E1824=""), "", TEXTJOIN("; ", TRUE, IF(OR(TRIM(A1824&amp;"")="", ISNUMBER(SEARCH("FALTA", A1824))), "UPC faltante/inválido", ""), IF(AND(A1824&lt;&gt;"", IFERROR(_xlfn.XMATCH(A1824,$A$2:$A$2509,0,1)&lt;&gt;_xlfn.XMATCH(A1824,$A$2:$A$2509,0,-1),FALSE)), "Código de barras duplicado", ""), IF(AND(E1824&lt;&gt;"", COUNTIF($E$2:$E$2509, E1824)&gt;1), "SKU duplicado", ""), IF(OR(J1824="", J1824=""), "[Aviso] División no capturada ()", IF(ISNA(MATCH(J1824, Criterios!$A$123:$A$126, 0)), "División no válida", "")), IF(OR(K1824="", K1824=""), "[Aviso] Categoría no capturada ()", IF(ISNA(MATCH(K1824, Criterios!$A$81:$A$120, 0)), "Categoría no válida", IF(AND(J1824&lt;&gt;"", J1824&lt;&gt;"", J1824&lt;&gt;VLOOKUP(K1824, Criterios!$A$81:$B$120, 2, FALSE)), "División no coincide con Categoría", ""))), IF(OR(L1824="", L1824=""), "[Aviso] Género no capturado ()", IF(ISNA(MATCH(L1824, Criterios!$B$123:$B$127, 0)), "Género no válido", "")), IF(OR(N1824="", N1824=""), "[Aviso] Temporada no capturada ()", IF(ISNA(MATCH(N1824, Criterios!$C$123:$C$128, 0)), "Temporada no válida", "")), IF(OR(O1824="", O1824=""), "[Aviso] Ciclo de vida no capturado ()", IF(ISNA(MATCH(O1824, Criterios!$D$123:$D$124, 0)), "Ciclo de vida no válido", ""))))</f>
        <v/>
      </c>
      <c r="AC1824" s="56" t="n"/>
      <c r="AD1824" s="51" t="n">
        <v>0</v>
      </c>
      <c r="AE1824" s="156" t="inlineStr">
        <is>
          <t>Sin coincidencia en NetSuite</t>
        </is>
      </c>
      <c r="AF1824" s="51" t="n"/>
      <c r="AG1824" s="156" t="inlineStr">
        <is>
          <t>Catálogo existente</t>
        </is>
      </c>
      <c r="AH182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4" s="156" t="n"/>
      <c r="AJ1824" s="156" t="n"/>
      <c r="AK1824" s="155" t="inlineStr">
        <is>
          <t>Shopify Stetson: producto 15054565245291 / variante 53350563512683</t>
        </is>
      </c>
      <c r="AL1824" s="58" t="n"/>
      <c r="AM1824" s="58" t="n">
        <v>8300</v>
      </c>
      <c r="AN1824" s="155" t="inlineStr">
        <is>
          <t>Shopify Stetson México</t>
        </is>
      </c>
      <c r="AO1824" s="59" t="n">
        <v>0</v>
      </c>
      <c r="AP1824" s="59" t="n"/>
      <c r="AQ1824" s="59" t="n"/>
      <c r="AR1824" s="155" t="n"/>
    </row>
    <row r="1825">
      <c r="A1825" s="50" t="inlineStr">
        <is>
          <t>12020002131034026</t>
        </is>
      </c>
      <c r="B1825" s="51" t="n"/>
      <c r="C1825" s="156" t="inlineStr">
        <is>
          <t>Multimarca</t>
        </is>
      </c>
      <c r="D1825" s="156" t="inlineStr">
        <is>
          <t>12-020-BS002-13-1034</t>
        </is>
      </c>
      <c r="E1825" s="156" t="inlineStr">
        <is>
          <t>12-020-BS002-13-1034-026</t>
        </is>
      </c>
      <c r="F1825" s="156" t="inlineStr">
        <is>
          <t>26</t>
        </is>
      </c>
      <c r="G1825" s="156" t="inlineStr">
        <is>
          <t>9</t>
        </is>
      </c>
      <c r="H1825" s="156" t="inlineStr">
        <is>
          <t>Stetson</t>
        </is>
      </c>
      <c r="I1825" s="156" t="inlineStr">
        <is>
          <t>Bota Piel Azul Claro</t>
        </is>
      </c>
      <c r="J1825" s="156" t="inlineStr">
        <is>
          <t>Calzado</t>
        </is>
      </c>
      <c r="K1825" s="156" t="inlineStr">
        <is>
          <t>Botas</t>
        </is>
      </c>
      <c r="L1825" s="156" t="inlineStr">
        <is>
          <t>Mujer</t>
        </is>
      </c>
      <c r="M1825" s="156" t="inlineStr">
        <is>
          <t>Stetson</t>
        </is>
      </c>
      <c r="N1825" s="156" t="inlineStr">
        <is>
          <t>SS26</t>
        </is>
      </c>
      <c r="O1825" s="156" t="inlineStr">
        <is>
          <t>Seasonal</t>
        </is>
      </c>
      <c r="P1825" s="156" t="inlineStr">
        <is>
          <t>Azul</t>
        </is>
      </c>
      <c r="Q1825" s="156" t="n"/>
      <c r="R1825" s="156" t="inlineStr">
        <is>
          <t>Horma Alexia</t>
        </is>
      </c>
      <c r="S1825" s="156" t="inlineStr">
        <is>
          <t>Piel bovina</t>
        </is>
      </c>
      <c r="T1825" s="156" t="inlineStr">
        <is>
          <t>Bota Dama Piel bovina Becerro Suave Azul Claro Horma Alexia</t>
        </is>
      </c>
      <c r="U1825" s="156" t="inlineStr">
        <is>
          <t>México</t>
        </is>
      </c>
      <c r="V1825" s="156" t="inlineStr">
        <is>
          <t>PRS</t>
        </is>
      </c>
      <c r="W1825" s="51" t="inlineStr">
        <is>
          <t>53111502</t>
        </is>
      </c>
      <c r="X1825" s="156" t="n"/>
      <c r="Y1825" s="54" t="n"/>
      <c r="Z1825" s="54" t="n">
        <v>5600</v>
      </c>
      <c r="AA1825" s="55">
        <f>IF(AND(A1825="", B1825="", E1825=""), "", IF(AB1825="", "Válido", IF((LEN(AB1825)-LEN(SUBSTITUTE(AB1825,"; ","")))/2+1&gt;(LEN(AB1825)-LEN(SUBSTITUTE(AB1825,"[Aviso]","")))/7, "Con Incidencias", "Válido")))</f>
        <v/>
      </c>
      <c r="AB1825" s="56">
        <f>IF(AND(A1825="", B1825="", E1825=""), "", TEXTJOIN("; ", TRUE, IF(OR(TRIM(A1825&amp;"")="", ISNUMBER(SEARCH("FALTA", A1825))), "UPC faltante/inválido", ""), IF(AND(A1825&lt;&gt;"", IFERROR(_xlfn.XMATCH(A1825,$A$2:$A$2509,0,1)&lt;&gt;_xlfn.XMATCH(A1825,$A$2:$A$2509,0,-1),FALSE)), "Código de barras duplicado", ""), IF(AND(E1825&lt;&gt;"", COUNTIF($E$2:$E$2509, E1825)&gt;1), "SKU duplicado", ""), IF(OR(J1825="", J1825=""), "[Aviso] División no capturada ()", IF(ISNA(MATCH(J1825, Criterios!$A$123:$A$126, 0)), "División no válida", "")), IF(OR(K1825="", K1825=""), "[Aviso] Categoría no capturada ()", IF(ISNA(MATCH(K1825, Criterios!$A$81:$A$120, 0)), "Categoría no válida", IF(AND(J1825&lt;&gt;"", J1825&lt;&gt;"", J1825&lt;&gt;VLOOKUP(K1825, Criterios!$A$81:$B$120, 2, FALSE)), "División no coincide con Categoría", ""))), IF(OR(L1825="", L1825=""), "[Aviso] Género no capturado ()", IF(ISNA(MATCH(L1825, Criterios!$B$123:$B$127, 0)), "Género no válido", "")), IF(OR(N1825="", N1825=""), "[Aviso] Temporada no capturada ()", IF(ISNA(MATCH(N1825, Criterios!$C$123:$C$128, 0)), "Temporada no válida", "")), IF(OR(O1825="", O1825=""), "[Aviso] Ciclo de vida no capturado ()", IF(ISNA(MATCH(O1825, Criterios!$D$123:$D$124, 0)), "Ciclo de vida no válido", ""))))</f>
        <v/>
      </c>
      <c r="AC1825" s="56" t="n"/>
      <c r="AD1825" s="51" t="n">
        <v>0</v>
      </c>
      <c r="AE1825" s="156" t="inlineStr">
        <is>
          <t>Sin coincidencia en NetSuite</t>
        </is>
      </c>
      <c r="AF1825" s="51" t="n"/>
      <c r="AG1825" s="156" t="inlineStr">
        <is>
          <t>Catálogo existente</t>
        </is>
      </c>
      <c r="AH182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5" s="156" t="n"/>
      <c r="AJ1825" s="156" t="n"/>
      <c r="AK1825" s="155" t="inlineStr">
        <is>
          <t>Shopify Stetson: producto 15054564884843 / variante 53350559089003</t>
        </is>
      </c>
      <c r="AL1825" s="58" t="n"/>
      <c r="AM1825" s="58" t="n">
        <v>5600</v>
      </c>
      <c r="AN1825" s="155" t="inlineStr">
        <is>
          <t>Shopify Stetson México</t>
        </is>
      </c>
      <c r="AO1825" s="59" t="n">
        <v>1</v>
      </c>
      <c r="AP1825" s="59" t="n"/>
      <c r="AQ1825" s="59" t="n"/>
      <c r="AR1825" s="155" t="inlineStr">
        <is>
          <t>Shopify Stetson México › Stetson Americas: 1</t>
        </is>
      </c>
    </row>
    <row r="1826">
      <c r="A1826" s="50" t="inlineStr">
        <is>
          <t>12020002131034027</t>
        </is>
      </c>
      <c r="B1826" s="51" t="n"/>
      <c r="C1826" s="156" t="inlineStr">
        <is>
          <t>Multimarca</t>
        </is>
      </c>
      <c r="D1826" s="156" t="inlineStr">
        <is>
          <t>12-020-BS002-13-1034</t>
        </is>
      </c>
      <c r="E1826" s="156" t="inlineStr">
        <is>
          <t>12-020-BS002-13-1034-027</t>
        </is>
      </c>
      <c r="F1826" s="156" t="inlineStr">
        <is>
          <t>27</t>
        </is>
      </c>
      <c r="G1826" s="156" t="inlineStr">
        <is>
          <t>10</t>
        </is>
      </c>
      <c r="H1826" s="156" t="inlineStr">
        <is>
          <t>Stetson</t>
        </is>
      </c>
      <c r="I1826" s="156" t="inlineStr">
        <is>
          <t>Bota Piel Azul Claro</t>
        </is>
      </c>
      <c r="J1826" s="156" t="inlineStr">
        <is>
          <t>Calzado</t>
        </is>
      </c>
      <c r="K1826" s="156" t="inlineStr">
        <is>
          <t>Botas</t>
        </is>
      </c>
      <c r="L1826" s="156" t="inlineStr">
        <is>
          <t>Mujer</t>
        </is>
      </c>
      <c r="M1826" s="156" t="inlineStr">
        <is>
          <t>Stetson</t>
        </is>
      </c>
      <c r="N1826" s="156" t="inlineStr">
        <is>
          <t>SS26</t>
        </is>
      </c>
      <c r="O1826" s="156" t="inlineStr">
        <is>
          <t>Seasonal</t>
        </is>
      </c>
      <c r="P1826" s="156" t="inlineStr">
        <is>
          <t>Azul</t>
        </is>
      </c>
      <c r="Q1826" s="156" t="n"/>
      <c r="R1826" s="156" t="inlineStr">
        <is>
          <t>Horma Alexia</t>
        </is>
      </c>
      <c r="S1826" s="156" t="inlineStr">
        <is>
          <t>Piel bovina</t>
        </is>
      </c>
      <c r="T1826" s="156" t="inlineStr">
        <is>
          <t>Bota Dama Piel bovina Becerro Suave Azul Claro Horma Alexia</t>
        </is>
      </c>
      <c r="U1826" s="156" t="inlineStr">
        <is>
          <t>México</t>
        </is>
      </c>
      <c r="V1826" s="156" t="inlineStr">
        <is>
          <t>PRS</t>
        </is>
      </c>
      <c r="W1826" s="51" t="inlineStr">
        <is>
          <t>53111502</t>
        </is>
      </c>
      <c r="X1826" s="156" t="n"/>
      <c r="Y1826" s="54" t="n"/>
      <c r="Z1826" s="54" t="n">
        <v>5600</v>
      </c>
      <c r="AA1826" s="55">
        <f>IF(AND(A1826="", B1826="", E1826=""), "", IF(AB1826="", "Válido", IF((LEN(AB1826)-LEN(SUBSTITUTE(AB1826,"; ","")))/2+1&gt;(LEN(AB1826)-LEN(SUBSTITUTE(AB1826,"[Aviso]","")))/7, "Con Incidencias", "Válido")))</f>
        <v/>
      </c>
      <c r="AB1826" s="56">
        <f>IF(AND(A1826="", B1826="", E1826=""), "", TEXTJOIN("; ", TRUE, IF(OR(TRIM(A1826&amp;"")="", ISNUMBER(SEARCH("FALTA", A1826))), "UPC faltante/inválido", ""), IF(AND(A1826&lt;&gt;"", IFERROR(_xlfn.XMATCH(A1826,$A$2:$A$2509,0,1)&lt;&gt;_xlfn.XMATCH(A1826,$A$2:$A$2509,0,-1),FALSE)), "Código de barras duplicado", ""), IF(AND(E1826&lt;&gt;"", COUNTIF($E$2:$E$2509, E1826)&gt;1), "SKU duplicado", ""), IF(OR(J1826="", J1826=""), "[Aviso] División no capturada ()", IF(ISNA(MATCH(J1826, Criterios!$A$123:$A$126, 0)), "División no válida", "")), IF(OR(K1826="", K1826=""), "[Aviso] Categoría no capturada ()", IF(ISNA(MATCH(K1826, Criterios!$A$81:$A$120, 0)), "Categoría no válida", IF(AND(J1826&lt;&gt;"", J1826&lt;&gt;"", J1826&lt;&gt;VLOOKUP(K1826, Criterios!$A$81:$B$120, 2, FALSE)), "División no coincide con Categoría", ""))), IF(OR(L1826="", L1826=""), "[Aviso] Género no capturado ()", IF(ISNA(MATCH(L1826, Criterios!$B$123:$B$127, 0)), "Género no válido", "")), IF(OR(N1826="", N1826=""), "[Aviso] Temporada no capturada ()", IF(ISNA(MATCH(N1826, Criterios!$C$123:$C$128, 0)), "Temporada no válida", "")), IF(OR(O1826="", O1826=""), "[Aviso] Ciclo de vida no capturado ()", IF(ISNA(MATCH(O1826, Criterios!$D$123:$D$124, 0)), "Ciclo de vida no válido", ""))))</f>
        <v/>
      </c>
      <c r="AC1826" s="56" t="n"/>
      <c r="AD1826" s="51" t="n">
        <v>0</v>
      </c>
      <c r="AE1826" s="156" t="inlineStr">
        <is>
          <t>Sin coincidencia en NetSuite</t>
        </is>
      </c>
      <c r="AF1826" s="51" t="n"/>
      <c r="AG1826" s="156" t="inlineStr">
        <is>
          <t>Catálogo existente</t>
        </is>
      </c>
      <c r="AH182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6" s="156" t="n"/>
      <c r="AJ1826" s="156" t="n"/>
      <c r="AK1826" s="155" t="inlineStr">
        <is>
          <t>Shopify Stetson: producto 15054564884843 / variante 53350559154539</t>
        </is>
      </c>
      <c r="AL1826" s="58" t="n"/>
      <c r="AM1826" s="58" t="n">
        <v>5600</v>
      </c>
      <c r="AN1826" s="155" t="inlineStr">
        <is>
          <t>Shopify Stetson México</t>
        </is>
      </c>
      <c r="AO1826" s="59" t="n">
        <v>0</v>
      </c>
      <c r="AP1826" s="59" t="n"/>
      <c r="AQ1826" s="59" t="n"/>
      <c r="AR1826" s="155" t="n"/>
    </row>
    <row r="1827">
      <c r="A1827" s="50" t="inlineStr">
        <is>
          <t>12020002131034255</t>
        </is>
      </c>
      <c r="B1827" s="51" t="n"/>
      <c r="C1827" s="156" t="inlineStr">
        <is>
          <t>Multimarca</t>
        </is>
      </c>
      <c r="D1827" s="156" t="inlineStr">
        <is>
          <t>12-020-BS002-13-1034</t>
        </is>
      </c>
      <c r="E1827" s="156" t="inlineStr">
        <is>
          <t>12-020-BS002-13-1034-255</t>
        </is>
      </c>
      <c r="F1827" s="156" t="inlineStr">
        <is>
          <t>25.5</t>
        </is>
      </c>
      <c r="G1827" s="156" t="inlineStr">
        <is>
          <t>8.5</t>
        </is>
      </c>
      <c r="H1827" s="156" t="inlineStr">
        <is>
          <t>Stetson</t>
        </is>
      </c>
      <c r="I1827" s="156" t="inlineStr">
        <is>
          <t>Bota Piel Azul Claro</t>
        </is>
      </c>
      <c r="J1827" s="156" t="inlineStr">
        <is>
          <t>Calzado</t>
        </is>
      </c>
      <c r="K1827" s="156" t="inlineStr">
        <is>
          <t>Botas</t>
        </is>
      </c>
      <c r="L1827" s="156" t="inlineStr">
        <is>
          <t>Mujer</t>
        </is>
      </c>
      <c r="M1827" s="156" t="inlineStr">
        <is>
          <t>Stetson</t>
        </is>
      </c>
      <c r="N1827" s="156" t="inlineStr">
        <is>
          <t>SS26</t>
        </is>
      </c>
      <c r="O1827" s="156" t="inlineStr">
        <is>
          <t>Seasonal</t>
        </is>
      </c>
      <c r="P1827" s="156" t="inlineStr">
        <is>
          <t>Azul</t>
        </is>
      </c>
      <c r="Q1827" s="156" t="n"/>
      <c r="R1827" s="156" t="inlineStr">
        <is>
          <t>Horma Alexia</t>
        </is>
      </c>
      <c r="S1827" s="156" t="inlineStr">
        <is>
          <t>Piel bovina</t>
        </is>
      </c>
      <c r="T1827" s="156" t="inlineStr">
        <is>
          <t>Bota Dama Piel bovina Becerro Suave Azul Claro Horma Alexia</t>
        </is>
      </c>
      <c r="U1827" s="156" t="inlineStr">
        <is>
          <t>México</t>
        </is>
      </c>
      <c r="V1827" s="156" t="inlineStr">
        <is>
          <t>PRS</t>
        </is>
      </c>
      <c r="W1827" s="51" t="inlineStr">
        <is>
          <t>53111502</t>
        </is>
      </c>
      <c r="X1827" s="156" t="n"/>
      <c r="Y1827" s="54" t="n"/>
      <c r="Z1827" s="54" t="n">
        <v>5600</v>
      </c>
      <c r="AA1827" s="55">
        <f>IF(AND(A1827="", B1827="", E1827=""), "", IF(AB1827="", "Válido", IF((LEN(AB1827)-LEN(SUBSTITUTE(AB1827,"; ","")))/2+1&gt;(LEN(AB1827)-LEN(SUBSTITUTE(AB1827,"[Aviso]","")))/7, "Con Incidencias", "Válido")))</f>
        <v/>
      </c>
      <c r="AB1827" s="56">
        <f>IF(AND(A1827="", B1827="", E1827=""), "", TEXTJOIN("; ", TRUE, IF(OR(TRIM(A1827&amp;"")="", ISNUMBER(SEARCH("FALTA", A1827))), "UPC faltante/inválido", ""), IF(AND(A1827&lt;&gt;"", IFERROR(_xlfn.XMATCH(A1827,$A$2:$A$2509,0,1)&lt;&gt;_xlfn.XMATCH(A1827,$A$2:$A$2509,0,-1),FALSE)), "Código de barras duplicado", ""), IF(AND(E1827&lt;&gt;"", COUNTIF($E$2:$E$2509, E1827)&gt;1), "SKU duplicado", ""), IF(OR(J1827="", J1827=""), "[Aviso] División no capturada ()", IF(ISNA(MATCH(J1827, Criterios!$A$123:$A$126, 0)), "División no válida", "")), IF(OR(K1827="", K1827=""), "[Aviso] Categoría no capturada ()", IF(ISNA(MATCH(K1827, Criterios!$A$81:$A$120, 0)), "Categoría no válida", IF(AND(J1827&lt;&gt;"", J1827&lt;&gt;"", J1827&lt;&gt;VLOOKUP(K1827, Criterios!$A$81:$B$120, 2, FALSE)), "División no coincide con Categoría", ""))), IF(OR(L1827="", L1827=""), "[Aviso] Género no capturado ()", IF(ISNA(MATCH(L1827, Criterios!$B$123:$B$127, 0)), "Género no válido", "")), IF(OR(N1827="", N1827=""), "[Aviso] Temporada no capturada ()", IF(ISNA(MATCH(N1827, Criterios!$C$123:$C$128, 0)), "Temporada no válida", "")), IF(OR(O1827="", O1827=""), "[Aviso] Ciclo de vida no capturado ()", IF(ISNA(MATCH(O1827, Criterios!$D$123:$D$124, 0)), "Ciclo de vida no válido", ""))))</f>
        <v/>
      </c>
      <c r="AC1827" s="56" t="n"/>
      <c r="AD1827" s="51" t="n">
        <v>0</v>
      </c>
      <c r="AE1827" s="156" t="inlineStr">
        <is>
          <t>Sin coincidencia en NetSuite</t>
        </is>
      </c>
      <c r="AF1827" s="51" t="n"/>
      <c r="AG1827" s="156" t="inlineStr">
        <is>
          <t>Catálogo existente</t>
        </is>
      </c>
      <c r="AH182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7" s="156" t="n"/>
      <c r="AJ1827" s="156" t="n"/>
      <c r="AK1827" s="155" t="inlineStr">
        <is>
          <t>Shopify Stetson: producto 15054564884843 / variante 53350559056235</t>
        </is>
      </c>
      <c r="AL1827" s="58" t="n"/>
      <c r="AM1827" s="58" t="n">
        <v>5600</v>
      </c>
      <c r="AN1827" s="155" t="inlineStr">
        <is>
          <t>Shopify Stetson México</t>
        </is>
      </c>
      <c r="AO1827" s="59" t="n">
        <v>1</v>
      </c>
      <c r="AP1827" s="59" t="n"/>
      <c r="AQ1827" s="59" t="n"/>
      <c r="AR1827" s="155" t="inlineStr">
        <is>
          <t>Shopify Stetson México › Stetson Americas: 1</t>
        </is>
      </c>
    </row>
    <row r="1828">
      <c r="A1828" s="50" t="inlineStr">
        <is>
          <t>12020002131034265</t>
        </is>
      </c>
      <c r="B1828" s="51" t="n"/>
      <c r="C1828" s="156" t="inlineStr">
        <is>
          <t>Multimarca</t>
        </is>
      </c>
      <c r="D1828" s="156" t="inlineStr">
        <is>
          <t>12-020-BS002-13-1034</t>
        </is>
      </c>
      <c r="E1828" s="156" t="inlineStr">
        <is>
          <t>12-020-BS002-13-1034-265</t>
        </is>
      </c>
      <c r="F1828" s="156" t="inlineStr">
        <is>
          <t>26.5</t>
        </is>
      </c>
      <c r="G1828" s="156" t="inlineStr">
        <is>
          <t>9.5</t>
        </is>
      </c>
      <c r="H1828" s="156" t="inlineStr">
        <is>
          <t>Stetson</t>
        </is>
      </c>
      <c r="I1828" s="156" t="inlineStr">
        <is>
          <t>Bota Piel Azul Claro</t>
        </is>
      </c>
      <c r="J1828" s="156" t="inlineStr">
        <is>
          <t>Calzado</t>
        </is>
      </c>
      <c r="K1828" s="156" t="inlineStr">
        <is>
          <t>Botas</t>
        </is>
      </c>
      <c r="L1828" s="156" t="inlineStr">
        <is>
          <t>Mujer</t>
        </is>
      </c>
      <c r="M1828" s="156" t="inlineStr">
        <is>
          <t>Stetson</t>
        </is>
      </c>
      <c r="N1828" s="156" t="inlineStr">
        <is>
          <t>SS26</t>
        </is>
      </c>
      <c r="O1828" s="156" t="inlineStr">
        <is>
          <t>Seasonal</t>
        </is>
      </c>
      <c r="P1828" s="156" t="inlineStr">
        <is>
          <t>Azul</t>
        </is>
      </c>
      <c r="Q1828" s="156" t="n"/>
      <c r="R1828" s="156" t="inlineStr">
        <is>
          <t>Horma Alexia</t>
        </is>
      </c>
      <c r="S1828" s="156" t="inlineStr">
        <is>
          <t>Piel bovina</t>
        </is>
      </c>
      <c r="T1828" s="156" t="inlineStr">
        <is>
          <t>Bota Dama Piel bovina Becerro Suave Azul Claro Horma Alexia</t>
        </is>
      </c>
      <c r="U1828" s="156" t="inlineStr">
        <is>
          <t>México</t>
        </is>
      </c>
      <c r="V1828" s="156" t="inlineStr">
        <is>
          <t>PRS</t>
        </is>
      </c>
      <c r="W1828" s="51" t="inlineStr">
        <is>
          <t>53111502</t>
        </is>
      </c>
      <c r="X1828" s="156" t="n"/>
      <c r="Y1828" s="54" t="n"/>
      <c r="Z1828" s="54" t="n">
        <v>5600</v>
      </c>
      <c r="AA1828" s="55">
        <f>IF(AND(A1828="", B1828="", E1828=""), "", IF(AB1828="", "Válido", IF((LEN(AB1828)-LEN(SUBSTITUTE(AB1828,"; ","")))/2+1&gt;(LEN(AB1828)-LEN(SUBSTITUTE(AB1828,"[Aviso]","")))/7, "Con Incidencias", "Válido")))</f>
        <v/>
      </c>
      <c r="AB1828" s="56">
        <f>IF(AND(A1828="", B1828="", E1828=""), "", TEXTJOIN("; ", TRUE, IF(OR(TRIM(A1828&amp;"")="", ISNUMBER(SEARCH("FALTA", A1828))), "UPC faltante/inválido", ""), IF(AND(A1828&lt;&gt;"", IFERROR(_xlfn.XMATCH(A1828,$A$2:$A$2509,0,1)&lt;&gt;_xlfn.XMATCH(A1828,$A$2:$A$2509,0,-1),FALSE)), "Código de barras duplicado", ""), IF(AND(E1828&lt;&gt;"", COUNTIF($E$2:$E$2509, E1828)&gt;1), "SKU duplicado", ""), IF(OR(J1828="", J1828=""), "[Aviso] División no capturada ()", IF(ISNA(MATCH(J1828, Criterios!$A$123:$A$126, 0)), "División no válida", "")), IF(OR(K1828="", K1828=""), "[Aviso] Categoría no capturada ()", IF(ISNA(MATCH(K1828, Criterios!$A$81:$A$120, 0)), "Categoría no válida", IF(AND(J1828&lt;&gt;"", J1828&lt;&gt;"", J1828&lt;&gt;VLOOKUP(K1828, Criterios!$A$81:$B$120, 2, FALSE)), "División no coincide con Categoría", ""))), IF(OR(L1828="", L1828=""), "[Aviso] Género no capturado ()", IF(ISNA(MATCH(L1828, Criterios!$B$123:$B$127, 0)), "Género no válido", "")), IF(OR(N1828="", N1828=""), "[Aviso] Temporada no capturada ()", IF(ISNA(MATCH(N1828, Criterios!$C$123:$C$128, 0)), "Temporada no válida", "")), IF(OR(O1828="", O1828=""), "[Aviso] Ciclo de vida no capturado ()", IF(ISNA(MATCH(O1828, Criterios!$D$123:$D$124, 0)), "Ciclo de vida no válido", ""))))</f>
        <v/>
      </c>
      <c r="AC1828" s="56" t="n"/>
      <c r="AD1828" s="51" t="n">
        <v>0</v>
      </c>
      <c r="AE1828" s="156" t="inlineStr">
        <is>
          <t>Sin coincidencia en NetSuite</t>
        </is>
      </c>
      <c r="AF1828" s="51" t="n"/>
      <c r="AG1828" s="156" t="inlineStr">
        <is>
          <t>Catálogo existente</t>
        </is>
      </c>
      <c r="AH182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8" s="156" t="n"/>
      <c r="AJ1828" s="156" t="n"/>
      <c r="AK1828" s="155" t="inlineStr">
        <is>
          <t>Shopify Stetson: producto 15054564884843 / variante 53350559121771</t>
        </is>
      </c>
      <c r="AL1828" s="58" t="n"/>
      <c r="AM1828" s="58" t="n">
        <v>5600</v>
      </c>
      <c r="AN1828" s="155" t="inlineStr">
        <is>
          <t>Shopify Stetson México</t>
        </is>
      </c>
      <c r="AO1828" s="59" t="n">
        <v>0</v>
      </c>
      <c r="AP1828" s="59" t="n"/>
      <c r="AQ1828" s="59" t="n"/>
      <c r="AR1828" s="155" t="n"/>
    </row>
    <row r="1829">
      <c r="A1829" s="50" t="inlineStr">
        <is>
          <t>12020002131034275</t>
        </is>
      </c>
      <c r="B1829" s="51" t="n"/>
      <c r="C1829" s="156" t="inlineStr">
        <is>
          <t>Multimarca</t>
        </is>
      </c>
      <c r="D1829" s="156" t="inlineStr">
        <is>
          <t>12-020-BS002-13-1034</t>
        </is>
      </c>
      <c r="E1829" s="156" t="inlineStr">
        <is>
          <t>12-020-BS002-13-1034-275</t>
        </is>
      </c>
      <c r="F1829" s="156" t="inlineStr">
        <is>
          <t>27.5</t>
        </is>
      </c>
      <c r="G1829" s="156" t="inlineStr">
        <is>
          <t>10.5</t>
        </is>
      </c>
      <c r="H1829" s="156" t="inlineStr">
        <is>
          <t>Stetson</t>
        </is>
      </c>
      <c r="I1829" s="156" t="inlineStr">
        <is>
          <t>Bota Piel Azul Claro</t>
        </is>
      </c>
      <c r="J1829" s="156" t="inlineStr">
        <is>
          <t>Calzado</t>
        </is>
      </c>
      <c r="K1829" s="156" t="inlineStr">
        <is>
          <t>Botas</t>
        </is>
      </c>
      <c r="L1829" s="156" t="inlineStr">
        <is>
          <t>Mujer</t>
        </is>
      </c>
      <c r="M1829" s="156" t="inlineStr">
        <is>
          <t>Stetson</t>
        </is>
      </c>
      <c r="N1829" s="156" t="inlineStr">
        <is>
          <t>SS26</t>
        </is>
      </c>
      <c r="O1829" s="156" t="inlineStr">
        <is>
          <t>Seasonal</t>
        </is>
      </c>
      <c r="P1829" s="156" t="inlineStr">
        <is>
          <t>Azul</t>
        </is>
      </c>
      <c r="Q1829" s="156" t="n"/>
      <c r="R1829" s="156" t="inlineStr">
        <is>
          <t>Horma Alexia</t>
        </is>
      </c>
      <c r="S1829" s="156" t="inlineStr">
        <is>
          <t>Piel bovina</t>
        </is>
      </c>
      <c r="T1829" s="156" t="inlineStr">
        <is>
          <t>Bota Dama Piel bovina Becerro Suave Azul Claro Horma Alexia</t>
        </is>
      </c>
      <c r="U1829" s="156" t="inlineStr">
        <is>
          <t>México</t>
        </is>
      </c>
      <c r="V1829" s="156" t="inlineStr">
        <is>
          <t>PRS</t>
        </is>
      </c>
      <c r="W1829" s="51" t="inlineStr">
        <is>
          <t>53111502</t>
        </is>
      </c>
      <c r="X1829" s="156" t="n"/>
      <c r="Y1829" s="54" t="n"/>
      <c r="Z1829" s="54" t="n">
        <v>5600</v>
      </c>
      <c r="AA1829" s="55">
        <f>IF(AND(A1829="", B1829="", E1829=""), "", IF(AB1829="", "Válido", IF((LEN(AB1829)-LEN(SUBSTITUTE(AB1829,"; ","")))/2+1&gt;(LEN(AB1829)-LEN(SUBSTITUTE(AB1829,"[Aviso]","")))/7, "Con Incidencias", "Válido")))</f>
        <v/>
      </c>
      <c r="AB1829" s="56">
        <f>IF(AND(A1829="", B1829="", E1829=""), "", TEXTJOIN("; ", TRUE, IF(OR(TRIM(A1829&amp;"")="", ISNUMBER(SEARCH("FALTA", A1829))), "UPC faltante/inválido", ""), IF(AND(A1829&lt;&gt;"", IFERROR(_xlfn.XMATCH(A1829,$A$2:$A$2509,0,1)&lt;&gt;_xlfn.XMATCH(A1829,$A$2:$A$2509,0,-1),FALSE)), "Código de barras duplicado", ""), IF(AND(E1829&lt;&gt;"", COUNTIF($E$2:$E$2509, E1829)&gt;1), "SKU duplicado", ""), IF(OR(J1829="", J1829=""), "[Aviso] División no capturada ()", IF(ISNA(MATCH(J1829, Criterios!$A$123:$A$126, 0)), "División no válida", "")), IF(OR(K1829="", K1829=""), "[Aviso] Categoría no capturada ()", IF(ISNA(MATCH(K1829, Criterios!$A$81:$A$120, 0)), "Categoría no válida", IF(AND(J1829&lt;&gt;"", J1829&lt;&gt;"", J1829&lt;&gt;VLOOKUP(K1829, Criterios!$A$81:$B$120, 2, FALSE)), "División no coincide con Categoría", ""))), IF(OR(L1829="", L1829=""), "[Aviso] Género no capturado ()", IF(ISNA(MATCH(L1829, Criterios!$B$123:$B$127, 0)), "Género no válido", "")), IF(OR(N1829="", N1829=""), "[Aviso] Temporada no capturada ()", IF(ISNA(MATCH(N1829, Criterios!$C$123:$C$128, 0)), "Temporada no válida", "")), IF(OR(O1829="", O1829=""), "[Aviso] Ciclo de vida no capturado ()", IF(ISNA(MATCH(O1829, Criterios!$D$123:$D$124, 0)), "Ciclo de vida no válido", ""))))</f>
        <v/>
      </c>
      <c r="AC1829" s="56" t="n"/>
      <c r="AD1829" s="51" t="n">
        <v>0</v>
      </c>
      <c r="AE1829" s="156" t="inlineStr">
        <is>
          <t>Sin coincidencia en NetSuite</t>
        </is>
      </c>
      <c r="AF1829" s="51" t="n"/>
      <c r="AG1829" s="156" t="inlineStr">
        <is>
          <t>Catálogo existente</t>
        </is>
      </c>
      <c r="AH182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9" s="156" t="n"/>
      <c r="AJ1829" s="156" t="n"/>
      <c r="AK1829" s="155" t="inlineStr">
        <is>
          <t>Shopify Stetson: producto 15054564884843 / variante 53350559187307</t>
        </is>
      </c>
      <c r="AL1829" s="58" t="n"/>
      <c r="AM1829" s="58" t="n">
        <v>5600</v>
      </c>
      <c r="AN1829" s="155" t="inlineStr">
        <is>
          <t>Shopify Stetson México</t>
        </is>
      </c>
      <c r="AO1829" s="59" t="n">
        <v>0</v>
      </c>
      <c r="AP1829" s="59" t="n"/>
      <c r="AQ1829" s="59" t="n"/>
      <c r="AR1829" s="155" t="n"/>
    </row>
    <row r="1830">
      <c r="A1830" s="50" t="inlineStr">
        <is>
          <t>12020002131035026</t>
        </is>
      </c>
      <c r="B1830" s="51" t="n"/>
      <c r="C1830" s="156" t="inlineStr">
        <is>
          <t>Multimarca</t>
        </is>
      </c>
      <c r="D1830" s="156" t="inlineStr">
        <is>
          <t>12-020-BS002-13-1035</t>
        </is>
      </c>
      <c r="E1830" s="156" t="inlineStr">
        <is>
          <t>12-020-BS002-13-1035-026</t>
        </is>
      </c>
      <c r="F1830" s="156" t="inlineStr">
        <is>
          <t>26</t>
        </is>
      </c>
      <c r="G1830" s="156" t="inlineStr">
        <is>
          <t>9</t>
        </is>
      </c>
      <c r="H1830" s="156" t="inlineStr">
        <is>
          <t>Stetson</t>
        </is>
      </c>
      <c r="I1830" s="156" t="inlineStr">
        <is>
          <t>Bota Piel Rosa Claro</t>
        </is>
      </c>
      <c r="J1830" s="156" t="inlineStr">
        <is>
          <t>Calzado</t>
        </is>
      </c>
      <c r="K1830" s="156" t="inlineStr">
        <is>
          <t>Botas</t>
        </is>
      </c>
      <c r="L1830" s="156" t="inlineStr">
        <is>
          <t>Mujer</t>
        </is>
      </c>
      <c r="M1830" s="156" t="inlineStr">
        <is>
          <t>Stetson</t>
        </is>
      </c>
      <c r="N1830" s="156" t="inlineStr">
        <is>
          <t>SS26</t>
        </is>
      </c>
      <c r="O1830" s="156" t="inlineStr">
        <is>
          <t>Seasonal</t>
        </is>
      </c>
      <c r="P1830" s="156" t="inlineStr">
        <is>
          <t>Rosa</t>
        </is>
      </c>
      <c r="Q1830" s="156" t="n"/>
      <c r="R1830" s="156" t="inlineStr">
        <is>
          <t>Horma Alexia</t>
        </is>
      </c>
      <c r="S1830" s="156" t="inlineStr">
        <is>
          <t>Piel bovina</t>
        </is>
      </c>
      <c r="T1830" s="156" t="inlineStr">
        <is>
          <t>Bota Dama Piel bovina Becerro Suave Rosa Claro Horma Alexia</t>
        </is>
      </c>
      <c r="U1830" s="156" t="inlineStr">
        <is>
          <t>México</t>
        </is>
      </c>
      <c r="V1830" s="156" t="inlineStr">
        <is>
          <t>PRS</t>
        </is>
      </c>
      <c r="W1830" s="51" t="inlineStr">
        <is>
          <t>53111502</t>
        </is>
      </c>
      <c r="X1830" s="156" t="n"/>
      <c r="Y1830" s="54" t="n"/>
      <c r="Z1830" s="54" t="n">
        <v>5600</v>
      </c>
      <c r="AA1830" s="55">
        <f>IF(AND(A1830="", B1830="", E1830=""), "", IF(AB1830="", "Válido", IF((LEN(AB1830)-LEN(SUBSTITUTE(AB1830,"; ","")))/2+1&gt;(LEN(AB1830)-LEN(SUBSTITUTE(AB1830,"[Aviso]","")))/7, "Con Incidencias", "Válido")))</f>
        <v/>
      </c>
      <c r="AB1830" s="56">
        <f>IF(AND(A1830="", B1830="", E1830=""), "", TEXTJOIN("; ", TRUE, IF(OR(TRIM(A1830&amp;"")="", ISNUMBER(SEARCH("FALTA", A1830))), "UPC faltante/inválido", ""), IF(AND(A1830&lt;&gt;"", IFERROR(_xlfn.XMATCH(A1830,$A$2:$A$2509,0,1)&lt;&gt;_xlfn.XMATCH(A1830,$A$2:$A$2509,0,-1),FALSE)), "Código de barras duplicado", ""), IF(AND(E1830&lt;&gt;"", COUNTIF($E$2:$E$2509, E1830)&gt;1), "SKU duplicado", ""), IF(OR(J1830="", J1830=""), "[Aviso] División no capturada ()", IF(ISNA(MATCH(J1830, Criterios!$A$123:$A$126, 0)), "División no válida", "")), IF(OR(K1830="", K1830=""), "[Aviso] Categoría no capturada ()", IF(ISNA(MATCH(K1830, Criterios!$A$81:$A$120, 0)), "Categoría no válida", IF(AND(J1830&lt;&gt;"", J1830&lt;&gt;"", J1830&lt;&gt;VLOOKUP(K1830, Criterios!$A$81:$B$120, 2, FALSE)), "División no coincide con Categoría", ""))), IF(OR(L1830="", L1830=""), "[Aviso] Género no capturado ()", IF(ISNA(MATCH(L1830, Criterios!$B$123:$B$127, 0)), "Género no válido", "")), IF(OR(N1830="", N1830=""), "[Aviso] Temporada no capturada ()", IF(ISNA(MATCH(N1830, Criterios!$C$123:$C$128, 0)), "Temporada no válida", "")), IF(OR(O1830="", O1830=""), "[Aviso] Ciclo de vida no capturado ()", IF(ISNA(MATCH(O1830, Criterios!$D$123:$D$124, 0)), "Ciclo de vida no válido", ""))))</f>
        <v/>
      </c>
      <c r="AC1830" s="56" t="n"/>
      <c r="AD1830" s="51" t="n">
        <v>0</v>
      </c>
      <c r="AE1830" s="156" t="inlineStr">
        <is>
          <t>Sin coincidencia en NetSuite</t>
        </is>
      </c>
      <c r="AF1830" s="51" t="n"/>
      <c r="AG1830" s="156" t="inlineStr">
        <is>
          <t>Catálogo existente</t>
        </is>
      </c>
      <c r="AH183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0" s="156" t="n"/>
      <c r="AJ1830" s="156" t="n"/>
      <c r="AK1830" s="155" t="inlineStr">
        <is>
          <t>Shopify Stetson: producto 15054564917611 / variante 53350559482219</t>
        </is>
      </c>
      <c r="AL1830" s="58" t="n"/>
      <c r="AM1830" s="58" t="n">
        <v>5600</v>
      </c>
      <c r="AN1830" s="155" t="inlineStr">
        <is>
          <t>Shopify Stetson México</t>
        </is>
      </c>
      <c r="AO1830" s="59" t="n">
        <v>1</v>
      </c>
      <c r="AP1830" s="59" t="n"/>
      <c r="AQ1830" s="59" t="n"/>
      <c r="AR1830" s="155" t="inlineStr">
        <is>
          <t>Shopify Stetson México › Stetson Americas: 1</t>
        </is>
      </c>
    </row>
    <row r="1831">
      <c r="A1831" s="50" t="inlineStr">
        <is>
          <t>12020002131035027</t>
        </is>
      </c>
      <c r="B1831" s="51" t="n"/>
      <c r="C1831" s="156" t="inlineStr">
        <is>
          <t>Multimarca</t>
        </is>
      </c>
      <c r="D1831" s="156" t="inlineStr">
        <is>
          <t>12-020-BS002-13-1035</t>
        </is>
      </c>
      <c r="E1831" s="156" t="inlineStr">
        <is>
          <t>12-020-BS002-13-1035-027</t>
        </is>
      </c>
      <c r="F1831" s="156" t="inlineStr">
        <is>
          <t>27</t>
        </is>
      </c>
      <c r="G1831" s="156" t="inlineStr">
        <is>
          <t>10</t>
        </is>
      </c>
      <c r="H1831" s="156" t="inlineStr">
        <is>
          <t>Stetson</t>
        </is>
      </c>
      <c r="I1831" s="156" t="inlineStr">
        <is>
          <t>Bota Piel Rosa Claro</t>
        </is>
      </c>
      <c r="J1831" s="156" t="inlineStr">
        <is>
          <t>Calzado</t>
        </is>
      </c>
      <c r="K1831" s="156" t="inlineStr">
        <is>
          <t>Botas</t>
        </is>
      </c>
      <c r="L1831" s="156" t="inlineStr">
        <is>
          <t>Mujer</t>
        </is>
      </c>
      <c r="M1831" s="156" t="inlineStr">
        <is>
          <t>Stetson</t>
        </is>
      </c>
      <c r="N1831" s="156" t="inlineStr">
        <is>
          <t>SS26</t>
        </is>
      </c>
      <c r="O1831" s="156" t="inlineStr">
        <is>
          <t>Seasonal</t>
        </is>
      </c>
      <c r="P1831" s="156" t="inlineStr">
        <is>
          <t>Rosa</t>
        </is>
      </c>
      <c r="Q1831" s="156" t="n"/>
      <c r="R1831" s="156" t="inlineStr">
        <is>
          <t>Horma Alexia</t>
        </is>
      </c>
      <c r="S1831" s="156" t="inlineStr">
        <is>
          <t>Piel bovina</t>
        </is>
      </c>
      <c r="T1831" s="156" t="inlineStr">
        <is>
          <t>Bota Dama Piel bovina Becerro Suave Rosa Claro Horma Alexia</t>
        </is>
      </c>
      <c r="U1831" s="156" t="inlineStr">
        <is>
          <t>México</t>
        </is>
      </c>
      <c r="V1831" s="156" t="inlineStr">
        <is>
          <t>PRS</t>
        </is>
      </c>
      <c r="W1831" s="51" t="inlineStr">
        <is>
          <t>53111502</t>
        </is>
      </c>
      <c r="X1831" s="156" t="n"/>
      <c r="Y1831" s="54" t="n"/>
      <c r="Z1831" s="54" t="n">
        <v>5600</v>
      </c>
      <c r="AA1831" s="55">
        <f>IF(AND(A1831="", B1831="", E1831=""), "", IF(AB1831="", "Válido", IF((LEN(AB1831)-LEN(SUBSTITUTE(AB1831,"; ","")))/2+1&gt;(LEN(AB1831)-LEN(SUBSTITUTE(AB1831,"[Aviso]","")))/7, "Con Incidencias", "Válido")))</f>
        <v/>
      </c>
      <c r="AB1831" s="56">
        <f>IF(AND(A1831="", B1831="", E1831=""), "", TEXTJOIN("; ", TRUE, IF(OR(TRIM(A1831&amp;"")="", ISNUMBER(SEARCH("FALTA", A1831))), "UPC faltante/inválido", ""), IF(AND(A1831&lt;&gt;"", IFERROR(_xlfn.XMATCH(A1831,$A$2:$A$2509,0,1)&lt;&gt;_xlfn.XMATCH(A1831,$A$2:$A$2509,0,-1),FALSE)), "Código de barras duplicado", ""), IF(AND(E1831&lt;&gt;"", COUNTIF($E$2:$E$2509, E1831)&gt;1), "SKU duplicado", ""), IF(OR(J1831="", J1831=""), "[Aviso] División no capturada ()", IF(ISNA(MATCH(J1831, Criterios!$A$123:$A$126, 0)), "División no válida", "")), IF(OR(K1831="", K1831=""), "[Aviso] Categoría no capturada ()", IF(ISNA(MATCH(K1831, Criterios!$A$81:$A$120, 0)), "Categoría no válida", IF(AND(J1831&lt;&gt;"", J1831&lt;&gt;"", J1831&lt;&gt;VLOOKUP(K1831, Criterios!$A$81:$B$120, 2, FALSE)), "División no coincide con Categoría", ""))), IF(OR(L1831="", L1831=""), "[Aviso] Género no capturado ()", IF(ISNA(MATCH(L1831, Criterios!$B$123:$B$127, 0)), "Género no válido", "")), IF(OR(N1831="", N1831=""), "[Aviso] Temporada no capturada ()", IF(ISNA(MATCH(N1831, Criterios!$C$123:$C$128, 0)), "Temporada no válida", "")), IF(OR(O1831="", O1831=""), "[Aviso] Ciclo de vida no capturado ()", IF(ISNA(MATCH(O1831, Criterios!$D$123:$D$124, 0)), "Ciclo de vida no válido", ""))))</f>
        <v/>
      </c>
      <c r="AC1831" s="56" t="n"/>
      <c r="AD1831" s="51" t="n">
        <v>0</v>
      </c>
      <c r="AE1831" s="156" t="inlineStr">
        <is>
          <t>Sin coincidencia en NetSuite</t>
        </is>
      </c>
      <c r="AF1831" s="51" t="n"/>
      <c r="AG1831" s="156" t="inlineStr">
        <is>
          <t>Catálogo existente</t>
        </is>
      </c>
      <c r="AH183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1" s="156" t="n"/>
      <c r="AJ1831" s="156" t="n"/>
      <c r="AK1831" s="155" t="inlineStr">
        <is>
          <t>Shopify Stetson: producto 15054564917611 / variante 53350559547755</t>
        </is>
      </c>
      <c r="AL1831" s="58" t="n"/>
      <c r="AM1831" s="58" t="n">
        <v>5600</v>
      </c>
      <c r="AN1831" s="155" t="inlineStr">
        <is>
          <t>Shopify Stetson México</t>
        </is>
      </c>
      <c r="AO1831" s="59" t="n">
        <v>0</v>
      </c>
      <c r="AP1831" s="59" t="n"/>
      <c r="AQ1831" s="59" t="n"/>
      <c r="AR1831" s="155" t="n"/>
    </row>
    <row r="1832">
      <c r="A1832" s="50" t="inlineStr">
        <is>
          <t>12020002131035255</t>
        </is>
      </c>
      <c r="B1832" s="51" t="n"/>
      <c r="C1832" s="156" t="inlineStr">
        <is>
          <t>Multimarca</t>
        </is>
      </c>
      <c r="D1832" s="156" t="inlineStr">
        <is>
          <t>12-020-BS002-13-1035</t>
        </is>
      </c>
      <c r="E1832" s="156" t="inlineStr">
        <is>
          <t>12-020-BS002-13-1035-255</t>
        </is>
      </c>
      <c r="F1832" s="156" t="inlineStr">
        <is>
          <t>25.5</t>
        </is>
      </c>
      <c r="G1832" s="156" t="inlineStr">
        <is>
          <t>8.5</t>
        </is>
      </c>
      <c r="H1832" s="156" t="inlineStr">
        <is>
          <t>Stetson</t>
        </is>
      </c>
      <c r="I1832" s="156" t="inlineStr">
        <is>
          <t>Bota Piel Rosa Claro</t>
        </is>
      </c>
      <c r="J1832" s="156" t="inlineStr">
        <is>
          <t>Calzado</t>
        </is>
      </c>
      <c r="K1832" s="156" t="inlineStr">
        <is>
          <t>Botas</t>
        </is>
      </c>
      <c r="L1832" s="156" t="inlineStr">
        <is>
          <t>Mujer</t>
        </is>
      </c>
      <c r="M1832" s="156" t="inlineStr">
        <is>
          <t>Stetson</t>
        </is>
      </c>
      <c r="N1832" s="156" t="inlineStr">
        <is>
          <t>SS26</t>
        </is>
      </c>
      <c r="O1832" s="156" t="inlineStr">
        <is>
          <t>Seasonal</t>
        </is>
      </c>
      <c r="P1832" s="156" t="inlineStr">
        <is>
          <t>Rosa</t>
        </is>
      </c>
      <c r="Q1832" s="156" t="n"/>
      <c r="R1832" s="156" t="inlineStr">
        <is>
          <t>Horma Alexia</t>
        </is>
      </c>
      <c r="S1832" s="156" t="inlineStr">
        <is>
          <t>Piel bovina</t>
        </is>
      </c>
      <c r="T1832" s="156" t="inlineStr">
        <is>
          <t>Bota Dama Piel bovina Becerro Suave Rosa Claro Horma Alexia</t>
        </is>
      </c>
      <c r="U1832" s="156" t="inlineStr">
        <is>
          <t>México</t>
        </is>
      </c>
      <c r="V1832" s="156" t="inlineStr">
        <is>
          <t>PRS</t>
        </is>
      </c>
      <c r="W1832" s="51" t="inlineStr">
        <is>
          <t>53111502</t>
        </is>
      </c>
      <c r="X1832" s="156" t="n"/>
      <c r="Y1832" s="54" t="n"/>
      <c r="Z1832" s="54" t="n">
        <v>5600</v>
      </c>
      <c r="AA1832" s="55">
        <f>IF(AND(A1832="", B1832="", E1832=""), "", IF(AB1832="", "Válido", IF((LEN(AB1832)-LEN(SUBSTITUTE(AB1832,"; ","")))/2+1&gt;(LEN(AB1832)-LEN(SUBSTITUTE(AB1832,"[Aviso]","")))/7, "Con Incidencias", "Válido")))</f>
        <v/>
      </c>
      <c r="AB1832" s="56">
        <f>IF(AND(A1832="", B1832="", E1832=""), "", TEXTJOIN("; ", TRUE, IF(OR(TRIM(A1832&amp;"")="", ISNUMBER(SEARCH("FALTA", A1832))), "UPC faltante/inválido", ""), IF(AND(A1832&lt;&gt;"", IFERROR(_xlfn.XMATCH(A1832,$A$2:$A$2509,0,1)&lt;&gt;_xlfn.XMATCH(A1832,$A$2:$A$2509,0,-1),FALSE)), "Código de barras duplicado", ""), IF(AND(E1832&lt;&gt;"", COUNTIF($E$2:$E$2509, E1832)&gt;1), "SKU duplicado", ""), IF(OR(J1832="", J1832=""), "[Aviso] División no capturada ()", IF(ISNA(MATCH(J1832, Criterios!$A$123:$A$126, 0)), "División no válida", "")), IF(OR(K1832="", K1832=""), "[Aviso] Categoría no capturada ()", IF(ISNA(MATCH(K1832, Criterios!$A$81:$A$120, 0)), "Categoría no válida", IF(AND(J1832&lt;&gt;"", J1832&lt;&gt;"", J1832&lt;&gt;VLOOKUP(K1832, Criterios!$A$81:$B$120, 2, FALSE)), "División no coincide con Categoría", ""))), IF(OR(L1832="", L1832=""), "[Aviso] Género no capturado ()", IF(ISNA(MATCH(L1832, Criterios!$B$123:$B$127, 0)), "Género no válido", "")), IF(OR(N1832="", N1832=""), "[Aviso] Temporada no capturada ()", IF(ISNA(MATCH(N1832, Criterios!$C$123:$C$128, 0)), "Temporada no válida", "")), IF(OR(O1832="", O1832=""), "[Aviso] Ciclo de vida no capturado ()", IF(ISNA(MATCH(O1832, Criterios!$D$123:$D$124, 0)), "Ciclo de vida no válido", ""))))</f>
        <v/>
      </c>
      <c r="AC1832" s="56" t="n"/>
      <c r="AD1832" s="51" t="n">
        <v>0</v>
      </c>
      <c r="AE1832" s="156" t="inlineStr">
        <is>
          <t>Sin coincidencia en NetSuite</t>
        </is>
      </c>
      <c r="AF1832" s="51" t="n"/>
      <c r="AG1832" s="156" t="inlineStr">
        <is>
          <t>Catálogo existente</t>
        </is>
      </c>
      <c r="AH183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2" s="156" t="n"/>
      <c r="AJ1832" s="156" t="n"/>
      <c r="AK1832" s="155" t="inlineStr">
        <is>
          <t>Shopify Stetson: producto 15054564917611 / variante 53350559449451</t>
        </is>
      </c>
      <c r="AL1832" s="58" t="n"/>
      <c r="AM1832" s="58" t="n">
        <v>5600</v>
      </c>
      <c r="AN1832" s="155" t="inlineStr">
        <is>
          <t>Shopify Stetson México</t>
        </is>
      </c>
      <c r="AO1832" s="59" t="n">
        <v>1</v>
      </c>
      <c r="AP1832" s="59" t="n"/>
      <c r="AQ1832" s="59" t="n"/>
      <c r="AR1832" s="155" t="inlineStr">
        <is>
          <t>Shopify Stetson México › Stetson Americas: 1</t>
        </is>
      </c>
    </row>
    <row r="1833">
      <c r="A1833" s="50" t="inlineStr">
        <is>
          <t>12020002131035265</t>
        </is>
      </c>
      <c r="B1833" s="51" t="n"/>
      <c r="C1833" s="156" t="inlineStr">
        <is>
          <t>Multimarca</t>
        </is>
      </c>
      <c r="D1833" s="156" t="inlineStr">
        <is>
          <t>12-020-BS002-13-1035</t>
        </is>
      </c>
      <c r="E1833" s="156" t="inlineStr">
        <is>
          <t>12-020-BS002-13-1035-265</t>
        </is>
      </c>
      <c r="F1833" s="156" t="inlineStr">
        <is>
          <t>26.5</t>
        </is>
      </c>
      <c r="G1833" s="156" t="inlineStr">
        <is>
          <t>9.5</t>
        </is>
      </c>
      <c r="H1833" s="156" t="inlineStr">
        <is>
          <t>Stetson</t>
        </is>
      </c>
      <c r="I1833" s="156" t="inlineStr">
        <is>
          <t>Bota Piel Rosa Claro</t>
        </is>
      </c>
      <c r="J1833" s="156" t="inlineStr">
        <is>
          <t>Calzado</t>
        </is>
      </c>
      <c r="K1833" s="156" t="inlineStr">
        <is>
          <t>Botas</t>
        </is>
      </c>
      <c r="L1833" s="156" t="inlineStr">
        <is>
          <t>Mujer</t>
        </is>
      </c>
      <c r="M1833" s="156" t="inlineStr">
        <is>
          <t>Stetson</t>
        </is>
      </c>
      <c r="N1833" s="156" t="inlineStr">
        <is>
          <t>SS26</t>
        </is>
      </c>
      <c r="O1833" s="156" t="inlineStr">
        <is>
          <t>Seasonal</t>
        </is>
      </c>
      <c r="P1833" s="156" t="inlineStr">
        <is>
          <t>Rosa</t>
        </is>
      </c>
      <c r="Q1833" s="156" t="n"/>
      <c r="R1833" s="156" t="inlineStr">
        <is>
          <t>Horma Alexia</t>
        </is>
      </c>
      <c r="S1833" s="156" t="inlineStr">
        <is>
          <t>Piel bovina</t>
        </is>
      </c>
      <c r="T1833" s="156" t="inlineStr">
        <is>
          <t>Bota Dama Piel bovina Becerro Suave Rosa Claro Horma Alexia</t>
        </is>
      </c>
      <c r="U1833" s="156" t="inlineStr">
        <is>
          <t>México</t>
        </is>
      </c>
      <c r="V1833" s="156" t="inlineStr">
        <is>
          <t>PRS</t>
        </is>
      </c>
      <c r="W1833" s="51" t="inlineStr">
        <is>
          <t>53111502</t>
        </is>
      </c>
      <c r="X1833" s="156" t="n"/>
      <c r="Y1833" s="54" t="n"/>
      <c r="Z1833" s="54" t="n">
        <v>5600</v>
      </c>
      <c r="AA1833" s="55">
        <f>IF(AND(A1833="", B1833="", E1833=""), "", IF(AB1833="", "Válido", IF((LEN(AB1833)-LEN(SUBSTITUTE(AB1833,"; ","")))/2+1&gt;(LEN(AB1833)-LEN(SUBSTITUTE(AB1833,"[Aviso]","")))/7, "Con Incidencias", "Válido")))</f>
        <v/>
      </c>
      <c r="AB1833" s="56">
        <f>IF(AND(A1833="", B1833="", E1833=""), "", TEXTJOIN("; ", TRUE, IF(OR(TRIM(A1833&amp;"")="", ISNUMBER(SEARCH("FALTA", A1833))), "UPC faltante/inválido", ""), IF(AND(A1833&lt;&gt;"", IFERROR(_xlfn.XMATCH(A1833,$A$2:$A$2509,0,1)&lt;&gt;_xlfn.XMATCH(A1833,$A$2:$A$2509,0,-1),FALSE)), "Código de barras duplicado", ""), IF(AND(E1833&lt;&gt;"", COUNTIF($E$2:$E$2509, E1833)&gt;1), "SKU duplicado", ""), IF(OR(J1833="", J1833=""), "[Aviso] División no capturada ()", IF(ISNA(MATCH(J1833, Criterios!$A$123:$A$126, 0)), "División no válida", "")), IF(OR(K1833="", K1833=""), "[Aviso] Categoría no capturada ()", IF(ISNA(MATCH(K1833, Criterios!$A$81:$A$120, 0)), "Categoría no válida", IF(AND(J1833&lt;&gt;"", J1833&lt;&gt;"", J1833&lt;&gt;VLOOKUP(K1833, Criterios!$A$81:$B$120, 2, FALSE)), "División no coincide con Categoría", ""))), IF(OR(L1833="", L1833=""), "[Aviso] Género no capturado ()", IF(ISNA(MATCH(L1833, Criterios!$B$123:$B$127, 0)), "Género no válido", "")), IF(OR(N1833="", N1833=""), "[Aviso] Temporada no capturada ()", IF(ISNA(MATCH(N1833, Criterios!$C$123:$C$128, 0)), "Temporada no válida", "")), IF(OR(O1833="", O1833=""), "[Aviso] Ciclo de vida no capturado ()", IF(ISNA(MATCH(O1833, Criterios!$D$123:$D$124, 0)), "Ciclo de vida no válido", ""))))</f>
        <v/>
      </c>
      <c r="AC1833" s="56" t="n"/>
      <c r="AD1833" s="51" t="n">
        <v>0</v>
      </c>
      <c r="AE1833" s="156" t="inlineStr">
        <is>
          <t>Sin coincidencia en NetSuite</t>
        </is>
      </c>
      <c r="AF1833" s="51" t="n"/>
      <c r="AG1833" s="156" t="inlineStr">
        <is>
          <t>Catálogo existente</t>
        </is>
      </c>
      <c r="AH183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3" s="156" t="n"/>
      <c r="AJ1833" s="156" t="n"/>
      <c r="AK1833" s="155" t="inlineStr">
        <is>
          <t>Shopify Stetson: producto 15054564917611 / variante 53350559514987</t>
        </is>
      </c>
      <c r="AL1833" s="58" t="n"/>
      <c r="AM1833" s="58" t="n">
        <v>5600</v>
      </c>
      <c r="AN1833" s="155" t="inlineStr">
        <is>
          <t>Shopify Stetson México</t>
        </is>
      </c>
      <c r="AO1833" s="59" t="n">
        <v>0</v>
      </c>
      <c r="AP1833" s="59" t="n"/>
      <c r="AQ1833" s="59" t="n"/>
      <c r="AR1833" s="155" t="n"/>
    </row>
    <row r="1834">
      <c r="A1834" s="50" t="inlineStr">
        <is>
          <t>12020002131035275</t>
        </is>
      </c>
      <c r="B1834" s="51" t="n"/>
      <c r="C1834" s="156" t="inlineStr">
        <is>
          <t>Multimarca</t>
        </is>
      </c>
      <c r="D1834" s="156" t="inlineStr">
        <is>
          <t>12-020-BS002-13-1035</t>
        </is>
      </c>
      <c r="E1834" s="156" t="inlineStr">
        <is>
          <t>12-020-BS002-13-1035-275</t>
        </is>
      </c>
      <c r="F1834" s="156" t="inlineStr">
        <is>
          <t>27.5</t>
        </is>
      </c>
      <c r="G1834" s="156" t="inlineStr">
        <is>
          <t>10.5</t>
        </is>
      </c>
      <c r="H1834" s="156" t="inlineStr">
        <is>
          <t>Stetson</t>
        </is>
      </c>
      <c r="I1834" s="156" t="inlineStr">
        <is>
          <t>Bota Piel Rosa Claro</t>
        </is>
      </c>
      <c r="J1834" s="156" t="inlineStr">
        <is>
          <t>Calzado</t>
        </is>
      </c>
      <c r="K1834" s="156" t="inlineStr">
        <is>
          <t>Botas</t>
        </is>
      </c>
      <c r="L1834" s="156" t="inlineStr">
        <is>
          <t>Mujer</t>
        </is>
      </c>
      <c r="M1834" s="156" t="inlineStr">
        <is>
          <t>Stetson</t>
        </is>
      </c>
      <c r="N1834" s="156" t="inlineStr">
        <is>
          <t>SS26</t>
        </is>
      </c>
      <c r="O1834" s="156" t="inlineStr">
        <is>
          <t>Seasonal</t>
        </is>
      </c>
      <c r="P1834" s="156" t="inlineStr">
        <is>
          <t>Rosa</t>
        </is>
      </c>
      <c r="Q1834" s="156" t="n"/>
      <c r="R1834" s="156" t="inlineStr">
        <is>
          <t>Horma Alexia</t>
        </is>
      </c>
      <c r="S1834" s="156" t="inlineStr">
        <is>
          <t>Piel bovina</t>
        </is>
      </c>
      <c r="T1834" s="156" t="inlineStr">
        <is>
          <t>Bota Dama Piel bovina Becerro Suave Rosa Claro Horma Alexia</t>
        </is>
      </c>
      <c r="U1834" s="156" t="inlineStr">
        <is>
          <t>México</t>
        </is>
      </c>
      <c r="V1834" s="156" t="inlineStr">
        <is>
          <t>PRS</t>
        </is>
      </c>
      <c r="W1834" s="51" t="inlineStr">
        <is>
          <t>53111502</t>
        </is>
      </c>
      <c r="X1834" s="156" t="n"/>
      <c r="Y1834" s="54" t="n"/>
      <c r="Z1834" s="54" t="n">
        <v>5600</v>
      </c>
      <c r="AA1834" s="55">
        <f>IF(AND(A1834="", B1834="", E1834=""), "", IF(AB1834="", "Válido", IF((LEN(AB1834)-LEN(SUBSTITUTE(AB1834,"; ","")))/2+1&gt;(LEN(AB1834)-LEN(SUBSTITUTE(AB1834,"[Aviso]","")))/7, "Con Incidencias", "Válido")))</f>
        <v/>
      </c>
      <c r="AB1834" s="56">
        <f>IF(AND(A1834="", B1834="", E1834=""), "", TEXTJOIN("; ", TRUE, IF(OR(TRIM(A1834&amp;"")="", ISNUMBER(SEARCH("FALTA", A1834))), "UPC faltante/inválido", ""), IF(AND(A1834&lt;&gt;"", IFERROR(_xlfn.XMATCH(A1834,$A$2:$A$2509,0,1)&lt;&gt;_xlfn.XMATCH(A1834,$A$2:$A$2509,0,-1),FALSE)), "Código de barras duplicado", ""), IF(AND(E1834&lt;&gt;"", COUNTIF($E$2:$E$2509, E1834)&gt;1), "SKU duplicado", ""), IF(OR(J1834="", J1834=""), "[Aviso] División no capturada ()", IF(ISNA(MATCH(J1834, Criterios!$A$123:$A$126, 0)), "División no válida", "")), IF(OR(K1834="", K1834=""), "[Aviso] Categoría no capturada ()", IF(ISNA(MATCH(K1834, Criterios!$A$81:$A$120, 0)), "Categoría no válida", IF(AND(J1834&lt;&gt;"", J1834&lt;&gt;"", J1834&lt;&gt;VLOOKUP(K1834, Criterios!$A$81:$B$120, 2, FALSE)), "División no coincide con Categoría", ""))), IF(OR(L1834="", L1834=""), "[Aviso] Género no capturado ()", IF(ISNA(MATCH(L1834, Criterios!$B$123:$B$127, 0)), "Género no válido", "")), IF(OR(N1834="", N1834=""), "[Aviso] Temporada no capturada ()", IF(ISNA(MATCH(N1834, Criterios!$C$123:$C$128, 0)), "Temporada no válida", "")), IF(OR(O1834="", O1834=""), "[Aviso] Ciclo de vida no capturado ()", IF(ISNA(MATCH(O1834, Criterios!$D$123:$D$124, 0)), "Ciclo de vida no válido", ""))))</f>
        <v/>
      </c>
      <c r="AC1834" s="56" t="n"/>
      <c r="AD1834" s="51" t="n">
        <v>0</v>
      </c>
      <c r="AE1834" s="156" t="inlineStr">
        <is>
          <t>Sin coincidencia en NetSuite</t>
        </is>
      </c>
      <c r="AF1834" s="51" t="n"/>
      <c r="AG1834" s="156" t="inlineStr">
        <is>
          <t>Catálogo existente</t>
        </is>
      </c>
      <c r="AH183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4" s="156" t="n"/>
      <c r="AJ1834" s="156" t="n"/>
      <c r="AK1834" s="155" t="inlineStr">
        <is>
          <t>Shopify Stetson: producto 15054564917611 / variante 53350559580523</t>
        </is>
      </c>
      <c r="AL1834" s="58" t="n"/>
      <c r="AM1834" s="58" t="n">
        <v>5600</v>
      </c>
      <c r="AN1834" s="155" t="inlineStr">
        <is>
          <t>Shopify Stetson México</t>
        </is>
      </c>
      <c r="AO1834" s="59" t="n">
        <v>0</v>
      </c>
      <c r="AP1834" s="59" t="n"/>
      <c r="AQ1834" s="59" t="n"/>
      <c r="AR1834" s="155" t="n"/>
    </row>
    <row r="1835">
      <c r="A1835" s="50" t="inlineStr">
        <is>
          <t>12020002131036026</t>
        </is>
      </c>
      <c r="B1835" s="51" t="n"/>
      <c r="C1835" s="156" t="inlineStr">
        <is>
          <t>Multimarca</t>
        </is>
      </c>
      <c r="D1835" s="156" t="inlineStr">
        <is>
          <t>12-020-BS002-13-1036</t>
        </is>
      </c>
      <c r="E1835" s="156" t="inlineStr">
        <is>
          <t>12-020-BS002-13-1036-026</t>
        </is>
      </c>
      <c r="F1835" s="156" t="inlineStr">
        <is>
          <t>26</t>
        </is>
      </c>
      <c r="G1835" s="156" t="inlineStr">
        <is>
          <t>9</t>
        </is>
      </c>
      <c r="H1835" s="156" t="inlineStr">
        <is>
          <t>Stetson</t>
        </is>
      </c>
      <c r="I1835" s="156" t="inlineStr">
        <is>
          <t>Bota Dama Piel Boney Café</t>
        </is>
      </c>
      <c r="J1835" s="156" t="inlineStr">
        <is>
          <t>Calzado</t>
        </is>
      </c>
      <c r="K1835" s="156" t="inlineStr">
        <is>
          <t>Botas</t>
        </is>
      </c>
      <c r="L1835" s="156" t="inlineStr">
        <is>
          <t>Mujer</t>
        </is>
      </c>
      <c r="M1835" s="156" t="inlineStr">
        <is>
          <t>Stetson</t>
        </is>
      </c>
      <c r="N1835" s="156" t="inlineStr">
        <is>
          <t>SS26</t>
        </is>
      </c>
      <c r="O1835" s="156" t="n"/>
      <c r="P1835" s="156" t="inlineStr">
        <is>
          <t>Cafe</t>
        </is>
      </c>
      <c r="Q1835" s="156" t="n"/>
      <c r="R1835" s="156" t="inlineStr">
        <is>
          <t>Horma Alexia</t>
        </is>
      </c>
      <c r="S1835" s="156" t="inlineStr">
        <is>
          <t>Piel bovina</t>
        </is>
      </c>
      <c r="T1835" s="156" t="inlineStr">
        <is>
          <t>Bota Dama Piel bovina Boney Café Horma Alexia</t>
        </is>
      </c>
      <c r="U1835" s="156" t="n"/>
      <c r="V1835" s="156" t="inlineStr">
        <is>
          <t>PRS</t>
        </is>
      </c>
      <c r="W1835" s="51" t="inlineStr">
        <is>
          <t>53111502</t>
        </is>
      </c>
      <c r="X1835" s="156" t="n"/>
      <c r="Y1835" s="54" t="n"/>
      <c r="Z1835" s="54" t="n">
        <v>5600</v>
      </c>
      <c r="AA1835" s="55">
        <f>IF(AND(A1835="", B1835="", E1835=""), "", IF(AB1835="", "Válido", IF((LEN(AB1835)-LEN(SUBSTITUTE(AB1835,"; ","")))/2+1&gt;(LEN(AB1835)-LEN(SUBSTITUTE(AB1835,"[Aviso]","")))/7, "Con Incidencias", "Válido")))</f>
        <v/>
      </c>
      <c r="AB1835" s="56">
        <f>IF(AND(A1835="", B1835="", E1835=""), "", TEXTJOIN("; ", TRUE, IF(OR(TRIM(A1835&amp;"")="", ISNUMBER(SEARCH("FALTA", A1835))), "UPC faltante/inválido", ""), IF(AND(A1835&lt;&gt;"", IFERROR(_xlfn.XMATCH(A1835,$A$2:$A$2509,0,1)&lt;&gt;_xlfn.XMATCH(A1835,$A$2:$A$2509,0,-1),FALSE)), "Código de barras duplicado", ""), IF(AND(E1835&lt;&gt;"", COUNTIF($E$2:$E$2509, E1835)&gt;1), "SKU duplicado", ""), IF(OR(J1835="", J1835=""), "[Aviso] División no capturada ()", IF(ISNA(MATCH(J1835, Criterios!$A$123:$A$126, 0)), "División no válida", "")), IF(OR(K1835="", K1835=""), "[Aviso] Categoría no capturada ()", IF(ISNA(MATCH(K1835, Criterios!$A$81:$A$120, 0)), "Categoría no válida", IF(AND(J1835&lt;&gt;"", J1835&lt;&gt;"", J1835&lt;&gt;VLOOKUP(K1835, Criterios!$A$81:$B$120, 2, FALSE)), "División no coincide con Categoría", ""))), IF(OR(L1835="", L1835=""), "[Aviso] Género no capturado ()", IF(ISNA(MATCH(L1835, Criterios!$B$123:$B$127, 0)), "Género no válido", "")), IF(OR(N1835="", N1835=""), "[Aviso] Temporada no capturada ()", IF(ISNA(MATCH(N1835, Criterios!$C$123:$C$128, 0)), "Temporada no válida", "")), IF(OR(O1835="", O1835=""), "[Aviso] Ciclo de vida no capturado ()", IF(ISNA(MATCH(O1835, Criterios!$D$123:$D$124, 0)), "Ciclo de vida no válido", ""))))</f>
        <v/>
      </c>
      <c r="AC1835" s="56" t="n"/>
      <c r="AD1835" s="51" t="n">
        <v>0</v>
      </c>
      <c r="AE1835" s="156" t="inlineStr">
        <is>
          <t>Sin coincidencia en NetSuite</t>
        </is>
      </c>
      <c r="AF1835" s="51" t="n"/>
      <c r="AG1835" s="156" t="inlineStr">
        <is>
          <t>Catálogo existente</t>
        </is>
      </c>
      <c r="AH183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5" s="156" t="n"/>
      <c r="AJ1835" s="156" t="n"/>
      <c r="AK1835" s="155" t="inlineStr">
        <is>
          <t>Shopify Stetson: producto 15054564950379 / variante 53350559875435</t>
        </is>
      </c>
      <c r="AL1835" s="58" t="n"/>
      <c r="AM1835" s="58" t="n">
        <v>5600</v>
      </c>
      <c r="AN1835" s="155" t="inlineStr">
        <is>
          <t>Shopify Stetson México</t>
        </is>
      </c>
      <c r="AO1835" s="59" t="n">
        <v>1</v>
      </c>
      <c r="AP1835" s="59" t="n"/>
      <c r="AQ1835" s="59" t="n"/>
      <c r="AR1835" s="155" t="inlineStr">
        <is>
          <t>Shopify Stetson México › Stetson Americas: 1</t>
        </is>
      </c>
    </row>
    <row r="1836">
      <c r="A1836" s="50" t="inlineStr">
        <is>
          <t>12020002131036027</t>
        </is>
      </c>
      <c r="B1836" s="51" t="n"/>
      <c r="C1836" s="156" t="inlineStr">
        <is>
          <t>Multimarca</t>
        </is>
      </c>
      <c r="D1836" s="156" t="inlineStr">
        <is>
          <t>12-020-BS002-13-1036</t>
        </is>
      </c>
      <c r="E1836" s="156" t="inlineStr">
        <is>
          <t>12-020-BS002-13-1036-027</t>
        </is>
      </c>
      <c r="F1836" s="156" t="inlineStr">
        <is>
          <t>27</t>
        </is>
      </c>
      <c r="G1836" s="156" t="inlineStr">
        <is>
          <t>10</t>
        </is>
      </c>
      <c r="H1836" s="156" t="inlineStr">
        <is>
          <t>Stetson</t>
        </is>
      </c>
      <c r="I1836" s="156" t="inlineStr">
        <is>
          <t>Bota Dama Piel Boney Café</t>
        </is>
      </c>
      <c r="J1836" s="156" t="inlineStr">
        <is>
          <t>Calzado</t>
        </is>
      </c>
      <c r="K1836" s="156" t="inlineStr">
        <is>
          <t>Botas</t>
        </is>
      </c>
      <c r="L1836" s="156" t="inlineStr">
        <is>
          <t>Mujer</t>
        </is>
      </c>
      <c r="M1836" s="156" t="inlineStr">
        <is>
          <t>Stetson</t>
        </is>
      </c>
      <c r="N1836" s="156" t="inlineStr">
        <is>
          <t>SS26</t>
        </is>
      </c>
      <c r="O1836" s="156" t="n"/>
      <c r="P1836" s="156" t="inlineStr">
        <is>
          <t>Cafe</t>
        </is>
      </c>
      <c r="Q1836" s="156" t="n"/>
      <c r="R1836" s="156" t="inlineStr">
        <is>
          <t>Horma Alexia</t>
        </is>
      </c>
      <c r="S1836" s="156" t="inlineStr">
        <is>
          <t>Piel bovina</t>
        </is>
      </c>
      <c r="T1836" s="156" t="inlineStr">
        <is>
          <t>Bota Dama Piel bovina Boney Café Horma Alexia</t>
        </is>
      </c>
      <c r="U1836" s="156" t="n"/>
      <c r="V1836" s="156" t="inlineStr">
        <is>
          <t>PRS</t>
        </is>
      </c>
      <c r="W1836" s="51" t="inlineStr">
        <is>
          <t>53111502</t>
        </is>
      </c>
      <c r="X1836" s="156" t="n"/>
      <c r="Y1836" s="54" t="n"/>
      <c r="Z1836" s="54" t="n">
        <v>5600</v>
      </c>
      <c r="AA1836" s="55">
        <f>IF(AND(A1836="", B1836="", E1836=""), "", IF(AB1836="", "Válido", IF((LEN(AB1836)-LEN(SUBSTITUTE(AB1836,"; ","")))/2+1&gt;(LEN(AB1836)-LEN(SUBSTITUTE(AB1836,"[Aviso]","")))/7, "Con Incidencias", "Válido")))</f>
        <v/>
      </c>
      <c r="AB1836" s="56">
        <f>IF(AND(A1836="", B1836="", E1836=""), "", TEXTJOIN("; ", TRUE, IF(OR(TRIM(A1836&amp;"")="", ISNUMBER(SEARCH("FALTA", A1836))), "UPC faltante/inválido", ""), IF(AND(A1836&lt;&gt;"", IFERROR(_xlfn.XMATCH(A1836,$A$2:$A$2509,0,1)&lt;&gt;_xlfn.XMATCH(A1836,$A$2:$A$2509,0,-1),FALSE)), "Código de barras duplicado", ""), IF(AND(E1836&lt;&gt;"", COUNTIF($E$2:$E$2509, E1836)&gt;1), "SKU duplicado", ""), IF(OR(J1836="", J1836=""), "[Aviso] División no capturada ()", IF(ISNA(MATCH(J1836, Criterios!$A$123:$A$126, 0)), "División no válida", "")), IF(OR(K1836="", K1836=""), "[Aviso] Categoría no capturada ()", IF(ISNA(MATCH(K1836, Criterios!$A$81:$A$120, 0)), "Categoría no válida", IF(AND(J1836&lt;&gt;"", J1836&lt;&gt;"", J1836&lt;&gt;VLOOKUP(K1836, Criterios!$A$81:$B$120, 2, FALSE)), "División no coincide con Categoría", ""))), IF(OR(L1836="", L1836=""), "[Aviso] Género no capturado ()", IF(ISNA(MATCH(L1836, Criterios!$B$123:$B$127, 0)), "Género no válido", "")), IF(OR(N1836="", N1836=""), "[Aviso] Temporada no capturada ()", IF(ISNA(MATCH(N1836, Criterios!$C$123:$C$128, 0)), "Temporada no válida", "")), IF(OR(O1836="", O1836=""), "[Aviso] Ciclo de vida no capturado ()", IF(ISNA(MATCH(O1836, Criterios!$D$123:$D$124, 0)), "Ciclo de vida no válido", ""))))</f>
        <v/>
      </c>
      <c r="AC1836" s="56" t="n"/>
      <c r="AD1836" s="51" t="n">
        <v>0</v>
      </c>
      <c r="AE1836" s="156" t="inlineStr">
        <is>
          <t>Sin coincidencia en NetSuite</t>
        </is>
      </c>
      <c r="AF1836" s="51" t="n"/>
      <c r="AG1836" s="156" t="inlineStr">
        <is>
          <t>Catálogo existente</t>
        </is>
      </c>
      <c r="AH183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6" s="156" t="n"/>
      <c r="AJ1836" s="156" t="n"/>
      <c r="AK1836" s="155" t="inlineStr">
        <is>
          <t>Shopify Stetson: producto 15054564950379 / variante 53350559940971</t>
        </is>
      </c>
      <c r="AL1836" s="58" t="n"/>
      <c r="AM1836" s="58" t="n">
        <v>5600</v>
      </c>
      <c r="AN1836" s="155" t="inlineStr">
        <is>
          <t>Shopify Stetson México</t>
        </is>
      </c>
      <c r="AO1836" s="59" t="n">
        <v>0</v>
      </c>
      <c r="AP1836" s="59" t="n"/>
      <c r="AQ1836" s="59" t="n"/>
      <c r="AR1836" s="155" t="n"/>
    </row>
    <row r="1837">
      <c r="A1837" s="50" t="inlineStr">
        <is>
          <t>12020002131036255</t>
        </is>
      </c>
      <c r="B1837" s="51" t="n"/>
      <c r="C1837" s="156" t="inlineStr">
        <is>
          <t>Multimarca</t>
        </is>
      </c>
      <c r="D1837" s="156" t="inlineStr">
        <is>
          <t>12-020-BS002-13-1036</t>
        </is>
      </c>
      <c r="E1837" s="156" t="inlineStr">
        <is>
          <t>12-020-BS002-13-1036-255</t>
        </is>
      </c>
      <c r="F1837" s="156" t="inlineStr">
        <is>
          <t>25.5</t>
        </is>
      </c>
      <c r="G1837" s="156" t="inlineStr">
        <is>
          <t>8.5</t>
        </is>
      </c>
      <c r="H1837" s="156" t="inlineStr">
        <is>
          <t>Stetson</t>
        </is>
      </c>
      <c r="I1837" s="156" t="inlineStr">
        <is>
          <t>Bota Dama Piel Boney Café</t>
        </is>
      </c>
      <c r="J1837" s="156" t="inlineStr">
        <is>
          <t>Calzado</t>
        </is>
      </c>
      <c r="K1837" s="156" t="inlineStr">
        <is>
          <t>Botas</t>
        </is>
      </c>
      <c r="L1837" s="156" t="inlineStr">
        <is>
          <t>Mujer</t>
        </is>
      </c>
      <c r="M1837" s="156" t="inlineStr">
        <is>
          <t>Stetson</t>
        </is>
      </c>
      <c r="N1837" s="156" t="inlineStr">
        <is>
          <t>SS26</t>
        </is>
      </c>
      <c r="O1837" s="156" t="n"/>
      <c r="P1837" s="156" t="inlineStr">
        <is>
          <t>Cafe</t>
        </is>
      </c>
      <c r="Q1837" s="156" t="n"/>
      <c r="R1837" s="156" t="inlineStr">
        <is>
          <t>Horma Alexia</t>
        </is>
      </c>
      <c r="S1837" s="156" t="inlineStr">
        <is>
          <t>Piel bovina</t>
        </is>
      </c>
      <c r="T1837" s="156" t="inlineStr">
        <is>
          <t>Bota Dama Piel bovina Boney Café Horma Alexia</t>
        </is>
      </c>
      <c r="U1837" s="156" t="n"/>
      <c r="V1837" s="156" t="inlineStr">
        <is>
          <t>PRS</t>
        </is>
      </c>
      <c r="W1837" s="51" t="inlineStr">
        <is>
          <t>53111502</t>
        </is>
      </c>
      <c r="X1837" s="156" t="n"/>
      <c r="Y1837" s="54" t="n"/>
      <c r="Z1837" s="54" t="n">
        <v>5600</v>
      </c>
      <c r="AA1837" s="55">
        <f>IF(AND(A1837="", B1837="", E1837=""), "", IF(AB1837="", "Válido", IF((LEN(AB1837)-LEN(SUBSTITUTE(AB1837,"; ","")))/2+1&gt;(LEN(AB1837)-LEN(SUBSTITUTE(AB1837,"[Aviso]","")))/7, "Con Incidencias", "Válido")))</f>
        <v/>
      </c>
      <c r="AB1837" s="56">
        <f>IF(AND(A1837="", B1837="", E1837=""), "", TEXTJOIN("; ", TRUE, IF(OR(TRIM(A1837&amp;"")="", ISNUMBER(SEARCH("FALTA", A1837))), "UPC faltante/inválido", ""), IF(AND(A1837&lt;&gt;"", IFERROR(_xlfn.XMATCH(A1837,$A$2:$A$2509,0,1)&lt;&gt;_xlfn.XMATCH(A1837,$A$2:$A$2509,0,-1),FALSE)), "Código de barras duplicado", ""), IF(AND(E1837&lt;&gt;"", COUNTIF($E$2:$E$2509, E1837)&gt;1), "SKU duplicado", ""), IF(OR(J1837="", J1837=""), "[Aviso] División no capturada ()", IF(ISNA(MATCH(J1837, Criterios!$A$123:$A$126, 0)), "División no válida", "")), IF(OR(K1837="", K1837=""), "[Aviso] Categoría no capturada ()", IF(ISNA(MATCH(K1837, Criterios!$A$81:$A$120, 0)), "Categoría no válida", IF(AND(J1837&lt;&gt;"", J1837&lt;&gt;"", J1837&lt;&gt;VLOOKUP(K1837, Criterios!$A$81:$B$120, 2, FALSE)), "División no coincide con Categoría", ""))), IF(OR(L1837="", L1837=""), "[Aviso] Género no capturado ()", IF(ISNA(MATCH(L1837, Criterios!$B$123:$B$127, 0)), "Género no válido", "")), IF(OR(N1837="", N1837=""), "[Aviso] Temporada no capturada ()", IF(ISNA(MATCH(N1837, Criterios!$C$123:$C$128, 0)), "Temporada no válida", "")), IF(OR(O1837="", O1837=""), "[Aviso] Ciclo de vida no capturado ()", IF(ISNA(MATCH(O1837, Criterios!$D$123:$D$124, 0)), "Ciclo de vida no válido", ""))))</f>
        <v/>
      </c>
      <c r="AC1837" s="56" t="n"/>
      <c r="AD1837" s="51" t="n">
        <v>0</v>
      </c>
      <c r="AE1837" s="156" t="inlineStr">
        <is>
          <t>Sin coincidencia en NetSuite</t>
        </is>
      </c>
      <c r="AF1837" s="51" t="n"/>
      <c r="AG1837" s="156" t="inlineStr">
        <is>
          <t>Catálogo existente</t>
        </is>
      </c>
      <c r="AH183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7" s="156" t="n"/>
      <c r="AJ1837" s="156" t="n"/>
      <c r="AK1837" s="155" t="inlineStr">
        <is>
          <t>Shopify Stetson: producto 15054564950379 / variante 53350559842667</t>
        </is>
      </c>
      <c r="AL1837" s="58" t="n"/>
      <c r="AM1837" s="58" t="n">
        <v>5600</v>
      </c>
      <c r="AN1837" s="155" t="inlineStr">
        <is>
          <t>Shopify Stetson México</t>
        </is>
      </c>
      <c r="AO1837" s="59" t="n">
        <v>2</v>
      </c>
      <c r="AP1837" s="59" t="n"/>
      <c r="AQ1837" s="59" t="n"/>
      <c r="AR1837" s="155" t="inlineStr">
        <is>
          <t>Shopify Stetson México › Stetson Americas: 2</t>
        </is>
      </c>
    </row>
    <row r="1838">
      <c r="A1838" s="50" t="inlineStr">
        <is>
          <t>12020002131036265</t>
        </is>
      </c>
      <c r="B1838" s="51" t="n"/>
      <c r="C1838" s="156" t="inlineStr">
        <is>
          <t>Multimarca</t>
        </is>
      </c>
      <c r="D1838" s="156" t="inlineStr">
        <is>
          <t>12-020-BS002-13-1036</t>
        </is>
      </c>
      <c r="E1838" s="156" t="inlineStr">
        <is>
          <t>12-020-BS002-13-1036-265</t>
        </is>
      </c>
      <c r="F1838" s="156" t="inlineStr">
        <is>
          <t>26.5</t>
        </is>
      </c>
      <c r="G1838" s="156" t="inlineStr">
        <is>
          <t>9.5</t>
        </is>
      </c>
      <c r="H1838" s="156" t="inlineStr">
        <is>
          <t>Stetson</t>
        </is>
      </c>
      <c r="I1838" s="156" t="inlineStr">
        <is>
          <t>Bota Dama Piel Boney Café</t>
        </is>
      </c>
      <c r="J1838" s="156" t="inlineStr">
        <is>
          <t>Calzado</t>
        </is>
      </c>
      <c r="K1838" s="156" t="inlineStr">
        <is>
          <t>Botas</t>
        </is>
      </c>
      <c r="L1838" s="156" t="inlineStr">
        <is>
          <t>Mujer</t>
        </is>
      </c>
      <c r="M1838" s="156" t="inlineStr">
        <is>
          <t>Stetson</t>
        </is>
      </c>
      <c r="N1838" s="156" t="inlineStr">
        <is>
          <t>SS26</t>
        </is>
      </c>
      <c r="O1838" s="156" t="n"/>
      <c r="P1838" s="156" t="inlineStr">
        <is>
          <t>Cafe</t>
        </is>
      </c>
      <c r="Q1838" s="156" t="n"/>
      <c r="R1838" s="156" t="inlineStr">
        <is>
          <t>Horma Alexia</t>
        </is>
      </c>
      <c r="S1838" s="156" t="inlineStr">
        <is>
          <t>Piel bovina</t>
        </is>
      </c>
      <c r="T1838" s="156" t="inlineStr">
        <is>
          <t>Bota Dama Piel bovina Boney Café Horma Alexia</t>
        </is>
      </c>
      <c r="U1838" s="156" t="n"/>
      <c r="V1838" s="156" t="inlineStr">
        <is>
          <t>PRS</t>
        </is>
      </c>
      <c r="W1838" s="51" t="inlineStr">
        <is>
          <t>53111502</t>
        </is>
      </c>
      <c r="X1838" s="156" t="n"/>
      <c r="Y1838" s="54" t="n"/>
      <c r="Z1838" s="54" t="n">
        <v>5600</v>
      </c>
      <c r="AA1838" s="55">
        <f>IF(AND(A1838="", B1838="", E1838=""), "", IF(AB1838="", "Válido", IF((LEN(AB1838)-LEN(SUBSTITUTE(AB1838,"; ","")))/2+1&gt;(LEN(AB1838)-LEN(SUBSTITUTE(AB1838,"[Aviso]","")))/7, "Con Incidencias", "Válido")))</f>
        <v/>
      </c>
      <c r="AB1838" s="56">
        <f>IF(AND(A1838="", B1838="", E1838=""), "", TEXTJOIN("; ", TRUE, IF(OR(TRIM(A1838&amp;"")="", ISNUMBER(SEARCH("FALTA", A1838))), "UPC faltante/inválido", ""), IF(AND(A1838&lt;&gt;"", IFERROR(_xlfn.XMATCH(A1838,$A$2:$A$2509,0,1)&lt;&gt;_xlfn.XMATCH(A1838,$A$2:$A$2509,0,-1),FALSE)), "Código de barras duplicado", ""), IF(AND(E1838&lt;&gt;"", COUNTIF($E$2:$E$2509, E1838)&gt;1), "SKU duplicado", ""), IF(OR(J1838="", J1838=""), "[Aviso] División no capturada ()", IF(ISNA(MATCH(J1838, Criterios!$A$123:$A$126, 0)), "División no válida", "")), IF(OR(K1838="", K1838=""), "[Aviso] Categoría no capturada ()", IF(ISNA(MATCH(K1838, Criterios!$A$81:$A$120, 0)), "Categoría no válida", IF(AND(J1838&lt;&gt;"", J1838&lt;&gt;"", J1838&lt;&gt;VLOOKUP(K1838, Criterios!$A$81:$B$120, 2, FALSE)), "División no coincide con Categoría", ""))), IF(OR(L1838="", L1838=""), "[Aviso] Género no capturado ()", IF(ISNA(MATCH(L1838, Criterios!$B$123:$B$127, 0)), "Género no válido", "")), IF(OR(N1838="", N1838=""), "[Aviso] Temporada no capturada ()", IF(ISNA(MATCH(N1838, Criterios!$C$123:$C$128, 0)), "Temporada no válida", "")), IF(OR(O1838="", O1838=""), "[Aviso] Ciclo de vida no capturado ()", IF(ISNA(MATCH(O1838, Criterios!$D$123:$D$124, 0)), "Ciclo de vida no válido", ""))))</f>
        <v/>
      </c>
      <c r="AC1838" s="56" t="n"/>
      <c r="AD1838" s="51" t="n">
        <v>0</v>
      </c>
      <c r="AE1838" s="156" t="inlineStr">
        <is>
          <t>Sin coincidencia en NetSuite</t>
        </is>
      </c>
      <c r="AF1838" s="51" t="n"/>
      <c r="AG1838" s="156" t="inlineStr">
        <is>
          <t>Catálogo existente</t>
        </is>
      </c>
      <c r="AH183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8" s="156" t="n"/>
      <c r="AJ1838" s="156" t="n"/>
      <c r="AK1838" s="155" t="inlineStr">
        <is>
          <t>Shopify Stetson: producto 15054564950379 / variante 53350559908203</t>
        </is>
      </c>
      <c r="AL1838" s="58" t="n"/>
      <c r="AM1838" s="58" t="n">
        <v>5600</v>
      </c>
      <c r="AN1838" s="155" t="inlineStr">
        <is>
          <t>Shopify Stetson México</t>
        </is>
      </c>
      <c r="AO1838" s="59" t="n">
        <v>1</v>
      </c>
      <c r="AP1838" s="59" t="n"/>
      <c r="AQ1838" s="59" t="n"/>
      <c r="AR1838" s="155" t="inlineStr">
        <is>
          <t>Shopify Stetson México › Stetson Americas: 1</t>
        </is>
      </c>
    </row>
    <row r="1839">
      <c r="A1839" s="50" t="inlineStr">
        <is>
          <t>12020002131036275</t>
        </is>
      </c>
      <c r="B1839" s="51" t="n"/>
      <c r="C1839" s="156" t="inlineStr">
        <is>
          <t>Multimarca</t>
        </is>
      </c>
      <c r="D1839" s="156" t="inlineStr">
        <is>
          <t>12-020-BS002-13-1036</t>
        </is>
      </c>
      <c r="E1839" s="156" t="inlineStr">
        <is>
          <t>12-020-BS002-13-1036-275</t>
        </is>
      </c>
      <c r="F1839" s="156" t="inlineStr">
        <is>
          <t>27.5</t>
        </is>
      </c>
      <c r="G1839" s="156" t="inlineStr">
        <is>
          <t>10.5</t>
        </is>
      </c>
      <c r="H1839" s="156" t="inlineStr">
        <is>
          <t>Stetson</t>
        </is>
      </c>
      <c r="I1839" s="156" t="inlineStr">
        <is>
          <t>Bota Dama Piel Boney Café</t>
        </is>
      </c>
      <c r="J1839" s="156" t="inlineStr">
        <is>
          <t>Calzado</t>
        </is>
      </c>
      <c r="K1839" s="156" t="inlineStr">
        <is>
          <t>Botas</t>
        </is>
      </c>
      <c r="L1839" s="156" t="inlineStr">
        <is>
          <t>Mujer</t>
        </is>
      </c>
      <c r="M1839" s="156" t="inlineStr">
        <is>
          <t>Stetson</t>
        </is>
      </c>
      <c r="N1839" s="156" t="inlineStr">
        <is>
          <t>SS26</t>
        </is>
      </c>
      <c r="O1839" s="156" t="n"/>
      <c r="P1839" s="156" t="inlineStr">
        <is>
          <t>Cafe</t>
        </is>
      </c>
      <c r="Q1839" s="156" t="n"/>
      <c r="R1839" s="156" t="inlineStr">
        <is>
          <t>Horma Alexia</t>
        </is>
      </c>
      <c r="S1839" s="156" t="inlineStr">
        <is>
          <t>Piel bovina</t>
        </is>
      </c>
      <c r="T1839" s="156" t="inlineStr">
        <is>
          <t>Bota Dama Piel bovina Boney Café Horma Alexia</t>
        </is>
      </c>
      <c r="U1839" s="156" t="n"/>
      <c r="V1839" s="156" t="inlineStr">
        <is>
          <t>PRS</t>
        </is>
      </c>
      <c r="W1839" s="51" t="inlineStr">
        <is>
          <t>53111502</t>
        </is>
      </c>
      <c r="X1839" s="156" t="n"/>
      <c r="Y1839" s="54" t="n"/>
      <c r="Z1839" s="54" t="n">
        <v>5600</v>
      </c>
      <c r="AA1839" s="55">
        <f>IF(AND(A1839="", B1839="", E1839=""), "", IF(AB1839="", "Válido", IF((LEN(AB1839)-LEN(SUBSTITUTE(AB1839,"; ","")))/2+1&gt;(LEN(AB1839)-LEN(SUBSTITUTE(AB1839,"[Aviso]","")))/7, "Con Incidencias", "Válido")))</f>
        <v/>
      </c>
      <c r="AB1839" s="56">
        <f>IF(AND(A1839="", B1839="", E1839=""), "", TEXTJOIN("; ", TRUE, IF(OR(TRIM(A1839&amp;"")="", ISNUMBER(SEARCH("FALTA", A1839))), "UPC faltante/inválido", ""), IF(AND(A1839&lt;&gt;"", IFERROR(_xlfn.XMATCH(A1839,$A$2:$A$2509,0,1)&lt;&gt;_xlfn.XMATCH(A1839,$A$2:$A$2509,0,-1),FALSE)), "Código de barras duplicado", ""), IF(AND(E1839&lt;&gt;"", COUNTIF($E$2:$E$2509, E1839)&gt;1), "SKU duplicado", ""), IF(OR(J1839="", J1839=""), "[Aviso] División no capturada ()", IF(ISNA(MATCH(J1839, Criterios!$A$123:$A$126, 0)), "División no válida", "")), IF(OR(K1839="", K1839=""), "[Aviso] Categoría no capturada ()", IF(ISNA(MATCH(K1839, Criterios!$A$81:$A$120, 0)), "Categoría no válida", IF(AND(J1839&lt;&gt;"", J1839&lt;&gt;"", J1839&lt;&gt;VLOOKUP(K1839, Criterios!$A$81:$B$120, 2, FALSE)), "División no coincide con Categoría", ""))), IF(OR(L1839="", L1839=""), "[Aviso] Género no capturado ()", IF(ISNA(MATCH(L1839, Criterios!$B$123:$B$127, 0)), "Género no válido", "")), IF(OR(N1839="", N1839=""), "[Aviso] Temporada no capturada ()", IF(ISNA(MATCH(N1839, Criterios!$C$123:$C$128, 0)), "Temporada no válida", "")), IF(OR(O1839="", O1839=""), "[Aviso] Ciclo de vida no capturado ()", IF(ISNA(MATCH(O1839, Criterios!$D$123:$D$124, 0)), "Ciclo de vida no válido", ""))))</f>
        <v/>
      </c>
      <c r="AC1839" s="56" t="n"/>
      <c r="AD1839" s="51" t="n">
        <v>0</v>
      </c>
      <c r="AE1839" s="156" t="inlineStr">
        <is>
          <t>Sin coincidencia en NetSuite</t>
        </is>
      </c>
      <c r="AF1839" s="51" t="n"/>
      <c r="AG1839" s="156" t="inlineStr">
        <is>
          <t>Catálogo existente</t>
        </is>
      </c>
      <c r="AH183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9" s="156" t="n"/>
      <c r="AJ1839" s="156" t="n"/>
      <c r="AK1839" s="155" t="inlineStr">
        <is>
          <t>Shopify Stetson: producto 15054564950379 / variante 53350559973739</t>
        </is>
      </c>
      <c r="AL1839" s="58" t="n"/>
      <c r="AM1839" s="58" t="n">
        <v>5600</v>
      </c>
      <c r="AN1839" s="155" t="inlineStr">
        <is>
          <t>Shopify Stetson México</t>
        </is>
      </c>
      <c r="AO1839" s="59" t="n">
        <v>0</v>
      </c>
      <c r="AP1839" s="59" t="n"/>
      <c r="AQ1839" s="59" t="n"/>
      <c r="AR1839" s="155" t="n"/>
    </row>
    <row r="1840">
      <c r="A1840" s="50" t="inlineStr">
        <is>
          <t>12020003131037026</t>
        </is>
      </c>
      <c r="B1840" s="51" t="n"/>
      <c r="C1840" s="156" t="inlineStr">
        <is>
          <t>Multimarca</t>
        </is>
      </c>
      <c r="D1840" s="156" t="inlineStr">
        <is>
          <t>12-020-BS003-13-1037</t>
        </is>
      </c>
      <c r="E1840" s="156" t="inlineStr">
        <is>
          <t>12-020-BS003-13-1037-026</t>
        </is>
      </c>
      <c r="F1840" s="156" t="inlineStr">
        <is>
          <t>26</t>
        </is>
      </c>
      <c r="G1840" s="156" t="inlineStr">
        <is>
          <t>9</t>
        </is>
      </c>
      <c r="H1840" s="156" t="inlineStr">
        <is>
          <t>Stetson</t>
        </is>
      </c>
      <c r="I1840" s="156" t="inlineStr">
        <is>
          <t>Bota Dama Piel Clayton Negro Horma Alexia</t>
        </is>
      </c>
      <c r="J1840" s="156" t="inlineStr">
        <is>
          <t>Calzado</t>
        </is>
      </c>
      <c r="K1840" s="156" t="inlineStr">
        <is>
          <t>Botas</t>
        </is>
      </c>
      <c r="L1840" s="156" t="inlineStr">
        <is>
          <t>Mujer</t>
        </is>
      </c>
      <c r="M1840" s="156" t="inlineStr">
        <is>
          <t>Stetson</t>
        </is>
      </c>
      <c r="N1840" s="156" t="inlineStr">
        <is>
          <t>SS26</t>
        </is>
      </c>
      <c r="O1840" s="156" t="n"/>
      <c r="P1840" s="156" t="inlineStr">
        <is>
          <t>Negro</t>
        </is>
      </c>
      <c r="Q1840" s="156" t="n"/>
      <c r="R1840" s="156" t="inlineStr">
        <is>
          <t>Horma Alexia</t>
        </is>
      </c>
      <c r="S1840" s="156" t="inlineStr">
        <is>
          <t>Piel bovina</t>
        </is>
      </c>
      <c r="T1840" s="156" t="inlineStr">
        <is>
          <t>Bota Dama Piel bovina Clayton Negro Horma Alexia</t>
        </is>
      </c>
      <c r="U1840" s="156" t="n"/>
      <c r="V1840" s="156" t="inlineStr">
        <is>
          <t>PRS</t>
        </is>
      </c>
      <c r="W1840" s="51" t="inlineStr">
        <is>
          <t>53111502</t>
        </is>
      </c>
      <c r="X1840" s="156" t="n"/>
      <c r="Y1840" s="54" t="n"/>
      <c r="Z1840" s="54" t="n">
        <v>4900</v>
      </c>
      <c r="AA1840" s="55">
        <f>IF(AND(A1840="", B1840="", E1840=""), "", IF(AB1840="", "Válido", IF((LEN(AB1840)-LEN(SUBSTITUTE(AB1840,"; ","")))/2+1&gt;(LEN(AB1840)-LEN(SUBSTITUTE(AB1840,"[Aviso]","")))/7, "Con Incidencias", "Válido")))</f>
        <v/>
      </c>
      <c r="AB1840" s="56">
        <f>IF(AND(A1840="", B1840="", E1840=""), "", TEXTJOIN("; ", TRUE, IF(OR(TRIM(A1840&amp;"")="", ISNUMBER(SEARCH("FALTA", A1840))), "UPC faltante/inválido", ""), IF(AND(A1840&lt;&gt;"", IFERROR(_xlfn.XMATCH(A1840,$A$2:$A$2509,0,1)&lt;&gt;_xlfn.XMATCH(A1840,$A$2:$A$2509,0,-1),FALSE)), "Código de barras duplicado", ""), IF(AND(E1840&lt;&gt;"", COUNTIF($E$2:$E$2509, E1840)&gt;1), "SKU duplicado", ""), IF(OR(J1840="", J1840=""), "[Aviso] División no capturada ()", IF(ISNA(MATCH(J1840, Criterios!$A$123:$A$126, 0)), "División no válida", "")), IF(OR(K1840="", K1840=""), "[Aviso] Categoría no capturada ()", IF(ISNA(MATCH(K1840, Criterios!$A$81:$A$120, 0)), "Categoría no válida", IF(AND(J1840&lt;&gt;"", J1840&lt;&gt;"", J1840&lt;&gt;VLOOKUP(K1840, Criterios!$A$81:$B$120, 2, FALSE)), "División no coincide con Categoría", ""))), IF(OR(L1840="", L1840=""), "[Aviso] Género no capturado ()", IF(ISNA(MATCH(L1840, Criterios!$B$123:$B$127, 0)), "Género no válido", "")), IF(OR(N1840="", N1840=""), "[Aviso] Temporada no capturada ()", IF(ISNA(MATCH(N1840, Criterios!$C$123:$C$128, 0)), "Temporada no válida", "")), IF(OR(O1840="", O1840=""), "[Aviso] Ciclo de vida no capturado ()", IF(ISNA(MATCH(O1840, Criterios!$D$123:$D$124, 0)), "Ciclo de vida no válido", ""))))</f>
        <v/>
      </c>
      <c r="AC1840" s="56" t="n"/>
      <c r="AD1840" s="51" t="n">
        <v>0</v>
      </c>
      <c r="AE1840" s="156" t="inlineStr">
        <is>
          <t>Sin coincidencia en NetSuite</t>
        </is>
      </c>
      <c r="AF1840" s="51" t="n"/>
      <c r="AG1840" s="156" t="inlineStr">
        <is>
          <t>Catálogo existente</t>
        </is>
      </c>
      <c r="AH184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0" s="156" t="n"/>
      <c r="AJ1840" s="156" t="n"/>
      <c r="AK1840" s="155" t="inlineStr">
        <is>
          <t>Shopify Stetson: producto 15054564983147 / variante 53350560268651</t>
        </is>
      </c>
      <c r="AL1840" s="58" t="n"/>
      <c r="AM1840" s="58" t="n">
        <v>4900</v>
      </c>
      <c r="AN1840" s="155" t="inlineStr">
        <is>
          <t>Shopify Stetson México</t>
        </is>
      </c>
      <c r="AO1840" s="59" t="n">
        <v>0</v>
      </c>
      <c r="AP1840" s="59" t="n"/>
      <c r="AQ1840" s="59" t="n"/>
      <c r="AR1840" s="155" t="n"/>
    </row>
    <row r="1841">
      <c r="A1841" s="50" t="inlineStr">
        <is>
          <t>12020003131037027</t>
        </is>
      </c>
      <c r="B1841" s="51" t="n"/>
      <c r="C1841" s="156" t="inlineStr">
        <is>
          <t>Multimarca</t>
        </is>
      </c>
      <c r="D1841" s="156" t="inlineStr">
        <is>
          <t>12-020-BS003-13-1037</t>
        </is>
      </c>
      <c r="E1841" s="156" t="inlineStr">
        <is>
          <t>12-020-BS003-13-1037-027</t>
        </is>
      </c>
      <c r="F1841" s="156" t="inlineStr">
        <is>
          <t>27</t>
        </is>
      </c>
      <c r="G1841" s="156" t="inlineStr">
        <is>
          <t>10</t>
        </is>
      </c>
      <c r="H1841" s="156" t="inlineStr">
        <is>
          <t>Stetson</t>
        </is>
      </c>
      <c r="I1841" s="156" t="inlineStr">
        <is>
          <t>Bota Dama Piel Clayton Negro Horma Alexia</t>
        </is>
      </c>
      <c r="J1841" s="156" t="inlineStr">
        <is>
          <t>Calzado</t>
        </is>
      </c>
      <c r="K1841" s="156" t="inlineStr">
        <is>
          <t>Botas</t>
        </is>
      </c>
      <c r="L1841" s="156" t="inlineStr">
        <is>
          <t>Mujer</t>
        </is>
      </c>
      <c r="M1841" s="156" t="inlineStr">
        <is>
          <t>Stetson</t>
        </is>
      </c>
      <c r="N1841" s="156" t="inlineStr">
        <is>
          <t>SS26</t>
        </is>
      </c>
      <c r="O1841" s="156" t="n"/>
      <c r="P1841" s="156" t="inlineStr">
        <is>
          <t>Negro</t>
        </is>
      </c>
      <c r="Q1841" s="156" t="n"/>
      <c r="R1841" s="156" t="inlineStr">
        <is>
          <t>Horma Alexia</t>
        </is>
      </c>
      <c r="S1841" s="156" t="inlineStr">
        <is>
          <t>Piel bovina</t>
        </is>
      </c>
      <c r="T1841" s="156" t="inlineStr">
        <is>
          <t>Bota Dama Piel bovina Clayton Negro Horma Alexia</t>
        </is>
      </c>
      <c r="U1841" s="156" t="n"/>
      <c r="V1841" s="156" t="inlineStr">
        <is>
          <t>PRS</t>
        </is>
      </c>
      <c r="W1841" s="51" t="inlineStr">
        <is>
          <t>53111502</t>
        </is>
      </c>
      <c r="X1841" s="156" t="n"/>
      <c r="Y1841" s="54" t="n"/>
      <c r="Z1841" s="54" t="n">
        <v>4900</v>
      </c>
      <c r="AA1841" s="55">
        <f>IF(AND(A1841="", B1841="", E1841=""), "", IF(AB1841="", "Válido", IF((LEN(AB1841)-LEN(SUBSTITUTE(AB1841,"; ","")))/2+1&gt;(LEN(AB1841)-LEN(SUBSTITUTE(AB1841,"[Aviso]","")))/7, "Con Incidencias", "Válido")))</f>
        <v/>
      </c>
      <c r="AB1841" s="56">
        <f>IF(AND(A1841="", B1841="", E1841=""), "", TEXTJOIN("; ", TRUE, IF(OR(TRIM(A1841&amp;"")="", ISNUMBER(SEARCH("FALTA", A1841))), "UPC faltante/inválido", ""), IF(AND(A1841&lt;&gt;"", IFERROR(_xlfn.XMATCH(A1841,$A$2:$A$2509,0,1)&lt;&gt;_xlfn.XMATCH(A1841,$A$2:$A$2509,0,-1),FALSE)), "Código de barras duplicado", ""), IF(AND(E1841&lt;&gt;"", COUNTIF($E$2:$E$2509, E1841)&gt;1), "SKU duplicado", ""), IF(OR(J1841="", J1841=""), "[Aviso] División no capturada ()", IF(ISNA(MATCH(J1841, Criterios!$A$123:$A$126, 0)), "División no válida", "")), IF(OR(K1841="", K1841=""), "[Aviso] Categoría no capturada ()", IF(ISNA(MATCH(K1841, Criterios!$A$81:$A$120, 0)), "Categoría no válida", IF(AND(J1841&lt;&gt;"", J1841&lt;&gt;"", J1841&lt;&gt;VLOOKUP(K1841, Criterios!$A$81:$B$120, 2, FALSE)), "División no coincide con Categoría", ""))), IF(OR(L1841="", L1841=""), "[Aviso] Género no capturado ()", IF(ISNA(MATCH(L1841, Criterios!$B$123:$B$127, 0)), "Género no válido", "")), IF(OR(N1841="", N1841=""), "[Aviso] Temporada no capturada ()", IF(ISNA(MATCH(N1841, Criterios!$C$123:$C$128, 0)), "Temporada no válida", "")), IF(OR(O1841="", O1841=""), "[Aviso] Ciclo de vida no capturado ()", IF(ISNA(MATCH(O1841, Criterios!$D$123:$D$124, 0)), "Ciclo de vida no válido", ""))))</f>
        <v/>
      </c>
      <c r="AC1841" s="56" t="n"/>
      <c r="AD1841" s="51" t="n">
        <v>0</v>
      </c>
      <c r="AE1841" s="156" t="inlineStr">
        <is>
          <t>Sin coincidencia en NetSuite</t>
        </is>
      </c>
      <c r="AF1841" s="51" t="n"/>
      <c r="AG1841" s="156" t="inlineStr">
        <is>
          <t>Catálogo existente</t>
        </is>
      </c>
      <c r="AH184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1" s="156" t="n"/>
      <c r="AJ1841" s="156" t="n"/>
      <c r="AK1841" s="155" t="inlineStr">
        <is>
          <t>Shopify Stetson: producto 15054564983147 / variante 53350560334187</t>
        </is>
      </c>
      <c r="AL1841" s="58" t="n"/>
      <c r="AM1841" s="58" t="n">
        <v>4900</v>
      </c>
      <c r="AN1841" s="155" t="inlineStr">
        <is>
          <t>Shopify Stetson México</t>
        </is>
      </c>
      <c r="AO1841" s="59" t="n">
        <v>0</v>
      </c>
      <c r="AP1841" s="59" t="n"/>
      <c r="AQ1841" s="59" t="n"/>
      <c r="AR1841" s="155" t="n"/>
    </row>
    <row r="1842">
      <c r="A1842" s="50" t="inlineStr">
        <is>
          <t>12020003131037255</t>
        </is>
      </c>
      <c r="B1842" s="51" t="n"/>
      <c r="C1842" s="156" t="inlineStr">
        <is>
          <t>Multimarca</t>
        </is>
      </c>
      <c r="D1842" s="156" t="inlineStr">
        <is>
          <t>12-020-BS003-13-1037</t>
        </is>
      </c>
      <c r="E1842" s="156" t="inlineStr">
        <is>
          <t>12-020-BS003-13-1037-255</t>
        </is>
      </c>
      <c r="F1842" s="156" t="inlineStr">
        <is>
          <t>25.5</t>
        </is>
      </c>
      <c r="G1842" s="156" t="inlineStr">
        <is>
          <t>8.5</t>
        </is>
      </c>
      <c r="H1842" s="156" t="inlineStr">
        <is>
          <t>Stetson</t>
        </is>
      </c>
      <c r="I1842" s="156" t="inlineStr">
        <is>
          <t>Bota Dama Piel Clayton Negro Horma Alexia</t>
        </is>
      </c>
      <c r="J1842" s="156" t="inlineStr">
        <is>
          <t>Calzado</t>
        </is>
      </c>
      <c r="K1842" s="156" t="inlineStr">
        <is>
          <t>Botas</t>
        </is>
      </c>
      <c r="L1842" s="156" t="inlineStr">
        <is>
          <t>Mujer</t>
        </is>
      </c>
      <c r="M1842" s="156" t="inlineStr">
        <is>
          <t>Stetson</t>
        </is>
      </c>
      <c r="N1842" s="156" t="inlineStr">
        <is>
          <t>SS26</t>
        </is>
      </c>
      <c r="O1842" s="156" t="n"/>
      <c r="P1842" s="156" t="inlineStr">
        <is>
          <t>Negro</t>
        </is>
      </c>
      <c r="Q1842" s="156" t="n"/>
      <c r="R1842" s="156" t="inlineStr">
        <is>
          <t>Horma Alexia</t>
        </is>
      </c>
      <c r="S1842" s="156" t="inlineStr">
        <is>
          <t>Piel bovina</t>
        </is>
      </c>
      <c r="T1842" s="156" t="inlineStr">
        <is>
          <t>Bota Dama Piel bovina Clayton Negro Horma Alexia</t>
        </is>
      </c>
      <c r="U1842" s="156" t="n"/>
      <c r="V1842" s="156" t="inlineStr">
        <is>
          <t>PRS</t>
        </is>
      </c>
      <c r="W1842" s="51" t="inlineStr">
        <is>
          <t>53111502</t>
        </is>
      </c>
      <c r="X1842" s="156" t="n"/>
      <c r="Y1842" s="54" t="n"/>
      <c r="Z1842" s="54" t="n">
        <v>4900</v>
      </c>
      <c r="AA1842" s="55">
        <f>IF(AND(A1842="", B1842="", E1842=""), "", IF(AB1842="", "Válido", IF((LEN(AB1842)-LEN(SUBSTITUTE(AB1842,"; ","")))/2+1&gt;(LEN(AB1842)-LEN(SUBSTITUTE(AB1842,"[Aviso]","")))/7, "Con Incidencias", "Válido")))</f>
        <v/>
      </c>
      <c r="AB1842" s="56">
        <f>IF(AND(A1842="", B1842="", E1842=""), "", TEXTJOIN("; ", TRUE, IF(OR(TRIM(A1842&amp;"")="", ISNUMBER(SEARCH("FALTA", A1842))), "UPC faltante/inválido", ""), IF(AND(A1842&lt;&gt;"", IFERROR(_xlfn.XMATCH(A1842,$A$2:$A$2509,0,1)&lt;&gt;_xlfn.XMATCH(A1842,$A$2:$A$2509,0,-1),FALSE)), "Código de barras duplicado", ""), IF(AND(E1842&lt;&gt;"", COUNTIF($E$2:$E$2509, E1842)&gt;1), "SKU duplicado", ""), IF(OR(J1842="", J1842=""), "[Aviso] División no capturada ()", IF(ISNA(MATCH(J1842, Criterios!$A$123:$A$126, 0)), "División no válida", "")), IF(OR(K1842="", K1842=""), "[Aviso] Categoría no capturada ()", IF(ISNA(MATCH(K1842, Criterios!$A$81:$A$120, 0)), "Categoría no válida", IF(AND(J1842&lt;&gt;"", J1842&lt;&gt;"", J1842&lt;&gt;VLOOKUP(K1842, Criterios!$A$81:$B$120, 2, FALSE)), "División no coincide con Categoría", ""))), IF(OR(L1842="", L1842=""), "[Aviso] Género no capturado ()", IF(ISNA(MATCH(L1842, Criterios!$B$123:$B$127, 0)), "Género no válido", "")), IF(OR(N1842="", N1842=""), "[Aviso] Temporada no capturada ()", IF(ISNA(MATCH(N1842, Criterios!$C$123:$C$128, 0)), "Temporada no válida", "")), IF(OR(O1842="", O1842=""), "[Aviso] Ciclo de vida no capturado ()", IF(ISNA(MATCH(O1842, Criterios!$D$123:$D$124, 0)), "Ciclo de vida no válido", ""))))</f>
        <v/>
      </c>
      <c r="AC1842" s="56" t="n"/>
      <c r="AD1842" s="51" t="n">
        <v>0</v>
      </c>
      <c r="AE1842" s="156" t="inlineStr">
        <is>
          <t>Sin coincidencia en NetSuite</t>
        </is>
      </c>
      <c r="AF1842" s="51" t="n"/>
      <c r="AG1842" s="156" t="inlineStr">
        <is>
          <t>Catálogo existente</t>
        </is>
      </c>
      <c r="AH184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2" s="156" t="n"/>
      <c r="AJ1842" s="156" t="n"/>
      <c r="AK1842" s="155" t="inlineStr">
        <is>
          <t>Shopify Stetson: producto 15054564983147 / variante 53350560235883</t>
        </is>
      </c>
      <c r="AL1842" s="58" t="n"/>
      <c r="AM1842" s="58" t="n">
        <v>4900</v>
      </c>
      <c r="AN1842" s="155" t="inlineStr">
        <is>
          <t>Shopify Stetson México</t>
        </is>
      </c>
      <c r="AO1842" s="59" t="n">
        <v>2</v>
      </c>
      <c r="AP1842" s="59" t="n"/>
      <c r="AQ1842" s="59" t="n"/>
      <c r="AR1842" s="155" t="inlineStr">
        <is>
          <t>Shopify Stetson México › Stetson Americas: 2</t>
        </is>
      </c>
    </row>
    <row r="1843">
      <c r="A1843" s="50" t="inlineStr">
        <is>
          <t>12020003131037265</t>
        </is>
      </c>
      <c r="B1843" s="51" t="n"/>
      <c r="C1843" s="156" t="inlineStr">
        <is>
          <t>Multimarca</t>
        </is>
      </c>
      <c r="D1843" s="156" t="inlineStr">
        <is>
          <t>12-020-BS003-13-1037</t>
        </is>
      </c>
      <c r="E1843" s="156" t="inlineStr">
        <is>
          <t>12-020-BS003-13-1037-265</t>
        </is>
      </c>
      <c r="F1843" s="156" t="inlineStr">
        <is>
          <t>26.5</t>
        </is>
      </c>
      <c r="G1843" s="156" t="inlineStr">
        <is>
          <t>9.5</t>
        </is>
      </c>
      <c r="H1843" s="156" t="inlineStr">
        <is>
          <t>Stetson</t>
        </is>
      </c>
      <c r="I1843" s="156" t="inlineStr">
        <is>
          <t>Bota Dama Piel Clayton Negro Horma Alexia</t>
        </is>
      </c>
      <c r="J1843" s="156" t="inlineStr">
        <is>
          <t>Calzado</t>
        </is>
      </c>
      <c r="K1843" s="156" t="inlineStr">
        <is>
          <t>Botas</t>
        </is>
      </c>
      <c r="L1843" s="156" t="inlineStr">
        <is>
          <t>Mujer</t>
        </is>
      </c>
      <c r="M1843" s="156" t="inlineStr">
        <is>
          <t>Stetson</t>
        </is>
      </c>
      <c r="N1843" s="156" t="inlineStr">
        <is>
          <t>SS26</t>
        </is>
      </c>
      <c r="O1843" s="156" t="n"/>
      <c r="P1843" s="156" t="inlineStr">
        <is>
          <t>Negro</t>
        </is>
      </c>
      <c r="Q1843" s="156" t="n"/>
      <c r="R1843" s="156" t="inlineStr">
        <is>
          <t>Horma Alexia</t>
        </is>
      </c>
      <c r="S1843" s="156" t="inlineStr">
        <is>
          <t>Piel bovina</t>
        </is>
      </c>
      <c r="T1843" s="156" t="inlineStr">
        <is>
          <t>Bota Dama Piel bovina Clayton Negro Horma Alexia</t>
        </is>
      </c>
      <c r="U1843" s="156" t="n"/>
      <c r="V1843" s="156" t="inlineStr">
        <is>
          <t>PRS</t>
        </is>
      </c>
      <c r="W1843" s="51" t="inlineStr">
        <is>
          <t>53111502</t>
        </is>
      </c>
      <c r="X1843" s="156" t="n"/>
      <c r="Y1843" s="54" t="n"/>
      <c r="Z1843" s="54" t="n">
        <v>4900</v>
      </c>
      <c r="AA1843" s="55">
        <f>IF(AND(A1843="", B1843="", E1843=""), "", IF(AB1843="", "Válido", IF((LEN(AB1843)-LEN(SUBSTITUTE(AB1843,"; ","")))/2+1&gt;(LEN(AB1843)-LEN(SUBSTITUTE(AB1843,"[Aviso]","")))/7, "Con Incidencias", "Válido")))</f>
        <v/>
      </c>
      <c r="AB1843" s="56">
        <f>IF(AND(A1843="", B1843="", E1843=""), "", TEXTJOIN("; ", TRUE, IF(OR(TRIM(A1843&amp;"")="", ISNUMBER(SEARCH("FALTA", A1843))), "UPC faltante/inválido", ""), IF(AND(A1843&lt;&gt;"", IFERROR(_xlfn.XMATCH(A1843,$A$2:$A$2509,0,1)&lt;&gt;_xlfn.XMATCH(A1843,$A$2:$A$2509,0,-1),FALSE)), "Código de barras duplicado", ""), IF(AND(E1843&lt;&gt;"", COUNTIF($E$2:$E$2509, E1843)&gt;1), "SKU duplicado", ""), IF(OR(J1843="", J1843=""), "[Aviso] División no capturada ()", IF(ISNA(MATCH(J1843, Criterios!$A$123:$A$126, 0)), "División no válida", "")), IF(OR(K1843="", K1843=""), "[Aviso] Categoría no capturada ()", IF(ISNA(MATCH(K1843, Criterios!$A$81:$A$120, 0)), "Categoría no válida", IF(AND(J1843&lt;&gt;"", J1843&lt;&gt;"", J1843&lt;&gt;VLOOKUP(K1843, Criterios!$A$81:$B$120, 2, FALSE)), "División no coincide con Categoría", ""))), IF(OR(L1843="", L1843=""), "[Aviso] Género no capturado ()", IF(ISNA(MATCH(L1843, Criterios!$B$123:$B$127, 0)), "Género no válido", "")), IF(OR(N1843="", N1843=""), "[Aviso] Temporada no capturada ()", IF(ISNA(MATCH(N1843, Criterios!$C$123:$C$128, 0)), "Temporada no válida", "")), IF(OR(O1843="", O1843=""), "[Aviso] Ciclo de vida no capturado ()", IF(ISNA(MATCH(O1843, Criterios!$D$123:$D$124, 0)), "Ciclo de vida no válido", ""))))</f>
        <v/>
      </c>
      <c r="AC1843" s="56" t="n"/>
      <c r="AD1843" s="51" t="n">
        <v>0</v>
      </c>
      <c r="AE1843" s="156" t="inlineStr">
        <is>
          <t>Sin coincidencia en NetSuite</t>
        </is>
      </c>
      <c r="AF1843" s="51" t="n"/>
      <c r="AG1843" s="156" t="inlineStr">
        <is>
          <t>Catálogo existente</t>
        </is>
      </c>
      <c r="AH184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3" s="156" t="n"/>
      <c r="AJ1843" s="156" t="n"/>
      <c r="AK1843" s="155" t="inlineStr">
        <is>
          <t>Shopify Stetson: producto 15054564983147 / variante 53350560301419</t>
        </is>
      </c>
      <c r="AL1843" s="58" t="n"/>
      <c r="AM1843" s="58" t="n">
        <v>4900</v>
      </c>
      <c r="AN1843" s="155" t="inlineStr">
        <is>
          <t>Shopify Stetson México</t>
        </is>
      </c>
      <c r="AO1843" s="59" t="n">
        <v>0</v>
      </c>
      <c r="AP1843" s="59" t="n"/>
      <c r="AQ1843" s="59" t="n"/>
      <c r="AR1843" s="155" t="n"/>
    </row>
    <row r="1844">
      <c r="A1844" s="50" t="inlineStr">
        <is>
          <t>12020003131037275</t>
        </is>
      </c>
      <c r="B1844" s="51" t="n"/>
      <c r="C1844" s="156" t="inlineStr">
        <is>
          <t>Multimarca</t>
        </is>
      </c>
      <c r="D1844" s="156" t="inlineStr">
        <is>
          <t>12-020-BS003-13-1037</t>
        </is>
      </c>
      <c r="E1844" s="156" t="inlineStr">
        <is>
          <t>12-020-BS003-13-1037-275</t>
        </is>
      </c>
      <c r="F1844" s="156" t="inlineStr">
        <is>
          <t>27.5</t>
        </is>
      </c>
      <c r="G1844" s="156" t="inlineStr">
        <is>
          <t>10.5</t>
        </is>
      </c>
      <c r="H1844" s="156" t="inlineStr">
        <is>
          <t>Stetson</t>
        </is>
      </c>
      <c r="I1844" s="156" t="inlineStr">
        <is>
          <t>Bota Dama Piel Clayton Negro Horma Alexia</t>
        </is>
      </c>
      <c r="J1844" s="156" t="inlineStr">
        <is>
          <t>Calzado</t>
        </is>
      </c>
      <c r="K1844" s="156" t="inlineStr">
        <is>
          <t>Botas</t>
        </is>
      </c>
      <c r="L1844" s="156" t="inlineStr">
        <is>
          <t>Mujer</t>
        </is>
      </c>
      <c r="M1844" s="156" t="inlineStr">
        <is>
          <t>Stetson</t>
        </is>
      </c>
      <c r="N1844" s="156" t="inlineStr">
        <is>
          <t>SS26</t>
        </is>
      </c>
      <c r="O1844" s="156" t="n"/>
      <c r="P1844" s="156" t="inlineStr">
        <is>
          <t>Negro</t>
        </is>
      </c>
      <c r="Q1844" s="156" t="n"/>
      <c r="R1844" s="156" t="inlineStr">
        <is>
          <t>Horma Alexia</t>
        </is>
      </c>
      <c r="S1844" s="156" t="inlineStr">
        <is>
          <t>Piel bovina</t>
        </is>
      </c>
      <c r="T1844" s="156" t="inlineStr">
        <is>
          <t>Bota Dama Piel bovina Clayton Negro Horma Alexia</t>
        </is>
      </c>
      <c r="U1844" s="156" t="n"/>
      <c r="V1844" s="156" t="inlineStr">
        <is>
          <t>PRS</t>
        </is>
      </c>
      <c r="W1844" s="51" t="inlineStr">
        <is>
          <t>53111502</t>
        </is>
      </c>
      <c r="X1844" s="156" t="n"/>
      <c r="Y1844" s="54" t="n"/>
      <c r="Z1844" s="54" t="n">
        <v>4900</v>
      </c>
      <c r="AA1844" s="55">
        <f>IF(AND(A1844="", B1844="", E1844=""), "", IF(AB1844="", "Válido", IF((LEN(AB1844)-LEN(SUBSTITUTE(AB1844,"; ","")))/2+1&gt;(LEN(AB1844)-LEN(SUBSTITUTE(AB1844,"[Aviso]","")))/7, "Con Incidencias", "Válido")))</f>
        <v/>
      </c>
      <c r="AB1844" s="56">
        <f>IF(AND(A1844="", B1844="", E1844=""), "", TEXTJOIN("; ", TRUE, IF(OR(TRIM(A1844&amp;"")="", ISNUMBER(SEARCH("FALTA", A1844))), "UPC faltante/inválido", ""), IF(AND(A1844&lt;&gt;"", IFERROR(_xlfn.XMATCH(A1844,$A$2:$A$2509,0,1)&lt;&gt;_xlfn.XMATCH(A1844,$A$2:$A$2509,0,-1),FALSE)), "Código de barras duplicado", ""), IF(AND(E1844&lt;&gt;"", COUNTIF($E$2:$E$2509, E1844)&gt;1), "SKU duplicado", ""), IF(OR(J1844="", J1844=""), "[Aviso] División no capturada ()", IF(ISNA(MATCH(J1844, Criterios!$A$123:$A$126, 0)), "División no válida", "")), IF(OR(K1844="", K1844=""), "[Aviso] Categoría no capturada ()", IF(ISNA(MATCH(K1844, Criterios!$A$81:$A$120, 0)), "Categoría no válida", IF(AND(J1844&lt;&gt;"", J1844&lt;&gt;"", J1844&lt;&gt;VLOOKUP(K1844, Criterios!$A$81:$B$120, 2, FALSE)), "División no coincide con Categoría", ""))), IF(OR(L1844="", L1844=""), "[Aviso] Género no capturado ()", IF(ISNA(MATCH(L1844, Criterios!$B$123:$B$127, 0)), "Género no válido", "")), IF(OR(N1844="", N1844=""), "[Aviso] Temporada no capturada ()", IF(ISNA(MATCH(N1844, Criterios!$C$123:$C$128, 0)), "Temporada no válida", "")), IF(OR(O1844="", O1844=""), "[Aviso] Ciclo de vida no capturado ()", IF(ISNA(MATCH(O1844, Criterios!$D$123:$D$124, 0)), "Ciclo de vida no válido", ""))))</f>
        <v/>
      </c>
      <c r="AC1844" s="56" t="n"/>
      <c r="AD1844" s="51" t="n">
        <v>0</v>
      </c>
      <c r="AE1844" s="156" t="inlineStr">
        <is>
          <t>Sin coincidencia en NetSuite</t>
        </is>
      </c>
      <c r="AF1844" s="51" t="n"/>
      <c r="AG1844" s="156" t="inlineStr">
        <is>
          <t>Catálogo existente</t>
        </is>
      </c>
      <c r="AH184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4" s="156" t="n"/>
      <c r="AJ1844" s="156" t="n"/>
      <c r="AK1844" s="155" t="inlineStr">
        <is>
          <t>Shopify Stetson: producto 15054564983147 / variante 53350560366955</t>
        </is>
      </c>
      <c r="AL1844" s="58" t="n"/>
      <c r="AM1844" s="58" t="n">
        <v>4900</v>
      </c>
      <c r="AN1844" s="155" t="inlineStr">
        <is>
          <t>Shopify Stetson México</t>
        </is>
      </c>
      <c r="AO1844" s="59" t="n">
        <v>0</v>
      </c>
      <c r="AP1844" s="59" t="n"/>
      <c r="AQ1844" s="59" t="n"/>
      <c r="AR1844" s="155" t="n"/>
    </row>
    <row r="1845">
      <c r="A1845" s="50" t="inlineStr">
        <is>
          <t>12020003131038026</t>
        </is>
      </c>
      <c r="B1845" s="51" t="n"/>
      <c r="C1845" s="156" t="inlineStr">
        <is>
          <t>Multimarca</t>
        </is>
      </c>
      <c r="D1845" s="156" t="inlineStr">
        <is>
          <t>12-020-BS003-13-1038</t>
        </is>
      </c>
      <c r="E1845" s="156" t="inlineStr">
        <is>
          <t>12-020-BS003-13-1038-026</t>
        </is>
      </c>
      <c r="F1845" s="156" t="inlineStr">
        <is>
          <t>26</t>
        </is>
      </c>
      <c r="G1845" s="156" t="inlineStr">
        <is>
          <t>9</t>
        </is>
      </c>
      <c r="H1845" s="156" t="inlineStr">
        <is>
          <t>Stetson</t>
        </is>
      </c>
      <c r="I1845" s="156" t="inlineStr">
        <is>
          <t>Bota Piel Escarlata</t>
        </is>
      </c>
      <c r="J1845" s="156" t="inlineStr">
        <is>
          <t>Calzado</t>
        </is>
      </c>
      <c r="K1845" s="156" t="inlineStr">
        <is>
          <t>Botas</t>
        </is>
      </c>
      <c r="L1845" s="156" t="inlineStr">
        <is>
          <t>Mujer</t>
        </is>
      </c>
      <c r="M1845" s="156" t="inlineStr">
        <is>
          <t>Stetson</t>
        </is>
      </c>
      <c r="N1845" s="156" t="inlineStr">
        <is>
          <t>SS26</t>
        </is>
      </c>
      <c r="O1845" s="156" t="inlineStr">
        <is>
          <t>Seasonal</t>
        </is>
      </c>
      <c r="P1845" s="156" t="inlineStr">
        <is>
          <t>Rojo</t>
        </is>
      </c>
      <c r="Q1845" s="156" t="n"/>
      <c r="R1845" s="156" t="inlineStr">
        <is>
          <t>Horma Alexia</t>
        </is>
      </c>
      <c r="S1845" s="156" t="inlineStr">
        <is>
          <t>Piel bovina</t>
        </is>
      </c>
      <c r="T1845" s="156" t="inlineStr">
        <is>
          <t>Bota Dama Piel bovina Bullion Escarlata Horma Alexia</t>
        </is>
      </c>
      <c r="U1845" s="156" t="inlineStr">
        <is>
          <t>México</t>
        </is>
      </c>
      <c r="V1845" s="156" t="inlineStr">
        <is>
          <t>PRS</t>
        </is>
      </c>
      <c r="W1845" s="51" t="inlineStr">
        <is>
          <t>53111502</t>
        </is>
      </c>
      <c r="X1845" s="156" t="n"/>
      <c r="Y1845" s="54" t="n"/>
      <c r="Z1845" s="54" t="n">
        <v>4400</v>
      </c>
      <c r="AA1845" s="55">
        <f>IF(AND(A1845="", B1845="", E1845=""), "", IF(AB1845="", "Válido", IF((LEN(AB1845)-LEN(SUBSTITUTE(AB1845,"; ","")))/2+1&gt;(LEN(AB1845)-LEN(SUBSTITUTE(AB1845,"[Aviso]","")))/7, "Con Incidencias", "Válido")))</f>
        <v/>
      </c>
      <c r="AB1845" s="56">
        <f>IF(AND(A1845="", B1845="", E1845=""), "", TEXTJOIN("; ", TRUE, IF(OR(TRIM(A1845&amp;"")="", ISNUMBER(SEARCH("FALTA", A1845))), "UPC faltante/inválido", ""), IF(AND(A1845&lt;&gt;"", IFERROR(_xlfn.XMATCH(A1845,$A$2:$A$2509,0,1)&lt;&gt;_xlfn.XMATCH(A1845,$A$2:$A$2509,0,-1),FALSE)), "Código de barras duplicado", ""), IF(AND(E1845&lt;&gt;"", COUNTIF($E$2:$E$2509, E1845)&gt;1), "SKU duplicado", ""), IF(OR(J1845="", J1845=""), "[Aviso] División no capturada ()", IF(ISNA(MATCH(J1845, Criterios!$A$123:$A$126, 0)), "División no válida", "")), IF(OR(K1845="", K1845=""), "[Aviso] Categoría no capturada ()", IF(ISNA(MATCH(K1845, Criterios!$A$81:$A$120, 0)), "Categoría no válida", IF(AND(J1845&lt;&gt;"", J1845&lt;&gt;"", J1845&lt;&gt;VLOOKUP(K1845, Criterios!$A$81:$B$120, 2, FALSE)), "División no coincide con Categoría", ""))), IF(OR(L1845="", L1845=""), "[Aviso] Género no capturado ()", IF(ISNA(MATCH(L1845, Criterios!$B$123:$B$127, 0)), "Género no válido", "")), IF(OR(N1845="", N1845=""), "[Aviso] Temporada no capturada ()", IF(ISNA(MATCH(N1845, Criterios!$C$123:$C$128, 0)), "Temporada no válida", "")), IF(OR(O1845="", O1845=""), "[Aviso] Ciclo de vida no capturado ()", IF(ISNA(MATCH(O1845, Criterios!$D$123:$D$124, 0)), "Ciclo de vida no válido", ""))))</f>
        <v/>
      </c>
      <c r="AC1845" s="56" t="n"/>
      <c r="AD1845" s="51" t="n">
        <v>0</v>
      </c>
      <c r="AE1845" s="156" t="inlineStr">
        <is>
          <t>Sin coincidencia en NetSuite</t>
        </is>
      </c>
      <c r="AF1845" s="51" t="n"/>
      <c r="AG1845" s="156" t="inlineStr">
        <is>
          <t>Catálogo existente</t>
        </is>
      </c>
      <c r="AH184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5" s="156" t="n"/>
      <c r="AJ1845" s="156" t="n"/>
      <c r="AK1845" s="155" t="inlineStr">
        <is>
          <t>Shopify Stetson: producto 15054565015915 / variante 53350560661867</t>
        </is>
      </c>
      <c r="AL1845" s="58" t="n"/>
      <c r="AM1845" s="58" t="n">
        <v>4400</v>
      </c>
      <c r="AN1845" s="155" t="inlineStr">
        <is>
          <t>Shopify Stetson México</t>
        </is>
      </c>
      <c r="AO1845" s="59" t="n">
        <v>1</v>
      </c>
      <c r="AP1845" s="59" t="n"/>
      <c r="AQ1845" s="59" t="n"/>
      <c r="AR1845" s="155" t="inlineStr">
        <is>
          <t>Shopify Stetson México › Stetson Americas: 1</t>
        </is>
      </c>
    </row>
    <row r="1846">
      <c r="A1846" s="50" t="inlineStr">
        <is>
          <t>12020003131038027</t>
        </is>
      </c>
      <c r="B1846" s="51" t="n"/>
      <c r="C1846" s="156" t="inlineStr">
        <is>
          <t>Multimarca</t>
        </is>
      </c>
      <c r="D1846" s="156" t="inlineStr">
        <is>
          <t>12-020-BS003-13-1038</t>
        </is>
      </c>
      <c r="E1846" s="156" t="inlineStr">
        <is>
          <t>12-020-BS003-13-1038-027</t>
        </is>
      </c>
      <c r="F1846" s="156" t="inlineStr">
        <is>
          <t>27</t>
        </is>
      </c>
      <c r="G1846" s="156" t="inlineStr">
        <is>
          <t>10</t>
        </is>
      </c>
      <c r="H1846" s="156" t="inlineStr">
        <is>
          <t>Stetson</t>
        </is>
      </c>
      <c r="I1846" s="156" t="inlineStr">
        <is>
          <t>Bota Piel Escarlata</t>
        </is>
      </c>
      <c r="J1846" s="156" t="inlineStr">
        <is>
          <t>Calzado</t>
        </is>
      </c>
      <c r="K1846" s="156" t="inlineStr">
        <is>
          <t>Botas</t>
        </is>
      </c>
      <c r="L1846" s="156" t="inlineStr">
        <is>
          <t>Mujer</t>
        </is>
      </c>
      <c r="M1846" s="156" t="inlineStr">
        <is>
          <t>Stetson</t>
        </is>
      </c>
      <c r="N1846" s="156" t="inlineStr">
        <is>
          <t>SS26</t>
        </is>
      </c>
      <c r="O1846" s="156" t="inlineStr">
        <is>
          <t>Seasonal</t>
        </is>
      </c>
      <c r="P1846" s="156" t="inlineStr">
        <is>
          <t>Rojo</t>
        </is>
      </c>
      <c r="Q1846" s="156" t="n"/>
      <c r="R1846" s="156" t="inlineStr">
        <is>
          <t>Horma Alexia</t>
        </is>
      </c>
      <c r="S1846" s="156" t="inlineStr">
        <is>
          <t>Piel bovina</t>
        </is>
      </c>
      <c r="T1846" s="156" t="inlineStr">
        <is>
          <t>Bota Dama Piel bovina Bullion Escarlata Horma Alexia</t>
        </is>
      </c>
      <c r="U1846" s="156" t="inlineStr">
        <is>
          <t>México</t>
        </is>
      </c>
      <c r="V1846" s="156" t="inlineStr">
        <is>
          <t>PRS</t>
        </is>
      </c>
      <c r="W1846" s="51" t="inlineStr">
        <is>
          <t>53111502</t>
        </is>
      </c>
      <c r="X1846" s="156" t="n"/>
      <c r="Y1846" s="54" t="n"/>
      <c r="Z1846" s="54" t="n">
        <v>4400</v>
      </c>
      <c r="AA1846" s="55">
        <f>IF(AND(A1846="", B1846="", E1846=""), "", IF(AB1846="", "Válido", IF((LEN(AB1846)-LEN(SUBSTITUTE(AB1846,"; ","")))/2+1&gt;(LEN(AB1846)-LEN(SUBSTITUTE(AB1846,"[Aviso]","")))/7, "Con Incidencias", "Válido")))</f>
        <v/>
      </c>
      <c r="AB1846" s="56">
        <f>IF(AND(A1846="", B1846="", E1846=""), "", TEXTJOIN("; ", TRUE, IF(OR(TRIM(A1846&amp;"")="", ISNUMBER(SEARCH("FALTA", A1846))), "UPC faltante/inválido", ""), IF(AND(A1846&lt;&gt;"", IFERROR(_xlfn.XMATCH(A1846,$A$2:$A$2509,0,1)&lt;&gt;_xlfn.XMATCH(A1846,$A$2:$A$2509,0,-1),FALSE)), "Código de barras duplicado", ""), IF(AND(E1846&lt;&gt;"", COUNTIF($E$2:$E$2509, E1846)&gt;1), "SKU duplicado", ""), IF(OR(J1846="", J1846=""), "[Aviso] División no capturada ()", IF(ISNA(MATCH(J1846, Criterios!$A$123:$A$126, 0)), "División no válida", "")), IF(OR(K1846="", K1846=""), "[Aviso] Categoría no capturada ()", IF(ISNA(MATCH(K1846, Criterios!$A$81:$A$120, 0)), "Categoría no válida", IF(AND(J1846&lt;&gt;"", J1846&lt;&gt;"", J1846&lt;&gt;VLOOKUP(K1846, Criterios!$A$81:$B$120, 2, FALSE)), "División no coincide con Categoría", ""))), IF(OR(L1846="", L1846=""), "[Aviso] Género no capturado ()", IF(ISNA(MATCH(L1846, Criterios!$B$123:$B$127, 0)), "Género no válido", "")), IF(OR(N1846="", N1846=""), "[Aviso] Temporada no capturada ()", IF(ISNA(MATCH(N1846, Criterios!$C$123:$C$128, 0)), "Temporada no válida", "")), IF(OR(O1846="", O1846=""), "[Aviso] Ciclo de vida no capturado ()", IF(ISNA(MATCH(O1846, Criterios!$D$123:$D$124, 0)), "Ciclo de vida no válido", ""))))</f>
        <v/>
      </c>
      <c r="AC1846" s="56" t="n"/>
      <c r="AD1846" s="51" t="n">
        <v>0</v>
      </c>
      <c r="AE1846" s="156" t="inlineStr">
        <is>
          <t>Sin coincidencia en NetSuite</t>
        </is>
      </c>
      <c r="AF1846" s="51" t="n"/>
      <c r="AG1846" s="156" t="inlineStr">
        <is>
          <t>Catálogo existente</t>
        </is>
      </c>
      <c r="AH184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6" s="156" t="n"/>
      <c r="AJ1846" s="156" t="n"/>
      <c r="AK1846" s="155" t="inlineStr">
        <is>
          <t>Shopify Stetson: producto 15054565015915 / variante 53350560727403</t>
        </is>
      </c>
      <c r="AL1846" s="58" t="n"/>
      <c r="AM1846" s="58" t="n">
        <v>4400</v>
      </c>
      <c r="AN1846" s="155" t="inlineStr">
        <is>
          <t>Shopify Stetson México</t>
        </is>
      </c>
      <c r="AO1846" s="59" t="n">
        <v>0</v>
      </c>
      <c r="AP1846" s="59" t="n"/>
      <c r="AQ1846" s="59" t="n"/>
      <c r="AR1846" s="155" t="n"/>
    </row>
    <row r="1847">
      <c r="A1847" s="50" t="inlineStr">
        <is>
          <t>12020003131038255</t>
        </is>
      </c>
      <c r="B1847" s="51" t="n"/>
      <c r="C1847" s="156" t="inlineStr">
        <is>
          <t>Multimarca</t>
        </is>
      </c>
      <c r="D1847" s="156" t="inlineStr">
        <is>
          <t>12-020-BS003-13-1038</t>
        </is>
      </c>
      <c r="E1847" s="156" t="inlineStr">
        <is>
          <t>12-020-BS003-13-1038-255</t>
        </is>
      </c>
      <c r="F1847" s="156" t="inlineStr">
        <is>
          <t>25.5</t>
        </is>
      </c>
      <c r="G1847" s="156" t="inlineStr">
        <is>
          <t>8.5</t>
        </is>
      </c>
      <c r="H1847" s="156" t="inlineStr">
        <is>
          <t>Stetson</t>
        </is>
      </c>
      <c r="I1847" s="156" t="inlineStr">
        <is>
          <t>Bota Piel Escarlata</t>
        </is>
      </c>
      <c r="J1847" s="156" t="inlineStr">
        <is>
          <t>Calzado</t>
        </is>
      </c>
      <c r="K1847" s="156" t="inlineStr">
        <is>
          <t>Botas</t>
        </is>
      </c>
      <c r="L1847" s="156" t="inlineStr">
        <is>
          <t>Mujer</t>
        </is>
      </c>
      <c r="M1847" s="156" t="inlineStr">
        <is>
          <t>Stetson</t>
        </is>
      </c>
      <c r="N1847" s="156" t="inlineStr">
        <is>
          <t>SS26</t>
        </is>
      </c>
      <c r="O1847" s="156" t="inlineStr">
        <is>
          <t>Seasonal</t>
        </is>
      </c>
      <c r="P1847" s="156" t="inlineStr">
        <is>
          <t>Rojo</t>
        </is>
      </c>
      <c r="Q1847" s="156" t="n"/>
      <c r="R1847" s="156" t="inlineStr">
        <is>
          <t>Horma Alexia</t>
        </is>
      </c>
      <c r="S1847" s="156" t="inlineStr">
        <is>
          <t>Piel bovina</t>
        </is>
      </c>
      <c r="T1847" s="156" t="inlineStr">
        <is>
          <t>Bota Dama Piel bovina Bullion Escarlata Horma Alexia</t>
        </is>
      </c>
      <c r="U1847" s="156" t="inlineStr">
        <is>
          <t>México</t>
        </is>
      </c>
      <c r="V1847" s="156" t="inlineStr">
        <is>
          <t>PRS</t>
        </is>
      </c>
      <c r="W1847" s="51" t="inlineStr">
        <is>
          <t>53111502</t>
        </is>
      </c>
      <c r="X1847" s="156" t="n"/>
      <c r="Y1847" s="54" t="n"/>
      <c r="Z1847" s="54" t="n">
        <v>4400</v>
      </c>
      <c r="AA1847" s="55">
        <f>IF(AND(A1847="", B1847="", E1847=""), "", IF(AB1847="", "Válido", IF((LEN(AB1847)-LEN(SUBSTITUTE(AB1847,"; ","")))/2+1&gt;(LEN(AB1847)-LEN(SUBSTITUTE(AB1847,"[Aviso]","")))/7, "Con Incidencias", "Válido")))</f>
        <v/>
      </c>
      <c r="AB1847" s="56">
        <f>IF(AND(A1847="", B1847="", E1847=""), "", TEXTJOIN("; ", TRUE, IF(OR(TRIM(A1847&amp;"")="", ISNUMBER(SEARCH("FALTA", A1847))), "UPC faltante/inválido", ""), IF(AND(A1847&lt;&gt;"", IFERROR(_xlfn.XMATCH(A1847,$A$2:$A$2509,0,1)&lt;&gt;_xlfn.XMATCH(A1847,$A$2:$A$2509,0,-1),FALSE)), "Código de barras duplicado", ""), IF(AND(E1847&lt;&gt;"", COUNTIF($E$2:$E$2509, E1847)&gt;1), "SKU duplicado", ""), IF(OR(J1847="", J1847=""), "[Aviso] División no capturada ()", IF(ISNA(MATCH(J1847, Criterios!$A$123:$A$126, 0)), "División no válida", "")), IF(OR(K1847="", K1847=""), "[Aviso] Categoría no capturada ()", IF(ISNA(MATCH(K1847, Criterios!$A$81:$A$120, 0)), "Categoría no válida", IF(AND(J1847&lt;&gt;"", J1847&lt;&gt;"", J1847&lt;&gt;VLOOKUP(K1847, Criterios!$A$81:$B$120, 2, FALSE)), "División no coincide con Categoría", ""))), IF(OR(L1847="", L1847=""), "[Aviso] Género no capturado ()", IF(ISNA(MATCH(L1847, Criterios!$B$123:$B$127, 0)), "Género no válido", "")), IF(OR(N1847="", N1847=""), "[Aviso] Temporada no capturada ()", IF(ISNA(MATCH(N1847, Criterios!$C$123:$C$128, 0)), "Temporada no válida", "")), IF(OR(O1847="", O1847=""), "[Aviso] Ciclo de vida no capturado ()", IF(ISNA(MATCH(O1847, Criterios!$D$123:$D$124, 0)), "Ciclo de vida no válido", ""))))</f>
        <v/>
      </c>
      <c r="AC1847" s="56" t="n"/>
      <c r="AD1847" s="51" t="n">
        <v>0</v>
      </c>
      <c r="AE1847" s="156" t="inlineStr">
        <is>
          <t>Sin coincidencia en NetSuite</t>
        </is>
      </c>
      <c r="AF1847" s="51" t="n"/>
      <c r="AG1847" s="156" t="inlineStr">
        <is>
          <t>Catálogo existente</t>
        </is>
      </c>
      <c r="AH184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7" s="156" t="n"/>
      <c r="AJ1847" s="156" t="n"/>
      <c r="AK1847" s="155" t="inlineStr">
        <is>
          <t>Shopify Stetson: producto 15054565015915 / variante 53350560629099</t>
        </is>
      </c>
      <c r="AL1847" s="58" t="n"/>
      <c r="AM1847" s="58" t="n">
        <v>4400</v>
      </c>
      <c r="AN1847" s="155" t="inlineStr">
        <is>
          <t>Shopify Stetson México</t>
        </is>
      </c>
      <c r="AO1847" s="59" t="n">
        <v>2</v>
      </c>
      <c r="AP1847" s="59" t="n"/>
      <c r="AQ1847" s="59" t="n"/>
      <c r="AR1847" s="155" t="inlineStr">
        <is>
          <t>Shopify Stetson México › Stetson Americas: 2</t>
        </is>
      </c>
    </row>
    <row r="1848">
      <c r="A1848" s="50" t="inlineStr">
        <is>
          <t>12020003131038265</t>
        </is>
      </c>
      <c r="B1848" s="51" t="n"/>
      <c r="C1848" s="156" t="inlineStr">
        <is>
          <t>Multimarca</t>
        </is>
      </c>
      <c r="D1848" s="156" t="inlineStr">
        <is>
          <t>12-020-BS003-13-1038</t>
        </is>
      </c>
      <c r="E1848" s="156" t="inlineStr">
        <is>
          <t>12-020-BS003-13-1038-265</t>
        </is>
      </c>
      <c r="F1848" s="156" t="inlineStr">
        <is>
          <t>26.5</t>
        </is>
      </c>
      <c r="G1848" s="156" t="inlineStr">
        <is>
          <t>9.5</t>
        </is>
      </c>
      <c r="H1848" s="156" t="inlineStr">
        <is>
          <t>Stetson</t>
        </is>
      </c>
      <c r="I1848" s="156" t="inlineStr">
        <is>
          <t>Bota Piel Escarlata</t>
        </is>
      </c>
      <c r="J1848" s="156" t="inlineStr">
        <is>
          <t>Calzado</t>
        </is>
      </c>
      <c r="K1848" s="156" t="inlineStr">
        <is>
          <t>Botas</t>
        </is>
      </c>
      <c r="L1848" s="156" t="inlineStr">
        <is>
          <t>Mujer</t>
        </is>
      </c>
      <c r="M1848" s="156" t="inlineStr">
        <is>
          <t>Stetson</t>
        </is>
      </c>
      <c r="N1848" s="156" t="inlineStr">
        <is>
          <t>SS26</t>
        </is>
      </c>
      <c r="O1848" s="156" t="inlineStr">
        <is>
          <t>Seasonal</t>
        </is>
      </c>
      <c r="P1848" s="156" t="inlineStr">
        <is>
          <t>Rojo</t>
        </is>
      </c>
      <c r="Q1848" s="156" t="n"/>
      <c r="R1848" s="156" t="inlineStr">
        <is>
          <t>Horma Alexia</t>
        </is>
      </c>
      <c r="S1848" s="156" t="inlineStr">
        <is>
          <t>Piel bovina</t>
        </is>
      </c>
      <c r="T1848" s="156" t="inlineStr">
        <is>
          <t>Bota Dama Piel bovina Bullion Escarlata Horma Alexia</t>
        </is>
      </c>
      <c r="U1848" s="156" t="inlineStr">
        <is>
          <t>México</t>
        </is>
      </c>
      <c r="V1848" s="156" t="inlineStr">
        <is>
          <t>PRS</t>
        </is>
      </c>
      <c r="W1848" s="51" t="inlineStr">
        <is>
          <t>53111502</t>
        </is>
      </c>
      <c r="X1848" s="156" t="n"/>
      <c r="Y1848" s="54" t="n"/>
      <c r="Z1848" s="54" t="n">
        <v>4400</v>
      </c>
      <c r="AA1848" s="55">
        <f>IF(AND(A1848="", B1848="", E1848=""), "", IF(AB1848="", "Válido", IF((LEN(AB1848)-LEN(SUBSTITUTE(AB1848,"; ","")))/2+1&gt;(LEN(AB1848)-LEN(SUBSTITUTE(AB1848,"[Aviso]","")))/7, "Con Incidencias", "Válido")))</f>
        <v/>
      </c>
      <c r="AB1848" s="56">
        <f>IF(AND(A1848="", B1848="", E1848=""), "", TEXTJOIN("; ", TRUE, IF(OR(TRIM(A1848&amp;"")="", ISNUMBER(SEARCH("FALTA", A1848))), "UPC faltante/inválido", ""), IF(AND(A1848&lt;&gt;"", IFERROR(_xlfn.XMATCH(A1848,$A$2:$A$2509,0,1)&lt;&gt;_xlfn.XMATCH(A1848,$A$2:$A$2509,0,-1),FALSE)), "Código de barras duplicado", ""), IF(AND(E1848&lt;&gt;"", COUNTIF($E$2:$E$2509, E1848)&gt;1), "SKU duplicado", ""), IF(OR(J1848="", J1848=""), "[Aviso] División no capturada ()", IF(ISNA(MATCH(J1848, Criterios!$A$123:$A$126, 0)), "División no válida", "")), IF(OR(K1848="", K1848=""), "[Aviso] Categoría no capturada ()", IF(ISNA(MATCH(K1848, Criterios!$A$81:$A$120, 0)), "Categoría no válida", IF(AND(J1848&lt;&gt;"", J1848&lt;&gt;"", J1848&lt;&gt;VLOOKUP(K1848, Criterios!$A$81:$B$120, 2, FALSE)), "División no coincide con Categoría", ""))), IF(OR(L1848="", L1848=""), "[Aviso] Género no capturado ()", IF(ISNA(MATCH(L1848, Criterios!$B$123:$B$127, 0)), "Género no válido", "")), IF(OR(N1848="", N1848=""), "[Aviso] Temporada no capturada ()", IF(ISNA(MATCH(N1848, Criterios!$C$123:$C$128, 0)), "Temporada no válida", "")), IF(OR(O1848="", O1848=""), "[Aviso] Ciclo de vida no capturado ()", IF(ISNA(MATCH(O1848, Criterios!$D$123:$D$124, 0)), "Ciclo de vida no válido", ""))))</f>
        <v/>
      </c>
      <c r="AC1848" s="56" t="n"/>
      <c r="AD1848" s="51" t="n">
        <v>0</v>
      </c>
      <c r="AE1848" s="156" t="inlineStr">
        <is>
          <t>Sin coincidencia en NetSuite</t>
        </is>
      </c>
      <c r="AF1848" s="51" t="n"/>
      <c r="AG1848" s="156" t="inlineStr">
        <is>
          <t>Catálogo existente</t>
        </is>
      </c>
      <c r="AH184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8" s="156" t="n"/>
      <c r="AJ1848" s="156" t="n"/>
      <c r="AK1848" s="155" t="inlineStr">
        <is>
          <t>Shopify Stetson: producto 15054565015915 / variante 53350560694635</t>
        </is>
      </c>
      <c r="AL1848" s="58" t="n"/>
      <c r="AM1848" s="58" t="n">
        <v>4400</v>
      </c>
      <c r="AN1848" s="155" t="inlineStr">
        <is>
          <t>Shopify Stetson México</t>
        </is>
      </c>
      <c r="AO1848" s="59" t="n">
        <v>0</v>
      </c>
      <c r="AP1848" s="59" t="n"/>
      <c r="AQ1848" s="59" t="n"/>
      <c r="AR1848" s="155" t="n"/>
    </row>
    <row r="1849">
      <c r="A1849" s="50" t="inlineStr">
        <is>
          <t>12020003131038275</t>
        </is>
      </c>
      <c r="B1849" s="51" t="n"/>
      <c r="C1849" s="156" t="inlineStr">
        <is>
          <t>Multimarca</t>
        </is>
      </c>
      <c r="D1849" s="156" t="inlineStr">
        <is>
          <t>12-020-BS003-13-1038</t>
        </is>
      </c>
      <c r="E1849" s="156" t="inlineStr">
        <is>
          <t>12-020-BS003-13-1038-275</t>
        </is>
      </c>
      <c r="F1849" s="156" t="inlineStr">
        <is>
          <t>27.5</t>
        </is>
      </c>
      <c r="G1849" s="156" t="inlineStr">
        <is>
          <t>10.5</t>
        </is>
      </c>
      <c r="H1849" s="156" t="inlineStr">
        <is>
          <t>Stetson</t>
        </is>
      </c>
      <c r="I1849" s="156" t="inlineStr">
        <is>
          <t>Bota Piel Escarlata</t>
        </is>
      </c>
      <c r="J1849" s="156" t="inlineStr">
        <is>
          <t>Calzado</t>
        </is>
      </c>
      <c r="K1849" s="156" t="inlineStr">
        <is>
          <t>Botas</t>
        </is>
      </c>
      <c r="L1849" s="156" t="inlineStr">
        <is>
          <t>Mujer</t>
        </is>
      </c>
      <c r="M1849" s="156" t="inlineStr">
        <is>
          <t>Stetson</t>
        </is>
      </c>
      <c r="N1849" s="156" t="inlineStr">
        <is>
          <t>SS26</t>
        </is>
      </c>
      <c r="O1849" s="156" t="inlineStr">
        <is>
          <t>Seasonal</t>
        </is>
      </c>
      <c r="P1849" s="156" t="inlineStr">
        <is>
          <t>Rojo</t>
        </is>
      </c>
      <c r="Q1849" s="156" t="n"/>
      <c r="R1849" s="156" t="inlineStr">
        <is>
          <t>Horma Alexia</t>
        </is>
      </c>
      <c r="S1849" s="156" t="inlineStr">
        <is>
          <t>Piel bovina</t>
        </is>
      </c>
      <c r="T1849" s="156" t="inlineStr">
        <is>
          <t>Bota Dama Piel bovina Bullion Escarlata Horma Alexia</t>
        </is>
      </c>
      <c r="U1849" s="156" t="inlineStr">
        <is>
          <t>México</t>
        </is>
      </c>
      <c r="V1849" s="156" t="inlineStr">
        <is>
          <t>PRS</t>
        </is>
      </c>
      <c r="W1849" s="51" t="inlineStr">
        <is>
          <t>53111502</t>
        </is>
      </c>
      <c r="X1849" s="156" t="n"/>
      <c r="Y1849" s="54" t="n"/>
      <c r="Z1849" s="54" t="n">
        <v>4400</v>
      </c>
      <c r="AA1849" s="55">
        <f>IF(AND(A1849="", B1849="", E1849=""), "", IF(AB1849="", "Válido", IF((LEN(AB1849)-LEN(SUBSTITUTE(AB1849,"; ","")))/2+1&gt;(LEN(AB1849)-LEN(SUBSTITUTE(AB1849,"[Aviso]","")))/7, "Con Incidencias", "Válido")))</f>
        <v/>
      </c>
      <c r="AB1849" s="56">
        <f>IF(AND(A1849="", B1849="", E1849=""), "", TEXTJOIN("; ", TRUE, IF(OR(TRIM(A1849&amp;"")="", ISNUMBER(SEARCH("FALTA", A1849))), "UPC faltante/inválido", ""), IF(AND(A1849&lt;&gt;"", IFERROR(_xlfn.XMATCH(A1849,$A$2:$A$2509,0,1)&lt;&gt;_xlfn.XMATCH(A1849,$A$2:$A$2509,0,-1),FALSE)), "Código de barras duplicado", ""), IF(AND(E1849&lt;&gt;"", COUNTIF($E$2:$E$2509, E1849)&gt;1), "SKU duplicado", ""), IF(OR(J1849="", J1849=""), "[Aviso] División no capturada ()", IF(ISNA(MATCH(J1849, Criterios!$A$123:$A$126, 0)), "División no válida", "")), IF(OR(K1849="", K1849=""), "[Aviso] Categoría no capturada ()", IF(ISNA(MATCH(K1849, Criterios!$A$81:$A$120, 0)), "Categoría no válida", IF(AND(J1849&lt;&gt;"", J1849&lt;&gt;"", J1849&lt;&gt;VLOOKUP(K1849, Criterios!$A$81:$B$120, 2, FALSE)), "División no coincide con Categoría", ""))), IF(OR(L1849="", L1849=""), "[Aviso] Género no capturado ()", IF(ISNA(MATCH(L1849, Criterios!$B$123:$B$127, 0)), "Género no válido", "")), IF(OR(N1849="", N1849=""), "[Aviso] Temporada no capturada ()", IF(ISNA(MATCH(N1849, Criterios!$C$123:$C$128, 0)), "Temporada no válida", "")), IF(OR(O1849="", O1849=""), "[Aviso] Ciclo de vida no capturado ()", IF(ISNA(MATCH(O1849, Criterios!$D$123:$D$124, 0)), "Ciclo de vida no válido", ""))))</f>
        <v/>
      </c>
      <c r="AC1849" s="56" t="n"/>
      <c r="AD1849" s="51" t="n">
        <v>0</v>
      </c>
      <c r="AE1849" s="156" t="inlineStr">
        <is>
          <t>Sin coincidencia en NetSuite</t>
        </is>
      </c>
      <c r="AF1849" s="51" t="n"/>
      <c r="AG1849" s="156" t="inlineStr">
        <is>
          <t>Catálogo existente</t>
        </is>
      </c>
      <c r="AH184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9" s="156" t="n"/>
      <c r="AJ1849" s="156" t="n"/>
      <c r="AK1849" s="155" t="inlineStr">
        <is>
          <t>Shopify Stetson: producto 15054565015915 / variante 53350560760171</t>
        </is>
      </c>
      <c r="AL1849" s="58" t="n"/>
      <c r="AM1849" s="58" t="n">
        <v>4400</v>
      </c>
      <c r="AN1849" s="155" t="inlineStr">
        <is>
          <t>Shopify Stetson México</t>
        </is>
      </c>
      <c r="AO1849" s="59" t="n">
        <v>0</v>
      </c>
      <c r="AP1849" s="59" t="n"/>
      <c r="AQ1849" s="59" t="n"/>
      <c r="AR1849" s="155" t="n"/>
    </row>
    <row r="1850">
      <c r="A1850" s="50" t="inlineStr">
        <is>
          <t>12020003131039026</t>
        </is>
      </c>
      <c r="B1850" s="51" t="n"/>
      <c r="C1850" s="156" t="inlineStr">
        <is>
          <t>Multimarca</t>
        </is>
      </c>
      <c r="D1850" s="156" t="inlineStr">
        <is>
          <t>12-020-BS003-13-1039</t>
        </is>
      </c>
      <c r="E1850" s="156" t="inlineStr">
        <is>
          <t>12-020-BS003-13-1039-026</t>
        </is>
      </c>
      <c r="F1850" s="156" t="inlineStr">
        <is>
          <t>26</t>
        </is>
      </c>
      <c r="G1850" s="156" t="inlineStr">
        <is>
          <t>9</t>
        </is>
      </c>
      <c r="H1850" s="156" t="inlineStr">
        <is>
          <t>Stetson</t>
        </is>
      </c>
      <c r="I1850" s="156" t="inlineStr">
        <is>
          <t>Bota Dama Piel Azul</t>
        </is>
      </c>
      <c r="J1850" s="156" t="inlineStr">
        <is>
          <t>Calzado</t>
        </is>
      </c>
      <c r="K1850" s="156" t="inlineStr">
        <is>
          <t>Botas</t>
        </is>
      </c>
      <c r="L1850" s="156" t="inlineStr">
        <is>
          <t>Mujer</t>
        </is>
      </c>
      <c r="M1850" s="156" t="inlineStr">
        <is>
          <t>Stetson</t>
        </is>
      </c>
      <c r="N1850" s="156" t="inlineStr">
        <is>
          <t>SS26</t>
        </is>
      </c>
      <c r="O1850" s="156" t="n"/>
      <c r="P1850" s="156" t="inlineStr">
        <is>
          <t>Azul</t>
        </is>
      </c>
      <c r="Q1850" s="156" t="n"/>
      <c r="R1850" s="156" t="inlineStr">
        <is>
          <t>Horma Alexia</t>
        </is>
      </c>
      <c r="S1850" s="156" t="inlineStr">
        <is>
          <t>Piel bovina</t>
        </is>
      </c>
      <c r="T1850" s="156" t="inlineStr">
        <is>
          <t>Bota Dama Piel bovina Clayton Azul Horma Alexia</t>
        </is>
      </c>
      <c r="U1850" s="156" t="n"/>
      <c r="V1850" s="156" t="inlineStr">
        <is>
          <t>PRS</t>
        </is>
      </c>
      <c r="W1850" s="51" t="inlineStr">
        <is>
          <t>53111502</t>
        </is>
      </c>
      <c r="X1850" s="156" t="n"/>
      <c r="Y1850" s="54" t="n"/>
      <c r="Z1850" s="54" t="n">
        <v>4900</v>
      </c>
      <c r="AA1850" s="55">
        <f>IF(AND(A1850="", B1850="", E1850=""), "", IF(AB1850="", "Válido", IF((LEN(AB1850)-LEN(SUBSTITUTE(AB1850,"; ","")))/2+1&gt;(LEN(AB1850)-LEN(SUBSTITUTE(AB1850,"[Aviso]","")))/7, "Con Incidencias", "Válido")))</f>
        <v/>
      </c>
      <c r="AB1850" s="56">
        <f>IF(AND(A1850="", B1850="", E1850=""), "", TEXTJOIN("; ", TRUE, IF(OR(TRIM(A1850&amp;"")="", ISNUMBER(SEARCH("FALTA", A1850))), "UPC faltante/inválido", ""), IF(AND(A1850&lt;&gt;"", IFERROR(_xlfn.XMATCH(A1850,$A$2:$A$2509,0,1)&lt;&gt;_xlfn.XMATCH(A1850,$A$2:$A$2509,0,-1),FALSE)), "Código de barras duplicado", ""), IF(AND(E1850&lt;&gt;"", COUNTIF($E$2:$E$2509, E1850)&gt;1), "SKU duplicado", ""), IF(OR(J1850="", J1850=""), "[Aviso] División no capturada ()", IF(ISNA(MATCH(J1850, Criterios!$A$123:$A$126, 0)), "División no válida", "")), IF(OR(K1850="", K1850=""), "[Aviso] Categoría no capturada ()", IF(ISNA(MATCH(K1850, Criterios!$A$81:$A$120, 0)), "Categoría no válida", IF(AND(J1850&lt;&gt;"", J1850&lt;&gt;"", J1850&lt;&gt;VLOOKUP(K1850, Criterios!$A$81:$B$120, 2, FALSE)), "División no coincide con Categoría", ""))), IF(OR(L1850="", L1850=""), "[Aviso] Género no capturado ()", IF(ISNA(MATCH(L1850, Criterios!$B$123:$B$127, 0)), "Género no válido", "")), IF(OR(N1850="", N1850=""), "[Aviso] Temporada no capturada ()", IF(ISNA(MATCH(N1850, Criterios!$C$123:$C$128, 0)), "Temporada no válida", "")), IF(OR(O1850="", O1850=""), "[Aviso] Ciclo de vida no capturado ()", IF(ISNA(MATCH(O1850, Criterios!$D$123:$D$124, 0)), "Ciclo de vida no válido", ""))))</f>
        <v/>
      </c>
      <c r="AC1850" s="56" t="n"/>
      <c r="AD1850" s="51" t="n">
        <v>0</v>
      </c>
      <c r="AE1850" s="156" t="inlineStr">
        <is>
          <t>Sin coincidencia en NetSuite</t>
        </is>
      </c>
      <c r="AF1850" s="51" t="n"/>
      <c r="AG1850" s="156" t="inlineStr">
        <is>
          <t>Catálogo existente</t>
        </is>
      </c>
      <c r="AH185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0" s="156" t="n"/>
      <c r="AJ1850" s="156" t="n"/>
      <c r="AK1850" s="155" t="inlineStr">
        <is>
          <t>Shopify Stetson: producto 15054565048683 / variante 53350561055083</t>
        </is>
      </c>
      <c r="AL1850" s="58" t="n"/>
      <c r="AM1850" s="58" t="n">
        <v>4900</v>
      </c>
      <c r="AN1850" s="155" t="inlineStr">
        <is>
          <t>Shopify Stetson México</t>
        </is>
      </c>
      <c r="AO1850" s="59" t="n">
        <v>2</v>
      </c>
      <c r="AP1850" s="59" t="n"/>
      <c r="AQ1850" s="59" t="n"/>
      <c r="AR1850" s="155" t="inlineStr">
        <is>
          <t>Shopify Stetson México › Stetson Americas: 2</t>
        </is>
      </c>
    </row>
    <row r="1851">
      <c r="A1851" s="50" t="inlineStr">
        <is>
          <t>12020003131039027</t>
        </is>
      </c>
      <c r="B1851" s="51" t="n"/>
      <c r="C1851" s="156" t="inlineStr">
        <is>
          <t>Multimarca</t>
        </is>
      </c>
      <c r="D1851" s="156" t="inlineStr">
        <is>
          <t>12-020-BS003-13-1039</t>
        </is>
      </c>
      <c r="E1851" s="156" t="inlineStr">
        <is>
          <t>12-020-BS003-13-1039-027</t>
        </is>
      </c>
      <c r="F1851" s="156" t="inlineStr">
        <is>
          <t>27</t>
        </is>
      </c>
      <c r="G1851" s="156" t="inlineStr">
        <is>
          <t>10</t>
        </is>
      </c>
      <c r="H1851" s="156" t="inlineStr">
        <is>
          <t>Stetson</t>
        </is>
      </c>
      <c r="I1851" s="156" t="inlineStr">
        <is>
          <t>Bota Dama Piel Azul</t>
        </is>
      </c>
      <c r="J1851" s="156" t="inlineStr">
        <is>
          <t>Calzado</t>
        </is>
      </c>
      <c r="K1851" s="156" t="inlineStr">
        <is>
          <t>Botas</t>
        </is>
      </c>
      <c r="L1851" s="156" t="inlineStr">
        <is>
          <t>Mujer</t>
        </is>
      </c>
      <c r="M1851" s="156" t="inlineStr">
        <is>
          <t>Stetson</t>
        </is>
      </c>
      <c r="N1851" s="156" t="inlineStr">
        <is>
          <t>SS26</t>
        </is>
      </c>
      <c r="O1851" s="156" t="n"/>
      <c r="P1851" s="156" t="inlineStr">
        <is>
          <t>Azul</t>
        </is>
      </c>
      <c r="Q1851" s="156" t="n"/>
      <c r="R1851" s="156" t="inlineStr">
        <is>
          <t>Horma Alexia</t>
        </is>
      </c>
      <c r="S1851" s="156" t="inlineStr">
        <is>
          <t>Piel bovina</t>
        </is>
      </c>
      <c r="T1851" s="156" t="inlineStr">
        <is>
          <t>Bota Dama Piel bovina Clayton Azul Horma Alexia</t>
        </is>
      </c>
      <c r="U1851" s="156" t="n"/>
      <c r="V1851" s="156" t="inlineStr">
        <is>
          <t>PRS</t>
        </is>
      </c>
      <c r="W1851" s="51" t="inlineStr">
        <is>
          <t>53111502</t>
        </is>
      </c>
      <c r="X1851" s="156" t="n"/>
      <c r="Y1851" s="54" t="n"/>
      <c r="Z1851" s="54" t="n">
        <v>4900</v>
      </c>
      <c r="AA1851" s="55">
        <f>IF(AND(A1851="", B1851="", E1851=""), "", IF(AB1851="", "Válido", IF((LEN(AB1851)-LEN(SUBSTITUTE(AB1851,"; ","")))/2+1&gt;(LEN(AB1851)-LEN(SUBSTITUTE(AB1851,"[Aviso]","")))/7, "Con Incidencias", "Válido")))</f>
        <v/>
      </c>
      <c r="AB1851" s="56">
        <f>IF(AND(A1851="", B1851="", E1851=""), "", TEXTJOIN("; ", TRUE, IF(OR(TRIM(A1851&amp;"")="", ISNUMBER(SEARCH("FALTA", A1851))), "UPC faltante/inválido", ""), IF(AND(A1851&lt;&gt;"", IFERROR(_xlfn.XMATCH(A1851,$A$2:$A$2509,0,1)&lt;&gt;_xlfn.XMATCH(A1851,$A$2:$A$2509,0,-1),FALSE)), "Código de barras duplicado", ""), IF(AND(E1851&lt;&gt;"", COUNTIF($E$2:$E$2509, E1851)&gt;1), "SKU duplicado", ""), IF(OR(J1851="", J1851=""), "[Aviso] División no capturada ()", IF(ISNA(MATCH(J1851, Criterios!$A$123:$A$126, 0)), "División no válida", "")), IF(OR(K1851="", K1851=""), "[Aviso] Categoría no capturada ()", IF(ISNA(MATCH(K1851, Criterios!$A$81:$A$120, 0)), "Categoría no válida", IF(AND(J1851&lt;&gt;"", J1851&lt;&gt;"", J1851&lt;&gt;VLOOKUP(K1851, Criterios!$A$81:$B$120, 2, FALSE)), "División no coincide con Categoría", ""))), IF(OR(L1851="", L1851=""), "[Aviso] Género no capturado ()", IF(ISNA(MATCH(L1851, Criterios!$B$123:$B$127, 0)), "Género no válido", "")), IF(OR(N1851="", N1851=""), "[Aviso] Temporada no capturada ()", IF(ISNA(MATCH(N1851, Criterios!$C$123:$C$128, 0)), "Temporada no válida", "")), IF(OR(O1851="", O1851=""), "[Aviso] Ciclo de vida no capturado ()", IF(ISNA(MATCH(O1851, Criterios!$D$123:$D$124, 0)), "Ciclo de vida no válido", ""))))</f>
        <v/>
      </c>
      <c r="AC1851" s="56" t="n"/>
      <c r="AD1851" s="51" t="n">
        <v>0</v>
      </c>
      <c r="AE1851" s="156" t="inlineStr">
        <is>
          <t>Sin coincidencia en NetSuite</t>
        </is>
      </c>
      <c r="AF1851" s="51" t="n"/>
      <c r="AG1851" s="156" t="inlineStr">
        <is>
          <t>Catálogo existente</t>
        </is>
      </c>
      <c r="AH185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1" s="156" t="n"/>
      <c r="AJ1851" s="156" t="n"/>
      <c r="AK1851" s="155" t="inlineStr">
        <is>
          <t>Shopify Stetson: producto 15054565048683 / variante 53350561120619</t>
        </is>
      </c>
      <c r="AL1851" s="58" t="n"/>
      <c r="AM1851" s="58" t="n">
        <v>4900</v>
      </c>
      <c r="AN1851" s="155" t="inlineStr">
        <is>
          <t>Shopify Stetson México</t>
        </is>
      </c>
      <c r="AO1851" s="59" t="n">
        <v>0</v>
      </c>
      <c r="AP1851" s="59" t="n"/>
      <c r="AQ1851" s="59" t="n"/>
      <c r="AR1851" s="155" t="n"/>
    </row>
    <row r="1852">
      <c r="A1852" s="50" t="inlineStr">
        <is>
          <t>12020003131039255</t>
        </is>
      </c>
      <c r="B1852" s="51" t="n"/>
      <c r="C1852" s="156" t="inlineStr">
        <is>
          <t>Multimarca</t>
        </is>
      </c>
      <c r="D1852" s="156" t="inlineStr">
        <is>
          <t>12-020-BS003-13-1039</t>
        </is>
      </c>
      <c r="E1852" s="156" t="inlineStr">
        <is>
          <t>12-020-BS003-13-1039-255</t>
        </is>
      </c>
      <c r="F1852" s="156" t="inlineStr">
        <is>
          <t>25.5</t>
        </is>
      </c>
      <c r="G1852" s="156" t="inlineStr">
        <is>
          <t>8.5</t>
        </is>
      </c>
      <c r="H1852" s="156" t="inlineStr">
        <is>
          <t>Stetson</t>
        </is>
      </c>
      <c r="I1852" s="156" t="inlineStr">
        <is>
          <t>Bota Dama Piel Azul</t>
        </is>
      </c>
      <c r="J1852" s="156" t="inlineStr">
        <is>
          <t>Calzado</t>
        </is>
      </c>
      <c r="K1852" s="156" t="inlineStr">
        <is>
          <t>Botas</t>
        </is>
      </c>
      <c r="L1852" s="156" t="inlineStr">
        <is>
          <t>Mujer</t>
        </is>
      </c>
      <c r="M1852" s="156" t="inlineStr">
        <is>
          <t>Stetson</t>
        </is>
      </c>
      <c r="N1852" s="156" t="inlineStr">
        <is>
          <t>SS26</t>
        </is>
      </c>
      <c r="O1852" s="156" t="n"/>
      <c r="P1852" s="156" t="inlineStr">
        <is>
          <t>Azul</t>
        </is>
      </c>
      <c r="Q1852" s="156" t="n"/>
      <c r="R1852" s="156" t="inlineStr">
        <is>
          <t>Horma Alexia</t>
        </is>
      </c>
      <c r="S1852" s="156" t="inlineStr">
        <is>
          <t>Piel bovina</t>
        </is>
      </c>
      <c r="T1852" s="156" t="inlineStr">
        <is>
          <t>Bota Dama Piel bovina Clayton Azul Horma Alexia</t>
        </is>
      </c>
      <c r="U1852" s="156" t="n"/>
      <c r="V1852" s="156" t="inlineStr">
        <is>
          <t>PRS</t>
        </is>
      </c>
      <c r="W1852" s="51" t="inlineStr">
        <is>
          <t>53111502</t>
        </is>
      </c>
      <c r="X1852" s="156" t="n"/>
      <c r="Y1852" s="54" t="n"/>
      <c r="Z1852" s="54" t="n">
        <v>4900</v>
      </c>
      <c r="AA1852" s="55">
        <f>IF(AND(A1852="", B1852="", E1852=""), "", IF(AB1852="", "Válido", IF((LEN(AB1852)-LEN(SUBSTITUTE(AB1852,"; ","")))/2+1&gt;(LEN(AB1852)-LEN(SUBSTITUTE(AB1852,"[Aviso]","")))/7, "Con Incidencias", "Válido")))</f>
        <v/>
      </c>
      <c r="AB1852" s="56">
        <f>IF(AND(A1852="", B1852="", E1852=""), "", TEXTJOIN("; ", TRUE, IF(OR(TRIM(A1852&amp;"")="", ISNUMBER(SEARCH("FALTA", A1852))), "UPC faltante/inválido", ""), IF(AND(A1852&lt;&gt;"", IFERROR(_xlfn.XMATCH(A1852,$A$2:$A$2509,0,1)&lt;&gt;_xlfn.XMATCH(A1852,$A$2:$A$2509,0,-1),FALSE)), "Código de barras duplicado", ""), IF(AND(E1852&lt;&gt;"", COUNTIF($E$2:$E$2509, E1852)&gt;1), "SKU duplicado", ""), IF(OR(J1852="", J1852=""), "[Aviso] División no capturada ()", IF(ISNA(MATCH(J1852, Criterios!$A$123:$A$126, 0)), "División no válida", "")), IF(OR(K1852="", K1852=""), "[Aviso] Categoría no capturada ()", IF(ISNA(MATCH(K1852, Criterios!$A$81:$A$120, 0)), "Categoría no válida", IF(AND(J1852&lt;&gt;"", J1852&lt;&gt;"", J1852&lt;&gt;VLOOKUP(K1852, Criterios!$A$81:$B$120, 2, FALSE)), "División no coincide con Categoría", ""))), IF(OR(L1852="", L1852=""), "[Aviso] Género no capturado ()", IF(ISNA(MATCH(L1852, Criterios!$B$123:$B$127, 0)), "Género no válido", "")), IF(OR(N1852="", N1852=""), "[Aviso] Temporada no capturada ()", IF(ISNA(MATCH(N1852, Criterios!$C$123:$C$128, 0)), "Temporada no válida", "")), IF(OR(O1852="", O1852=""), "[Aviso] Ciclo de vida no capturado ()", IF(ISNA(MATCH(O1852, Criterios!$D$123:$D$124, 0)), "Ciclo de vida no válido", ""))))</f>
        <v/>
      </c>
      <c r="AC1852" s="56" t="n"/>
      <c r="AD1852" s="51" t="n">
        <v>0</v>
      </c>
      <c r="AE1852" s="156" t="inlineStr">
        <is>
          <t>Sin coincidencia en NetSuite</t>
        </is>
      </c>
      <c r="AF1852" s="51" t="n"/>
      <c r="AG1852" s="156" t="inlineStr">
        <is>
          <t>Catálogo existente</t>
        </is>
      </c>
      <c r="AH185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2" s="156" t="n"/>
      <c r="AJ1852" s="156" t="n"/>
      <c r="AK1852" s="155" t="inlineStr">
        <is>
          <t>Shopify Stetson: producto 15054565048683 / variante 53350561022315</t>
        </is>
      </c>
      <c r="AL1852" s="58" t="n"/>
      <c r="AM1852" s="58" t="n">
        <v>4900</v>
      </c>
      <c r="AN1852" s="155" t="inlineStr">
        <is>
          <t>Shopify Stetson México</t>
        </is>
      </c>
      <c r="AO1852" s="59" t="n">
        <v>3</v>
      </c>
      <c r="AP1852" s="59" t="n"/>
      <c r="AQ1852" s="59" t="n"/>
      <c r="AR1852" s="155" t="inlineStr">
        <is>
          <t>Shopify Stetson México › Stetson Americas: 3</t>
        </is>
      </c>
    </row>
    <row r="1853">
      <c r="A1853" s="50" t="inlineStr">
        <is>
          <t>12020003131039265</t>
        </is>
      </c>
      <c r="B1853" s="51" t="n"/>
      <c r="C1853" s="156" t="inlineStr">
        <is>
          <t>Multimarca</t>
        </is>
      </c>
      <c r="D1853" s="156" t="inlineStr">
        <is>
          <t>12-020-BS003-13-1039</t>
        </is>
      </c>
      <c r="E1853" s="156" t="inlineStr">
        <is>
          <t>12-020-BS003-13-1039-265</t>
        </is>
      </c>
      <c r="F1853" s="156" t="inlineStr">
        <is>
          <t>26.5</t>
        </is>
      </c>
      <c r="G1853" s="156" t="inlineStr">
        <is>
          <t>9.5</t>
        </is>
      </c>
      <c r="H1853" s="156" t="inlineStr">
        <is>
          <t>Stetson</t>
        </is>
      </c>
      <c r="I1853" s="156" t="inlineStr">
        <is>
          <t>Bota Dama Piel Azul</t>
        </is>
      </c>
      <c r="J1853" s="156" t="inlineStr">
        <is>
          <t>Calzado</t>
        </is>
      </c>
      <c r="K1853" s="156" t="inlineStr">
        <is>
          <t>Botas</t>
        </is>
      </c>
      <c r="L1853" s="156" t="inlineStr">
        <is>
          <t>Mujer</t>
        </is>
      </c>
      <c r="M1853" s="156" t="inlineStr">
        <is>
          <t>Stetson</t>
        </is>
      </c>
      <c r="N1853" s="156" t="inlineStr">
        <is>
          <t>SS26</t>
        </is>
      </c>
      <c r="O1853" s="156" t="n"/>
      <c r="P1853" s="156" t="inlineStr">
        <is>
          <t>Azul</t>
        </is>
      </c>
      <c r="Q1853" s="156" t="n"/>
      <c r="R1853" s="156" t="inlineStr">
        <is>
          <t>Horma Alexia</t>
        </is>
      </c>
      <c r="S1853" s="156" t="inlineStr">
        <is>
          <t>Piel bovina</t>
        </is>
      </c>
      <c r="T1853" s="156" t="inlineStr">
        <is>
          <t>Bota Dama Piel bovina Clayton Azul Horma Alexia</t>
        </is>
      </c>
      <c r="U1853" s="156" t="n"/>
      <c r="V1853" s="156" t="inlineStr">
        <is>
          <t>PRS</t>
        </is>
      </c>
      <c r="W1853" s="51" t="inlineStr">
        <is>
          <t>53111502</t>
        </is>
      </c>
      <c r="X1853" s="156" t="n"/>
      <c r="Y1853" s="54" t="n"/>
      <c r="Z1853" s="54" t="n">
        <v>4900</v>
      </c>
      <c r="AA1853" s="55">
        <f>IF(AND(A1853="", B1853="", E1853=""), "", IF(AB1853="", "Válido", IF((LEN(AB1853)-LEN(SUBSTITUTE(AB1853,"; ","")))/2+1&gt;(LEN(AB1853)-LEN(SUBSTITUTE(AB1853,"[Aviso]","")))/7, "Con Incidencias", "Válido")))</f>
        <v/>
      </c>
      <c r="AB1853" s="56">
        <f>IF(AND(A1853="", B1853="", E1853=""), "", TEXTJOIN("; ", TRUE, IF(OR(TRIM(A1853&amp;"")="", ISNUMBER(SEARCH("FALTA", A1853))), "UPC faltante/inválido", ""), IF(AND(A1853&lt;&gt;"", IFERROR(_xlfn.XMATCH(A1853,$A$2:$A$2509,0,1)&lt;&gt;_xlfn.XMATCH(A1853,$A$2:$A$2509,0,-1),FALSE)), "Código de barras duplicado", ""), IF(AND(E1853&lt;&gt;"", COUNTIF($E$2:$E$2509, E1853)&gt;1), "SKU duplicado", ""), IF(OR(J1853="", J1853=""), "[Aviso] División no capturada ()", IF(ISNA(MATCH(J1853, Criterios!$A$123:$A$126, 0)), "División no válida", "")), IF(OR(K1853="", K1853=""), "[Aviso] Categoría no capturada ()", IF(ISNA(MATCH(K1853, Criterios!$A$81:$A$120, 0)), "Categoría no válida", IF(AND(J1853&lt;&gt;"", J1853&lt;&gt;"", J1853&lt;&gt;VLOOKUP(K1853, Criterios!$A$81:$B$120, 2, FALSE)), "División no coincide con Categoría", ""))), IF(OR(L1853="", L1853=""), "[Aviso] Género no capturado ()", IF(ISNA(MATCH(L1853, Criterios!$B$123:$B$127, 0)), "Género no válido", "")), IF(OR(N1853="", N1853=""), "[Aviso] Temporada no capturada ()", IF(ISNA(MATCH(N1853, Criterios!$C$123:$C$128, 0)), "Temporada no válida", "")), IF(OR(O1853="", O1853=""), "[Aviso] Ciclo de vida no capturado ()", IF(ISNA(MATCH(O1853, Criterios!$D$123:$D$124, 0)), "Ciclo de vida no válido", ""))))</f>
        <v/>
      </c>
      <c r="AC1853" s="56" t="n"/>
      <c r="AD1853" s="51" t="n">
        <v>0</v>
      </c>
      <c r="AE1853" s="156" t="inlineStr">
        <is>
          <t>Sin coincidencia en NetSuite</t>
        </is>
      </c>
      <c r="AF1853" s="51" t="n"/>
      <c r="AG1853" s="156" t="inlineStr">
        <is>
          <t>Catálogo existente</t>
        </is>
      </c>
      <c r="AH185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3" s="156" t="n"/>
      <c r="AJ1853" s="156" t="n"/>
      <c r="AK1853" s="155" t="inlineStr">
        <is>
          <t>Shopify Stetson: producto 15054565048683 / variante 53350561087851</t>
        </is>
      </c>
      <c r="AL1853" s="58" t="n"/>
      <c r="AM1853" s="58" t="n">
        <v>4900</v>
      </c>
      <c r="AN1853" s="155" t="inlineStr">
        <is>
          <t>Shopify Stetson México</t>
        </is>
      </c>
      <c r="AO1853" s="59" t="n">
        <v>0</v>
      </c>
      <c r="AP1853" s="59" t="n"/>
      <c r="AQ1853" s="59" t="n"/>
      <c r="AR1853" s="155" t="n"/>
    </row>
    <row r="1854">
      <c r="A1854" s="50" t="inlineStr">
        <is>
          <t>12020003131039275</t>
        </is>
      </c>
      <c r="B1854" s="51" t="n"/>
      <c r="C1854" s="156" t="inlineStr">
        <is>
          <t>Multimarca</t>
        </is>
      </c>
      <c r="D1854" s="156" t="inlineStr">
        <is>
          <t>12-020-BS003-13-1039</t>
        </is>
      </c>
      <c r="E1854" s="156" t="inlineStr">
        <is>
          <t>12-020-BS003-13-1039-275</t>
        </is>
      </c>
      <c r="F1854" s="156" t="inlineStr">
        <is>
          <t>27.5</t>
        </is>
      </c>
      <c r="G1854" s="156" t="inlineStr">
        <is>
          <t>10.5</t>
        </is>
      </c>
      <c r="H1854" s="156" t="inlineStr">
        <is>
          <t>Stetson</t>
        </is>
      </c>
      <c r="I1854" s="156" t="inlineStr">
        <is>
          <t>Bota Dama Piel Azul</t>
        </is>
      </c>
      <c r="J1854" s="156" t="inlineStr">
        <is>
          <t>Calzado</t>
        </is>
      </c>
      <c r="K1854" s="156" t="inlineStr">
        <is>
          <t>Botas</t>
        </is>
      </c>
      <c r="L1854" s="156" t="inlineStr">
        <is>
          <t>Mujer</t>
        </is>
      </c>
      <c r="M1854" s="156" t="inlineStr">
        <is>
          <t>Stetson</t>
        </is>
      </c>
      <c r="N1854" s="156" t="inlineStr">
        <is>
          <t>SS26</t>
        </is>
      </c>
      <c r="O1854" s="156" t="n"/>
      <c r="P1854" s="156" t="inlineStr">
        <is>
          <t>Azul</t>
        </is>
      </c>
      <c r="Q1854" s="156" t="n"/>
      <c r="R1854" s="156" t="inlineStr">
        <is>
          <t>Horma Alexia</t>
        </is>
      </c>
      <c r="S1854" s="156" t="inlineStr">
        <is>
          <t>Piel bovina</t>
        </is>
      </c>
      <c r="T1854" s="156" t="inlineStr">
        <is>
          <t>Bota Dama Piel bovina Clayton Azul Horma Alexia</t>
        </is>
      </c>
      <c r="U1854" s="156" t="n"/>
      <c r="V1854" s="156" t="inlineStr">
        <is>
          <t>PRS</t>
        </is>
      </c>
      <c r="W1854" s="51" t="inlineStr">
        <is>
          <t>53111502</t>
        </is>
      </c>
      <c r="X1854" s="156" t="n"/>
      <c r="Y1854" s="54" t="n"/>
      <c r="Z1854" s="54" t="n">
        <v>4900</v>
      </c>
      <c r="AA1854" s="55">
        <f>IF(AND(A1854="", B1854="", E1854=""), "", IF(AB1854="", "Válido", IF((LEN(AB1854)-LEN(SUBSTITUTE(AB1854,"; ","")))/2+1&gt;(LEN(AB1854)-LEN(SUBSTITUTE(AB1854,"[Aviso]","")))/7, "Con Incidencias", "Válido")))</f>
        <v/>
      </c>
      <c r="AB1854" s="56">
        <f>IF(AND(A1854="", B1854="", E1854=""), "", TEXTJOIN("; ", TRUE, IF(OR(TRIM(A1854&amp;"")="", ISNUMBER(SEARCH("FALTA", A1854))), "UPC faltante/inválido", ""), IF(AND(A1854&lt;&gt;"", IFERROR(_xlfn.XMATCH(A1854,$A$2:$A$2509,0,1)&lt;&gt;_xlfn.XMATCH(A1854,$A$2:$A$2509,0,-1),FALSE)), "Código de barras duplicado", ""), IF(AND(E1854&lt;&gt;"", COUNTIF($E$2:$E$2509, E1854)&gt;1), "SKU duplicado", ""), IF(OR(J1854="", J1854=""), "[Aviso] División no capturada ()", IF(ISNA(MATCH(J1854, Criterios!$A$123:$A$126, 0)), "División no válida", "")), IF(OR(K1854="", K1854=""), "[Aviso] Categoría no capturada ()", IF(ISNA(MATCH(K1854, Criterios!$A$81:$A$120, 0)), "Categoría no válida", IF(AND(J1854&lt;&gt;"", J1854&lt;&gt;"", J1854&lt;&gt;VLOOKUP(K1854, Criterios!$A$81:$B$120, 2, FALSE)), "División no coincide con Categoría", ""))), IF(OR(L1854="", L1854=""), "[Aviso] Género no capturado ()", IF(ISNA(MATCH(L1854, Criterios!$B$123:$B$127, 0)), "Género no válido", "")), IF(OR(N1854="", N1854=""), "[Aviso] Temporada no capturada ()", IF(ISNA(MATCH(N1854, Criterios!$C$123:$C$128, 0)), "Temporada no válida", "")), IF(OR(O1854="", O1854=""), "[Aviso] Ciclo de vida no capturado ()", IF(ISNA(MATCH(O1854, Criterios!$D$123:$D$124, 0)), "Ciclo de vida no válido", ""))))</f>
        <v/>
      </c>
      <c r="AC1854" s="56" t="n"/>
      <c r="AD1854" s="51" t="n">
        <v>0</v>
      </c>
      <c r="AE1854" s="156" t="inlineStr">
        <is>
          <t>Sin coincidencia en NetSuite</t>
        </is>
      </c>
      <c r="AF1854" s="51" t="n"/>
      <c r="AG1854" s="156" t="inlineStr">
        <is>
          <t>Catálogo existente</t>
        </is>
      </c>
      <c r="AH185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4" s="156" t="n"/>
      <c r="AJ1854" s="156" t="n"/>
      <c r="AK1854" s="155" t="inlineStr">
        <is>
          <t>Shopify Stetson: producto 15054565048683 / variante 53350561153387</t>
        </is>
      </c>
      <c r="AL1854" s="58" t="n"/>
      <c r="AM1854" s="58" t="n">
        <v>4900</v>
      </c>
      <c r="AN1854" s="155" t="inlineStr">
        <is>
          <t>Shopify Stetson México</t>
        </is>
      </c>
      <c r="AO1854" s="59" t="n">
        <v>0</v>
      </c>
      <c r="AP1854" s="59" t="n"/>
      <c r="AQ1854" s="59" t="n"/>
      <c r="AR1854" s="155" t="n"/>
    </row>
    <row r="1855">
      <c r="A1855" s="50" t="inlineStr">
        <is>
          <t>12020003131040026</t>
        </is>
      </c>
      <c r="B1855" s="51" t="n"/>
      <c r="C1855" s="156" t="inlineStr">
        <is>
          <t>Multimarca</t>
        </is>
      </c>
      <c r="D1855" s="156" t="inlineStr">
        <is>
          <t>12-020-BS003-13-1040</t>
        </is>
      </c>
      <c r="E1855" s="156" t="inlineStr">
        <is>
          <t>12-020-BS003-13-1040-026</t>
        </is>
      </c>
      <c r="F1855" s="156" t="inlineStr">
        <is>
          <t>26</t>
        </is>
      </c>
      <c r="G1855" s="156" t="inlineStr">
        <is>
          <t>9</t>
        </is>
      </c>
      <c r="H1855" s="156" t="inlineStr">
        <is>
          <t>Stetson</t>
        </is>
      </c>
      <c r="I1855" s="156" t="inlineStr">
        <is>
          <t>Bota Piel Café Arcilla</t>
        </is>
      </c>
      <c r="J1855" s="156" t="inlineStr">
        <is>
          <t>Calzado</t>
        </is>
      </c>
      <c r="K1855" s="156" t="inlineStr">
        <is>
          <t>Botas</t>
        </is>
      </c>
      <c r="L1855" s="156" t="inlineStr">
        <is>
          <t>Mujer</t>
        </is>
      </c>
      <c r="M1855" s="156" t="inlineStr">
        <is>
          <t>Stetson</t>
        </is>
      </c>
      <c r="N1855" s="156" t="inlineStr">
        <is>
          <t>SS26</t>
        </is>
      </c>
      <c r="O1855" s="156" t="inlineStr">
        <is>
          <t>Seasonal</t>
        </is>
      </c>
      <c r="P1855" s="156" t="inlineStr">
        <is>
          <t>Cafe</t>
        </is>
      </c>
      <c r="Q1855" s="156" t="n"/>
      <c r="R1855" s="156" t="inlineStr">
        <is>
          <t>Horma Alexia</t>
        </is>
      </c>
      <c r="S1855" s="156" t="inlineStr">
        <is>
          <t>Piel bovina</t>
        </is>
      </c>
      <c r="T1855" s="156" t="inlineStr">
        <is>
          <t>Bota Dama Piel bovina Boney Café Arcilla Horma Alexia</t>
        </is>
      </c>
      <c r="U1855" s="156" t="inlineStr">
        <is>
          <t>México</t>
        </is>
      </c>
      <c r="V1855" s="156" t="inlineStr">
        <is>
          <t>PRS</t>
        </is>
      </c>
      <c r="W1855" s="51" t="inlineStr">
        <is>
          <t>53111502</t>
        </is>
      </c>
      <c r="X1855" s="156" t="n"/>
      <c r="Y1855" s="54" t="n"/>
      <c r="Z1855" s="54" t="n">
        <v>4900</v>
      </c>
      <c r="AA1855" s="55">
        <f>IF(AND(A1855="", B1855="", E1855=""), "", IF(AB1855="", "Válido", IF((LEN(AB1855)-LEN(SUBSTITUTE(AB1855,"; ","")))/2+1&gt;(LEN(AB1855)-LEN(SUBSTITUTE(AB1855,"[Aviso]","")))/7, "Con Incidencias", "Válido")))</f>
        <v/>
      </c>
      <c r="AB1855" s="56">
        <f>IF(AND(A1855="", B1855="", E1855=""), "", TEXTJOIN("; ", TRUE, IF(OR(TRIM(A1855&amp;"")="", ISNUMBER(SEARCH("FALTA", A1855))), "UPC faltante/inválido", ""), IF(AND(A1855&lt;&gt;"", IFERROR(_xlfn.XMATCH(A1855,$A$2:$A$2509,0,1)&lt;&gt;_xlfn.XMATCH(A1855,$A$2:$A$2509,0,-1),FALSE)), "Código de barras duplicado", ""), IF(AND(E1855&lt;&gt;"", COUNTIF($E$2:$E$2509, E1855)&gt;1), "SKU duplicado", ""), IF(OR(J1855="", J1855=""), "[Aviso] División no capturada ()", IF(ISNA(MATCH(J1855, Criterios!$A$123:$A$126, 0)), "División no válida", "")), IF(OR(K1855="", K1855=""), "[Aviso] Categoría no capturada ()", IF(ISNA(MATCH(K1855, Criterios!$A$81:$A$120, 0)), "Categoría no válida", IF(AND(J1855&lt;&gt;"", J1855&lt;&gt;"", J1855&lt;&gt;VLOOKUP(K1855, Criterios!$A$81:$B$120, 2, FALSE)), "División no coincide con Categoría", ""))), IF(OR(L1855="", L1855=""), "[Aviso] Género no capturado ()", IF(ISNA(MATCH(L1855, Criterios!$B$123:$B$127, 0)), "Género no válido", "")), IF(OR(N1855="", N1855=""), "[Aviso] Temporada no capturada ()", IF(ISNA(MATCH(N1855, Criterios!$C$123:$C$128, 0)), "Temporada no válida", "")), IF(OR(O1855="", O1855=""), "[Aviso] Ciclo de vida no capturado ()", IF(ISNA(MATCH(O1855, Criterios!$D$123:$D$124, 0)), "Ciclo de vida no válido", ""))))</f>
        <v/>
      </c>
      <c r="AC1855" s="56" t="n"/>
      <c r="AD1855" s="51" t="n">
        <v>0</v>
      </c>
      <c r="AE1855" s="156" t="inlineStr">
        <is>
          <t>Sin coincidencia en NetSuite</t>
        </is>
      </c>
      <c r="AF1855" s="51" t="n"/>
      <c r="AG1855" s="156" t="inlineStr">
        <is>
          <t>Catálogo existente</t>
        </is>
      </c>
      <c r="AH185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5" s="156" t="n"/>
      <c r="AJ1855" s="156" t="n"/>
      <c r="AK1855" s="155" t="inlineStr">
        <is>
          <t>Shopify Stetson: producto 15054565081451 / variante 53350561448299</t>
        </is>
      </c>
      <c r="AL1855" s="58" t="n"/>
      <c r="AM1855" s="58" t="n">
        <v>4900</v>
      </c>
      <c r="AN1855" s="155" t="inlineStr">
        <is>
          <t>Shopify Stetson México</t>
        </is>
      </c>
      <c r="AO1855" s="59" t="n">
        <v>1</v>
      </c>
      <c r="AP1855" s="59" t="n"/>
      <c r="AQ1855" s="59" t="n"/>
      <c r="AR1855" s="155" t="inlineStr">
        <is>
          <t>Shopify Stetson México › Stetson Americas: 1</t>
        </is>
      </c>
    </row>
    <row r="1856">
      <c r="A1856" s="50" t="inlineStr">
        <is>
          <t>12020003131040027</t>
        </is>
      </c>
      <c r="B1856" s="51" t="n"/>
      <c r="C1856" s="156" t="inlineStr">
        <is>
          <t>Multimarca</t>
        </is>
      </c>
      <c r="D1856" s="156" t="inlineStr">
        <is>
          <t>12-020-BS003-13-1040</t>
        </is>
      </c>
      <c r="E1856" s="156" t="inlineStr">
        <is>
          <t>12-020-BS003-13-1040-027</t>
        </is>
      </c>
      <c r="F1856" s="156" t="inlineStr">
        <is>
          <t>27</t>
        </is>
      </c>
      <c r="G1856" s="156" t="inlineStr">
        <is>
          <t>10</t>
        </is>
      </c>
      <c r="H1856" s="156" t="inlineStr">
        <is>
          <t>Stetson</t>
        </is>
      </c>
      <c r="I1856" s="156" t="inlineStr">
        <is>
          <t>Bota Piel Café Arcilla</t>
        </is>
      </c>
      <c r="J1856" s="156" t="inlineStr">
        <is>
          <t>Calzado</t>
        </is>
      </c>
      <c r="K1856" s="156" t="inlineStr">
        <is>
          <t>Botas</t>
        </is>
      </c>
      <c r="L1856" s="156" t="inlineStr">
        <is>
          <t>Mujer</t>
        </is>
      </c>
      <c r="M1856" s="156" t="inlineStr">
        <is>
          <t>Stetson</t>
        </is>
      </c>
      <c r="N1856" s="156" t="inlineStr">
        <is>
          <t>SS26</t>
        </is>
      </c>
      <c r="O1856" s="156" t="inlineStr">
        <is>
          <t>Seasonal</t>
        </is>
      </c>
      <c r="P1856" s="156" t="inlineStr">
        <is>
          <t>Cafe</t>
        </is>
      </c>
      <c r="Q1856" s="156" t="n"/>
      <c r="R1856" s="156" t="inlineStr">
        <is>
          <t>Horma Alexia</t>
        </is>
      </c>
      <c r="S1856" s="156" t="inlineStr">
        <is>
          <t>Piel bovina</t>
        </is>
      </c>
      <c r="T1856" s="156" t="inlineStr">
        <is>
          <t>Bota Dama Piel bovina Boney Café Arcilla Horma Alexia</t>
        </is>
      </c>
      <c r="U1856" s="156" t="inlineStr">
        <is>
          <t>México</t>
        </is>
      </c>
      <c r="V1856" s="156" t="inlineStr">
        <is>
          <t>PRS</t>
        </is>
      </c>
      <c r="W1856" s="51" t="inlineStr">
        <is>
          <t>53111502</t>
        </is>
      </c>
      <c r="X1856" s="156" t="n"/>
      <c r="Y1856" s="54" t="n"/>
      <c r="Z1856" s="54" t="n">
        <v>4900</v>
      </c>
      <c r="AA1856" s="55">
        <f>IF(AND(A1856="", B1856="", E1856=""), "", IF(AB1856="", "Válido", IF((LEN(AB1856)-LEN(SUBSTITUTE(AB1856,"; ","")))/2+1&gt;(LEN(AB1856)-LEN(SUBSTITUTE(AB1856,"[Aviso]","")))/7, "Con Incidencias", "Válido")))</f>
        <v/>
      </c>
      <c r="AB1856" s="56">
        <f>IF(AND(A1856="", B1856="", E1856=""), "", TEXTJOIN("; ", TRUE, IF(OR(TRIM(A1856&amp;"")="", ISNUMBER(SEARCH("FALTA", A1856))), "UPC faltante/inválido", ""), IF(AND(A1856&lt;&gt;"", IFERROR(_xlfn.XMATCH(A1856,$A$2:$A$2509,0,1)&lt;&gt;_xlfn.XMATCH(A1856,$A$2:$A$2509,0,-1),FALSE)), "Código de barras duplicado", ""), IF(AND(E1856&lt;&gt;"", COUNTIF($E$2:$E$2509, E1856)&gt;1), "SKU duplicado", ""), IF(OR(J1856="", J1856=""), "[Aviso] División no capturada ()", IF(ISNA(MATCH(J1856, Criterios!$A$123:$A$126, 0)), "División no válida", "")), IF(OR(K1856="", K1856=""), "[Aviso] Categoría no capturada ()", IF(ISNA(MATCH(K1856, Criterios!$A$81:$A$120, 0)), "Categoría no válida", IF(AND(J1856&lt;&gt;"", J1856&lt;&gt;"", J1856&lt;&gt;VLOOKUP(K1856, Criterios!$A$81:$B$120, 2, FALSE)), "División no coincide con Categoría", ""))), IF(OR(L1856="", L1856=""), "[Aviso] Género no capturado ()", IF(ISNA(MATCH(L1856, Criterios!$B$123:$B$127, 0)), "Género no válido", "")), IF(OR(N1856="", N1856=""), "[Aviso] Temporada no capturada ()", IF(ISNA(MATCH(N1856, Criterios!$C$123:$C$128, 0)), "Temporada no válida", "")), IF(OR(O1856="", O1856=""), "[Aviso] Ciclo de vida no capturado ()", IF(ISNA(MATCH(O1856, Criterios!$D$123:$D$124, 0)), "Ciclo de vida no válido", ""))))</f>
        <v/>
      </c>
      <c r="AC1856" s="56" t="n"/>
      <c r="AD1856" s="51" t="n">
        <v>0</v>
      </c>
      <c r="AE1856" s="156" t="inlineStr">
        <is>
          <t>Sin coincidencia en NetSuite</t>
        </is>
      </c>
      <c r="AF1856" s="51" t="n"/>
      <c r="AG1856" s="156" t="inlineStr">
        <is>
          <t>Catálogo existente</t>
        </is>
      </c>
      <c r="AH185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6" s="156" t="n"/>
      <c r="AJ1856" s="156" t="n"/>
      <c r="AK1856" s="155" t="inlineStr">
        <is>
          <t>Shopify Stetson: producto 15054565081451 / variante 53350561513835</t>
        </is>
      </c>
      <c r="AL1856" s="58" t="n"/>
      <c r="AM1856" s="58" t="n">
        <v>4900</v>
      </c>
      <c r="AN1856" s="155" t="inlineStr">
        <is>
          <t>Shopify Stetson México</t>
        </is>
      </c>
      <c r="AO1856" s="59" t="n">
        <v>0</v>
      </c>
      <c r="AP1856" s="59" t="n"/>
      <c r="AQ1856" s="59" t="n"/>
      <c r="AR1856" s="155" t="n"/>
    </row>
    <row r="1857">
      <c r="A1857" s="50" t="inlineStr">
        <is>
          <t>12020003131040255</t>
        </is>
      </c>
      <c r="B1857" s="51" t="n"/>
      <c r="C1857" s="156" t="inlineStr">
        <is>
          <t>Multimarca</t>
        </is>
      </c>
      <c r="D1857" s="156" t="inlineStr">
        <is>
          <t>12-020-BS003-13-1040</t>
        </is>
      </c>
      <c r="E1857" s="156" t="inlineStr">
        <is>
          <t>12-020-BS003-13-1040-255</t>
        </is>
      </c>
      <c r="F1857" s="156" t="inlineStr">
        <is>
          <t>25.5</t>
        </is>
      </c>
      <c r="G1857" s="156" t="inlineStr">
        <is>
          <t>8.5</t>
        </is>
      </c>
      <c r="H1857" s="156" t="inlineStr">
        <is>
          <t>Stetson</t>
        </is>
      </c>
      <c r="I1857" s="156" t="inlineStr">
        <is>
          <t>Bota Piel Café Arcilla</t>
        </is>
      </c>
      <c r="J1857" s="156" t="inlineStr">
        <is>
          <t>Calzado</t>
        </is>
      </c>
      <c r="K1857" s="156" t="inlineStr">
        <is>
          <t>Botas</t>
        </is>
      </c>
      <c r="L1857" s="156" t="inlineStr">
        <is>
          <t>Mujer</t>
        </is>
      </c>
      <c r="M1857" s="156" t="inlineStr">
        <is>
          <t>Stetson</t>
        </is>
      </c>
      <c r="N1857" s="156" t="inlineStr">
        <is>
          <t>SS26</t>
        </is>
      </c>
      <c r="O1857" s="156" t="inlineStr">
        <is>
          <t>Seasonal</t>
        </is>
      </c>
      <c r="P1857" s="156" t="inlineStr">
        <is>
          <t>Cafe</t>
        </is>
      </c>
      <c r="Q1857" s="156" t="n"/>
      <c r="R1857" s="156" t="inlineStr">
        <is>
          <t>Horma Alexia</t>
        </is>
      </c>
      <c r="S1857" s="156" t="inlineStr">
        <is>
          <t>Piel bovina</t>
        </is>
      </c>
      <c r="T1857" s="156" t="inlineStr">
        <is>
          <t>Bota Dama Piel bovina Boney Café Arcilla Horma Alexia</t>
        </is>
      </c>
      <c r="U1857" s="156" t="inlineStr">
        <is>
          <t>México</t>
        </is>
      </c>
      <c r="V1857" s="156" t="inlineStr">
        <is>
          <t>PRS</t>
        </is>
      </c>
      <c r="W1857" s="51" t="inlineStr">
        <is>
          <t>53111502</t>
        </is>
      </c>
      <c r="X1857" s="156" t="n"/>
      <c r="Y1857" s="54" t="n"/>
      <c r="Z1857" s="54" t="n">
        <v>4900</v>
      </c>
      <c r="AA1857" s="55">
        <f>IF(AND(A1857="", B1857="", E1857=""), "", IF(AB1857="", "Válido", IF((LEN(AB1857)-LEN(SUBSTITUTE(AB1857,"; ","")))/2+1&gt;(LEN(AB1857)-LEN(SUBSTITUTE(AB1857,"[Aviso]","")))/7, "Con Incidencias", "Válido")))</f>
        <v/>
      </c>
      <c r="AB1857" s="56">
        <f>IF(AND(A1857="", B1857="", E1857=""), "", TEXTJOIN("; ", TRUE, IF(OR(TRIM(A1857&amp;"")="", ISNUMBER(SEARCH("FALTA", A1857))), "UPC faltante/inválido", ""), IF(AND(A1857&lt;&gt;"", IFERROR(_xlfn.XMATCH(A1857,$A$2:$A$2509,0,1)&lt;&gt;_xlfn.XMATCH(A1857,$A$2:$A$2509,0,-1),FALSE)), "Código de barras duplicado", ""), IF(AND(E1857&lt;&gt;"", COUNTIF($E$2:$E$2509, E1857)&gt;1), "SKU duplicado", ""), IF(OR(J1857="", J1857=""), "[Aviso] División no capturada ()", IF(ISNA(MATCH(J1857, Criterios!$A$123:$A$126, 0)), "División no válida", "")), IF(OR(K1857="", K1857=""), "[Aviso] Categoría no capturada ()", IF(ISNA(MATCH(K1857, Criterios!$A$81:$A$120, 0)), "Categoría no válida", IF(AND(J1857&lt;&gt;"", J1857&lt;&gt;"", J1857&lt;&gt;VLOOKUP(K1857, Criterios!$A$81:$B$120, 2, FALSE)), "División no coincide con Categoría", ""))), IF(OR(L1857="", L1857=""), "[Aviso] Género no capturado ()", IF(ISNA(MATCH(L1857, Criterios!$B$123:$B$127, 0)), "Género no válido", "")), IF(OR(N1857="", N1857=""), "[Aviso] Temporada no capturada ()", IF(ISNA(MATCH(N1857, Criterios!$C$123:$C$128, 0)), "Temporada no válida", "")), IF(OR(O1857="", O1857=""), "[Aviso] Ciclo de vida no capturado ()", IF(ISNA(MATCH(O1857, Criterios!$D$123:$D$124, 0)), "Ciclo de vida no válido", ""))))</f>
        <v/>
      </c>
      <c r="AC1857" s="56" t="n"/>
      <c r="AD1857" s="51" t="n">
        <v>0</v>
      </c>
      <c r="AE1857" s="156" t="inlineStr">
        <is>
          <t>Sin coincidencia en NetSuite</t>
        </is>
      </c>
      <c r="AF1857" s="51" t="n"/>
      <c r="AG1857" s="156" t="inlineStr">
        <is>
          <t>Catálogo existente</t>
        </is>
      </c>
      <c r="AH185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7" s="156" t="n"/>
      <c r="AJ1857" s="156" t="n"/>
      <c r="AK1857" s="155" t="inlineStr">
        <is>
          <t>Shopify Stetson: producto 15054565081451 / variante 53350561415531</t>
        </is>
      </c>
      <c r="AL1857" s="58" t="n"/>
      <c r="AM1857" s="58" t="n">
        <v>4900</v>
      </c>
      <c r="AN1857" s="155" t="inlineStr">
        <is>
          <t>Shopify Stetson México</t>
        </is>
      </c>
      <c r="AO1857" s="59" t="n">
        <v>0</v>
      </c>
      <c r="AP1857" s="59" t="n"/>
      <c r="AQ1857" s="59" t="n"/>
      <c r="AR1857" s="155" t="n"/>
    </row>
    <row r="1858">
      <c r="A1858" s="50" t="inlineStr">
        <is>
          <t>12020003131040265</t>
        </is>
      </c>
      <c r="B1858" s="51" t="n"/>
      <c r="C1858" s="156" t="inlineStr">
        <is>
          <t>Multimarca</t>
        </is>
      </c>
      <c r="D1858" s="156" t="inlineStr">
        <is>
          <t>12-020-BS003-13-1040</t>
        </is>
      </c>
      <c r="E1858" s="156" t="inlineStr">
        <is>
          <t>12-020-BS003-13-1040-265</t>
        </is>
      </c>
      <c r="F1858" s="156" t="inlineStr">
        <is>
          <t>26.5</t>
        </is>
      </c>
      <c r="G1858" s="156" t="inlineStr">
        <is>
          <t>9.5</t>
        </is>
      </c>
      <c r="H1858" s="156" t="inlineStr">
        <is>
          <t>Stetson</t>
        </is>
      </c>
      <c r="I1858" s="156" t="inlineStr">
        <is>
          <t>Bota Piel Café Arcilla</t>
        </is>
      </c>
      <c r="J1858" s="156" t="inlineStr">
        <is>
          <t>Calzado</t>
        </is>
      </c>
      <c r="K1858" s="156" t="inlineStr">
        <is>
          <t>Botas</t>
        </is>
      </c>
      <c r="L1858" s="156" t="inlineStr">
        <is>
          <t>Mujer</t>
        </is>
      </c>
      <c r="M1858" s="156" t="inlineStr">
        <is>
          <t>Stetson</t>
        </is>
      </c>
      <c r="N1858" s="156" t="inlineStr">
        <is>
          <t>SS26</t>
        </is>
      </c>
      <c r="O1858" s="156" t="inlineStr">
        <is>
          <t>Seasonal</t>
        </is>
      </c>
      <c r="P1858" s="156" t="inlineStr">
        <is>
          <t>Cafe</t>
        </is>
      </c>
      <c r="Q1858" s="156" t="n"/>
      <c r="R1858" s="156" t="inlineStr">
        <is>
          <t>Horma Alexia</t>
        </is>
      </c>
      <c r="S1858" s="156" t="inlineStr">
        <is>
          <t>Piel bovina</t>
        </is>
      </c>
      <c r="T1858" s="156" t="inlineStr">
        <is>
          <t>Bota Dama Piel bovina Boney Café Arcilla Horma Alexia</t>
        </is>
      </c>
      <c r="U1858" s="156" t="inlineStr">
        <is>
          <t>México</t>
        </is>
      </c>
      <c r="V1858" s="156" t="inlineStr">
        <is>
          <t>PRS</t>
        </is>
      </c>
      <c r="W1858" s="51" t="inlineStr">
        <is>
          <t>53111502</t>
        </is>
      </c>
      <c r="X1858" s="156" t="n"/>
      <c r="Y1858" s="54" t="n"/>
      <c r="Z1858" s="54" t="n">
        <v>4900</v>
      </c>
      <c r="AA1858" s="55">
        <f>IF(AND(A1858="", B1858="", E1858=""), "", IF(AB1858="", "Válido", IF((LEN(AB1858)-LEN(SUBSTITUTE(AB1858,"; ","")))/2+1&gt;(LEN(AB1858)-LEN(SUBSTITUTE(AB1858,"[Aviso]","")))/7, "Con Incidencias", "Válido")))</f>
        <v/>
      </c>
      <c r="AB1858" s="56">
        <f>IF(AND(A1858="", B1858="", E1858=""), "", TEXTJOIN("; ", TRUE, IF(OR(TRIM(A1858&amp;"")="", ISNUMBER(SEARCH("FALTA", A1858))), "UPC faltante/inválido", ""), IF(AND(A1858&lt;&gt;"", IFERROR(_xlfn.XMATCH(A1858,$A$2:$A$2509,0,1)&lt;&gt;_xlfn.XMATCH(A1858,$A$2:$A$2509,0,-1),FALSE)), "Código de barras duplicado", ""), IF(AND(E1858&lt;&gt;"", COUNTIF($E$2:$E$2509, E1858)&gt;1), "SKU duplicado", ""), IF(OR(J1858="", J1858=""), "[Aviso] División no capturada ()", IF(ISNA(MATCH(J1858, Criterios!$A$123:$A$126, 0)), "División no válida", "")), IF(OR(K1858="", K1858=""), "[Aviso] Categoría no capturada ()", IF(ISNA(MATCH(K1858, Criterios!$A$81:$A$120, 0)), "Categoría no válida", IF(AND(J1858&lt;&gt;"", J1858&lt;&gt;"", J1858&lt;&gt;VLOOKUP(K1858, Criterios!$A$81:$B$120, 2, FALSE)), "División no coincide con Categoría", ""))), IF(OR(L1858="", L1858=""), "[Aviso] Género no capturado ()", IF(ISNA(MATCH(L1858, Criterios!$B$123:$B$127, 0)), "Género no válido", "")), IF(OR(N1858="", N1858=""), "[Aviso] Temporada no capturada ()", IF(ISNA(MATCH(N1858, Criterios!$C$123:$C$128, 0)), "Temporada no válida", "")), IF(OR(O1858="", O1858=""), "[Aviso] Ciclo de vida no capturado ()", IF(ISNA(MATCH(O1858, Criterios!$D$123:$D$124, 0)), "Ciclo de vida no válido", ""))))</f>
        <v/>
      </c>
      <c r="AC1858" s="56" t="n"/>
      <c r="AD1858" s="51" t="n">
        <v>0</v>
      </c>
      <c r="AE1858" s="156" t="inlineStr">
        <is>
          <t>Sin coincidencia en NetSuite</t>
        </is>
      </c>
      <c r="AF1858" s="51" t="n"/>
      <c r="AG1858" s="156" t="inlineStr">
        <is>
          <t>Catálogo existente</t>
        </is>
      </c>
      <c r="AH185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8" s="156" t="n"/>
      <c r="AJ1858" s="156" t="n"/>
      <c r="AK1858" s="155" t="inlineStr">
        <is>
          <t>Shopify Stetson: producto 15054565081451 / variante 53350561481067</t>
        </is>
      </c>
      <c r="AL1858" s="58" t="n"/>
      <c r="AM1858" s="58" t="n">
        <v>4900</v>
      </c>
      <c r="AN1858" s="155" t="inlineStr">
        <is>
          <t>Shopify Stetson México</t>
        </is>
      </c>
      <c r="AO1858" s="59" t="n">
        <v>1</v>
      </c>
      <c r="AP1858" s="59" t="n"/>
      <c r="AQ1858" s="59" t="n"/>
      <c r="AR1858" s="155" t="inlineStr">
        <is>
          <t>Shopify Stetson México › Stetson Americas: 1</t>
        </is>
      </c>
    </row>
    <row r="1859">
      <c r="A1859" s="50" t="inlineStr">
        <is>
          <t>12020003131040275</t>
        </is>
      </c>
      <c r="B1859" s="51" t="n"/>
      <c r="C1859" s="156" t="inlineStr">
        <is>
          <t>Multimarca</t>
        </is>
      </c>
      <c r="D1859" s="156" t="inlineStr">
        <is>
          <t>12-020-BS003-13-1040</t>
        </is>
      </c>
      <c r="E1859" s="156" t="inlineStr">
        <is>
          <t>12-020-BS003-13-1040-275</t>
        </is>
      </c>
      <c r="F1859" s="156" t="inlineStr">
        <is>
          <t>27.5</t>
        </is>
      </c>
      <c r="G1859" s="156" t="inlineStr">
        <is>
          <t>10.5</t>
        </is>
      </c>
      <c r="H1859" s="156" t="inlineStr">
        <is>
          <t>Stetson</t>
        </is>
      </c>
      <c r="I1859" s="156" t="inlineStr">
        <is>
          <t>Bota Piel Café Arcilla</t>
        </is>
      </c>
      <c r="J1859" s="156" t="inlineStr">
        <is>
          <t>Calzado</t>
        </is>
      </c>
      <c r="K1859" s="156" t="inlineStr">
        <is>
          <t>Botas</t>
        </is>
      </c>
      <c r="L1859" s="156" t="inlineStr">
        <is>
          <t>Mujer</t>
        </is>
      </c>
      <c r="M1859" s="156" t="inlineStr">
        <is>
          <t>Stetson</t>
        </is>
      </c>
      <c r="N1859" s="156" t="inlineStr">
        <is>
          <t>SS26</t>
        </is>
      </c>
      <c r="O1859" s="156" t="inlineStr">
        <is>
          <t>Seasonal</t>
        </is>
      </c>
      <c r="P1859" s="156" t="inlineStr">
        <is>
          <t>Cafe</t>
        </is>
      </c>
      <c r="Q1859" s="156" t="n"/>
      <c r="R1859" s="156" t="inlineStr">
        <is>
          <t>Horma Alexia</t>
        </is>
      </c>
      <c r="S1859" s="156" t="inlineStr">
        <is>
          <t>Piel bovina</t>
        </is>
      </c>
      <c r="T1859" s="156" t="inlineStr">
        <is>
          <t>Bota Dama Piel bovina Boney Café Arcilla Horma Alexia</t>
        </is>
      </c>
      <c r="U1859" s="156" t="inlineStr">
        <is>
          <t>México</t>
        </is>
      </c>
      <c r="V1859" s="156" t="inlineStr">
        <is>
          <t>PRS</t>
        </is>
      </c>
      <c r="W1859" s="51" t="inlineStr">
        <is>
          <t>53111502</t>
        </is>
      </c>
      <c r="X1859" s="156" t="n"/>
      <c r="Y1859" s="54" t="n"/>
      <c r="Z1859" s="54" t="n">
        <v>4900</v>
      </c>
      <c r="AA1859" s="55">
        <f>IF(AND(A1859="", B1859="", E1859=""), "", IF(AB1859="", "Válido", IF((LEN(AB1859)-LEN(SUBSTITUTE(AB1859,"; ","")))/2+1&gt;(LEN(AB1859)-LEN(SUBSTITUTE(AB1859,"[Aviso]","")))/7, "Con Incidencias", "Válido")))</f>
        <v/>
      </c>
      <c r="AB1859" s="56">
        <f>IF(AND(A1859="", B1859="", E1859=""), "", TEXTJOIN("; ", TRUE, IF(OR(TRIM(A1859&amp;"")="", ISNUMBER(SEARCH("FALTA", A1859))), "UPC faltante/inválido", ""), IF(AND(A1859&lt;&gt;"", IFERROR(_xlfn.XMATCH(A1859,$A$2:$A$2509,0,1)&lt;&gt;_xlfn.XMATCH(A1859,$A$2:$A$2509,0,-1),FALSE)), "Código de barras duplicado", ""), IF(AND(E1859&lt;&gt;"", COUNTIF($E$2:$E$2509, E1859)&gt;1), "SKU duplicado", ""), IF(OR(J1859="", J1859=""), "[Aviso] División no capturada ()", IF(ISNA(MATCH(J1859, Criterios!$A$123:$A$126, 0)), "División no válida", "")), IF(OR(K1859="", K1859=""), "[Aviso] Categoría no capturada ()", IF(ISNA(MATCH(K1859, Criterios!$A$81:$A$120, 0)), "Categoría no válida", IF(AND(J1859&lt;&gt;"", J1859&lt;&gt;"", J1859&lt;&gt;VLOOKUP(K1859, Criterios!$A$81:$B$120, 2, FALSE)), "División no coincide con Categoría", ""))), IF(OR(L1859="", L1859=""), "[Aviso] Género no capturado ()", IF(ISNA(MATCH(L1859, Criterios!$B$123:$B$127, 0)), "Género no válido", "")), IF(OR(N1859="", N1859=""), "[Aviso] Temporada no capturada ()", IF(ISNA(MATCH(N1859, Criterios!$C$123:$C$128, 0)), "Temporada no válida", "")), IF(OR(O1859="", O1859=""), "[Aviso] Ciclo de vida no capturado ()", IF(ISNA(MATCH(O1859, Criterios!$D$123:$D$124, 0)), "Ciclo de vida no válido", ""))))</f>
        <v/>
      </c>
      <c r="AC1859" s="56" t="n"/>
      <c r="AD1859" s="51" t="n">
        <v>0</v>
      </c>
      <c r="AE1859" s="156" t="inlineStr">
        <is>
          <t>Sin coincidencia en NetSuite</t>
        </is>
      </c>
      <c r="AF1859" s="51" t="n"/>
      <c r="AG1859" s="156" t="inlineStr">
        <is>
          <t>Catálogo existente</t>
        </is>
      </c>
      <c r="AH185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9" s="156" t="n"/>
      <c r="AJ1859" s="156" t="n"/>
      <c r="AK1859" s="155" t="inlineStr">
        <is>
          <t>Shopify Stetson: producto 15054565081451 / variante 53350561546603</t>
        </is>
      </c>
      <c r="AL1859" s="58" t="n"/>
      <c r="AM1859" s="58" t="n">
        <v>4900</v>
      </c>
      <c r="AN1859" s="155" t="inlineStr">
        <is>
          <t>Shopify Stetson México</t>
        </is>
      </c>
      <c r="AO1859" s="59" t="n">
        <v>0</v>
      </c>
      <c r="AP1859" s="59" t="n"/>
      <c r="AQ1859" s="59" t="n"/>
      <c r="AR1859" s="155" t="n"/>
    </row>
    <row r="1860">
      <c r="A1860" s="50" t="inlineStr">
        <is>
          <t>12020004121030026</t>
        </is>
      </c>
      <c r="B1860" s="51" t="n"/>
      <c r="C1860" s="156" t="inlineStr">
        <is>
          <t>Multimarca</t>
        </is>
      </c>
      <c r="D1860" s="156" t="inlineStr">
        <is>
          <t>12-020-BS004-12-1030</t>
        </is>
      </c>
      <c r="E1860" s="156" t="inlineStr">
        <is>
          <t>12-020-BS004-12-1030-026</t>
        </is>
      </c>
      <c r="F1860" s="156" t="inlineStr">
        <is>
          <t>26</t>
        </is>
      </c>
      <c r="G1860" s="156" t="inlineStr">
        <is>
          <t>8</t>
        </is>
      </c>
      <c r="H1860" s="156" t="inlineStr">
        <is>
          <t>Stetson</t>
        </is>
      </c>
      <c r="I1860" s="156" t="inlineStr">
        <is>
          <t>Bota Piel Clayton Café</t>
        </is>
      </c>
      <c r="J1860" s="156" t="inlineStr">
        <is>
          <t>Calzado</t>
        </is>
      </c>
      <c r="K1860" s="156" t="inlineStr">
        <is>
          <t>Botas</t>
        </is>
      </c>
      <c r="L1860" s="156" t="inlineStr">
        <is>
          <t>Hombre</t>
        </is>
      </c>
      <c r="M1860" s="156" t="inlineStr">
        <is>
          <t>Stetson</t>
        </is>
      </c>
      <c r="N1860" s="156" t="inlineStr">
        <is>
          <t>SS26</t>
        </is>
      </c>
      <c r="O1860" s="156" t="n"/>
      <c r="P1860" s="156" t="inlineStr">
        <is>
          <t>Cafe</t>
        </is>
      </c>
      <c r="Q1860" s="156" t="n"/>
      <c r="R1860" s="156" t="inlineStr">
        <is>
          <t>Horma Agatha</t>
        </is>
      </c>
      <c r="S1860" s="156" t="inlineStr">
        <is>
          <t>Piel bovina</t>
        </is>
      </c>
      <c r="T1860" s="156" t="inlineStr">
        <is>
          <t>Bota Dama Piel bovina Clayton Café Horma Agatha</t>
        </is>
      </c>
      <c r="U1860" s="156" t="n"/>
      <c r="V1860" s="156" t="inlineStr">
        <is>
          <t>PRS</t>
        </is>
      </c>
      <c r="W1860" s="51" t="inlineStr">
        <is>
          <t>53111501</t>
        </is>
      </c>
      <c r="X1860" s="156" t="n"/>
      <c r="Y1860" s="54" t="n"/>
      <c r="Z1860" s="54" t="n">
        <v>4900</v>
      </c>
      <c r="AA1860" s="55">
        <f>IF(AND(A1860="", B1860="", E1860=""), "", IF(AB1860="", "Válido", IF((LEN(AB1860)-LEN(SUBSTITUTE(AB1860,"; ","")))/2+1&gt;(LEN(AB1860)-LEN(SUBSTITUTE(AB1860,"[Aviso]","")))/7, "Con Incidencias", "Válido")))</f>
        <v/>
      </c>
      <c r="AB1860" s="56">
        <f>IF(AND(A1860="", B1860="", E1860=""), "", TEXTJOIN("; ", TRUE, IF(OR(TRIM(A1860&amp;"")="", ISNUMBER(SEARCH("FALTA", A1860))), "UPC faltante/inválido", ""), IF(AND(A1860&lt;&gt;"", IFERROR(_xlfn.XMATCH(A1860,$A$2:$A$2509,0,1)&lt;&gt;_xlfn.XMATCH(A1860,$A$2:$A$2509,0,-1),FALSE)), "Código de barras duplicado", ""), IF(AND(E1860&lt;&gt;"", COUNTIF($E$2:$E$2509, E1860)&gt;1), "SKU duplicado", ""), IF(OR(J1860="", J1860=""), "[Aviso] División no capturada ()", IF(ISNA(MATCH(J1860, Criterios!$A$123:$A$126, 0)), "División no válida", "")), IF(OR(K1860="", K1860=""), "[Aviso] Categoría no capturada ()", IF(ISNA(MATCH(K1860, Criterios!$A$81:$A$120, 0)), "Categoría no válida", IF(AND(J1860&lt;&gt;"", J1860&lt;&gt;"", J1860&lt;&gt;VLOOKUP(K1860, Criterios!$A$81:$B$120, 2, FALSE)), "División no coincide con Categoría", ""))), IF(OR(L1860="", L1860=""), "[Aviso] Género no capturado ()", IF(ISNA(MATCH(L1860, Criterios!$B$123:$B$127, 0)), "Género no válido", "")), IF(OR(N1860="", N1860=""), "[Aviso] Temporada no capturada ()", IF(ISNA(MATCH(N1860, Criterios!$C$123:$C$128, 0)), "Temporada no válida", "")), IF(OR(O1860="", O1860=""), "[Aviso] Ciclo de vida no capturado ()", IF(ISNA(MATCH(O1860, Criterios!$D$123:$D$124, 0)), "Ciclo de vida no válido", ""))))</f>
        <v/>
      </c>
      <c r="AC1860" s="56" t="n"/>
      <c r="AD1860" s="51" t="n">
        <v>0</v>
      </c>
      <c r="AE1860" s="156" t="inlineStr">
        <is>
          <t>Sin coincidencia en NetSuite</t>
        </is>
      </c>
      <c r="AF1860" s="51" t="n"/>
      <c r="AG1860" s="156" t="inlineStr">
        <is>
          <t>Catálogo existente</t>
        </is>
      </c>
      <c r="AH1860"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0" s="156" t="n"/>
      <c r="AJ1860" s="156" t="n"/>
      <c r="AK1860" s="155" t="inlineStr">
        <is>
          <t>Shopify Stetson: producto 15054564753771 / variante 53350557450603</t>
        </is>
      </c>
      <c r="AL1860" s="58" t="n"/>
      <c r="AM1860" s="58" t="n">
        <v>4900</v>
      </c>
      <c r="AN1860" s="155" t="inlineStr">
        <is>
          <t>Shopify Stetson México</t>
        </is>
      </c>
      <c r="AO1860" s="59" t="n">
        <v>0</v>
      </c>
      <c r="AP1860" s="59" t="n"/>
      <c r="AQ1860" s="59" t="n"/>
      <c r="AR1860" s="155" t="n"/>
    </row>
    <row r="1861">
      <c r="A1861" s="50" t="inlineStr">
        <is>
          <t>12020004121030027</t>
        </is>
      </c>
      <c r="B1861" s="51" t="n"/>
      <c r="C1861" s="156" t="inlineStr">
        <is>
          <t>Multimarca</t>
        </is>
      </c>
      <c r="D1861" s="156" t="inlineStr">
        <is>
          <t>12-020-BS004-12-1030</t>
        </is>
      </c>
      <c r="E1861" s="156" t="inlineStr">
        <is>
          <t>12-020-BS004-12-1030-027</t>
        </is>
      </c>
      <c r="F1861" s="156" t="inlineStr">
        <is>
          <t>27</t>
        </is>
      </c>
      <c r="G1861" s="156" t="inlineStr">
        <is>
          <t>9</t>
        </is>
      </c>
      <c r="H1861" s="156" t="inlineStr">
        <is>
          <t>Stetson</t>
        </is>
      </c>
      <c r="I1861" s="156" t="inlineStr">
        <is>
          <t>Bota Piel Clayton Café</t>
        </is>
      </c>
      <c r="J1861" s="156" t="inlineStr">
        <is>
          <t>Calzado</t>
        </is>
      </c>
      <c r="K1861" s="156" t="inlineStr">
        <is>
          <t>Botas</t>
        </is>
      </c>
      <c r="L1861" s="156" t="inlineStr">
        <is>
          <t>Hombre</t>
        </is>
      </c>
      <c r="M1861" s="156" t="inlineStr">
        <is>
          <t>Stetson</t>
        </is>
      </c>
      <c r="N1861" s="156" t="inlineStr">
        <is>
          <t>SS26</t>
        </is>
      </c>
      <c r="O1861" s="156" t="n"/>
      <c r="P1861" s="156" t="inlineStr">
        <is>
          <t>Cafe</t>
        </is>
      </c>
      <c r="Q1861" s="156" t="n"/>
      <c r="R1861" s="156" t="inlineStr">
        <is>
          <t>Horma Agatha</t>
        </is>
      </c>
      <c r="S1861" s="156" t="inlineStr">
        <is>
          <t>Piel bovina</t>
        </is>
      </c>
      <c r="T1861" s="156" t="inlineStr">
        <is>
          <t>Bota Dama Piel bovina Clayton Café Horma Agatha</t>
        </is>
      </c>
      <c r="U1861" s="156" t="n"/>
      <c r="V1861" s="156" t="inlineStr">
        <is>
          <t>PRS</t>
        </is>
      </c>
      <c r="W1861" s="51" t="inlineStr">
        <is>
          <t>53111501</t>
        </is>
      </c>
      <c r="X1861" s="156" t="n"/>
      <c r="Y1861" s="54" t="n"/>
      <c r="Z1861" s="54" t="n">
        <v>4900</v>
      </c>
      <c r="AA1861" s="55">
        <f>IF(AND(A1861="", B1861="", E1861=""), "", IF(AB1861="", "Válido", IF((LEN(AB1861)-LEN(SUBSTITUTE(AB1861,"; ","")))/2+1&gt;(LEN(AB1861)-LEN(SUBSTITUTE(AB1861,"[Aviso]","")))/7, "Con Incidencias", "Válido")))</f>
        <v/>
      </c>
      <c r="AB1861" s="56">
        <f>IF(AND(A1861="", B1861="", E1861=""), "", TEXTJOIN("; ", TRUE, IF(OR(TRIM(A1861&amp;"")="", ISNUMBER(SEARCH("FALTA", A1861))), "UPC faltante/inválido", ""), IF(AND(A1861&lt;&gt;"", IFERROR(_xlfn.XMATCH(A1861,$A$2:$A$2509,0,1)&lt;&gt;_xlfn.XMATCH(A1861,$A$2:$A$2509,0,-1),FALSE)), "Código de barras duplicado", ""), IF(AND(E1861&lt;&gt;"", COUNTIF($E$2:$E$2509, E1861)&gt;1), "SKU duplicado", ""), IF(OR(J1861="", J1861=""), "[Aviso] División no capturada ()", IF(ISNA(MATCH(J1861, Criterios!$A$123:$A$126, 0)), "División no válida", "")), IF(OR(K1861="", K1861=""), "[Aviso] Categoría no capturada ()", IF(ISNA(MATCH(K1861, Criterios!$A$81:$A$120, 0)), "Categoría no válida", IF(AND(J1861&lt;&gt;"", J1861&lt;&gt;"", J1861&lt;&gt;VLOOKUP(K1861, Criterios!$A$81:$B$120, 2, FALSE)), "División no coincide con Categoría", ""))), IF(OR(L1861="", L1861=""), "[Aviso] Género no capturado ()", IF(ISNA(MATCH(L1861, Criterios!$B$123:$B$127, 0)), "Género no válido", "")), IF(OR(N1861="", N1861=""), "[Aviso] Temporada no capturada ()", IF(ISNA(MATCH(N1861, Criterios!$C$123:$C$128, 0)), "Temporada no válida", "")), IF(OR(O1861="", O1861=""), "[Aviso] Ciclo de vida no capturado ()", IF(ISNA(MATCH(O1861, Criterios!$D$123:$D$124, 0)), "Ciclo de vida no válido", ""))))</f>
        <v/>
      </c>
      <c r="AC1861" s="56" t="n"/>
      <c r="AD1861" s="51" t="n">
        <v>0</v>
      </c>
      <c r="AE1861" s="156" t="inlineStr">
        <is>
          <t>Sin coincidencia en NetSuite</t>
        </is>
      </c>
      <c r="AF1861" s="51" t="n"/>
      <c r="AG1861" s="156" t="inlineStr">
        <is>
          <t>Catálogo existente</t>
        </is>
      </c>
      <c r="AH1861"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1" s="156" t="n"/>
      <c r="AJ1861" s="156" t="n"/>
      <c r="AK1861" s="155" t="inlineStr">
        <is>
          <t>Shopify Stetson: producto 15054564753771 / variante 53350557516139</t>
        </is>
      </c>
      <c r="AL1861" s="58" t="n"/>
      <c r="AM1861" s="58" t="n">
        <v>4900</v>
      </c>
      <c r="AN1861" s="155" t="inlineStr">
        <is>
          <t>Shopify Stetson México</t>
        </is>
      </c>
      <c r="AO1861" s="59" t="n">
        <v>0</v>
      </c>
      <c r="AP1861" s="59" t="n"/>
      <c r="AQ1861" s="59" t="n"/>
      <c r="AR1861" s="155" t="n"/>
    </row>
    <row r="1862">
      <c r="A1862" s="50" t="inlineStr">
        <is>
          <t>12020004121030255</t>
        </is>
      </c>
      <c r="B1862" s="51" t="n"/>
      <c r="C1862" s="156" t="inlineStr">
        <is>
          <t>Multimarca</t>
        </is>
      </c>
      <c r="D1862" s="156" t="inlineStr">
        <is>
          <t>12-020-BS004-12-1030</t>
        </is>
      </c>
      <c r="E1862" s="156" t="inlineStr">
        <is>
          <t>12-020-BS004-12-1030-255</t>
        </is>
      </c>
      <c r="F1862" s="156" t="inlineStr">
        <is>
          <t>25.5</t>
        </is>
      </c>
      <c r="G1862" s="156" t="inlineStr">
        <is>
          <t>7.5</t>
        </is>
      </c>
      <c r="H1862" s="156" t="inlineStr">
        <is>
          <t>Stetson</t>
        </is>
      </c>
      <c r="I1862" s="156" t="inlineStr">
        <is>
          <t>Bota Piel Clayton Café</t>
        </is>
      </c>
      <c r="J1862" s="156" t="inlineStr">
        <is>
          <t>Calzado</t>
        </is>
      </c>
      <c r="K1862" s="156" t="inlineStr">
        <is>
          <t>Botas</t>
        </is>
      </c>
      <c r="L1862" s="156" t="inlineStr">
        <is>
          <t>Hombre</t>
        </is>
      </c>
      <c r="M1862" s="156" t="inlineStr">
        <is>
          <t>Stetson</t>
        </is>
      </c>
      <c r="N1862" s="156" t="inlineStr">
        <is>
          <t>SS26</t>
        </is>
      </c>
      <c r="O1862" s="156" t="n"/>
      <c r="P1862" s="156" t="inlineStr">
        <is>
          <t>Cafe</t>
        </is>
      </c>
      <c r="Q1862" s="156" t="n"/>
      <c r="R1862" s="156" t="inlineStr">
        <is>
          <t>Horma Agatha</t>
        </is>
      </c>
      <c r="S1862" s="156" t="inlineStr">
        <is>
          <t>Piel bovina</t>
        </is>
      </c>
      <c r="T1862" s="156" t="inlineStr">
        <is>
          <t>Bota Dama Piel bovina Clayton Café Horma Agatha</t>
        </is>
      </c>
      <c r="U1862" s="156" t="n"/>
      <c r="V1862" s="156" t="inlineStr">
        <is>
          <t>PRS</t>
        </is>
      </c>
      <c r="W1862" s="51" t="inlineStr">
        <is>
          <t>53111501</t>
        </is>
      </c>
      <c r="X1862" s="156" t="n"/>
      <c r="Y1862" s="54" t="n"/>
      <c r="Z1862" s="54" t="n">
        <v>4900</v>
      </c>
      <c r="AA1862" s="55">
        <f>IF(AND(A1862="", B1862="", E1862=""), "", IF(AB1862="", "Válido", IF((LEN(AB1862)-LEN(SUBSTITUTE(AB1862,"; ","")))/2+1&gt;(LEN(AB1862)-LEN(SUBSTITUTE(AB1862,"[Aviso]","")))/7, "Con Incidencias", "Válido")))</f>
        <v/>
      </c>
      <c r="AB1862" s="56">
        <f>IF(AND(A1862="", B1862="", E1862=""), "", TEXTJOIN("; ", TRUE, IF(OR(TRIM(A1862&amp;"")="", ISNUMBER(SEARCH("FALTA", A1862))), "UPC faltante/inválido", ""), IF(AND(A1862&lt;&gt;"", IFERROR(_xlfn.XMATCH(A1862,$A$2:$A$2509,0,1)&lt;&gt;_xlfn.XMATCH(A1862,$A$2:$A$2509,0,-1),FALSE)), "Código de barras duplicado", ""), IF(AND(E1862&lt;&gt;"", COUNTIF($E$2:$E$2509, E1862)&gt;1), "SKU duplicado", ""), IF(OR(J1862="", J1862=""), "[Aviso] División no capturada ()", IF(ISNA(MATCH(J1862, Criterios!$A$123:$A$126, 0)), "División no válida", "")), IF(OR(K1862="", K1862=""), "[Aviso] Categoría no capturada ()", IF(ISNA(MATCH(K1862, Criterios!$A$81:$A$120, 0)), "Categoría no válida", IF(AND(J1862&lt;&gt;"", J1862&lt;&gt;"", J1862&lt;&gt;VLOOKUP(K1862, Criterios!$A$81:$B$120, 2, FALSE)), "División no coincide con Categoría", ""))), IF(OR(L1862="", L1862=""), "[Aviso] Género no capturado ()", IF(ISNA(MATCH(L1862, Criterios!$B$123:$B$127, 0)), "Género no válido", "")), IF(OR(N1862="", N1862=""), "[Aviso] Temporada no capturada ()", IF(ISNA(MATCH(N1862, Criterios!$C$123:$C$128, 0)), "Temporada no válida", "")), IF(OR(O1862="", O1862=""), "[Aviso] Ciclo de vida no capturado ()", IF(ISNA(MATCH(O1862, Criterios!$D$123:$D$124, 0)), "Ciclo de vida no válido", ""))))</f>
        <v/>
      </c>
      <c r="AC1862" s="56" t="n"/>
      <c r="AD1862" s="51" t="n">
        <v>0</v>
      </c>
      <c r="AE1862" s="156" t="inlineStr">
        <is>
          <t>Sin coincidencia en NetSuite</t>
        </is>
      </c>
      <c r="AF1862" s="51" t="n"/>
      <c r="AG1862" s="156" t="inlineStr">
        <is>
          <t>Catálogo existente</t>
        </is>
      </c>
      <c r="AH1862"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2" s="156" t="n"/>
      <c r="AJ1862" s="156" t="n"/>
      <c r="AK1862" s="155" t="inlineStr">
        <is>
          <t>Shopify Stetson: producto 15054564753771 / variante 53350557417835</t>
        </is>
      </c>
      <c r="AL1862" s="58" t="n"/>
      <c r="AM1862" s="58" t="n">
        <v>4900</v>
      </c>
      <c r="AN1862" s="155" t="inlineStr">
        <is>
          <t>Shopify Stetson México</t>
        </is>
      </c>
      <c r="AO1862" s="59" t="n">
        <v>1</v>
      </c>
      <c r="AP1862" s="59" t="n"/>
      <c r="AQ1862" s="59" t="n"/>
      <c r="AR1862" s="155" t="inlineStr">
        <is>
          <t>Shopify Stetson México › Stetson Americas: 1</t>
        </is>
      </c>
    </row>
    <row r="1863">
      <c r="A1863" s="50" t="inlineStr">
        <is>
          <t>12020004121030265</t>
        </is>
      </c>
      <c r="B1863" s="51" t="n"/>
      <c r="C1863" s="156" t="inlineStr">
        <is>
          <t>Multimarca</t>
        </is>
      </c>
      <c r="D1863" s="156" t="inlineStr">
        <is>
          <t>12-020-BS004-12-1030</t>
        </is>
      </c>
      <c r="E1863" s="156" t="inlineStr">
        <is>
          <t>12-020-BS004-12-1030-265</t>
        </is>
      </c>
      <c r="F1863" s="156" t="inlineStr">
        <is>
          <t>26.5</t>
        </is>
      </c>
      <c r="G1863" s="156" t="inlineStr">
        <is>
          <t>8.5</t>
        </is>
      </c>
      <c r="H1863" s="156" t="inlineStr">
        <is>
          <t>Stetson</t>
        </is>
      </c>
      <c r="I1863" s="156" t="inlineStr">
        <is>
          <t>Bota Piel Clayton Café</t>
        </is>
      </c>
      <c r="J1863" s="156" t="inlineStr">
        <is>
          <t>Calzado</t>
        </is>
      </c>
      <c r="K1863" s="156" t="inlineStr">
        <is>
          <t>Botas</t>
        </is>
      </c>
      <c r="L1863" s="156" t="inlineStr">
        <is>
          <t>Hombre</t>
        </is>
      </c>
      <c r="M1863" s="156" t="inlineStr">
        <is>
          <t>Stetson</t>
        </is>
      </c>
      <c r="N1863" s="156" t="inlineStr">
        <is>
          <t>SS26</t>
        </is>
      </c>
      <c r="O1863" s="156" t="n"/>
      <c r="P1863" s="156" t="inlineStr">
        <is>
          <t>Cafe</t>
        </is>
      </c>
      <c r="Q1863" s="156" t="n"/>
      <c r="R1863" s="156" t="inlineStr">
        <is>
          <t>Horma Agatha</t>
        </is>
      </c>
      <c r="S1863" s="156" t="inlineStr">
        <is>
          <t>Piel bovina</t>
        </is>
      </c>
      <c r="T1863" s="156" t="inlineStr">
        <is>
          <t>Bota Dama Piel bovina Clayton Café Horma Agatha</t>
        </is>
      </c>
      <c r="U1863" s="156" t="n"/>
      <c r="V1863" s="156" t="inlineStr">
        <is>
          <t>PRS</t>
        </is>
      </c>
      <c r="W1863" s="51" t="inlineStr">
        <is>
          <t>53111501</t>
        </is>
      </c>
      <c r="X1863" s="156" t="n"/>
      <c r="Y1863" s="54" t="n"/>
      <c r="Z1863" s="54" t="n">
        <v>4900</v>
      </c>
      <c r="AA1863" s="55">
        <f>IF(AND(A1863="", B1863="", E1863=""), "", IF(AB1863="", "Válido", IF((LEN(AB1863)-LEN(SUBSTITUTE(AB1863,"; ","")))/2+1&gt;(LEN(AB1863)-LEN(SUBSTITUTE(AB1863,"[Aviso]","")))/7, "Con Incidencias", "Válido")))</f>
        <v/>
      </c>
      <c r="AB1863" s="56">
        <f>IF(AND(A1863="", B1863="", E1863=""), "", TEXTJOIN("; ", TRUE, IF(OR(TRIM(A1863&amp;"")="", ISNUMBER(SEARCH("FALTA", A1863))), "UPC faltante/inválido", ""), IF(AND(A1863&lt;&gt;"", IFERROR(_xlfn.XMATCH(A1863,$A$2:$A$2509,0,1)&lt;&gt;_xlfn.XMATCH(A1863,$A$2:$A$2509,0,-1),FALSE)), "Código de barras duplicado", ""), IF(AND(E1863&lt;&gt;"", COUNTIF($E$2:$E$2509, E1863)&gt;1), "SKU duplicado", ""), IF(OR(J1863="", J1863=""), "[Aviso] División no capturada ()", IF(ISNA(MATCH(J1863, Criterios!$A$123:$A$126, 0)), "División no válida", "")), IF(OR(K1863="", K1863=""), "[Aviso] Categoría no capturada ()", IF(ISNA(MATCH(K1863, Criterios!$A$81:$A$120, 0)), "Categoría no válida", IF(AND(J1863&lt;&gt;"", J1863&lt;&gt;"", J1863&lt;&gt;VLOOKUP(K1863, Criterios!$A$81:$B$120, 2, FALSE)), "División no coincide con Categoría", ""))), IF(OR(L1863="", L1863=""), "[Aviso] Género no capturado ()", IF(ISNA(MATCH(L1863, Criterios!$B$123:$B$127, 0)), "Género no válido", "")), IF(OR(N1863="", N1863=""), "[Aviso] Temporada no capturada ()", IF(ISNA(MATCH(N1863, Criterios!$C$123:$C$128, 0)), "Temporada no válida", "")), IF(OR(O1863="", O1863=""), "[Aviso] Ciclo de vida no capturado ()", IF(ISNA(MATCH(O1863, Criterios!$D$123:$D$124, 0)), "Ciclo de vida no válido", ""))))</f>
        <v/>
      </c>
      <c r="AC1863" s="56" t="n"/>
      <c r="AD1863" s="51" t="n">
        <v>0</v>
      </c>
      <c r="AE1863" s="156" t="inlineStr">
        <is>
          <t>Sin coincidencia en NetSuite</t>
        </is>
      </c>
      <c r="AF1863" s="51" t="n"/>
      <c r="AG1863" s="156" t="inlineStr">
        <is>
          <t>Catálogo existente</t>
        </is>
      </c>
      <c r="AH1863"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3" s="156" t="n"/>
      <c r="AJ1863" s="156" t="n"/>
      <c r="AK1863" s="155" t="inlineStr">
        <is>
          <t>Shopify Stetson: producto 15054564753771 / variante 53350557483371</t>
        </is>
      </c>
      <c r="AL1863" s="58" t="n"/>
      <c r="AM1863" s="58" t="n">
        <v>4900</v>
      </c>
      <c r="AN1863" s="155" t="inlineStr">
        <is>
          <t>Shopify Stetson México</t>
        </is>
      </c>
      <c r="AO1863" s="59" t="n">
        <v>0</v>
      </c>
      <c r="AP1863" s="59" t="n"/>
      <c r="AQ1863" s="59" t="n"/>
      <c r="AR1863" s="155" t="n"/>
    </row>
    <row r="1864">
      <c r="A1864" s="50" t="inlineStr">
        <is>
          <t>12020004121030275</t>
        </is>
      </c>
      <c r="B1864" s="51" t="n"/>
      <c r="C1864" s="156" t="inlineStr">
        <is>
          <t>Multimarca</t>
        </is>
      </c>
      <c r="D1864" s="156" t="inlineStr">
        <is>
          <t>12-020-BS004-12-1030</t>
        </is>
      </c>
      <c r="E1864" s="156" t="inlineStr">
        <is>
          <t>12-020-BS004-12-1030-275</t>
        </is>
      </c>
      <c r="F1864" s="156" t="inlineStr">
        <is>
          <t>27.5</t>
        </is>
      </c>
      <c r="G1864" s="156" t="inlineStr">
        <is>
          <t>9.5</t>
        </is>
      </c>
      <c r="H1864" s="156" t="inlineStr">
        <is>
          <t>Stetson</t>
        </is>
      </c>
      <c r="I1864" s="156" t="inlineStr">
        <is>
          <t>Bota Piel Clayton Café</t>
        </is>
      </c>
      <c r="J1864" s="156" t="inlineStr">
        <is>
          <t>Calzado</t>
        </is>
      </c>
      <c r="K1864" s="156" t="inlineStr">
        <is>
          <t>Botas</t>
        </is>
      </c>
      <c r="L1864" s="156" t="inlineStr">
        <is>
          <t>Hombre</t>
        </is>
      </c>
      <c r="M1864" s="156" t="inlineStr">
        <is>
          <t>Stetson</t>
        </is>
      </c>
      <c r="N1864" s="156" t="inlineStr">
        <is>
          <t>SS26</t>
        </is>
      </c>
      <c r="O1864" s="156" t="n"/>
      <c r="P1864" s="156" t="inlineStr">
        <is>
          <t>Cafe</t>
        </is>
      </c>
      <c r="Q1864" s="156" t="n"/>
      <c r="R1864" s="156" t="inlineStr">
        <is>
          <t>Horma Agatha</t>
        </is>
      </c>
      <c r="S1864" s="156" t="inlineStr">
        <is>
          <t>Piel bovina</t>
        </is>
      </c>
      <c r="T1864" s="156" t="inlineStr">
        <is>
          <t>Bota Dama Piel bovina Clayton Café Horma Agatha</t>
        </is>
      </c>
      <c r="U1864" s="156" t="n"/>
      <c r="V1864" s="156" t="inlineStr">
        <is>
          <t>PRS</t>
        </is>
      </c>
      <c r="W1864" s="51" t="inlineStr">
        <is>
          <t>53111501</t>
        </is>
      </c>
      <c r="X1864" s="156" t="n"/>
      <c r="Y1864" s="54" t="n"/>
      <c r="Z1864" s="54" t="n">
        <v>4900</v>
      </c>
      <c r="AA1864" s="55">
        <f>IF(AND(A1864="", B1864="", E1864=""), "", IF(AB1864="", "Válido", IF((LEN(AB1864)-LEN(SUBSTITUTE(AB1864,"; ","")))/2+1&gt;(LEN(AB1864)-LEN(SUBSTITUTE(AB1864,"[Aviso]","")))/7, "Con Incidencias", "Válido")))</f>
        <v/>
      </c>
      <c r="AB1864" s="56">
        <f>IF(AND(A1864="", B1864="", E1864=""), "", TEXTJOIN("; ", TRUE, IF(OR(TRIM(A1864&amp;"")="", ISNUMBER(SEARCH("FALTA", A1864))), "UPC faltante/inválido", ""), IF(AND(A1864&lt;&gt;"", IFERROR(_xlfn.XMATCH(A1864,$A$2:$A$2509,0,1)&lt;&gt;_xlfn.XMATCH(A1864,$A$2:$A$2509,0,-1),FALSE)), "Código de barras duplicado", ""), IF(AND(E1864&lt;&gt;"", COUNTIF($E$2:$E$2509, E1864)&gt;1), "SKU duplicado", ""), IF(OR(J1864="", J1864=""), "[Aviso] División no capturada ()", IF(ISNA(MATCH(J1864, Criterios!$A$123:$A$126, 0)), "División no válida", "")), IF(OR(K1864="", K1864=""), "[Aviso] Categoría no capturada ()", IF(ISNA(MATCH(K1864, Criterios!$A$81:$A$120, 0)), "Categoría no válida", IF(AND(J1864&lt;&gt;"", J1864&lt;&gt;"", J1864&lt;&gt;VLOOKUP(K1864, Criterios!$A$81:$B$120, 2, FALSE)), "División no coincide con Categoría", ""))), IF(OR(L1864="", L1864=""), "[Aviso] Género no capturado ()", IF(ISNA(MATCH(L1864, Criterios!$B$123:$B$127, 0)), "Género no válido", "")), IF(OR(N1864="", N1864=""), "[Aviso] Temporada no capturada ()", IF(ISNA(MATCH(N1864, Criterios!$C$123:$C$128, 0)), "Temporada no válida", "")), IF(OR(O1864="", O1864=""), "[Aviso] Ciclo de vida no capturado ()", IF(ISNA(MATCH(O1864, Criterios!$D$123:$D$124, 0)), "Ciclo de vida no válido", ""))))</f>
        <v/>
      </c>
      <c r="AC1864" s="56" t="n"/>
      <c r="AD1864" s="51" t="n">
        <v>0</v>
      </c>
      <c r="AE1864" s="156" t="inlineStr">
        <is>
          <t>Sin coincidencia en NetSuite</t>
        </is>
      </c>
      <c r="AF1864" s="51" t="n"/>
      <c r="AG1864" s="156" t="inlineStr">
        <is>
          <t>Catálogo existente</t>
        </is>
      </c>
      <c r="AH1864"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4" s="156" t="n"/>
      <c r="AJ1864" s="156" t="n"/>
      <c r="AK1864" s="155" t="inlineStr">
        <is>
          <t>Shopify Stetson: producto 15054564753771 / variante 53350557548907</t>
        </is>
      </c>
      <c r="AL1864" s="58" t="n"/>
      <c r="AM1864" s="58" t="n">
        <v>4900</v>
      </c>
      <c r="AN1864" s="155" t="inlineStr">
        <is>
          <t>Shopify Stetson México</t>
        </is>
      </c>
      <c r="AO1864" s="59" t="n">
        <v>0</v>
      </c>
      <c r="AP1864" s="59" t="n"/>
      <c r="AQ1864" s="59" t="n"/>
      <c r="AR1864" s="155" t="n"/>
    </row>
    <row r="1865">
      <c r="A1865" s="50" t="inlineStr">
        <is>
          <t>12020004121031026</t>
        </is>
      </c>
      <c r="B1865" s="51" t="n"/>
      <c r="C1865" s="156" t="inlineStr">
        <is>
          <t>Multimarca</t>
        </is>
      </c>
      <c r="D1865" s="156" t="inlineStr">
        <is>
          <t>12-020-BS004-12-1031</t>
        </is>
      </c>
      <c r="E1865" s="156" t="inlineStr">
        <is>
          <t>12-020-BS004-12-1031-026</t>
        </is>
      </c>
      <c r="F1865" s="156" t="inlineStr">
        <is>
          <t>26</t>
        </is>
      </c>
      <c r="G1865" s="156" t="inlineStr">
        <is>
          <t>9</t>
        </is>
      </c>
      <c r="H1865" s="156" t="inlineStr">
        <is>
          <t>Stetson</t>
        </is>
      </c>
      <c r="I1865" s="156" t="inlineStr">
        <is>
          <t>Bota Dama Piel Clayton Negro Horma Agatha</t>
        </is>
      </c>
      <c r="J1865" s="156" t="inlineStr">
        <is>
          <t>Calzado</t>
        </is>
      </c>
      <c r="K1865" s="156" t="inlineStr">
        <is>
          <t>Botas</t>
        </is>
      </c>
      <c r="L1865" s="156" t="inlineStr">
        <is>
          <t>Mujer</t>
        </is>
      </c>
      <c r="M1865" s="156" t="inlineStr">
        <is>
          <t>Stetson</t>
        </is>
      </c>
      <c r="N1865" s="156" t="inlineStr">
        <is>
          <t>SS26</t>
        </is>
      </c>
      <c r="O1865" s="156" t="n"/>
      <c r="P1865" s="156" t="inlineStr">
        <is>
          <t>Negro</t>
        </is>
      </c>
      <c r="Q1865" s="156" t="n"/>
      <c r="R1865" s="156" t="inlineStr">
        <is>
          <t>Horma Agatha</t>
        </is>
      </c>
      <c r="S1865" s="156" t="inlineStr">
        <is>
          <t>Piel bovina</t>
        </is>
      </c>
      <c r="T1865" s="156" t="inlineStr">
        <is>
          <t>Bota Dama Piel bovina Clayton Negro Horma Agatha</t>
        </is>
      </c>
      <c r="U1865" s="156" t="n"/>
      <c r="V1865" s="156" t="inlineStr">
        <is>
          <t>PRS</t>
        </is>
      </c>
      <c r="W1865" s="51" t="inlineStr">
        <is>
          <t>53111502</t>
        </is>
      </c>
      <c r="X1865" s="156" t="n"/>
      <c r="Y1865" s="54" t="n"/>
      <c r="Z1865" s="54" t="n">
        <v>4900</v>
      </c>
      <c r="AA1865" s="55">
        <f>IF(AND(A1865="", B1865="", E1865=""), "", IF(AB1865="", "Válido", IF((LEN(AB1865)-LEN(SUBSTITUTE(AB1865,"; ","")))/2+1&gt;(LEN(AB1865)-LEN(SUBSTITUTE(AB1865,"[Aviso]","")))/7, "Con Incidencias", "Válido")))</f>
        <v/>
      </c>
      <c r="AB1865" s="56">
        <f>IF(AND(A1865="", B1865="", E1865=""), "", TEXTJOIN("; ", TRUE, IF(OR(TRIM(A1865&amp;"")="", ISNUMBER(SEARCH("FALTA", A1865))), "UPC faltante/inválido", ""), IF(AND(A1865&lt;&gt;"", IFERROR(_xlfn.XMATCH(A1865,$A$2:$A$2509,0,1)&lt;&gt;_xlfn.XMATCH(A1865,$A$2:$A$2509,0,-1),FALSE)), "Código de barras duplicado", ""), IF(AND(E1865&lt;&gt;"", COUNTIF($E$2:$E$2509, E1865)&gt;1), "SKU duplicado", ""), IF(OR(J1865="", J1865=""), "[Aviso] División no capturada ()", IF(ISNA(MATCH(J1865, Criterios!$A$123:$A$126, 0)), "División no válida", "")), IF(OR(K1865="", K1865=""), "[Aviso] Categoría no capturada ()", IF(ISNA(MATCH(K1865, Criterios!$A$81:$A$120, 0)), "Categoría no válida", IF(AND(J1865&lt;&gt;"", J1865&lt;&gt;"", J1865&lt;&gt;VLOOKUP(K1865, Criterios!$A$81:$B$120, 2, FALSE)), "División no coincide con Categoría", ""))), IF(OR(L1865="", L1865=""), "[Aviso] Género no capturado ()", IF(ISNA(MATCH(L1865, Criterios!$B$123:$B$127, 0)), "Género no válido", "")), IF(OR(N1865="", N1865=""), "[Aviso] Temporada no capturada ()", IF(ISNA(MATCH(N1865, Criterios!$C$123:$C$128, 0)), "Temporada no válida", "")), IF(OR(O1865="", O1865=""), "[Aviso] Ciclo de vida no capturado ()", IF(ISNA(MATCH(O1865, Criterios!$D$123:$D$124, 0)), "Ciclo de vida no válido", ""))))</f>
        <v/>
      </c>
      <c r="AC1865" s="56" t="n"/>
      <c r="AD1865" s="51" t="n">
        <v>0</v>
      </c>
      <c r="AE1865" s="156" t="inlineStr">
        <is>
          <t>Sin coincidencia en NetSuite</t>
        </is>
      </c>
      <c r="AF1865" s="51" t="n"/>
      <c r="AG1865" s="156" t="inlineStr">
        <is>
          <t>Catálogo existente</t>
        </is>
      </c>
      <c r="AH186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5" s="156" t="n"/>
      <c r="AJ1865" s="156" t="n"/>
      <c r="AK1865" s="155" t="inlineStr">
        <is>
          <t>Shopify Stetson: producto 15054564786539 / variante 53350557909355</t>
        </is>
      </c>
      <c r="AL1865" s="58" t="n"/>
      <c r="AM1865" s="58" t="n">
        <v>4900</v>
      </c>
      <c r="AN1865" s="155" t="inlineStr">
        <is>
          <t>Shopify Stetson México</t>
        </is>
      </c>
      <c r="AO1865" s="59" t="n">
        <v>0</v>
      </c>
      <c r="AP1865" s="59" t="n"/>
      <c r="AQ1865" s="59" t="n"/>
      <c r="AR1865" s="155" t="n"/>
    </row>
    <row r="1866">
      <c r="A1866" s="50" t="inlineStr">
        <is>
          <t>12020004121031027</t>
        </is>
      </c>
      <c r="B1866" s="51" t="n"/>
      <c r="C1866" s="156" t="inlineStr">
        <is>
          <t>Multimarca</t>
        </is>
      </c>
      <c r="D1866" s="156" t="inlineStr">
        <is>
          <t>12-020-BS004-12-1031</t>
        </is>
      </c>
      <c r="E1866" s="156" t="inlineStr">
        <is>
          <t>12-020-BS004-12-1031-027</t>
        </is>
      </c>
      <c r="F1866" s="156" t="inlineStr">
        <is>
          <t>27</t>
        </is>
      </c>
      <c r="G1866" s="156" t="inlineStr">
        <is>
          <t>10</t>
        </is>
      </c>
      <c r="H1866" s="156" t="inlineStr">
        <is>
          <t>Stetson</t>
        </is>
      </c>
      <c r="I1866" s="156" t="inlineStr">
        <is>
          <t>Bota Dama Piel Clayton Negro Horma Agatha</t>
        </is>
      </c>
      <c r="J1866" s="156" t="inlineStr">
        <is>
          <t>Calzado</t>
        </is>
      </c>
      <c r="K1866" s="156" t="inlineStr">
        <is>
          <t>Botas</t>
        </is>
      </c>
      <c r="L1866" s="156" t="inlineStr">
        <is>
          <t>Mujer</t>
        </is>
      </c>
      <c r="M1866" s="156" t="inlineStr">
        <is>
          <t>Stetson</t>
        </is>
      </c>
      <c r="N1866" s="156" t="inlineStr">
        <is>
          <t>SS26</t>
        </is>
      </c>
      <c r="O1866" s="156" t="n"/>
      <c r="P1866" s="156" t="inlineStr">
        <is>
          <t>Negro</t>
        </is>
      </c>
      <c r="Q1866" s="156" t="n"/>
      <c r="R1866" s="156" t="inlineStr">
        <is>
          <t>Horma Agatha</t>
        </is>
      </c>
      <c r="S1866" s="156" t="inlineStr">
        <is>
          <t>Piel bovina</t>
        </is>
      </c>
      <c r="T1866" s="156" t="inlineStr">
        <is>
          <t>Bota Dama Piel bovina Clayton Negro Horma Agatha</t>
        </is>
      </c>
      <c r="U1866" s="156" t="n"/>
      <c r="V1866" s="156" t="inlineStr">
        <is>
          <t>PRS</t>
        </is>
      </c>
      <c r="W1866" s="51" t="inlineStr">
        <is>
          <t>53111502</t>
        </is>
      </c>
      <c r="X1866" s="156" t="n"/>
      <c r="Y1866" s="54" t="n"/>
      <c r="Z1866" s="54" t="n">
        <v>4900</v>
      </c>
      <c r="AA1866" s="55">
        <f>IF(AND(A1866="", B1866="", E1866=""), "", IF(AB1866="", "Válido", IF((LEN(AB1866)-LEN(SUBSTITUTE(AB1866,"; ","")))/2+1&gt;(LEN(AB1866)-LEN(SUBSTITUTE(AB1866,"[Aviso]","")))/7, "Con Incidencias", "Válido")))</f>
        <v/>
      </c>
      <c r="AB1866" s="56">
        <f>IF(AND(A1866="", B1866="", E1866=""), "", TEXTJOIN("; ", TRUE, IF(OR(TRIM(A1866&amp;"")="", ISNUMBER(SEARCH("FALTA", A1866))), "UPC faltante/inválido", ""), IF(AND(A1866&lt;&gt;"", IFERROR(_xlfn.XMATCH(A1866,$A$2:$A$2509,0,1)&lt;&gt;_xlfn.XMATCH(A1866,$A$2:$A$2509,0,-1),FALSE)), "Código de barras duplicado", ""), IF(AND(E1866&lt;&gt;"", COUNTIF($E$2:$E$2509, E1866)&gt;1), "SKU duplicado", ""), IF(OR(J1866="", J1866=""), "[Aviso] División no capturada ()", IF(ISNA(MATCH(J1866, Criterios!$A$123:$A$126, 0)), "División no válida", "")), IF(OR(K1866="", K1866=""), "[Aviso] Categoría no capturada ()", IF(ISNA(MATCH(K1866, Criterios!$A$81:$A$120, 0)), "Categoría no válida", IF(AND(J1866&lt;&gt;"", J1866&lt;&gt;"", J1866&lt;&gt;VLOOKUP(K1866, Criterios!$A$81:$B$120, 2, FALSE)), "División no coincide con Categoría", ""))), IF(OR(L1866="", L1866=""), "[Aviso] Género no capturado ()", IF(ISNA(MATCH(L1866, Criterios!$B$123:$B$127, 0)), "Género no válido", "")), IF(OR(N1866="", N1866=""), "[Aviso] Temporada no capturada ()", IF(ISNA(MATCH(N1866, Criterios!$C$123:$C$128, 0)), "Temporada no válida", "")), IF(OR(O1866="", O1866=""), "[Aviso] Ciclo de vida no capturado ()", IF(ISNA(MATCH(O1866, Criterios!$D$123:$D$124, 0)), "Ciclo de vida no válido", ""))))</f>
        <v/>
      </c>
      <c r="AC1866" s="56" t="n"/>
      <c r="AD1866" s="51" t="n">
        <v>0</v>
      </c>
      <c r="AE1866" s="156" t="inlineStr">
        <is>
          <t>Sin coincidencia en NetSuite</t>
        </is>
      </c>
      <c r="AF1866" s="51" t="n"/>
      <c r="AG1866" s="156" t="inlineStr">
        <is>
          <t>Catálogo existente</t>
        </is>
      </c>
      <c r="AH186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6" s="156" t="n"/>
      <c r="AJ1866" s="156" t="n"/>
      <c r="AK1866" s="155" t="inlineStr">
        <is>
          <t>Shopify Stetson: producto 15054564786539 / variante 53350557974891</t>
        </is>
      </c>
      <c r="AL1866" s="58" t="n"/>
      <c r="AM1866" s="58" t="n">
        <v>4900</v>
      </c>
      <c r="AN1866" s="155" t="inlineStr">
        <is>
          <t>Shopify Stetson México</t>
        </is>
      </c>
      <c r="AO1866" s="59" t="n">
        <v>0</v>
      </c>
      <c r="AP1866" s="59" t="n"/>
      <c r="AQ1866" s="59" t="n"/>
      <c r="AR1866" s="155" t="n"/>
    </row>
    <row r="1867">
      <c r="A1867" s="50" t="inlineStr">
        <is>
          <t>12020004121031255</t>
        </is>
      </c>
      <c r="B1867" s="51" t="n"/>
      <c r="C1867" s="156" t="inlineStr">
        <is>
          <t>Multimarca</t>
        </is>
      </c>
      <c r="D1867" s="156" t="inlineStr">
        <is>
          <t>12-020-BS004-12-1031</t>
        </is>
      </c>
      <c r="E1867" s="156" t="inlineStr">
        <is>
          <t>12-020-BS004-12-1031-255</t>
        </is>
      </c>
      <c r="F1867" s="156" t="inlineStr">
        <is>
          <t>25.5</t>
        </is>
      </c>
      <c r="G1867" s="156" t="inlineStr">
        <is>
          <t>8.5</t>
        </is>
      </c>
      <c r="H1867" s="156" t="inlineStr">
        <is>
          <t>Stetson</t>
        </is>
      </c>
      <c r="I1867" s="156" t="inlineStr">
        <is>
          <t>Bota Dama Piel Clayton Negro Horma Agatha</t>
        </is>
      </c>
      <c r="J1867" s="156" t="inlineStr">
        <is>
          <t>Calzado</t>
        </is>
      </c>
      <c r="K1867" s="156" t="inlineStr">
        <is>
          <t>Botas</t>
        </is>
      </c>
      <c r="L1867" s="156" t="inlineStr">
        <is>
          <t>Mujer</t>
        </is>
      </c>
      <c r="M1867" s="156" t="inlineStr">
        <is>
          <t>Stetson</t>
        </is>
      </c>
      <c r="N1867" s="156" t="inlineStr">
        <is>
          <t>SS26</t>
        </is>
      </c>
      <c r="O1867" s="156" t="n"/>
      <c r="P1867" s="156" t="inlineStr">
        <is>
          <t>Negro</t>
        </is>
      </c>
      <c r="Q1867" s="156" t="n"/>
      <c r="R1867" s="156" t="inlineStr">
        <is>
          <t>Horma Agatha</t>
        </is>
      </c>
      <c r="S1867" s="156" t="inlineStr">
        <is>
          <t>Piel bovina</t>
        </is>
      </c>
      <c r="T1867" s="156" t="inlineStr">
        <is>
          <t>Bota Dama Piel bovina Clayton Negro Horma Agatha</t>
        </is>
      </c>
      <c r="U1867" s="156" t="n"/>
      <c r="V1867" s="156" t="inlineStr">
        <is>
          <t>PRS</t>
        </is>
      </c>
      <c r="W1867" s="51" t="inlineStr">
        <is>
          <t>53111502</t>
        </is>
      </c>
      <c r="X1867" s="156" t="n"/>
      <c r="Y1867" s="54" t="n"/>
      <c r="Z1867" s="54" t="n">
        <v>4900</v>
      </c>
      <c r="AA1867" s="55">
        <f>IF(AND(A1867="", B1867="", E1867=""), "", IF(AB1867="", "Válido", IF((LEN(AB1867)-LEN(SUBSTITUTE(AB1867,"; ","")))/2+1&gt;(LEN(AB1867)-LEN(SUBSTITUTE(AB1867,"[Aviso]","")))/7, "Con Incidencias", "Válido")))</f>
        <v/>
      </c>
      <c r="AB1867" s="56">
        <f>IF(AND(A1867="", B1867="", E1867=""), "", TEXTJOIN("; ", TRUE, IF(OR(TRIM(A1867&amp;"")="", ISNUMBER(SEARCH("FALTA", A1867))), "UPC faltante/inválido", ""), IF(AND(A1867&lt;&gt;"", IFERROR(_xlfn.XMATCH(A1867,$A$2:$A$2509,0,1)&lt;&gt;_xlfn.XMATCH(A1867,$A$2:$A$2509,0,-1),FALSE)), "Código de barras duplicado", ""), IF(AND(E1867&lt;&gt;"", COUNTIF($E$2:$E$2509, E1867)&gt;1), "SKU duplicado", ""), IF(OR(J1867="", J1867=""), "[Aviso] División no capturada ()", IF(ISNA(MATCH(J1867, Criterios!$A$123:$A$126, 0)), "División no válida", "")), IF(OR(K1867="", K1867=""), "[Aviso] Categoría no capturada ()", IF(ISNA(MATCH(K1867, Criterios!$A$81:$A$120, 0)), "Categoría no válida", IF(AND(J1867&lt;&gt;"", J1867&lt;&gt;"", J1867&lt;&gt;VLOOKUP(K1867, Criterios!$A$81:$B$120, 2, FALSE)), "División no coincide con Categoría", ""))), IF(OR(L1867="", L1867=""), "[Aviso] Género no capturado ()", IF(ISNA(MATCH(L1867, Criterios!$B$123:$B$127, 0)), "Género no válido", "")), IF(OR(N1867="", N1867=""), "[Aviso] Temporada no capturada ()", IF(ISNA(MATCH(N1867, Criterios!$C$123:$C$128, 0)), "Temporada no válida", "")), IF(OR(O1867="", O1867=""), "[Aviso] Ciclo de vida no capturado ()", IF(ISNA(MATCH(O1867, Criterios!$D$123:$D$124, 0)), "Ciclo de vida no válido", ""))))</f>
        <v/>
      </c>
      <c r="AC1867" s="56" t="n"/>
      <c r="AD1867" s="51" t="n">
        <v>0</v>
      </c>
      <c r="AE1867" s="156" t="inlineStr">
        <is>
          <t>Sin coincidencia en NetSuite</t>
        </is>
      </c>
      <c r="AF1867" s="51" t="n"/>
      <c r="AG1867" s="156" t="inlineStr">
        <is>
          <t>Catálogo existente</t>
        </is>
      </c>
      <c r="AH186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7" s="156" t="n"/>
      <c r="AJ1867" s="156" t="n"/>
      <c r="AK1867" s="155" t="inlineStr">
        <is>
          <t>Shopify Stetson: producto 15054564786539 / variante 53350557876587</t>
        </is>
      </c>
      <c r="AL1867" s="58" t="n"/>
      <c r="AM1867" s="58" t="n">
        <v>4900</v>
      </c>
      <c r="AN1867" s="155" t="inlineStr">
        <is>
          <t>Shopify Stetson México</t>
        </is>
      </c>
      <c r="AO1867" s="59" t="n">
        <v>0</v>
      </c>
      <c r="AP1867" s="59" t="n"/>
      <c r="AQ1867" s="59" t="n"/>
      <c r="AR1867" s="155" t="n"/>
    </row>
    <row r="1868">
      <c r="A1868" s="50" t="inlineStr">
        <is>
          <t>12020004121031265</t>
        </is>
      </c>
      <c r="B1868" s="51" t="n"/>
      <c r="C1868" s="156" t="inlineStr">
        <is>
          <t>Multimarca</t>
        </is>
      </c>
      <c r="D1868" s="156" t="inlineStr">
        <is>
          <t>12-020-BS004-12-1031</t>
        </is>
      </c>
      <c r="E1868" s="156" t="inlineStr">
        <is>
          <t>12-020-BS004-12-1031-265</t>
        </is>
      </c>
      <c r="F1868" s="156" t="inlineStr">
        <is>
          <t>26.5</t>
        </is>
      </c>
      <c r="G1868" s="156" t="inlineStr">
        <is>
          <t>9.5</t>
        </is>
      </c>
      <c r="H1868" s="156" t="inlineStr">
        <is>
          <t>Stetson</t>
        </is>
      </c>
      <c r="I1868" s="156" t="inlineStr">
        <is>
          <t>Bota Dama Piel Clayton Negro Horma Agatha</t>
        </is>
      </c>
      <c r="J1868" s="156" t="inlineStr">
        <is>
          <t>Calzado</t>
        </is>
      </c>
      <c r="K1868" s="156" t="inlineStr">
        <is>
          <t>Botas</t>
        </is>
      </c>
      <c r="L1868" s="156" t="inlineStr">
        <is>
          <t>Mujer</t>
        </is>
      </c>
      <c r="M1868" s="156" t="inlineStr">
        <is>
          <t>Stetson</t>
        </is>
      </c>
      <c r="N1868" s="156" t="inlineStr">
        <is>
          <t>SS26</t>
        </is>
      </c>
      <c r="O1868" s="156" t="n"/>
      <c r="P1868" s="156" t="inlineStr">
        <is>
          <t>Negro</t>
        </is>
      </c>
      <c r="Q1868" s="156" t="n"/>
      <c r="R1868" s="156" t="inlineStr">
        <is>
          <t>Horma Agatha</t>
        </is>
      </c>
      <c r="S1868" s="156" t="inlineStr">
        <is>
          <t>Piel bovina</t>
        </is>
      </c>
      <c r="T1868" s="156" t="inlineStr">
        <is>
          <t>Bota Dama Piel bovina Clayton Negro Horma Agatha</t>
        </is>
      </c>
      <c r="U1868" s="156" t="n"/>
      <c r="V1868" s="156" t="inlineStr">
        <is>
          <t>PRS</t>
        </is>
      </c>
      <c r="W1868" s="51" t="inlineStr">
        <is>
          <t>53111502</t>
        </is>
      </c>
      <c r="X1868" s="156" t="n"/>
      <c r="Y1868" s="54" t="n"/>
      <c r="Z1868" s="54" t="n">
        <v>4900</v>
      </c>
      <c r="AA1868" s="55">
        <f>IF(AND(A1868="", B1868="", E1868=""), "", IF(AB1868="", "Válido", IF((LEN(AB1868)-LEN(SUBSTITUTE(AB1868,"; ","")))/2+1&gt;(LEN(AB1868)-LEN(SUBSTITUTE(AB1868,"[Aviso]","")))/7, "Con Incidencias", "Válido")))</f>
        <v/>
      </c>
      <c r="AB1868" s="56">
        <f>IF(AND(A1868="", B1868="", E1868=""), "", TEXTJOIN("; ", TRUE, IF(OR(TRIM(A1868&amp;"")="", ISNUMBER(SEARCH("FALTA", A1868))), "UPC faltante/inválido", ""), IF(AND(A1868&lt;&gt;"", IFERROR(_xlfn.XMATCH(A1868,$A$2:$A$2509,0,1)&lt;&gt;_xlfn.XMATCH(A1868,$A$2:$A$2509,0,-1),FALSE)), "Código de barras duplicado", ""), IF(AND(E1868&lt;&gt;"", COUNTIF($E$2:$E$2509, E1868)&gt;1), "SKU duplicado", ""), IF(OR(J1868="", J1868=""), "[Aviso] División no capturada ()", IF(ISNA(MATCH(J1868, Criterios!$A$123:$A$126, 0)), "División no válida", "")), IF(OR(K1868="", K1868=""), "[Aviso] Categoría no capturada ()", IF(ISNA(MATCH(K1868, Criterios!$A$81:$A$120, 0)), "Categoría no válida", IF(AND(J1868&lt;&gt;"", J1868&lt;&gt;"", J1868&lt;&gt;VLOOKUP(K1868, Criterios!$A$81:$B$120, 2, FALSE)), "División no coincide con Categoría", ""))), IF(OR(L1868="", L1868=""), "[Aviso] Género no capturado ()", IF(ISNA(MATCH(L1868, Criterios!$B$123:$B$127, 0)), "Género no válido", "")), IF(OR(N1868="", N1868=""), "[Aviso] Temporada no capturada ()", IF(ISNA(MATCH(N1868, Criterios!$C$123:$C$128, 0)), "Temporada no válida", "")), IF(OR(O1868="", O1868=""), "[Aviso] Ciclo de vida no capturado ()", IF(ISNA(MATCH(O1868, Criterios!$D$123:$D$124, 0)), "Ciclo de vida no válido", ""))))</f>
        <v/>
      </c>
      <c r="AC1868" s="56" t="n"/>
      <c r="AD1868" s="51" t="n">
        <v>0</v>
      </c>
      <c r="AE1868" s="156" t="inlineStr">
        <is>
          <t>Sin coincidencia en NetSuite</t>
        </is>
      </c>
      <c r="AF1868" s="51" t="n"/>
      <c r="AG1868" s="156" t="inlineStr">
        <is>
          <t>Catálogo existente</t>
        </is>
      </c>
      <c r="AH186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8" s="156" t="n"/>
      <c r="AJ1868" s="156" t="n"/>
      <c r="AK1868" s="155" t="inlineStr">
        <is>
          <t>Shopify Stetson: producto 15054564786539 / variante 53350557942123</t>
        </is>
      </c>
      <c r="AL1868" s="58" t="n"/>
      <c r="AM1868" s="58" t="n">
        <v>4900</v>
      </c>
      <c r="AN1868" s="155" t="inlineStr">
        <is>
          <t>Shopify Stetson México</t>
        </is>
      </c>
      <c r="AO1868" s="59" t="n">
        <v>0</v>
      </c>
      <c r="AP1868" s="59" t="n"/>
      <c r="AQ1868" s="59" t="n"/>
      <c r="AR1868" s="155" t="n"/>
    </row>
    <row r="1869">
      <c r="A1869" s="50" t="inlineStr">
        <is>
          <t>12020004121031275</t>
        </is>
      </c>
      <c r="B1869" s="51" t="n"/>
      <c r="C1869" s="156" t="inlineStr">
        <is>
          <t>Multimarca</t>
        </is>
      </c>
      <c r="D1869" s="156" t="inlineStr">
        <is>
          <t>12-020-BS004-12-1031</t>
        </is>
      </c>
      <c r="E1869" s="156" t="inlineStr">
        <is>
          <t>12-020-BS004-12-1031-275</t>
        </is>
      </c>
      <c r="F1869" s="156" t="inlineStr">
        <is>
          <t>27.5</t>
        </is>
      </c>
      <c r="G1869" s="156" t="inlineStr">
        <is>
          <t>10.5</t>
        </is>
      </c>
      <c r="H1869" s="156" t="inlineStr">
        <is>
          <t>Stetson</t>
        </is>
      </c>
      <c r="I1869" s="156" t="inlineStr">
        <is>
          <t>Bota Dama Piel Clayton Negro Horma Agatha</t>
        </is>
      </c>
      <c r="J1869" s="156" t="inlineStr">
        <is>
          <t>Calzado</t>
        </is>
      </c>
      <c r="K1869" s="156" t="inlineStr">
        <is>
          <t>Botas</t>
        </is>
      </c>
      <c r="L1869" s="156" t="inlineStr">
        <is>
          <t>Mujer</t>
        </is>
      </c>
      <c r="M1869" s="156" t="inlineStr">
        <is>
          <t>Stetson</t>
        </is>
      </c>
      <c r="N1869" s="156" t="inlineStr">
        <is>
          <t>SS26</t>
        </is>
      </c>
      <c r="O1869" s="156" t="n"/>
      <c r="P1869" s="156" t="inlineStr">
        <is>
          <t>Negro</t>
        </is>
      </c>
      <c r="Q1869" s="156" t="n"/>
      <c r="R1869" s="156" t="inlineStr">
        <is>
          <t>Horma Agatha</t>
        </is>
      </c>
      <c r="S1869" s="156" t="inlineStr">
        <is>
          <t>Piel bovina</t>
        </is>
      </c>
      <c r="T1869" s="156" t="inlineStr">
        <is>
          <t>Bota Dama Piel bovina Clayton Negro Horma Agatha</t>
        </is>
      </c>
      <c r="U1869" s="156" t="n"/>
      <c r="V1869" s="156" t="inlineStr">
        <is>
          <t>PRS</t>
        </is>
      </c>
      <c r="W1869" s="51" t="inlineStr">
        <is>
          <t>53111502</t>
        </is>
      </c>
      <c r="X1869" s="156" t="n"/>
      <c r="Y1869" s="54" t="n"/>
      <c r="Z1869" s="54" t="n">
        <v>4900</v>
      </c>
      <c r="AA1869" s="55">
        <f>IF(AND(A1869="", B1869="", E1869=""), "", IF(AB1869="", "Válido", IF((LEN(AB1869)-LEN(SUBSTITUTE(AB1869,"; ","")))/2+1&gt;(LEN(AB1869)-LEN(SUBSTITUTE(AB1869,"[Aviso]","")))/7, "Con Incidencias", "Válido")))</f>
        <v/>
      </c>
      <c r="AB1869" s="56">
        <f>IF(AND(A1869="", B1869="", E1869=""), "", TEXTJOIN("; ", TRUE, IF(OR(TRIM(A1869&amp;"")="", ISNUMBER(SEARCH("FALTA", A1869))), "UPC faltante/inválido", ""), IF(AND(A1869&lt;&gt;"", IFERROR(_xlfn.XMATCH(A1869,$A$2:$A$2509,0,1)&lt;&gt;_xlfn.XMATCH(A1869,$A$2:$A$2509,0,-1),FALSE)), "Código de barras duplicado", ""), IF(AND(E1869&lt;&gt;"", COUNTIF($E$2:$E$2509, E1869)&gt;1), "SKU duplicado", ""), IF(OR(J1869="", J1869=""), "[Aviso] División no capturada ()", IF(ISNA(MATCH(J1869, Criterios!$A$123:$A$126, 0)), "División no válida", "")), IF(OR(K1869="", K1869=""), "[Aviso] Categoría no capturada ()", IF(ISNA(MATCH(K1869, Criterios!$A$81:$A$120, 0)), "Categoría no válida", IF(AND(J1869&lt;&gt;"", J1869&lt;&gt;"", J1869&lt;&gt;VLOOKUP(K1869, Criterios!$A$81:$B$120, 2, FALSE)), "División no coincide con Categoría", ""))), IF(OR(L1869="", L1869=""), "[Aviso] Género no capturado ()", IF(ISNA(MATCH(L1869, Criterios!$B$123:$B$127, 0)), "Género no válido", "")), IF(OR(N1869="", N1869=""), "[Aviso] Temporada no capturada ()", IF(ISNA(MATCH(N1869, Criterios!$C$123:$C$128, 0)), "Temporada no válida", "")), IF(OR(O1869="", O1869=""), "[Aviso] Ciclo de vida no capturado ()", IF(ISNA(MATCH(O1869, Criterios!$D$123:$D$124, 0)), "Ciclo de vida no válido", ""))))</f>
        <v/>
      </c>
      <c r="AC1869" s="56" t="n"/>
      <c r="AD1869" s="51" t="n">
        <v>0</v>
      </c>
      <c r="AE1869" s="156" t="inlineStr">
        <is>
          <t>Sin coincidencia en NetSuite</t>
        </is>
      </c>
      <c r="AF1869" s="51" t="n"/>
      <c r="AG1869" s="156" t="inlineStr">
        <is>
          <t>Catálogo existente</t>
        </is>
      </c>
      <c r="AH186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9" s="156" t="n"/>
      <c r="AJ1869" s="156" t="n"/>
      <c r="AK1869" s="155" t="inlineStr">
        <is>
          <t>Shopify Stetson: producto 15054564786539 / variante 53350558007659</t>
        </is>
      </c>
      <c r="AL1869" s="58" t="n"/>
      <c r="AM1869" s="58" t="n">
        <v>4900</v>
      </c>
      <c r="AN1869" s="155" t="inlineStr">
        <is>
          <t>Shopify Stetson México</t>
        </is>
      </c>
      <c r="AO1869" s="59" t="n">
        <v>0</v>
      </c>
      <c r="AP1869" s="59" t="n"/>
      <c r="AQ1869" s="59" t="n"/>
      <c r="AR1869" s="155" t="n"/>
    </row>
    <row r="1870">
      <c r="A1870" s="50" t="inlineStr">
        <is>
          <t>12020004121032026</t>
        </is>
      </c>
      <c r="B1870" s="51" t="n"/>
      <c r="C1870" s="156" t="inlineStr">
        <is>
          <t>Multimarca</t>
        </is>
      </c>
      <c r="D1870" s="156" t="inlineStr">
        <is>
          <t>12-020-BS004-12-1032</t>
        </is>
      </c>
      <c r="E1870" s="156" t="inlineStr">
        <is>
          <t>12-020-BS004-12-1032-026</t>
        </is>
      </c>
      <c r="F1870" s="156" t="inlineStr">
        <is>
          <t>26</t>
        </is>
      </c>
      <c r="G1870" s="156" t="inlineStr">
        <is>
          <t>9</t>
        </is>
      </c>
      <c r="H1870" s="156" t="inlineStr">
        <is>
          <t>Stetson</t>
        </is>
      </c>
      <c r="I1870" s="156" t="inlineStr">
        <is>
          <t>Bota Piel Vino</t>
        </is>
      </c>
      <c r="J1870" s="156" t="inlineStr">
        <is>
          <t>Calzado</t>
        </is>
      </c>
      <c r="K1870" s="156" t="inlineStr">
        <is>
          <t>Botas</t>
        </is>
      </c>
      <c r="L1870" s="156" t="inlineStr">
        <is>
          <t>Mujer</t>
        </is>
      </c>
      <c r="M1870" s="156" t="inlineStr">
        <is>
          <t>Stetson</t>
        </is>
      </c>
      <c r="N1870" s="156" t="inlineStr">
        <is>
          <t>SS26</t>
        </is>
      </c>
      <c r="O1870" s="156" t="inlineStr">
        <is>
          <t>Seasonal</t>
        </is>
      </c>
      <c r="P1870" s="156" t="inlineStr">
        <is>
          <t>Rojo</t>
        </is>
      </c>
      <c r="Q1870" s="156" t="n"/>
      <c r="R1870" s="156" t="inlineStr">
        <is>
          <t>Horma Agatha</t>
        </is>
      </c>
      <c r="S1870" s="156" t="inlineStr">
        <is>
          <t>Piel bovina</t>
        </is>
      </c>
      <c r="T1870" s="156" t="inlineStr">
        <is>
          <t>Bota Dama Piel bovina Clayton Vino Horma Agatha</t>
        </is>
      </c>
      <c r="U1870" s="156" t="inlineStr">
        <is>
          <t>México</t>
        </is>
      </c>
      <c r="V1870" s="156" t="inlineStr">
        <is>
          <t>PRS</t>
        </is>
      </c>
      <c r="W1870" s="51" t="inlineStr">
        <is>
          <t>53111502</t>
        </is>
      </c>
      <c r="X1870" s="156" t="n"/>
      <c r="Y1870" s="54" t="n"/>
      <c r="Z1870" s="54" t="n">
        <v>4900</v>
      </c>
      <c r="AA1870" s="55">
        <f>IF(AND(A1870="", B1870="", E1870=""), "", IF(AB1870="", "Válido", IF((LEN(AB1870)-LEN(SUBSTITUTE(AB1870,"; ","")))/2+1&gt;(LEN(AB1870)-LEN(SUBSTITUTE(AB1870,"[Aviso]","")))/7, "Con Incidencias", "Válido")))</f>
        <v/>
      </c>
      <c r="AB1870" s="56">
        <f>IF(AND(A1870="", B1870="", E1870=""), "", TEXTJOIN("; ", TRUE, IF(OR(TRIM(A1870&amp;"")="", ISNUMBER(SEARCH("FALTA", A1870))), "UPC faltante/inválido", ""), IF(AND(A1870&lt;&gt;"", IFERROR(_xlfn.XMATCH(A1870,$A$2:$A$2509,0,1)&lt;&gt;_xlfn.XMATCH(A1870,$A$2:$A$2509,0,-1),FALSE)), "Código de barras duplicado", ""), IF(AND(E1870&lt;&gt;"", COUNTIF($E$2:$E$2509, E1870)&gt;1), "SKU duplicado", ""), IF(OR(J1870="", J1870=""), "[Aviso] División no capturada ()", IF(ISNA(MATCH(J1870, Criterios!$A$123:$A$126, 0)), "División no válida", "")), IF(OR(K1870="", K1870=""), "[Aviso] Categoría no capturada ()", IF(ISNA(MATCH(K1870, Criterios!$A$81:$A$120, 0)), "Categoría no válida", IF(AND(J1870&lt;&gt;"", J1870&lt;&gt;"", J1870&lt;&gt;VLOOKUP(K1870, Criterios!$A$81:$B$120, 2, FALSE)), "División no coincide con Categoría", ""))), IF(OR(L1870="", L1870=""), "[Aviso] Género no capturado ()", IF(ISNA(MATCH(L1870, Criterios!$B$123:$B$127, 0)), "Género no válido", "")), IF(OR(N1870="", N1870=""), "[Aviso] Temporada no capturada ()", IF(ISNA(MATCH(N1870, Criterios!$C$123:$C$128, 0)), "Temporada no válida", "")), IF(OR(O1870="", O1870=""), "[Aviso] Ciclo de vida no capturado ()", IF(ISNA(MATCH(O1870, Criterios!$D$123:$D$124, 0)), "Ciclo de vida no válido", ""))))</f>
        <v/>
      </c>
      <c r="AC1870" s="56" t="n"/>
      <c r="AD1870" s="51" t="n">
        <v>0</v>
      </c>
      <c r="AE1870" s="156" t="inlineStr">
        <is>
          <t>Sin coincidencia en NetSuite</t>
        </is>
      </c>
      <c r="AF1870" s="51" t="n"/>
      <c r="AG1870" s="156" t="inlineStr">
        <is>
          <t>Catálogo existente</t>
        </is>
      </c>
      <c r="AH187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0" s="156" t="n"/>
      <c r="AJ1870" s="156" t="n"/>
      <c r="AK1870" s="155" t="inlineStr">
        <is>
          <t>Shopify Stetson: producto 15054564819307 / variante 53350558302571</t>
        </is>
      </c>
      <c r="AL1870" s="58" t="n"/>
      <c r="AM1870" s="58" t="n">
        <v>4900</v>
      </c>
      <c r="AN1870" s="155" t="inlineStr">
        <is>
          <t>Shopify Stetson México</t>
        </is>
      </c>
      <c r="AO1870" s="59" t="n">
        <v>0</v>
      </c>
      <c r="AP1870" s="59" t="n"/>
      <c r="AQ1870" s="59" t="n"/>
      <c r="AR1870" s="155" t="n"/>
    </row>
    <row r="1871">
      <c r="A1871" s="50" t="inlineStr">
        <is>
          <t>12020004121032027</t>
        </is>
      </c>
      <c r="B1871" s="51" t="n"/>
      <c r="C1871" s="156" t="inlineStr">
        <is>
          <t>Multimarca</t>
        </is>
      </c>
      <c r="D1871" s="156" t="inlineStr">
        <is>
          <t>12-020-BS004-12-1032</t>
        </is>
      </c>
      <c r="E1871" s="156" t="inlineStr">
        <is>
          <t>12-020-BS004-12-1032-027</t>
        </is>
      </c>
      <c r="F1871" s="156" t="inlineStr">
        <is>
          <t>27</t>
        </is>
      </c>
      <c r="G1871" s="156" t="inlineStr">
        <is>
          <t>10</t>
        </is>
      </c>
      <c r="H1871" s="156" t="inlineStr">
        <is>
          <t>Stetson</t>
        </is>
      </c>
      <c r="I1871" s="156" t="inlineStr">
        <is>
          <t>Bota Piel Vino</t>
        </is>
      </c>
      <c r="J1871" s="156" t="inlineStr">
        <is>
          <t>Calzado</t>
        </is>
      </c>
      <c r="K1871" s="156" t="inlineStr">
        <is>
          <t>Botas</t>
        </is>
      </c>
      <c r="L1871" s="156" t="inlineStr">
        <is>
          <t>Mujer</t>
        </is>
      </c>
      <c r="M1871" s="156" t="inlineStr">
        <is>
          <t>Stetson</t>
        </is>
      </c>
      <c r="N1871" s="156" t="inlineStr">
        <is>
          <t>SS26</t>
        </is>
      </c>
      <c r="O1871" s="156" t="inlineStr">
        <is>
          <t>Seasonal</t>
        </is>
      </c>
      <c r="P1871" s="156" t="inlineStr">
        <is>
          <t>Rojo</t>
        </is>
      </c>
      <c r="Q1871" s="156" t="n"/>
      <c r="R1871" s="156" t="inlineStr">
        <is>
          <t>Horma Agatha</t>
        </is>
      </c>
      <c r="S1871" s="156" t="inlineStr">
        <is>
          <t>Piel bovina</t>
        </is>
      </c>
      <c r="T1871" s="156" t="inlineStr">
        <is>
          <t>Bota Dama Piel bovina Clayton Vino Horma Agatha</t>
        </is>
      </c>
      <c r="U1871" s="156" t="inlineStr">
        <is>
          <t>México</t>
        </is>
      </c>
      <c r="V1871" s="156" t="inlineStr">
        <is>
          <t>PRS</t>
        </is>
      </c>
      <c r="W1871" s="51" t="inlineStr">
        <is>
          <t>53111502</t>
        </is>
      </c>
      <c r="X1871" s="156" t="n"/>
      <c r="Y1871" s="54" t="n"/>
      <c r="Z1871" s="54" t="n">
        <v>4900</v>
      </c>
      <c r="AA1871" s="55">
        <f>IF(AND(A1871="", B1871="", E1871=""), "", IF(AB1871="", "Válido", IF((LEN(AB1871)-LEN(SUBSTITUTE(AB1871,"; ","")))/2+1&gt;(LEN(AB1871)-LEN(SUBSTITUTE(AB1871,"[Aviso]","")))/7, "Con Incidencias", "Válido")))</f>
        <v/>
      </c>
      <c r="AB1871" s="56">
        <f>IF(AND(A1871="", B1871="", E1871=""), "", TEXTJOIN("; ", TRUE, IF(OR(TRIM(A1871&amp;"")="", ISNUMBER(SEARCH("FALTA", A1871))), "UPC faltante/inválido", ""), IF(AND(A1871&lt;&gt;"", IFERROR(_xlfn.XMATCH(A1871,$A$2:$A$2509,0,1)&lt;&gt;_xlfn.XMATCH(A1871,$A$2:$A$2509,0,-1),FALSE)), "Código de barras duplicado", ""), IF(AND(E1871&lt;&gt;"", COUNTIF($E$2:$E$2509, E1871)&gt;1), "SKU duplicado", ""), IF(OR(J1871="", J1871=""), "[Aviso] División no capturada ()", IF(ISNA(MATCH(J1871, Criterios!$A$123:$A$126, 0)), "División no válida", "")), IF(OR(K1871="", K1871=""), "[Aviso] Categoría no capturada ()", IF(ISNA(MATCH(K1871, Criterios!$A$81:$A$120, 0)), "Categoría no válida", IF(AND(J1871&lt;&gt;"", J1871&lt;&gt;"", J1871&lt;&gt;VLOOKUP(K1871, Criterios!$A$81:$B$120, 2, FALSE)), "División no coincide con Categoría", ""))), IF(OR(L1871="", L1871=""), "[Aviso] Género no capturado ()", IF(ISNA(MATCH(L1871, Criterios!$B$123:$B$127, 0)), "Género no válido", "")), IF(OR(N1871="", N1871=""), "[Aviso] Temporada no capturada ()", IF(ISNA(MATCH(N1871, Criterios!$C$123:$C$128, 0)), "Temporada no válida", "")), IF(OR(O1871="", O1871=""), "[Aviso] Ciclo de vida no capturado ()", IF(ISNA(MATCH(O1871, Criterios!$D$123:$D$124, 0)), "Ciclo de vida no válido", ""))))</f>
        <v/>
      </c>
      <c r="AC1871" s="56" t="n"/>
      <c r="AD1871" s="51" t="n">
        <v>0</v>
      </c>
      <c r="AE1871" s="156" t="inlineStr">
        <is>
          <t>Sin coincidencia en NetSuite</t>
        </is>
      </c>
      <c r="AF1871" s="51" t="n"/>
      <c r="AG1871" s="156" t="inlineStr">
        <is>
          <t>Catálogo existente</t>
        </is>
      </c>
      <c r="AH187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1" s="156" t="n"/>
      <c r="AJ1871" s="156" t="n"/>
      <c r="AK1871" s="155" t="inlineStr">
        <is>
          <t>Shopify Stetson: producto 15054564819307 / variante 53350558368107</t>
        </is>
      </c>
      <c r="AL1871" s="58" t="n"/>
      <c r="AM1871" s="58" t="n">
        <v>4900</v>
      </c>
      <c r="AN1871" s="155" t="inlineStr">
        <is>
          <t>Shopify Stetson México</t>
        </is>
      </c>
      <c r="AO1871" s="59" t="n">
        <v>0</v>
      </c>
      <c r="AP1871" s="59" t="n"/>
      <c r="AQ1871" s="59" t="n"/>
      <c r="AR1871" s="155" t="n"/>
    </row>
    <row r="1872">
      <c r="A1872" s="50" t="inlineStr">
        <is>
          <t>12020004121032255</t>
        </is>
      </c>
      <c r="B1872" s="51" t="n"/>
      <c r="C1872" s="156" t="inlineStr">
        <is>
          <t>Multimarca</t>
        </is>
      </c>
      <c r="D1872" s="156" t="inlineStr">
        <is>
          <t>12-020-BS004-12-1032</t>
        </is>
      </c>
      <c r="E1872" s="156" t="inlineStr">
        <is>
          <t>12-020-BS004-12-1032-255</t>
        </is>
      </c>
      <c r="F1872" s="156" t="inlineStr">
        <is>
          <t>25.5</t>
        </is>
      </c>
      <c r="G1872" s="156" t="inlineStr">
        <is>
          <t>8.5</t>
        </is>
      </c>
      <c r="H1872" s="156" t="inlineStr">
        <is>
          <t>Stetson</t>
        </is>
      </c>
      <c r="I1872" s="156" t="inlineStr">
        <is>
          <t>Bota Piel Vino</t>
        </is>
      </c>
      <c r="J1872" s="156" t="inlineStr">
        <is>
          <t>Calzado</t>
        </is>
      </c>
      <c r="K1872" s="156" t="inlineStr">
        <is>
          <t>Botas</t>
        </is>
      </c>
      <c r="L1872" s="156" t="inlineStr">
        <is>
          <t>Mujer</t>
        </is>
      </c>
      <c r="M1872" s="156" t="inlineStr">
        <is>
          <t>Stetson</t>
        </is>
      </c>
      <c r="N1872" s="156" t="inlineStr">
        <is>
          <t>SS26</t>
        </is>
      </c>
      <c r="O1872" s="156" t="inlineStr">
        <is>
          <t>Seasonal</t>
        </is>
      </c>
      <c r="P1872" s="156" t="inlineStr">
        <is>
          <t>Rojo</t>
        </is>
      </c>
      <c r="Q1872" s="156" t="n"/>
      <c r="R1872" s="156" t="inlineStr">
        <is>
          <t>Horma Agatha</t>
        </is>
      </c>
      <c r="S1872" s="156" t="inlineStr">
        <is>
          <t>Piel bovina</t>
        </is>
      </c>
      <c r="T1872" s="156" t="inlineStr">
        <is>
          <t>Bota Dama Piel bovina Clayton Vino Horma Agatha</t>
        </is>
      </c>
      <c r="U1872" s="156" t="inlineStr">
        <is>
          <t>México</t>
        </is>
      </c>
      <c r="V1872" s="156" t="inlineStr">
        <is>
          <t>PRS</t>
        </is>
      </c>
      <c r="W1872" s="51" t="inlineStr">
        <is>
          <t>53111502</t>
        </is>
      </c>
      <c r="X1872" s="156" t="n"/>
      <c r="Y1872" s="54" t="n"/>
      <c r="Z1872" s="54" t="n">
        <v>4900</v>
      </c>
      <c r="AA1872" s="55">
        <f>IF(AND(A1872="", B1872="", E1872=""), "", IF(AB1872="", "Válido", IF((LEN(AB1872)-LEN(SUBSTITUTE(AB1872,"; ","")))/2+1&gt;(LEN(AB1872)-LEN(SUBSTITUTE(AB1872,"[Aviso]","")))/7, "Con Incidencias", "Válido")))</f>
        <v/>
      </c>
      <c r="AB1872" s="56">
        <f>IF(AND(A1872="", B1872="", E1872=""), "", TEXTJOIN("; ", TRUE, IF(OR(TRIM(A1872&amp;"")="", ISNUMBER(SEARCH("FALTA", A1872))), "UPC faltante/inválido", ""), IF(AND(A1872&lt;&gt;"", IFERROR(_xlfn.XMATCH(A1872,$A$2:$A$2509,0,1)&lt;&gt;_xlfn.XMATCH(A1872,$A$2:$A$2509,0,-1),FALSE)), "Código de barras duplicado", ""), IF(AND(E1872&lt;&gt;"", COUNTIF($E$2:$E$2509, E1872)&gt;1), "SKU duplicado", ""), IF(OR(J1872="", J1872=""), "[Aviso] División no capturada ()", IF(ISNA(MATCH(J1872, Criterios!$A$123:$A$126, 0)), "División no válida", "")), IF(OR(K1872="", K1872=""), "[Aviso] Categoría no capturada ()", IF(ISNA(MATCH(K1872, Criterios!$A$81:$A$120, 0)), "Categoría no válida", IF(AND(J1872&lt;&gt;"", J1872&lt;&gt;"", J1872&lt;&gt;VLOOKUP(K1872, Criterios!$A$81:$B$120, 2, FALSE)), "División no coincide con Categoría", ""))), IF(OR(L1872="", L1872=""), "[Aviso] Género no capturado ()", IF(ISNA(MATCH(L1872, Criterios!$B$123:$B$127, 0)), "Género no válido", "")), IF(OR(N1872="", N1872=""), "[Aviso] Temporada no capturada ()", IF(ISNA(MATCH(N1872, Criterios!$C$123:$C$128, 0)), "Temporada no válida", "")), IF(OR(O1872="", O1872=""), "[Aviso] Ciclo de vida no capturado ()", IF(ISNA(MATCH(O1872, Criterios!$D$123:$D$124, 0)), "Ciclo de vida no válido", ""))))</f>
        <v/>
      </c>
      <c r="AC1872" s="56" t="n"/>
      <c r="AD1872" s="51" t="n">
        <v>0</v>
      </c>
      <c r="AE1872" s="156" t="inlineStr">
        <is>
          <t>Sin coincidencia en NetSuite</t>
        </is>
      </c>
      <c r="AF1872" s="51" t="n"/>
      <c r="AG1872" s="156" t="inlineStr">
        <is>
          <t>Catálogo existente</t>
        </is>
      </c>
      <c r="AH187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2" s="156" t="n"/>
      <c r="AJ1872" s="156" t="n"/>
      <c r="AK1872" s="155" t="inlineStr">
        <is>
          <t>Shopify Stetson: producto 15054564819307 / variante 53350558269803</t>
        </is>
      </c>
      <c r="AL1872" s="58" t="n"/>
      <c r="AM1872" s="58" t="n">
        <v>4900</v>
      </c>
      <c r="AN1872" s="155" t="inlineStr">
        <is>
          <t>Shopify Stetson México</t>
        </is>
      </c>
      <c r="AO1872" s="59" t="n">
        <v>2</v>
      </c>
      <c r="AP1872" s="59" t="n"/>
      <c r="AQ1872" s="59" t="n"/>
      <c r="AR1872" s="155" t="inlineStr">
        <is>
          <t>Shopify Stetson México › Stetson Americas: 2</t>
        </is>
      </c>
    </row>
    <row r="1873">
      <c r="A1873" s="50" t="inlineStr">
        <is>
          <t>12020004121032265</t>
        </is>
      </c>
      <c r="B1873" s="51" t="n"/>
      <c r="C1873" s="156" t="inlineStr">
        <is>
          <t>Multimarca</t>
        </is>
      </c>
      <c r="D1873" s="156" t="inlineStr">
        <is>
          <t>12-020-BS004-12-1032</t>
        </is>
      </c>
      <c r="E1873" s="156" t="inlineStr">
        <is>
          <t>12-020-BS004-12-1032-265</t>
        </is>
      </c>
      <c r="F1873" s="156" t="inlineStr">
        <is>
          <t>26.5</t>
        </is>
      </c>
      <c r="G1873" s="156" t="inlineStr">
        <is>
          <t>9.5</t>
        </is>
      </c>
      <c r="H1873" s="156" t="inlineStr">
        <is>
          <t>Stetson</t>
        </is>
      </c>
      <c r="I1873" s="156" t="inlineStr">
        <is>
          <t>Bota Piel Vino</t>
        </is>
      </c>
      <c r="J1873" s="156" t="inlineStr">
        <is>
          <t>Calzado</t>
        </is>
      </c>
      <c r="K1873" s="156" t="inlineStr">
        <is>
          <t>Botas</t>
        </is>
      </c>
      <c r="L1873" s="156" t="inlineStr">
        <is>
          <t>Mujer</t>
        </is>
      </c>
      <c r="M1873" s="156" t="inlineStr">
        <is>
          <t>Stetson</t>
        </is>
      </c>
      <c r="N1873" s="156" t="inlineStr">
        <is>
          <t>SS26</t>
        </is>
      </c>
      <c r="O1873" s="156" t="inlineStr">
        <is>
          <t>Seasonal</t>
        </is>
      </c>
      <c r="P1873" s="156" t="inlineStr">
        <is>
          <t>Rojo</t>
        </is>
      </c>
      <c r="Q1873" s="156" t="n"/>
      <c r="R1873" s="156" t="inlineStr">
        <is>
          <t>Horma Agatha</t>
        </is>
      </c>
      <c r="S1873" s="156" t="inlineStr">
        <is>
          <t>Piel bovina</t>
        </is>
      </c>
      <c r="T1873" s="156" t="inlineStr">
        <is>
          <t>Bota Dama Piel bovina Clayton Vino Horma Agatha</t>
        </is>
      </c>
      <c r="U1873" s="156" t="inlineStr">
        <is>
          <t>México</t>
        </is>
      </c>
      <c r="V1873" s="156" t="inlineStr">
        <is>
          <t>PRS</t>
        </is>
      </c>
      <c r="W1873" s="51" t="inlineStr">
        <is>
          <t>53111502</t>
        </is>
      </c>
      <c r="X1873" s="156" t="n"/>
      <c r="Y1873" s="54" t="n"/>
      <c r="Z1873" s="54" t="n">
        <v>4900</v>
      </c>
      <c r="AA1873" s="55">
        <f>IF(AND(A1873="", B1873="", E1873=""), "", IF(AB1873="", "Válido", IF((LEN(AB1873)-LEN(SUBSTITUTE(AB1873,"; ","")))/2+1&gt;(LEN(AB1873)-LEN(SUBSTITUTE(AB1873,"[Aviso]","")))/7, "Con Incidencias", "Válido")))</f>
        <v/>
      </c>
      <c r="AB1873" s="56">
        <f>IF(AND(A1873="", B1873="", E1873=""), "", TEXTJOIN("; ", TRUE, IF(OR(TRIM(A1873&amp;"")="", ISNUMBER(SEARCH("FALTA", A1873))), "UPC faltante/inválido", ""), IF(AND(A1873&lt;&gt;"", IFERROR(_xlfn.XMATCH(A1873,$A$2:$A$2509,0,1)&lt;&gt;_xlfn.XMATCH(A1873,$A$2:$A$2509,0,-1),FALSE)), "Código de barras duplicado", ""), IF(AND(E1873&lt;&gt;"", COUNTIF($E$2:$E$2509, E1873)&gt;1), "SKU duplicado", ""), IF(OR(J1873="", J1873=""), "[Aviso] División no capturada ()", IF(ISNA(MATCH(J1873, Criterios!$A$123:$A$126, 0)), "División no válida", "")), IF(OR(K1873="", K1873=""), "[Aviso] Categoría no capturada ()", IF(ISNA(MATCH(K1873, Criterios!$A$81:$A$120, 0)), "Categoría no válida", IF(AND(J1873&lt;&gt;"", J1873&lt;&gt;"", J1873&lt;&gt;VLOOKUP(K1873, Criterios!$A$81:$B$120, 2, FALSE)), "División no coincide con Categoría", ""))), IF(OR(L1873="", L1873=""), "[Aviso] Género no capturado ()", IF(ISNA(MATCH(L1873, Criterios!$B$123:$B$127, 0)), "Género no válido", "")), IF(OR(N1873="", N1873=""), "[Aviso] Temporada no capturada ()", IF(ISNA(MATCH(N1873, Criterios!$C$123:$C$128, 0)), "Temporada no válida", "")), IF(OR(O1873="", O1873=""), "[Aviso] Ciclo de vida no capturado ()", IF(ISNA(MATCH(O1873, Criterios!$D$123:$D$124, 0)), "Ciclo de vida no válido", ""))))</f>
        <v/>
      </c>
      <c r="AC1873" s="56" t="n"/>
      <c r="AD1873" s="51" t="n">
        <v>0</v>
      </c>
      <c r="AE1873" s="156" t="inlineStr">
        <is>
          <t>Sin coincidencia en NetSuite</t>
        </is>
      </c>
      <c r="AF1873" s="51" t="n"/>
      <c r="AG1873" s="156" t="inlineStr">
        <is>
          <t>Catálogo existente</t>
        </is>
      </c>
      <c r="AH187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3" s="156" t="n"/>
      <c r="AJ1873" s="156" t="n"/>
      <c r="AK1873" s="155" t="inlineStr">
        <is>
          <t>Shopify Stetson: producto 15054564819307 / variante 53350558335339</t>
        </is>
      </c>
      <c r="AL1873" s="58" t="n"/>
      <c r="AM1873" s="58" t="n">
        <v>4900</v>
      </c>
      <c r="AN1873" s="155" t="inlineStr">
        <is>
          <t>Shopify Stetson México</t>
        </is>
      </c>
      <c r="AO1873" s="59" t="n">
        <v>1</v>
      </c>
      <c r="AP1873" s="59" t="n"/>
      <c r="AQ1873" s="59" t="n"/>
      <c r="AR1873" s="155" t="inlineStr">
        <is>
          <t>Shopify Stetson México › Stetson Americas: 1</t>
        </is>
      </c>
    </row>
    <row r="1874">
      <c r="A1874" s="50" t="inlineStr">
        <is>
          <t>12020004121032275</t>
        </is>
      </c>
      <c r="B1874" s="51" t="n"/>
      <c r="C1874" s="156" t="inlineStr">
        <is>
          <t>Multimarca</t>
        </is>
      </c>
      <c r="D1874" s="156" t="inlineStr">
        <is>
          <t>12-020-BS004-12-1032</t>
        </is>
      </c>
      <c r="E1874" s="156" t="inlineStr">
        <is>
          <t>12-020-BS004-12-1032-275</t>
        </is>
      </c>
      <c r="F1874" s="156" t="inlineStr">
        <is>
          <t>27.5</t>
        </is>
      </c>
      <c r="G1874" s="156" t="inlineStr">
        <is>
          <t>10.5</t>
        </is>
      </c>
      <c r="H1874" s="156" t="inlineStr">
        <is>
          <t>Stetson</t>
        </is>
      </c>
      <c r="I1874" s="156" t="inlineStr">
        <is>
          <t>Bota Piel Vino</t>
        </is>
      </c>
      <c r="J1874" s="156" t="inlineStr">
        <is>
          <t>Calzado</t>
        </is>
      </c>
      <c r="K1874" s="156" t="inlineStr">
        <is>
          <t>Botas</t>
        </is>
      </c>
      <c r="L1874" s="156" t="inlineStr">
        <is>
          <t>Mujer</t>
        </is>
      </c>
      <c r="M1874" s="156" t="inlineStr">
        <is>
          <t>Stetson</t>
        </is>
      </c>
      <c r="N1874" s="156" t="inlineStr">
        <is>
          <t>SS26</t>
        </is>
      </c>
      <c r="O1874" s="156" t="inlineStr">
        <is>
          <t>Seasonal</t>
        </is>
      </c>
      <c r="P1874" s="156" t="inlineStr">
        <is>
          <t>Rojo</t>
        </is>
      </c>
      <c r="Q1874" s="156" t="n"/>
      <c r="R1874" s="156" t="inlineStr">
        <is>
          <t>Horma Agatha</t>
        </is>
      </c>
      <c r="S1874" s="156" t="inlineStr">
        <is>
          <t>Piel bovina</t>
        </is>
      </c>
      <c r="T1874" s="156" t="inlineStr">
        <is>
          <t>Bota Dama Piel bovina Clayton Vino Horma Agatha</t>
        </is>
      </c>
      <c r="U1874" s="156" t="inlineStr">
        <is>
          <t>México</t>
        </is>
      </c>
      <c r="V1874" s="156" t="inlineStr">
        <is>
          <t>PRS</t>
        </is>
      </c>
      <c r="W1874" s="51" t="inlineStr">
        <is>
          <t>53111502</t>
        </is>
      </c>
      <c r="X1874" s="156" t="n"/>
      <c r="Y1874" s="54" t="n"/>
      <c r="Z1874" s="54" t="n">
        <v>4900</v>
      </c>
      <c r="AA1874" s="55">
        <f>IF(AND(A1874="", B1874="", E1874=""), "", IF(AB1874="", "Válido", IF((LEN(AB1874)-LEN(SUBSTITUTE(AB1874,"; ","")))/2+1&gt;(LEN(AB1874)-LEN(SUBSTITUTE(AB1874,"[Aviso]","")))/7, "Con Incidencias", "Válido")))</f>
        <v/>
      </c>
      <c r="AB1874" s="56">
        <f>IF(AND(A1874="", B1874="", E1874=""), "", TEXTJOIN("; ", TRUE, IF(OR(TRIM(A1874&amp;"")="", ISNUMBER(SEARCH("FALTA", A1874))), "UPC faltante/inválido", ""), IF(AND(A1874&lt;&gt;"", IFERROR(_xlfn.XMATCH(A1874,$A$2:$A$2509,0,1)&lt;&gt;_xlfn.XMATCH(A1874,$A$2:$A$2509,0,-1),FALSE)), "Código de barras duplicado", ""), IF(AND(E1874&lt;&gt;"", COUNTIF($E$2:$E$2509, E1874)&gt;1), "SKU duplicado", ""), IF(OR(J1874="", J1874=""), "[Aviso] División no capturada ()", IF(ISNA(MATCH(J1874, Criterios!$A$123:$A$126, 0)), "División no válida", "")), IF(OR(K1874="", K1874=""), "[Aviso] Categoría no capturada ()", IF(ISNA(MATCH(K1874, Criterios!$A$81:$A$120, 0)), "Categoría no válida", IF(AND(J1874&lt;&gt;"", J1874&lt;&gt;"", J1874&lt;&gt;VLOOKUP(K1874, Criterios!$A$81:$B$120, 2, FALSE)), "División no coincide con Categoría", ""))), IF(OR(L1874="", L1874=""), "[Aviso] Género no capturado ()", IF(ISNA(MATCH(L1874, Criterios!$B$123:$B$127, 0)), "Género no válido", "")), IF(OR(N1874="", N1874=""), "[Aviso] Temporada no capturada ()", IF(ISNA(MATCH(N1874, Criterios!$C$123:$C$128, 0)), "Temporada no válida", "")), IF(OR(O1874="", O1874=""), "[Aviso] Ciclo de vida no capturado ()", IF(ISNA(MATCH(O1874, Criterios!$D$123:$D$124, 0)), "Ciclo de vida no válido", ""))))</f>
        <v/>
      </c>
      <c r="AC1874" s="56" t="n"/>
      <c r="AD1874" s="51" t="n">
        <v>0</v>
      </c>
      <c r="AE1874" s="156" t="inlineStr">
        <is>
          <t>Sin coincidencia en NetSuite</t>
        </is>
      </c>
      <c r="AF1874" s="51" t="n"/>
      <c r="AG1874" s="156" t="inlineStr">
        <is>
          <t>Catálogo existente</t>
        </is>
      </c>
      <c r="AH187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4" s="156" t="n"/>
      <c r="AJ1874" s="156" t="n"/>
      <c r="AK1874" s="155" t="inlineStr">
        <is>
          <t>Shopify Stetson: producto 15054564819307 / variante 53350558400875</t>
        </is>
      </c>
      <c r="AL1874" s="58" t="n"/>
      <c r="AM1874" s="58" t="n">
        <v>4900</v>
      </c>
      <c r="AN1874" s="155" t="inlineStr">
        <is>
          <t>Shopify Stetson México</t>
        </is>
      </c>
      <c r="AO1874" s="59" t="n">
        <v>0</v>
      </c>
      <c r="AP1874" s="59" t="n"/>
      <c r="AQ1874" s="59" t="n"/>
      <c r="AR1874" s="155" t="n"/>
    </row>
    <row r="1875">
      <c r="A1875" s="50" t="inlineStr">
        <is>
          <t>12020004121033026</t>
        </is>
      </c>
      <c r="B1875" s="51" t="n"/>
      <c r="C1875" s="156" t="inlineStr">
        <is>
          <t>Multimarca</t>
        </is>
      </c>
      <c r="D1875" s="156" t="inlineStr">
        <is>
          <t>12-020-BS004-12-1033</t>
        </is>
      </c>
      <c r="E1875" s="156" t="inlineStr">
        <is>
          <t>12-020-BS004-12-1033-026</t>
        </is>
      </c>
      <c r="F1875" s="156" t="inlineStr">
        <is>
          <t>26</t>
        </is>
      </c>
      <c r="G1875" s="156" t="inlineStr">
        <is>
          <t>9</t>
        </is>
      </c>
      <c r="H1875" s="156" t="inlineStr">
        <is>
          <t>Stetson</t>
        </is>
      </c>
      <c r="I1875" s="156" t="inlineStr">
        <is>
          <t>Bota Piel Terracota</t>
        </is>
      </c>
      <c r="J1875" s="156" t="inlineStr">
        <is>
          <t>Calzado</t>
        </is>
      </c>
      <c r="K1875" s="156" t="inlineStr">
        <is>
          <t>Botas</t>
        </is>
      </c>
      <c r="L1875" s="156" t="inlineStr">
        <is>
          <t>Mujer</t>
        </is>
      </c>
      <c r="M1875" s="156" t="inlineStr">
        <is>
          <t>Stetson</t>
        </is>
      </c>
      <c r="N1875" s="156" t="inlineStr">
        <is>
          <t>SS26</t>
        </is>
      </c>
      <c r="O1875" s="156" t="inlineStr">
        <is>
          <t>Seasonal</t>
        </is>
      </c>
      <c r="P1875" s="156" t="inlineStr">
        <is>
          <t>Cafe</t>
        </is>
      </c>
      <c r="Q1875" s="156" t="n"/>
      <c r="R1875" s="156" t="inlineStr">
        <is>
          <t>Horma Agatha</t>
        </is>
      </c>
      <c r="S1875" s="156" t="inlineStr">
        <is>
          <t>Piel bovina</t>
        </is>
      </c>
      <c r="T1875" s="156" t="inlineStr">
        <is>
          <t>Bota Dama Piel bovina Clayton Terracota Horma Agatha</t>
        </is>
      </c>
      <c r="U1875" s="156" t="inlineStr">
        <is>
          <t>México</t>
        </is>
      </c>
      <c r="V1875" s="156" t="inlineStr">
        <is>
          <t>PRS</t>
        </is>
      </c>
      <c r="W1875" s="51" t="inlineStr">
        <is>
          <t>53111502</t>
        </is>
      </c>
      <c r="X1875" s="156" t="n"/>
      <c r="Y1875" s="54" t="n"/>
      <c r="Z1875" s="54" t="n">
        <v>4900</v>
      </c>
      <c r="AA1875" s="55">
        <f>IF(AND(A1875="", B1875="", E1875=""), "", IF(AB1875="", "Válido", IF((LEN(AB1875)-LEN(SUBSTITUTE(AB1875,"; ","")))/2+1&gt;(LEN(AB1875)-LEN(SUBSTITUTE(AB1875,"[Aviso]","")))/7, "Con Incidencias", "Válido")))</f>
        <v/>
      </c>
      <c r="AB1875" s="56">
        <f>IF(AND(A1875="", B1875="", E1875=""), "", TEXTJOIN("; ", TRUE, IF(OR(TRIM(A1875&amp;"")="", ISNUMBER(SEARCH("FALTA", A1875))), "UPC faltante/inválido", ""), IF(AND(A1875&lt;&gt;"", IFERROR(_xlfn.XMATCH(A1875,$A$2:$A$2509,0,1)&lt;&gt;_xlfn.XMATCH(A1875,$A$2:$A$2509,0,-1),FALSE)), "Código de barras duplicado", ""), IF(AND(E1875&lt;&gt;"", COUNTIF($E$2:$E$2509, E1875)&gt;1), "SKU duplicado", ""), IF(OR(J1875="", J1875=""), "[Aviso] División no capturada ()", IF(ISNA(MATCH(J1875, Criterios!$A$123:$A$126, 0)), "División no válida", "")), IF(OR(K1875="", K1875=""), "[Aviso] Categoría no capturada ()", IF(ISNA(MATCH(K1875, Criterios!$A$81:$A$120, 0)), "Categoría no válida", IF(AND(J1875&lt;&gt;"", J1875&lt;&gt;"", J1875&lt;&gt;VLOOKUP(K1875, Criterios!$A$81:$B$120, 2, FALSE)), "División no coincide con Categoría", ""))), IF(OR(L1875="", L1875=""), "[Aviso] Género no capturado ()", IF(ISNA(MATCH(L1875, Criterios!$B$123:$B$127, 0)), "Género no válido", "")), IF(OR(N1875="", N1875=""), "[Aviso] Temporada no capturada ()", IF(ISNA(MATCH(N1875, Criterios!$C$123:$C$128, 0)), "Temporada no válida", "")), IF(OR(O1875="", O1875=""), "[Aviso] Ciclo de vida no capturado ()", IF(ISNA(MATCH(O1875, Criterios!$D$123:$D$124, 0)), "Ciclo de vida no válido", ""))))</f>
        <v/>
      </c>
      <c r="AC1875" s="56" t="n"/>
      <c r="AD1875" s="51" t="n">
        <v>0</v>
      </c>
      <c r="AE1875" s="156" t="inlineStr">
        <is>
          <t>Sin coincidencia en NetSuite</t>
        </is>
      </c>
      <c r="AF1875" s="51" t="n"/>
      <c r="AG1875" s="156" t="inlineStr">
        <is>
          <t>Catálogo existente</t>
        </is>
      </c>
      <c r="AH187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5" s="156" t="n"/>
      <c r="AJ1875" s="156" t="n"/>
      <c r="AK1875" s="155" t="inlineStr">
        <is>
          <t>Shopify Stetson: producto 15054564852075 / variante 53350558695787</t>
        </is>
      </c>
      <c r="AL1875" s="58" t="n"/>
      <c r="AM1875" s="58" t="n">
        <v>4900</v>
      </c>
      <c r="AN1875" s="155" t="inlineStr">
        <is>
          <t>Shopify Stetson México</t>
        </is>
      </c>
      <c r="AO1875" s="59" t="n">
        <v>0</v>
      </c>
      <c r="AP1875" s="59" t="n"/>
      <c r="AQ1875" s="59" t="n"/>
      <c r="AR1875" s="155" t="n"/>
    </row>
    <row r="1876">
      <c r="A1876" s="50" t="inlineStr">
        <is>
          <t>12020004121033027</t>
        </is>
      </c>
      <c r="B1876" s="51" t="n"/>
      <c r="C1876" s="156" t="inlineStr">
        <is>
          <t>Multimarca</t>
        </is>
      </c>
      <c r="D1876" s="156" t="inlineStr">
        <is>
          <t>12-020-BS004-12-1033</t>
        </is>
      </c>
      <c r="E1876" s="156" t="inlineStr">
        <is>
          <t>12-020-BS004-12-1033-027</t>
        </is>
      </c>
      <c r="F1876" s="156" t="inlineStr">
        <is>
          <t>27</t>
        </is>
      </c>
      <c r="G1876" s="156" t="inlineStr">
        <is>
          <t>10</t>
        </is>
      </c>
      <c r="H1876" s="156" t="inlineStr">
        <is>
          <t>Stetson</t>
        </is>
      </c>
      <c r="I1876" s="156" t="inlineStr">
        <is>
          <t>Bota Piel Terracota</t>
        </is>
      </c>
      <c r="J1876" s="156" t="inlineStr">
        <is>
          <t>Calzado</t>
        </is>
      </c>
      <c r="K1876" s="156" t="inlineStr">
        <is>
          <t>Botas</t>
        </is>
      </c>
      <c r="L1876" s="156" t="inlineStr">
        <is>
          <t>Mujer</t>
        </is>
      </c>
      <c r="M1876" s="156" t="inlineStr">
        <is>
          <t>Stetson</t>
        </is>
      </c>
      <c r="N1876" s="156" t="inlineStr">
        <is>
          <t>SS26</t>
        </is>
      </c>
      <c r="O1876" s="156" t="inlineStr">
        <is>
          <t>Seasonal</t>
        </is>
      </c>
      <c r="P1876" s="156" t="inlineStr">
        <is>
          <t>Cafe</t>
        </is>
      </c>
      <c r="Q1876" s="156" t="n"/>
      <c r="R1876" s="156" t="inlineStr">
        <is>
          <t>Horma Agatha</t>
        </is>
      </c>
      <c r="S1876" s="156" t="inlineStr">
        <is>
          <t>Piel bovina</t>
        </is>
      </c>
      <c r="T1876" s="156" t="inlineStr">
        <is>
          <t>Bota Dama Piel bovina Clayton Terracota Horma Agatha</t>
        </is>
      </c>
      <c r="U1876" s="156" t="inlineStr">
        <is>
          <t>México</t>
        </is>
      </c>
      <c r="V1876" s="156" t="inlineStr">
        <is>
          <t>PRS</t>
        </is>
      </c>
      <c r="W1876" s="51" t="inlineStr">
        <is>
          <t>53111502</t>
        </is>
      </c>
      <c r="X1876" s="156" t="n"/>
      <c r="Y1876" s="54" t="n"/>
      <c r="Z1876" s="54" t="n">
        <v>4900</v>
      </c>
      <c r="AA1876" s="55">
        <f>IF(AND(A1876="", B1876="", E1876=""), "", IF(AB1876="", "Válido", IF((LEN(AB1876)-LEN(SUBSTITUTE(AB1876,"; ","")))/2+1&gt;(LEN(AB1876)-LEN(SUBSTITUTE(AB1876,"[Aviso]","")))/7, "Con Incidencias", "Válido")))</f>
        <v/>
      </c>
      <c r="AB1876" s="56">
        <f>IF(AND(A1876="", B1876="", E1876=""), "", TEXTJOIN("; ", TRUE, IF(OR(TRIM(A1876&amp;"")="", ISNUMBER(SEARCH("FALTA", A1876))), "UPC faltante/inválido", ""), IF(AND(A1876&lt;&gt;"", IFERROR(_xlfn.XMATCH(A1876,$A$2:$A$2509,0,1)&lt;&gt;_xlfn.XMATCH(A1876,$A$2:$A$2509,0,-1),FALSE)), "Código de barras duplicado", ""), IF(AND(E1876&lt;&gt;"", COUNTIF($E$2:$E$2509, E1876)&gt;1), "SKU duplicado", ""), IF(OR(J1876="", J1876=""), "[Aviso] División no capturada ()", IF(ISNA(MATCH(J1876, Criterios!$A$123:$A$126, 0)), "División no válida", "")), IF(OR(K1876="", K1876=""), "[Aviso] Categoría no capturada ()", IF(ISNA(MATCH(K1876, Criterios!$A$81:$A$120, 0)), "Categoría no válida", IF(AND(J1876&lt;&gt;"", J1876&lt;&gt;"", J1876&lt;&gt;VLOOKUP(K1876, Criterios!$A$81:$B$120, 2, FALSE)), "División no coincide con Categoría", ""))), IF(OR(L1876="", L1876=""), "[Aviso] Género no capturado ()", IF(ISNA(MATCH(L1876, Criterios!$B$123:$B$127, 0)), "Género no válido", "")), IF(OR(N1876="", N1876=""), "[Aviso] Temporada no capturada ()", IF(ISNA(MATCH(N1876, Criterios!$C$123:$C$128, 0)), "Temporada no válida", "")), IF(OR(O1876="", O1876=""), "[Aviso] Ciclo de vida no capturado ()", IF(ISNA(MATCH(O1876, Criterios!$D$123:$D$124, 0)), "Ciclo de vida no válido", ""))))</f>
        <v/>
      </c>
      <c r="AC1876" s="56" t="n"/>
      <c r="AD1876" s="51" t="n">
        <v>0</v>
      </c>
      <c r="AE1876" s="156" t="inlineStr">
        <is>
          <t>Sin coincidencia en NetSuite</t>
        </is>
      </c>
      <c r="AF1876" s="51" t="n"/>
      <c r="AG1876" s="156" t="inlineStr">
        <is>
          <t>Catálogo existente</t>
        </is>
      </c>
      <c r="AH187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6" s="156" t="n"/>
      <c r="AJ1876" s="156" t="n"/>
      <c r="AK1876" s="155" t="inlineStr">
        <is>
          <t>Shopify Stetson: producto 15054564852075 / variante 53350558761323</t>
        </is>
      </c>
      <c r="AL1876" s="58" t="n"/>
      <c r="AM1876" s="58" t="n">
        <v>4900</v>
      </c>
      <c r="AN1876" s="155" t="inlineStr">
        <is>
          <t>Shopify Stetson México</t>
        </is>
      </c>
      <c r="AO1876" s="59" t="n">
        <v>0</v>
      </c>
      <c r="AP1876" s="59" t="n"/>
      <c r="AQ1876" s="59" t="n"/>
      <c r="AR1876" s="155" t="n"/>
    </row>
    <row r="1877">
      <c r="A1877" s="50" t="inlineStr">
        <is>
          <t>12020004121033255</t>
        </is>
      </c>
      <c r="B1877" s="51" t="n"/>
      <c r="C1877" s="156" t="inlineStr">
        <is>
          <t>Multimarca</t>
        </is>
      </c>
      <c r="D1877" s="156" t="inlineStr">
        <is>
          <t>12-020-BS004-12-1033</t>
        </is>
      </c>
      <c r="E1877" s="156" t="inlineStr">
        <is>
          <t>12-020-BS004-12-1033-255</t>
        </is>
      </c>
      <c r="F1877" s="156" t="inlineStr">
        <is>
          <t>25.5</t>
        </is>
      </c>
      <c r="G1877" s="156" t="inlineStr">
        <is>
          <t>8.5</t>
        </is>
      </c>
      <c r="H1877" s="156" t="inlineStr">
        <is>
          <t>Stetson</t>
        </is>
      </c>
      <c r="I1877" s="156" t="inlineStr">
        <is>
          <t>Bota Piel Terracota</t>
        </is>
      </c>
      <c r="J1877" s="156" t="inlineStr">
        <is>
          <t>Calzado</t>
        </is>
      </c>
      <c r="K1877" s="156" t="inlineStr">
        <is>
          <t>Botas</t>
        </is>
      </c>
      <c r="L1877" s="156" t="inlineStr">
        <is>
          <t>Mujer</t>
        </is>
      </c>
      <c r="M1877" s="156" t="inlineStr">
        <is>
          <t>Stetson</t>
        </is>
      </c>
      <c r="N1877" s="156" t="inlineStr">
        <is>
          <t>SS26</t>
        </is>
      </c>
      <c r="O1877" s="156" t="inlineStr">
        <is>
          <t>Seasonal</t>
        </is>
      </c>
      <c r="P1877" s="156" t="inlineStr">
        <is>
          <t>Cafe</t>
        </is>
      </c>
      <c r="Q1877" s="156" t="n"/>
      <c r="R1877" s="156" t="inlineStr">
        <is>
          <t>Horma Agatha</t>
        </is>
      </c>
      <c r="S1877" s="156" t="inlineStr">
        <is>
          <t>Piel bovina</t>
        </is>
      </c>
      <c r="T1877" s="156" t="inlineStr">
        <is>
          <t>Bota Dama Piel bovina Clayton Terracota Horma Agatha</t>
        </is>
      </c>
      <c r="U1877" s="156" t="inlineStr">
        <is>
          <t>México</t>
        </is>
      </c>
      <c r="V1877" s="156" t="inlineStr">
        <is>
          <t>PRS</t>
        </is>
      </c>
      <c r="W1877" s="51" t="inlineStr">
        <is>
          <t>53111502</t>
        </is>
      </c>
      <c r="X1877" s="156" t="n"/>
      <c r="Y1877" s="54" t="n"/>
      <c r="Z1877" s="54" t="n">
        <v>4900</v>
      </c>
      <c r="AA1877" s="55">
        <f>IF(AND(A1877="", B1877="", E1877=""), "", IF(AB1877="", "Válido", IF((LEN(AB1877)-LEN(SUBSTITUTE(AB1877,"; ","")))/2+1&gt;(LEN(AB1877)-LEN(SUBSTITUTE(AB1877,"[Aviso]","")))/7, "Con Incidencias", "Válido")))</f>
        <v/>
      </c>
      <c r="AB1877" s="56">
        <f>IF(AND(A1877="", B1877="", E1877=""), "", TEXTJOIN("; ", TRUE, IF(OR(TRIM(A1877&amp;"")="", ISNUMBER(SEARCH("FALTA", A1877))), "UPC faltante/inválido", ""), IF(AND(A1877&lt;&gt;"", IFERROR(_xlfn.XMATCH(A1877,$A$2:$A$2509,0,1)&lt;&gt;_xlfn.XMATCH(A1877,$A$2:$A$2509,0,-1),FALSE)), "Código de barras duplicado", ""), IF(AND(E1877&lt;&gt;"", COUNTIF($E$2:$E$2509, E1877)&gt;1), "SKU duplicado", ""), IF(OR(J1877="", J1877=""), "[Aviso] División no capturada ()", IF(ISNA(MATCH(J1877, Criterios!$A$123:$A$126, 0)), "División no válida", "")), IF(OR(K1877="", K1877=""), "[Aviso] Categoría no capturada ()", IF(ISNA(MATCH(K1877, Criterios!$A$81:$A$120, 0)), "Categoría no válida", IF(AND(J1877&lt;&gt;"", J1877&lt;&gt;"", J1877&lt;&gt;VLOOKUP(K1877, Criterios!$A$81:$B$120, 2, FALSE)), "División no coincide con Categoría", ""))), IF(OR(L1877="", L1877=""), "[Aviso] Género no capturado ()", IF(ISNA(MATCH(L1877, Criterios!$B$123:$B$127, 0)), "Género no válido", "")), IF(OR(N1877="", N1877=""), "[Aviso] Temporada no capturada ()", IF(ISNA(MATCH(N1877, Criterios!$C$123:$C$128, 0)), "Temporada no válida", "")), IF(OR(O1877="", O1877=""), "[Aviso] Ciclo de vida no capturado ()", IF(ISNA(MATCH(O1877, Criterios!$D$123:$D$124, 0)), "Ciclo de vida no válido", ""))))</f>
        <v/>
      </c>
      <c r="AC1877" s="56" t="n"/>
      <c r="AD1877" s="51" t="n">
        <v>0</v>
      </c>
      <c r="AE1877" s="156" t="inlineStr">
        <is>
          <t>Sin coincidencia en NetSuite</t>
        </is>
      </c>
      <c r="AF1877" s="51" t="n"/>
      <c r="AG1877" s="156" t="inlineStr">
        <is>
          <t>Catálogo existente</t>
        </is>
      </c>
      <c r="AH187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7" s="156" t="n"/>
      <c r="AJ1877" s="156" t="n"/>
      <c r="AK1877" s="155" t="inlineStr">
        <is>
          <t>Shopify Stetson: producto 15054564852075 / variante 53350558663019</t>
        </is>
      </c>
      <c r="AL1877" s="58" t="n"/>
      <c r="AM1877" s="58" t="n">
        <v>4900</v>
      </c>
      <c r="AN1877" s="155" t="inlineStr">
        <is>
          <t>Shopify Stetson México</t>
        </is>
      </c>
      <c r="AO1877" s="59" t="n">
        <v>2</v>
      </c>
      <c r="AP1877" s="59" t="n"/>
      <c r="AQ1877" s="59" t="n"/>
      <c r="AR1877" s="155" t="inlineStr">
        <is>
          <t>Shopify Stetson México › Stetson Americas: 2</t>
        </is>
      </c>
    </row>
    <row r="1878">
      <c r="A1878" s="50" t="inlineStr">
        <is>
          <t>12020004121033265</t>
        </is>
      </c>
      <c r="B1878" s="51" t="n"/>
      <c r="C1878" s="156" t="inlineStr">
        <is>
          <t>Multimarca</t>
        </is>
      </c>
      <c r="D1878" s="156" t="inlineStr">
        <is>
          <t>12-020-BS004-12-1033</t>
        </is>
      </c>
      <c r="E1878" s="156" t="inlineStr">
        <is>
          <t>12-020-BS004-12-1033-265</t>
        </is>
      </c>
      <c r="F1878" s="156" t="inlineStr">
        <is>
          <t>26.5</t>
        </is>
      </c>
      <c r="G1878" s="156" t="inlineStr">
        <is>
          <t>9.5</t>
        </is>
      </c>
      <c r="H1878" s="156" t="inlineStr">
        <is>
          <t>Stetson</t>
        </is>
      </c>
      <c r="I1878" s="156" t="inlineStr">
        <is>
          <t>Bota Piel Terracota</t>
        </is>
      </c>
      <c r="J1878" s="156" t="inlineStr">
        <is>
          <t>Calzado</t>
        </is>
      </c>
      <c r="K1878" s="156" t="inlineStr">
        <is>
          <t>Botas</t>
        </is>
      </c>
      <c r="L1878" s="156" t="inlineStr">
        <is>
          <t>Mujer</t>
        </is>
      </c>
      <c r="M1878" s="156" t="inlineStr">
        <is>
          <t>Stetson</t>
        </is>
      </c>
      <c r="N1878" s="156" t="inlineStr">
        <is>
          <t>SS26</t>
        </is>
      </c>
      <c r="O1878" s="156" t="inlineStr">
        <is>
          <t>Seasonal</t>
        </is>
      </c>
      <c r="P1878" s="156" t="inlineStr">
        <is>
          <t>Cafe</t>
        </is>
      </c>
      <c r="Q1878" s="156" t="n"/>
      <c r="R1878" s="156" t="inlineStr">
        <is>
          <t>Horma Agatha</t>
        </is>
      </c>
      <c r="S1878" s="156" t="inlineStr">
        <is>
          <t>Piel bovina</t>
        </is>
      </c>
      <c r="T1878" s="156" t="inlineStr">
        <is>
          <t>Bota Dama Piel bovina Clayton Terracota Horma Agatha</t>
        </is>
      </c>
      <c r="U1878" s="156" t="inlineStr">
        <is>
          <t>México</t>
        </is>
      </c>
      <c r="V1878" s="156" t="inlineStr">
        <is>
          <t>PRS</t>
        </is>
      </c>
      <c r="W1878" s="51" t="inlineStr">
        <is>
          <t>53111502</t>
        </is>
      </c>
      <c r="X1878" s="156" t="n"/>
      <c r="Y1878" s="54" t="n"/>
      <c r="Z1878" s="54" t="n">
        <v>4900</v>
      </c>
      <c r="AA1878" s="55">
        <f>IF(AND(A1878="", B1878="", E1878=""), "", IF(AB1878="", "Válido", IF((LEN(AB1878)-LEN(SUBSTITUTE(AB1878,"; ","")))/2+1&gt;(LEN(AB1878)-LEN(SUBSTITUTE(AB1878,"[Aviso]","")))/7, "Con Incidencias", "Válido")))</f>
        <v/>
      </c>
      <c r="AB1878" s="56">
        <f>IF(AND(A1878="", B1878="", E1878=""), "", TEXTJOIN("; ", TRUE, IF(OR(TRIM(A1878&amp;"")="", ISNUMBER(SEARCH("FALTA", A1878))), "UPC faltante/inválido", ""), IF(AND(A1878&lt;&gt;"", IFERROR(_xlfn.XMATCH(A1878,$A$2:$A$2509,0,1)&lt;&gt;_xlfn.XMATCH(A1878,$A$2:$A$2509,0,-1),FALSE)), "Código de barras duplicado", ""), IF(AND(E1878&lt;&gt;"", COUNTIF($E$2:$E$2509, E1878)&gt;1), "SKU duplicado", ""), IF(OR(J1878="", J1878=""), "[Aviso] División no capturada ()", IF(ISNA(MATCH(J1878, Criterios!$A$123:$A$126, 0)), "División no válida", "")), IF(OR(K1878="", K1878=""), "[Aviso] Categoría no capturada ()", IF(ISNA(MATCH(K1878, Criterios!$A$81:$A$120, 0)), "Categoría no válida", IF(AND(J1878&lt;&gt;"", J1878&lt;&gt;"", J1878&lt;&gt;VLOOKUP(K1878, Criterios!$A$81:$B$120, 2, FALSE)), "División no coincide con Categoría", ""))), IF(OR(L1878="", L1878=""), "[Aviso] Género no capturado ()", IF(ISNA(MATCH(L1878, Criterios!$B$123:$B$127, 0)), "Género no válido", "")), IF(OR(N1878="", N1878=""), "[Aviso] Temporada no capturada ()", IF(ISNA(MATCH(N1878, Criterios!$C$123:$C$128, 0)), "Temporada no válida", "")), IF(OR(O1878="", O1878=""), "[Aviso] Ciclo de vida no capturado ()", IF(ISNA(MATCH(O1878, Criterios!$D$123:$D$124, 0)), "Ciclo de vida no válido", ""))))</f>
        <v/>
      </c>
      <c r="AC1878" s="56" t="n"/>
      <c r="AD1878" s="51" t="n">
        <v>0</v>
      </c>
      <c r="AE1878" s="156" t="inlineStr">
        <is>
          <t>Sin coincidencia en NetSuite</t>
        </is>
      </c>
      <c r="AF1878" s="51" t="n"/>
      <c r="AG1878" s="156" t="inlineStr">
        <is>
          <t>Catálogo existente</t>
        </is>
      </c>
      <c r="AH187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8" s="156" t="n"/>
      <c r="AJ1878" s="156" t="n"/>
      <c r="AK1878" s="155" t="inlineStr">
        <is>
          <t>Shopify Stetson: producto 15054564852075 / variante 53350558728555</t>
        </is>
      </c>
      <c r="AL1878" s="58" t="n"/>
      <c r="AM1878" s="58" t="n">
        <v>4900</v>
      </c>
      <c r="AN1878" s="155" t="inlineStr">
        <is>
          <t>Shopify Stetson México</t>
        </is>
      </c>
      <c r="AO1878" s="59" t="n">
        <v>1</v>
      </c>
      <c r="AP1878" s="59" t="n"/>
      <c r="AQ1878" s="59" t="n"/>
      <c r="AR1878" s="155" t="inlineStr">
        <is>
          <t>Shopify Stetson México › Stetson Americas: 1</t>
        </is>
      </c>
    </row>
    <row r="1879">
      <c r="A1879" s="50" t="inlineStr">
        <is>
          <t>12020004121033275</t>
        </is>
      </c>
      <c r="B1879" s="51" t="n"/>
      <c r="C1879" s="156" t="inlineStr">
        <is>
          <t>Multimarca</t>
        </is>
      </c>
      <c r="D1879" s="156" t="inlineStr">
        <is>
          <t>12-020-BS004-12-1033</t>
        </is>
      </c>
      <c r="E1879" s="156" t="inlineStr">
        <is>
          <t>12-020-BS004-12-1033-275</t>
        </is>
      </c>
      <c r="F1879" s="156" t="inlineStr">
        <is>
          <t>27.5</t>
        </is>
      </c>
      <c r="G1879" s="156" t="inlineStr">
        <is>
          <t>10.5</t>
        </is>
      </c>
      <c r="H1879" s="156" t="inlineStr">
        <is>
          <t>Stetson</t>
        </is>
      </c>
      <c r="I1879" s="156" t="inlineStr">
        <is>
          <t>Bota Piel Terracota</t>
        </is>
      </c>
      <c r="J1879" s="156" t="inlineStr">
        <is>
          <t>Calzado</t>
        </is>
      </c>
      <c r="K1879" s="156" t="inlineStr">
        <is>
          <t>Botas</t>
        </is>
      </c>
      <c r="L1879" s="156" t="inlineStr">
        <is>
          <t>Mujer</t>
        </is>
      </c>
      <c r="M1879" s="156" t="inlineStr">
        <is>
          <t>Stetson</t>
        </is>
      </c>
      <c r="N1879" s="156" t="inlineStr">
        <is>
          <t>SS26</t>
        </is>
      </c>
      <c r="O1879" s="156" t="inlineStr">
        <is>
          <t>Seasonal</t>
        </is>
      </c>
      <c r="P1879" s="156" t="inlineStr">
        <is>
          <t>Cafe</t>
        </is>
      </c>
      <c r="Q1879" s="156" t="n"/>
      <c r="R1879" s="156" t="inlineStr">
        <is>
          <t>Horma Agatha</t>
        </is>
      </c>
      <c r="S1879" s="156" t="inlineStr">
        <is>
          <t>Piel bovina</t>
        </is>
      </c>
      <c r="T1879" s="156" t="inlineStr">
        <is>
          <t>Bota Dama Piel bovina Clayton Terracota Horma Agatha</t>
        </is>
      </c>
      <c r="U1879" s="156" t="inlineStr">
        <is>
          <t>México</t>
        </is>
      </c>
      <c r="V1879" s="156" t="inlineStr">
        <is>
          <t>PRS</t>
        </is>
      </c>
      <c r="W1879" s="51" t="inlineStr">
        <is>
          <t>53111502</t>
        </is>
      </c>
      <c r="X1879" s="156" t="n"/>
      <c r="Y1879" s="54" t="n"/>
      <c r="Z1879" s="54" t="n">
        <v>4900</v>
      </c>
      <c r="AA1879" s="55">
        <f>IF(AND(A1879="", B1879="", E1879=""), "", IF(AB1879="", "Válido", IF((LEN(AB1879)-LEN(SUBSTITUTE(AB1879,"; ","")))/2+1&gt;(LEN(AB1879)-LEN(SUBSTITUTE(AB1879,"[Aviso]","")))/7, "Con Incidencias", "Válido")))</f>
        <v/>
      </c>
      <c r="AB1879" s="56">
        <f>IF(AND(A1879="", B1879="", E1879=""), "", TEXTJOIN("; ", TRUE, IF(OR(TRIM(A1879&amp;"")="", ISNUMBER(SEARCH("FALTA", A1879))), "UPC faltante/inválido", ""), IF(AND(A1879&lt;&gt;"", IFERROR(_xlfn.XMATCH(A1879,$A$2:$A$2509,0,1)&lt;&gt;_xlfn.XMATCH(A1879,$A$2:$A$2509,0,-1),FALSE)), "Código de barras duplicado", ""), IF(AND(E1879&lt;&gt;"", COUNTIF($E$2:$E$2509, E1879)&gt;1), "SKU duplicado", ""), IF(OR(J1879="", J1879=""), "[Aviso] División no capturada ()", IF(ISNA(MATCH(J1879, Criterios!$A$123:$A$126, 0)), "División no válida", "")), IF(OR(K1879="", K1879=""), "[Aviso] Categoría no capturada ()", IF(ISNA(MATCH(K1879, Criterios!$A$81:$A$120, 0)), "Categoría no válida", IF(AND(J1879&lt;&gt;"", J1879&lt;&gt;"", J1879&lt;&gt;VLOOKUP(K1879, Criterios!$A$81:$B$120, 2, FALSE)), "División no coincide con Categoría", ""))), IF(OR(L1879="", L1879=""), "[Aviso] Género no capturado ()", IF(ISNA(MATCH(L1879, Criterios!$B$123:$B$127, 0)), "Género no válido", "")), IF(OR(N1879="", N1879=""), "[Aviso] Temporada no capturada ()", IF(ISNA(MATCH(N1879, Criterios!$C$123:$C$128, 0)), "Temporada no válida", "")), IF(OR(O1879="", O1879=""), "[Aviso] Ciclo de vida no capturado ()", IF(ISNA(MATCH(O1879, Criterios!$D$123:$D$124, 0)), "Ciclo de vida no válido", ""))))</f>
        <v/>
      </c>
      <c r="AC1879" s="56" t="n"/>
      <c r="AD1879" s="51" t="n">
        <v>0</v>
      </c>
      <c r="AE1879" s="156" t="inlineStr">
        <is>
          <t>Sin coincidencia en NetSuite</t>
        </is>
      </c>
      <c r="AF1879" s="51" t="n"/>
      <c r="AG1879" s="156" t="inlineStr">
        <is>
          <t>Catálogo existente</t>
        </is>
      </c>
      <c r="AH187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9" s="156" t="n"/>
      <c r="AJ1879" s="156" t="n"/>
      <c r="AK1879" s="155" t="inlineStr">
        <is>
          <t>Shopify Stetson: producto 15054564852075 / variante 53350558794091</t>
        </is>
      </c>
      <c r="AL1879" s="58" t="n"/>
      <c r="AM1879" s="58" t="n">
        <v>4900</v>
      </c>
      <c r="AN1879" s="155" t="inlineStr">
        <is>
          <t>Shopify Stetson México</t>
        </is>
      </c>
      <c r="AO1879" s="59" t="n">
        <v>0</v>
      </c>
      <c r="AP1879" s="59" t="n"/>
      <c r="AQ1879" s="59" t="n"/>
      <c r="AR1879" s="155" t="n"/>
    </row>
    <row r="1880">
      <c r="A1880" s="50" t="inlineStr">
        <is>
          <t>12020004131041026</t>
        </is>
      </c>
      <c r="B1880" s="51" t="n"/>
      <c r="C1880" s="156" t="inlineStr">
        <is>
          <t>Multimarca</t>
        </is>
      </c>
      <c r="D1880" s="156" t="inlineStr">
        <is>
          <t>12-020-BS004-13-1041</t>
        </is>
      </c>
      <c r="E1880" s="156" t="inlineStr">
        <is>
          <t>12-020-BS004-13-1041-026</t>
        </is>
      </c>
      <c r="F1880" s="156" t="inlineStr">
        <is>
          <t>26</t>
        </is>
      </c>
      <c r="G1880" s="156" t="inlineStr">
        <is>
          <t>9</t>
        </is>
      </c>
      <c r="H1880" s="156" t="inlineStr">
        <is>
          <t>Stetson</t>
        </is>
      </c>
      <c r="I1880" s="156" t="inlineStr">
        <is>
          <t>Bota Dama Caimán Negro</t>
        </is>
      </c>
      <c r="J1880" s="156" t="inlineStr">
        <is>
          <t>Calzado</t>
        </is>
      </c>
      <c r="K1880" s="156" t="inlineStr">
        <is>
          <t>Botas</t>
        </is>
      </c>
      <c r="L1880" s="156" t="inlineStr">
        <is>
          <t>Mujer</t>
        </is>
      </c>
      <c r="M1880" s="156" t="inlineStr">
        <is>
          <t>Stetson</t>
        </is>
      </c>
      <c r="N1880" s="156" t="inlineStr">
        <is>
          <t>SS26</t>
        </is>
      </c>
      <c r="O1880" s="156" t="n"/>
      <c r="P1880" s="156" t="inlineStr">
        <is>
          <t>Negro</t>
        </is>
      </c>
      <c r="Q1880" s="156" t="n"/>
      <c r="R1880" s="156" t="inlineStr">
        <is>
          <t>Horma Alexia</t>
        </is>
      </c>
      <c r="S1880" s="156" t="inlineStr">
        <is>
          <t>Piel de caimán</t>
        </is>
      </c>
      <c r="T1880" s="156" t="inlineStr">
        <is>
          <t>Bota Dama Piel de caimán Negro Horma Alexia</t>
        </is>
      </c>
      <c r="U1880" s="156" t="n"/>
      <c r="V1880" s="156" t="inlineStr">
        <is>
          <t>PRS</t>
        </is>
      </c>
      <c r="W1880" s="51" t="inlineStr">
        <is>
          <t>53111502</t>
        </is>
      </c>
      <c r="X1880" s="156" t="n"/>
      <c r="Y1880" s="54" t="n"/>
      <c r="Z1880" s="54" t="n">
        <v>10000</v>
      </c>
      <c r="AA1880" s="55">
        <f>IF(AND(A1880="", B1880="", E1880=""), "", IF(AB1880="", "Válido", IF((LEN(AB1880)-LEN(SUBSTITUTE(AB1880,"; ","")))/2+1&gt;(LEN(AB1880)-LEN(SUBSTITUTE(AB1880,"[Aviso]","")))/7, "Con Incidencias", "Válido")))</f>
        <v/>
      </c>
      <c r="AB1880" s="56">
        <f>IF(AND(A1880="", B1880="", E1880=""), "", TEXTJOIN("; ", TRUE, IF(OR(TRIM(A1880&amp;"")="", ISNUMBER(SEARCH("FALTA", A1880))), "UPC faltante/inválido", ""), IF(AND(A1880&lt;&gt;"", IFERROR(_xlfn.XMATCH(A1880,$A$2:$A$2509,0,1)&lt;&gt;_xlfn.XMATCH(A1880,$A$2:$A$2509,0,-1),FALSE)), "Código de barras duplicado", ""), IF(AND(E1880&lt;&gt;"", COUNTIF($E$2:$E$2509, E1880)&gt;1), "SKU duplicado", ""), IF(OR(J1880="", J1880=""), "[Aviso] División no capturada ()", IF(ISNA(MATCH(J1880, Criterios!$A$123:$A$126, 0)), "División no válida", "")), IF(OR(K1880="", K1880=""), "[Aviso] Categoría no capturada ()", IF(ISNA(MATCH(K1880, Criterios!$A$81:$A$120, 0)), "Categoría no válida", IF(AND(J1880&lt;&gt;"", J1880&lt;&gt;"", J1880&lt;&gt;VLOOKUP(K1880, Criterios!$A$81:$B$120, 2, FALSE)), "División no coincide con Categoría", ""))), IF(OR(L1880="", L1880=""), "[Aviso] Género no capturado ()", IF(ISNA(MATCH(L1880, Criterios!$B$123:$B$127, 0)), "Género no válido", "")), IF(OR(N1880="", N1880=""), "[Aviso] Temporada no capturada ()", IF(ISNA(MATCH(N1880, Criterios!$C$123:$C$128, 0)), "Temporada no válida", "")), IF(OR(O1880="", O1880=""), "[Aviso] Ciclo de vida no capturado ()", IF(ISNA(MATCH(O1880, Criterios!$D$123:$D$124, 0)), "Ciclo de vida no válido", ""))))</f>
        <v/>
      </c>
      <c r="AC1880" s="56" t="n"/>
      <c r="AD1880" s="51" t="n">
        <v>0</v>
      </c>
      <c r="AE1880" s="156" t="inlineStr">
        <is>
          <t>Sin coincidencia en NetSuite</t>
        </is>
      </c>
      <c r="AF1880" s="51" t="n"/>
      <c r="AG1880" s="156" t="inlineStr">
        <is>
          <t>Catálogo existente</t>
        </is>
      </c>
      <c r="AH188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0" s="156" t="n"/>
      <c r="AJ1880" s="156" t="n"/>
      <c r="AK1880" s="155" t="inlineStr">
        <is>
          <t>Shopify Stetson: producto 15054565114219 / variante 53350561841515</t>
        </is>
      </c>
      <c r="AL1880" s="58" t="n"/>
      <c r="AM1880" s="58" t="n">
        <v>10000</v>
      </c>
      <c r="AN1880" s="155" t="inlineStr">
        <is>
          <t>Shopify Stetson México</t>
        </is>
      </c>
      <c r="AO1880" s="59" t="n">
        <v>0</v>
      </c>
      <c r="AP1880" s="59" t="n"/>
      <c r="AQ1880" s="59" t="n"/>
      <c r="AR1880" s="155" t="n"/>
    </row>
    <row r="1881">
      <c r="A1881" s="50" t="inlineStr">
        <is>
          <t>12020004131041027</t>
        </is>
      </c>
      <c r="B1881" s="51" t="n"/>
      <c r="C1881" s="156" t="inlineStr">
        <is>
          <t>Multimarca</t>
        </is>
      </c>
      <c r="D1881" s="156" t="inlineStr">
        <is>
          <t>12-020-BS004-13-1041</t>
        </is>
      </c>
      <c r="E1881" s="156" t="inlineStr">
        <is>
          <t>12-020-BS004-13-1041-027</t>
        </is>
      </c>
      <c r="F1881" s="156" t="inlineStr">
        <is>
          <t>27</t>
        </is>
      </c>
      <c r="G1881" s="156" t="inlineStr">
        <is>
          <t>10</t>
        </is>
      </c>
      <c r="H1881" s="156" t="inlineStr">
        <is>
          <t>Stetson</t>
        </is>
      </c>
      <c r="I1881" s="156" t="inlineStr">
        <is>
          <t>Bota Dama Caimán Negro</t>
        </is>
      </c>
      <c r="J1881" s="156" t="inlineStr">
        <is>
          <t>Calzado</t>
        </is>
      </c>
      <c r="K1881" s="156" t="inlineStr">
        <is>
          <t>Botas</t>
        </is>
      </c>
      <c r="L1881" s="156" t="inlineStr">
        <is>
          <t>Mujer</t>
        </is>
      </c>
      <c r="M1881" s="156" t="inlineStr">
        <is>
          <t>Stetson</t>
        </is>
      </c>
      <c r="N1881" s="156" t="inlineStr">
        <is>
          <t>SS26</t>
        </is>
      </c>
      <c r="O1881" s="156" t="n"/>
      <c r="P1881" s="156" t="inlineStr">
        <is>
          <t>Negro</t>
        </is>
      </c>
      <c r="Q1881" s="156" t="n"/>
      <c r="R1881" s="156" t="inlineStr">
        <is>
          <t>Horma Alexia</t>
        </is>
      </c>
      <c r="S1881" s="156" t="inlineStr">
        <is>
          <t>Piel de caimán</t>
        </is>
      </c>
      <c r="T1881" s="156" t="inlineStr">
        <is>
          <t>Bota Dama Piel de caimán Negro Horma Alexia</t>
        </is>
      </c>
      <c r="U1881" s="156" t="n"/>
      <c r="V1881" s="156" t="inlineStr">
        <is>
          <t>PRS</t>
        </is>
      </c>
      <c r="W1881" s="51" t="inlineStr">
        <is>
          <t>53111502</t>
        </is>
      </c>
      <c r="X1881" s="156" t="n"/>
      <c r="Y1881" s="54" t="n"/>
      <c r="Z1881" s="54" t="n">
        <v>10000</v>
      </c>
      <c r="AA1881" s="55">
        <f>IF(AND(A1881="", B1881="", E1881=""), "", IF(AB1881="", "Válido", IF((LEN(AB1881)-LEN(SUBSTITUTE(AB1881,"; ","")))/2+1&gt;(LEN(AB1881)-LEN(SUBSTITUTE(AB1881,"[Aviso]","")))/7, "Con Incidencias", "Válido")))</f>
        <v/>
      </c>
      <c r="AB1881" s="56">
        <f>IF(AND(A1881="", B1881="", E1881=""), "", TEXTJOIN("; ", TRUE, IF(OR(TRIM(A1881&amp;"")="", ISNUMBER(SEARCH("FALTA", A1881))), "UPC faltante/inválido", ""), IF(AND(A1881&lt;&gt;"", IFERROR(_xlfn.XMATCH(A1881,$A$2:$A$2509,0,1)&lt;&gt;_xlfn.XMATCH(A1881,$A$2:$A$2509,0,-1),FALSE)), "Código de barras duplicado", ""), IF(AND(E1881&lt;&gt;"", COUNTIF($E$2:$E$2509, E1881)&gt;1), "SKU duplicado", ""), IF(OR(J1881="", J1881=""), "[Aviso] División no capturada ()", IF(ISNA(MATCH(J1881, Criterios!$A$123:$A$126, 0)), "División no válida", "")), IF(OR(K1881="", K1881=""), "[Aviso] Categoría no capturada ()", IF(ISNA(MATCH(K1881, Criterios!$A$81:$A$120, 0)), "Categoría no válida", IF(AND(J1881&lt;&gt;"", J1881&lt;&gt;"", J1881&lt;&gt;VLOOKUP(K1881, Criterios!$A$81:$B$120, 2, FALSE)), "División no coincide con Categoría", ""))), IF(OR(L1881="", L1881=""), "[Aviso] Género no capturado ()", IF(ISNA(MATCH(L1881, Criterios!$B$123:$B$127, 0)), "Género no válido", "")), IF(OR(N1881="", N1881=""), "[Aviso] Temporada no capturada ()", IF(ISNA(MATCH(N1881, Criterios!$C$123:$C$128, 0)), "Temporada no válida", "")), IF(OR(O1881="", O1881=""), "[Aviso] Ciclo de vida no capturado ()", IF(ISNA(MATCH(O1881, Criterios!$D$123:$D$124, 0)), "Ciclo de vida no válido", ""))))</f>
        <v/>
      </c>
      <c r="AC1881" s="56" t="n"/>
      <c r="AD1881" s="51" t="n">
        <v>0</v>
      </c>
      <c r="AE1881" s="156" t="inlineStr">
        <is>
          <t>Sin coincidencia en NetSuite</t>
        </is>
      </c>
      <c r="AF1881" s="51" t="n"/>
      <c r="AG1881" s="156" t="inlineStr">
        <is>
          <t>Catálogo existente</t>
        </is>
      </c>
      <c r="AH188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1" s="156" t="n"/>
      <c r="AJ1881" s="156" t="n"/>
      <c r="AK1881" s="155" t="inlineStr">
        <is>
          <t>Shopify Stetson: producto 15054565114219 / variante 53350561907051</t>
        </is>
      </c>
      <c r="AL1881" s="58" t="n"/>
      <c r="AM1881" s="58" t="n">
        <v>10000</v>
      </c>
      <c r="AN1881" s="155" t="inlineStr">
        <is>
          <t>Shopify Stetson México</t>
        </is>
      </c>
      <c r="AO1881" s="59" t="n">
        <v>0</v>
      </c>
      <c r="AP1881" s="59" t="n"/>
      <c r="AQ1881" s="59" t="n"/>
      <c r="AR1881" s="155" t="n"/>
    </row>
    <row r="1882">
      <c r="A1882" s="50" t="inlineStr">
        <is>
          <t>12020004131041255</t>
        </is>
      </c>
      <c r="B1882" s="51" t="n"/>
      <c r="C1882" s="156" t="inlineStr">
        <is>
          <t>Multimarca</t>
        </is>
      </c>
      <c r="D1882" s="156" t="inlineStr">
        <is>
          <t>12-020-BS004-13-1041</t>
        </is>
      </c>
      <c r="E1882" s="156" t="inlineStr">
        <is>
          <t>12-020-BS004-13-1041-255</t>
        </is>
      </c>
      <c r="F1882" s="156" t="inlineStr">
        <is>
          <t>25.5</t>
        </is>
      </c>
      <c r="G1882" s="156" t="inlineStr">
        <is>
          <t>8.5</t>
        </is>
      </c>
      <c r="H1882" s="156" t="inlineStr">
        <is>
          <t>Stetson</t>
        </is>
      </c>
      <c r="I1882" s="156" t="inlineStr">
        <is>
          <t>Bota Dama Caimán Negro</t>
        </is>
      </c>
      <c r="J1882" s="156" t="inlineStr">
        <is>
          <t>Calzado</t>
        </is>
      </c>
      <c r="K1882" s="156" t="inlineStr">
        <is>
          <t>Botas</t>
        </is>
      </c>
      <c r="L1882" s="156" t="inlineStr">
        <is>
          <t>Mujer</t>
        </is>
      </c>
      <c r="M1882" s="156" t="inlineStr">
        <is>
          <t>Stetson</t>
        </is>
      </c>
      <c r="N1882" s="156" t="inlineStr">
        <is>
          <t>SS26</t>
        </is>
      </c>
      <c r="O1882" s="156" t="n"/>
      <c r="P1882" s="156" t="inlineStr">
        <is>
          <t>Negro</t>
        </is>
      </c>
      <c r="Q1882" s="156" t="n"/>
      <c r="R1882" s="156" t="inlineStr">
        <is>
          <t>Horma Alexia</t>
        </is>
      </c>
      <c r="S1882" s="156" t="inlineStr">
        <is>
          <t>Piel de caimán</t>
        </is>
      </c>
      <c r="T1882" s="156" t="inlineStr">
        <is>
          <t>Bota Dama Piel de caimán Negro Horma Alexia</t>
        </is>
      </c>
      <c r="U1882" s="156" t="n"/>
      <c r="V1882" s="156" t="inlineStr">
        <is>
          <t>PRS</t>
        </is>
      </c>
      <c r="W1882" s="51" t="inlineStr">
        <is>
          <t>53111502</t>
        </is>
      </c>
      <c r="X1882" s="156" t="n"/>
      <c r="Y1882" s="54" t="n"/>
      <c r="Z1882" s="54" t="n">
        <v>10000</v>
      </c>
      <c r="AA1882" s="55">
        <f>IF(AND(A1882="", B1882="", E1882=""), "", IF(AB1882="", "Válido", IF((LEN(AB1882)-LEN(SUBSTITUTE(AB1882,"; ","")))/2+1&gt;(LEN(AB1882)-LEN(SUBSTITUTE(AB1882,"[Aviso]","")))/7, "Con Incidencias", "Válido")))</f>
        <v/>
      </c>
      <c r="AB1882" s="56">
        <f>IF(AND(A1882="", B1882="", E1882=""), "", TEXTJOIN("; ", TRUE, IF(OR(TRIM(A1882&amp;"")="", ISNUMBER(SEARCH("FALTA", A1882))), "UPC faltante/inválido", ""), IF(AND(A1882&lt;&gt;"", IFERROR(_xlfn.XMATCH(A1882,$A$2:$A$2509,0,1)&lt;&gt;_xlfn.XMATCH(A1882,$A$2:$A$2509,0,-1),FALSE)), "Código de barras duplicado", ""), IF(AND(E1882&lt;&gt;"", COUNTIF($E$2:$E$2509, E1882)&gt;1), "SKU duplicado", ""), IF(OR(J1882="", J1882=""), "[Aviso] División no capturada ()", IF(ISNA(MATCH(J1882, Criterios!$A$123:$A$126, 0)), "División no válida", "")), IF(OR(K1882="", K1882=""), "[Aviso] Categoría no capturada ()", IF(ISNA(MATCH(K1882, Criterios!$A$81:$A$120, 0)), "Categoría no válida", IF(AND(J1882&lt;&gt;"", J1882&lt;&gt;"", J1882&lt;&gt;VLOOKUP(K1882, Criterios!$A$81:$B$120, 2, FALSE)), "División no coincide con Categoría", ""))), IF(OR(L1882="", L1882=""), "[Aviso] Género no capturado ()", IF(ISNA(MATCH(L1882, Criterios!$B$123:$B$127, 0)), "Género no válido", "")), IF(OR(N1882="", N1882=""), "[Aviso] Temporada no capturada ()", IF(ISNA(MATCH(N1882, Criterios!$C$123:$C$128, 0)), "Temporada no válida", "")), IF(OR(O1882="", O1882=""), "[Aviso] Ciclo de vida no capturado ()", IF(ISNA(MATCH(O1882, Criterios!$D$123:$D$124, 0)), "Ciclo de vida no válido", ""))))</f>
        <v/>
      </c>
      <c r="AC1882" s="56" t="n"/>
      <c r="AD1882" s="51" t="n">
        <v>0</v>
      </c>
      <c r="AE1882" s="156" t="inlineStr">
        <is>
          <t>Sin coincidencia en NetSuite</t>
        </is>
      </c>
      <c r="AF1882" s="51" t="n"/>
      <c r="AG1882" s="156" t="inlineStr">
        <is>
          <t>Catálogo existente</t>
        </is>
      </c>
      <c r="AH188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2" s="156" t="n"/>
      <c r="AJ1882" s="156" t="n"/>
      <c r="AK1882" s="155" t="inlineStr">
        <is>
          <t>Shopify Stetson: producto 15054565114219 / variante 53350561808747</t>
        </is>
      </c>
      <c r="AL1882" s="58" t="n"/>
      <c r="AM1882" s="58" t="n">
        <v>10000</v>
      </c>
      <c r="AN1882" s="155" t="inlineStr">
        <is>
          <t>Shopify Stetson México</t>
        </is>
      </c>
      <c r="AO1882" s="59" t="n">
        <v>0</v>
      </c>
      <c r="AP1882" s="59" t="n"/>
      <c r="AQ1882" s="59" t="n"/>
      <c r="AR1882" s="155" t="n"/>
    </row>
    <row r="1883">
      <c r="A1883" s="50" t="inlineStr">
        <is>
          <t>12020004131041265</t>
        </is>
      </c>
      <c r="B1883" s="51" t="n"/>
      <c r="C1883" s="156" t="inlineStr">
        <is>
          <t>Multimarca</t>
        </is>
      </c>
      <c r="D1883" s="156" t="inlineStr">
        <is>
          <t>12-020-BS004-13-1041</t>
        </is>
      </c>
      <c r="E1883" s="156" t="inlineStr">
        <is>
          <t>12-020-BS004-13-1041-265</t>
        </is>
      </c>
      <c r="F1883" s="156" t="inlineStr">
        <is>
          <t>26.5</t>
        </is>
      </c>
      <c r="G1883" s="156" t="inlineStr">
        <is>
          <t>9.5</t>
        </is>
      </c>
      <c r="H1883" s="156" t="inlineStr">
        <is>
          <t>Stetson</t>
        </is>
      </c>
      <c r="I1883" s="156" t="inlineStr">
        <is>
          <t>Bota Dama Caimán Negro</t>
        </is>
      </c>
      <c r="J1883" s="156" t="inlineStr">
        <is>
          <t>Calzado</t>
        </is>
      </c>
      <c r="K1883" s="156" t="inlineStr">
        <is>
          <t>Botas</t>
        </is>
      </c>
      <c r="L1883" s="156" t="inlineStr">
        <is>
          <t>Mujer</t>
        </is>
      </c>
      <c r="M1883" s="156" t="inlineStr">
        <is>
          <t>Stetson</t>
        </is>
      </c>
      <c r="N1883" s="156" t="inlineStr">
        <is>
          <t>SS26</t>
        </is>
      </c>
      <c r="O1883" s="156" t="n"/>
      <c r="P1883" s="156" t="inlineStr">
        <is>
          <t>Negro</t>
        </is>
      </c>
      <c r="Q1883" s="156" t="n"/>
      <c r="R1883" s="156" t="inlineStr">
        <is>
          <t>Horma Alexia</t>
        </is>
      </c>
      <c r="S1883" s="156" t="inlineStr">
        <is>
          <t>Piel de caimán</t>
        </is>
      </c>
      <c r="T1883" s="156" t="inlineStr">
        <is>
          <t>Bota Dama Piel de caimán Negro Horma Alexia</t>
        </is>
      </c>
      <c r="U1883" s="156" t="n"/>
      <c r="V1883" s="156" t="inlineStr">
        <is>
          <t>PRS</t>
        </is>
      </c>
      <c r="W1883" s="51" t="inlineStr">
        <is>
          <t>53111502</t>
        </is>
      </c>
      <c r="X1883" s="156" t="n"/>
      <c r="Y1883" s="54" t="n"/>
      <c r="Z1883" s="54" t="n">
        <v>10000</v>
      </c>
      <c r="AA1883" s="55">
        <f>IF(AND(A1883="", B1883="", E1883=""), "", IF(AB1883="", "Válido", IF((LEN(AB1883)-LEN(SUBSTITUTE(AB1883,"; ","")))/2+1&gt;(LEN(AB1883)-LEN(SUBSTITUTE(AB1883,"[Aviso]","")))/7, "Con Incidencias", "Válido")))</f>
        <v/>
      </c>
      <c r="AB1883" s="56">
        <f>IF(AND(A1883="", B1883="", E1883=""), "", TEXTJOIN("; ", TRUE, IF(OR(TRIM(A1883&amp;"")="", ISNUMBER(SEARCH("FALTA", A1883))), "UPC faltante/inválido", ""), IF(AND(A1883&lt;&gt;"", IFERROR(_xlfn.XMATCH(A1883,$A$2:$A$2509,0,1)&lt;&gt;_xlfn.XMATCH(A1883,$A$2:$A$2509,0,-1),FALSE)), "Código de barras duplicado", ""), IF(AND(E1883&lt;&gt;"", COUNTIF($E$2:$E$2509, E1883)&gt;1), "SKU duplicado", ""), IF(OR(J1883="", J1883=""), "[Aviso] División no capturada ()", IF(ISNA(MATCH(J1883, Criterios!$A$123:$A$126, 0)), "División no válida", "")), IF(OR(K1883="", K1883=""), "[Aviso] Categoría no capturada ()", IF(ISNA(MATCH(K1883, Criterios!$A$81:$A$120, 0)), "Categoría no válida", IF(AND(J1883&lt;&gt;"", J1883&lt;&gt;"", J1883&lt;&gt;VLOOKUP(K1883, Criterios!$A$81:$B$120, 2, FALSE)), "División no coincide con Categoría", ""))), IF(OR(L1883="", L1883=""), "[Aviso] Género no capturado ()", IF(ISNA(MATCH(L1883, Criterios!$B$123:$B$127, 0)), "Género no válido", "")), IF(OR(N1883="", N1883=""), "[Aviso] Temporada no capturada ()", IF(ISNA(MATCH(N1883, Criterios!$C$123:$C$128, 0)), "Temporada no válida", "")), IF(OR(O1883="", O1883=""), "[Aviso] Ciclo de vida no capturado ()", IF(ISNA(MATCH(O1883, Criterios!$D$123:$D$124, 0)), "Ciclo de vida no válido", ""))))</f>
        <v/>
      </c>
      <c r="AC1883" s="56" t="n"/>
      <c r="AD1883" s="51" t="n">
        <v>0</v>
      </c>
      <c r="AE1883" s="156" t="inlineStr">
        <is>
          <t>Sin coincidencia en NetSuite</t>
        </is>
      </c>
      <c r="AF1883" s="51" t="n"/>
      <c r="AG1883" s="156" t="inlineStr">
        <is>
          <t>Catálogo existente</t>
        </is>
      </c>
      <c r="AH188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3" s="156" t="n"/>
      <c r="AJ1883" s="156" t="n"/>
      <c r="AK1883" s="155" t="inlineStr">
        <is>
          <t>Shopify Stetson: producto 15054565114219 / variante 53350561874283</t>
        </is>
      </c>
      <c r="AL1883" s="58" t="n"/>
      <c r="AM1883" s="58" t="n">
        <v>10000</v>
      </c>
      <c r="AN1883" s="155" t="inlineStr">
        <is>
          <t>Shopify Stetson México</t>
        </is>
      </c>
      <c r="AO1883" s="59" t="n">
        <v>0</v>
      </c>
      <c r="AP1883" s="59" t="n"/>
      <c r="AQ1883" s="59" t="n"/>
      <c r="AR1883" s="155" t="n"/>
    </row>
    <row r="1884">
      <c r="A1884" s="50" t="inlineStr">
        <is>
          <t>12020004131041275</t>
        </is>
      </c>
      <c r="B1884" s="51" t="n"/>
      <c r="C1884" s="156" t="inlineStr">
        <is>
          <t>Multimarca</t>
        </is>
      </c>
      <c r="D1884" s="156" t="inlineStr">
        <is>
          <t>12-020-BS004-13-1041</t>
        </is>
      </c>
      <c r="E1884" s="156" t="inlineStr">
        <is>
          <t>12-020-BS004-13-1041-275</t>
        </is>
      </c>
      <c r="F1884" s="156" t="inlineStr">
        <is>
          <t>27.5</t>
        </is>
      </c>
      <c r="G1884" s="156" t="inlineStr">
        <is>
          <t>10.5</t>
        </is>
      </c>
      <c r="H1884" s="156" t="inlineStr">
        <is>
          <t>Stetson</t>
        </is>
      </c>
      <c r="I1884" s="156" t="inlineStr">
        <is>
          <t>Bota Dama Caimán Negro</t>
        </is>
      </c>
      <c r="J1884" s="156" t="inlineStr">
        <is>
          <t>Calzado</t>
        </is>
      </c>
      <c r="K1884" s="156" t="inlineStr">
        <is>
          <t>Botas</t>
        </is>
      </c>
      <c r="L1884" s="156" t="inlineStr">
        <is>
          <t>Mujer</t>
        </is>
      </c>
      <c r="M1884" s="156" t="inlineStr">
        <is>
          <t>Stetson</t>
        </is>
      </c>
      <c r="N1884" s="156" t="inlineStr">
        <is>
          <t>SS26</t>
        </is>
      </c>
      <c r="O1884" s="156" t="n"/>
      <c r="P1884" s="156" t="inlineStr">
        <is>
          <t>Negro</t>
        </is>
      </c>
      <c r="Q1884" s="156" t="n"/>
      <c r="R1884" s="156" t="inlineStr">
        <is>
          <t>Horma Alexia</t>
        </is>
      </c>
      <c r="S1884" s="156" t="inlineStr">
        <is>
          <t>Piel de caimán</t>
        </is>
      </c>
      <c r="T1884" s="156" t="inlineStr">
        <is>
          <t>Bota Dama Piel de caimán Negro Horma Alexia</t>
        </is>
      </c>
      <c r="U1884" s="156" t="n"/>
      <c r="V1884" s="156" t="inlineStr">
        <is>
          <t>PRS</t>
        </is>
      </c>
      <c r="W1884" s="51" t="inlineStr">
        <is>
          <t>53111502</t>
        </is>
      </c>
      <c r="X1884" s="156" t="n"/>
      <c r="Y1884" s="54" t="n"/>
      <c r="Z1884" s="54" t="n">
        <v>10000</v>
      </c>
      <c r="AA1884" s="55">
        <f>IF(AND(A1884="", B1884="", E1884=""), "", IF(AB1884="", "Válido", IF((LEN(AB1884)-LEN(SUBSTITUTE(AB1884,"; ","")))/2+1&gt;(LEN(AB1884)-LEN(SUBSTITUTE(AB1884,"[Aviso]","")))/7, "Con Incidencias", "Válido")))</f>
        <v/>
      </c>
      <c r="AB1884" s="56">
        <f>IF(AND(A1884="", B1884="", E1884=""), "", TEXTJOIN("; ", TRUE, IF(OR(TRIM(A1884&amp;"")="", ISNUMBER(SEARCH("FALTA", A1884))), "UPC faltante/inválido", ""), IF(AND(A1884&lt;&gt;"", IFERROR(_xlfn.XMATCH(A1884,$A$2:$A$2509,0,1)&lt;&gt;_xlfn.XMATCH(A1884,$A$2:$A$2509,0,-1),FALSE)), "Código de barras duplicado", ""), IF(AND(E1884&lt;&gt;"", COUNTIF($E$2:$E$2509, E1884)&gt;1), "SKU duplicado", ""), IF(OR(J1884="", J1884=""), "[Aviso] División no capturada ()", IF(ISNA(MATCH(J1884, Criterios!$A$123:$A$126, 0)), "División no válida", "")), IF(OR(K1884="", K1884=""), "[Aviso] Categoría no capturada ()", IF(ISNA(MATCH(K1884, Criterios!$A$81:$A$120, 0)), "Categoría no válida", IF(AND(J1884&lt;&gt;"", J1884&lt;&gt;"", J1884&lt;&gt;VLOOKUP(K1884, Criterios!$A$81:$B$120, 2, FALSE)), "División no coincide con Categoría", ""))), IF(OR(L1884="", L1884=""), "[Aviso] Género no capturado ()", IF(ISNA(MATCH(L1884, Criterios!$B$123:$B$127, 0)), "Género no válido", "")), IF(OR(N1884="", N1884=""), "[Aviso] Temporada no capturada ()", IF(ISNA(MATCH(N1884, Criterios!$C$123:$C$128, 0)), "Temporada no válida", "")), IF(OR(O1884="", O1884=""), "[Aviso] Ciclo de vida no capturado ()", IF(ISNA(MATCH(O1884, Criterios!$D$123:$D$124, 0)), "Ciclo de vida no válido", ""))))</f>
        <v/>
      </c>
      <c r="AC1884" s="56" t="n"/>
      <c r="AD1884" s="51" t="n">
        <v>0</v>
      </c>
      <c r="AE1884" s="156" t="inlineStr">
        <is>
          <t>Sin coincidencia en NetSuite</t>
        </is>
      </c>
      <c r="AF1884" s="51" t="n"/>
      <c r="AG1884" s="156" t="inlineStr">
        <is>
          <t>Catálogo existente</t>
        </is>
      </c>
      <c r="AH188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4" s="156" t="n"/>
      <c r="AJ1884" s="156" t="n"/>
      <c r="AK1884" s="155" t="inlineStr">
        <is>
          <t>Shopify Stetson: producto 15054565114219 / variante 53350561939819</t>
        </is>
      </c>
      <c r="AL1884" s="58" t="n"/>
      <c r="AM1884" s="58" t="n">
        <v>10000</v>
      </c>
      <c r="AN1884" s="155" t="inlineStr">
        <is>
          <t>Shopify Stetson México</t>
        </is>
      </c>
      <c r="AO1884" s="59" t="n">
        <v>0</v>
      </c>
      <c r="AP1884" s="59" t="n"/>
      <c r="AQ1884" s="59" t="n"/>
      <c r="AR1884" s="155" t="n"/>
    </row>
    <row r="1885">
      <c r="A1885" s="50" t="inlineStr">
        <is>
          <t>12020004131042026</t>
        </is>
      </c>
      <c r="B1885" s="51" t="n"/>
      <c r="C1885" s="156" t="inlineStr">
        <is>
          <t>Multimarca</t>
        </is>
      </c>
      <c r="D1885" s="156" t="inlineStr">
        <is>
          <t>12-020-BS004-13-1042</t>
        </is>
      </c>
      <c r="E1885" s="156" t="inlineStr">
        <is>
          <t>12-020-BS004-13-1042-026</t>
        </is>
      </c>
      <c r="F1885" s="156" t="inlineStr">
        <is>
          <t>26</t>
        </is>
      </c>
      <c r="G1885" s="156" t="inlineStr">
        <is>
          <t>9</t>
        </is>
      </c>
      <c r="H1885" s="156" t="inlineStr">
        <is>
          <t>Stetson</t>
        </is>
      </c>
      <c r="I1885" s="156" t="inlineStr">
        <is>
          <t>Bota Caimán Arena</t>
        </is>
      </c>
      <c r="J1885" s="156" t="inlineStr">
        <is>
          <t>Calzado</t>
        </is>
      </c>
      <c r="K1885" s="156" t="inlineStr">
        <is>
          <t>Botas</t>
        </is>
      </c>
      <c r="L1885" s="156" t="inlineStr">
        <is>
          <t>Mujer</t>
        </is>
      </c>
      <c r="M1885" s="156" t="inlineStr">
        <is>
          <t>Stetson</t>
        </is>
      </c>
      <c r="N1885" s="156" t="inlineStr">
        <is>
          <t>SS26</t>
        </is>
      </c>
      <c r="O1885" s="156" t="inlineStr">
        <is>
          <t>Seasonal</t>
        </is>
      </c>
      <c r="P1885" s="156" t="inlineStr">
        <is>
          <t>Beige</t>
        </is>
      </c>
      <c r="Q1885" s="156" t="n"/>
      <c r="R1885" s="156" t="inlineStr">
        <is>
          <t>Horma Alexia</t>
        </is>
      </c>
      <c r="S1885" s="156" t="inlineStr">
        <is>
          <t>Piel de caimán</t>
        </is>
      </c>
      <c r="T1885" s="156" t="inlineStr">
        <is>
          <t>Bota Dama Piel de caimán Arena Horma Alexia</t>
        </is>
      </c>
      <c r="U1885" s="156" t="inlineStr">
        <is>
          <t>México</t>
        </is>
      </c>
      <c r="V1885" s="156" t="inlineStr">
        <is>
          <t>PRS</t>
        </is>
      </c>
      <c r="W1885" s="51" t="inlineStr">
        <is>
          <t>53111502</t>
        </is>
      </c>
      <c r="X1885" s="156" t="n"/>
      <c r="Y1885" s="54" t="n"/>
      <c r="Z1885" s="54" t="n">
        <v>10000</v>
      </c>
      <c r="AA1885" s="55">
        <f>IF(AND(A1885="", B1885="", E1885=""), "", IF(AB1885="", "Válido", IF((LEN(AB1885)-LEN(SUBSTITUTE(AB1885,"; ","")))/2+1&gt;(LEN(AB1885)-LEN(SUBSTITUTE(AB1885,"[Aviso]","")))/7, "Con Incidencias", "Válido")))</f>
        <v/>
      </c>
      <c r="AB1885" s="56">
        <f>IF(AND(A1885="", B1885="", E1885=""), "", TEXTJOIN("; ", TRUE, IF(OR(TRIM(A1885&amp;"")="", ISNUMBER(SEARCH("FALTA", A1885))), "UPC faltante/inválido", ""), IF(AND(A1885&lt;&gt;"", IFERROR(_xlfn.XMATCH(A1885,$A$2:$A$2509,0,1)&lt;&gt;_xlfn.XMATCH(A1885,$A$2:$A$2509,0,-1),FALSE)), "Código de barras duplicado", ""), IF(AND(E1885&lt;&gt;"", COUNTIF($E$2:$E$2509, E1885)&gt;1), "SKU duplicado", ""), IF(OR(J1885="", J1885=""), "[Aviso] División no capturada ()", IF(ISNA(MATCH(J1885, Criterios!$A$123:$A$126, 0)), "División no válida", "")), IF(OR(K1885="", K1885=""), "[Aviso] Categoría no capturada ()", IF(ISNA(MATCH(K1885, Criterios!$A$81:$A$120, 0)), "Categoría no válida", IF(AND(J1885&lt;&gt;"", J1885&lt;&gt;"", J1885&lt;&gt;VLOOKUP(K1885, Criterios!$A$81:$B$120, 2, FALSE)), "División no coincide con Categoría", ""))), IF(OR(L1885="", L1885=""), "[Aviso] Género no capturado ()", IF(ISNA(MATCH(L1885, Criterios!$B$123:$B$127, 0)), "Género no válido", "")), IF(OR(N1885="", N1885=""), "[Aviso] Temporada no capturada ()", IF(ISNA(MATCH(N1885, Criterios!$C$123:$C$128, 0)), "Temporada no válida", "")), IF(OR(O1885="", O1885=""), "[Aviso] Ciclo de vida no capturado ()", IF(ISNA(MATCH(O1885, Criterios!$D$123:$D$124, 0)), "Ciclo de vida no válido", ""))))</f>
        <v/>
      </c>
      <c r="AC1885" s="56" t="n"/>
      <c r="AD1885" s="51" t="n">
        <v>0</v>
      </c>
      <c r="AE1885" s="156" t="inlineStr">
        <is>
          <t>Sin coincidencia en NetSuite</t>
        </is>
      </c>
      <c r="AF1885" s="51" t="n"/>
      <c r="AG1885" s="156" t="inlineStr">
        <is>
          <t>Catálogo existente</t>
        </is>
      </c>
      <c r="AH188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5" s="156" t="n"/>
      <c r="AJ1885" s="156" t="n"/>
      <c r="AK1885" s="155" t="inlineStr">
        <is>
          <t>Shopify Stetson: producto 15054565146987 / variante 53350562234731</t>
        </is>
      </c>
      <c r="AL1885" s="58" t="n"/>
      <c r="AM1885" s="58" t="n">
        <v>10000</v>
      </c>
      <c r="AN1885" s="155" t="inlineStr">
        <is>
          <t>Shopify Stetson México</t>
        </is>
      </c>
      <c r="AO1885" s="59" t="n">
        <v>0</v>
      </c>
      <c r="AP1885" s="59" t="n"/>
      <c r="AQ1885" s="59" t="n"/>
      <c r="AR1885" s="155" t="n"/>
    </row>
    <row r="1886">
      <c r="A1886" s="50" t="inlineStr">
        <is>
          <t>12020004131042027</t>
        </is>
      </c>
      <c r="B1886" s="51" t="n"/>
      <c r="C1886" s="156" t="inlineStr">
        <is>
          <t>Multimarca</t>
        </is>
      </c>
      <c r="D1886" s="156" t="inlineStr">
        <is>
          <t>12-020-BS004-13-1042</t>
        </is>
      </c>
      <c r="E1886" s="156" t="inlineStr">
        <is>
          <t>12-020-BS004-13-1042-027</t>
        </is>
      </c>
      <c r="F1886" s="156" t="inlineStr">
        <is>
          <t>27</t>
        </is>
      </c>
      <c r="G1886" s="156" t="inlineStr">
        <is>
          <t>10</t>
        </is>
      </c>
      <c r="H1886" s="156" t="inlineStr">
        <is>
          <t>Stetson</t>
        </is>
      </c>
      <c r="I1886" s="156" t="inlineStr">
        <is>
          <t>Bota Caimán Arena</t>
        </is>
      </c>
      <c r="J1886" s="156" t="inlineStr">
        <is>
          <t>Calzado</t>
        </is>
      </c>
      <c r="K1886" s="156" t="inlineStr">
        <is>
          <t>Botas</t>
        </is>
      </c>
      <c r="L1886" s="156" t="inlineStr">
        <is>
          <t>Mujer</t>
        </is>
      </c>
      <c r="M1886" s="156" t="inlineStr">
        <is>
          <t>Stetson</t>
        </is>
      </c>
      <c r="N1886" s="156" t="inlineStr">
        <is>
          <t>SS26</t>
        </is>
      </c>
      <c r="O1886" s="156" t="inlineStr">
        <is>
          <t>Seasonal</t>
        </is>
      </c>
      <c r="P1886" s="156" t="inlineStr">
        <is>
          <t>Beige</t>
        </is>
      </c>
      <c r="Q1886" s="156" t="n"/>
      <c r="R1886" s="156" t="inlineStr">
        <is>
          <t>Horma Alexia</t>
        </is>
      </c>
      <c r="S1886" s="156" t="inlineStr">
        <is>
          <t>Piel de caimán</t>
        </is>
      </c>
      <c r="T1886" s="156" t="inlineStr">
        <is>
          <t>Bota Dama Piel de caimán Arena Horma Alexia</t>
        </is>
      </c>
      <c r="U1886" s="156" t="inlineStr">
        <is>
          <t>México</t>
        </is>
      </c>
      <c r="V1886" s="156" t="inlineStr">
        <is>
          <t>PRS</t>
        </is>
      </c>
      <c r="W1886" s="51" t="inlineStr">
        <is>
          <t>53111502</t>
        </is>
      </c>
      <c r="X1886" s="156" t="n"/>
      <c r="Y1886" s="54" t="n"/>
      <c r="Z1886" s="54" t="n">
        <v>10000</v>
      </c>
      <c r="AA1886" s="55">
        <f>IF(AND(A1886="", B1886="", E1886=""), "", IF(AB1886="", "Válido", IF((LEN(AB1886)-LEN(SUBSTITUTE(AB1886,"; ","")))/2+1&gt;(LEN(AB1886)-LEN(SUBSTITUTE(AB1886,"[Aviso]","")))/7, "Con Incidencias", "Válido")))</f>
        <v/>
      </c>
      <c r="AB1886" s="56">
        <f>IF(AND(A1886="", B1886="", E1886=""), "", TEXTJOIN("; ", TRUE, IF(OR(TRIM(A1886&amp;"")="", ISNUMBER(SEARCH("FALTA", A1886))), "UPC faltante/inválido", ""), IF(AND(A1886&lt;&gt;"", IFERROR(_xlfn.XMATCH(A1886,$A$2:$A$2509,0,1)&lt;&gt;_xlfn.XMATCH(A1886,$A$2:$A$2509,0,-1),FALSE)), "Código de barras duplicado", ""), IF(AND(E1886&lt;&gt;"", COUNTIF($E$2:$E$2509, E1886)&gt;1), "SKU duplicado", ""), IF(OR(J1886="", J1886=""), "[Aviso] División no capturada ()", IF(ISNA(MATCH(J1886, Criterios!$A$123:$A$126, 0)), "División no válida", "")), IF(OR(K1886="", K1886=""), "[Aviso] Categoría no capturada ()", IF(ISNA(MATCH(K1886, Criterios!$A$81:$A$120, 0)), "Categoría no válida", IF(AND(J1886&lt;&gt;"", J1886&lt;&gt;"", J1886&lt;&gt;VLOOKUP(K1886, Criterios!$A$81:$B$120, 2, FALSE)), "División no coincide con Categoría", ""))), IF(OR(L1886="", L1886=""), "[Aviso] Género no capturado ()", IF(ISNA(MATCH(L1886, Criterios!$B$123:$B$127, 0)), "Género no válido", "")), IF(OR(N1886="", N1886=""), "[Aviso] Temporada no capturada ()", IF(ISNA(MATCH(N1886, Criterios!$C$123:$C$128, 0)), "Temporada no válida", "")), IF(OR(O1886="", O1886=""), "[Aviso] Ciclo de vida no capturado ()", IF(ISNA(MATCH(O1886, Criterios!$D$123:$D$124, 0)), "Ciclo de vida no válido", ""))))</f>
        <v/>
      </c>
      <c r="AC1886" s="56" t="n"/>
      <c r="AD1886" s="51" t="n">
        <v>0</v>
      </c>
      <c r="AE1886" s="156" t="inlineStr">
        <is>
          <t>Sin coincidencia en NetSuite</t>
        </is>
      </c>
      <c r="AF1886" s="51" t="n"/>
      <c r="AG1886" s="156" t="inlineStr">
        <is>
          <t>Catálogo existente</t>
        </is>
      </c>
      <c r="AH188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6" s="156" t="n"/>
      <c r="AJ1886" s="156" t="n"/>
      <c r="AK1886" s="155" t="inlineStr">
        <is>
          <t>Shopify Stetson: producto 15054565146987 / variante 53350562300267</t>
        </is>
      </c>
      <c r="AL1886" s="58" t="n"/>
      <c r="AM1886" s="58" t="n">
        <v>10000</v>
      </c>
      <c r="AN1886" s="155" t="inlineStr">
        <is>
          <t>Shopify Stetson México</t>
        </is>
      </c>
      <c r="AO1886" s="59" t="n">
        <v>0</v>
      </c>
      <c r="AP1886" s="59" t="n"/>
      <c r="AQ1886" s="59" t="n"/>
      <c r="AR1886" s="155" t="n"/>
    </row>
    <row r="1887">
      <c r="A1887" s="50" t="inlineStr">
        <is>
          <t>12020004131042255</t>
        </is>
      </c>
      <c r="B1887" s="51" t="n"/>
      <c r="C1887" s="156" t="inlineStr">
        <is>
          <t>Multimarca</t>
        </is>
      </c>
      <c r="D1887" s="156" t="inlineStr">
        <is>
          <t>12-020-BS004-13-1042</t>
        </is>
      </c>
      <c r="E1887" s="156" t="inlineStr">
        <is>
          <t>12-020-BS004-13-1042-255</t>
        </is>
      </c>
      <c r="F1887" s="156" t="inlineStr">
        <is>
          <t>25.5</t>
        </is>
      </c>
      <c r="G1887" s="156" t="inlineStr">
        <is>
          <t>8.5</t>
        </is>
      </c>
      <c r="H1887" s="156" t="inlineStr">
        <is>
          <t>Stetson</t>
        </is>
      </c>
      <c r="I1887" s="156" t="inlineStr">
        <is>
          <t>Bota Caimán Arena</t>
        </is>
      </c>
      <c r="J1887" s="156" t="inlineStr">
        <is>
          <t>Calzado</t>
        </is>
      </c>
      <c r="K1887" s="156" t="inlineStr">
        <is>
          <t>Botas</t>
        </is>
      </c>
      <c r="L1887" s="156" t="inlineStr">
        <is>
          <t>Mujer</t>
        </is>
      </c>
      <c r="M1887" s="156" t="inlineStr">
        <is>
          <t>Stetson</t>
        </is>
      </c>
      <c r="N1887" s="156" t="inlineStr">
        <is>
          <t>SS26</t>
        </is>
      </c>
      <c r="O1887" s="156" t="inlineStr">
        <is>
          <t>Seasonal</t>
        </is>
      </c>
      <c r="P1887" s="156" t="inlineStr">
        <is>
          <t>Beige</t>
        </is>
      </c>
      <c r="Q1887" s="156" t="n"/>
      <c r="R1887" s="156" t="inlineStr">
        <is>
          <t>Horma Alexia</t>
        </is>
      </c>
      <c r="S1887" s="156" t="inlineStr">
        <is>
          <t>Piel de caimán</t>
        </is>
      </c>
      <c r="T1887" s="156" t="inlineStr">
        <is>
          <t>Bota Dama Piel de caimán Arena Horma Alexia</t>
        </is>
      </c>
      <c r="U1887" s="156" t="inlineStr">
        <is>
          <t>México</t>
        </is>
      </c>
      <c r="V1887" s="156" t="inlineStr">
        <is>
          <t>PRS</t>
        </is>
      </c>
      <c r="W1887" s="51" t="inlineStr">
        <is>
          <t>53111502</t>
        </is>
      </c>
      <c r="X1887" s="156" t="n"/>
      <c r="Y1887" s="54" t="n"/>
      <c r="Z1887" s="54" t="n">
        <v>10000</v>
      </c>
      <c r="AA1887" s="55">
        <f>IF(AND(A1887="", B1887="", E1887=""), "", IF(AB1887="", "Válido", IF((LEN(AB1887)-LEN(SUBSTITUTE(AB1887,"; ","")))/2+1&gt;(LEN(AB1887)-LEN(SUBSTITUTE(AB1887,"[Aviso]","")))/7, "Con Incidencias", "Válido")))</f>
        <v/>
      </c>
      <c r="AB1887" s="56">
        <f>IF(AND(A1887="", B1887="", E1887=""), "", TEXTJOIN("; ", TRUE, IF(OR(TRIM(A1887&amp;"")="", ISNUMBER(SEARCH("FALTA", A1887))), "UPC faltante/inválido", ""), IF(AND(A1887&lt;&gt;"", IFERROR(_xlfn.XMATCH(A1887,$A$2:$A$2509,0,1)&lt;&gt;_xlfn.XMATCH(A1887,$A$2:$A$2509,0,-1),FALSE)), "Código de barras duplicado", ""), IF(AND(E1887&lt;&gt;"", COUNTIF($E$2:$E$2509, E1887)&gt;1), "SKU duplicado", ""), IF(OR(J1887="", J1887=""), "[Aviso] División no capturada ()", IF(ISNA(MATCH(J1887, Criterios!$A$123:$A$126, 0)), "División no válida", "")), IF(OR(K1887="", K1887=""), "[Aviso] Categoría no capturada ()", IF(ISNA(MATCH(K1887, Criterios!$A$81:$A$120, 0)), "Categoría no válida", IF(AND(J1887&lt;&gt;"", J1887&lt;&gt;"", J1887&lt;&gt;VLOOKUP(K1887, Criterios!$A$81:$B$120, 2, FALSE)), "División no coincide con Categoría", ""))), IF(OR(L1887="", L1887=""), "[Aviso] Género no capturado ()", IF(ISNA(MATCH(L1887, Criterios!$B$123:$B$127, 0)), "Género no válido", "")), IF(OR(N1887="", N1887=""), "[Aviso] Temporada no capturada ()", IF(ISNA(MATCH(N1887, Criterios!$C$123:$C$128, 0)), "Temporada no válida", "")), IF(OR(O1887="", O1887=""), "[Aviso] Ciclo de vida no capturado ()", IF(ISNA(MATCH(O1887, Criterios!$D$123:$D$124, 0)), "Ciclo de vida no válido", ""))))</f>
        <v/>
      </c>
      <c r="AC1887" s="56" t="n"/>
      <c r="AD1887" s="51" t="n">
        <v>0</v>
      </c>
      <c r="AE1887" s="156" t="inlineStr">
        <is>
          <t>Sin coincidencia en NetSuite</t>
        </is>
      </c>
      <c r="AF1887" s="51" t="n"/>
      <c r="AG1887" s="156" t="inlineStr">
        <is>
          <t>Catálogo existente</t>
        </is>
      </c>
      <c r="AH188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7" s="156" t="n"/>
      <c r="AJ1887" s="156" t="n"/>
      <c r="AK1887" s="155" t="inlineStr">
        <is>
          <t>Shopify Stetson: producto 15054565146987 / variante 53350562201963</t>
        </is>
      </c>
      <c r="AL1887" s="58" t="n"/>
      <c r="AM1887" s="58" t="n">
        <v>10000</v>
      </c>
      <c r="AN1887" s="155" t="inlineStr">
        <is>
          <t>Shopify Stetson México</t>
        </is>
      </c>
      <c r="AO1887" s="59" t="n">
        <v>1</v>
      </c>
      <c r="AP1887" s="59" t="n"/>
      <c r="AQ1887" s="59" t="n"/>
      <c r="AR1887" s="155" t="inlineStr">
        <is>
          <t>Shopify Stetson México › Stetson Americas: 1</t>
        </is>
      </c>
    </row>
    <row r="1888">
      <c r="A1888" s="50" t="inlineStr">
        <is>
          <t>12020004131042265</t>
        </is>
      </c>
      <c r="B1888" s="51" t="n"/>
      <c r="C1888" s="156" t="inlineStr">
        <is>
          <t>Multimarca</t>
        </is>
      </c>
      <c r="D1888" s="156" t="inlineStr">
        <is>
          <t>12-020-BS004-13-1042</t>
        </is>
      </c>
      <c r="E1888" s="156" t="inlineStr">
        <is>
          <t>12-020-BS004-13-1042-265</t>
        </is>
      </c>
      <c r="F1888" s="156" t="inlineStr">
        <is>
          <t>26.5</t>
        </is>
      </c>
      <c r="G1888" s="156" t="inlineStr">
        <is>
          <t>9.5</t>
        </is>
      </c>
      <c r="H1888" s="156" t="inlineStr">
        <is>
          <t>Stetson</t>
        </is>
      </c>
      <c r="I1888" s="156" t="inlineStr">
        <is>
          <t>Bota Caimán Arena</t>
        </is>
      </c>
      <c r="J1888" s="156" t="inlineStr">
        <is>
          <t>Calzado</t>
        </is>
      </c>
      <c r="K1888" s="156" t="inlineStr">
        <is>
          <t>Botas</t>
        </is>
      </c>
      <c r="L1888" s="156" t="inlineStr">
        <is>
          <t>Mujer</t>
        </is>
      </c>
      <c r="M1888" s="156" t="inlineStr">
        <is>
          <t>Stetson</t>
        </is>
      </c>
      <c r="N1888" s="156" t="inlineStr">
        <is>
          <t>SS26</t>
        </is>
      </c>
      <c r="O1888" s="156" t="inlineStr">
        <is>
          <t>Seasonal</t>
        </is>
      </c>
      <c r="P1888" s="156" t="inlineStr">
        <is>
          <t>Beige</t>
        </is>
      </c>
      <c r="Q1888" s="156" t="n"/>
      <c r="R1888" s="156" t="inlineStr">
        <is>
          <t>Horma Alexia</t>
        </is>
      </c>
      <c r="S1888" s="156" t="inlineStr">
        <is>
          <t>Piel de caimán</t>
        </is>
      </c>
      <c r="T1888" s="156" t="inlineStr">
        <is>
          <t>Bota Dama Piel de caimán Arena Horma Alexia</t>
        </is>
      </c>
      <c r="U1888" s="156" t="inlineStr">
        <is>
          <t>México</t>
        </is>
      </c>
      <c r="V1888" s="156" t="inlineStr">
        <is>
          <t>PRS</t>
        </is>
      </c>
      <c r="W1888" s="51" t="inlineStr">
        <is>
          <t>53111502</t>
        </is>
      </c>
      <c r="X1888" s="156" t="n"/>
      <c r="Y1888" s="54" t="n"/>
      <c r="Z1888" s="54" t="n">
        <v>10000</v>
      </c>
      <c r="AA1888" s="55">
        <f>IF(AND(A1888="", B1888="", E1888=""), "", IF(AB1888="", "Válido", IF((LEN(AB1888)-LEN(SUBSTITUTE(AB1888,"; ","")))/2+1&gt;(LEN(AB1888)-LEN(SUBSTITUTE(AB1888,"[Aviso]","")))/7, "Con Incidencias", "Válido")))</f>
        <v/>
      </c>
      <c r="AB1888" s="56">
        <f>IF(AND(A1888="", B1888="", E1888=""), "", TEXTJOIN("; ", TRUE, IF(OR(TRIM(A1888&amp;"")="", ISNUMBER(SEARCH("FALTA", A1888))), "UPC faltante/inválido", ""), IF(AND(A1888&lt;&gt;"", IFERROR(_xlfn.XMATCH(A1888,$A$2:$A$2509,0,1)&lt;&gt;_xlfn.XMATCH(A1888,$A$2:$A$2509,0,-1),FALSE)), "Código de barras duplicado", ""), IF(AND(E1888&lt;&gt;"", COUNTIF($E$2:$E$2509, E1888)&gt;1), "SKU duplicado", ""), IF(OR(J1888="", J1888=""), "[Aviso] División no capturada ()", IF(ISNA(MATCH(J1888, Criterios!$A$123:$A$126, 0)), "División no válida", "")), IF(OR(K1888="", K1888=""), "[Aviso] Categoría no capturada ()", IF(ISNA(MATCH(K1888, Criterios!$A$81:$A$120, 0)), "Categoría no válida", IF(AND(J1888&lt;&gt;"", J1888&lt;&gt;"", J1888&lt;&gt;VLOOKUP(K1888, Criterios!$A$81:$B$120, 2, FALSE)), "División no coincide con Categoría", ""))), IF(OR(L1888="", L1888=""), "[Aviso] Género no capturado ()", IF(ISNA(MATCH(L1888, Criterios!$B$123:$B$127, 0)), "Género no válido", "")), IF(OR(N1888="", N1888=""), "[Aviso] Temporada no capturada ()", IF(ISNA(MATCH(N1888, Criterios!$C$123:$C$128, 0)), "Temporada no válida", "")), IF(OR(O1888="", O1888=""), "[Aviso] Ciclo de vida no capturado ()", IF(ISNA(MATCH(O1888, Criterios!$D$123:$D$124, 0)), "Ciclo de vida no válido", ""))))</f>
        <v/>
      </c>
      <c r="AC1888" s="56" t="n"/>
      <c r="AD1888" s="51" t="n">
        <v>0</v>
      </c>
      <c r="AE1888" s="156" t="inlineStr">
        <is>
          <t>Sin coincidencia en NetSuite</t>
        </is>
      </c>
      <c r="AF1888" s="51" t="n"/>
      <c r="AG1888" s="156" t="inlineStr">
        <is>
          <t>Catálogo existente</t>
        </is>
      </c>
      <c r="AH188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8" s="156" t="n"/>
      <c r="AJ1888" s="156" t="n"/>
      <c r="AK1888" s="155" t="inlineStr">
        <is>
          <t>Shopify Stetson: producto 15054565146987 / variante 53350562267499</t>
        </is>
      </c>
      <c r="AL1888" s="58" t="n"/>
      <c r="AM1888" s="58" t="n">
        <v>10000</v>
      </c>
      <c r="AN1888" s="155" t="inlineStr">
        <is>
          <t>Shopify Stetson México</t>
        </is>
      </c>
      <c r="AO1888" s="59" t="n">
        <v>0</v>
      </c>
      <c r="AP1888" s="59" t="n"/>
      <c r="AQ1888" s="59" t="n"/>
      <c r="AR1888" s="155" t="n"/>
    </row>
    <row r="1889">
      <c r="A1889" s="50" t="inlineStr">
        <is>
          <t>12020004131042275</t>
        </is>
      </c>
      <c r="B1889" s="51" t="n"/>
      <c r="C1889" s="156" t="inlineStr">
        <is>
          <t>Multimarca</t>
        </is>
      </c>
      <c r="D1889" s="156" t="inlineStr">
        <is>
          <t>12-020-BS004-13-1042</t>
        </is>
      </c>
      <c r="E1889" s="156" t="inlineStr">
        <is>
          <t>12-020-BS004-13-1042-275</t>
        </is>
      </c>
      <c r="F1889" s="156" t="inlineStr">
        <is>
          <t>27.5</t>
        </is>
      </c>
      <c r="G1889" s="156" t="inlineStr">
        <is>
          <t>10.5</t>
        </is>
      </c>
      <c r="H1889" s="156" t="inlineStr">
        <is>
          <t>Stetson</t>
        </is>
      </c>
      <c r="I1889" s="156" t="inlineStr">
        <is>
          <t>Bota Caimán Arena</t>
        </is>
      </c>
      <c r="J1889" s="156" t="inlineStr">
        <is>
          <t>Calzado</t>
        </is>
      </c>
      <c r="K1889" s="156" t="inlineStr">
        <is>
          <t>Botas</t>
        </is>
      </c>
      <c r="L1889" s="156" t="inlineStr">
        <is>
          <t>Mujer</t>
        </is>
      </c>
      <c r="M1889" s="156" t="inlineStr">
        <is>
          <t>Stetson</t>
        </is>
      </c>
      <c r="N1889" s="156" t="inlineStr">
        <is>
          <t>SS26</t>
        </is>
      </c>
      <c r="O1889" s="156" t="inlineStr">
        <is>
          <t>Seasonal</t>
        </is>
      </c>
      <c r="P1889" s="156" t="inlineStr">
        <is>
          <t>Beige</t>
        </is>
      </c>
      <c r="Q1889" s="156" t="n"/>
      <c r="R1889" s="156" t="inlineStr">
        <is>
          <t>Horma Alexia</t>
        </is>
      </c>
      <c r="S1889" s="156" t="inlineStr">
        <is>
          <t>Piel de caimán</t>
        </is>
      </c>
      <c r="T1889" s="156" t="inlineStr">
        <is>
          <t>Bota Dama Piel de caimán Arena Horma Alexia</t>
        </is>
      </c>
      <c r="U1889" s="156" t="inlineStr">
        <is>
          <t>México</t>
        </is>
      </c>
      <c r="V1889" s="156" t="inlineStr">
        <is>
          <t>PRS</t>
        </is>
      </c>
      <c r="W1889" s="51" t="inlineStr">
        <is>
          <t>53111502</t>
        </is>
      </c>
      <c r="X1889" s="156" t="n"/>
      <c r="Y1889" s="54" t="n"/>
      <c r="Z1889" s="54" t="n">
        <v>10000</v>
      </c>
      <c r="AA1889" s="55">
        <f>IF(AND(A1889="", B1889="", E1889=""), "", IF(AB1889="", "Válido", IF((LEN(AB1889)-LEN(SUBSTITUTE(AB1889,"; ","")))/2+1&gt;(LEN(AB1889)-LEN(SUBSTITUTE(AB1889,"[Aviso]","")))/7, "Con Incidencias", "Válido")))</f>
        <v/>
      </c>
      <c r="AB1889" s="56">
        <f>IF(AND(A1889="", B1889="", E1889=""), "", TEXTJOIN("; ", TRUE, IF(OR(TRIM(A1889&amp;"")="", ISNUMBER(SEARCH("FALTA", A1889))), "UPC faltante/inválido", ""), IF(AND(A1889&lt;&gt;"", IFERROR(_xlfn.XMATCH(A1889,$A$2:$A$2509,0,1)&lt;&gt;_xlfn.XMATCH(A1889,$A$2:$A$2509,0,-1),FALSE)), "Código de barras duplicado", ""), IF(AND(E1889&lt;&gt;"", COUNTIF($E$2:$E$2509, E1889)&gt;1), "SKU duplicado", ""), IF(OR(J1889="", J1889=""), "[Aviso] División no capturada ()", IF(ISNA(MATCH(J1889, Criterios!$A$123:$A$126, 0)), "División no válida", "")), IF(OR(K1889="", K1889=""), "[Aviso] Categoría no capturada ()", IF(ISNA(MATCH(K1889, Criterios!$A$81:$A$120, 0)), "Categoría no válida", IF(AND(J1889&lt;&gt;"", J1889&lt;&gt;"", J1889&lt;&gt;VLOOKUP(K1889, Criterios!$A$81:$B$120, 2, FALSE)), "División no coincide con Categoría", ""))), IF(OR(L1889="", L1889=""), "[Aviso] Género no capturado ()", IF(ISNA(MATCH(L1889, Criterios!$B$123:$B$127, 0)), "Género no válido", "")), IF(OR(N1889="", N1889=""), "[Aviso] Temporada no capturada ()", IF(ISNA(MATCH(N1889, Criterios!$C$123:$C$128, 0)), "Temporada no válida", "")), IF(OR(O1889="", O1889=""), "[Aviso] Ciclo de vida no capturado ()", IF(ISNA(MATCH(O1889, Criterios!$D$123:$D$124, 0)), "Ciclo de vida no válido", ""))))</f>
        <v/>
      </c>
      <c r="AC1889" s="56" t="n"/>
      <c r="AD1889" s="51" t="n">
        <v>0</v>
      </c>
      <c r="AE1889" s="156" t="inlineStr">
        <is>
          <t>Sin coincidencia en NetSuite</t>
        </is>
      </c>
      <c r="AF1889" s="51" t="n"/>
      <c r="AG1889" s="156" t="inlineStr">
        <is>
          <t>Catálogo existente</t>
        </is>
      </c>
      <c r="AH188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9" s="156" t="n"/>
      <c r="AJ1889" s="156" t="n"/>
      <c r="AK1889" s="155" t="inlineStr">
        <is>
          <t>Shopify Stetson: producto 15054565146987 / variante 53350562333035</t>
        </is>
      </c>
      <c r="AL1889" s="58" t="n"/>
      <c r="AM1889" s="58" t="n">
        <v>10000</v>
      </c>
      <c r="AN1889" s="155" t="inlineStr">
        <is>
          <t>Shopify Stetson México</t>
        </is>
      </c>
      <c r="AO1889" s="59" t="n">
        <v>0</v>
      </c>
      <c r="AP1889" s="59" t="n"/>
      <c r="AQ1889" s="59" t="n"/>
      <c r="AR1889" s="155" t="n"/>
    </row>
    <row r="1890">
      <c r="A1890" s="50" t="inlineStr">
        <is>
          <t>196070387780</t>
        </is>
      </c>
      <c r="B1890" s="51" t="inlineStr">
        <is>
          <t>109663</t>
        </is>
      </c>
      <c r="C1890" s="156" t="inlineStr">
        <is>
          <t>Multimarca</t>
        </is>
      </c>
      <c r="D1890" s="156" t="inlineStr">
        <is>
          <t>11-097-0562-0920</t>
        </is>
      </c>
      <c r="E1890" s="156" t="inlineStr">
        <is>
          <t>11-097-0562-0920-L</t>
        </is>
      </c>
      <c r="F1890" s="156" t="inlineStr">
        <is>
          <t>L</t>
        </is>
      </c>
      <c r="G1890" s="156" t="inlineStr">
        <is>
          <t>L</t>
        </is>
      </c>
      <c r="H1890" s="156" t="inlineStr">
        <is>
          <t>Stetson</t>
        </is>
      </c>
      <c r="I1890" s="156" t="inlineStr">
        <is>
          <t>Sudadera Stetson Crest Gorro</t>
        </is>
      </c>
      <c r="J1890" s="156" t="inlineStr">
        <is>
          <t>Ropa</t>
        </is>
      </c>
      <c r="K1890" s="156" t="inlineStr">
        <is>
          <t>Sudaderas</t>
        </is>
      </c>
      <c r="L1890" s="156" t="inlineStr">
        <is>
          <t>Hombre</t>
        </is>
      </c>
      <c r="M1890" s="156" t="inlineStr">
        <is>
          <t>Stetson</t>
        </is>
      </c>
      <c r="N1890" s="156" t="inlineStr">
        <is>
          <t>SS26</t>
        </is>
      </c>
      <c r="O1890" s="156" t="inlineStr">
        <is>
          <t>Seasonal</t>
        </is>
      </c>
      <c r="P1890" s="156" t="inlineStr">
        <is>
          <t>Gris</t>
        </is>
      </c>
      <c r="Q1890" s="156" t="inlineStr">
        <is>
          <t>Clásico</t>
        </is>
      </c>
      <c r="R1890" s="156" t="n"/>
      <c r="S1890" s="156" t="n"/>
      <c r="T1890"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0" s="156" t="n"/>
      <c r="V1890" s="156" t="inlineStr">
        <is>
          <t>PZS</t>
        </is>
      </c>
      <c r="W1890" s="51" t="inlineStr">
        <is>
          <t>53101700</t>
        </is>
      </c>
      <c r="X1890" s="156" t="inlineStr">
        <is>
          <t>https://cdn.shopify.com/s/files/1/0888/3250/8267/files/1109705620920.jpg?v=1751044745</t>
        </is>
      </c>
      <c r="Y1890" s="54" t="n">
        <v>717.6724138</v>
      </c>
      <c r="Z1890" s="54" t="n">
        <v>1594.827586</v>
      </c>
      <c r="AA1890" s="55">
        <f>IF(AND(A1890="", B1890="", E1890=""), "", IF(AB1890="", "Válido", IF((LEN(AB1890)-LEN(SUBSTITUTE(AB1890,"; ","")))/2+1&gt;(LEN(AB1890)-LEN(SUBSTITUTE(AB1890,"[Aviso]","")))/7, "Con Incidencias", "Válido")))</f>
        <v/>
      </c>
      <c r="AB1890" s="56">
        <f>IF(AND(A1890="", B1890="", E1890=""), "", TEXTJOIN("; ", TRUE, IF(OR(TRIM(A1890&amp;"")="", ISNUMBER(SEARCH("FALTA", A1890))), "UPC faltante/inválido", ""), IF(AND(A1890&lt;&gt;"", IFERROR(_xlfn.XMATCH(A1890,$A$2:$A$2509,0,1)&lt;&gt;_xlfn.XMATCH(A1890,$A$2:$A$2509,0,-1),FALSE)), "Código de barras duplicado", ""), IF(AND(E1890&lt;&gt;"", COUNTIF($E$2:$E$2509, E1890)&gt;1), "SKU duplicado", ""), IF(OR(J1890="", J1890=""), "[Aviso] División no capturada ()", IF(ISNA(MATCH(J1890, Criterios!$A$123:$A$126, 0)), "División no válida", "")), IF(OR(K1890="", K1890=""), "[Aviso] Categoría no capturada ()", IF(ISNA(MATCH(K1890, Criterios!$A$81:$A$120, 0)), "Categoría no válida", IF(AND(J1890&lt;&gt;"", J1890&lt;&gt;"", J1890&lt;&gt;VLOOKUP(K1890, Criterios!$A$81:$B$120, 2, FALSE)), "División no coincide con Categoría", ""))), IF(OR(L1890="", L1890=""), "[Aviso] Género no capturado ()", IF(ISNA(MATCH(L1890, Criterios!$B$123:$B$127, 0)), "Género no válido", "")), IF(OR(N1890="", N1890=""), "[Aviso] Temporada no capturada ()", IF(ISNA(MATCH(N1890, Criterios!$C$123:$C$128, 0)), "Temporada no válida", "")), IF(OR(O1890="", O1890=""), "[Aviso] Ciclo de vida no capturado ()", IF(ISNA(MATCH(O1890, Criterios!$D$123:$D$124, 0)), "Ciclo de vida no válido", ""))))</f>
        <v/>
      </c>
      <c r="AC1890" s="56" t="n"/>
      <c r="AD1890" s="51" t="n">
        <v>1</v>
      </c>
      <c r="AE1890" s="156" t="inlineStr">
        <is>
          <t>B25 STETSON.MX (1)</t>
        </is>
      </c>
      <c r="AF1890" s="51" t="n">
        <v>1</v>
      </c>
      <c r="AG1890" s="156" t="inlineStr">
        <is>
          <t>Catálogo existente</t>
        </is>
      </c>
      <c r="AH1890"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0" s="156" t="inlineStr">
        <is>
          <t>No</t>
        </is>
      </c>
      <c r="AJ1890" s="156" t="n"/>
      <c r="AK1890" s="155" t="inlineStr">
        <is>
          <t>Descripción y Criterios: G/H [P] | Criterios: J [R]; G1522_Extraccion_Articulos_NetSuite_2026-09-30.xlsx: fila 57478 [T] | Shopify Stetson: producto 14727077822827 / variante 53350614958443</t>
        </is>
      </c>
      <c r="AL1890" s="58" t="n">
        <v>717.6724138</v>
      </c>
      <c r="AM1890" s="58" t="n">
        <v>1594.827586</v>
      </c>
      <c r="AN1890" s="155" t="inlineStr">
        <is>
          <t>Shopify Stetson México</t>
        </is>
      </c>
      <c r="AO1890" s="59" t="n">
        <v>1</v>
      </c>
      <c r="AP1890" s="59" t="n"/>
      <c r="AQ1890" s="59" t="n"/>
      <c r="AR1890" s="155" t="inlineStr">
        <is>
          <t>Shopify Stetson México › Stetson México: 1</t>
        </is>
      </c>
    </row>
    <row r="1891">
      <c r="A1891" s="50" t="inlineStr">
        <is>
          <t>196070387797</t>
        </is>
      </c>
      <c r="B1891" s="51" t="inlineStr">
        <is>
          <t>109664</t>
        </is>
      </c>
      <c r="C1891" s="156" t="inlineStr">
        <is>
          <t>Multimarca</t>
        </is>
      </c>
      <c r="D1891" s="156" t="inlineStr">
        <is>
          <t>11-097-0562-0920</t>
        </is>
      </c>
      <c r="E1891" s="156" t="inlineStr">
        <is>
          <t>11-097-0562-0920-M</t>
        </is>
      </c>
      <c r="F1891" s="156" t="inlineStr">
        <is>
          <t>M</t>
        </is>
      </c>
      <c r="G1891" s="156" t="inlineStr">
        <is>
          <t>M</t>
        </is>
      </c>
      <c r="H1891" s="156" t="inlineStr">
        <is>
          <t>Stetson</t>
        </is>
      </c>
      <c r="I1891" s="156" t="inlineStr">
        <is>
          <t>Sudadera Stetson Crest Gorro</t>
        </is>
      </c>
      <c r="J1891" s="156" t="inlineStr">
        <is>
          <t>Ropa</t>
        </is>
      </c>
      <c r="K1891" s="156" t="inlineStr">
        <is>
          <t>Sudaderas</t>
        </is>
      </c>
      <c r="L1891" s="156" t="inlineStr">
        <is>
          <t>Hombre</t>
        </is>
      </c>
      <c r="M1891" s="156" t="inlineStr">
        <is>
          <t>Stetson</t>
        </is>
      </c>
      <c r="N1891" s="156" t="inlineStr">
        <is>
          <t>SS26</t>
        </is>
      </c>
      <c r="O1891" s="156" t="inlineStr">
        <is>
          <t>Seasonal</t>
        </is>
      </c>
      <c r="P1891" s="156" t="inlineStr">
        <is>
          <t>Gris</t>
        </is>
      </c>
      <c r="Q1891" s="156" t="inlineStr">
        <is>
          <t>Clásico</t>
        </is>
      </c>
      <c r="R1891" s="156" t="n"/>
      <c r="S1891" s="156" t="n"/>
      <c r="T1891"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1" s="156" t="n"/>
      <c r="V1891" s="156" t="inlineStr">
        <is>
          <t>PZS</t>
        </is>
      </c>
      <c r="W1891" s="51" t="inlineStr">
        <is>
          <t>53101700</t>
        </is>
      </c>
      <c r="X1891" s="156" t="inlineStr">
        <is>
          <t>https://cdn.shopify.com/s/files/1/0888/3250/8267/files/1109705620920.jpg?v=1751044745</t>
        </is>
      </c>
      <c r="Y1891" s="54" t="n">
        <v>717.6724138</v>
      </c>
      <c r="Z1891" s="54" t="n">
        <v>1594.827586</v>
      </c>
      <c r="AA1891" s="55">
        <f>IF(AND(A1891="", B1891="", E1891=""), "", IF(AB1891="", "Válido", IF((LEN(AB1891)-LEN(SUBSTITUTE(AB1891,"; ","")))/2+1&gt;(LEN(AB1891)-LEN(SUBSTITUTE(AB1891,"[Aviso]","")))/7, "Con Incidencias", "Válido")))</f>
        <v/>
      </c>
      <c r="AB1891" s="56">
        <f>IF(AND(A1891="", B1891="", E1891=""), "", TEXTJOIN("; ", TRUE, IF(OR(TRIM(A1891&amp;"")="", ISNUMBER(SEARCH("FALTA", A1891))), "UPC faltante/inválido", ""), IF(AND(A1891&lt;&gt;"", IFERROR(_xlfn.XMATCH(A1891,$A$2:$A$2509,0,1)&lt;&gt;_xlfn.XMATCH(A1891,$A$2:$A$2509,0,-1),FALSE)), "Código de barras duplicado", ""), IF(AND(E1891&lt;&gt;"", COUNTIF($E$2:$E$2509, E1891)&gt;1), "SKU duplicado", ""), IF(OR(J1891="", J1891=""), "[Aviso] División no capturada ()", IF(ISNA(MATCH(J1891, Criterios!$A$123:$A$126, 0)), "División no válida", "")), IF(OR(K1891="", K1891=""), "[Aviso] Categoría no capturada ()", IF(ISNA(MATCH(K1891, Criterios!$A$81:$A$120, 0)), "Categoría no válida", IF(AND(J1891&lt;&gt;"", J1891&lt;&gt;"", J1891&lt;&gt;VLOOKUP(K1891, Criterios!$A$81:$B$120, 2, FALSE)), "División no coincide con Categoría", ""))), IF(OR(L1891="", L1891=""), "[Aviso] Género no capturado ()", IF(ISNA(MATCH(L1891, Criterios!$B$123:$B$127, 0)), "Género no válido", "")), IF(OR(N1891="", N1891=""), "[Aviso] Temporada no capturada ()", IF(ISNA(MATCH(N1891, Criterios!$C$123:$C$128, 0)), "Temporada no válida", "")), IF(OR(O1891="", O1891=""), "[Aviso] Ciclo de vida no capturado ()", IF(ISNA(MATCH(O1891, Criterios!$D$123:$D$124, 0)), "Ciclo de vida no válido", ""))))</f>
        <v/>
      </c>
      <c r="AC1891" s="56" t="n"/>
      <c r="AD1891" s="51" t="n">
        <v>2</v>
      </c>
      <c r="AE1891" s="156" t="inlineStr">
        <is>
          <t>B25 STETSON.MX (2)</t>
        </is>
      </c>
      <c r="AF1891" s="51" t="n">
        <v>2</v>
      </c>
      <c r="AG1891" s="156" t="inlineStr">
        <is>
          <t>Catálogo existente</t>
        </is>
      </c>
      <c r="AH1891"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1" s="156" t="inlineStr">
        <is>
          <t>No</t>
        </is>
      </c>
      <c r="AJ1891" s="156" t="n"/>
      <c r="AK1891" s="155" t="inlineStr">
        <is>
          <t>Descripción y Criterios: G/H [P] | Criterios: J [R]; G1522_Extraccion_Articulos_NetSuite_2026-09-30.xlsx: fila 57479 [T] | Shopify Stetson: producto 14727077822827 / variante 53350614925675</t>
        </is>
      </c>
      <c r="AL1891" s="58" t="n">
        <v>717.6724138</v>
      </c>
      <c r="AM1891" s="58" t="n">
        <v>1594.827586</v>
      </c>
      <c r="AN1891" s="155" t="inlineStr">
        <is>
          <t>Shopify Stetson México</t>
        </is>
      </c>
      <c r="AO1891" s="59" t="n">
        <v>2</v>
      </c>
      <c r="AP1891" s="59" t="n"/>
      <c r="AQ1891" s="59" t="n"/>
      <c r="AR1891" s="155" t="inlineStr">
        <is>
          <t>Shopify Stetson México › Stetson México: 2</t>
        </is>
      </c>
    </row>
    <row r="1892">
      <c r="A1892" s="50" t="inlineStr">
        <is>
          <t>196070387803</t>
        </is>
      </c>
      <c r="B1892" s="51" t="inlineStr">
        <is>
          <t>109665</t>
        </is>
      </c>
      <c r="C1892" s="156" t="inlineStr">
        <is>
          <t>Multimarca</t>
        </is>
      </c>
      <c r="D1892" s="156" t="inlineStr">
        <is>
          <t>11-097-0562-0920</t>
        </is>
      </c>
      <c r="E1892" s="156" t="inlineStr">
        <is>
          <t>11-097-0562-0920-S</t>
        </is>
      </c>
      <c r="F1892" s="156" t="inlineStr">
        <is>
          <t>S</t>
        </is>
      </c>
      <c r="G1892" s="156" t="inlineStr">
        <is>
          <t>S</t>
        </is>
      </c>
      <c r="H1892" s="156" t="inlineStr">
        <is>
          <t>Stetson</t>
        </is>
      </c>
      <c r="I1892" s="156" t="inlineStr">
        <is>
          <t>Sudadera Stetson Crest Gorro</t>
        </is>
      </c>
      <c r="J1892" s="156" t="inlineStr">
        <is>
          <t>Ropa</t>
        </is>
      </c>
      <c r="K1892" s="156" t="inlineStr">
        <is>
          <t>Sudaderas</t>
        </is>
      </c>
      <c r="L1892" s="156" t="inlineStr">
        <is>
          <t>Hombre</t>
        </is>
      </c>
      <c r="M1892" s="156" t="inlineStr">
        <is>
          <t>Stetson</t>
        </is>
      </c>
      <c r="N1892" s="156" t="inlineStr">
        <is>
          <t>SS26</t>
        </is>
      </c>
      <c r="O1892" s="156" t="inlineStr">
        <is>
          <t>Seasonal</t>
        </is>
      </c>
      <c r="P1892" s="156" t="inlineStr">
        <is>
          <t>Gris</t>
        </is>
      </c>
      <c r="Q1892" s="156" t="inlineStr">
        <is>
          <t>Clásico</t>
        </is>
      </c>
      <c r="R1892" s="156" t="n"/>
      <c r="S1892" s="156" t="n"/>
      <c r="T1892"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2" s="156" t="n"/>
      <c r="V1892" s="156" t="inlineStr">
        <is>
          <t>PZS</t>
        </is>
      </c>
      <c r="W1892" s="51" t="inlineStr">
        <is>
          <t>53101700</t>
        </is>
      </c>
      <c r="X1892" s="156" t="inlineStr">
        <is>
          <t>https://cdn.shopify.com/s/files/1/0888/3250/8267/files/1109705620920.jpg?v=1751044745</t>
        </is>
      </c>
      <c r="Y1892" s="54" t="n">
        <v>717.6724138</v>
      </c>
      <c r="Z1892" s="54" t="n">
        <v>1594.827586</v>
      </c>
      <c r="AA1892" s="55">
        <f>IF(AND(A1892="", B1892="", E1892=""), "", IF(AB1892="", "Válido", IF((LEN(AB1892)-LEN(SUBSTITUTE(AB1892,"; ","")))/2+1&gt;(LEN(AB1892)-LEN(SUBSTITUTE(AB1892,"[Aviso]","")))/7, "Con Incidencias", "Válido")))</f>
        <v/>
      </c>
      <c r="AB1892" s="56">
        <f>IF(AND(A1892="", B1892="", E1892=""), "", TEXTJOIN("; ", TRUE, IF(OR(TRIM(A1892&amp;"")="", ISNUMBER(SEARCH("FALTA", A1892))), "UPC faltante/inválido", ""), IF(AND(A1892&lt;&gt;"", IFERROR(_xlfn.XMATCH(A1892,$A$2:$A$2509,0,1)&lt;&gt;_xlfn.XMATCH(A1892,$A$2:$A$2509,0,-1),FALSE)), "Código de barras duplicado", ""), IF(AND(E1892&lt;&gt;"", COUNTIF($E$2:$E$2509, E1892)&gt;1), "SKU duplicado", ""), IF(OR(J1892="", J1892=""), "[Aviso] División no capturada ()", IF(ISNA(MATCH(J1892, Criterios!$A$123:$A$126, 0)), "División no válida", "")), IF(OR(K1892="", K1892=""), "[Aviso] Categoría no capturada ()", IF(ISNA(MATCH(K1892, Criterios!$A$81:$A$120, 0)), "Categoría no válida", IF(AND(J1892&lt;&gt;"", J1892&lt;&gt;"", J1892&lt;&gt;VLOOKUP(K1892, Criterios!$A$81:$B$120, 2, FALSE)), "División no coincide con Categoría", ""))), IF(OR(L1892="", L1892=""), "[Aviso] Género no capturado ()", IF(ISNA(MATCH(L1892, Criterios!$B$123:$B$127, 0)), "Género no válido", "")), IF(OR(N1892="", N1892=""), "[Aviso] Temporada no capturada ()", IF(ISNA(MATCH(N1892, Criterios!$C$123:$C$128, 0)), "Temporada no válida", "")), IF(OR(O1892="", O1892=""), "[Aviso] Ciclo de vida no capturado ()", IF(ISNA(MATCH(O1892, Criterios!$D$123:$D$124, 0)), "Ciclo de vida no válido", ""))))</f>
        <v/>
      </c>
      <c r="AC1892" s="56" t="n"/>
      <c r="AD1892" s="51" t="n">
        <v>0</v>
      </c>
      <c r="AE1892" s="156" t="n"/>
      <c r="AF1892" s="51" t="n">
        <v>0</v>
      </c>
      <c r="AG1892" s="156" t="inlineStr">
        <is>
          <t>Catálogo existente</t>
        </is>
      </c>
      <c r="AH1892" s="156" t="inlineStr">
        <is>
          <t>Revisión 29/09/2026: Campos sin respaldo: S, U; Auditoría NetSuite 30/09/2026: llenado desde NetSuite [T] | 01/10/2026: complementado desde Shopify Stetson México (match por código de barras): WB Silueta | Homologación G1522 06/10/2026: WB Fit: «» → «Clásico» (Completado por regla)</t>
        </is>
      </c>
      <c r="AI1892" s="156" t="inlineStr">
        <is>
          <t>No</t>
        </is>
      </c>
      <c r="AJ1892" s="156" t="n"/>
      <c r="AK1892" s="155" t="inlineStr">
        <is>
          <t>Descripción y Criterios: G/H [P] | Criterios: J [R]; G1522_Extraccion_Articulos_NetSuite_2026-09-30.xlsx: fila 57480 [T] | Shopify Stetson: producto 14727077822827 / variante 53350614892907</t>
        </is>
      </c>
      <c r="AL1892" s="58" t="n">
        <v>717.6724138</v>
      </c>
      <c r="AM1892" s="58" t="n">
        <v>1594.827586</v>
      </c>
      <c r="AN1892" s="155" t="inlineStr">
        <is>
          <t>Shopify Stetson México</t>
        </is>
      </c>
      <c r="AO1892" s="59" t="n">
        <v>0</v>
      </c>
      <c r="AP1892" s="59" t="n"/>
      <c r="AQ1892" s="59" t="n"/>
      <c r="AR1892" s="155" t="n"/>
    </row>
    <row r="1893">
      <c r="A1893" s="50" t="inlineStr">
        <is>
          <t>196070387810</t>
        </is>
      </c>
      <c r="B1893" s="51" t="inlineStr">
        <is>
          <t>109666</t>
        </is>
      </c>
      <c r="C1893" s="156" t="inlineStr">
        <is>
          <t>Multimarca</t>
        </is>
      </c>
      <c r="D1893" s="156" t="inlineStr">
        <is>
          <t>11-097-0562-0920</t>
        </is>
      </c>
      <c r="E1893" s="156" t="inlineStr">
        <is>
          <t>11-097-0562-0920-XL</t>
        </is>
      </c>
      <c r="F1893" s="156" t="inlineStr">
        <is>
          <t>XL</t>
        </is>
      </c>
      <c r="G1893" s="156" t="inlineStr">
        <is>
          <t>XL</t>
        </is>
      </c>
      <c r="H1893" s="156" t="inlineStr">
        <is>
          <t>Stetson</t>
        </is>
      </c>
      <c r="I1893" s="156" t="inlineStr">
        <is>
          <t>Sudadera Stetson Crest Gorro</t>
        </is>
      </c>
      <c r="J1893" s="156" t="inlineStr">
        <is>
          <t>Ropa</t>
        </is>
      </c>
      <c r="K1893" s="156" t="inlineStr">
        <is>
          <t>Sudaderas</t>
        </is>
      </c>
      <c r="L1893" s="156" t="inlineStr">
        <is>
          <t>Hombre</t>
        </is>
      </c>
      <c r="M1893" s="156" t="inlineStr">
        <is>
          <t>Stetson</t>
        </is>
      </c>
      <c r="N1893" s="156" t="inlineStr">
        <is>
          <t>SS26</t>
        </is>
      </c>
      <c r="O1893" s="156" t="inlineStr">
        <is>
          <t>Seasonal</t>
        </is>
      </c>
      <c r="P1893" s="156" t="inlineStr">
        <is>
          <t>Gris</t>
        </is>
      </c>
      <c r="Q1893" s="156" t="inlineStr">
        <is>
          <t>Clásico</t>
        </is>
      </c>
      <c r="R1893" s="156" t="n"/>
      <c r="S1893" s="156" t="n"/>
      <c r="T1893"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3" s="156" t="n"/>
      <c r="V1893" s="156" t="inlineStr">
        <is>
          <t>PZS</t>
        </is>
      </c>
      <c r="W1893" s="51" t="inlineStr">
        <is>
          <t>53101700</t>
        </is>
      </c>
      <c r="X1893" s="156" t="inlineStr">
        <is>
          <t>https://cdn.shopify.com/s/files/1/0888/3250/8267/files/1109705620920.jpg?v=1751044745</t>
        </is>
      </c>
      <c r="Y1893" s="54" t="n">
        <v>717.6724138</v>
      </c>
      <c r="Z1893" s="54" t="n">
        <v>1594.827586</v>
      </c>
      <c r="AA1893" s="55">
        <f>IF(AND(A1893="", B1893="", E1893=""), "", IF(AB1893="", "Válido", IF((LEN(AB1893)-LEN(SUBSTITUTE(AB1893,"; ","")))/2+1&gt;(LEN(AB1893)-LEN(SUBSTITUTE(AB1893,"[Aviso]","")))/7, "Con Incidencias", "Válido")))</f>
        <v/>
      </c>
      <c r="AB1893" s="56">
        <f>IF(AND(A1893="", B1893="", E1893=""), "", TEXTJOIN("; ", TRUE, IF(OR(TRIM(A1893&amp;"")="", ISNUMBER(SEARCH("FALTA", A1893))), "UPC faltante/inválido", ""), IF(AND(A1893&lt;&gt;"", IFERROR(_xlfn.XMATCH(A1893,$A$2:$A$2509,0,1)&lt;&gt;_xlfn.XMATCH(A1893,$A$2:$A$2509,0,-1),FALSE)), "Código de barras duplicado", ""), IF(AND(E1893&lt;&gt;"", COUNTIF($E$2:$E$2509, E1893)&gt;1), "SKU duplicado", ""), IF(OR(J1893="", J1893=""), "[Aviso] División no capturada ()", IF(ISNA(MATCH(J1893, Criterios!$A$123:$A$126, 0)), "División no válida", "")), IF(OR(K1893="", K1893=""), "[Aviso] Categoría no capturada ()", IF(ISNA(MATCH(K1893, Criterios!$A$81:$A$120, 0)), "Categoría no válida", IF(AND(J1893&lt;&gt;"", J1893&lt;&gt;"", J1893&lt;&gt;VLOOKUP(K1893, Criterios!$A$81:$B$120, 2, FALSE)), "División no coincide con Categoría", ""))), IF(OR(L1893="", L1893=""), "[Aviso] Género no capturado ()", IF(ISNA(MATCH(L1893, Criterios!$B$123:$B$127, 0)), "Género no válido", "")), IF(OR(N1893="", N1893=""), "[Aviso] Temporada no capturada ()", IF(ISNA(MATCH(N1893, Criterios!$C$123:$C$128, 0)), "Temporada no válida", "")), IF(OR(O1893="", O1893=""), "[Aviso] Ciclo de vida no capturado ()", IF(ISNA(MATCH(O1893, Criterios!$D$123:$D$124, 0)), "Ciclo de vida no válido", ""))))</f>
        <v/>
      </c>
      <c r="AC1893" s="56" t="n"/>
      <c r="AD1893" s="51" t="n">
        <v>0</v>
      </c>
      <c r="AE1893" s="156" t="n"/>
      <c r="AF1893" s="51" t="n">
        <v>0</v>
      </c>
      <c r="AG1893" s="156" t="inlineStr">
        <is>
          <t>Catálogo existente</t>
        </is>
      </c>
      <c r="AH1893"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3" s="156" t="inlineStr">
        <is>
          <t>No</t>
        </is>
      </c>
      <c r="AJ1893" s="156" t="n"/>
      <c r="AK1893" s="155" t="inlineStr">
        <is>
          <t>Descripción y Criterios: G/H [P] | Criterios: J [R]; G1522_Extraccion_Articulos_NetSuite_2026-09-30.xlsx: fila 57481 [T] | Shopify Stetson: producto 14727077822827 / variante 53350614991211</t>
        </is>
      </c>
      <c r="AL1893" s="58" t="n">
        <v>717.6724138</v>
      </c>
      <c r="AM1893" s="58" t="n">
        <v>1594.827586</v>
      </c>
      <c r="AN1893" s="155" t="inlineStr">
        <is>
          <t>Shopify Stetson México</t>
        </is>
      </c>
      <c r="AO1893" s="59" t="n">
        <v>0</v>
      </c>
      <c r="AP1893" s="59" t="n"/>
      <c r="AQ1893" s="59" t="n"/>
      <c r="AR1893" s="155" t="n"/>
    </row>
    <row r="1894">
      <c r="A1894" s="50" t="inlineStr">
        <is>
          <t>196070387827</t>
        </is>
      </c>
      <c r="B1894" s="51" t="inlineStr">
        <is>
          <t>109667</t>
        </is>
      </c>
      <c r="C1894" s="156" t="inlineStr">
        <is>
          <t>Multimarca</t>
        </is>
      </c>
      <c r="D1894" s="156" t="inlineStr">
        <is>
          <t>11-097-0562-0920</t>
        </is>
      </c>
      <c r="E1894" s="156" t="inlineStr">
        <is>
          <t>11-097-0562-0920-XXL</t>
        </is>
      </c>
      <c r="F1894" s="156" t="inlineStr">
        <is>
          <t>XXL</t>
        </is>
      </c>
      <c r="G1894" s="156" t="inlineStr">
        <is>
          <t>XXL</t>
        </is>
      </c>
      <c r="H1894" s="156" t="inlineStr">
        <is>
          <t>Stetson</t>
        </is>
      </c>
      <c r="I1894" s="156" t="inlineStr">
        <is>
          <t>Sudadera Stetson Crest Gorro</t>
        </is>
      </c>
      <c r="J1894" s="156" t="inlineStr">
        <is>
          <t>Ropa</t>
        </is>
      </c>
      <c r="K1894" s="156" t="inlineStr">
        <is>
          <t>Sudaderas</t>
        </is>
      </c>
      <c r="L1894" s="156" t="inlineStr">
        <is>
          <t>Hombre</t>
        </is>
      </c>
      <c r="M1894" s="156" t="inlineStr">
        <is>
          <t>Stetson</t>
        </is>
      </c>
      <c r="N1894" s="156" t="inlineStr">
        <is>
          <t>SS26</t>
        </is>
      </c>
      <c r="O1894" s="156" t="inlineStr">
        <is>
          <t>Seasonal</t>
        </is>
      </c>
      <c r="P1894" s="156" t="inlineStr">
        <is>
          <t>Gris</t>
        </is>
      </c>
      <c r="Q1894" s="156" t="inlineStr">
        <is>
          <t>Clásico</t>
        </is>
      </c>
      <c r="R1894" s="156" t="n"/>
      <c r="S1894" s="156" t="n"/>
      <c r="T1894"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4" s="156" t="n"/>
      <c r="V1894" s="156" t="inlineStr">
        <is>
          <t>PZS</t>
        </is>
      </c>
      <c r="W1894" s="51" t="inlineStr">
        <is>
          <t>53101700</t>
        </is>
      </c>
      <c r="X1894" s="156" t="inlineStr">
        <is>
          <t>https://cdn.shopify.com/s/files/1/0888/3250/8267/files/1109705620920.jpg?v=1751044745</t>
        </is>
      </c>
      <c r="Y1894" s="54" t="n">
        <v>717.6724138</v>
      </c>
      <c r="Z1894" s="54" t="n">
        <v>1594.827586</v>
      </c>
      <c r="AA1894" s="55">
        <f>IF(AND(A1894="", B1894="", E1894=""), "", IF(AB1894="", "Válido", IF((LEN(AB1894)-LEN(SUBSTITUTE(AB1894,"; ","")))/2+1&gt;(LEN(AB1894)-LEN(SUBSTITUTE(AB1894,"[Aviso]","")))/7, "Con Incidencias", "Válido")))</f>
        <v/>
      </c>
      <c r="AB1894" s="56">
        <f>IF(AND(A1894="", B1894="", E1894=""), "", TEXTJOIN("; ", TRUE, IF(OR(TRIM(A1894&amp;"")="", ISNUMBER(SEARCH("FALTA", A1894))), "UPC faltante/inválido", ""), IF(AND(A1894&lt;&gt;"", IFERROR(_xlfn.XMATCH(A1894,$A$2:$A$2509,0,1)&lt;&gt;_xlfn.XMATCH(A1894,$A$2:$A$2509,0,-1),FALSE)), "Código de barras duplicado", ""), IF(AND(E1894&lt;&gt;"", COUNTIF($E$2:$E$2509, E1894)&gt;1), "SKU duplicado", ""), IF(OR(J1894="", J1894=""), "[Aviso] División no capturada ()", IF(ISNA(MATCH(J1894, Criterios!$A$123:$A$126, 0)), "División no válida", "")), IF(OR(K1894="", K1894=""), "[Aviso] Categoría no capturada ()", IF(ISNA(MATCH(K1894, Criterios!$A$81:$A$120, 0)), "Categoría no válida", IF(AND(J1894&lt;&gt;"", J1894&lt;&gt;"", J1894&lt;&gt;VLOOKUP(K1894, Criterios!$A$81:$B$120, 2, FALSE)), "División no coincide con Categoría", ""))), IF(OR(L1894="", L1894=""), "[Aviso] Género no capturado ()", IF(ISNA(MATCH(L1894, Criterios!$B$123:$B$127, 0)), "Género no válido", "")), IF(OR(N1894="", N1894=""), "[Aviso] Temporada no capturada ()", IF(ISNA(MATCH(N1894, Criterios!$C$123:$C$128, 0)), "Temporada no válida", "")), IF(OR(O1894="", O1894=""), "[Aviso] Ciclo de vida no capturado ()", IF(ISNA(MATCH(O1894, Criterios!$D$123:$D$124, 0)), "Ciclo de vida no válido", ""))))</f>
        <v/>
      </c>
      <c r="AC1894" s="56" t="n"/>
      <c r="AD1894" s="51" t="n">
        <v>0</v>
      </c>
      <c r="AE1894" s="156" t="n"/>
      <c r="AF1894" s="51" t="n">
        <v>0</v>
      </c>
      <c r="AG1894" s="156" t="inlineStr">
        <is>
          <t>Catálogo existente</t>
        </is>
      </c>
      <c r="AH1894"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4" s="156" t="inlineStr">
        <is>
          <t>No</t>
        </is>
      </c>
      <c r="AJ1894" s="156" t="n"/>
      <c r="AK1894" s="155" t="inlineStr">
        <is>
          <t>Descripción y Criterios: G/H [P] | Criterios: J [R]; G1522_Extraccion_Articulos_NetSuite_2026-09-30.xlsx: fila 57482 [T] | Shopify Stetson: producto 14727077822827 / variante 53350615023979</t>
        </is>
      </c>
      <c r="AL1894" s="58" t="n">
        <v>717.6724138</v>
      </c>
      <c r="AM1894" s="58" t="n">
        <v>1594.827586</v>
      </c>
      <c r="AN1894" s="155" t="inlineStr">
        <is>
          <t>Shopify Stetson México</t>
        </is>
      </c>
      <c r="AO1894" s="59" t="n">
        <v>0</v>
      </c>
      <c r="AP1894" s="59" t="n"/>
      <c r="AQ1894" s="59" t="n"/>
      <c r="AR1894" s="155" t="n"/>
    </row>
    <row r="1895">
      <c r="A1895" s="50" t="inlineStr">
        <is>
          <t>196070462012</t>
        </is>
      </c>
      <c r="B1895" s="51" t="inlineStr">
        <is>
          <t>109527</t>
        </is>
      </c>
      <c r="C1895" s="156" t="inlineStr">
        <is>
          <t>Multimarca</t>
        </is>
      </c>
      <c r="D1895" s="156" t="inlineStr">
        <is>
          <t>11-001-0425-6000</t>
        </is>
      </c>
      <c r="E1895" s="156" t="inlineStr">
        <is>
          <t>11-001-0425-6000-L</t>
        </is>
      </c>
      <c r="F1895" s="156" t="inlineStr">
        <is>
          <t>L</t>
        </is>
      </c>
      <c r="G1895" s="156" t="inlineStr">
        <is>
          <t>L</t>
        </is>
      </c>
      <c r="H1895" s="156" t="inlineStr">
        <is>
          <t>Stetson</t>
        </is>
      </c>
      <c r="I1895" s="156" t="inlineStr">
        <is>
          <t>Camisa Manga Larga Fular 4 Hojas</t>
        </is>
      </c>
      <c r="J1895" s="156" t="inlineStr">
        <is>
          <t>Ropa</t>
        </is>
      </c>
      <c r="K1895" s="156" t="inlineStr">
        <is>
          <t>Camisas</t>
        </is>
      </c>
      <c r="L1895" s="156" t="inlineStr">
        <is>
          <t>Hombre</t>
        </is>
      </c>
      <c r="M1895" s="156" t="inlineStr">
        <is>
          <t>Stetson</t>
        </is>
      </c>
      <c r="N1895" s="156" t="inlineStr">
        <is>
          <t>SS26</t>
        </is>
      </c>
      <c r="O1895" s="156" t="inlineStr">
        <is>
          <t>Seasonal</t>
        </is>
      </c>
      <c r="P1895" s="156" t="inlineStr">
        <is>
          <t>Negro</t>
        </is>
      </c>
      <c r="Q1895" s="156" t="inlineStr">
        <is>
          <t>Clásico</t>
        </is>
      </c>
      <c r="R1895" s="156" t="n"/>
      <c r="S1895" s="156" t="inlineStr">
        <is>
          <t>100% Algodón</t>
        </is>
      </c>
      <c r="T1895"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5" s="156" t="n"/>
      <c r="V1895" s="156" t="inlineStr">
        <is>
          <t>PZS</t>
        </is>
      </c>
      <c r="W1895" s="51" t="inlineStr">
        <is>
          <t>53101600</t>
        </is>
      </c>
      <c r="X1895" s="156" t="inlineStr">
        <is>
          <t>https://cdn.shopify.com/s/files/1/0888/3250/8267/files/1100104256000c.jpg?v=1744226818</t>
        </is>
      </c>
      <c r="Y1895" s="54" t="n">
        <v>717.6724138</v>
      </c>
      <c r="Z1895" s="54" t="n">
        <v>1594.827586</v>
      </c>
      <c r="AA1895" s="55">
        <f>IF(AND(A1895="", B1895="", E1895=""), "", IF(AB1895="", "Válido", IF((LEN(AB1895)-LEN(SUBSTITUTE(AB1895,"; ","")))/2+1&gt;(LEN(AB1895)-LEN(SUBSTITUTE(AB1895,"[Aviso]","")))/7, "Con Incidencias", "Válido")))</f>
        <v/>
      </c>
      <c r="AB1895" s="56">
        <f>IF(AND(A1895="", B1895="", E1895=""), "", TEXTJOIN("; ", TRUE, IF(OR(TRIM(A1895&amp;"")="", ISNUMBER(SEARCH("FALTA", A1895))), "UPC faltante/inválido", ""), IF(AND(A1895&lt;&gt;"", IFERROR(_xlfn.XMATCH(A1895,$A$2:$A$2509,0,1)&lt;&gt;_xlfn.XMATCH(A1895,$A$2:$A$2509,0,-1),FALSE)), "Código de barras duplicado", ""), IF(AND(E1895&lt;&gt;"", COUNTIF($E$2:$E$2509, E1895)&gt;1), "SKU duplicado", ""), IF(OR(J1895="", J1895=""), "[Aviso] División no capturada ()", IF(ISNA(MATCH(J1895, Criterios!$A$123:$A$126, 0)), "División no válida", "")), IF(OR(K1895="", K1895=""), "[Aviso] Categoría no capturada ()", IF(ISNA(MATCH(K1895, Criterios!$A$81:$A$120, 0)), "Categoría no válida", IF(AND(J1895&lt;&gt;"", J1895&lt;&gt;"", J1895&lt;&gt;VLOOKUP(K1895, Criterios!$A$81:$B$120, 2, FALSE)), "División no coincide con Categoría", ""))), IF(OR(L1895="", L1895=""), "[Aviso] Género no capturado ()", IF(ISNA(MATCH(L1895, Criterios!$B$123:$B$127, 0)), "Género no válido", "")), IF(OR(N1895="", N1895=""), "[Aviso] Temporada no capturada ()", IF(ISNA(MATCH(N1895, Criterios!$C$123:$C$128, 0)), "Temporada no válida", "")), IF(OR(O1895="", O1895=""), "[Aviso] Ciclo de vida no capturado ()", IF(ISNA(MATCH(O1895, Criterios!$D$123:$D$124, 0)), "Ciclo de vida no válido", ""))))</f>
        <v/>
      </c>
      <c r="AC1895" s="56" t="n"/>
      <c r="AD1895" s="51" t="n">
        <v>0</v>
      </c>
      <c r="AE1895" s="156" t="n"/>
      <c r="AF1895" s="51" t="n">
        <v>0</v>
      </c>
      <c r="AG1895" s="156" t="inlineStr">
        <is>
          <t>Catálogo existente</t>
        </is>
      </c>
      <c r="AH189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5" s="156" t="inlineStr">
        <is>
          <t>No</t>
        </is>
      </c>
      <c r="AJ1895" s="156" t="n"/>
      <c r="AK1895" s="155" t="inlineStr">
        <is>
          <t>Descripción y Criterios: G/H [P] | Criterios: J [R]; G1522_Extraccion_Articulos_NetSuite_2026-09-30.xlsx: fila 57342 [S] | Shopify Stetson: producto 14693918310763 / variante 51994314637675</t>
        </is>
      </c>
      <c r="AL1895" s="58" t="n">
        <v>717.6724138</v>
      </c>
      <c r="AM1895" s="58" t="n">
        <v>1594.827586</v>
      </c>
      <c r="AN1895" s="155" t="inlineStr">
        <is>
          <t>Shopify Stetson México</t>
        </is>
      </c>
      <c r="AO1895" s="59" t="n">
        <v>0</v>
      </c>
      <c r="AP1895" s="59" t="n"/>
      <c r="AQ1895" s="59" t="n"/>
      <c r="AR1895" s="155" t="n"/>
    </row>
    <row r="1896">
      <c r="A1896" s="50" t="inlineStr">
        <is>
          <t>196070462029</t>
        </is>
      </c>
      <c r="B1896" s="51" t="inlineStr">
        <is>
          <t>109528</t>
        </is>
      </c>
      <c r="C1896" s="156" t="inlineStr">
        <is>
          <t>Multimarca</t>
        </is>
      </c>
      <c r="D1896" s="156" t="inlineStr">
        <is>
          <t>11-001-0425-6000</t>
        </is>
      </c>
      <c r="E1896" s="156" t="inlineStr">
        <is>
          <t>11-001-0425-6000-M</t>
        </is>
      </c>
      <c r="F1896" s="156" t="inlineStr">
        <is>
          <t>M</t>
        </is>
      </c>
      <c r="G1896" s="156" t="inlineStr">
        <is>
          <t>M</t>
        </is>
      </c>
      <c r="H1896" s="156" t="inlineStr">
        <is>
          <t>Stetson</t>
        </is>
      </c>
      <c r="I1896" s="156" t="inlineStr">
        <is>
          <t>Camisa Manga Larga Fular 4 Hojas</t>
        </is>
      </c>
      <c r="J1896" s="156" t="inlineStr">
        <is>
          <t>Ropa</t>
        </is>
      </c>
      <c r="K1896" s="156" t="inlineStr">
        <is>
          <t>Camisas</t>
        </is>
      </c>
      <c r="L1896" s="156" t="inlineStr">
        <is>
          <t>Hombre</t>
        </is>
      </c>
      <c r="M1896" s="156" t="inlineStr">
        <is>
          <t>Stetson</t>
        </is>
      </c>
      <c r="N1896" s="156" t="inlineStr">
        <is>
          <t>SS26</t>
        </is>
      </c>
      <c r="O1896" s="156" t="inlineStr">
        <is>
          <t>Seasonal</t>
        </is>
      </c>
      <c r="P1896" s="156" t="inlineStr">
        <is>
          <t>Negro</t>
        </is>
      </c>
      <c r="Q1896" s="156" t="inlineStr">
        <is>
          <t>Clásico</t>
        </is>
      </c>
      <c r="R1896" s="156" t="n"/>
      <c r="S1896" s="156" t="inlineStr">
        <is>
          <t>100% Algodón</t>
        </is>
      </c>
      <c r="T1896"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6" s="156" t="n"/>
      <c r="V1896" s="156" t="inlineStr">
        <is>
          <t>PZS</t>
        </is>
      </c>
      <c r="W1896" s="51" t="inlineStr">
        <is>
          <t>53101600</t>
        </is>
      </c>
      <c r="X1896" s="156" t="inlineStr">
        <is>
          <t>https://cdn.shopify.com/s/files/1/0888/3250/8267/files/1100104256000b.jpg?v=1744226813</t>
        </is>
      </c>
      <c r="Y1896" s="54" t="n">
        <v>717.6724138</v>
      </c>
      <c r="Z1896" s="54" t="n">
        <v>1594.827586</v>
      </c>
      <c r="AA1896" s="55">
        <f>IF(AND(A1896="", B1896="", E1896=""), "", IF(AB1896="", "Válido", IF((LEN(AB1896)-LEN(SUBSTITUTE(AB1896,"; ","")))/2+1&gt;(LEN(AB1896)-LEN(SUBSTITUTE(AB1896,"[Aviso]","")))/7, "Con Incidencias", "Válido")))</f>
        <v/>
      </c>
      <c r="AB1896" s="56">
        <f>IF(AND(A1896="", B1896="", E1896=""), "", TEXTJOIN("; ", TRUE, IF(OR(TRIM(A1896&amp;"")="", ISNUMBER(SEARCH("FALTA", A1896))), "UPC faltante/inválido", ""), IF(AND(A1896&lt;&gt;"", IFERROR(_xlfn.XMATCH(A1896,$A$2:$A$2509,0,1)&lt;&gt;_xlfn.XMATCH(A1896,$A$2:$A$2509,0,-1),FALSE)), "Código de barras duplicado", ""), IF(AND(E1896&lt;&gt;"", COUNTIF($E$2:$E$2509, E1896)&gt;1), "SKU duplicado", ""), IF(OR(J1896="", J1896=""), "[Aviso] División no capturada ()", IF(ISNA(MATCH(J1896, Criterios!$A$123:$A$126, 0)), "División no válida", "")), IF(OR(K1896="", K1896=""), "[Aviso] Categoría no capturada ()", IF(ISNA(MATCH(K1896, Criterios!$A$81:$A$120, 0)), "Categoría no válida", IF(AND(J1896&lt;&gt;"", J1896&lt;&gt;"", J1896&lt;&gt;VLOOKUP(K1896, Criterios!$A$81:$B$120, 2, FALSE)), "División no coincide con Categoría", ""))), IF(OR(L1896="", L1896=""), "[Aviso] Género no capturado ()", IF(ISNA(MATCH(L1896, Criterios!$B$123:$B$127, 0)), "Género no válido", "")), IF(OR(N1896="", N1896=""), "[Aviso] Temporada no capturada ()", IF(ISNA(MATCH(N1896, Criterios!$C$123:$C$128, 0)), "Temporada no válida", "")), IF(OR(O1896="", O1896=""), "[Aviso] Ciclo de vida no capturado ()", IF(ISNA(MATCH(O1896, Criterios!$D$123:$D$124, 0)), "Ciclo de vida no válido", ""))))</f>
        <v/>
      </c>
      <c r="AC1896" s="56" t="n"/>
      <c r="AD1896" s="51" t="n">
        <v>0</v>
      </c>
      <c r="AE1896" s="156" t="n"/>
      <c r="AF1896" s="51" t="n">
        <v>0</v>
      </c>
      <c r="AG1896" s="156" t="inlineStr">
        <is>
          <t>Catálogo existente</t>
        </is>
      </c>
      <c r="AH189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6" s="156" t="inlineStr">
        <is>
          <t>No</t>
        </is>
      </c>
      <c r="AJ1896" s="156" t="n"/>
      <c r="AK1896" s="155" t="inlineStr">
        <is>
          <t>Descripción y Criterios: G/H [P] | Criterios: J [R]; G1522_Extraccion_Articulos_NetSuite_2026-09-30.xlsx: fila 57343 [S] | Shopify Stetson: producto 14693918310763 / variante 51994314604907</t>
        </is>
      </c>
      <c r="AL1896" s="58" t="n">
        <v>717.6724138</v>
      </c>
      <c r="AM1896" s="58" t="n">
        <v>1594.827586</v>
      </c>
      <c r="AN1896" s="155" t="inlineStr">
        <is>
          <t>Shopify Stetson México</t>
        </is>
      </c>
      <c r="AO1896" s="59" t="n">
        <v>0</v>
      </c>
      <c r="AP1896" s="59" t="n"/>
      <c r="AQ1896" s="59" t="n"/>
      <c r="AR1896" s="155" t="n"/>
    </row>
    <row r="1897">
      <c r="A1897" s="50" t="inlineStr">
        <is>
          <t>196070462036</t>
        </is>
      </c>
      <c r="B1897" s="51" t="inlineStr">
        <is>
          <t>109529</t>
        </is>
      </c>
      <c r="C1897" s="156" t="inlineStr">
        <is>
          <t>Multimarca</t>
        </is>
      </c>
      <c r="D1897" s="156" t="inlineStr">
        <is>
          <t>11-001-0425-6000</t>
        </is>
      </c>
      <c r="E1897" s="156" t="inlineStr">
        <is>
          <t>11-001-0425-6000-S</t>
        </is>
      </c>
      <c r="F1897" s="156" t="inlineStr">
        <is>
          <t>S</t>
        </is>
      </c>
      <c r="G1897" s="156" t="inlineStr">
        <is>
          <t>S</t>
        </is>
      </c>
      <c r="H1897" s="156" t="inlineStr">
        <is>
          <t>Stetson</t>
        </is>
      </c>
      <c r="I1897" s="156" t="inlineStr">
        <is>
          <t>Camisa Manga Larga Fular 4 Hojas</t>
        </is>
      </c>
      <c r="J1897" s="156" t="inlineStr">
        <is>
          <t>Ropa</t>
        </is>
      </c>
      <c r="K1897" s="156" t="inlineStr">
        <is>
          <t>Camisas</t>
        </is>
      </c>
      <c r="L1897" s="156" t="inlineStr">
        <is>
          <t>Hombre</t>
        </is>
      </c>
      <c r="M1897" s="156" t="inlineStr">
        <is>
          <t>Stetson</t>
        </is>
      </c>
      <c r="N1897" s="156" t="inlineStr">
        <is>
          <t>SS26</t>
        </is>
      </c>
      <c r="O1897" s="156" t="inlineStr">
        <is>
          <t>Seasonal</t>
        </is>
      </c>
      <c r="P1897" s="156" t="inlineStr">
        <is>
          <t>Negro</t>
        </is>
      </c>
      <c r="Q1897" s="156" t="inlineStr">
        <is>
          <t>Clásico</t>
        </is>
      </c>
      <c r="R1897" s="156" t="n"/>
      <c r="S1897" s="156" t="inlineStr">
        <is>
          <t>100% Algodón</t>
        </is>
      </c>
      <c r="T1897"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7" s="156" t="n"/>
      <c r="V1897" s="156" t="inlineStr">
        <is>
          <t>PZS</t>
        </is>
      </c>
      <c r="W1897" s="51" t="inlineStr">
        <is>
          <t>53101600</t>
        </is>
      </c>
      <c r="X1897" s="156" t="inlineStr">
        <is>
          <t>https://cdn.shopify.com/s/files/1/0888/3250/8267/files/1100104256000a.jpg?v=1744226808</t>
        </is>
      </c>
      <c r="Y1897" s="54" t="n">
        <v>717.6724138</v>
      </c>
      <c r="Z1897" s="54" t="n">
        <v>1594.827586</v>
      </c>
      <c r="AA1897" s="55">
        <f>IF(AND(A1897="", B1897="", E1897=""), "", IF(AB1897="", "Válido", IF((LEN(AB1897)-LEN(SUBSTITUTE(AB1897,"; ","")))/2+1&gt;(LEN(AB1897)-LEN(SUBSTITUTE(AB1897,"[Aviso]","")))/7, "Con Incidencias", "Válido")))</f>
        <v/>
      </c>
      <c r="AB1897" s="56">
        <f>IF(AND(A1897="", B1897="", E1897=""), "", TEXTJOIN("; ", TRUE, IF(OR(TRIM(A1897&amp;"")="", ISNUMBER(SEARCH("FALTA", A1897))), "UPC faltante/inválido", ""), IF(AND(A1897&lt;&gt;"", IFERROR(_xlfn.XMATCH(A1897,$A$2:$A$2509,0,1)&lt;&gt;_xlfn.XMATCH(A1897,$A$2:$A$2509,0,-1),FALSE)), "Código de barras duplicado", ""), IF(AND(E1897&lt;&gt;"", COUNTIF($E$2:$E$2509, E1897)&gt;1), "SKU duplicado", ""), IF(OR(J1897="", J1897=""), "[Aviso] División no capturada ()", IF(ISNA(MATCH(J1897, Criterios!$A$123:$A$126, 0)), "División no válida", "")), IF(OR(K1897="", K1897=""), "[Aviso] Categoría no capturada ()", IF(ISNA(MATCH(K1897, Criterios!$A$81:$A$120, 0)), "Categoría no válida", IF(AND(J1897&lt;&gt;"", J1897&lt;&gt;"", J1897&lt;&gt;VLOOKUP(K1897, Criterios!$A$81:$B$120, 2, FALSE)), "División no coincide con Categoría", ""))), IF(OR(L1897="", L1897=""), "[Aviso] Género no capturado ()", IF(ISNA(MATCH(L1897, Criterios!$B$123:$B$127, 0)), "Género no válido", "")), IF(OR(N1897="", N1897=""), "[Aviso] Temporada no capturada ()", IF(ISNA(MATCH(N1897, Criterios!$C$123:$C$128, 0)), "Temporada no válida", "")), IF(OR(O1897="", O1897=""), "[Aviso] Ciclo de vida no capturado ()", IF(ISNA(MATCH(O1897, Criterios!$D$123:$D$124, 0)), "Ciclo de vida no válido", ""))))</f>
        <v/>
      </c>
      <c r="AC1897" s="56" t="n"/>
      <c r="AD1897" s="51" t="n">
        <v>0</v>
      </c>
      <c r="AE1897" s="156" t="n"/>
      <c r="AF1897" s="51" t="n">
        <v>0</v>
      </c>
      <c r="AG1897" s="156" t="inlineStr">
        <is>
          <t>Catálogo existente</t>
        </is>
      </c>
      <c r="AH189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7" s="156" t="inlineStr">
        <is>
          <t>No</t>
        </is>
      </c>
      <c r="AJ1897" s="156" t="n"/>
      <c r="AK1897" s="155" t="inlineStr">
        <is>
          <t>Descripción y Criterios: G/H [P] | Criterios: J [R]; G1522_Extraccion_Articulos_NetSuite_2026-09-30.xlsx: fila 57344 [S] | Shopify Stetson: producto 14693918310763 / variante 51994314899819</t>
        </is>
      </c>
      <c r="AL1897" s="58" t="n">
        <v>717.6724138</v>
      </c>
      <c r="AM1897" s="58" t="n">
        <v>1594.827586</v>
      </c>
      <c r="AN1897" s="155" t="inlineStr">
        <is>
          <t>Shopify Stetson México</t>
        </is>
      </c>
      <c r="AO1897" s="59" t="n">
        <v>0</v>
      </c>
      <c r="AP1897" s="59" t="n"/>
      <c r="AQ1897" s="59" t="n"/>
      <c r="AR1897" s="155" t="n"/>
    </row>
    <row r="1898">
      <c r="A1898" s="50" t="inlineStr">
        <is>
          <t>196070462043</t>
        </is>
      </c>
      <c r="B1898" s="51" t="inlineStr">
        <is>
          <t>109530</t>
        </is>
      </c>
      <c r="C1898" s="156" t="inlineStr">
        <is>
          <t>Multimarca</t>
        </is>
      </c>
      <c r="D1898" s="156" t="inlineStr">
        <is>
          <t>11-001-0425-6000</t>
        </is>
      </c>
      <c r="E1898" s="156" t="inlineStr">
        <is>
          <t>11-001-0425-6000-XL</t>
        </is>
      </c>
      <c r="F1898" s="156" t="inlineStr">
        <is>
          <t>XL</t>
        </is>
      </c>
      <c r="G1898" s="156" t="inlineStr">
        <is>
          <t>XL</t>
        </is>
      </c>
      <c r="H1898" s="156" t="inlineStr">
        <is>
          <t>Stetson</t>
        </is>
      </c>
      <c r="I1898" s="156" t="inlineStr">
        <is>
          <t>Camisa Manga Larga Fular 4 Hojas</t>
        </is>
      </c>
      <c r="J1898" s="156" t="inlineStr">
        <is>
          <t>Ropa</t>
        </is>
      </c>
      <c r="K1898" s="156" t="inlineStr">
        <is>
          <t>Camisas</t>
        </is>
      </c>
      <c r="L1898" s="156" t="inlineStr">
        <is>
          <t>Hombre</t>
        </is>
      </c>
      <c r="M1898" s="156" t="inlineStr">
        <is>
          <t>Stetson</t>
        </is>
      </c>
      <c r="N1898" s="156" t="inlineStr">
        <is>
          <t>SS26</t>
        </is>
      </c>
      <c r="O1898" s="156" t="inlineStr">
        <is>
          <t>Seasonal</t>
        </is>
      </c>
      <c r="P1898" s="156" t="inlineStr">
        <is>
          <t>Negro</t>
        </is>
      </c>
      <c r="Q1898" s="156" t="inlineStr">
        <is>
          <t>Clásico</t>
        </is>
      </c>
      <c r="R1898" s="156" t="n"/>
      <c r="S1898" s="156" t="inlineStr">
        <is>
          <t>100% Algodón</t>
        </is>
      </c>
      <c r="T1898"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8" s="156" t="n"/>
      <c r="V1898" s="156" t="inlineStr">
        <is>
          <t>PZS</t>
        </is>
      </c>
      <c r="W1898" s="51" t="inlineStr">
        <is>
          <t>53101600</t>
        </is>
      </c>
      <c r="X1898" s="156" t="inlineStr">
        <is>
          <t>https://cdn.shopify.com/s/files/1/0888/3250/8267/files/1100104256000a.jpg?v=1744226808</t>
        </is>
      </c>
      <c r="Y1898" s="54" t="n">
        <v>717.6724138</v>
      </c>
      <c r="Z1898" s="54" t="n">
        <v>1594.827586</v>
      </c>
      <c r="AA1898" s="55">
        <f>IF(AND(A1898="", B1898="", E1898=""), "", IF(AB1898="", "Válido", IF((LEN(AB1898)-LEN(SUBSTITUTE(AB1898,"; ","")))/2+1&gt;(LEN(AB1898)-LEN(SUBSTITUTE(AB1898,"[Aviso]","")))/7, "Con Incidencias", "Válido")))</f>
        <v/>
      </c>
      <c r="AB1898" s="56">
        <f>IF(AND(A1898="", B1898="", E1898=""), "", TEXTJOIN("; ", TRUE, IF(OR(TRIM(A1898&amp;"")="", ISNUMBER(SEARCH("FALTA", A1898))), "UPC faltante/inválido", ""), IF(AND(A1898&lt;&gt;"", IFERROR(_xlfn.XMATCH(A1898,$A$2:$A$2509,0,1)&lt;&gt;_xlfn.XMATCH(A1898,$A$2:$A$2509,0,-1),FALSE)), "Código de barras duplicado", ""), IF(AND(E1898&lt;&gt;"", COUNTIF($E$2:$E$2509, E1898)&gt;1), "SKU duplicado", ""), IF(OR(J1898="", J1898=""), "[Aviso] División no capturada ()", IF(ISNA(MATCH(J1898, Criterios!$A$123:$A$126, 0)), "División no válida", "")), IF(OR(K1898="", K1898=""), "[Aviso] Categoría no capturada ()", IF(ISNA(MATCH(K1898, Criterios!$A$81:$A$120, 0)), "Categoría no válida", IF(AND(J1898&lt;&gt;"", J1898&lt;&gt;"", J1898&lt;&gt;VLOOKUP(K1898, Criterios!$A$81:$B$120, 2, FALSE)), "División no coincide con Categoría", ""))), IF(OR(L1898="", L1898=""), "[Aviso] Género no capturado ()", IF(ISNA(MATCH(L1898, Criterios!$B$123:$B$127, 0)), "Género no válido", "")), IF(OR(N1898="", N1898=""), "[Aviso] Temporada no capturada ()", IF(ISNA(MATCH(N1898, Criterios!$C$123:$C$128, 0)), "Temporada no válida", "")), IF(OR(O1898="", O1898=""), "[Aviso] Ciclo de vida no capturado ()", IF(ISNA(MATCH(O1898, Criterios!$D$123:$D$124, 0)), "Ciclo de vida no válido", ""))))</f>
        <v/>
      </c>
      <c r="AC1898" s="56" t="n"/>
      <c r="AD1898" s="51" t="n">
        <v>0</v>
      </c>
      <c r="AE1898" s="156" t="n"/>
      <c r="AF1898" s="51" t="n">
        <v>0</v>
      </c>
      <c r="AG1898" s="156" t="inlineStr">
        <is>
          <t>Catálogo existente</t>
        </is>
      </c>
      <c r="AH189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898" s="156" t="inlineStr">
        <is>
          <t>No</t>
        </is>
      </c>
      <c r="AJ1898" s="156" t="n"/>
      <c r="AK1898" s="155" t="inlineStr">
        <is>
          <t>Descripción y Criterios: G/H [P] | Criterios: J [R]; G1522_Extraccion_Articulos_NetSuite_2026-09-30.xlsx: fila 57345 [S] | Shopify Stetson: producto 14693918310763 / variante 51994314670443</t>
        </is>
      </c>
      <c r="AL1898" s="58" t="n">
        <v>717.6724138</v>
      </c>
      <c r="AM1898" s="58" t="n">
        <v>1594.827586</v>
      </c>
      <c r="AN1898" s="155" t="inlineStr">
        <is>
          <t>Shopify Stetson México</t>
        </is>
      </c>
      <c r="AO1898" s="59" t="n">
        <v>0</v>
      </c>
      <c r="AP1898" s="59" t="n"/>
      <c r="AQ1898" s="59" t="n"/>
      <c r="AR1898" s="155" t="n"/>
    </row>
    <row r="1899">
      <c r="A1899" s="50" t="inlineStr">
        <is>
          <t>196070462050</t>
        </is>
      </c>
      <c r="B1899" s="51" t="inlineStr">
        <is>
          <t>109531</t>
        </is>
      </c>
      <c r="C1899" s="156" t="inlineStr">
        <is>
          <t>Multimarca</t>
        </is>
      </c>
      <c r="D1899" s="156" t="inlineStr">
        <is>
          <t>11-001-0425-6000</t>
        </is>
      </c>
      <c r="E1899" s="156" t="inlineStr">
        <is>
          <t>11-001-0425-6000-XXL</t>
        </is>
      </c>
      <c r="F1899" s="156" t="inlineStr">
        <is>
          <t>XXL</t>
        </is>
      </c>
      <c r="G1899" s="156" t="inlineStr">
        <is>
          <t>XXL</t>
        </is>
      </c>
      <c r="H1899" s="156" t="inlineStr">
        <is>
          <t>Stetson</t>
        </is>
      </c>
      <c r="I1899" s="156" t="inlineStr">
        <is>
          <t>Camisa Manga Larga Fular 4 Hojas</t>
        </is>
      </c>
      <c r="J1899" s="156" t="inlineStr">
        <is>
          <t>Ropa</t>
        </is>
      </c>
      <c r="K1899" s="156" t="inlineStr">
        <is>
          <t>Camisas</t>
        </is>
      </c>
      <c r="L1899" s="156" t="inlineStr">
        <is>
          <t>Hombre</t>
        </is>
      </c>
      <c r="M1899" s="156" t="inlineStr">
        <is>
          <t>Stetson</t>
        </is>
      </c>
      <c r="N1899" s="156" t="inlineStr">
        <is>
          <t>SS26</t>
        </is>
      </c>
      <c r="O1899" s="156" t="inlineStr">
        <is>
          <t>Seasonal</t>
        </is>
      </c>
      <c r="P1899" s="156" t="inlineStr">
        <is>
          <t>Negro</t>
        </is>
      </c>
      <c r="Q1899" s="156" t="inlineStr">
        <is>
          <t>Clásico</t>
        </is>
      </c>
      <c r="R1899" s="156" t="n"/>
      <c r="S1899" s="156" t="inlineStr">
        <is>
          <t>100% Algodón</t>
        </is>
      </c>
      <c r="T1899"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9" s="156" t="n"/>
      <c r="V1899" s="156" t="inlineStr">
        <is>
          <t>PZS</t>
        </is>
      </c>
      <c r="W1899" s="51" t="inlineStr">
        <is>
          <t>53101600</t>
        </is>
      </c>
      <c r="X1899" s="156" t="inlineStr">
        <is>
          <t>https://cdn.shopify.com/s/files/1/0888/3250/8267/files/1100104256000a.jpg?v=1744226808</t>
        </is>
      </c>
      <c r="Y1899" s="54" t="n">
        <v>717.6724138</v>
      </c>
      <c r="Z1899" s="54" t="n">
        <v>1594.827586</v>
      </c>
      <c r="AA1899" s="55">
        <f>IF(AND(A1899="", B1899="", E1899=""), "", IF(AB1899="", "Válido", IF((LEN(AB1899)-LEN(SUBSTITUTE(AB1899,"; ","")))/2+1&gt;(LEN(AB1899)-LEN(SUBSTITUTE(AB1899,"[Aviso]","")))/7, "Con Incidencias", "Válido")))</f>
        <v/>
      </c>
      <c r="AB1899" s="56">
        <f>IF(AND(A1899="", B1899="", E1899=""), "", TEXTJOIN("; ", TRUE, IF(OR(TRIM(A1899&amp;"")="", ISNUMBER(SEARCH("FALTA", A1899))), "UPC faltante/inválido", ""), IF(AND(A1899&lt;&gt;"", IFERROR(_xlfn.XMATCH(A1899,$A$2:$A$2509,0,1)&lt;&gt;_xlfn.XMATCH(A1899,$A$2:$A$2509,0,-1),FALSE)), "Código de barras duplicado", ""), IF(AND(E1899&lt;&gt;"", COUNTIF($E$2:$E$2509, E1899)&gt;1), "SKU duplicado", ""), IF(OR(J1899="", J1899=""), "[Aviso] División no capturada ()", IF(ISNA(MATCH(J1899, Criterios!$A$123:$A$126, 0)), "División no válida", "")), IF(OR(K1899="", K1899=""), "[Aviso] Categoría no capturada ()", IF(ISNA(MATCH(K1899, Criterios!$A$81:$A$120, 0)), "Categoría no válida", IF(AND(J1899&lt;&gt;"", J1899&lt;&gt;"", J1899&lt;&gt;VLOOKUP(K1899, Criterios!$A$81:$B$120, 2, FALSE)), "División no coincide con Categoría", ""))), IF(OR(L1899="", L1899=""), "[Aviso] Género no capturado ()", IF(ISNA(MATCH(L1899, Criterios!$B$123:$B$127, 0)), "Género no válido", "")), IF(OR(N1899="", N1899=""), "[Aviso] Temporada no capturada ()", IF(ISNA(MATCH(N1899, Criterios!$C$123:$C$128, 0)), "Temporada no válida", "")), IF(OR(O1899="", O1899=""), "[Aviso] Ciclo de vida no capturado ()", IF(ISNA(MATCH(O1899, Criterios!$D$123:$D$124, 0)), "Ciclo de vida no válido", ""))))</f>
        <v/>
      </c>
      <c r="AC1899" s="56" t="n"/>
      <c r="AD1899" s="51" t="n">
        <v>0</v>
      </c>
      <c r="AE1899" s="156" t="n"/>
      <c r="AF1899" s="51" t="n">
        <v>0</v>
      </c>
      <c r="AG1899" s="156" t="inlineStr">
        <is>
          <t>Catálogo existente</t>
        </is>
      </c>
      <c r="AH189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899" s="156" t="inlineStr">
        <is>
          <t>No</t>
        </is>
      </c>
      <c r="AJ1899" s="156" t="n"/>
      <c r="AK1899" s="155" t="inlineStr">
        <is>
          <t>Descripción y Criterios: G/H [P] | Criterios: J [R]; G1522_Extraccion_Articulos_NetSuite_2026-09-30.xlsx: fila 57346 [S] | Shopify Stetson: producto 14693918310763 / variante 51994314703211</t>
        </is>
      </c>
      <c r="AL1899" s="58" t="n">
        <v>717.6724138</v>
      </c>
      <c r="AM1899" s="58" t="n">
        <v>1594.827586</v>
      </c>
      <c r="AN1899" s="155" t="inlineStr">
        <is>
          <t>Shopify Stetson México</t>
        </is>
      </c>
      <c r="AO1899" s="59" t="n">
        <v>0</v>
      </c>
      <c r="AP1899" s="59" t="n"/>
      <c r="AQ1899" s="59" t="n"/>
      <c r="AR1899" s="155" t="n"/>
    </row>
    <row r="1900">
      <c r="A1900" s="50" t="inlineStr">
        <is>
          <t>196070516029</t>
        </is>
      </c>
      <c r="B1900" s="51" t="inlineStr">
        <is>
          <t>109465</t>
        </is>
      </c>
      <c r="C1900" s="156" t="inlineStr">
        <is>
          <t>Multimarca</t>
        </is>
      </c>
      <c r="D1900" s="156" t="inlineStr">
        <is>
          <t>11-001-0425-0178</t>
        </is>
      </c>
      <c r="E1900" s="156" t="inlineStr">
        <is>
          <t>11-001-0425-0178-L</t>
        </is>
      </c>
      <c r="F1900" s="156" t="inlineStr">
        <is>
          <t>L</t>
        </is>
      </c>
      <c r="G1900" s="156" t="inlineStr">
        <is>
          <t>L</t>
        </is>
      </c>
      <c r="H1900" s="156" t="inlineStr">
        <is>
          <t>Stetson</t>
        </is>
      </c>
      <c r="I1900" s="156" t="inlineStr">
        <is>
          <t>Camisa Manga Larga Damasco Vintage</t>
        </is>
      </c>
      <c r="J1900" s="156" t="inlineStr">
        <is>
          <t>Ropa</t>
        </is>
      </c>
      <c r="K1900" s="156" t="inlineStr">
        <is>
          <t>Camisas</t>
        </is>
      </c>
      <c r="L1900" s="156" t="inlineStr">
        <is>
          <t>Hombre</t>
        </is>
      </c>
      <c r="M1900" s="156" t="inlineStr">
        <is>
          <t>Stetson</t>
        </is>
      </c>
      <c r="N1900" s="156" t="inlineStr">
        <is>
          <t>SS26</t>
        </is>
      </c>
      <c r="O1900" s="156" t="inlineStr">
        <is>
          <t>Seasonal</t>
        </is>
      </c>
      <c r="P1900" s="156" t="inlineStr">
        <is>
          <t>Negro</t>
        </is>
      </c>
      <c r="Q1900" s="156" t="inlineStr">
        <is>
          <t>Clásico</t>
        </is>
      </c>
      <c r="R1900" s="156" t="n"/>
      <c r="S1900" s="156" t="inlineStr">
        <is>
          <t>100% Algodón</t>
        </is>
      </c>
      <c r="T1900"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0" s="156" t="n"/>
      <c r="V1900" s="156" t="inlineStr">
        <is>
          <t>PZS</t>
        </is>
      </c>
      <c r="W1900" s="51" t="inlineStr">
        <is>
          <t>53101600</t>
        </is>
      </c>
      <c r="X1900" s="156" t="inlineStr">
        <is>
          <t>https://cdn.shopify.com/s/files/1/0888/3250/8267/files/1100104250178c.jpg?v=1744055912</t>
        </is>
      </c>
      <c r="Y1900" s="54" t="n">
        <v>717.6724138</v>
      </c>
      <c r="Z1900" s="54" t="n">
        <v>1594.827586</v>
      </c>
      <c r="AA1900" s="55">
        <f>IF(AND(A1900="", B1900="", E1900=""), "", IF(AB1900="", "Válido", IF((LEN(AB1900)-LEN(SUBSTITUTE(AB1900,"; ","")))/2+1&gt;(LEN(AB1900)-LEN(SUBSTITUTE(AB1900,"[Aviso]","")))/7, "Con Incidencias", "Válido")))</f>
        <v/>
      </c>
      <c r="AB1900" s="56">
        <f>IF(AND(A1900="", B1900="", E1900=""), "", TEXTJOIN("; ", TRUE, IF(OR(TRIM(A1900&amp;"")="", ISNUMBER(SEARCH("FALTA", A1900))), "UPC faltante/inválido", ""), IF(AND(A1900&lt;&gt;"", IFERROR(_xlfn.XMATCH(A1900,$A$2:$A$2509,0,1)&lt;&gt;_xlfn.XMATCH(A1900,$A$2:$A$2509,0,-1),FALSE)), "Código de barras duplicado", ""), IF(AND(E1900&lt;&gt;"", COUNTIF($E$2:$E$2509, E1900)&gt;1), "SKU duplicado", ""), IF(OR(J1900="", J1900=""), "[Aviso] División no capturada ()", IF(ISNA(MATCH(J1900, Criterios!$A$123:$A$126, 0)), "División no válida", "")), IF(OR(K1900="", K1900=""), "[Aviso] Categoría no capturada ()", IF(ISNA(MATCH(K1900, Criterios!$A$81:$A$120, 0)), "Categoría no válida", IF(AND(J1900&lt;&gt;"", J1900&lt;&gt;"", J1900&lt;&gt;VLOOKUP(K1900, Criterios!$A$81:$B$120, 2, FALSE)), "División no coincide con Categoría", ""))), IF(OR(L1900="", L1900=""), "[Aviso] Género no capturado ()", IF(ISNA(MATCH(L1900, Criterios!$B$123:$B$127, 0)), "Género no válido", "")), IF(OR(N1900="", N1900=""), "[Aviso] Temporada no capturada ()", IF(ISNA(MATCH(N1900, Criterios!$C$123:$C$128, 0)), "Temporada no válida", "")), IF(OR(O1900="", O1900=""), "[Aviso] Ciclo de vida no capturado ()", IF(ISNA(MATCH(O1900, Criterios!$D$123:$D$124, 0)), "Ciclo de vida no válido", ""))))</f>
        <v/>
      </c>
      <c r="AC1900" s="56" t="n"/>
      <c r="AD1900" s="51" t="n">
        <v>0</v>
      </c>
      <c r="AE1900" s="156" t="n"/>
      <c r="AF1900" s="51" t="n">
        <v>0</v>
      </c>
      <c r="AG1900" s="156" t="inlineStr">
        <is>
          <t>Catálogo existente</t>
        </is>
      </c>
      <c r="AH190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0" s="156" t="inlineStr">
        <is>
          <t>No</t>
        </is>
      </c>
      <c r="AJ1900" s="156" t="n"/>
      <c r="AK1900" s="155" t="inlineStr">
        <is>
          <t>Descripción y Criterios: G/H [P] | Criterios: J [R]; G1522_Extraccion_Articulos_NetSuite_2026-09-30.xlsx: fila 57280 [S] | Shopify Stetson: producto 14693226447211 / variante 51990707077483</t>
        </is>
      </c>
      <c r="AL1900" s="58" t="n">
        <v>717.6724138</v>
      </c>
      <c r="AM1900" s="58" t="n">
        <v>1594.827586</v>
      </c>
      <c r="AN1900" s="155" t="inlineStr">
        <is>
          <t>Shopify Stetson México</t>
        </is>
      </c>
      <c r="AO1900" s="59" t="n">
        <v>0</v>
      </c>
      <c r="AP1900" s="59" t="n"/>
      <c r="AQ1900" s="59" t="n"/>
      <c r="AR1900" s="155" t="n"/>
    </row>
    <row r="1901">
      <c r="A1901" s="50" t="inlineStr">
        <is>
          <t>196070516036</t>
        </is>
      </c>
      <c r="B1901" s="51" t="inlineStr">
        <is>
          <t>109466</t>
        </is>
      </c>
      <c r="C1901" s="156" t="inlineStr">
        <is>
          <t>Multimarca</t>
        </is>
      </c>
      <c r="D1901" s="156" t="inlineStr">
        <is>
          <t>11-001-0425-0178</t>
        </is>
      </c>
      <c r="E1901" s="156" t="inlineStr">
        <is>
          <t>11-001-0425-0178-M</t>
        </is>
      </c>
      <c r="F1901" s="156" t="inlineStr">
        <is>
          <t>M</t>
        </is>
      </c>
      <c r="G1901" s="156" t="inlineStr">
        <is>
          <t>M</t>
        </is>
      </c>
      <c r="H1901" s="156" t="inlineStr">
        <is>
          <t>Stetson</t>
        </is>
      </c>
      <c r="I1901" s="156" t="inlineStr">
        <is>
          <t>Camisa Manga Larga Damasco Vintage</t>
        </is>
      </c>
      <c r="J1901" s="156" t="inlineStr">
        <is>
          <t>Ropa</t>
        </is>
      </c>
      <c r="K1901" s="156" t="inlineStr">
        <is>
          <t>Camisas</t>
        </is>
      </c>
      <c r="L1901" s="156" t="inlineStr">
        <is>
          <t>Hombre</t>
        </is>
      </c>
      <c r="M1901" s="156" t="inlineStr">
        <is>
          <t>Stetson</t>
        </is>
      </c>
      <c r="N1901" s="156" t="inlineStr">
        <is>
          <t>SS26</t>
        </is>
      </c>
      <c r="O1901" s="156" t="inlineStr">
        <is>
          <t>Seasonal</t>
        </is>
      </c>
      <c r="P1901" s="156" t="inlineStr">
        <is>
          <t>Negro</t>
        </is>
      </c>
      <c r="Q1901" s="156" t="inlineStr">
        <is>
          <t>Clásico</t>
        </is>
      </c>
      <c r="R1901" s="156" t="n"/>
      <c r="S1901" s="156" t="inlineStr">
        <is>
          <t>100% Algodón</t>
        </is>
      </c>
      <c r="T1901"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1" s="156" t="n"/>
      <c r="V1901" s="156" t="inlineStr">
        <is>
          <t>PZS</t>
        </is>
      </c>
      <c r="W1901" s="51" t="inlineStr">
        <is>
          <t>53101600</t>
        </is>
      </c>
      <c r="X1901" s="156" t="inlineStr">
        <is>
          <t>https://cdn.shopify.com/s/files/1/0888/3250/8267/files/1100104250178b.jpg?v=1744055907</t>
        </is>
      </c>
      <c r="Y1901" s="54" t="n">
        <v>717.6724138</v>
      </c>
      <c r="Z1901" s="54" t="n">
        <v>1594.827586</v>
      </c>
      <c r="AA1901" s="55">
        <f>IF(AND(A1901="", B1901="", E1901=""), "", IF(AB1901="", "Válido", IF((LEN(AB1901)-LEN(SUBSTITUTE(AB1901,"; ","")))/2+1&gt;(LEN(AB1901)-LEN(SUBSTITUTE(AB1901,"[Aviso]","")))/7, "Con Incidencias", "Válido")))</f>
        <v/>
      </c>
      <c r="AB1901" s="56">
        <f>IF(AND(A1901="", B1901="", E1901=""), "", TEXTJOIN("; ", TRUE, IF(OR(TRIM(A1901&amp;"")="", ISNUMBER(SEARCH("FALTA", A1901))), "UPC faltante/inválido", ""), IF(AND(A1901&lt;&gt;"", IFERROR(_xlfn.XMATCH(A1901,$A$2:$A$2509,0,1)&lt;&gt;_xlfn.XMATCH(A1901,$A$2:$A$2509,0,-1),FALSE)), "Código de barras duplicado", ""), IF(AND(E1901&lt;&gt;"", COUNTIF($E$2:$E$2509, E1901)&gt;1), "SKU duplicado", ""), IF(OR(J1901="", J1901=""), "[Aviso] División no capturada ()", IF(ISNA(MATCH(J1901, Criterios!$A$123:$A$126, 0)), "División no válida", "")), IF(OR(K1901="", K1901=""), "[Aviso] Categoría no capturada ()", IF(ISNA(MATCH(K1901, Criterios!$A$81:$A$120, 0)), "Categoría no válida", IF(AND(J1901&lt;&gt;"", J1901&lt;&gt;"", J1901&lt;&gt;VLOOKUP(K1901, Criterios!$A$81:$B$120, 2, FALSE)), "División no coincide con Categoría", ""))), IF(OR(L1901="", L1901=""), "[Aviso] Género no capturado ()", IF(ISNA(MATCH(L1901, Criterios!$B$123:$B$127, 0)), "Género no válido", "")), IF(OR(N1901="", N1901=""), "[Aviso] Temporada no capturada ()", IF(ISNA(MATCH(N1901, Criterios!$C$123:$C$128, 0)), "Temporada no válida", "")), IF(OR(O1901="", O1901=""), "[Aviso] Ciclo de vida no capturado ()", IF(ISNA(MATCH(O1901, Criterios!$D$123:$D$124, 0)), "Ciclo de vida no válido", ""))))</f>
        <v/>
      </c>
      <c r="AC1901" s="56" t="n"/>
      <c r="AD1901" s="51" t="n">
        <v>0</v>
      </c>
      <c r="AE1901" s="156" t="n"/>
      <c r="AF1901" s="51" t="n">
        <v>0</v>
      </c>
      <c r="AG1901" s="156" t="inlineStr">
        <is>
          <t>Catálogo existente</t>
        </is>
      </c>
      <c r="AH190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1" s="156" t="inlineStr">
        <is>
          <t>No</t>
        </is>
      </c>
      <c r="AJ1901" s="156" t="n"/>
      <c r="AK1901" s="155" t="inlineStr">
        <is>
          <t>Descripción y Criterios: G/H [P] | Criterios: J [R]; G1522_Extraccion_Articulos_NetSuite_2026-09-30.xlsx: fila 57281 [S] | Shopify Stetson: producto 14693226447211 / variante 51990707044715</t>
        </is>
      </c>
      <c r="AL1901" s="58" t="n">
        <v>717.6724138</v>
      </c>
      <c r="AM1901" s="58" t="n">
        <v>1594.827586</v>
      </c>
      <c r="AN1901" s="155" t="inlineStr">
        <is>
          <t>Shopify Stetson México</t>
        </is>
      </c>
      <c r="AO1901" s="59" t="n">
        <v>0</v>
      </c>
      <c r="AP1901" s="59" t="n"/>
      <c r="AQ1901" s="59" t="n"/>
      <c r="AR1901" s="155" t="n"/>
    </row>
    <row r="1902">
      <c r="A1902" s="50" t="inlineStr">
        <is>
          <t>196070516043</t>
        </is>
      </c>
      <c r="B1902" s="51" t="inlineStr">
        <is>
          <t>109467</t>
        </is>
      </c>
      <c r="C1902" s="156" t="inlineStr">
        <is>
          <t>Multimarca</t>
        </is>
      </c>
      <c r="D1902" s="156" t="inlineStr">
        <is>
          <t>11-001-0425-0178</t>
        </is>
      </c>
      <c r="E1902" s="156" t="inlineStr">
        <is>
          <t>11-001-0425-0178-S</t>
        </is>
      </c>
      <c r="F1902" s="156" t="inlineStr">
        <is>
          <t>S</t>
        </is>
      </c>
      <c r="G1902" s="156" t="inlineStr">
        <is>
          <t>S</t>
        </is>
      </c>
      <c r="H1902" s="156" t="inlineStr">
        <is>
          <t>Stetson</t>
        </is>
      </c>
      <c r="I1902" s="156" t="inlineStr">
        <is>
          <t>Camisa Manga Larga Damasco Vintage</t>
        </is>
      </c>
      <c r="J1902" s="156" t="inlineStr">
        <is>
          <t>Ropa</t>
        </is>
      </c>
      <c r="K1902" s="156" t="inlineStr">
        <is>
          <t>Camisas</t>
        </is>
      </c>
      <c r="L1902" s="156" t="inlineStr">
        <is>
          <t>Hombre</t>
        </is>
      </c>
      <c r="M1902" s="156" t="inlineStr">
        <is>
          <t>Stetson</t>
        </is>
      </c>
      <c r="N1902" s="156" t="inlineStr">
        <is>
          <t>SS26</t>
        </is>
      </c>
      <c r="O1902" s="156" t="inlineStr">
        <is>
          <t>Seasonal</t>
        </is>
      </c>
      <c r="P1902" s="156" t="inlineStr">
        <is>
          <t>Negro</t>
        </is>
      </c>
      <c r="Q1902" s="156" t="inlineStr">
        <is>
          <t>Clásico</t>
        </is>
      </c>
      <c r="R1902" s="156" t="n"/>
      <c r="S1902" s="156" t="inlineStr">
        <is>
          <t>100% Algodón</t>
        </is>
      </c>
      <c r="T1902"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2" s="156" t="n"/>
      <c r="V1902" s="156" t="inlineStr">
        <is>
          <t>PZS</t>
        </is>
      </c>
      <c r="W1902" s="51" t="inlineStr">
        <is>
          <t>53101600</t>
        </is>
      </c>
      <c r="X1902" s="156" t="inlineStr">
        <is>
          <t>https://cdn.shopify.com/s/files/1/0888/3250/8267/files/1100104250178a.jpg?v=1744055881</t>
        </is>
      </c>
      <c r="Y1902" s="54" t="n">
        <v>717.6724138</v>
      </c>
      <c r="Z1902" s="54" t="n">
        <v>1594.827586</v>
      </c>
      <c r="AA1902" s="55">
        <f>IF(AND(A1902="", B1902="", E1902=""), "", IF(AB1902="", "Válido", IF((LEN(AB1902)-LEN(SUBSTITUTE(AB1902,"; ","")))/2+1&gt;(LEN(AB1902)-LEN(SUBSTITUTE(AB1902,"[Aviso]","")))/7, "Con Incidencias", "Válido")))</f>
        <v/>
      </c>
      <c r="AB1902" s="56">
        <f>IF(AND(A1902="", B1902="", E1902=""), "", TEXTJOIN("; ", TRUE, IF(OR(TRIM(A1902&amp;"")="", ISNUMBER(SEARCH("FALTA", A1902))), "UPC faltante/inválido", ""), IF(AND(A1902&lt;&gt;"", IFERROR(_xlfn.XMATCH(A1902,$A$2:$A$2509,0,1)&lt;&gt;_xlfn.XMATCH(A1902,$A$2:$A$2509,0,-1),FALSE)), "Código de barras duplicado", ""), IF(AND(E1902&lt;&gt;"", COUNTIF($E$2:$E$2509, E1902)&gt;1), "SKU duplicado", ""), IF(OR(J1902="", J1902=""), "[Aviso] División no capturada ()", IF(ISNA(MATCH(J1902, Criterios!$A$123:$A$126, 0)), "División no válida", "")), IF(OR(K1902="", K1902=""), "[Aviso] Categoría no capturada ()", IF(ISNA(MATCH(K1902, Criterios!$A$81:$A$120, 0)), "Categoría no válida", IF(AND(J1902&lt;&gt;"", J1902&lt;&gt;"", J1902&lt;&gt;VLOOKUP(K1902, Criterios!$A$81:$B$120, 2, FALSE)), "División no coincide con Categoría", ""))), IF(OR(L1902="", L1902=""), "[Aviso] Género no capturado ()", IF(ISNA(MATCH(L1902, Criterios!$B$123:$B$127, 0)), "Género no válido", "")), IF(OR(N1902="", N1902=""), "[Aviso] Temporada no capturada ()", IF(ISNA(MATCH(N1902, Criterios!$C$123:$C$128, 0)), "Temporada no válida", "")), IF(OR(O1902="", O1902=""), "[Aviso] Ciclo de vida no capturado ()", IF(ISNA(MATCH(O1902, Criterios!$D$123:$D$124, 0)), "Ciclo de vida no válido", ""))))</f>
        <v/>
      </c>
      <c r="AC1902" s="56" t="n"/>
      <c r="AD1902" s="51" t="n">
        <v>0</v>
      </c>
      <c r="AE1902" s="156" t="n"/>
      <c r="AF1902" s="51" t="n">
        <v>0</v>
      </c>
      <c r="AG1902" s="156" t="inlineStr">
        <is>
          <t>Catálogo existente</t>
        </is>
      </c>
      <c r="AH190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2" s="156" t="inlineStr">
        <is>
          <t>No</t>
        </is>
      </c>
      <c r="AJ1902" s="156" t="n"/>
      <c r="AK1902" s="155" t="inlineStr">
        <is>
          <t>Descripción y Criterios: G/H [P] | Criterios: J [R]; G1522_Extraccion_Articulos_NetSuite_2026-09-30.xlsx: fila 57282 [S] | Shopify Stetson: producto 14693226447211 / variante 51990707011947</t>
        </is>
      </c>
      <c r="AL1902" s="58" t="n">
        <v>717.6724138</v>
      </c>
      <c r="AM1902" s="58" t="n">
        <v>1594.827586</v>
      </c>
      <c r="AN1902" s="155" t="inlineStr">
        <is>
          <t>Shopify Stetson México</t>
        </is>
      </c>
      <c r="AO1902" s="59" t="n">
        <v>0</v>
      </c>
      <c r="AP1902" s="59" t="n"/>
      <c r="AQ1902" s="59" t="n"/>
      <c r="AR1902" s="155" t="n"/>
    </row>
    <row r="1903">
      <c r="A1903" s="50" t="inlineStr">
        <is>
          <t>196070516050</t>
        </is>
      </c>
      <c r="B1903" s="51" t="inlineStr">
        <is>
          <t>109468</t>
        </is>
      </c>
      <c r="C1903" s="156" t="inlineStr">
        <is>
          <t>Multimarca</t>
        </is>
      </c>
      <c r="D1903" s="156" t="inlineStr">
        <is>
          <t>11-001-0425-0178</t>
        </is>
      </c>
      <c r="E1903" s="156" t="inlineStr">
        <is>
          <t>11-001-0425-0178-XL</t>
        </is>
      </c>
      <c r="F1903" s="156" t="inlineStr">
        <is>
          <t>XL</t>
        </is>
      </c>
      <c r="G1903" s="156" t="inlineStr">
        <is>
          <t>XL</t>
        </is>
      </c>
      <c r="H1903" s="156" t="inlineStr">
        <is>
          <t>Stetson</t>
        </is>
      </c>
      <c r="I1903" s="156" t="inlineStr">
        <is>
          <t>Camisa Manga Larga Damasco Vintage</t>
        </is>
      </c>
      <c r="J1903" s="156" t="inlineStr">
        <is>
          <t>Ropa</t>
        </is>
      </c>
      <c r="K1903" s="156" t="inlineStr">
        <is>
          <t>Camisas</t>
        </is>
      </c>
      <c r="L1903" s="156" t="inlineStr">
        <is>
          <t>Hombre</t>
        </is>
      </c>
      <c r="M1903" s="156" t="inlineStr">
        <is>
          <t>Stetson</t>
        </is>
      </c>
      <c r="N1903" s="156" t="inlineStr">
        <is>
          <t>SS26</t>
        </is>
      </c>
      <c r="O1903" s="156" t="inlineStr">
        <is>
          <t>Seasonal</t>
        </is>
      </c>
      <c r="P1903" s="156" t="inlineStr">
        <is>
          <t>Negro</t>
        </is>
      </c>
      <c r="Q1903" s="156" t="inlineStr">
        <is>
          <t>Clásico</t>
        </is>
      </c>
      <c r="R1903" s="156" t="n"/>
      <c r="S1903" s="156" t="inlineStr">
        <is>
          <t>100% Algodón</t>
        </is>
      </c>
      <c r="T1903"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3" s="156" t="n"/>
      <c r="V1903" s="156" t="inlineStr">
        <is>
          <t>PZS</t>
        </is>
      </c>
      <c r="W1903" s="51" t="inlineStr">
        <is>
          <t>53101600</t>
        </is>
      </c>
      <c r="X1903" s="156" t="inlineStr">
        <is>
          <t>https://cdn.shopify.com/s/files/1/0888/3250/8267/files/1100104250178a.jpg?v=1744055881</t>
        </is>
      </c>
      <c r="Y1903" s="54" t="n">
        <v>717.6724138</v>
      </c>
      <c r="Z1903" s="54" t="n">
        <v>1594.827586</v>
      </c>
      <c r="AA1903" s="55">
        <f>IF(AND(A1903="", B1903="", E1903=""), "", IF(AB1903="", "Válido", IF((LEN(AB1903)-LEN(SUBSTITUTE(AB1903,"; ","")))/2+1&gt;(LEN(AB1903)-LEN(SUBSTITUTE(AB1903,"[Aviso]","")))/7, "Con Incidencias", "Válido")))</f>
        <v/>
      </c>
      <c r="AB1903" s="56">
        <f>IF(AND(A1903="", B1903="", E1903=""), "", TEXTJOIN("; ", TRUE, IF(OR(TRIM(A1903&amp;"")="", ISNUMBER(SEARCH("FALTA", A1903))), "UPC faltante/inválido", ""), IF(AND(A1903&lt;&gt;"", IFERROR(_xlfn.XMATCH(A1903,$A$2:$A$2509,0,1)&lt;&gt;_xlfn.XMATCH(A1903,$A$2:$A$2509,0,-1),FALSE)), "Código de barras duplicado", ""), IF(AND(E1903&lt;&gt;"", COUNTIF($E$2:$E$2509, E1903)&gt;1), "SKU duplicado", ""), IF(OR(J1903="", J1903=""), "[Aviso] División no capturada ()", IF(ISNA(MATCH(J1903, Criterios!$A$123:$A$126, 0)), "División no válida", "")), IF(OR(K1903="", K1903=""), "[Aviso] Categoría no capturada ()", IF(ISNA(MATCH(K1903, Criterios!$A$81:$A$120, 0)), "Categoría no válida", IF(AND(J1903&lt;&gt;"", J1903&lt;&gt;"", J1903&lt;&gt;VLOOKUP(K1903, Criterios!$A$81:$B$120, 2, FALSE)), "División no coincide con Categoría", ""))), IF(OR(L1903="", L1903=""), "[Aviso] Género no capturado ()", IF(ISNA(MATCH(L1903, Criterios!$B$123:$B$127, 0)), "Género no válido", "")), IF(OR(N1903="", N1903=""), "[Aviso] Temporada no capturada ()", IF(ISNA(MATCH(N1903, Criterios!$C$123:$C$128, 0)), "Temporada no válida", "")), IF(OR(O1903="", O1903=""), "[Aviso] Ciclo de vida no capturado ()", IF(ISNA(MATCH(O1903, Criterios!$D$123:$D$124, 0)), "Ciclo de vida no válido", ""))))</f>
        <v/>
      </c>
      <c r="AC1903" s="56" t="n"/>
      <c r="AD1903" s="51" t="n">
        <v>0</v>
      </c>
      <c r="AE1903" s="156" t="n"/>
      <c r="AF1903" s="51" t="n">
        <v>0</v>
      </c>
      <c r="AG1903" s="156" t="inlineStr">
        <is>
          <t>Catálogo existente</t>
        </is>
      </c>
      <c r="AH190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03" s="156" t="inlineStr">
        <is>
          <t>No</t>
        </is>
      </c>
      <c r="AJ1903" s="156" t="n"/>
      <c r="AK1903" s="155" t="inlineStr">
        <is>
          <t>Descripción y Criterios: G/H [P] | Criterios: J [R]; G1522_Extraccion_Articulos_NetSuite_2026-09-30.xlsx: fila 57283 [S] | Shopify Stetson: producto 14693226447211 / variante 51990707110251</t>
        </is>
      </c>
      <c r="AL1903" s="58" t="n">
        <v>717.6724138</v>
      </c>
      <c r="AM1903" s="58" t="n">
        <v>1594.827586</v>
      </c>
      <c r="AN1903" s="155" t="inlineStr">
        <is>
          <t>Shopify Stetson México</t>
        </is>
      </c>
      <c r="AO1903" s="59" t="n">
        <v>0</v>
      </c>
      <c r="AP1903" s="59" t="n"/>
      <c r="AQ1903" s="59" t="n"/>
      <c r="AR1903" s="155" t="n"/>
    </row>
    <row r="1904">
      <c r="A1904" s="50" t="inlineStr">
        <is>
          <t>196070516203</t>
        </is>
      </c>
      <c r="B1904" s="51" t="n"/>
      <c r="C1904" s="156" t="inlineStr">
        <is>
          <t>Multimarca</t>
        </is>
      </c>
      <c r="D1904" s="156" t="inlineStr">
        <is>
          <t>11-001-0425-0181</t>
        </is>
      </c>
      <c r="E1904" s="156" t="inlineStr">
        <is>
          <t>11-001-0425-0181_GDE</t>
        </is>
      </c>
      <c r="F1904" s="156" t="inlineStr">
        <is>
          <t>L</t>
        </is>
      </c>
      <c r="G1904" s="156" t="inlineStr">
        <is>
          <t>L</t>
        </is>
      </c>
      <c r="H1904" s="156" t="inlineStr">
        <is>
          <t>Stetson</t>
        </is>
      </c>
      <c r="I1904" s="156" t="inlineStr">
        <is>
          <t>CAMISA MANGA LARGA MEDALLON CLASICO</t>
        </is>
      </c>
      <c r="J1904" s="156" t="inlineStr">
        <is>
          <t>Ropa</t>
        </is>
      </c>
      <c r="K1904" s="156" t="inlineStr">
        <is>
          <t>Camisas</t>
        </is>
      </c>
      <c r="L1904" s="156" t="inlineStr">
        <is>
          <t>Hombre</t>
        </is>
      </c>
      <c r="M1904" s="156" t="inlineStr">
        <is>
          <t>Stetson</t>
        </is>
      </c>
      <c r="N1904" s="156" t="n"/>
      <c r="O1904" s="156" t="n"/>
      <c r="P1904" s="156" t="n"/>
      <c r="Q1904" s="156" t="inlineStr">
        <is>
          <t>Clásico</t>
        </is>
      </c>
      <c r="R1904" s="156" t="n"/>
      <c r="S1904" s="156" t="n"/>
      <c r="T1904"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4" s="156" t="n"/>
      <c r="V1904" s="156" t="inlineStr">
        <is>
          <t>PZS</t>
        </is>
      </c>
      <c r="W1904" s="51" t="inlineStr">
        <is>
          <t>53101600</t>
        </is>
      </c>
      <c r="X1904" s="156" t="inlineStr">
        <is>
          <t>https://cdn.shopify.com/s/files/1/0888/3250/8267/files/1100104250181a.jpg?v=1744064048</t>
        </is>
      </c>
      <c r="Y1904" s="54" t="n"/>
      <c r="Z1904" s="54" t="n">
        <v>1850</v>
      </c>
      <c r="AA1904" s="55">
        <f>IF(AND(A1904="", B1904="", E1904=""), "", IF(AB1904="", "Válido", IF((LEN(AB1904)-LEN(SUBSTITUTE(AB1904,"; ","")))/2+1&gt;(LEN(AB1904)-LEN(SUBSTITUTE(AB1904,"[Aviso]","")))/7, "Con Incidencias", "Válido")))</f>
        <v/>
      </c>
      <c r="AB1904" s="56">
        <f>IF(AND(A1904="", B1904="", E1904=""), "", TEXTJOIN("; ", TRUE, IF(OR(TRIM(A1904&amp;"")="", ISNUMBER(SEARCH("FALTA", A1904))), "UPC faltante/inválido", ""), IF(AND(A1904&lt;&gt;"", IFERROR(_xlfn.XMATCH(A1904,$A$2:$A$2509,0,1)&lt;&gt;_xlfn.XMATCH(A1904,$A$2:$A$2509,0,-1),FALSE)), "Código de barras duplicado", ""), IF(AND(E1904&lt;&gt;"", COUNTIF($E$2:$E$2509, E1904)&gt;1), "SKU duplicado", ""), IF(OR(J1904="", J1904=""), "[Aviso] División no capturada ()", IF(ISNA(MATCH(J1904, Criterios!$A$123:$A$126, 0)), "División no válida", "")), IF(OR(K1904="", K1904=""), "[Aviso] Categoría no capturada ()", IF(ISNA(MATCH(K1904, Criterios!$A$81:$A$120, 0)), "Categoría no válida", IF(AND(J1904&lt;&gt;"", J1904&lt;&gt;"", J1904&lt;&gt;VLOOKUP(K1904, Criterios!$A$81:$B$120, 2, FALSE)), "División no coincide con Categoría", ""))), IF(OR(L1904="", L1904=""), "[Aviso] Género no capturado ()", IF(ISNA(MATCH(L1904, Criterios!$B$123:$B$127, 0)), "Género no válido", "")), IF(OR(N1904="", N1904=""), "[Aviso] Temporada no capturada ()", IF(ISNA(MATCH(N1904, Criterios!$C$123:$C$128, 0)), "Temporada no válida", "")), IF(OR(O1904="", O1904=""), "[Aviso] Ciclo de vida no capturado ()", IF(ISNA(MATCH(O1904, Criterios!$D$123:$D$124, 0)), "Ciclo de vida no válido", ""))))</f>
        <v/>
      </c>
      <c r="AC1904" s="56" t="n"/>
      <c r="AD1904" s="51" t="n">
        <v>0</v>
      </c>
      <c r="AE1904" s="156" t="inlineStr">
        <is>
          <t>Sin coincidencia en NetSuite</t>
        </is>
      </c>
      <c r="AF1904" s="51" t="n"/>
      <c r="AG1904" s="156" t="inlineStr">
        <is>
          <t>Catálogo existente</t>
        </is>
      </c>
      <c r="AH1904"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04" s="156" t="n"/>
      <c r="AJ1904" s="156" t="n"/>
      <c r="AK1904" s="155" t="inlineStr">
        <is>
          <t>Shopify Stetson: producto 14693244567915 / variante 51990829891947</t>
        </is>
      </c>
      <c r="AL1904" s="58" t="n"/>
      <c r="AM1904" s="58" t="n">
        <v>1850</v>
      </c>
      <c r="AN1904" s="155" t="inlineStr">
        <is>
          <t>Shopify Stetson México</t>
        </is>
      </c>
      <c r="AO1904" s="59" t="n">
        <v>0</v>
      </c>
      <c r="AP1904" s="59" t="n"/>
      <c r="AQ1904" s="59" t="n"/>
      <c r="AR1904" s="155" t="n"/>
    </row>
    <row r="1905">
      <c r="A1905" s="50" t="inlineStr">
        <is>
          <t>196070516210</t>
        </is>
      </c>
      <c r="B1905" s="51" t="n"/>
      <c r="C1905" s="156" t="inlineStr">
        <is>
          <t>Multimarca</t>
        </is>
      </c>
      <c r="D1905" s="156" t="inlineStr">
        <is>
          <t>11-001-0425-0181</t>
        </is>
      </c>
      <c r="E1905" s="156" t="inlineStr">
        <is>
          <t>11-001-0425-0181_MED</t>
        </is>
      </c>
      <c r="F1905" s="156" t="inlineStr">
        <is>
          <t>M</t>
        </is>
      </c>
      <c r="G1905" s="156" t="inlineStr">
        <is>
          <t>M</t>
        </is>
      </c>
      <c r="H1905" s="156" t="inlineStr">
        <is>
          <t>Stetson</t>
        </is>
      </c>
      <c r="I1905" s="156" t="inlineStr">
        <is>
          <t>CAMISA MANGA LARGA MEDALLON CLASICO</t>
        </is>
      </c>
      <c r="J1905" s="156" t="inlineStr">
        <is>
          <t>Ropa</t>
        </is>
      </c>
      <c r="K1905" s="156" t="inlineStr">
        <is>
          <t>Camisas</t>
        </is>
      </c>
      <c r="L1905" s="156" t="inlineStr">
        <is>
          <t>Hombre</t>
        </is>
      </c>
      <c r="M1905" s="156" t="inlineStr">
        <is>
          <t>Stetson</t>
        </is>
      </c>
      <c r="N1905" s="156" t="n"/>
      <c r="O1905" s="156" t="n"/>
      <c r="P1905" s="156" t="n"/>
      <c r="Q1905" s="156" t="inlineStr">
        <is>
          <t>Clásico</t>
        </is>
      </c>
      <c r="R1905" s="156" t="n"/>
      <c r="S1905" s="156" t="n"/>
      <c r="T1905"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5" s="156" t="n"/>
      <c r="V1905" s="156" t="inlineStr">
        <is>
          <t>PZS</t>
        </is>
      </c>
      <c r="W1905" s="51" t="inlineStr">
        <is>
          <t>53101600</t>
        </is>
      </c>
      <c r="X1905" s="156" t="inlineStr">
        <is>
          <t>https://cdn.shopify.com/s/files/1/0888/3250/8267/files/1100104250181b.jpg?v=1744064054</t>
        </is>
      </c>
      <c r="Y1905" s="54" t="n"/>
      <c r="Z1905" s="54" t="n">
        <v>1850</v>
      </c>
      <c r="AA1905" s="55">
        <f>IF(AND(A1905="", B1905="", E1905=""), "", IF(AB1905="", "Válido", IF((LEN(AB1905)-LEN(SUBSTITUTE(AB1905,"; ","")))/2+1&gt;(LEN(AB1905)-LEN(SUBSTITUTE(AB1905,"[Aviso]","")))/7, "Con Incidencias", "Válido")))</f>
        <v/>
      </c>
      <c r="AB1905" s="56">
        <f>IF(AND(A1905="", B1905="", E1905=""), "", TEXTJOIN("; ", TRUE, IF(OR(TRIM(A1905&amp;"")="", ISNUMBER(SEARCH("FALTA", A1905))), "UPC faltante/inválido", ""), IF(AND(A1905&lt;&gt;"", IFERROR(_xlfn.XMATCH(A1905,$A$2:$A$2509,0,1)&lt;&gt;_xlfn.XMATCH(A1905,$A$2:$A$2509,0,-1),FALSE)), "Código de barras duplicado", ""), IF(AND(E1905&lt;&gt;"", COUNTIF($E$2:$E$2509, E1905)&gt;1), "SKU duplicado", ""), IF(OR(J1905="", J1905=""), "[Aviso] División no capturada ()", IF(ISNA(MATCH(J1905, Criterios!$A$123:$A$126, 0)), "División no válida", "")), IF(OR(K1905="", K1905=""), "[Aviso] Categoría no capturada ()", IF(ISNA(MATCH(K1905, Criterios!$A$81:$A$120, 0)), "Categoría no válida", IF(AND(J1905&lt;&gt;"", J1905&lt;&gt;"", J1905&lt;&gt;VLOOKUP(K1905, Criterios!$A$81:$B$120, 2, FALSE)), "División no coincide con Categoría", ""))), IF(OR(L1905="", L1905=""), "[Aviso] Género no capturado ()", IF(ISNA(MATCH(L1905, Criterios!$B$123:$B$127, 0)), "Género no válido", "")), IF(OR(N1905="", N1905=""), "[Aviso] Temporada no capturada ()", IF(ISNA(MATCH(N1905, Criterios!$C$123:$C$128, 0)), "Temporada no válida", "")), IF(OR(O1905="", O1905=""), "[Aviso] Ciclo de vida no capturado ()", IF(ISNA(MATCH(O1905, Criterios!$D$123:$D$124, 0)), "Ciclo de vida no válido", ""))))</f>
        <v/>
      </c>
      <c r="AC1905" s="56" t="n"/>
      <c r="AD1905" s="51" t="n">
        <v>0</v>
      </c>
      <c r="AE1905" s="156" t="inlineStr">
        <is>
          <t>Sin coincidencia en NetSuite</t>
        </is>
      </c>
      <c r="AF1905" s="51" t="n"/>
      <c r="AG1905" s="156" t="inlineStr">
        <is>
          <t>Catálogo existente</t>
        </is>
      </c>
      <c r="AH1905"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05" s="156" t="n"/>
      <c r="AJ1905" s="156" t="n"/>
      <c r="AK1905" s="155" t="inlineStr">
        <is>
          <t>Shopify Stetson: producto 14693244567915 / variante 51990829859179</t>
        </is>
      </c>
      <c r="AL1905" s="58" t="n"/>
      <c r="AM1905" s="58" t="n">
        <v>1850</v>
      </c>
      <c r="AN1905" s="155" t="inlineStr">
        <is>
          <t>Shopify Stetson México</t>
        </is>
      </c>
      <c r="AO1905" s="59" t="n">
        <v>0</v>
      </c>
      <c r="AP1905" s="59" t="n"/>
      <c r="AQ1905" s="59" t="n"/>
      <c r="AR1905" s="155" t="n"/>
    </row>
    <row r="1906">
      <c r="A1906" s="50" t="inlineStr">
        <is>
          <t>196070516227</t>
        </is>
      </c>
      <c r="B1906" s="51" t="n"/>
      <c r="C1906" s="156" t="inlineStr">
        <is>
          <t>Multimarca</t>
        </is>
      </c>
      <c r="D1906" s="156" t="inlineStr">
        <is>
          <t>11-001-0425-0181</t>
        </is>
      </c>
      <c r="E1906" s="156" t="inlineStr">
        <is>
          <t>11-001-0425-0181_CH</t>
        </is>
      </c>
      <c r="F1906" s="156" t="inlineStr">
        <is>
          <t>S</t>
        </is>
      </c>
      <c r="G1906" s="156" t="inlineStr">
        <is>
          <t>S</t>
        </is>
      </c>
      <c r="H1906" s="156" t="inlineStr">
        <is>
          <t>Stetson</t>
        </is>
      </c>
      <c r="I1906" s="156" t="inlineStr">
        <is>
          <t>CAMISA MANGA LARGA MEDALLON CLASICO</t>
        </is>
      </c>
      <c r="J1906" s="156" t="inlineStr">
        <is>
          <t>Ropa</t>
        </is>
      </c>
      <c r="K1906" s="156" t="inlineStr">
        <is>
          <t>Camisas</t>
        </is>
      </c>
      <c r="L1906" s="156" t="inlineStr">
        <is>
          <t>Hombre</t>
        </is>
      </c>
      <c r="M1906" s="156" t="inlineStr">
        <is>
          <t>Stetson</t>
        </is>
      </c>
      <c r="N1906" s="156" t="n"/>
      <c r="O1906" s="156" t="n"/>
      <c r="P1906" s="156" t="n"/>
      <c r="Q1906" s="156" t="inlineStr">
        <is>
          <t>Clásico</t>
        </is>
      </c>
      <c r="R1906" s="156" t="n"/>
      <c r="S1906" s="156" t="n"/>
      <c r="T1906"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6" s="156" t="n"/>
      <c r="V1906" s="156" t="inlineStr">
        <is>
          <t>PZS</t>
        </is>
      </c>
      <c r="W1906" s="51" t="inlineStr">
        <is>
          <t>53101600</t>
        </is>
      </c>
      <c r="X1906" s="156" t="inlineStr">
        <is>
          <t>https://cdn.shopify.com/s/files/1/0888/3250/8267/files/1100104250181a.jpg?v=1744064048</t>
        </is>
      </c>
      <c r="Y1906" s="54" t="n"/>
      <c r="Z1906" s="54" t="n">
        <v>1850</v>
      </c>
      <c r="AA1906" s="55">
        <f>IF(AND(A1906="", B1906="", E1906=""), "", IF(AB1906="", "Válido", IF((LEN(AB1906)-LEN(SUBSTITUTE(AB1906,"; ","")))/2+1&gt;(LEN(AB1906)-LEN(SUBSTITUTE(AB1906,"[Aviso]","")))/7, "Con Incidencias", "Válido")))</f>
        <v/>
      </c>
      <c r="AB1906" s="56">
        <f>IF(AND(A1906="", B1906="", E1906=""), "", TEXTJOIN("; ", TRUE, IF(OR(TRIM(A1906&amp;"")="", ISNUMBER(SEARCH("FALTA", A1906))), "UPC faltante/inválido", ""), IF(AND(A1906&lt;&gt;"", IFERROR(_xlfn.XMATCH(A1906,$A$2:$A$2509,0,1)&lt;&gt;_xlfn.XMATCH(A1906,$A$2:$A$2509,0,-1),FALSE)), "Código de barras duplicado", ""), IF(AND(E1906&lt;&gt;"", COUNTIF($E$2:$E$2509, E1906)&gt;1), "SKU duplicado", ""), IF(OR(J1906="", J1906=""), "[Aviso] División no capturada ()", IF(ISNA(MATCH(J1906, Criterios!$A$123:$A$126, 0)), "División no válida", "")), IF(OR(K1906="", K1906=""), "[Aviso] Categoría no capturada ()", IF(ISNA(MATCH(K1906, Criterios!$A$81:$A$120, 0)), "Categoría no válida", IF(AND(J1906&lt;&gt;"", J1906&lt;&gt;"", J1906&lt;&gt;VLOOKUP(K1906, Criterios!$A$81:$B$120, 2, FALSE)), "División no coincide con Categoría", ""))), IF(OR(L1906="", L1906=""), "[Aviso] Género no capturado ()", IF(ISNA(MATCH(L1906, Criterios!$B$123:$B$127, 0)), "Género no válido", "")), IF(OR(N1906="", N1906=""), "[Aviso] Temporada no capturada ()", IF(ISNA(MATCH(N1906, Criterios!$C$123:$C$128, 0)), "Temporada no válida", "")), IF(OR(O1906="", O1906=""), "[Aviso] Ciclo de vida no capturado ()", IF(ISNA(MATCH(O1906, Criterios!$D$123:$D$124, 0)), "Ciclo de vida no válido", ""))))</f>
        <v/>
      </c>
      <c r="AC1906" s="56" t="n"/>
      <c r="AD1906" s="51" t="n">
        <v>0</v>
      </c>
      <c r="AE1906" s="156" t="inlineStr">
        <is>
          <t>Sin coincidencia en NetSuite</t>
        </is>
      </c>
      <c r="AF1906" s="51" t="n"/>
      <c r="AG1906" s="156" t="inlineStr">
        <is>
          <t>Catálogo existente</t>
        </is>
      </c>
      <c r="AH1906"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06" s="156" t="n"/>
      <c r="AJ1906" s="156" t="n"/>
      <c r="AK1906" s="155" t="inlineStr">
        <is>
          <t>Shopify Stetson: producto 14693244567915 / variante 51990829826411</t>
        </is>
      </c>
      <c r="AL1906" s="58" t="n"/>
      <c r="AM1906" s="58" t="n">
        <v>1850</v>
      </c>
      <c r="AN1906" s="155" t="inlineStr">
        <is>
          <t>Shopify Stetson México</t>
        </is>
      </c>
      <c r="AO1906" s="59" t="n">
        <v>0</v>
      </c>
      <c r="AP1906" s="59" t="n"/>
      <c r="AQ1906" s="59" t="n"/>
      <c r="AR1906" s="155" t="n"/>
    </row>
    <row r="1907">
      <c r="A1907" s="50" t="inlineStr">
        <is>
          <t>196070516241</t>
        </is>
      </c>
      <c r="B1907" s="51" t="n"/>
      <c r="C1907" s="156" t="inlineStr">
        <is>
          <t>Multimarca</t>
        </is>
      </c>
      <c r="D1907" s="156" t="inlineStr">
        <is>
          <t>11-001-0425-0181</t>
        </is>
      </c>
      <c r="E1907" s="156" t="inlineStr">
        <is>
          <t>11-001-0425-0181_XXL</t>
        </is>
      </c>
      <c r="F1907" s="156" t="inlineStr">
        <is>
          <t>XXL</t>
        </is>
      </c>
      <c r="G1907" s="156" t="inlineStr">
        <is>
          <t>XXL</t>
        </is>
      </c>
      <c r="H1907" s="156" t="inlineStr">
        <is>
          <t>Stetson</t>
        </is>
      </c>
      <c r="I1907" s="156" t="inlineStr">
        <is>
          <t>CAMISA MANGA LARGA MEDALLON CLASICO</t>
        </is>
      </c>
      <c r="J1907" s="156" t="inlineStr">
        <is>
          <t>Ropa</t>
        </is>
      </c>
      <c r="K1907" s="156" t="inlineStr">
        <is>
          <t>Camisas</t>
        </is>
      </c>
      <c r="L1907" s="156" t="inlineStr">
        <is>
          <t>Hombre</t>
        </is>
      </c>
      <c r="M1907" s="156" t="inlineStr">
        <is>
          <t>Stetson</t>
        </is>
      </c>
      <c r="N1907" s="156" t="n"/>
      <c r="O1907" s="156" t="n"/>
      <c r="P1907" s="156" t="n"/>
      <c r="Q1907" s="156" t="inlineStr">
        <is>
          <t>Clásico</t>
        </is>
      </c>
      <c r="R1907" s="156" t="n"/>
      <c r="S1907" s="156" t="n"/>
      <c r="T1907"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7" s="156" t="n"/>
      <c r="V1907" s="156" t="inlineStr">
        <is>
          <t>PZS</t>
        </is>
      </c>
      <c r="W1907" s="51" t="inlineStr">
        <is>
          <t>53101600</t>
        </is>
      </c>
      <c r="X1907" s="156" t="inlineStr">
        <is>
          <t>https://cdn.shopify.com/s/files/1/0888/3250/8267/files/1100104250181a.jpg?v=1744064048</t>
        </is>
      </c>
      <c r="Y1907" s="54" t="n"/>
      <c r="Z1907" s="54" t="n">
        <v>1850</v>
      </c>
      <c r="AA1907" s="55">
        <f>IF(AND(A1907="", B1907="", E1907=""), "", IF(AB1907="", "Válido", IF((LEN(AB1907)-LEN(SUBSTITUTE(AB1907,"; ","")))/2+1&gt;(LEN(AB1907)-LEN(SUBSTITUTE(AB1907,"[Aviso]","")))/7, "Con Incidencias", "Válido")))</f>
        <v/>
      </c>
      <c r="AB1907" s="56">
        <f>IF(AND(A1907="", B1907="", E1907=""), "", TEXTJOIN("; ", TRUE, IF(OR(TRIM(A1907&amp;"")="", ISNUMBER(SEARCH("FALTA", A1907))), "UPC faltante/inválido", ""), IF(AND(A1907&lt;&gt;"", IFERROR(_xlfn.XMATCH(A1907,$A$2:$A$2509,0,1)&lt;&gt;_xlfn.XMATCH(A1907,$A$2:$A$2509,0,-1),FALSE)), "Código de barras duplicado", ""), IF(AND(E1907&lt;&gt;"", COUNTIF($E$2:$E$2509, E1907)&gt;1), "SKU duplicado", ""), IF(OR(J1907="", J1907=""), "[Aviso] División no capturada ()", IF(ISNA(MATCH(J1907, Criterios!$A$123:$A$126, 0)), "División no válida", "")), IF(OR(K1907="", K1907=""), "[Aviso] Categoría no capturada ()", IF(ISNA(MATCH(K1907, Criterios!$A$81:$A$120, 0)), "Categoría no válida", IF(AND(J1907&lt;&gt;"", J1907&lt;&gt;"", J1907&lt;&gt;VLOOKUP(K1907, Criterios!$A$81:$B$120, 2, FALSE)), "División no coincide con Categoría", ""))), IF(OR(L1907="", L1907=""), "[Aviso] Género no capturado ()", IF(ISNA(MATCH(L1907, Criterios!$B$123:$B$127, 0)), "Género no válido", "")), IF(OR(N1907="", N1907=""), "[Aviso] Temporada no capturada ()", IF(ISNA(MATCH(N1907, Criterios!$C$123:$C$128, 0)), "Temporada no válida", "")), IF(OR(O1907="", O1907=""), "[Aviso] Ciclo de vida no capturado ()", IF(ISNA(MATCH(O1907, Criterios!$D$123:$D$124, 0)), "Ciclo de vida no válido", ""))))</f>
        <v/>
      </c>
      <c r="AC1907" s="56" t="n"/>
      <c r="AD1907" s="51" t="n">
        <v>0</v>
      </c>
      <c r="AE1907" s="156" t="inlineStr">
        <is>
          <t>Sin coincidencia en NetSuite</t>
        </is>
      </c>
      <c r="AF1907" s="51" t="n"/>
      <c r="AG1907" s="156" t="inlineStr">
        <is>
          <t>Catálogo existente</t>
        </is>
      </c>
      <c r="AH1907"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07" s="156" t="n"/>
      <c r="AJ1907" s="156" t="n"/>
      <c r="AK1907" s="155" t="inlineStr">
        <is>
          <t>Shopify Stetson: producto 14693244567915 / variante 51990829924715</t>
        </is>
      </c>
      <c r="AL1907" s="58" t="n"/>
      <c r="AM1907" s="58" t="n">
        <v>1850</v>
      </c>
      <c r="AN1907" s="155" t="inlineStr">
        <is>
          <t>Shopify Stetson México</t>
        </is>
      </c>
      <c r="AO1907" s="59" t="n">
        <v>0</v>
      </c>
      <c r="AP1907" s="59" t="n"/>
      <c r="AQ1907" s="59" t="n"/>
      <c r="AR1907" s="155" t="n"/>
    </row>
    <row r="1908">
      <c r="A1908" s="50" t="inlineStr">
        <is>
          <t>196070516265</t>
        </is>
      </c>
      <c r="B1908" s="51" t="inlineStr">
        <is>
          <t>109469</t>
        </is>
      </c>
      <c r="C1908" s="156" t="inlineStr">
        <is>
          <t>Multimarca</t>
        </is>
      </c>
      <c r="D1908" s="156" t="inlineStr">
        <is>
          <t>11-001-0425-0182</t>
        </is>
      </c>
      <c r="E1908" s="156" t="inlineStr">
        <is>
          <t>11-001-0425-0182-L</t>
        </is>
      </c>
      <c r="F1908" s="156" t="inlineStr">
        <is>
          <t>L</t>
        </is>
      </c>
      <c r="G1908" s="156" t="inlineStr">
        <is>
          <t>L</t>
        </is>
      </c>
      <c r="H1908" s="156" t="inlineStr">
        <is>
          <t>Stetson</t>
        </is>
      </c>
      <c r="I1908" s="156" t="inlineStr">
        <is>
          <t>Camisa Manga Larga Cuadricula Chevron</t>
        </is>
      </c>
      <c r="J1908" s="156" t="inlineStr">
        <is>
          <t>Ropa</t>
        </is>
      </c>
      <c r="K1908" s="156" t="inlineStr">
        <is>
          <t>Camisas</t>
        </is>
      </c>
      <c r="L1908" s="156" t="inlineStr">
        <is>
          <t>Hombre</t>
        </is>
      </c>
      <c r="M1908" s="156" t="inlineStr">
        <is>
          <t>Stetson</t>
        </is>
      </c>
      <c r="N1908" s="156" t="inlineStr">
        <is>
          <t>SS26</t>
        </is>
      </c>
      <c r="O1908" s="156" t="inlineStr">
        <is>
          <t>Seasonal</t>
        </is>
      </c>
      <c r="P1908" s="156" t="inlineStr">
        <is>
          <t>Negro</t>
        </is>
      </c>
      <c r="Q1908" s="156" t="inlineStr">
        <is>
          <t>Clásico</t>
        </is>
      </c>
      <c r="R1908" s="156" t="n"/>
      <c r="S1908" s="156" t="inlineStr">
        <is>
          <t>100% Algodón</t>
        </is>
      </c>
      <c r="T1908"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08" s="156" t="n"/>
      <c r="V1908" s="156" t="inlineStr">
        <is>
          <t>PZS</t>
        </is>
      </c>
      <c r="W1908" s="51" t="inlineStr">
        <is>
          <t>53101600</t>
        </is>
      </c>
      <c r="X1908" s="156" t="inlineStr">
        <is>
          <t>https://cdn.shopify.com/s/files/1/0888/3250/8267/files/1100104250182a.jpg?v=1744065163</t>
        </is>
      </c>
      <c r="Y1908" s="54" t="n">
        <v>717.6724138</v>
      </c>
      <c r="Z1908" s="54" t="n">
        <v>1594.827586</v>
      </c>
      <c r="AA1908" s="55">
        <f>IF(AND(A1908="", B1908="", E1908=""), "", IF(AB1908="", "Válido", IF((LEN(AB1908)-LEN(SUBSTITUTE(AB1908,"; ","")))/2+1&gt;(LEN(AB1908)-LEN(SUBSTITUTE(AB1908,"[Aviso]","")))/7, "Con Incidencias", "Válido")))</f>
        <v/>
      </c>
      <c r="AB1908" s="56">
        <f>IF(AND(A1908="", B1908="", E1908=""), "", TEXTJOIN("; ", TRUE, IF(OR(TRIM(A1908&amp;"")="", ISNUMBER(SEARCH("FALTA", A1908))), "UPC faltante/inválido", ""), IF(AND(A1908&lt;&gt;"", IFERROR(_xlfn.XMATCH(A1908,$A$2:$A$2509,0,1)&lt;&gt;_xlfn.XMATCH(A1908,$A$2:$A$2509,0,-1),FALSE)), "Código de barras duplicado", ""), IF(AND(E1908&lt;&gt;"", COUNTIF($E$2:$E$2509, E1908)&gt;1), "SKU duplicado", ""), IF(OR(J1908="", J1908=""), "[Aviso] División no capturada ()", IF(ISNA(MATCH(J1908, Criterios!$A$123:$A$126, 0)), "División no válida", "")), IF(OR(K1908="", K1908=""), "[Aviso] Categoría no capturada ()", IF(ISNA(MATCH(K1908, Criterios!$A$81:$A$120, 0)), "Categoría no válida", IF(AND(J1908&lt;&gt;"", J1908&lt;&gt;"", J1908&lt;&gt;VLOOKUP(K1908, Criterios!$A$81:$B$120, 2, FALSE)), "División no coincide con Categoría", ""))), IF(OR(L1908="", L1908=""), "[Aviso] Género no capturado ()", IF(ISNA(MATCH(L1908, Criterios!$B$123:$B$127, 0)), "Género no válido", "")), IF(OR(N1908="", N1908=""), "[Aviso] Temporada no capturada ()", IF(ISNA(MATCH(N1908, Criterios!$C$123:$C$128, 0)), "Temporada no válida", "")), IF(OR(O1908="", O1908=""), "[Aviso] Ciclo de vida no capturado ()", IF(ISNA(MATCH(O1908, Criterios!$D$123:$D$124, 0)), "Ciclo de vida no válido", ""))))</f>
        <v/>
      </c>
      <c r="AC1908" s="56" t="n"/>
      <c r="AD1908" s="51" t="n">
        <v>0</v>
      </c>
      <c r="AE1908" s="156" t="n"/>
      <c r="AF1908" s="51" t="n">
        <v>0</v>
      </c>
      <c r="AG1908" s="156" t="inlineStr">
        <is>
          <t>Catálogo existente</t>
        </is>
      </c>
      <c r="AH190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08" s="156" t="inlineStr">
        <is>
          <t>No</t>
        </is>
      </c>
      <c r="AJ1908" s="156" t="n"/>
      <c r="AK1908" s="155" t="inlineStr">
        <is>
          <t>Descripción y Criterios: G/H [P] | Criterios: J [R]; G1522_Extraccion_Articulos_NetSuite_2026-09-30.xlsx: fila 57284 [S] | Shopify Stetson: producto 14693246894443 / variante 51990840574315</t>
        </is>
      </c>
      <c r="AL1908" s="58" t="n">
        <v>717.6724138</v>
      </c>
      <c r="AM1908" s="58" t="n">
        <v>1594.827586</v>
      </c>
      <c r="AN1908" s="155" t="inlineStr">
        <is>
          <t>Shopify Stetson México</t>
        </is>
      </c>
      <c r="AO1908" s="59" t="n">
        <v>0</v>
      </c>
      <c r="AP1908" s="59" t="n"/>
      <c r="AQ1908" s="59" t="n"/>
      <c r="AR1908" s="155" t="n"/>
    </row>
    <row r="1909">
      <c r="A1909" s="50" t="inlineStr">
        <is>
          <t>196070516272</t>
        </is>
      </c>
      <c r="B1909" s="51" t="inlineStr">
        <is>
          <t>109470</t>
        </is>
      </c>
      <c r="C1909" s="156" t="inlineStr">
        <is>
          <t>Multimarca</t>
        </is>
      </c>
      <c r="D1909" s="156" t="inlineStr">
        <is>
          <t>11-001-0425-0182</t>
        </is>
      </c>
      <c r="E1909" s="156" t="inlineStr">
        <is>
          <t>11-001-0425-0182-M</t>
        </is>
      </c>
      <c r="F1909" s="156" t="inlineStr">
        <is>
          <t>M</t>
        </is>
      </c>
      <c r="G1909" s="156" t="inlineStr">
        <is>
          <t>M</t>
        </is>
      </c>
      <c r="H1909" s="156" t="inlineStr">
        <is>
          <t>Stetson</t>
        </is>
      </c>
      <c r="I1909" s="156" t="inlineStr">
        <is>
          <t>Camisa Manga Larga Cuadricula Chevron</t>
        </is>
      </c>
      <c r="J1909" s="156" t="inlineStr">
        <is>
          <t>Ropa</t>
        </is>
      </c>
      <c r="K1909" s="156" t="inlineStr">
        <is>
          <t>Camisas</t>
        </is>
      </c>
      <c r="L1909" s="156" t="inlineStr">
        <is>
          <t>Hombre</t>
        </is>
      </c>
      <c r="M1909" s="156" t="inlineStr">
        <is>
          <t>Stetson</t>
        </is>
      </c>
      <c r="N1909" s="156" t="inlineStr">
        <is>
          <t>SS26</t>
        </is>
      </c>
      <c r="O1909" s="156" t="inlineStr">
        <is>
          <t>Seasonal</t>
        </is>
      </c>
      <c r="P1909" s="156" t="inlineStr">
        <is>
          <t>Negro</t>
        </is>
      </c>
      <c r="Q1909" s="156" t="inlineStr">
        <is>
          <t>Clásico</t>
        </is>
      </c>
      <c r="R1909" s="156" t="n"/>
      <c r="S1909" s="156" t="inlineStr">
        <is>
          <t>100% Algodón</t>
        </is>
      </c>
      <c r="T1909"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09" s="156" t="n"/>
      <c r="V1909" s="156" t="inlineStr">
        <is>
          <t>PZS</t>
        </is>
      </c>
      <c r="W1909" s="51" t="inlineStr">
        <is>
          <t>53101600</t>
        </is>
      </c>
      <c r="X1909" s="156" t="inlineStr">
        <is>
          <t>https://cdn.shopify.com/s/files/1/0888/3250/8267/files/1100104250182b.jpg?v=1744065176</t>
        </is>
      </c>
      <c r="Y1909" s="54" t="n">
        <v>717.6724138</v>
      </c>
      <c r="Z1909" s="54" t="n">
        <v>1594.827586</v>
      </c>
      <c r="AA1909" s="55">
        <f>IF(AND(A1909="", B1909="", E1909=""), "", IF(AB1909="", "Válido", IF((LEN(AB1909)-LEN(SUBSTITUTE(AB1909,"; ","")))/2+1&gt;(LEN(AB1909)-LEN(SUBSTITUTE(AB1909,"[Aviso]","")))/7, "Con Incidencias", "Válido")))</f>
        <v/>
      </c>
      <c r="AB1909" s="56">
        <f>IF(AND(A1909="", B1909="", E1909=""), "", TEXTJOIN("; ", TRUE, IF(OR(TRIM(A1909&amp;"")="", ISNUMBER(SEARCH("FALTA", A1909))), "UPC faltante/inválido", ""), IF(AND(A1909&lt;&gt;"", IFERROR(_xlfn.XMATCH(A1909,$A$2:$A$2509,0,1)&lt;&gt;_xlfn.XMATCH(A1909,$A$2:$A$2509,0,-1),FALSE)), "Código de barras duplicado", ""), IF(AND(E1909&lt;&gt;"", COUNTIF($E$2:$E$2509, E1909)&gt;1), "SKU duplicado", ""), IF(OR(J1909="", J1909=""), "[Aviso] División no capturada ()", IF(ISNA(MATCH(J1909, Criterios!$A$123:$A$126, 0)), "División no válida", "")), IF(OR(K1909="", K1909=""), "[Aviso] Categoría no capturada ()", IF(ISNA(MATCH(K1909, Criterios!$A$81:$A$120, 0)), "Categoría no válida", IF(AND(J1909&lt;&gt;"", J1909&lt;&gt;"", J1909&lt;&gt;VLOOKUP(K1909, Criterios!$A$81:$B$120, 2, FALSE)), "División no coincide con Categoría", ""))), IF(OR(L1909="", L1909=""), "[Aviso] Género no capturado ()", IF(ISNA(MATCH(L1909, Criterios!$B$123:$B$127, 0)), "Género no válido", "")), IF(OR(N1909="", N1909=""), "[Aviso] Temporada no capturada ()", IF(ISNA(MATCH(N1909, Criterios!$C$123:$C$128, 0)), "Temporada no válida", "")), IF(OR(O1909="", O1909=""), "[Aviso] Ciclo de vida no capturado ()", IF(ISNA(MATCH(O1909, Criterios!$D$123:$D$124, 0)), "Ciclo de vida no válido", ""))))</f>
        <v/>
      </c>
      <c r="AC1909" s="56" t="n"/>
      <c r="AD1909" s="51" t="n">
        <v>0</v>
      </c>
      <c r="AE1909" s="156" t="n"/>
      <c r="AF1909" s="51" t="n">
        <v>0</v>
      </c>
      <c r="AG1909" s="156" t="inlineStr">
        <is>
          <t>Catálogo existente</t>
        </is>
      </c>
      <c r="AH190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9" s="156" t="inlineStr">
        <is>
          <t>No</t>
        </is>
      </c>
      <c r="AJ1909" s="156" t="n"/>
      <c r="AK1909" s="155" t="inlineStr">
        <is>
          <t>Descripción y Criterios: G/H [P] | Criterios: J [R]; G1522_Extraccion_Articulos_NetSuite_2026-09-30.xlsx: fila 57285 [S] | Shopify Stetson: producto 14693246894443 / variante 51990840541547</t>
        </is>
      </c>
      <c r="AL1909" s="58" t="n">
        <v>717.6724138</v>
      </c>
      <c r="AM1909" s="58" t="n">
        <v>1594.827586</v>
      </c>
      <c r="AN1909" s="155" t="inlineStr">
        <is>
          <t>Shopify Stetson México</t>
        </is>
      </c>
      <c r="AO1909" s="59" t="n">
        <v>0</v>
      </c>
      <c r="AP1909" s="59" t="n"/>
      <c r="AQ1909" s="59" t="n"/>
      <c r="AR1909" s="155" t="n"/>
    </row>
    <row r="1910">
      <c r="A1910" s="50" t="inlineStr">
        <is>
          <t>196070516289</t>
        </is>
      </c>
      <c r="B1910" s="51" t="inlineStr">
        <is>
          <t>109471</t>
        </is>
      </c>
      <c r="C1910" s="156" t="inlineStr">
        <is>
          <t>Multimarca</t>
        </is>
      </c>
      <c r="D1910" s="156" t="inlineStr">
        <is>
          <t>11-001-0425-0182</t>
        </is>
      </c>
      <c r="E1910" s="156" t="inlineStr">
        <is>
          <t>11-001-0425-0182-S</t>
        </is>
      </c>
      <c r="F1910" s="156" t="inlineStr">
        <is>
          <t>S</t>
        </is>
      </c>
      <c r="G1910" s="156" t="inlineStr">
        <is>
          <t>S</t>
        </is>
      </c>
      <c r="H1910" s="156" t="inlineStr">
        <is>
          <t>Stetson</t>
        </is>
      </c>
      <c r="I1910" s="156" t="inlineStr">
        <is>
          <t>Camisa Manga Larga Cuadricula Chevron</t>
        </is>
      </c>
      <c r="J1910" s="156" t="inlineStr">
        <is>
          <t>Ropa</t>
        </is>
      </c>
      <c r="K1910" s="156" t="inlineStr">
        <is>
          <t>Camisas</t>
        </is>
      </c>
      <c r="L1910" s="156" t="inlineStr">
        <is>
          <t>Hombre</t>
        </is>
      </c>
      <c r="M1910" s="156" t="inlineStr">
        <is>
          <t>Stetson</t>
        </is>
      </c>
      <c r="N1910" s="156" t="inlineStr">
        <is>
          <t>SS26</t>
        </is>
      </c>
      <c r="O1910" s="156" t="inlineStr">
        <is>
          <t>Seasonal</t>
        </is>
      </c>
      <c r="P1910" s="156" t="inlineStr">
        <is>
          <t>Negro</t>
        </is>
      </c>
      <c r="Q1910" s="156" t="inlineStr">
        <is>
          <t>Clásico</t>
        </is>
      </c>
      <c r="R1910" s="156" t="n"/>
      <c r="S1910" s="156" t="inlineStr">
        <is>
          <t>100% Algodón</t>
        </is>
      </c>
      <c r="T1910"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0" s="156" t="n"/>
      <c r="V1910" s="156" t="inlineStr">
        <is>
          <t>PZS</t>
        </is>
      </c>
      <c r="W1910" s="51" t="inlineStr">
        <is>
          <t>53101600</t>
        </is>
      </c>
      <c r="X1910" s="156" t="inlineStr">
        <is>
          <t>https://cdn.shopify.com/s/files/1/0888/3250/8267/files/1100104250182a.jpg?v=1744065163</t>
        </is>
      </c>
      <c r="Y1910" s="54" t="n">
        <v>717.6724138</v>
      </c>
      <c r="Z1910" s="54" t="n">
        <v>1594.827586</v>
      </c>
      <c r="AA1910" s="55">
        <f>IF(AND(A1910="", B1910="", E1910=""), "", IF(AB1910="", "Válido", IF((LEN(AB1910)-LEN(SUBSTITUTE(AB1910,"; ","")))/2+1&gt;(LEN(AB1910)-LEN(SUBSTITUTE(AB1910,"[Aviso]","")))/7, "Con Incidencias", "Válido")))</f>
        <v/>
      </c>
      <c r="AB1910" s="56">
        <f>IF(AND(A1910="", B1910="", E1910=""), "", TEXTJOIN("; ", TRUE, IF(OR(TRIM(A1910&amp;"")="", ISNUMBER(SEARCH("FALTA", A1910))), "UPC faltante/inválido", ""), IF(AND(A1910&lt;&gt;"", IFERROR(_xlfn.XMATCH(A1910,$A$2:$A$2509,0,1)&lt;&gt;_xlfn.XMATCH(A1910,$A$2:$A$2509,0,-1),FALSE)), "Código de barras duplicado", ""), IF(AND(E1910&lt;&gt;"", COUNTIF($E$2:$E$2509, E1910)&gt;1), "SKU duplicado", ""), IF(OR(J1910="", J1910=""), "[Aviso] División no capturada ()", IF(ISNA(MATCH(J1910, Criterios!$A$123:$A$126, 0)), "División no válida", "")), IF(OR(K1910="", K1910=""), "[Aviso] Categoría no capturada ()", IF(ISNA(MATCH(K1910, Criterios!$A$81:$A$120, 0)), "Categoría no válida", IF(AND(J1910&lt;&gt;"", J1910&lt;&gt;"", J1910&lt;&gt;VLOOKUP(K1910, Criterios!$A$81:$B$120, 2, FALSE)), "División no coincide con Categoría", ""))), IF(OR(L1910="", L1910=""), "[Aviso] Género no capturado ()", IF(ISNA(MATCH(L1910, Criterios!$B$123:$B$127, 0)), "Género no válido", "")), IF(OR(N1910="", N1910=""), "[Aviso] Temporada no capturada ()", IF(ISNA(MATCH(N1910, Criterios!$C$123:$C$128, 0)), "Temporada no válida", "")), IF(OR(O1910="", O1910=""), "[Aviso] Ciclo de vida no capturado ()", IF(ISNA(MATCH(O1910, Criterios!$D$123:$D$124, 0)), "Ciclo de vida no válido", ""))))</f>
        <v/>
      </c>
      <c r="AC1910" s="56" t="n"/>
      <c r="AD1910" s="51" t="n">
        <v>0</v>
      </c>
      <c r="AE1910" s="156" t="n"/>
      <c r="AF1910" s="51" t="n">
        <v>0</v>
      </c>
      <c r="AG1910" s="156" t="inlineStr">
        <is>
          <t>Catálogo existente</t>
        </is>
      </c>
      <c r="AH191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10" s="156" t="inlineStr">
        <is>
          <t>No</t>
        </is>
      </c>
      <c r="AJ1910" s="156" t="n"/>
      <c r="AK1910" s="155" t="inlineStr">
        <is>
          <t>Descripción y Criterios: G/H [P] | Criterios: J [R]; G1522_Extraccion_Articulos_NetSuite_2026-09-30.xlsx: fila 57286 [S] | Shopify Stetson: producto 14693246894443 / variante 51990840508779</t>
        </is>
      </c>
      <c r="AL1910" s="58" t="n">
        <v>717.6724138</v>
      </c>
      <c r="AM1910" s="58" t="n">
        <v>1594.827586</v>
      </c>
      <c r="AN1910" s="155" t="inlineStr">
        <is>
          <t>Shopify Stetson México</t>
        </is>
      </c>
      <c r="AO1910" s="59" t="n">
        <v>0</v>
      </c>
      <c r="AP1910" s="59" t="n"/>
      <c r="AQ1910" s="59" t="n"/>
      <c r="AR1910" s="155" t="n"/>
    </row>
    <row r="1911">
      <c r="A1911" s="50" t="inlineStr">
        <is>
          <t>196070516296</t>
        </is>
      </c>
      <c r="B1911" s="51" t="inlineStr">
        <is>
          <t>109472</t>
        </is>
      </c>
      <c r="C1911" s="156" t="inlineStr">
        <is>
          <t>Multimarca</t>
        </is>
      </c>
      <c r="D1911" s="156" t="inlineStr">
        <is>
          <t>11-001-0425-0182</t>
        </is>
      </c>
      <c r="E1911" s="156" t="inlineStr">
        <is>
          <t>11-001-0425-0182-XL</t>
        </is>
      </c>
      <c r="F1911" s="156" t="inlineStr">
        <is>
          <t>XL</t>
        </is>
      </c>
      <c r="G1911" s="156" t="inlineStr">
        <is>
          <t>XL</t>
        </is>
      </c>
      <c r="H1911" s="156" t="inlineStr">
        <is>
          <t>Stetson</t>
        </is>
      </c>
      <c r="I1911" s="156" t="inlineStr">
        <is>
          <t>Camisa Manga Larga Cuadricula Chevron</t>
        </is>
      </c>
      <c r="J1911" s="156" t="inlineStr">
        <is>
          <t>Ropa</t>
        </is>
      </c>
      <c r="K1911" s="156" t="inlineStr">
        <is>
          <t>Camisas</t>
        </is>
      </c>
      <c r="L1911" s="156" t="inlineStr">
        <is>
          <t>Hombre</t>
        </is>
      </c>
      <c r="M1911" s="156" t="inlineStr">
        <is>
          <t>Stetson</t>
        </is>
      </c>
      <c r="N1911" s="156" t="inlineStr">
        <is>
          <t>SS26</t>
        </is>
      </c>
      <c r="O1911" s="156" t="inlineStr">
        <is>
          <t>Seasonal</t>
        </is>
      </c>
      <c r="P1911" s="156" t="inlineStr">
        <is>
          <t>Negro</t>
        </is>
      </c>
      <c r="Q1911" s="156" t="inlineStr">
        <is>
          <t>Clásico</t>
        </is>
      </c>
      <c r="R1911" s="156" t="n"/>
      <c r="S1911" s="156" t="inlineStr">
        <is>
          <t>100% Algodón</t>
        </is>
      </c>
      <c r="T1911"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1" s="156" t="n"/>
      <c r="V1911" s="156" t="inlineStr">
        <is>
          <t>PZS</t>
        </is>
      </c>
      <c r="W1911" s="51" t="inlineStr">
        <is>
          <t>53101600</t>
        </is>
      </c>
      <c r="X1911" s="156" t="inlineStr">
        <is>
          <t>https://cdn.shopify.com/s/files/1/0888/3250/8267/files/1100104250182a.jpg?v=1744065163</t>
        </is>
      </c>
      <c r="Y1911" s="54" t="n">
        <v>717.6724138</v>
      </c>
      <c r="Z1911" s="54" t="n">
        <v>1594.827586</v>
      </c>
      <c r="AA1911" s="55">
        <f>IF(AND(A1911="", B1911="", E1911=""), "", IF(AB1911="", "Válido", IF((LEN(AB1911)-LEN(SUBSTITUTE(AB1911,"; ","")))/2+1&gt;(LEN(AB1911)-LEN(SUBSTITUTE(AB1911,"[Aviso]","")))/7, "Con Incidencias", "Válido")))</f>
        <v/>
      </c>
      <c r="AB1911" s="56">
        <f>IF(AND(A1911="", B1911="", E1911=""), "", TEXTJOIN("; ", TRUE, IF(OR(TRIM(A1911&amp;"")="", ISNUMBER(SEARCH("FALTA", A1911))), "UPC faltante/inválido", ""), IF(AND(A1911&lt;&gt;"", IFERROR(_xlfn.XMATCH(A1911,$A$2:$A$2509,0,1)&lt;&gt;_xlfn.XMATCH(A1911,$A$2:$A$2509,0,-1),FALSE)), "Código de barras duplicado", ""), IF(AND(E1911&lt;&gt;"", COUNTIF($E$2:$E$2509, E1911)&gt;1), "SKU duplicado", ""), IF(OR(J1911="", J1911=""), "[Aviso] División no capturada ()", IF(ISNA(MATCH(J1911, Criterios!$A$123:$A$126, 0)), "División no válida", "")), IF(OR(K1911="", K1911=""), "[Aviso] Categoría no capturada ()", IF(ISNA(MATCH(K1911, Criterios!$A$81:$A$120, 0)), "Categoría no válida", IF(AND(J1911&lt;&gt;"", J1911&lt;&gt;"", J1911&lt;&gt;VLOOKUP(K1911, Criterios!$A$81:$B$120, 2, FALSE)), "División no coincide con Categoría", ""))), IF(OR(L1911="", L1911=""), "[Aviso] Género no capturado ()", IF(ISNA(MATCH(L1911, Criterios!$B$123:$B$127, 0)), "Género no válido", "")), IF(OR(N1911="", N1911=""), "[Aviso] Temporada no capturada ()", IF(ISNA(MATCH(N1911, Criterios!$C$123:$C$128, 0)), "Temporada no válida", "")), IF(OR(O1911="", O1911=""), "[Aviso] Ciclo de vida no capturado ()", IF(ISNA(MATCH(O1911, Criterios!$D$123:$D$124, 0)), "Ciclo de vida no válido", ""))))</f>
        <v/>
      </c>
      <c r="AC1911" s="56" t="n"/>
      <c r="AD1911" s="51" t="n">
        <v>0</v>
      </c>
      <c r="AE1911" s="156" t="n"/>
      <c r="AF1911" s="51" t="n">
        <v>0</v>
      </c>
      <c r="AG1911" s="156" t="inlineStr">
        <is>
          <t>Catálogo existente</t>
        </is>
      </c>
      <c r="AH191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1" s="156" t="inlineStr">
        <is>
          <t>No</t>
        </is>
      </c>
      <c r="AJ1911" s="156" t="n"/>
      <c r="AK1911" s="155" t="inlineStr">
        <is>
          <t>Descripción y Criterios: G/H [P] | Criterios: J [R]; G1522_Extraccion_Articulos_NetSuite_2026-09-30.xlsx: fila 57287 [S] | Shopify Stetson: producto 14693246894443 / variante 51990840607083</t>
        </is>
      </c>
      <c r="AL1911" s="58" t="n">
        <v>717.6724138</v>
      </c>
      <c r="AM1911" s="58" t="n">
        <v>1594.827586</v>
      </c>
      <c r="AN1911" s="155" t="inlineStr">
        <is>
          <t>Shopify Stetson México</t>
        </is>
      </c>
      <c r="AO1911" s="59" t="n">
        <v>0</v>
      </c>
      <c r="AP1911" s="59" t="n"/>
      <c r="AQ1911" s="59" t="n"/>
      <c r="AR1911" s="155" t="n"/>
    </row>
    <row r="1912">
      <c r="A1912" s="50" t="inlineStr">
        <is>
          <t>196070516302</t>
        </is>
      </c>
      <c r="B1912" s="51" t="inlineStr">
        <is>
          <t>109473</t>
        </is>
      </c>
      <c r="C1912" s="156" t="inlineStr">
        <is>
          <t>Multimarca</t>
        </is>
      </c>
      <c r="D1912" s="156" t="inlineStr">
        <is>
          <t>11-001-0425-0182</t>
        </is>
      </c>
      <c r="E1912" s="156" t="inlineStr">
        <is>
          <t>11-001-0425-0182-XXL</t>
        </is>
      </c>
      <c r="F1912" s="156" t="inlineStr">
        <is>
          <t>XXL</t>
        </is>
      </c>
      <c r="G1912" s="156" t="inlineStr">
        <is>
          <t>XXL</t>
        </is>
      </c>
      <c r="H1912" s="156" t="inlineStr">
        <is>
          <t>Stetson</t>
        </is>
      </c>
      <c r="I1912" s="156" t="inlineStr">
        <is>
          <t>Camisa Manga Larga Cuadricula Chevron</t>
        </is>
      </c>
      <c r="J1912" s="156" t="inlineStr">
        <is>
          <t>Ropa</t>
        </is>
      </c>
      <c r="K1912" s="156" t="inlineStr">
        <is>
          <t>Camisas</t>
        </is>
      </c>
      <c r="L1912" s="156" t="inlineStr">
        <is>
          <t>Hombre</t>
        </is>
      </c>
      <c r="M1912" s="156" t="inlineStr">
        <is>
          <t>Stetson</t>
        </is>
      </c>
      <c r="N1912" s="156" t="inlineStr">
        <is>
          <t>SS26</t>
        </is>
      </c>
      <c r="O1912" s="156" t="inlineStr">
        <is>
          <t>Seasonal</t>
        </is>
      </c>
      <c r="P1912" s="156" t="inlineStr">
        <is>
          <t>Negro</t>
        </is>
      </c>
      <c r="Q1912" s="156" t="inlineStr">
        <is>
          <t>Clásico</t>
        </is>
      </c>
      <c r="R1912" s="156" t="n"/>
      <c r="S1912" s="156" t="inlineStr">
        <is>
          <t>100% Algodón</t>
        </is>
      </c>
      <c r="T1912"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2" s="156" t="n"/>
      <c r="V1912" s="156" t="inlineStr">
        <is>
          <t>PZS</t>
        </is>
      </c>
      <c r="W1912" s="51" t="inlineStr">
        <is>
          <t>53101600</t>
        </is>
      </c>
      <c r="X1912" s="156" t="inlineStr">
        <is>
          <t>https://cdn.shopify.com/s/files/1/0888/3250/8267/files/1100104250182a.jpg?v=1744065163</t>
        </is>
      </c>
      <c r="Y1912" s="54" t="n">
        <v>717.6724138</v>
      </c>
      <c r="Z1912" s="54" t="n">
        <v>1594.827586</v>
      </c>
      <c r="AA1912" s="55">
        <f>IF(AND(A1912="", B1912="", E1912=""), "", IF(AB1912="", "Válido", IF((LEN(AB1912)-LEN(SUBSTITUTE(AB1912,"; ","")))/2+1&gt;(LEN(AB1912)-LEN(SUBSTITUTE(AB1912,"[Aviso]","")))/7, "Con Incidencias", "Válido")))</f>
        <v/>
      </c>
      <c r="AB1912" s="56">
        <f>IF(AND(A1912="", B1912="", E1912=""), "", TEXTJOIN("; ", TRUE, IF(OR(TRIM(A1912&amp;"")="", ISNUMBER(SEARCH("FALTA", A1912))), "UPC faltante/inválido", ""), IF(AND(A1912&lt;&gt;"", IFERROR(_xlfn.XMATCH(A1912,$A$2:$A$2509,0,1)&lt;&gt;_xlfn.XMATCH(A1912,$A$2:$A$2509,0,-1),FALSE)), "Código de barras duplicado", ""), IF(AND(E1912&lt;&gt;"", COUNTIF($E$2:$E$2509, E1912)&gt;1), "SKU duplicado", ""), IF(OR(J1912="", J1912=""), "[Aviso] División no capturada ()", IF(ISNA(MATCH(J1912, Criterios!$A$123:$A$126, 0)), "División no válida", "")), IF(OR(K1912="", K1912=""), "[Aviso] Categoría no capturada ()", IF(ISNA(MATCH(K1912, Criterios!$A$81:$A$120, 0)), "Categoría no válida", IF(AND(J1912&lt;&gt;"", J1912&lt;&gt;"", J1912&lt;&gt;VLOOKUP(K1912, Criterios!$A$81:$B$120, 2, FALSE)), "División no coincide con Categoría", ""))), IF(OR(L1912="", L1912=""), "[Aviso] Género no capturado ()", IF(ISNA(MATCH(L1912, Criterios!$B$123:$B$127, 0)), "Género no válido", "")), IF(OR(N1912="", N1912=""), "[Aviso] Temporada no capturada ()", IF(ISNA(MATCH(N1912, Criterios!$C$123:$C$128, 0)), "Temporada no válida", "")), IF(OR(O1912="", O1912=""), "[Aviso] Ciclo de vida no capturado ()", IF(ISNA(MATCH(O1912, Criterios!$D$123:$D$124, 0)), "Ciclo de vida no válido", ""))))</f>
        <v/>
      </c>
      <c r="AC1912" s="56" t="n"/>
      <c r="AD1912" s="51" t="n">
        <v>0</v>
      </c>
      <c r="AE1912" s="156" t="n"/>
      <c r="AF1912" s="51" t="n">
        <v>0</v>
      </c>
      <c r="AG1912" s="156" t="inlineStr">
        <is>
          <t>Catálogo existente</t>
        </is>
      </c>
      <c r="AH191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2" s="156" t="inlineStr">
        <is>
          <t>No</t>
        </is>
      </c>
      <c r="AJ1912" s="156" t="n"/>
      <c r="AK1912" s="155" t="inlineStr">
        <is>
          <t>Descripción y Criterios: G/H [P] | Criterios: J [R]; G1522_Extraccion_Articulos_NetSuite_2026-09-30.xlsx: fila 57288 [S] | Shopify Stetson: producto 14693246894443 / variante 51990840869227</t>
        </is>
      </c>
      <c r="AL1912" s="58" t="n">
        <v>717.6724138</v>
      </c>
      <c r="AM1912" s="58" t="n">
        <v>1594.827586</v>
      </c>
      <c r="AN1912" s="155" t="inlineStr">
        <is>
          <t>Shopify Stetson México</t>
        </is>
      </c>
      <c r="AO1912" s="59" t="n">
        <v>0</v>
      </c>
      <c r="AP1912" s="59" t="n"/>
      <c r="AQ1912" s="59" t="n"/>
      <c r="AR1912" s="155" t="n"/>
    </row>
    <row r="1913">
      <c r="A1913" s="50" t="inlineStr">
        <is>
          <t>196070516319</t>
        </is>
      </c>
      <c r="B1913" s="51" t="inlineStr">
        <is>
          <t>109474</t>
        </is>
      </c>
      <c r="C1913" s="156" t="inlineStr">
        <is>
          <t>Multimarca</t>
        </is>
      </c>
      <c r="D1913" s="156" t="inlineStr">
        <is>
          <t>11-001-0425-0182</t>
        </is>
      </c>
      <c r="E1913" s="156" t="inlineStr">
        <is>
          <t>11-001-0425-0182-3XL</t>
        </is>
      </c>
      <c r="F1913" s="156" t="inlineStr">
        <is>
          <t>XXXL</t>
        </is>
      </c>
      <c r="G1913" s="156" t="inlineStr">
        <is>
          <t>XXXL</t>
        </is>
      </c>
      <c r="H1913" s="156" t="inlineStr">
        <is>
          <t>Stetson</t>
        </is>
      </c>
      <c r="I1913" s="156" t="inlineStr">
        <is>
          <t>Camisa Manga Larga Cuadricula Chevron</t>
        </is>
      </c>
      <c r="J1913" s="156" t="inlineStr">
        <is>
          <t>Ropa</t>
        </is>
      </c>
      <c r="K1913" s="156" t="inlineStr">
        <is>
          <t>Camisas</t>
        </is>
      </c>
      <c r="L1913" s="156" t="inlineStr">
        <is>
          <t>Hombre</t>
        </is>
      </c>
      <c r="M1913" s="156" t="inlineStr">
        <is>
          <t>Stetson</t>
        </is>
      </c>
      <c r="N1913" s="156" t="inlineStr">
        <is>
          <t>SS26</t>
        </is>
      </c>
      <c r="O1913" s="156" t="inlineStr">
        <is>
          <t>Seasonal</t>
        </is>
      </c>
      <c r="P1913" s="156" t="inlineStr">
        <is>
          <t>Negro</t>
        </is>
      </c>
      <c r="Q1913" s="156" t="inlineStr">
        <is>
          <t>Clásico</t>
        </is>
      </c>
      <c r="R1913" s="156" t="n"/>
      <c r="S1913" s="156" t="inlineStr">
        <is>
          <t>100% Algodón</t>
        </is>
      </c>
      <c r="T1913"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3" s="156" t="n"/>
      <c r="V1913" s="156" t="inlineStr">
        <is>
          <t>PZS</t>
        </is>
      </c>
      <c r="W1913" s="51" t="inlineStr">
        <is>
          <t>53101600</t>
        </is>
      </c>
      <c r="X1913" s="156" t="inlineStr">
        <is>
          <t>https://cdn.shopify.com/s/files/1/0888/3250/8267/files/1100104250182a.jpg?v=1744065163</t>
        </is>
      </c>
      <c r="Y1913" s="54" t="n">
        <v>717.6724138</v>
      </c>
      <c r="Z1913" s="54" t="n">
        <v>1594.827586</v>
      </c>
      <c r="AA1913" s="55">
        <f>IF(AND(A1913="", B1913="", E1913=""), "", IF(AB1913="", "Válido", IF((LEN(AB1913)-LEN(SUBSTITUTE(AB1913,"; ","")))/2+1&gt;(LEN(AB1913)-LEN(SUBSTITUTE(AB1913,"[Aviso]","")))/7, "Con Incidencias", "Válido")))</f>
        <v/>
      </c>
      <c r="AB1913" s="56">
        <f>IF(AND(A1913="", B1913="", E1913=""), "", TEXTJOIN("; ", TRUE, IF(OR(TRIM(A1913&amp;"")="", ISNUMBER(SEARCH("FALTA", A1913))), "UPC faltante/inválido", ""), IF(AND(A1913&lt;&gt;"", IFERROR(_xlfn.XMATCH(A1913,$A$2:$A$2509,0,1)&lt;&gt;_xlfn.XMATCH(A1913,$A$2:$A$2509,0,-1),FALSE)), "Código de barras duplicado", ""), IF(AND(E1913&lt;&gt;"", COUNTIF($E$2:$E$2509, E1913)&gt;1), "SKU duplicado", ""), IF(OR(J1913="", J1913=""), "[Aviso] División no capturada ()", IF(ISNA(MATCH(J1913, Criterios!$A$123:$A$126, 0)), "División no válida", "")), IF(OR(K1913="", K1913=""), "[Aviso] Categoría no capturada ()", IF(ISNA(MATCH(K1913, Criterios!$A$81:$A$120, 0)), "Categoría no válida", IF(AND(J1913&lt;&gt;"", J1913&lt;&gt;"", J1913&lt;&gt;VLOOKUP(K1913, Criterios!$A$81:$B$120, 2, FALSE)), "División no coincide con Categoría", ""))), IF(OR(L1913="", L1913=""), "[Aviso] Género no capturado ()", IF(ISNA(MATCH(L1913, Criterios!$B$123:$B$127, 0)), "Género no válido", "")), IF(OR(N1913="", N1913=""), "[Aviso] Temporada no capturada ()", IF(ISNA(MATCH(N1913, Criterios!$C$123:$C$128, 0)), "Temporada no válida", "")), IF(OR(O1913="", O1913=""), "[Aviso] Ciclo de vida no capturado ()", IF(ISNA(MATCH(O1913, Criterios!$D$123:$D$124, 0)), "Ciclo de vida no válido", ""))))</f>
        <v/>
      </c>
      <c r="AC1913" s="56" t="n"/>
      <c r="AD1913" s="51" t="n">
        <v>0</v>
      </c>
      <c r="AE1913" s="156" t="n"/>
      <c r="AF1913" s="51" t="n">
        <v>0</v>
      </c>
      <c r="AG1913" s="156" t="inlineStr">
        <is>
          <t>Catálogo existente</t>
        </is>
      </c>
      <c r="AH191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3" s="156" t="inlineStr">
        <is>
          <t>No</t>
        </is>
      </c>
      <c r="AJ1913" s="156" t="n"/>
      <c r="AK1913" s="155" t="inlineStr">
        <is>
          <t>Descripción y Criterios: G/H [P] | Criterios: J [R]; G1522_Extraccion_Articulos_NetSuite_2026-09-30.xlsx: fila 57289 [S] | Shopify Stetson: producto 14693246894443 / variante 51990840901995</t>
        </is>
      </c>
      <c r="AL1913" s="58" t="n">
        <v>717.6724138</v>
      </c>
      <c r="AM1913" s="58" t="n">
        <v>1594.827586</v>
      </c>
      <c r="AN1913" s="155" t="inlineStr">
        <is>
          <t>Shopify Stetson México</t>
        </is>
      </c>
      <c r="AO1913" s="59" t="n">
        <v>0</v>
      </c>
      <c r="AP1913" s="59" t="n"/>
      <c r="AQ1913" s="59" t="n"/>
      <c r="AR1913" s="155" t="n"/>
    </row>
    <row r="1914">
      <c r="A1914" s="50" t="inlineStr">
        <is>
          <t>196070516685</t>
        </is>
      </c>
      <c r="B1914" s="51" t="inlineStr">
        <is>
          <t>109606</t>
        </is>
      </c>
      <c r="C1914" s="156" t="inlineStr">
        <is>
          <t>Multimarca</t>
        </is>
      </c>
      <c r="D1914" s="156" t="inlineStr">
        <is>
          <t>11-001-0496-0184</t>
        </is>
      </c>
      <c r="E1914" s="156" t="inlineStr">
        <is>
          <t>11-001-0496-0184-L</t>
        </is>
      </c>
      <c r="F1914" s="156" t="inlineStr">
        <is>
          <t>L</t>
        </is>
      </c>
      <c r="G1914" s="156" t="inlineStr">
        <is>
          <t>L</t>
        </is>
      </c>
      <c r="H1914" s="156" t="inlineStr">
        <is>
          <t>Stetson</t>
        </is>
      </c>
      <c r="I1914" s="156" t="inlineStr">
        <is>
          <t>Camisa Stetson Franjas</t>
        </is>
      </c>
      <c r="J1914" s="156" t="inlineStr">
        <is>
          <t>Ropa</t>
        </is>
      </c>
      <c r="K1914" s="156" t="inlineStr">
        <is>
          <t>Camisas</t>
        </is>
      </c>
      <c r="L1914" s="156" t="inlineStr">
        <is>
          <t>Hombre</t>
        </is>
      </c>
      <c r="M1914" s="156" t="inlineStr">
        <is>
          <t>Stetson</t>
        </is>
      </c>
      <c r="N1914" s="156" t="inlineStr">
        <is>
          <t>SS26</t>
        </is>
      </c>
      <c r="O1914" s="156" t="inlineStr">
        <is>
          <t>Seasonal</t>
        </is>
      </c>
      <c r="P1914" s="156" t="n"/>
      <c r="Q1914" s="156" t="inlineStr">
        <is>
          <t>Regular</t>
        </is>
      </c>
      <c r="R1914" s="156" t="n"/>
      <c r="S1914" s="156" t="inlineStr">
        <is>
          <t>100% Algodón</t>
        </is>
      </c>
      <c r="T1914"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4" s="156" t="n"/>
      <c r="V1914" s="156" t="inlineStr">
        <is>
          <t>PZS</t>
        </is>
      </c>
      <c r="W1914" s="51" t="inlineStr">
        <is>
          <t>53101600</t>
        </is>
      </c>
      <c r="X1914" s="156" t="inlineStr">
        <is>
          <t>https://cdn.shopify.com/s/files/1/0888/3250/8267/files/1100104960184b.jpg?v=1744652465</t>
        </is>
      </c>
      <c r="Y1914" s="54" t="n">
        <v>717.6724138</v>
      </c>
      <c r="Z1914" s="54" t="n">
        <v>1594.827586</v>
      </c>
      <c r="AA1914" s="55">
        <f>IF(AND(A1914="", B1914="", E1914=""), "", IF(AB1914="", "Válido", IF((LEN(AB1914)-LEN(SUBSTITUTE(AB1914,"; ","")))/2+1&gt;(LEN(AB1914)-LEN(SUBSTITUTE(AB1914,"[Aviso]","")))/7, "Con Incidencias", "Válido")))</f>
        <v/>
      </c>
      <c r="AB1914" s="56">
        <f>IF(AND(A1914="", B1914="", E1914=""), "", TEXTJOIN("; ", TRUE, IF(OR(TRIM(A1914&amp;"")="", ISNUMBER(SEARCH("FALTA", A1914))), "UPC faltante/inválido", ""), IF(AND(A1914&lt;&gt;"", IFERROR(_xlfn.XMATCH(A1914,$A$2:$A$2509,0,1)&lt;&gt;_xlfn.XMATCH(A1914,$A$2:$A$2509,0,-1),FALSE)), "Código de barras duplicado", ""), IF(AND(E1914&lt;&gt;"", COUNTIF($E$2:$E$2509, E1914)&gt;1), "SKU duplicado", ""), IF(OR(J1914="", J1914=""), "[Aviso] División no capturada ()", IF(ISNA(MATCH(J1914, Criterios!$A$123:$A$126, 0)), "División no válida", "")), IF(OR(K1914="", K1914=""), "[Aviso] Categoría no capturada ()", IF(ISNA(MATCH(K1914, Criterios!$A$81:$A$120, 0)), "Categoría no válida", IF(AND(J1914&lt;&gt;"", J1914&lt;&gt;"", J1914&lt;&gt;VLOOKUP(K1914, Criterios!$A$81:$B$120, 2, FALSE)), "División no coincide con Categoría", ""))), IF(OR(L1914="", L1914=""), "[Aviso] Género no capturado ()", IF(ISNA(MATCH(L1914, Criterios!$B$123:$B$127, 0)), "Género no válido", "")), IF(OR(N1914="", N1914=""), "[Aviso] Temporada no capturada ()", IF(ISNA(MATCH(N1914, Criterios!$C$123:$C$128, 0)), "Temporada no válida", "")), IF(OR(O1914="", O1914=""), "[Aviso] Ciclo de vida no capturado ()", IF(ISNA(MATCH(O1914, Criterios!$D$123:$D$124, 0)), "Ciclo de vida no válido", ""))))</f>
        <v/>
      </c>
      <c r="AC1914" s="56" t="n"/>
      <c r="AD1914" s="51" t="n">
        <v>0</v>
      </c>
      <c r="AE1914" s="156" t="n"/>
      <c r="AF1914" s="51" t="n">
        <v>0</v>
      </c>
      <c r="AG1914" s="156" t="inlineStr">
        <is>
          <t>Catálogo existente</t>
        </is>
      </c>
      <c r="AH191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4" s="156" t="inlineStr">
        <is>
          <t>No</t>
        </is>
      </c>
      <c r="AJ1914" s="156" t="n"/>
      <c r="AK1914" s="155" t="inlineStr">
        <is>
          <t>Criterios: J [R]; G1522_Extraccion_Articulos_NetSuite_2026-09-30.xlsx: fila 57421 [S] | Shopify Stetson: producto 14695113589099 / variante 52002165653867</t>
        </is>
      </c>
      <c r="AL1914" s="58" t="n">
        <v>717.6724138</v>
      </c>
      <c r="AM1914" s="58" t="n">
        <v>1594.827586</v>
      </c>
      <c r="AN1914" s="155" t="inlineStr">
        <is>
          <t>Shopify Stetson México</t>
        </is>
      </c>
      <c r="AO1914" s="59" t="n">
        <v>0</v>
      </c>
      <c r="AP1914" s="59" t="n"/>
      <c r="AQ1914" s="59" t="n"/>
      <c r="AR1914" s="155" t="n"/>
    </row>
    <row r="1915">
      <c r="A1915" s="50" t="inlineStr">
        <is>
          <t>196070516692</t>
        </is>
      </c>
      <c r="B1915" s="51" t="inlineStr">
        <is>
          <t>109607</t>
        </is>
      </c>
      <c r="C1915" s="156" t="inlineStr">
        <is>
          <t>Multimarca</t>
        </is>
      </c>
      <c r="D1915" s="156" t="inlineStr">
        <is>
          <t>11-001-0496-0184</t>
        </is>
      </c>
      <c r="E1915" s="156" t="inlineStr">
        <is>
          <t>11-001-0496-0184-M</t>
        </is>
      </c>
      <c r="F1915" s="156" t="inlineStr">
        <is>
          <t>M</t>
        </is>
      </c>
      <c r="G1915" s="156" t="inlineStr">
        <is>
          <t>M</t>
        </is>
      </c>
      <c r="H1915" s="156" t="inlineStr">
        <is>
          <t>Stetson</t>
        </is>
      </c>
      <c r="I1915" s="156" t="inlineStr">
        <is>
          <t>Camisa Stetson Franjas</t>
        </is>
      </c>
      <c r="J1915" s="156" t="inlineStr">
        <is>
          <t>Ropa</t>
        </is>
      </c>
      <c r="K1915" s="156" t="inlineStr">
        <is>
          <t>Camisas</t>
        </is>
      </c>
      <c r="L1915" s="156" t="inlineStr">
        <is>
          <t>Hombre</t>
        </is>
      </c>
      <c r="M1915" s="156" t="inlineStr">
        <is>
          <t>Stetson</t>
        </is>
      </c>
      <c r="N1915" s="156" t="inlineStr">
        <is>
          <t>SS26</t>
        </is>
      </c>
      <c r="O1915" s="156" t="inlineStr">
        <is>
          <t>Seasonal</t>
        </is>
      </c>
      <c r="P1915" s="156" t="n"/>
      <c r="Q1915" s="156" t="inlineStr">
        <is>
          <t>Regular</t>
        </is>
      </c>
      <c r="R1915" s="156" t="n"/>
      <c r="S1915" s="156" t="inlineStr">
        <is>
          <t>100% Algodón</t>
        </is>
      </c>
      <c r="T1915"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5" s="156" t="n"/>
      <c r="V1915" s="156" t="inlineStr">
        <is>
          <t>PZS</t>
        </is>
      </c>
      <c r="W1915" s="51" t="inlineStr">
        <is>
          <t>53101600</t>
        </is>
      </c>
      <c r="X1915" s="156" t="inlineStr">
        <is>
          <t>https://cdn.shopify.com/s/files/1/0888/3250/8267/files/1100104960184a.jpg?v=1744652365</t>
        </is>
      </c>
      <c r="Y1915" s="54" t="n">
        <v>717.6724138</v>
      </c>
      <c r="Z1915" s="54" t="n">
        <v>1594.827586</v>
      </c>
      <c r="AA1915" s="55">
        <f>IF(AND(A1915="", B1915="", E1915=""), "", IF(AB1915="", "Válido", IF((LEN(AB1915)-LEN(SUBSTITUTE(AB1915,"; ","")))/2+1&gt;(LEN(AB1915)-LEN(SUBSTITUTE(AB1915,"[Aviso]","")))/7, "Con Incidencias", "Válido")))</f>
        <v/>
      </c>
      <c r="AB1915" s="56">
        <f>IF(AND(A1915="", B1915="", E1915=""), "", TEXTJOIN("; ", TRUE, IF(OR(TRIM(A1915&amp;"")="", ISNUMBER(SEARCH("FALTA", A1915))), "UPC faltante/inválido", ""), IF(AND(A1915&lt;&gt;"", IFERROR(_xlfn.XMATCH(A1915,$A$2:$A$2509,0,1)&lt;&gt;_xlfn.XMATCH(A1915,$A$2:$A$2509,0,-1),FALSE)), "Código de barras duplicado", ""), IF(AND(E1915&lt;&gt;"", COUNTIF($E$2:$E$2509, E1915)&gt;1), "SKU duplicado", ""), IF(OR(J1915="", J1915=""), "[Aviso] División no capturada ()", IF(ISNA(MATCH(J1915, Criterios!$A$123:$A$126, 0)), "División no válida", "")), IF(OR(K1915="", K1915=""), "[Aviso] Categoría no capturada ()", IF(ISNA(MATCH(K1915, Criterios!$A$81:$A$120, 0)), "Categoría no válida", IF(AND(J1915&lt;&gt;"", J1915&lt;&gt;"", J1915&lt;&gt;VLOOKUP(K1915, Criterios!$A$81:$B$120, 2, FALSE)), "División no coincide con Categoría", ""))), IF(OR(L1915="", L1915=""), "[Aviso] Género no capturado ()", IF(ISNA(MATCH(L1915, Criterios!$B$123:$B$127, 0)), "Género no válido", "")), IF(OR(N1915="", N1915=""), "[Aviso] Temporada no capturada ()", IF(ISNA(MATCH(N1915, Criterios!$C$123:$C$128, 0)), "Temporada no válida", "")), IF(OR(O1915="", O1915=""), "[Aviso] Ciclo de vida no capturado ()", IF(ISNA(MATCH(O1915, Criterios!$D$123:$D$124, 0)), "Ciclo de vida no válido", ""))))</f>
        <v/>
      </c>
      <c r="AC1915" s="56" t="n"/>
      <c r="AD1915" s="51" t="n">
        <v>0</v>
      </c>
      <c r="AE1915" s="156" t="n"/>
      <c r="AF1915" s="51" t="n">
        <v>0</v>
      </c>
      <c r="AG1915" s="156" t="inlineStr">
        <is>
          <t>Catálogo existente</t>
        </is>
      </c>
      <c r="AH1915"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5" s="156" t="inlineStr">
        <is>
          <t>No</t>
        </is>
      </c>
      <c r="AJ1915" s="156" t="n"/>
      <c r="AK1915" s="155" t="inlineStr">
        <is>
          <t>Criterios: J [R]; G1522_Extraccion_Articulos_NetSuite_2026-09-30.xlsx: fila 57422 [S] | Shopify Stetson: producto 14695113589099 / variante 52002165621099</t>
        </is>
      </c>
      <c r="AL1915" s="58" t="n">
        <v>717.6724138</v>
      </c>
      <c r="AM1915" s="58" t="n">
        <v>1594.827586</v>
      </c>
      <c r="AN1915" s="155" t="inlineStr">
        <is>
          <t>Shopify Stetson México</t>
        </is>
      </c>
      <c r="AO1915" s="59" t="n">
        <v>0</v>
      </c>
      <c r="AP1915" s="59" t="n"/>
      <c r="AQ1915" s="59" t="n"/>
      <c r="AR1915" s="155" t="n"/>
    </row>
    <row r="1916">
      <c r="A1916" s="50" t="inlineStr">
        <is>
          <t>196070516715</t>
        </is>
      </c>
      <c r="B1916" s="51" t="inlineStr">
        <is>
          <t>109608</t>
        </is>
      </c>
      <c r="C1916" s="156" t="inlineStr">
        <is>
          <t>Multimarca</t>
        </is>
      </c>
      <c r="D1916" s="156" t="inlineStr">
        <is>
          <t>11-001-0496-0184</t>
        </is>
      </c>
      <c r="E1916" s="156" t="inlineStr">
        <is>
          <t>11-001-0496-0184-XL</t>
        </is>
      </c>
      <c r="F1916" s="156" t="inlineStr">
        <is>
          <t>XL</t>
        </is>
      </c>
      <c r="G1916" s="156" t="inlineStr">
        <is>
          <t>XL</t>
        </is>
      </c>
      <c r="H1916" s="156" t="inlineStr">
        <is>
          <t>Stetson</t>
        </is>
      </c>
      <c r="I1916" s="156" t="inlineStr">
        <is>
          <t>Camisa Stetson Franjas</t>
        </is>
      </c>
      <c r="J1916" s="156" t="inlineStr">
        <is>
          <t>Ropa</t>
        </is>
      </c>
      <c r="K1916" s="156" t="inlineStr">
        <is>
          <t>Camisas</t>
        </is>
      </c>
      <c r="L1916" s="156" t="inlineStr">
        <is>
          <t>Hombre</t>
        </is>
      </c>
      <c r="M1916" s="156" t="inlineStr">
        <is>
          <t>Stetson</t>
        </is>
      </c>
      <c r="N1916" s="156" t="inlineStr">
        <is>
          <t>SS26</t>
        </is>
      </c>
      <c r="O1916" s="156" t="inlineStr">
        <is>
          <t>Seasonal</t>
        </is>
      </c>
      <c r="P1916" s="156" t="n"/>
      <c r="Q1916" s="156" t="inlineStr">
        <is>
          <t>Regular</t>
        </is>
      </c>
      <c r="R1916" s="156" t="n"/>
      <c r="S1916" s="156" t="inlineStr">
        <is>
          <t>100% Algodón</t>
        </is>
      </c>
      <c r="T1916"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6" s="156" t="n"/>
      <c r="V1916" s="156" t="inlineStr">
        <is>
          <t>PZS</t>
        </is>
      </c>
      <c r="W1916" s="51" t="inlineStr">
        <is>
          <t>53101600</t>
        </is>
      </c>
      <c r="X1916" s="156" t="inlineStr">
        <is>
          <t>https://cdn.shopify.com/s/files/1/0888/3250/8267/files/1100104960184a.jpg?v=1744652365</t>
        </is>
      </c>
      <c r="Y1916" s="54" t="n">
        <v>717.6724138</v>
      </c>
      <c r="Z1916" s="54" t="n">
        <v>1594.827586</v>
      </c>
      <c r="AA1916" s="55">
        <f>IF(AND(A1916="", B1916="", E1916=""), "", IF(AB1916="", "Válido", IF((LEN(AB1916)-LEN(SUBSTITUTE(AB1916,"; ","")))/2+1&gt;(LEN(AB1916)-LEN(SUBSTITUTE(AB1916,"[Aviso]","")))/7, "Con Incidencias", "Válido")))</f>
        <v/>
      </c>
      <c r="AB1916" s="56">
        <f>IF(AND(A1916="", B1916="", E1916=""), "", TEXTJOIN("; ", TRUE, IF(OR(TRIM(A1916&amp;"")="", ISNUMBER(SEARCH("FALTA", A1916))), "UPC faltante/inválido", ""), IF(AND(A1916&lt;&gt;"", IFERROR(_xlfn.XMATCH(A1916,$A$2:$A$2509,0,1)&lt;&gt;_xlfn.XMATCH(A1916,$A$2:$A$2509,0,-1),FALSE)), "Código de barras duplicado", ""), IF(AND(E1916&lt;&gt;"", COUNTIF($E$2:$E$2509, E1916)&gt;1), "SKU duplicado", ""), IF(OR(J1916="", J1916=""), "[Aviso] División no capturada ()", IF(ISNA(MATCH(J1916, Criterios!$A$123:$A$126, 0)), "División no válida", "")), IF(OR(K1916="", K1916=""), "[Aviso] Categoría no capturada ()", IF(ISNA(MATCH(K1916, Criterios!$A$81:$A$120, 0)), "Categoría no válida", IF(AND(J1916&lt;&gt;"", J1916&lt;&gt;"", J1916&lt;&gt;VLOOKUP(K1916, Criterios!$A$81:$B$120, 2, FALSE)), "División no coincide con Categoría", ""))), IF(OR(L1916="", L1916=""), "[Aviso] Género no capturado ()", IF(ISNA(MATCH(L1916, Criterios!$B$123:$B$127, 0)), "Género no válido", "")), IF(OR(N1916="", N1916=""), "[Aviso] Temporada no capturada ()", IF(ISNA(MATCH(N1916, Criterios!$C$123:$C$128, 0)), "Temporada no válida", "")), IF(OR(O1916="", O1916=""), "[Aviso] Ciclo de vida no capturado ()", IF(ISNA(MATCH(O1916, Criterios!$D$123:$D$124, 0)), "Ciclo de vida no válido", ""))))</f>
        <v/>
      </c>
      <c r="AC1916" s="56" t="n"/>
      <c r="AD1916" s="51" t="n">
        <v>0</v>
      </c>
      <c r="AE1916" s="156" t="n"/>
      <c r="AF1916" s="51" t="n">
        <v>0</v>
      </c>
      <c r="AG1916" s="156" t="inlineStr">
        <is>
          <t>Catálogo existente</t>
        </is>
      </c>
      <c r="AH1916"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16" s="156" t="inlineStr">
        <is>
          <t>No</t>
        </is>
      </c>
      <c r="AJ1916" s="156" t="n"/>
      <c r="AK1916" s="155" t="inlineStr">
        <is>
          <t>Criterios: J [R]; G1522_Extraccion_Articulos_NetSuite_2026-09-30.xlsx: fila 57423 [S] | Shopify Stetson: producto 14695113589099 / variante 52002165686635</t>
        </is>
      </c>
      <c r="AL1916" s="58" t="n">
        <v>717.6724138</v>
      </c>
      <c r="AM1916" s="58" t="n">
        <v>1594.827586</v>
      </c>
      <c r="AN1916" s="155" t="inlineStr">
        <is>
          <t>Shopify Stetson México</t>
        </is>
      </c>
      <c r="AO1916" s="59" t="n">
        <v>0</v>
      </c>
      <c r="AP1916" s="59" t="n"/>
      <c r="AQ1916" s="59" t="n"/>
      <c r="AR1916" s="155" t="n"/>
    </row>
    <row r="1917">
      <c r="A1917" s="50" t="inlineStr">
        <is>
          <t>196070570472</t>
        </is>
      </c>
      <c r="B1917" s="51" t="inlineStr">
        <is>
          <t>109484</t>
        </is>
      </c>
      <c r="C1917" s="156" t="inlineStr">
        <is>
          <t>Multimarca</t>
        </is>
      </c>
      <c r="D1917" s="156" t="inlineStr">
        <is>
          <t>11-001-0425-2051</t>
        </is>
      </c>
      <c r="E1917" s="156" t="inlineStr">
        <is>
          <t>11-001-0425-2051-L</t>
        </is>
      </c>
      <c r="F1917" s="156" t="inlineStr">
        <is>
          <t>L</t>
        </is>
      </c>
      <c r="G1917" s="156" t="inlineStr">
        <is>
          <t>L</t>
        </is>
      </c>
      <c r="H1917" s="156" t="inlineStr">
        <is>
          <t>Stetson</t>
        </is>
      </c>
      <c r="I1917" s="156" t="inlineStr">
        <is>
          <t>Camisa Manga Larga Greenspring Paisley</t>
        </is>
      </c>
      <c r="J1917" s="156" t="inlineStr">
        <is>
          <t>Ropa</t>
        </is>
      </c>
      <c r="K1917" s="156" t="inlineStr">
        <is>
          <t>Camisas</t>
        </is>
      </c>
      <c r="L1917" s="156" t="inlineStr">
        <is>
          <t>Hombre</t>
        </is>
      </c>
      <c r="M1917" s="156" t="inlineStr">
        <is>
          <t>Stetson</t>
        </is>
      </c>
      <c r="N1917" s="156" t="inlineStr">
        <is>
          <t>SS26</t>
        </is>
      </c>
      <c r="O1917" s="156" t="inlineStr">
        <is>
          <t>Seasonal</t>
        </is>
      </c>
      <c r="P1917" s="156" t="n"/>
      <c r="Q1917" s="156" t="inlineStr">
        <is>
          <t>Clásico</t>
        </is>
      </c>
      <c r="R1917" s="156" t="n"/>
      <c r="S1917" s="156" t="inlineStr">
        <is>
          <t>100% Algodón</t>
        </is>
      </c>
      <c r="T1917"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7" s="156" t="n"/>
      <c r="V1917" s="156" t="inlineStr">
        <is>
          <t>PZS</t>
        </is>
      </c>
      <c r="W1917" s="51" t="inlineStr">
        <is>
          <t>53101600</t>
        </is>
      </c>
      <c r="X1917" s="156" t="inlineStr">
        <is>
          <t>https://cdn.shopify.com/s/files/1/0888/3250/8267/files/1100104252051c.jpg?v=1744209258</t>
        </is>
      </c>
      <c r="Y1917" s="54" t="n">
        <v>892.2413792999999</v>
      </c>
      <c r="Z1917" s="54" t="n">
        <v>1982.758621</v>
      </c>
      <c r="AA1917" s="55">
        <f>IF(AND(A1917="", B1917="", E1917=""), "", IF(AB1917="", "Válido", IF((LEN(AB1917)-LEN(SUBSTITUTE(AB1917,"; ","")))/2+1&gt;(LEN(AB1917)-LEN(SUBSTITUTE(AB1917,"[Aviso]","")))/7, "Con Incidencias", "Válido")))</f>
        <v/>
      </c>
      <c r="AB1917" s="56">
        <f>IF(AND(A1917="", B1917="", E1917=""), "", TEXTJOIN("; ", TRUE, IF(OR(TRIM(A1917&amp;"")="", ISNUMBER(SEARCH("FALTA", A1917))), "UPC faltante/inválido", ""), IF(AND(A1917&lt;&gt;"", IFERROR(_xlfn.XMATCH(A1917,$A$2:$A$2509,0,1)&lt;&gt;_xlfn.XMATCH(A1917,$A$2:$A$2509,0,-1),FALSE)), "Código de barras duplicado", ""), IF(AND(E1917&lt;&gt;"", COUNTIF($E$2:$E$2509, E1917)&gt;1), "SKU duplicado", ""), IF(OR(J1917="", J1917=""), "[Aviso] División no capturada ()", IF(ISNA(MATCH(J1917, Criterios!$A$123:$A$126, 0)), "División no válida", "")), IF(OR(K1917="", K1917=""), "[Aviso] Categoría no capturada ()", IF(ISNA(MATCH(K1917, Criterios!$A$81:$A$120, 0)), "Categoría no válida", IF(AND(J1917&lt;&gt;"", J1917&lt;&gt;"", J1917&lt;&gt;VLOOKUP(K1917, Criterios!$A$81:$B$120, 2, FALSE)), "División no coincide con Categoría", ""))), IF(OR(L1917="", L1917=""), "[Aviso] Género no capturado ()", IF(ISNA(MATCH(L1917, Criterios!$B$123:$B$127, 0)), "Género no válido", "")), IF(OR(N1917="", N1917=""), "[Aviso] Temporada no capturada ()", IF(ISNA(MATCH(N1917, Criterios!$C$123:$C$128, 0)), "Temporada no válida", "")), IF(OR(O1917="", O1917=""), "[Aviso] Ciclo de vida no capturado ()", IF(ISNA(MATCH(O1917, Criterios!$D$123:$D$124, 0)), "Ciclo de vida no válido", ""))))</f>
        <v/>
      </c>
      <c r="AC1917" s="56" t="n"/>
      <c r="AD1917" s="51" t="n">
        <v>1</v>
      </c>
      <c r="AE1917" s="156" t="inlineStr">
        <is>
          <t>B25 STETSON.MX (1)</t>
        </is>
      </c>
      <c r="AF1917" s="51" t="n">
        <v>1</v>
      </c>
      <c r="AG1917" s="156" t="inlineStr">
        <is>
          <t>Catálogo existente</t>
        </is>
      </c>
      <c r="AH191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7" s="156" t="inlineStr">
        <is>
          <t>No</t>
        </is>
      </c>
      <c r="AJ1917" s="156" t="n"/>
      <c r="AK1917" s="155" t="inlineStr">
        <is>
          <t>Criterios: J [R]; G1522_Extraccion_Articulos_NetSuite_2026-09-30.xlsx: fila 57299 [S] | Shopify Stetson: producto 14693885247851 / variante 51994092339563</t>
        </is>
      </c>
      <c r="AL1917" s="58" t="n">
        <v>892.2413792999999</v>
      </c>
      <c r="AM1917" s="58" t="n">
        <v>1982.758621</v>
      </c>
      <c r="AN1917" s="155" t="inlineStr">
        <is>
          <t>Shopify Stetson México</t>
        </is>
      </c>
      <c r="AO1917" s="59" t="n">
        <v>1</v>
      </c>
      <c r="AP1917" s="59" t="n"/>
      <c r="AQ1917" s="59" t="n"/>
      <c r="AR1917" s="155" t="inlineStr">
        <is>
          <t>Shopify Stetson México › Stetson México: 1</t>
        </is>
      </c>
    </row>
    <row r="1918">
      <c r="A1918" s="50" t="inlineStr">
        <is>
          <t>196070570489</t>
        </is>
      </c>
      <c r="B1918" s="51" t="inlineStr">
        <is>
          <t>109485</t>
        </is>
      </c>
      <c r="C1918" s="156" t="inlineStr">
        <is>
          <t>Multimarca</t>
        </is>
      </c>
      <c r="D1918" s="156" t="inlineStr">
        <is>
          <t>11-001-0425-2051</t>
        </is>
      </c>
      <c r="E1918" s="156" t="inlineStr">
        <is>
          <t>11-001-0425-2051-M</t>
        </is>
      </c>
      <c r="F1918" s="156" t="inlineStr">
        <is>
          <t>M</t>
        </is>
      </c>
      <c r="G1918" s="156" t="inlineStr">
        <is>
          <t>M</t>
        </is>
      </c>
      <c r="H1918" s="156" t="inlineStr">
        <is>
          <t>Stetson</t>
        </is>
      </c>
      <c r="I1918" s="156" t="inlineStr">
        <is>
          <t>Camisa Manga Larga Greenspring Paisley</t>
        </is>
      </c>
      <c r="J1918" s="156" t="inlineStr">
        <is>
          <t>Ropa</t>
        </is>
      </c>
      <c r="K1918" s="156" t="inlineStr">
        <is>
          <t>Camisas</t>
        </is>
      </c>
      <c r="L1918" s="156" t="inlineStr">
        <is>
          <t>Hombre</t>
        </is>
      </c>
      <c r="M1918" s="156" t="inlineStr">
        <is>
          <t>Stetson</t>
        </is>
      </c>
      <c r="N1918" s="156" t="inlineStr">
        <is>
          <t>SS26</t>
        </is>
      </c>
      <c r="O1918" s="156" t="inlineStr">
        <is>
          <t>Seasonal</t>
        </is>
      </c>
      <c r="P1918" s="156" t="n"/>
      <c r="Q1918" s="156" t="inlineStr">
        <is>
          <t>Clásico</t>
        </is>
      </c>
      <c r="R1918" s="156" t="n"/>
      <c r="S1918" s="156" t="inlineStr">
        <is>
          <t>100% Algodón</t>
        </is>
      </c>
      <c r="T1918"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8" s="156" t="n"/>
      <c r="V1918" s="156" t="inlineStr">
        <is>
          <t>PZS</t>
        </is>
      </c>
      <c r="W1918" s="51" t="inlineStr">
        <is>
          <t>53101600</t>
        </is>
      </c>
      <c r="X1918" s="156" t="inlineStr">
        <is>
          <t>https://cdn.shopify.com/s/files/1/0888/3250/8267/files/1100104252051b.jpg?v=1744209253</t>
        </is>
      </c>
      <c r="Y1918" s="54" t="n">
        <v>892.2413792999999</v>
      </c>
      <c r="Z1918" s="54" t="n">
        <v>1982.758621</v>
      </c>
      <c r="AA1918" s="55">
        <f>IF(AND(A1918="", B1918="", E1918=""), "", IF(AB1918="", "Válido", IF((LEN(AB1918)-LEN(SUBSTITUTE(AB1918,"; ","")))/2+1&gt;(LEN(AB1918)-LEN(SUBSTITUTE(AB1918,"[Aviso]","")))/7, "Con Incidencias", "Válido")))</f>
        <v/>
      </c>
      <c r="AB1918" s="56">
        <f>IF(AND(A1918="", B1918="", E1918=""), "", TEXTJOIN("; ", TRUE, IF(OR(TRIM(A1918&amp;"")="", ISNUMBER(SEARCH("FALTA", A1918))), "UPC faltante/inválido", ""), IF(AND(A1918&lt;&gt;"", IFERROR(_xlfn.XMATCH(A1918,$A$2:$A$2509,0,1)&lt;&gt;_xlfn.XMATCH(A1918,$A$2:$A$2509,0,-1),FALSE)), "Código de barras duplicado", ""), IF(AND(E1918&lt;&gt;"", COUNTIF($E$2:$E$2509, E1918)&gt;1), "SKU duplicado", ""), IF(OR(J1918="", J1918=""), "[Aviso] División no capturada ()", IF(ISNA(MATCH(J1918, Criterios!$A$123:$A$126, 0)), "División no válida", "")), IF(OR(K1918="", K1918=""), "[Aviso] Categoría no capturada ()", IF(ISNA(MATCH(K1918, Criterios!$A$81:$A$120, 0)), "Categoría no válida", IF(AND(J1918&lt;&gt;"", J1918&lt;&gt;"", J1918&lt;&gt;VLOOKUP(K1918, Criterios!$A$81:$B$120, 2, FALSE)), "División no coincide con Categoría", ""))), IF(OR(L1918="", L1918=""), "[Aviso] Género no capturado ()", IF(ISNA(MATCH(L1918, Criterios!$B$123:$B$127, 0)), "Género no válido", "")), IF(OR(N1918="", N1918=""), "[Aviso] Temporada no capturada ()", IF(ISNA(MATCH(N1918, Criterios!$C$123:$C$128, 0)), "Temporada no válida", "")), IF(OR(O1918="", O1918=""), "[Aviso] Ciclo de vida no capturado ()", IF(ISNA(MATCH(O1918, Criterios!$D$123:$D$124, 0)), "Ciclo de vida no válido", ""))))</f>
        <v/>
      </c>
      <c r="AC1918" s="56" t="n"/>
      <c r="AD1918" s="51" t="n">
        <v>1</v>
      </c>
      <c r="AE1918" s="156" t="inlineStr">
        <is>
          <t>B25 STETSON.MX (1)</t>
        </is>
      </c>
      <c r="AF1918" s="51" t="n">
        <v>1</v>
      </c>
      <c r="AG1918" s="156" t="inlineStr">
        <is>
          <t>Catálogo existente</t>
        </is>
      </c>
      <c r="AH191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8" s="156" t="inlineStr">
        <is>
          <t>No</t>
        </is>
      </c>
      <c r="AJ1918" s="156" t="n"/>
      <c r="AK1918" s="155" t="inlineStr">
        <is>
          <t>Criterios: J [R]; G1522_Extraccion_Articulos_NetSuite_2026-09-30.xlsx: fila 57300 [S] | Shopify Stetson: producto 14693885247851 / variante 51994092306795</t>
        </is>
      </c>
      <c r="AL1918" s="58" t="n">
        <v>892.2413792999999</v>
      </c>
      <c r="AM1918" s="58" t="n">
        <v>1982.758621</v>
      </c>
      <c r="AN1918" s="155" t="inlineStr">
        <is>
          <t>Shopify Stetson México</t>
        </is>
      </c>
      <c r="AO1918" s="59" t="n">
        <v>1</v>
      </c>
      <c r="AP1918" s="59" t="n"/>
      <c r="AQ1918" s="59" t="n"/>
      <c r="AR1918" s="155" t="inlineStr">
        <is>
          <t>Shopify Stetson México › Stetson México: 1</t>
        </is>
      </c>
    </row>
    <row r="1919">
      <c r="A1919" s="50" t="inlineStr">
        <is>
          <t>196070570496</t>
        </is>
      </c>
      <c r="B1919" s="51" t="inlineStr">
        <is>
          <t>109486</t>
        </is>
      </c>
      <c r="C1919" s="156" t="inlineStr">
        <is>
          <t>Multimarca</t>
        </is>
      </c>
      <c r="D1919" s="156" t="inlineStr">
        <is>
          <t>11-001-0425-2051</t>
        </is>
      </c>
      <c r="E1919" s="156" t="inlineStr">
        <is>
          <t>11-001-0425-2051-S</t>
        </is>
      </c>
      <c r="F1919" s="156" t="inlineStr">
        <is>
          <t>S</t>
        </is>
      </c>
      <c r="G1919" s="156" t="inlineStr">
        <is>
          <t>S</t>
        </is>
      </c>
      <c r="H1919" s="156" t="inlineStr">
        <is>
          <t>Stetson</t>
        </is>
      </c>
      <c r="I1919" s="156" t="inlineStr">
        <is>
          <t>Camisa Manga Larga Greenspring Paisley</t>
        </is>
      </c>
      <c r="J1919" s="156" t="inlineStr">
        <is>
          <t>Ropa</t>
        </is>
      </c>
      <c r="K1919" s="156" t="inlineStr">
        <is>
          <t>Camisas</t>
        </is>
      </c>
      <c r="L1919" s="156" t="inlineStr">
        <is>
          <t>Hombre</t>
        </is>
      </c>
      <c r="M1919" s="156" t="inlineStr">
        <is>
          <t>Stetson</t>
        </is>
      </c>
      <c r="N1919" s="156" t="inlineStr">
        <is>
          <t>SS26</t>
        </is>
      </c>
      <c r="O1919" s="156" t="inlineStr">
        <is>
          <t>Seasonal</t>
        </is>
      </c>
      <c r="P1919" s="156" t="n"/>
      <c r="Q1919" s="156" t="inlineStr">
        <is>
          <t>Clásico</t>
        </is>
      </c>
      <c r="R1919" s="156" t="n"/>
      <c r="S1919" s="156" t="inlineStr">
        <is>
          <t>100% Algodón</t>
        </is>
      </c>
      <c r="T1919"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9" s="156" t="n"/>
      <c r="V1919" s="156" t="inlineStr">
        <is>
          <t>PZS</t>
        </is>
      </c>
      <c r="W1919" s="51" t="inlineStr">
        <is>
          <t>53101600</t>
        </is>
      </c>
      <c r="X1919" s="156" t="inlineStr">
        <is>
          <t>https://cdn.shopify.com/s/files/1/0888/3250/8267/files/1100104252051a.jpg?v=1744209247</t>
        </is>
      </c>
      <c r="Y1919" s="54" t="n">
        <v>892.2413792999999</v>
      </c>
      <c r="Z1919" s="54" t="n">
        <v>1982.758621</v>
      </c>
      <c r="AA1919" s="55">
        <f>IF(AND(A1919="", B1919="", E1919=""), "", IF(AB1919="", "Válido", IF((LEN(AB1919)-LEN(SUBSTITUTE(AB1919,"; ","")))/2+1&gt;(LEN(AB1919)-LEN(SUBSTITUTE(AB1919,"[Aviso]","")))/7, "Con Incidencias", "Válido")))</f>
        <v/>
      </c>
      <c r="AB1919" s="56">
        <f>IF(AND(A1919="", B1919="", E1919=""), "", TEXTJOIN("; ", TRUE, IF(OR(TRIM(A1919&amp;"")="", ISNUMBER(SEARCH("FALTA", A1919))), "UPC faltante/inválido", ""), IF(AND(A1919&lt;&gt;"", IFERROR(_xlfn.XMATCH(A1919,$A$2:$A$2509,0,1)&lt;&gt;_xlfn.XMATCH(A1919,$A$2:$A$2509,0,-1),FALSE)), "Código de barras duplicado", ""), IF(AND(E1919&lt;&gt;"", COUNTIF($E$2:$E$2509, E1919)&gt;1), "SKU duplicado", ""), IF(OR(J1919="", J1919=""), "[Aviso] División no capturada ()", IF(ISNA(MATCH(J1919, Criterios!$A$123:$A$126, 0)), "División no válida", "")), IF(OR(K1919="", K1919=""), "[Aviso] Categoría no capturada ()", IF(ISNA(MATCH(K1919, Criterios!$A$81:$A$120, 0)), "Categoría no válida", IF(AND(J1919&lt;&gt;"", J1919&lt;&gt;"", J1919&lt;&gt;VLOOKUP(K1919, Criterios!$A$81:$B$120, 2, FALSE)), "División no coincide con Categoría", ""))), IF(OR(L1919="", L1919=""), "[Aviso] Género no capturado ()", IF(ISNA(MATCH(L1919, Criterios!$B$123:$B$127, 0)), "Género no válido", "")), IF(OR(N1919="", N1919=""), "[Aviso] Temporada no capturada ()", IF(ISNA(MATCH(N1919, Criterios!$C$123:$C$128, 0)), "Temporada no válida", "")), IF(OR(O1919="", O1919=""), "[Aviso] Ciclo de vida no capturado ()", IF(ISNA(MATCH(O1919, Criterios!$D$123:$D$124, 0)), "Ciclo de vida no válido", ""))))</f>
        <v/>
      </c>
      <c r="AC1919" s="56" t="n"/>
      <c r="AD1919" s="51" t="n">
        <v>1</v>
      </c>
      <c r="AE1919" s="156" t="inlineStr">
        <is>
          <t>B25 STETSON.MX (1)</t>
        </is>
      </c>
      <c r="AF1919" s="51" t="n">
        <v>1</v>
      </c>
      <c r="AG1919" s="156" t="inlineStr">
        <is>
          <t>Catálogo existente</t>
        </is>
      </c>
      <c r="AH191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9" s="156" t="inlineStr">
        <is>
          <t>No</t>
        </is>
      </c>
      <c r="AJ1919" s="156" t="n"/>
      <c r="AK1919" s="155" t="inlineStr">
        <is>
          <t>Criterios: J [R]; G1522_Extraccion_Articulos_NetSuite_2026-09-30.xlsx: fila 57301 [S] | Shopify Stetson: producto 14693885247851 / variante 51994092274027</t>
        </is>
      </c>
      <c r="AL1919" s="58" t="n">
        <v>892.2413792999999</v>
      </c>
      <c r="AM1919" s="58" t="n">
        <v>1982.758621</v>
      </c>
      <c r="AN1919" s="155" t="inlineStr">
        <is>
          <t>Shopify Stetson México</t>
        </is>
      </c>
      <c r="AO1919" s="59" t="n">
        <v>1</v>
      </c>
      <c r="AP1919" s="59" t="n"/>
      <c r="AQ1919" s="59" t="n"/>
      <c r="AR1919" s="155" t="inlineStr">
        <is>
          <t>Shopify Stetson México › Stetson México: 1</t>
        </is>
      </c>
    </row>
    <row r="1920">
      <c r="A1920" s="50" t="inlineStr">
        <is>
          <t>196070570502</t>
        </is>
      </c>
      <c r="B1920" s="51" t="inlineStr">
        <is>
          <t>109487</t>
        </is>
      </c>
      <c r="C1920" s="156" t="inlineStr">
        <is>
          <t>Multimarca</t>
        </is>
      </c>
      <c r="D1920" s="156" t="inlineStr">
        <is>
          <t>11-001-0425-2051</t>
        </is>
      </c>
      <c r="E1920" s="156" t="inlineStr">
        <is>
          <t>11-001-0425-2051-XL</t>
        </is>
      </c>
      <c r="F1920" s="156" t="inlineStr">
        <is>
          <t>XL</t>
        </is>
      </c>
      <c r="G1920" s="156" t="inlineStr">
        <is>
          <t>XL</t>
        </is>
      </c>
      <c r="H1920" s="156" t="inlineStr">
        <is>
          <t>Stetson</t>
        </is>
      </c>
      <c r="I1920" s="156" t="inlineStr">
        <is>
          <t>Camisa Manga Larga Greenspring Paisley</t>
        </is>
      </c>
      <c r="J1920" s="156" t="inlineStr">
        <is>
          <t>Ropa</t>
        </is>
      </c>
      <c r="K1920" s="156" t="inlineStr">
        <is>
          <t>Camisas</t>
        </is>
      </c>
      <c r="L1920" s="156" t="inlineStr">
        <is>
          <t>Hombre</t>
        </is>
      </c>
      <c r="M1920" s="156" t="inlineStr">
        <is>
          <t>Stetson</t>
        </is>
      </c>
      <c r="N1920" s="156" t="inlineStr">
        <is>
          <t>SS26</t>
        </is>
      </c>
      <c r="O1920" s="156" t="inlineStr">
        <is>
          <t>Seasonal</t>
        </is>
      </c>
      <c r="P1920" s="156" t="n"/>
      <c r="Q1920" s="156" t="inlineStr">
        <is>
          <t>Clásico</t>
        </is>
      </c>
      <c r="R1920" s="156" t="n"/>
      <c r="S1920" s="156" t="inlineStr">
        <is>
          <t>100% Algodón</t>
        </is>
      </c>
      <c r="T1920"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20" s="156" t="n"/>
      <c r="V1920" s="156" t="inlineStr">
        <is>
          <t>PZS</t>
        </is>
      </c>
      <c r="W1920" s="51" t="inlineStr">
        <is>
          <t>53101600</t>
        </is>
      </c>
      <c r="X1920" s="156" t="inlineStr">
        <is>
          <t>https://cdn.shopify.com/s/files/1/0888/3250/8267/files/1100104252051a.jpg?v=1744209247</t>
        </is>
      </c>
      <c r="Y1920" s="54" t="n">
        <v>892.2413792999999</v>
      </c>
      <c r="Z1920" s="54" t="n">
        <v>1982.758621</v>
      </c>
      <c r="AA1920" s="55">
        <f>IF(AND(A1920="", B1920="", E1920=""), "", IF(AB1920="", "Válido", IF((LEN(AB1920)-LEN(SUBSTITUTE(AB1920,"; ","")))/2+1&gt;(LEN(AB1920)-LEN(SUBSTITUTE(AB1920,"[Aviso]","")))/7, "Con Incidencias", "Válido")))</f>
        <v/>
      </c>
      <c r="AB1920" s="56">
        <f>IF(AND(A1920="", B1920="", E1920=""), "", TEXTJOIN("; ", TRUE, IF(OR(TRIM(A1920&amp;"")="", ISNUMBER(SEARCH("FALTA", A1920))), "UPC faltante/inválido", ""), IF(AND(A1920&lt;&gt;"", IFERROR(_xlfn.XMATCH(A1920,$A$2:$A$2509,0,1)&lt;&gt;_xlfn.XMATCH(A1920,$A$2:$A$2509,0,-1),FALSE)), "Código de barras duplicado", ""), IF(AND(E1920&lt;&gt;"", COUNTIF($E$2:$E$2509, E1920)&gt;1), "SKU duplicado", ""), IF(OR(J1920="", J1920=""), "[Aviso] División no capturada ()", IF(ISNA(MATCH(J1920, Criterios!$A$123:$A$126, 0)), "División no válida", "")), IF(OR(K1920="", K1920=""), "[Aviso] Categoría no capturada ()", IF(ISNA(MATCH(K1920, Criterios!$A$81:$A$120, 0)), "Categoría no válida", IF(AND(J1920&lt;&gt;"", J1920&lt;&gt;"", J1920&lt;&gt;VLOOKUP(K1920, Criterios!$A$81:$B$120, 2, FALSE)), "División no coincide con Categoría", ""))), IF(OR(L1920="", L1920=""), "[Aviso] Género no capturado ()", IF(ISNA(MATCH(L1920, Criterios!$B$123:$B$127, 0)), "Género no válido", "")), IF(OR(N1920="", N1920=""), "[Aviso] Temporada no capturada ()", IF(ISNA(MATCH(N1920, Criterios!$C$123:$C$128, 0)), "Temporada no válida", "")), IF(OR(O1920="", O1920=""), "[Aviso] Ciclo de vida no capturado ()", IF(ISNA(MATCH(O1920, Criterios!$D$123:$D$124, 0)), "Ciclo de vida no válido", ""))))</f>
        <v/>
      </c>
      <c r="AC1920" s="56" t="n"/>
      <c r="AD1920" s="51" t="n">
        <v>1</v>
      </c>
      <c r="AE1920" s="156" t="inlineStr">
        <is>
          <t>B25 STETSON.MX (1)</t>
        </is>
      </c>
      <c r="AF1920" s="51" t="n">
        <v>1</v>
      </c>
      <c r="AG1920" s="156" t="inlineStr">
        <is>
          <t>Catálogo existente</t>
        </is>
      </c>
      <c r="AH192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20" s="156" t="inlineStr">
        <is>
          <t>No</t>
        </is>
      </c>
      <c r="AJ1920" s="156" t="n"/>
      <c r="AK1920" s="155" t="inlineStr">
        <is>
          <t>Criterios: J [R]; G1522_Extraccion_Articulos_NetSuite_2026-09-30.xlsx: fila 57302 [S] | Shopify Stetson: producto 14693885247851 / variante 51994092372331</t>
        </is>
      </c>
      <c r="AL1920" s="58" t="n">
        <v>892.2413792999999</v>
      </c>
      <c r="AM1920" s="58" t="n">
        <v>1982.758621</v>
      </c>
      <c r="AN1920" s="155" t="inlineStr">
        <is>
          <t>Shopify Stetson México</t>
        </is>
      </c>
      <c r="AO1920" s="59" t="n">
        <v>1</v>
      </c>
      <c r="AP1920" s="59" t="n"/>
      <c r="AQ1920" s="59" t="n"/>
      <c r="AR1920" s="155" t="inlineStr">
        <is>
          <t>Shopify Stetson México › Stetson México: 1</t>
        </is>
      </c>
    </row>
    <row r="1921">
      <c r="A1921" s="50" t="inlineStr">
        <is>
          <t>196070570519</t>
        </is>
      </c>
      <c r="B1921" s="51" t="inlineStr">
        <is>
          <t>109488</t>
        </is>
      </c>
      <c r="C1921" s="156" t="inlineStr">
        <is>
          <t>Multimarca</t>
        </is>
      </c>
      <c r="D1921" s="156" t="inlineStr">
        <is>
          <t>11-001-0425-2051</t>
        </is>
      </c>
      <c r="E1921" s="156" t="inlineStr">
        <is>
          <t>11-001-0425-2051-XXL</t>
        </is>
      </c>
      <c r="F1921" s="156" t="inlineStr">
        <is>
          <t>XXL</t>
        </is>
      </c>
      <c r="G1921" s="156" t="inlineStr">
        <is>
          <t>XXL</t>
        </is>
      </c>
      <c r="H1921" s="156" t="inlineStr">
        <is>
          <t>Stetson</t>
        </is>
      </c>
      <c r="I1921" s="156" t="inlineStr">
        <is>
          <t>Camisa Manga Larga Greenspring Paisley</t>
        </is>
      </c>
      <c r="J1921" s="156" t="inlineStr">
        <is>
          <t>Ropa</t>
        </is>
      </c>
      <c r="K1921" s="156" t="inlineStr">
        <is>
          <t>Camisas</t>
        </is>
      </c>
      <c r="L1921" s="156" t="inlineStr">
        <is>
          <t>Hombre</t>
        </is>
      </c>
      <c r="M1921" s="156" t="inlineStr">
        <is>
          <t>Stetson</t>
        </is>
      </c>
      <c r="N1921" s="156" t="inlineStr">
        <is>
          <t>SS26</t>
        </is>
      </c>
      <c r="O1921" s="156" t="inlineStr">
        <is>
          <t>Seasonal</t>
        </is>
      </c>
      <c r="P1921" s="156" t="n"/>
      <c r="Q1921" s="156" t="inlineStr">
        <is>
          <t>Clásico</t>
        </is>
      </c>
      <c r="R1921" s="156" t="n"/>
      <c r="S1921" s="156" t="inlineStr">
        <is>
          <t>100% Algodón</t>
        </is>
      </c>
      <c r="T1921"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21" s="156" t="n"/>
      <c r="V1921" s="156" t="inlineStr">
        <is>
          <t>PZS</t>
        </is>
      </c>
      <c r="W1921" s="51" t="inlineStr">
        <is>
          <t>53101600</t>
        </is>
      </c>
      <c r="X1921" s="156" t="inlineStr">
        <is>
          <t>https://cdn.shopify.com/s/files/1/0888/3250/8267/files/1100104252051a.jpg?v=1744209247</t>
        </is>
      </c>
      <c r="Y1921" s="54" t="n">
        <v>892.2413792999999</v>
      </c>
      <c r="Z1921" s="54" t="n">
        <v>1982.758621</v>
      </c>
      <c r="AA1921" s="55">
        <f>IF(AND(A1921="", B1921="", E1921=""), "", IF(AB1921="", "Válido", IF((LEN(AB1921)-LEN(SUBSTITUTE(AB1921,"; ","")))/2+1&gt;(LEN(AB1921)-LEN(SUBSTITUTE(AB1921,"[Aviso]","")))/7, "Con Incidencias", "Válido")))</f>
        <v/>
      </c>
      <c r="AB1921" s="56">
        <f>IF(AND(A1921="", B1921="", E1921=""), "", TEXTJOIN("; ", TRUE, IF(OR(TRIM(A1921&amp;"")="", ISNUMBER(SEARCH("FALTA", A1921))), "UPC faltante/inválido", ""), IF(AND(A1921&lt;&gt;"", IFERROR(_xlfn.XMATCH(A1921,$A$2:$A$2509,0,1)&lt;&gt;_xlfn.XMATCH(A1921,$A$2:$A$2509,0,-1),FALSE)), "Código de barras duplicado", ""), IF(AND(E1921&lt;&gt;"", COUNTIF($E$2:$E$2509, E1921)&gt;1), "SKU duplicado", ""), IF(OR(J1921="", J1921=""), "[Aviso] División no capturada ()", IF(ISNA(MATCH(J1921, Criterios!$A$123:$A$126, 0)), "División no válida", "")), IF(OR(K1921="", K1921=""), "[Aviso] Categoría no capturada ()", IF(ISNA(MATCH(K1921, Criterios!$A$81:$A$120, 0)), "Categoría no válida", IF(AND(J1921&lt;&gt;"", J1921&lt;&gt;"", J1921&lt;&gt;VLOOKUP(K1921, Criterios!$A$81:$B$120, 2, FALSE)), "División no coincide con Categoría", ""))), IF(OR(L1921="", L1921=""), "[Aviso] Género no capturado ()", IF(ISNA(MATCH(L1921, Criterios!$B$123:$B$127, 0)), "Género no válido", "")), IF(OR(N1921="", N1921=""), "[Aviso] Temporada no capturada ()", IF(ISNA(MATCH(N1921, Criterios!$C$123:$C$128, 0)), "Temporada no válida", "")), IF(OR(O1921="", O1921=""), "[Aviso] Ciclo de vida no capturado ()", IF(ISNA(MATCH(O1921, Criterios!$D$123:$D$124, 0)), "Ciclo de vida no válido", ""))))</f>
        <v/>
      </c>
      <c r="AC1921" s="56" t="n"/>
      <c r="AD1921" s="51" t="n">
        <v>1</v>
      </c>
      <c r="AE1921" s="156" t="inlineStr">
        <is>
          <t>B25 STETSON.MX (1)</t>
        </is>
      </c>
      <c r="AF1921" s="51" t="n">
        <v>1</v>
      </c>
      <c r="AG1921" s="156" t="inlineStr">
        <is>
          <t>Catálogo existente</t>
        </is>
      </c>
      <c r="AH1921"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21" s="156" t="inlineStr">
        <is>
          <t>No</t>
        </is>
      </c>
      <c r="AJ1921" s="156" t="n"/>
      <c r="AK1921" s="155" t="inlineStr">
        <is>
          <t>Criterios: J [R]; G1522_Extraccion_Articulos_NetSuite_2026-09-30.xlsx: fila 57303 [S] | Shopify Stetson: producto 14693885247851 / variante 51994092405099</t>
        </is>
      </c>
      <c r="AL1921" s="58" t="n">
        <v>892.2413792999999</v>
      </c>
      <c r="AM1921" s="58" t="n">
        <v>1982.758621</v>
      </c>
      <c r="AN1921" s="155" t="inlineStr">
        <is>
          <t>Shopify Stetson México</t>
        </is>
      </c>
      <c r="AO1921" s="59" t="n">
        <v>1</v>
      </c>
      <c r="AP1921" s="59" t="n"/>
      <c r="AQ1921" s="59" t="n"/>
      <c r="AR1921" s="155" t="inlineStr">
        <is>
          <t>Shopify Stetson México › Stetson México: 1</t>
        </is>
      </c>
    </row>
    <row r="1922">
      <c r="A1922" s="50" t="inlineStr">
        <is>
          <t>196070570946</t>
        </is>
      </c>
      <c r="B1922" s="51" t="n"/>
      <c r="C1922" s="156" t="inlineStr">
        <is>
          <t>Multimarca</t>
        </is>
      </c>
      <c r="D1922" s="156" t="inlineStr">
        <is>
          <t>11-001-0425-2058 GY</t>
        </is>
      </c>
      <c r="E1922" s="156" t="inlineStr">
        <is>
          <t>11-001-0425-2058 GY_3XL</t>
        </is>
      </c>
      <c r="F1922" s="156" t="inlineStr">
        <is>
          <t>XXXL</t>
        </is>
      </c>
      <c r="G1922" s="156" t="inlineStr">
        <is>
          <t>XXXL</t>
        </is>
      </c>
      <c r="H1922" s="156" t="inlineStr">
        <is>
          <t>Stetson</t>
        </is>
      </c>
      <c r="I1922" s="156" t="inlineStr">
        <is>
          <t>CAMISA MANGA LARGA REFLECTION GEO 1919</t>
        </is>
      </c>
      <c r="J1922" s="156" t="inlineStr">
        <is>
          <t>Ropa</t>
        </is>
      </c>
      <c r="K1922" s="156" t="inlineStr">
        <is>
          <t>Camisas</t>
        </is>
      </c>
      <c r="L1922" s="156" t="inlineStr">
        <is>
          <t>Hombre</t>
        </is>
      </c>
      <c r="M1922" s="156" t="inlineStr">
        <is>
          <t>Stetson</t>
        </is>
      </c>
      <c r="N1922" s="156" t="n"/>
      <c r="O1922" s="156" t="n"/>
      <c r="P1922" s="156" t="inlineStr">
        <is>
          <t>Gris</t>
        </is>
      </c>
      <c r="Q1922" s="156" t="inlineStr">
        <is>
          <t>Clásico</t>
        </is>
      </c>
      <c r="R1922" s="156" t="n"/>
      <c r="S1922" s="156" t="inlineStr">
        <is>
          <t>100% Algodón</t>
        </is>
      </c>
      <c r="T1922"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2" s="156" t="n"/>
      <c r="V1922" s="156" t="inlineStr">
        <is>
          <t>PZS</t>
        </is>
      </c>
      <c r="W1922" s="51" t="inlineStr">
        <is>
          <t>53101600</t>
        </is>
      </c>
      <c r="X1922" s="156" t="inlineStr">
        <is>
          <t>https://cdn.shopify.com/s/files/1/0888/3250/8267/files/1100104252058a.jpg?v=1744211923</t>
        </is>
      </c>
      <c r="Y1922" s="54" t="n"/>
      <c r="Z1922" s="54" t="n">
        <v>1850</v>
      </c>
      <c r="AA1922" s="55">
        <f>IF(AND(A1922="", B1922="", E1922=""), "", IF(AB1922="", "Válido", IF((LEN(AB1922)-LEN(SUBSTITUTE(AB1922,"; ","")))/2+1&gt;(LEN(AB1922)-LEN(SUBSTITUTE(AB1922,"[Aviso]","")))/7, "Con Incidencias", "Válido")))</f>
        <v/>
      </c>
      <c r="AB1922" s="56">
        <f>IF(AND(A1922="", B1922="", E1922=""), "", TEXTJOIN("; ", TRUE, IF(OR(TRIM(A1922&amp;"")="", ISNUMBER(SEARCH("FALTA", A1922))), "UPC faltante/inválido", ""), IF(AND(A1922&lt;&gt;"", IFERROR(_xlfn.XMATCH(A1922,$A$2:$A$2509,0,1)&lt;&gt;_xlfn.XMATCH(A1922,$A$2:$A$2509,0,-1),FALSE)), "Código de barras duplicado", ""), IF(AND(E1922&lt;&gt;"", COUNTIF($E$2:$E$2509, E1922)&gt;1), "SKU duplicado", ""), IF(OR(J1922="", J1922=""), "[Aviso] División no capturada ()", IF(ISNA(MATCH(J1922, Criterios!$A$123:$A$126, 0)), "División no válida", "")), IF(OR(K1922="", K1922=""), "[Aviso] Categoría no capturada ()", IF(ISNA(MATCH(K1922, Criterios!$A$81:$A$120, 0)), "Categoría no válida", IF(AND(J1922&lt;&gt;"", J1922&lt;&gt;"", J1922&lt;&gt;VLOOKUP(K1922, Criterios!$A$81:$B$120, 2, FALSE)), "División no coincide con Categoría", ""))), IF(OR(L1922="", L1922=""), "[Aviso] Género no capturado ()", IF(ISNA(MATCH(L1922, Criterios!$B$123:$B$127, 0)), "Género no válido", "")), IF(OR(N1922="", N1922=""), "[Aviso] Temporada no capturada ()", IF(ISNA(MATCH(N1922, Criterios!$C$123:$C$128, 0)), "Temporada no válida", "")), IF(OR(O1922="", O1922=""), "[Aviso] Ciclo de vida no capturado ()", IF(ISNA(MATCH(O1922, Criterios!$D$123:$D$124, 0)), "Ciclo de vida no válido", ""))))</f>
        <v/>
      </c>
      <c r="AC1922" s="56" t="n"/>
      <c r="AD1922" s="51" t="n">
        <v>0</v>
      </c>
      <c r="AE1922" s="156" t="inlineStr">
        <is>
          <t>Sin coincidencia en NetSuite</t>
        </is>
      </c>
      <c r="AF1922" s="51" t="n"/>
      <c r="AG1922" s="156" t="inlineStr">
        <is>
          <t>Catálogo existente</t>
        </is>
      </c>
      <c r="AH1922" s="156" t="inlineStr">
        <is>
          <t>No se encontró en Hoja a Revisar por ID interno ni por código de barras | 30/09/2026: se retiró el código 196070570830 porque pertenece a 11-001-0425-2057 BU-L (secuencia UPC 2057 BU: L-830, M-847, S-854, XL-861, XXL-878; la 2058 GY usa 196070570892 en L y 196070570922 en XL según Amazon). UPC real de esta talla pendiente de capturar desde la etiqueta | 30/09/2026: UPC 196070570946 deducido de la secuencia GS1 del estilo 2058 GY (L=196070570892 y XL=196070570922 confirmados en Amazon; orden L-M-S-XL-XXL-XXXL; dígito verificador válido). VALIDAR contra etiqueta física | 01/10/2026: complementado desde Shopify Stetson México (match por SKU): WB Silueta (antes «Manga larga», no válido en Criterios) | 01/10/2026: Shopify Stetson México trae código de barras 196070570830 — se conservó el valor de Productos | 01/10/2026: Shopify Stetson México tiene el código 196070570830 en este artículo, pero en Productos ese código pertenece a otro artículo (fila(s) 2501); corregir el código en Shopify Stetson México | Homologación G1522 06/10/2026: Validador Shopify: ST: precio con IVA no es múltiplo de 50</t>
        </is>
      </c>
      <c r="AI1922" s="156" t="n"/>
      <c r="AJ1922" s="156" t="n"/>
      <c r="AK1922" s="155" t="inlineStr">
        <is>
          <t>Shopify Stetson: producto 14693888655723 / variante 51994117407083</t>
        </is>
      </c>
      <c r="AL1922" s="58" t="n"/>
      <c r="AM1922" s="58" t="n">
        <v>1850</v>
      </c>
      <c r="AN1922" s="155" t="inlineStr">
        <is>
          <t>Shopify Stetson México</t>
        </is>
      </c>
      <c r="AO1922" s="59" t="n">
        <v>0</v>
      </c>
      <c r="AP1922" s="59" t="n"/>
      <c r="AQ1922" s="59" t="n"/>
      <c r="AR1922" s="155" t="n"/>
    </row>
    <row r="1923">
      <c r="A1923" s="50" t="inlineStr">
        <is>
          <t>196070570847</t>
        </is>
      </c>
      <c r="B1923" s="51" t="n"/>
      <c r="C1923" s="156" t="inlineStr">
        <is>
          <t>Multimarca</t>
        </is>
      </c>
      <c r="D1923" s="156" t="inlineStr">
        <is>
          <t>11-001-0425-2057 BU</t>
        </is>
      </c>
      <c r="E1923" s="156" t="inlineStr">
        <is>
          <t>11-001-0425-2057 BU-M</t>
        </is>
      </c>
      <c r="F1923" s="156" t="inlineStr">
        <is>
          <t>M</t>
        </is>
      </c>
      <c r="G1923" s="156" t="inlineStr">
        <is>
          <t>M</t>
        </is>
      </c>
      <c r="H1923" s="156" t="inlineStr">
        <is>
          <t>Stetson</t>
        </is>
      </c>
      <c r="I1923" s="156" t="inlineStr">
        <is>
          <t>Camisa Stetson Medallón Turquesa</t>
        </is>
      </c>
      <c r="J1923" s="156" t="inlineStr">
        <is>
          <t>Ropa</t>
        </is>
      </c>
      <c r="K1923" s="156" t="inlineStr">
        <is>
          <t>Camisas</t>
        </is>
      </c>
      <c r="L1923" s="156" t="inlineStr">
        <is>
          <t>Hombre</t>
        </is>
      </c>
      <c r="M1923" s="156" t="inlineStr">
        <is>
          <t>Stetson</t>
        </is>
      </c>
      <c r="N1923" s="156" t="inlineStr">
        <is>
          <t>SS26</t>
        </is>
      </c>
      <c r="O1923" s="156" t="inlineStr">
        <is>
          <t>Seasonal</t>
        </is>
      </c>
      <c r="P1923" s="156" t="inlineStr">
        <is>
          <t>Azul</t>
        </is>
      </c>
      <c r="Q1923" s="156" t="inlineStr">
        <is>
          <t>Clásico</t>
        </is>
      </c>
      <c r="R1923" s="156" t="n"/>
      <c r="S1923" s="156" t="inlineStr">
        <is>
          <t>100% Algodón</t>
        </is>
      </c>
      <c r="T1923"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3" s="156" t="n"/>
      <c r="V1923" s="156" t="inlineStr">
        <is>
          <t>PZS</t>
        </is>
      </c>
      <c r="W1923" s="51" t="inlineStr">
        <is>
          <t>53101600</t>
        </is>
      </c>
      <c r="X1923" s="156" t="inlineStr">
        <is>
          <t>https://cdn.shopify.com/s/files/1/0888/3250/8267/files/1100104252057b.jpg?v=1744209806</t>
        </is>
      </c>
      <c r="Y1923" s="54" t="n"/>
      <c r="Z1923" s="54" t="n">
        <v>2200</v>
      </c>
      <c r="AA1923" s="55">
        <f>IF(AND(A1923="", B1923="", E1923=""), "", IF(AB1923="", "Válido", IF((LEN(AB1923)-LEN(SUBSTITUTE(AB1923,"; ","")))/2+1&gt;(LEN(AB1923)-LEN(SUBSTITUTE(AB1923,"[Aviso]","")))/7, "Con Incidencias", "Válido")))</f>
        <v/>
      </c>
      <c r="AB1923" s="56">
        <f>IF(AND(A1923="", B1923="", E1923=""), "", TEXTJOIN("; ", TRUE, IF(OR(TRIM(A1923&amp;"")="", ISNUMBER(SEARCH("FALTA", A1923))), "UPC faltante/inválido", ""), IF(AND(A1923&lt;&gt;"", IFERROR(_xlfn.XMATCH(A1923,$A$2:$A$2509,0,1)&lt;&gt;_xlfn.XMATCH(A1923,$A$2:$A$2509,0,-1),FALSE)), "Código de barras duplicado", ""), IF(AND(E1923&lt;&gt;"", COUNTIF($E$2:$E$2509, E1923)&gt;1), "SKU duplicado", ""), IF(OR(J1923="", J1923=""), "[Aviso] División no capturada ()", IF(ISNA(MATCH(J1923, Criterios!$A$123:$A$126, 0)), "División no válida", "")), IF(OR(K1923="", K1923=""), "[Aviso] Categoría no capturada ()", IF(ISNA(MATCH(K1923, Criterios!$A$81:$A$120, 0)), "Categoría no válida", IF(AND(J1923&lt;&gt;"", J1923&lt;&gt;"", J1923&lt;&gt;VLOOKUP(K1923, Criterios!$A$81:$B$120, 2, FALSE)), "División no coincide con Categoría", ""))), IF(OR(L1923="", L1923=""), "[Aviso] Género no capturado ()", IF(ISNA(MATCH(L1923, Criterios!$B$123:$B$127, 0)), "Género no válido", "")), IF(OR(N1923="", N1923=""), "[Aviso] Temporada no capturada ()", IF(ISNA(MATCH(N1923, Criterios!$C$123:$C$128, 0)), "Temporada no válida", "")), IF(OR(O1923="", O1923=""), "[Aviso] Ciclo de vida no capturado ()", IF(ISNA(MATCH(O1923, Criterios!$D$123:$D$124, 0)), "Ciclo de vida no válido", ""))))</f>
        <v/>
      </c>
      <c r="AC1923" s="56" t="n"/>
      <c r="AD1923" s="51" t="n">
        <v>0</v>
      </c>
      <c r="AE1923" s="156" t="inlineStr">
        <is>
          <t>Sin coincidencia en NetSuite</t>
        </is>
      </c>
      <c r="AF1923" s="51" t="n"/>
      <c r="AG1923" s="156" t="inlineStr">
        <is>
          <t>Catálogo existente</t>
        </is>
      </c>
      <c r="AH1923" s="156" t="inlineStr">
        <is>
          <t>No se encontró en Hoja a Revisar por ID interno ni por código de barras | Consolidado 30/09/2026 con 1 registro(s) duplicado(s) (ver hoja «Consolidación Duplicados»). Completado desde duplicado: WB Temporada, WB Ciclo de vida, WB Silueta. Valores alternos del duplicado (dos): Marca principal: Stetson | WB N.º de estilo: 11-001-0425-2057 | WB Descripcion: Camisa Stetson con estampado de medallones | WB Descripción larga: Camisa Stetson con estampado de medallones; manga larga; 100% algodón. | SAT Clave de producto: 53101602 | Enlace de imagen: https://cdn.shopify.com/s/files/1/0644/4715/2361/files/CAMISA-STETSON- | 01/10/2026: complementado desde Shopify Stetson México (match por código de barras): WB Silueta (antes «Manga larga», no válido en Criterios) | 01/10/2026: Shopify Stetson México trae SKU 11-001-0425-2057 BU_MED — se conservó el valor de Productos | Homologación G1522 06/10/2026: Validador Shopify: ST: precio con IVA no es múltiplo de 50</t>
        </is>
      </c>
      <c r="AI1923" s="156" t="n"/>
      <c r="AJ1923" s="156" t="n"/>
      <c r="AK1923" s="155" t="inlineStr">
        <is>
          <t>Shopify Stetson: producto 14693886099819 / variante 51994098336107</t>
        </is>
      </c>
      <c r="AL1923" s="58" t="n"/>
      <c r="AM1923" s="58" t="n">
        <v>2200</v>
      </c>
      <c r="AN1923" s="155" t="inlineStr">
        <is>
          <t>Shopify Stetson México</t>
        </is>
      </c>
      <c r="AO1923" s="59" t="n">
        <v>0</v>
      </c>
      <c r="AP1923" s="59" t="n"/>
      <c r="AQ1923" s="59" t="n"/>
      <c r="AR1923" s="155" t="n"/>
    </row>
    <row r="1924">
      <c r="A1924" s="50" t="inlineStr">
        <is>
          <t>196070570854</t>
        </is>
      </c>
      <c r="B1924" s="51" t="n"/>
      <c r="C1924" s="156" t="inlineStr">
        <is>
          <t>Multimarca</t>
        </is>
      </c>
      <c r="D1924" s="156" t="inlineStr">
        <is>
          <t>11-001-0425-2057 BU</t>
        </is>
      </c>
      <c r="E1924" s="156" t="inlineStr">
        <is>
          <t>11-001-0425-2057 BU-S</t>
        </is>
      </c>
      <c r="F1924" s="156" t="inlineStr">
        <is>
          <t>S</t>
        </is>
      </c>
      <c r="G1924" s="156" t="inlineStr">
        <is>
          <t>S</t>
        </is>
      </c>
      <c r="H1924" s="156" t="inlineStr">
        <is>
          <t>Stetson</t>
        </is>
      </c>
      <c r="I1924" s="156" t="inlineStr">
        <is>
          <t>Camisa Stetson Medallón Turquesa</t>
        </is>
      </c>
      <c r="J1924" s="156" t="inlineStr">
        <is>
          <t>Ropa</t>
        </is>
      </c>
      <c r="K1924" s="156" t="inlineStr">
        <is>
          <t>Camisas</t>
        </is>
      </c>
      <c r="L1924" s="156" t="inlineStr">
        <is>
          <t>Hombre</t>
        </is>
      </c>
      <c r="M1924" s="156" t="inlineStr">
        <is>
          <t>Stetson</t>
        </is>
      </c>
      <c r="N1924" s="156" t="inlineStr">
        <is>
          <t>SS26</t>
        </is>
      </c>
      <c r="O1924" s="156" t="inlineStr">
        <is>
          <t>Seasonal</t>
        </is>
      </c>
      <c r="P1924" s="156" t="inlineStr">
        <is>
          <t>Azul</t>
        </is>
      </c>
      <c r="Q1924" s="156" t="inlineStr">
        <is>
          <t>Clásico</t>
        </is>
      </c>
      <c r="R1924" s="156" t="n"/>
      <c r="S1924" s="156" t="inlineStr">
        <is>
          <t>100% Algodón</t>
        </is>
      </c>
      <c r="T1924"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4" s="156" t="n"/>
      <c r="V1924" s="156" t="inlineStr">
        <is>
          <t>PZS</t>
        </is>
      </c>
      <c r="W1924" s="51" t="inlineStr">
        <is>
          <t>53101600</t>
        </is>
      </c>
      <c r="X1924" s="156" t="inlineStr">
        <is>
          <t>https://cdn.shopify.com/s/files/1/0888/3250/8267/files/1100104252057a.jpg?v=1744209801</t>
        </is>
      </c>
      <c r="Y1924" s="54" t="n"/>
      <c r="Z1924" s="54" t="n">
        <v>2200</v>
      </c>
      <c r="AA1924" s="55">
        <f>IF(AND(A1924="", B1924="", E1924=""), "", IF(AB1924="", "Válido", IF((LEN(AB1924)-LEN(SUBSTITUTE(AB1924,"; ","")))/2+1&gt;(LEN(AB1924)-LEN(SUBSTITUTE(AB1924,"[Aviso]","")))/7, "Con Incidencias", "Válido")))</f>
        <v/>
      </c>
      <c r="AB1924" s="56">
        <f>IF(AND(A1924="", B1924="", E1924=""), "", TEXTJOIN("; ", TRUE, IF(OR(TRIM(A1924&amp;"")="", ISNUMBER(SEARCH("FALTA", A1924))), "UPC faltante/inválido", ""), IF(AND(A1924&lt;&gt;"", IFERROR(_xlfn.XMATCH(A1924,$A$2:$A$2509,0,1)&lt;&gt;_xlfn.XMATCH(A1924,$A$2:$A$2509,0,-1),FALSE)), "Código de barras duplicado", ""), IF(AND(E1924&lt;&gt;"", COUNTIF($E$2:$E$2509, E1924)&gt;1), "SKU duplicado", ""), IF(OR(J1924="", J1924=""), "[Aviso] División no capturada ()", IF(ISNA(MATCH(J1924, Criterios!$A$123:$A$126, 0)), "División no válida", "")), IF(OR(K1924="", K1924=""), "[Aviso] Categoría no capturada ()", IF(ISNA(MATCH(K1924, Criterios!$A$81:$A$120, 0)), "Categoría no válida", IF(AND(J1924&lt;&gt;"", J1924&lt;&gt;"", J1924&lt;&gt;VLOOKUP(K1924, Criterios!$A$81:$B$120, 2, FALSE)), "División no coincide con Categoría", ""))), IF(OR(L1924="", L1924=""), "[Aviso] Género no capturado ()", IF(ISNA(MATCH(L1924, Criterios!$B$123:$B$127, 0)), "Género no válido", "")), IF(OR(N1924="", N1924=""), "[Aviso] Temporada no capturada ()", IF(ISNA(MATCH(N1924, Criterios!$C$123:$C$128, 0)), "Temporada no válida", "")), IF(OR(O1924="", O1924=""), "[Aviso] Ciclo de vida no capturado ()", IF(ISNA(MATCH(O1924, Criterios!$D$123:$D$124, 0)), "Ciclo de vida no válido", ""))))</f>
        <v/>
      </c>
      <c r="AC1924" s="56" t="n"/>
      <c r="AD1924" s="51" t="n">
        <v>0</v>
      </c>
      <c r="AE1924" s="156" t="inlineStr">
        <is>
          <t>Sin coincidencia en NetSuite</t>
        </is>
      </c>
      <c r="AF1924" s="51" t="n"/>
      <c r="AG1924" s="156" t="inlineStr">
        <is>
          <t>Catálogo existente</t>
        </is>
      </c>
      <c r="AH1924" s="156" t="inlineStr">
        <is>
          <t>No se encontró en Hoja a Revisar por ID interno ni por código de barras | Consolidado 30/09/2026 con 1 registro(s) duplicado(s) (ver hoja «Consolidación Duplicados»). Completado desde duplicado: WB Temporada, WB Ciclo de vida, WB Silueta. Valores alternos del duplicado (dos): Marca principal: Stetson | WB N.º de estilo: 11-001-0425-2057 | WB Descripcion: Camisa Stetson con estampado de medallones | WB Descripción larga: Camisa Stetson con estampado de medallones; manga larga; 100% algodón. | SAT Clave de producto: 53101602 | Enlace de imagen: https://cdn.shopify.com/s/files/1/0644/4715/2361/files/CAMISA-STETSON- | 01/10/2026: complementado desde Shopify Stetson México (match por código de barras): WB Silueta (antes «Manga larga», no válido en Criterios) | 01/10/2026: Shopify Stetson México trae SKU 11-001-0425-2057 BU_CH — se conservó el valor de Productos | Homologación G1522 06/10/2026: Validador Shopify: ST: precio con IVA no es múltiplo de 50</t>
        </is>
      </c>
      <c r="AI1924" s="156" t="n"/>
      <c r="AJ1924" s="156" t="n"/>
      <c r="AK1924" s="155" t="inlineStr">
        <is>
          <t>Shopify Stetson: producto 14693886099819 / variante 51994098303339</t>
        </is>
      </c>
      <c r="AL1924" s="58" t="n"/>
      <c r="AM1924" s="58" t="n">
        <v>2200</v>
      </c>
      <c r="AN1924" s="155" t="inlineStr">
        <is>
          <t>Shopify Stetson México</t>
        </is>
      </c>
      <c r="AO1924" s="59" t="n">
        <v>0</v>
      </c>
      <c r="AP1924" s="59" t="n"/>
      <c r="AQ1924" s="59" t="n"/>
      <c r="AR1924" s="155" t="n"/>
    </row>
    <row r="1925">
      <c r="A1925" s="50" t="inlineStr">
        <is>
          <t>196070570922</t>
        </is>
      </c>
      <c r="B1925" s="51" t="n"/>
      <c r="C1925" s="156" t="inlineStr">
        <is>
          <t>Multimarca</t>
        </is>
      </c>
      <c r="D1925" s="156" t="inlineStr">
        <is>
          <t>11-001-0425-2058 GY</t>
        </is>
      </c>
      <c r="E1925" s="156" t="inlineStr">
        <is>
          <t>11-001-0425-2058 GY_XL</t>
        </is>
      </c>
      <c r="F1925" s="156" t="inlineStr">
        <is>
          <t>XL</t>
        </is>
      </c>
      <c r="G1925" s="156" t="inlineStr">
        <is>
          <t>XL</t>
        </is>
      </c>
      <c r="H1925" s="156" t="inlineStr">
        <is>
          <t>Stetson</t>
        </is>
      </c>
      <c r="I1925" s="156" t="inlineStr">
        <is>
          <t>CAMISA MANGA LARGA REFLECTION GEO 1919</t>
        </is>
      </c>
      <c r="J1925" s="156" t="inlineStr">
        <is>
          <t>Ropa</t>
        </is>
      </c>
      <c r="K1925" s="156" t="inlineStr">
        <is>
          <t>Camisas</t>
        </is>
      </c>
      <c r="L1925" s="156" t="inlineStr">
        <is>
          <t>Hombre</t>
        </is>
      </c>
      <c r="M1925" s="156" t="inlineStr">
        <is>
          <t>Stetson</t>
        </is>
      </c>
      <c r="N1925" s="156" t="n"/>
      <c r="O1925" s="156" t="n"/>
      <c r="P1925" s="156" t="inlineStr">
        <is>
          <t>Gris</t>
        </is>
      </c>
      <c r="Q1925" s="156" t="inlineStr">
        <is>
          <t>Clásico</t>
        </is>
      </c>
      <c r="R1925" s="156" t="n"/>
      <c r="S1925" s="156" t="inlineStr">
        <is>
          <t>100% Algodón</t>
        </is>
      </c>
      <c r="T1925"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5" s="156" t="n"/>
      <c r="V1925" s="156" t="inlineStr">
        <is>
          <t>PZS</t>
        </is>
      </c>
      <c r="W1925" s="51" t="inlineStr">
        <is>
          <t>53101600</t>
        </is>
      </c>
      <c r="X1925" s="156" t="inlineStr">
        <is>
          <t>https://cdn.shopify.com/s/files/1/0888/3250/8267/files/1100104252058a.jpg?v=1744211923</t>
        </is>
      </c>
      <c r="Y1925" s="54" t="n"/>
      <c r="Z1925" s="54" t="n">
        <v>1850</v>
      </c>
      <c r="AA1925" s="55">
        <f>IF(AND(A1925="", B1925="", E1925=""), "", IF(AB1925="", "Válido", IF((LEN(AB1925)-LEN(SUBSTITUTE(AB1925,"; ","")))/2+1&gt;(LEN(AB1925)-LEN(SUBSTITUTE(AB1925,"[Aviso]","")))/7, "Con Incidencias", "Válido")))</f>
        <v/>
      </c>
      <c r="AB1925" s="56">
        <f>IF(AND(A1925="", B1925="", E1925=""), "", TEXTJOIN("; ", TRUE, IF(OR(TRIM(A1925&amp;"")="", ISNUMBER(SEARCH("FALTA", A1925))), "UPC faltante/inválido", ""), IF(AND(A1925&lt;&gt;"", IFERROR(_xlfn.XMATCH(A1925,$A$2:$A$2509,0,1)&lt;&gt;_xlfn.XMATCH(A1925,$A$2:$A$2509,0,-1),FALSE)), "Código de barras duplicado", ""), IF(AND(E1925&lt;&gt;"", COUNTIF($E$2:$E$2509, E1925)&gt;1), "SKU duplicado", ""), IF(OR(J1925="", J1925=""), "[Aviso] División no capturada ()", IF(ISNA(MATCH(J1925, Criterios!$A$123:$A$126, 0)), "División no válida", "")), IF(OR(K1925="", K1925=""), "[Aviso] Categoría no capturada ()", IF(ISNA(MATCH(K1925, Criterios!$A$81:$A$120, 0)), "Categoría no válida", IF(AND(J1925&lt;&gt;"", J1925&lt;&gt;"", J1925&lt;&gt;VLOOKUP(K1925, Criterios!$A$81:$B$120, 2, FALSE)), "División no coincide con Categoría", ""))), IF(OR(L1925="", L1925=""), "[Aviso] Género no capturado ()", IF(ISNA(MATCH(L1925, Criterios!$B$123:$B$127, 0)), "Género no válido", "")), IF(OR(N1925="", N1925=""), "[Aviso] Temporada no capturada ()", IF(ISNA(MATCH(N1925, Criterios!$C$123:$C$128, 0)), "Temporada no válida", "")), IF(OR(O1925="", O1925=""), "[Aviso] Ciclo de vida no capturado ()", IF(ISNA(MATCH(O1925, Criterios!$D$123:$D$124, 0)), "Ciclo de vida no válido", ""))))</f>
        <v/>
      </c>
      <c r="AC1925" s="56" t="n"/>
      <c r="AD1925" s="51" t="n">
        <v>0</v>
      </c>
      <c r="AE1925" s="156" t="inlineStr">
        <is>
          <t>Sin coincidencia en NetSuite</t>
        </is>
      </c>
      <c r="AF1925" s="51" t="n"/>
      <c r="AG1925" s="156" t="inlineStr">
        <is>
          <t>Catálogo existente</t>
        </is>
      </c>
      <c r="AH1925" s="156" t="inlineStr">
        <is>
          <t>No se encontró en Hoja a Revisar por ID interno ni por código de barras | 30/09/2026: código 196070570861 corregido a 196070570922 (UPC de 11-001-0425-2058 GY talla XL según ficha Amazon ASIN B0CT16Q9YL); el 196070570861 pertenece a 11-001-0425-2057 BU-XL | 01/10/2026: complementado desde Shopify Stetson México (match por SKU): WB Silueta (antes «Manga larga», no válido en Criterios) | 01/10/2026: Shopify Stetson México trae código de barras 196070570861 — se conservó el valor de Productos | 01/10/2026: Shopify Stetson México tiene el código 196070570861 en este artículo, pero en Productos ese código pertenece a otro artículo (fila(s) 2502); corregir el código en Shopify Stetson México | Homologación G1522 06/10/2026: Validador Shopify: ST: precio con IVA no es múltiplo de 50</t>
        </is>
      </c>
      <c r="AI1925" s="156" t="n"/>
      <c r="AJ1925" s="156" t="n"/>
      <c r="AK1925" s="155" t="inlineStr">
        <is>
          <t>Shopify Stetson: producto 14693888655723 / variante 51994117439851</t>
        </is>
      </c>
      <c r="AL1925" s="58" t="n"/>
      <c r="AM1925" s="58" t="n">
        <v>1850</v>
      </c>
      <c r="AN1925" s="155" t="inlineStr">
        <is>
          <t>Shopify Stetson México</t>
        </is>
      </c>
      <c r="AO1925" s="59" t="n">
        <v>0</v>
      </c>
      <c r="AP1925" s="59" t="n"/>
      <c r="AQ1925" s="59" t="n"/>
      <c r="AR1925" s="155" t="n"/>
    </row>
    <row r="1926">
      <c r="A1926" s="50" t="inlineStr">
        <is>
          <t>196070570939</t>
        </is>
      </c>
      <c r="B1926" s="51" t="n"/>
      <c r="C1926" s="156" t="inlineStr">
        <is>
          <t>Multimarca</t>
        </is>
      </c>
      <c r="D1926" s="156" t="inlineStr">
        <is>
          <t>11-001-0425-2058 GY</t>
        </is>
      </c>
      <c r="E1926" s="156" t="inlineStr">
        <is>
          <t>11-001-0425-2058 GY_XXL</t>
        </is>
      </c>
      <c r="F1926" s="156" t="inlineStr">
        <is>
          <t>XXL</t>
        </is>
      </c>
      <c r="G1926" s="156" t="inlineStr">
        <is>
          <t>XXL</t>
        </is>
      </c>
      <c r="H1926" s="156" t="inlineStr">
        <is>
          <t>Stetson</t>
        </is>
      </c>
      <c r="I1926" s="156" t="inlineStr">
        <is>
          <t>CAMISA MANGA LARGA REFLECTION GEO 1919</t>
        </is>
      </c>
      <c r="J1926" s="156" t="inlineStr">
        <is>
          <t>Ropa</t>
        </is>
      </c>
      <c r="K1926" s="156" t="inlineStr">
        <is>
          <t>Camisas</t>
        </is>
      </c>
      <c r="L1926" s="156" t="inlineStr">
        <is>
          <t>Hombre</t>
        </is>
      </c>
      <c r="M1926" s="156" t="inlineStr">
        <is>
          <t>Stetson</t>
        </is>
      </c>
      <c r="N1926" s="156" t="n"/>
      <c r="O1926" s="156" t="n"/>
      <c r="P1926" s="156" t="inlineStr">
        <is>
          <t>Gris</t>
        </is>
      </c>
      <c r="Q1926" s="156" t="inlineStr">
        <is>
          <t>Clásico</t>
        </is>
      </c>
      <c r="R1926" s="156" t="n"/>
      <c r="S1926" s="156" t="inlineStr">
        <is>
          <t>100% Algodón</t>
        </is>
      </c>
      <c r="T1926"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6" s="156" t="n"/>
      <c r="V1926" s="156" t="inlineStr">
        <is>
          <t>PZS</t>
        </is>
      </c>
      <c r="W1926" s="51" t="inlineStr">
        <is>
          <t>53101600</t>
        </is>
      </c>
      <c r="X1926" s="156" t="inlineStr">
        <is>
          <t>https://cdn.shopify.com/s/files/1/0888/3250/8267/files/1100104252058b.jpg?v=1744211932</t>
        </is>
      </c>
      <c r="Y1926" s="54" t="n"/>
      <c r="Z1926" s="54" t="n">
        <v>1850</v>
      </c>
      <c r="AA1926" s="55">
        <f>IF(AND(A1926="", B1926="", E1926=""), "", IF(AB1926="", "Válido", IF((LEN(AB1926)-LEN(SUBSTITUTE(AB1926,"; ","")))/2+1&gt;(LEN(AB1926)-LEN(SUBSTITUTE(AB1926,"[Aviso]","")))/7, "Con Incidencias", "Válido")))</f>
        <v/>
      </c>
      <c r="AB1926" s="56">
        <f>IF(AND(A1926="", B1926="", E1926=""), "", TEXTJOIN("; ", TRUE, IF(OR(TRIM(A1926&amp;"")="", ISNUMBER(SEARCH("FALTA", A1926))), "UPC faltante/inválido", ""), IF(AND(A1926&lt;&gt;"", IFERROR(_xlfn.XMATCH(A1926,$A$2:$A$2509,0,1)&lt;&gt;_xlfn.XMATCH(A1926,$A$2:$A$2509,0,-1),FALSE)), "Código de barras duplicado", ""), IF(AND(E1926&lt;&gt;"", COUNTIF($E$2:$E$2509, E1926)&gt;1), "SKU duplicado", ""), IF(OR(J1926="", J1926=""), "[Aviso] División no capturada ()", IF(ISNA(MATCH(J1926, Criterios!$A$123:$A$126, 0)), "División no válida", "")), IF(OR(K1926="", K1926=""), "[Aviso] Categoría no capturada ()", IF(ISNA(MATCH(K1926, Criterios!$A$81:$A$120, 0)), "Categoría no válida", IF(AND(J1926&lt;&gt;"", J1926&lt;&gt;"", J1926&lt;&gt;VLOOKUP(K1926, Criterios!$A$81:$B$120, 2, FALSE)), "División no coincide con Categoría", ""))), IF(OR(L1926="", L1926=""), "[Aviso] Género no capturado ()", IF(ISNA(MATCH(L1926, Criterios!$B$123:$B$127, 0)), "Género no válido", "")), IF(OR(N1926="", N1926=""), "[Aviso] Temporada no capturada ()", IF(ISNA(MATCH(N1926, Criterios!$C$123:$C$128, 0)), "Temporada no válida", "")), IF(OR(O1926="", O1926=""), "[Aviso] Ciclo de vida no capturado ()", IF(ISNA(MATCH(O1926, Criterios!$D$123:$D$124, 0)), "Ciclo de vida no válido", ""))))</f>
        <v/>
      </c>
      <c r="AC1926" s="56" t="n"/>
      <c r="AD1926" s="51" t="n">
        <v>0</v>
      </c>
      <c r="AE1926" s="156" t="inlineStr">
        <is>
          <t>Sin coincidencia en NetSuite</t>
        </is>
      </c>
      <c r="AF1926" s="51" t="n"/>
      <c r="AG1926" s="156" t="inlineStr">
        <is>
          <t>Catálogo existente</t>
        </is>
      </c>
      <c r="AH1926" s="156" t="inlineStr">
        <is>
          <t>No se encontró en Hoja a Revisar por ID interno ni por código de barras | 30/09/2026: se retiró el código 196070570878 porque pertenece a 11-001-0425-2057 BU-XXL (secuencia UPC 2057 BU: L-830, M-847, S-854, XL-861, XXL-878; la 2058 GY usa 196070570892 en L y 196070570922 en XL según Amazon). UPC real de esta talla pendiente de capturar desde la etiqueta | 30/09/2026: UPC 196070570939 deducido de la secuencia GS1 del estilo 2058 GY (L=196070570892 y XL=196070570922 confirmados en Amazon; orden L-M-S-XL-XXL-XXXL; dígito verificador válido). VALIDAR contra etiqueta física | 01/10/2026: complementado desde Shopify Stetson México (match por SKU): WB Silueta (antes «Manga larga», no válido en Criterios) | 01/10/2026: Shopify Stetson México trae código de barras 196070570878 — se conservó el valor de Productos | 01/10/2026: Shopify Stetson México tiene el código 196070570878 en este artículo, pero en Productos ese código pertenece a otro artículo (fila(s) 2500); corregir el código en Shopify Stetson México | Homologación G1522 06/10/2026: Validador Shopify: ST: precio con IVA no es múltiplo de 50</t>
        </is>
      </c>
      <c r="AI1926" s="156" t="n"/>
      <c r="AJ1926" s="156" t="n"/>
      <c r="AK1926" s="155" t="inlineStr">
        <is>
          <t>Shopify Stetson: producto 14693888655723 / variante 51994117472619</t>
        </is>
      </c>
      <c r="AL1926" s="58" t="n"/>
      <c r="AM1926" s="58" t="n">
        <v>1850</v>
      </c>
      <c r="AN1926" s="155" t="inlineStr">
        <is>
          <t>Shopify Stetson México</t>
        </is>
      </c>
      <c r="AO1926" s="59" t="n">
        <v>0</v>
      </c>
      <c r="AP1926" s="59" t="n"/>
      <c r="AQ1926" s="59" t="n"/>
      <c r="AR1926" s="155" t="n"/>
    </row>
    <row r="1927">
      <c r="A1927" s="50" t="inlineStr">
        <is>
          <t>196070571318</t>
        </is>
      </c>
      <c r="B1927" s="51" t="inlineStr">
        <is>
          <t>109609</t>
        </is>
      </c>
      <c r="C1927" s="156" t="inlineStr">
        <is>
          <t>Multimarca</t>
        </is>
      </c>
      <c r="D1927" s="156" t="inlineStr">
        <is>
          <t>11-001-0526-2050</t>
        </is>
      </c>
      <c r="E1927" s="156" t="inlineStr">
        <is>
          <t>11-001-0526-2050-L</t>
        </is>
      </c>
      <c r="F1927" s="156" t="inlineStr">
        <is>
          <t>L</t>
        </is>
      </c>
      <c r="G1927" s="156" t="inlineStr">
        <is>
          <t>L</t>
        </is>
      </c>
      <c r="H1927" s="156" t="inlineStr">
        <is>
          <t>Stetson</t>
        </is>
      </c>
      <c r="I1927" s="156" t="inlineStr">
        <is>
          <t>Camisa Stetson Ornamental</t>
        </is>
      </c>
      <c r="J1927" s="156" t="inlineStr">
        <is>
          <t>Ropa</t>
        </is>
      </c>
      <c r="K1927" s="156" t="inlineStr">
        <is>
          <t>Camisas</t>
        </is>
      </c>
      <c r="L1927" s="156" t="inlineStr">
        <is>
          <t>Hombre</t>
        </is>
      </c>
      <c r="M1927" s="156" t="inlineStr">
        <is>
          <t>Stetson</t>
        </is>
      </c>
      <c r="N1927" s="156" t="inlineStr">
        <is>
          <t>SS26</t>
        </is>
      </c>
      <c r="O1927" s="156" t="inlineStr">
        <is>
          <t>Seasonal</t>
        </is>
      </c>
      <c r="P1927" s="156" t="inlineStr">
        <is>
          <t>Negro</t>
        </is>
      </c>
      <c r="Q1927" s="156" t="inlineStr">
        <is>
          <t>Clásico</t>
        </is>
      </c>
      <c r="R1927" s="156" t="n"/>
      <c r="S1927" s="156" t="inlineStr">
        <is>
          <t>100% Algodón</t>
        </is>
      </c>
      <c r="T1927"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7" s="156" t="n"/>
      <c r="V1927" s="156" t="inlineStr">
        <is>
          <t>PZS</t>
        </is>
      </c>
      <c r="W1927" s="51" t="inlineStr">
        <is>
          <t>53101600</t>
        </is>
      </c>
      <c r="X1927" s="156" t="inlineStr">
        <is>
          <t>https://cdn.shopify.com/s/files/1/0888/3250/8267/files/1100105262050b.jpg?v=1744653253</t>
        </is>
      </c>
      <c r="Y1927" s="54" t="n">
        <v>717.6724138</v>
      </c>
      <c r="Z1927" s="54" t="n">
        <v>1594.827586</v>
      </c>
      <c r="AA1927" s="55">
        <f>IF(AND(A1927="", B1927="", E1927=""), "", IF(AB1927="", "Válido", IF((LEN(AB1927)-LEN(SUBSTITUTE(AB1927,"; ","")))/2+1&gt;(LEN(AB1927)-LEN(SUBSTITUTE(AB1927,"[Aviso]","")))/7, "Con Incidencias", "Válido")))</f>
        <v/>
      </c>
      <c r="AB1927" s="56">
        <f>IF(AND(A1927="", B1927="", E1927=""), "", TEXTJOIN("; ", TRUE, IF(OR(TRIM(A1927&amp;"")="", ISNUMBER(SEARCH("FALTA", A1927))), "UPC faltante/inválido", ""), IF(AND(A1927&lt;&gt;"", IFERROR(_xlfn.XMATCH(A1927,$A$2:$A$2509,0,1)&lt;&gt;_xlfn.XMATCH(A1927,$A$2:$A$2509,0,-1),FALSE)), "Código de barras duplicado", ""), IF(AND(E1927&lt;&gt;"", COUNTIF($E$2:$E$2509, E1927)&gt;1), "SKU duplicado", ""), IF(OR(J1927="", J1927=""), "[Aviso] División no capturada ()", IF(ISNA(MATCH(J1927, Criterios!$A$123:$A$126, 0)), "División no válida", "")), IF(OR(K1927="", K1927=""), "[Aviso] Categoría no capturada ()", IF(ISNA(MATCH(K1927, Criterios!$A$81:$A$120, 0)), "Categoría no válida", IF(AND(J1927&lt;&gt;"", J1927&lt;&gt;"", J1927&lt;&gt;VLOOKUP(K1927, Criterios!$A$81:$B$120, 2, FALSE)), "División no coincide con Categoría", ""))), IF(OR(L1927="", L1927=""), "[Aviso] Género no capturado ()", IF(ISNA(MATCH(L1927, Criterios!$B$123:$B$127, 0)), "Género no válido", "")), IF(OR(N1927="", N1927=""), "[Aviso] Temporada no capturada ()", IF(ISNA(MATCH(N1927, Criterios!$C$123:$C$128, 0)), "Temporada no válida", "")), IF(OR(O1927="", O1927=""), "[Aviso] Ciclo de vida no capturado ()", IF(ISNA(MATCH(O1927, Criterios!$D$123:$D$124, 0)), "Ciclo de vida no válido", ""))))</f>
        <v/>
      </c>
      <c r="AC1927" s="56" t="n"/>
      <c r="AD1927" s="51" t="n">
        <v>0</v>
      </c>
      <c r="AE1927" s="156" t="n"/>
      <c r="AF1927" s="51" t="n">
        <v>0</v>
      </c>
      <c r="AG1927" s="156" t="inlineStr">
        <is>
          <t>Catálogo existente</t>
        </is>
      </c>
      <c r="AH192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7" s="156" t="inlineStr">
        <is>
          <t>No</t>
        </is>
      </c>
      <c r="AJ1927" s="156" t="n"/>
      <c r="AK1927" s="155" t="inlineStr">
        <is>
          <t>Descripción y Criterios: G/H [P] | Criterios: J [R]; G1522_Extraccion_Articulos_NetSuite_2026-09-30.xlsx: fila 57424 [S] | Shopify Stetson: producto 14695114539371 / variante 52002173518187</t>
        </is>
      </c>
      <c r="AL1927" s="58" t="n">
        <v>717.6724138</v>
      </c>
      <c r="AM1927" s="58" t="n">
        <v>1594.827586</v>
      </c>
      <c r="AN1927" s="155" t="inlineStr">
        <is>
          <t>Shopify Stetson México</t>
        </is>
      </c>
      <c r="AO1927" s="59" t="n">
        <v>0</v>
      </c>
      <c r="AP1927" s="59" t="n"/>
      <c r="AQ1927" s="59" t="n"/>
      <c r="AR1927" s="155" t="n"/>
    </row>
    <row r="1928">
      <c r="A1928" s="50" t="inlineStr">
        <is>
          <t>196070571325</t>
        </is>
      </c>
      <c r="B1928" s="51" t="inlineStr">
        <is>
          <t>109610</t>
        </is>
      </c>
      <c r="C1928" s="156" t="inlineStr">
        <is>
          <t>Multimarca</t>
        </is>
      </c>
      <c r="D1928" s="156" t="inlineStr">
        <is>
          <t>11-001-0526-2050</t>
        </is>
      </c>
      <c r="E1928" s="156" t="inlineStr">
        <is>
          <t>11-001-0526-2050-M</t>
        </is>
      </c>
      <c r="F1928" s="156" t="inlineStr">
        <is>
          <t>M</t>
        </is>
      </c>
      <c r="G1928" s="156" t="inlineStr">
        <is>
          <t>M</t>
        </is>
      </c>
      <c r="H1928" s="156" t="inlineStr">
        <is>
          <t>Stetson</t>
        </is>
      </c>
      <c r="I1928" s="156" t="inlineStr">
        <is>
          <t>Camisa Stetson Ornamental</t>
        </is>
      </c>
      <c r="J1928" s="156" t="inlineStr">
        <is>
          <t>Ropa</t>
        </is>
      </c>
      <c r="K1928" s="156" t="inlineStr">
        <is>
          <t>Camisas</t>
        </is>
      </c>
      <c r="L1928" s="156" t="inlineStr">
        <is>
          <t>Hombre</t>
        </is>
      </c>
      <c r="M1928" s="156" t="inlineStr">
        <is>
          <t>Stetson</t>
        </is>
      </c>
      <c r="N1928" s="156" t="inlineStr">
        <is>
          <t>SS26</t>
        </is>
      </c>
      <c r="O1928" s="156" t="inlineStr">
        <is>
          <t>Seasonal</t>
        </is>
      </c>
      <c r="P1928" s="156" t="inlineStr">
        <is>
          <t>Negro</t>
        </is>
      </c>
      <c r="Q1928" s="156" t="inlineStr">
        <is>
          <t>Clásico</t>
        </is>
      </c>
      <c r="R1928" s="156" t="n"/>
      <c r="S1928" s="156" t="inlineStr">
        <is>
          <t>100% Algodón</t>
        </is>
      </c>
      <c r="T1928"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8" s="156" t="n"/>
      <c r="V1928" s="156" t="inlineStr">
        <is>
          <t>PZS</t>
        </is>
      </c>
      <c r="W1928" s="51" t="inlineStr">
        <is>
          <t>53101600</t>
        </is>
      </c>
      <c r="X1928" s="156" t="inlineStr">
        <is>
          <t>https://cdn.shopify.com/s/files/1/0888/3250/8267/files/1100105262050a.jpg?v=1744653248</t>
        </is>
      </c>
      <c r="Y1928" s="54" t="n">
        <v>717.6724138</v>
      </c>
      <c r="Z1928" s="54" t="n">
        <v>1594.827586</v>
      </c>
      <c r="AA1928" s="55">
        <f>IF(AND(A1928="", B1928="", E1928=""), "", IF(AB1928="", "Válido", IF((LEN(AB1928)-LEN(SUBSTITUTE(AB1928,"; ","")))/2+1&gt;(LEN(AB1928)-LEN(SUBSTITUTE(AB1928,"[Aviso]","")))/7, "Con Incidencias", "Válido")))</f>
        <v/>
      </c>
      <c r="AB1928" s="56">
        <f>IF(AND(A1928="", B1928="", E1928=""), "", TEXTJOIN("; ", TRUE, IF(OR(TRIM(A1928&amp;"")="", ISNUMBER(SEARCH("FALTA", A1928))), "UPC faltante/inválido", ""), IF(AND(A1928&lt;&gt;"", IFERROR(_xlfn.XMATCH(A1928,$A$2:$A$2509,0,1)&lt;&gt;_xlfn.XMATCH(A1928,$A$2:$A$2509,0,-1),FALSE)), "Código de barras duplicado", ""), IF(AND(E1928&lt;&gt;"", COUNTIF($E$2:$E$2509, E1928)&gt;1), "SKU duplicado", ""), IF(OR(J1928="", J1928=""), "[Aviso] División no capturada ()", IF(ISNA(MATCH(J1928, Criterios!$A$123:$A$126, 0)), "División no válida", "")), IF(OR(K1928="", K1928=""), "[Aviso] Categoría no capturada ()", IF(ISNA(MATCH(K1928, Criterios!$A$81:$A$120, 0)), "Categoría no válida", IF(AND(J1928&lt;&gt;"", J1928&lt;&gt;"", J1928&lt;&gt;VLOOKUP(K1928, Criterios!$A$81:$B$120, 2, FALSE)), "División no coincide con Categoría", ""))), IF(OR(L1928="", L1928=""), "[Aviso] Género no capturado ()", IF(ISNA(MATCH(L1928, Criterios!$B$123:$B$127, 0)), "Género no válido", "")), IF(OR(N1928="", N1928=""), "[Aviso] Temporada no capturada ()", IF(ISNA(MATCH(N1928, Criterios!$C$123:$C$128, 0)), "Temporada no válida", "")), IF(OR(O1928="", O1928=""), "[Aviso] Ciclo de vida no capturado ()", IF(ISNA(MATCH(O1928, Criterios!$D$123:$D$124, 0)), "Ciclo de vida no válido", ""))))</f>
        <v/>
      </c>
      <c r="AC1928" s="56" t="n"/>
      <c r="AD1928" s="51" t="n">
        <v>-1</v>
      </c>
      <c r="AE1928" s="156" t="n"/>
      <c r="AF1928" s="51" t="n">
        <v>0</v>
      </c>
      <c r="AG1928" s="156" t="inlineStr">
        <is>
          <t>Catálogo existente</t>
        </is>
      </c>
      <c r="AH1928"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8" s="156" t="inlineStr">
        <is>
          <t>Sí</t>
        </is>
      </c>
      <c r="AJ1928" s="156" t="inlineStr">
        <is>
          <t>STETSON AMERICAS (-1)</t>
        </is>
      </c>
      <c r="AK1928" s="155" t="inlineStr">
        <is>
          <t>Descripción y Criterios: G/H [P] | Criterios: J [R]; G1522_Extraccion_Articulos_NetSuite_2026-09-30.xlsx: fila 57425 [S] | Shopify Stetson: producto 14695114539371 / variante 52002173485419</t>
        </is>
      </c>
      <c r="AL1928" s="58" t="n">
        <v>717.6724138</v>
      </c>
      <c r="AM1928" s="58" t="n">
        <v>1594.827586</v>
      </c>
      <c r="AN1928" s="155" t="inlineStr">
        <is>
          <t>Shopify Stetson México</t>
        </is>
      </c>
      <c r="AO1928" s="59" t="n">
        <v>0</v>
      </c>
      <c r="AP1928" s="59" t="n"/>
      <c r="AQ1928" s="59" t="n"/>
      <c r="AR1928" s="155" t="n"/>
    </row>
    <row r="1929">
      <c r="A1929" s="50" t="inlineStr">
        <is>
          <t>196070571349</t>
        </is>
      </c>
      <c r="B1929" s="51" t="inlineStr">
        <is>
          <t>109611</t>
        </is>
      </c>
      <c r="C1929" s="156" t="inlineStr">
        <is>
          <t>Multimarca</t>
        </is>
      </c>
      <c r="D1929" s="156" t="inlineStr">
        <is>
          <t>11-001-0526-2050</t>
        </is>
      </c>
      <c r="E1929" s="156" t="inlineStr">
        <is>
          <t>11-001-0526-2050-XL</t>
        </is>
      </c>
      <c r="F1929" s="156" t="inlineStr">
        <is>
          <t>XL</t>
        </is>
      </c>
      <c r="G1929" s="156" t="inlineStr">
        <is>
          <t>XL</t>
        </is>
      </c>
      <c r="H1929" s="156" t="inlineStr">
        <is>
          <t>Stetson</t>
        </is>
      </c>
      <c r="I1929" s="156" t="inlineStr">
        <is>
          <t>Camisa Stetson Ornamental</t>
        </is>
      </c>
      <c r="J1929" s="156" t="inlineStr">
        <is>
          <t>Ropa</t>
        </is>
      </c>
      <c r="K1929" s="156" t="inlineStr">
        <is>
          <t>Camisas</t>
        </is>
      </c>
      <c r="L1929" s="156" t="inlineStr">
        <is>
          <t>Hombre</t>
        </is>
      </c>
      <c r="M1929" s="156" t="inlineStr">
        <is>
          <t>Stetson</t>
        </is>
      </c>
      <c r="N1929" s="156" t="inlineStr">
        <is>
          <t>SS26</t>
        </is>
      </c>
      <c r="O1929" s="156" t="inlineStr">
        <is>
          <t>Seasonal</t>
        </is>
      </c>
      <c r="P1929" s="156" t="inlineStr">
        <is>
          <t>Negro</t>
        </is>
      </c>
      <c r="Q1929" s="156" t="inlineStr">
        <is>
          <t>Clásico</t>
        </is>
      </c>
      <c r="R1929" s="156" t="n"/>
      <c r="S1929" s="156" t="inlineStr">
        <is>
          <t>100% Algodón</t>
        </is>
      </c>
      <c r="T1929"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9" s="156" t="n"/>
      <c r="V1929" s="156" t="inlineStr">
        <is>
          <t>PZS</t>
        </is>
      </c>
      <c r="W1929" s="51" t="inlineStr">
        <is>
          <t>53101600</t>
        </is>
      </c>
      <c r="X1929" s="156" t="inlineStr">
        <is>
          <t>https://cdn.shopify.com/s/files/1/0888/3250/8267/files/1100105262050c.jpg?v=1744653259</t>
        </is>
      </c>
      <c r="Y1929" s="54" t="n">
        <v>717.6724138</v>
      </c>
      <c r="Z1929" s="54" t="n">
        <v>1594.827586</v>
      </c>
      <c r="AA1929" s="55">
        <f>IF(AND(A1929="", B1929="", E1929=""), "", IF(AB1929="", "Válido", IF((LEN(AB1929)-LEN(SUBSTITUTE(AB1929,"; ","")))/2+1&gt;(LEN(AB1929)-LEN(SUBSTITUTE(AB1929,"[Aviso]","")))/7, "Con Incidencias", "Válido")))</f>
        <v/>
      </c>
      <c r="AB1929" s="56">
        <f>IF(AND(A1929="", B1929="", E1929=""), "", TEXTJOIN("; ", TRUE, IF(OR(TRIM(A1929&amp;"")="", ISNUMBER(SEARCH("FALTA", A1929))), "UPC faltante/inválido", ""), IF(AND(A1929&lt;&gt;"", IFERROR(_xlfn.XMATCH(A1929,$A$2:$A$2509,0,1)&lt;&gt;_xlfn.XMATCH(A1929,$A$2:$A$2509,0,-1),FALSE)), "Código de barras duplicado", ""), IF(AND(E1929&lt;&gt;"", COUNTIF($E$2:$E$2509, E1929)&gt;1), "SKU duplicado", ""), IF(OR(J1929="", J1929=""), "[Aviso] División no capturada ()", IF(ISNA(MATCH(J1929, Criterios!$A$123:$A$126, 0)), "División no válida", "")), IF(OR(K1929="", K1929=""), "[Aviso] Categoría no capturada ()", IF(ISNA(MATCH(K1929, Criterios!$A$81:$A$120, 0)), "Categoría no válida", IF(AND(J1929&lt;&gt;"", J1929&lt;&gt;"", J1929&lt;&gt;VLOOKUP(K1929, Criterios!$A$81:$B$120, 2, FALSE)), "División no coincide con Categoría", ""))), IF(OR(L1929="", L1929=""), "[Aviso] Género no capturado ()", IF(ISNA(MATCH(L1929, Criterios!$B$123:$B$127, 0)), "Género no válido", "")), IF(OR(N1929="", N1929=""), "[Aviso] Temporada no capturada ()", IF(ISNA(MATCH(N1929, Criterios!$C$123:$C$128, 0)), "Temporada no válida", "")), IF(OR(O1929="", O1929=""), "[Aviso] Ciclo de vida no capturado ()", IF(ISNA(MATCH(O1929, Criterios!$D$123:$D$124, 0)), "Ciclo de vida no válido", ""))))</f>
        <v/>
      </c>
      <c r="AC1929" s="56" t="n"/>
      <c r="AD1929" s="51" t="n">
        <v>0</v>
      </c>
      <c r="AE1929" s="156" t="n"/>
      <c r="AF1929" s="51" t="n">
        <v>0</v>
      </c>
      <c r="AG1929" s="156" t="inlineStr">
        <is>
          <t>Catálogo existente</t>
        </is>
      </c>
      <c r="AH192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9" s="156" t="inlineStr">
        <is>
          <t>No</t>
        </is>
      </c>
      <c r="AJ1929" s="156" t="n"/>
      <c r="AK1929" s="155" t="inlineStr">
        <is>
          <t>Descripción y Criterios: G/H [P] | Criterios: J [R]; G1522_Extraccion_Articulos_NetSuite_2026-09-30.xlsx: fila 57426 [S] | Shopify Stetson: producto 14695114539371 / variante 52002173550955</t>
        </is>
      </c>
      <c r="AL1929" s="58" t="n">
        <v>717.6724138</v>
      </c>
      <c r="AM1929" s="58" t="n">
        <v>1594.827586</v>
      </c>
      <c r="AN1929" s="155" t="inlineStr">
        <is>
          <t>Shopify Stetson México</t>
        </is>
      </c>
      <c r="AO1929" s="59" t="n">
        <v>0</v>
      </c>
      <c r="AP1929" s="59" t="n"/>
      <c r="AQ1929" s="59" t="n"/>
      <c r="AR1929" s="155" t="n"/>
    </row>
    <row r="1930">
      <c r="A1930" s="50" t="inlineStr">
        <is>
          <t>196070571356</t>
        </is>
      </c>
      <c r="B1930" s="51" t="inlineStr">
        <is>
          <t>109612</t>
        </is>
      </c>
      <c r="C1930" s="156" t="inlineStr">
        <is>
          <t>Multimarca</t>
        </is>
      </c>
      <c r="D1930" s="156" t="inlineStr">
        <is>
          <t>11-001-0526-2050</t>
        </is>
      </c>
      <c r="E1930" s="156" t="inlineStr">
        <is>
          <t>11-001-0526-2050-XXL</t>
        </is>
      </c>
      <c r="F1930" s="156" t="inlineStr">
        <is>
          <t>XXL</t>
        </is>
      </c>
      <c r="G1930" s="156" t="inlineStr">
        <is>
          <t>XXL</t>
        </is>
      </c>
      <c r="H1930" s="156" t="inlineStr">
        <is>
          <t>Stetson</t>
        </is>
      </c>
      <c r="I1930" s="156" t="inlineStr">
        <is>
          <t>Camisa Stetson Ornamental</t>
        </is>
      </c>
      <c r="J1930" s="156" t="inlineStr">
        <is>
          <t>Ropa</t>
        </is>
      </c>
      <c r="K1930" s="156" t="inlineStr">
        <is>
          <t>Camisas</t>
        </is>
      </c>
      <c r="L1930" s="156" t="inlineStr">
        <is>
          <t>Hombre</t>
        </is>
      </c>
      <c r="M1930" s="156" t="inlineStr">
        <is>
          <t>Stetson</t>
        </is>
      </c>
      <c r="N1930" s="156" t="inlineStr">
        <is>
          <t>SS26</t>
        </is>
      </c>
      <c r="O1930" s="156" t="inlineStr">
        <is>
          <t>Seasonal</t>
        </is>
      </c>
      <c r="P1930" s="156" t="inlineStr">
        <is>
          <t>Negro</t>
        </is>
      </c>
      <c r="Q1930" s="156" t="inlineStr">
        <is>
          <t>Clásico</t>
        </is>
      </c>
      <c r="R1930" s="156" t="n"/>
      <c r="S1930" s="156" t="inlineStr">
        <is>
          <t>100% Algodón</t>
        </is>
      </c>
      <c r="T1930"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0" s="156" t="n"/>
      <c r="V1930" s="156" t="inlineStr">
        <is>
          <t>PZS</t>
        </is>
      </c>
      <c r="W1930" s="51" t="inlineStr">
        <is>
          <t>53101600</t>
        </is>
      </c>
      <c r="X1930" s="156" t="inlineStr">
        <is>
          <t>https://cdn.shopify.com/s/files/1/0888/3250/8267/files/1100105262050a.jpg?v=1744653248</t>
        </is>
      </c>
      <c r="Y1930" s="54" t="n">
        <v>717.6724138</v>
      </c>
      <c r="Z1930" s="54" t="n">
        <v>1594.827586</v>
      </c>
      <c r="AA1930" s="55">
        <f>IF(AND(A1930="", B1930="", E1930=""), "", IF(AB1930="", "Válido", IF((LEN(AB1930)-LEN(SUBSTITUTE(AB1930,"; ","")))/2+1&gt;(LEN(AB1930)-LEN(SUBSTITUTE(AB1930,"[Aviso]","")))/7, "Con Incidencias", "Válido")))</f>
        <v/>
      </c>
      <c r="AB1930" s="56">
        <f>IF(AND(A1930="", B1930="", E1930=""), "", TEXTJOIN("; ", TRUE, IF(OR(TRIM(A1930&amp;"")="", ISNUMBER(SEARCH("FALTA", A1930))), "UPC faltante/inválido", ""), IF(AND(A1930&lt;&gt;"", IFERROR(_xlfn.XMATCH(A1930,$A$2:$A$2509,0,1)&lt;&gt;_xlfn.XMATCH(A1930,$A$2:$A$2509,0,-1),FALSE)), "Código de barras duplicado", ""), IF(AND(E1930&lt;&gt;"", COUNTIF($E$2:$E$2509, E1930)&gt;1), "SKU duplicado", ""), IF(OR(J1930="", J1930=""), "[Aviso] División no capturada ()", IF(ISNA(MATCH(J1930, Criterios!$A$123:$A$126, 0)), "División no válida", "")), IF(OR(K1930="", K1930=""), "[Aviso] Categoría no capturada ()", IF(ISNA(MATCH(K1930, Criterios!$A$81:$A$120, 0)), "Categoría no válida", IF(AND(J1930&lt;&gt;"", J1930&lt;&gt;"", J1930&lt;&gt;VLOOKUP(K1930, Criterios!$A$81:$B$120, 2, FALSE)), "División no coincide con Categoría", ""))), IF(OR(L1930="", L1930=""), "[Aviso] Género no capturado ()", IF(ISNA(MATCH(L1930, Criterios!$B$123:$B$127, 0)), "Género no válido", "")), IF(OR(N1930="", N1930=""), "[Aviso] Temporada no capturada ()", IF(ISNA(MATCH(N1930, Criterios!$C$123:$C$128, 0)), "Temporada no válida", "")), IF(OR(O1930="", O1930=""), "[Aviso] Ciclo de vida no capturado ()", IF(ISNA(MATCH(O1930, Criterios!$D$123:$D$124, 0)), "Ciclo de vida no válido", ""))))</f>
        <v/>
      </c>
      <c r="AC1930" s="56" t="n"/>
      <c r="AD1930" s="51" t="n">
        <v>0</v>
      </c>
      <c r="AE1930" s="156" t="n"/>
      <c r="AF1930" s="51" t="n">
        <v>0</v>
      </c>
      <c r="AG1930" s="156" t="inlineStr">
        <is>
          <t>Catálogo existente</t>
        </is>
      </c>
      <c r="AH193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30" s="156" t="inlineStr">
        <is>
          <t>No</t>
        </is>
      </c>
      <c r="AJ1930" s="156" t="n"/>
      <c r="AK1930" s="155" t="inlineStr">
        <is>
          <t>Descripción y Criterios: G/H [P] | Criterios: J [R]; G1522_Extraccion_Articulos_NetSuite_2026-09-30.xlsx: fila 57427 [S] | Shopify Stetson: producto 14695114539371 / variante 52002173583723</t>
        </is>
      </c>
      <c r="AL1930" s="58" t="n">
        <v>717.6724138</v>
      </c>
      <c r="AM1930" s="58" t="n">
        <v>1594.827586</v>
      </c>
      <c r="AN1930" s="155" t="inlineStr">
        <is>
          <t>Shopify Stetson México</t>
        </is>
      </c>
      <c r="AO1930" s="59" t="n">
        <v>0</v>
      </c>
      <c r="AP1930" s="59" t="n"/>
      <c r="AQ1930" s="59" t="n"/>
      <c r="AR1930" s="155" t="n"/>
    </row>
    <row r="1931">
      <c r="A1931" s="50" t="inlineStr">
        <is>
          <t>196070571370</t>
        </is>
      </c>
      <c r="B1931" s="51" t="inlineStr">
        <is>
          <t>109613</t>
        </is>
      </c>
      <c r="C1931" s="156" t="inlineStr">
        <is>
          <t>Multimarca</t>
        </is>
      </c>
      <c r="D1931" s="156" t="inlineStr">
        <is>
          <t>11-001-0526-2051</t>
        </is>
      </c>
      <c r="E1931" s="156" t="inlineStr">
        <is>
          <t>11-001-0526-2051-L</t>
        </is>
      </c>
      <c r="F1931" s="156" t="inlineStr">
        <is>
          <t>L</t>
        </is>
      </c>
      <c r="G1931" s="156" t="inlineStr">
        <is>
          <t>L</t>
        </is>
      </c>
      <c r="H1931" s="156" t="inlineStr">
        <is>
          <t>Stetson</t>
        </is>
      </c>
      <c r="I1931" s="156" t="inlineStr">
        <is>
          <t>Camisa Stetson Greenspring Paisley</t>
        </is>
      </c>
      <c r="J1931" s="156" t="inlineStr">
        <is>
          <t>Ropa</t>
        </is>
      </c>
      <c r="K1931" s="156" t="inlineStr">
        <is>
          <t>Camisas</t>
        </is>
      </c>
      <c r="L1931" s="156" t="inlineStr">
        <is>
          <t>Hombre</t>
        </is>
      </c>
      <c r="M1931" s="156" t="inlineStr">
        <is>
          <t>Stetson</t>
        </is>
      </c>
      <c r="N1931" s="156" t="inlineStr">
        <is>
          <t>SS26</t>
        </is>
      </c>
      <c r="O1931" s="156" t="inlineStr">
        <is>
          <t>Seasonal</t>
        </is>
      </c>
      <c r="P1931" s="156" t="n"/>
      <c r="Q1931" s="156" t="inlineStr">
        <is>
          <t>Clásico</t>
        </is>
      </c>
      <c r="R1931" s="156" t="n"/>
      <c r="S1931" s="156" t="inlineStr">
        <is>
          <t>100% Algodón</t>
        </is>
      </c>
      <c r="T1931"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1" s="156" t="n"/>
      <c r="V1931" s="156" t="inlineStr">
        <is>
          <t>PZS</t>
        </is>
      </c>
      <c r="W1931" s="51" t="inlineStr">
        <is>
          <t>53101600</t>
        </is>
      </c>
      <c r="X1931" s="156" t="inlineStr">
        <is>
          <t>https://cdn.shopify.com/s/files/1/0888/3250/8267/files/1100105262051c.jpg?v=1744656653</t>
        </is>
      </c>
      <c r="Y1931" s="54" t="n">
        <v>698.2758621</v>
      </c>
      <c r="Z1931" s="54" t="n">
        <v>1551.724138</v>
      </c>
      <c r="AA1931" s="55">
        <f>IF(AND(A1931="", B1931="", E1931=""), "", IF(AB1931="", "Válido", IF((LEN(AB1931)-LEN(SUBSTITUTE(AB1931,"; ","")))/2+1&gt;(LEN(AB1931)-LEN(SUBSTITUTE(AB1931,"[Aviso]","")))/7, "Con Incidencias", "Válido")))</f>
        <v/>
      </c>
      <c r="AB1931" s="56">
        <f>IF(AND(A1931="", B1931="", E1931=""), "", TEXTJOIN("; ", TRUE, IF(OR(TRIM(A1931&amp;"")="", ISNUMBER(SEARCH("FALTA", A1931))), "UPC faltante/inválido", ""), IF(AND(A1931&lt;&gt;"", IFERROR(_xlfn.XMATCH(A1931,$A$2:$A$2509,0,1)&lt;&gt;_xlfn.XMATCH(A1931,$A$2:$A$2509,0,-1),FALSE)), "Código de barras duplicado", ""), IF(AND(E1931&lt;&gt;"", COUNTIF($E$2:$E$2509, E1931)&gt;1), "SKU duplicado", ""), IF(OR(J1931="", J1931=""), "[Aviso] División no capturada ()", IF(ISNA(MATCH(J1931, Criterios!$A$123:$A$126, 0)), "División no válida", "")), IF(OR(K1931="", K1931=""), "[Aviso] Categoría no capturada ()", IF(ISNA(MATCH(K1931, Criterios!$A$81:$A$120, 0)), "Categoría no válida", IF(AND(J1931&lt;&gt;"", J1931&lt;&gt;"", J1931&lt;&gt;VLOOKUP(K1931, Criterios!$A$81:$B$120, 2, FALSE)), "División no coincide con Categoría", ""))), IF(OR(L1931="", L1931=""), "[Aviso] Género no capturado ()", IF(ISNA(MATCH(L1931, Criterios!$B$123:$B$127, 0)), "Género no válido", "")), IF(OR(N1931="", N1931=""), "[Aviso] Temporada no capturada ()", IF(ISNA(MATCH(N1931, Criterios!$C$123:$C$128, 0)), "Temporada no válida", "")), IF(OR(O1931="", O1931=""), "[Aviso] Ciclo de vida no capturado ()", IF(ISNA(MATCH(O1931, Criterios!$D$123:$D$124, 0)), "Ciclo de vida no válido", ""))))</f>
        <v/>
      </c>
      <c r="AC1931" s="56" t="n"/>
      <c r="AD1931" s="51" t="n">
        <v>1</v>
      </c>
      <c r="AE1931" s="156" t="inlineStr">
        <is>
          <t>B25 STETSON.MX (1)</t>
        </is>
      </c>
      <c r="AF1931" s="51" t="n">
        <v>1</v>
      </c>
      <c r="AG1931" s="156" t="inlineStr">
        <is>
          <t>Catálogo existente</t>
        </is>
      </c>
      <c r="AH19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1" s="156" t="inlineStr">
        <is>
          <t>No</t>
        </is>
      </c>
      <c r="AJ1931" s="156" t="n"/>
      <c r="AK1931" s="155" t="inlineStr">
        <is>
          <t>Criterios: J [R]; G1522_Extraccion_Articulos_NetSuite_2026-09-30.xlsx: fila 57428 [S] | Shopify Stetson: producto 14695121944939 / variante 52002262942059</t>
        </is>
      </c>
      <c r="AL1931" s="58" t="n">
        <v>698.2758621</v>
      </c>
      <c r="AM1931" s="58" t="n">
        <v>1551.724138</v>
      </c>
      <c r="AN1931" s="155" t="inlineStr">
        <is>
          <t>Shopify Stetson México</t>
        </is>
      </c>
      <c r="AO1931" s="59" t="n">
        <v>1</v>
      </c>
      <c r="AP1931" s="59" t="n"/>
      <c r="AQ1931" s="59" t="n"/>
      <c r="AR1931" s="155" t="inlineStr">
        <is>
          <t>Shopify Stetson México › Stetson México: 1</t>
        </is>
      </c>
    </row>
    <row r="1932">
      <c r="A1932" s="50" t="inlineStr">
        <is>
          <t>196070571387</t>
        </is>
      </c>
      <c r="B1932" s="51" t="inlineStr">
        <is>
          <t>109614</t>
        </is>
      </c>
      <c r="C1932" s="156" t="inlineStr">
        <is>
          <t>Multimarca</t>
        </is>
      </c>
      <c r="D1932" s="156" t="inlineStr">
        <is>
          <t>11-001-0526-2051</t>
        </is>
      </c>
      <c r="E1932" s="156" t="inlineStr">
        <is>
          <t>11-001-0526-2051-M</t>
        </is>
      </c>
      <c r="F1932" s="156" t="inlineStr">
        <is>
          <t>M</t>
        </is>
      </c>
      <c r="G1932" s="156" t="inlineStr">
        <is>
          <t>M</t>
        </is>
      </c>
      <c r="H1932" s="156" t="inlineStr">
        <is>
          <t>Stetson</t>
        </is>
      </c>
      <c r="I1932" s="156" t="inlineStr">
        <is>
          <t>Camisa Stetson Greenspring Paisley</t>
        </is>
      </c>
      <c r="J1932" s="156" t="inlineStr">
        <is>
          <t>Ropa</t>
        </is>
      </c>
      <c r="K1932" s="156" t="inlineStr">
        <is>
          <t>Camisas</t>
        </is>
      </c>
      <c r="L1932" s="156" t="inlineStr">
        <is>
          <t>Hombre</t>
        </is>
      </c>
      <c r="M1932" s="156" t="inlineStr">
        <is>
          <t>Stetson</t>
        </is>
      </c>
      <c r="N1932" s="156" t="inlineStr">
        <is>
          <t>SS26</t>
        </is>
      </c>
      <c r="O1932" s="156" t="inlineStr">
        <is>
          <t>Seasonal</t>
        </is>
      </c>
      <c r="P1932" s="156" t="n"/>
      <c r="Q1932" s="156" t="inlineStr">
        <is>
          <t>Clásico</t>
        </is>
      </c>
      <c r="R1932" s="156" t="n"/>
      <c r="S1932" s="156" t="inlineStr">
        <is>
          <t>100% Algodón</t>
        </is>
      </c>
      <c r="T1932"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2" s="156" t="n"/>
      <c r="V1932" s="156" t="inlineStr">
        <is>
          <t>PZS</t>
        </is>
      </c>
      <c r="W1932" s="51" t="inlineStr">
        <is>
          <t>53101600</t>
        </is>
      </c>
      <c r="X1932" s="156" t="inlineStr">
        <is>
          <t>https://cdn.shopify.com/s/files/1/0888/3250/8267/files/1100105262051b.jpg?v=1744656648</t>
        </is>
      </c>
      <c r="Y1932" s="54" t="n">
        <v>698.2758621</v>
      </c>
      <c r="Z1932" s="54" t="n">
        <v>1551.724138</v>
      </c>
      <c r="AA1932" s="55">
        <f>IF(AND(A1932="", B1932="", E1932=""), "", IF(AB1932="", "Válido", IF((LEN(AB1932)-LEN(SUBSTITUTE(AB1932,"; ","")))/2+1&gt;(LEN(AB1932)-LEN(SUBSTITUTE(AB1932,"[Aviso]","")))/7, "Con Incidencias", "Válido")))</f>
        <v/>
      </c>
      <c r="AB1932" s="56">
        <f>IF(AND(A1932="", B1932="", E1932=""), "", TEXTJOIN("; ", TRUE, IF(OR(TRIM(A1932&amp;"")="", ISNUMBER(SEARCH("FALTA", A1932))), "UPC faltante/inválido", ""), IF(AND(A1932&lt;&gt;"", IFERROR(_xlfn.XMATCH(A1932,$A$2:$A$2509,0,1)&lt;&gt;_xlfn.XMATCH(A1932,$A$2:$A$2509,0,-1),FALSE)), "Código de barras duplicado", ""), IF(AND(E1932&lt;&gt;"", COUNTIF($E$2:$E$2509, E1932)&gt;1), "SKU duplicado", ""), IF(OR(J1932="", J1932=""), "[Aviso] División no capturada ()", IF(ISNA(MATCH(J1932, Criterios!$A$123:$A$126, 0)), "División no válida", "")), IF(OR(K1932="", K1932=""), "[Aviso] Categoría no capturada ()", IF(ISNA(MATCH(K1932, Criterios!$A$81:$A$120, 0)), "Categoría no válida", IF(AND(J1932&lt;&gt;"", J1932&lt;&gt;"", J1932&lt;&gt;VLOOKUP(K1932, Criterios!$A$81:$B$120, 2, FALSE)), "División no coincide con Categoría", ""))), IF(OR(L1932="", L1932=""), "[Aviso] Género no capturado ()", IF(ISNA(MATCH(L1932, Criterios!$B$123:$B$127, 0)), "Género no válido", "")), IF(OR(N1932="", N1932=""), "[Aviso] Temporada no capturada ()", IF(ISNA(MATCH(N1932, Criterios!$C$123:$C$128, 0)), "Temporada no válida", "")), IF(OR(O1932="", O1932=""), "[Aviso] Ciclo de vida no capturado ()", IF(ISNA(MATCH(O1932, Criterios!$D$123:$D$124, 0)), "Ciclo de vida no válido", ""))))</f>
        <v/>
      </c>
      <c r="AC1932" s="56" t="n"/>
      <c r="AD1932" s="51" t="n">
        <v>1</v>
      </c>
      <c r="AE1932" s="156" t="inlineStr">
        <is>
          <t>B25 STETSON.MX (1)</t>
        </is>
      </c>
      <c r="AF1932" s="51" t="n">
        <v>1</v>
      </c>
      <c r="AG1932" s="156" t="inlineStr">
        <is>
          <t>Catálogo existente</t>
        </is>
      </c>
      <c r="AH19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2" s="156" t="inlineStr">
        <is>
          <t>No</t>
        </is>
      </c>
      <c r="AJ1932" s="156" t="n"/>
      <c r="AK1932" s="155" t="inlineStr">
        <is>
          <t>Criterios: J [R]; G1522_Extraccion_Articulos_NetSuite_2026-09-30.xlsx: fila 57429 [S] | Shopify Stetson: producto 14695121944939 / variante 52002262909291</t>
        </is>
      </c>
      <c r="AL1932" s="58" t="n">
        <v>698.2758621</v>
      </c>
      <c r="AM1932" s="58" t="n">
        <v>1551.724138</v>
      </c>
      <c r="AN1932" s="155" t="inlineStr">
        <is>
          <t>Shopify Stetson México</t>
        </is>
      </c>
      <c r="AO1932" s="59" t="n">
        <v>1</v>
      </c>
      <c r="AP1932" s="59" t="n"/>
      <c r="AQ1932" s="59" t="n"/>
      <c r="AR1932" s="155" t="inlineStr">
        <is>
          <t>Shopify Stetson México › Stetson México: 1</t>
        </is>
      </c>
    </row>
    <row r="1933">
      <c r="A1933" s="50" t="inlineStr">
        <is>
          <t>196070571394</t>
        </is>
      </c>
      <c r="B1933" s="51" t="inlineStr">
        <is>
          <t>109615</t>
        </is>
      </c>
      <c r="C1933" s="156" t="inlineStr">
        <is>
          <t>Multimarca</t>
        </is>
      </c>
      <c r="D1933" s="156" t="inlineStr">
        <is>
          <t>11-001-0526-2051</t>
        </is>
      </c>
      <c r="E1933" s="156" t="inlineStr">
        <is>
          <t>11-001-0526-2051-S</t>
        </is>
      </c>
      <c r="F1933" s="156" t="inlineStr">
        <is>
          <t>S</t>
        </is>
      </c>
      <c r="G1933" s="156" t="inlineStr">
        <is>
          <t>S</t>
        </is>
      </c>
      <c r="H1933" s="156" t="inlineStr">
        <is>
          <t>Stetson</t>
        </is>
      </c>
      <c r="I1933" s="156" t="inlineStr">
        <is>
          <t>Camisa Stetson Greenspring Paisley</t>
        </is>
      </c>
      <c r="J1933" s="156" t="inlineStr">
        <is>
          <t>Ropa</t>
        </is>
      </c>
      <c r="K1933" s="156" t="inlineStr">
        <is>
          <t>Camisas</t>
        </is>
      </c>
      <c r="L1933" s="156" t="inlineStr">
        <is>
          <t>Hombre</t>
        </is>
      </c>
      <c r="M1933" s="156" t="inlineStr">
        <is>
          <t>Stetson</t>
        </is>
      </c>
      <c r="N1933" s="156" t="inlineStr">
        <is>
          <t>SS26</t>
        </is>
      </c>
      <c r="O1933" s="156" t="inlineStr">
        <is>
          <t>Seasonal</t>
        </is>
      </c>
      <c r="P1933" s="156" t="n"/>
      <c r="Q1933" s="156" t="inlineStr">
        <is>
          <t>Clásico</t>
        </is>
      </c>
      <c r="R1933" s="156" t="n"/>
      <c r="S1933" s="156" t="inlineStr">
        <is>
          <t>100% Algodón</t>
        </is>
      </c>
      <c r="T1933"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3" s="156" t="n"/>
      <c r="V1933" s="156" t="inlineStr">
        <is>
          <t>PZS</t>
        </is>
      </c>
      <c r="W1933" s="51" t="inlineStr">
        <is>
          <t>53101600</t>
        </is>
      </c>
      <c r="X1933" s="156" t="inlineStr">
        <is>
          <t>https://cdn.shopify.com/s/files/1/0888/3250/8267/files/1100105262051a.jpg?v=1744656642</t>
        </is>
      </c>
      <c r="Y1933" s="54" t="n">
        <v>698.2758621</v>
      </c>
      <c r="Z1933" s="54" t="n">
        <v>1551.724138</v>
      </c>
      <c r="AA1933" s="55">
        <f>IF(AND(A1933="", B1933="", E1933=""), "", IF(AB1933="", "Válido", IF((LEN(AB1933)-LEN(SUBSTITUTE(AB1933,"; ","")))/2+1&gt;(LEN(AB1933)-LEN(SUBSTITUTE(AB1933,"[Aviso]","")))/7, "Con Incidencias", "Válido")))</f>
        <v/>
      </c>
      <c r="AB1933" s="56">
        <f>IF(AND(A1933="", B1933="", E1933=""), "", TEXTJOIN("; ", TRUE, IF(OR(TRIM(A1933&amp;"")="", ISNUMBER(SEARCH("FALTA", A1933))), "UPC faltante/inválido", ""), IF(AND(A1933&lt;&gt;"", IFERROR(_xlfn.XMATCH(A1933,$A$2:$A$2509,0,1)&lt;&gt;_xlfn.XMATCH(A1933,$A$2:$A$2509,0,-1),FALSE)), "Código de barras duplicado", ""), IF(AND(E1933&lt;&gt;"", COUNTIF($E$2:$E$2509, E1933)&gt;1), "SKU duplicado", ""), IF(OR(J1933="", J1933=""), "[Aviso] División no capturada ()", IF(ISNA(MATCH(J1933, Criterios!$A$123:$A$126, 0)), "División no válida", "")), IF(OR(K1933="", K1933=""), "[Aviso] Categoría no capturada ()", IF(ISNA(MATCH(K1933, Criterios!$A$81:$A$120, 0)), "Categoría no válida", IF(AND(J1933&lt;&gt;"", J1933&lt;&gt;"", J1933&lt;&gt;VLOOKUP(K1933, Criterios!$A$81:$B$120, 2, FALSE)), "División no coincide con Categoría", ""))), IF(OR(L1933="", L1933=""), "[Aviso] Género no capturado ()", IF(ISNA(MATCH(L1933, Criterios!$B$123:$B$127, 0)), "Género no válido", "")), IF(OR(N1933="", N1933=""), "[Aviso] Temporada no capturada ()", IF(ISNA(MATCH(N1933, Criterios!$C$123:$C$128, 0)), "Temporada no válida", "")), IF(OR(O1933="", O1933=""), "[Aviso] Ciclo de vida no capturado ()", IF(ISNA(MATCH(O1933, Criterios!$D$123:$D$124, 0)), "Ciclo de vida no válido", ""))))</f>
        <v/>
      </c>
      <c r="AC1933" s="56" t="n"/>
      <c r="AD1933" s="51" t="n">
        <v>1</v>
      </c>
      <c r="AE1933" s="156" t="inlineStr">
        <is>
          <t>B25 STETSON.MX (1)</t>
        </is>
      </c>
      <c r="AF1933" s="51" t="n">
        <v>1</v>
      </c>
      <c r="AG1933" s="156" t="inlineStr">
        <is>
          <t>Catálogo existente</t>
        </is>
      </c>
      <c r="AH193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3" s="156" t="inlineStr">
        <is>
          <t>No</t>
        </is>
      </c>
      <c r="AJ1933" s="156" t="n"/>
      <c r="AK1933" s="155" t="inlineStr">
        <is>
          <t>Criterios: J [R]; G1522_Extraccion_Articulos_NetSuite_2026-09-30.xlsx: fila 57430 [S] | Shopify Stetson: producto 14695121944939 / variante 52002245804395</t>
        </is>
      </c>
      <c r="AL1933" s="58" t="n">
        <v>698.2758621</v>
      </c>
      <c r="AM1933" s="58" t="n">
        <v>1551.724138</v>
      </c>
      <c r="AN1933" s="155" t="inlineStr">
        <is>
          <t>Shopify Stetson México</t>
        </is>
      </c>
      <c r="AO1933" s="59" t="n">
        <v>1</v>
      </c>
      <c r="AP1933" s="59" t="n"/>
      <c r="AQ1933" s="59" t="n"/>
      <c r="AR1933" s="155" t="inlineStr">
        <is>
          <t>Shopify Stetson México › Stetson México: 1</t>
        </is>
      </c>
    </row>
    <row r="1934">
      <c r="A1934" s="50" t="inlineStr">
        <is>
          <t>196070571400</t>
        </is>
      </c>
      <c r="B1934" s="51" t="inlineStr">
        <is>
          <t>109616</t>
        </is>
      </c>
      <c r="C1934" s="156" t="inlineStr">
        <is>
          <t>Multimarca</t>
        </is>
      </c>
      <c r="D1934" s="156" t="inlineStr">
        <is>
          <t>11-001-0526-2051</t>
        </is>
      </c>
      <c r="E1934" s="156" t="inlineStr">
        <is>
          <t>11-001-0526-2051-XL</t>
        </is>
      </c>
      <c r="F1934" s="156" t="inlineStr">
        <is>
          <t>XL</t>
        </is>
      </c>
      <c r="G1934" s="156" t="inlineStr">
        <is>
          <t>XL</t>
        </is>
      </c>
      <c r="H1934" s="156" t="inlineStr">
        <is>
          <t>Stetson</t>
        </is>
      </c>
      <c r="I1934" s="156" t="inlineStr">
        <is>
          <t>Camisa Stetson Greenspring Paisley</t>
        </is>
      </c>
      <c r="J1934" s="156" t="inlineStr">
        <is>
          <t>Ropa</t>
        </is>
      </c>
      <c r="K1934" s="156" t="inlineStr">
        <is>
          <t>Camisas</t>
        </is>
      </c>
      <c r="L1934" s="156" t="inlineStr">
        <is>
          <t>Hombre</t>
        </is>
      </c>
      <c r="M1934" s="156" t="inlineStr">
        <is>
          <t>Stetson</t>
        </is>
      </c>
      <c r="N1934" s="156" t="inlineStr">
        <is>
          <t>SS26</t>
        </is>
      </c>
      <c r="O1934" s="156" t="inlineStr">
        <is>
          <t>Seasonal</t>
        </is>
      </c>
      <c r="P1934" s="156" t="inlineStr">
        <is>
          <t>Negro</t>
        </is>
      </c>
      <c r="Q1934" s="156" t="inlineStr">
        <is>
          <t>Clásico</t>
        </is>
      </c>
      <c r="R1934" s="156" t="n"/>
      <c r="S1934" s="156" t="inlineStr">
        <is>
          <t>100% Algodón</t>
        </is>
      </c>
      <c r="T1934" s="156" t="inlineStr">
        <is>
          <t>Camisa Stetson para Caballero – Manga Larga con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Greenspring Paisley 1924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4" s="156" t="n"/>
      <c r="V1934" s="156" t="inlineStr">
        <is>
          <t>PZS</t>
        </is>
      </c>
      <c r="W1934" s="51" t="inlineStr">
        <is>
          <t>53101600</t>
        </is>
      </c>
      <c r="X1934" s="156" t="inlineStr">
        <is>
          <t>https://cdn.shopify.com/s/files/1/0888/3250/8267/files/1100105262051a.jpg?v=1744656642</t>
        </is>
      </c>
      <c r="Y1934" s="54" t="n">
        <v>698.2758621</v>
      </c>
      <c r="Z1934" s="54" t="n">
        <v>1551.724138</v>
      </c>
      <c r="AA1934" s="55">
        <f>IF(AND(A1934="", B1934="", E1934=""), "", IF(AB1934="", "Válido", IF((LEN(AB1934)-LEN(SUBSTITUTE(AB1934,"; ","")))/2+1&gt;(LEN(AB1934)-LEN(SUBSTITUTE(AB1934,"[Aviso]","")))/7, "Con Incidencias", "Válido")))</f>
        <v/>
      </c>
      <c r="AB1934" s="56">
        <f>IF(AND(A1934="", B1934="", E1934=""), "", TEXTJOIN("; ", TRUE, IF(OR(TRIM(A1934&amp;"")="", ISNUMBER(SEARCH("FALTA", A1934))), "UPC faltante/inválido", ""), IF(AND(A1934&lt;&gt;"", IFERROR(_xlfn.XMATCH(A1934,$A$2:$A$2509,0,1)&lt;&gt;_xlfn.XMATCH(A1934,$A$2:$A$2509,0,-1),FALSE)), "Código de barras duplicado", ""), IF(AND(E1934&lt;&gt;"", COUNTIF($E$2:$E$2509, E1934)&gt;1), "SKU duplicado", ""), IF(OR(J1934="", J1934=""), "[Aviso] División no capturada ()", IF(ISNA(MATCH(J1934, Criterios!$A$123:$A$126, 0)), "División no válida", "")), IF(OR(K1934="", K1934=""), "[Aviso] Categoría no capturada ()", IF(ISNA(MATCH(K1934, Criterios!$A$81:$A$120, 0)), "Categoría no válida", IF(AND(J1934&lt;&gt;"", J1934&lt;&gt;"", J1934&lt;&gt;VLOOKUP(K1934, Criterios!$A$81:$B$120, 2, FALSE)), "División no coincide con Categoría", ""))), IF(OR(L1934="", L1934=""), "[Aviso] Género no capturado ()", IF(ISNA(MATCH(L1934, Criterios!$B$123:$B$127, 0)), "Género no válido", "")), IF(OR(N1934="", N1934=""), "[Aviso] Temporada no capturada ()", IF(ISNA(MATCH(N1934, Criterios!$C$123:$C$128, 0)), "Temporada no válida", "")), IF(OR(O1934="", O1934=""), "[Aviso] Ciclo de vida no capturado ()", IF(ISNA(MATCH(O1934, Criterios!$D$123:$D$124, 0)), "Ciclo de vida no válido", ""))))</f>
        <v/>
      </c>
      <c r="AC1934" s="56" t="n"/>
      <c r="AD1934" s="51" t="n">
        <v>0</v>
      </c>
      <c r="AE1934" s="156" t="n"/>
      <c r="AF1934" s="51" t="n">
        <v>0</v>
      </c>
      <c r="AG1934" s="156" t="inlineStr">
        <is>
          <t>Catálogo existente</t>
        </is>
      </c>
      <c r="AH193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34" s="156" t="inlineStr">
        <is>
          <t>No</t>
        </is>
      </c>
      <c r="AJ1934" s="156" t="n"/>
      <c r="AK1934" s="155" t="inlineStr">
        <is>
          <t>Descripción y Criterios: G/H [P] | Criterios: J [R]; G1522_Extraccion_Articulos_NetSuite_2026-09-30.xlsx: fila 57431 [S] | Shopify Stetson: producto 14695121944939 / variante 52002262974827</t>
        </is>
      </c>
      <c r="AL1934" s="58" t="n">
        <v>698.2758621</v>
      </c>
      <c r="AM1934" s="58" t="n">
        <v>1551.724138</v>
      </c>
      <c r="AN1934" s="155" t="inlineStr">
        <is>
          <t>Shopify Stetson México</t>
        </is>
      </c>
      <c r="AO1934" s="59" t="n">
        <v>0</v>
      </c>
      <c r="AP1934" s="59" t="n"/>
      <c r="AQ1934" s="59" t="n"/>
      <c r="AR1934" s="155" t="n"/>
    </row>
    <row r="1935">
      <c r="A1935" s="50" t="inlineStr">
        <is>
          <t>196070571417</t>
        </is>
      </c>
      <c r="B1935" s="51" t="inlineStr">
        <is>
          <t>109617</t>
        </is>
      </c>
      <c r="C1935" s="156" t="inlineStr">
        <is>
          <t>Multimarca</t>
        </is>
      </c>
      <c r="D1935" s="156" t="inlineStr">
        <is>
          <t>11-001-0526-2051</t>
        </is>
      </c>
      <c r="E1935" s="156" t="inlineStr">
        <is>
          <t>11-001-0526-2051-XXL</t>
        </is>
      </c>
      <c r="F1935" s="156" t="inlineStr">
        <is>
          <t>XXL</t>
        </is>
      </c>
      <c r="G1935" s="156" t="inlineStr">
        <is>
          <t>XXL</t>
        </is>
      </c>
      <c r="H1935" s="156" t="inlineStr">
        <is>
          <t>Stetson</t>
        </is>
      </c>
      <c r="I1935" s="156" t="inlineStr">
        <is>
          <t>Camisa Stetson Greenspring Paisley</t>
        </is>
      </c>
      <c r="J1935" s="156" t="inlineStr">
        <is>
          <t>Ropa</t>
        </is>
      </c>
      <c r="K1935" s="156" t="inlineStr">
        <is>
          <t>Camisas</t>
        </is>
      </c>
      <c r="L1935" s="156" t="inlineStr">
        <is>
          <t>Hombre</t>
        </is>
      </c>
      <c r="M1935" s="156" t="inlineStr">
        <is>
          <t>Stetson</t>
        </is>
      </c>
      <c r="N1935" s="156" t="inlineStr">
        <is>
          <t>SS26</t>
        </is>
      </c>
      <c r="O1935" s="156" t="inlineStr">
        <is>
          <t>Seasonal</t>
        </is>
      </c>
      <c r="P1935" s="156" t="n"/>
      <c r="Q1935" s="156" t="inlineStr">
        <is>
          <t>Clásico</t>
        </is>
      </c>
      <c r="R1935" s="156" t="n"/>
      <c r="S1935" s="156" t="inlineStr">
        <is>
          <t>100% Algodón</t>
        </is>
      </c>
      <c r="T1935"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5" s="156" t="n"/>
      <c r="V1935" s="156" t="inlineStr">
        <is>
          <t>PZS</t>
        </is>
      </c>
      <c r="W1935" s="51" t="inlineStr">
        <is>
          <t>53101600</t>
        </is>
      </c>
      <c r="X1935" s="156" t="inlineStr">
        <is>
          <t>https://cdn.shopify.com/s/files/1/0888/3250/8267/files/1100105262051a.jpg?v=1744656642</t>
        </is>
      </c>
      <c r="Y1935" s="54" t="n">
        <v>698.2758621</v>
      </c>
      <c r="Z1935" s="54" t="n">
        <v>1551.724138</v>
      </c>
      <c r="AA1935" s="55">
        <f>IF(AND(A1935="", B1935="", E1935=""), "", IF(AB1935="", "Válido", IF((LEN(AB1935)-LEN(SUBSTITUTE(AB1935,"; ","")))/2+1&gt;(LEN(AB1935)-LEN(SUBSTITUTE(AB1935,"[Aviso]","")))/7, "Con Incidencias", "Válido")))</f>
        <v/>
      </c>
      <c r="AB1935" s="56">
        <f>IF(AND(A1935="", B1935="", E1935=""), "", TEXTJOIN("; ", TRUE, IF(OR(TRIM(A1935&amp;"")="", ISNUMBER(SEARCH("FALTA", A1935))), "UPC faltante/inválido", ""), IF(AND(A1935&lt;&gt;"", IFERROR(_xlfn.XMATCH(A1935,$A$2:$A$2509,0,1)&lt;&gt;_xlfn.XMATCH(A1935,$A$2:$A$2509,0,-1),FALSE)), "Código de barras duplicado", ""), IF(AND(E1935&lt;&gt;"", COUNTIF($E$2:$E$2509, E1935)&gt;1), "SKU duplicado", ""), IF(OR(J1935="", J1935=""), "[Aviso] División no capturada ()", IF(ISNA(MATCH(J1935, Criterios!$A$123:$A$126, 0)), "División no válida", "")), IF(OR(K1935="", K1935=""), "[Aviso] Categoría no capturada ()", IF(ISNA(MATCH(K1935, Criterios!$A$81:$A$120, 0)), "Categoría no válida", IF(AND(J1935&lt;&gt;"", J1935&lt;&gt;"", J1935&lt;&gt;VLOOKUP(K1935, Criterios!$A$81:$B$120, 2, FALSE)), "División no coincide con Categoría", ""))), IF(OR(L1935="", L1935=""), "[Aviso] Género no capturado ()", IF(ISNA(MATCH(L1935, Criterios!$B$123:$B$127, 0)), "Género no válido", "")), IF(OR(N1935="", N1935=""), "[Aviso] Temporada no capturada ()", IF(ISNA(MATCH(N1935, Criterios!$C$123:$C$128, 0)), "Temporada no válida", "")), IF(OR(O1935="", O1935=""), "[Aviso] Ciclo de vida no capturado ()", IF(ISNA(MATCH(O1935, Criterios!$D$123:$D$124, 0)), "Ciclo de vida no válido", ""))))</f>
        <v/>
      </c>
      <c r="AC1935" s="56" t="n"/>
      <c r="AD1935" s="51" t="n">
        <v>1</v>
      </c>
      <c r="AE1935" s="156" t="inlineStr">
        <is>
          <t>B25 STETSON.MX (1)</t>
        </is>
      </c>
      <c r="AF1935" s="51" t="n">
        <v>1</v>
      </c>
      <c r="AG1935" s="156" t="inlineStr">
        <is>
          <t>Catálogo existente</t>
        </is>
      </c>
      <c r="AH193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35" s="156" t="inlineStr">
        <is>
          <t>No</t>
        </is>
      </c>
      <c r="AJ1935" s="156" t="n"/>
      <c r="AK1935" s="155" t="inlineStr">
        <is>
          <t>Criterios: J [R]; G1522_Extraccion_Articulos_NetSuite_2026-09-30.xlsx: fila 57432 [S] | Shopify Stetson: producto 14695121944939 / variante 52002263007595</t>
        </is>
      </c>
      <c r="AL1935" s="58" t="n">
        <v>698.2758621</v>
      </c>
      <c r="AM1935" s="58" t="n">
        <v>1551.724138</v>
      </c>
      <c r="AN1935" s="155" t="inlineStr">
        <is>
          <t>Shopify Stetson México</t>
        </is>
      </c>
      <c r="AO1935" s="59" t="n">
        <v>1</v>
      </c>
      <c r="AP1935" s="59" t="n"/>
      <c r="AQ1935" s="59" t="n"/>
      <c r="AR1935" s="155" t="inlineStr">
        <is>
          <t>Shopify Stetson México › Stetson México: 1</t>
        </is>
      </c>
    </row>
    <row r="1936">
      <c r="A1936" s="50" t="inlineStr">
        <is>
          <t>196070571479</t>
        </is>
      </c>
      <c r="B1936" s="51" t="n"/>
      <c r="C1936" s="156" t="inlineStr">
        <is>
          <t>Multimarca</t>
        </is>
      </c>
      <c r="D1936" s="156" t="inlineStr">
        <is>
          <t>11-001-0526-2052</t>
        </is>
      </c>
      <c r="E1936" s="156" t="inlineStr">
        <is>
          <t>11-001-0526-2052_XXL</t>
        </is>
      </c>
      <c r="F1936" s="156" t="inlineStr">
        <is>
          <t>XXL</t>
        </is>
      </c>
      <c r="G1936" s="156" t="inlineStr">
        <is>
          <t>XXL</t>
        </is>
      </c>
      <c r="H1936" s="156" t="inlineStr">
        <is>
          <t>Stetson</t>
        </is>
      </c>
      <c r="I1936" s="156" t="inlineStr">
        <is>
          <t>Camisa Stetson Diamante Azul</t>
        </is>
      </c>
      <c r="J1936" s="156" t="inlineStr">
        <is>
          <t>Ropa</t>
        </is>
      </c>
      <c r="K1936" s="156" t="inlineStr">
        <is>
          <t>Camisas</t>
        </is>
      </c>
      <c r="L1936" s="156" t="inlineStr">
        <is>
          <t>Hombre</t>
        </is>
      </c>
      <c r="M1936" s="156" t="inlineStr">
        <is>
          <t>Stetson</t>
        </is>
      </c>
      <c r="N1936" s="156" t="n"/>
      <c r="O1936" s="156" t="n"/>
      <c r="P1936" s="156" t="inlineStr">
        <is>
          <t>Azul</t>
        </is>
      </c>
      <c r="Q1936" s="156" t="inlineStr">
        <is>
          <t>Clásico</t>
        </is>
      </c>
      <c r="R1936" s="156" t="n"/>
      <c r="S1936" s="156" t="inlineStr">
        <is>
          <t>100% Algodón</t>
        </is>
      </c>
      <c r="T1936" s="156" t="inlineStr">
        <is>
          <t>Camisa Stetson para Caballero – Manga Larga con diseño diamante azul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Broken Diamond 1925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6" s="156" t="n"/>
      <c r="V1936" s="156" t="inlineStr">
        <is>
          <t>PZS</t>
        </is>
      </c>
      <c r="W1936" s="51" t="inlineStr">
        <is>
          <t>53101600</t>
        </is>
      </c>
      <c r="X1936" s="156" t="inlineStr">
        <is>
          <t>https://cdn.shopify.com/s/files/1/0888/3250/8267/files/1100105262052a.jpg?v=1744658737</t>
        </is>
      </c>
      <c r="Y1936" s="54" t="n"/>
      <c r="Z1936" s="54" t="n">
        <v>1850</v>
      </c>
      <c r="AA1936" s="55">
        <f>IF(AND(A1936="", B1936="", E1936=""), "", IF(AB1936="", "Válido", IF((LEN(AB1936)-LEN(SUBSTITUTE(AB1936,"; ","")))/2+1&gt;(LEN(AB1936)-LEN(SUBSTITUTE(AB1936,"[Aviso]","")))/7, "Con Incidencias", "Válido")))</f>
        <v/>
      </c>
      <c r="AB1936" s="56">
        <f>IF(AND(A1936="", B1936="", E1936=""), "", TEXTJOIN("; ", TRUE, IF(OR(TRIM(A1936&amp;"")="", ISNUMBER(SEARCH("FALTA", A1936))), "UPC faltante/inválido", ""), IF(AND(A1936&lt;&gt;"", IFERROR(_xlfn.XMATCH(A1936,$A$2:$A$2509,0,1)&lt;&gt;_xlfn.XMATCH(A1936,$A$2:$A$2509,0,-1),FALSE)), "Código de barras duplicado", ""), IF(AND(E1936&lt;&gt;"", COUNTIF($E$2:$E$2509, E1936)&gt;1), "SKU duplicado", ""), IF(OR(J1936="", J1936=""), "[Aviso] División no capturada ()", IF(ISNA(MATCH(J1936, Criterios!$A$123:$A$126, 0)), "División no válida", "")), IF(OR(K1936="", K1936=""), "[Aviso] Categoría no capturada ()", IF(ISNA(MATCH(K1936, Criterios!$A$81:$A$120, 0)), "Categoría no válida", IF(AND(J1936&lt;&gt;"", J1936&lt;&gt;"", J1936&lt;&gt;VLOOKUP(K1936, Criterios!$A$81:$B$120, 2, FALSE)), "División no coincide con Categoría", ""))), IF(OR(L1936="", L1936=""), "[Aviso] Género no capturado ()", IF(ISNA(MATCH(L1936, Criterios!$B$123:$B$127, 0)), "Género no válido", "")), IF(OR(N1936="", N1936=""), "[Aviso] Temporada no capturada ()", IF(ISNA(MATCH(N1936, Criterios!$C$123:$C$128, 0)), "Temporada no válida", "")), IF(OR(O1936="", O1936=""), "[Aviso] Ciclo de vida no capturado ()", IF(ISNA(MATCH(O1936, Criterios!$D$123:$D$124, 0)), "Ciclo de vida no válido", ""))))</f>
        <v/>
      </c>
      <c r="AC1936" s="56" t="n"/>
      <c r="AD1936" s="51" t="n">
        <v>0</v>
      </c>
      <c r="AE1936" s="156" t="inlineStr">
        <is>
          <t>Sin coincidencia en NetSuite</t>
        </is>
      </c>
      <c r="AF1936" s="51" t="n"/>
      <c r="AG1936" s="156" t="inlineStr">
        <is>
          <t>Catálogo existente</t>
        </is>
      </c>
      <c r="AH1936"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36" s="156" t="n"/>
      <c r="AJ1936" s="156" t="n"/>
      <c r="AK1936" s="155" t="inlineStr">
        <is>
          <t>Shopify Stetson: producto 14695130136939 / variante 52002553758059</t>
        </is>
      </c>
      <c r="AL1936" s="58" t="n"/>
      <c r="AM1936" s="58" t="n">
        <v>1850</v>
      </c>
      <c r="AN1936" s="155" t="inlineStr">
        <is>
          <t>Shopify Stetson México</t>
        </is>
      </c>
      <c r="AO1936" s="59" t="n">
        <v>0</v>
      </c>
      <c r="AP1936" s="59" t="n"/>
      <c r="AQ1936" s="59" t="n"/>
      <c r="AR1936" s="155" t="n"/>
    </row>
    <row r="1937">
      <c r="A1937" s="50" t="inlineStr">
        <is>
          <t>196070571486</t>
        </is>
      </c>
      <c r="B1937" s="51" t="n"/>
      <c r="C1937" s="156" t="inlineStr">
        <is>
          <t>Multimarca</t>
        </is>
      </c>
      <c r="D1937" s="156" t="inlineStr">
        <is>
          <t>11-001-0526-2052</t>
        </is>
      </c>
      <c r="E1937" s="156" t="inlineStr">
        <is>
          <t>11-001-0526-2052_3XL</t>
        </is>
      </c>
      <c r="F1937" s="156" t="inlineStr">
        <is>
          <t>XXXL</t>
        </is>
      </c>
      <c r="G1937" s="156" t="inlineStr">
        <is>
          <t>XXXL</t>
        </is>
      </c>
      <c r="H1937" s="156" t="inlineStr">
        <is>
          <t>Stetson</t>
        </is>
      </c>
      <c r="I1937" s="156" t="inlineStr">
        <is>
          <t>Camisa Stetson Diamante Azul</t>
        </is>
      </c>
      <c r="J1937" s="156" t="inlineStr">
        <is>
          <t>Ropa</t>
        </is>
      </c>
      <c r="K1937" s="156" t="inlineStr">
        <is>
          <t>Camisas</t>
        </is>
      </c>
      <c r="L1937" s="156" t="inlineStr">
        <is>
          <t>Hombre</t>
        </is>
      </c>
      <c r="M1937" s="156" t="inlineStr">
        <is>
          <t>Stetson</t>
        </is>
      </c>
      <c r="N1937" s="156" t="n"/>
      <c r="O1937" s="156" t="n"/>
      <c r="P1937" s="156" t="inlineStr">
        <is>
          <t>Azul</t>
        </is>
      </c>
      <c r="Q1937" s="156" t="inlineStr">
        <is>
          <t>Clásico</t>
        </is>
      </c>
      <c r="R1937" s="156" t="n"/>
      <c r="S1937" s="156" t="inlineStr">
        <is>
          <t>100% Algodón</t>
        </is>
      </c>
      <c r="T1937" s="156" t="inlineStr">
        <is>
          <t>Camisa Stetson para Caballero – Manga Larga con diseño diamante azul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Broken Diamond 1925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7" s="156" t="n"/>
      <c r="V1937" s="156" t="inlineStr">
        <is>
          <t>PZS</t>
        </is>
      </c>
      <c r="W1937" s="51" t="inlineStr">
        <is>
          <t>53101600</t>
        </is>
      </c>
      <c r="X1937" s="156" t="inlineStr">
        <is>
          <t>https://cdn.shopify.com/s/files/1/0888/3250/8267/files/1100105262052b.jpg?v=1744658741</t>
        </is>
      </c>
      <c r="Y1937" s="54" t="n"/>
      <c r="Z1937" s="54" t="n">
        <v>1850</v>
      </c>
      <c r="AA1937" s="55">
        <f>IF(AND(A1937="", B1937="", E1937=""), "", IF(AB1937="", "Válido", IF((LEN(AB1937)-LEN(SUBSTITUTE(AB1937,"; ","")))/2+1&gt;(LEN(AB1937)-LEN(SUBSTITUTE(AB1937,"[Aviso]","")))/7, "Con Incidencias", "Válido")))</f>
        <v/>
      </c>
      <c r="AB1937" s="56">
        <f>IF(AND(A1937="", B1937="", E1937=""), "", TEXTJOIN("; ", TRUE, IF(OR(TRIM(A1937&amp;"")="", ISNUMBER(SEARCH("FALTA", A1937))), "UPC faltante/inválido", ""), IF(AND(A1937&lt;&gt;"", IFERROR(_xlfn.XMATCH(A1937,$A$2:$A$2509,0,1)&lt;&gt;_xlfn.XMATCH(A1937,$A$2:$A$2509,0,-1),FALSE)), "Código de barras duplicado", ""), IF(AND(E1937&lt;&gt;"", COUNTIF($E$2:$E$2509, E1937)&gt;1), "SKU duplicado", ""), IF(OR(J1937="", J1937=""), "[Aviso] División no capturada ()", IF(ISNA(MATCH(J1937, Criterios!$A$123:$A$126, 0)), "División no válida", "")), IF(OR(K1937="", K1937=""), "[Aviso] Categoría no capturada ()", IF(ISNA(MATCH(K1937, Criterios!$A$81:$A$120, 0)), "Categoría no válida", IF(AND(J1937&lt;&gt;"", J1937&lt;&gt;"", J1937&lt;&gt;VLOOKUP(K1937, Criterios!$A$81:$B$120, 2, FALSE)), "División no coincide con Categoría", ""))), IF(OR(L1937="", L1937=""), "[Aviso] Género no capturado ()", IF(ISNA(MATCH(L1937, Criterios!$B$123:$B$127, 0)), "Género no válido", "")), IF(OR(N1937="", N1937=""), "[Aviso] Temporada no capturada ()", IF(ISNA(MATCH(N1937, Criterios!$C$123:$C$128, 0)), "Temporada no válida", "")), IF(OR(O1937="", O1937=""), "[Aviso] Ciclo de vida no capturado ()", IF(ISNA(MATCH(O1937, Criterios!$D$123:$D$124, 0)), "Ciclo de vida no válido", ""))))</f>
        <v/>
      </c>
      <c r="AC1937" s="56" t="n"/>
      <c r="AD1937" s="51" t="n">
        <v>0</v>
      </c>
      <c r="AE1937" s="156" t="inlineStr">
        <is>
          <t>Sin coincidencia en NetSuite</t>
        </is>
      </c>
      <c r="AF1937" s="51" t="n"/>
      <c r="AG1937" s="156" t="inlineStr">
        <is>
          <t>Catálogo existente</t>
        </is>
      </c>
      <c r="AH193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37" s="156" t="n"/>
      <c r="AJ1937" s="156" t="n"/>
      <c r="AK1937" s="155" t="inlineStr">
        <is>
          <t>Shopify Stetson: producto 14695130136939 / variante 52002553790827</t>
        </is>
      </c>
      <c r="AL1937" s="58" t="n"/>
      <c r="AM1937" s="58" t="n">
        <v>1850</v>
      </c>
      <c r="AN1937" s="155" t="inlineStr">
        <is>
          <t>Shopify Stetson México</t>
        </is>
      </c>
      <c r="AO1937" s="59" t="n">
        <v>0</v>
      </c>
      <c r="AP1937" s="59" t="n"/>
      <c r="AQ1937" s="59" t="n"/>
      <c r="AR1937" s="155" t="n"/>
    </row>
    <row r="1938">
      <c r="A1938" s="50" t="inlineStr">
        <is>
          <t>196070615173</t>
        </is>
      </c>
      <c r="B1938" s="51" t="inlineStr">
        <is>
          <t>109505</t>
        </is>
      </c>
      <c r="C1938" s="156" t="inlineStr">
        <is>
          <t>Multimarca</t>
        </is>
      </c>
      <c r="D1938" s="156" t="inlineStr">
        <is>
          <t>11-001-0425-5019</t>
        </is>
      </c>
      <c r="E1938" s="156" t="inlineStr">
        <is>
          <t>11-001-0425-5019-M</t>
        </is>
      </c>
      <c r="F1938" s="156" t="inlineStr">
        <is>
          <t>M</t>
        </is>
      </c>
      <c r="G1938" s="156" t="inlineStr">
        <is>
          <t>M</t>
        </is>
      </c>
      <c r="H1938" s="156" t="inlineStr">
        <is>
          <t>Stetson</t>
        </is>
      </c>
      <c r="I1938" s="156" t="inlineStr">
        <is>
          <t>Camisa Manga Larga Diamond Neat</t>
        </is>
      </c>
      <c r="J1938" s="156" t="inlineStr">
        <is>
          <t>Ropa</t>
        </is>
      </c>
      <c r="K1938" s="156" t="inlineStr">
        <is>
          <t>Camisas</t>
        </is>
      </c>
      <c r="L1938" s="156" t="inlineStr">
        <is>
          <t>Hombre</t>
        </is>
      </c>
      <c r="M1938" s="156" t="inlineStr">
        <is>
          <t>Stetson</t>
        </is>
      </c>
      <c r="N1938" s="156" t="inlineStr">
        <is>
          <t>SS26</t>
        </is>
      </c>
      <c r="O1938" s="156" t="inlineStr">
        <is>
          <t>Seasonal</t>
        </is>
      </c>
      <c r="P1938" s="156" t="inlineStr">
        <is>
          <t>Negro</t>
        </is>
      </c>
      <c r="Q1938" s="156" t="inlineStr">
        <is>
          <t>Clásico</t>
        </is>
      </c>
      <c r="R1938" s="156" t="n"/>
      <c r="S1938" s="156" t="inlineStr">
        <is>
          <t>100% Algodón</t>
        </is>
      </c>
      <c r="T1938"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8" s="156" t="n"/>
      <c r="V1938" s="156" t="inlineStr">
        <is>
          <t>PZS</t>
        </is>
      </c>
      <c r="W1938" s="51" t="inlineStr">
        <is>
          <t>53101600</t>
        </is>
      </c>
      <c r="X1938" s="156" t="inlineStr">
        <is>
          <t>https://cdn.shopify.com/s/files/1/0888/3250/8267/files/1100104255019b.jpg?v=1744220631</t>
        </is>
      </c>
      <c r="Y1938" s="54" t="n">
        <v>717.6724138</v>
      </c>
      <c r="Z1938" s="54" t="n">
        <v>1594.827586</v>
      </c>
      <c r="AA1938" s="55">
        <f>IF(AND(A1938="", B1938="", E1938=""), "", IF(AB1938="", "Válido", IF((LEN(AB1938)-LEN(SUBSTITUTE(AB1938,"; ","")))/2+1&gt;(LEN(AB1938)-LEN(SUBSTITUTE(AB1938,"[Aviso]","")))/7, "Con Incidencias", "Válido")))</f>
        <v/>
      </c>
      <c r="AB1938" s="56">
        <f>IF(AND(A1938="", B1938="", E1938=""), "", TEXTJOIN("; ", TRUE, IF(OR(TRIM(A1938&amp;"")="", ISNUMBER(SEARCH("FALTA", A1938))), "UPC faltante/inválido", ""), IF(AND(A1938&lt;&gt;"", IFERROR(_xlfn.XMATCH(A1938,$A$2:$A$2509,0,1)&lt;&gt;_xlfn.XMATCH(A1938,$A$2:$A$2509,0,-1),FALSE)), "Código de barras duplicado", ""), IF(AND(E1938&lt;&gt;"", COUNTIF($E$2:$E$2509, E1938)&gt;1), "SKU duplicado", ""), IF(OR(J1938="", J1938=""), "[Aviso] División no capturada ()", IF(ISNA(MATCH(J1938, Criterios!$A$123:$A$126, 0)), "División no válida", "")), IF(OR(K1938="", K1938=""), "[Aviso] Categoría no capturada ()", IF(ISNA(MATCH(K1938, Criterios!$A$81:$A$120, 0)), "Categoría no válida", IF(AND(J1938&lt;&gt;"", J1938&lt;&gt;"", J1938&lt;&gt;VLOOKUP(K1938, Criterios!$A$81:$B$120, 2, FALSE)), "División no coincide con Categoría", ""))), IF(OR(L1938="", L1938=""), "[Aviso] Género no capturado ()", IF(ISNA(MATCH(L1938, Criterios!$B$123:$B$127, 0)), "Género no válido", "")), IF(OR(N1938="", N1938=""), "[Aviso] Temporada no capturada ()", IF(ISNA(MATCH(N1938, Criterios!$C$123:$C$128, 0)), "Temporada no válida", "")), IF(OR(O1938="", O1938=""), "[Aviso] Ciclo de vida no capturado ()", IF(ISNA(MATCH(O1938, Criterios!$D$123:$D$124, 0)), "Ciclo de vida no válido", ""))))</f>
        <v/>
      </c>
      <c r="AC1938" s="56" t="n"/>
      <c r="AD1938" s="51" t="n">
        <v>0</v>
      </c>
      <c r="AE1938" s="156" t="n"/>
      <c r="AF1938" s="51" t="n">
        <v>0</v>
      </c>
      <c r="AG1938" s="156" t="inlineStr">
        <is>
          <t>Catálogo existente</t>
        </is>
      </c>
      <c r="AH193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38" s="156" t="inlineStr">
        <is>
          <t>No</t>
        </is>
      </c>
      <c r="AJ1938" s="156" t="n"/>
      <c r="AK1938" s="155" t="inlineStr">
        <is>
          <t>Descripción y Criterios: G/H [P] | Criterios: J [R]; G1522_Extraccion_Articulos_NetSuite_2026-09-30.xlsx: fila 57320 [S] | Shopify Stetson: producto 14693901828459 / variante 51994194477419</t>
        </is>
      </c>
      <c r="AL1938" s="58" t="n">
        <v>717.6724138</v>
      </c>
      <c r="AM1938" s="58" t="n">
        <v>1594.827586</v>
      </c>
      <c r="AN1938" s="155" t="inlineStr">
        <is>
          <t>Shopify Stetson México</t>
        </is>
      </c>
      <c r="AO1938" s="59" t="n">
        <v>0</v>
      </c>
      <c r="AP1938" s="59" t="n"/>
      <c r="AQ1938" s="59" t="n"/>
      <c r="AR1938" s="155" t="n"/>
    </row>
    <row r="1939">
      <c r="A1939" s="50" t="inlineStr">
        <is>
          <t>196070615180</t>
        </is>
      </c>
      <c r="B1939" s="51" t="inlineStr">
        <is>
          <t>109506</t>
        </is>
      </c>
      <c r="C1939" s="156" t="inlineStr">
        <is>
          <t>Multimarca</t>
        </is>
      </c>
      <c r="D1939" s="156" t="inlineStr">
        <is>
          <t>11-001-0425-5019</t>
        </is>
      </c>
      <c r="E1939" s="156" t="inlineStr">
        <is>
          <t>11-001-0425-5019-S</t>
        </is>
      </c>
      <c r="F1939" s="156" t="inlineStr">
        <is>
          <t>S</t>
        </is>
      </c>
      <c r="G1939" s="156" t="inlineStr">
        <is>
          <t>S</t>
        </is>
      </c>
      <c r="H1939" s="156" t="inlineStr">
        <is>
          <t>Stetson</t>
        </is>
      </c>
      <c r="I1939" s="156" t="inlineStr">
        <is>
          <t>Camisa Manga Larga Diamond Neat</t>
        </is>
      </c>
      <c r="J1939" s="156" t="inlineStr">
        <is>
          <t>Ropa</t>
        </is>
      </c>
      <c r="K1939" s="156" t="inlineStr">
        <is>
          <t>Camisas</t>
        </is>
      </c>
      <c r="L1939" s="156" t="inlineStr">
        <is>
          <t>Hombre</t>
        </is>
      </c>
      <c r="M1939" s="156" t="inlineStr">
        <is>
          <t>Stetson</t>
        </is>
      </c>
      <c r="N1939" s="156" t="inlineStr">
        <is>
          <t>SS26</t>
        </is>
      </c>
      <c r="O1939" s="156" t="inlineStr">
        <is>
          <t>Seasonal</t>
        </is>
      </c>
      <c r="P1939" s="156" t="n"/>
      <c r="Q1939" s="156" t="inlineStr">
        <is>
          <t>Clásico</t>
        </is>
      </c>
      <c r="R1939" s="156" t="n"/>
      <c r="S1939" s="156" t="inlineStr">
        <is>
          <t>100% Algodón</t>
        </is>
      </c>
      <c r="T1939" s="156" t="inlineStr">
        <is>
          <t>Camisa Stetson para Caballero – Manga Larga con Estampado Diamante Con un diseño atemporal que fusiona tradición y carácter, esta camisa de la colección Stetson Men's está confeccionada en suave popelina de algodón con estampado integral estilo diama(más...)</t>
        </is>
      </c>
      <c r="U1939" s="156" t="n"/>
      <c r="V1939" s="156" t="inlineStr">
        <is>
          <t>PZS</t>
        </is>
      </c>
      <c r="W1939" s="51" t="inlineStr">
        <is>
          <t>53101600</t>
        </is>
      </c>
      <c r="X1939" s="156" t="inlineStr">
        <is>
          <t>https://cdn.shopify.com/s/files/1/0888/3250/8267/files/1100104255019a.jpg?v=1744220625</t>
        </is>
      </c>
      <c r="Y1939" s="54" t="n">
        <v>717.6724138</v>
      </c>
      <c r="Z1939" s="54" t="n">
        <v>1594.827586</v>
      </c>
      <c r="AA1939" s="55">
        <f>IF(AND(A1939="", B1939="", E1939=""), "", IF(AB1939="", "Válido", IF((LEN(AB1939)-LEN(SUBSTITUTE(AB1939,"; ","")))/2+1&gt;(LEN(AB1939)-LEN(SUBSTITUTE(AB1939,"[Aviso]","")))/7, "Con Incidencias", "Válido")))</f>
        <v/>
      </c>
      <c r="AB1939" s="56">
        <f>IF(AND(A1939="", B1939="", E1939=""), "", TEXTJOIN("; ", TRUE, IF(OR(TRIM(A1939&amp;"")="", ISNUMBER(SEARCH("FALTA", A1939))), "UPC faltante/inválido", ""), IF(AND(A1939&lt;&gt;"", IFERROR(_xlfn.XMATCH(A1939,$A$2:$A$2509,0,1)&lt;&gt;_xlfn.XMATCH(A1939,$A$2:$A$2509,0,-1),FALSE)), "Código de barras duplicado", ""), IF(AND(E1939&lt;&gt;"", COUNTIF($E$2:$E$2509, E1939)&gt;1), "SKU duplicado", ""), IF(OR(J1939="", J1939=""), "[Aviso] División no capturada ()", IF(ISNA(MATCH(J1939, Criterios!$A$123:$A$126, 0)), "División no válida", "")), IF(OR(K1939="", K1939=""), "[Aviso] Categoría no capturada ()", IF(ISNA(MATCH(K1939, Criterios!$A$81:$A$120, 0)), "Categoría no válida", IF(AND(J1939&lt;&gt;"", J1939&lt;&gt;"", J1939&lt;&gt;VLOOKUP(K1939, Criterios!$A$81:$B$120, 2, FALSE)), "División no coincide con Categoría", ""))), IF(OR(L1939="", L1939=""), "[Aviso] Género no capturado ()", IF(ISNA(MATCH(L1939, Criterios!$B$123:$B$127, 0)), "Género no válido", "")), IF(OR(N1939="", N1939=""), "[Aviso] Temporada no capturada ()", IF(ISNA(MATCH(N1939, Criterios!$C$123:$C$128, 0)), "Temporada no válida", "")), IF(OR(O1939="", O1939=""), "[Aviso] Ciclo de vida no capturado ()", IF(ISNA(MATCH(O1939, Criterios!$D$123:$D$124, 0)), "Ciclo de vida no válido", ""))))</f>
        <v/>
      </c>
      <c r="AC1939" s="56" t="n"/>
      <c r="AD1939" s="51" t="n">
        <v>1</v>
      </c>
      <c r="AE1939" s="156" t="inlineStr">
        <is>
          <t>B25 STETSON.MX (1)</t>
        </is>
      </c>
      <c r="AF1939" s="51" t="n">
        <v>1</v>
      </c>
      <c r="AG1939" s="156" t="inlineStr">
        <is>
          <t>Catálogo existente</t>
        </is>
      </c>
      <c r="AH193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9" s="156" t="inlineStr">
        <is>
          <t>No</t>
        </is>
      </c>
      <c r="AJ1939" s="156" t="n"/>
      <c r="AK1939" s="155" t="inlineStr">
        <is>
          <t>Criterios: J [R]; G1522_Extraccion_Articulos_NetSuite_2026-09-30.xlsx: fila 57321 [S] | Shopify Stetson: producto 14693901828459 / variante 51994194444651</t>
        </is>
      </c>
      <c r="AL1939" s="58" t="n">
        <v>717.6724138</v>
      </c>
      <c r="AM1939" s="58" t="n">
        <v>1594.827586</v>
      </c>
      <c r="AN1939" s="155" t="inlineStr">
        <is>
          <t>Shopify Stetson México</t>
        </is>
      </c>
      <c r="AO1939" s="59" t="n">
        <v>10</v>
      </c>
      <c r="AP1939" s="59" t="n"/>
      <c r="AQ1939" s="59" t="n"/>
      <c r="AR1939" s="155" t="inlineStr">
        <is>
          <t>Shopify Stetson México › Stetson México: 1 | Shopify Stetson México › Stetson Americas: 9</t>
        </is>
      </c>
    </row>
    <row r="1940">
      <c r="A1940" s="50" t="inlineStr">
        <is>
          <t>196070615203</t>
        </is>
      </c>
      <c r="B1940" s="51" t="inlineStr">
        <is>
          <t>109507</t>
        </is>
      </c>
      <c r="C1940" s="156" t="inlineStr">
        <is>
          <t>Multimarca</t>
        </is>
      </c>
      <c r="D1940" s="156" t="inlineStr">
        <is>
          <t>11-001-0425-5019</t>
        </is>
      </c>
      <c r="E1940" s="156" t="inlineStr">
        <is>
          <t>11-001-0425-5019-XXL</t>
        </is>
      </c>
      <c r="F1940" s="156" t="inlineStr">
        <is>
          <t>XXL</t>
        </is>
      </c>
      <c r="G1940" s="156" t="inlineStr">
        <is>
          <t>XXL</t>
        </is>
      </c>
      <c r="H1940" s="156" t="inlineStr">
        <is>
          <t>Stetson</t>
        </is>
      </c>
      <c r="I1940" s="156" t="inlineStr">
        <is>
          <t>Camisa Manga Larga Diamond Neat</t>
        </is>
      </c>
      <c r="J1940" s="156" t="inlineStr">
        <is>
          <t>Ropa</t>
        </is>
      </c>
      <c r="K1940" s="156" t="inlineStr">
        <is>
          <t>Camisas</t>
        </is>
      </c>
      <c r="L1940" s="156" t="inlineStr">
        <is>
          <t>Hombre</t>
        </is>
      </c>
      <c r="M1940" s="156" t="inlineStr">
        <is>
          <t>Stetson</t>
        </is>
      </c>
      <c r="N1940" s="156" t="inlineStr">
        <is>
          <t>SS26</t>
        </is>
      </c>
      <c r="O1940" s="156" t="inlineStr">
        <is>
          <t>Seasonal</t>
        </is>
      </c>
      <c r="P1940" s="156" t="inlineStr">
        <is>
          <t>Negro</t>
        </is>
      </c>
      <c r="Q1940" s="156" t="inlineStr">
        <is>
          <t>Clásico</t>
        </is>
      </c>
      <c r="R1940" s="156" t="n"/>
      <c r="S1940" s="156" t="inlineStr">
        <is>
          <t>100% Algodón</t>
        </is>
      </c>
      <c r="T1940"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0" s="156" t="n"/>
      <c r="V1940" s="156" t="inlineStr">
        <is>
          <t>PZS</t>
        </is>
      </c>
      <c r="W1940" s="51" t="inlineStr">
        <is>
          <t>53101600</t>
        </is>
      </c>
      <c r="X1940" s="156" t="inlineStr">
        <is>
          <t>https://cdn.shopify.com/s/files/1/0888/3250/8267/files/1100104255019c.jpg?v=1744220636</t>
        </is>
      </c>
      <c r="Y1940" s="54" t="n">
        <v>717.6724138</v>
      </c>
      <c r="Z1940" s="54" t="n">
        <v>1594.827586</v>
      </c>
      <c r="AA1940" s="55">
        <f>IF(AND(A1940="", B1940="", E1940=""), "", IF(AB1940="", "Válido", IF((LEN(AB1940)-LEN(SUBSTITUTE(AB1940,"; ","")))/2+1&gt;(LEN(AB1940)-LEN(SUBSTITUTE(AB1940,"[Aviso]","")))/7, "Con Incidencias", "Válido")))</f>
        <v/>
      </c>
      <c r="AB1940" s="56">
        <f>IF(AND(A1940="", B1940="", E1940=""), "", TEXTJOIN("; ", TRUE, IF(OR(TRIM(A1940&amp;"")="", ISNUMBER(SEARCH("FALTA", A1940))), "UPC faltante/inválido", ""), IF(AND(A1940&lt;&gt;"", IFERROR(_xlfn.XMATCH(A1940,$A$2:$A$2509,0,1)&lt;&gt;_xlfn.XMATCH(A1940,$A$2:$A$2509,0,-1),FALSE)), "Código de barras duplicado", ""), IF(AND(E1940&lt;&gt;"", COUNTIF($E$2:$E$2509, E1940)&gt;1), "SKU duplicado", ""), IF(OR(J1940="", J1940=""), "[Aviso] División no capturada ()", IF(ISNA(MATCH(J1940, Criterios!$A$123:$A$126, 0)), "División no válida", "")), IF(OR(K1940="", K1940=""), "[Aviso] Categoría no capturada ()", IF(ISNA(MATCH(K1940, Criterios!$A$81:$A$120, 0)), "Categoría no válida", IF(AND(J1940&lt;&gt;"", J1940&lt;&gt;"", J1940&lt;&gt;VLOOKUP(K1940, Criterios!$A$81:$B$120, 2, FALSE)), "División no coincide con Categoría", ""))), IF(OR(L1940="", L1940=""), "[Aviso] Género no capturado ()", IF(ISNA(MATCH(L1940, Criterios!$B$123:$B$127, 0)), "Género no válido", "")), IF(OR(N1940="", N1940=""), "[Aviso] Temporada no capturada ()", IF(ISNA(MATCH(N1940, Criterios!$C$123:$C$128, 0)), "Temporada no válida", "")), IF(OR(O1940="", O1940=""), "[Aviso] Ciclo de vida no capturado ()", IF(ISNA(MATCH(O1940, Criterios!$D$123:$D$124, 0)), "Ciclo de vida no válido", ""))))</f>
        <v/>
      </c>
      <c r="AC1940" s="56" t="n"/>
      <c r="AD1940" s="51" t="n">
        <v>0</v>
      </c>
      <c r="AE1940" s="156" t="n"/>
      <c r="AF1940" s="51" t="n">
        <v>0</v>
      </c>
      <c r="AG1940" s="156" t="inlineStr">
        <is>
          <t>Catálogo existente</t>
        </is>
      </c>
      <c r="AH194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0" s="156" t="inlineStr">
        <is>
          <t>No</t>
        </is>
      </c>
      <c r="AJ1940" s="156" t="n"/>
      <c r="AK1940" s="155" t="inlineStr">
        <is>
          <t>Descripción y Criterios: G/H [P] | Criterios: J [R]; G1522_Extraccion_Articulos_NetSuite_2026-09-30.xlsx: fila 57322 [S] | Shopify Stetson: producto 14693901828459 / variante 51994194280811</t>
        </is>
      </c>
      <c r="AL1940" s="58" t="n">
        <v>717.6724138</v>
      </c>
      <c r="AM1940" s="58" t="n">
        <v>1594.827586</v>
      </c>
      <c r="AN1940" s="155" t="inlineStr">
        <is>
          <t>Shopify Stetson México</t>
        </is>
      </c>
      <c r="AO1940" s="59" t="n">
        <v>0</v>
      </c>
      <c r="AP1940" s="59" t="n"/>
      <c r="AQ1940" s="59" t="n"/>
      <c r="AR1940" s="155" t="n"/>
    </row>
    <row r="1941">
      <c r="A1941" s="50" t="inlineStr">
        <is>
          <t>196070615210</t>
        </is>
      </c>
      <c r="B1941" s="51" t="inlineStr">
        <is>
          <t>109508</t>
        </is>
      </c>
      <c r="C1941" s="156" t="inlineStr">
        <is>
          <t>Multimarca</t>
        </is>
      </c>
      <c r="D1941" s="156" t="inlineStr">
        <is>
          <t>11-001-0425-5019</t>
        </is>
      </c>
      <c r="E1941" s="156" t="inlineStr">
        <is>
          <t>11-001-0425-5019-3XL</t>
        </is>
      </c>
      <c r="F1941" s="156" t="inlineStr">
        <is>
          <t>XXXL</t>
        </is>
      </c>
      <c r="G1941" s="156" t="inlineStr">
        <is>
          <t>XXXL</t>
        </is>
      </c>
      <c r="H1941" s="156" t="inlineStr">
        <is>
          <t>Stetson</t>
        </is>
      </c>
      <c r="I1941" s="156" t="inlineStr">
        <is>
          <t>Camisa Manga Larga Diamond Neat</t>
        </is>
      </c>
      <c r="J1941" s="156" t="inlineStr">
        <is>
          <t>Ropa</t>
        </is>
      </c>
      <c r="K1941" s="156" t="inlineStr">
        <is>
          <t>Camisas</t>
        </is>
      </c>
      <c r="L1941" s="156" t="inlineStr">
        <is>
          <t>Hombre</t>
        </is>
      </c>
      <c r="M1941" s="156" t="inlineStr">
        <is>
          <t>Stetson</t>
        </is>
      </c>
      <c r="N1941" s="156" t="inlineStr">
        <is>
          <t>SS26</t>
        </is>
      </c>
      <c r="O1941" s="156" t="inlineStr">
        <is>
          <t>Seasonal</t>
        </is>
      </c>
      <c r="P1941" s="156" t="inlineStr">
        <is>
          <t>Negro</t>
        </is>
      </c>
      <c r="Q1941" s="156" t="inlineStr">
        <is>
          <t>Clásico</t>
        </is>
      </c>
      <c r="R1941" s="156" t="n"/>
      <c r="S1941" s="156" t="inlineStr">
        <is>
          <t>100% Algodón</t>
        </is>
      </c>
      <c r="T1941"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1" s="156" t="n"/>
      <c r="V1941" s="156" t="inlineStr">
        <is>
          <t>PZS</t>
        </is>
      </c>
      <c r="W1941" s="51" t="inlineStr">
        <is>
          <t>53101600</t>
        </is>
      </c>
      <c r="X1941" s="156" t="inlineStr">
        <is>
          <t>https://cdn.shopify.com/s/files/1/0888/3250/8267/files/1100104255019a.jpg?v=1744220625</t>
        </is>
      </c>
      <c r="Y1941" s="54" t="n">
        <v>717.6724138</v>
      </c>
      <c r="Z1941" s="54" t="n">
        <v>1594.827586</v>
      </c>
      <c r="AA1941" s="55">
        <f>IF(AND(A1941="", B1941="", E1941=""), "", IF(AB1941="", "Válido", IF((LEN(AB1941)-LEN(SUBSTITUTE(AB1941,"; ","")))/2+1&gt;(LEN(AB1941)-LEN(SUBSTITUTE(AB1941,"[Aviso]","")))/7, "Con Incidencias", "Válido")))</f>
        <v/>
      </c>
      <c r="AB1941" s="56">
        <f>IF(AND(A1941="", B1941="", E1941=""), "", TEXTJOIN("; ", TRUE, IF(OR(TRIM(A1941&amp;"")="", ISNUMBER(SEARCH("FALTA", A1941))), "UPC faltante/inválido", ""), IF(AND(A1941&lt;&gt;"", IFERROR(_xlfn.XMATCH(A1941,$A$2:$A$2509,0,1)&lt;&gt;_xlfn.XMATCH(A1941,$A$2:$A$2509,0,-1),FALSE)), "Código de barras duplicado", ""), IF(AND(E1941&lt;&gt;"", COUNTIF($E$2:$E$2509, E1941)&gt;1), "SKU duplicado", ""), IF(OR(J1941="", J1941=""), "[Aviso] División no capturada ()", IF(ISNA(MATCH(J1941, Criterios!$A$123:$A$126, 0)), "División no válida", "")), IF(OR(K1941="", K1941=""), "[Aviso] Categoría no capturada ()", IF(ISNA(MATCH(K1941, Criterios!$A$81:$A$120, 0)), "Categoría no válida", IF(AND(J1941&lt;&gt;"", J1941&lt;&gt;"", J1941&lt;&gt;VLOOKUP(K1941, Criterios!$A$81:$B$120, 2, FALSE)), "División no coincide con Categoría", ""))), IF(OR(L1941="", L1941=""), "[Aviso] Género no capturado ()", IF(ISNA(MATCH(L1941, Criterios!$B$123:$B$127, 0)), "Género no válido", "")), IF(OR(N1941="", N1941=""), "[Aviso] Temporada no capturada ()", IF(ISNA(MATCH(N1941, Criterios!$C$123:$C$128, 0)), "Temporada no válida", "")), IF(OR(O1941="", O1941=""), "[Aviso] Ciclo de vida no capturado ()", IF(ISNA(MATCH(O1941, Criterios!$D$123:$D$124, 0)), "Ciclo de vida no válido", ""))))</f>
        <v/>
      </c>
      <c r="AC1941" s="56" t="n"/>
      <c r="AD1941" s="51" t="n">
        <v>0</v>
      </c>
      <c r="AE1941" s="156" t="n"/>
      <c r="AF1941" s="51" t="n">
        <v>0</v>
      </c>
      <c r="AG1941" s="156" t="inlineStr">
        <is>
          <t>Catálogo existente</t>
        </is>
      </c>
      <c r="AH194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41" s="156" t="inlineStr">
        <is>
          <t>No</t>
        </is>
      </c>
      <c r="AJ1941" s="156" t="n"/>
      <c r="AK1941" s="155" t="inlineStr">
        <is>
          <t>Descripción y Criterios: G/H [P] | Criterios: J [R]; G1522_Extraccion_Articulos_NetSuite_2026-09-30.xlsx: fila 57323 [S] | Shopify Stetson: producto 14693901828459 / variante 51994194313579</t>
        </is>
      </c>
      <c r="AL1941" s="58" t="n">
        <v>717.6724138</v>
      </c>
      <c r="AM1941" s="58" t="n">
        <v>1594.827586</v>
      </c>
      <c r="AN1941" s="155" t="inlineStr">
        <is>
          <t>Shopify Stetson México</t>
        </is>
      </c>
      <c r="AO1941" s="59" t="n">
        <v>0</v>
      </c>
      <c r="AP1941" s="59" t="n"/>
      <c r="AQ1941" s="59" t="n"/>
      <c r="AR1941" s="155" t="n"/>
    </row>
    <row r="1942">
      <c r="A1942" s="50" t="inlineStr">
        <is>
          <t>196070615227</t>
        </is>
      </c>
      <c r="B1942" s="51" t="n"/>
      <c r="C1942" s="156" t="inlineStr">
        <is>
          <t>Multimarca</t>
        </is>
      </c>
      <c r="D1942" s="156" t="inlineStr">
        <is>
          <t>11-001-0425-5020 BU</t>
        </is>
      </c>
      <c r="E1942" s="156" t="inlineStr">
        <is>
          <t>11-001-0425-5020 BU-L</t>
        </is>
      </c>
      <c r="F1942" s="156" t="inlineStr">
        <is>
          <t>L</t>
        </is>
      </c>
      <c r="G1942" s="156" t="inlineStr">
        <is>
          <t>L</t>
        </is>
      </c>
      <c r="H1942" s="156" t="inlineStr">
        <is>
          <t>Stetson</t>
        </is>
      </c>
      <c r="I1942" s="156" t="inlineStr">
        <is>
          <t>Camisa Ariat Manga Larga Chambray Medallion Paisley</t>
        </is>
      </c>
      <c r="J1942" s="156" t="inlineStr">
        <is>
          <t>Ropa</t>
        </is>
      </c>
      <c r="K1942" s="156" t="inlineStr">
        <is>
          <t>Camisas</t>
        </is>
      </c>
      <c r="L1942" s="156" t="inlineStr">
        <is>
          <t>Hombre</t>
        </is>
      </c>
      <c r="M1942" s="156" t="inlineStr">
        <is>
          <t>Stetson</t>
        </is>
      </c>
      <c r="N1942" s="156" t="inlineStr">
        <is>
          <t>SS26</t>
        </is>
      </c>
      <c r="O1942" s="156" t="inlineStr">
        <is>
          <t>Seasonal</t>
        </is>
      </c>
      <c r="P1942" s="156" t="inlineStr">
        <is>
          <t>Azul</t>
        </is>
      </c>
      <c r="Q1942" s="156" t="inlineStr">
        <is>
          <t>Clásico</t>
        </is>
      </c>
      <c r="R1942" s="156" t="n"/>
      <c r="S1942" s="156" t="inlineStr">
        <is>
          <t>100% Algodón</t>
        </is>
      </c>
      <c r="T1942"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2" s="156" t="n"/>
      <c r="V1942" s="156" t="inlineStr">
        <is>
          <t>PZS</t>
        </is>
      </c>
      <c r="W1942" s="51" t="inlineStr">
        <is>
          <t>53101602</t>
        </is>
      </c>
      <c r="X1942" s="156" t="inlineStr">
        <is>
          <t>https://cdn.shopify.com/s/files/1/0888/3250/8267/files/1100104255020c.jpg?v=1744221089</t>
        </is>
      </c>
      <c r="Y1942" s="54" t="n"/>
      <c r="Z1942" s="54" t="n">
        <v>2000</v>
      </c>
      <c r="AA1942" s="55">
        <f>IF(AND(A1942="", B1942="", E1942=""), "", IF(AB1942="", "Válido", IF((LEN(AB1942)-LEN(SUBSTITUTE(AB1942,"; ","")))/2+1&gt;(LEN(AB1942)-LEN(SUBSTITUTE(AB1942,"[Aviso]","")))/7, "Con Incidencias", "Válido")))</f>
        <v/>
      </c>
      <c r="AB1942" s="56">
        <f>IF(AND(A1942="", B1942="", E1942=""), "", TEXTJOIN("; ", TRUE, IF(OR(TRIM(A1942&amp;"")="", ISNUMBER(SEARCH("FALTA", A1942))), "UPC faltante/inválido", ""), IF(AND(A1942&lt;&gt;"", IFERROR(_xlfn.XMATCH(A1942,$A$2:$A$2509,0,1)&lt;&gt;_xlfn.XMATCH(A1942,$A$2:$A$2509,0,-1),FALSE)), "Código de barras duplicado", ""), IF(AND(E1942&lt;&gt;"", COUNTIF($E$2:$E$2509, E1942)&gt;1), "SKU duplicado", ""), IF(OR(J1942="", J1942=""), "[Aviso] División no capturada ()", IF(ISNA(MATCH(J1942, Criterios!$A$123:$A$126, 0)), "División no válida", "")), IF(OR(K1942="", K1942=""), "[Aviso] Categoría no capturada ()", IF(ISNA(MATCH(K1942, Criterios!$A$81:$A$120, 0)), "Categoría no válida", IF(AND(J1942&lt;&gt;"", J1942&lt;&gt;"", J1942&lt;&gt;VLOOKUP(K1942, Criterios!$A$81:$B$120, 2, FALSE)), "División no coincide con Categoría", ""))), IF(OR(L1942="", L1942=""), "[Aviso] Género no capturado ()", IF(ISNA(MATCH(L1942, Criterios!$B$123:$B$127, 0)), "Género no válido", "")), IF(OR(N1942="", N1942=""), "[Aviso] Temporada no capturada ()", IF(ISNA(MATCH(N1942, Criterios!$C$123:$C$128, 0)), "Temporada no válida", "")), IF(OR(O1942="", O1942=""), "[Aviso] Ciclo de vida no capturado ()", IF(ISNA(MATCH(O1942, Criterios!$D$123:$D$124, 0)), "Ciclo de vida no válido", ""))))</f>
        <v/>
      </c>
      <c r="AC1942" s="56" t="n"/>
      <c r="AD1942" s="51" t="n">
        <v>0</v>
      </c>
      <c r="AE1942" s="156" t="inlineStr">
        <is>
          <t>Sin coincidencia en NetSuite</t>
        </is>
      </c>
      <c r="AF1942" s="51" t="n"/>
      <c r="AG1942" s="156" t="inlineStr">
        <is>
          <t>Catálogo existente</t>
        </is>
      </c>
      <c r="AH1942" s="156" t="inlineStr">
        <is>
          <t>No se encontró en Hoja a Revisar por ID interno ni por código de barras | 01/10/2026: complementado desde Shopify Stetson México (match por código de barras): WB Silueta | 01/10/2026: Shopify Stetson México trae SKU 11-001-0425-5020 BU_GDE — se conservó el valor de Productos | Homologación G1522 06/10/2026: WB Licencia: «STETSON» → «Stetson» (Corrección aplicada) · Validador Shopify: ST: precio con IVA no es múltiplo de 50</t>
        </is>
      </c>
      <c r="AI1942" s="156" t="n"/>
      <c r="AJ1942" s="156" t="n"/>
      <c r="AK1942" s="155" t="inlineStr">
        <is>
          <t>Shopify Stetson: producto 14693903139179 / variante 51994209714539</t>
        </is>
      </c>
      <c r="AL1942" s="58" t="n"/>
      <c r="AM1942" s="58" t="n">
        <v>2000</v>
      </c>
      <c r="AN1942" s="155" t="inlineStr">
        <is>
          <t>Shopify Stetson México</t>
        </is>
      </c>
      <c r="AO1942" s="59" t="n">
        <v>0</v>
      </c>
      <c r="AP1942" s="59" t="n"/>
      <c r="AQ1942" s="59" t="n"/>
      <c r="AR1942" s="155" t="n"/>
    </row>
    <row r="1943">
      <c r="A1943" s="50" t="inlineStr">
        <is>
          <t>196070615234</t>
        </is>
      </c>
      <c r="B1943" s="51" t="n"/>
      <c r="C1943" s="156" t="inlineStr">
        <is>
          <t>Multimarca</t>
        </is>
      </c>
      <c r="D1943" s="156" t="inlineStr">
        <is>
          <t>11-001-0425-5020 BU</t>
        </is>
      </c>
      <c r="E1943" s="156" t="inlineStr">
        <is>
          <t>11-001-0425-5020 BU_MED</t>
        </is>
      </c>
      <c r="F1943" s="156" t="inlineStr">
        <is>
          <t>M</t>
        </is>
      </c>
      <c r="G1943" s="156" t="inlineStr">
        <is>
          <t>M</t>
        </is>
      </c>
      <c r="H1943" s="156" t="inlineStr">
        <is>
          <t>Stetson</t>
        </is>
      </c>
      <c r="I1943" s="156" t="inlineStr">
        <is>
          <t>Camisa Ariat Manga Larga Chambray Medallion Paisley</t>
        </is>
      </c>
      <c r="J1943" s="156" t="inlineStr">
        <is>
          <t>Ropa</t>
        </is>
      </c>
      <c r="K1943" s="156" t="inlineStr">
        <is>
          <t>Camisas</t>
        </is>
      </c>
      <c r="L1943" s="156" t="inlineStr">
        <is>
          <t>Hombre</t>
        </is>
      </c>
      <c r="M1943" s="156" t="inlineStr">
        <is>
          <t>Stetson</t>
        </is>
      </c>
      <c r="N1943" s="156" t="inlineStr">
        <is>
          <t>SS26</t>
        </is>
      </c>
      <c r="O1943" s="156" t="inlineStr">
        <is>
          <t>Seasonal</t>
        </is>
      </c>
      <c r="P1943" s="156" t="inlineStr">
        <is>
          <t>Azul</t>
        </is>
      </c>
      <c r="Q1943" s="156" t="inlineStr">
        <is>
          <t>Clásico</t>
        </is>
      </c>
      <c r="R1943" s="156" t="n"/>
      <c r="S1943" s="156" t="inlineStr">
        <is>
          <t>100% Algodón</t>
        </is>
      </c>
      <c r="T1943"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3" s="156" t="n"/>
      <c r="V1943" s="156" t="inlineStr">
        <is>
          <t>PZS</t>
        </is>
      </c>
      <c r="W1943" s="51" t="inlineStr">
        <is>
          <t>53101602</t>
        </is>
      </c>
      <c r="X1943" s="156" t="inlineStr">
        <is>
          <t>https://cdn.shopify.com/s/files/1/0888/3250/8267/files/1100104255020b.jpg?v=1744221083</t>
        </is>
      </c>
      <c r="Y1943" s="54" t="n"/>
      <c r="Z1943" s="54" t="n">
        <v>2000</v>
      </c>
      <c r="AA1943" s="55">
        <f>IF(AND(A1943="", B1943="", E1943=""), "", IF(AB1943="", "Válido", IF((LEN(AB1943)-LEN(SUBSTITUTE(AB1943,"; ","")))/2+1&gt;(LEN(AB1943)-LEN(SUBSTITUTE(AB1943,"[Aviso]","")))/7, "Con Incidencias", "Válido")))</f>
        <v/>
      </c>
      <c r="AB1943" s="56">
        <f>IF(AND(A1943="", B1943="", E1943=""), "", TEXTJOIN("; ", TRUE, IF(OR(TRIM(A1943&amp;"")="", ISNUMBER(SEARCH("FALTA", A1943))), "UPC faltante/inválido", ""), IF(AND(A1943&lt;&gt;"", IFERROR(_xlfn.XMATCH(A1943,$A$2:$A$2509,0,1)&lt;&gt;_xlfn.XMATCH(A1943,$A$2:$A$2509,0,-1),FALSE)), "Código de barras duplicado", ""), IF(AND(E1943&lt;&gt;"", COUNTIF($E$2:$E$2509, E1943)&gt;1), "SKU duplicado", ""), IF(OR(J1943="", J1943=""), "[Aviso] División no capturada ()", IF(ISNA(MATCH(J1943, Criterios!$A$123:$A$126, 0)), "División no válida", "")), IF(OR(K1943="", K1943=""), "[Aviso] Categoría no capturada ()", IF(ISNA(MATCH(K1943, Criterios!$A$81:$A$120, 0)), "Categoría no válida", IF(AND(J1943&lt;&gt;"", J1943&lt;&gt;"", J1943&lt;&gt;VLOOKUP(K1943, Criterios!$A$81:$B$120, 2, FALSE)), "División no coincide con Categoría", ""))), IF(OR(L1943="", L1943=""), "[Aviso] Género no capturado ()", IF(ISNA(MATCH(L1943, Criterios!$B$123:$B$127, 0)), "Género no válido", "")), IF(OR(N1943="", N1943=""), "[Aviso] Temporada no capturada ()", IF(ISNA(MATCH(N1943, Criterios!$C$123:$C$128, 0)), "Temporada no válida", "")), IF(OR(O1943="", O1943=""), "[Aviso] Ciclo de vida no capturado ()", IF(ISNA(MATCH(O1943, Criterios!$D$123:$D$124, 0)), "Ciclo de vida no válido", ""))))</f>
        <v/>
      </c>
      <c r="AC1943" s="56" t="n"/>
      <c r="AD1943" s="51" t="n">
        <v>0</v>
      </c>
      <c r="AE1943" s="156" t="inlineStr">
        <is>
          <t>Sin coincidencia en NetSuite</t>
        </is>
      </c>
      <c r="AF1943" s="51" t="n"/>
      <c r="AG1943" s="156" t="inlineStr">
        <is>
          <t>Catálogo existente</t>
        </is>
      </c>
      <c r="AH1943" s="156" t="inlineStr">
        <is>
          <t>No se encontró en Hoja a Revisar por ID interno ni por código de barras | Consolidado 30/09/2026 con 1 registro(s) duplicado(s) (ver hoja «Consolidación Duplicados»). Completado desde duplicado: WB Licencia, WB Temporada, WB Ciclo de vida, WB Silueta. Valores alternos del duplicado (dos): Marca principal: Stetson | WB N.º de estilo: 11-001-0425-5020 | WB SKU: 11-001-0425-5020 BU-M | WB Descripcion: Camisa Stetson Chambray Medallion Paisley | WB Descripción larga: Camisa Stetson Chambray Medallion Paisley; manga larga; frente con bro | Enlace de imagen: https://cdn.shopify.com/s/files/1/0644/4715/2361/files/CAMISA-STETSON- | 01/10/2026: complementado desde Shopify Stetson México (match por código de barras): WB Silueta (antes «Manga larga; frente con broches», no válido en Criterios) | Homologación G1522 06/10/2026: Validador Shopify: ST: precio con IVA no es múltiplo de 50</t>
        </is>
      </c>
      <c r="AI1943" s="156" t="n"/>
      <c r="AJ1943" s="156" t="n"/>
      <c r="AK1943" s="155" t="inlineStr">
        <is>
          <t>Shopify Stetson: producto 14693903139179 / variante 51994205651307</t>
        </is>
      </c>
      <c r="AL1943" s="58" t="n"/>
      <c r="AM1943" s="58" t="n">
        <v>2000</v>
      </c>
      <c r="AN1943" s="155" t="inlineStr">
        <is>
          <t>Shopify Stetson México</t>
        </is>
      </c>
      <c r="AO1943" s="59" t="n">
        <v>0</v>
      </c>
      <c r="AP1943" s="59" t="n"/>
      <c r="AQ1943" s="59" t="n"/>
      <c r="AR1943" s="155" t="n"/>
    </row>
    <row r="1944">
      <c r="A1944" s="50" t="inlineStr">
        <is>
          <t>196070615241</t>
        </is>
      </c>
      <c r="B1944" s="51" t="n"/>
      <c r="C1944" s="156" t="inlineStr">
        <is>
          <t>Multimarca</t>
        </is>
      </c>
      <c r="D1944" s="156" t="inlineStr">
        <is>
          <t>11-001-0425-5020 BU</t>
        </is>
      </c>
      <c r="E1944" s="156" t="inlineStr">
        <is>
          <t>11-001-0425-5020 BU_CH</t>
        </is>
      </c>
      <c r="F1944" s="156" t="inlineStr">
        <is>
          <t>S</t>
        </is>
      </c>
      <c r="G1944" s="156" t="inlineStr">
        <is>
          <t>S</t>
        </is>
      </c>
      <c r="H1944" s="156" t="inlineStr">
        <is>
          <t>Stetson</t>
        </is>
      </c>
      <c r="I1944" s="156" t="inlineStr">
        <is>
          <t>Camisa Ariat Manga Larga Chambray Medallion Paisley</t>
        </is>
      </c>
      <c r="J1944" s="156" t="inlineStr">
        <is>
          <t>Ropa</t>
        </is>
      </c>
      <c r="K1944" s="156" t="inlineStr">
        <is>
          <t>Camisas</t>
        </is>
      </c>
      <c r="L1944" s="156" t="inlineStr">
        <is>
          <t>Hombre</t>
        </is>
      </c>
      <c r="M1944" s="156" t="inlineStr">
        <is>
          <t>Stetson</t>
        </is>
      </c>
      <c r="N1944" s="156" t="inlineStr">
        <is>
          <t>SS26</t>
        </is>
      </c>
      <c r="O1944" s="156" t="inlineStr">
        <is>
          <t>Seasonal</t>
        </is>
      </c>
      <c r="P1944" s="156" t="inlineStr">
        <is>
          <t>Azul</t>
        </is>
      </c>
      <c r="Q1944" s="156" t="inlineStr">
        <is>
          <t>Clásico</t>
        </is>
      </c>
      <c r="R1944" s="156" t="n"/>
      <c r="S1944" s="156" t="inlineStr">
        <is>
          <t>100% Algodón</t>
        </is>
      </c>
      <c r="T1944"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4" s="156" t="n"/>
      <c r="V1944" s="156" t="inlineStr">
        <is>
          <t>PZS</t>
        </is>
      </c>
      <c r="W1944" s="51" t="inlineStr">
        <is>
          <t>53101602</t>
        </is>
      </c>
      <c r="X1944" s="156" t="inlineStr">
        <is>
          <t>https://cdn.shopify.com/s/files/1/0888/3250/8267/files/1100104255020a.jpg?v=1744221077</t>
        </is>
      </c>
      <c r="Y1944" s="54" t="n"/>
      <c r="Z1944" s="54" t="n">
        <v>2000</v>
      </c>
      <c r="AA1944" s="55">
        <f>IF(AND(A1944="", B1944="", E1944=""), "", IF(AB1944="", "Válido", IF((LEN(AB1944)-LEN(SUBSTITUTE(AB1944,"; ","")))/2+1&gt;(LEN(AB1944)-LEN(SUBSTITUTE(AB1944,"[Aviso]","")))/7, "Con Incidencias", "Válido")))</f>
        <v/>
      </c>
      <c r="AB1944" s="56">
        <f>IF(AND(A1944="", B1944="", E1944=""), "", TEXTJOIN("; ", TRUE, IF(OR(TRIM(A1944&amp;"")="", ISNUMBER(SEARCH("FALTA", A1944))), "UPC faltante/inválido", ""), IF(AND(A1944&lt;&gt;"", IFERROR(_xlfn.XMATCH(A1944,$A$2:$A$2509,0,1)&lt;&gt;_xlfn.XMATCH(A1944,$A$2:$A$2509,0,-1),FALSE)), "Código de barras duplicado", ""), IF(AND(E1944&lt;&gt;"", COUNTIF($E$2:$E$2509, E1944)&gt;1), "SKU duplicado", ""), IF(OR(J1944="", J1944=""), "[Aviso] División no capturada ()", IF(ISNA(MATCH(J1944, Criterios!$A$123:$A$126, 0)), "División no válida", "")), IF(OR(K1944="", K1944=""), "[Aviso] Categoría no capturada ()", IF(ISNA(MATCH(K1944, Criterios!$A$81:$A$120, 0)), "Categoría no válida", IF(AND(J1944&lt;&gt;"", J1944&lt;&gt;"", J1944&lt;&gt;VLOOKUP(K1944, Criterios!$A$81:$B$120, 2, FALSE)), "División no coincide con Categoría", ""))), IF(OR(L1944="", L1944=""), "[Aviso] Género no capturado ()", IF(ISNA(MATCH(L1944, Criterios!$B$123:$B$127, 0)), "Género no válido", "")), IF(OR(N1944="", N1944=""), "[Aviso] Temporada no capturada ()", IF(ISNA(MATCH(N1944, Criterios!$C$123:$C$128, 0)), "Temporada no válida", "")), IF(OR(O1944="", O1944=""), "[Aviso] Ciclo de vida no capturado ()", IF(ISNA(MATCH(O1944, Criterios!$D$123:$D$124, 0)), "Ciclo de vida no válido", ""))))</f>
        <v/>
      </c>
      <c r="AC1944" s="56" t="n"/>
      <c r="AD1944" s="51" t="n">
        <v>0</v>
      </c>
      <c r="AE1944" s="156" t="inlineStr">
        <is>
          <t>Sin coincidencia en NetSuite</t>
        </is>
      </c>
      <c r="AF1944" s="51" t="n"/>
      <c r="AG1944" s="156" t="inlineStr">
        <is>
          <t>Catálogo existente</t>
        </is>
      </c>
      <c r="AH1944" s="156" t="inlineStr">
        <is>
          <t>No se encontró en Hoja a Revisar por ID interno ni por código de barras | Consolidado 30/09/2026 con 2 registro(s) duplicado(s) (ver hoja «Consolidación Duplicados»). Completado desde duplicado: WB Licencia, WB Temporada, WB Ciclo de vida, WB Silueta. Valores alternos del duplicado (dos): Marca principal: Stetson | WB N.º de estilo: 11-001-0425-5020 | WB SKU: 11-001-0425-5020 BU-S | WB Descripcion: Camisa Stetson Chambray Medallion Paisley | WB Descripción larga: Camisa Stetson Chambray Medallion Paisley; manga larga; frente con bro | Enlace de imagen: https://cdn.shopify.com/s/files/1/0644/4715/2361/files/CAMISA-STETSON- | 01/10/2026: complementado desde Shopify Stetson México (match por código de barras): WB Silueta (antes «Manga larga; frente con broches», no válido en Criterios) | Homologación G1522 06/10/2026: Validador Shopify: ST: precio con IVA no es múltiplo de 50</t>
        </is>
      </c>
      <c r="AI1944" s="156" t="n"/>
      <c r="AJ1944" s="156" t="n"/>
      <c r="AK1944" s="155" t="inlineStr">
        <is>
          <t>Shopify Stetson: producto 14693903139179 / variante 51994205618539</t>
        </is>
      </c>
      <c r="AL1944" s="58" t="n"/>
      <c r="AM1944" s="58" t="n">
        <v>2000</v>
      </c>
      <c r="AN1944" s="155" t="inlineStr">
        <is>
          <t>Shopify Stetson México</t>
        </is>
      </c>
      <c r="AO1944" s="59" t="n">
        <v>0</v>
      </c>
      <c r="AP1944" s="59" t="n"/>
      <c r="AQ1944" s="59" t="n"/>
      <c r="AR1944" s="155" t="n"/>
    </row>
    <row r="1945">
      <c r="A1945" s="50" t="inlineStr">
        <is>
          <t>196070615258</t>
        </is>
      </c>
      <c r="B1945" s="51" t="n"/>
      <c r="C1945" s="156" t="inlineStr">
        <is>
          <t>Multimarca</t>
        </is>
      </c>
      <c r="D1945" s="156" t="inlineStr">
        <is>
          <t>11-001-0425-5020 BU</t>
        </is>
      </c>
      <c r="E1945" s="156" t="inlineStr">
        <is>
          <t>11-001-0425-5020 BU_XL</t>
        </is>
      </c>
      <c r="F1945" s="156" t="inlineStr">
        <is>
          <t>XL</t>
        </is>
      </c>
      <c r="G1945" s="156" t="inlineStr">
        <is>
          <t>XL</t>
        </is>
      </c>
      <c r="H1945" s="156" t="inlineStr">
        <is>
          <t>Stetson</t>
        </is>
      </c>
      <c r="I1945" s="156" t="inlineStr">
        <is>
          <t>Camisa Ariat Manga Larga Chambray Medallion Paisley</t>
        </is>
      </c>
      <c r="J1945" s="156" t="inlineStr">
        <is>
          <t>Ropa</t>
        </is>
      </c>
      <c r="K1945" s="156" t="inlineStr">
        <is>
          <t>Camisas</t>
        </is>
      </c>
      <c r="L1945" s="156" t="inlineStr">
        <is>
          <t>Hombre</t>
        </is>
      </c>
      <c r="M1945" s="156" t="inlineStr">
        <is>
          <t>Stetson</t>
        </is>
      </c>
      <c r="N1945" s="156" t="inlineStr">
        <is>
          <t>SS26</t>
        </is>
      </c>
      <c r="O1945" s="156" t="inlineStr">
        <is>
          <t>Seasonal</t>
        </is>
      </c>
      <c r="P1945" s="156" t="inlineStr">
        <is>
          <t>Azul</t>
        </is>
      </c>
      <c r="Q1945" s="156" t="inlineStr">
        <is>
          <t>Clásico</t>
        </is>
      </c>
      <c r="R1945" s="156" t="n"/>
      <c r="S1945" s="156" t="inlineStr">
        <is>
          <t>100% Algodón</t>
        </is>
      </c>
      <c r="T1945"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5" s="156" t="n"/>
      <c r="V1945" s="156" t="inlineStr">
        <is>
          <t>PZS</t>
        </is>
      </c>
      <c r="W1945" s="51" t="inlineStr">
        <is>
          <t>53101602</t>
        </is>
      </c>
      <c r="X1945" s="156" t="inlineStr">
        <is>
          <t>https://cdn.shopify.com/s/files/1/0644/4715/2361/files/CAMISA-STETSON-MOD-11-001-0425-5020-BU.jpg?v=1721754667</t>
        </is>
      </c>
      <c r="Y1945" s="54" t="n"/>
      <c r="Z1945" s="54" t="n">
        <v>2000</v>
      </c>
      <c r="AA1945" s="55">
        <f>IF(AND(A1945="", B1945="", E1945=""), "", IF(AB1945="", "Válido", IF((LEN(AB1945)-LEN(SUBSTITUTE(AB1945,"; ","")))/2+1&gt;(LEN(AB1945)-LEN(SUBSTITUTE(AB1945,"[Aviso]","")))/7, "Con Incidencias", "Válido")))</f>
        <v/>
      </c>
      <c r="AB1945" s="56">
        <f>IF(AND(A1945="", B1945="", E1945=""), "", TEXTJOIN("; ", TRUE, IF(OR(TRIM(A1945&amp;"")="", ISNUMBER(SEARCH("FALTA", A1945))), "UPC faltante/inválido", ""), IF(AND(A1945&lt;&gt;"", IFERROR(_xlfn.XMATCH(A1945,$A$2:$A$2509,0,1)&lt;&gt;_xlfn.XMATCH(A1945,$A$2:$A$2509,0,-1),FALSE)), "Código de barras duplicado", ""), IF(AND(E1945&lt;&gt;"", COUNTIF($E$2:$E$2509, E1945)&gt;1), "SKU duplicado", ""), IF(OR(J1945="", J1945=""), "[Aviso] División no capturada ()", IF(ISNA(MATCH(J1945, Criterios!$A$123:$A$126, 0)), "División no válida", "")), IF(OR(K1945="", K1945=""), "[Aviso] Categoría no capturada ()", IF(ISNA(MATCH(K1945, Criterios!$A$81:$A$120, 0)), "Categoría no válida", IF(AND(J1945&lt;&gt;"", J1945&lt;&gt;"", J1945&lt;&gt;VLOOKUP(K1945, Criterios!$A$81:$B$120, 2, FALSE)), "División no coincide con Categoría", ""))), IF(OR(L1945="", L1945=""), "[Aviso] Género no capturado ()", IF(ISNA(MATCH(L1945, Criterios!$B$123:$B$127, 0)), "Género no válido", "")), IF(OR(N1945="", N1945=""), "[Aviso] Temporada no capturada ()", IF(ISNA(MATCH(N1945, Criterios!$C$123:$C$128, 0)), "Temporada no válida", "")), IF(OR(O1945="", O1945=""), "[Aviso] Ciclo de vida no capturado ()", IF(ISNA(MATCH(O1945, Criterios!$D$123:$D$124, 0)), "Ciclo de vida no válido", ""))))</f>
        <v/>
      </c>
      <c r="AC1945" s="56" t="n"/>
      <c r="AD1945" s="51" t="n">
        <v>0</v>
      </c>
      <c r="AE1945" s="156" t="inlineStr">
        <is>
          <t>Sin coincidencia en NetSuite</t>
        </is>
      </c>
      <c r="AF1945" s="51" t="n"/>
      <c r="AG1945" s="156" t="inlineStr">
        <is>
          <t>Catálogo existente</t>
        </is>
      </c>
      <c r="AH1945" s="156" t="inlineStr">
        <is>
          <t>No se encontró en Hoja a Revisar por ID interno ni por código de barras | Consolidado 30/09/2026 con 2 registro(s) duplicado(s) (ver hoja «Consolidación Duplicados»). Completado desde duplicado: WB Licencia, WB Temporada, WB Ciclo de vida, WB Silueta, Enlace de imagen. Valores alternos del duplicado (dos): Marca principal: Stetson | WB N.º de estilo: 11-001-0425-5020 | WB SKU: 11-001-0425-5020 BU-XL | WB Descripcion: Camisa Stetson Chambray Medallion Paisley | WB Descripción larga: Camisa Stetson Chambray Medallion Paisley; manga larga; frente con bro | 01/10/2026: complementado desde Shopify Stetson México (match por código de barras): WB Silueta (antes «Manga larga; frente con broches», no válido en Criterios) | Homologación G1522 06/10/2026: Validador Shopify: ST: precio con IVA no es múltiplo de 50</t>
        </is>
      </c>
      <c r="AI1945" s="156" t="n"/>
      <c r="AJ1945" s="156" t="n"/>
      <c r="AK1945" s="155" t="inlineStr">
        <is>
          <t>Shopify Stetson: producto 14693903139179 / variante 51994209747307</t>
        </is>
      </c>
      <c r="AL1945" s="58" t="n"/>
      <c r="AM1945" s="58" t="n">
        <v>2000</v>
      </c>
      <c r="AN1945" s="155" t="inlineStr">
        <is>
          <t>Shopify Stetson México</t>
        </is>
      </c>
      <c r="AO1945" s="59" t="n">
        <v>0</v>
      </c>
      <c r="AP1945" s="59" t="n"/>
      <c r="AQ1945" s="59" t="n"/>
      <c r="AR1945" s="155" t="n"/>
    </row>
    <row r="1946">
      <c r="A1946" s="50" t="inlineStr">
        <is>
          <t>196070615265</t>
        </is>
      </c>
      <c r="B1946" s="51" t="n"/>
      <c r="C1946" s="156" t="inlineStr">
        <is>
          <t>Multimarca</t>
        </is>
      </c>
      <c r="D1946" s="156" t="inlineStr">
        <is>
          <t>11-001-0425-5020 BU</t>
        </is>
      </c>
      <c r="E1946" s="156" t="inlineStr">
        <is>
          <t>11-001-0425-5020 BU_XXL</t>
        </is>
      </c>
      <c r="F1946" s="156" t="inlineStr">
        <is>
          <t>XXL</t>
        </is>
      </c>
      <c r="G1946" s="156" t="inlineStr">
        <is>
          <t>XXL</t>
        </is>
      </c>
      <c r="H1946" s="156" t="inlineStr">
        <is>
          <t>Stetson</t>
        </is>
      </c>
      <c r="I1946" s="156" t="inlineStr">
        <is>
          <t>Camisa Ariat Manga Larga Chambray Medallion Paisley</t>
        </is>
      </c>
      <c r="J1946" s="156" t="inlineStr">
        <is>
          <t>Ropa</t>
        </is>
      </c>
      <c r="K1946" s="156" t="inlineStr">
        <is>
          <t>Camisas</t>
        </is>
      </c>
      <c r="L1946" s="156" t="inlineStr">
        <is>
          <t>Hombre</t>
        </is>
      </c>
      <c r="M1946" s="156" t="inlineStr">
        <is>
          <t>Stetson</t>
        </is>
      </c>
      <c r="N1946" s="156" t="inlineStr">
        <is>
          <t>SS26</t>
        </is>
      </c>
      <c r="O1946" s="156" t="inlineStr">
        <is>
          <t>Seasonal</t>
        </is>
      </c>
      <c r="P1946" s="156" t="inlineStr">
        <is>
          <t>Azul</t>
        </is>
      </c>
      <c r="Q1946" s="156" t="inlineStr">
        <is>
          <t>Clásico</t>
        </is>
      </c>
      <c r="R1946" s="156" t="n"/>
      <c r="S1946" s="156" t="inlineStr">
        <is>
          <t>100% Algodón</t>
        </is>
      </c>
      <c r="T1946"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6" s="156" t="n"/>
      <c r="V1946" s="156" t="inlineStr">
        <is>
          <t>PZS</t>
        </is>
      </c>
      <c r="W1946" s="51" t="inlineStr">
        <is>
          <t>53101602</t>
        </is>
      </c>
      <c r="X1946" s="156" t="inlineStr">
        <is>
          <t>https://cdn.shopify.com/s/files/1/0644/4715/2361/files/CAMISA-STETSON-MOD-11-001-0425-5020-BU.jpg?v=1721754667</t>
        </is>
      </c>
      <c r="Y1946" s="54" t="n"/>
      <c r="Z1946" s="54" t="n">
        <v>2000</v>
      </c>
      <c r="AA1946" s="55">
        <f>IF(AND(A1946="", B1946="", E1946=""), "", IF(AB1946="", "Válido", IF((LEN(AB1946)-LEN(SUBSTITUTE(AB1946,"; ","")))/2+1&gt;(LEN(AB1946)-LEN(SUBSTITUTE(AB1946,"[Aviso]","")))/7, "Con Incidencias", "Válido")))</f>
        <v/>
      </c>
      <c r="AB1946" s="56">
        <f>IF(AND(A1946="", B1946="", E1946=""), "", TEXTJOIN("; ", TRUE, IF(OR(TRIM(A1946&amp;"")="", ISNUMBER(SEARCH("FALTA", A1946))), "UPC faltante/inválido", ""), IF(AND(A1946&lt;&gt;"", IFERROR(_xlfn.XMATCH(A1946,$A$2:$A$2509,0,1)&lt;&gt;_xlfn.XMATCH(A1946,$A$2:$A$2509,0,-1),FALSE)), "Código de barras duplicado", ""), IF(AND(E1946&lt;&gt;"", COUNTIF($E$2:$E$2509, E1946)&gt;1), "SKU duplicado", ""), IF(OR(J1946="", J1946=""), "[Aviso] División no capturada ()", IF(ISNA(MATCH(J1946, Criterios!$A$123:$A$126, 0)), "División no válida", "")), IF(OR(K1946="", K1946=""), "[Aviso] Categoría no capturada ()", IF(ISNA(MATCH(K1946, Criterios!$A$81:$A$120, 0)), "Categoría no válida", IF(AND(J1946&lt;&gt;"", J1946&lt;&gt;"", J1946&lt;&gt;VLOOKUP(K1946, Criterios!$A$81:$B$120, 2, FALSE)), "División no coincide con Categoría", ""))), IF(OR(L1946="", L1946=""), "[Aviso] Género no capturado ()", IF(ISNA(MATCH(L1946, Criterios!$B$123:$B$127, 0)), "Género no válido", "")), IF(OR(N1946="", N1946=""), "[Aviso] Temporada no capturada ()", IF(ISNA(MATCH(N1946, Criterios!$C$123:$C$128, 0)), "Temporada no válida", "")), IF(OR(O1946="", O1946=""), "[Aviso] Ciclo de vida no capturado ()", IF(ISNA(MATCH(O1946, Criterios!$D$123:$D$124, 0)), "Ciclo de vida no válido", ""))))</f>
        <v/>
      </c>
      <c r="AC1946" s="56" t="n"/>
      <c r="AD1946" s="51" t="n">
        <v>0</v>
      </c>
      <c r="AE1946" s="156" t="inlineStr">
        <is>
          <t>Sin coincidencia en NetSuite</t>
        </is>
      </c>
      <c r="AF1946" s="51" t="n"/>
      <c r="AG1946" s="156" t="inlineStr">
        <is>
          <t>Catálogo existente</t>
        </is>
      </c>
      <c r="AH1946" s="156" t="inlineStr">
        <is>
          <t>No se encontró en Hoja a Revisar por ID interno ni por código de barras | Consolidado 30/09/2026 con 2 registro(s) duplicado(s) (ver hoja «Consolidación Duplicados»). Completado desde duplicado: WB Licencia, WB Temporada, WB Ciclo de vida, WB Silueta, Enlace de imagen. Valores alternos del duplicado (dos): Marca principal: Stetson | WB N.º de estilo: 11-001-0425-5020 | WB SKU: 11-001-0425-5020 BU-XXL | WB Talla: XXL | WB Descripcion: Camisa Stetson Chambray Medallion Paisley | WB Descripción larga: Camisa Stetson Chambray Medallion Paisley; manga larga; frente con bro | 01/10/2026: complementado desde Shopify Stetson México (match por código de barras): WB Silueta (antes «Manga larga; frente con broches», no válido en Criterios) | Homologación G1522 06/10/2026: Validador Shopify: ST: precio con IVA no es múltiplo de 50</t>
        </is>
      </c>
      <c r="AI1946" s="156" t="n"/>
      <c r="AJ1946" s="156" t="n"/>
      <c r="AK1946" s="155" t="inlineStr">
        <is>
          <t>Shopify Stetson: producto 14693903139179 / variante 51994205684075</t>
        </is>
      </c>
      <c r="AL1946" s="58" t="n"/>
      <c r="AM1946" s="58" t="n">
        <v>2000</v>
      </c>
      <c r="AN1946" s="155" t="inlineStr">
        <is>
          <t>Shopify Stetson México</t>
        </is>
      </c>
      <c r="AO1946" s="59" t="n">
        <v>0</v>
      </c>
      <c r="AP1946" s="59" t="n"/>
      <c r="AQ1946" s="59" t="n"/>
      <c r="AR1946" s="155" t="n"/>
    </row>
    <row r="1947">
      <c r="A1947" s="50" t="inlineStr">
        <is>
          <t>196070615272</t>
        </is>
      </c>
      <c r="B1947" s="51" t="n"/>
      <c r="C1947" s="156" t="inlineStr">
        <is>
          <t>Multimarca</t>
        </is>
      </c>
      <c r="D1947" s="156" t="inlineStr">
        <is>
          <t>11-001-0425-5020 BU</t>
        </is>
      </c>
      <c r="E1947" s="156" t="inlineStr">
        <is>
          <t>11-001-0425-5020 BU_3XL</t>
        </is>
      </c>
      <c r="F1947" s="156" t="inlineStr">
        <is>
          <t>XXXL</t>
        </is>
      </c>
      <c r="G1947" s="156" t="inlineStr">
        <is>
          <t>XXXL</t>
        </is>
      </c>
      <c r="H1947" s="156" t="inlineStr">
        <is>
          <t>Stetson</t>
        </is>
      </c>
      <c r="I1947" s="156" t="inlineStr">
        <is>
          <t>Camisa Ariat Manga Larga Chambray Medallion Paisley</t>
        </is>
      </c>
      <c r="J1947" s="156" t="inlineStr">
        <is>
          <t>Ropa</t>
        </is>
      </c>
      <c r="K1947" s="156" t="inlineStr">
        <is>
          <t>Camisas</t>
        </is>
      </c>
      <c r="L1947" s="156" t="inlineStr">
        <is>
          <t>Hombre</t>
        </is>
      </c>
      <c r="M1947" s="156" t="n"/>
      <c r="N1947" s="156" t="n"/>
      <c r="O1947" s="156" t="n"/>
      <c r="P1947" s="156" t="inlineStr">
        <is>
          <t>Azul</t>
        </is>
      </c>
      <c r="Q1947" s="156" t="inlineStr">
        <is>
          <t>Clásico</t>
        </is>
      </c>
      <c r="R1947" s="156" t="n"/>
      <c r="S1947" s="156" t="inlineStr">
        <is>
          <t>100% Algodón</t>
        </is>
      </c>
      <c r="T1947"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7" s="156" t="n"/>
      <c r="V1947" s="156" t="inlineStr">
        <is>
          <t>PZS</t>
        </is>
      </c>
      <c r="W1947" s="51" t="inlineStr">
        <is>
          <t>53101602</t>
        </is>
      </c>
      <c r="X1947" s="156" t="inlineStr">
        <is>
          <t>https://cdn.shopify.com/s/files/1/0888/3250/8267/files/1100104255020a.jpg?v=1744221077</t>
        </is>
      </c>
      <c r="Y1947" s="54" t="n"/>
      <c r="Z1947" s="54" t="n">
        <v>2000</v>
      </c>
      <c r="AA1947" s="55">
        <f>IF(AND(A1947="", B1947="", E1947=""), "", IF(AB1947="", "Válido", IF((LEN(AB1947)-LEN(SUBSTITUTE(AB1947,"; ","")))/2+1&gt;(LEN(AB1947)-LEN(SUBSTITUTE(AB1947,"[Aviso]","")))/7, "Con Incidencias", "Válido")))</f>
        <v/>
      </c>
      <c r="AB1947" s="56">
        <f>IF(AND(A1947="", B1947="", E1947=""), "", TEXTJOIN("; ", TRUE, IF(OR(TRIM(A1947&amp;"")="", ISNUMBER(SEARCH("FALTA", A1947))), "UPC faltante/inválido", ""), IF(AND(A1947&lt;&gt;"", IFERROR(_xlfn.XMATCH(A1947,$A$2:$A$2509,0,1)&lt;&gt;_xlfn.XMATCH(A1947,$A$2:$A$2509,0,-1),FALSE)), "Código de barras duplicado", ""), IF(AND(E1947&lt;&gt;"", COUNTIF($E$2:$E$2509, E1947)&gt;1), "SKU duplicado", ""), IF(OR(J1947="", J1947=""), "[Aviso] División no capturada ()", IF(ISNA(MATCH(J1947, Criterios!$A$123:$A$126, 0)), "División no válida", "")), IF(OR(K1947="", K1947=""), "[Aviso] Categoría no capturada ()", IF(ISNA(MATCH(K1947, Criterios!$A$81:$A$120, 0)), "Categoría no válida", IF(AND(J1947&lt;&gt;"", J1947&lt;&gt;"", J1947&lt;&gt;VLOOKUP(K1947, Criterios!$A$81:$B$120, 2, FALSE)), "División no coincide con Categoría", ""))), IF(OR(L1947="", L1947=""), "[Aviso] Género no capturado ()", IF(ISNA(MATCH(L1947, Criterios!$B$123:$B$127, 0)), "Género no válido", "")), IF(OR(N1947="", N1947=""), "[Aviso] Temporada no capturada ()", IF(ISNA(MATCH(N1947, Criterios!$C$123:$C$128, 0)), "Temporada no válida", "")), IF(OR(O1947="", O1947=""), "[Aviso] Ciclo de vida no capturado ()", IF(ISNA(MATCH(O1947, Criterios!$D$123:$D$124, 0)), "Ciclo de vida no válido", ""))))</f>
        <v/>
      </c>
      <c r="AC1947" s="56" t="n"/>
      <c r="AD1947" s="51" t="n">
        <v>0</v>
      </c>
      <c r="AE1947" s="156" t="inlineStr">
        <is>
          <t>Sin coincidencia en NetSuite</t>
        </is>
      </c>
      <c r="AF1947" s="51" t="n"/>
      <c r="AG1947" s="156" t="inlineStr">
        <is>
          <t>Catálogo existente</t>
        </is>
      </c>
      <c r="AH1947"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47" s="156" t="n"/>
      <c r="AJ1947" s="156" t="n"/>
      <c r="AK1947" s="155" t="inlineStr">
        <is>
          <t>Shopify Stetson: producto 14693903139179 / variante 51994205716843</t>
        </is>
      </c>
      <c r="AL1947" s="58" t="n"/>
      <c r="AM1947" s="58" t="n">
        <v>2000</v>
      </c>
      <c r="AN1947" s="155" t="inlineStr">
        <is>
          <t>Shopify Stetson México</t>
        </is>
      </c>
      <c r="AO1947" s="59" t="n">
        <v>0</v>
      </c>
      <c r="AP1947" s="59" t="n"/>
      <c r="AQ1947" s="59" t="n"/>
      <c r="AR1947" s="155" t="n"/>
    </row>
    <row r="1948">
      <c r="A1948" s="50" t="inlineStr">
        <is>
          <t>196070615289</t>
        </is>
      </c>
      <c r="B1948" s="51" t="inlineStr">
        <is>
          <t>109509</t>
        </is>
      </c>
      <c r="C1948" s="156" t="inlineStr">
        <is>
          <t>Multimarca</t>
        </is>
      </c>
      <c r="D1948" s="156" t="inlineStr">
        <is>
          <t>11-001-0425-5022</t>
        </is>
      </c>
      <c r="E1948" s="156" t="inlineStr">
        <is>
          <t>11-001-0425-5022-L</t>
        </is>
      </c>
      <c r="F1948" s="156" t="inlineStr">
        <is>
          <t>L</t>
        </is>
      </c>
      <c r="G1948" s="156" t="inlineStr">
        <is>
          <t>L</t>
        </is>
      </c>
      <c r="H1948" s="156" t="inlineStr">
        <is>
          <t>Stetson</t>
        </is>
      </c>
      <c r="I1948" s="156" t="inlineStr">
        <is>
          <t>Camisa Manga Larga Cuadrado Neat</t>
        </is>
      </c>
      <c r="J1948" s="156" t="inlineStr">
        <is>
          <t>Ropa</t>
        </is>
      </c>
      <c r="K1948" s="156" t="inlineStr">
        <is>
          <t>Camisas</t>
        </is>
      </c>
      <c r="L1948" s="156" t="inlineStr">
        <is>
          <t>Hombre</t>
        </is>
      </c>
      <c r="M1948" s="156" t="inlineStr">
        <is>
          <t>Stetson</t>
        </is>
      </c>
      <c r="N1948" s="156" t="inlineStr">
        <is>
          <t>SS26</t>
        </is>
      </c>
      <c r="O1948" s="156" t="inlineStr">
        <is>
          <t>Seasonal</t>
        </is>
      </c>
      <c r="P1948" s="156" t="inlineStr">
        <is>
          <t>Negro</t>
        </is>
      </c>
      <c r="Q1948" s="156" t="inlineStr">
        <is>
          <t>Clásico</t>
        </is>
      </c>
      <c r="R1948" s="156" t="n"/>
      <c r="S1948" s="156" t="inlineStr">
        <is>
          <t>100% Algodón</t>
        </is>
      </c>
      <c r="T1948"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8" s="156" t="n"/>
      <c r="V1948" s="156" t="inlineStr">
        <is>
          <t>PZS</t>
        </is>
      </c>
      <c r="W1948" s="51" t="inlineStr">
        <is>
          <t>53101600</t>
        </is>
      </c>
      <c r="X1948" s="156" t="inlineStr">
        <is>
          <t>https://cdn.shopify.com/s/files/1/0888/3250/8267/files/1100104255022c.jpg?v=1744222097</t>
        </is>
      </c>
      <c r="Y1948" s="54" t="n">
        <v>717.6724138</v>
      </c>
      <c r="Z1948" s="54" t="n">
        <v>1594.827586</v>
      </c>
      <c r="AA1948" s="55">
        <f>IF(AND(A1948="", B1948="", E1948=""), "", IF(AB1948="", "Válido", IF((LEN(AB1948)-LEN(SUBSTITUTE(AB1948,"; ","")))/2+1&gt;(LEN(AB1948)-LEN(SUBSTITUTE(AB1948,"[Aviso]","")))/7, "Con Incidencias", "Válido")))</f>
        <v/>
      </c>
      <c r="AB1948" s="56">
        <f>IF(AND(A1948="", B1948="", E1948=""), "", TEXTJOIN("; ", TRUE, IF(OR(TRIM(A1948&amp;"")="", ISNUMBER(SEARCH("FALTA", A1948))), "UPC faltante/inválido", ""), IF(AND(A1948&lt;&gt;"", IFERROR(_xlfn.XMATCH(A1948,$A$2:$A$2509,0,1)&lt;&gt;_xlfn.XMATCH(A1948,$A$2:$A$2509,0,-1),FALSE)), "Código de barras duplicado", ""), IF(AND(E1948&lt;&gt;"", COUNTIF($E$2:$E$2509, E1948)&gt;1), "SKU duplicado", ""), IF(OR(J1948="", J1948=""), "[Aviso] División no capturada ()", IF(ISNA(MATCH(J1948, Criterios!$A$123:$A$126, 0)), "División no válida", "")), IF(OR(K1948="", K1948=""), "[Aviso] Categoría no capturada ()", IF(ISNA(MATCH(K1948, Criterios!$A$81:$A$120, 0)), "Categoría no válida", IF(AND(J1948&lt;&gt;"", J1948&lt;&gt;"", J1948&lt;&gt;VLOOKUP(K1948, Criterios!$A$81:$B$120, 2, FALSE)), "División no coincide con Categoría", ""))), IF(OR(L1948="", L1948=""), "[Aviso] Género no capturado ()", IF(ISNA(MATCH(L1948, Criterios!$B$123:$B$127, 0)), "Género no válido", "")), IF(OR(N1948="", N1948=""), "[Aviso] Temporada no capturada ()", IF(ISNA(MATCH(N1948, Criterios!$C$123:$C$128, 0)), "Temporada no válida", "")), IF(OR(O1948="", O1948=""), "[Aviso] Ciclo de vida no capturado ()", IF(ISNA(MATCH(O1948, Criterios!$D$123:$D$124, 0)), "Ciclo de vida no válido", ""))))</f>
        <v/>
      </c>
      <c r="AC1948" s="56" t="n"/>
      <c r="AD1948" s="51" t="n">
        <v>0</v>
      </c>
      <c r="AE1948" s="156" t="n"/>
      <c r="AF1948" s="51" t="n">
        <v>0</v>
      </c>
      <c r="AG1948" s="156" t="inlineStr">
        <is>
          <t>Catálogo existente</t>
        </is>
      </c>
      <c r="AH194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8" s="156" t="inlineStr">
        <is>
          <t>No</t>
        </is>
      </c>
      <c r="AJ1948" s="156" t="n"/>
      <c r="AK1948" s="155" t="inlineStr">
        <is>
          <t>Descripción y Criterios: G/H [P] | Criterios: J [R]; G1522_Extraccion_Articulos_NetSuite_2026-09-30.xlsx: fila 57324 [S] | Shopify Stetson: producto 14693904548203 / variante 51994212761963</t>
        </is>
      </c>
      <c r="AL1948" s="58" t="n">
        <v>717.6724138</v>
      </c>
      <c r="AM1948" s="58" t="n">
        <v>1594.827586</v>
      </c>
      <c r="AN1948" s="155" t="inlineStr">
        <is>
          <t>Shopify Stetson México</t>
        </is>
      </c>
      <c r="AO1948" s="59" t="n">
        <v>0</v>
      </c>
      <c r="AP1948" s="59" t="n"/>
      <c r="AQ1948" s="59" t="n"/>
      <c r="AR1948" s="155" t="n"/>
    </row>
    <row r="1949">
      <c r="A1949" s="50" t="inlineStr">
        <is>
          <t>196070615296</t>
        </is>
      </c>
      <c r="B1949" s="51" t="inlineStr">
        <is>
          <t>109510</t>
        </is>
      </c>
      <c r="C1949" s="156" t="inlineStr">
        <is>
          <t>Multimarca</t>
        </is>
      </c>
      <c r="D1949" s="156" t="inlineStr">
        <is>
          <t>11-001-0425-5022</t>
        </is>
      </c>
      <c r="E1949" s="156" t="inlineStr">
        <is>
          <t>11-001-0425-5022-M</t>
        </is>
      </c>
      <c r="F1949" s="156" t="inlineStr">
        <is>
          <t>M</t>
        </is>
      </c>
      <c r="G1949" s="156" t="inlineStr">
        <is>
          <t>M</t>
        </is>
      </c>
      <c r="H1949" s="156" t="inlineStr">
        <is>
          <t>Stetson</t>
        </is>
      </c>
      <c r="I1949" s="156" t="inlineStr">
        <is>
          <t>Camisa Manga Larga Cuadrado Neat</t>
        </is>
      </c>
      <c r="J1949" s="156" t="inlineStr">
        <is>
          <t>Ropa</t>
        </is>
      </c>
      <c r="K1949" s="156" t="inlineStr">
        <is>
          <t>Camisas</t>
        </is>
      </c>
      <c r="L1949" s="156" t="inlineStr">
        <is>
          <t>Hombre</t>
        </is>
      </c>
      <c r="M1949" s="156" t="inlineStr">
        <is>
          <t>Stetson</t>
        </is>
      </c>
      <c r="N1949" s="156" t="inlineStr">
        <is>
          <t>SS26</t>
        </is>
      </c>
      <c r="O1949" s="156" t="inlineStr">
        <is>
          <t>Seasonal</t>
        </is>
      </c>
      <c r="P1949" s="156" t="inlineStr">
        <is>
          <t>Negro</t>
        </is>
      </c>
      <c r="Q1949" s="156" t="inlineStr">
        <is>
          <t>Clásico</t>
        </is>
      </c>
      <c r="R1949" s="156" t="n"/>
      <c r="S1949" s="156" t="inlineStr">
        <is>
          <t>100% Algodón</t>
        </is>
      </c>
      <c r="T1949"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9" s="156" t="n"/>
      <c r="V1949" s="156" t="inlineStr">
        <is>
          <t>PZS</t>
        </is>
      </c>
      <c r="W1949" s="51" t="inlineStr">
        <is>
          <t>53101600</t>
        </is>
      </c>
      <c r="X1949" s="156" t="inlineStr">
        <is>
          <t>https://cdn.shopify.com/s/files/1/0888/3250/8267/files/1100104255022b.jpg?v=1744222090</t>
        </is>
      </c>
      <c r="Y1949" s="54" t="n">
        <v>717.6724138</v>
      </c>
      <c r="Z1949" s="54" t="n">
        <v>1594.827586</v>
      </c>
      <c r="AA1949" s="55">
        <f>IF(AND(A1949="", B1949="", E1949=""), "", IF(AB1949="", "Válido", IF((LEN(AB1949)-LEN(SUBSTITUTE(AB1949,"; ","")))/2+1&gt;(LEN(AB1949)-LEN(SUBSTITUTE(AB1949,"[Aviso]","")))/7, "Con Incidencias", "Válido")))</f>
        <v/>
      </c>
      <c r="AB1949" s="56">
        <f>IF(AND(A1949="", B1949="", E1949=""), "", TEXTJOIN("; ", TRUE, IF(OR(TRIM(A1949&amp;"")="", ISNUMBER(SEARCH("FALTA", A1949))), "UPC faltante/inválido", ""), IF(AND(A1949&lt;&gt;"", IFERROR(_xlfn.XMATCH(A1949,$A$2:$A$2509,0,1)&lt;&gt;_xlfn.XMATCH(A1949,$A$2:$A$2509,0,-1),FALSE)), "Código de barras duplicado", ""), IF(AND(E1949&lt;&gt;"", COUNTIF($E$2:$E$2509, E1949)&gt;1), "SKU duplicado", ""), IF(OR(J1949="", J1949=""), "[Aviso] División no capturada ()", IF(ISNA(MATCH(J1949, Criterios!$A$123:$A$126, 0)), "División no válida", "")), IF(OR(K1949="", K1949=""), "[Aviso] Categoría no capturada ()", IF(ISNA(MATCH(K1949, Criterios!$A$81:$A$120, 0)), "Categoría no válida", IF(AND(J1949&lt;&gt;"", J1949&lt;&gt;"", J1949&lt;&gt;VLOOKUP(K1949, Criterios!$A$81:$B$120, 2, FALSE)), "División no coincide con Categoría", ""))), IF(OR(L1949="", L1949=""), "[Aviso] Género no capturado ()", IF(ISNA(MATCH(L1949, Criterios!$B$123:$B$127, 0)), "Género no válido", "")), IF(OR(N1949="", N1949=""), "[Aviso] Temporada no capturada ()", IF(ISNA(MATCH(N1949, Criterios!$C$123:$C$128, 0)), "Temporada no válida", "")), IF(OR(O1949="", O1949=""), "[Aviso] Ciclo de vida no capturado ()", IF(ISNA(MATCH(O1949, Criterios!$D$123:$D$124, 0)), "Ciclo de vida no válido", ""))))</f>
        <v/>
      </c>
      <c r="AC1949" s="56" t="n"/>
      <c r="AD1949" s="51" t="n">
        <v>0</v>
      </c>
      <c r="AE1949" s="156" t="n"/>
      <c r="AF1949" s="51" t="n">
        <v>0</v>
      </c>
      <c r="AG1949" s="156" t="inlineStr">
        <is>
          <t>Catálogo existente</t>
        </is>
      </c>
      <c r="AH194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9" s="156" t="inlineStr">
        <is>
          <t>No</t>
        </is>
      </c>
      <c r="AJ1949" s="156" t="n"/>
      <c r="AK1949" s="155" t="inlineStr">
        <is>
          <t>Descripción y Criterios: G/H [P] | Criterios: J [R]; G1522_Extraccion_Articulos_NetSuite_2026-09-30.xlsx: fila 57325 [S] | Shopify Stetson: producto 14693904548203 / variante 51994212729195</t>
        </is>
      </c>
      <c r="AL1949" s="58" t="n">
        <v>717.6724138</v>
      </c>
      <c r="AM1949" s="58" t="n">
        <v>1594.827586</v>
      </c>
      <c r="AN1949" s="155" t="inlineStr">
        <is>
          <t>Shopify Stetson México</t>
        </is>
      </c>
      <c r="AO1949" s="59" t="n">
        <v>0</v>
      </c>
      <c r="AP1949" s="59" t="n"/>
      <c r="AQ1949" s="59" t="n"/>
      <c r="AR1949" s="155" t="n"/>
    </row>
    <row r="1950">
      <c r="A1950" s="50" t="inlineStr">
        <is>
          <t>196070615302</t>
        </is>
      </c>
      <c r="B1950" s="51" t="inlineStr">
        <is>
          <t>109511</t>
        </is>
      </c>
      <c r="C1950" s="156" t="inlineStr">
        <is>
          <t>Multimarca</t>
        </is>
      </c>
      <c r="D1950" s="156" t="inlineStr">
        <is>
          <t>11-001-0425-5022</t>
        </is>
      </c>
      <c r="E1950" s="156" t="inlineStr">
        <is>
          <t>11-001-0425-5022-S</t>
        </is>
      </c>
      <c r="F1950" s="156" t="inlineStr">
        <is>
          <t>S</t>
        </is>
      </c>
      <c r="G1950" s="156" t="inlineStr">
        <is>
          <t>S</t>
        </is>
      </c>
      <c r="H1950" s="156" t="inlineStr">
        <is>
          <t>Stetson</t>
        </is>
      </c>
      <c r="I1950" s="156" t="inlineStr">
        <is>
          <t>Camisa Manga Larga Cuadrado Neat</t>
        </is>
      </c>
      <c r="J1950" s="156" t="inlineStr">
        <is>
          <t>Ropa</t>
        </is>
      </c>
      <c r="K1950" s="156" t="inlineStr">
        <is>
          <t>Camisas</t>
        </is>
      </c>
      <c r="L1950" s="156" t="inlineStr">
        <is>
          <t>Hombre</t>
        </is>
      </c>
      <c r="M1950" s="156" t="inlineStr">
        <is>
          <t>Stetson</t>
        </is>
      </c>
      <c r="N1950" s="156" t="inlineStr">
        <is>
          <t>SS26</t>
        </is>
      </c>
      <c r="O1950" s="156" t="inlineStr">
        <is>
          <t>Seasonal</t>
        </is>
      </c>
      <c r="P1950" s="156" t="inlineStr">
        <is>
          <t>Negro</t>
        </is>
      </c>
      <c r="Q1950" s="156" t="inlineStr">
        <is>
          <t>Clásico</t>
        </is>
      </c>
      <c r="R1950" s="156" t="n"/>
      <c r="S1950" s="156" t="inlineStr">
        <is>
          <t>100% Algodón</t>
        </is>
      </c>
      <c r="T1950"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0" s="156" t="n"/>
      <c r="V1950" s="156" t="inlineStr">
        <is>
          <t>PZS</t>
        </is>
      </c>
      <c r="W1950" s="51" t="inlineStr">
        <is>
          <t>53101600</t>
        </is>
      </c>
      <c r="X1950" s="156" t="inlineStr">
        <is>
          <t>https://cdn.shopify.com/s/files/1/0888/3250/8267/files/1100104255022a.jpg?v=1744222083</t>
        </is>
      </c>
      <c r="Y1950" s="54" t="n">
        <v>717.6724138</v>
      </c>
      <c r="Z1950" s="54" t="n">
        <v>1594.827586</v>
      </c>
      <c r="AA1950" s="55">
        <f>IF(AND(A1950="", B1950="", E1950=""), "", IF(AB1950="", "Válido", IF((LEN(AB1950)-LEN(SUBSTITUTE(AB1950,"; ","")))/2+1&gt;(LEN(AB1950)-LEN(SUBSTITUTE(AB1950,"[Aviso]","")))/7, "Con Incidencias", "Válido")))</f>
        <v/>
      </c>
      <c r="AB1950" s="56">
        <f>IF(AND(A1950="", B1950="", E1950=""), "", TEXTJOIN("; ", TRUE, IF(OR(TRIM(A1950&amp;"")="", ISNUMBER(SEARCH("FALTA", A1950))), "UPC faltante/inválido", ""), IF(AND(A1950&lt;&gt;"", IFERROR(_xlfn.XMATCH(A1950,$A$2:$A$2509,0,1)&lt;&gt;_xlfn.XMATCH(A1950,$A$2:$A$2509,0,-1),FALSE)), "Código de barras duplicado", ""), IF(AND(E1950&lt;&gt;"", COUNTIF($E$2:$E$2509, E1950)&gt;1), "SKU duplicado", ""), IF(OR(J1950="", J1950=""), "[Aviso] División no capturada ()", IF(ISNA(MATCH(J1950, Criterios!$A$123:$A$126, 0)), "División no válida", "")), IF(OR(K1950="", K1950=""), "[Aviso] Categoría no capturada ()", IF(ISNA(MATCH(K1950, Criterios!$A$81:$A$120, 0)), "Categoría no válida", IF(AND(J1950&lt;&gt;"", J1950&lt;&gt;"", J1950&lt;&gt;VLOOKUP(K1950, Criterios!$A$81:$B$120, 2, FALSE)), "División no coincide con Categoría", ""))), IF(OR(L1950="", L1950=""), "[Aviso] Género no capturado ()", IF(ISNA(MATCH(L1950, Criterios!$B$123:$B$127, 0)), "Género no válido", "")), IF(OR(N1950="", N1950=""), "[Aviso] Temporada no capturada ()", IF(ISNA(MATCH(N1950, Criterios!$C$123:$C$128, 0)), "Temporada no válida", "")), IF(OR(O1950="", O1950=""), "[Aviso] Ciclo de vida no capturado ()", IF(ISNA(MATCH(O1950, Criterios!$D$123:$D$124, 0)), "Ciclo de vida no válido", ""))))</f>
        <v/>
      </c>
      <c r="AC1950" s="56" t="n"/>
      <c r="AD1950" s="51" t="n">
        <v>0</v>
      </c>
      <c r="AE1950" s="156" t="n"/>
      <c r="AF1950" s="51" t="n">
        <v>0</v>
      </c>
      <c r="AG1950" s="156" t="inlineStr">
        <is>
          <t>Catálogo existente</t>
        </is>
      </c>
      <c r="AH195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0" s="156" t="inlineStr">
        <is>
          <t>No</t>
        </is>
      </c>
      <c r="AJ1950" s="156" t="n"/>
      <c r="AK1950" s="155" t="inlineStr">
        <is>
          <t>Descripción y Criterios: G/H [P] | Criterios: J [R]; G1522_Extraccion_Articulos_NetSuite_2026-09-30.xlsx: fila 57326 [S] | Shopify Stetson: producto 14693904548203 / variante 51994212696427</t>
        </is>
      </c>
      <c r="AL1950" s="58" t="n">
        <v>717.6724138</v>
      </c>
      <c r="AM1950" s="58" t="n">
        <v>1594.827586</v>
      </c>
      <c r="AN1950" s="155" t="inlineStr">
        <is>
          <t>Shopify Stetson México</t>
        </is>
      </c>
      <c r="AO1950" s="59" t="n">
        <v>0</v>
      </c>
      <c r="AP1950" s="59" t="n"/>
      <c r="AQ1950" s="59" t="n"/>
      <c r="AR1950" s="155" t="n"/>
    </row>
    <row r="1951">
      <c r="A1951" s="50" t="inlineStr">
        <is>
          <t>196070615319</t>
        </is>
      </c>
      <c r="B1951" s="51" t="inlineStr">
        <is>
          <t>109512</t>
        </is>
      </c>
      <c r="C1951" s="156" t="inlineStr">
        <is>
          <t>Multimarca</t>
        </is>
      </c>
      <c r="D1951" s="156" t="inlineStr">
        <is>
          <t>11-001-0425-5022</t>
        </is>
      </c>
      <c r="E1951" s="156" t="inlineStr">
        <is>
          <t>11-001-0425-5022-XL</t>
        </is>
      </c>
      <c r="F1951" s="156" t="inlineStr">
        <is>
          <t>XL</t>
        </is>
      </c>
      <c r="G1951" s="156" t="inlineStr">
        <is>
          <t>XL</t>
        </is>
      </c>
      <c r="H1951" s="156" t="inlineStr">
        <is>
          <t>Stetson</t>
        </is>
      </c>
      <c r="I1951" s="156" t="inlineStr">
        <is>
          <t>Camisa Manga Larga Cuadrado Neat</t>
        </is>
      </c>
      <c r="J1951" s="156" t="inlineStr">
        <is>
          <t>Ropa</t>
        </is>
      </c>
      <c r="K1951" s="156" t="inlineStr">
        <is>
          <t>Camisas</t>
        </is>
      </c>
      <c r="L1951" s="156" t="inlineStr">
        <is>
          <t>Hombre</t>
        </is>
      </c>
      <c r="M1951" s="156" t="inlineStr">
        <is>
          <t>Stetson</t>
        </is>
      </c>
      <c r="N1951" s="156" t="inlineStr">
        <is>
          <t>SS26</t>
        </is>
      </c>
      <c r="O1951" s="156" t="inlineStr">
        <is>
          <t>Seasonal</t>
        </is>
      </c>
      <c r="P1951" s="156" t="inlineStr">
        <is>
          <t>Negro</t>
        </is>
      </c>
      <c r="Q1951" s="156" t="inlineStr">
        <is>
          <t>Clásico</t>
        </is>
      </c>
      <c r="R1951" s="156" t="n"/>
      <c r="S1951" s="156" t="inlineStr">
        <is>
          <t>100% Algodón</t>
        </is>
      </c>
      <c r="T1951"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1" s="156" t="n"/>
      <c r="V1951" s="156" t="inlineStr">
        <is>
          <t>PZS</t>
        </is>
      </c>
      <c r="W1951" s="51" t="inlineStr">
        <is>
          <t>53101600</t>
        </is>
      </c>
      <c r="X1951" s="156" t="inlineStr">
        <is>
          <t>https://cdn.shopify.com/s/files/1/0888/3250/8267/files/1100104255022a.jpg?v=1744222083</t>
        </is>
      </c>
      <c r="Y1951" s="54" t="n">
        <v>717.6724138</v>
      </c>
      <c r="Z1951" s="54" t="n">
        <v>1594.827586</v>
      </c>
      <c r="AA1951" s="55">
        <f>IF(AND(A1951="", B1951="", E1951=""), "", IF(AB1951="", "Válido", IF((LEN(AB1951)-LEN(SUBSTITUTE(AB1951,"; ","")))/2+1&gt;(LEN(AB1951)-LEN(SUBSTITUTE(AB1951,"[Aviso]","")))/7, "Con Incidencias", "Válido")))</f>
        <v/>
      </c>
      <c r="AB1951" s="56">
        <f>IF(AND(A1951="", B1951="", E1951=""), "", TEXTJOIN("; ", TRUE, IF(OR(TRIM(A1951&amp;"")="", ISNUMBER(SEARCH("FALTA", A1951))), "UPC faltante/inválido", ""), IF(AND(A1951&lt;&gt;"", IFERROR(_xlfn.XMATCH(A1951,$A$2:$A$2509,0,1)&lt;&gt;_xlfn.XMATCH(A1951,$A$2:$A$2509,0,-1),FALSE)), "Código de barras duplicado", ""), IF(AND(E1951&lt;&gt;"", COUNTIF($E$2:$E$2509, E1951)&gt;1), "SKU duplicado", ""), IF(OR(J1951="", J1951=""), "[Aviso] División no capturada ()", IF(ISNA(MATCH(J1951, Criterios!$A$123:$A$126, 0)), "División no válida", "")), IF(OR(K1951="", K1951=""), "[Aviso] Categoría no capturada ()", IF(ISNA(MATCH(K1951, Criterios!$A$81:$A$120, 0)), "Categoría no válida", IF(AND(J1951&lt;&gt;"", J1951&lt;&gt;"", J1951&lt;&gt;VLOOKUP(K1951, Criterios!$A$81:$B$120, 2, FALSE)), "División no coincide con Categoría", ""))), IF(OR(L1951="", L1951=""), "[Aviso] Género no capturado ()", IF(ISNA(MATCH(L1951, Criterios!$B$123:$B$127, 0)), "Género no válido", "")), IF(OR(N1951="", N1951=""), "[Aviso] Temporada no capturada ()", IF(ISNA(MATCH(N1951, Criterios!$C$123:$C$128, 0)), "Temporada no válida", "")), IF(OR(O1951="", O1951=""), "[Aviso] Ciclo de vida no capturado ()", IF(ISNA(MATCH(O1951, Criterios!$D$123:$D$124, 0)), "Ciclo de vida no válido", ""))))</f>
        <v/>
      </c>
      <c r="AC1951" s="56" t="n"/>
      <c r="AD1951" s="51" t="n">
        <v>0</v>
      </c>
      <c r="AE1951" s="156" t="n"/>
      <c r="AF1951" s="51" t="n">
        <v>0</v>
      </c>
      <c r="AG1951" s="156" t="inlineStr">
        <is>
          <t>Catálogo existente</t>
        </is>
      </c>
      <c r="AH195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1" s="156" t="inlineStr">
        <is>
          <t>No</t>
        </is>
      </c>
      <c r="AJ1951" s="156" t="n"/>
      <c r="AK1951" s="155" t="inlineStr">
        <is>
          <t>Descripción y Criterios: G/H [P] | Criterios: J [R]; G1522_Extraccion_Articulos_NetSuite_2026-09-30.xlsx: fila 57327 [S] | Shopify Stetson: producto 14693904548203 / variante 51994212794731</t>
        </is>
      </c>
      <c r="AL1951" s="58" t="n">
        <v>717.6724138</v>
      </c>
      <c r="AM1951" s="58" t="n">
        <v>1594.827586</v>
      </c>
      <c r="AN1951" s="155" t="inlineStr">
        <is>
          <t>Shopify Stetson México</t>
        </is>
      </c>
      <c r="AO1951" s="59" t="n">
        <v>0</v>
      </c>
      <c r="AP1951" s="59" t="n"/>
      <c r="AQ1951" s="59" t="n"/>
      <c r="AR1951" s="155" t="n"/>
    </row>
    <row r="1952">
      <c r="A1952" s="50" t="inlineStr">
        <is>
          <t>196070615326</t>
        </is>
      </c>
      <c r="B1952" s="51" t="inlineStr">
        <is>
          <t>109513</t>
        </is>
      </c>
      <c r="C1952" s="156" t="inlineStr">
        <is>
          <t>Multimarca</t>
        </is>
      </c>
      <c r="D1952" s="156" t="inlineStr">
        <is>
          <t>11-001-0425-5022</t>
        </is>
      </c>
      <c r="E1952" s="156" t="inlineStr">
        <is>
          <t>11-001-0425-5022-XXL</t>
        </is>
      </c>
      <c r="F1952" s="156" t="inlineStr">
        <is>
          <t>XXL</t>
        </is>
      </c>
      <c r="G1952" s="156" t="inlineStr">
        <is>
          <t>XXL</t>
        </is>
      </c>
      <c r="H1952" s="156" t="inlineStr">
        <is>
          <t>Stetson</t>
        </is>
      </c>
      <c r="I1952" s="156" t="inlineStr">
        <is>
          <t>Camisa Manga Larga Cuadrado Neat</t>
        </is>
      </c>
      <c r="J1952" s="156" t="inlineStr">
        <is>
          <t>Ropa</t>
        </is>
      </c>
      <c r="K1952" s="156" t="inlineStr">
        <is>
          <t>Camisas</t>
        </is>
      </c>
      <c r="L1952" s="156" t="inlineStr">
        <is>
          <t>Hombre</t>
        </is>
      </c>
      <c r="M1952" s="156" t="inlineStr">
        <is>
          <t>Stetson</t>
        </is>
      </c>
      <c r="N1952" s="156" t="inlineStr">
        <is>
          <t>SS26</t>
        </is>
      </c>
      <c r="O1952" s="156" t="inlineStr">
        <is>
          <t>Seasonal</t>
        </is>
      </c>
      <c r="P1952" s="156" t="inlineStr">
        <is>
          <t>Negro</t>
        </is>
      </c>
      <c r="Q1952" s="156" t="inlineStr">
        <is>
          <t>Clásico</t>
        </is>
      </c>
      <c r="R1952" s="156" t="n"/>
      <c r="S1952" s="156" t="inlineStr">
        <is>
          <t>100% Algodón</t>
        </is>
      </c>
      <c r="T1952"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2" s="156" t="n"/>
      <c r="V1952" s="156" t="inlineStr">
        <is>
          <t>PZS</t>
        </is>
      </c>
      <c r="W1952" s="51" t="inlineStr">
        <is>
          <t>53101600</t>
        </is>
      </c>
      <c r="X1952" s="156" t="inlineStr">
        <is>
          <t>https://cdn.shopify.com/s/files/1/0888/3250/8267/files/1100104255022a.jpg?v=1744222083</t>
        </is>
      </c>
      <c r="Y1952" s="54" t="n">
        <v>717.6724138</v>
      </c>
      <c r="Z1952" s="54" t="n">
        <v>1594.827586</v>
      </c>
      <c r="AA1952" s="55">
        <f>IF(AND(A1952="", B1952="", E1952=""), "", IF(AB1952="", "Válido", IF((LEN(AB1952)-LEN(SUBSTITUTE(AB1952,"; ","")))/2+1&gt;(LEN(AB1952)-LEN(SUBSTITUTE(AB1952,"[Aviso]","")))/7, "Con Incidencias", "Válido")))</f>
        <v/>
      </c>
      <c r="AB1952" s="56">
        <f>IF(AND(A1952="", B1952="", E1952=""), "", TEXTJOIN("; ", TRUE, IF(OR(TRIM(A1952&amp;"")="", ISNUMBER(SEARCH("FALTA", A1952))), "UPC faltante/inválido", ""), IF(AND(A1952&lt;&gt;"", IFERROR(_xlfn.XMATCH(A1952,$A$2:$A$2509,0,1)&lt;&gt;_xlfn.XMATCH(A1952,$A$2:$A$2509,0,-1),FALSE)), "Código de barras duplicado", ""), IF(AND(E1952&lt;&gt;"", COUNTIF($E$2:$E$2509, E1952)&gt;1), "SKU duplicado", ""), IF(OR(J1952="", J1952=""), "[Aviso] División no capturada ()", IF(ISNA(MATCH(J1952, Criterios!$A$123:$A$126, 0)), "División no válida", "")), IF(OR(K1952="", K1952=""), "[Aviso] Categoría no capturada ()", IF(ISNA(MATCH(K1952, Criterios!$A$81:$A$120, 0)), "Categoría no válida", IF(AND(J1952&lt;&gt;"", J1952&lt;&gt;"", J1952&lt;&gt;VLOOKUP(K1952, Criterios!$A$81:$B$120, 2, FALSE)), "División no coincide con Categoría", ""))), IF(OR(L1952="", L1952=""), "[Aviso] Género no capturado ()", IF(ISNA(MATCH(L1952, Criterios!$B$123:$B$127, 0)), "Género no válido", "")), IF(OR(N1952="", N1952=""), "[Aviso] Temporada no capturada ()", IF(ISNA(MATCH(N1952, Criterios!$C$123:$C$128, 0)), "Temporada no válida", "")), IF(OR(O1952="", O1952=""), "[Aviso] Ciclo de vida no capturado ()", IF(ISNA(MATCH(O1952, Criterios!$D$123:$D$124, 0)), "Ciclo de vida no válido", ""))))</f>
        <v/>
      </c>
      <c r="AC1952" s="56" t="n"/>
      <c r="AD1952" s="51" t="n">
        <v>0</v>
      </c>
      <c r="AE1952" s="156" t="n"/>
      <c r="AF1952" s="51" t="n">
        <v>0</v>
      </c>
      <c r="AG1952" s="156" t="inlineStr">
        <is>
          <t>Catálogo existente</t>
        </is>
      </c>
      <c r="AH195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2" s="156" t="inlineStr">
        <is>
          <t>No</t>
        </is>
      </c>
      <c r="AJ1952" s="156" t="n"/>
      <c r="AK1952" s="155" t="inlineStr">
        <is>
          <t>Descripción y Criterios: G/H [P] | Criterios: J [R]; G1522_Extraccion_Articulos_NetSuite_2026-09-30.xlsx: fila 57328 [S] | Shopify Stetson: producto 14693904548203 / variante 51994212827499</t>
        </is>
      </c>
      <c r="AL1952" s="58" t="n">
        <v>717.6724138</v>
      </c>
      <c r="AM1952" s="58" t="n">
        <v>1594.827586</v>
      </c>
      <c r="AN1952" s="155" t="inlineStr">
        <is>
          <t>Shopify Stetson México</t>
        </is>
      </c>
      <c r="AO1952" s="59" t="n">
        <v>0</v>
      </c>
      <c r="AP1952" s="59" t="n"/>
      <c r="AQ1952" s="59" t="n"/>
      <c r="AR1952" s="155" t="n"/>
    </row>
    <row r="1953">
      <c r="A1953" s="50" t="inlineStr">
        <is>
          <t>196070615340</t>
        </is>
      </c>
      <c r="B1953" s="51" t="inlineStr">
        <is>
          <t>109514</t>
        </is>
      </c>
      <c r="C1953" s="156" t="inlineStr">
        <is>
          <t>Multimarca</t>
        </is>
      </c>
      <c r="D1953" s="156" t="inlineStr">
        <is>
          <t>11-001-0425-5023</t>
        </is>
      </c>
      <c r="E1953" s="156" t="inlineStr">
        <is>
          <t>11-001-0425-5023-L</t>
        </is>
      </c>
      <c r="F1953" s="156" t="inlineStr">
        <is>
          <t>L</t>
        </is>
      </c>
      <c r="G1953" s="156" t="inlineStr">
        <is>
          <t>L</t>
        </is>
      </c>
      <c r="H1953" s="156" t="inlineStr">
        <is>
          <t>Stetson</t>
        </is>
      </c>
      <c r="I1953" s="156" t="inlineStr">
        <is>
          <t>Camisa Manga Larga Azteca</t>
        </is>
      </c>
      <c r="J1953" s="156" t="inlineStr">
        <is>
          <t>Ropa</t>
        </is>
      </c>
      <c r="K1953" s="156" t="inlineStr">
        <is>
          <t>Camisas</t>
        </is>
      </c>
      <c r="L1953" s="156" t="inlineStr">
        <is>
          <t>Hombre</t>
        </is>
      </c>
      <c r="M1953" s="156" t="inlineStr">
        <is>
          <t>Stetson</t>
        </is>
      </c>
      <c r="N1953" s="156" t="inlineStr">
        <is>
          <t>SS26</t>
        </is>
      </c>
      <c r="O1953" s="156" t="inlineStr">
        <is>
          <t>Seasonal</t>
        </is>
      </c>
      <c r="P1953" s="156" t="inlineStr">
        <is>
          <t>Negro</t>
        </is>
      </c>
      <c r="Q1953" s="156" t="inlineStr">
        <is>
          <t>Clásico</t>
        </is>
      </c>
      <c r="R1953" s="156" t="n"/>
      <c r="S1953" s="156" t="inlineStr">
        <is>
          <t>100% Algodón</t>
        </is>
      </c>
      <c r="T1953"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3" s="156" t="n"/>
      <c r="V1953" s="156" t="inlineStr">
        <is>
          <t>PZS</t>
        </is>
      </c>
      <c r="W1953" s="51" t="inlineStr">
        <is>
          <t>53101600</t>
        </is>
      </c>
      <c r="X1953" s="156" t="inlineStr">
        <is>
          <t>https://cdn.shopify.com/s/files/1/0888/3250/8267/files/1100104255023b.jpg?v=1744223109</t>
        </is>
      </c>
      <c r="Y1953" s="54" t="n">
        <v>717.6724138</v>
      </c>
      <c r="Z1953" s="54" t="n">
        <v>1594.827586</v>
      </c>
      <c r="AA1953" s="55">
        <f>IF(AND(A1953="", B1953="", E1953=""), "", IF(AB1953="", "Válido", IF((LEN(AB1953)-LEN(SUBSTITUTE(AB1953,"; ","")))/2+1&gt;(LEN(AB1953)-LEN(SUBSTITUTE(AB1953,"[Aviso]","")))/7, "Con Incidencias", "Válido")))</f>
        <v/>
      </c>
      <c r="AB1953" s="56">
        <f>IF(AND(A1953="", B1953="", E1953=""), "", TEXTJOIN("; ", TRUE, IF(OR(TRIM(A1953&amp;"")="", ISNUMBER(SEARCH("FALTA", A1953))), "UPC faltante/inválido", ""), IF(AND(A1953&lt;&gt;"", IFERROR(_xlfn.XMATCH(A1953,$A$2:$A$2509,0,1)&lt;&gt;_xlfn.XMATCH(A1953,$A$2:$A$2509,0,-1),FALSE)), "Código de barras duplicado", ""), IF(AND(E1953&lt;&gt;"", COUNTIF($E$2:$E$2509, E1953)&gt;1), "SKU duplicado", ""), IF(OR(J1953="", J1953=""), "[Aviso] División no capturada ()", IF(ISNA(MATCH(J1953, Criterios!$A$123:$A$126, 0)), "División no válida", "")), IF(OR(K1953="", K1953=""), "[Aviso] Categoría no capturada ()", IF(ISNA(MATCH(K1953, Criterios!$A$81:$A$120, 0)), "Categoría no válida", IF(AND(J1953&lt;&gt;"", J1953&lt;&gt;"", J1953&lt;&gt;VLOOKUP(K1953, Criterios!$A$81:$B$120, 2, FALSE)), "División no coincide con Categoría", ""))), IF(OR(L1953="", L1953=""), "[Aviso] Género no capturado ()", IF(ISNA(MATCH(L1953, Criterios!$B$123:$B$127, 0)), "Género no válido", "")), IF(OR(N1953="", N1953=""), "[Aviso] Temporada no capturada ()", IF(ISNA(MATCH(N1953, Criterios!$C$123:$C$128, 0)), "Temporada no válida", "")), IF(OR(O1953="", O1953=""), "[Aviso] Ciclo de vida no capturado ()", IF(ISNA(MATCH(O1953, Criterios!$D$123:$D$124, 0)), "Ciclo de vida no válido", ""))))</f>
        <v/>
      </c>
      <c r="AC1953" s="56" t="n"/>
      <c r="AD1953" s="51" t="n">
        <v>0</v>
      </c>
      <c r="AE1953" s="156" t="n"/>
      <c r="AF1953" s="51" t="n">
        <v>0</v>
      </c>
      <c r="AG1953" s="156" t="inlineStr">
        <is>
          <t>Catálogo existente</t>
        </is>
      </c>
      <c r="AH1953"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3" s="156" t="inlineStr">
        <is>
          <t>No</t>
        </is>
      </c>
      <c r="AJ1953" s="156" t="n"/>
      <c r="AK1953" s="155" t="inlineStr">
        <is>
          <t>Descripción y Criterios: G/H [P] | Criterios: J [R]; G1522_Extraccion_Articulos_NetSuite_2026-09-30.xlsx: fila 57329 [S] | Shopify Stetson: producto 14693909201259 / variante 51994240221547</t>
        </is>
      </c>
      <c r="AL1953" s="58" t="n">
        <v>717.6724138</v>
      </c>
      <c r="AM1953" s="58" t="n">
        <v>1594.827586</v>
      </c>
      <c r="AN1953" s="155" t="inlineStr">
        <is>
          <t>Shopify Stetson México</t>
        </is>
      </c>
      <c r="AO1953" s="59" t="n">
        <v>0</v>
      </c>
      <c r="AP1953" s="59" t="n"/>
      <c r="AQ1953" s="59" t="n"/>
      <c r="AR1953" s="155" t="n"/>
    </row>
    <row r="1954">
      <c r="A1954" s="50" t="inlineStr">
        <is>
          <t>196070615357</t>
        </is>
      </c>
      <c r="B1954" s="51" t="inlineStr">
        <is>
          <t>109515</t>
        </is>
      </c>
      <c r="C1954" s="156" t="inlineStr">
        <is>
          <t>Multimarca</t>
        </is>
      </c>
      <c r="D1954" s="156" t="inlineStr">
        <is>
          <t>11-001-0425-5023</t>
        </is>
      </c>
      <c r="E1954" s="156" t="inlineStr">
        <is>
          <t>11-001-0425-5023-M</t>
        </is>
      </c>
      <c r="F1954" s="156" t="inlineStr">
        <is>
          <t>M</t>
        </is>
      </c>
      <c r="G1954" s="156" t="inlineStr">
        <is>
          <t>M</t>
        </is>
      </c>
      <c r="H1954" s="156" t="inlineStr">
        <is>
          <t>Stetson</t>
        </is>
      </c>
      <c r="I1954" s="156" t="inlineStr">
        <is>
          <t>Camisa Manga Larga Azteca</t>
        </is>
      </c>
      <c r="J1954" s="156" t="inlineStr">
        <is>
          <t>Ropa</t>
        </is>
      </c>
      <c r="K1954" s="156" t="inlineStr">
        <is>
          <t>Camisas</t>
        </is>
      </c>
      <c r="L1954" s="156" t="inlineStr">
        <is>
          <t>Hombre</t>
        </is>
      </c>
      <c r="M1954" s="156" t="inlineStr">
        <is>
          <t>Stetson</t>
        </is>
      </c>
      <c r="N1954" s="156" t="inlineStr">
        <is>
          <t>SS26</t>
        </is>
      </c>
      <c r="O1954" s="156" t="inlineStr">
        <is>
          <t>Seasonal</t>
        </is>
      </c>
      <c r="P1954" s="156" t="inlineStr">
        <is>
          <t>Negro</t>
        </is>
      </c>
      <c r="Q1954" s="156" t="inlineStr">
        <is>
          <t>Clásico</t>
        </is>
      </c>
      <c r="R1954" s="156" t="n"/>
      <c r="S1954" s="156" t="inlineStr">
        <is>
          <t>100% Algodón</t>
        </is>
      </c>
      <c r="T1954"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4" s="156" t="n"/>
      <c r="V1954" s="156" t="inlineStr">
        <is>
          <t>PZS</t>
        </is>
      </c>
      <c r="W1954" s="51" t="inlineStr">
        <is>
          <t>53101600</t>
        </is>
      </c>
      <c r="X1954" s="156" t="inlineStr">
        <is>
          <t>https://cdn.shopify.com/s/files/1/0888/3250/8267/files/1100104255023a.jpg?v=1744223102</t>
        </is>
      </c>
      <c r="Y1954" s="54" t="n">
        <v>717.6724138</v>
      </c>
      <c r="Z1954" s="54" t="n">
        <v>1594.827586</v>
      </c>
      <c r="AA1954" s="55">
        <f>IF(AND(A1954="", B1954="", E1954=""), "", IF(AB1954="", "Válido", IF((LEN(AB1954)-LEN(SUBSTITUTE(AB1954,"; ","")))/2+1&gt;(LEN(AB1954)-LEN(SUBSTITUTE(AB1954,"[Aviso]","")))/7, "Con Incidencias", "Válido")))</f>
        <v/>
      </c>
      <c r="AB1954" s="56">
        <f>IF(AND(A1954="", B1954="", E1954=""), "", TEXTJOIN("; ", TRUE, IF(OR(TRIM(A1954&amp;"")="", ISNUMBER(SEARCH("FALTA", A1954))), "UPC faltante/inválido", ""), IF(AND(A1954&lt;&gt;"", IFERROR(_xlfn.XMATCH(A1954,$A$2:$A$2509,0,1)&lt;&gt;_xlfn.XMATCH(A1954,$A$2:$A$2509,0,-1),FALSE)), "Código de barras duplicado", ""), IF(AND(E1954&lt;&gt;"", COUNTIF($E$2:$E$2509, E1954)&gt;1), "SKU duplicado", ""), IF(OR(J1954="", J1954=""), "[Aviso] División no capturada ()", IF(ISNA(MATCH(J1954, Criterios!$A$123:$A$126, 0)), "División no válida", "")), IF(OR(K1954="", K1954=""), "[Aviso] Categoría no capturada ()", IF(ISNA(MATCH(K1954, Criterios!$A$81:$A$120, 0)), "Categoría no válida", IF(AND(J1954&lt;&gt;"", J1954&lt;&gt;"", J1954&lt;&gt;VLOOKUP(K1954, Criterios!$A$81:$B$120, 2, FALSE)), "División no coincide con Categoría", ""))), IF(OR(L1954="", L1954=""), "[Aviso] Género no capturado ()", IF(ISNA(MATCH(L1954, Criterios!$B$123:$B$127, 0)), "Género no válido", "")), IF(OR(N1954="", N1954=""), "[Aviso] Temporada no capturada ()", IF(ISNA(MATCH(N1954, Criterios!$C$123:$C$128, 0)), "Temporada no válida", "")), IF(OR(O1954="", O1954=""), "[Aviso] Ciclo de vida no capturado ()", IF(ISNA(MATCH(O1954, Criterios!$D$123:$D$124, 0)), "Ciclo de vida no válido", ""))))</f>
        <v/>
      </c>
      <c r="AC1954" s="56" t="n"/>
      <c r="AD1954" s="51" t="n">
        <v>0</v>
      </c>
      <c r="AE1954" s="156" t="n"/>
      <c r="AF1954" s="51" t="n">
        <v>0</v>
      </c>
      <c r="AG1954" s="156" t="inlineStr">
        <is>
          <t>Catálogo existente</t>
        </is>
      </c>
      <c r="AH195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4" s="156" t="inlineStr">
        <is>
          <t>No</t>
        </is>
      </c>
      <c r="AJ1954" s="156" t="n"/>
      <c r="AK1954" s="155" t="inlineStr">
        <is>
          <t>Descripción y Criterios: G/H [P] | Criterios: J [R]; G1522_Extraccion_Articulos_NetSuite_2026-09-30.xlsx: fila 57330 [S] | Shopify Stetson: producto 14693909201259 / variante 51994240188779</t>
        </is>
      </c>
      <c r="AL1954" s="58" t="n">
        <v>717.6724138</v>
      </c>
      <c r="AM1954" s="58" t="n">
        <v>1594.827586</v>
      </c>
      <c r="AN1954" s="155" t="inlineStr">
        <is>
          <t>Shopify Stetson México</t>
        </is>
      </c>
      <c r="AO1954" s="59" t="n">
        <v>0</v>
      </c>
      <c r="AP1954" s="59" t="n"/>
      <c r="AQ1954" s="59" t="n"/>
      <c r="AR1954" s="155" t="n"/>
    </row>
    <row r="1955">
      <c r="A1955" s="50" t="inlineStr">
        <is>
          <t>196070615371</t>
        </is>
      </c>
      <c r="B1955" s="51" t="inlineStr">
        <is>
          <t>109516</t>
        </is>
      </c>
      <c r="C1955" s="156" t="inlineStr">
        <is>
          <t>Multimarca</t>
        </is>
      </c>
      <c r="D1955" s="156" t="inlineStr">
        <is>
          <t>11-001-0425-5023</t>
        </is>
      </c>
      <c r="E1955" s="156" t="inlineStr">
        <is>
          <t>11-001-0425-5023-XL</t>
        </is>
      </c>
      <c r="F1955" s="156" t="inlineStr">
        <is>
          <t>XL</t>
        </is>
      </c>
      <c r="G1955" s="156" t="inlineStr">
        <is>
          <t>XL</t>
        </is>
      </c>
      <c r="H1955" s="156" t="inlineStr">
        <is>
          <t>Stetson</t>
        </is>
      </c>
      <c r="I1955" s="156" t="inlineStr">
        <is>
          <t>Camisa Manga Larga Azteca</t>
        </is>
      </c>
      <c r="J1955" s="156" t="inlineStr">
        <is>
          <t>Ropa</t>
        </is>
      </c>
      <c r="K1955" s="156" t="inlineStr">
        <is>
          <t>Camisas</t>
        </is>
      </c>
      <c r="L1955" s="156" t="inlineStr">
        <is>
          <t>Hombre</t>
        </is>
      </c>
      <c r="M1955" s="156" t="inlineStr">
        <is>
          <t>Stetson</t>
        </is>
      </c>
      <c r="N1955" s="156" t="inlineStr">
        <is>
          <t>SS26</t>
        </is>
      </c>
      <c r="O1955" s="156" t="inlineStr">
        <is>
          <t>Seasonal</t>
        </is>
      </c>
      <c r="P1955" s="156" t="inlineStr">
        <is>
          <t>Negro</t>
        </is>
      </c>
      <c r="Q1955" s="156" t="inlineStr">
        <is>
          <t>Clásico</t>
        </is>
      </c>
      <c r="R1955" s="156" t="n"/>
      <c r="S1955" s="156" t="inlineStr">
        <is>
          <t>100% Algodón</t>
        </is>
      </c>
      <c r="T1955"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5" s="156" t="n"/>
      <c r="V1955" s="156" t="inlineStr">
        <is>
          <t>PZS</t>
        </is>
      </c>
      <c r="W1955" s="51" t="inlineStr">
        <is>
          <t>53101600</t>
        </is>
      </c>
      <c r="X1955" s="156" t="inlineStr">
        <is>
          <t>https://cdn.shopify.com/s/files/1/0888/3250/8267/files/1100104255023c.jpg?v=1744223113</t>
        </is>
      </c>
      <c r="Y1955" s="54" t="n">
        <v>717.6724138</v>
      </c>
      <c r="Z1955" s="54" t="n">
        <v>1594.827586</v>
      </c>
      <c r="AA1955" s="55">
        <f>IF(AND(A1955="", B1955="", E1955=""), "", IF(AB1955="", "Válido", IF((LEN(AB1955)-LEN(SUBSTITUTE(AB1955,"; ","")))/2+1&gt;(LEN(AB1955)-LEN(SUBSTITUTE(AB1955,"[Aviso]","")))/7, "Con Incidencias", "Válido")))</f>
        <v/>
      </c>
      <c r="AB1955" s="56">
        <f>IF(AND(A1955="", B1955="", E1955=""), "", TEXTJOIN("; ", TRUE, IF(OR(TRIM(A1955&amp;"")="", ISNUMBER(SEARCH("FALTA", A1955))), "UPC faltante/inválido", ""), IF(AND(A1955&lt;&gt;"", IFERROR(_xlfn.XMATCH(A1955,$A$2:$A$2509,0,1)&lt;&gt;_xlfn.XMATCH(A1955,$A$2:$A$2509,0,-1),FALSE)), "Código de barras duplicado", ""), IF(AND(E1955&lt;&gt;"", COUNTIF($E$2:$E$2509, E1955)&gt;1), "SKU duplicado", ""), IF(OR(J1955="", J1955=""), "[Aviso] División no capturada ()", IF(ISNA(MATCH(J1955, Criterios!$A$123:$A$126, 0)), "División no válida", "")), IF(OR(K1955="", K1955=""), "[Aviso] Categoría no capturada ()", IF(ISNA(MATCH(K1955, Criterios!$A$81:$A$120, 0)), "Categoría no válida", IF(AND(J1955&lt;&gt;"", J1955&lt;&gt;"", J1955&lt;&gt;VLOOKUP(K1955, Criterios!$A$81:$B$120, 2, FALSE)), "División no coincide con Categoría", ""))), IF(OR(L1955="", L1955=""), "[Aviso] Género no capturado ()", IF(ISNA(MATCH(L1955, Criterios!$B$123:$B$127, 0)), "Género no válido", "")), IF(OR(N1955="", N1955=""), "[Aviso] Temporada no capturada ()", IF(ISNA(MATCH(N1955, Criterios!$C$123:$C$128, 0)), "Temporada no válida", "")), IF(OR(O1955="", O1955=""), "[Aviso] Ciclo de vida no capturado ()", IF(ISNA(MATCH(O1955, Criterios!$D$123:$D$124, 0)), "Ciclo de vida no válido", ""))))</f>
        <v/>
      </c>
      <c r="AC1955" s="56" t="n"/>
      <c r="AD1955" s="51" t="n">
        <v>0</v>
      </c>
      <c r="AE1955" s="156" t="n"/>
      <c r="AF1955" s="51" t="n">
        <v>0</v>
      </c>
      <c r="AG1955" s="156" t="inlineStr">
        <is>
          <t>Catálogo existente</t>
        </is>
      </c>
      <c r="AH195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5" s="156" t="inlineStr">
        <is>
          <t>No</t>
        </is>
      </c>
      <c r="AJ1955" s="156" t="n"/>
      <c r="AK1955" s="155" t="inlineStr">
        <is>
          <t>Descripción y Criterios: G/H [P] | Criterios: J [R]; G1522_Extraccion_Articulos_NetSuite_2026-09-30.xlsx: fila 57331 [S] | Shopify Stetson: producto 14693909201259 / variante 51994240254315</t>
        </is>
      </c>
      <c r="AL1955" s="58" t="n">
        <v>717.6724138</v>
      </c>
      <c r="AM1955" s="58" t="n">
        <v>1594.827586</v>
      </c>
      <c r="AN1955" s="155" t="inlineStr">
        <is>
          <t>Shopify Stetson México</t>
        </is>
      </c>
      <c r="AO1955" s="59" t="n">
        <v>0</v>
      </c>
      <c r="AP1955" s="59" t="n"/>
      <c r="AQ1955" s="59" t="n"/>
      <c r="AR1955" s="155" t="n"/>
    </row>
    <row r="1956">
      <c r="A1956" s="50" t="inlineStr">
        <is>
          <t>196070615388</t>
        </is>
      </c>
      <c r="B1956" s="51" t="inlineStr">
        <is>
          <t>109517</t>
        </is>
      </c>
      <c r="C1956" s="156" t="inlineStr">
        <is>
          <t>Multimarca</t>
        </is>
      </c>
      <c r="D1956" s="156" t="inlineStr">
        <is>
          <t>11-001-0425-5023</t>
        </is>
      </c>
      <c r="E1956" s="156" t="inlineStr">
        <is>
          <t>11-001-0425-5023-XXL</t>
        </is>
      </c>
      <c r="F1956" s="156" t="inlineStr">
        <is>
          <t>XXL</t>
        </is>
      </c>
      <c r="G1956" s="156" t="inlineStr">
        <is>
          <t>XXL</t>
        </is>
      </c>
      <c r="H1956" s="156" t="inlineStr">
        <is>
          <t>Stetson</t>
        </is>
      </c>
      <c r="I1956" s="156" t="inlineStr">
        <is>
          <t>Camisa Manga Larga Azteca</t>
        </is>
      </c>
      <c r="J1956" s="156" t="inlineStr">
        <is>
          <t>Ropa</t>
        </is>
      </c>
      <c r="K1956" s="156" t="inlineStr">
        <is>
          <t>Camisas</t>
        </is>
      </c>
      <c r="L1956" s="156" t="inlineStr">
        <is>
          <t>Hombre</t>
        </is>
      </c>
      <c r="M1956" s="156" t="inlineStr">
        <is>
          <t>Stetson</t>
        </is>
      </c>
      <c r="N1956" s="156" t="inlineStr">
        <is>
          <t>SS26</t>
        </is>
      </c>
      <c r="O1956" s="156" t="inlineStr">
        <is>
          <t>Seasonal</t>
        </is>
      </c>
      <c r="P1956" s="156" t="inlineStr">
        <is>
          <t>Negro</t>
        </is>
      </c>
      <c r="Q1956" s="156" t="inlineStr">
        <is>
          <t>Clásico</t>
        </is>
      </c>
      <c r="R1956" s="156" t="n"/>
      <c r="S1956" s="156" t="inlineStr">
        <is>
          <t>100% Algodón</t>
        </is>
      </c>
      <c r="T1956"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6" s="156" t="n"/>
      <c r="V1956" s="156" t="inlineStr">
        <is>
          <t>PZS</t>
        </is>
      </c>
      <c r="W1956" s="51" t="inlineStr">
        <is>
          <t>53101600</t>
        </is>
      </c>
      <c r="X1956" s="156" t="inlineStr">
        <is>
          <t>https://cdn.shopify.com/s/files/1/0888/3250/8267/files/1100104255023a.jpg?v=1744223102</t>
        </is>
      </c>
      <c r="Y1956" s="54" t="n">
        <v>717.6724138</v>
      </c>
      <c r="Z1956" s="54" t="n">
        <v>1594.827586</v>
      </c>
      <c r="AA1956" s="55">
        <f>IF(AND(A1956="", B1956="", E1956=""), "", IF(AB1956="", "Válido", IF((LEN(AB1956)-LEN(SUBSTITUTE(AB1956,"; ","")))/2+1&gt;(LEN(AB1956)-LEN(SUBSTITUTE(AB1956,"[Aviso]","")))/7, "Con Incidencias", "Válido")))</f>
        <v/>
      </c>
      <c r="AB1956" s="56">
        <f>IF(AND(A1956="", B1956="", E1956=""), "", TEXTJOIN("; ", TRUE, IF(OR(TRIM(A1956&amp;"")="", ISNUMBER(SEARCH("FALTA", A1956))), "UPC faltante/inválido", ""), IF(AND(A1956&lt;&gt;"", IFERROR(_xlfn.XMATCH(A1956,$A$2:$A$2509,0,1)&lt;&gt;_xlfn.XMATCH(A1956,$A$2:$A$2509,0,-1),FALSE)), "Código de barras duplicado", ""), IF(AND(E1956&lt;&gt;"", COUNTIF($E$2:$E$2509, E1956)&gt;1), "SKU duplicado", ""), IF(OR(J1956="", J1956=""), "[Aviso] División no capturada ()", IF(ISNA(MATCH(J1956, Criterios!$A$123:$A$126, 0)), "División no válida", "")), IF(OR(K1956="", K1956=""), "[Aviso] Categoría no capturada ()", IF(ISNA(MATCH(K1956, Criterios!$A$81:$A$120, 0)), "Categoría no válida", IF(AND(J1956&lt;&gt;"", J1956&lt;&gt;"", J1956&lt;&gt;VLOOKUP(K1956, Criterios!$A$81:$B$120, 2, FALSE)), "División no coincide con Categoría", ""))), IF(OR(L1956="", L1956=""), "[Aviso] Género no capturado ()", IF(ISNA(MATCH(L1956, Criterios!$B$123:$B$127, 0)), "Género no válido", "")), IF(OR(N1956="", N1956=""), "[Aviso] Temporada no capturada ()", IF(ISNA(MATCH(N1956, Criterios!$C$123:$C$128, 0)), "Temporada no válida", "")), IF(OR(O1956="", O1956=""), "[Aviso] Ciclo de vida no capturado ()", IF(ISNA(MATCH(O1956, Criterios!$D$123:$D$124, 0)), "Ciclo de vida no válido", ""))))</f>
        <v/>
      </c>
      <c r="AC1956" s="56" t="n"/>
      <c r="AD1956" s="51" t="n">
        <v>0</v>
      </c>
      <c r="AE1956" s="156" t="n"/>
      <c r="AF1956" s="51" t="n">
        <v>0</v>
      </c>
      <c r="AG1956" s="156" t="inlineStr">
        <is>
          <t>Catálogo existente</t>
        </is>
      </c>
      <c r="AH1956"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6" s="156" t="inlineStr">
        <is>
          <t>No</t>
        </is>
      </c>
      <c r="AJ1956" s="156" t="n"/>
      <c r="AK1956" s="155" t="inlineStr">
        <is>
          <t>Descripción y Criterios: G/H [P] | Criterios: J [R]; G1522_Extraccion_Articulos_NetSuite_2026-09-30.xlsx: fila 57332 [S] | Shopify Stetson: producto 14693909201259 / variante 51994240287083</t>
        </is>
      </c>
      <c r="AL1956" s="58" t="n">
        <v>717.6724138</v>
      </c>
      <c r="AM1956" s="58" t="n">
        <v>1594.827586</v>
      </c>
      <c r="AN1956" s="155" t="inlineStr">
        <is>
          <t>Shopify Stetson México</t>
        </is>
      </c>
      <c r="AO1956" s="59" t="n">
        <v>0</v>
      </c>
      <c r="AP1956" s="59" t="n"/>
      <c r="AQ1956" s="59" t="n"/>
      <c r="AR1956" s="155" t="n"/>
    </row>
    <row r="1957">
      <c r="A1957" s="50" t="inlineStr">
        <is>
          <t>196070615425</t>
        </is>
      </c>
      <c r="B1957" s="51" t="inlineStr">
        <is>
          <t>109518</t>
        </is>
      </c>
      <c r="C1957" s="156" t="inlineStr">
        <is>
          <t>Multimarca</t>
        </is>
      </c>
      <c r="D1957" s="156" t="inlineStr">
        <is>
          <t>11-001-0425-5024</t>
        </is>
      </c>
      <c r="E1957" s="156" t="inlineStr">
        <is>
          <t>11-001-0425-5024-S</t>
        </is>
      </c>
      <c r="F1957" s="156" t="inlineStr">
        <is>
          <t>S</t>
        </is>
      </c>
      <c r="G1957" s="156" t="inlineStr">
        <is>
          <t>S</t>
        </is>
      </c>
      <c r="H1957" s="156" t="inlineStr">
        <is>
          <t>Stetson</t>
        </is>
      </c>
      <c r="I1957" s="156" t="inlineStr">
        <is>
          <t>Camisa Manga Larga Tonal Paisley</t>
        </is>
      </c>
      <c r="J1957" s="156" t="inlineStr">
        <is>
          <t>Ropa</t>
        </is>
      </c>
      <c r="K1957" s="156" t="inlineStr">
        <is>
          <t>Camisas</t>
        </is>
      </c>
      <c r="L1957" s="156" t="inlineStr">
        <is>
          <t>Hombre</t>
        </is>
      </c>
      <c r="M1957" s="156" t="inlineStr">
        <is>
          <t>Stetson</t>
        </is>
      </c>
      <c r="N1957" s="156" t="inlineStr">
        <is>
          <t>SS26</t>
        </is>
      </c>
      <c r="O1957" s="156" t="inlineStr">
        <is>
          <t>Seasonal</t>
        </is>
      </c>
      <c r="P1957" s="156" t="inlineStr">
        <is>
          <t>Negro</t>
        </is>
      </c>
      <c r="Q1957" s="156" t="inlineStr">
        <is>
          <t>Clásico</t>
        </is>
      </c>
      <c r="R1957" s="156" t="n"/>
      <c r="S1957" s="156" t="inlineStr">
        <is>
          <t>100% Algodón</t>
        </is>
      </c>
      <c r="T1957" s="156" t="inlineStr">
        <is>
          <t>Camisa Stetson para Caballero – Manga Larga con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Tonal Paisley 2034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7" s="156" t="n"/>
      <c r="V1957" s="156" t="inlineStr">
        <is>
          <t>PZS</t>
        </is>
      </c>
      <c r="W1957" s="51" t="inlineStr">
        <is>
          <t>53101600</t>
        </is>
      </c>
      <c r="X1957" s="156" t="inlineStr">
        <is>
          <t>https://cdn.shopify.com/s/files/1/0888/3250/8267/files/1100104255024a.jpg?v=1744223505</t>
        </is>
      </c>
      <c r="Y1957" s="54" t="n">
        <v>717.6724138</v>
      </c>
      <c r="Z1957" s="54" t="n">
        <v>1594.827586</v>
      </c>
      <c r="AA1957" s="55">
        <f>IF(AND(A1957="", B1957="", E1957=""), "", IF(AB1957="", "Válido", IF((LEN(AB1957)-LEN(SUBSTITUTE(AB1957,"; ","")))/2+1&gt;(LEN(AB1957)-LEN(SUBSTITUTE(AB1957,"[Aviso]","")))/7, "Con Incidencias", "Válido")))</f>
        <v/>
      </c>
      <c r="AB1957" s="56">
        <f>IF(AND(A1957="", B1957="", E1957=""), "", TEXTJOIN("; ", TRUE, IF(OR(TRIM(A1957&amp;"")="", ISNUMBER(SEARCH("FALTA", A1957))), "UPC faltante/inválido", ""), IF(AND(A1957&lt;&gt;"", IFERROR(_xlfn.XMATCH(A1957,$A$2:$A$2509,0,1)&lt;&gt;_xlfn.XMATCH(A1957,$A$2:$A$2509,0,-1),FALSE)), "Código de barras duplicado", ""), IF(AND(E1957&lt;&gt;"", COUNTIF($E$2:$E$2509, E1957)&gt;1), "SKU duplicado", ""), IF(OR(J1957="", J1957=""), "[Aviso] División no capturada ()", IF(ISNA(MATCH(J1957, Criterios!$A$123:$A$126, 0)), "División no válida", "")), IF(OR(K1957="", K1957=""), "[Aviso] Categoría no capturada ()", IF(ISNA(MATCH(K1957, Criterios!$A$81:$A$120, 0)), "Categoría no válida", IF(AND(J1957&lt;&gt;"", J1957&lt;&gt;"", J1957&lt;&gt;VLOOKUP(K1957, Criterios!$A$81:$B$120, 2, FALSE)), "División no coincide con Categoría", ""))), IF(OR(L1957="", L1957=""), "[Aviso] Género no capturado ()", IF(ISNA(MATCH(L1957, Criterios!$B$123:$B$127, 0)), "Género no válido", "")), IF(OR(N1957="", N1957=""), "[Aviso] Temporada no capturada ()", IF(ISNA(MATCH(N1957, Criterios!$C$123:$C$128, 0)), "Temporada no válida", "")), IF(OR(O1957="", O1957=""), "[Aviso] Ciclo de vida no capturado ()", IF(ISNA(MATCH(O1957, Criterios!$D$123:$D$124, 0)), "Ciclo de vida no válido", ""))))</f>
        <v/>
      </c>
      <c r="AC1957" s="56" t="n"/>
      <c r="AD1957" s="51" t="n">
        <v>0</v>
      </c>
      <c r="AE1957" s="156" t="n"/>
      <c r="AF1957" s="51" t="n">
        <v>0</v>
      </c>
      <c r="AG1957" s="156" t="inlineStr">
        <is>
          <t>Catálogo existente</t>
        </is>
      </c>
      <c r="AH195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7" s="156" t="inlineStr">
        <is>
          <t>No</t>
        </is>
      </c>
      <c r="AJ1957" s="156" t="n"/>
      <c r="AK1957" s="155" t="inlineStr">
        <is>
          <t>Descripción y Criterios: G/H [P] | Criterios: J [R]; G1522_Extraccion_Articulos_NetSuite_2026-09-30.xlsx: fila 57333 [S] | Shopify Stetson: producto 14693912052075 / variante 51994275119467</t>
        </is>
      </c>
      <c r="AL1957" s="58" t="n">
        <v>717.6724138</v>
      </c>
      <c r="AM1957" s="58" t="n">
        <v>1594.827586</v>
      </c>
      <c r="AN1957" s="155" t="inlineStr">
        <is>
          <t>Shopify Stetson México</t>
        </is>
      </c>
      <c r="AO1957" s="59" t="n">
        <v>0</v>
      </c>
      <c r="AP1957" s="59" t="n"/>
      <c r="AQ1957" s="59" t="n"/>
      <c r="AR1957" s="155" t="n"/>
    </row>
    <row r="1958">
      <c r="A1958" s="50" t="inlineStr">
        <is>
          <t>196070615524</t>
        </is>
      </c>
      <c r="B1958" s="51" t="inlineStr">
        <is>
          <t>109519</t>
        </is>
      </c>
      <c r="C1958" s="156" t="inlineStr">
        <is>
          <t>Multimarca</t>
        </is>
      </c>
      <c r="D1958" s="156" t="inlineStr">
        <is>
          <t>11-001-0425-5027</t>
        </is>
      </c>
      <c r="E1958" s="156" t="inlineStr">
        <is>
          <t>11-001-0425-5027-L</t>
        </is>
      </c>
      <c r="F1958" s="156" t="inlineStr">
        <is>
          <t>L</t>
        </is>
      </c>
      <c r="G1958" s="156" t="inlineStr">
        <is>
          <t>L</t>
        </is>
      </c>
      <c r="H1958" s="156" t="inlineStr">
        <is>
          <t>Stetson</t>
        </is>
      </c>
      <c r="I1958" s="156" t="inlineStr">
        <is>
          <t>Camisa Manga Larga Wine Vintage</t>
        </is>
      </c>
      <c r="J1958" s="156" t="inlineStr">
        <is>
          <t>Ropa</t>
        </is>
      </c>
      <c r="K1958" s="156" t="inlineStr">
        <is>
          <t>Camisas</t>
        </is>
      </c>
      <c r="L1958" s="156" t="inlineStr">
        <is>
          <t>Hombre</t>
        </is>
      </c>
      <c r="M1958" s="156" t="inlineStr">
        <is>
          <t>Stetson</t>
        </is>
      </c>
      <c r="N1958" s="156" t="inlineStr">
        <is>
          <t>SS26</t>
        </is>
      </c>
      <c r="O1958" s="156" t="inlineStr">
        <is>
          <t>Seasonal</t>
        </is>
      </c>
      <c r="P1958" s="156" t="inlineStr">
        <is>
          <t>Negro</t>
        </is>
      </c>
      <c r="Q1958" s="156" t="inlineStr">
        <is>
          <t>Clásico</t>
        </is>
      </c>
      <c r="R1958" s="156" t="n"/>
      <c r="S1958" s="156" t="inlineStr">
        <is>
          <t>100% Algodón</t>
        </is>
      </c>
      <c r="T1958"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8" s="156" t="n"/>
      <c r="V1958" s="156" t="inlineStr">
        <is>
          <t>PZS</t>
        </is>
      </c>
      <c r="W1958" s="51" t="inlineStr">
        <is>
          <t>53101600</t>
        </is>
      </c>
      <c r="X1958" s="156" t="inlineStr">
        <is>
          <t>https://cdn.shopify.com/s/files/1/0888/3250/8267/files/1100104255027c.jpg?v=1744223927</t>
        </is>
      </c>
      <c r="Y1958" s="54" t="n">
        <v>717.6724138</v>
      </c>
      <c r="Z1958" s="54" t="n">
        <v>1594.827586</v>
      </c>
      <c r="AA1958" s="55">
        <f>IF(AND(A1958="", B1958="", E1958=""), "", IF(AB1958="", "Válido", IF((LEN(AB1958)-LEN(SUBSTITUTE(AB1958,"; ","")))/2+1&gt;(LEN(AB1958)-LEN(SUBSTITUTE(AB1958,"[Aviso]","")))/7, "Con Incidencias", "Válido")))</f>
        <v/>
      </c>
      <c r="AB1958" s="56">
        <f>IF(AND(A1958="", B1958="", E1958=""), "", TEXTJOIN("; ", TRUE, IF(OR(TRIM(A1958&amp;"")="", ISNUMBER(SEARCH("FALTA", A1958))), "UPC faltante/inválido", ""), IF(AND(A1958&lt;&gt;"", IFERROR(_xlfn.XMATCH(A1958,$A$2:$A$2509,0,1)&lt;&gt;_xlfn.XMATCH(A1958,$A$2:$A$2509,0,-1),FALSE)), "Código de barras duplicado", ""), IF(AND(E1958&lt;&gt;"", COUNTIF($E$2:$E$2509, E1958)&gt;1), "SKU duplicado", ""), IF(OR(J1958="", J1958=""), "[Aviso] División no capturada ()", IF(ISNA(MATCH(J1958, Criterios!$A$123:$A$126, 0)), "División no válida", "")), IF(OR(K1958="", K1958=""), "[Aviso] Categoría no capturada ()", IF(ISNA(MATCH(K1958, Criterios!$A$81:$A$120, 0)), "Categoría no válida", IF(AND(J1958&lt;&gt;"", J1958&lt;&gt;"", J1958&lt;&gt;VLOOKUP(K1958, Criterios!$A$81:$B$120, 2, FALSE)), "División no coincide con Categoría", ""))), IF(OR(L1958="", L1958=""), "[Aviso] Género no capturado ()", IF(ISNA(MATCH(L1958, Criterios!$B$123:$B$127, 0)), "Género no válido", "")), IF(OR(N1958="", N1958=""), "[Aviso] Temporada no capturada ()", IF(ISNA(MATCH(N1958, Criterios!$C$123:$C$128, 0)), "Temporada no válida", "")), IF(OR(O1958="", O1958=""), "[Aviso] Ciclo de vida no capturado ()", IF(ISNA(MATCH(O1958, Criterios!$D$123:$D$124, 0)), "Ciclo de vida no válido", ""))))</f>
        <v/>
      </c>
      <c r="AC1958" s="56" t="n"/>
      <c r="AD1958" s="51" t="n">
        <v>0</v>
      </c>
      <c r="AE1958" s="156" t="n"/>
      <c r="AF1958" s="51" t="n">
        <v>0</v>
      </c>
      <c r="AG1958" s="156" t="inlineStr">
        <is>
          <t>Catálogo existente</t>
        </is>
      </c>
      <c r="AH195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8" s="156" t="inlineStr">
        <is>
          <t>No</t>
        </is>
      </c>
      <c r="AJ1958" s="156" t="n"/>
      <c r="AK1958" s="155" t="inlineStr">
        <is>
          <t>Descripción y Criterios: G/H [P] | Criterios: J [R]; G1522_Extraccion_Articulos_NetSuite_2026-09-30.xlsx: fila 57334 [S] | Shopify Stetson: producto 14693914149227 / variante 51994287669611</t>
        </is>
      </c>
      <c r="AL1958" s="58" t="n">
        <v>717.6724138</v>
      </c>
      <c r="AM1958" s="58" t="n">
        <v>1594.827586</v>
      </c>
      <c r="AN1958" s="155" t="inlineStr">
        <is>
          <t>Shopify Stetson México</t>
        </is>
      </c>
      <c r="AO1958" s="59" t="n">
        <v>0</v>
      </c>
      <c r="AP1958" s="59" t="n"/>
      <c r="AQ1958" s="59" t="n"/>
      <c r="AR1958" s="155" t="n"/>
    </row>
    <row r="1959">
      <c r="A1959" s="50" t="inlineStr">
        <is>
          <t>196070615531</t>
        </is>
      </c>
      <c r="B1959" s="51" t="inlineStr">
        <is>
          <t>109520</t>
        </is>
      </c>
      <c r="C1959" s="156" t="inlineStr">
        <is>
          <t>Multimarca</t>
        </is>
      </c>
      <c r="D1959" s="156" t="inlineStr">
        <is>
          <t>11-001-0425-5027</t>
        </is>
      </c>
      <c r="E1959" s="156" t="inlineStr">
        <is>
          <t>11-001-0425-5027-M</t>
        </is>
      </c>
      <c r="F1959" s="156" t="inlineStr">
        <is>
          <t>M</t>
        </is>
      </c>
      <c r="G1959" s="156" t="inlineStr">
        <is>
          <t>M</t>
        </is>
      </c>
      <c r="H1959" s="156" t="inlineStr">
        <is>
          <t>Stetson</t>
        </is>
      </c>
      <c r="I1959" s="156" t="inlineStr">
        <is>
          <t>Camisa Manga Larga Wine Vintage</t>
        </is>
      </c>
      <c r="J1959" s="156" t="inlineStr">
        <is>
          <t>Ropa</t>
        </is>
      </c>
      <c r="K1959" s="156" t="inlineStr">
        <is>
          <t>Camisas</t>
        </is>
      </c>
      <c r="L1959" s="156" t="inlineStr">
        <is>
          <t>Hombre</t>
        </is>
      </c>
      <c r="M1959" s="156" t="inlineStr">
        <is>
          <t>Stetson</t>
        </is>
      </c>
      <c r="N1959" s="156" t="inlineStr">
        <is>
          <t>SS26</t>
        </is>
      </c>
      <c r="O1959" s="156" t="inlineStr">
        <is>
          <t>Seasonal</t>
        </is>
      </c>
      <c r="P1959" s="156" t="inlineStr">
        <is>
          <t>Negro</t>
        </is>
      </c>
      <c r="Q1959" s="156" t="inlineStr">
        <is>
          <t>Clásico</t>
        </is>
      </c>
      <c r="R1959" s="156" t="n"/>
      <c r="S1959" s="156" t="inlineStr">
        <is>
          <t>100% Algodón</t>
        </is>
      </c>
      <c r="T1959"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9" s="156" t="n"/>
      <c r="V1959" s="156" t="inlineStr">
        <is>
          <t>PZS</t>
        </is>
      </c>
      <c r="W1959" s="51" t="inlineStr">
        <is>
          <t>53101600</t>
        </is>
      </c>
      <c r="X1959" s="156" t="inlineStr">
        <is>
          <t>https://cdn.shopify.com/s/files/1/0888/3250/8267/files/1100104255027b.jpg?v=1744223921</t>
        </is>
      </c>
      <c r="Y1959" s="54" t="n">
        <v>717.6724138</v>
      </c>
      <c r="Z1959" s="54" t="n">
        <v>1594.827586</v>
      </c>
      <c r="AA1959" s="55">
        <f>IF(AND(A1959="", B1959="", E1959=""), "", IF(AB1959="", "Válido", IF((LEN(AB1959)-LEN(SUBSTITUTE(AB1959,"; ","")))/2+1&gt;(LEN(AB1959)-LEN(SUBSTITUTE(AB1959,"[Aviso]","")))/7, "Con Incidencias", "Válido")))</f>
        <v/>
      </c>
      <c r="AB1959" s="56">
        <f>IF(AND(A1959="", B1959="", E1959=""), "", TEXTJOIN("; ", TRUE, IF(OR(TRIM(A1959&amp;"")="", ISNUMBER(SEARCH("FALTA", A1959))), "UPC faltante/inválido", ""), IF(AND(A1959&lt;&gt;"", IFERROR(_xlfn.XMATCH(A1959,$A$2:$A$2509,0,1)&lt;&gt;_xlfn.XMATCH(A1959,$A$2:$A$2509,0,-1),FALSE)), "Código de barras duplicado", ""), IF(AND(E1959&lt;&gt;"", COUNTIF($E$2:$E$2509, E1959)&gt;1), "SKU duplicado", ""), IF(OR(J1959="", J1959=""), "[Aviso] División no capturada ()", IF(ISNA(MATCH(J1959, Criterios!$A$123:$A$126, 0)), "División no válida", "")), IF(OR(K1959="", K1959=""), "[Aviso] Categoría no capturada ()", IF(ISNA(MATCH(K1959, Criterios!$A$81:$A$120, 0)), "Categoría no válida", IF(AND(J1959&lt;&gt;"", J1959&lt;&gt;"", J1959&lt;&gt;VLOOKUP(K1959, Criterios!$A$81:$B$120, 2, FALSE)), "División no coincide con Categoría", ""))), IF(OR(L1959="", L1959=""), "[Aviso] Género no capturado ()", IF(ISNA(MATCH(L1959, Criterios!$B$123:$B$127, 0)), "Género no válido", "")), IF(OR(N1959="", N1959=""), "[Aviso] Temporada no capturada ()", IF(ISNA(MATCH(N1959, Criterios!$C$123:$C$128, 0)), "Temporada no válida", "")), IF(OR(O1959="", O1959=""), "[Aviso] Ciclo de vida no capturado ()", IF(ISNA(MATCH(O1959, Criterios!$D$123:$D$124, 0)), "Ciclo de vida no válido", ""))))</f>
        <v/>
      </c>
      <c r="AC1959" s="56" t="n"/>
      <c r="AD1959" s="51" t="n">
        <v>0</v>
      </c>
      <c r="AE1959" s="156" t="n"/>
      <c r="AF1959" s="51" t="n">
        <v>0</v>
      </c>
      <c r="AG1959" s="156" t="inlineStr">
        <is>
          <t>Catálogo existente</t>
        </is>
      </c>
      <c r="AH195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9" s="156" t="inlineStr">
        <is>
          <t>No</t>
        </is>
      </c>
      <c r="AJ1959" s="156" t="n"/>
      <c r="AK1959" s="155" t="inlineStr">
        <is>
          <t>Descripción y Criterios: G/H [P] | Criterios: J [R]; G1522_Extraccion_Articulos_NetSuite_2026-09-30.xlsx: fila 57335 [S] | Shopify Stetson: producto 14693914149227 / variante 51994287636843</t>
        </is>
      </c>
      <c r="AL1959" s="58" t="n">
        <v>717.6724138</v>
      </c>
      <c r="AM1959" s="58" t="n">
        <v>1594.827586</v>
      </c>
      <c r="AN1959" s="155" t="inlineStr">
        <is>
          <t>Shopify Stetson México</t>
        </is>
      </c>
      <c r="AO1959" s="59" t="n">
        <v>0</v>
      </c>
      <c r="AP1959" s="59" t="n"/>
      <c r="AQ1959" s="59" t="n"/>
      <c r="AR1959" s="155" t="n"/>
    </row>
    <row r="1960">
      <c r="A1960" s="50" t="inlineStr">
        <is>
          <t>196070615548</t>
        </is>
      </c>
      <c r="B1960" s="51" t="inlineStr">
        <is>
          <t>109521</t>
        </is>
      </c>
      <c r="C1960" s="156" t="inlineStr">
        <is>
          <t>Multimarca</t>
        </is>
      </c>
      <c r="D1960" s="156" t="inlineStr">
        <is>
          <t>11-001-0425-5027</t>
        </is>
      </c>
      <c r="E1960" s="156" t="inlineStr">
        <is>
          <t>11-001-0425-5027-S</t>
        </is>
      </c>
      <c r="F1960" s="156" t="inlineStr">
        <is>
          <t>S</t>
        </is>
      </c>
      <c r="G1960" s="156" t="inlineStr">
        <is>
          <t>S</t>
        </is>
      </c>
      <c r="H1960" s="156" t="inlineStr">
        <is>
          <t>Stetson</t>
        </is>
      </c>
      <c r="I1960" s="156" t="inlineStr">
        <is>
          <t>Camisa Manga Larga Wine Vintage</t>
        </is>
      </c>
      <c r="J1960" s="156" t="inlineStr">
        <is>
          <t>Ropa</t>
        </is>
      </c>
      <c r="K1960" s="156" t="inlineStr">
        <is>
          <t>Camisas</t>
        </is>
      </c>
      <c r="L1960" s="156" t="inlineStr">
        <is>
          <t>Hombre</t>
        </is>
      </c>
      <c r="M1960" s="156" t="inlineStr">
        <is>
          <t>Stetson</t>
        </is>
      </c>
      <c r="N1960" s="156" t="inlineStr">
        <is>
          <t>SS26</t>
        </is>
      </c>
      <c r="O1960" s="156" t="inlineStr">
        <is>
          <t>Seasonal</t>
        </is>
      </c>
      <c r="P1960" s="156" t="inlineStr">
        <is>
          <t>Negro</t>
        </is>
      </c>
      <c r="Q1960" s="156" t="inlineStr">
        <is>
          <t>Clásico</t>
        </is>
      </c>
      <c r="R1960" s="156" t="n"/>
      <c r="S1960" s="156" t="inlineStr">
        <is>
          <t>100% Algodón</t>
        </is>
      </c>
      <c r="T1960"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0" s="156" t="n"/>
      <c r="V1960" s="156" t="inlineStr">
        <is>
          <t>PZS</t>
        </is>
      </c>
      <c r="W1960" s="51" t="inlineStr">
        <is>
          <t>53101600</t>
        </is>
      </c>
      <c r="X1960" s="156" t="inlineStr">
        <is>
          <t>https://cdn.shopify.com/s/files/1/0888/3250/8267/files/1100104255027a.jpg?v=1744223915</t>
        </is>
      </c>
      <c r="Y1960" s="54" t="n">
        <v>717.6724138</v>
      </c>
      <c r="Z1960" s="54" t="n">
        <v>1594.827586</v>
      </c>
      <c r="AA1960" s="55">
        <f>IF(AND(A1960="", B1960="", E1960=""), "", IF(AB1960="", "Válido", IF((LEN(AB1960)-LEN(SUBSTITUTE(AB1960,"; ","")))/2+1&gt;(LEN(AB1960)-LEN(SUBSTITUTE(AB1960,"[Aviso]","")))/7, "Con Incidencias", "Válido")))</f>
        <v/>
      </c>
      <c r="AB1960" s="56">
        <f>IF(AND(A1960="", B1960="", E1960=""), "", TEXTJOIN("; ", TRUE, IF(OR(TRIM(A1960&amp;"")="", ISNUMBER(SEARCH("FALTA", A1960))), "UPC faltante/inválido", ""), IF(AND(A1960&lt;&gt;"", IFERROR(_xlfn.XMATCH(A1960,$A$2:$A$2509,0,1)&lt;&gt;_xlfn.XMATCH(A1960,$A$2:$A$2509,0,-1),FALSE)), "Código de barras duplicado", ""), IF(AND(E1960&lt;&gt;"", COUNTIF($E$2:$E$2509, E1960)&gt;1), "SKU duplicado", ""), IF(OR(J1960="", J1960=""), "[Aviso] División no capturada ()", IF(ISNA(MATCH(J1960, Criterios!$A$123:$A$126, 0)), "División no válida", "")), IF(OR(K1960="", K1960=""), "[Aviso] Categoría no capturada ()", IF(ISNA(MATCH(K1960, Criterios!$A$81:$A$120, 0)), "Categoría no válida", IF(AND(J1960&lt;&gt;"", J1960&lt;&gt;"", J1960&lt;&gt;VLOOKUP(K1960, Criterios!$A$81:$B$120, 2, FALSE)), "División no coincide con Categoría", ""))), IF(OR(L1960="", L1960=""), "[Aviso] Género no capturado ()", IF(ISNA(MATCH(L1960, Criterios!$B$123:$B$127, 0)), "Género no válido", "")), IF(OR(N1960="", N1960=""), "[Aviso] Temporada no capturada ()", IF(ISNA(MATCH(N1960, Criterios!$C$123:$C$128, 0)), "Temporada no válida", "")), IF(OR(O1960="", O1960=""), "[Aviso] Ciclo de vida no capturado ()", IF(ISNA(MATCH(O1960, Criterios!$D$123:$D$124, 0)), "Ciclo de vida no válido", ""))))</f>
        <v/>
      </c>
      <c r="AC1960" s="56" t="n"/>
      <c r="AD1960" s="51" t="n">
        <v>0</v>
      </c>
      <c r="AE1960" s="156" t="n"/>
      <c r="AF1960" s="51" t="n">
        <v>0</v>
      </c>
      <c r="AG1960" s="156" t="inlineStr">
        <is>
          <t>Catálogo existente</t>
        </is>
      </c>
      <c r="AH196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0" s="156" t="inlineStr">
        <is>
          <t>No</t>
        </is>
      </c>
      <c r="AJ1960" s="156" t="n"/>
      <c r="AK1960" s="155" t="inlineStr">
        <is>
          <t>Descripción y Criterios: G/H [P] | Criterios: J [R]; G1522_Extraccion_Articulos_NetSuite_2026-09-30.xlsx: fila 57336 [S] | Shopify Stetson: producto 14693914149227 / variante 51994281673067</t>
        </is>
      </c>
      <c r="AL1960" s="58" t="n">
        <v>717.6724138</v>
      </c>
      <c r="AM1960" s="58" t="n">
        <v>1594.827586</v>
      </c>
      <c r="AN1960" s="155" t="inlineStr">
        <is>
          <t>Shopify Stetson México</t>
        </is>
      </c>
      <c r="AO1960" s="59" t="n">
        <v>0</v>
      </c>
      <c r="AP1960" s="59" t="n"/>
      <c r="AQ1960" s="59" t="n"/>
      <c r="AR1960" s="155" t="n"/>
    </row>
    <row r="1961">
      <c r="A1961" s="50" t="inlineStr">
        <is>
          <t>196070615555</t>
        </is>
      </c>
      <c r="B1961" s="51" t="inlineStr">
        <is>
          <t>109522</t>
        </is>
      </c>
      <c r="C1961" s="156" t="inlineStr">
        <is>
          <t>Multimarca</t>
        </is>
      </c>
      <c r="D1961" s="156" t="inlineStr">
        <is>
          <t>11-001-0425-5027</t>
        </is>
      </c>
      <c r="E1961" s="156" t="inlineStr">
        <is>
          <t>11-001-0425-5027-XL</t>
        </is>
      </c>
      <c r="F1961" s="156" t="inlineStr">
        <is>
          <t>XL</t>
        </is>
      </c>
      <c r="G1961" s="156" t="inlineStr">
        <is>
          <t>XL</t>
        </is>
      </c>
      <c r="H1961" s="156" t="inlineStr">
        <is>
          <t>Stetson</t>
        </is>
      </c>
      <c r="I1961" s="156" t="inlineStr">
        <is>
          <t>Camisa Manga Larga Wine Vintage</t>
        </is>
      </c>
      <c r="J1961" s="156" t="inlineStr">
        <is>
          <t>Ropa</t>
        </is>
      </c>
      <c r="K1961" s="156" t="inlineStr">
        <is>
          <t>Camisas</t>
        </is>
      </c>
      <c r="L1961" s="156" t="inlineStr">
        <is>
          <t>Hombre</t>
        </is>
      </c>
      <c r="M1961" s="156" t="inlineStr">
        <is>
          <t>Stetson</t>
        </is>
      </c>
      <c r="N1961" s="156" t="inlineStr">
        <is>
          <t>SS26</t>
        </is>
      </c>
      <c r="O1961" s="156" t="inlineStr">
        <is>
          <t>Seasonal</t>
        </is>
      </c>
      <c r="P1961" s="156" t="inlineStr">
        <is>
          <t>Negro</t>
        </is>
      </c>
      <c r="Q1961" s="156" t="inlineStr">
        <is>
          <t>Clásico</t>
        </is>
      </c>
      <c r="R1961" s="156" t="n"/>
      <c r="S1961" s="156" t="inlineStr">
        <is>
          <t>100% Algodón</t>
        </is>
      </c>
      <c r="T1961"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1" s="156" t="n"/>
      <c r="V1961" s="156" t="inlineStr">
        <is>
          <t>PZS</t>
        </is>
      </c>
      <c r="W1961" s="51" t="inlineStr">
        <is>
          <t>53101600</t>
        </is>
      </c>
      <c r="X1961" s="156" t="inlineStr">
        <is>
          <t>https://cdn.shopify.com/s/files/1/0888/3250/8267/files/1100104255027a.jpg?v=1744223915</t>
        </is>
      </c>
      <c r="Y1961" s="54" t="n">
        <v>717.6724138</v>
      </c>
      <c r="Z1961" s="54" t="n">
        <v>1594.827586</v>
      </c>
      <c r="AA1961" s="55">
        <f>IF(AND(A1961="", B1961="", E1961=""), "", IF(AB1961="", "Válido", IF((LEN(AB1961)-LEN(SUBSTITUTE(AB1961,"; ","")))/2+1&gt;(LEN(AB1961)-LEN(SUBSTITUTE(AB1961,"[Aviso]","")))/7, "Con Incidencias", "Válido")))</f>
        <v/>
      </c>
      <c r="AB1961" s="56">
        <f>IF(AND(A1961="", B1961="", E1961=""), "", TEXTJOIN("; ", TRUE, IF(OR(TRIM(A1961&amp;"")="", ISNUMBER(SEARCH("FALTA", A1961))), "UPC faltante/inválido", ""), IF(AND(A1961&lt;&gt;"", IFERROR(_xlfn.XMATCH(A1961,$A$2:$A$2509,0,1)&lt;&gt;_xlfn.XMATCH(A1961,$A$2:$A$2509,0,-1),FALSE)), "Código de barras duplicado", ""), IF(AND(E1961&lt;&gt;"", COUNTIF($E$2:$E$2509, E1961)&gt;1), "SKU duplicado", ""), IF(OR(J1961="", J1961=""), "[Aviso] División no capturada ()", IF(ISNA(MATCH(J1961, Criterios!$A$123:$A$126, 0)), "División no válida", "")), IF(OR(K1961="", K1961=""), "[Aviso] Categoría no capturada ()", IF(ISNA(MATCH(K1961, Criterios!$A$81:$A$120, 0)), "Categoría no válida", IF(AND(J1961&lt;&gt;"", J1961&lt;&gt;"", J1961&lt;&gt;VLOOKUP(K1961, Criterios!$A$81:$B$120, 2, FALSE)), "División no coincide con Categoría", ""))), IF(OR(L1961="", L1961=""), "[Aviso] Género no capturado ()", IF(ISNA(MATCH(L1961, Criterios!$B$123:$B$127, 0)), "Género no válido", "")), IF(OR(N1961="", N1961=""), "[Aviso] Temporada no capturada ()", IF(ISNA(MATCH(N1961, Criterios!$C$123:$C$128, 0)), "Temporada no válida", "")), IF(OR(O1961="", O1961=""), "[Aviso] Ciclo de vida no capturado ()", IF(ISNA(MATCH(O1961, Criterios!$D$123:$D$124, 0)), "Ciclo de vida no válido", ""))))</f>
        <v/>
      </c>
      <c r="AC1961" s="56" t="n"/>
      <c r="AD1961" s="51" t="n">
        <v>0</v>
      </c>
      <c r="AE1961" s="156" t="n"/>
      <c r="AF1961" s="51" t="n">
        <v>0</v>
      </c>
      <c r="AG1961" s="156" t="inlineStr">
        <is>
          <t>Catálogo existente</t>
        </is>
      </c>
      <c r="AH196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61" s="156" t="inlineStr">
        <is>
          <t>No</t>
        </is>
      </c>
      <c r="AJ1961" s="156" t="n"/>
      <c r="AK1961" s="155" t="inlineStr">
        <is>
          <t>Descripción y Criterios: G/H [P] | Criterios: J [R]; G1522_Extraccion_Articulos_NetSuite_2026-09-30.xlsx: fila 57337 [S] | Shopify Stetson: producto 14693914149227 / variante 51994287702379</t>
        </is>
      </c>
      <c r="AL1961" s="58" t="n">
        <v>717.6724138</v>
      </c>
      <c r="AM1961" s="58" t="n">
        <v>1594.827586</v>
      </c>
      <c r="AN1961" s="155" t="inlineStr">
        <is>
          <t>Shopify Stetson México</t>
        </is>
      </c>
      <c r="AO1961" s="59" t="n">
        <v>0</v>
      </c>
      <c r="AP1961" s="59" t="n"/>
      <c r="AQ1961" s="59" t="n"/>
      <c r="AR1961" s="155" t="n"/>
    </row>
    <row r="1962">
      <c r="A1962" s="50" t="inlineStr">
        <is>
          <t>196070615586</t>
        </is>
      </c>
      <c r="B1962" s="51" t="n"/>
      <c r="C1962" s="156" t="inlineStr">
        <is>
          <t>Multimarca</t>
        </is>
      </c>
      <c r="D1962" s="156" t="inlineStr">
        <is>
          <t>11-001-0425-5028 RE</t>
        </is>
      </c>
      <c r="E1962" s="156" t="inlineStr">
        <is>
          <t>11-001-0425-5028 RE_GDE</t>
        </is>
      </c>
      <c r="F1962" s="156" t="inlineStr">
        <is>
          <t>L</t>
        </is>
      </c>
      <c r="G1962" s="156" t="inlineStr">
        <is>
          <t>L</t>
        </is>
      </c>
      <c r="H1962" s="156" t="inlineStr">
        <is>
          <t>Stetson</t>
        </is>
      </c>
      <c r="I1962" s="156" t="inlineStr">
        <is>
          <t>CAMISA MANGA LARGA DIAMANTES ROMBOS 2037</t>
        </is>
      </c>
      <c r="J1962" s="156" t="inlineStr">
        <is>
          <t>Ropa</t>
        </is>
      </c>
      <c r="K1962" s="156" t="inlineStr">
        <is>
          <t>Camisas</t>
        </is>
      </c>
      <c r="L1962" s="156" t="inlineStr">
        <is>
          <t>Hombre</t>
        </is>
      </c>
      <c r="M1962" s="156" t="inlineStr">
        <is>
          <t>Stetson</t>
        </is>
      </c>
      <c r="N1962" s="156" t="n"/>
      <c r="O1962" s="156" t="n"/>
      <c r="P1962" s="156" t="inlineStr">
        <is>
          <t>Rojo</t>
        </is>
      </c>
      <c r="Q1962" s="156" t="inlineStr">
        <is>
          <t>Clásico</t>
        </is>
      </c>
      <c r="R1962" s="156" t="n"/>
      <c r="S1962" s="156" t="inlineStr">
        <is>
          <t>100% Algodón</t>
        </is>
      </c>
      <c r="T1962"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2" s="156" t="n"/>
      <c r="V1962" s="156" t="inlineStr">
        <is>
          <t>PZS</t>
        </is>
      </c>
      <c r="W1962" s="51" t="inlineStr">
        <is>
          <t>53101602</t>
        </is>
      </c>
      <c r="X1962" s="156" t="inlineStr">
        <is>
          <t>https://cdn.shopify.com/s/files/1/0888/3250/8267/files/1100104255028c.jpg?v=1744225296</t>
        </is>
      </c>
      <c r="Y1962" s="54" t="n"/>
      <c r="Z1962" s="54" t="n">
        <v>1850</v>
      </c>
      <c r="AA1962" s="55">
        <f>IF(AND(A1962="", B1962="", E1962=""), "", IF(AB1962="", "Válido", IF((LEN(AB1962)-LEN(SUBSTITUTE(AB1962,"; ","")))/2+1&gt;(LEN(AB1962)-LEN(SUBSTITUTE(AB1962,"[Aviso]","")))/7, "Con Incidencias", "Válido")))</f>
        <v/>
      </c>
      <c r="AB1962" s="56">
        <f>IF(AND(A1962="", B1962="", E1962=""), "", TEXTJOIN("; ", TRUE, IF(OR(TRIM(A1962&amp;"")="", ISNUMBER(SEARCH("FALTA", A1962))), "UPC faltante/inválido", ""), IF(AND(A1962&lt;&gt;"", IFERROR(_xlfn.XMATCH(A1962,$A$2:$A$2509,0,1)&lt;&gt;_xlfn.XMATCH(A1962,$A$2:$A$2509,0,-1),FALSE)), "Código de barras duplicado", ""), IF(AND(E1962&lt;&gt;"", COUNTIF($E$2:$E$2509, E1962)&gt;1), "SKU duplicado", ""), IF(OR(J1962="", J1962=""), "[Aviso] División no capturada ()", IF(ISNA(MATCH(J1962, Criterios!$A$123:$A$126, 0)), "División no válida", "")), IF(OR(K1962="", K1962=""), "[Aviso] Categoría no capturada ()", IF(ISNA(MATCH(K1962, Criterios!$A$81:$A$120, 0)), "Categoría no válida", IF(AND(J1962&lt;&gt;"", J1962&lt;&gt;"", J1962&lt;&gt;VLOOKUP(K1962, Criterios!$A$81:$B$120, 2, FALSE)), "División no coincide con Categoría", ""))), IF(OR(L1962="", L1962=""), "[Aviso] Género no capturado ()", IF(ISNA(MATCH(L1962, Criterios!$B$123:$B$127, 0)), "Género no válido", "")), IF(OR(N1962="", N1962=""), "[Aviso] Temporada no capturada ()", IF(ISNA(MATCH(N1962, Criterios!$C$123:$C$128, 0)), "Temporada no válida", "")), IF(OR(O1962="", O1962=""), "[Aviso] Ciclo de vida no capturado ()", IF(ISNA(MATCH(O1962, Criterios!$D$123:$D$124, 0)), "Ciclo de vida no válido", ""))))</f>
        <v/>
      </c>
      <c r="AC1962" s="56" t="n"/>
      <c r="AD1962" s="51" t="n">
        <v>0</v>
      </c>
      <c r="AE1962" s="156" t="inlineStr">
        <is>
          <t>Sin coincidencia en NetSuite</t>
        </is>
      </c>
      <c r="AF1962" s="51" t="n"/>
      <c r="AG1962" s="156" t="inlineStr">
        <is>
          <t>Catálogo existente</t>
        </is>
      </c>
      <c r="AH1962"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2" s="156" t="n"/>
      <c r="AJ1962" s="156" t="n"/>
      <c r="AK1962" s="155" t="inlineStr">
        <is>
          <t>Shopify Stetson: producto 14693916180843 / variante 51994296877419</t>
        </is>
      </c>
      <c r="AL1962" s="58" t="n"/>
      <c r="AM1962" s="58" t="n">
        <v>1850</v>
      </c>
      <c r="AN1962" s="155" t="inlineStr">
        <is>
          <t>Shopify Stetson México</t>
        </is>
      </c>
      <c r="AO1962" s="59" t="n">
        <v>0</v>
      </c>
      <c r="AP1962" s="59" t="n"/>
      <c r="AQ1962" s="59" t="n"/>
      <c r="AR1962" s="155" t="n"/>
    </row>
    <row r="1963">
      <c r="A1963" s="50" t="inlineStr">
        <is>
          <t>196070615593</t>
        </is>
      </c>
      <c r="B1963" s="51" t="n"/>
      <c r="C1963" s="156" t="inlineStr">
        <is>
          <t>Multimarca</t>
        </is>
      </c>
      <c r="D1963" s="156" t="inlineStr">
        <is>
          <t>11-001-0425-5028 RE</t>
        </is>
      </c>
      <c r="E1963" s="156" t="inlineStr">
        <is>
          <t>11-001-0425-5028 RE_MED</t>
        </is>
      </c>
      <c r="F1963" s="156" t="inlineStr">
        <is>
          <t>M</t>
        </is>
      </c>
      <c r="G1963" s="156" t="inlineStr">
        <is>
          <t>M</t>
        </is>
      </c>
      <c r="H1963" s="156" t="inlineStr">
        <is>
          <t>Stetson</t>
        </is>
      </c>
      <c r="I1963" s="156" t="inlineStr">
        <is>
          <t>CAMISA MANGA LARGA DIAMANTES ROMBOS 2037</t>
        </is>
      </c>
      <c r="J1963" s="156" t="inlineStr">
        <is>
          <t>Ropa</t>
        </is>
      </c>
      <c r="K1963" s="156" t="inlineStr">
        <is>
          <t>Camisas</t>
        </is>
      </c>
      <c r="L1963" s="156" t="inlineStr">
        <is>
          <t>Hombre</t>
        </is>
      </c>
      <c r="M1963" s="156" t="inlineStr">
        <is>
          <t>Stetson</t>
        </is>
      </c>
      <c r="N1963" s="156" t="n"/>
      <c r="O1963" s="156" t="n"/>
      <c r="P1963" s="156" t="inlineStr">
        <is>
          <t>Rojo</t>
        </is>
      </c>
      <c r="Q1963" s="156" t="inlineStr">
        <is>
          <t>Clásico</t>
        </is>
      </c>
      <c r="R1963" s="156" t="n"/>
      <c r="S1963" s="156" t="inlineStr">
        <is>
          <t>100% Algodón</t>
        </is>
      </c>
      <c r="T1963"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3" s="156" t="n"/>
      <c r="V1963" s="156" t="inlineStr">
        <is>
          <t>PZS</t>
        </is>
      </c>
      <c r="W1963" s="51" t="inlineStr">
        <is>
          <t>53101602</t>
        </is>
      </c>
      <c r="X1963" s="156" t="inlineStr">
        <is>
          <t>https://cdn.shopify.com/s/files/1/0888/3250/8267/files/1100104255028b.jpg?v=1744225296</t>
        </is>
      </c>
      <c r="Y1963" s="54" t="n"/>
      <c r="Z1963" s="54" t="n">
        <v>1850</v>
      </c>
      <c r="AA1963" s="55">
        <f>IF(AND(A1963="", B1963="", E1963=""), "", IF(AB1963="", "Válido", IF((LEN(AB1963)-LEN(SUBSTITUTE(AB1963,"; ","")))/2+1&gt;(LEN(AB1963)-LEN(SUBSTITUTE(AB1963,"[Aviso]","")))/7, "Con Incidencias", "Válido")))</f>
        <v/>
      </c>
      <c r="AB1963" s="56">
        <f>IF(AND(A1963="", B1963="", E1963=""), "", TEXTJOIN("; ", TRUE, IF(OR(TRIM(A1963&amp;"")="", ISNUMBER(SEARCH("FALTA", A1963))), "UPC faltante/inválido", ""), IF(AND(A1963&lt;&gt;"", IFERROR(_xlfn.XMATCH(A1963,$A$2:$A$2509,0,1)&lt;&gt;_xlfn.XMATCH(A1963,$A$2:$A$2509,0,-1),FALSE)), "Código de barras duplicado", ""), IF(AND(E1963&lt;&gt;"", COUNTIF($E$2:$E$2509, E1963)&gt;1), "SKU duplicado", ""), IF(OR(J1963="", J1963=""), "[Aviso] División no capturada ()", IF(ISNA(MATCH(J1963, Criterios!$A$123:$A$126, 0)), "División no válida", "")), IF(OR(K1963="", K1963=""), "[Aviso] Categoría no capturada ()", IF(ISNA(MATCH(K1963, Criterios!$A$81:$A$120, 0)), "Categoría no válida", IF(AND(J1963&lt;&gt;"", J1963&lt;&gt;"", J1963&lt;&gt;VLOOKUP(K1963, Criterios!$A$81:$B$120, 2, FALSE)), "División no coincide con Categoría", ""))), IF(OR(L1963="", L1963=""), "[Aviso] Género no capturado ()", IF(ISNA(MATCH(L1963, Criterios!$B$123:$B$127, 0)), "Género no válido", "")), IF(OR(N1963="", N1963=""), "[Aviso] Temporada no capturada ()", IF(ISNA(MATCH(N1963, Criterios!$C$123:$C$128, 0)), "Temporada no válida", "")), IF(OR(O1963="", O1963=""), "[Aviso] Ciclo de vida no capturado ()", IF(ISNA(MATCH(O1963, Criterios!$D$123:$D$124, 0)), "Ciclo de vida no válido", ""))))</f>
        <v/>
      </c>
      <c r="AC1963" s="56" t="n"/>
      <c r="AD1963" s="51" t="n">
        <v>0</v>
      </c>
      <c r="AE1963" s="156" t="inlineStr">
        <is>
          <t>Sin coincidencia en NetSuite</t>
        </is>
      </c>
      <c r="AF1963" s="51" t="n"/>
      <c r="AG1963" s="156" t="inlineStr">
        <is>
          <t>Catálogo existente</t>
        </is>
      </c>
      <c r="AH1963"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3" s="156" t="n"/>
      <c r="AJ1963" s="156" t="n"/>
      <c r="AK1963" s="155" t="inlineStr">
        <is>
          <t>Shopify Stetson: producto 14693916180843 / variante 51994296844651</t>
        </is>
      </c>
      <c r="AL1963" s="58" t="n"/>
      <c r="AM1963" s="58" t="n">
        <v>1850</v>
      </c>
      <c r="AN1963" s="155" t="inlineStr">
        <is>
          <t>Shopify Stetson México</t>
        </is>
      </c>
      <c r="AO1963" s="59" t="n">
        <v>0</v>
      </c>
      <c r="AP1963" s="59" t="n"/>
      <c r="AQ1963" s="59" t="n"/>
      <c r="AR1963" s="155" t="n"/>
    </row>
    <row r="1964">
      <c r="A1964" s="50" t="inlineStr">
        <is>
          <t>196070615609</t>
        </is>
      </c>
      <c r="B1964" s="51" t="n"/>
      <c r="C1964" s="156" t="inlineStr">
        <is>
          <t>Multimarca</t>
        </is>
      </c>
      <c r="D1964" s="156" t="inlineStr">
        <is>
          <t>11-001-0425-5028 RE</t>
        </is>
      </c>
      <c r="E1964" s="156" t="inlineStr">
        <is>
          <t>11-001-0425-5028 RE_CH</t>
        </is>
      </c>
      <c r="F1964" s="156" t="inlineStr">
        <is>
          <t>S</t>
        </is>
      </c>
      <c r="G1964" s="156" t="inlineStr">
        <is>
          <t>S</t>
        </is>
      </c>
      <c r="H1964" s="156" t="inlineStr">
        <is>
          <t>Stetson</t>
        </is>
      </c>
      <c r="I1964" s="156" t="inlineStr">
        <is>
          <t>CAMISA MANGA LARGA DIAMANTES ROMBOS 2037</t>
        </is>
      </c>
      <c r="J1964" s="156" t="inlineStr">
        <is>
          <t>Ropa</t>
        </is>
      </c>
      <c r="K1964" s="156" t="inlineStr">
        <is>
          <t>Camisas</t>
        </is>
      </c>
      <c r="L1964" s="156" t="inlineStr">
        <is>
          <t>Hombre</t>
        </is>
      </c>
      <c r="M1964" s="156" t="inlineStr">
        <is>
          <t>Stetson</t>
        </is>
      </c>
      <c r="N1964" s="156" t="n"/>
      <c r="O1964" s="156" t="n"/>
      <c r="P1964" s="156" t="inlineStr">
        <is>
          <t>Rojo</t>
        </is>
      </c>
      <c r="Q1964" s="156" t="inlineStr">
        <is>
          <t>Clásico</t>
        </is>
      </c>
      <c r="R1964" s="156" t="n"/>
      <c r="S1964" s="156" t="inlineStr">
        <is>
          <t>100% Algodón</t>
        </is>
      </c>
      <c r="T1964"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4" s="156" t="n"/>
      <c r="V1964" s="156" t="inlineStr">
        <is>
          <t>PZS</t>
        </is>
      </c>
      <c r="W1964" s="51" t="inlineStr">
        <is>
          <t>53101602</t>
        </is>
      </c>
      <c r="X1964" s="156" t="inlineStr">
        <is>
          <t>https://cdn.shopify.com/s/files/1/0888/3250/8267/files/1100104255028a.jpg?v=1744225296</t>
        </is>
      </c>
      <c r="Y1964" s="54" t="n"/>
      <c r="Z1964" s="54" t="n">
        <v>1850</v>
      </c>
      <c r="AA1964" s="55">
        <f>IF(AND(A1964="", B1964="", E1964=""), "", IF(AB1964="", "Válido", IF((LEN(AB1964)-LEN(SUBSTITUTE(AB1964,"; ","")))/2+1&gt;(LEN(AB1964)-LEN(SUBSTITUTE(AB1964,"[Aviso]","")))/7, "Con Incidencias", "Válido")))</f>
        <v/>
      </c>
      <c r="AB1964" s="56">
        <f>IF(AND(A1964="", B1964="", E1964=""), "", TEXTJOIN("; ", TRUE, IF(OR(TRIM(A1964&amp;"")="", ISNUMBER(SEARCH("FALTA", A1964))), "UPC faltante/inválido", ""), IF(AND(A1964&lt;&gt;"", IFERROR(_xlfn.XMATCH(A1964,$A$2:$A$2509,0,1)&lt;&gt;_xlfn.XMATCH(A1964,$A$2:$A$2509,0,-1),FALSE)), "Código de barras duplicado", ""), IF(AND(E1964&lt;&gt;"", COUNTIF($E$2:$E$2509, E1964)&gt;1), "SKU duplicado", ""), IF(OR(J1964="", J1964=""), "[Aviso] División no capturada ()", IF(ISNA(MATCH(J1964, Criterios!$A$123:$A$126, 0)), "División no válida", "")), IF(OR(K1964="", K1964=""), "[Aviso] Categoría no capturada ()", IF(ISNA(MATCH(K1964, Criterios!$A$81:$A$120, 0)), "Categoría no válida", IF(AND(J1964&lt;&gt;"", J1964&lt;&gt;"", J1964&lt;&gt;VLOOKUP(K1964, Criterios!$A$81:$B$120, 2, FALSE)), "División no coincide con Categoría", ""))), IF(OR(L1964="", L1964=""), "[Aviso] Género no capturado ()", IF(ISNA(MATCH(L1964, Criterios!$B$123:$B$127, 0)), "Género no válido", "")), IF(OR(N1964="", N1964=""), "[Aviso] Temporada no capturada ()", IF(ISNA(MATCH(N1964, Criterios!$C$123:$C$128, 0)), "Temporada no válida", "")), IF(OR(O1964="", O1964=""), "[Aviso] Ciclo de vida no capturado ()", IF(ISNA(MATCH(O1964, Criterios!$D$123:$D$124, 0)), "Ciclo de vida no válido", ""))))</f>
        <v/>
      </c>
      <c r="AC1964" s="56" t="n"/>
      <c r="AD1964" s="51" t="n">
        <v>0</v>
      </c>
      <c r="AE1964" s="156" t="inlineStr">
        <is>
          <t>Sin coincidencia en NetSuite</t>
        </is>
      </c>
      <c r="AF1964" s="51" t="n"/>
      <c r="AG1964" s="156" t="inlineStr">
        <is>
          <t>Catálogo existente</t>
        </is>
      </c>
      <c r="AH1964"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4" s="156" t="n"/>
      <c r="AJ1964" s="156" t="n"/>
      <c r="AK1964" s="155" t="inlineStr">
        <is>
          <t>Shopify Stetson: producto 14693916180843 / variante 51994296811883</t>
        </is>
      </c>
      <c r="AL1964" s="58" t="n"/>
      <c r="AM1964" s="58" t="n">
        <v>1850</v>
      </c>
      <c r="AN1964" s="155" t="inlineStr">
        <is>
          <t>Shopify Stetson México</t>
        </is>
      </c>
      <c r="AO1964" s="59" t="n">
        <v>0</v>
      </c>
      <c r="AP1964" s="59" t="n"/>
      <c r="AQ1964" s="59" t="n"/>
      <c r="AR1964" s="155" t="n"/>
    </row>
    <row r="1965">
      <c r="A1965" s="50" t="inlineStr">
        <is>
          <t>196070615715</t>
        </is>
      </c>
      <c r="B1965" s="51" t="inlineStr">
        <is>
          <t>109593</t>
        </is>
      </c>
      <c r="C1965" s="156" t="inlineStr">
        <is>
          <t>Multimarca</t>
        </is>
      </c>
      <c r="D1965" s="156" t="inlineStr">
        <is>
          <t>11-001-0478-5015</t>
        </is>
      </c>
      <c r="E1965" s="156" t="inlineStr">
        <is>
          <t>11-001-0478-5015-M</t>
        </is>
      </c>
      <c r="F1965" s="156" t="inlineStr">
        <is>
          <t>M</t>
        </is>
      </c>
      <c r="G1965" s="156" t="inlineStr">
        <is>
          <t>M</t>
        </is>
      </c>
      <c r="H1965" s="156" t="inlineStr">
        <is>
          <t>Stetson</t>
        </is>
      </c>
      <c r="I1965" s="156" t="inlineStr">
        <is>
          <t>Camisa Stetson Chambray</t>
        </is>
      </c>
      <c r="J1965" s="156" t="inlineStr">
        <is>
          <t>Ropa</t>
        </is>
      </c>
      <c r="K1965" s="156" t="inlineStr">
        <is>
          <t>Camisas</t>
        </is>
      </c>
      <c r="L1965" s="156" t="inlineStr">
        <is>
          <t>Hombre</t>
        </is>
      </c>
      <c r="M1965" s="156" t="inlineStr">
        <is>
          <t>Stetson</t>
        </is>
      </c>
      <c r="N1965" s="156" t="inlineStr">
        <is>
          <t>SS26</t>
        </is>
      </c>
      <c r="O1965" s="156" t="inlineStr">
        <is>
          <t>Seasonal</t>
        </is>
      </c>
      <c r="P1965" s="156" t="inlineStr">
        <is>
          <t>Cafe</t>
        </is>
      </c>
      <c r="Q1965" s="156" t="inlineStr">
        <is>
          <t>Relajado</t>
        </is>
      </c>
      <c r="R1965" s="156" t="n"/>
      <c r="S1965" s="156" t="inlineStr">
        <is>
          <t>100% Algodón</t>
        </is>
      </c>
      <c r="T1965" s="156" t="inlineStr">
        <is>
          <t>Camisa Stetson a Cuadros para Caballero –Chambray 2039,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Chambray Dobby Plaid 2039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65" s="156" t="n"/>
      <c r="V1965" s="156" t="inlineStr">
        <is>
          <t>PZS</t>
        </is>
      </c>
      <c r="W1965" s="51" t="inlineStr">
        <is>
          <t>53101600</t>
        </is>
      </c>
      <c r="X1965" s="156" t="inlineStr">
        <is>
          <t>https://cdn.shopify.com/s/files/1/0888/3250/8267/files/1100104785015b.jpg?v=1744645427</t>
        </is>
      </c>
      <c r="Y1965" s="54" t="n">
        <v>717.6724138</v>
      </c>
      <c r="Z1965" s="54" t="n">
        <v>1594.827586</v>
      </c>
      <c r="AA1965" s="55">
        <f>IF(AND(A1965="", B1965="", E1965=""), "", IF(AB1965="", "Válido", IF((LEN(AB1965)-LEN(SUBSTITUTE(AB1965,"; ","")))/2+1&gt;(LEN(AB1965)-LEN(SUBSTITUTE(AB1965,"[Aviso]","")))/7, "Con Incidencias", "Válido")))</f>
        <v/>
      </c>
      <c r="AB1965" s="56">
        <f>IF(AND(A1965="", B1965="", E1965=""), "", TEXTJOIN("; ", TRUE, IF(OR(TRIM(A1965&amp;"")="", ISNUMBER(SEARCH("FALTA", A1965))), "UPC faltante/inválido", ""), IF(AND(A1965&lt;&gt;"", IFERROR(_xlfn.XMATCH(A1965,$A$2:$A$2509,0,1)&lt;&gt;_xlfn.XMATCH(A1965,$A$2:$A$2509,0,-1),FALSE)), "Código de barras duplicado", ""), IF(AND(E1965&lt;&gt;"", COUNTIF($E$2:$E$2509, E1965)&gt;1), "SKU duplicado", ""), IF(OR(J1965="", J1965=""), "[Aviso] División no capturada ()", IF(ISNA(MATCH(J1965, Criterios!$A$123:$A$126, 0)), "División no válida", "")), IF(OR(K1965="", K1965=""), "[Aviso] Categoría no capturada ()", IF(ISNA(MATCH(K1965, Criterios!$A$81:$A$120, 0)), "Categoría no válida", IF(AND(J1965&lt;&gt;"", J1965&lt;&gt;"", J1965&lt;&gt;VLOOKUP(K1965, Criterios!$A$81:$B$120, 2, FALSE)), "División no coincide con Categoría", ""))), IF(OR(L1965="", L1965=""), "[Aviso] Género no capturado ()", IF(ISNA(MATCH(L1965, Criterios!$B$123:$B$127, 0)), "Género no válido", "")), IF(OR(N1965="", N1965=""), "[Aviso] Temporada no capturada ()", IF(ISNA(MATCH(N1965, Criterios!$C$123:$C$128, 0)), "Temporada no válida", "")), IF(OR(O1965="", O1965=""), "[Aviso] Ciclo de vida no capturado ()", IF(ISNA(MATCH(O1965, Criterios!$D$123:$D$124, 0)), "Ciclo de vida no válido", ""))))</f>
        <v/>
      </c>
      <c r="AC1965" s="56" t="n"/>
      <c r="AD1965" s="51" t="n">
        <v>0</v>
      </c>
      <c r="AE1965" s="156" t="n"/>
      <c r="AF1965" s="51" t="n">
        <v>0</v>
      </c>
      <c r="AG1965" s="156" t="inlineStr">
        <is>
          <t>Catálogo existente</t>
        </is>
      </c>
      <c r="AH196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5" s="156" t="inlineStr">
        <is>
          <t>No</t>
        </is>
      </c>
      <c r="AJ1965" s="156" t="n"/>
      <c r="AK1965" s="155" t="inlineStr">
        <is>
          <t>Descripción y Criterios: G/H [P] | Criterios: J [R]; G1522_Extraccion_Articulos_NetSuite_2026-09-30.xlsx: fila 57408 [S] | Shopify Stetson: producto 14695098057067 / variante 52001955414379</t>
        </is>
      </c>
      <c r="AL1965" s="58" t="n">
        <v>717.6724138</v>
      </c>
      <c r="AM1965" s="58" t="n">
        <v>1594.827586</v>
      </c>
      <c r="AN1965" s="155" t="inlineStr">
        <is>
          <t>Shopify Stetson México</t>
        </is>
      </c>
      <c r="AO1965" s="59" t="n">
        <v>0</v>
      </c>
      <c r="AP1965" s="59" t="n"/>
      <c r="AQ1965" s="59" t="n"/>
      <c r="AR1965" s="155" t="n"/>
    </row>
    <row r="1966">
      <c r="A1966" s="50" t="inlineStr">
        <is>
          <t>196070615722</t>
        </is>
      </c>
      <c r="B1966" s="51" t="inlineStr">
        <is>
          <t>109594</t>
        </is>
      </c>
      <c r="C1966" s="156" t="inlineStr">
        <is>
          <t>Multimarca</t>
        </is>
      </c>
      <c r="D1966" s="156" t="inlineStr">
        <is>
          <t>11-001-0478-5015</t>
        </is>
      </c>
      <c r="E1966" s="156" t="inlineStr">
        <is>
          <t>11-001-0478-5015-S</t>
        </is>
      </c>
      <c r="F1966" s="156" t="inlineStr">
        <is>
          <t>S</t>
        </is>
      </c>
      <c r="G1966" s="156" t="inlineStr">
        <is>
          <t>S</t>
        </is>
      </c>
      <c r="H1966" s="156" t="inlineStr">
        <is>
          <t>Stetson</t>
        </is>
      </c>
      <c r="I1966" s="156" t="inlineStr">
        <is>
          <t>Camisa Stetson Chambray</t>
        </is>
      </c>
      <c r="J1966" s="156" t="inlineStr">
        <is>
          <t>Ropa</t>
        </is>
      </c>
      <c r="K1966" s="156" t="inlineStr">
        <is>
          <t>Camisas</t>
        </is>
      </c>
      <c r="L1966" s="156" t="inlineStr">
        <is>
          <t>Hombre</t>
        </is>
      </c>
      <c r="M1966" s="156" t="inlineStr">
        <is>
          <t>Stetson</t>
        </is>
      </c>
      <c r="N1966" s="156" t="inlineStr">
        <is>
          <t>SS26</t>
        </is>
      </c>
      <c r="O1966" s="156" t="inlineStr">
        <is>
          <t>Seasonal</t>
        </is>
      </c>
      <c r="P1966" s="156" t="inlineStr">
        <is>
          <t>Cafe</t>
        </is>
      </c>
      <c r="Q1966" s="156" t="inlineStr">
        <is>
          <t>Relajado</t>
        </is>
      </c>
      <c r="R1966" s="156" t="n"/>
      <c r="S1966" s="156" t="inlineStr">
        <is>
          <t>100% Algodón</t>
        </is>
      </c>
      <c r="T1966" s="156" t="inlineStr">
        <is>
          <t>Camisa Stetson a Cuadros para Caballero –Chambray 2039,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Chambray Dobby Plaid 2039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66" s="156" t="n"/>
      <c r="V1966" s="156" t="inlineStr">
        <is>
          <t>PZS</t>
        </is>
      </c>
      <c r="W1966" s="51" t="inlineStr">
        <is>
          <t>53101600</t>
        </is>
      </c>
      <c r="X1966" s="156" t="inlineStr">
        <is>
          <t>https://cdn.shopify.com/s/files/1/0888/3250/8267/files/1100104785015a.jpg?v=1744645420</t>
        </is>
      </c>
      <c r="Y1966" s="54" t="n">
        <v>717.6724138</v>
      </c>
      <c r="Z1966" s="54" t="n">
        <v>1594.827586</v>
      </c>
      <c r="AA1966" s="55">
        <f>IF(AND(A1966="", B1966="", E1966=""), "", IF(AB1966="", "Válido", IF((LEN(AB1966)-LEN(SUBSTITUTE(AB1966,"; ","")))/2+1&gt;(LEN(AB1966)-LEN(SUBSTITUTE(AB1966,"[Aviso]","")))/7, "Con Incidencias", "Válido")))</f>
        <v/>
      </c>
      <c r="AB1966" s="56">
        <f>IF(AND(A1966="", B1966="", E1966=""), "", TEXTJOIN("; ", TRUE, IF(OR(TRIM(A1966&amp;"")="", ISNUMBER(SEARCH("FALTA", A1966))), "UPC faltante/inválido", ""), IF(AND(A1966&lt;&gt;"", IFERROR(_xlfn.XMATCH(A1966,$A$2:$A$2509,0,1)&lt;&gt;_xlfn.XMATCH(A1966,$A$2:$A$2509,0,-1),FALSE)), "Código de barras duplicado", ""), IF(AND(E1966&lt;&gt;"", COUNTIF($E$2:$E$2509, E1966)&gt;1), "SKU duplicado", ""), IF(OR(J1966="", J1966=""), "[Aviso] División no capturada ()", IF(ISNA(MATCH(J1966, Criterios!$A$123:$A$126, 0)), "División no válida", "")), IF(OR(K1966="", K1966=""), "[Aviso] Categoría no capturada ()", IF(ISNA(MATCH(K1966, Criterios!$A$81:$A$120, 0)), "Categoría no válida", IF(AND(J1966&lt;&gt;"", J1966&lt;&gt;"", J1966&lt;&gt;VLOOKUP(K1966, Criterios!$A$81:$B$120, 2, FALSE)), "División no coincide con Categoría", ""))), IF(OR(L1966="", L1966=""), "[Aviso] Género no capturado ()", IF(ISNA(MATCH(L1966, Criterios!$B$123:$B$127, 0)), "Género no válido", "")), IF(OR(N1966="", N1966=""), "[Aviso] Temporada no capturada ()", IF(ISNA(MATCH(N1966, Criterios!$C$123:$C$128, 0)), "Temporada no válida", "")), IF(OR(O1966="", O1966=""), "[Aviso] Ciclo de vida no capturado ()", IF(ISNA(MATCH(O1966, Criterios!$D$123:$D$124, 0)), "Ciclo de vida no válido", ""))))</f>
        <v/>
      </c>
      <c r="AC1966" s="56" t="n"/>
      <c r="AD1966" s="51" t="n">
        <v>0</v>
      </c>
      <c r="AE1966" s="156" t="n"/>
      <c r="AF1966" s="51" t="n">
        <v>0</v>
      </c>
      <c r="AG1966" s="156" t="inlineStr">
        <is>
          <t>Catálogo existente</t>
        </is>
      </c>
      <c r="AH196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6" s="156" t="inlineStr">
        <is>
          <t>No</t>
        </is>
      </c>
      <c r="AJ1966" s="156" t="n"/>
      <c r="AK1966" s="155" t="inlineStr">
        <is>
          <t>Descripción y Criterios: G/H [P] | Criterios: J [R]; G1522_Extraccion_Articulos_NetSuite_2026-09-30.xlsx: fila 57409 [S] | Shopify Stetson: producto 14695098057067 / variante 52001955381611</t>
        </is>
      </c>
      <c r="AL1966" s="58" t="n">
        <v>717.6724138</v>
      </c>
      <c r="AM1966" s="58" t="n">
        <v>1594.827586</v>
      </c>
      <c r="AN1966" s="155" t="inlineStr">
        <is>
          <t>Shopify Stetson México</t>
        </is>
      </c>
      <c r="AO1966" s="59" t="n">
        <v>0</v>
      </c>
      <c r="AP1966" s="59" t="n"/>
      <c r="AQ1966" s="59" t="n"/>
      <c r="AR1966" s="155" t="n"/>
    </row>
    <row r="1967">
      <c r="A1967" s="50" t="inlineStr">
        <is>
          <t>196070700251</t>
        </is>
      </c>
      <c r="B1967" s="51" t="n"/>
      <c r="C1967" s="156" t="inlineStr">
        <is>
          <t>Multimarca</t>
        </is>
      </c>
      <c r="D1967" s="156" t="inlineStr">
        <is>
          <t>11-001-0425-0727</t>
        </is>
      </c>
      <c r="E1967" s="156" t="inlineStr">
        <is>
          <t>11-001-0425-0727_GDE</t>
        </is>
      </c>
      <c r="F1967" s="156" t="inlineStr">
        <is>
          <t>L</t>
        </is>
      </c>
      <c r="G1967" s="156" t="inlineStr">
        <is>
          <t>L</t>
        </is>
      </c>
      <c r="H1967" s="156" t="inlineStr">
        <is>
          <t>Stetson</t>
        </is>
      </c>
      <c r="I1967" s="156" t="inlineStr">
        <is>
          <t>CAMISA MANGA LARGA MEDALLON WALLPAPER 2141</t>
        </is>
      </c>
      <c r="J1967" s="156" t="inlineStr">
        <is>
          <t>Ropa</t>
        </is>
      </c>
      <c r="K1967" s="156" t="inlineStr">
        <is>
          <t>Camisas</t>
        </is>
      </c>
      <c r="L1967" s="156" t="inlineStr">
        <is>
          <t>Hombre</t>
        </is>
      </c>
      <c r="M1967" s="156" t="inlineStr">
        <is>
          <t>Stetson</t>
        </is>
      </c>
      <c r="N1967" s="156" t="n"/>
      <c r="O1967" s="156" t="n"/>
      <c r="P1967" s="156" t="n"/>
      <c r="Q1967" s="156" t="inlineStr">
        <is>
          <t>Clásico</t>
        </is>
      </c>
      <c r="R1967" s="156" t="n"/>
      <c r="S1967" s="156" t="n"/>
      <c r="T1967"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67" s="156" t="n"/>
      <c r="V1967" s="156" t="inlineStr">
        <is>
          <t>PZS</t>
        </is>
      </c>
      <c r="W1967" s="51" t="inlineStr">
        <is>
          <t>53101602</t>
        </is>
      </c>
      <c r="X1967" s="156" t="inlineStr">
        <is>
          <t>https://cdn.shopify.com/s/files/1/0888/3250/8267/files/1100104250727a.jpg?v=1744125734</t>
        </is>
      </c>
      <c r="Y1967" s="54" t="n"/>
      <c r="Z1967" s="54" t="n">
        <v>1850</v>
      </c>
      <c r="AA1967" s="55">
        <f>IF(AND(A1967="", B1967="", E1967=""), "", IF(AB1967="", "Válido", IF((LEN(AB1967)-LEN(SUBSTITUTE(AB1967,"; ","")))/2+1&gt;(LEN(AB1967)-LEN(SUBSTITUTE(AB1967,"[Aviso]","")))/7, "Con Incidencias", "Válido")))</f>
        <v/>
      </c>
      <c r="AB1967" s="56">
        <f>IF(AND(A1967="", B1967="", E1967=""), "", TEXTJOIN("; ", TRUE, IF(OR(TRIM(A1967&amp;"")="", ISNUMBER(SEARCH("FALTA", A1967))), "UPC faltante/inválido", ""), IF(AND(A1967&lt;&gt;"", IFERROR(_xlfn.XMATCH(A1967,$A$2:$A$2509,0,1)&lt;&gt;_xlfn.XMATCH(A1967,$A$2:$A$2509,0,-1),FALSE)), "Código de barras duplicado", ""), IF(AND(E1967&lt;&gt;"", COUNTIF($E$2:$E$2509, E1967)&gt;1), "SKU duplicado", ""), IF(OR(J1967="", J1967=""), "[Aviso] División no capturada ()", IF(ISNA(MATCH(J1967, Criterios!$A$123:$A$126, 0)), "División no válida", "")), IF(OR(K1967="", K1967=""), "[Aviso] Categoría no capturada ()", IF(ISNA(MATCH(K1967, Criterios!$A$81:$A$120, 0)), "Categoría no válida", IF(AND(J1967&lt;&gt;"", J1967&lt;&gt;"", J1967&lt;&gt;VLOOKUP(K1967, Criterios!$A$81:$B$120, 2, FALSE)), "División no coincide con Categoría", ""))), IF(OR(L1967="", L1967=""), "[Aviso] Género no capturado ()", IF(ISNA(MATCH(L1967, Criterios!$B$123:$B$127, 0)), "Género no válido", "")), IF(OR(N1967="", N1967=""), "[Aviso] Temporada no capturada ()", IF(ISNA(MATCH(N1967, Criterios!$C$123:$C$128, 0)), "Temporada no válida", "")), IF(OR(O1967="", O1967=""), "[Aviso] Ciclo de vida no capturado ()", IF(ISNA(MATCH(O1967, Criterios!$D$123:$D$124, 0)), "Ciclo de vida no válido", ""))))</f>
        <v/>
      </c>
      <c r="AC1967" s="56" t="n"/>
      <c r="AD1967" s="51" t="n">
        <v>0</v>
      </c>
      <c r="AE1967" s="156" t="inlineStr">
        <is>
          <t>Sin coincidencia en NetSuite</t>
        </is>
      </c>
      <c r="AF1967" s="51" t="n"/>
      <c r="AG1967" s="156" t="inlineStr">
        <is>
          <t>Catálogo existente</t>
        </is>
      </c>
      <c r="AH196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7" s="156" t="n"/>
      <c r="AJ1967" s="156" t="n"/>
      <c r="AK1967" s="155" t="inlineStr">
        <is>
          <t>Shopify Stetson: producto 14693662425451 / variante 51992384995691</t>
        </is>
      </c>
      <c r="AL1967" s="58" t="n"/>
      <c r="AM1967" s="58" t="n">
        <v>1850</v>
      </c>
      <c r="AN1967" s="155" t="inlineStr">
        <is>
          <t>Shopify Stetson México</t>
        </is>
      </c>
      <c r="AO1967" s="59" t="n">
        <v>0</v>
      </c>
      <c r="AP1967" s="59" t="n"/>
      <c r="AQ1967" s="59" t="n"/>
      <c r="AR1967" s="155" t="n"/>
    </row>
    <row r="1968">
      <c r="A1968" s="50" t="inlineStr">
        <is>
          <t>196070700282</t>
        </is>
      </c>
      <c r="B1968" s="51" t="n"/>
      <c r="C1968" s="156" t="inlineStr">
        <is>
          <t>Multimarca</t>
        </is>
      </c>
      <c r="D1968" s="156" t="inlineStr">
        <is>
          <t>11-001-0425-0727</t>
        </is>
      </c>
      <c r="E1968" s="156" t="inlineStr">
        <is>
          <t>11-001-0425-0727_XL</t>
        </is>
      </c>
      <c r="F1968" s="156" t="inlineStr">
        <is>
          <t>XL</t>
        </is>
      </c>
      <c r="G1968" s="156" t="inlineStr">
        <is>
          <t>XL</t>
        </is>
      </c>
      <c r="H1968" s="156" t="inlineStr">
        <is>
          <t>Stetson</t>
        </is>
      </c>
      <c r="I1968" s="156" t="inlineStr">
        <is>
          <t>CAMISA MANGA LARGA MEDALLON WALLPAPER 2141</t>
        </is>
      </c>
      <c r="J1968" s="156" t="inlineStr">
        <is>
          <t>Ropa</t>
        </is>
      </c>
      <c r="K1968" s="156" t="inlineStr">
        <is>
          <t>Camisas</t>
        </is>
      </c>
      <c r="L1968" s="156" t="inlineStr">
        <is>
          <t>Hombre</t>
        </is>
      </c>
      <c r="M1968" s="156" t="inlineStr">
        <is>
          <t>Stetson</t>
        </is>
      </c>
      <c r="N1968" s="156" t="n"/>
      <c r="O1968" s="156" t="n"/>
      <c r="P1968" s="156" t="n"/>
      <c r="Q1968" s="156" t="inlineStr">
        <is>
          <t>Clásico</t>
        </is>
      </c>
      <c r="R1968" s="156" t="n"/>
      <c r="S1968" s="156" t="n"/>
      <c r="T1968"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68" s="156" t="n"/>
      <c r="V1968" s="156" t="inlineStr">
        <is>
          <t>PZS</t>
        </is>
      </c>
      <c r="W1968" s="51" t="inlineStr">
        <is>
          <t>53101602</t>
        </is>
      </c>
      <c r="X1968" s="156" t="inlineStr">
        <is>
          <t>https://cdn.shopify.com/s/files/1/0888/3250/8267/files/1100104250727b.jpg?v=1744125740</t>
        </is>
      </c>
      <c r="Y1968" s="54" t="n"/>
      <c r="Z1968" s="54" t="n">
        <v>1850</v>
      </c>
      <c r="AA1968" s="55">
        <f>IF(AND(A1968="", B1968="", E1968=""), "", IF(AB1968="", "Válido", IF((LEN(AB1968)-LEN(SUBSTITUTE(AB1968,"; ","")))/2+1&gt;(LEN(AB1968)-LEN(SUBSTITUTE(AB1968,"[Aviso]","")))/7, "Con Incidencias", "Válido")))</f>
        <v/>
      </c>
      <c r="AB1968" s="56">
        <f>IF(AND(A1968="", B1968="", E1968=""), "", TEXTJOIN("; ", TRUE, IF(OR(TRIM(A1968&amp;"")="", ISNUMBER(SEARCH("FALTA", A1968))), "UPC faltante/inválido", ""), IF(AND(A1968&lt;&gt;"", IFERROR(_xlfn.XMATCH(A1968,$A$2:$A$2509,0,1)&lt;&gt;_xlfn.XMATCH(A1968,$A$2:$A$2509,0,-1),FALSE)), "Código de barras duplicado", ""), IF(AND(E1968&lt;&gt;"", COUNTIF($E$2:$E$2509, E1968)&gt;1), "SKU duplicado", ""), IF(OR(J1968="", J1968=""), "[Aviso] División no capturada ()", IF(ISNA(MATCH(J1968, Criterios!$A$123:$A$126, 0)), "División no válida", "")), IF(OR(K1968="", K1968=""), "[Aviso] Categoría no capturada ()", IF(ISNA(MATCH(K1968, Criterios!$A$81:$A$120, 0)), "Categoría no válida", IF(AND(J1968&lt;&gt;"", J1968&lt;&gt;"", J1968&lt;&gt;VLOOKUP(K1968, Criterios!$A$81:$B$120, 2, FALSE)), "División no coincide con Categoría", ""))), IF(OR(L1968="", L1968=""), "[Aviso] Género no capturado ()", IF(ISNA(MATCH(L1968, Criterios!$B$123:$B$127, 0)), "Género no válido", "")), IF(OR(N1968="", N1968=""), "[Aviso] Temporada no capturada ()", IF(ISNA(MATCH(N1968, Criterios!$C$123:$C$128, 0)), "Temporada no válida", "")), IF(OR(O1968="", O1968=""), "[Aviso] Ciclo de vida no capturado ()", IF(ISNA(MATCH(O1968, Criterios!$D$123:$D$124, 0)), "Ciclo de vida no válido", ""))))</f>
        <v/>
      </c>
      <c r="AC1968" s="56" t="n"/>
      <c r="AD1968" s="51" t="n">
        <v>0</v>
      </c>
      <c r="AE1968" s="156" t="inlineStr">
        <is>
          <t>Sin coincidencia en NetSuite</t>
        </is>
      </c>
      <c r="AF1968" s="51" t="n"/>
      <c r="AG1968" s="156" t="inlineStr">
        <is>
          <t>Catálogo existente</t>
        </is>
      </c>
      <c r="AH1968"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8" s="156" t="n"/>
      <c r="AJ1968" s="156" t="n"/>
      <c r="AK1968" s="155" t="inlineStr">
        <is>
          <t>Shopify Stetson: producto 14693662425451 / variante 51992385028459</t>
        </is>
      </c>
      <c r="AL1968" s="58" t="n"/>
      <c r="AM1968" s="58" t="n">
        <v>1850</v>
      </c>
      <c r="AN1968" s="155" t="inlineStr">
        <is>
          <t>Shopify Stetson México</t>
        </is>
      </c>
      <c r="AO1968" s="59" t="n">
        <v>0</v>
      </c>
      <c r="AP1968" s="59" t="n"/>
      <c r="AQ1968" s="59" t="n"/>
      <c r="AR1968" s="155" t="n"/>
    </row>
    <row r="1969">
      <c r="A1969" s="50" t="inlineStr">
        <is>
          <t>196070700435</t>
        </is>
      </c>
      <c r="B1969" s="51" t="n"/>
      <c r="C1969" s="156" t="inlineStr">
        <is>
          <t>Multimarca</t>
        </is>
      </c>
      <c r="D1969" s="156" t="inlineStr">
        <is>
          <t>11-001-0425-0730 GY</t>
        </is>
      </c>
      <c r="E1969" s="156" t="inlineStr">
        <is>
          <t>11-001-0425-0730 GY_GDE</t>
        </is>
      </c>
      <c r="F1969" s="156" t="inlineStr">
        <is>
          <t>L</t>
        </is>
      </c>
      <c r="G1969" s="156" t="inlineStr">
        <is>
          <t>L</t>
        </is>
      </c>
      <c r="H1969" s="156" t="inlineStr">
        <is>
          <t>Stetson</t>
        </is>
      </c>
      <c r="I1969" s="156" t="inlineStr">
        <is>
          <t>Camisa Stetson Medallon Ley</t>
        </is>
      </c>
      <c r="J1969" s="156" t="inlineStr">
        <is>
          <t>Ropa</t>
        </is>
      </c>
      <c r="K1969" s="156" t="inlineStr">
        <is>
          <t>Camisas</t>
        </is>
      </c>
      <c r="L1969" s="156" t="inlineStr">
        <is>
          <t>Hombre</t>
        </is>
      </c>
      <c r="M1969" s="156" t="inlineStr">
        <is>
          <t>Stetson</t>
        </is>
      </c>
      <c r="N1969" s="156" t="n"/>
      <c r="O1969" s="156" t="n"/>
      <c r="P1969" s="156" t="inlineStr">
        <is>
          <t>Rojo</t>
        </is>
      </c>
      <c r="Q1969" s="156" t="inlineStr">
        <is>
          <t>Clásico</t>
        </is>
      </c>
      <c r="R1969" s="156" t="n"/>
      <c r="S1969" s="156" t="n"/>
      <c r="T1969"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9" s="156" t="n"/>
      <c r="V1969" s="156" t="inlineStr">
        <is>
          <t>PZS</t>
        </is>
      </c>
      <c r="W1969" s="51" t="inlineStr">
        <is>
          <t>53101602</t>
        </is>
      </c>
      <c r="X1969" s="156" t="inlineStr">
        <is>
          <t>https://cdn.shopify.com/s/files/1/0888/3250/8267/files/ST-VR-P-012-IF-03_b7a7a207-5602-4cd1-b3b0-f97ae5e7d7cd.jpg?v=1764613666</t>
        </is>
      </c>
      <c r="Y1969" s="54" t="n"/>
      <c r="Z1969" s="54" t="n">
        <v>1850</v>
      </c>
      <c r="AA1969" s="55">
        <f>IF(AND(A1969="", B1969="", E1969=""), "", IF(AB1969="", "Válido", IF((LEN(AB1969)-LEN(SUBSTITUTE(AB1969,"; ","")))/2+1&gt;(LEN(AB1969)-LEN(SUBSTITUTE(AB1969,"[Aviso]","")))/7, "Con Incidencias", "Válido")))</f>
        <v/>
      </c>
      <c r="AB1969" s="56">
        <f>IF(AND(A1969="", B1969="", E1969=""), "", TEXTJOIN("; ", TRUE, IF(OR(TRIM(A1969&amp;"")="", ISNUMBER(SEARCH("FALTA", A1969))), "UPC faltante/inválido", ""), IF(AND(A1969&lt;&gt;"", IFERROR(_xlfn.XMATCH(A1969,$A$2:$A$2509,0,1)&lt;&gt;_xlfn.XMATCH(A1969,$A$2:$A$2509,0,-1),FALSE)), "Código de barras duplicado", ""), IF(AND(E1969&lt;&gt;"", COUNTIF($E$2:$E$2509, E1969)&gt;1), "SKU duplicado", ""), IF(OR(J1969="", J1969=""), "[Aviso] División no capturada ()", IF(ISNA(MATCH(J1969, Criterios!$A$123:$A$126, 0)), "División no válida", "")), IF(OR(K1969="", K1969=""), "[Aviso] Categoría no capturada ()", IF(ISNA(MATCH(K1969, Criterios!$A$81:$A$120, 0)), "Categoría no válida", IF(AND(J1969&lt;&gt;"", J1969&lt;&gt;"", J1969&lt;&gt;VLOOKUP(K1969, Criterios!$A$81:$B$120, 2, FALSE)), "División no coincide con Categoría", ""))), IF(OR(L1969="", L1969=""), "[Aviso] Género no capturado ()", IF(ISNA(MATCH(L1969, Criterios!$B$123:$B$127, 0)), "Género no válido", "")), IF(OR(N1969="", N1969=""), "[Aviso] Temporada no capturada ()", IF(ISNA(MATCH(N1969, Criterios!$C$123:$C$128, 0)), "Temporada no válida", "")), IF(OR(O1969="", O1969=""), "[Aviso] Ciclo de vida no capturado ()", IF(ISNA(MATCH(O1969, Criterios!$D$123:$D$124, 0)), "Ciclo de vida no válido", ""))))</f>
        <v/>
      </c>
      <c r="AC1969" s="56" t="n"/>
      <c r="AD1969" s="51" t="n">
        <v>0</v>
      </c>
      <c r="AE1969" s="156" t="inlineStr">
        <is>
          <t>Sin coincidencia en NetSuite</t>
        </is>
      </c>
      <c r="AF1969" s="51" t="n"/>
      <c r="AG1969" s="156" t="inlineStr">
        <is>
          <t>Catálogo existente</t>
        </is>
      </c>
      <c r="AH1969"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9" s="156" t="n"/>
      <c r="AJ1969" s="156" t="n"/>
      <c r="AK1969" s="155" t="inlineStr">
        <is>
          <t>Shopify Stetson: producto 14693695619435 / variante 51992491098475</t>
        </is>
      </c>
      <c r="AL1969" s="58" t="n"/>
      <c r="AM1969" s="58" t="n">
        <v>1850</v>
      </c>
      <c r="AN1969" s="155" t="inlineStr">
        <is>
          <t>Shopify Stetson México</t>
        </is>
      </c>
      <c r="AO1969" s="59" t="n">
        <v>0</v>
      </c>
      <c r="AP1969" s="59" t="n"/>
      <c r="AQ1969" s="59" t="n"/>
      <c r="AR1969" s="155" t="n"/>
    </row>
    <row r="1970">
      <c r="A1970" s="50" t="inlineStr">
        <is>
          <t>196070700442</t>
        </is>
      </c>
      <c r="B1970" s="51" t="n"/>
      <c r="C1970" s="156" t="inlineStr">
        <is>
          <t>Multimarca</t>
        </is>
      </c>
      <c r="D1970" s="156" t="inlineStr">
        <is>
          <t>11-001-0425-0730 GY</t>
        </is>
      </c>
      <c r="E1970" s="156" t="inlineStr">
        <is>
          <t>11-001-0425-0730 GY_MED</t>
        </is>
      </c>
      <c r="F1970" s="156" t="inlineStr">
        <is>
          <t>M</t>
        </is>
      </c>
      <c r="G1970" s="156" t="inlineStr">
        <is>
          <t>M</t>
        </is>
      </c>
      <c r="H1970" s="156" t="inlineStr">
        <is>
          <t>Stetson</t>
        </is>
      </c>
      <c r="I1970" s="156" t="inlineStr">
        <is>
          <t>Camisa Stetson Medallon Ley</t>
        </is>
      </c>
      <c r="J1970" s="156" t="inlineStr">
        <is>
          <t>Ropa</t>
        </is>
      </c>
      <c r="K1970" s="156" t="inlineStr">
        <is>
          <t>Camisas</t>
        </is>
      </c>
      <c r="L1970" s="156" t="inlineStr">
        <is>
          <t>Hombre</t>
        </is>
      </c>
      <c r="M1970" s="156" t="inlineStr">
        <is>
          <t>Stetson</t>
        </is>
      </c>
      <c r="N1970" s="156" t="n"/>
      <c r="O1970" s="156" t="n"/>
      <c r="P1970" s="156" t="inlineStr">
        <is>
          <t>Rojo</t>
        </is>
      </c>
      <c r="Q1970" s="156" t="inlineStr">
        <is>
          <t>Clásico</t>
        </is>
      </c>
      <c r="R1970" s="156" t="n"/>
      <c r="S1970" s="156" t="n"/>
      <c r="T1970"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0" s="156" t="n"/>
      <c r="V1970" s="156" t="inlineStr">
        <is>
          <t>PZS</t>
        </is>
      </c>
      <c r="W1970" s="51" t="inlineStr">
        <is>
          <t>53101602</t>
        </is>
      </c>
      <c r="X1970" s="156" t="inlineStr">
        <is>
          <t>https://cdn.shopify.com/s/files/1/0888/3250/8267/files/ST-VR-P-012-IF-02_a3f09f51-24f1-4099-a849-4f4e65527e5f.jpg?v=1764613657</t>
        </is>
      </c>
      <c r="Y1970" s="54" t="n"/>
      <c r="Z1970" s="54" t="n">
        <v>1850</v>
      </c>
      <c r="AA1970" s="55">
        <f>IF(AND(A1970="", B1970="", E1970=""), "", IF(AB1970="", "Válido", IF((LEN(AB1970)-LEN(SUBSTITUTE(AB1970,"; ","")))/2+1&gt;(LEN(AB1970)-LEN(SUBSTITUTE(AB1970,"[Aviso]","")))/7, "Con Incidencias", "Válido")))</f>
        <v/>
      </c>
      <c r="AB1970" s="56">
        <f>IF(AND(A1970="", B1970="", E1970=""), "", TEXTJOIN("; ", TRUE, IF(OR(TRIM(A1970&amp;"")="", ISNUMBER(SEARCH("FALTA", A1970))), "UPC faltante/inválido", ""), IF(AND(A1970&lt;&gt;"", IFERROR(_xlfn.XMATCH(A1970,$A$2:$A$2509,0,1)&lt;&gt;_xlfn.XMATCH(A1970,$A$2:$A$2509,0,-1),FALSE)), "Código de barras duplicado", ""), IF(AND(E1970&lt;&gt;"", COUNTIF($E$2:$E$2509, E1970)&gt;1), "SKU duplicado", ""), IF(OR(J1970="", J1970=""), "[Aviso] División no capturada ()", IF(ISNA(MATCH(J1970, Criterios!$A$123:$A$126, 0)), "División no válida", "")), IF(OR(K1970="", K1970=""), "[Aviso] Categoría no capturada ()", IF(ISNA(MATCH(K1970, Criterios!$A$81:$A$120, 0)), "Categoría no válida", IF(AND(J1970&lt;&gt;"", J1970&lt;&gt;"", J1970&lt;&gt;VLOOKUP(K1970, Criterios!$A$81:$B$120, 2, FALSE)), "División no coincide con Categoría", ""))), IF(OR(L1970="", L1970=""), "[Aviso] Género no capturado ()", IF(ISNA(MATCH(L1970, Criterios!$B$123:$B$127, 0)), "Género no válido", "")), IF(OR(N1970="", N1970=""), "[Aviso] Temporada no capturada ()", IF(ISNA(MATCH(N1970, Criterios!$C$123:$C$128, 0)), "Temporada no válida", "")), IF(OR(O1970="", O1970=""), "[Aviso] Ciclo de vida no capturado ()", IF(ISNA(MATCH(O1970, Criterios!$D$123:$D$124, 0)), "Ciclo de vida no válido", ""))))</f>
        <v/>
      </c>
      <c r="AC1970" s="56" t="n"/>
      <c r="AD1970" s="51" t="n">
        <v>0</v>
      </c>
      <c r="AE1970" s="156" t="inlineStr">
        <is>
          <t>Sin coincidencia en NetSuite</t>
        </is>
      </c>
      <c r="AF1970" s="51" t="n"/>
      <c r="AG1970" s="156" t="inlineStr">
        <is>
          <t>Catálogo existente</t>
        </is>
      </c>
      <c r="AH1970"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0" s="156" t="n"/>
      <c r="AJ1970" s="156" t="n"/>
      <c r="AK1970" s="155" t="inlineStr">
        <is>
          <t>Shopify Stetson: producto 14693695619435 / variante 51992491065707</t>
        </is>
      </c>
      <c r="AL1970" s="58" t="n"/>
      <c r="AM1970" s="58" t="n">
        <v>1850</v>
      </c>
      <c r="AN1970" s="155" t="inlineStr">
        <is>
          <t>Shopify Stetson México</t>
        </is>
      </c>
      <c r="AO1970" s="59" t="n">
        <v>0</v>
      </c>
      <c r="AP1970" s="59" t="n"/>
      <c r="AQ1970" s="59" t="n"/>
      <c r="AR1970" s="155" t="n"/>
    </row>
    <row r="1971">
      <c r="A1971" s="50" t="inlineStr">
        <is>
          <t>196070700459</t>
        </is>
      </c>
      <c r="B1971" s="51" t="n"/>
      <c r="C1971" s="156" t="inlineStr">
        <is>
          <t>Multimarca</t>
        </is>
      </c>
      <c r="D1971" s="156" t="inlineStr">
        <is>
          <t>11-001-0425-0730 GY</t>
        </is>
      </c>
      <c r="E1971" s="156" t="inlineStr">
        <is>
          <t>11-001-0425-0730 GY_CH</t>
        </is>
      </c>
      <c r="F1971" s="156" t="inlineStr">
        <is>
          <t>S</t>
        </is>
      </c>
      <c r="G1971" s="156" t="inlineStr">
        <is>
          <t>S</t>
        </is>
      </c>
      <c r="H1971" s="156" t="inlineStr">
        <is>
          <t>Stetson</t>
        </is>
      </c>
      <c r="I1971" s="156" t="inlineStr">
        <is>
          <t>Camisa Stetson Medallon Ley</t>
        </is>
      </c>
      <c r="J1971" s="156" t="inlineStr">
        <is>
          <t>Ropa</t>
        </is>
      </c>
      <c r="K1971" s="156" t="inlineStr">
        <is>
          <t>Camisas</t>
        </is>
      </c>
      <c r="L1971" s="156" t="inlineStr">
        <is>
          <t>Hombre</t>
        </is>
      </c>
      <c r="M1971" s="156" t="inlineStr">
        <is>
          <t>Stetson</t>
        </is>
      </c>
      <c r="N1971" s="156" t="n"/>
      <c r="O1971" s="156" t="n"/>
      <c r="P1971" s="156" t="inlineStr">
        <is>
          <t>Rojo</t>
        </is>
      </c>
      <c r="Q1971" s="156" t="inlineStr">
        <is>
          <t>Clásico</t>
        </is>
      </c>
      <c r="R1971" s="156" t="n"/>
      <c r="S1971" s="156" t="n"/>
      <c r="T1971"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1" s="156" t="n"/>
      <c r="V1971" s="156" t="inlineStr">
        <is>
          <t>PZS</t>
        </is>
      </c>
      <c r="W1971" s="51" t="inlineStr">
        <is>
          <t>53101602</t>
        </is>
      </c>
      <c r="X1971" s="156" t="inlineStr">
        <is>
          <t>https://cdn.shopify.com/s/files/1/0888/3250/8267/files/ST-VR-P-012-IF-01_d6438988-fb43-454f-88aa-8fafa83a505a.jpg?v=1764616735</t>
        </is>
      </c>
      <c r="Y1971" s="54" t="n"/>
      <c r="Z1971" s="54" t="n">
        <v>1850</v>
      </c>
      <c r="AA1971" s="55">
        <f>IF(AND(A1971="", B1971="", E1971=""), "", IF(AB1971="", "Válido", IF((LEN(AB1971)-LEN(SUBSTITUTE(AB1971,"; ","")))/2+1&gt;(LEN(AB1971)-LEN(SUBSTITUTE(AB1971,"[Aviso]","")))/7, "Con Incidencias", "Válido")))</f>
        <v/>
      </c>
      <c r="AB1971" s="56">
        <f>IF(AND(A1971="", B1971="", E1971=""), "", TEXTJOIN("; ", TRUE, IF(OR(TRIM(A1971&amp;"")="", ISNUMBER(SEARCH("FALTA", A1971))), "UPC faltante/inválido", ""), IF(AND(A1971&lt;&gt;"", IFERROR(_xlfn.XMATCH(A1971,$A$2:$A$2509,0,1)&lt;&gt;_xlfn.XMATCH(A1971,$A$2:$A$2509,0,-1),FALSE)), "Código de barras duplicado", ""), IF(AND(E1971&lt;&gt;"", COUNTIF($E$2:$E$2509, E1971)&gt;1), "SKU duplicado", ""), IF(OR(J1971="", J1971=""), "[Aviso] División no capturada ()", IF(ISNA(MATCH(J1971, Criterios!$A$123:$A$126, 0)), "División no válida", "")), IF(OR(K1971="", K1971=""), "[Aviso] Categoría no capturada ()", IF(ISNA(MATCH(K1971, Criterios!$A$81:$A$120, 0)), "Categoría no válida", IF(AND(J1971&lt;&gt;"", J1971&lt;&gt;"", J1971&lt;&gt;VLOOKUP(K1971, Criterios!$A$81:$B$120, 2, FALSE)), "División no coincide con Categoría", ""))), IF(OR(L1971="", L1971=""), "[Aviso] Género no capturado ()", IF(ISNA(MATCH(L1971, Criterios!$B$123:$B$127, 0)), "Género no válido", "")), IF(OR(N1971="", N1971=""), "[Aviso] Temporada no capturada ()", IF(ISNA(MATCH(N1971, Criterios!$C$123:$C$128, 0)), "Temporada no válida", "")), IF(OR(O1971="", O1971=""), "[Aviso] Ciclo de vida no capturado ()", IF(ISNA(MATCH(O1971, Criterios!$D$123:$D$124, 0)), "Ciclo de vida no válido", ""))))</f>
        <v/>
      </c>
      <c r="AC1971" s="56" t="n"/>
      <c r="AD1971" s="51" t="n">
        <v>0</v>
      </c>
      <c r="AE1971" s="156" t="inlineStr">
        <is>
          <t>Sin coincidencia en NetSuite</t>
        </is>
      </c>
      <c r="AF1971" s="51" t="n"/>
      <c r="AG1971" s="156" t="inlineStr">
        <is>
          <t>Catálogo existente</t>
        </is>
      </c>
      <c r="AH1971"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1" s="156" t="n"/>
      <c r="AJ1971" s="156" t="n"/>
      <c r="AK1971" s="155" t="inlineStr">
        <is>
          <t>Shopify Stetson: producto 14693695619435 / variante 51992491032939</t>
        </is>
      </c>
      <c r="AL1971" s="58" t="n"/>
      <c r="AM1971" s="58" t="n">
        <v>1850</v>
      </c>
      <c r="AN1971" s="155" t="inlineStr">
        <is>
          <t>Shopify Stetson México</t>
        </is>
      </c>
      <c r="AO1971" s="59" t="n">
        <v>0</v>
      </c>
      <c r="AP1971" s="59" t="n"/>
      <c r="AQ1971" s="59" t="n"/>
      <c r="AR1971" s="155" t="n"/>
    </row>
    <row r="1972">
      <c r="A1972" s="50" t="inlineStr">
        <is>
          <t>196070700466</t>
        </is>
      </c>
      <c r="B1972" s="51" t="n"/>
      <c r="C1972" s="156" t="inlineStr">
        <is>
          <t>Multimarca</t>
        </is>
      </c>
      <c r="D1972" s="156" t="inlineStr">
        <is>
          <t>11-001-0425-0730 GY</t>
        </is>
      </c>
      <c r="E1972" s="156" t="inlineStr">
        <is>
          <t>11-001-0425-0730 GY_XL</t>
        </is>
      </c>
      <c r="F1972" s="156" t="inlineStr">
        <is>
          <t>XL</t>
        </is>
      </c>
      <c r="G1972" s="156" t="inlineStr">
        <is>
          <t>XL</t>
        </is>
      </c>
      <c r="H1972" s="156" t="inlineStr">
        <is>
          <t>Stetson</t>
        </is>
      </c>
      <c r="I1972" s="156" t="inlineStr">
        <is>
          <t>Camisa Stetson Medallon Ley</t>
        </is>
      </c>
      <c r="J1972" s="156" t="inlineStr">
        <is>
          <t>Ropa</t>
        </is>
      </c>
      <c r="K1972" s="156" t="inlineStr">
        <is>
          <t>Camisas</t>
        </is>
      </c>
      <c r="L1972" s="156" t="inlineStr">
        <is>
          <t>Hombre</t>
        </is>
      </c>
      <c r="M1972" s="156" t="inlineStr">
        <is>
          <t>Stetson</t>
        </is>
      </c>
      <c r="N1972" s="156" t="n"/>
      <c r="O1972" s="156" t="n"/>
      <c r="P1972" s="156" t="inlineStr">
        <is>
          <t>Rojo</t>
        </is>
      </c>
      <c r="Q1972" s="156" t="inlineStr">
        <is>
          <t>Clásico</t>
        </is>
      </c>
      <c r="R1972" s="156" t="n"/>
      <c r="S1972" s="156" t="n"/>
      <c r="T1972"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2" s="156" t="n"/>
      <c r="V1972" s="156" t="inlineStr">
        <is>
          <t>PZS</t>
        </is>
      </c>
      <c r="W1972" s="51" t="inlineStr">
        <is>
          <t>53101602</t>
        </is>
      </c>
      <c r="X1972" s="156" t="inlineStr">
        <is>
          <t>https://cdn.shopify.com/s/files/1/0888/3250/8267/files/ST-VR-P-012-IF-01_d6438988-fb43-454f-88aa-8fafa83a505a.jpg?v=1764616735</t>
        </is>
      </c>
      <c r="Y1972" s="54" t="n"/>
      <c r="Z1972" s="54" t="n">
        <v>1850</v>
      </c>
      <c r="AA1972" s="55">
        <f>IF(AND(A1972="", B1972="", E1972=""), "", IF(AB1972="", "Válido", IF((LEN(AB1972)-LEN(SUBSTITUTE(AB1972,"; ","")))/2+1&gt;(LEN(AB1972)-LEN(SUBSTITUTE(AB1972,"[Aviso]","")))/7, "Con Incidencias", "Válido")))</f>
        <v/>
      </c>
      <c r="AB1972" s="56">
        <f>IF(AND(A1972="", B1972="", E1972=""), "", TEXTJOIN("; ", TRUE, IF(OR(TRIM(A1972&amp;"")="", ISNUMBER(SEARCH("FALTA", A1972))), "UPC faltante/inválido", ""), IF(AND(A1972&lt;&gt;"", IFERROR(_xlfn.XMATCH(A1972,$A$2:$A$2509,0,1)&lt;&gt;_xlfn.XMATCH(A1972,$A$2:$A$2509,0,-1),FALSE)), "Código de barras duplicado", ""), IF(AND(E1972&lt;&gt;"", COUNTIF($E$2:$E$2509, E1972)&gt;1), "SKU duplicado", ""), IF(OR(J1972="", J1972=""), "[Aviso] División no capturada ()", IF(ISNA(MATCH(J1972, Criterios!$A$123:$A$126, 0)), "División no válida", "")), IF(OR(K1972="", K1972=""), "[Aviso] Categoría no capturada ()", IF(ISNA(MATCH(K1972, Criterios!$A$81:$A$120, 0)), "Categoría no válida", IF(AND(J1972&lt;&gt;"", J1972&lt;&gt;"", J1972&lt;&gt;VLOOKUP(K1972, Criterios!$A$81:$B$120, 2, FALSE)), "División no coincide con Categoría", ""))), IF(OR(L1972="", L1972=""), "[Aviso] Género no capturado ()", IF(ISNA(MATCH(L1972, Criterios!$B$123:$B$127, 0)), "Género no válido", "")), IF(OR(N1972="", N1972=""), "[Aviso] Temporada no capturada ()", IF(ISNA(MATCH(N1972, Criterios!$C$123:$C$128, 0)), "Temporada no válida", "")), IF(OR(O1972="", O1972=""), "[Aviso] Ciclo de vida no capturado ()", IF(ISNA(MATCH(O1972, Criterios!$D$123:$D$124, 0)), "Ciclo de vida no válido", ""))))</f>
        <v/>
      </c>
      <c r="AC1972" s="56" t="n"/>
      <c r="AD1972" s="51" t="n">
        <v>0</v>
      </c>
      <c r="AE1972" s="156" t="inlineStr">
        <is>
          <t>Sin coincidencia en NetSuite</t>
        </is>
      </c>
      <c r="AF1972" s="51" t="n"/>
      <c r="AG1972" s="156" t="inlineStr">
        <is>
          <t>Catálogo existente</t>
        </is>
      </c>
      <c r="AH1972"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72" s="156" t="n"/>
      <c r="AJ1972" s="156" t="n"/>
      <c r="AK1972" s="155" t="inlineStr">
        <is>
          <t>Shopify Stetson: producto 14693695619435 / variante 51992491131243</t>
        </is>
      </c>
      <c r="AL1972" s="58" t="n"/>
      <c r="AM1972" s="58" t="n">
        <v>1850</v>
      </c>
      <c r="AN1972" s="155" t="inlineStr">
        <is>
          <t>Shopify Stetson México</t>
        </is>
      </c>
      <c r="AO1972" s="59" t="n">
        <v>0</v>
      </c>
      <c r="AP1972" s="59" t="n"/>
      <c r="AQ1972" s="59" t="n"/>
      <c r="AR1972" s="155" t="n"/>
    </row>
    <row r="1973">
      <c r="A1973" s="50" t="inlineStr">
        <is>
          <t>196070700473</t>
        </is>
      </c>
      <c r="B1973" s="51" t="n"/>
      <c r="C1973" s="156" t="inlineStr">
        <is>
          <t>Multimarca</t>
        </is>
      </c>
      <c r="D1973" s="156" t="inlineStr">
        <is>
          <t>11-001-0425-0730 GY</t>
        </is>
      </c>
      <c r="E1973" s="156" t="inlineStr">
        <is>
          <t>11-001-0425-0730 GY_XXL</t>
        </is>
      </c>
      <c r="F1973" s="156" t="inlineStr">
        <is>
          <t>XXL</t>
        </is>
      </c>
      <c r="G1973" s="156" t="inlineStr">
        <is>
          <t>XXL</t>
        </is>
      </c>
      <c r="H1973" s="156" t="inlineStr">
        <is>
          <t>Stetson</t>
        </is>
      </c>
      <c r="I1973" s="156" t="inlineStr">
        <is>
          <t>Camisa Stetson Medallon Ley</t>
        </is>
      </c>
      <c r="J1973" s="156" t="inlineStr">
        <is>
          <t>Ropa</t>
        </is>
      </c>
      <c r="K1973" s="156" t="inlineStr">
        <is>
          <t>Camisas</t>
        </is>
      </c>
      <c r="L1973" s="156" t="inlineStr">
        <is>
          <t>Hombre</t>
        </is>
      </c>
      <c r="M1973" s="156" t="inlineStr">
        <is>
          <t>Stetson</t>
        </is>
      </c>
      <c r="N1973" s="156" t="n"/>
      <c r="O1973" s="156" t="n"/>
      <c r="P1973" s="156" t="inlineStr">
        <is>
          <t>Rojo</t>
        </is>
      </c>
      <c r="Q1973" s="156" t="inlineStr">
        <is>
          <t>Clásico</t>
        </is>
      </c>
      <c r="R1973" s="156" t="n"/>
      <c r="S1973" s="156" t="n"/>
      <c r="T1973"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3" s="156" t="n"/>
      <c r="V1973" s="156" t="inlineStr">
        <is>
          <t>PZS</t>
        </is>
      </c>
      <c r="W1973" s="51" t="inlineStr">
        <is>
          <t>53101602</t>
        </is>
      </c>
      <c r="X1973" s="156" t="inlineStr">
        <is>
          <t>https://cdn.shopify.com/s/files/1/0888/3250/8267/files/ST-VR-P-012-IF-01_d6438988-fb43-454f-88aa-8fafa83a505a.jpg?v=1764616735</t>
        </is>
      </c>
      <c r="Y1973" s="54" t="n"/>
      <c r="Z1973" s="54" t="n">
        <v>1850</v>
      </c>
      <c r="AA1973" s="55">
        <f>IF(AND(A1973="", B1973="", E1973=""), "", IF(AB1973="", "Válido", IF((LEN(AB1973)-LEN(SUBSTITUTE(AB1973,"; ","")))/2+1&gt;(LEN(AB1973)-LEN(SUBSTITUTE(AB1973,"[Aviso]","")))/7, "Con Incidencias", "Válido")))</f>
        <v/>
      </c>
      <c r="AB1973" s="56">
        <f>IF(AND(A1973="", B1973="", E1973=""), "", TEXTJOIN("; ", TRUE, IF(OR(TRIM(A1973&amp;"")="", ISNUMBER(SEARCH("FALTA", A1973))), "UPC faltante/inválido", ""), IF(AND(A1973&lt;&gt;"", IFERROR(_xlfn.XMATCH(A1973,$A$2:$A$2509,0,1)&lt;&gt;_xlfn.XMATCH(A1973,$A$2:$A$2509,0,-1),FALSE)), "Código de barras duplicado", ""), IF(AND(E1973&lt;&gt;"", COUNTIF($E$2:$E$2509, E1973)&gt;1), "SKU duplicado", ""), IF(OR(J1973="", J1973=""), "[Aviso] División no capturada ()", IF(ISNA(MATCH(J1973, Criterios!$A$123:$A$126, 0)), "División no válida", "")), IF(OR(K1973="", K1973=""), "[Aviso] Categoría no capturada ()", IF(ISNA(MATCH(K1973, Criterios!$A$81:$A$120, 0)), "Categoría no válida", IF(AND(J1973&lt;&gt;"", J1973&lt;&gt;"", J1973&lt;&gt;VLOOKUP(K1973, Criterios!$A$81:$B$120, 2, FALSE)), "División no coincide con Categoría", ""))), IF(OR(L1973="", L1973=""), "[Aviso] Género no capturado ()", IF(ISNA(MATCH(L1973, Criterios!$B$123:$B$127, 0)), "Género no válido", "")), IF(OR(N1973="", N1973=""), "[Aviso] Temporada no capturada ()", IF(ISNA(MATCH(N1973, Criterios!$C$123:$C$128, 0)), "Temporada no válida", "")), IF(OR(O1973="", O1973=""), "[Aviso] Ciclo de vida no capturado ()", IF(ISNA(MATCH(O1973, Criterios!$D$123:$D$124, 0)), "Ciclo de vida no válido", ""))))</f>
        <v/>
      </c>
      <c r="AC1973" s="56" t="n"/>
      <c r="AD1973" s="51" t="n">
        <v>0</v>
      </c>
      <c r="AE1973" s="156" t="inlineStr">
        <is>
          <t>Sin coincidencia en NetSuite</t>
        </is>
      </c>
      <c r="AF1973" s="51" t="n"/>
      <c r="AG1973" s="156" t="inlineStr">
        <is>
          <t>Catálogo existente</t>
        </is>
      </c>
      <c r="AH1973"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73" s="156" t="n"/>
      <c r="AJ1973" s="156" t="n"/>
      <c r="AK1973" s="155" t="inlineStr">
        <is>
          <t>Shopify Stetson: producto 14693695619435 / variante 51992493392235</t>
        </is>
      </c>
      <c r="AL1973" s="58" t="n"/>
      <c r="AM1973" s="58" t="n">
        <v>1850</v>
      </c>
      <c r="AN1973" s="155" t="inlineStr">
        <is>
          <t>Shopify Stetson México</t>
        </is>
      </c>
      <c r="AO1973" s="59" t="n">
        <v>0</v>
      </c>
      <c r="AP1973" s="59" t="n"/>
      <c r="AQ1973" s="59" t="n"/>
      <c r="AR1973" s="155" t="n"/>
    </row>
    <row r="1974">
      <c r="A1974" s="50" t="inlineStr">
        <is>
          <t>196070700510</t>
        </is>
      </c>
      <c r="B1974" s="51" t="n"/>
      <c r="C1974" s="156" t="inlineStr">
        <is>
          <t>Multimarca</t>
        </is>
      </c>
      <c r="D1974" s="156" t="inlineStr">
        <is>
          <t>11-001-0425-0731 GY</t>
        </is>
      </c>
      <c r="E1974" s="156" t="inlineStr">
        <is>
          <t>11-001-0425-0731 GY_CH</t>
        </is>
      </c>
      <c r="F1974" s="156" t="inlineStr">
        <is>
          <t>S</t>
        </is>
      </c>
      <c r="G1974" s="156" t="inlineStr">
        <is>
          <t>S</t>
        </is>
      </c>
      <c r="H1974" s="156" t="inlineStr">
        <is>
          <t>Stetson</t>
        </is>
      </c>
      <c r="I1974" s="156" t="inlineStr">
        <is>
          <t>CAMISA MANGA LARGA MINI FULAR 2145</t>
        </is>
      </c>
      <c r="J1974" s="156" t="inlineStr">
        <is>
          <t>Ropa</t>
        </is>
      </c>
      <c r="K1974" s="156" t="inlineStr">
        <is>
          <t>Camisas</t>
        </is>
      </c>
      <c r="L1974" s="156" t="inlineStr">
        <is>
          <t>Hombre</t>
        </is>
      </c>
      <c r="M1974" s="156" t="inlineStr">
        <is>
          <t>Stetson</t>
        </is>
      </c>
      <c r="N1974" s="156" t="n"/>
      <c r="O1974" s="156" t="n"/>
      <c r="P1974" s="156" t="inlineStr">
        <is>
          <t>Gris</t>
        </is>
      </c>
      <c r="Q1974" s="156" t="inlineStr">
        <is>
          <t>Clásico</t>
        </is>
      </c>
      <c r="R1974" s="156" t="n"/>
      <c r="S1974" s="156" t="n"/>
      <c r="T1974" s="156" t="inlineStr">
        <is>
          <t>Camisa Stetson para Caballero – Manga Larga con Estampado Mini Fular
 Con un diseño atemporal que fusiona tradición y carácter, esta camisa de la colección Stetson Men's está confeccionada en suave popelina de algodón con estampado integral estilo Mini Fular.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Mini Fular 2145
 • Material:
 Popelina de algodón, de tacto suave y alta durabilidad
 • Diseño:
 Estampado integral estilo Mini Fular,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4" s="156" t="n"/>
      <c r="V1974" s="156" t="inlineStr">
        <is>
          <t>PZS</t>
        </is>
      </c>
      <c r="W1974" s="51" t="inlineStr">
        <is>
          <t>53101602</t>
        </is>
      </c>
      <c r="X1974" s="156" t="inlineStr">
        <is>
          <t>https://cdn.shopify.com/s/files/1/0888/3250/8267/files/1100104250731a.jpg?v=1744134201</t>
        </is>
      </c>
      <c r="Y1974" s="54" t="n"/>
      <c r="Z1974" s="54" t="n">
        <v>1850</v>
      </c>
      <c r="AA1974" s="55">
        <f>IF(AND(A1974="", B1974="", E1974=""), "", IF(AB1974="", "Válido", IF((LEN(AB1974)-LEN(SUBSTITUTE(AB1974,"; ","")))/2+1&gt;(LEN(AB1974)-LEN(SUBSTITUTE(AB1974,"[Aviso]","")))/7, "Con Incidencias", "Válido")))</f>
        <v/>
      </c>
      <c r="AB1974" s="56">
        <f>IF(AND(A1974="", B1974="", E1974=""), "", TEXTJOIN("; ", TRUE, IF(OR(TRIM(A1974&amp;"")="", ISNUMBER(SEARCH("FALTA", A1974))), "UPC faltante/inválido", ""), IF(AND(A1974&lt;&gt;"", IFERROR(_xlfn.XMATCH(A1974,$A$2:$A$2509,0,1)&lt;&gt;_xlfn.XMATCH(A1974,$A$2:$A$2509,0,-1),FALSE)), "Código de barras duplicado", ""), IF(AND(E1974&lt;&gt;"", COUNTIF($E$2:$E$2509, E1974)&gt;1), "SKU duplicado", ""), IF(OR(J1974="", J1974=""), "[Aviso] División no capturada ()", IF(ISNA(MATCH(J1974, Criterios!$A$123:$A$126, 0)), "División no válida", "")), IF(OR(K1974="", K1974=""), "[Aviso] Categoría no capturada ()", IF(ISNA(MATCH(K1974, Criterios!$A$81:$A$120, 0)), "Categoría no válida", IF(AND(J1974&lt;&gt;"", J1974&lt;&gt;"", J1974&lt;&gt;VLOOKUP(K1974, Criterios!$A$81:$B$120, 2, FALSE)), "División no coincide con Categoría", ""))), IF(OR(L1974="", L1974=""), "[Aviso] Género no capturado ()", IF(ISNA(MATCH(L1974, Criterios!$B$123:$B$127, 0)), "Género no válido", "")), IF(OR(N1974="", N1974=""), "[Aviso] Temporada no capturada ()", IF(ISNA(MATCH(N1974, Criterios!$C$123:$C$128, 0)), "Temporada no válida", "")), IF(OR(O1974="", O1974=""), "[Aviso] Ciclo de vida no capturado ()", IF(ISNA(MATCH(O1974, Criterios!$D$123:$D$124, 0)), "Ciclo de vida no válido", ""))))</f>
        <v/>
      </c>
      <c r="AC1974" s="56" t="n"/>
      <c r="AD1974" s="51" t="n">
        <v>0</v>
      </c>
      <c r="AE1974" s="156" t="inlineStr">
        <is>
          <t>Sin coincidencia en NetSuite</t>
        </is>
      </c>
      <c r="AF1974" s="51" t="n"/>
      <c r="AG1974" s="156" t="inlineStr">
        <is>
          <t>Catálogo existente</t>
        </is>
      </c>
      <c r="AH1974"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4" s="156" t="n"/>
      <c r="AJ1974" s="156" t="n"/>
      <c r="AK1974" s="155" t="inlineStr">
        <is>
          <t>Shopify Stetson: producto 14693698109803 / variante 51992496144747</t>
        </is>
      </c>
      <c r="AL1974" s="58" t="n"/>
      <c r="AM1974" s="58" t="n">
        <v>1850</v>
      </c>
      <c r="AN1974" s="155" t="inlineStr">
        <is>
          <t>Shopify Stetson México</t>
        </is>
      </c>
      <c r="AO1974" s="59" t="n">
        <v>0</v>
      </c>
      <c r="AP1974" s="59" t="n"/>
      <c r="AQ1974" s="59" t="n"/>
      <c r="AR1974" s="155" t="n"/>
    </row>
    <row r="1975">
      <c r="A1975" s="50" t="inlineStr">
        <is>
          <t>196070701098</t>
        </is>
      </c>
      <c r="B1975" s="51" t="inlineStr">
        <is>
          <t>109563</t>
        </is>
      </c>
      <c r="C1975" s="156" t="inlineStr">
        <is>
          <t>Multimarca</t>
        </is>
      </c>
      <c r="D1975" s="156" t="inlineStr">
        <is>
          <t>11-001-0478-0738</t>
        </is>
      </c>
      <c r="E1975" s="156" t="inlineStr">
        <is>
          <t>11-001-0478-0738-L</t>
        </is>
      </c>
      <c r="F1975" s="156" t="inlineStr">
        <is>
          <t>L</t>
        </is>
      </c>
      <c r="G1975" s="156" t="inlineStr">
        <is>
          <t>L</t>
        </is>
      </c>
      <c r="H1975" s="156" t="inlineStr">
        <is>
          <t>Stetson</t>
        </is>
      </c>
      <c r="I1975" s="156" t="inlineStr">
        <is>
          <t>Camisa Manga Larga Cuadros Dobby</t>
        </is>
      </c>
      <c r="J1975" s="156" t="inlineStr">
        <is>
          <t>Ropa</t>
        </is>
      </c>
      <c r="K1975" s="156" t="inlineStr">
        <is>
          <t>Camisas</t>
        </is>
      </c>
      <c r="L1975" s="156" t="inlineStr">
        <is>
          <t>Hombre</t>
        </is>
      </c>
      <c r="M1975" s="156" t="inlineStr">
        <is>
          <t>Stetson</t>
        </is>
      </c>
      <c r="N1975" s="156" t="inlineStr">
        <is>
          <t>SS26</t>
        </is>
      </c>
      <c r="O1975" s="156" t="inlineStr">
        <is>
          <t>Seasonal</t>
        </is>
      </c>
      <c r="P1975" s="156" t="inlineStr">
        <is>
          <t>Cafe</t>
        </is>
      </c>
      <c r="Q1975" s="156" t="inlineStr">
        <is>
          <t>Relajado</t>
        </is>
      </c>
      <c r="R1975" s="156" t="n"/>
      <c r="S1975" s="156" t="inlineStr">
        <is>
          <t>100% Algodón</t>
        </is>
      </c>
      <c r="T1975"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5" s="156" t="n"/>
      <c r="V1975" s="156" t="inlineStr">
        <is>
          <t>PZS</t>
        </is>
      </c>
      <c r="W1975" s="51" t="inlineStr">
        <is>
          <t>53101600</t>
        </is>
      </c>
      <c r="X1975" s="156" t="inlineStr">
        <is>
          <t>https://cdn.shopify.com/s/files/1/0888/3250/8267/files/1100104780738c.jpg?v=1744395046</t>
        </is>
      </c>
      <c r="Y1975" s="54" t="n">
        <v>717.6724138</v>
      </c>
      <c r="Z1975" s="54" t="n">
        <v>1594.827586</v>
      </c>
      <c r="AA1975" s="55">
        <f>IF(AND(A1975="", B1975="", E1975=""), "", IF(AB1975="", "Válido", IF((LEN(AB1975)-LEN(SUBSTITUTE(AB1975,"; ","")))/2+1&gt;(LEN(AB1975)-LEN(SUBSTITUTE(AB1975,"[Aviso]","")))/7, "Con Incidencias", "Válido")))</f>
        <v/>
      </c>
      <c r="AB1975" s="56">
        <f>IF(AND(A1975="", B1975="", E1975=""), "", TEXTJOIN("; ", TRUE, IF(OR(TRIM(A1975&amp;"")="", ISNUMBER(SEARCH("FALTA", A1975))), "UPC faltante/inválido", ""), IF(AND(A1975&lt;&gt;"", IFERROR(_xlfn.XMATCH(A1975,$A$2:$A$2509,0,1)&lt;&gt;_xlfn.XMATCH(A1975,$A$2:$A$2509,0,-1),FALSE)), "Código de barras duplicado", ""), IF(AND(E1975&lt;&gt;"", COUNTIF($E$2:$E$2509, E1975)&gt;1), "SKU duplicado", ""), IF(OR(J1975="", J1975=""), "[Aviso] División no capturada ()", IF(ISNA(MATCH(J1975, Criterios!$A$123:$A$126, 0)), "División no válida", "")), IF(OR(K1975="", K1975=""), "[Aviso] Categoría no capturada ()", IF(ISNA(MATCH(K1975, Criterios!$A$81:$A$120, 0)), "Categoría no válida", IF(AND(J1975&lt;&gt;"", J1975&lt;&gt;"", J1975&lt;&gt;VLOOKUP(K1975, Criterios!$A$81:$B$120, 2, FALSE)), "División no coincide con Categoría", ""))), IF(OR(L1975="", L1975=""), "[Aviso] Género no capturado ()", IF(ISNA(MATCH(L1975, Criterios!$B$123:$B$127, 0)), "Género no válido", "")), IF(OR(N1975="", N1975=""), "[Aviso] Temporada no capturada ()", IF(ISNA(MATCH(N1975, Criterios!$C$123:$C$128, 0)), "Temporada no válida", "")), IF(OR(O1975="", O1975=""), "[Aviso] Ciclo de vida no capturado ()", IF(ISNA(MATCH(O1975, Criterios!$D$123:$D$124, 0)), "Ciclo de vida no válido", ""))))</f>
        <v/>
      </c>
      <c r="AC1975" s="56" t="n"/>
      <c r="AD1975" s="51" t="n">
        <v>0</v>
      </c>
      <c r="AE1975" s="156" t="n"/>
      <c r="AF1975" s="51" t="n">
        <v>0</v>
      </c>
      <c r="AG1975" s="156" t="inlineStr">
        <is>
          <t>Catálogo existente</t>
        </is>
      </c>
      <c r="AH197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5" s="156" t="inlineStr">
        <is>
          <t>No</t>
        </is>
      </c>
      <c r="AJ1975" s="156" t="n"/>
      <c r="AK1975" s="155" t="inlineStr">
        <is>
          <t>Descripción y Criterios: G/H [P] | Criterios: J [R]; G1522_Extraccion_Articulos_NetSuite_2026-09-30.xlsx: fila 57378 [S] | Shopify Stetson: producto 14694480773483 / variante 51997359210859</t>
        </is>
      </c>
      <c r="AL1975" s="58" t="n">
        <v>717.6724138</v>
      </c>
      <c r="AM1975" s="58" t="n">
        <v>1594.827586</v>
      </c>
      <c r="AN1975" s="155" t="inlineStr">
        <is>
          <t>Shopify Stetson México</t>
        </is>
      </c>
      <c r="AO1975" s="59" t="n">
        <v>0</v>
      </c>
      <c r="AP1975" s="59" t="n"/>
      <c r="AQ1975" s="59" t="n"/>
      <c r="AR1975" s="155" t="n"/>
    </row>
    <row r="1976">
      <c r="A1976" s="50" t="inlineStr">
        <is>
          <t>196070701104</t>
        </is>
      </c>
      <c r="B1976" s="51" t="inlineStr">
        <is>
          <t>109564</t>
        </is>
      </c>
      <c r="C1976" s="156" t="inlineStr">
        <is>
          <t>Multimarca</t>
        </is>
      </c>
      <c r="D1976" s="156" t="inlineStr">
        <is>
          <t>11-001-0478-0738</t>
        </is>
      </c>
      <c r="E1976" s="156" t="inlineStr">
        <is>
          <t>11-001-0478-0738-M</t>
        </is>
      </c>
      <c r="F1976" s="156" t="inlineStr">
        <is>
          <t>M</t>
        </is>
      </c>
      <c r="G1976" s="156" t="inlineStr">
        <is>
          <t>M</t>
        </is>
      </c>
      <c r="H1976" s="156" t="inlineStr">
        <is>
          <t>Stetson</t>
        </is>
      </c>
      <c r="I1976" s="156" t="inlineStr">
        <is>
          <t>Camisa Manga Larga Cuadros Dobby</t>
        </is>
      </c>
      <c r="J1976" s="156" t="inlineStr">
        <is>
          <t>Ropa</t>
        </is>
      </c>
      <c r="K1976" s="156" t="inlineStr">
        <is>
          <t>Camisas</t>
        </is>
      </c>
      <c r="L1976" s="156" t="inlineStr">
        <is>
          <t>Hombre</t>
        </is>
      </c>
      <c r="M1976" s="156" t="inlineStr">
        <is>
          <t>Stetson</t>
        </is>
      </c>
      <c r="N1976" s="156" t="inlineStr">
        <is>
          <t>SS26</t>
        </is>
      </c>
      <c r="O1976" s="156" t="inlineStr">
        <is>
          <t>Seasonal</t>
        </is>
      </c>
      <c r="P1976" s="156" t="inlineStr">
        <is>
          <t>Cafe</t>
        </is>
      </c>
      <c r="Q1976" s="156" t="inlineStr">
        <is>
          <t>Relajado</t>
        </is>
      </c>
      <c r="R1976" s="156" t="n"/>
      <c r="S1976" s="156" t="inlineStr">
        <is>
          <t>100% Algodón</t>
        </is>
      </c>
      <c r="T1976"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6" s="156" t="n"/>
      <c r="V1976" s="156" t="inlineStr">
        <is>
          <t>PZS</t>
        </is>
      </c>
      <c r="W1976" s="51" t="inlineStr">
        <is>
          <t>53101600</t>
        </is>
      </c>
      <c r="X1976" s="156" t="inlineStr">
        <is>
          <t>https://cdn.shopify.com/s/files/1/0888/3250/8267/files/1100104780738b.jpg?v=1744395040</t>
        </is>
      </c>
      <c r="Y1976" s="54" t="n">
        <v>717.6724138</v>
      </c>
      <c r="Z1976" s="54" t="n">
        <v>1594.827586</v>
      </c>
      <c r="AA1976" s="55">
        <f>IF(AND(A1976="", B1976="", E1976=""), "", IF(AB1976="", "Válido", IF((LEN(AB1976)-LEN(SUBSTITUTE(AB1976,"; ","")))/2+1&gt;(LEN(AB1976)-LEN(SUBSTITUTE(AB1976,"[Aviso]","")))/7, "Con Incidencias", "Válido")))</f>
        <v/>
      </c>
      <c r="AB1976" s="56">
        <f>IF(AND(A1976="", B1976="", E1976=""), "", TEXTJOIN("; ", TRUE, IF(OR(TRIM(A1976&amp;"")="", ISNUMBER(SEARCH("FALTA", A1976))), "UPC faltante/inválido", ""), IF(AND(A1976&lt;&gt;"", IFERROR(_xlfn.XMATCH(A1976,$A$2:$A$2509,0,1)&lt;&gt;_xlfn.XMATCH(A1976,$A$2:$A$2509,0,-1),FALSE)), "Código de barras duplicado", ""), IF(AND(E1976&lt;&gt;"", COUNTIF($E$2:$E$2509, E1976)&gt;1), "SKU duplicado", ""), IF(OR(J1976="", J1976=""), "[Aviso] División no capturada ()", IF(ISNA(MATCH(J1976, Criterios!$A$123:$A$126, 0)), "División no válida", "")), IF(OR(K1976="", K1976=""), "[Aviso] Categoría no capturada ()", IF(ISNA(MATCH(K1976, Criterios!$A$81:$A$120, 0)), "Categoría no válida", IF(AND(J1976&lt;&gt;"", J1976&lt;&gt;"", J1976&lt;&gt;VLOOKUP(K1976, Criterios!$A$81:$B$120, 2, FALSE)), "División no coincide con Categoría", ""))), IF(OR(L1976="", L1976=""), "[Aviso] Género no capturado ()", IF(ISNA(MATCH(L1976, Criterios!$B$123:$B$127, 0)), "Género no válido", "")), IF(OR(N1976="", N1976=""), "[Aviso] Temporada no capturada ()", IF(ISNA(MATCH(N1976, Criterios!$C$123:$C$128, 0)), "Temporada no válida", "")), IF(OR(O1976="", O1976=""), "[Aviso] Ciclo de vida no capturado ()", IF(ISNA(MATCH(O1976, Criterios!$D$123:$D$124, 0)), "Ciclo de vida no válido", ""))))</f>
        <v/>
      </c>
      <c r="AC1976" s="56" t="n"/>
      <c r="AD1976" s="51" t="n">
        <v>0</v>
      </c>
      <c r="AE1976" s="156" t="n"/>
      <c r="AF1976" s="51" t="n">
        <v>0</v>
      </c>
      <c r="AG1976" s="156" t="inlineStr">
        <is>
          <t>Catálogo existente</t>
        </is>
      </c>
      <c r="AH197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6" s="156" t="inlineStr">
        <is>
          <t>No</t>
        </is>
      </c>
      <c r="AJ1976" s="156" t="n"/>
      <c r="AK1976" s="155" t="inlineStr">
        <is>
          <t>Descripción y Criterios: G/H [P] | Criterios: J [R]; G1522_Extraccion_Articulos_NetSuite_2026-09-30.xlsx: fila 57379 [S] | Shopify Stetson: producto 14694480773483 / variante 51997359178091</t>
        </is>
      </c>
      <c r="AL1976" s="58" t="n">
        <v>717.6724138</v>
      </c>
      <c r="AM1976" s="58" t="n">
        <v>1594.827586</v>
      </c>
      <c r="AN1976" s="155" t="inlineStr">
        <is>
          <t>Shopify Stetson México</t>
        </is>
      </c>
      <c r="AO1976" s="59" t="n">
        <v>0</v>
      </c>
      <c r="AP1976" s="59" t="n"/>
      <c r="AQ1976" s="59" t="n"/>
      <c r="AR1976" s="155" t="n"/>
    </row>
    <row r="1977">
      <c r="A1977" s="50" t="inlineStr">
        <is>
          <t>196070701111</t>
        </is>
      </c>
      <c r="B1977" s="51" t="inlineStr">
        <is>
          <t>109565</t>
        </is>
      </c>
      <c r="C1977" s="156" t="inlineStr">
        <is>
          <t>Multimarca</t>
        </is>
      </c>
      <c r="D1977" s="156" t="inlineStr">
        <is>
          <t>11-001-0478-0738</t>
        </is>
      </c>
      <c r="E1977" s="156" t="inlineStr">
        <is>
          <t>11-001-0478-0738-S</t>
        </is>
      </c>
      <c r="F1977" s="156" t="inlineStr">
        <is>
          <t>S</t>
        </is>
      </c>
      <c r="G1977" s="156" t="inlineStr">
        <is>
          <t>S</t>
        </is>
      </c>
      <c r="H1977" s="156" t="inlineStr">
        <is>
          <t>Stetson</t>
        </is>
      </c>
      <c r="I1977" s="156" t="inlineStr">
        <is>
          <t>Camisa Manga Larga Cuadros Dobby</t>
        </is>
      </c>
      <c r="J1977" s="156" t="inlineStr">
        <is>
          <t>Ropa</t>
        </is>
      </c>
      <c r="K1977" s="156" t="inlineStr">
        <is>
          <t>Camisas</t>
        </is>
      </c>
      <c r="L1977" s="156" t="inlineStr">
        <is>
          <t>Hombre</t>
        </is>
      </c>
      <c r="M1977" s="156" t="inlineStr">
        <is>
          <t>Stetson</t>
        </is>
      </c>
      <c r="N1977" s="156" t="inlineStr">
        <is>
          <t>SS26</t>
        </is>
      </c>
      <c r="O1977" s="156" t="inlineStr">
        <is>
          <t>Seasonal</t>
        </is>
      </c>
      <c r="P1977" s="156" t="inlineStr">
        <is>
          <t>Cafe</t>
        </is>
      </c>
      <c r="Q1977" s="156" t="inlineStr">
        <is>
          <t>Relajado</t>
        </is>
      </c>
      <c r="R1977" s="156" t="n"/>
      <c r="S1977" s="156" t="inlineStr">
        <is>
          <t>100% Algodón</t>
        </is>
      </c>
      <c r="T1977"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7" s="156" t="n"/>
      <c r="V1977" s="156" t="inlineStr">
        <is>
          <t>PZS</t>
        </is>
      </c>
      <c r="W1977" s="51" t="inlineStr">
        <is>
          <t>53101600</t>
        </is>
      </c>
      <c r="X1977" s="156" t="inlineStr">
        <is>
          <t>https://cdn.shopify.com/s/files/1/0888/3250/8267/files/1100104780738a.jpg?v=1744395035</t>
        </is>
      </c>
      <c r="Y1977" s="54" t="n">
        <v>717.6724138</v>
      </c>
      <c r="Z1977" s="54" t="n">
        <v>1594.827586</v>
      </c>
      <c r="AA1977" s="55">
        <f>IF(AND(A1977="", B1977="", E1977=""), "", IF(AB1977="", "Válido", IF((LEN(AB1977)-LEN(SUBSTITUTE(AB1977,"; ","")))/2+1&gt;(LEN(AB1977)-LEN(SUBSTITUTE(AB1977,"[Aviso]","")))/7, "Con Incidencias", "Válido")))</f>
        <v/>
      </c>
      <c r="AB1977" s="56">
        <f>IF(AND(A1977="", B1977="", E1977=""), "", TEXTJOIN("; ", TRUE, IF(OR(TRIM(A1977&amp;"")="", ISNUMBER(SEARCH("FALTA", A1977))), "UPC faltante/inválido", ""), IF(AND(A1977&lt;&gt;"", IFERROR(_xlfn.XMATCH(A1977,$A$2:$A$2509,0,1)&lt;&gt;_xlfn.XMATCH(A1977,$A$2:$A$2509,0,-1),FALSE)), "Código de barras duplicado", ""), IF(AND(E1977&lt;&gt;"", COUNTIF($E$2:$E$2509, E1977)&gt;1), "SKU duplicado", ""), IF(OR(J1977="", J1977=""), "[Aviso] División no capturada ()", IF(ISNA(MATCH(J1977, Criterios!$A$123:$A$126, 0)), "División no válida", "")), IF(OR(K1977="", K1977=""), "[Aviso] Categoría no capturada ()", IF(ISNA(MATCH(K1977, Criterios!$A$81:$A$120, 0)), "Categoría no válida", IF(AND(J1977&lt;&gt;"", J1977&lt;&gt;"", J1977&lt;&gt;VLOOKUP(K1977, Criterios!$A$81:$B$120, 2, FALSE)), "División no coincide con Categoría", ""))), IF(OR(L1977="", L1977=""), "[Aviso] Género no capturado ()", IF(ISNA(MATCH(L1977, Criterios!$B$123:$B$127, 0)), "Género no válido", "")), IF(OR(N1977="", N1977=""), "[Aviso] Temporada no capturada ()", IF(ISNA(MATCH(N1977, Criterios!$C$123:$C$128, 0)), "Temporada no válida", "")), IF(OR(O1977="", O1977=""), "[Aviso] Ciclo de vida no capturado ()", IF(ISNA(MATCH(O1977, Criterios!$D$123:$D$124, 0)), "Ciclo de vida no válido", ""))))</f>
        <v/>
      </c>
      <c r="AC1977" s="56" t="n"/>
      <c r="AD1977" s="51" t="n">
        <v>0</v>
      </c>
      <c r="AE1977" s="156" t="n"/>
      <c r="AF1977" s="51" t="n">
        <v>0</v>
      </c>
      <c r="AG1977" s="156" t="inlineStr">
        <is>
          <t>Catálogo existente</t>
        </is>
      </c>
      <c r="AH197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7" s="156" t="inlineStr">
        <is>
          <t>No</t>
        </is>
      </c>
      <c r="AJ1977" s="156" t="n"/>
      <c r="AK1977" s="155" t="inlineStr">
        <is>
          <t>Descripción y Criterios: G/H [P] | Criterios: J [R]; G1522_Extraccion_Articulos_NetSuite_2026-09-30.xlsx: fila 57380 [S] | Shopify Stetson: producto 14694480773483 / variante 51997359145323</t>
        </is>
      </c>
      <c r="AL1977" s="58" t="n">
        <v>717.6724138</v>
      </c>
      <c r="AM1977" s="58" t="n">
        <v>1594.827586</v>
      </c>
      <c r="AN1977" s="155" t="inlineStr">
        <is>
          <t>Shopify Stetson México</t>
        </is>
      </c>
      <c r="AO1977" s="59" t="n">
        <v>0</v>
      </c>
      <c r="AP1977" s="59" t="n"/>
      <c r="AQ1977" s="59" t="n"/>
      <c r="AR1977" s="155" t="n"/>
    </row>
    <row r="1978">
      <c r="A1978" s="50" t="inlineStr">
        <is>
          <t>196070701128</t>
        </is>
      </c>
      <c r="B1978" s="51" t="inlineStr">
        <is>
          <t>109566</t>
        </is>
      </c>
      <c r="C1978" s="156" t="inlineStr">
        <is>
          <t>Multimarca</t>
        </is>
      </c>
      <c r="D1978" s="156" t="inlineStr">
        <is>
          <t>11-001-0478-0738</t>
        </is>
      </c>
      <c r="E1978" s="156" t="inlineStr">
        <is>
          <t>11-001-0478-0738-XL</t>
        </is>
      </c>
      <c r="F1978" s="156" t="inlineStr">
        <is>
          <t>XL</t>
        </is>
      </c>
      <c r="G1978" s="156" t="inlineStr">
        <is>
          <t>XL</t>
        </is>
      </c>
      <c r="H1978" s="156" t="inlineStr">
        <is>
          <t>Stetson</t>
        </is>
      </c>
      <c r="I1978" s="156" t="inlineStr">
        <is>
          <t>Camisa Manga Larga Cuadros Dobby</t>
        </is>
      </c>
      <c r="J1978" s="156" t="inlineStr">
        <is>
          <t>Ropa</t>
        </is>
      </c>
      <c r="K1978" s="156" t="inlineStr">
        <is>
          <t>Camisas</t>
        </is>
      </c>
      <c r="L1978" s="156" t="inlineStr">
        <is>
          <t>Hombre</t>
        </is>
      </c>
      <c r="M1978" s="156" t="inlineStr">
        <is>
          <t>Stetson</t>
        </is>
      </c>
      <c r="N1978" s="156" t="inlineStr">
        <is>
          <t>SS26</t>
        </is>
      </c>
      <c r="O1978" s="156" t="inlineStr">
        <is>
          <t>Seasonal</t>
        </is>
      </c>
      <c r="P1978" s="156" t="inlineStr">
        <is>
          <t>Cafe</t>
        </is>
      </c>
      <c r="Q1978" s="156" t="inlineStr">
        <is>
          <t>Relajado</t>
        </is>
      </c>
      <c r="R1978" s="156" t="n"/>
      <c r="S1978" s="156" t="inlineStr">
        <is>
          <t>100% Algodón</t>
        </is>
      </c>
      <c r="T1978"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8" s="156" t="n"/>
      <c r="V1978" s="156" t="inlineStr">
        <is>
          <t>PZS</t>
        </is>
      </c>
      <c r="W1978" s="51" t="inlineStr">
        <is>
          <t>53101600</t>
        </is>
      </c>
      <c r="X1978" s="156" t="inlineStr">
        <is>
          <t>https://cdn.shopify.com/s/files/1/0888/3250/8267/files/1100104780738a.jpg?v=1744395035</t>
        </is>
      </c>
      <c r="Y1978" s="54" t="n">
        <v>717.6724138</v>
      </c>
      <c r="Z1978" s="54" t="n">
        <v>1594.827586</v>
      </c>
      <c r="AA1978" s="55">
        <f>IF(AND(A1978="", B1978="", E1978=""), "", IF(AB1978="", "Válido", IF((LEN(AB1978)-LEN(SUBSTITUTE(AB1978,"; ","")))/2+1&gt;(LEN(AB1978)-LEN(SUBSTITUTE(AB1978,"[Aviso]","")))/7, "Con Incidencias", "Válido")))</f>
        <v/>
      </c>
      <c r="AB1978" s="56">
        <f>IF(AND(A1978="", B1978="", E1978=""), "", TEXTJOIN("; ", TRUE, IF(OR(TRIM(A1978&amp;"")="", ISNUMBER(SEARCH("FALTA", A1978))), "UPC faltante/inválido", ""), IF(AND(A1978&lt;&gt;"", IFERROR(_xlfn.XMATCH(A1978,$A$2:$A$2509,0,1)&lt;&gt;_xlfn.XMATCH(A1978,$A$2:$A$2509,0,-1),FALSE)), "Código de barras duplicado", ""), IF(AND(E1978&lt;&gt;"", COUNTIF($E$2:$E$2509, E1978)&gt;1), "SKU duplicado", ""), IF(OR(J1978="", J1978=""), "[Aviso] División no capturada ()", IF(ISNA(MATCH(J1978, Criterios!$A$123:$A$126, 0)), "División no válida", "")), IF(OR(K1978="", K1978=""), "[Aviso] Categoría no capturada ()", IF(ISNA(MATCH(K1978, Criterios!$A$81:$A$120, 0)), "Categoría no válida", IF(AND(J1978&lt;&gt;"", J1978&lt;&gt;"", J1978&lt;&gt;VLOOKUP(K1978, Criterios!$A$81:$B$120, 2, FALSE)), "División no coincide con Categoría", ""))), IF(OR(L1978="", L1978=""), "[Aviso] Género no capturado ()", IF(ISNA(MATCH(L1978, Criterios!$B$123:$B$127, 0)), "Género no válido", "")), IF(OR(N1978="", N1978=""), "[Aviso] Temporada no capturada ()", IF(ISNA(MATCH(N1978, Criterios!$C$123:$C$128, 0)), "Temporada no válida", "")), IF(OR(O1978="", O1978=""), "[Aviso] Ciclo de vida no capturado ()", IF(ISNA(MATCH(O1978, Criterios!$D$123:$D$124, 0)), "Ciclo de vida no válido", ""))))</f>
        <v/>
      </c>
      <c r="AC1978" s="56" t="n"/>
      <c r="AD1978" s="51" t="n">
        <v>0</v>
      </c>
      <c r="AE1978" s="156" t="n"/>
      <c r="AF1978" s="51" t="n">
        <v>0</v>
      </c>
      <c r="AG1978" s="156" t="inlineStr">
        <is>
          <t>Catálogo existente</t>
        </is>
      </c>
      <c r="AH197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78" s="156" t="inlineStr">
        <is>
          <t>No</t>
        </is>
      </c>
      <c r="AJ1978" s="156" t="n"/>
      <c r="AK1978" s="155" t="inlineStr">
        <is>
          <t>Descripción y Criterios: G/H [P] | Criterios: J [R]; G1522_Extraccion_Articulos_NetSuite_2026-09-30.xlsx: fila 57381 [S] | Shopify Stetson: producto 14694480773483 / variante 51997359243627</t>
        </is>
      </c>
      <c r="AL1978" s="58" t="n">
        <v>717.6724138</v>
      </c>
      <c r="AM1978" s="58" t="n">
        <v>1594.827586</v>
      </c>
      <c r="AN1978" s="155" t="inlineStr">
        <is>
          <t>Shopify Stetson México</t>
        </is>
      </c>
      <c r="AO1978" s="59" t="n">
        <v>0</v>
      </c>
      <c r="AP1978" s="59" t="n"/>
      <c r="AQ1978" s="59" t="n"/>
      <c r="AR1978" s="155" t="n"/>
    </row>
    <row r="1979">
      <c r="A1979" s="50" t="inlineStr">
        <is>
          <t>196070701135</t>
        </is>
      </c>
      <c r="B1979" s="51" t="inlineStr">
        <is>
          <t>109567</t>
        </is>
      </c>
      <c r="C1979" s="156" t="inlineStr">
        <is>
          <t>Multimarca</t>
        </is>
      </c>
      <c r="D1979" s="156" t="inlineStr">
        <is>
          <t>11-001-0478-0738</t>
        </is>
      </c>
      <c r="E1979" s="156" t="inlineStr">
        <is>
          <t>11-001-0478-0738-XXL</t>
        </is>
      </c>
      <c r="F1979" s="156" t="inlineStr">
        <is>
          <t>XXL</t>
        </is>
      </c>
      <c r="G1979" s="156" t="inlineStr">
        <is>
          <t>XXL</t>
        </is>
      </c>
      <c r="H1979" s="156" t="inlineStr">
        <is>
          <t>Stetson</t>
        </is>
      </c>
      <c r="I1979" s="156" t="inlineStr">
        <is>
          <t>Camisa Manga Larga Cuadros Dobby</t>
        </is>
      </c>
      <c r="J1979" s="156" t="inlineStr">
        <is>
          <t>Ropa</t>
        </is>
      </c>
      <c r="K1979" s="156" t="inlineStr">
        <is>
          <t>Camisas</t>
        </is>
      </c>
      <c r="L1979" s="156" t="inlineStr">
        <is>
          <t>Hombre</t>
        </is>
      </c>
      <c r="M1979" s="156" t="inlineStr">
        <is>
          <t>Stetson</t>
        </is>
      </c>
      <c r="N1979" s="156" t="inlineStr">
        <is>
          <t>SS26</t>
        </is>
      </c>
      <c r="O1979" s="156" t="inlineStr">
        <is>
          <t>Seasonal</t>
        </is>
      </c>
      <c r="P1979" s="156" t="inlineStr">
        <is>
          <t>Cafe</t>
        </is>
      </c>
      <c r="Q1979" s="156" t="inlineStr">
        <is>
          <t>Relajado</t>
        </is>
      </c>
      <c r="R1979" s="156" t="n"/>
      <c r="S1979" s="156" t="inlineStr">
        <is>
          <t>100% Algodón</t>
        </is>
      </c>
      <c r="T1979"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9" s="156" t="n"/>
      <c r="V1979" s="156" t="inlineStr">
        <is>
          <t>PZS</t>
        </is>
      </c>
      <c r="W1979" s="51" t="inlineStr">
        <is>
          <t>53101600</t>
        </is>
      </c>
      <c r="X1979" s="156" t="inlineStr">
        <is>
          <t>https://cdn.shopify.com/s/files/1/0888/3250/8267/files/1100104780738a.jpg?v=1744395035</t>
        </is>
      </c>
      <c r="Y1979" s="54" t="n">
        <v>717.6724138</v>
      </c>
      <c r="Z1979" s="54" t="n">
        <v>1594.827586</v>
      </c>
      <c r="AA1979" s="55">
        <f>IF(AND(A1979="", B1979="", E1979=""), "", IF(AB1979="", "Válido", IF((LEN(AB1979)-LEN(SUBSTITUTE(AB1979,"; ","")))/2+1&gt;(LEN(AB1979)-LEN(SUBSTITUTE(AB1979,"[Aviso]","")))/7, "Con Incidencias", "Válido")))</f>
        <v/>
      </c>
      <c r="AB1979" s="56">
        <f>IF(AND(A1979="", B1979="", E1979=""), "", TEXTJOIN("; ", TRUE, IF(OR(TRIM(A1979&amp;"")="", ISNUMBER(SEARCH("FALTA", A1979))), "UPC faltante/inválido", ""), IF(AND(A1979&lt;&gt;"", IFERROR(_xlfn.XMATCH(A1979,$A$2:$A$2509,0,1)&lt;&gt;_xlfn.XMATCH(A1979,$A$2:$A$2509,0,-1),FALSE)), "Código de barras duplicado", ""), IF(AND(E1979&lt;&gt;"", COUNTIF($E$2:$E$2509, E1979)&gt;1), "SKU duplicado", ""), IF(OR(J1979="", J1979=""), "[Aviso] División no capturada ()", IF(ISNA(MATCH(J1979, Criterios!$A$123:$A$126, 0)), "División no válida", "")), IF(OR(K1979="", K1979=""), "[Aviso] Categoría no capturada ()", IF(ISNA(MATCH(K1979, Criterios!$A$81:$A$120, 0)), "Categoría no válida", IF(AND(J1979&lt;&gt;"", J1979&lt;&gt;"", J1979&lt;&gt;VLOOKUP(K1979, Criterios!$A$81:$B$120, 2, FALSE)), "División no coincide con Categoría", ""))), IF(OR(L1979="", L1979=""), "[Aviso] Género no capturado ()", IF(ISNA(MATCH(L1979, Criterios!$B$123:$B$127, 0)), "Género no válido", "")), IF(OR(N1979="", N1979=""), "[Aviso] Temporada no capturada ()", IF(ISNA(MATCH(N1979, Criterios!$C$123:$C$128, 0)), "Temporada no válida", "")), IF(OR(O1979="", O1979=""), "[Aviso] Ciclo de vida no capturado ()", IF(ISNA(MATCH(O1979, Criterios!$D$123:$D$124, 0)), "Ciclo de vida no válido", ""))))</f>
        <v/>
      </c>
      <c r="AC1979" s="56" t="n"/>
      <c r="AD1979" s="51" t="n">
        <v>0</v>
      </c>
      <c r="AE1979" s="156" t="n"/>
      <c r="AF1979" s="51" t="n">
        <v>0</v>
      </c>
      <c r="AG1979" s="156" t="inlineStr">
        <is>
          <t>Catálogo existente</t>
        </is>
      </c>
      <c r="AH197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79" s="156" t="inlineStr">
        <is>
          <t>No</t>
        </is>
      </c>
      <c r="AJ1979" s="156" t="n"/>
      <c r="AK1979" s="155" t="inlineStr">
        <is>
          <t>Descripción y Criterios: G/H [P] | Criterios: J [R]; G1522_Extraccion_Articulos_NetSuite_2026-09-30.xlsx: fila 57382 [S] | Shopify Stetson: producto 14694480773483 / variante 51997359276395</t>
        </is>
      </c>
      <c r="AL1979" s="58" t="n">
        <v>717.6724138</v>
      </c>
      <c r="AM1979" s="58" t="n">
        <v>1594.827586</v>
      </c>
      <c r="AN1979" s="155" t="inlineStr">
        <is>
          <t>Shopify Stetson México</t>
        </is>
      </c>
      <c r="AO1979" s="59" t="n">
        <v>0</v>
      </c>
      <c r="AP1979" s="59" t="n"/>
      <c r="AQ1979" s="59" t="n"/>
      <c r="AR1979" s="155" t="n"/>
    </row>
    <row r="1980">
      <c r="A1980" s="50" t="inlineStr">
        <is>
          <t>196070701401</t>
        </is>
      </c>
      <c r="B1980" s="51" t="n"/>
      <c r="C1980" s="156" t="inlineStr">
        <is>
          <t>Multimarca</t>
        </is>
      </c>
      <c r="D1980" s="156" t="inlineStr">
        <is>
          <t>11-001-0478-0782 BR</t>
        </is>
      </c>
      <c r="E1980" s="156" t="inlineStr">
        <is>
          <t>11-001-0478-0782 BR_MED</t>
        </is>
      </c>
      <c r="F1980" s="156" t="inlineStr">
        <is>
          <t>M</t>
        </is>
      </c>
      <c r="G1980" s="156" t="inlineStr">
        <is>
          <t>M</t>
        </is>
      </c>
      <c r="H1980" s="156" t="inlineStr">
        <is>
          <t>Stetson</t>
        </is>
      </c>
      <c r="I1980" s="156" t="inlineStr">
        <is>
          <t>CAMISA MANGA LARGA CUADROS DIAMANTE 2292</t>
        </is>
      </c>
      <c r="J1980" s="156" t="inlineStr">
        <is>
          <t>Ropa</t>
        </is>
      </c>
      <c r="K1980" s="156" t="inlineStr">
        <is>
          <t>Camisas</t>
        </is>
      </c>
      <c r="L1980" s="156" t="inlineStr">
        <is>
          <t>Hombre</t>
        </is>
      </c>
      <c r="M1980" s="156" t="inlineStr">
        <is>
          <t>Stetson</t>
        </is>
      </c>
      <c r="N1980" s="156" t="n"/>
      <c r="O1980" s="156" t="n"/>
      <c r="P1980" s="156" t="inlineStr">
        <is>
          <t>Cafe</t>
        </is>
      </c>
      <c r="Q1980" s="156" t="inlineStr">
        <is>
          <t>Relajado</t>
        </is>
      </c>
      <c r="R1980" s="156" t="n"/>
      <c r="S1980" s="156" t="inlineStr">
        <is>
          <t>100% Algodón</t>
        </is>
      </c>
      <c r="T1980"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0" s="156" t="n"/>
      <c r="V1980" s="156" t="inlineStr">
        <is>
          <t>PZS</t>
        </is>
      </c>
      <c r="W1980" s="51" t="inlineStr">
        <is>
          <t>53101602</t>
        </is>
      </c>
      <c r="X1980" s="156" t="inlineStr">
        <is>
          <t>https://cdn.shopify.com/s/files/1/0888/3250/8267/files/1100104780782b.jpg?v=1744396250</t>
        </is>
      </c>
      <c r="Y1980" s="54" t="n"/>
      <c r="Z1980" s="54" t="n">
        <v>1850</v>
      </c>
      <c r="AA1980" s="55">
        <f>IF(AND(A1980="", B1980="", E1980=""), "", IF(AB1980="", "Válido", IF((LEN(AB1980)-LEN(SUBSTITUTE(AB1980,"; ","")))/2+1&gt;(LEN(AB1980)-LEN(SUBSTITUTE(AB1980,"[Aviso]","")))/7, "Con Incidencias", "Válido")))</f>
        <v/>
      </c>
      <c r="AB1980" s="56">
        <f>IF(AND(A1980="", B1980="", E1980=""), "", TEXTJOIN("; ", TRUE, IF(OR(TRIM(A1980&amp;"")="", ISNUMBER(SEARCH("FALTA", A1980))), "UPC faltante/inválido", ""), IF(AND(A1980&lt;&gt;"", IFERROR(_xlfn.XMATCH(A1980,$A$2:$A$2509,0,1)&lt;&gt;_xlfn.XMATCH(A1980,$A$2:$A$2509,0,-1),FALSE)), "Código de barras duplicado", ""), IF(AND(E1980&lt;&gt;"", COUNTIF($E$2:$E$2509, E1980)&gt;1), "SKU duplicado", ""), IF(OR(J1980="", J1980=""), "[Aviso] División no capturada ()", IF(ISNA(MATCH(J1980, Criterios!$A$123:$A$126, 0)), "División no válida", "")), IF(OR(K1980="", K1980=""), "[Aviso] Categoría no capturada ()", IF(ISNA(MATCH(K1980, Criterios!$A$81:$A$120, 0)), "Categoría no válida", IF(AND(J1980&lt;&gt;"", J1980&lt;&gt;"", J1980&lt;&gt;VLOOKUP(K1980, Criterios!$A$81:$B$120, 2, FALSE)), "División no coincide con Categoría", ""))), IF(OR(L1980="", L1980=""), "[Aviso] Género no capturado ()", IF(ISNA(MATCH(L1980, Criterios!$B$123:$B$127, 0)), "Género no válido", "")), IF(OR(N1980="", N1980=""), "[Aviso] Temporada no capturada ()", IF(ISNA(MATCH(N1980, Criterios!$C$123:$C$128, 0)), "Temporada no válida", "")), IF(OR(O1980="", O1980=""), "[Aviso] Ciclo de vida no capturado ()", IF(ISNA(MATCH(O1980, Criterios!$D$123:$D$124, 0)), "Ciclo de vida no válido", ""))))</f>
        <v/>
      </c>
      <c r="AC1980" s="56" t="n"/>
      <c r="AD1980" s="51" t="n">
        <v>0</v>
      </c>
      <c r="AE1980" s="156" t="inlineStr">
        <is>
          <t>Sin coincidencia en NetSuite</t>
        </is>
      </c>
      <c r="AF1980" s="51" t="n"/>
      <c r="AG1980" s="156" t="inlineStr">
        <is>
          <t>Catálogo existente</t>
        </is>
      </c>
      <c r="AH1980"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0" s="156" t="n"/>
      <c r="AJ1980" s="156" t="n"/>
      <c r="AK1980" s="155" t="inlineStr">
        <is>
          <t>Shopify Stetson: producto 14694490210667 / variante 51997361045867</t>
        </is>
      </c>
      <c r="AL1980" s="58" t="n"/>
      <c r="AM1980" s="58" t="n">
        <v>1850</v>
      </c>
      <c r="AN1980" s="155" t="inlineStr">
        <is>
          <t>Shopify Stetson México</t>
        </is>
      </c>
      <c r="AO1980" s="59" t="n">
        <v>0</v>
      </c>
      <c r="AP1980" s="59" t="n"/>
      <c r="AQ1980" s="59" t="n"/>
      <c r="AR1980" s="155" t="n"/>
    </row>
    <row r="1981">
      <c r="A1981" s="50" t="inlineStr">
        <is>
          <t>196070701418</t>
        </is>
      </c>
      <c r="B1981" s="51" t="n"/>
      <c r="C1981" s="156" t="inlineStr">
        <is>
          <t>Multimarca</t>
        </is>
      </c>
      <c r="D1981" s="156" t="inlineStr">
        <is>
          <t>11-001-0478-0782 BR</t>
        </is>
      </c>
      <c r="E1981" s="156" t="inlineStr">
        <is>
          <t>11-001-0478-0782 BR_CH</t>
        </is>
      </c>
      <c r="F1981" s="156" t="inlineStr">
        <is>
          <t>S</t>
        </is>
      </c>
      <c r="G1981" s="156" t="inlineStr">
        <is>
          <t>S</t>
        </is>
      </c>
      <c r="H1981" s="156" t="inlineStr">
        <is>
          <t>Stetson</t>
        </is>
      </c>
      <c r="I1981" s="156" t="inlineStr">
        <is>
          <t>CAMISA MANGA LARGA CUADROS DIAMANTE 2292</t>
        </is>
      </c>
      <c r="J1981" s="156" t="inlineStr">
        <is>
          <t>Ropa</t>
        </is>
      </c>
      <c r="K1981" s="156" t="inlineStr">
        <is>
          <t>Camisas</t>
        </is>
      </c>
      <c r="L1981" s="156" t="inlineStr">
        <is>
          <t>Hombre</t>
        </is>
      </c>
      <c r="M1981" s="156" t="inlineStr">
        <is>
          <t>Stetson</t>
        </is>
      </c>
      <c r="N1981" s="156" t="n"/>
      <c r="O1981" s="156" t="n"/>
      <c r="P1981" s="156" t="inlineStr">
        <is>
          <t>Cafe</t>
        </is>
      </c>
      <c r="Q1981" s="156" t="inlineStr">
        <is>
          <t>Relajado</t>
        </is>
      </c>
      <c r="R1981" s="156" t="n"/>
      <c r="S1981" s="156" t="inlineStr">
        <is>
          <t>100% Algodón</t>
        </is>
      </c>
      <c r="T1981"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1" s="156" t="n"/>
      <c r="V1981" s="156" t="inlineStr">
        <is>
          <t>PZS</t>
        </is>
      </c>
      <c r="W1981" s="51" t="inlineStr">
        <is>
          <t>53101602</t>
        </is>
      </c>
      <c r="X1981" s="156" t="inlineStr">
        <is>
          <t>https://cdn.shopify.com/s/files/1/0888/3250/8267/files/1100104780782a.jpg?v=1744396243</t>
        </is>
      </c>
      <c r="Y1981" s="54" t="n"/>
      <c r="Z1981" s="54" t="n">
        <v>1850</v>
      </c>
      <c r="AA1981" s="55">
        <f>IF(AND(A1981="", B1981="", E1981=""), "", IF(AB1981="", "Válido", IF((LEN(AB1981)-LEN(SUBSTITUTE(AB1981,"; ","")))/2+1&gt;(LEN(AB1981)-LEN(SUBSTITUTE(AB1981,"[Aviso]","")))/7, "Con Incidencias", "Válido")))</f>
        <v/>
      </c>
      <c r="AB1981" s="56">
        <f>IF(AND(A1981="", B1981="", E1981=""), "", TEXTJOIN("; ", TRUE, IF(OR(TRIM(A1981&amp;"")="", ISNUMBER(SEARCH("FALTA", A1981))), "UPC faltante/inválido", ""), IF(AND(A1981&lt;&gt;"", IFERROR(_xlfn.XMATCH(A1981,$A$2:$A$2509,0,1)&lt;&gt;_xlfn.XMATCH(A1981,$A$2:$A$2509,0,-1),FALSE)), "Código de barras duplicado", ""), IF(AND(E1981&lt;&gt;"", COUNTIF($E$2:$E$2509, E1981)&gt;1), "SKU duplicado", ""), IF(OR(J1981="", J1981=""), "[Aviso] División no capturada ()", IF(ISNA(MATCH(J1981, Criterios!$A$123:$A$126, 0)), "División no válida", "")), IF(OR(K1981="", K1981=""), "[Aviso] Categoría no capturada ()", IF(ISNA(MATCH(K1981, Criterios!$A$81:$A$120, 0)), "Categoría no válida", IF(AND(J1981&lt;&gt;"", J1981&lt;&gt;"", J1981&lt;&gt;VLOOKUP(K1981, Criterios!$A$81:$B$120, 2, FALSE)), "División no coincide con Categoría", ""))), IF(OR(L1981="", L1981=""), "[Aviso] Género no capturado ()", IF(ISNA(MATCH(L1981, Criterios!$B$123:$B$127, 0)), "Género no válido", "")), IF(OR(N1981="", N1981=""), "[Aviso] Temporada no capturada ()", IF(ISNA(MATCH(N1981, Criterios!$C$123:$C$128, 0)), "Temporada no válida", "")), IF(OR(O1981="", O1981=""), "[Aviso] Ciclo de vida no capturado ()", IF(ISNA(MATCH(O1981, Criterios!$D$123:$D$124, 0)), "Ciclo de vida no válido", ""))))</f>
        <v/>
      </c>
      <c r="AC1981" s="56" t="n"/>
      <c r="AD1981" s="51" t="n">
        <v>0</v>
      </c>
      <c r="AE1981" s="156" t="inlineStr">
        <is>
          <t>Sin coincidencia en NetSuite</t>
        </is>
      </c>
      <c r="AF1981" s="51" t="n"/>
      <c r="AG1981" s="156" t="inlineStr">
        <is>
          <t>Catálogo existente</t>
        </is>
      </c>
      <c r="AH1981"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1" s="156" t="n"/>
      <c r="AJ1981" s="156" t="n"/>
      <c r="AK1981" s="155" t="inlineStr">
        <is>
          <t>Shopify Stetson: producto 14694490210667 / variante 51997361013099</t>
        </is>
      </c>
      <c r="AL1981" s="58" t="n"/>
      <c r="AM1981" s="58" t="n">
        <v>1850</v>
      </c>
      <c r="AN1981" s="155" t="inlineStr">
        <is>
          <t>Shopify Stetson México</t>
        </is>
      </c>
      <c r="AO1981" s="59" t="n">
        <v>0</v>
      </c>
      <c r="AP1981" s="59" t="n"/>
      <c r="AQ1981" s="59" t="n"/>
      <c r="AR1981" s="155" t="n"/>
    </row>
    <row r="1982">
      <c r="A1982" s="50" t="inlineStr">
        <is>
          <t>196070701432</t>
        </is>
      </c>
      <c r="B1982" s="51" t="n"/>
      <c r="C1982" s="156" t="inlineStr">
        <is>
          <t>Multimarca</t>
        </is>
      </c>
      <c r="D1982" s="156" t="inlineStr">
        <is>
          <t>11-001-0478-0782 BR</t>
        </is>
      </c>
      <c r="E1982" s="156" t="inlineStr">
        <is>
          <t>11-001-0478-0782 BR_XXL</t>
        </is>
      </c>
      <c r="F1982" s="156" t="inlineStr">
        <is>
          <t>XXL</t>
        </is>
      </c>
      <c r="G1982" s="156" t="inlineStr">
        <is>
          <t>XXL</t>
        </is>
      </c>
      <c r="H1982" s="156" t="inlineStr">
        <is>
          <t>Stetson</t>
        </is>
      </c>
      <c r="I1982" s="156" t="inlineStr">
        <is>
          <t>CAMISA MANGA LARGA CUADROS DIAMANTE 2292</t>
        </is>
      </c>
      <c r="J1982" s="156" t="inlineStr">
        <is>
          <t>Ropa</t>
        </is>
      </c>
      <c r="K1982" s="156" t="inlineStr">
        <is>
          <t>Camisas</t>
        </is>
      </c>
      <c r="L1982" s="156" t="inlineStr">
        <is>
          <t>Hombre</t>
        </is>
      </c>
      <c r="M1982" s="156" t="inlineStr">
        <is>
          <t>Stetson</t>
        </is>
      </c>
      <c r="N1982" s="156" t="n"/>
      <c r="O1982" s="156" t="n"/>
      <c r="P1982" s="156" t="inlineStr">
        <is>
          <t>Cafe</t>
        </is>
      </c>
      <c r="Q1982" s="156" t="inlineStr">
        <is>
          <t>Relajado</t>
        </is>
      </c>
      <c r="R1982" s="156" t="n"/>
      <c r="S1982" s="156" t="inlineStr">
        <is>
          <t>100% Algodón</t>
        </is>
      </c>
      <c r="T1982"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2" s="156" t="n"/>
      <c r="V1982" s="156" t="inlineStr">
        <is>
          <t>PZS</t>
        </is>
      </c>
      <c r="W1982" s="51" t="inlineStr">
        <is>
          <t>53101602</t>
        </is>
      </c>
      <c r="X1982" s="156" t="inlineStr">
        <is>
          <t>https://cdn.shopify.com/s/files/1/0888/3250/8267/files/1100104780782c.jpg?v=1744396256</t>
        </is>
      </c>
      <c r="Y1982" s="54" t="n"/>
      <c r="Z1982" s="54" t="n">
        <v>1850</v>
      </c>
      <c r="AA1982" s="55">
        <f>IF(AND(A1982="", B1982="", E1982=""), "", IF(AB1982="", "Válido", IF((LEN(AB1982)-LEN(SUBSTITUTE(AB1982,"; ","")))/2+1&gt;(LEN(AB1982)-LEN(SUBSTITUTE(AB1982,"[Aviso]","")))/7, "Con Incidencias", "Válido")))</f>
        <v/>
      </c>
      <c r="AB1982" s="56">
        <f>IF(AND(A1982="", B1982="", E1982=""), "", TEXTJOIN("; ", TRUE, IF(OR(TRIM(A1982&amp;"")="", ISNUMBER(SEARCH("FALTA", A1982))), "UPC faltante/inválido", ""), IF(AND(A1982&lt;&gt;"", IFERROR(_xlfn.XMATCH(A1982,$A$2:$A$2509,0,1)&lt;&gt;_xlfn.XMATCH(A1982,$A$2:$A$2509,0,-1),FALSE)), "Código de barras duplicado", ""), IF(AND(E1982&lt;&gt;"", COUNTIF($E$2:$E$2509, E1982)&gt;1), "SKU duplicado", ""), IF(OR(J1982="", J1982=""), "[Aviso] División no capturada ()", IF(ISNA(MATCH(J1982, Criterios!$A$123:$A$126, 0)), "División no válida", "")), IF(OR(K1982="", K1982=""), "[Aviso] Categoría no capturada ()", IF(ISNA(MATCH(K1982, Criterios!$A$81:$A$120, 0)), "Categoría no válida", IF(AND(J1982&lt;&gt;"", J1982&lt;&gt;"", J1982&lt;&gt;VLOOKUP(K1982, Criterios!$A$81:$B$120, 2, FALSE)), "División no coincide con Categoría", ""))), IF(OR(L1982="", L1982=""), "[Aviso] Género no capturado ()", IF(ISNA(MATCH(L1982, Criterios!$B$123:$B$127, 0)), "Género no válido", "")), IF(OR(N1982="", N1982=""), "[Aviso] Temporada no capturada ()", IF(ISNA(MATCH(N1982, Criterios!$C$123:$C$128, 0)), "Temporada no válida", "")), IF(OR(O1982="", O1982=""), "[Aviso] Ciclo de vida no capturado ()", IF(ISNA(MATCH(O1982, Criterios!$D$123:$D$124, 0)), "Ciclo de vida no válido", ""))))</f>
        <v/>
      </c>
      <c r="AC1982" s="56" t="n"/>
      <c r="AD1982" s="51" t="n">
        <v>0</v>
      </c>
      <c r="AE1982" s="156" t="inlineStr">
        <is>
          <t>Sin coincidencia en NetSuite</t>
        </is>
      </c>
      <c r="AF1982" s="51" t="n"/>
      <c r="AG1982" s="156" t="inlineStr">
        <is>
          <t>Catálogo existente</t>
        </is>
      </c>
      <c r="AH1982"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2" s="156" t="n"/>
      <c r="AJ1982" s="156" t="n"/>
      <c r="AK1982" s="155" t="inlineStr">
        <is>
          <t>Shopify Stetson: producto 14694490210667 / variante 51997361144171</t>
        </is>
      </c>
      <c r="AL1982" s="58" t="n"/>
      <c r="AM1982" s="58" t="n">
        <v>1850</v>
      </c>
      <c r="AN1982" s="155" t="inlineStr">
        <is>
          <t>Shopify Stetson México</t>
        </is>
      </c>
      <c r="AO1982" s="59" t="n">
        <v>0</v>
      </c>
      <c r="AP1982" s="59" t="n"/>
      <c r="AQ1982" s="59" t="n"/>
      <c r="AR1982" s="155" t="n"/>
    </row>
    <row r="1983">
      <c r="A1983" s="50" t="inlineStr">
        <is>
          <t>196070701449</t>
        </is>
      </c>
      <c r="B1983" s="51" t="n"/>
      <c r="C1983" s="156" t="inlineStr">
        <is>
          <t>Multimarca</t>
        </is>
      </c>
      <c r="D1983" s="156" t="inlineStr">
        <is>
          <t>11-001-0478-0782 BR</t>
        </is>
      </c>
      <c r="E1983" s="156" t="inlineStr">
        <is>
          <t>11-001-0478-0782 BR_3XL</t>
        </is>
      </c>
      <c r="F1983" s="156" t="inlineStr">
        <is>
          <t>XXXL</t>
        </is>
      </c>
      <c r="G1983" s="156" t="inlineStr">
        <is>
          <t>XXXL</t>
        </is>
      </c>
      <c r="H1983" s="156" t="inlineStr">
        <is>
          <t>Stetson</t>
        </is>
      </c>
      <c r="I1983" s="156" t="inlineStr">
        <is>
          <t>CAMISA MANGA LARGA CUADROS DIAMANTE 2292</t>
        </is>
      </c>
      <c r="J1983" s="156" t="inlineStr">
        <is>
          <t>Ropa</t>
        </is>
      </c>
      <c r="K1983" s="156" t="inlineStr">
        <is>
          <t>Camisas</t>
        </is>
      </c>
      <c r="L1983" s="156" t="inlineStr">
        <is>
          <t>Hombre</t>
        </is>
      </c>
      <c r="M1983" s="156" t="inlineStr">
        <is>
          <t>Stetson</t>
        </is>
      </c>
      <c r="N1983" s="156" t="n"/>
      <c r="O1983" s="156" t="n"/>
      <c r="P1983" s="156" t="inlineStr">
        <is>
          <t>Cafe</t>
        </is>
      </c>
      <c r="Q1983" s="156" t="inlineStr">
        <is>
          <t>Relajado</t>
        </is>
      </c>
      <c r="R1983" s="156" t="n"/>
      <c r="S1983" s="156" t="inlineStr">
        <is>
          <t>100% Algodón</t>
        </is>
      </c>
      <c r="T1983"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3" s="156" t="n"/>
      <c r="V1983" s="156" t="inlineStr">
        <is>
          <t>PZS</t>
        </is>
      </c>
      <c r="W1983" s="51" t="inlineStr">
        <is>
          <t>53101602</t>
        </is>
      </c>
      <c r="X1983" s="156" t="inlineStr">
        <is>
          <t>https://cdn.shopify.com/s/files/1/0888/3250/8267/files/1100104780782a.jpg?v=1744396243</t>
        </is>
      </c>
      <c r="Y1983" s="54" t="n"/>
      <c r="Z1983" s="54" t="n">
        <v>1850</v>
      </c>
      <c r="AA1983" s="55">
        <f>IF(AND(A1983="", B1983="", E1983=""), "", IF(AB1983="", "Válido", IF((LEN(AB1983)-LEN(SUBSTITUTE(AB1983,"; ","")))/2+1&gt;(LEN(AB1983)-LEN(SUBSTITUTE(AB1983,"[Aviso]","")))/7, "Con Incidencias", "Válido")))</f>
        <v/>
      </c>
      <c r="AB1983" s="56">
        <f>IF(AND(A1983="", B1983="", E1983=""), "", TEXTJOIN("; ", TRUE, IF(OR(TRIM(A1983&amp;"")="", ISNUMBER(SEARCH("FALTA", A1983))), "UPC faltante/inválido", ""), IF(AND(A1983&lt;&gt;"", IFERROR(_xlfn.XMATCH(A1983,$A$2:$A$2509,0,1)&lt;&gt;_xlfn.XMATCH(A1983,$A$2:$A$2509,0,-1),FALSE)), "Código de barras duplicado", ""), IF(AND(E1983&lt;&gt;"", COUNTIF($E$2:$E$2509, E1983)&gt;1), "SKU duplicado", ""), IF(OR(J1983="", J1983=""), "[Aviso] División no capturada ()", IF(ISNA(MATCH(J1983, Criterios!$A$123:$A$126, 0)), "División no válida", "")), IF(OR(K1983="", K1983=""), "[Aviso] Categoría no capturada ()", IF(ISNA(MATCH(K1983, Criterios!$A$81:$A$120, 0)), "Categoría no válida", IF(AND(J1983&lt;&gt;"", J1983&lt;&gt;"", J1983&lt;&gt;VLOOKUP(K1983, Criterios!$A$81:$B$120, 2, FALSE)), "División no coincide con Categoría", ""))), IF(OR(L1983="", L1983=""), "[Aviso] Género no capturado ()", IF(ISNA(MATCH(L1983, Criterios!$B$123:$B$127, 0)), "Género no válido", "")), IF(OR(N1983="", N1983=""), "[Aviso] Temporada no capturada ()", IF(ISNA(MATCH(N1983, Criterios!$C$123:$C$128, 0)), "Temporada no válida", "")), IF(OR(O1983="", O1983=""), "[Aviso] Ciclo de vida no capturado ()", IF(ISNA(MATCH(O1983, Criterios!$D$123:$D$124, 0)), "Ciclo de vida no válido", ""))))</f>
        <v/>
      </c>
      <c r="AC1983" s="56" t="n"/>
      <c r="AD1983" s="51" t="n">
        <v>0</v>
      </c>
      <c r="AE1983" s="156" t="inlineStr">
        <is>
          <t>Sin coincidencia en NetSuite</t>
        </is>
      </c>
      <c r="AF1983" s="51" t="n"/>
      <c r="AG1983" s="156" t="inlineStr">
        <is>
          <t>Catálogo existente</t>
        </is>
      </c>
      <c r="AH1983"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83" s="156" t="n"/>
      <c r="AJ1983" s="156" t="n"/>
      <c r="AK1983" s="155" t="inlineStr">
        <is>
          <t>Shopify Stetson: producto 14694490210667 / variante 51997361078635</t>
        </is>
      </c>
      <c r="AL1983" s="58" t="n"/>
      <c r="AM1983" s="58" t="n">
        <v>1850</v>
      </c>
      <c r="AN1983" s="155" t="inlineStr">
        <is>
          <t>Shopify Stetson México</t>
        </is>
      </c>
      <c r="AO1983" s="59" t="n">
        <v>0</v>
      </c>
      <c r="AP1983" s="59" t="n"/>
      <c r="AQ1983" s="59" t="n"/>
      <c r="AR1983" s="155" t="n"/>
    </row>
    <row r="1984">
      <c r="A1984" s="50" t="inlineStr">
        <is>
          <t>196070733518</t>
        </is>
      </c>
      <c r="B1984" s="51" t="inlineStr">
        <is>
          <t>109479</t>
        </is>
      </c>
      <c r="C1984" s="156" t="inlineStr">
        <is>
          <t>Multimarca</t>
        </is>
      </c>
      <c r="D1984" s="156" t="inlineStr">
        <is>
          <t>11-001-0425-1033</t>
        </is>
      </c>
      <c r="E1984" s="156" t="inlineStr">
        <is>
          <t>11-001-0425-1033-L</t>
        </is>
      </c>
      <c r="F1984" s="156" t="inlineStr">
        <is>
          <t>L</t>
        </is>
      </c>
      <c r="G1984" s="156" t="inlineStr">
        <is>
          <t>L</t>
        </is>
      </c>
      <c r="H1984" s="156" t="inlineStr">
        <is>
          <t>Stetson</t>
        </is>
      </c>
      <c r="I1984" s="156" t="inlineStr">
        <is>
          <t>Camisa Manga Larga Rubi Geo</t>
        </is>
      </c>
      <c r="J1984" s="156" t="inlineStr">
        <is>
          <t>Ropa</t>
        </is>
      </c>
      <c r="K1984" s="156" t="inlineStr">
        <is>
          <t>Camisas</t>
        </is>
      </c>
      <c r="L1984" s="156" t="inlineStr">
        <is>
          <t>Hombre</t>
        </is>
      </c>
      <c r="M1984" s="156" t="inlineStr">
        <is>
          <t>Stetson</t>
        </is>
      </c>
      <c r="N1984" s="156" t="inlineStr">
        <is>
          <t>SS26</t>
        </is>
      </c>
      <c r="O1984" s="156" t="inlineStr">
        <is>
          <t>Seasonal</t>
        </is>
      </c>
      <c r="P1984" s="156" t="inlineStr">
        <is>
          <t>Negro</t>
        </is>
      </c>
      <c r="Q1984" s="156" t="inlineStr">
        <is>
          <t>Clásico</t>
        </is>
      </c>
      <c r="R1984" s="156" t="n"/>
      <c r="S1984" s="156" t="inlineStr">
        <is>
          <t>100% Algodón</t>
        </is>
      </c>
      <c r="T1984"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4" s="156" t="n"/>
      <c r="V1984" s="156" t="inlineStr">
        <is>
          <t>PZS</t>
        </is>
      </c>
      <c r="W1984" s="51" t="inlineStr">
        <is>
          <t>53101600</t>
        </is>
      </c>
      <c r="X1984" s="156" t="inlineStr">
        <is>
          <t>https://cdn.shopify.com/s/files/1/0888/3250/8267/files/1100104251033c.jpg?v=1744149807</t>
        </is>
      </c>
      <c r="Y1984" s="54" t="n">
        <v>717.6724138</v>
      </c>
      <c r="Z1984" s="54" t="n">
        <v>1594.827586</v>
      </c>
      <c r="AA1984" s="55">
        <f>IF(AND(A1984="", B1984="", E1984=""), "", IF(AB1984="", "Válido", IF((LEN(AB1984)-LEN(SUBSTITUTE(AB1984,"; ","")))/2+1&gt;(LEN(AB1984)-LEN(SUBSTITUTE(AB1984,"[Aviso]","")))/7, "Con Incidencias", "Válido")))</f>
        <v/>
      </c>
      <c r="AB1984" s="56">
        <f>IF(AND(A1984="", B1984="", E1984=""), "", TEXTJOIN("; ", TRUE, IF(OR(TRIM(A1984&amp;"")="", ISNUMBER(SEARCH("FALTA", A1984))), "UPC faltante/inválido", ""), IF(AND(A1984&lt;&gt;"", IFERROR(_xlfn.XMATCH(A1984,$A$2:$A$2509,0,1)&lt;&gt;_xlfn.XMATCH(A1984,$A$2:$A$2509,0,-1),FALSE)), "Código de barras duplicado", ""), IF(AND(E1984&lt;&gt;"", COUNTIF($E$2:$E$2509, E1984)&gt;1), "SKU duplicado", ""), IF(OR(J1984="", J1984=""), "[Aviso] División no capturada ()", IF(ISNA(MATCH(J1984, Criterios!$A$123:$A$126, 0)), "División no válida", "")), IF(OR(K1984="", K1984=""), "[Aviso] Categoría no capturada ()", IF(ISNA(MATCH(K1984, Criterios!$A$81:$A$120, 0)), "Categoría no válida", IF(AND(J1984&lt;&gt;"", J1984&lt;&gt;"", J1984&lt;&gt;VLOOKUP(K1984, Criterios!$A$81:$B$120, 2, FALSE)), "División no coincide con Categoría", ""))), IF(OR(L1984="", L1984=""), "[Aviso] Género no capturado ()", IF(ISNA(MATCH(L1984, Criterios!$B$123:$B$127, 0)), "Género no válido", "")), IF(OR(N1984="", N1984=""), "[Aviso] Temporada no capturada ()", IF(ISNA(MATCH(N1984, Criterios!$C$123:$C$128, 0)), "Temporada no válida", "")), IF(OR(O1984="", O1984=""), "[Aviso] Ciclo de vida no capturado ()", IF(ISNA(MATCH(O1984, Criterios!$D$123:$D$124, 0)), "Ciclo de vida no válido", ""))))</f>
        <v/>
      </c>
      <c r="AC1984" s="56" t="n"/>
      <c r="AD1984" s="51" t="n">
        <v>0</v>
      </c>
      <c r="AE1984" s="156" t="n"/>
      <c r="AF1984" s="51" t="n">
        <v>0</v>
      </c>
      <c r="AG1984" s="156" t="inlineStr">
        <is>
          <t>Catálogo existente</t>
        </is>
      </c>
      <c r="AH198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4" s="156" t="inlineStr">
        <is>
          <t>No</t>
        </is>
      </c>
      <c r="AJ1984" s="156" t="n"/>
      <c r="AK1984" s="155" t="inlineStr">
        <is>
          <t>Descripción y Criterios: G/H [P] | Criterios: J [R]; G1522_Extraccion_Articulos_NetSuite_2026-09-30.xlsx: fila 57294 [S] | Shopify Stetson: producto 14693740577131 / variante 51992719589739</t>
        </is>
      </c>
      <c r="AL1984" s="58" t="n">
        <v>717.6724138</v>
      </c>
      <c r="AM1984" s="58" t="n">
        <v>1594.827586</v>
      </c>
      <c r="AN1984" s="155" t="inlineStr">
        <is>
          <t>Shopify Stetson México</t>
        </is>
      </c>
      <c r="AO1984" s="59" t="n">
        <v>0</v>
      </c>
      <c r="AP1984" s="59" t="n"/>
      <c r="AQ1984" s="59" t="n"/>
      <c r="AR1984" s="155" t="n"/>
    </row>
    <row r="1985">
      <c r="A1985" s="50" t="inlineStr">
        <is>
          <t>196070733525</t>
        </is>
      </c>
      <c r="B1985" s="51" t="inlineStr">
        <is>
          <t>109480</t>
        </is>
      </c>
      <c r="C1985" s="156" t="inlineStr">
        <is>
          <t>Multimarca</t>
        </is>
      </c>
      <c r="D1985" s="156" t="inlineStr">
        <is>
          <t>11-001-0425-1033</t>
        </is>
      </c>
      <c r="E1985" s="156" t="inlineStr">
        <is>
          <t>11-001-0425-1033-M</t>
        </is>
      </c>
      <c r="F1985" s="156" t="inlineStr">
        <is>
          <t>M</t>
        </is>
      </c>
      <c r="G1985" s="156" t="inlineStr">
        <is>
          <t>M</t>
        </is>
      </c>
      <c r="H1985" s="156" t="inlineStr">
        <is>
          <t>Stetson</t>
        </is>
      </c>
      <c r="I1985" s="156" t="inlineStr">
        <is>
          <t>Camisa Manga Larga Rubi Geo</t>
        </is>
      </c>
      <c r="J1985" s="156" t="inlineStr">
        <is>
          <t>Ropa</t>
        </is>
      </c>
      <c r="K1985" s="156" t="inlineStr">
        <is>
          <t>Camisas</t>
        </is>
      </c>
      <c r="L1985" s="156" t="inlineStr">
        <is>
          <t>Hombre</t>
        </is>
      </c>
      <c r="M1985" s="156" t="inlineStr">
        <is>
          <t>Stetson</t>
        </is>
      </c>
      <c r="N1985" s="156" t="inlineStr">
        <is>
          <t>SS26</t>
        </is>
      </c>
      <c r="O1985" s="156" t="inlineStr">
        <is>
          <t>Seasonal</t>
        </is>
      </c>
      <c r="P1985" s="156" t="inlineStr">
        <is>
          <t>Negro</t>
        </is>
      </c>
      <c r="Q1985" s="156" t="inlineStr">
        <is>
          <t>Clásico</t>
        </is>
      </c>
      <c r="R1985" s="156" t="n"/>
      <c r="S1985" s="156" t="inlineStr">
        <is>
          <t>100% Algodón</t>
        </is>
      </c>
      <c r="T1985"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5" s="156" t="n"/>
      <c r="V1985" s="156" t="inlineStr">
        <is>
          <t>PZS</t>
        </is>
      </c>
      <c r="W1985" s="51" t="inlineStr">
        <is>
          <t>53101600</t>
        </is>
      </c>
      <c r="X1985" s="156" t="inlineStr">
        <is>
          <t>https://cdn.shopify.com/s/files/1/0888/3250/8267/files/1100104251033b.jpg?v=1744149801</t>
        </is>
      </c>
      <c r="Y1985" s="54" t="n">
        <v>717.6724138</v>
      </c>
      <c r="Z1985" s="54" t="n">
        <v>1594.827586</v>
      </c>
      <c r="AA1985" s="55">
        <f>IF(AND(A1985="", B1985="", E1985=""), "", IF(AB1985="", "Válido", IF((LEN(AB1985)-LEN(SUBSTITUTE(AB1985,"; ","")))/2+1&gt;(LEN(AB1985)-LEN(SUBSTITUTE(AB1985,"[Aviso]","")))/7, "Con Incidencias", "Válido")))</f>
        <v/>
      </c>
      <c r="AB1985" s="56">
        <f>IF(AND(A1985="", B1985="", E1985=""), "", TEXTJOIN("; ", TRUE, IF(OR(TRIM(A1985&amp;"")="", ISNUMBER(SEARCH("FALTA", A1985))), "UPC faltante/inválido", ""), IF(AND(A1985&lt;&gt;"", IFERROR(_xlfn.XMATCH(A1985,$A$2:$A$2509,0,1)&lt;&gt;_xlfn.XMATCH(A1985,$A$2:$A$2509,0,-1),FALSE)), "Código de barras duplicado", ""), IF(AND(E1985&lt;&gt;"", COUNTIF($E$2:$E$2509, E1985)&gt;1), "SKU duplicado", ""), IF(OR(J1985="", J1985=""), "[Aviso] División no capturada ()", IF(ISNA(MATCH(J1985, Criterios!$A$123:$A$126, 0)), "División no válida", "")), IF(OR(K1985="", K1985=""), "[Aviso] Categoría no capturada ()", IF(ISNA(MATCH(K1985, Criterios!$A$81:$A$120, 0)), "Categoría no válida", IF(AND(J1985&lt;&gt;"", J1985&lt;&gt;"", J1985&lt;&gt;VLOOKUP(K1985, Criterios!$A$81:$B$120, 2, FALSE)), "División no coincide con Categoría", ""))), IF(OR(L1985="", L1985=""), "[Aviso] Género no capturado ()", IF(ISNA(MATCH(L1985, Criterios!$B$123:$B$127, 0)), "Género no válido", "")), IF(OR(N1985="", N1985=""), "[Aviso] Temporada no capturada ()", IF(ISNA(MATCH(N1985, Criterios!$C$123:$C$128, 0)), "Temporada no válida", "")), IF(OR(O1985="", O1985=""), "[Aviso] Ciclo de vida no capturado ()", IF(ISNA(MATCH(O1985, Criterios!$D$123:$D$124, 0)), "Ciclo de vida no válido", ""))))</f>
        <v/>
      </c>
      <c r="AC1985" s="56" t="n"/>
      <c r="AD1985" s="51" t="n">
        <v>0</v>
      </c>
      <c r="AE1985" s="156" t="n"/>
      <c r="AF1985" s="51" t="n">
        <v>0</v>
      </c>
      <c r="AG1985" s="156" t="inlineStr">
        <is>
          <t>Catálogo existente</t>
        </is>
      </c>
      <c r="AH198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5" s="156" t="inlineStr">
        <is>
          <t>No</t>
        </is>
      </c>
      <c r="AJ1985" s="156" t="n"/>
      <c r="AK1985" s="155" t="inlineStr">
        <is>
          <t>Descripción y Criterios: G/H [P] | Criterios: J [R]; G1522_Extraccion_Articulos_NetSuite_2026-09-30.xlsx: fila 57295 [S] | Shopify Stetson: producto 14693740577131 / variante 51992719556971</t>
        </is>
      </c>
      <c r="AL1985" s="58" t="n">
        <v>717.6724138</v>
      </c>
      <c r="AM1985" s="58" t="n">
        <v>1594.827586</v>
      </c>
      <c r="AN1985" s="155" t="inlineStr">
        <is>
          <t>Shopify Stetson México</t>
        </is>
      </c>
      <c r="AO1985" s="59" t="n">
        <v>0</v>
      </c>
      <c r="AP1985" s="59" t="n"/>
      <c r="AQ1985" s="59" t="n"/>
      <c r="AR1985" s="155" t="n"/>
    </row>
    <row r="1986">
      <c r="A1986" s="50" t="inlineStr">
        <is>
          <t>196070733532</t>
        </is>
      </c>
      <c r="B1986" s="51" t="inlineStr">
        <is>
          <t>109481</t>
        </is>
      </c>
      <c r="C1986" s="156" t="inlineStr">
        <is>
          <t>Multimarca</t>
        </is>
      </c>
      <c r="D1986" s="156" t="inlineStr">
        <is>
          <t>11-001-0425-1033</t>
        </is>
      </c>
      <c r="E1986" s="156" t="inlineStr">
        <is>
          <t>11-001-0425-1033-S</t>
        </is>
      </c>
      <c r="F1986" s="156" t="inlineStr">
        <is>
          <t>S</t>
        </is>
      </c>
      <c r="G1986" s="156" t="inlineStr">
        <is>
          <t>S</t>
        </is>
      </c>
      <c r="H1986" s="156" t="inlineStr">
        <is>
          <t>Stetson</t>
        </is>
      </c>
      <c r="I1986" s="156" t="inlineStr">
        <is>
          <t>Camisa Manga Larga Rubi Geo</t>
        </is>
      </c>
      <c r="J1986" s="156" t="inlineStr">
        <is>
          <t>Ropa</t>
        </is>
      </c>
      <c r="K1986" s="156" t="inlineStr">
        <is>
          <t>Camisas</t>
        </is>
      </c>
      <c r="L1986" s="156" t="inlineStr">
        <is>
          <t>Hombre</t>
        </is>
      </c>
      <c r="M1986" s="156" t="inlineStr">
        <is>
          <t>Stetson</t>
        </is>
      </c>
      <c r="N1986" s="156" t="inlineStr">
        <is>
          <t>SS26</t>
        </is>
      </c>
      <c r="O1986" s="156" t="inlineStr">
        <is>
          <t>Seasonal</t>
        </is>
      </c>
      <c r="P1986" s="156" t="inlineStr">
        <is>
          <t>Negro</t>
        </is>
      </c>
      <c r="Q1986" s="156" t="inlineStr">
        <is>
          <t>Clásico</t>
        </is>
      </c>
      <c r="R1986" s="156" t="n"/>
      <c r="S1986" s="156" t="inlineStr">
        <is>
          <t>100% Algodón</t>
        </is>
      </c>
      <c r="T1986"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6" s="156" t="n"/>
      <c r="V1986" s="156" t="inlineStr">
        <is>
          <t>PZS</t>
        </is>
      </c>
      <c r="W1986" s="51" t="inlineStr">
        <is>
          <t>53101600</t>
        </is>
      </c>
      <c r="X1986" s="156" t="inlineStr">
        <is>
          <t>https://cdn.shopify.com/s/files/1/0888/3250/8267/files/1100104251033a.jpg?v=1744149796</t>
        </is>
      </c>
      <c r="Y1986" s="54" t="n">
        <v>717.6724138</v>
      </c>
      <c r="Z1986" s="54" t="n">
        <v>1594.827586</v>
      </c>
      <c r="AA1986" s="55">
        <f>IF(AND(A1986="", B1986="", E1986=""), "", IF(AB1986="", "Válido", IF((LEN(AB1986)-LEN(SUBSTITUTE(AB1986,"; ","")))/2+1&gt;(LEN(AB1986)-LEN(SUBSTITUTE(AB1986,"[Aviso]","")))/7, "Con Incidencias", "Válido")))</f>
        <v/>
      </c>
      <c r="AB1986" s="56">
        <f>IF(AND(A1986="", B1986="", E1986=""), "", TEXTJOIN("; ", TRUE, IF(OR(TRIM(A1986&amp;"")="", ISNUMBER(SEARCH("FALTA", A1986))), "UPC faltante/inválido", ""), IF(AND(A1986&lt;&gt;"", IFERROR(_xlfn.XMATCH(A1986,$A$2:$A$2509,0,1)&lt;&gt;_xlfn.XMATCH(A1986,$A$2:$A$2509,0,-1),FALSE)), "Código de barras duplicado", ""), IF(AND(E1986&lt;&gt;"", COUNTIF($E$2:$E$2509, E1986)&gt;1), "SKU duplicado", ""), IF(OR(J1986="", J1986=""), "[Aviso] División no capturada ()", IF(ISNA(MATCH(J1986, Criterios!$A$123:$A$126, 0)), "División no válida", "")), IF(OR(K1986="", K1986=""), "[Aviso] Categoría no capturada ()", IF(ISNA(MATCH(K1986, Criterios!$A$81:$A$120, 0)), "Categoría no válida", IF(AND(J1986&lt;&gt;"", J1986&lt;&gt;"", J1986&lt;&gt;VLOOKUP(K1986, Criterios!$A$81:$B$120, 2, FALSE)), "División no coincide con Categoría", ""))), IF(OR(L1986="", L1986=""), "[Aviso] Género no capturado ()", IF(ISNA(MATCH(L1986, Criterios!$B$123:$B$127, 0)), "Género no válido", "")), IF(OR(N1986="", N1986=""), "[Aviso] Temporada no capturada ()", IF(ISNA(MATCH(N1986, Criterios!$C$123:$C$128, 0)), "Temporada no válida", "")), IF(OR(O1986="", O1986=""), "[Aviso] Ciclo de vida no capturado ()", IF(ISNA(MATCH(O1986, Criterios!$D$123:$D$124, 0)), "Ciclo de vida no válido", ""))))</f>
        <v/>
      </c>
      <c r="AC1986" s="56" t="n"/>
      <c r="AD1986" s="51" t="n">
        <v>0</v>
      </c>
      <c r="AE1986" s="156" t="n"/>
      <c r="AF1986" s="51" t="n">
        <v>0</v>
      </c>
      <c r="AG1986" s="156" t="inlineStr">
        <is>
          <t>Catálogo existente</t>
        </is>
      </c>
      <c r="AH198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6" s="156" t="inlineStr">
        <is>
          <t>No</t>
        </is>
      </c>
      <c r="AJ1986" s="156" t="n"/>
      <c r="AK1986" s="155" t="inlineStr">
        <is>
          <t>Descripción y Criterios: G/H [P] | Criterios: J [R]; G1522_Extraccion_Articulos_NetSuite_2026-09-30.xlsx: fila 57296 [S] | Shopify Stetson: producto 14693740577131 / variante 51992720671083</t>
        </is>
      </c>
      <c r="AL1986" s="58" t="n">
        <v>717.6724138</v>
      </c>
      <c r="AM1986" s="58" t="n">
        <v>1594.827586</v>
      </c>
      <c r="AN1986" s="155" t="inlineStr">
        <is>
          <t>Shopify Stetson México</t>
        </is>
      </c>
      <c r="AO1986" s="59" t="n">
        <v>0</v>
      </c>
      <c r="AP1986" s="59" t="n"/>
      <c r="AQ1986" s="59" t="n"/>
      <c r="AR1986" s="155" t="n"/>
    </row>
    <row r="1987">
      <c r="A1987" s="50" t="inlineStr">
        <is>
          <t>196070733549</t>
        </is>
      </c>
      <c r="B1987" s="51" t="inlineStr">
        <is>
          <t>109482</t>
        </is>
      </c>
      <c r="C1987" s="156" t="inlineStr">
        <is>
          <t>Multimarca</t>
        </is>
      </c>
      <c r="D1987" s="156" t="inlineStr">
        <is>
          <t>11-001-0425-1033</t>
        </is>
      </c>
      <c r="E1987" s="156" t="inlineStr">
        <is>
          <t>11-001-0425-1033-XL</t>
        </is>
      </c>
      <c r="F1987" s="156" t="inlineStr">
        <is>
          <t>XL</t>
        </is>
      </c>
      <c r="G1987" s="156" t="inlineStr">
        <is>
          <t>XL</t>
        </is>
      </c>
      <c r="H1987" s="156" t="inlineStr">
        <is>
          <t>Stetson</t>
        </is>
      </c>
      <c r="I1987" s="156" t="inlineStr">
        <is>
          <t>Camisa Manga Larga Rubi Geo</t>
        </is>
      </c>
      <c r="J1987" s="156" t="inlineStr">
        <is>
          <t>Ropa</t>
        </is>
      </c>
      <c r="K1987" s="156" t="inlineStr">
        <is>
          <t>Camisas</t>
        </is>
      </c>
      <c r="L1987" s="156" t="inlineStr">
        <is>
          <t>Hombre</t>
        </is>
      </c>
      <c r="M1987" s="156" t="inlineStr">
        <is>
          <t>Stetson</t>
        </is>
      </c>
      <c r="N1987" s="156" t="inlineStr">
        <is>
          <t>SS26</t>
        </is>
      </c>
      <c r="O1987" s="156" t="inlineStr">
        <is>
          <t>Seasonal</t>
        </is>
      </c>
      <c r="P1987" s="156" t="inlineStr">
        <is>
          <t>Negro</t>
        </is>
      </c>
      <c r="Q1987" s="156" t="inlineStr">
        <is>
          <t>Clásico</t>
        </is>
      </c>
      <c r="R1987" s="156" t="n"/>
      <c r="S1987" s="156" t="inlineStr">
        <is>
          <t>100% Algodón</t>
        </is>
      </c>
      <c r="T1987"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7" s="156" t="n"/>
      <c r="V1987" s="156" t="inlineStr">
        <is>
          <t>PZS</t>
        </is>
      </c>
      <c r="W1987" s="51" t="inlineStr">
        <is>
          <t>53101600</t>
        </is>
      </c>
      <c r="X1987" s="156" t="inlineStr">
        <is>
          <t>https://cdn.shopify.com/s/files/1/0888/3250/8267/files/1100104251033a.jpg?v=1744149796</t>
        </is>
      </c>
      <c r="Y1987" s="54" t="n">
        <v>717.6724138</v>
      </c>
      <c r="Z1987" s="54" t="n">
        <v>1594.827586</v>
      </c>
      <c r="AA1987" s="55">
        <f>IF(AND(A1987="", B1987="", E1987=""), "", IF(AB1987="", "Válido", IF((LEN(AB1987)-LEN(SUBSTITUTE(AB1987,"; ","")))/2+1&gt;(LEN(AB1987)-LEN(SUBSTITUTE(AB1987,"[Aviso]","")))/7, "Con Incidencias", "Válido")))</f>
        <v/>
      </c>
      <c r="AB1987" s="56">
        <f>IF(AND(A1987="", B1987="", E1987=""), "", TEXTJOIN("; ", TRUE, IF(OR(TRIM(A1987&amp;"")="", ISNUMBER(SEARCH("FALTA", A1987))), "UPC faltante/inválido", ""), IF(AND(A1987&lt;&gt;"", IFERROR(_xlfn.XMATCH(A1987,$A$2:$A$2509,0,1)&lt;&gt;_xlfn.XMATCH(A1987,$A$2:$A$2509,0,-1),FALSE)), "Código de barras duplicado", ""), IF(AND(E1987&lt;&gt;"", COUNTIF($E$2:$E$2509, E1987)&gt;1), "SKU duplicado", ""), IF(OR(J1987="", J1987=""), "[Aviso] División no capturada ()", IF(ISNA(MATCH(J1987, Criterios!$A$123:$A$126, 0)), "División no válida", "")), IF(OR(K1987="", K1987=""), "[Aviso] Categoría no capturada ()", IF(ISNA(MATCH(K1987, Criterios!$A$81:$A$120, 0)), "Categoría no válida", IF(AND(J1987&lt;&gt;"", J1987&lt;&gt;"", J1987&lt;&gt;VLOOKUP(K1987, Criterios!$A$81:$B$120, 2, FALSE)), "División no coincide con Categoría", ""))), IF(OR(L1987="", L1987=""), "[Aviso] Género no capturado ()", IF(ISNA(MATCH(L1987, Criterios!$B$123:$B$127, 0)), "Género no válido", "")), IF(OR(N1987="", N1987=""), "[Aviso] Temporada no capturada ()", IF(ISNA(MATCH(N1987, Criterios!$C$123:$C$128, 0)), "Temporada no válida", "")), IF(OR(O1987="", O1987=""), "[Aviso] Ciclo de vida no capturado ()", IF(ISNA(MATCH(O1987, Criterios!$D$123:$D$124, 0)), "Ciclo de vida no válido", ""))))</f>
        <v/>
      </c>
      <c r="AC1987" s="56" t="n"/>
      <c r="AD1987" s="51" t="n">
        <v>0</v>
      </c>
      <c r="AE1987" s="156" t="n"/>
      <c r="AF1987" s="51" t="n">
        <v>0</v>
      </c>
      <c r="AG1987" s="156" t="inlineStr">
        <is>
          <t>Catálogo existente</t>
        </is>
      </c>
      <c r="AH1987"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87" s="156" t="inlineStr">
        <is>
          <t>No</t>
        </is>
      </c>
      <c r="AJ1987" s="156" t="n"/>
      <c r="AK1987" s="155" t="inlineStr">
        <is>
          <t>Descripción y Criterios: G/H [P] | Criterios: J [R]; G1522_Extraccion_Articulos_NetSuite_2026-09-30.xlsx: fila 57297 [S] | Shopify Stetson: producto 14693740577131 / variante 51992719622507</t>
        </is>
      </c>
      <c r="AL1987" s="58" t="n">
        <v>717.6724138</v>
      </c>
      <c r="AM1987" s="58" t="n">
        <v>1594.827586</v>
      </c>
      <c r="AN1987" s="155" t="inlineStr">
        <is>
          <t>Shopify Stetson México</t>
        </is>
      </c>
      <c r="AO1987" s="59" t="n">
        <v>0</v>
      </c>
      <c r="AP1987" s="59" t="n"/>
      <c r="AQ1987" s="59" t="n"/>
      <c r="AR1987" s="155" t="n"/>
    </row>
    <row r="1988">
      <c r="A1988" s="50" t="inlineStr">
        <is>
          <t>196070733556</t>
        </is>
      </c>
      <c r="B1988" s="51" t="inlineStr">
        <is>
          <t>109483</t>
        </is>
      </c>
      <c r="C1988" s="156" t="inlineStr">
        <is>
          <t>Multimarca</t>
        </is>
      </c>
      <c r="D1988" s="156" t="inlineStr">
        <is>
          <t>11-001-0425-1033</t>
        </is>
      </c>
      <c r="E1988" s="156" t="inlineStr">
        <is>
          <t>11-001-0425-1033-XXL</t>
        </is>
      </c>
      <c r="F1988" s="156" t="inlineStr">
        <is>
          <t>XXL</t>
        </is>
      </c>
      <c r="G1988" s="156" t="inlineStr">
        <is>
          <t>XXL</t>
        </is>
      </c>
      <c r="H1988" s="156" t="inlineStr">
        <is>
          <t>Stetson</t>
        </is>
      </c>
      <c r="I1988" s="156" t="inlineStr">
        <is>
          <t>Camisa Manga Larga Rubi Geo</t>
        </is>
      </c>
      <c r="J1988" s="156" t="inlineStr">
        <is>
          <t>Ropa</t>
        </is>
      </c>
      <c r="K1988" s="156" t="inlineStr">
        <is>
          <t>Camisas</t>
        </is>
      </c>
      <c r="L1988" s="156" t="inlineStr">
        <is>
          <t>Hombre</t>
        </is>
      </c>
      <c r="M1988" s="156" t="inlineStr">
        <is>
          <t>Stetson</t>
        </is>
      </c>
      <c r="N1988" s="156" t="inlineStr">
        <is>
          <t>SS26</t>
        </is>
      </c>
      <c r="O1988" s="156" t="inlineStr">
        <is>
          <t>Seasonal</t>
        </is>
      </c>
      <c r="P1988" s="156" t="inlineStr">
        <is>
          <t>Negro</t>
        </is>
      </c>
      <c r="Q1988" s="156" t="inlineStr">
        <is>
          <t>Clásico</t>
        </is>
      </c>
      <c r="R1988" s="156" t="n"/>
      <c r="S1988" s="156" t="inlineStr">
        <is>
          <t>100% Algodón</t>
        </is>
      </c>
      <c r="T1988"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8" s="156" t="n"/>
      <c r="V1988" s="156" t="inlineStr">
        <is>
          <t>PZS</t>
        </is>
      </c>
      <c r="W1988" s="51" t="inlineStr">
        <is>
          <t>53101600</t>
        </is>
      </c>
      <c r="X1988" s="156" t="inlineStr">
        <is>
          <t>https://cdn.shopify.com/s/files/1/0888/3250/8267/files/1100104251033a.jpg?v=1744149796</t>
        </is>
      </c>
      <c r="Y1988" s="54" t="n">
        <v>717.6724138</v>
      </c>
      <c r="Z1988" s="54" t="n">
        <v>1594.827586</v>
      </c>
      <c r="AA1988" s="55">
        <f>IF(AND(A1988="", B1988="", E1988=""), "", IF(AB1988="", "Válido", IF((LEN(AB1988)-LEN(SUBSTITUTE(AB1988,"; ","")))/2+1&gt;(LEN(AB1988)-LEN(SUBSTITUTE(AB1988,"[Aviso]","")))/7, "Con Incidencias", "Válido")))</f>
        <v/>
      </c>
      <c r="AB1988" s="56">
        <f>IF(AND(A1988="", B1988="", E1988=""), "", TEXTJOIN("; ", TRUE, IF(OR(TRIM(A1988&amp;"")="", ISNUMBER(SEARCH("FALTA", A1988))), "UPC faltante/inválido", ""), IF(AND(A1988&lt;&gt;"", IFERROR(_xlfn.XMATCH(A1988,$A$2:$A$2509,0,1)&lt;&gt;_xlfn.XMATCH(A1988,$A$2:$A$2509,0,-1),FALSE)), "Código de barras duplicado", ""), IF(AND(E1988&lt;&gt;"", COUNTIF($E$2:$E$2509, E1988)&gt;1), "SKU duplicado", ""), IF(OR(J1988="", J1988=""), "[Aviso] División no capturada ()", IF(ISNA(MATCH(J1988, Criterios!$A$123:$A$126, 0)), "División no válida", "")), IF(OR(K1988="", K1988=""), "[Aviso] Categoría no capturada ()", IF(ISNA(MATCH(K1988, Criterios!$A$81:$A$120, 0)), "Categoría no válida", IF(AND(J1988&lt;&gt;"", J1988&lt;&gt;"", J1988&lt;&gt;VLOOKUP(K1988, Criterios!$A$81:$B$120, 2, FALSE)), "División no coincide con Categoría", ""))), IF(OR(L1988="", L1988=""), "[Aviso] Género no capturado ()", IF(ISNA(MATCH(L1988, Criterios!$B$123:$B$127, 0)), "Género no válido", "")), IF(OR(N1988="", N1988=""), "[Aviso] Temporada no capturada ()", IF(ISNA(MATCH(N1988, Criterios!$C$123:$C$128, 0)), "Temporada no válida", "")), IF(OR(O1988="", O1988=""), "[Aviso] Ciclo de vida no capturado ()", IF(ISNA(MATCH(O1988, Criterios!$D$123:$D$124, 0)), "Ciclo de vida no válido", ""))))</f>
        <v/>
      </c>
      <c r="AC1988" s="56" t="n"/>
      <c r="AD1988" s="51" t="n">
        <v>0</v>
      </c>
      <c r="AE1988" s="156" t="n"/>
      <c r="AF1988" s="51" t="n">
        <v>0</v>
      </c>
      <c r="AG1988" s="156" t="inlineStr">
        <is>
          <t>Catálogo existente</t>
        </is>
      </c>
      <c r="AH198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88" s="156" t="inlineStr">
        <is>
          <t>No</t>
        </is>
      </c>
      <c r="AJ1988" s="156" t="n"/>
      <c r="AK1988" s="155" t="inlineStr">
        <is>
          <t>Descripción y Criterios: G/H [P] | Criterios: J [R]; G1522_Extraccion_Articulos_NetSuite_2026-09-30.xlsx: fila 57298 [S] | Shopify Stetson: producto 14693740577131 / variante 51992719655275</t>
        </is>
      </c>
      <c r="AL1988" s="58" t="n">
        <v>717.6724138</v>
      </c>
      <c r="AM1988" s="58" t="n">
        <v>1594.827586</v>
      </c>
      <c r="AN1988" s="155" t="inlineStr">
        <is>
          <t>Shopify Stetson México</t>
        </is>
      </c>
      <c r="AO1988" s="59" t="n">
        <v>0</v>
      </c>
      <c r="AP1988" s="59" t="n"/>
      <c r="AQ1988" s="59" t="n"/>
      <c r="AR1988" s="155" t="n"/>
    </row>
    <row r="1989">
      <c r="A1989" s="50" t="inlineStr">
        <is>
          <t>196070733754</t>
        </is>
      </c>
      <c r="B1989" s="51" t="inlineStr">
        <is>
          <t>109568</t>
        </is>
      </c>
      <c r="C1989" s="156" t="inlineStr">
        <is>
          <t>Multimarca</t>
        </is>
      </c>
      <c r="D1989" s="156" t="inlineStr">
        <is>
          <t>11-001-0478-1030</t>
        </is>
      </c>
      <c r="E1989" s="156" t="inlineStr">
        <is>
          <t>11-001-0478-1030-L</t>
        </is>
      </c>
      <c r="F1989" s="156" t="inlineStr">
        <is>
          <t>L</t>
        </is>
      </c>
      <c r="G1989" s="156" t="inlineStr">
        <is>
          <t>L</t>
        </is>
      </c>
      <c r="H1989" s="156" t="inlineStr">
        <is>
          <t>Stetson</t>
        </is>
      </c>
      <c r="I1989" s="156" t="inlineStr">
        <is>
          <t>Camisa Stetson Escocesa Dobby</t>
        </is>
      </c>
      <c r="J1989" s="156" t="inlineStr">
        <is>
          <t>Ropa</t>
        </is>
      </c>
      <c r="K1989" s="156" t="inlineStr">
        <is>
          <t>Camisas</t>
        </is>
      </c>
      <c r="L1989" s="156" t="inlineStr">
        <is>
          <t>Hombre</t>
        </is>
      </c>
      <c r="M1989" s="156" t="inlineStr">
        <is>
          <t>Stetson</t>
        </is>
      </c>
      <c r="N1989" s="156" t="inlineStr">
        <is>
          <t>SS26</t>
        </is>
      </c>
      <c r="O1989" s="156" t="inlineStr">
        <is>
          <t>Seasonal</t>
        </is>
      </c>
      <c r="P1989" s="156" t="inlineStr">
        <is>
          <t>Cafe</t>
        </is>
      </c>
      <c r="Q1989" s="156" t="inlineStr">
        <is>
          <t>Relajado</t>
        </is>
      </c>
      <c r="R1989" s="156" t="n"/>
      <c r="S1989" s="156" t="inlineStr">
        <is>
          <t>100% Algodón</t>
        </is>
      </c>
      <c r="T1989"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9" s="156" t="n"/>
      <c r="V1989" s="156" t="inlineStr">
        <is>
          <t>PZS</t>
        </is>
      </c>
      <c r="W1989" s="51" t="inlineStr">
        <is>
          <t>53101600</t>
        </is>
      </c>
      <c r="X1989" s="156" t="inlineStr">
        <is>
          <t>https://cdn.shopify.com/s/files/1/0888/3250/8267/files/1100104781030c.jpg?v=1744396820</t>
        </is>
      </c>
      <c r="Y1989" s="54" t="n">
        <v>717.6724138</v>
      </c>
      <c r="Z1989" s="54" t="n">
        <v>1594.827586</v>
      </c>
      <c r="AA1989" s="55">
        <f>IF(AND(A1989="", B1989="", E1989=""), "", IF(AB1989="", "Válido", IF((LEN(AB1989)-LEN(SUBSTITUTE(AB1989,"; ","")))/2+1&gt;(LEN(AB1989)-LEN(SUBSTITUTE(AB1989,"[Aviso]","")))/7, "Con Incidencias", "Válido")))</f>
        <v/>
      </c>
      <c r="AB1989" s="56">
        <f>IF(AND(A1989="", B1989="", E1989=""), "", TEXTJOIN("; ", TRUE, IF(OR(TRIM(A1989&amp;"")="", ISNUMBER(SEARCH("FALTA", A1989))), "UPC faltante/inválido", ""), IF(AND(A1989&lt;&gt;"", IFERROR(_xlfn.XMATCH(A1989,$A$2:$A$2509,0,1)&lt;&gt;_xlfn.XMATCH(A1989,$A$2:$A$2509,0,-1),FALSE)), "Código de barras duplicado", ""), IF(AND(E1989&lt;&gt;"", COUNTIF($E$2:$E$2509, E1989)&gt;1), "SKU duplicado", ""), IF(OR(J1989="", J1989=""), "[Aviso] División no capturada ()", IF(ISNA(MATCH(J1989, Criterios!$A$123:$A$126, 0)), "División no válida", "")), IF(OR(K1989="", K1989=""), "[Aviso] Categoría no capturada ()", IF(ISNA(MATCH(K1989, Criterios!$A$81:$A$120, 0)), "Categoría no válida", IF(AND(J1989&lt;&gt;"", J1989&lt;&gt;"", J1989&lt;&gt;VLOOKUP(K1989, Criterios!$A$81:$B$120, 2, FALSE)), "División no coincide con Categoría", ""))), IF(OR(L1989="", L1989=""), "[Aviso] Género no capturado ()", IF(ISNA(MATCH(L1989, Criterios!$B$123:$B$127, 0)), "Género no válido", "")), IF(OR(N1989="", N1989=""), "[Aviso] Temporada no capturada ()", IF(ISNA(MATCH(N1989, Criterios!$C$123:$C$128, 0)), "Temporada no válida", "")), IF(OR(O1989="", O1989=""), "[Aviso] Ciclo de vida no capturado ()", IF(ISNA(MATCH(O1989, Criterios!$D$123:$D$124, 0)), "Ciclo de vida no válido", ""))))</f>
        <v/>
      </c>
      <c r="AC1989" s="56" t="n"/>
      <c r="AD1989" s="51" t="n">
        <v>0</v>
      </c>
      <c r="AE1989" s="156" t="n"/>
      <c r="AF1989" s="51" t="n">
        <v>0</v>
      </c>
      <c r="AG1989" s="156" t="inlineStr">
        <is>
          <t>Catálogo existente</t>
        </is>
      </c>
      <c r="AH198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9" s="156" t="inlineStr">
        <is>
          <t>No</t>
        </is>
      </c>
      <c r="AJ1989" s="156" t="n"/>
      <c r="AK1989" s="155" t="inlineStr">
        <is>
          <t>Descripción y Criterios: G/H [P] | Criterios: J [R]; G1522_Extraccion_Articulos_NetSuite_2026-09-30.xlsx: fila 57383 [S] | Shopify Stetson: producto 14694490636651 / variante 51997365436779</t>
        </is>
      </c>
      <c r="AL1989" s="58" t="n">
        <v>717.6724138</v>
      </c>
      <c r="AM1989" s="58" t="n">
        <v>1594.827586</v>
      </c>
      <c r="AN1989" s="155" t="inlineStr">
        <is>
          <t>Shopify Stetson México</t>
        </is>
      </c>
      <c r="AO1989" s="59" t="n">
        <v>0</v>
      </c>
      <c r="AP1989" s="59" t="n"/>
      <c r="AQ1989" s="59" t="n"/>
      <c r="AR1989" s="155" t="n"/>
    </row>
    <row r="1990">
      <c r="A1990" s="50" t="inlineStr">
        <is>
          <t>196070733761</t>
        </is>
      </c>
      <c r="B1990" s="51" t="inlineStr">
        <is>
          <t>109569</t>
        </is>
      </c>
      <c r="C1990" s="156" t="inlineStr">
        <is>
          <t>Multimarca</t>
        </is>
      </c>
      <c r="D1990" s="156" t="inlineStr">
        <is>
          <t>11-001-0478-1030</t>
        </is>
      </c>
      <c r="E1990" s="156" t="inlineStr">
        <is>
          <t>11-001-0478-1030-M</t>
        </is>
      </c>
      <c r="F1990" s="156" t="inlineStr">
        <is>
          <t>M</t>
        </is>
      </c>
      <c r="G1990" s="156" t="inlineStr">
        <is>
          <t>M</t>
        </is>
      </c>
      <c r="H1990" s="156" t="inlineStr">
        <is>
          <t>Stetson</t>
        </is>
      </c>
      <c r="I1990" s="156" t="inlineStr">
        <is>
          <t>Camisa Stetson Escocesa Dobby</t>
        </is>
      </c>
      <c r="J1990" s="156" t="inlineStr">
        <is>
          <t>Ropa</t>
        </is>
      </c>
      <c r="K1990" s="156" t="inlineStr">
        <is>
          <t>Camisas</t>
        </is>
      </c>
      <c r="L1990" s="156" t="inlineStr">
        <is>
          <t>Hombre</t>
        </is>
      </c>
      <c r="M1990" s="156" t="inlineStr">
        <is>
          <t>Stetson</t>
        </is>
      </c>
      <c r="N1990" s="156" t="inlineStr">
        <is>
          <t>SS26</t>
        </is>
      </c>
      <c r="O1990" s="156" t="inlineStr">
        <is>
          <t>Seasonal</t>
        </is>
      </c>
      <c r="P1990" s="156" t="inlineStr">
        <is>
          <t>Cafe</t>
        </is>
      </c>
      <c r="Q1990" s="156" t="inlineStr">
        <is>
          <t>Relajado</t>
        </is>
      </c>
      <c r="R1990" s="156" t="n"/>
      <c r="S1990" s="156" t="inlineStr">
        <is>
          <t>100% Algodón</t>
        </is>
      </c>
      <c r="T1990"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0" s="156" t="n"/>
      <c r="V1990" s="156" t="inlineStr">
        <is>
          <t>PZS</t>
        </is>
      </c>
      <c r="W1990" s="51" t="inlineStr">
        <is>
          <t>53101600</t>
        </is>
      </c>
      <c r="X1990" s="156" t="inlineStr">
        <is>
          <t>https://cdn.shopify.com/s/files/1/0888/3250/8267/files/1100104781030b.jpg?v=1744396809</t>
        </is>
      </c>
      <c r="Y1990" s="54" t="n">
        <v>717.6724138</v>
      </c>
      <c r="Z1990" s="54" t="n">
        <v>1594.827586</v>
      </c>
      <c r="AA1990" s="55">
        <f>IF(AND(A1990="", B1990="", E1990=""), "", IF(AB1990="", "Válido", IF((LEN(AB1990)-LEN(SUBSTITUTE(AB1990,"; ","")))/2+1&gt;(LEN(AB1990)-LEN(SUBSTITUTE(AB1990,"[Aviso]","")))/7, "Con Incidencias", "Válido")))</f>
        <v/>
      </c>
      <c r="AB1990" s="56">
        <f>IF(AND(A1990="", B1990="", E1990=""), "", TEXTJOIN("; ", TRUE, IF(OR(TRIM(A1990&amp;"")="", ISNUMBER(SEARCH("FALTA", A1990))), "UPC faltante/inválido", ""), IF(AND(A1990&lt;&gt;"", IFERROR(_xlfn.XMATCH(A1990,$A$2:$A$2509,0,1)&lt;&gt;_xlfn.XMATCH(A1990,$A$2:$A$2509,0,-1),FALSE)), "Código de barras duplicado", ""), IF(AND(E1990&lt;&gt;"", COUNTIF($E$2:$E$2509, E1990)&gt;1), "SKU duplicado", ""), IF(OR(J1990="", J1990=""), "[Aviso] División no capturada ()", IF(ISNA(MATCH(J1990, Criterios!$A$123:$A$126, 0)), "División no válida", "")), IF(OR(K1990="", K1990=""), "[Aviso] Categoría no capturada ()", IF(ISNA(MATCH(K1990, Criterios!$A$81:$A$120, 0)), "Categoría no válida", IF(AND(J1990&lt;&gt;"", J1990&lt;&gt;"", J1990&lt;&gt;VLOOKUP(K1990, Criterios!$A$81:$B$120, 2, FALSE)), "División no coincide con Categoría", ""))), IF(OR(L1990="", L1990=""), "[Aviso] Género no capturado ()", IF(ISNA(MATCH(L1990, Criterios!$B$123:$B$127, 0)), "Género no válido", "")), IF(OR(N1990="", N1990=""), "[Aviso] Temporada no capturada ()", IF(ISNA(MATCH(N1990, Criterios!$C$123:$C$128, 0)), "Temporada no válida", "")), IF(OR(O1990="", O1990=""), "[Aviso] Ciclo de vida no capturado ()", IF(ISNA(MATCH(O1990, Criterios!$D$123:$D$124, 0)), "Ciclo de vida no válido", ""))))</f>
        <v/>
      </c>
      <c r="AC1990" s="56" t="n"/>
      <c r="AD1990" s="51" t="n">
        <v>0</v>
      </c>
      <c r="AE1990" s="156" t="n"/>
      <c r="AF1990" s="51" t="n">
        <v>0</v>
      </c>
      <c r="AG1990" s="156" t="inlineStr">
        <is>
          <t>Catálogo existente</t>
        </is>
      </c>
      <c r="AH199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0" s="156" t="inlineStr">
        <is>
          <t>No</t>
        </is>
      </c>
      <c r="AJ1990" s="156" t="n"/>
      <c r="AK1990" s="155" t="inlineStr">
        <is>
          <t>Descripción y Criterios: G/H [P] | Criterios: J [R]; G1522_Extraccion_Articulos_NetSuite_2026-09-30.xlsx: fila 57384 [S] | Shopify Stetson: producto 14694490636651 / variante 51997364519275</t>
        </is>
      </c>
      <c r="AL1990" s="58" t="n">
        <v>717.6724138</v>
      </c>
      <c r="AM1990" s="58" t="n">
        <v>1594.827586</v>
      </c>
      <c r="AN1990" s="155" t="inlineStr">
        <is>
          <t>Shopify Stetson México</t>
        </is>
      </c>
      <c r="AO1990" s="59" t="n">
        <v>0</v>
      </c>
      <c r="AP1990" s="59" t="n"/>
      <c r="AQ1990" s="59" t="n"/>
      <c r="AR1990" s="155" t="n"/>
    </row>
    <row r="1991">
      <c r="A1991" s="50" t="inlineStr">
        <is>
          <t>196070733778</t>
        </is>
      </c>
      <c r="B1991" s="51" t="inlineStr">
        <is>
          <t>109570</t>
        </is>
      </c>
      <c r="C1991" s="156" t="inlineStr">
        <is>
          <t>Multimarca</t>
        </is>
      </c>
      <c r="D1991" s="156" t="inlineStr">
        <is>
          <t>11-001-0478-1030</t>
        </is>
      </c>
      <c r="E1991" s="156" t="inlineStr">
        <is>
          <t>11-001-0478-1030-S</t>
        </is>
      </c>
      <c r="F1991" s="156" t="inlineStr">
        <is>
          <t>S</t>
        </is>
      </c>
      <c r="G1991" s="156" t="inlineStr">
        <is>
          <t>S</t>
        </is>
      </c>
      <c r="H1991" s="156" t="inlineStr">
        <is>
          <t>Stetson</t>
        </is>
      </c>
      <c r="I1991" s="156" t="inlineStr">
        <is>
          <t>Camisa Stetson Escocesa Dobby</t>
        </is>
      </c>
      <c r="J1991" s="156" t="inlineStr">
        <is>
          <t>Ropa</t>
        </is>
      </c>
      <c r="K1991" s="156" t="inlineStr">
        <is>
          <t>Camisas</t>
        </is>
      </c>
      <c r="L1991" s="156" t="inlineStr">
        <is>
          <t>Hombre</t>
        </is>
      </c>
      <c r="M1991" s="156" t="inlineStr">
        <is>
          <t>Stetson</t>
        </is>
      </c>
      <c r="N1991" s="156" t="inlineStr">
        <is>
          <t>SS26</t>
        </is>
      </c>
      <c r="O1991" s="156" t="inlineStr">
        <is>
          <t>Seasonal</t>
        </is>
      </c>
      <c r="P1991" s="156" t="inlineStr">
        <is>
          <t>Cafe</t>
        </is>
      </c>
      <c r="Q1991" s="156" t="inlineStr">
        <is>
          <t>Relajado</t>
        </is>
      </c>
      <c r="R1991" s="156" t="n"/>
      <c r="S1991" s="156" t="inlineStr">
        <is>
          <t>100% Algodón</t>
        </is>
      </c>
      <c r="T1991"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1" s="156" t="n"/>
      <c r="V1991" s="156" t="inlineStr">
        <is>
          <t>PZS</t>
        </is>
      </c>
      <c r="W1991" s="51" t="inlineStr">
        <is>
          <t>53101600</t>
        </is>
      </c>
      <c r="X1991" s="156" t="inlineStr">
        <is>
          <t>https://cdn.shopify.com/s/files/1/0888/3250/8267/files/1100104781030a.jpg?v=1744396800</t>
        </is>
      </c>
      <c r="Y1991" s="54" t="n">
        <v>717.6724138</v>
      </c>
      <c r="Z1991" s="54" t="n">
        <v>1594.827586</v>
      </c>
      <c r="AA1991" s="55">
        <f>IF(AND(A1991="", B1991="", E1991=""), "", IF(AB1991="", "Válido", IF((LEN(AB1991)-LEN(SUBSTITUTE(AB1991,"; ","")))/2+1&gt;(LEN(AB1991)-LEN(SUBSTITUTE(AB1991,"[Aviso]","")))/7, "Con Incidencias", "Válido")))</f>
        <v/>
      </c>
      <c r="AB1991" s="56">
        <f>IF(AND(A1991="", B1991="", E1991=""), "", TEXTJOIN("; ", TRUE, IF(OR(TRIM(A1991&amp;"")="", ISNUMBER(SEARCH("FALTA", A1991))), "UPC faltante/inválido", ""), IF(AND(A1991&lt;&gt;"", IFERROR(_xlfn.XMATCH(A1991,$A$2:$A$2509,0,1)&lt;&gt;_xlfn.XMATCH(A1991,$A$2:$A$2509,0,-1),FALSE)), "Código de barras duplicado", ""), IF(AND(E1991&lt;&gt;"", COUNTIF($E$2:$E$2509, E1991)&gt;1), "SKU duplicado", ""), IF(OR(J1991="", J1991=""), "[Aviso] División no capturada ()", IF(ISNA(MATCH(J1991, Criterios!$A$123:$A$126, 0)), "División no válida", "")), IF(OR(K1991="", K1991=""), "[Aviso] Categoría no capturada ()", IF(ISNA(MATCH(K1991, Criterios!$A$81:$A$120, 0)), "Categoría no válida", IF(AND(J1991&lt;&gt;"", J1991&lt;&gt;"", J1991&lt;&gt;VLOOKUP(K1991, Criterios!$A$81:$B$120, 2, FALSE)), "División no coincide con Categoría", ""))), IF(OR(L1991="", L1991=""), "[Aviso] Género no capturado ()", IF(ISNA(MATCH(L1991, Criterios!$B$123:$B$127, 0)), "Género no válido", "")), IF(OR(N1991="", N1991=""), "[Aviso] Temporada no capturada ()", IF(ISNA(MATCH(N1991, Criterios!$C$123:$C$128, 0)), "Temporada no válida", "")), IF(OR(O1991="", O1991=""), "[Aviso] Ciclo de vida no capturado ()", IF(ISNA(MATCH(O1991, Criterios!$D$123:$D$124, 0)), "Ciclo de vida no válido", ""))))</f>
        <v/>
      </c>
      <c r="AC1991" s="56" t="n"/>
      <c r="AD1991" s="51" t="n">
        <v>0</v>
      </c>
      <c r="AE1991" s="156" t="n"/>
      <c r="AF1991" s="51" t="n">
        <v>0</v>
      </c>
      <c r="AG1991" s="156" t="inlineStr">
        <is>
          <t>Catálogo existente</t>
        </is>
      </c>
      <c r="AH199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1" s="156" t="inlineStr">
        <is>
          <t>No</t>
        </is>
      </c>
      <c r="AJ1991" s="156" t="n"/>
      <c r="AK1991" s="155" t="inlineStr">
        <is>
          <t>Descripción y Criterios: G/H [P] | Criterios: J [R]; G1522_Extraccion_Articulos_NetSuite_2026-09-30.xlsx: fila 57385 [S] | Shopify Stetson: producto 14694490636651 / variante 51997364486507</t>
        </is>
      </c>
      <c r="AL1991" s="58" t="n">
        <v>717.6724138</v>
      </c>
      <c r="AM1991" s="58" t="n">
        <v>1594.827586</v>
      </c>
      <c r="AN1991" s="155" t="inlineStr">
        <is>
          <t>Shopify Stetson México</t>
        </is>
      </c>
      <c r="AO1991" s="59" t="n">
        <v>0</v>
      </c>
      <c r="AP1991" s="59" t="n"/>
      <c r="AQ1991" s="59" t="n"/>
      <c r="AR1991" s="155" t="n"/>
    </row>
    <row r="1992">
      <c r="A1992" s="50" t="inlineStr">
        <is>
          <t>196070733785</t>
        </is>
      </c>
      <c r="B1992" s="51" t="inlineStr">
        <is>
          <t>109571</t>
        </is>
      </c>
      <c r="C1992" s="156" t="inlineStr">
        <is>
          <t>Multimarca</t>
        </is>
      </c>
      <c r="D1992" s="156" t="inlineStr">
        <is>
          <t>11-001-0478-1030</t>
        </is>
      </c>
      <c r="E1992" s="156" t="inlineStr">
        <is>
          <t>11-001-0478-1030-XL</t>
        </is>
      </c>
      <c r="F1992" s="156" t="inlineStr">
        <is>
          <t>XL</t>
        </is>
      </c>
      <c r="G1992" s="156" t="inlineStr">
        <is>
          <t>XL</t>
        </is>
      </c>
      <c r="H1992" s="156" t="inlineStr">
        <is>
          <t>Stetson</t>
        </is>
      </c>
      <c r="I1992" s="156" t="inlineStr">
        <is>
          <t>Camisa Stetson Escocesa Dobby</t>
        </is>
      </c>
      <c r="J1992" s="156" t="inlineStr">
        <is>
          <t>Ropa</t>
        </is>
      </c>
      <c r="K1992" s="156" t="inlineStr">
        <is>
          <t>Camisas</t>
        </is>
      </c>
      <c r="L1992" s="156" t="inlineStr">
        <is>
          <t>Hombre</t>
        </is>
      </c>
      <c r="M1992" s="156" t="inlineStr">
        <is>
          <t>Stetson</t>
        </is>
      </c>
      <c r="N1992" s="156" t="inlineStr">
        <is>
          <t>SS26</t>
        </is>
      </c>
      <c r="O1992" s="156" t="inlineStr">
        <is>
          <t>Seasonal</t>
        </is>
      </c>
      <c r="P1992" s="156" t="inlineStr">
        <is>
          <t>Cafe</t>
        </is>
      </c>
      <c r="Q1992" s="156" t="inlineStr">
        <is>
          <t>Relajado</t>
        </is>
      </c>
      <c r="R1992" s="156" t="n"/>
      <c r="S1992" s="156" t="inlineStr">
        <is>
          <t>100% Algodón</t>
        </is>
      </c>
      <c r="T1992"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2" s="156" t="n"/>
      <c r="V1992" s="156" t="inlineStr">
        <is>
          <t>PZS</t>
        </is>
      </c>
      <c r="W1992" s="51" t="inlineStr">
        <is>
          <t>53101600</t>
        </is>
      </c>
      <c r="X1992" s="156" t="inlineStr">
        <is>
          <t>https://cdn.shopify.com/s/files/1/0888/3250/8267/files/1100104781030a.jpg?v=1744396800</t>
        </is>
      </c>
      <c r="Y1992" s="54" t="n">
        <v>717.6724138</v>
      </c>
      <c r="Z1992" s="54" t="n">
        <v>1594.827586</v>
      </c>
      <c r="AA1992" s="55">
        <f>IF(AND(A1992="", B1992="", E1992=""), "", IF(AB1992="", "Válido", IF((LEN(AB1992)-LEN(SUBSTITUTE(AB1992,"; ","")))/2+1&gt;(LEN(AB1992)-LEN(SUBSTITUTE(AB1992,"[Aviso]","")))/7, "Con Incidencias", "Válido")))</f>
        <v/>
      </c>
      <c r="AB1992" s="56">
        <f>IF(AND(A1992="", B1992="", E1992=""), "", TEXTJOIN("; ", TRUE, IF(OR(TRIM(A1992&amp;"")="", ISNUMBER(SEARCH("FALTA", A1992))), "UPC faltante/inválido", ""), IF(AND(A1992&lt;&gt;"", IFERROR(_xlfn.XMATCH(A1992,$A$2:$A$2509,0,1)&lt;&gt;_xlfn.XMATCH(A1992,$A$2:$A$2509,0,-1),FALSE)), "Código de barras duplicado", ""), IF(AND(E1992&lt;&gt;"", COUNTIF($E$2:$E$2509, E1992)&gt;1), "SKU duplicado", ""), IF(OR(J1992="", J1992=""), "[Aviso] División no capturada ()", IF(ISNA(MATCH(J1992, Criterios!$A$123:$A$126, 0)), "División no válida", "")), IF(OR(K1992="", K1992=""), "[Aviso] Categoría no capturada ()", IF(ISNA(MATCH(K1992, Criterios!$A$81:$A$120, 0)), "Categoría no válida", IF(AND(J1992&lt;&gt;"", J1992&lt;&gt;"", J1992&lt;&gt;VLOOKUP(K1992, Criterios!$A$81:$B$120, 2, FALSE)), "División no coincide con Categoría", ""))), IF(OR(L1992="", L1992=""), "[Aviso] Género no capturado ()", IF(ISNA(MATCH(L1992, Criterios!$B$123:$B$127, 0)), "Género no válido", "")), IF(OR(N1992="", N1992=""), "[Aviso] Temporada no capturada ()", IF(ISNA(MATCH(N1992, Criterios!$C$123:$C$128, 0)), "Temporada no válida", "")), IF(OR(O1992="", O1992=""), "[Aviso] Ciclo de vida no capturado ()", IF(ISNA(MATCH(O1992, Criterios!$D$123:$D$124, 0)), "Ciclo de vida no válido", ""))))</f>
        <v/>
      </c>
      <c r="AC1992" s="56" t="n"/>
      <c r="AD1992" s="51" t="n">
        <v>0</v>
      </c>
      <c r="AE1992" s="156" t="n"/>
      <c r="AF1992" s="51" t="n">
        <v>0</v>
      </c>
      <c r="AG1992" s="156" t="inlineStr">
        <is>
          <t>Catálogo existente</t>
        </is>
      </c>
      <c r="AH199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92" s="156" t="inlineStr">
        <is>
          <t>No</t>
        </is>
      </c>
      <c r="AJ1992" s="156" t="n"/>
      <c r="AK1992" s="155" t="inlineStr">
        <is>
          <t>Descripción y Criterios: G/H [P] | Criterios: J [R]; G1522_Extraccion_Articulos_NetSuite_2026-09-30.xlsx: fila 57386 [S] | Shopify Stetson: producto 14694490636651 / variante 51997365469547</t>
        </is>
      </c>
      <c r="AL1992" s="58" t="n">
        <v>717.6724138</v>
      </c>
      <c r="AM1992" s="58" t="n">
        <v>1594.827586</v>
      </c>
      <c r="AN1992" s="155" t="inlineStr">
        <is>
          <t>Shopify Stetson México</t>
        </is>
      </c>
      <c r="AO1992" s="59" t="n">
        <v>0</v>
      </c>
      <c r="AP1992" s="59" t="n"/>
      <c r="AQ1992" s="59" t="n"/>
      <c r="AR1992" s="155" t="n"/>
    </row>
    <row r="1993">
      <c r="A1993" s="50" t="inlineStr">
        <is>
          <t>196070733945</t>
        </is>
      </c>
      <c r="B1993" s="51" t="inlineStr">
        <is>
          <t>109574</t>
        </is>
      </c>
      <c r="C1993" s="156" t="inlineStr">
        <is>
          <t>Multimarca</t>
        </is>
      </c>
      <c r="D1993" s="156" t="inlineStr">
        <is>
          <t>11-001-0478-1043</t>
        </is>
      </c>
      <c r="E1993" s="156" t="inlineStr">
        <is>
          <t>11-001-0478-1043-M</t>
        </is>
      </c>
      <c r="F1993" s="156" t="inlineStr">
        <is>
          <t>M</t>
        </is>
      </c>
      <c r="G1993" s="156" t="inlineStr">
        <is>
          <t>M</t>
        </is>
      </c>
      <c r="H1993" s="156" t="inlineStr">
        <is>
          <t>Stetson</t>
        </is>
      </c>
      <c r="I1993" s="156" t="inlineStr">
        <is>
          <t>Camisa Stetson Sarga</t>
        </is>
      </c>
      <c r="J1993" s="156" t="inlineStr">
        <is>
          <t>Ropa</t>
        </is>
      </c>
      <c r="K1993" s="156" t="inlineStr">
        <is>
          <t>Camisas</t>
        </is>
      </c>
      <c r="L1993" s="156" t="inlineStr">
        <is>
          <t>Hombre</t>
        </is>
      </c>
      <c r="M1993" s="156" t="inlineStr">
        <is>
          <t>Stetson</t>
        </is>
      </c>
      <c r="N1993" s="156" t="inlineStr">
        <is>
          <t>SS26</t>
        </is>
      </c>
      <c r="O1993" s="156" t="inlineStr">
        <is>
          <t>Seasonal</t>
        </is>
      </c>
      <c r="P1993" s="156" t="inlineStr">
        <is>
          <t>Cafe</t>
        </is>
      </c>
      <c r="Q1993" s="156" t="inlineStr">
        <is>
          <t>Relajado</t>
        </is>
      </c>
      <c r="R1993" s="156" t="n"/>
      <c r="S1993" s="156" t="inlineStr">
        <is>
          <t>100% Algodón</t>
        </is>
      </c>
      <c r="T1993" s="156" t="inlineStr">
        <is>
          <t>Camisa Stetson a Cuadros para Caballero –Sarga 2371,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Twill Plaid 2371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3" s="156" t="n"/>
      <c r="V1993" s="156" t="inlineStr">
        <is>
          <t>PZS</t>
        </is>
      </c>
      <c r="W1993" s="51" t="inlineStr">
        <is>
          <t>53101600</t>
        </is>
      </c>
      <c r="X1993" s="156" t="inlineStr">
        <is>
          <t>https://cdn.shopify.com/s/files/1/0888/3250/8267/files/1100104781043b.jpg?v=1744641081</t>
        </is>
      </c>
      <c r="Y1993" s="54" t="n">
        <v>717.6724138</v>
      </c>
      <c r="Z1993" s="54" t="n">
        <v>1594.827586</v>
      </c>
      <c r="AA1993" s="55">
        <f>IF(AND(A1993="", B1993="", E1993=""), "", IF(AB1993="", "Válido", IF((LEN(AB1993)-LEN(SUBSTITUTE(AB1993,"; ","")))/2+1&gt;(LEN(AB1993)-LEN(SUBSTITUTE(AB1993,"[Aviso]","")))/7, "Con Incidencias", "Válido")))</f>
        <v/>
      </c>
      <c r="AB1993" s="56">
        <f>IF(AND(A1993="", B1993="", E1993=""), "", TEXTJOIN("; ", TRUE, IF(OR(TRIM(A1993&amp;"")="", ISNUMBER(SEARCH("FALTA", A1993))), "UPC faltante/inválido", ""), IF(AND(A1993&lt;&gt;"", IFERROR(_xlfn.XMATCH(A1993,$A$2:$A$2509,0,1)&lt;&gt;_xlfn.XMATCH(A1993,$A$2:$A$2509,0,-1),FALSE)), "Código de barras duplicado", ""), IF(AND(E1993&lt;&gt;"", COUNTIF($E$2:$E$2509, E1993)&gt;1), "SKU duplicado", ""), IF(OR(J1993="", J1993=""), "[Aviso] División no capturada ()", IF(ISNA(MATCH(J1993, Criterios!$A$123:$A$126, 0)), "División no válida", "")), IF(OR(K1993="", K1993=""), "[Aviso] Categoría no capturada ()", IF(ISNA(MATCH(K1993, Criterios!$A$81:$A$120, 0)), "Categoría no válida", IF(AND(J1993&lt;&gt;"", J1993&lt;&gt;"", J1993&lt;&gt;VLOOKUP(K1993, Criterios!$A$81:$B$120, 2, FALSE)), "División no coincide con Categoría", ""))), IF(OR(L1993="", L1993=""), "[Aviso] Género no capturado ()", IF(ISNA(MATCH(L1993, Criterios!$B$123:$B$127, 0)), "Género no válido", "")), IF(OR(N1993="", N1993=""), "[Aviso] Temporada no capturada ()", IF(ISNA(MATCH(N1993, Criterios!$C$123:$C$128, 0)), "Temporada no válida", "")), IF(OR(O1993="", O1993=""), "[Aviso] Ciclo de vida no capturado ()", IF(ISNA(MATCH(O1993, Criterios!$D$123:$D$124, 0)), "Ciclo de vida no válido", ""))))</f>
        <v/>
      </c>
      <c r="AC1993" s="56" t="n"/>
      <c r="AD1993" s="51" t="n">
        <v>0</v>
      </c>
      <c r="AE1993" s="156" t="n"/>
      <c r="AF1993" s="51" t="n">
        <v>0</v>
      </c>
      <c r="AG1993" s="156" t="inlineStr">
        <is>
          <t>Catálogo existente</t>
        </is>
      </c>
      <c r="AH1993"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3" s="156" t="inlineStr">
        <is>
          <t>No</t>
        </is>
      </c>
      <c r="AJ1993" s="156" t="n"/>
      <c r="AK1993" s="155" t="inlineStr">
        <is>
          <t>Descripción y Criterios: G/H [P] | Criterios: J [R]; G1522_Extraccion_Articulos_NetSuite_2026-09-30.xlsx: fila 57389 [S] | Shopify Stetson: producto 14695084949867 / variante 52001928216939</t>
        </is>
      </c>
      <c r="AL1993" s="58" t="n">
        <v>717.6724138</v>
      </c>
      <c r="AM1993" s="58" t="n">
        <v>1594.827586</v>
      </c>
      <c r="AN1993" s="155" t="inlineStr">
        <is>
          <t>Shopify Stetson México</t>
        </is>
      </c>
      <c r="AO1993" s="59" t="n">
        <v>0</v>
      </c>
      <c r="AP1993" s="59" t="n"/>
      <c r="AQ1993" s="59" t="n"/>
      <c r="AR1993" s="155" t="n"/>
    </row>
    <row r="1994">
      <c r="A1994" s="50" t="inlineStr">
        <is>
          <t>196070733952</t>
        </is>
      </c>
      <c r="B1994" s="51" t="inlineStr">
        <is>
          <t>109575</t>
        </is>
      </c>
      <c r="C1994" s="156" t="inlineStr">
        <is>
          <t>Multimarca</t>
        </is>
      </c>
      <c r="D1994" s="156" t="inlineStr">
        <is>
          <t>11-001-0478-1043</t>
        </is>
      </c>
      <c r="E1994" s="156" t="inlineStr">
        <is>
          <t>11-001-0478-1043-S</t>
        </is>
      </c>
      <c r="F1994" s="156" t="inlineStr">
        <is>
          <t>S</t>
        </is>
      </c>
      <c r="G1994" s="156" t="inlineStr">
        <is>
          <t>S</t>
        </is>
      </c>
      <c r="H1994" s="156" t="inlineStr">
        <is>
          <t>Stetson</t>
        </is>
      </c>
      <c r="I1994" s="156" t="inlineStr">
        <is>
          <t>Camisa Stetson Sarga</t>
        </is>
      </c>
      <c r="J1994" s="156" t="inlineStr">
        <is>
          <t>Ropa</t>
        </is>
      </c>
      <c r="K1994" s="156" t="inlineStr">
        <is>
          <t>Camisas</t>
        </is>
      </c>
      <c r="L1994" s="156" t="inlineStr">
        <is>
          <t>Hombre</t>
        </is>
      </c>
      <c r="M1994" s="156" t="inlineStr">
        <is>
          <t>Stetson</t>
        </is>
      </c>
      <c r="N1994" s="156" t="inlineStr">
        <is>
          <t>SS26</t>
        </is>
      </c>
      <c r="O1994" s="156" t="inlineStr">
        <is>
          <t>Seasonal</t>
        </is>
      </c>
      <c r="P1994" s="156" t="inlineStr">
        <is>
          <t>Cafe</t>
        </is>
      </c>
      <c r="Q1994" s="156" t="inlineStr">
        <is>
          <t>Relajado</t>
        </is>
      </c>
      <c r="R1994" s="156" t="n"/>
      <c r="S1994" s="156" t="inlineStr">
        <is>
          <t>100% Algodón</t>
        </is>
      </c>
      <c r="T1994" s="156" t="inlineStr">
        <is>
          <t>Camisa Stetson a Cuadros para Caballero –Sarga 2371,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Twill Plaid 2371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4" s="156" t="n"/>
      <c r="V1994" s="156" t="inlineStr">
        <is>
          <t>PZS</t>
        </is>
      </c>
      <c r="W1994" s="51" t="inlineStr">
        <is>
          <t>53101600</t>
        </is>
      </c>
      <c r="X1994" s="156" t="inlineStr">
        <is>
          <t>https://cdn.shopify.com/s/files/1/0888/3250/8267/files/1100104781043a.jpg?v=1744641074</t>
        </is>
      </c>
      <c r="Y1994" s="54" t="n">
        <v>717.6724138</v>
      </c>
      <c r="Z1994" s="54" t="n">
        <v>1594.827586</v>
      </c>
      <c r="AA1994" s="55">
        <f>IF(AND(A1994="", B1994="", E1994=""), "", IF(AB1994="", "Válido", IF((LEN(AB1994)-LEN(SUBSTITUTE(AB1994,"; ","")))/2+1&gt;(LEN(AB1994)-LEN(SUBSTITUTE(AB1994,"[Aviso]","")))/7, "Con Incidencias", "Válido")))</f>
        <v/>
      </c>
      <c r="AB1994" s="56">
        <f>IF(AND(A1994="", B1994="", E1994=""), "", TEXTJOIN("; ", TRUE, IF(OR(TRIM(A1994&amp;"")="", ISNUMBER(SEARCH("FALTA", A1994))), "UPC faltante/inválido", ""), IF(AND(A1994&lt;&gt;"", IFERROR(_xlfn.XMATCH(A1994,$A$2:$A$2509,0,1)&lt;&gt;_xlfn.XMATCH(A1994,$A$2:$A$2509,0,-1),FALSE)), "Código de barras duplicado", ""), IF(AND(E1994&lt;&gt;"", COUNTIF($E$2:$E$2509, E1994)&gt;1), "SKU duplicado", ""), IF(OR(J1994="", J1994=""), "[Aviso] División no capturada ()", IF(ISNA(MATCH(J1994, Criterios!$A$123:$A$126, 0)), "División no válida", "")), IF(OR(K1994="", K1994=""), "[Aviso] Categoría no capturada ()", IF(ISNA(MATCH(K1994, Criterios!$A$81:$A$120, 0)), "Categoría no válida", IF(AND(J1994&lt;&gt;"", J1994&lt;&gt;"", J1994&lt;&gt;VLOOKUP(K1994, Criterios!$A$81:$B$120, 2, FALSE)), "División no coincide con Categoría", ""))), IF(OR(L1994="", L1994=""), "[Aviso] Género no capturado ()", IF(ISNA(MATCH(L1994, Criterios!$B$123:$B$127, 0)), "Género no válido", "")), IF(OR(N1994="", N1994=""), "[Aviso] Temporada no capturada ()", IF(ISNA(MATCH(N1994, Criterios!$C$123:$C$128, 0)), "Temporada no válida", "")), IF(OR(O1994="", O1994=""), "[Aviso] Ciclo de vida no capturado ()", IF(ISNA(MATCH(O1994, Criterios!$D$123:$D$124, 0)), "Ciclo de vida no válido", ""))))</f>
        <v/>
      </c>
      <c r="AC1994" s="56" t="n"/>
      <c r="AD1994" s="51" t="n">
        <v>0</v>
      </c>
      <c r="AE1994" s="156" t="n"/>
      <c r="AF1994" s="51" t="n">
        <v>0</v>
      </c>
      <c r="AG1994" s="156" t="inlineStr">
        <is>
          <t>Catálogo existente</t>
        </is>
      </c>
      <c r="AH199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4" s="156" t="inlineStr">
        <is>
          <t>No</t>
        </is>
      </c>
      <c r="AJ1994" s="156" t="n"/>
      <c r="AK1994" s="155" t="inlineStr">
        <is>
          <t>Descripción y Criterios: G/H [P] | Criterios: J [R]; G1522_Extraccion_Articulos_NetSuite_2026-09-30.xlsx: fila 57390 [S] | Shopify Stetson: producto 14695084949867 / variante 52001928184171</t>
        </is>
      </c>
      <c r="AL1994" s="58" t="n">
        <v>717.6724138</v>
      </c>
      <c r="AM1994" s="58" t="n">
        <v>1594.827586</v>
      </c>
      <c r="AN1994" s="155" t="inlineStr">
        <is>
          <t>Shopify Stetson México</t>
        </is>
      </c>
      <c r="AO1994" s="59" t="n">
        <v>0</v>
      </c>
      <c r="AP1994" s="59" t="n"/>
      <c r="AQ1994" s="59" t="n"/>
      <c r="AR1994" s="155" t="n"/>
    </row>
    <row r="1995">
      <c r="A1995" s="50" t="inlineStr">
        <is>
          <t>196070778755</t>
        </is>
      </c>
      <c r="B1995" s="51" t="n"/>
      <c r="C1995" s="156" t="inlineStr">
        <is>
          <t>Multimarca</t>
        </is>
      </c>
      <c r="D1995" s="156" t="inlineStr">
        <is>
          <t>11-001-0425-2061 BU</t>
        </is>
      </c>
      <c r="E1995" s="156" t="inlineStr">
        <is>
          <t>11-001-0425-2061 BU_GDE</t>
        </is>
      </c>
      <c r="F1995" s="156" t="inlineStr">
        <is>
          <t>L</t>
        </is>
      </c>
      <c r="G1995" s="156" t="inlineStr">
        <is>
          <t>L</t>
        </is>
      </c>
      <c r="H1995" s="156" t="inlineStr">
        <is>
          <t>Stetson</t>
        </is>
      </c>
      <c r="I1995" s="156" t="inlineStr">
        <is>
          <t>Camisa Stetson Medallon Azul Marino</t>
        </is>
      </c>
      <c r="J1995" s="156" t="inlineStr">
        <is>
          <t>Ropa</t>
        </is>
      </c>
      <c r="K1995" s="156" t="inlineStr">
        <is>
          <t>Camisas</t>
        </is>
      </c>
      <c r="L1995" s="156" t="inlineStr">
        <is>
          <t>Hombre</t>
        </is>
      </c>
      <c r="M1995" s="156" t="inlineStr">
        <is>
          <t>Stetson</t>
        </is>
      </c>
      <c r="N1995" s="156" t="inlineStr">
        <is>
          <t>SS26</t>
        </is>
      </c>
      <c r="O1995" s="156" t="inlineStr">
        <is>
          <t>Seasonal</t>
        </is>
      </c>
      <c r="P1995" s="156" t="inlineStr">
        <is>
          <t>Azul</t>
        </is>
      </c>
      <c r="Q1995" s="156" t="inlineStr">
        <is>
          <t>Clásico</t>
        </is>
      </c>
      <c r="R1995" s="156" t="n"/>
      <c r="S1995" s="156" t="inlineStr">
        <is>
          <t>100% algodón</t>
        </is>
      </c>
      <c r="T1995"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5" s="156" t="n"/>
      <c r="V1995" s="156" t="inlineStr">
        <is>
          <t>PZS</t>
        </is>
      </c>
      <c r="W1995" s="51" t="inlineStr">
        <is>
          <t>53101602</t>
        </is>
      </c>
      <c r="X1995" s="156" t="inlineStr">
        <is>
          <t>https://cdn.shopify.com/s/files/1/0888/3250/8267/files/1100104252061a_d6d91347-78cb-489c-8031-1b92581c96ac.jpg?v=1750888720</t>
        </is>
      </c>
      <c r="Y1995" s="54" t="n"/>
      <c r="Z1995" s="54" t="n">
        <v>2050</v>
      </c>
      <c r="AA1995" s="55">
        <f>IF(AND(A1995="", B1995="", E1995=""), "", IF(AB1995="", "Válido", IF((LEN(AB1995)-LEN(SUBSTITUTE(AB1995,"; ","")))/2+1&gt;(LEN(AB1995)-LEN(SUBSTITUTE(AB1995,"[Aviso]","")))/7, "Con Incidencias", "Válido")))</f>
        <v/>
      </c>
      <c r="AB1995" s="56">
        <f>IF(AND(A1995="", B1995="", E1995=""), "", TEXTJOIN("; ", TRUE, IF(OR(TRIM(A1995&amp;"")="", ISNUMBER(SEARCH("FALTA", A1995))), "UPC faltante/inválido", ""), IF(AND(A1995&lt;&gt;"", IFERROR(_xlfn.XMATCH(A1995,$A$2:$A$2509,0,1)&lt;&gt;_xlfn.XMATCH(A1995,$A$2:$A$2509,0,-1),FALSE)), "Código de barras duplicado", ""), IF(AND(E1995&lt;&gt;"", COUNTIF($E$2:$E$2509, E1995)&gt;1), "SKU duplicado", ""), IF(OR(J1995="", J1995=""), "[Aviso] División no capturada ()", IF(ISNA(MATCH(J1995, Criterios!$A$123:$A$126, 0)), "División no válida", "")), IF(OR(K1995="", K1995=""), "[Aviso] Categoría no capturada ()", IF(ISNA(MATCH(K1995, Criterios!$A$81:$A$120, 0)), "Categoría no válida", IF(AND(J1995&lt;&gt;"", J1995&lt;&gt;"", J1995&lt;&gt;VLOOKUP(K1995, Criterios!$A$81:$B$120, 2, FALSE)), "División no coincide con Categoría", ""))), IF(OR(L1995="", L1995=""), "[Aviso] Género no capturado ()", IF(ISNA(MATCH(L1995, Criterios!$B$123:$B$127, 0)), "Género no válido", "")), IF(OR(N1995="", N1995=""), "[Aviso] Temporada no capturada ()", IF(ISNA(MATCH(N1995, Criterios!$C$123:$C$128, 0)), "Temporada no válida", "")), IF(OR(O1995="", O1995=""), "[Aviso] Ciclo de vida no capturado ()", IF(ISNA(MATCH(O1995, Criterios!$D$123:$D$124, 0)), "Ciclo de vida no válido", ""))))</f>
        <v/>
      </c>
      <c r="AC1995" s="56" t="n"/>
      <c r="AD1995" s="51" t="n">
        <v>0</v>
      </c>
      <c r="AE1995" s="156" t="inlineStr">
        <is>
          <t>Sin coincidencia en NetSuite</t>
        </is>
      </c>
      <c r="AF1995" s="51" t="n"/>
      <c r="AG1995" s="156" t="inlineStr">
        <is>
          <t>Catálogo existente</t>
        </is>
      </c>
      <c r="AH1995"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BU-L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Enlace de imagen | Homologación G1522 06/10/2026: Validador Shopify: ST: precio con IVA no es múltiplo de 50</t>
        </is>
      </c>
      <c r="AI1995" s="156" t="n"/>
      <c r="AJ1995" s="156" t="n"/>
      <c r="AK1995" s="155" t="inlineStr">
        <is>
          <t>Shopify Stetson: producto 14724645781867 / variante 52142261502315</t>
        </is>
      </c>
      <c r="AL1995" s="58" t="n"/>
      <c r="AM1995" s="58" t="n">
        <v>2050</v>
      </c>
      <c r="AN1995" s="155" t="inlineStr">
        <is>
          <t>Shopify Stetson México</t>
        </is>
      </c>
      <c r="AO1995" s="59" t="n">
        <v>0</v>
      </c>
      <c r="AP1995" s="59" t="n"/>
      <c r="AQ1995" s="59" t="n"/>
      <c r="AR1995" s="155" t="n"/>
    </row>
    <row r="1996">
      <c r="A1996" s="50" t="inlineStr">
        <is>
          <t>196070778762</t>
        </is>
      </c>
      <c r="B1996" s="51" t="n"/>
      <c r="C1996" s="156" t="inlineStr">
        <is>
          <t>Multimarca</t>
        </is>
      </c>
      <c r="D1996" s="156" t="inlineStr">
        <is>
          <t>11-001-0425-2061 BU</t>
        </is>
      </c>
      <c r="E1996" s="156" t="inlineStr">
        <is>
          <t>11-001-0425-2061 BU_MED</t>
        </is>
      </c>
      <c r="F1996" s="156" t="inlineStr">
        <is>
          <t>M</t>
        </is>
      </c>
      <c r="G1996" s="156" t="inlineStr">
        <is>
          <t>M</t>
        </is>
      </c>
      <c r="H1996" s="156" t="inlineStr">
        <is>
          <t>Stetson</t>
        </is>
      </c>
      <c r="I1996" s="156" t="inlineStr">
        <is>
          <t>Camisa Stetson Medallon Azul Marino</t>
        </is>
      </c>
      <c r="J1996" s="156" t="inlineStr">
        <is>
          <t>Ropa</t>
        </is>
      </c>
      <c r="K1996" s="156" t="inlineStr">
        <is>
          <t>Camisas</t>
        </is>
      </c>
      <c r="L1996" s="156" t="inlineStr">
        <is>
          <t>Hombre</t>
        </is>
      </c>
      <c r="M1996" s="156" t="inlineStr">
        <is>
          <t>Stetson</t>
        </is>
      </c>
      <c r="N1996" s="156" t="inlineStr">
        <is>
          <t>SS26</t>
        </is>
      </c>
      <c r="O1996" s="156" t="inlineStr">
        <is>
          <t>Seasonal</t>
        </is>
      </c>
      <c r="P1996" s="156" t="inlineStr">
        <is>
          <t>Azul</t>
        </is>
      </c>
      <c r="Q1996" s="156" t="inlineStr">
        <is>
          <t>Clásico</t>
        </is>
      </c>
      <c r="R1996" s="156" t="n"/>
      <c r="S1996" s="156" t="inlineStr">
        <is>
          <t>100% algodón</t>
        </is>
      </c>
      <c r="T1996"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6" s="156" t="n"/>
      <c r="V1996" s="156" t="inlineStr">
        <is>
          <t>PZS</t>
        </is>
      </c>
      <c r="W1996" s="51" t="inlineStr">
        <is>
          <t>53101602</t>
        </is>
      </c>
      <c r="X1996" s="156" t="inlineStr">
        <is>
          <t>https://cdn.shopify.com/s/files/1/0888/3250/8267/files/1100104252061b_95e7022d-544e-47c2-aab1-2fbf821589d2.jpg?v=1750888727</t>
        </is>
      </c>
      <c r="Y1996" s="54" t="n"/>
      <c r="Z1996" s="54" t="n">
        <v>2050</v>
      </c>
      <c r="AA1996" s="55">
        <f>IF(AND(A1996="", B1996="", E1996=""), "", IF(AB1996="", "Válido", IF((LEN(AB1996)-LEN(SUBSTITUTE(AB1996,"; ","")))/2+1&gt;(LEN(AB1996)-LEN(SUBSTITUTE(AB1996,"[Aviso]","")))/7, "Con Incidencias", "Válido")))</f>
        <v/>
      </c>
      <c r="AB1996" s="56">
        <f>IF(AND(A1996="", B1996="", E1996=""), "", TEXTJOIN("; ", TRUE, IF(OR(TRIM(A1996&amp;"")="", ISNUMBER(SEARCH("FALTA", A1996))), "UPC faltante/inválido", ""), IF(AND(A1996&lt;&gt;"", IFERROR(_xlfn.XMATCH(A1996,$A$2:$A$2509,0,1)&lt;&gt;_xlfn.XMATCH(A1996,$A$2:$A$2509,0,-1),FALSE)), "Código de barras duplicado", ""), IF(AND(E1996&lt;&gt;"", COUNTIF($E$2:$E$2509, E1996)&gt;1), "SKU duplicado", ""), IF(OR(J1996="", J1996=""), "[Aviso] División no capturada ()", IF(ISNA(MATCH(J1996, Criterios!$A$123:$A$126, 0)), "División no válida", "")), IF(OR(K1996="", K1996=""), "[Aviso] Categoría no capturada ()", IF(ISNA(MATCH(K1996, Criterios!$A$81:$A$120, 0)), "Categoría no válida", IF(AND(J1996&lt;&gt;"", J1996&lt;&gt;"", J1996&lt;&gt;VLOOKUP(K1996, Criterios!$A$81:$B$120, 2, FALSE)), "División no coincide con Categoría", ""))), IF(OR(L1996="", L1996=""), "[Aviso] Género no capturado ()", IF(ISNA(MATCH(L1996, Criterios!$B$123:$B$127, 0)), "Género no válido", "")), IF(OR(N1996="", N1996=""), "[Aviso] Temporada no capturada ()", IF(ISNA(MATCH(N1996, Criterios!$C$123:$C$128, 0)), "Temporada no válida", "")), IF(OR(O1996="", O1996=""), "[Aviso] Ciclo de vida no capturado ()", IF(ISNA(MATCH(O1996, Criterios!$D$123:$D$124, 0)), "Ciclo de vida no válido", ""))))</f>
        <v/>
      </c>
      <c r="AC1996" s="56" t="n"/>
      <c r="AD1996" s="51" t="n">
        <v>0</v>
      </c>
      <c r="AE1996" s="156" t="inlineStr">
        <is>
          <t>Sin coincidencia en NetSuite</t>
        </is>
      </c>
      <c r="AF1996" s="51" t="n"/>
      <c r="AG1996" s="156" t="inlineStr">
        <is>
          <t>Catálogo existente</t>
        </is>
      </c>
      <c r="AH1996"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BU-M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 Homologación G1522 06/10/2026: Validador Shopify: ST: precio con IVA no es múltiplo de 50</t>
        </is>
      </c>
      <c r="AI1996" s="156" t="n"/>
      <c r="AJ1996" s="156" t="n"/>
      <c r="AK1996" s="155" t="inlineStr">
        <is>
          <t>Shopify Stetson: producto 14724645781867 / variante 52142261469547</t>
        </is>
      </c>
      <c r="AL1996" s="58" t="n"/>
      <c r="AM1996" s="58" t="n">
        <v>2050</v>
      </c>
      <c r="AN1996" s="155" t="inlineStr">
        <is>
          <t>Shopify Stetson México</t>
        </is>
      </c>
      <c r="AO1996" s="59" t="n">
        <v>0</v>
      </c>
      <c r="AP1996" s="59" t="n"/>
      <c r="AQ1996" s="59" t="n"/>
      <c r="AR1996" s="155" t="n"/>
    </row>
    <row r="1997">
      <c r="A1997" s="50" t="inlineStr">
        <is>
          <t>196070778779</t>
        </is>
      </c>
      <c r="B1997" s="51" t="n"/>
      <c r="C1997" s="156" t="inlineStr">
        <is>
          <t>Multimarca</t>
        </is>
      </c>
      <c r="D1997" s="156" t="inlineStr">
        <is>
          <t>11-001-0425-2061 BU</t>
        </is>
      </c>
      <c r="E1997" s="156" t="inlineStr">
        <is>
          <t>11-001-0425-2061 BU_CH</t>
        </is>
      </c>
      <c r="F1997" s="156" t="inlineStr">
        <is>
          <t>S</t>
        </is>
      </c>
      <c r="G1997" s="156" t="inlineStr">
        <is>
          <t>S</t>
        </is>
      </c>
      <c r="H1997" s="156" t="inlineStr">
        <is>
          <t>Stetson</t>
        </is>
      </c>
      <c r="I1997" s="156" t="inlineStr">
        <is>
          <t>Camisa Stetson Medallon Azul Marino</t>
        </is>
      </c>
      <c r="J1997" s="156" t="inlineStr">
        <is>
          <t>Ropa</t>
        </is>
      </c>
      <c r="K1997" s="156" t="inlineStr">
        <is>
          <t>Camisas</t>
        </is>
      </c>
      <c r="L1997" s="156" t="inlineStr">
        <is>
          <t>Hombre</t>
        </is>
      </c>
      <c r="M1997" s="156" t="inlineStr">
        <is>
          <t>Stetson</t>
        </is>
      </c>
      <c r="N1997" s="156" t="n"/>
      <c r="O1997" s="156" t="n"/>
      <c r="P1997" s="156" t="inlineStr">
        <is>
          <t>Azul</t>
        </is>
      </c>
      <c r="Q1997" s="156" t="inlineStr">
        <is>
          <t>Clásico</t>
        </is>
      </c>
      <c r="R1997" s="156" t="n"/>
      <c r="S1997" s="156" t="n"/>
      <c r="T1997"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7" s="156" t="n"/>
      <c r="V1997" s="156" t="inlineStr">
        <is>
          <t>PZS</t>
        </is>
      </c>
      <c r="W1997" s="51" t="inlineStr">
        <is>
          <t>53101602</t>
        </is>
      </c>
      <c r="X1997" s="156" t="inlineStr">
        <is>
          <t>https://cdn.shopify.com/s/files/1/0888/3250/8267/files/1100104252061a_d6d91347-78cb-489c-8031-1b92581c96ac.jpg?v=1750888720</t>
        </is>
      </c>
      <c r="Y1997" s="54" t="n"/>
      <c r="Z1997" s="54" t="n">
        <v>2050</v>
      </c>
      <c r="AA1997" s="55">
        <f>IF(AND(A1997="", B1997="", E1997=""), "", IF(AB1997="", "Válido", IF((LEN(AB1997)-LEN(SUBSTITUTE(AB1997,"; ","")))/2+1&gt;(LEN(AB1997)-LEN(SUBSTITUTE(AB1997,"[Aviso]","")))/7, "Con Incidencias", "Válido")))</f>
        <v/>
      </c>
      <c r="AB1997" s="56">
        <f>IF(AND(A1997="", B1997="", E1997=""), "", TEXTJOIN("; ", TRUE, IF(OR(TRIM(A1997&amp;"")="", ISNUMBER(SEARCH("FALTA", A1997))), "UPC faltante/inválido", ""), IF(AND(A1997&lt;&gt;"", IFERROR(_xlfn.XMATCH(A1997,$A$2:$A$2509,0,1)&lt;&gt;_xlfn.XMATCH(A1997,$A$2:$A$2509,0,-1),FALSE)), "Código de barras duplicado", ""), IF(AND(E1997&lt;&gt;"", COUNTIF($E$2:$E$2509, E1997)&gt;1), "SKU duplicado", ""), IF(OR(J1997="", J1997=""), "[Aviso] División no capturada ()", IF(ISNA(MATCH(J1997, Criterios!$A$123:$A$126, 0)), "División no válida", "")), IF(OR(K1997="", K1997=""), "[Aviso] Categoría no capturada ()", IF(ISNA(MATCH(K1997, Criterios!$A$81:$A$120, 0)), "Categoría no válida", IF(AND(J1997&lt;&gt;"", J1997&lt;&gt;"", J1997&lt;&gt;VLOOKUP(K1997, Criterios!$A$81:$B$120, 2, FALSE)), "División no coincide con Categoría", ""))), IF(OR(L1997="", L1997=""), "[Aviso] Género no capturado ()", IF(ISNA(MATCH(L1997, Criterios!$B$123:$B$127, 0)), "Género no válido", "")), IF(OR(N1997="", N1997=""), "[Aviso] Temporada no capturada ()", IF(ISNA(MATCH(N1997, Criterios!$C$123:$C$128, 0)), "Temporada no válida", "")), IF(OR(O1997="", O1997=""), "[Aviso] Ciclo de vida no capturado ()", IF(ISNA(MATCH(O1997, Criterios!$D$123:$D$124, 0)), "Ciclo de vida no válido", ""))))</f>
        <v/>
      </c>
      <c r="AC1997" s="56" t="n"/>
      <c r="AD1997" s="51" t="n">
        <v>0</v>
      </c>
      <c r="AE1997" s="156" t="inlineStr">
        <is>
          <t>Sin coincidencia en NetSuite</t>
        </is>
      </c>
      <c r="AF1997" s="51" t="n"/>
      <c r="AG1997" s="156" t="inlineStr">
        <is>
          <t>Catálogo existente</t>
        </is>
      </c>
      <c r="AH199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97" s="156" t="n"/>
      <c r="AJ1997" s="156" t="n"/>
      <c r="AK1997" s="155" t="inlineStr">
        <is>
          <t>Shopify Stetson: producto 14724645781867 / variante 52142261436779</t>
        </is>
      </c>
      <c r="AL1997" s="58" t="n"/>
      <c r="AM1997" s="58" t="n">
        <v>2050</v>
      </c>
      <c r="AN1997" s="155" t="inlineStr">
        <is>
          <t>Shopify Stetson México</t>
        </is>
      </c>
      <c r="AO1997" s="59" t="n">
        <v>0</v>
      </c>
      <c r="AP1997" s="59" t="n"/>
      <c r="AQ1997" s="59" t="n"/>
      <c r="AR1997" s="155" t="n"/>
    </row>
    <row r="1998">
      <c r="A1998" s="50" t="inlineStr">
        <is>
          <t>196070778786</t>
        </is>
      </c>
      <c r="B1998" s="51" t="n"/>
      <c r="C1998" s="156" t="inlineStr">
        <is>
          <t>Multimarca</t>
        </is>
      </c>
      <c r="D1998" s="156" t="inlineStr">
        <is>
          <t>11-001-0425-2061 BU</t>
        </is>
      </c>
      <c r="E1998" s="156" t="inlineStr">
        <is>
          <t>11-001-0425-2061 BU_XL</t>
        </is>
      </c>
      <c r="F1998" s="156" t="inlineStr">
        <is>
          <t>XL</t>
        </is>
      </c>
      <c r="G1998" s="156" t="inlineStr">
        <is>
          <t>XL</t>
        </is>
      </c>
      <c r="H1998" s="156" t="inlineStr">
        <is>
          <t>Stetson</t>
        </is>
      </c>
      <c r="I1998" s="156" t="inlineStr">
        <is>
          <t>Camisa Stetson Medallon Azul Marino</t>
        </is>
      </c>
      <c r="J1998" s="156" t="inlineStr">
        <is>
          <t>Ropa</t>
        </is>
      </c>
      <c r="K1998" s="156" t="inlineStr">
        <is>
          <t>Camisas</t>
        </is>
      </c>
      <c r="L1998" s="156" t="inlineStr">
        <is>
          <t>Hombre</t>
        </is>
      </c>
      <c r="M1998" s="156" t="inlineStr">
        <is>
          <t>Stetson</t>
        </is>
      </c>
      <c r="N1998" s="156" t="n"/>
      <c r="O1998" s="156" t="n"/>
      <c r="P1998" s="156" t="inlineStr">
        <is>
          <t>Azul</t>
        </is>
      </c>
      <c r="Q1998" s="156" t="inlineStr">
        <is>
          <t>Clásico</t>
        </is>
      </c>
      <c r="R1998" s="156" t="n"/>
      <c r="S1998" s="156" t="n"/>
      <c r="T1998"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8" s="156" t="n"/>
      <c r="V1998" s="156" t="inlineStr">
        <is>
          <t>PZS</t>
        </is>
      </c>
      <c r="W1998" s="51" t="inlineStr">
        <is>
          <t>53101602</t>
        </is>
      </c>
      <c r="X1998" s="156" t="inlineStr">
        <is>
          <t>https://cdn.shopify.com/s/files/1/0888/3250/8267/files/1100104252061a_d6d91347-78cb-489c-8031-1b92581c96ac.jpg?v=1750888720</t>
        </is>
      </c>
      <c r="Y1998" s="54" t="n"/>
      <c r="Z1998" s="54" t="n">
        <v>2050</v>
      </c>
      <c r="AA1998" s="55">
        <f>IF(AND(A1998="", B1998="", E1998=""), "", IF(AB1998="", "Válido", IF((LEN(AB1998)-LEN(SUBSTITUTE(AB1998,"; ","")))/2+1&gt;(LEN(AB1998)-LEN(SUBSTITUTE(AB1998,"[Aviso]","")))/7, "Con Incidencias", "Válido")))</f>
        <v/>
      </c>
      <c r="AB1998" s="56">
        <f>IF(AND(A1998="", B1998="", E1998=""), "", TEXTJOIN("; ", TRUE, IF(OR(TRIM(A1998&amp;"")="", ISNUMBER(SEARCH("FALTA", A1998))), "UPC faltante/inválido", ""), IF(AND(A1998&lt;&gt;"", IFERROR(_xlfn.XMATCH(A1998,$A$2:$A$2509,0,1)&lt;&gt;_xlfn.XMATCH(A1998,$A$2:$A$2509,0,-1),FALSE)), "Código de barras duplicado", ""), IF(AND(E1998&lt;&gt;"", COUNTIF($E$2:$E$2509, E1998)&gt;1), "SKU duplicado", ""), IF(OR(J1998="", J1998=""), "[Aviso] División no capturada ()", IF(ISNA(MATCH(J1998, Criterios!$A$123:$A$126, 0)), "División no válida", "")), IF(OR(K1998="", K1998=""), "[Aviso] Categoría no capturada ()", IF(ISNA(MATCH(K1998, Criterios!$A$81:$A$120, 0)), "Categoría no válida", IF(AND(J1998&lt;&gt;"", J1998&lt;&gt;"", J1998&lt;&gt;VLOOKUP(K1998, Criterios!$A$81:$B$120, 2, FALSE)), "División no coincide con Categoría", ""))), IF(OR(L1998="", L1998=""), "[Aviso] Género no capturado ()", IF(ISNA(MATCH(L1998, Criterios!$B$123:$B$127, 0)), "Género no válido", "")), IF(OR(N1998="", N1998=""), "[Aviso] Temporada no capturada ()", IF(ISNA(MATCH(N1998, Criterios!$C$123:$C$128, 0)), "Temporada no válida", "")), IF(OR(O1998="", O1998=""), "[Aviso] Ciclo de vida no capturado ()", IF(ISNA(MATCH(O1998, Criterios!$D$123:$D$124, 0)), "Ciclo de vida no válido", ""))))</f>
        <v/>
      </c>
      <c r="AC1998" s="56" t="n"/>
      <c r="AD1998" s="51" t="n">
        <v>0</v>
      </c>
      <c r="AE1998" s="156" t="inlineStr">
        <is>
          <t>Sin coincidencia en NetSuite</t>
        </is>
      </c>
      <c r="AF1998" s="51" t="n"/>
      <c r="AG1998" s="156" t="inlineStr">
        <is>
          <t>Catálogo existente</t>
        </is>
      </c>
      <c r="AH1998"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98" s="156" t="n"/>
      <c r="AJ1998" s="156" t="n"/>
      <c r="AK1998" s="155" t="inlineStr">
        <is>
          <t>Shopify Stetson: producto 14724645781867 / variante 52142261535083</t>
        </is>
      </c>
      <c r="AL1998" s="58" t="n"/>
      <c r="AM1998" s="58" t="n">
        <v>2050</v>
      </c>
      <c r="AN1998" s="155" t="inlineStr">
        <is>
          <t>Shopify Stetson México</t>
        </is>
      </c>
      <c r="AO1998" s="59" t="n">
        <v>0</v>
      </c>
      <c r="AP1998" s="59" t="n"/>
      <c r="AQ1998" s="59" t="n"/>
      <c r="AR1998" s="155" t="n"/>
    </row>
    <row r="1999">
      <c r="A1999" s="50" t="inlineStr">
        <is>
          <t>196070778793</t>
        </is>
      </c>
      <c r="B1999" s="51" t="n"/>
      <c r="C1999" s="156" t="inlineStr">
        <is>
          <t>Multimarca</t>
        </is>
      </c>
      <c r="D1999" s="156" t="inlineStr">
        <is>
          <t>11-001-0425-2061 BU</t>
        </is>
      </c>
      <c r="E1999" s="156" t="inlineStr">
        <is>
          <t>11-001-0425-2061 BU_XXL</t>
        </is>
      </c>
      <c r="F1999" s="156" t="inlineStr">
        <is>
          <t>XXL</t>
        </is>
      </c>
      <c r="G1999" s="156" t="inlineStr">
        <is>
          <t>XXL</t>
        </is>
      </c>
      <c r="H1999" s="156" t="inlineStr">
        <is>
          <t>Stetson</t>
        </is>
      </c>
      <c r="I1999" s="156" t="inlineStr">
        <is>
          <t>Camisa Stetson Medallon Azul Marino</t>
        </is>
      </c>
      <c r="J1999" s="156" t="inlineStr">
        <is>
          <t>Ropa</t>
        </is>
      </c>
      <c r="K1999" s="156" t="inlineStr">
        <is>
          <t>Camisas</t>
        </is>
      </c>
      <c r="L1999" s="156" t="inlineStr">
        <is>
          <t>Hombre</t>
        </is>
      </c>
      <c r="M1999" s="156" t="inlineStr">
        <is>
          <t>Stetson</t>
        </is>
      </c>
      <c r="N1999" s="156" t="inlineStr">
        <is>
          <t>SS26</t>
        </is>
      </c>
      <c r="O1999" s="156" t="inlineStr">
        <is>
          <t>Seasonal</t>
        </is>
      </c>
      <c r="P1999" s="156" t="inlineStr">
        <is>
          <t>Azul</t>
        </is>
      </c>
      <c r="Q1999" s="156" t="inlineStr">
        <is>
          <t>Clásico</t>
        </is>
      </c>
      <c r="R1999" s="156" t="n"/>
      <c r="S1999" s="156" t="inlineStr">
        <is>
          <t>100% algodón</t>
        </is>
      </c>
      <c r="T1999"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9" s="156" t="n"/>
      <c r="V1999" s="156" t="inlineStr">
        <is>
          <t>PZS</t>
        </is>
      </c>
      <c r="W1999" s="51" t="inlineStr">
        <is>
          <t>53101602</t>
        </is>
      </c>
      <c r="X1999" s="156" t="inlineStr">
        <is>
          <t>https://cdn.shopify.com/s/files/1/0888/3250/8267/files/1100104252061a_d6d91347-78cb-489c-8031-1b92581c96ac.jpg?v=1750888720</t>
        </is>
      </c>
      <c r="Y1999" s="54" t="n"/>
      <c r="Z1999" s="54" t="n">
        <v>2050</v>
      </c>
      <c r="AA1999" s="55">
        <f>IF(AND(A1999="", B1999="", E1999=""), "", IF(AB1999="", "Válido", IF((LEN(AB1999)-LEN(SUBSTITUTE(AB1999,"; ","")))/2+1&gt;(LEN(AB1999)-LEN(SUBSTITUTE(AB1999,"[Aviso]","")))/7, "Con Incidencias", "Válido")))</f>
        <v/>
      </c>
      <c r="AB1999" s="56">
        <f>IF(AND(A1999="", B1999="", E1999=""), "", TEXTJOIN("; ", TRUE, IF(OR(TRIM(A1999&amp;"")="", ISNUMBER(SEARCH("FALTA", A1999))), "UPC faltante/inválido", ""), IF(AND(A1999&lt;&gt;"", IFERROR(_xlfn.XMATCH(A1999,$A$2:$A$2509,0,1)&lt;&gt;_xlfn.XMATCH(A1999,$A$2:$A$2509,0,-1),FALSE)), "Código de barras duplicado", ""), IF(AND(E1999&lt;&gt;"", COUNTIF($E$2:$E$2509, E1999)&gt;1), "SKU duplicado", ""), IF(OR(J1999="", J1999=""), "[Aviso] División no capturada ()", IF(ISNA(MATCH(J1999, Criterios!$A$123:$A$126, 0)), "División no válida", "")), IF(OR(K1999="", K1999=""), "[Aviso] Categoría no capturada ()", IF(ISNA(MATCH(K1999, Criterios!$A$81:$A$120, 0)), "Categoría no válida", IF(AND(J1999&lt;&gt;"", J1999&lt;&gt;"", J1999&lt;&gt;VLOOKUP(K1999, Criterios!$A$81:$B$120, 2, FALSE)), "División no coincide con Categoría", ""))), IF(OR(L1999="", L1999=""), "[Aviso] Género no capturado ()", IF(ISNA(MATCH(L1999, Criterios!$B$123:$B$127, 0)), "Género no válido", "")), IF(OR(N1999="", N1999=""), "[Aviso] Temporada no capturada ()", IF(ISNA(MATCH(N1999, Criterios!$C$123:$C$128, 0)), "Temporada no válida", "")), IF(OR(O1999="", O1999=""), "[Aviso] Ciclo de vida no capturado ()", IF(ISNA(MATCH(O1999, Criterios!$D$123:$D$124, 0)), "Ciclo de vida no válido", ""))))</f>
        <v/>
      </c>
      <c r="AC1999" s="56" t="n"/>
      <c r="AD1999" s="51" t="n">
        <v>0</v>
      </c>
      <c r="AE1999" s="156" t="inlineStr">
        <is>
          <t>Sin coincidencia en NetSuite</t>
        </is>
      </c>
      <c r="AF1999" s="51" t="n"/>
      <c r="AG1999" s="156" t="inlineStr">
        <is>
          <t>Catálogo existente</t>
        </is>
      </c>
      <c r="AH1999"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BU-XXL | WB Talla: XXL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Enlace de imagen | Homologación G1522 06/10/2026: Validador Shopify: ST: precio con IVA no es múltiplo de 50</t>
        </is>
      </c>
      <c r="AI1999" s="156" t="n"/>
      <c r="AJ1999" s="156" t="n"/>
      <c r="AK1999" s="155" t="inlineStr">
        <is>
          <t>Shopify Stetson: producto 14724645781867 / variante 52142261567851</t>
        </is>
      </c>
      <c r="AL1999" s="58" t="n"/>
      <c r="AM1999" s="58" t="n">
        <v>2050</v>
      </c>
      <c r="AN1999" s="155" t="inlineStr">
        <is>
          <t>Shopify Stetson México</t>
        </is>
      </c>
      <c r="AO1999" s="59" t="n">
        <v>0</v>
      </c>
      <c r="AP1999" s="59" t="n"/>
      <c r="AQ1999" s="59" t="n"/>
      <c r="AR1999" s="155" t="n"/>
    </row>
    <row r="2000">
      <c r="A2000" s="50" t="inlineStr">
        <is>
          <t>196070778816</t>
        </is>
      </c>
      <c r="B2000" s="51" t="inlineStr">
        <is>
          <t>112179</t>
        </is>
      </c>
      <c r="C2000" s="156" t="inlineStr">
        <is>
          <t>Multimarca</t>
        </is>
      </c>
      <c r="D2000" s="156" t="inlineStr">
        <is>
          <t>11-001-0425-2062</t>
        </is>
      </c>
      <c r="E2000" s="156" t="inlineStr">
        <is>
          <t>11-001-0425-2062-L</t>
        </is>
      </c>
      <c r="F2000" s="156" t="inlineStr">
        <is>
          <t>L</t>
        </is>
      </c>
      <c r="G2000" s="156" t="inlineStr">
        <is>
          <t>L</t>
        </is>
      </c>
      <c r="H2000" s="156" t="inlineStr">
        <is>
          <t>Stetson</t>
        </is>
      </c>
      <c r="I2000" s="156" t="inlineStr">
        <is>
          <t>Camisa Stetson Manga Larga Diamante</t>
        </is>
      </c>
      <c r="J2000" s="156" t="inlineStr">
        <is>
          <t>Ropa</t>
        </is>
      </c>
      <c r="K2000" s="156" t="inlineStr">
        <is>
          <t>Camisas</t>
        </is>
      </c>
      <c r="L2000" s="156" t="inlineStr">
        <is>
          <t>Hombre</t>
        </is>
      </c>
      <c r="M2000" s="156" t="inlineStr">
        <is>
          <t>Stetson</t>
        </is>
      </c>
      <c r="N2000" s="156" t="inlineStr">
        <is>
          <t>SS26</t>
        </is>
      </c>
      <c r="O2000" s="156" t="inlineStr">
        <is>
          <t>Seasonal</t>
        </is>
      </c>
      <c r="P2000" s="156" t="inlineStr">
        <is>
          <t>Azul</t>
        </is>
      </c>
      <c r="Q2000" s="156" t="inlineStr">
        <is>
          <t>Clásico</t>
        </is>
      </c>
      <c r="R2000" s="156" t="n"/>
      <c r="S2000" s="156" t="inlineStr">
        <is>
          <t>100% Algodón</t>
        </is>
      </c>
      <c r="T2000"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0" s="156" t="n"/>
      <c r="V2000" s="156" t="inlineStr">
        <is>
          <t>PZS</t>
        </is>
      </c>
      <c r="W2000" s="51" t="inlineStr">
        <is>
          <t>53101600</t>
        </is>
      </c>
      <c r="X2000" s="156" t="inlineStr">
        <is>
          <t>https://cdn.shopify.com/s/files/1/0888/3250/8267/files/1100104252062b.jpg?v=1750888391</t>
        </is>
      </c>
      <c r="Y2000" s="54" t="n">
        <v>795.2586207000001</v>
      </c>
      <c r="Z2000" s="54" t="n">
        <v>1767.241379</v>
      </c>
      <c r="AA2000" s="55">
        <f>IF(AND(A2000="", B2000="", E2000=""), "", IF(AB2000="", "Válido", IF((LEN(AB2000)-LEN(SUBSTITUTE(AB2000,"; ","")))/2+1&gt;(LEN(AB2000)-LEN(SUBSTITUTE(AB2000,"[Aviso]","")))/7, "Con Incidencias", "Válido")))</f>
        <v/>
      </c>
      <c r="AB2000" s="56">
        <f>IF(AND(A2000="", B2000="", E2000=""), "", TEXTJOIN("; ", TRUE, IF(OR(TRIM(A2000&amp;"")="", ISNUMBER(SEARCH("FALTA", A2000))), "UPC faltante/inválido", ""), IF(AND(A2000&lt;&gt;"", IFERROR(_xlfn.XMATCH(A2000,$A$2:$A$2509,0,1)&lt;&gt;_xlfn.XMATCH(A2000,$A$2:$A$2509,0,-1),FALSE)), "Código de barras duplicado", ""), IF(AND(E2000&lt;&gt;"", COUNTIF($E$2:$E$2509, E2000)&gt;1), "SKU duplicado", ""), IF(OR(J2000="", J2000=""), "[Aviso] División no capturada ()", IF(ISNA(MATCH(J2000, Criterios!$A$123:$A$126, 0)), "División no válida", "")), IF(OR(K2000="", K2000=""), "[Aviso] Categoría no capturada ()", IF(ISNA(MATCH(K2000, Criterios!$A$81:$A$120, 0)), "Categoría no válida", IF(AND(J2000&lt;&gt;"", J2000&lt;&gt;"", J2000&lt;&gt;VLOOKUP(K2000, Criterios!$A$81:$B$120, 2, FALSE)), "División no coincide con Categoría", ""))), IF(OR(L2000="", L2000=""), "[Aviso] Género no capturado ()", IF(ISNA(MATCH(L2000, Criterios!$B$123:$B$127, 0)), "Género no válido", "")), IF(OR(N2000="", N2000=""), "[Aviso] Temporada no capturada ()", IF(ISNA(MATCH(N2000, Criterios!$C$123:$C$128, 0)), "Temporada no válida", "")), IF(OR(O2000="", O2000=""), "[Aviso] Ciclo de vida no capturado ()", IF(ISNA(MATCH(O2000, Criterios!$D$123:$D$124, 0)), "Ciclo de vida no válido", ""))))</f>
        <v/>
      </c>
      <c r="AC2000" s="56" t="n"/>
      <c r="AD2000" s="51" t="n">
        <v>0</v>
      </c>
      <c r="AE2000" s="156" t="n"/>
      <c r="AF2000" s="51" t="n">
        <v>0</v>
      </c>
      <c r="AG2000" s="156" t="inlineStr">
        <is>
          <t>Catálogo existente</t>
        </is>
      </c>
      <c r="AH200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0" s="156" t="inlineStr">
        <is>
          <t>No</t>
        </is>
      </c>
      <c r="AJ2000" s="156" t="n"/>
      <c r="AK2000" s="155" t="inlineStr">
        <is>
          <t>Descripción y Criterios: G/H [P] | Criterios: J [R]; G1522_Extraccion_Articulos_NetSuite_2026-09-30.xlsx: fila 59425 [S] | Shopify Stetson: producto 14713410650475 / variante 52089272893803</t>
        </is>
      </c>
      <c r="AL2000" s="58" t="n">
        <v>795.2586207000001</v>
      </c>
      <c r="AM2000" s="58" t="n">
        <v>1767.241379</v>
      </c>
      <c r="AN2000" s="155" t="inlineStr">
        <is>
          <t>Shopify Stetson México</t>
        </is>
      </c>
      <c r="AO2000" s="59" t="n">
        <v>0</v>
      </c>
      <c r="AP2000" s="59" t="n"/>
      <c r="AQ2000" s="59" t="n"/>
      <c r="AR2000" s="155" t="n"/>
    </row>
    <row r="2001">
      <c r="A2001" s="50" t="inlineStr">
        <is>
          <t>196070778823</t>
        </is>
      </c>
      <c r="B2001" s="51" t="inlineStr">
        <is>
          <t>109489</t>
        </is>
      </c>
      <c r="C2001" s="156" t="inlineStr">
        <is>
          <t>Multimarca</t>
        </is>
      </c>
      <c r="D2001" s="156" t="inlineStr">
        <is>
          <t>11-001-0425-2062</t>
        </is>
      </c>
      <c r="E2001" s="156" t="inlineStr">
        <is>
          <t>11-001-0425-2062-M</t>
        </is>
      </c>
      <c r="F2001" s="156" t="inlineStr">
        <is>
          <t>M</t>
        </is>
      </c>
      <c r="G2001" s="156" t="inlineStr">
        <is>
          <t>M</t>
        </is>
      </c>
      <c r="H2001" s="156" t="inlineStr">
        <is>
          <t>Stetson</t>
        </is>
      </c>
      <c r="I2001" s="156" t="inlineStr">
        <is>
          <t>Camisa Stetson Manga Larga Diamante</t>
        </is>
      </c>
      <c r="J2001" s="156" t="inlineStr">
        <is>
          <t>Ropa</t>
        </is>
      </c>
      <c r="K2001" s="156" t="inlineStr">
        <is>
          <t>Camisas</t>
        </is>
      </c>
      <c r="L2001" s="156" t="inlineStr">
        <is>
          <t>Hombre</t>
        </is>
      </c>
      <c r="M2001" s="156" t="inlineStr">
        <is>
          <t>Stetson</t>
        </is>
      </c>
      <c r="N2001" s="156" t="inlineStr">
        <is>
          <t>SS26</t>
        </is>
      </c>
      <c r="O2001" s="156" t="inlineStr">
        <is>
          <t>Seasonal</t>
        </is>
      </c>
      <c r="P2001" s="156" t="inlineStr">
        <is>
          <t>Azul</t>
        </is>
      </c>
      <c r="Q2001" s="156" t="inlineStr">
        <is>
          <t>Clásico</t>
        </is>
      </c>
      <c r="R2001" s="156" t="n"/>
      <c r="S2001" s="156" t="inlineStr">
        <is>
          <t>100% Algodón</t>
        </is>
      </c>
      <c r="T2001"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1" s="156" t="n"/>
      <c r="V2001" s="156" t="inlineStr">
        <is>
          <t>PZS</t>
        </is>
      </c>
      <c r="W2001" s="51" t="inlineStr">
        <is>
          <t>53101600</t>
        </is>
      </c>
      <c r="X2001" s="156" t="inlineStr">
        <is>
          <t>https://cdn.shopify.com/s/files/1/0888/3250/8267/files/1100104252062c.jpg?v=1750888385</t>
        </is>
      </c>
      <c r="Y2001" s="54" t="n">
        <v>795.2586207000001</v>
      </c>
      <c r="Z2001" s="54" t="n">
        <v>1767.241379</v>
      </c>
      <c r="AA2001" s="55">
        <f>IF(AND(A2001="", B2001="", E2001=""), "", IF(AB2001="", "Válido", IF((LEN(AB2001)-LEN(SUBSTITUTE(AB2001,"; ","")))/2+1&gt;(LEN(AB2001)-LEN(SUBSTITUTE(AB2001,"[Aviso]","")))/7, "Con Incidencias", "Válido")))</f>
        <v/>
      </c>
      <c r="AB2001" s="56">
        <f>IF(AND(A2001="", B2001="", E2001=""), "", TEXTJOIN("; ", TRUE, IF(OR(TRIM(A2001&amp;"")="", ISNUMBER(SEARCH("FALTA", A2001))), "UPC faltante/inválido", ""), IF(AND(A2001&lt;&gt;"", IFERROR(_xlfn.XMATCH(A2001,$A$2:$A$2509,0,1)&lt;&gt;_xlfn.XMATCH(A2001,$A$2:$A$2509,0,-1),FALSE)), "Código de barras duplicado", ""), IF(AND(E2001&lt;&gt;"", COUNTIF($E$2:$E$2509, E2001)&gt;1), "SKU duplicado", ""), IF(OR(J2001="", J2001=""), "[Aviso] División no capturada ()", IF(ISNA(MATCH(J2001, Criterios!$A$123:$A$126, 0)), "División no válida", "")), IF(OR(K2001="", K2001=""), "[Aviso] Categoría no capturada ()", IF(ISNA(MATCH(K2001, Criterios!$A$81:$A$120, 0)), "Categoría no válida", IF(AND(J2001&lt;&gt;"", J2001&lt;&gt;"", J2001&lt;&gt;VLOOKUP(K2001, Criterios!$A$81:$B$120, 2, FALSE)), "División no coincide con Categoría", ""))), IF(OR(L2001="", L2001=""), "[Aviso] Género no capturado ()", IF(ISNA(MATCH(L2001, Criterios!$B$123:$B$127, 0)), "Género no válido", "")), IF(OR(N2001="", N2001=""), "[Aviso] Temporada no capturada ()", IF(ISNA(MATCH(N2001, Criterios!$C$123:$C$128, 0)), "Temporada no válida", "")), IF(OR(O2001="", O2001=""), "[Aviso] Ciclo de vida no capturado ()", IF(ISNA(MATCH(O2001, Criterios!$D$123:$D$124, 0)), "Ciclo de vida no válido", ""))))</f>
        <v/>
      </c>
      <c r="AC2001" s="56" t="n"/>
      <c r="AD2001" s="51" t="n">
        <v>0</v>
      </c>
      <c r="AE2001" s="156" t="n"/>
      <c r="AF2001" s="51" t="n">
        <v>0</v>
      </c>
      <c r="AG2001" s="156" t="inlineStr">
        <is>
          <t>Catálogo existente</t>
        </is>
      </c>
      <c r="AH200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001" s="156" t="inlineStr">
        <is>
          <t>No</t>
        </is>
      </c>
      <c r="AJ2001" s="156" t="n"/>
      <c r="AK2001" s="155" t="inlineStr">
        <is>
          <t>Criterios: J [R]; G1522_Extraccion_Articulos_NetSuite_2026-09-30.xlsx: fila 57304 [S] | Shopify Stetson: producto 14713410650475 / variante 52089276039531</t>
        </is>
      </c>
      <c r="AL2001" s="58" t="n">
        <v>795.2586207000001</v>
      </c>
      <c r="AM2001" s="58" t="n">
        <v>1767.241379</v>
      </c>
      <c r="AN2001" s="155" t="inlineStr">
        <is>
          <t>Shopify Stetson México</t>
        </is>
      </c>
      <c r="AO2001" s="59" t="n">
        <v>0</v>
      </c>
      <c r="AP2001" s="59" t="n"/>
      <c r="AQ2001" s="59" t="n"/>
      <c r="AR2001" s="155" t="n"/>
    </row>
    <row r="2002">
      <c r="A2002" s="50" t="inlineStr">
        <is>
          <t>196070778830</t>
        </is>
      </c>
      <c r="B2002" s="51" t="n"/>
      <c r="C2002" s="156" t="inlineStr">
        <is>
          <t>Multimarca</t>
        </is>
      </c>
      <c r="D2002" s="156" t="inlineStr">
        <is>
          <t>11-001-0425-2062</t>
        </is>
      </c>
      <c r="E2002" s="156" t="inlineStr">
        <is>
          <t>11-001-0425-2062-S</t>
        </is>
      </c>
      <c r="F2002" s="156" t="inlineStr">
        <is>
          <t>S</t>
        </is>
      </c>
      <c r="G2002" s="156" t="inlineStr">
        <is>
          <t>S</t>
        </is>
      </c>
      <c r="H2002" s="156" t="inlineStr">
        <is>
          <t>Stetson</t>
        </is>
      </c>
      <c r="I2002" s="156" t="inlineStr">
        <is>
          <t>Camisa Stetson Diamante</t>
        </is>
      </c>
      <c r="J2002" s="156" t="inlineStr">
        <is>
          <t>Ropa</t>
        </is>
      </c>
      <c r="K2002" s="156" t="inlineStr">
        <is>
          <t>Camisas</t>
        </is>
      </c>
      <c r="L2002" s="156" t="inlineStr">
        <is>
          <t>Hombre</t>
        </is>
      </c>
      <c r="M2002" s="156" t="inlineStr">
        <is>
          <t>Stetson</t>
        </is>
      </c>
      <c r="N2002" s="156" t="inlineStr">
        <is>
          <t>SS26</t>
        </is>
      </c>
      <c r="O2002" s="156" t="inlineStr">
        <is>
          <t>Seasonal</t>
        </is>
      </c>
      <c r="P2002" s="156" t="inlineStr">
        <is>
          <t>Azul</t>
        </is>
      </c>
      <c r="Q2002" s="156" t="inlineStr">
        <is>
          <t>Clásico</t>
        </is>
      </c>
      <c r="R2002" s="156" t="n"/>
      <c r="S2002" s="156" t="inlineStr">
        <is>
          <t>100% Algodón</t>
        </is>
      </c>
      <c r="T2002"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2" s="156" t="n"/>
      <c r="V2002" s="156" t="inlineStr">
        <is>
          <t>PZS</t>
        </is>
      </c>
      <c r="W2002" s="51" t="inlineStr">
        <is>
          <t>53101600</t>
        </is>
      </c>
      <c r="X2002" s="156" t="inlineStr">
        <is>
          <t>https://cdn.shopify.com/s/files/1/0888/3250/8267/files/1100104252062a.jpg?v=1750888377</t>
        </is>
      </c>
      <c r="Y2002" s="54" t="n">
        <v>795.2586207000001</v>
      </c>
      <c r="Z2002" s="54" t="n">
        <v>2050</v>
      </c>
      <c r="AA2002" s="55">
        <f>IF(AND(A2002="", B2002="", E2002=""), "", IF(AB2002="", "Válido", IF((LEN(AB2002)-LEN(SUBSTITUTE(AB2002,"; ","")))/2+1&gt;(LEN(AB2002)-LEN(SUBSTITUTE(AB2002,"[Aviso]","")))/7, "Con Incidencias", "Válido")))</f>
        <v/>
      </c>
      <c r="AB2002" s="56">
        <f>IF(AND(A2002="", B2002="", E2002=""), "", TEXTJOIN("; ", TRUE, IF(OR(TRIM(A2002&amp;"")="", ISNUMBER(SEARCH("FALTA", A2002))), "UPC faltante/inválido", ""), IF(AND(A2002&lt;&gt;"", IFERROR(_xlfn.XMATCH(A2002,$A$2:$A$2509,0,1)&lt;&gt;_xlfn.XMATCH(A2002,$A$2:$A$2509,0,-1),FALSE)), "Código de barras duplicado", ""), IF(AND(E2002&lt;&gt;"", COUNTIF($E$2:$E$2509, E2002)&gt;1), "SKU duplicado", ""), IF(OR(J2002="", J2002=""), "[Aviso] División no capturada ()", IF(ISNA(MATCH(J2002, Criterios!$A$123:$A$126, 0)), "División no válida", "")), IF(OR(K2002="", K2002=""), "[Aviso] Categoría no capturada ()", IF(ISNA(MATCH(K2002, Criterios!$A$81:$A$120, 0)), "Categoría no válida", IF(AND(J2002&lt;&gt;"", J2002&lt;&gt;"", J2002&lt;&gt;VLOOKUP(K2002, Criterios!$A$81:$B$120, 2, FALSE)), "División no coincide con Categoría", ""))), IF(OR(L2002="", L2002=""), "[Aviso] Género no capturado ()", IF(ISNA(MATCH(L2002, Criterios!$B$123:$B$127, 0)), "Género no válido", "")), IF(OR(N2002="", N2002=""), "[Aviso] Temporada no capturada ()", IF(ISNA(MATCH(N2002, Criterios!$C$123:$C$128, 0)), "Temporada no válida", "")), IF(OR(O2002="", O2002=""), "[Aviso] Ciclo de vida no capturado ()", IF(ISNA(MATCH(O2002, Criterios!$D$123:$D$124, 0)), "Ciclo de vida no válido", ""))))</f>
        <v/>
      </c>
      <c r="AC2002" s="56" t="n"/>
      <c r="AD2002" s="51" t="n">
        <v>0</v>
      </c>
      <c r="AE2002" s="156" t="inlineStr">
        <is>
          <t>Sin coincidencia en NetSuite</t>
        </is>
      </c>
      <c r="AF2002" s="51" t="n"/>
      <c r="AG2002" s="156" t="inlineStr">
        <is>
          <t>Catálogo existente</t>
        </is>
      </c>
      <c r="AH2002" s="156" t="inlineStr">
        <is>
          <t>No se encontró en Hoja a Revisar por ID interno ni por código de barras | Consolidado 30/09/2026 con 1 registro(s) duplicado(s) (ver hoja «Consolidación Duplicados»). Completado desde duplicado: WB Color, WB Silueta. Valores alternos del duplicado (dos): Marca principal: Stetson | WB SKU: 11-001-0425-2062 BU-S | WB Descripcion: Camisa Stetson de manga larga Diamante | WB Composición: 100% algodón | WB Descripción larga: Camisa Stetson de manga larga Diamante; manga larga; frente con broche | Unidad: Pieza | SAT Clave de producto: 53101602 | Enlace de imagen: https://cdn.shopify.com/s/files/1/2473/4824/files/download_7_f499c562-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2" s="156" t="n"/>
      <c r="AJ2002" s="156" t="n"/>
      <c r="AK2002" s="155" t="inlineStr">
        <is>
          <t>Shopify Stetson: producto 14713410650475 / variante 52142249935211</t>
        </is>
      </c>
      <c r="AL2002" s="58" t="n">
        <v>795.2586207000001</v>
      </c>
      <c r="AM2002" s="58" t="n">
        <v>2050</v>
      </c>
      <c r="AN2002" s="155" t="inlineStr">
        <is>
          <t>Shopify Stetson México</t>
        </is>
      </c>
      <c r="AO2002" s="59" t="n">
        <v>0</v>
      </c>
      <c r="AP2002" s="59" t="n"/>
      <c r="AQ2002" s="59" t="n"/>
      <c r="AR2002" s="155" t="n"/>
    </row>
    <row r="2003">
      <c r="A2003" s="50" t="inlineStr">
        <is>
          <t>196070778847</t>
        </is>
      </c>
      <c r="B2003" s="51" t="n"/>
      <c r="C2003" s="156" t="inlineStr">
        <is>
          <t>Multimarca</t>
        </is>
      </c>
      <c r="D2003" s="156" t="inlineStr">
        <is>
          <t>11-001-0425-2062</t>
        </is>
      </c>
      <c r="E2003" s="156" t="inlineStr">
        <is>
          <t>11-001-0425-2062-XL</t>
        </is>
      </c>
      <c r="F2003" s="156" t="inlineStr">
        <is>
          <t>XL</t>
        </is>
      </c>
      <c r="G2003" s="156" t="inlineStr">
        <is>
          <t>XL</t>
        </is>
      </c>
      <c r="H2003" s="156" t="inlineStr">
        <is>
          <t>Stetson</t>
        </is>
      </c>
      <c r="I2003" s="156" t="inlineStr">
        <is>
          <t>Camisa Stetson Diamante</t>
        </is>
      </c>
      <c r="J2003" s="156" t="inlineStr">
        <is>
          <t>Ropa</t>
        </is>
      </c>
      <c r="K2003" s="156" t="inlineStr">
        <is>
          <t>Camisas</t>
        </is>
      </c>
      <c r="L2003" s="156" t="inlineStr">
        <is>
          <t>Hombre</t>
        </is>
      </c>
      <c r="M2003" s="156" t="inlineStr">
        <is>
          <t>Stetson</t>
        </is>
      </c>
      <c r="N2003" s="156" t="inlineStr">
        <is>
          <t>SS26</t>
        </is>
      </c>
      <c r="O2003" s="156" t="inlineStr">
        <is>
          <t>Seasonal</t>
        </is>
      </c>
      <c r="P2003" s="156" t="inlineStr">
        <is>
          <t>Azul</t>
        </is>
      </c>
      <c r="Q2003" s="156" t="inlineStr">
        <is>
          <t>Clásico</t>
        </is>
      </c>
      <c r="R2003" s="156" t="n"/>
      <c r="S2003" s="156" t="inlineStr">
        <is>
          <t>100% Algodón</t>
        </is>
      </c>
      <c r="T2003"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3" s="156" t="n"/>
      <c r="V2003" s="156" t="inlineStr">
        <is>
          <t>PZS</t>
        </is>
      </c>
      <c r="W2003" s="51" t="inlineStr">
        <is>
          <t>53101600</t>
        </is>
      </c>
      <c r="X2003" s="156" t="inlineStr">
        <is>
          <t>https://cdn.shopify.com/s/files/1/2473/4824/files/download_7_f499c562-2008-43a7-97cf-f20eb64f76f9.jpg?v=1741639912</t>
        </is>
      </c>
      <c r="Y2003" s="54" t="n">
        <v>795.2586207000001</v>
      </c>
      <c r="Z2003" s="54" t="n">
        <v>2050</v>
      </c>
      <c r="AA2003" s="55">
        <f>IF(AND(A2003="", B2003="", E2003=""), "", IF(AB2003="", "Válido", IF((LEN(AB2003)-LEN(SUBSTITUTE(AB2003,"; ","")))/2+1&gt;(LEN(AB2003)-LEN(SUBSTITUTE(AB2003,"[Aviso]","")))/7, "Con Incidencias", "Válido")))</f>
        <v/>
      </c>
      <c r="AB2003" s="56">
        <f>IF(AND(A2003="", B2003="", E2003=""), "", TEXTJOIN("; ", TRUE, IF(OR(TRIM(A2003&amp;"")="", ISNUMBER(SEARCH("FALTA", A2003))), "UPC faltante/inválido", ""), IF(AND(A2003&lt;&gt;"", IFERROR(_xlfn.XMATCH(A2003,$A$2:$A$2509,0,1)&lt;&gt;_xlfn.XMATCH(A2003,$A$2:$A$2509,0,-1),FALSE)), "Código de barras duplicado", ""), IF(AND(E2003&lt;&gt;"", COUNTIF($E$2:$E$2509, E2003)&gt;1), "SKU duplicado", ""), IF(OR(J2003="", J2003=""), "[Aviso] División no capturada ()", IF(ISNA(MATCH(J2003, Criterios!$A$123:$A$126, 0)), "División no válida", "")), IF(OR(K2003="", K2003=""), "[Aviso] Categoría no capturada ()", IF(ISNA(MATCH(K2003, Criterios!$A$81:$A$120, 0)), "Categoría no válida", IF(AND(J2003&lt;&gt;"", J2003&lt;&gt;"", J2003&lt;&gt;VLOOKUP(K2003, Criterios!$A$81:$B$120, 2, FALSE)), "División no coincide con Categoría", ""))), IF(OR(L2003="", L2003=""), "[Aviso] Género no capturado ()", IF(ISNA(MATCH(L2003, Criterios!$B$123:$B$127, 0)), "Género no válido", "")), IF(OR(N2003="", N2003=""), "[Aviso] Temporada no capturada ()", IF(ISNA(MATCH(N2003, Criterios!$C$123:$C$128, 0)), "Temporada no válida", "")), IF(OR(O2003="", O2003=""), "[Aviso] Ciclo de vida no capturado ()", IF(ISNA(MATCH(O2003, Criterios!$D$123:$D$124, 0)), "Ciclo de vida no válido", ""))))</f>
        <v/>
      </c>
      <c r="AC2003" s="56" t="n"/>
      <c r="AD2003" s="51" t="n">
        <v>0</v>
      </c>
      <c r="AE2003" s="156" t="inlineStr">
        <is>
          <t>Sin coincidencia en NetSuite</t>
        </is>
      </c>
      <c r="AF2003" s="51" t="n"/>
      <c r="AG2003" s="156" t="inlineStr">
        <is>
          <t>Catálogo existente</t>
        </is>
      </c>
      <c r="AH2003" s="156" t="inlineStr">
        <is>
          <t>No se encontró en Hoja a Revisar por ID interno ni por código de barras | Consolidado 30/09/2026 con 1 registro(s) duplicado(s) (ver hoja «Consolidación Duplicados»). Completado desde duplicado: WB Color, WB Silueta, Enlace de imagen. Valores alternos del duplicado (dos): Marca principal: Stetson | WB SKU: 11-001-0425-2062 BU-XL | WB Descripcion: Camisa Stetson de manga larga Diamante | WB Composición: 100% algodón | WB Descripción larga: Camisa Stetson de manga larga Diamante; manga larga; frente con broche | Unidad: Pieza | SAT Clave de producto: 53101602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3" s="156" t="n"/>
      <c r="AJ2003" s="156" t="n"/>
      <c r="AK2003" s="155" t="inlineStr">
        <is>
          <t>Shopify Stetson: producto 14713410650475 / variante 52089276072299</t>
        </is>
      </c>
      <c r="AL2003" s="58" t="n">
        <v>795.2586207000001</v>
      </c>
      <c r="AM2003" s="58" t="n">
        <v>2050</v>
      </c>
      <c r="AN2003" s="155" t="inlineStr">
        <is>
          <t>Shopify Stetson México</t>
        </is>
      </c>
      <c r="AO2003" s="59" t="n">
        <v>0</v>
      </c>
      <c r="AP2003" s="59" t="n"/>
      <c r="AQ2003" s="59" t="n"/>
      <c r="AR2003" s="155" t="n"/>
    </row>
    <row r="2004">
      <c r="A2004" s="50" t="inlineStr">
        <is>
          <t>196070778854</t>
        </is>
      </c>
      <c r="B2004" s="51" t="n"/>
      <c r="C2004" s="156" t="inlineStr">
        <is>
          <t>Multimarca</t>
        </is>
      </c>
      <c r="D2004" s="156" t="inlineStr">
        <is>
          <t>11-001-0425-2062</t>
        </is>
      </c>
      <c r="E2004" s="156" t="inlineStr">
        <is>
          <t>11-001-0425-2062-XXL</t>
        </is>
      </c>
      <c r="F2004" s="156" t="inlineStr">
        <is>
          <t>XXL</t>
        </is>
      </c>
      <c r="G2004" s="156" t="inlineStr">
        <is>
          <t>XXL</t>
        </is>
      </c>
      <c r="H2004" s="156" t="inlineStr">
        <is>
          <t>Stetson</t>
        </is>
      </c>
      <c r="I2004" s="156" t="inlineStr">
        <is>
          <t>Camisa Stetson Diamante</t>
        </is>
      </c>
      <c r="J2004" s="156" t="inlineStr">
        <is>
          <t>Ropa</t>
        </is>
      </c>
      <c r="K2004" s="156" t="inlineStr">
        <is>
          <t>Camisas</t>
        </is>
      </c>
      <c r="L2004" s="156" t="inlineStr">
        <is>
          <t>Hombre</t>
        </is>
      </c>
      <c r="M2004" s="156" t="inlineStr">
        <is>
          <t>Stetson</t>
        </is>
      </c>
      <c r="N2004" s="156" t="inlineStr">
        <is>
          <t>SS26</t>
        </is>
      </c>
      <c r="O2004" s="156" t="inlineStr">
        <is>
          <t>Seasonal</t>
        </is>
      </c>
      <c r="P2004" s="156" t="inlineStr">
        <is>
          <t>Azul</t>
        </is>
      </c>
      <c r="Q2004" s="156" t="inlineStr">
        <is>
          <t>Clásico</t>
        </is>
      </c>
      <c r="R2004" s="156" t="n"/>
      <c r="S2004" s="156" t="inlineStr">
        <is>
          <t>100% Algodón</t>
        </is>
      </c>
      <c r="T2004"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4" s="156" t="n"/>
      <c r="V2004" s="156" t="inlineStr">
        <is>
          <t>PZS</t>
        </is>
      </c>
      <c r="W2004" s="51" t="inlineStr">
        <is>
          <t>53101600</t>
        </is>
      </c>
      <c r="X2004" s="156" t="inlineStr">
        <is>
          <t>https://cdn.shopify.com/s/files/1/2473/4824/files/download_7_f499c562-2008-43a7-97cf-f20eb64f76f9.jpg?v=1741639912</t>
        </is>
      </c>
      <c r="Y2004" s="54" t="n">
        <v>795.2586207000001</v>
      </c>
      <c r="Z2004" s="54" t="n">
        <v>2050</v>
      </c>
      <c r="AA2004" s="55">
        <f>IF(AND(A2004="", B2004="", E2004=""), "", IF(AB2004="", "Válido", IF((LEN(AB2004)-LEN(SUBSTITUTE(AB2004,"; ","")))/2+1&gt;(LEN(AB2004)-LEN(SUBSTITUTE(AB2004,"[Aviso]","")))/7, "Con Incidencias", "Válido")))</f>
        <v/>
      </c>
      <c r="AB2004" s="56">
        <f>IF(AND(A2004="", B2004="", E2004=""), "", TEXTJOIN("; ", TRUE, IF(OR(TRIM(A2004&amp;"")="", ISNUMBER(SEARCH("FALTA", A2004))), "UPC faltante/inválido", ""), IF(AND(A2004&lt;&gt;"", IFERROR(_xlfn.XMATCH(A2004,$A$2:$A$2509,0,1)&lt;&gt;_xlfn.XMATCH(A2004,$A$2:$A$2509,0,-1),FALSE)), "Código de barras duplicado", ""), IF(AND(E2004&lt;&gt;"", COUNTIF($E$2:$E$2509, E2004)&gt;1), "SKU duplicado", ""), IF(OR(J2004="", J2004=""), "[Aviso] División no capturada ()", IF(ISNA(MATCH(J2004, Criterios!$A$123:$A$126, 0)), "División no válida", "")), IF(OR(K2004="", K2004=""), "[Aviso] Categoría no capturada ()", IF(ISNA(MATCH(K2004, Criterios!$A$81:$A$120, 0)), "Categoría no válida", IF(AND(J2004&lt;&gt;"", J2004&lt;&gt;"", J2004&lt;&gt;VLOOKUP(K2004, Criterios!$A$81:$B$120, 2, FALSE)), "División no coincide con Categoría", ""))), IF(OR(L2004="", L2004=""), "[Aviso] Género no capturado ()", IF(ISNA(MATCH(L2004, Criterios!$B$123:$B$127, 0)), "Género no válido", "")), IF(OR(N2004="", N2004=""), "[Aviso] Temporada no capturada ()", IF(ISNA(MATCH(N2004, Criterios!$C$123:$C$128, 0)), "Temporada no válida", "")), IF(OR(O2004="", O2004=""), "[Aviso] Ciclo de vida no capturado ()", IF(ISNA(MATCH(O2004, Criterios!$D$123:$D$124, 0)), "Ciclo de vida no válido", ""))))</f>
        <v/>
      </c>
      <c r="AC2004" s="56" t="n"/>
      <c r="AD2004" s="51" t="n">
        <v>0</v>
      </c>
      <c r="AE2004" s="156" t="inlineStr">
        <is>
          <t>Sin coincidencia en NetSuite</t>
        </is>
      </c>
      <c r="AF2004" s="51" t="n"/>
      <c r="AG2004" s="156" t="inlineStr">
        <is>
          <t>Catálogo existente</t>
        </is>
      </c>
      <c r="AH2004" s="156" t="inlineStr">
        <is>
          <t>No se encontró en Hoja a Revisar por ID interno ni por código de barras | Consolidado 30/09/2026 con 1 registro(s) duplicado(s) (ver hoja «Consolidación Duplicados»). Completado desde duplicado: WB Color, WB Silueta, Enlace de imagen. Valores alternos del duplicado (dos): Marca principal: Stetson | WB SKU: 11-001-0425-2062 BU-XXL | WB Talla: XXL | WB Descripcion: Camisa Stetson de manga larga Diamante | WB Composición: 100% algodón | WB Descripción larga: Camisa Stetson de manga larga Diamante; manga larga; frente con broche | Unidad: Pieza | SAT Clave de producto: 53101602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4" s="156" t="n"/>
      <c r="AJ2004" s="156" t="n"/>
      <c r="AK2004" s="155" t="inlineStr">
        <is>
          <t>Shopify Stetson: producto 14713410650475 / variante 52142249967979</t>
        </is>
      </c>
      <c r="AL2004" s="58" t="n">
        <v>795.2586207000001</v>
      </c>
      <c r="AM2004" s="58" t="n">
        <v>2050</v>
      </c>
      <c r="AN2004" s="155" t="inlineStr">
        <is>
          <t>Shopify Stetson México</t>
        </is>
      </c>
      <c r="AO2004" s="59" t="n">
        <v>0</v>
      </c>
      <c r="AP2004" s="59" t="n"/>
      <c r="AQ2004" s="59" t="n"/>
      <c r="AR2004" s="155" t="n"/>
    </row>
    <row r="2005">
      <c r="A2005" s="50" t="inlineStr">
        <is>
          <t>196070778991</t>
        </is>
      </c>
      <c r="B2005" s="51" t="inlineStr">
        <is>
          <t>109495</t>
        </is>
      </c>
      <c r="C2005" s="156" t="inlineStr">
        <is>
          <t>Multimarca</t>
        </is>
      </c>
      <c r="D2005" s="156" t="inlineStr">
        <is>
          <t>11-001-0425-2065</t>
        </is>
      </c>
      <c r="E2005" s="156" t="inlineStr">
        <is>
          <t>11-001-0425-2065-L</t>
        </is>
      </c>
      <c r="F2005" s="156" t="inlineStr">
        <is>
          <t>L</t>
        </is>
      </c>
      <c r="G2005" s="156" t="inlineStr">
        <is>
          <t>L</t>
        </is>
      </c>
      <c r="H2005" s="156" t="inlineStr">
        <is>
          <t>Stetson</t>
        </is>
      </c>
      <c r="I2005" s="156" t="inlineStr">
        <is>
          <t>Camisa Stetson Paisley Humo</t>
        </is>
      </c>
      <c r="J2005" s="156" t="inlineStr">
        <is>
          <t>Ropa</t>
        </is>
      </c>
      <c r="K2005" s="156" t="inlineStr">
        <is>
          <t>Camisas</t>
        </is>
      </c>
      <c r="L2005" s="156" t="inlineStr">
        <is>
          <t>Hombre</t>
        </is>
      </c>
      <c r="M2005" s="156" t="inlineStr">
        <is>
          <t>Stetson</t>
        </is>
      </c>
      <c r="N2005" s="156" t="inlineStr">
        <is>
          <t>SS26</t>
        </is>
      </c>
      <c r="O2005" s="156" t="inlineStr">
        <is>
          <t>Seasonal</t>
        </is>
      </c>
      <c r="P2005" s="156" t="inlineStr">
        <is>
          <t>Rojo</t>
        </is>
      </c>
      <c r="Q2005" s="156" t="inlineStr">
        <is>
          <t>Clásico</t>
        </is>
      </c>
      <c r="R2005" s="156" t="n"/>
      <c r="S2005" s="156" t="inlineStr">
        <is>
          <t>100% Algodón</t>
        </is>
      </c>
      <c r="T2005"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5" s="156" t="n"/>
      <c r="V2005" s="156" t="inlineStr">
        <is>
          <t>PZS</t>
        </is>
      </c>
      <c r="W2005" s="51" t="inlineStr">
        <is>
          <t>53101600</t>
        </is>
      </c>
      <c r="X2005" s="156" t="inlineStr">
        <is>
          <t>https://cdn.shopify.com/s/files/1/0888/3250/8267/files/1100104252065b.jpg?v=1750891368</t>
        </is>
      </c>
      <c r="Y2005" s="54" t="n">
        <v>795.2586207000001</v>
      </c>
      <c r="Z2005" s="54" t="n">
        <v>1767.241379</v>
      </c>
      <c r="AA2005" s="55">
        <f>IF(AND(A2005="", B2005="", E2005=""), "", IF(AB2005="", "Válido", IF((LEN(AB2005)-LEN(SUBSTITUTE(AB2005,"; ","")))/2+1&gt;(LEN(AB2005)-LEN(SUBSTITUTE(AB2005,"[Aviso]","")))/7, "Con Incidencias", "Válido")))</f>
        <v/>
      </c>
      <c r="AB2005" s="56">
        <f>IF(AND(A2005="", B2005="", E2005=""), "", TEXTJOIN("; ", TRUE, IF(OR(TRIM(A2005&amp;"")="", ISNUMBER(SEARCH("FALTA", A2005))), "UPC faltante/inválido", ""), IF(AND(A2005&lt;&gt;"", IFERROR(_xlfn.XMATCH(A2005,$A$2:$A$2509,0,1)&lt;&gt;_xlfn.XMATCH(A2005,$A$2:$A$2509,0,-1),FALSE)), "Código de barras duplicado", ""), IF(AND(E2005&lt;&gt;"", COUNTIF($E$2:$E$2509, E2005)&gt;1), "SKU duplicado", ""), IF(OR(J2005="", J2005=""), "[Aviso] División no capturada ()", IF(ISNA(MATCH(J2005, Criterios!$A$123:$A$126, 0)), "División no válida", "")), IF(OR(K2005="", K2005=""), "[Aviso] Categoría no capturada ()", IF(ISNA(MATCH(K2005, Criterios!$A$81:$A$120, 0)), "Categoría no válida", IF(AND(J2005&lt;&gt;"", J2005&lt;&gt;"", J2005&lt;&gt;VLOOKUP(K2005, Criterios!$A$81:$B$120, 2, FALSE)), "División no coincide con Categoría", ""))), IF(OR(L2005="", L2005=""), "[Aviso] Género no capturado ()", IF(ISNA(MATCH(L2005, Criterios!$B$123:$B$127, 0)), "Género no válido", "")), IF(OR(N2005="", N2005=""), "[Aviso] Temporada no capturada ()", IF(ISNA(MATCH(N2005, Criterios!$C$123:$C$128, 0)), "Temporada no válida", "")), IF(OR(O2005="", O2005=""), "[Aviso] Ciclo de vida no capturado ()", IF(ISNA(MATCH(O2005, Criterios!$D$123:$D$124, 0)), "Ciclo de vida no válido", ""))))</f>
        <v/>
      </c>
      <c r="AC2005" s="56" t="n"/>
      <c r="AD2005" s="51" t="n">
        <v>0</v>
      </c>
      <c r="AE2005" s="156" t="n"/>
      <c r="AF2005" s="51" t="n">
        <v>0</v>
      </c>
      <c r="AG2005" s="156" t="inlineStr">
        <is>
          <t>Catálogo existente</t>
        </is>
      </c>
      <c r="AH200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5" s="156" t="inlineStr">
        <is>
          <t>No</t>
        </is>
      </c>
      <c r="AJ2005" s="156" t="n"/>
      <c r="AK2005" s="155" t="inlineStr">
        <is>
          <t>Descripción y Criterios: G/H [P] | Criterios: J [R]; G1522_Extraccion_Articulos_NetSuite_2026-09-30.xlsx: fila 57310 [S] | Shopify Stetson: producto 14724655743339 / variante 52142287290731</t>
        </is>
      </c>
      <c r="AL2005" s="58" t="n">
        <v>795.2586207000001</v>
      </c>
      <c r="AM2005" s="58" t="n">
        <v>1767.241379</v>
      </c>
      <c r="AN2005" s="155" t="inlineStr">
        <is>
          <t>Shopify Stetson México</t>
        </is>
      </c>
      <c r="AO2005" s="59" t="n">
        <v>0</v>
      </c>
      <c r="AP2005" s="59" t="n"/>
      <c r="AQ2005" s="59" t="n"/>
      <c r="AR2005" s="155" t="n"/>
    </row>
    <row r="2006">
      <c r="A2006" s="50" t="inlineStr">
        <is>
          <t>196070779004</t>
        </is>
      </c>
      <c r="B2006" s="51" t="inlineStr">
        <is>
          <t>109496</t>
        </is>
      </c>
      <c r="C2006" s="156" t="inlineStr">
        <is>
          <t>Multimarca</t>
        </is>
      </c>
      <c r="D2006" s="156" t="inlineStr">
        <is>
          <t>11-001-0425-2065</t>
        </is>
      </c>
      <c r="E2006" s="156" t="inlineStr">
        <is>
          <t>11-001-0425-2065-M</t>
        </is>
      </c>
      <c r="F2006" s="156" t="inlineStr">
        <is>
          <t>M</t>
        </is>
      </c>
      <c r="G2006" s="156" t="inlineStr">
        <is>
          <t>M</t>
        </is>
      </c>
      <c r="H2006" s="156" t="inlineStr">
        <is>
          <t>Stetson</t>
        </is>
      </c>
      <c r="I2006" s="156" t="inlineStr">
        <is>
          <t>Camisa Stetson Paisley Humo</t>
        </is>
      </c>
      <c r="J2006" s="156" t="inlineStr">
        <is>
          <t>Ropa</t>
        </is>
      </c>
      <c r="K2006" s="156" t="inlineStr">
        <is>
          <t>Camisas</t>
        </is>
      </c>
      <c r="L2006" s="156" t="inlineStr">
        <is>
          <t>Hombre</t>
        </is>
      </c>
      <c r="M2006" s="156" t="inlineStr">
        <is>
          <t>Stetson</t>
        </is>
      </c>
      <c r="N2006" s="156" t="inlineStr">
        <is>
          <t>SS26</t>
        </is>
      </c>
      <c r="O2006" s="156" t="inlineStr">
        <is>
          <t>Seasonal</t>
        </is>
      </c>
      <c r="P2006" s="156" t="inlineStr">
        <is>
          <t>Rojo</t>
        </is>
      </c>
      <c r="Q2006" s="156" t="inlineStr">
        <is>
          <t>Clásico</t>
        </is>
      </c>
      <c r="R2006" s="156" t="n"/>
      <c r="S2006" s="156" t="inlineStr">
        <is>
          <t>100% Algodón</t>
        </is>
      </c>
      <c r="T2006"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6" s="156" t="n"/>
      <c r="V2006" s="156" t="inlineStr">
        <is>
          <t>PZS</t>
        </is>
      </c>
      <c r="W2006" s="51" t="inlineStr">
        <is>
          <t>53101600</t>
        </is>
      </c>
      <c r="X2006" s="156" t="inlineStr">
        <is>
          <t>https://cdn.shopify.com/s/files/1/0888/3250/8267/files/1100104252065c.jpg?v=1750891368</t>
        </is>
      </c>
      <c r="Y2006" s="54" t="n">
        <v>795.2586207000001</v>
      </c>
      <c r="Z2006" s="54" t="n">
        <v>1767.241379</v>
      </c>
      <c r="AA2006" s="55">
        <f>IF(AND(A2006="", B2006="", E2006=""), "", IF(AB2006="", "Válido", IF((LEN(AB2006)-LEN(SUBSTITUTE(AB2006,"; ","")))/2+1&gt;(LEN(AB2006)-LEN(SUBSTITUTE(AB2006,"[Aviso]","")))/7, "Con Incidencias", "Válido")))</f>
        <v/>
      </c>
      <c r="AB2006" s="56">
        <f>IF(AND(A2006="", B2006="", E2006=""), "", TEXTJOIN("; ", TRUE, IF(OR(TRIM(A2006&amp;"")="", ISNUMBER(SEARCH("FALTA", A2006))), "UPC faltante/inválido", ""), IF(AND(A2006&lt;&gt;"", IFERROR(_xlfn.XMATCH(A2006,$A$2:$A$2509,0,1)&lt;&gt;_xlfn.XMATCH(A2006,$A$2:$A$2509,0,-1),FALSE)), "Código de barras duplicado", ""), IF(AND(E2006&lt;&gt;"", COUNTIF($E$2:$E$2509, E2006)&gt;1), "SKU duplicado", ""), IF(OR(J2006="", J2006=""), "[Aviso] División no capturada ()", IF(ISNA(MATCH(J2006, Criterios!$A$123:$A$126, 0)), "División no válida", "")), IF(OR(K2006="", K2006=""), "[Aviso] Categoría no capturada ()", IF(ISNA(MATCH(K2006, Criterios!$A$81:$A$120, 0)), "Categoría no válida", IF(AND(J2006&lt;&gt;"", J2006&lt;&gt;"", J2006&lt;&gt;VLOOKUP(K2006, Criterios!$A$81:$B$120, 2, FALSE)), "División no coincide con Categoría", ""))), IF(OR(L2006="", L2006=""), "[Aviso] Género no capturado ()", IF(ISNA(MATCH(L2006, Criterios!$B$123:$B$127, 0)), "Género no válido", "")), IF(OR(N2006="", N2006=""), "[Aviso] Temporada no capturada ()", IF(ISNA(MATCH(N2006, Criterios!$C$123:$C$128, 0)), "Temporada no válida", "")), IF(OR(O2006="", O2006=""), "[Aviso] Ciclo de vida no capturado ()", IF(ISNA(MATCH(O2006, Criterios!$D$123:$D$124, 0)), "Ciclo de vida no válido", ""))))</f>
        <v/>
      </c>
      <c r="AC2006" s="56" t="n"/>
      <c r="AD2006" s="51" t="n">
        <v>0</v>
      </c>
      <c r="AE2006" s="156" t="n"/>
      <c r="AF2006" s="51" t="n">
        <v>0</v>
      </c>
      <c r="AG2006" s="156" t="inlineStr">
        <is>
          <t>Catálogo existente</t>
        </is>
      </c>
      <c r="AH200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6" s="156" t="inlineStr">
        <is>
          <t>No</t>
        </is>
      </c>
      <c r="AJ2006" s="156" t="n"/>
      <c r="AK2006" s="155" t="inlineStr">
        <is>
          <t>Descripción y Criterios: G/H [P] | Criterios: J [R]; G1522_Extraccion_Articulos_NetSuite_2026-09-30.xlsx: fila 57311 [S] | Shopify Stetson: producto 14724655743339 / variante 52142287257963</t>
        </is>
      </c>
      <c r="AL2006" s="58" t="n">
        <v>795.2586207000001</v>
      </c>
      <c r="AM2006" s="58" t="n">
        <v>1767.241379</v>
      </c>
      <c r="AN2006" s="155" t="inlineStr">
        <is>
          <t>Shopify Stetson México</t>
        </is>
      </c>
      <c r="AO2006" s="59" t="n">
        <v>0</v>
      </c>
      <c r="AP2006" s="59" t="n"/>
      <c r="AQ2006" s="59" t="n"/>
      <c r="AR2006" s="155" t="n"/>
    </row>
    <row r="2007">
      <c r="A2007" s="50" t="inlineStr">
        <is>
          <t>196070779011</t>
        </is>
      </c>
      <c r="B2007" s="51" t="inlineStr">
        <is>
          <t>109497</t>
        </is>
      </c>
      <c r="C2007" s="156" t="inlineStr">
        <is>
          <t>Multimarca</t>
        </is>
      </c>
      <c r="D2007" s="156" t="inlineStr">
        <is>
          <t>11-001-0425-2065</t>
        </is>
      </c>
      <c r="E2007" s="156" t="inlineStr">
        <is>
          <t>11-001-0425-2065-S</t>
        </is>
      </c>
      <c r="F2007" s="156" t="inlineStr">
        <is>
          <t>S</t>
        </is>
      </c>
      <c r="G2007" s="156" t="inlineStr">
        <is>
          <t>S</t>
        </is>
      </c>
      <c r="H2007" s="156" t="inlineStr">
        <is>
          <t>Stetson</t>
        </is>
      </c>
      <c r="I2007" s="156" t="inlineStr">
        <is>
          <t>Camisa Stetson Paisley Humo</t>
        </is>
      </c>
      <c r="J2007" s="156" t="inlineStr">
        <is>
          <t>Ropa</t>
        </is>
      </c>
      <c r="K2007" s="156" t="inlineStr">
        <is>
          <t>Camisas</t>
        </is>
      </c>
      <c r="L2007" s="156" t="inlineStr">
        <is>
          <t>Hombre</t>
        </is>
      </c>
      <c r="M2007" s="156" t="inlineStr">
        <is>
          <t>Stetson</t>
        </is>
      </c>
      <c r="N2007" s="156" t="inlineStr">
        <is>
          <t>SS26</t>
        </is>
      </c>
      <c r="O2007" s="156" t="inlineStr">
        <is>
          <t>Seasonal</t>
        </is>
      </c>
      <c r="P2007" s="156" t="inlineStr">
        <is>
          <t>Rojo</t>
        </is>
      </c>
      <c r="Q2007" s="156" t="inlineStr">
        <is>
          <t>Clásico</t>
        </is>
      </c>
      <c r="R2007" s="156" t="n"/>
      <c r="S2007" s="156" t="inlineStr">
        <is>
          <t>100% Algodón</t>
        </is>
      </c>
      <c r="T2007"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7" s="156" t="n"/>
      <c r="V2007" s="156" t="inlineStr">
        <is>
          <t>PZS</t>
        </is>
      </c>
      <c r="W2007" s="51" t="inlineStr">
        <is>
          <t>53101600</t>
        </is>
      </c>
      <c r="X2007" s="156" t="inlineStr">
        <is>
          <t>https://cdn.shopify.com/s/files/1/0888/3250/8267/files/1100104252065a.jpg?v=1750891337</t>
        </is>
      </c>
      <c r="Y2007" s="54" t="n">
        <v>795.2586207000001</v>
      </c>
      <c r="Z2007" s="54" t="n">
        <v>1767.241379</v>
      </c>
      <c r="AA2007" s="55">
        <f>IF(AND(A2007="", B2007="", E2007=""), "", IF(AB2007="", "Válido", IF((LEN(AB2007)-LEN(SUBSTITUTE(AB2007,"; ","")))/2+1&gt;(LEN(AB2007)-LEN(SUBSTITUTE(AB2007,"[Aviso]","")))/7, "Con Incidencias", "Válido")))</f>
        <v/>
      </c>
      <c r="AB2007" s="56">
        <f>IF(AND(A2007="", B2007="", E2007=""), "", TEXTJOIN("; ", TRUE, IF(OR(TRIM(A2007&amp;"")="", ISNUMBER(SEARCH("FALTA", A2007))), "UPC faltante/inválido", ""), IF(AND(A2007&lt;&gt;"", IFERROR(_xlfn.XMATCH(A2007,$A$2:$A$2509,0,1)&lt;&gt;_xlfn.XMATCH(A2007,$A$2:$A$2509,0,-1),FALSE)), "Código de barras duplicado", ""), IF(AND(E2007&lt;&gt;"", COUNTIF($E$2:$E$2509, E2007)&gt;1), "SKU duplicado", ""), IF(OR(J2007="", J2007=""), "[Aviso] División no capturada ()", IF(ISNA(MATCH(J2007, Criterios!$A$123:$A$126, 0)), "División no válida", "")), IF(OR(K2007="", K2007=""), "[Aviso] Categoría no capturada ()", IF(ISNA(MATCH(K2007, Criterios!$A$81:$A$120, 0)), "Categoría no válida", IF(AND(J2007&lt;&gt;"", J2007&lt;&gt;"", J2007&lt;&gt;VLOOKUP(K2007, Criterios!$A$81:$B$120, 2, FALSE)), "División no coincide con Categoría", ""))), IF(OR(L2007="", L2007=""), "[Aviso] Género no capturado ()", IF(ISNA(MATCH(L2007, Criterios!$B$123:$B$127, 0)), "Género no válido", "")), IF(OR(N2007="", N2007=""), "[Aviso] Temporada no capturada ()", IF(ISNA(MATCH(N2007, Criterios!$C$123:$C$128, 0)), "Temporada no válida", "")), IF(OR(O2007="", O2007=""), "[Aviso] Ciclo de vida no capturado ()", IF(ISNA(MATCH(O2007, Criterios!$D$123:$D$124, 0)), "Ciclo de vida no válido", ""))))</f>
        <v/>
      </c>
      <c r="AC2007" s="56" t="n"/>
      <c r="AD2007" s="51" t="n">
        <v>0</v>
      </c>
      <c r="AE2007" s="156" t="n"/>
      <c r="AF2007" s="51" t="n">
        <v>0</v>
      </c>
      <c r="AG2007" s="156" t="inlineStr">
        <is>
          <t>Catálogo existente</t>
        </is>
      </c>
      <c r="AH200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7" s="156" t="inlineStr">
        <is>
          <t>No</t>
        </is>
      </c>
      <c r="AJ2007" s="156" t="n"/>
      <c r="AK2007" s="155" t="inlineStr">
        <is>
          <t>Descripción y Criterios: G/H [P] | Criterios: J [R]; G1522_Extraccion_Articulos_NetSuite_2026-09-30.xlsx: fila 57312 [S] | Shopify Stetson: producto 14724655743339 / variante 52142287225195</t>
        </is>
      </c>
      <c r="AL2007" s="58" t="n">
        <v>795.2586207000001</v>
      </c>
      <c r="AM2007" s="58" t="n">
        <v>1767.241379</v>
      </c>
      <c r="AN2007" s="155" t="inlineStr">
        <is>
          <t>Shopify Stetson México</t>
        </is>
      </c>
      <c r="AO2007" s="59" t="n">
        <v>0</v>
      </c>
      <c r="AP2007" s="59" t="n"/>
      <c r="AQ2007" s="59" t="n"/>
      <c r="AR2007" s="155" t="n"/>
    </row>
    <row r="2008">
      <c r="A2008" s="50" t="inlineStr">
        <is>
          <t>196070779028</t>
        </is>
      </c>
      <c r="B2008" s="51" t="inlineStr">
        <is>
          <t>109498</t>
        </is>
      </c>
      <c r="C2008" s="156" t="inlineStr">
        <is>
          <t>Multimarca</t>
        </is>
      </c>
      <c r="D2008" s="156" t="inlineStr">
        <is>
          <t>11-001-0425-2065</t>
        </is>
      </c>
      <c r="E2008" s="156" t="inlineStr">
        <is>
          <t>11-001-0425-2065-XL</t>
        </is>
      </c>
      <c r="F2008" s="156" t="inlineStr">
        <is>
          <t>XL</t>
        </is>
      </c>
      <c r="G2008" s="156" t="inlineStr">
        <is>
          <t>XL</t>
        </is>
      </c>
      <c r="H2008" s="156" t="inlineStr">
        <is>
          <t>Stetson</t>
        </is>
      </c>
      <c r="I2008" s="156" t="inlineStr">
        <is>
          <t>Camisa Stetson Paisley Humo</t>
        </is>
      </c>
      <c r="J2008" s="156" t="inlineStr">
        <is>
          <t>Ropa</t>
        </is>
      </c>
      <c r="K2008" s="156" t="inlineStr">
        <is>
          <t>Camisas</t>
        </is>
      </c>
      <c r="L2008" s="156" t="inlineStr">
        <is>
          <t>Hombre</t>
        </is>
      </c>
      <c r="M2008" s="156" t="inlineStr">
        <is>
          <t>Stetson</t>
        </is>
      </c>
      <c r="N2008" s="156" t="inlineStr">
        <is>
          <t>SS26</t>
        </is>
      </c>
      <c r="O2008" s="156" t="inlineStr">
        <is>
          <t>Seasonal</t>
        </is>
      </c>
      <c r="P2008" s="156" t="inlineStr">
        <is>
          <t>Rojo</t>
        </is>
      </c>
      <c r="Q2008" s="156" t="inlineStr">
        <is>
          <t>Clásico</t>
        </is>
      </c>
      <c r="R2008" s="156" t="n"/>
      <c r="S2008" s="156" t="inlineStr">
        <is>
          <t>100% Algodón</t>
        </is>
      </c>
      <c r="T2008"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8" s="156" t="n"/>
      <c r="V2008" s="156" t="inlineStr">
        <is>
          <t>PZS</t>
        </is>
      </c>
      <c r="W2008" s="51" t="inlineStr">
        <is>
          <t>53101600</t>
        </is>
      </c>
      <c r="X2008" s="156" t="inlineStr">
        <is>
          <t>https://cdn.shopify.com/s/files/1/0888/3250/8267/files/1100104252065a.jpg?v=1750891337</t>
        </is>
      </c>
      <c r="Y2008" s="54" t="n">
        <v>795.2586207000001</v>
      </c>
      <c r="Z2008" s="54" t="n">
        <v>1767.241379</v>
      </c>
      <c r="AA2008" s="55">
        <f>IF(AND(A2008="", B2008="", E2008=""), "", IF(AB2008="", "Válido", IF((LEN(AB2008)-LEN(SUBSTITUTE(AB2008,"; ","")))/2+1&gt;(LEN(AB2008)-LEN(SUBSTITUTE(AB2008,"[Aviso]","")))/7, "Con Incidencias", "Válido")))</f>
        <v/>
      </c>
      <c r="AB2008" s="56">
        <f>IF(AND(A2008="", B2008="", E2008=""), "", TEXTJOIN("; ", TRUE, IF(OR(TRIM(A2008&amp;"")="", ISNUMBER(SEARCH("FALTA", A2008))), "UPC faltante/inválido", ""), IF(AND(A2008&lt;&gt;"", IFERROR(_xlfn.XMATCH(A2008,$A$2:$A$2509,0,1)&lt;&gt;_xlfn.XMATCH(A2008,$A$2:$A$2509,0,-1),FALSE)), "Código de barras duplicado", ""), IF(AND(E2008&lt;&gt;"", COUNTIF($E$2:$E$2509, E2008)&gt;1), "SKU duplicado", ""), IF(OR(J2008="", J2008=""), "[Aviso] División no capturada ()", IF(ISNA(MATCH(J2008, Criterios!$A$123:$A$126, 0)), "División no válida", "")), IF(OR(K2008="", K2008=""), "[Aviso] Categoría no capturada ()", IF(ISNA(MATCH(K2008, Criterios!$A$81:$A$120, 0)), "Categoría no válida", IF(AND(J2008&lt;&gt;"", J2008&lt;&gt;"", J2008&lt;&gt;VLOOKUP(K2008, Criterios!$A$81:$B$120, 2, FALSE)), "División no coincide con Categoría", ""))), IF(OR(L2008="", L2008=""), "[Aviso] Género no capturado ()", IF(ISNA(MATCH(L2008, Criterios!$B$123:$B$127, 0)), "Género no válido", "")), IF(OR(N2008="", N2008=""), "[Aviso] Temporada no capturada ()", IF(ISNA(MATCH(N2008, Criterios!$C$123:$C$128, 0)), "Temporada no válida", "")), IF(OR(O2008="", O2008=""), "[Aviso] Ciclo de vida no capturado ()", IF(ISNA(MATCH(O2008, Criterios!$D$123:$D$124, 0)), "Ciclo de vida no válido", ""))))</f>
        <v/>
      </c>
      <c r="AC2008" s="56" t="n"/>
      <c r="AD2008" s="51" t="n">
        <v>0</v>
      </c>
      <c r="AE2008" s="156" t="n"/>
      <c r="AF2008" s="51" t="n">
        <v>0</v>
      </c>
      <c r="AG2008" s="156" t="inlineStr">
        <is>
          <t>Catálogo existente</t>
        </is>
      </c>
      <c r="AH200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08" s="156" t="inlineStr">
        <is>
          <t>No</t>
        </is>
      </c>
      <c r="AJ2008" s="156" t="n"/>
      <c r="AK2008" s="155" t="inlineStr">
        <is>
          <t>Descripción y Criterios: G/H [P] | Criterios: J [R]; G1522_Extraccion_Articulos_NetSuite_2026-09-30.xlsx: fila 57313 [S] | Shopify Stetson: producto 14724655743339 / variante 52142287323499</t>
        </is>
      </c>
      <c r="AL2008" s="58" t="n">
        <v>795.2586207000001</v>
      </c>
      <c r="AM2008" s="58" t="n">
        <v>1767.241379</v>
      </c>
      <c r="AN2008" s="155" t="inlineStr">
        <is>
          <t>Shopify Stetson México</t>
        </is>
      </c>
      <c r="AO2008" s="59" t="n">
        <v>0</v>
      </c>
      <c r="AP2008" s="59" t="n"/>
      <c r="AQ2008" s="59" t="n"/>
      <c r="AR2008" s="155" t="n"/>
    </row>
    <row r="2009">
      <c r="A2009" s="50" t="inlineStr">
        <is>
          <t>196070779035</t>
        </is>
      </c>
      <c r="B2009" s="51" t="inlineStr">
        <is>
          <t>109499</t>
        </is>
      </c>
      <c r="C2009" s="156" t="inlineStr">
        <is>
          <t>Multimarca</t>
        </is>
      </c>
      <c r="D2009" s="156" t="inlineStr">
        <is>
          <t>11-001-0425-2065</t>
        </is>
      </c>
      <c r="E2009" s="156" t="inlineStr">
        <is>
          <t>11-001-0425-2065-XXL</t>
        </is>
      </c>
      <c r="F2009" s="156" t="inlineStr">
        <is>
          <t>XXL</t>
        </is>
      </c>
      <c r="G2009" s="156" t="inlineStr">
        <is>
          <t>XXL</t>
        </is>
      </c>
      <c r="H2009" s="156" t="inlineStr">
        <is>
          <t>Stetson</t>
        </is>
      </c>
      <c r="I2009" s="156" t="inlineStr">
        <is>
          <t>Camisa Stetson Paisley Humo</t>
        </is>
      </c>
      <c r="J2009" s="156" t="inlineStr">
        <is>
          <t>Ropa</t>
        </is>
      </c>
      <c r="K2009" s="156" t="inlineStr">
        <is>
          <t>Camisas</t>
        </is>
      </c>
      <c r="L2009" s="156" t="inlineStr">
        <is>
          <t>Hombre</t>
        </is>
      </c>
      <c r="M2009" s="156" t="inlineStr">
        <is>
          <t>Stetson</t>
        </is>
      </c>
      <c r="N2009" s="156" t="inlineStr">
        <is>
          <t>SS26</t>
        </is>
      </c>
      <c r="O2009" s="156" t="inlineStr">
        <is>
          <t>Seasonal</t>
        </is>
      </c>
      <c r="P2009" s="156" t="inlineStr">
        <is>
          <t>Rojo</t>
        </is>
      </c>
      <c r="Q2009" s="156" t="inlineStr">
        <is>
          <t>Clásico</t>
        </is>
      </c>
      <c r="R2009" s="156" t="n"/>
      <c r="S2009" s="156" t="inlineStr">
        <is>
          <t>100% Algodón</t>
        </is>
      </c>
      <c r="T2009"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9" s="156" t="n"/>
      <c r="V2009" s="156" t="inlineStr">
        <is>
          <t>PZS</t>
        </is>
      </c>
      <c r="W2009" s="51" t="inlineStr">
        <is>
          <t>53101600</t>
        </is>
      </c>
      <c r="X2009" s="156" t="inlineStr">
        <is>
          <t>https://cdn.shopify.com/s/files/1/0888/3250/8267/files/1100104252065a.jpg?v=1750891337</t>
        </is>
      </c>
      <c r="Y2009" s="54" t="n">
        <v>795.2586207000001</v>
      </c>
      <c r="Z2009" s="54" t="n">
        <v>1767.241379</v>
      </c>
      <c r="AA2009" s="55">
        <f>IF(AND(A2009="", B2009="", E2009=""), "", IF(AB2009="", "Válido", IF((LEN(AB2009)-LEN(SUBSTITUTE(AB2009,"; ","")))/2+1&gt;(LEN(AB2009)-LEN(SUBSTITUTE(AB2009,"[Aviso]","")))/7, "Con Incidencias", "Válido")))</f>
        <v/>
      </c>
      <c r="AB2009" s="56">
        <f>IF(AND(A2009="", B2009="", E2009=""), "", TEXTJOIN("; ", TRUE, IF(OR(TRIM(A2009&amp;"")="", ISNUMBER(SEARCH("FALTA", A2009))), "UPC faltante/inválido", ""), IF(AND(A2009&lt;&gt;"", IFERROR(_xlfn.XMATCH(A2009,$A$2:$A$2509,0,1)&lt;&gt;_xlfn.XMATCH(A2009,$A$2:$A$2509,0,-1),FALSE)), "Código de barras duplicado", ""), IF(AND(E2009&lt;&gt;"", COUNTIF($E$2:$E$2509, E2009)&gt;1), "SKU duplicado", ""), IF(OR(J2009="", J2009=""), "[Aviso] División no capturada ()", IF(ISNA(MATCH(J2009, Criterios!$A$123:$A$126, 0)), "División no válida", "")), IF(OR(K2009="", K2009=""), "[Aviso] Categoría no capturada ()", IF(ISNA(MATCH(K2009, Criterios!$A$81:$A$120, 0)), "Categoría no válida", IF(AND(J2009&lt;&gt;"", J2009&lt;&gt;"", J2009&lt;&gt;VLOOKUP(K2009, Criterios!$A$81:$B$120, 2, FALSE)), "División no coincide con Categoría", ""))), IF(OR(L2009="", L2009=""), "[Aviso] Género no capturado ()", IF(ISNA(MATCH(L2009, Criterios!$B$123:$B$127, 0)), "Género no válido", "")), IF(OR(N2009="", N2009=""), "[Aviso] Temporada no capturada ()", IF(ISNA(MATCH(N2009, Criterios!$C$123:$C$128, 0)), "Temporada no válida", "")), IF(OR(O2009="", O2009=""), "[Aviso] Ciclo de vida no capturado ()", IF(ISNA(MATCH(O2009, Criterios!$D$123:$D$124, 0)), "Ciclo de vida no válido", ""))))</f>
        <v/>
      </c>
      <c r="AC2009" s="56" t="n"/>
      <c r="AD2009" s="51" t="n">
        <v>0</v>
      </c>
      <c r="AE2009" s="156" t="n"/>
      <c r="AF2009" s="51" t="n">
        <v>0</v>
      </c>
      <c r="AG2009" s="156" t="inlineStr">
        <is>
          <t>Catálogo existente</t>
        </is>
      </c>
      <c r="AH200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09" s="156" t="inlineStr">
        <is>
          <t>No</t>
        </is>
      </c>
      <c r="AJ2009" s="156" t="n"/>
      <c r="AK2009" s="155" t="inlineStr">
        <is>
          <t>Descripción y Criterios: G/H [P] | Criterios: J [R]; G1522_Extraccion_Articulos_NetSuite_2026-09-30.xlsx: fila 57314 [S] | Shopify Stetson: producto 14724655743339 / variante 52142287356267</t>
        </is>
      </c>
      <c r="AL2009" s="58" t="n">
        <v>795.2586207000001</v>
      </c>
      <c r="AM2009" s="58" t="n">
        <v>1767.241379</v>
      </c>
      <c r="AN2009" s="155" t="inlineStr">
        <is>
          <t>Shopify Stetson México</t>
        </is>
      </c>
      <c r="AO2009" s="59" t="n">
        <v>0</v>
      </c>
      <c r="AP2009" s="59" t="n"/>
      <c r="AQ2009" s="59" t="n"/>
      <c r="AR2009" s="155" t="n"/>
    </row>
    <row r="2010">
      <c r="A2010" s="50" t="inlineStr">
        <is>
          <t>196070779059</t>
        </is>
      </c>
      <c r="B2010" s="51" t="inlineStr">
        <is>
          <t>109500</t>
        </is>
      </c>
      <c r="C2010" s="156" t="inlineStr">
        <is>
          <t>Multimarca</t>
        </is>
      </c>
      <c r="D2010" s="156" t="inlineStr">
        <is>
          <t>11-001-0425-2066</t>
        </is>
      </c>
      <c r="E2010" s="156" t="inlineStr">
        <is>
          <t>11-001-0425-2066-L</t>
        </is>
      </c>
      <c r="F2010" s="156" t="inlineStr">
        <is>
          <t>L</t>
        </is>
      </c>
      <c r="G2010" s="156" t="inlineStr">
        <is>
          <t>L</t>
        </is>
      </c>
      <c r="H2010" s="156" t="inlineStr">
        <is>
          <t>Stetson</t>
        </is>
      </c>
      <c r="I2010" s="156" t="inlineStr">
        <is>
          <t>Camisa Stetson Paisley Victoria</t>
        </is>
      </c>
      <c r="J2010" s="156" t="inlineStr">
        <is>
          <t>Ropa</t>
        </is>
      </c>
      <c r="K2010" s="156" t="inlineStr">
        <is>
          <t>Camisas</t>
        </is>
      </c>
      <c r="L2010" s="156" t="inlineStr">
        <is>
          <t>Hombre</t>
        </is>
      </c>
      <c r="M2010" s="156" t="inlineStr">
        <is>
          <t>Stetson</t>
        </is>
      </c>
      <c r="N2010" s="156" t="inlineStr">
        <is>
          <t>SS26</t>
        </is>
      </c>
      <c r="O2010" s="156" t="inlineStr">
        <is>
          <t>Seasonal</t>
        </is>
      </c>
      <c r="P2010" s="156" t="inlineStr">
        <is>
          <t>Rojo</t>
        </is>
      </c>
      <c r="Q2010" s="156" t="inlineStr">
        <is>
          <t>Clásico</t>
        </is>
      </c>
      <c r="R2010" s="156" t="n"/>
      <c r="S2010" s="156" t="inlineStr">
        <is>
          <t>100% Algodón</t>
        </is>
      </c>
      <c r="T2010" s="156" t="inlineStr">
        <is>
          <t>Camisa Stetson para Caballero – Manga Larga con Estampado Paisley Victoria (2395)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Victorian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10" s="156" t="n"/>
      <c r="V2010" s="156" t="inlineStr">
        <is>
          <t>PZS</t>
        </is>
      </c>
      <c r="W2010" s="51" t="inlineStr">
        <is>
          <t>53101600</t>
        </is>
      </c>
      <c r="X2010" s="156" t="inlineStr">
        <is>
          <t>https://cdn.shopify.com/s/files/1/0888/3250/8267/files/1100104252066a.jpg?v=1750952911</t>
        </is>
      </c>
      <c r="Y2010" s="54" t="n">
        <v>795.2586207000001</v>
      </c>
      <c r="Z2010" s="54" t="n">
        <v>1767.241379</v>
      </c>
      <c r="AA2010" s="55">
        <f>IF(AND(A2010="", B2010="", E2010=""), "", IF(AB2010="", "Válido", IF((LEN(AB2010)-LEN(SUBSTITUTE(AB2010,"; ","")))/2+1&gt;(LEN(AB2010)-LEN(SUBSTITUTE(AB2010,"[Aviso]","")))/7, "Con Incidencias", "Válido")))</f>
        <v/>
      </c>
      <c r="AB2010" s="56">
        <f>IF(AND(A2010="", B2010="", E2010=""), "", TEXTJOIN("; ", TRUE, IF(OR(TRIM(A2010&amp;"")="", ISNUMBER(SEARCH("FALTA", A2010))), "UPC faltante/inválido", ""), IF(AND(A2010&lt;&gt;"", IFERROR(_xlfn.XMATCH(A2010,$A$2:$A$2509,0,1)&lt;&gt;_xlfn.XMATCH(A2010,$A$2:$A$2509,0,-1),FALSE)), "Código de barras duplicado", ""), IF(AND(E2010&lt;&gt;"", COUNTIF($E$2:$E$2509, E2010)&gt;1), "SKU duplicado", ""), IF(OR(J2010="", J2010=""), "[Aviso] División no capturada ()", IF(ISNA(MATCH(J2010, Criterios!$A$123:$A$126, 0)), "División no válida", "")), IF(OR(K2010="", K2010=""), "[Aviso] Categoría no capturada ()", IF(ISNA(MATCH(K2010, Criterios!$A$81:$A$120, 0)), "Categoría no válida", IF(AND(J2010&lt;&gt;"", J2010&lt;&gt;"", J2010&lt;&gt;VLOOKUP(K2010, Criterios!$A$81:$B$120, 2, FALSE)), "División no coincide con Categoría", ""))), IF(OR(L2010="", L2010=""), "[Aviso] Género no capturado ()", IF(ISNA(MATCH(L2010, Criterios!$B$123:$B$127, 0)), "Género no válido", "")), IF(OR(N2010="", N2010=""), "[Aviso] Temporada no capturada ()", IF(ISNA(MATCH(N2010, Criterios!$C$123:$C$128, 0)), "Temporada no válida", "")), IF(OR(O2010="", O2010=""), "[Aviso] Ciclo de vida no capturado ()", IF(ISNA(MATCH(O2010, Criterios!$D$123:$D$124, 0)), "Ciclo de vida no válido", ""))))</f>
        <v/>
      </c>
      <c r="AC2010" s="56" t="n"/>
      <c r="AD2010" s="51" t="n">
        <v>0</v>
      </c>
      <c r="AE2010" s="156" t="n"/>
      <c r="AF2010" s="51" t="n">
        <v>0</v>
      </c>
      <c r="AG2010" s="156" t="inlineStr">
        <is>
          <t>Catálogo existente</t>
        </is>
      </c>
      <c r="AH201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0" s="156" t="inlineStr">
        <is>
          <t>No</t>
        </is>
      </c>
      <c r="AJ2010" s="156" t="n"/>
      <c r="AK2010" s="155" t="inlineStr">
        <is>
          <t>Descripción y Criterios: G/H [P] | Criterios: J [R]; G1522_Extraccion_Articulos_NetSuite_2026-09-30.xlsx: fila 57315 [S] | Shopify Stetson: producto 14725931794795 / variante 52144843981163</t>
        </is>
      </c>
      <c r="AL2010" s="58" t="n">
        <v>795.2586207000001</v>
      </c>
      <c r="AM2010" s="58" t="n">
        <v>1767.241379</v>
      </c>
      <c r="AN2010" s="155" t="inlineStr">
        <is>
          <t>Shopify Stetson México</t>
        </is>
      </c>
      <c r="AO2010" s="59" t="n">
        <v>0</v>
      </c>
      <c r="AP2010" s="59" t="n"/>
      <c r="AQ2010" s="59" t="n"/>
      <c r="AR2010" s="155" t="n"/>
    </row>
    <row r="2011">
      <c r="A2011" s="50" t="inlineStr">
        <is>
          <t>196070779066</t>
        </is>
      </c>
      <c r="B2011" s="51" t="inlineStr">
        <is>
          <t>109501</t>
        </is>
      </c>
      <c r="C2011" s="156" t="inlineStr">
        <is>
          <t>Multimarca</t>
        </is>
      </c>
      <c r="D2011" s="156" t="inlineStr">
        <is>
          <t>11-001-0425-2066</t>
        </is>
      </c>
      <c r="E2011" s="156" t="inlineStr">
        <is>
          <t>11-001-0425-2066-M</t>
        </is>
      </c>
      <c r="F2011" s="156" t="inlineStr">
        <is>
          <t>M</t>
        </is>
      </c>
      <c r="G2011" s="156" t="inlineStr">
        <is>
          <t>M</t>
        </is>
      </c>
      <c r="H2011" s="156" t="inlineStr">
        <is>
          <t>Stetson</t>
        </is>
      </c>
      <c r="I2011" s="156" t="inlineStr">
        <is>
          <t>Camisa Stetson Paisley Victoria</t>
        </is>
      </c>
      <c r="J2011" s="156" t="inlineStr">
        <is>
          <t>Ropa</t>
        </is>
      </c>
      <c r="K2011" s="156" t="inlineStr">
        <is>
          <t>Camisas</t>
        </is>
      </c>
      <c r="L2011" s="156" t="inlineStr">
        <is>
          <t>Hombre</t>
        </is>
      </c>
      <c r="M2011" s="156" t="inlineStr">
        <is>
          <t>Stetson</t>
        </is>
      </c>
      <c r="N2011" s="156" t="inlineStr">
        <is>
          <t>SS26</t>
        </is>
      </c>
      <c r="O2011" s="156" t="inlineStr">
        <is>
          <t>Seasonal</t>
        </is>
      </c>
      <c r="P2011" s="156" t="inlineStr">
        <is>
          <t>Rojo</t>
        </is>
      </c>
      <c r="Q2011" s="156" t="inlineStr">
        <is>
          <t>Clásico</t>
        </is>
      </c>
      <c r="R2011" s="156" t="n"/>
      <c r="S2011" s="156" t="inlineStr">
        <is>
          <t>100% Algodón</t>
        </is>
      </c>
      <c r="T2011"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1" s="156" t="n"/>
      <c r="V2011" s="156" t="inlineStr">
        <is>
          <t>PZS</t>
        </is>
      </c>
      <c r="W2011" s="51" t="inlineStr">
        <is>
          <t>53101600</t>
        </is>
      </c>
      <c r="X2011" s="156" t="inlineStr">
        <is>
          <t>https://cdn.shopify.com/s/files/1/0888/3250/8267/files/1100104252066b.jpg?v=1750952918</t>
        </is>
      </c>
      <c r="Y2011" s="54" t="n">
        <v>795.2586207000001</v>
      </c>
      <c r="Z2011" s="54" t="n">
        <v>1767.241379</v>
      </c>
      <c r="AA2011" s="55">
        <f>IF(AND(A2011="", B2011="", E2011=""), "", IF(AB2011="", "Válido", IF((LEN(AB2011)-LEN(SUBSTITUTE(AB2011,"; ","")))/2+1&gt;(LEN(AB2011)-LEN(SUBSTITUTE(AB2011,"[Aviso]","")))/7, "Con Incidencias", "Válido")))</f>
        <v/>
      </c>
      <c r="AB2011" s="56">
        <f>IF(AND(A2011="", B2011="", E2011=""), "", TEXTJOIN("; ", TRUE, IF(OR(TRIM(A2011&amp;"")="", ISNUMBER(SEARCH("FALTA", A2011))), "UPC faltante/inválido", ""), IF(AND(A2011&lt;&gt;"", IFERROR(_xlfn.XMATCH(A2011,$A$2:$A$2509,0,1)&lt;&gt;_xlfn.XMATCH(A2011,$A$2:$A$2509,0,-1),FALSE)), "Código de barras duplicado", ""), IF(AND(E2011&lt;&gt;"", COUNTIF($E$2:$E$2509, E2011)&gt;1), "SKU duplicado", ""), IF(OR(J2011="", J2011=""), "[Aviso] División no capturada ()", IF(ISNA(MATCH(J2011, Criterios!$A$123:$A$126, 0)), "División no válida", "")), IF(OR(K2011="", K2011=""), "[Aviso] Categoría no capturada ()", IF(ISNA(MATCH(K2011, Criterios!$A$81:$A$120, 0)), "Categoría no válida", IF(AND(J2011&lt;&gt;"", J2011&lt;&gt;"", J2011&lt;&gt;VLOOKUP(K2011, Criterios!$A$81:$B$120, 2, FALSE)), "División no coincide con Categoría", ""))), IF(OR(L2011="", L2011=""), "[Aviso] Género no capturado ()", IF(ISNA(MATCH(L2011, Criterios!$B$123:$B$127, 0)), "Género no válido", "")), IF(OR(N2011="", N2011=""), "[Aviso] Temporada no capturada ()", IF(ISNA(MATCH(N2011, Criterios!$C$123:$C$128, 0)), "Temporada no válida", "")), IF(OR(O2011="", O2011=""), "[Aviso] Ciclo de vida no capturado ()", IF(ISNA(MATCH(O2011, Criterios!$D$123:$D$124, 0)), "Ciclo de vida no válido", ""))))</f>
        <v/>
      </c>
      <c r="AC2011" s="56" t="n"/>
      <c r="AD2011" s="51" t="n">
        <v>1</v>
      </c>
      <c r="AE2011" s="156" t="inlineStr">
        <is>
          <t>B25 STETSON.MX (1)</t>
        </is>
      </c>
      <c r="AF2011" s="51" t="n">
        <v>1</v>
      </c>
      <c r="AG2011" s="156" t="inlineStr">
        <is>
          <t>Catálogo existente</t>
        </is>
      </c>
      <c r="AH201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11" s="156" t="inlineStr">
        <is>
          <t>No</t>
        </is>
      </c>
      <c r="AJ2011" s="156" t="n"/>
      <c r="AK2011" s="155" t="inlineStr">
        <is>
          <t>Descripción y Criterios: G/H [P] | Criterios: J [R]; G1522_Extraccion_Articulos_NetSuite_2026-09-30.xlsx: fila 57316 [S] | Shopify Stetson: producto 14725931794795 / variante 52144843948395</t>
        </is>
      </c>
      <c r="AL2011" s="58" t="n">
        <v>795.2586207000001</v>
      </c>
      <c r="AM2011" s="58" t="n">
        <v>1767.241379</v>
      </c>
      <c r="AN2011" s="155" t="inlineStr">
        <is>
          <t>Shopify Stetson México</t>
        </is>
      </c>
      <c r="AO2011" s="59" t="n">
        <v>1</v>
      </c>
      <c r="AP2011" s="59" t="n"/>
      <c r="AQ2011" s="59" t="n"/>
      <c r="AR2011" s="155" t="inlineStr">
        <is>
          <t>Shopify Stetson México › Stetson México: 1</t>
        </is>
      </c>
    </row>
    <row r="2012">
      <c r="A2012" s="50" t="inlineStr">
        <is>
          <t>196070779073</t>
        </is>
      </c>
      <c r="B2012" s="51" t="inlineStr">
        <is>
          <t>109502</t>
        </is>
      </c>
      <c r="C2012" s="156" t="inlineStr">
        <is>
          <t>Multimarca</t>
        </is>
      </c>
      <c r="D2012" s="156" t="inlineStr">
        <is>
          <t>11-001-0425-2066</t>
        </is>
      </c>
      <c r="E2012" s="156" t="inlineStr">
        <is>
          <t>11-001-0425-2066-S</t>
        </is>
      </c>
      <c r="F2012" s="156" t="inlineStr">
        <is>
          <t>S</t>
        </is>
      </c>
      <c r="G2012" s="156" t="inlineStr">
        <is>
          <t>S</t>
        </is>
      </c>
      <c r="H2012" s="156" t="inlineStr">
        <is>
          <t>Stetson</t>
        </is>
      </c>
      <c r="I2012" s="156" t="inlineStr">
        <is>
          <t>Camisa Stetson Paisley Victoria</t>
        </is>
      </c>
      <c r="J2012" s="156" t="inlineStr">
        <is>
          <t>Ropa</t>
        </is>
      </c>
      <c r="K2012" s="156" t="inlineStr">
        <is>
          <t>Camisas</t>
        </is>
      </c>
      <c r="L2012" s="156" t="inlineStr">
        <is>
          <t>Hombre</t>
        </is>
      </c>
      <c r="M2012" s="156" t="inlineStr">
        <is>
          <t>Stetson</t>
        </is>
      </c>
      <c r="N2012" s="156" t="inlineStr">
        <is>
          <t>SS26</t>
        </is>
      </c>
      <c r="O2012" s="156" t="inlineStr">
        <is>
          <t>Seasonal</t>
        </is>
      </c>
      <c r="P2012" s="156" t="inlineStr">
        <is>
          <t>Rojo</t>
        </is>
      </c>
      <c r="Q2012" s="156" t="inlineStr">
        <is>
          <t>Clásico</t>
        </is>
      </c>
      <c r="R2012" s="156" t="n"/>
      <c r="S2012" s="156" t="inlineStr">
        <is>
          <t>100% Algodón</t>
        </is>
      </c>
      <c r="T2012"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2" s="156" t="n"/>
      <c r="V2012" s="156" t="inlineStr">
        <is>
          <t>PZS</t>
        </is>
      </c>
      <c r="W2012" s="51" t="inlineStr">
        <is>
          <t>53101600</t>
        </is>
      </c>
      <c r="X2012" s="156" t="inlineStr">
        <is>
          <t>https://cdn.shopify.com/s/files/1/0888/3250/8267/files/1100104252066a.jpg?v=1750952911</t>
        </is>
      </c>
      <c r="Y2012" s="54" t="n">
        <v>795.2586207000001</v>
      </c>
      <c r="Z2012" s="54" t="n">
        <v>1767.241379</v>
      </c>
      <c r="AA2012" s="55">
        <f>IF(AND(A2012="", B2012="", E2012=""), "", IF(AB2012="", "Válido", IF((LEN(AB2012)-LEN(SUBSTITUTE(AB2012,"; ","")))/2+1&gt;(LEN(AB2012)-LEN(SUBSTITUTE(AB2012,"[Aviso]","")))/7, "Con Incidencias", "Válido")))</f>
        <v/>
      </c>
      <c r="AB2012" s="56">
        <f>IF(AND(A2012="", B2012="", E2012=""), "", TEXTJOIN("; ", TRUE, IF(OR(TRIM(A2012&amp;"")="", ISNUMBER(SEARCH("FALTA", A2012))), "UPC faltante/inválido", ""), IF(AND(A2012&lt;&gt;"", IFERROR(_xlfn.XMATCH(A2012,$A$2:$A$2509,0,1)&lt;&gt;_xlfn.XMATCH(A2012,$A$2:$A$2509,0,-1),FALSE)), "Código de barras duplicado", ""), IF(AND(E2012&lt;&gt;"", COUNTIF($E$2:$E$2509, E2012)&gt;1), "SKU duplicado", ""), IF(OR(J2012="", J2012=""), "[Aviso] División no capturada ()", IF(ISNA(MATCH(J2012, Criterios!$A$123:$A$126, 0)), "División no válida", "")), IF(OR(K2012="", K2012=""), "[Aviso] Categoría no capturada ()", IF(ISNA(MATCH(K2012, Criterios!$A$81:$A$120, 0)), "Categoría no válida", IF(AND(J2012&lt;&gt;"", J2012&lt;&gt;"", J2012&lt;&gt;VLOOKUP(K2012, Criterios!$A$81:$B$120, 2, FALSE)), "División no coincide con Categoría", ""))), IF(OR(L2012="", L2012=""), "[Aviso] Género no capturado ()", IF(ISNA(MATCH(L2012, Criterios!$B$123:$B$127, 0)), "Género no válido", "")), IF(OR(N2012="", N2012=""), "[Aviso] Temporada no capturada ()", IF(ISNA(MATCH(N2012, Criterios!$C$123:$C$128, 0)), "Temporada no válida", "")), IF(OR(O2012="", O2012=""), "[Aviso] Ciclo de vida no capturado ()", IF(ISNA(MATCH(O2012, Criterios!$D$123:$D$124, 0)), "Ciclo de vida no válido", ""))))</f>
        <v/>
      </c>
      <c r="AC2012" s="56" t="n"/>
      <c r="AD2012" s="51" t="n">
        <v>2</v>
      </c>
      <c r="AE2012" s="156" t="inlineStr">
        <is>
          <t>B25 STETSON.MX (2)</t>
        </is>
      </c>
      <c r="AF2012" s="51" t="n">
        <v>2</v>
      </c>
      <c r="AG2012" s="156" t="inlineStr">
        <is>
          <t>Catálogo existente</t>
        </is>
      </c>
      <c r="AH201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12" s="156" t="inlineStr">
        <is>
          <t>No</t>
        </is>
      </c>
      <c r="AJ2012" s="156" t="n"/>
      <c r="AK2012" s="155" t="inlineStr">
        <is>
          <t>Descripción y Criterios: G/H [P] | Criterios: J [R]; G1522_Extraccion_Articulos_NetSuite_2026-09-30.xlsx: fila 57317 [S] | Shopify Stetson: producto 14725931794795 / variante 52144843915627</t>
        </is>
      </c>
      <c r="AL2012" s="58" t="n">
        <v>795.2586207000001</v>
      </c>
      <c r="AM2012" s="58" t="n">
        <v>1767.241379</v>
      </c>
      <c r="AN2012" s="155" t="inlineStr">
        <is>
          <t>Shopify Stetson México</t>
        </is>
      </c>
      <c r="AO2012" s="59" t="n">
        <v>2</v>
      </c>
      <c r="AP2012" s="59" t="n"/>
      <c r="AQ2012" s="59" t="n"/>
      <c r="AR2012" s="155" t="inlineStr">
        <is>
          <t>Shopify Stetson México › Stetson México: 2</t>
        </is>
      </c>
    </row>
    <row r="2013">
      <c r="A2013" s="50" t="inlineStr">
        <is>
          <t>196070779080</t>
        </is>
      </c>
      <c r="B2013" s="51" t="inlineStr">
        <is>
          <t>109503</t>
        </is>
      </c>
      <c r="C2013" s="156" t="inlineStr">
        <is>
          <t>Multimarca</t>
        </is>
      </c>
      <c r="D2013" s="156" t="inlineStr">
        <is>
          <t>11-001-0425-2066</t>
        </is>
      </c>
      <c r="E2013" s="156" t="inlineStr">
        <is>
          <t>11-001-0425-2066-XL</t>
        </is>
      </c>
      <c r="F2013" s="156" t="inlineStr">
        <is>
          <t>XL</t>
        </is>
      </c>
      <c r="G2013" s="156" t="inlineStr">
        <is>
          <t>XL</t>
        </is>
      </c>
      <c r="H2013" s="156" t="inlineStr">
        <is>
          <t>Stetson</t>
        </is>
      </c>
      <c r="I2013" s="156" t="inlineStr">
        <is>
          <t>Camisa Stetson Paisley Victoria</t>
        </is>
      </c>
      <c r="J2013" s="156" t="inlineStr">
        <is>
          <t>Ropa</t>
        </is>
      </c>
      <c r="K2013" s="156" t="inlineStr">
        <is>
          <t>Camisas</t>
        </is>
      </c>
      <c r="L2013" s="156" t="inlineStr">
        <is>
          <t>Hombre</t>
        </is>
      </c>
      <c r="M2013" s="156" t="inlineStr">
        <is>
          <t>Stetson</t>
        </is>
      </c>
      <c r="N2013" s="156" t="inlineStr">
        <is>
          <t>SS26</t>
        </is>
      </c>
      <c r="O2013" s="156" t="inlineStr">
        <is>
          <t>Seasonal</t>
        </is>
      </c>
      <c r="P2013" s="156" t="inlineStr">
        <is>
          <t>Rojo</t>
        </is>
      </c>
      <c r="Q2013" s="156" t="inlineStr">
        <is>
          <t>Clásico</t>
        </is>
      </c>
      <c r="R2013" s="156" t="n"/>
      <c r="S2013" s="156" t="inlineStr">
        <is>
          <t>100% Algodón</t>
        </is>
      </c>
      <c r="T2013"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3" s="156" t="n"/>
      <c r="V2013" s="156" t="inlineStr">
        <is>
          <t>PZS</t>
        </is>
      </c>
      <c r="W2013" s="51" t="inlineStr">
        <is>
          <t>53101600</t>
        </is>
      </c>
      <c r="X2013" s="156" t="inlineStr">
        <is>
          <t>https://cdn.shopify.com/s/files/1/0888/3250/8267/files/1100104252066a.jpg?v=1750952911</t>
        </is>
      </c>
      <c r="Y2013" s="54" t="n">
        <v>795.2586207000001</v>
      </c>
      <c r="Z2013" s="54" t="n">
        <v>1767.241379</v>
      </c>
      <c r="AA2013" s="55">
        <f>IF(AND(A2013="", B2013="", E2013=""), "", IF(AB2013="", "Válido", IF((LEN(AB2013)-LEN(SUBSTITUTE(AB2013,"; ","")))/2+1&gt;(LEN(AB2013)-LEN(SUBSTITUTE(AB2013,"[Aviso]","")))/7, "Con Incidencias", "Válido")))</f>
        <v/>
      </c>
      <c r="AB2013" s="56">
        <f>IF(AND(A2013="", B2013="", E2013=""), "", TEXTJOIN("; ", TRUE, IF(OR(TRIM(A2013&amp;"")="", ISNUMBER(SEARCH("FALTA", A2013))), "UPC faltante/inválido", ""), IF(AND(A2013&lt;&gt;"", IFERROR(_xlfn.XMATCH(A2013,$A$2:$A$2509,0,1)&lt;&gt;_xlfn.XMATCH(A2013,$A$2:$A$2509,0,-1),FALSE)), "Código de barras duplicado", ""), IF(AND(E2013&lt;&gt;"", COUNTIF($E$2:$E$2509, E2013)&gt;1), "SKU duplicado", ""), IF(OR(J2013="", J2013=""), "[Aviso] División no capturada ()", IF(ISNA(MATCH(J2013, Criterios!$A$123:$A$126, 0)), "División no válida", "")), IF(OR(K2013="", K2013=""), "[Aviso] Categoría no capturada ()", IF(ISNA(MATCH(K2013, Criterios!$A$81:$A$120, 0)), "Categoría no válida", IF(AND(J2013&lt;&gt;"", J2013&lt;&gt;"", J2013&lt;&gt;VLOOKUP(K2013, Criterios!$A$81:$B$120, 2, FALSE)), "División no coincide con Categoría", ""))), IF(OR(L2013="", L2013=""), "[Aviso] Género no capturado ()", IF(ISNA(MATCH(L2013, Criterios!$B$123:$B$127, 0)), "Género no válido", "")), IF(OR(N2013="", N2013=""), "[Aviso] Temporada no capturada ()", IF(ISNA(MATCH(N2013, Criterios!$C$123:$C$128, 0)), "Temporada no válida", "")), IF(OR(O2013="", O2013=""), "[Aviso] Ciclo de vida no capturado ()", IF(ISNA(MATCH(O2013, Criterios!$D$123:$D$124, 0)), "Ciclo de vida no válido", ""))))</f>
        <v/>
      </c>
      <c r="AC2013" s="56" t="n"/>
      <c r="AD2013" s="51" t="n">
        <v>2</v>
      </c>
      <c r="AE2013" s="156" t="inlineStr">
        <is>
          <t>B25 STETSON.MX (2)</t>
        </is>
      </c>
      <c r="AF2013" s="51" t="n">
        <v>2</v>
      </c>
      <c r="AG2013" s="156" t="inlineStr">
        <is>
          <t>Catálogo existente</t>
        </is>
      </c>
      <c r="AH201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3" s="156" t="inlineStr">
        <is>
          <t>No</t>
        </is>
      </c>
      <c r="AJ2013" s="156" t="n"/>
      <c r="AK2013" s="155" t="inlineStr">
        <is>
          <t>Descripción y Criterios: G/H [P] | Criterios: J [R]; G1522_Extraccion_Articulos_NetSuite_2026-09-30.xlsx: fila 57318 [S] | Shopify Stetson: producto 14725931794795 / variante 52144844013931</t>
        </is>
      </c>
      <c r="AL2013" s="58" t="n">
        <v>795.2586207000001</v>
      </c>
      <c r="AM2013" s="58" t="n">
        <v>1767.241379</v>
      </c>
      <c r="AN2013" s="155" t="inlineStr">
        <is>
          <t>Shopify Stetson México</t>
        </is>
      </c>
      <c r="AO2013" s="59" t="n">
        <v>2</v>
      </c>
      <c r="AP2013" s="59" t="n"/>
      <c r="AQ2013" s="59" t="n"/>
      <c r="AR2013" s="155" t="inlineStr">
        <is>
          <t>Shopify Stetson México › Stetson México: 2</t>
        </is>
      </c>
    </row>
    <row r="2014">
      <c r="A2014" s="50" t="inlineStr">
        <is>
          <t>196070779097</t>
        </is>
      </c>
      <c r="B2014" s="51" t="inlineStr">
        <is>
          <t>109504</t>
        </is>
      </c>
      <c r="C2014" s="156" t="inlineStr">
        <is>
          <t>Multimarca</t>
        </is>
      </c>
      <c r="D2014" s="156" t="inlineStr">
        <is>
          <t>11-001-0425-2066</t>
        </is>
      </c>
      <c r="E2014" s="156" t="inlineStr">
        <is>
          <t>11-001-0425-2066-XXL</t>
        </is>
      </c>
      <c r="F2014" s="156" t="inlineStr">
        <is>
          <t>XXL</t>
        </is>
      </c>
      <c r="G2014" s="156" t="inlineStr">
        <is>
          <t>XXL</t>
        </is>
      </c>
      <c r="H2014" s="156" t="inlineStr">
        <is>
          <t>Stetson</t>
        </is>
      </c>
      <c r="I2014" s="156" t="inlineStr">
        <is>
          <t>Camisa Stetson Paisley Victoria</t>
        </is>
      </c>
      <c r="J2014" s="156" t="inlineStr">
        <is>
          <t>Ropa</t>
        </is>
      </c>
      <c r="K2014" s="156" t="inlineStr">
        <is>
          <t>Camisas</t>
        </is>
      </c>
      <c r="L2014" s="156" t="inlineStr">
        <is>
          <t>Hombre</t>
        </is>
      </c>
      <c r="M2014" s="156" t="inlineStr">
        <is>
          <t>Stetson</t>
        </is>
      </c>
      <c r="N2014" s="156" t="inlineStr">
        <is>
          <t>SS26</t>
        </is>
      </c>
      <c r="O2014" s="156" t="inlineStr">
        <is>
          <t>Seasonal</t>
        </is>
      </c>
      <c r="P2014" s="156" t="inlineStr">
        <is>
          <t>Rojo</t>
        </is>
      </c>
      <c r="Q2014" s="156" t="inlineStr">
        <is>
          <t>Clásico</t>
        </is>
      </c>
      <c r="R2014" s="156" t="n"/>
      <c r="S2014" s="156" t="inlineStr">
        <is>
          <t>100% Algodón</t>
        </is>
      </c>
      <c r="T2014"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4" s="156" t="n"/>
      <c r="V2014" s="156" t="inlineStr">
        <is>
          <t>PZS</t>
        </is>
      </c>
      <c r="W2014" s="51" t="inlineStr">
        <is>
          <t>53101600</t>
        </is>
      </c>
      <c r="X2014" s="156" t="inlineStr">
        <is>
          <t>https://cdn.shopify.com/s/files/1/0888/3250/8267/files/1100104252066a.jpg?v=1750952911</t>
        </is>
      </c>
      <c r="Y2014" s="54" t="n">
        <v>795.2586207000001</v>
      </c>
      <c r="Z2014" s="54" t="n">
        <v>1767.241379</v>
      </c>
      <c r="AA2014" s="55">
        <f>IF(AND(A2014="", B2014="", E2014=""), "", IF(AB2014="", "Válido", IF((LEN(AB2014)-LEN(SUBSTITUTE(AB2014,"; ","")))/2+1&gt;(LEN(AB2014)-LEN(SUBSTITUTE(AB2014,"[Aviso]","")))/7, "Con Incidencias", "Válido")))</f>
        <v/>
      </c>
      <c r="AB2014" s="56">
        <f>IF(AND(A2014="", B2014="", E2014=""), "", TEXTJOIN("; ", TRUE, IF(OR(TRIM(A2014&amp;"")="", ISNUMBER(SEARCH("FALTA", A2014))), "UPC faltante/inválido", ""), IF(AND(A2014&lt;&gt;"", IFERROR(_xlfn.XMATCH(A2014,$A$2:$A$2509,0,1)&lt;&gt;_xlfn.XMATCH(A2014,$A$2:$A$2509,0,-1),FALSE)), "Código de barras duplicado", ""), IF(AND(E2014&lt;&gt;"", COUNTIF($E$2:$E$2509, E2014)&gt;1), "SKU duplicado", ""), IF(OR(J2014="", J2014=""), "[Aviso] División no capturada ()", IF(ISNA(MATCH(J2014, Criterios!$A$123:$A$126, 0)), "División no válida", "")), IF(OR(K2014="", K2014=""), "[Aviso] Categoría no capturada ()", IF(ISNA(MATCH(K2014, Criterios!$A$81:$A$120, 0)), "Categoría no válida", IF(AND(J2014&lt;&gt;"", J2014&lt;&gt;"", J2014&lt;&gt;VLOOKUP(K2014, Criterios!$A$81:$B$120, 2, FALSE)), "División no coincide con Categoría", ""))), IF(OR(L2014="", L2014=""), "[Aviso] Género no capturado ()", IF(ISNA(MATCH(L2014, Criterios!$B$123:$B$127, 0)), "Género no válido", "")), IF(OR(N2014="", N2014=""), "[Aviso] Temporada no capturada ()", IF(ISNA(MATCH(N2014, Criterios!$C$123:$C$128, 0)), "Temporada no válida", "")), IF(OR(O2014="", O2014=""), "[Aviso] Ciclo de vida no capturado ()", IF(ISNA(MATCH(O2014, Criterios!$D$123:$D$124, 0)), "Ciclo de vida no válido", ""))))</f>
        <v/>
      </c>
      <c r="AC2014" s="56" t="n"/>
      <c r="AD2014" s="51" t="n">
        <v>2</v>
      </c>
      <c r="AE2014" s="156" t="inlineStr">
        <is>
          <t>B25 STETSON.MX (2)</t>
        </is>
      </c>
      <c r="AF2014" s="51" t="n">
        <v>2</v>
      </c>
      <c r="AG2014" s="156" t="inlineStr">
        <is>
          <t>Catálogo existente</t>
        </is>
      </c>
      <c r="AH201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4" s="156" t="inlineStr">
        <is>
          <t>No</t>
        </is>
      </c>
      <c r="AJ2014" s="156" t="n"/>
      <c r="AK2014" s="155" t="inlineStr">
        <is>
          <t>Descripción y Criterios: G/H [P] | Criterios: J [R]; G1522_Extraccion_Articulos_NetSuite_2026-09-30.xlsx: fila 57319 [S] | Shopify Stetson: producto 14725931794795 / variante 52144844046699</t>
        </is>
      </c>
      <c r="AL2014" s="58" t="n">
        <v>795.2586207000001</v>
      </c>
      <c r="AM2014" s="58" t="n">
        <v>1767.241379</v>
      </c>
      <c r="AN2014" s="155" t="inlineStr">
        <is>
          <t>Shopify Stetson México</t>
        </is>
      </c>
      <c r="AO2014" s="59" t="n">
        <v>2</v>
      </c>
      <c r="AP2014" s="59" t="n"/>
      <c r="AQ2014" s="59" t="n"/>
      <c r="AR2014" s="155" t="inlineStr">
        <is>
          <t>Shopify Stetson México › Stetson México: 2</t>
        </is>
      </c>
    </row>
    <row r="2015">
      <c r="A2015" s="50" t="inlineStr">
        <is>
          <t>196070779233</t>
        </is>
      </c>
      <c r="B2015" s="51" t="inlineStr">
        <is>
          <t>109576</t>
        </is>
      </c>
      <c r="C2015" s="156" t="inlineStr">
        <is>
          <t>Multimarca</t>
        </is>
      </c>
      <c r="D2015" s="156" t="inlineStr">
        <is>
          <t>11-001-0478-2030</t>
        </is>
      </c>
      <c r="E2015" s="156" t="inlineStr">
        <is>
          <t>11-001-0478-2030-L</t>
        </is>
      </c>
      <c r="F2015" s="156" t="inlineStr">
        <is>
          <t>L</t>
        </is>
      </c>
      <c r="G2015" s="156" t="inlineStr">
        <is>
          <t>L</t>
        </is>
      </c>
      <c r="H2015" s="156" t="inlineStr">
        <is>
          <t>Stetson</t>
        </is>
      </c>
      <c r="I2015" s="156" t="inlineStr">
        <is>
          <t>Camisa Stetson Moss Dobby</t>
        </is>
      </c>
      <c r="J2015" s="156" t="inlineStr">
        <is>
          <t>Ropa</t>
        </is>
      </c>
      <c r="K2015" s="156" t="inlineStr">
        <is>
          <t>Camisas</t>
        </is>
      </c>
      <c r="L2015" s="156" t="inlineStr">
        <is>
          <t>Hombre</t>
        </is>
      </c>
      <c r="M2015" s="156" t="inlineStr">
        <is>
          <t>Stetson</t>
        </is>
      </c>
      <c r="N2015" s="156" t="inlineStr">
        <is>
          <t>SS26</t>
        </is>
      </c>
      <c r="O2015" s="156" t="inlineStr">
        <is>
          <t>Seasonal</t>
        </is>
      </c>
      <c r="P2015" s="156" t="n"/>
      <c r="Q2015" s="156" t="inlineStr">
        <is>
          <t>Clásico</t>
        </is>
      </c>
      <c r="R2015" s="156" t="n"/>
      <c r="S2015" s="156" t="inlineStr">
        <is>
          <t>100% Algodón</t>
        </is>
      </c>
      <c r="T2015"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5" s="156" t="n"/>
      <c r="V2015" s="156" t="inlineStr">
        <is>
          <t>PZS</t>
        </is>
      </c>
      <c r="W2015" s="51" t="inlineStr">
        <is>
          <t>53101600</t>
        </is>
      </c>
      <c r="X2015" s="156" t="inlineStr">
        <is>
          <t>https://cdn.shopify.com/s/files/1/0888/3250/8267/files/1100104782030b.jpg?v=1750963132</t>
        </is>
      </c>
      <c r="Y2015" s="54" t="n">
        <v>795.2586207000001</v>
      </c>
      <c r="Z2015" s="54" t="n">
        <v>1767.241379</v>
      </c>
      <c r="AA2015" s="55">
        <f>IF(AND(A2015="", B2015="", E2015=""), "", IF(AB2015="", "Válido", IF((LEN(AB2015)-LEN(SUBSTITUTE(AB2015,"; ","")))/2+1&gt;(LEN(AB2015)-LEN(SUBSTITUTE(AB2015,"[Aviso]","")))/7, "Con Incidencias", "Válido")))</f>
        <v/>
      </c>
      <c r="AB2015" s="56">
        <f>IF(AND(A2015="", B2015="", E2015=""), "", TEXTJOIN("; ", TRUE, IF(OR(TRIM(A2015&amp;"")="", ISNUMBER(SEARCH("FALTA", A2015))), "UPC faltante/inválido", ""), IF(AND(A2015&lt;&gt;"", IFERROR(_xlfn.XMATCH(A2015,$A$2:$A$2509,0,1)&lt;&gt;_xlfn.XMATCH(A2015,$A$2:$A$2509,0,-1),FALSE)), "Código de barras duplicado", ""), IF(AND(E2015&lt;&gt;"", COUNTIF($E$2:$E$2509, E2015)&gt;1), "SKU duplicado", ""), IF(OR(J2015="", J2015=""), "[Aviso] División no capturada ()", IF(ISNA(MATCH(J2015, Criterios!$A$123:$A$126, 0)), "División no válida", "")), IF(OR(K2015="", K2015=""), "[Aviso] Categoría no capturada ()", IF(ISNA(MATCH(K2015, Criterios!$A$81:$A$120, 0)), "Categoría no válida", IF(AND(J2015&lt;&gt;"", J2015&lt;&gt;"", J2015&lt;&gt;VLOOKUP(K2015, Criterios!$A$81:$B$120, 2, FALSE)), "División no coincide con Categoría", ""))), IF(OR(L2015="", L2015=""), "[Aviso] Género no capturado ()", IF(ISNA(MATCH(L2015, Criterios!$B$123:$B$127, 0)), "Género no válido", "")), IF(OR(N2015="", N2015=""), "[Aviso] Temporada no capturada ()", IF(ISNA(MATCH(N2015, Criterios!$C$123:$C$128, 0)), "Temporada no válida", "")), IF(OR(O2015="", O2015=""), "[Aviso] Ciclo de vida no capturado ()", IF(ISNA(MATCH(O2015, Criterios!$D$123:$D$124, 0)), "Ciclo de vida no válido", ""))))</f>
        <v/>
      </c>
      <c r="AC2015" s="56" t="n"/>
      <c r="AD2015" s="51" t="n">
        <v>1</v>
      </c>
      <c r="AE2015" s="156" t="inlineStr">
        <is>
          <t>B25 STETSON.MX (1)</t>
        </is>
      </c>
      <c r="AF2015" s="51" t="n">
        <v>1</v>
      </c>
      <c r="AG2015" s="156" t="inlineStr">
        <is>
          <t>Catálogo existente</t>
        </is>
      </c>
      <c r="AH2015"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5" s="156" t="inlineStr">
        <is>
          <t>No</t>
        </is>
      </c>
      <c r="AJ2015" s="156" t="n"/>
      <c r="AK2015" s="155" t="inlineStr">
        <is>
          <t>Criterios: J [R]; G1522_Extraccion_Articulos_NetSuite_2026-09-30.xlsx: fila 57391 [S] | Shopify Stetson: producto 14725955879275 / variante 52144958112107</t>
        </is>
      </c>
      <c r="AL2015" s="58" t="n">
        <v>795.2586207000001</v>
      </c>
      <c r="AM2015" s="58" t="n">
        <v>1767.241379</v>
      </c>
      <c r="AN2015" s="155" t="inlineStr">
        <is>
          <t>Shopify Stetson México</t>
        </is>
      </c>
      <c r="AO2015" s="59" t="n">
        <v>1</v>
      </c>
      <c r="AP2015" s="59" t="n"/>
      <c r="AQ2015" s="59" t="n"/>
      <c r="AR2015" s="155" t="inlineStr">
        <is>
          <t>Shopify Stetson México › Stetson México: 1</t>
        </is>
      </c>
    </row>
    <row r="2016">
      <c r="A2016" s="50" t="inlineStr">
        <is>
          <t>196070779240</t>
        </is>
      </c>
      <c r="B2016" s="51" t="inlineStr">
        <is>
          <t>109577</t>
        </is>
      </c>
      <c r="C2016" s="156" t="inlineStr">
        <is>
          <t>Multimarca</t>
        </is>
      </c>
      <c r="D2016" s="156" t="inlineStr">
        <is>
          <t>11-001-0478-2030</t>
        </is>
      </c>
      <c r="E2016" s="156" t="inlineStr">
        <is>
          <t>11-001-0478-2030-M</t>
        </is>
      </c>
      <c r="F2016" s="156" t="inlineStr">
        <is>
          <t>M</t>
        </is>
      </c>
      <c r="G2016" s="156" t="inlineStr">
        <is>
          <t>M</t>
        </is>
      </c>
      <c r="H2016" s="156" t="inlineStr">
        <is>
          <t>Stetson</t>
        </is>
      </c>
      <c r="I2016" s="156" t="inlineStr">
        <is>
          <t>Camisa Stetson Moss Dobby</t>
        </is>
      </c>
      <c r="J2016" s="156" t="inlineStr">
        <is>
          <t>Ropa</t>
        </is>
      </c>
      <c r="K2016" s="156" t="inlineStr">
        <is>
          <t>Camisas</t>
        </is>
      </c>
      <c r="L2016" s="156" t="inlineStr">
        <is>
          <t>Hombre</t>
        </is>
      </c>
      <c r="M2016" s="156" t="inlineStr">
        <is>
          <t>Stetson</t>
        </is>
      </c>
      <c r="N2016" s="156" t="inlineStr">
        <is>
          <t>SS26</t>
        </is>
      </c>
      <c r="O2016" s="156" t="inlineStr">
        <is>
          <t>Seasonal</t>
        </is>
      </c>
      <c r="P2016" s="156" t="n"/>
      <c r="Q2016" s="156" t="inlineStr">
        <is>
          <t>Clásico</t>
        </is>
      </c>
      <c r="R2016" s="156" t="n"/>
      <c r="S2016" s="156" t="inlineStr">
        <is>
          <t>100% Algodón</t>
        </is>
      </c>
      <c r="T2016"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6" s="156" t="n"/>
      <c r="V2016" s="156" t="inlineStr">
        <is>
          <t>PZS</t>
        </is>
      </c>
      <c r="W2016" s="51" t="inlineStr">
        <is>
          <t>53101600</t>
        </is>
      </c>
      <c r="X2016" s="156" t="inlineStr">
        <is>
          <t>https://cdn.shopify.com/s/files/1/0888/3250/8267/files/1100104782030c.jpg?v=1750963125</t>
        </is>
      </c>
      <c r="Y2016" s="54" t="n">
        <v>795.2586207000001</v>
      </c>
      <c r="Z2016" s="54" t="n">
        <v>1767.241379</v>
      </c>
      <c r="AA2016" s="55">
        <f>IF(AND(A2016="", B2016="", E2016=""), "", IF(AB2016="", "Válido", IF((LEN(AB2016)-LEN(SUBSTITUTE(AB2016,"; ","")))/2+1&gt;(LEN(AB2016)-LEN(SUBSTITUTE(AB2016,"[Aviso]","")))/7, "Con Incidencias", "Válido")))</f>
        <v/>
      </c>
      <c r="AB2016" s="56">
        <f>IF(AND(A2016="", B2016="", E2016=""), "", TEXTJOIN("; ", TRUE, IF(OR(TRIM(A2016&amp;"")="", ISNUMBER(SEARCH("FALTA", A2016))), "UPC faltante/inválido", ""), IF(AND(A2016&lt;&gt;"", IFERROR(_xlfn.XMATCH(A2016,$A$2:$A$2509,0,1)&lt;&gt;_xlfn.XMATCH(A2016,$A$2:$A$2509,0,-1),FALSE)), "Código de barras duplicado", ""), IF(AND(E2016&lt;&gt;"", COUNTIF($E$2:$E$2509, E2016)&gt;1), "SKU duplicado", ""), IF(OR(J2016="", J2016=""), "[Aviso] División no capturada ()", IF(ISNA(MATCH(J2016, Criterios!$A$123:$A$126, 0)), "División no válida", "")), IF(OR(K2016="", K2016=""), "[Aviso] Categoría no capturada ()", IF(ISNA(MATCH(K2016, Criterios!$A$81:$A$120, 0)), "Categoría no válida", IF(AND(J2016&lt;&gt;"", J2016&lt;&gt;"", J2016&lt;&gt;VLOOKUP(K2016, Criterios!$A$81:$B$120, 2, FALSE)), "División no coincide con Categoría", ""))), IF(OR(L2016="", L2016=""), "[Aviso] Género no capturado ()", IF(ISNA(MATCH(L2016, Criterios!$B$123:$B$127, 0)), "Género no válido", "")), IF(OR(N2016="", N2016=""), "[Aviso] Temporada no capturada ()", IF(ISNA(MATCH(N2016, Criterios!$C$123:$C$128, 0)), "Temporada no válida", "")), IF(OR(O2016="", O2016=""), "[Aviso] Ciclo de vida no capturado ()", IF(ISNA(MATCH(O2016, Criterios!$D$123:$D$124, 0)), "Ciclo de vida no válido", ""))))</f>
        <v/>
      </c>
      <c r="AC2016" s="56" t="n"/>
      <c r="AD2016" s="51" t="n">
        <v>0</v>
      </c>
      <c r="AE2016" s="156" t="n"/>
      <c r="AF2016" s="51" t="n">
        <v>0</v>
      </c>
      <c r="AG2016" s="156" t="inlineStr">
        <is>
          <t>Catálogo existente</t>
        </is>
      </c>
      <c r="AH201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6" s="156" t="inlineStr">
        <is>
          <t>No</t>
        </is>
      </c>
      <c r="AJ2016" s="156" t="n"/>
      <c r="AK2016" s="155" t="inlineStr">
        <is>
          <t>Criterios: J [R]; G1522_Extraccion_Articulos_NetSuite_2026-09-30.xlsx: fila 57392 [S] | Shopify Stetson: producto 14725955879275 / variante 52144958079339</t>
        </is>
      </c>
      <c r="AL2016" s="58" t="n">
        <v>795.2586207000001</v>
      </c>
      <c r="AM2016" s="58" t="n">
        <v>1767.241379</v>
      </c>
      <c r="AN2016" s="155" t="inlineStr">
        <is>
          <t>Shopify Stetson México</t>
        </is>
      </c>
      <c r="AO2016" s="59" t="n">
        <v>0</v>
      </c>
      <c r="AP2016" s="59" t="n"/>
      <c r="AQ2016" s="59" t="n"/>
      <c r="AR2016" s="155" t="n"/>
    </row>
    <row r="2017">
      <c r="A2017" s="50" t="inlineStr">
        <is>
          <t>196070779257</t>
        </is>
      </c>
      <c r="B2017" s="51" t="inlineStr">
        <is>
          <t>109578</t>
        </is>
      </c>
      <c r="C2017" s="156" t="inlineStr">
        <is>
          <t>Multimarca</t>
        </is>
      </c>
      <c r="D2017" s="156" t="inlineStr">
        <is>
          <t>11-001-0478-2030</t>
        </is>
      </c>
      <c r="E2017" s="156" t="inlineStr">
        <is>
          <t>11-001-0478-2030-S</t>
        </is>
      </c>
      <c r="F2017" s="156" t="inlineStr">
        <is>
          <t>S</t>
        </is>
      </c>
      <c r="G2017" s="156" t="inlineStr">
        <is>
          <t>S</t>
        </is>
      </c>
      <c r="H2017" s="156" t="inlineStr">
        <is>
          <t>Stetson</t>
        </is>
      </c>
      <c r="I2017" s="156" t="inlineStr">
        <is>
          <t>Camisa Stetson Moss Dobby</t>
        </is>
      </c>
      <c r="J2017" s="156" t="inlineStr">
        <is>
          <t>Ropa</t>
        </is>
      </c>
      <c r="K2017" s="156" t="inlineStr">
        <is>
          <t>Camisas</t>
        </is>
      </c>
      <c r="L2017" s="156" t="inlineStr">
        <is>
          <t>Hombre</t>
        </is>
      </c>
      <c r="M2017" s="156" t="inlineStr">
        <is>
          <t>Stetson</t>
        </is>
      </c>
      <c r="N2017" s="156" t="inlineStr">
        <is>
          <t>SS26</t>
        </is>
      </c>
      <c r="O2017" s="156" t="inlineStr">
        <is>
          <t>Seasonal</t>
        </is>
      </c>
      <c r="P2017" s="156" t="n"/>
      <c r="Q2017" s="156" t="inlineStr">
        <is>
          <t>Clásico</t>
        </is>
      </c>
      <c r="R2017" s="156" t="n"/>
      <c r="S2017" s="156" t="inlineStr">
        <is>
          <t>100% Algodón</t>
        </is>
      </c>
      <c r="T2017"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7" s="156" t="n"/>
      <c r="V2017" s="156" t="inlineStr">
        <is>
          <t>PZS</t>
        </is>
      </c>
      <c r="W2017" s="51" t="inlineStr">
        <is>
          <t>53101600</t>
        </is>
      </c>
      <c r="X2017" s="156" t="inlineStr">
        <is>
          <t>https://cdn.shopify.com/s/files/1/0888/3250/8267/files/1100104782030a.jpg?v=1750963118</t>
        </is>
      </c>
      <c r="Y2017" s="54" t="n">
        <v>795.2586207000001</v>
      </c>
      <c r="Z2017" s="54" t="n">
        <v>1767.241379</v>
      </c>
      <c r="AA2017" s="55">
        <f>IF(AND(A2017="", B2017="", E2017=""), "", IF(AB2017="", "Válido", IF((LEN(AB2017)-LEN(SUBSTITUTE(AB2017,"; ","")))/2+1&gt;(LEN(AB2017)-LEN(SUBSTITUTE(AB2017,"[Aviso]","")))/7, "Con Incidencias", "Válido")))</f>
        <v/>
      </c>
      <c r="AB2017" s="56">
        <f>IF(AND(A2017="", B2017="", E2017=""), "", TEXTJOIN("; ", TRUE, IF(OR(TRIM(A2017&amp;"")="", ISNUMBER(SEARCH("FALTA", A2017))), "UPC faltante/inválido", ""), IF(AND(A2017&lt;&gt;"", IFERROR(_xlfn.XMATCH(A2017,$A$2:$A$2509,0,1)&lt;&gt;_xlfn.XMATCH(A2017,$A$2:$A$2509,0,-1),FALSE)), "Código de barras duplicado", ""), IF(AND(E2017&lt;&gt;"", COUNTIF($E$2:$E$2509, E2017)&gt;1), "SKU duplicado", ""), IF(OR(J2017="", J2017=""), "[Aviso] División no capturada ()", IF(ISNA(MATCH(J2017, Criterios!$A$123:$A$126, 0)), "División no válida", "")), IF(OR(K2017="", K2017=""), "[Aviso] Categoría no capturada ()", IF(ISNA(MATCH(K2017, Criterios!$A$81:$A$120, 0)), "Categoría no válida", IF(AND(J2017&lt;&gt;"", J2017&lt;&gt;"", J2017&lt;&gt;VLOOKUP(K2017, Criterios!$A$81:$B$120, 2, FALSE)), "División no coincide con Categoría", ""))), IF(OR(L2017="", L2017=""), "[Aviso] Género no capturado ()", IF(ISNA(MATCH(L2017, Criterios!$B$123:$B$127, 0)), "Género no válido", "")), IF(OR(N2017="", N2017=""), "[Aviso] Temporada no capturada ()", IF(ISNA(MATCH(N2017, Criterios!$C$123:$C$128, 0)), "Temporada no válida", "")), IF(OR(O2017="", O2017=""), "[Aviso] Ciclo de vida no capturado ()", IF(ISNA(MATCH(O2017, Criterios!$D$123:$D$124, 0)), "Ciclo de vida no válido", ""))))</f>
        <v/>
      </c>
      <c r="AC2017" s="56" t="n"/>
      <c r="AD2017" s="51" t="n">
        <v>2</v>
      </c>
      <c r="AE2017" s="156" t="inlineStr">
        <is>
          <t>B25 STETSON.MX (2)</t>
        </is>
      </c>
      <c r="AF2017" s="51" t="n">
        <v>2</v>
      </c>
      <c r="AG2017" s="156" t="inlineStr">
        <is>
          <t>Catálogo existente</t>
        </is>
      </c>
      <c r="AH201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7" s="156" t="inlineStr">
        <is>
          <t>No</t>
        </is>
      </c>
      <c r="AJ2017" s="156" t="n"/>
      <c r="AK2017" s="155" t="inlineStr">
        <is>
          <t>Criterios: J [R]; G1522_Extraccion_Articulos_NetSuite_2026-09-30.xlsx: fila 57393 [S] | Shopify Stetson: producto 14725955879275 / variante 52144958046571</t>
        </is>
      </c>
      <c r="AL2017" s="58" t="n">
        <v>795.2586207000001</v>
      </c>
      <c r="AM2017" s="58" t="n">
        <v>1767.241379</v>
      </c>
      <c r="AN2017" s="155" t="inlineStr">
        <is>
          <t>Shopify Stetson México</t>
        </is>
      </c>
      <c r="AO2017" s="59" t="n">
        <v>2</v>
      </c>
      <c r="AP2017" s="59" t="n"/>
      <c r="AQ2017" s="59" t="n"/>
      <c r="AR2017" s="155" t="inlineStr">
        <is>
          <t>Shopify Stetson México › Stetson México: 2</t>
        </is>
      </c>
    </row>
    <row r="2018">
      <c r="A2018" s="50" t="inlineStr">
        <is>
          <t>196070779264</t>
        </is>
      </c>
      <c r="B2018" s="51" t="inlineStr">
        <is>
          <t>109579</t>
        </is>
      </c>
      <c r="C2018" s="156" t="inlineStr">
        <is>
          <t>Multimarca</t>
        </is>
      </c>
      <c r="D2018" s="156" t="inlineStr">
        <is>
          <t>11-001-0478-2030</t>
        </is>
      </c>
      <c r="E2018" s="156" t="inlineStr">
        <is>
          <t>11-001-0478-2030-XL</t>
        </is>
      </c>
      <c r="F2018" s="156" t="inlineStr">
        <is>
          <t>XL</t>
        </is>
      </c>
      <c r="G2018" s="156" t="inlineStr">
        <is>
          <t>XL</t>
        </is>
      </c>
      <c r="H2018" s="156" t="inlineStr">
        <is>
          <t>Stetson</t>
        </is>
      </c>
      <c r="I2018" s="156" t="inlineStr">
        <is>
          <t>Camisa Stetson Moss Dobby</t>
        </is>
      </c>
      <c r="J2018" s="156" t="inlineStr">
        <is>
          <t>Ropa</t>
        </is>
      </c>
      <c r="K2018" s="156" t="inlineStr">
        <is>
          <t>Camisas</t>
        </is>
      </c>
      <c r="L2018" s="156" t="inlineStr">
        <is>
          <t>Hombre</t>
        </is>
      </c>
      <c r="M2018" s="156" t="inlineStr">
        <is>
          <t>Stetson</t>
        </is>
      </c>
      <c r="N2018" s="156" t="inlineStr">
        <is>
          <t>SS26</t>
        </is>
      </c>
      <c r="O2018" s="156" t="inlineStr">
        <is>
          <t>Seasonal</t>
        </is>
      </c>
      <c r="P2018" s="156" t="n"/>
      <c r="Q2018" s="156" t="inlineStr">
        <is>
          <t>Clásico</t>
        </is>
      </c>
      <c r="R2018" s="156" t="n"/>
      <c r="S2018" s="156" t="inlineStr">
        <is>
          <t>100% Algodón</t>
        </is>
      </c>
      <c r="T2018"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8" s="156" t="n"/>
      <c r="V2018" s="156" t="inlineStr">
        <is>
          <t>PZS</t>
        </is>
      </c>
      <c r="W2018" s="51" t="inlineStr">
        <is>
          <t>53101600</t>
        </is>
      </c>
      <c r="X2018" s="156" t="inlineStr">
        <is>
          <t>https://cdn.shopify.com/s/files/1/0888/3250/8267/files/1100104782030a.jpg?v=1750963118</t>
        </is>
      </c>
      <c r="Y2018" s="54" t="n">
        <v>795.2586207000001</v>
      </c>
      <c r="Z2018" s="54" t="n">
        <v>1767.241379</v>
      </c>
      <c r="AA2018" s="55">
        <f>IF(AND(A2018="", B2018="", E2018=""), "", IF(AB2018="", "Válido", IF((LEN(AB2018)-LEN(SUBSTITUTE(AB2018,"; ","")))/2+1&gt;(LEN(AB2018)-LEN(SUBSTITUTE(AB2018,"[Aviso]","")))/7, "Con Incidencias", "Válido")))</f>
        <v/>
      </c>
      <c r="AB2018" s="56">
        <f>IF(AND(A2018="", B2018="", E2018=""), "", TEXTJOIN("; ", TRUE, IF(OR(TRIM(A2018&amp;"")="", ISNUMBER(SEARCH("FALTA", A2018))), "UPC faltante/inválido", ""), IF(AND(A2018&lt;&gt;"", IFERROR(_xlfn.XMATCH(A2018,$A$2:$A$2509,0,1)&lt;&gt;_xlfn.XMATCH(A2018,$A$2:$A$2509,0,-1),FALSE)), "Código de barras duplicado", ""), IF(AND(E2018&lt;&gt;"", COUNTIF($E$2:$E$2509, E2018)&gt;1), "SKU duplicado", ""), IF(OR(J2018="", J2018=""), "[Aviso] División no capturada ()", IF(ISNA(MATCH(J2018, Criterios!$A$123:$A$126, 0)), "División no válida", "")), IF(OR(K2018="", K2018=""), "[Aviso] Categoría no capturada ()", IF(ISNA(MATCH(K2018, Criterios!$A$81:$A$120, 0)), "Categoría no válida", IF(AND(J2018&lt;&gt;"", J2018&lt;&gt;"", J2018&lt;&gt;VLOOKUP(K2018, Criterios!$A$81:$B$120, 2, FALSE)), "División no coincide con Categoría", ""))), IF(OR(L2018="", L2018=""), "[Aviso] Género no capturado ()", IF(ISNA(MATCH(L2018, Criterios!$B$123:$B$127, 0)), "Género no válido", "")), IF(OR(N2018="", N2018=""), "[Aviso] Temporada no capturada ()", IF(ISNA(MATCH(N2018, Criterios!$C$123:$C$128, 0)), "Temporada no válida", "")), IF(OR(O2018="", O2018=""), "[Aviso] Ciclo de vida no capturado ()", IF(ISNA(MATCH(O2018, Criterios!$D$123:$D$124, 0)), "Ciclo de vida no válido", ""))))</f>
        <v/>
      </c>
      <c r="AC2018" s="56" t="n"/>
      <c r="AD2018" s="51" t="n">
        <v>1</v>
      </c>
      <c r="AE2018" s="156" t="inlineStr">
        <is>
          <t>B25 STETSON.MX (1)</t>
        </is>
      </c>
      <c r="AF2018" s="51" t="n">
        <v>1</v>
      </c>
      <c r="AG2018" s="156" t="inlineStr">
        <is>
          <t>Catálogo existente</t>
        </is>
      </c>
      <c r="AH2018"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18" s="156" t="inlineStr">
        <is>
          <t>No</t>
        </is>
      </c>
      <c r="AJ2018" s="156" t="n"/>
      <c r="AK2018" s="155" t="inlineStr">
        <is>
          <t>Criterios: J [R]; G1522_Extraccion_Articulos_NetSuite_2026-09-30.xlsx: fila 57394 [S] | Shopify Stetson: producto 14725955879275 / variante 52144958144875</t>
        </is>
      </c>
      <c r="AL2018" s="58" t="n">
        <v>795.2586207000001</v>
      </c>
      <c r="AM2018" s="58" t="n">
        <v>1767.241379</v>
      </c>
      <c r="AN2018" s="155" t="inlineStr">
        <is>
          <t>Shopify Stetson México</t>
        </is>
      </c>
      <c r="AO2018" s="59" t="n">
        <v>1</v>
      </c>
      <c r="AP2018" s="59" t="n"/>
      <c r="AQ2018" s="59" t="n"/>
      <c r="AR2018" s="155" t="inlineStr">
        <is>
          <t>Shopify Stetson México › Stetson México: 1</t>
        </is>
      </c>
    </row>
    <row r="2019">
      <c r="A2019" s="50" t="inlineStr">
        <is>
          <t>196070779271</t>
        </is>
      </c>
      <c r="B2019" s="51" t="inlineStr">
        <is>
          <t>109580</t>
        </is>
      </c>
      <c r="C2019" s="156" t="inlineStr">
        <is>
          <t>Multimarca</t>
        </is>
      </c>
      <c r="D2019" s="156" t="inlineStr">
        <is>
          <t>11-001-0478-2030</t>
        </is>
      </c>
      <c r="E2019" s="156" t="inlineStr">
        <is>
          <t>11-001-0478-2030-XXL</t>
        </is>
      </c>
      <c r="F2019" s="156" t="inlineStr">
        <is>
          <t>XXL</t>
        </is>
      </c>
      <c r="G2019" s="156" t="inlineStr">
        <is>
          <t>XXL</t>
        </is>
      </c>
      <c r="H2019" s="156" t="inlineStr">
        <is>
          <t>Stetson</t>
        </is>
      </c>
      <c r="I2019" s="156" t="inlineStr">
        <is>
          <t>Camisa Stetson Moss Dobby</t>
        </is>
      </c>
      <c r="J2019" s="156" t="inlineStr">
        <is>
          <t>Ropa</t>
        </is>
      </c>
      <c r="K2019" s="156" t="inlineStr">
        <is>
          <t>Camisas</t>
        </is>
      </c>
      <c r="L2019" s="156" t="inlineStr">
        <is>
          <t>Hombre</t>
        </is>
      </c>
      <c r="M2019" s="156" t="inlineStr">
        <is>
          <t>Stetson</t>
        </is>
      </c>
      <c r="N2019" s="156" t="inlineStr">
        <is>
          <t>SS26</t>
        </is>
      </c>
      <c r="O2019" s="156" t="inlineStr">
        <is>
          <t>Seasonal</t>
        </is>
      </c>
      <c r="P2019" s="156" t="n"/>
      <c r="Q2019" s="156" t="inlineStr">
        <is>
          <t>Clásico</t>
        </is>
      </c>
      <c r="R2019" s="156" t="n"/>
      <c r="S2019" s="156" t="inlineStr">
        <is>
          <t>100% Algodón</t>
        </is>
      </c>
      <c r="T2019"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9" s="156" t="n"/>
      <c r="V2019" s="156" t="inlineStr">
        <is>
          <t>PZS</t>
        </is>
      </c>
      <c r="W2019" s="51" t="inlineStr">
        <is>
          <t>53101600</t>
        </is>
      </c>
      <c r="X2019" s="156" t="inlineStr">
        <is>
          <t>https://cdn.shopify.com/s/files/1/0888/3250/8267/files/1100104782030a.jpg?v=1750963118</t>
        </is>
      </c>
      <c r="Y2019" s="54" t="n">
        <v>795.2586207000001</v>
      </c>
      <c r="Z2019" s="54" t="n">
        <v>1767.241379</v>
      </c>
      <c r="AA2019" s="55">
        <f>IF(AND(A2019="", B2019="", E2019=""), "", IF(AB2019="", "Válido", IF((LEN(AB2019)-LEN(SUBSTITUTE(AB2019,"; ","")))/2+1&gt;(LEN(AB2019)-LEN(SUBSTITUTE(AB2019,"[Aviso]","")))/7, "Con Incidencias", "Válido")))</f>
        <v/>
      </c>
      <c r="AB2019" s="56">
        <f>IF(AND(A2019="", B2019="", E2019=""), "", TEXTJOIN("; ", TRUE, IF(OR(TRIM(A2019&amp;"")="", ISNUMBER(SEARCH("FALTA", A2019))), "UPC faltante/inválido", ""), IF(AND(A2019&lt;&gt;"", IFERROR(_xlfn.XMATCH(A2019,$A$2:$A$2509,0,1)&lt;&gt;_xlfn.XMATCH(A2019,$A$2:$A$2509,0,-1),FALSE)), "Código de barras duplicado", ""), IF(AND(E2019&lt;&gt;"", COUNTIF($E$2:$E$2509, E2019)&gt;1), "SKU duplicado", ""), IF(OR(J2019="", J2019=""), "[Aviso] División no capturada ()", IF(ISNA(MATCH(J2019, Criterios!$A$123:$A$126, 0)), "División no válida", "")), IF(OR(K2019="", K2019=""), "[Aviso] Categoría no capturada ()", IF(ISNA(MATCH(K2019, Criterios!$A$81:$A$120, 0)), "Categoría no válida", IF(AND(J2019&lt;&gt;"", J2019&lt;&gt;"", J2019&lt;&gt;VLOOKUP(K2019, Criterios!$A$81:$B$120, 2, FALSE)), "División no coincide con Categoría", ""))), IF(OR(L2019="", L2019=""), "[Aviso] Género no capturado ()", IF(ISNA(MATCH(L2019, Criterios!$B$123:$B$127, 0)), "Género no válido", "")), IF(OR(N2019="", N2019=""), "[Aviso] Temporada no capturada ()", IF(ISNA(MATCH(N2019, Criterios!$C$123:$C$128, 0)), "Temporada no válida", "")), IF(OR(O2019="", O2019=""), "[Aviso] Ciclo de vida no capturado ()", IF(ISNA(MATCH(O2019, Criterios!$D$123:$D$124, 0)), "Ciclo de vida no válido", ""))))</f>
        <v/>
      </c>
      <c r="AC2019" s="56" t="n"/>
      <c r="AD2019" s="51" t="n">
        <v>2</v>
      </c>
      <c r="AE2019" s="156" t="inlineStr">
        <is>
          <t>B25 STETSON.MX (2)</t>
        </is>
      </c>
      <c r="AF2019" s="51" t="n">
        <v>2</v>
      </c>
      <c r="AG2019" s="156" t="inlineStr">
        <is>
          <t>Catálogo existente</t>
        </is>
      </c>
      <c r="AH201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19" s="156" t="inlineStr">
        <is>
          <t>No</t>
        </is>
      </c>
      <c r="AJ2019" s="156" t="n"/>
      <c r="AK2019" s="155" t="inlineStr">
        <is>
          <t>Criterios: J [R]; G1522_Extraccion_Articulos_NetSuite_2026-09-30.xlsx: fila 57395 [S] | Shopify Stetson: producto 14725955879275 / variante 52144958177643</t>
        </is>
      </c>
      <c r="AL2019" s="58" t="n">
        <v>795.2586207000001</v>
      </c>
      <c r="AM2019" s="58" t="n">
        <v>1767.241379</v>
      </c>
      <c r="AN2019" s="155" t="inlineStr">
        <is>
          <t>Shopify Stetson México</t>
        </is>
      </c>
      <c r="AO2019" s="59" t="n">
        <v>2</v>
      </c>
      <c r="AP2019" s="59" t="n"/>
      <c r="AQ2019" s="59" t="n"/>
      <c r="AR2019" s="155" t="inlineStr">
        <is>
          <t>Shopify Stetson México › Stetson México: 2</t>
        </is>
      </c>
    </row>
    <row r="2020">
      <c r="A2020" s="50" t="inlineStr">
        <is>
          <t>196070779295</t>
        </is>
      </c>
      <c r="B2020" s="51" t="inlineStr">
        <is>
          <t>109581</t>
        </is>
      </c>
      <c r="C2020" s="156" t="inlineStr">
        <is>
          <t>Multimarca</t>
        </is>
      </c>
      <c r="D2020" s="156" t="inlineStr">
        <is>
          <t>11-001-0478-2031</t>
        </is>
      </c>
      <c r="E2020" s="156" t="inlineStr">
        <is>
          <t>11-001-0478-2031-L</t>
        </is>
      </c>
      <c r="F2020" s="156" t="inlineStr">
        <is>
          <t>L</t>
        </is>
      </c>
      <c r="G2020" s="156" t="inlineStr">
        <is>
          <t>L</t>
        </is>
      </c>
      <c r="H2020" s="156" t="inlineStr">
        <is>
          <t>Stetson</t>
        </is>
      </c>
      <c r="I2020" s="156" t="inlineStr">
        <is>
          <t>Camisa Stetson Diamond Ranch</t>
        </is>
      </c>
      <c r="J2020" s="156" t="inlineStr">
        <is>
          <t>Ropa</t>
        </is>
      </c>
      <c r="K2020" s="156" t="inlineStr">
        <is>
          <t>Camisas</t>
        </is>
      </c>
      <c r="L2020" s="156" t="inlineStr">
        <is>
          <t>Hombre</t>
        </is>
      </c>
      <c r="M2020" s="156" t="inlineStr">
        <is>
          <t>Stetson</t>
        </is>
      </c>
      <c r="N2020" s="156" t="inlineStr">
        <is>
          <t>SS26</t>
        </is>
      </c>
      <c r="O2020" s="156" t="inlineStr">
        <is>
          <t>Seasonal</t>
        </is>
      </c>
      <c r="P2020" s="156" t="n"/>
      <c r="Q2020" s="156" t="inlineStr">
        <is>
          <t>Regular</t>
        </is>
      </c>
      <c r="R2020" s="156" t="n"/>
      <c r="S2020" s="156" t="n"/>
      <c r="T2020"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0" s="156" t="n"/>
      <c r="V2020" s="156" t="inlineStr">
        <is>
          <t>PZS</t>
        </is>
      </c>
      <c r="W2020" s="51" t="inlineStr">
        <is>
          <t>53101600</t>
        </is>
      </c>
      <c r="X2020" s="156" t="inlineStr">
        <is>
          <t>https://cdn.shopify.com/s/files/1/0888/3250/8267/files/1100104782031b.jpg?v=1750965250</t>
        </is>
      </c>
      <c r="Y2020" s="54" t="n">
        <v>795.2586207000001</v>
      </c>
      <c r="Z2020" s="54" t="n">
        <v>1767.241379</v>
      </c>
      <c r="AA2020" s="55">
        <f>IF(AND(A2020="", B2020="", E2020=""), "", IF(AB2020="", "Válido", IF((LEN(AB2020)-LEN(SUBSTITUTE(AB2020,"; ","")))/2+1&gt;(LEN(AB2020)-LEN(SUBSTITUTE(AB2020,"[Aviso]","")))/7, "Con Incidencias", "Válido")))</f>
        <v/>
      </c>
      <c r="AB2020" s="56">
        <f>IF(AND(A2020="", B2020="", E2020=""), "", TEXTJOIN("; ", TRUE, IF(OR(TRIM(A2020&amp;"")="", ISNUMBER(SEARCH("FALTA", A2020))), "UPC faltante/inválido", ""), IF(AND(A2020&lt;&gt;"", IFERROR(_xlfn.XMATCH(A2020,$A$2:$A$2509,0,1)&lt;&gt;_xlfn.XMATCH(A2020,$A$2:$A$2509,0,-1),FALSE)), "Código de barras duplicado", ""), IF(AND(E2020&lt;&gt;"", COUNTIF($E$2:$E$2509, E2020)&gt;1), "SKU duplicado", ""), IF(OR(J2020="", J2020=""), "[Aviso] División no capturada ()", IF(ISNA(MATCH(J2020, Criterios!$A$123:$A$126, 0)), "División no válida", "")), IF(OR(K2020="", K2020=""), "[Aviso] Categoría no capturada ()", IF(ISNA(MATCH(K2020, Criterios!$A$81:$A$120, 0)), "Categoría no válida", IF(AND(J2020&lt;&gt;"", J2020&lt;&gt;"", J2020&lt;&gt;VLOOKUP(K2020, Criterios!$A$81:$B$120, 2, FALSE)), "División no coincide con Categoría", ""))), IF(OR(L2020="", L2020=""), "[Aviso] Género no capturado ()", IF(ISNA(MATCH(L2020, Criterios!$B$123:$B$127, 0)), "Género no válido", "")), IF(OR(N2020="", N2020=""), "[Aviso] Temporada no capturada ()", IF(ISNA(MATCH(N2020, Criterios!$C$123:$C$128, 0)), "Temporada no válida", "")), IF(OR(O2020="", O2020=""), "[Aviso] Ciclo de vida no capturado ()", IF(ISNA(MATCH(O2020, Criterios!$D$123:$D$124, 0)), "Ciclo de vida no válido", ""))))</f>
        <v/>
      </c>
      <c r="AC2020" s="56" t="n"/>
      <c r="AD2020" s="51" t="n">
        <v>0</v>
      </c>
      <c r="AE2020" s="156" t="n"/>
      <c r="AF2020" s="51" t="n">
        <v>0</v>
      </c>
      <c r="AG2020" s="156" t="inlineStr">
        <is>
          <t>Catálogo existente</t>
        </is>
      </c>
      <c r="AH2020" s="156" t="inlineStr">
        <is>
          <t>Revisión 29/09/2026: Campos sin respaldo: P, S, U; Auditoría NetSuite 30/09/2026: llenado desde NetSuite [T] | 01/10/2026: complementado desde Shopify Stetson México (match por código de barras): WB Silueta</t>
        </is>
      </c>
      <c r="AI2020" s="156" t="inlineStr">
        <is>
          <t>No</t>
        </is>
      </c>
      <c r="AJ2020" s="156" t="n"/>
      <c r="AK2020" s="155" t="inlineStr">
        <is>
          <t>Criterios: J [R]; G1522_Extraccion_Articulos_NetSuite_2026-09-30.xlsx: fila 57396 [T] | Shopify Stetson: producto 14725965906283 / variante 52144990585195</t>
        </is>
      </c>
      <c r="AL2020" s="58" t="n">
        <v>795.2586207000001</v>
      </c>
      <c r="AM2020" s="58" t="n">
        <v>1767.241379</v>
      </c>
      <c r="AN2020" s="155" t="inlineStr">
        <is>
          <t>Shopify Stetson México</t>
        </is>
      </c>
      <c r="AO2020" s="59" t="n">
        <v>0</v>
      </c>
      <c r="AP2020" s="59" t="n"/>
      <c r="AQ2020" s="59" t="n"/>
      <c r="AR2020" s="155" t="n"/>
    </row>
    <row r="2021">
      <c r="A2021" s="50" t="inlineStr">
        <is>
          <t>196070779301</t>
        </is>
      </c>
      <c r="B2021" s="51" t="inlineStr">
        <is>
          <t>109582</t>
        </is>
      </c>
      <c r="C2021" s="156" t="inlineStr">
        <is>
          <t>Multimarca</t>
        </is>
      </c>
      <c r="D2021" s="156" t="inlineStr">
        <is>
          <t>11-001-0478-2031</t>
        </is>
      </c>
      <c r="E2021" s="156" t="inlineStr">
        <is>
          <t>11-001-0478-2031-M</t>
        </is>
      </c>
      <c r="F2021" s="156" t="inlineStr">
        <is>
          <t>M</t>
        </is>
      </c>
      <c r="G2021" s="156" t="inlineStr">
        <is>
          <t>M</t>
        </is>
      </c>
      <c r="H2021" s="156" t="inlineStr">
        <is>
          <t>Stetson</t>
        </is>
      </c>
      <c r="I2021" s="156" t="inlineStr">
        <is>
          <t>Camisa Stetson Diamond Ranch</t>
        </is>
      </c>
      <c r="J2021" s="156" t="inlineStr">
        <is>
          <t>Ropa</t>
        </is>
      </c>
      <c r="K2021" s="156" t="inlineStr">
        <is>
          <t>Camisas</t>
        </is>
      </c>
      <c r="L2021" s="156" t="inlineStr">
        <is>
          <t>Hombre</t>
        </is>
      </c>
      <c r="M2021" s="156" t="inlineStr">
        <is>
          <t>Stetson</t>
        </is>
      </c>
      <c r="N2021" s="156" t="inlineStr">
        <is>
          <t>SS26</t>
        </is>
      </c>
      <c r="O2021" s="156" t="inlineStr">
        <is>
          <t>Seasonal</t>
        </is>
      </c>
      <c r="P2021" s="156" t="n"/>
      <c r="Q2021" s="156" t="inlineStr">
        <is>
          <t>Clásico</t>
        </is>
      </c>
      <c r="R2021" s="156" t="n"/>
      <c r="S2021" s="156" t="n"/>
      <c r="T2021"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1" s="156" t="n"/>
      <c r="V2021" s="156" t="inlineStr">
        <is>
          <t>PZS</t>
        </is>
      </c>
      <c r="W2021" s="51" t="inlineStr">
        <is>
          <t>53101600</t>
        </is>
      </c>
      <c r="X2021" s="156" t="inlineStr">
        <is>
          <t>https://cdn.shopify.com/s/files/1/0888/3250/8267/files/1100104782031c.jpg?v=1750965243</t>
        </is>
      </c>
      <c r="Y2021" s="54" t="n">
        <v>795.2586207000001</v>
      </c>
      <c r="Z2021" s="54" t="n">
        <v>1767.241379</v>
      </c>
      <c r="AA2021" s="55">
        <f>IF(AND(A2021="", B2021="", E2021=""), "", IF(AB2021="", "Válido", IF((LEN(AB2021)-LEN(SUBSTITUTE(AB2021,"; ","")))/2+1&gt;(LEN(AB2021)-LEN(SUBSTITUTE(AB2021,"[Aviso]","")))/7, "Con Incidencias", "Válido")))</f>
        <v/>
      </c>
      <c r="AB2021" s="56">
        <f>IF(AND(A2021="", B2021="", E2021=""), "", TEXTJOIN("; ", TRUE, IF(OR(TRIM(A2021&amp;"")="", ISNUMBER(SEARCH("FALTA", A2021))), "UPC faltante/inválido", ""), IF(AND(A2021&lt;&gt;"", IFERROR(_xlfn.XMATCH(A2021,$A$2:$A$2509,0,1)&lt;&gt;_xlfn.XMATCH(A2021,$A$2:$A$2509,0,-1),FALSE)), "Código de barras duplicado", ""), IF(AND(E2021&lt;&gt;"", COUNTIF($E$2:$E$2509, E2021)&gt;1), "SKU duplicado", ""), IF(OR(J2021="", J2021=""), "[Aviso] División no capturada ()", IF(ISNA(MATCH(J2021, Criterios!$A$123:$A$126, 0)), "División no válida", "")), IF(OR(K2021="", K2021=""), "[Aviso] Categoría no capturada ()", IF(ISNA(MATCH(K2021, Criterios!$A$81:$A$120, 0)), "Categoría no válida", IF(AND(J2021&lt;&gt;"", J2021&lt;&gt;"", J2021&lt;&gt;VLOOKUP(K2021, Criterios!$A$81:$B$120, 2, FALSE)), "División no coincide con Categoría", ""))), IF(OR(L2021="", L2021=""), "[Aviso] Género no capturado ()", IF(ISNA(MATCH(L2021, Criterios!$B$123:$B$127, 0)), "Género no válido", "")), IF(OR(N2021="", N2021=""), "[Aviso] Temporada no capturada ()", IF(ISNA(MATCH(N2021, Criterios!$C$123:$C$128, 0)), "Temporada no válida", "")), IF(OR(O2021="", O2021=""), "[Aviso] Ciclo de vida no capturado ()", IF(ISNA(MATCH(O2021, Criterios!$D$123:$D$124, 0)), "Ciclo de vida no válido", ""))))</f>
        <v/>
      </c>
      <c r="AC2021" s="56" t="n"/>
      <c r="AD2021" s="51" t="n">
        <v>0</v>
      </c>
      <c r="AE2021" s="156" t="n"/>
      <c r="AF2021" s="51" t="n">
        <v>0</v>
      </c>
      <c r="AG2021" s="156" t="inlineStr">
        <is>
          <t>Catálogo existente</t>
        </is>
      </c>
      <c r="AH2021" s="156" t="inlineStr">
        <is>
          <t>Revisión 29/09/2026: Campos sin respaldo: P, S, U; Auditoría NetSuite 30/09/2026: llenado desde NetSuite [T] | 01/10/2026: complementado desde Shopify Stetson México (match por código de barras): WB Silueta</t>
        </is>
      </c>
      <c r="AI2021" s="156" t="inlineStr">
        <is>
          <t>No</t>
        </is>
      </c>
      <c r="AJ2021" s="156" t="n"/>
      <c r="AK2021" s="155" t="inlineStr">
        <is>
          <t>Criterios: J [R]; G1522_Extraccion_Articulos_NetSuite_2026-09-30.xlsx: fila 57397 [T] | Shopify Stetson: producto 14725965906283 / variante 52144990552427</t>
        </is>
      </c>
      <c r="AL2021" s="58" t="n">
        <v>795.2586207000001</v>
      </c>
      <c r="AM2021" s="58" t="n">
        <v>1767.241379</v>
      </c>
      <c r="AN2021" s="155" t="inlineStr">
        <is>
          <t>Shopify Stetson México</t>
        </is>
      </c>
      <c r="AO2021" s="59" t="n">
        <v>0</v>
      </c>
      <c r="AP2021" s="59" t="n"/>
      <c r="AQ2021" s="59" t="n"/>
      <c r="AR2021" s="155" t="n"/>
    </row>
    <row r="2022">
      <c r="A2022" s="50" t="inlineStr">
        <is>
          <t>196070779318</t>
        </is>
      </c>
      <c r="B2022" s="51" t="inlineStr">
        <is>
          <t>109583</t>
        </is>
      </c>
      <c r="C2022" s="156" t="inlineStr">
        <is>
          <t>Multimarca</t>
        </is>
      </c>
      <c r="D2022" s="156" t="inlineStr">
        <is>
          <t>11-001-0478-2031</t>
        </is>
      </c>
      <c r="E2022" s="156" t="inlineStr">
        <is>
          <t>11-001-0478-2031-S</t>
        </is>
      </c>
      <c r="F2022" s="156" t="inlineStr">
        <is>
          <t>S</t>
        </is>
      </c>
      <c r="G2022" s="156" t="inlineStr">
        <is>
          <t>S</t>
        </is>
      </c>
      <c r="H2022" s="156" t="inlineStr">
        <is>
          <t>Stetson</t>
        </is>
      </c>
      <c r="I2022" s="156" t="inlineStr">
        <is>
          <t>Camisa Stetson Diamond Ranch</t>
        </is>
      </c>
      <c r="J2022" s="156" t="inlineStr">
        <is>
          <t>Ropa</t>
        </is>
      </c>
      <c r="K2022" s="156" t="inlineStr">
        <is>
          <t>Camisas</t>
        </is>
      </c>
      <c r="L2022" s="156" t="inlineStr">
        <is>
          <t>Hombre</t>
        </is>
      </c>
      <c r="M2022" s="156" t="inlineStr">
        <is>
          <t>Stetson</t>
        </is>
      </c>
      <c r="N2022" s="156" t="inlineStr">
        <is>
          <t>SS26</t>
        </is>
      </c>
      <c r="O2022" s="156" t="inlineStr">
        <is>
          <t>Seasonal</t>
        </is>
      </c>
      <c r="P2022" s="156" t="n"/>
      <c r="Q2022" s="156" t="inlineStr">
        <is>
          <t>Clásico</t>
        </is>
      </c>
      <c r="R2022" s="156" t="n"/>
      <c r="S2022" s="156" t="n"/>
      <c r="T2022"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2" s="156" t="n"/>
      <c r="V2022" s="156" t="inlineStr">
        <is>
          <t>PZS</t>
        </is>
      </c>
      <c r="W2022" s="51" t="inlineStr">
        <is>
          <t>53101600</t>
        </is>
      </c>
      <c r="X2022" s="156" t="inlineStr">
        <is>
          <t>https://cdn.shopify.com/s/files/1/0888/3250/8267/files/1100104782031a.jpg?v=1750965210</t>
        </is>
      </c>
      <c r="Y2022" s="54" t="n">
        <v>795.2586207000001</v>
      </c>
      <c r="Z2022" s="54" t="n">
        <v>1767.241379</v>
      </c>
      <c r="AA2022" s="55">
        <f>IF(AND(A2022="", B2022="", E2022=""), "", IF(AB2022="", "Válido", IF((LEN(AB2022)-LEN(SUBSTITUTE(AB2022,"; ","")))/2+1&gt;(LEN(AB2022)-LEN(SUBSTITUTE(AB2022,"[Aviso]","")))/7, "Con Incidencias", "Válido")))</f>
        <v/>
      </c>
      <c r="AB2022" s="56">
        <f>IF(AND(A2022="", B2022="", E2022=""), "", TEXTJOIN("; ", TRUE, IF(OR(TRIM(A2022&amp;"")="", ISNUMBER(SEARCH("FALTA", A2022))), "UPC faltante/inválido", ""), IF(AND(A2022&lt;&gt;"", IFERROR(_xlfn.XMATCH(A2022,$A$2:$A$2509,0,1)&lt;&gt;_xlfn.XMATCH(A2022,$A$2:$A$2509,0,-1),FALSE)), "Código de barras duplicado", ""), IF(AND(E2022&lt;&gt;"", COUNTIF($E$2:$E$2509, E2022)&gt;1), "SKU duplicado", ""), IF(OR(J2022="", J2022=""), "[Aviso] División no capturada ()", IF(ISNA(MATCH(J2022, Criterios!$A$123:$A$126, 0)), "División no válida", "")), IF(OR(K2022="", K2022=""), "[Aviso] Categoría no capturada ()", IF(ISNA(MATCH(K2022, Criterios!$A$81:$A$120, 0)), "Categoría no válida", IF(AND(J2022&lt;&gt;"", J2022&lt;&gt;"", J2022&lt;&gt;VLOOKUP(K2022, Criterios!$A$81:$B$120, 2, FALSE)), "División no coincide con Categoría", ""))), IF(OR(L2022="", L2022=""), "[Aviso] Género no capturado ()", IF(ISNA(MATCH(L2022, Criterios!$B$123:$B$127, 0)), "Género no válido", "")), IF(OR(N2022="", N2022=""), "[Aviso] Temporada no capturada ()", IF(ISNA(MATCH(N2022, Criterios!$C$123:$C$128, 0)), "Temporada no válida", "")), IF(OR(O2022="", O2022=""), "[Aviso] Ciclo de vida no capturado ()", IF(ISNA(MATCH(O2022, Criterios!$D$123:$D$124, 0)), "Ciclo de vida no válido", ""))))</f>
        <v/>
      </c>
      <c r="AC2022" s="56" t="n"/>
      <c r="AD2022" s="51" t="n">
        <v>1</v>
      </c>
      <c r="AE2022" s="156" t="inlineStr">
        <is>
          <t>B25 STETSON.MX (1)</t>
        </is>
      </c>
      <c r="AF2022" s="51" t="n">
        <v>1</v>
      </c>
      <c r="AG2022" s="156" t="inlineStr">
        <is>
          <t>Catálogo existente</t>
        </is>
      </c>
      <c r="AH2022" s="156" t="inlineStr">
        <is>
          <t>Revisión 29/09/2026: Campos sin respaldo: P, S, U; Auditoría NetSuite 30/09/2026: llenado desde NetSuite [T] | 01/10/2026: complementado desde Shopify Stetson México (match por código de barras): WB Silueta</t>
        </is>
      </c>
      <c r="AI2022" s="156" t="inlineStr">
        <is>
          <t>No</t>
        </is>
      </c>
      <c r="AJ2022" s="156" t="n"/>
      <c r="AK2022" s="155" t="inlineStr">
        <is>
          <t>Criterios: J [R]; G1522_Extraccion_Articulos_NetSuite_2026-09-30.xlsx: fila 57398 [T] | Shopify Stetson: producto 14725965906283 / variante 52144990519659</t>
        </is>
      </c>
      <c r="AL2022" s="58" t="n">
        <v>795.2586207000001</v>
      </c>
      <c r="AM2022" s="58" t="n">
        <v>1767.241379</v>
      </c>
      <c r="AN2022" s="155" t="inlineStr">
        <is>
          <t>Shopify Stetson México</t>
        </is>
      </c>
      <c r="AO2022" s="59" t="n">
        <v>1</v>
      </c>
      <c r="AP2022" s="59" t="n"/>
      <c r="AQ2022" s="59" t="n"/>
      <c r="AR2022" s="155" t="inlineStr">
        <is>
          <t>Shopify Stetson México › Stetson México: 1</t>
        </is>
      </c>
    </row>
    <row r="2023">
      <c r="A2023" s="50" t="inlineStr">
        <is>
          <t>196070779325</t>
        </is>
      </c>
      <c r="B2023" s="51" t="inlineStr">
        <is>
          <t>109584</t>
        </is>
      </c>
      <c r="C2023" s="156" t="inlineStr">
        <is>
          <t>Multimarca</t>
        </is>
      </c>
      <c r="D2023" s="156" t="inlineStr">
        <is>
          <t>11-001-0478-2031</t>
        </is>
      </c>
      <c r="E2023" s="156" t="inlineStr">
        <is>
          <t>11-001-0478-2031-XL</t>
        </is>
      </c>
      <c r="F2023" s="156" t="inlineStr">
        <is>
          <t>XL</t>
        </is>
      </c>
      <c r="G2023" s="156" t="inlineStr">
        <is>
          <t>XL</t>
        </is>
      </c>
      <c r="H2023" s="156" t="inlineStr">
        <is>
          <t>Stetson</t>
        </is>
      </c>
      <c r="I2023" s="156" t="inlineStr">
        <is>
          <t>Camisa Stetson Diamond Ranch</t>
        </is>
      </c>
      <c r="J2023" s="156" t="inlineStr">
        <is>
          <t>Ropa</t>
        </is>
      </c>
      <c r="K2023" s="156" t="inlineStr">
        <is>
          <t>Camisas</t>
        </is>
      </c>
      <c r="L2023" s="156" t="inlineStr">
        <is>
          <t>Hombre</t>
        </is>
      </c>
      <c r="M2023" s="156" t="inlineStr">
        <is>
          <t>Stetson</t>
        </is>
      </c>
      <c r="N2023" s="156" t="inlineStr">
        <is>
          <t>SS26</t>
        </is>
      </c>
      <c r="O2023" s="156" t="inlineStr">
        <is>
          <t>Seasonal</t>
        </is>
      </c>
      <c r="P2023" s="156" t="n"/>
      <c r="Q2023" s="156" t="inlineStr">
        <is>
          <t>Clásico</t>
        </is>
      </c>
      <c r="R2023" s="156" t="n"/>
      <c r="S2023" s="156" t="n"/>
      <c r="T2023"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3" s="156" t="n"/>
      <c r="V2023" s="156" t="inlineStr">
        <is>
          <t>PZS</t>
        </is>
      </c>
      <c r="W2023" s="51" t="inlineStr">
        <is>
          <t>53101600</t>
        </is>
      </c>
      <c r="X2023" s="156" t="inlineStr">
        <is>
          <t>https://cdn.shopify.com/s/files/1/0888/3250/8267/files/1100104782031a.jpg?v=1750965210</t>
        </is>
      </c>
      <c r="Y2023" s="54" t="n">
        <v>795.2586207000001</v>
      </c>
      <c r="Z2023" s="54" t="n">
        <v>1767.241379</v>
      </c>
      <c r="AA2023" s="55">
        <f>IF(AND(A2023="", B2023="", E2023=""), "", IF(AB2023="", "Válido", IF((LEN(AB2023)-LEN(SUBSTITUTE(AB2023,"; ","")))/2+1&gt;(LEN(AB2023)-LEN(SUBSTITUTE(AB2023,"[Aviso]","")))/7, "Con Incidencias", "Válido")))</f>
        <v/>
      </c>
      <c r="AB2023" s="56">
        <f>IF(AND(A2023="", B2023="", E2023=""), "", TEXTJOIN("; ", TRUE, IF(OR(TRIM(A2023&amp;"")="", ISNUMBER(SEARCH("FALTA", A2023))), "UPC faltante/inválido", ""), IF(AND(A2023&lt;&gt;"", IFERROR(_xlfn.XMATCH(A2023,$A$2:$A$2509,0,1)&lt;&gt;_xlfn.XMATCH(A2023,$A$2:$A$2509,0,-1),FALSE)), "Código de barras duplicado", ""), IF(AND(E2023&lt;&gt;"", COUNTIF($E$2:$E$2509, E2023)&gt;1), "SKU duplicado", ""), IF(OR(J2023="", J2023=""), "[Aviso] División no capturada ()", IF(ISNA(MATCH(J2023, Criterios!$A$123:$A$126, 0)), "División no válida", "")), IF(OR(K2023="", K2023=""), "[Aviso] Categoría no capturada ()", IF(ISNA(MATCH(K2023, Criterios!$A$81:$A$120, 0)), "Categoría no válida", IF(AND(J2023&lt;&gt;"", J2023&lt;&gt;"", J2023&lt;&gt;VLOOKUP(K2023, Criterios!$A$81:$B$120, 2, FALSE)), "División no coincide con Categoría", ""))), IF(OR(L2023="", L2023=""), "[Aviso] Género no capturado ()", IF(ISNA(MATCH(L2023, Criterios!$B$123:$B$127, 0)), "Género no válido", "")), IF(OR(N2023="", N2023=""), "[Aviso] Temporada no capturada ()", IF(ISNA(MATCH(N2023, Criterios!$C$123:$C$128, 0)), "Temporada no válida", "")), IF(OR(O2023="", O2023=""), "[Aviso] Ciclo de vida no capturado ()", IF(ISNA(MATCH(O2023, Criterios!$D$123:$D$124, 0)), "Ciclo de vida no válido", ""))))</f>
        <v/>
      </c>
      <c r="AC2023" s="56" t="n"/>
      <c r="AD2023" s="51" t="n">
        <v>2</v>
      </c>
      <c r="AE2023" s="156" t="inlineStr">
        <is>
          <t>B25 STETSON.MX (2)</t>
        </is>
      </c>
      <c r="AF2023" s="51" t="n">
        <v>2</v>
      </c>
      <c r="AG2023" s="156" t="inlineStr">
        <is>
          <t>Catálogo existente</t>
        </is>
      </c>
      <c r="AH2023" s="156" t="inlineStr">
        <is>
          <t>Revisión 29/09/2026: Campos sin respaldo: P, S, U, X; Auditoría NetSuite 30/09/2026: llenado desde NetSuite [T] | 01/10/2026: complementado desde Shopify Stetson México (match por código de barras): WB Silueta, Enlace de imagen</t>
        </is>
      </c>
      <c r="AI2023" s="156" t="inlineStr">
        <is>
          <t>No</t>
        </is>
      </c>
      <c r="AJ2023" s="156" t="n"/>
      <c r="AK2023" s="155" t="inlineStr">
        <is>
          <t>Criterios: J [R]; G1522_Extraccion_Articulos_NetSuite_2026-09-30.xlsx: fila 57399 [T] | Shopify Stetson: producto 14725965906283 / variante 52144990617963</t>
        </is>
      </c>
      <c r="AL2023" s="58" t="n">
        <v>795.2586207000001</v>
      </c>
      <c r="AM2023" s="58" t="n">
        <v>1767.241379</v>
      </c>
      <c r="AN2023" s="155" t="inlineStr">
        <is>
          <t>Shopify Stetson México</t>
        </is>
      </c>
      <c r="AO2023" s="59" t="n">
        <v>2</v>
      </c>
      <c r="AP2023" s="59" t="n"/>
      <c r="AQ2023" s="59" t="n"/>
      <c r="AR2023" s="155" t="inlineStr">
        <is>
          <t>Shopify Stetson México › Stetson México: 2</t>
        </is>
      </c>
    </row>
    <row r="2024">
      <c r="A2024" s="50" t="inlineStr">
        <is>
          <t>196070779332</t>
        </is>
      </c>
      <c r="B2024" s="51" t="inlineStr">
        <is>
          <t>109585</t>
        </is>
      </c>
      <c r="C2024" s="156" t="inlineStr">
        <is>
          <t>Multimarca</t>
        </is>
      </c>
      <c r="D2024" s="156" t="inlineStr">
        <is>
          <t>11-001-0478-2031</t>
        </is>
      </c>
      <c r="E2024" s="156" t="inlineStr">
        <is>
          <t>11-001-0478-2031-XXL</t>
        </is>
      </c>
      <c r="F2024" s="156" t="inlineStr">
        <is>
          <t>XXL</t>
        </is>
      </c>
      <c r="G2024" s="156" t="inlineStr">
        <is>
          <t>XXL</t>
        </is>
      </c>
      <c r="H2024" s="156" t="inlineStr">
        <is>
          <t>Stetson</t>
        </is>
      </c>
      <c r="I2024" s="156" t="inlineStr">
        <is>
          <t>Camisa Stetson Diamond Ranch</t>
        </is>
      </c>
      <c r="J2024" s="156" t="inlineStr">
        <is>
          <t>Ropa</t>
        </is>
      </c>
      <c r="K2024" s="156" t="inlineStr">
        <is>
          <t>Camisas</t>
        </is>
      </c>
      <c r="L2024" s="156" t="inlineStr">
        <is>
          <t>Hombre</t>
        </is>
      </c>
      <c r="M2024" s="156" t="inlineStr">
        <is>
          <t>Stetson</t>
        </is>
      </c>
      <c r="N2024" s="156" t="inlineStr">
        <is>
          <t>SS26</t>
        </is>
      </c>
      <c r="O2024" s="156" t="inlineStr">
        <is>
          <t>Seasonal</t>
        </is>
      </c>
      <c r="P2024" s="156" t="n"/>
      <c r="Q2024" s="156" t="inlineStr">
        <is>
          <t>Clásico</t>
        </is>
      </c>
      <c r="R2024" s="156" t="n"/>
      <c r="S2024" s="156" t="n"/>
      <c r="T2024"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4" s="156" t="n"/>
      <c r="V2024" s="156" t="inlineStr">
        <is>
          <t>PZS</t>
        </is>
      </c>
      <c r="W2024" s="51" t="inlineStr">
        <is>
          <t>53101600</t>
        </is>
      </c>
      <c r="X2024" s="156" t="inlineStr">
        <is>
          <t>https://cdn.shopify.com/s/files/1/0888/3250/8267/files/1100104782031a.jpg?v=1750965210</t>
        </is>
      </c>
      <c r="Y2024" s="54" t="n">
        <v>795.2586207000001</v>
      </c>
      <c r="Z2024" s="54" t="n">
        <v>1767.241379</v>
      </c>
      <c r="AA2024" s="55">
        <f>IF(AND(A2024="", B2024="", E2024=""), "", IF(AB2024="", "Válido", IF((LEN(AB2024)-LEN(SUBSTITUTE(AB2024,"; ","")))/2+1&gt;(LEN(AB2024)-LEN(SUBSTITUTE(AB2024,"[Aviso]","")))/7, "Con Incidencias", "Válido")))</f>
        <v/>
      </c>
      <c r="AB2024" s="56">
        <f>IF(AND(A2024="", B2024="", E2024=""), "", TEXTJOIN("; ", TRUE, IF(OR(TRIM(A2024&amp;"")="", ISNUMBER(SEARCH("FALTA", A2024))), "UPC faltante/inválido", ""), IF(AND(A2024&lt;&gt;"", IFERROR(_xlfn.XMATCH(A2024,$A$2:$A$2509,0,1)&lt;&gt;_xlfn.XMATCH(A2024,$A$2:$A$2509,0,-1),FALSE)), "Código de barras duplicado", ""), IF(AND(E2024&lt;&gt;"", COUNTIF($E$2:$E$2509, E2024)&gt;1), "SKU duplicado", ""), IF(OR(J2024="", J2024=""), "[Aviso] División no capturada ()", IF(ISNA(MATCH(J2024, Criterios!$A$123:$A$126, 0)), "División no válida", "")), IF(OR(K2024="", K2024=""), "[Aviso] Categoría no capturada ()", IF(ISNA(MATCH(K2024, Criterios!$A$81:$A$120, 0)), "Categoría no válida", IF(AND(J2024&lt;&gt;"", J2024&lt;&gt;"", J2024&lt;&gt;VLOOKUP(K2024, Criterios!$A$81:$B$120, 2, FALSE)), "División no coincide con Categoría", ""))), IF(OR(L2024="", L2024=""), "[Aviso] Género no capturado ()", IF(ISNA(MATCH(L2024, Criterios!$B$123:$B$127, 0)), "Género no válido", "")), IF(OR(N2024="", N2024=""), "[Aviso] Temporada no capturada ()", IF(ISNA(MATCH(N2024, Criterios!$C$123:$C$128, 0)), "Temporada no válida", "")), IF(OR(O2024="", O2024=""), "[Aviso] Ciclo de vida no capturado ()", IF(ISNA(MATCH(O2024, Criterios!$D$123:$D$124, 0)), "Ciclo de vida no válido", ""))))</f>
        <v/>
      </c>
      <c r="AC2024" s="56" t="n"/>
      <c r="AD2024" s="51" t="n">
        <v>2</v>
      </c>
      <c r="AE2024" s="156" t="inlineStr">
        <is>
          <t>B25 STETSON.MX (2)</t>
        </is>
      </c>
      <c r="AF2024" s="51" t="n">
        <v>2</v>
      </c>
      <c r="AG2024" s="156" t="inlineStr">
        <is>
          <t>Catálogo existente</t>
        </is>
      </c>
      <c r="AH2024" s="156" t="inlineStr">
        <is>
          <t>Revisión 29/09/2026: Campos sin respaldo: P, S, U, X; Auditoría NetSuite 30/09/2026: llenado desde NetSuite [T] | 01/10/2026: complementado desde Shopify Stetson México (match por código de barras): WB Silueta, Enlace de imagen</t>
        </is>
      </c>
      <c r="AI2024" s="156" t="inlineStr">
        <is>
          <t>No</t>
        </is>
      </c>
      <c r="AJ2024" s="156" t="n"/>
      <c r="AK2024" s="155" t="inlineStr">
        <is>
          <t>Criterios: J [R]; G1522_Extraccion_Articulos_NetSuite_2026-09-30.xlsx: fila 57400 [T] | Shopify Stetson: producto 14725965906283 / variante 52144990650731</t>
        </is>
      </c>
      <c r="AL2024" s="58" t="n">
        <v>795.2586207000001</v>
      </c>
      <c r="AM2024" s="58" t="n">
        <v>1767.241379</v>
      </c>
      <c r="AN2024" s="155" t="inlineStr">
        <is>
          <t>Shopify Stetson México</t>
        </is>
      </c>
      <c r="AO2024" s="59" t="n">
        <v>2</v>
      </c>
      <c r="AP2024" s="59" t="n"/>
      <c r="AQ2024" s="59" t="n"/>
      <c r="AR2024" s="155" t="inlineStr">
        <is>
          <t>Shopify Stetson México › Stetson México: 2</t>
        </is>
      </c>
    </row>
    <row r="2025">
      <c r="A2025" s="50" t="inlineStr">
        <is>
          <t>196070779417</t>
        </is>
      </c>
      <c r="B2025" s="51" t="inlineStr">
        <is>
          <t>109586</t>
        </is>
      </c>
      <c r="C2025" s="156" t="inlineStr">
        <is>
          <t>Multimarca</t>
        </is>
      </c>
      <c r="D2025" s="156" t="inlineStr">
        <is>
          <t>11-001-0478-2033</t>
        </is>
      </c>
      <c r="E2025" s="156" t="inlineStr">
        <is>
          <t>11-001-0478-2033-L</t>
        </is>
      </c>
      <c r="F2025" s="156" t="inlineStr">
        <is>
          <t>L</t>
        </is>
      </c>
      <c r="G2025" s="156" t="inlineStr">
        <is>
          <t>L</t>
        </is>
      </c>
      <c r="H2025" s="156" t="inlineStr">
        <is>
          <t>Stetson</t>
        </is>
      </c>
      <c r="I2025" s="156" t="inlineStr">
        <is>
          <t>Camisa Stetson Sandy</t>
        </is>
      </c>
      <c r="J2025" s="156" t="inlineStr">
        <is>
          <t>Ropa</t>
        </is>
      </c>
      <c r="K2025" s="156" t="inlineStr">
        <is>
          <t>Camisas</t>
        </is>
      </c>
      <c r="L2025" s="156" t="inlineStr">
        <is>
          <t>Hombre</t>
        </is>
      </c>
      <c r="M2025" s="156" t="inlineStr">
        <is>
          <t>Stetson</t>
        </is>
      </c>
      <c r="N2025" s="156" t="inlineStr">
        <is>
          <t>SS26</t>
        </is>
      </c>
      <c r="O2025" s="156" t="inlineStr">
        <is>
          <t>Seasonal</t>
        </is>
      </c>
      <c r="P2025" s="156" t="n"/>
      <c r="Q2025" s="156" t="inlineStr">
        <is>
          <t>Regular</t>
        </is>
      </c>
      <c r="R2025" s="156" t="n"/>
      <c r="S2025" s="156" t="n"/>
      <c r="T2025"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5" s="156" t="n"/>
      <c r="V2025" s="156" t="inlineStr">
        <is>
          <t>PZS</t>
        </is>
      </c>
      <c r="W2025" s="51" t="inlineStr">
        <is>
          <t>53101600</t>
        </is>
      </c>
      <c r="X2025" s="156" t="inlineStr">
        <is>
          <t>https://cdn.shopify.com/s/files/1/0888/3250/8267/files/1100104782033b.jpg?v=1750967464</t>
        </is>
      </c>
      <c r="Y2025" s="54" t="n">
        <v>795.2586207000001</v>
      </c>
      <c r="Z2025" s="54" t="n">
        <v>1767.241379</v>
      </c>
      <c r="AA2025" s="55">
        <f>IF(AND(A2025="", B2025="", E2025=""), "", IF(AB2025="", "Válido", IF((LEN(AB2025)-LEN(SUBSTITUTE(AB2025,"; ","")))/2+1&gt;(LEN(AB2025)-LEN(SUBSTITUTE(AB2025,"[Aviso]","")))/7, "Con Incidencias", "Válido")))</f>
        <v/>
      </c>
      <c r="AB2025" s="56">
        <f>IF(AND(A2025="", B2025="", E2025=""), "", TEXTJOIN("; ", TRUE, IF(OR(TRIM(A2025&amp;"")="", ISNUMBER(SEARCH("FALTA", A2025))), "UPC faltante/inválido", ""), IF(AND(A2025&lt;&gt;"", IFERROR(_xlfn.XMATCH(A2025,$A$2:$A$2509,0,1)&lt;&gt;_xlfn.XMATCH(A2025,$A$2:$A$2509,0,-1),FALSE)), "Código de barras duplicado", ""), IF(AND(E2025&lt;&gt;"", COUNTIF($E$2:$E$2509, E2025)&gt;1), "SKU duplicado", ""), IF(OR(J2025="", J2025=""), "[Aviso] División no capturada ()", IF(ISNA(MATCH(J2025, Criterios!$A$123:$A$126, 0)), "División no válida", "")), IF(OR(K2025="", K2025=""), "[Aviso] Categoría no capturada ()", IF(ISNA(MATCH(K2025, Criterios!$A$81:$A$120, 0)), "Categoría no válida", IF(AND(J2025&lt;&gt;"", J2025&lt;&gt;"", J2025&lt;&gt;VLOOKUP(K2025, Criterios!$A$81:$B$120, 2, FALSE)), "División no coincide con Categoría", ""))), IF(OR(L2025="", L2025=""), "[Aviso] Género no capturado ()", IF(ISNA(MATCH(L2025, Criterios!$B$123:$B$127, 0)), "Género no válido", "")), IF(OR(N2025="", N2025=""), "[Aviso] Temporada no capturada ()", IF(ISNA(MATCH(N2025, Criterios!$C$123:$C$128, 0)), "Temporada no válida", "")), IF(OR(O2025="", O2025=""), "[Aviso] Ciclo de vida no capturado ()", IF(ISNA(MATCH(O2025, Criterios!$D$123:$D$124, 0)), "Ciclo de vida no válido", ""))))</f>
        <v/>
      </c>
      <c r="AC2025" s="56" t="n"/>
      <c r="AD2025" s="51" t="n">
        <v>0</v>
      </c>
      <c r="AE2025" s="156" t="n"/>
      <c r="AF2025" s="51" t="n">
        <v>0</v>
      </c>
      <c r="AG2025" s="156" t="inlineStr">
        <is>
          <t>Catálogo existente</t>
        </is>
      </c>
      <c r="AH2025" s="156" t="inlineStr">
        <is>
          <t>Revisión 29/09/2026: Campos sin respaldo: P, S, U; Auditoría NetSuite 30/09/2026: llenado desde NetSuite [T] | 01/10/2026: complementado desde Shopify Stetson México (match por código de barras): WB Silueta</t>
        </is>
      </c>
      <c r="AI2025" s="156" t="inlineStr">
        <is>
          <t>No</t>
        </is>
      </c>
      <c r="AJ2025" s="156" t="n"/>
      <c r="AK2025" s="155" t="inlineStr">
        <is>
          <t>Criterios: J [R]; G1522_Extraccion_Articulos_NetSuite_2026-09-30.xlsx: fila 57401 [T] | Shopify Stetson: producto 14725978849643 / variante 52145014473067</t>
        </is>
      </c>
      <c r="AL2025" s="58" t="n">
        <v>795.2586207000001</v>
      </c>
      <c r="AM2025" s="58" t="n">
        <v>1767.241379</v>
      </c>
      <c r="AN2025" s="155" t="inlineStr">
        <is>
          <t>Shopify Stetson México</t>
        </is>
      </c>
      <c r="AO2025" s="59" t="n">
        <v>0</v>
      </c>
      <c r="AP2025" s="59" t="n"/>
      <c r="AQ2025" s="59" t="n"/>
      <c r="AR2025" s="155" t="n"/>
    </row>
    <row r="2026">
      <c r="A2026" s="50" t="inlineStr">
        <is>
          <t>196070779424</t>
        </is>
      </c>
      <c r="B2026" s="51" t="inlineStr">
        <is>
          <t>109587</t>
        </is>
      </c>
      <c r="C2026" s="156" t="inlineStr">
        <is>
          <t>Multimarca</t>
        </is>
      </c>
      <c r="D2026" s="156" t="inlineStr">
        <is>
          <t>11-001-0478-2033</t>
        </is>
      </c>
      <c r="E2026" s="156" t="inlineStr">
        <is>
          <t>11-001-0478-2033-M</t>
        </is>
      </c>
      <c r="F2026" s="156" t="inlineStr">
        <is>
          <t>M</t>
        </is>
      </c>
      <c r="G2026" s="156" t="inlineStr">
        <is>
          <t>M</t>
        </is>
      </c>
      <c r="H2026" s="156" t="inlineStr">
        <is>
          <t>Stetson</t>
        </is>
      </c>
      <c r="I2026" s="156" t="inlineStr">
        <is>
          <t>Camisa Stetson Sandy</t>
        </is>
      </c>
      <c r="J2026" s="156" t="inlineStr">
        <is>
          <t>Ropa</t>
        </is>
      </c>
      <c r="K2026" s="156" t="inlineStr">
        <is>
          <t>Camisas</t>
        </is>
      </c>
      <c r="L2026" s="156" t="inlineStr">
        <is>
          <t>Hombre</t>
        </is>
      </c>
      <c r="M2026" s="156" t="inlineStr">
        <is>
          <t>Stetson</t>
        </is>
      </c>
      <c r="N2026" s="156" t="inlineStr">
        <is>
          <t>SS26</t>
        </is>
      </c>
      <c r="O2026" s="156" t="inlineStr">
        <is>
          <t>Seasonal</t>
        </is>
      </c>
      <c r="P2026" s="156" t="n"/>
      <c r="Q2026" s="156" t="inlineStr">
        <is>
          <t>Clásico</t>
        </is>
      </c>
      <c r="R2026" s="156" t="n"/>
      <c r="S2026" s="156" t="n"/>
      <c r="T2026"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6" s="156" t="n"/>
      <c r="V2026" s="156" t="inlineStr">
        <is>
          <t>PZS</t>
        </is>
      </c>
      <c r="W2026" s="51" t="inlineStr">
        <is>
          <t>53101600</t>
        </is>
      </c>
      <c r="X2026" s="156" t="inlineStr">
        <is>
          <t>https://cdn.shopify.com/s/files/1/0888/3250/8267/files/1100104782033c.jpg?v=1750967457</t>
        </is>
      </c>
      <c r="Y2026" s="54" t="n">
        <v>795.2586207000001</v>
      </c>
      <c r="Z2026" s="54" t="n">
        <v>1767.241379</v>
      </c>
      <c r="AA2026" s="55">
        <f>IF(AND(A2026="", B2026="", E2026=""), "", IF(AB2026="", "Válido", IF((LEN(AB2026)-LEN(SUBSTITUTE(AB2026,"; ","")))/2+1&gt;(LEN(AB2026)-LEN(SUBSTITUTE(AB2026,"[Aviso]","")))/7, "Con Incidencias", "Válido")))</f>
        <v/>
      </c>
      <c r="AB2026" s="56">
        <f>IF(AND(A2026="", B2026="", E2026=""), "", TEXTJOIN("; ", TRUE, IF(OR(TRIM(A2026&amp;"")="", ISNUMBER(SEARCH("FALTA", A2026))), "UPC faltante/inválido", ""), IF(AND(A2026&lt;&gt;"", IFERROR(_xlfn.XMATCH(A2026,$A$2:$A$2509,0,1)&lt;&gt;_xlfn.XMATCH(A2026,$A$2:$A$2509,0,-1),FALSE)), "Código de barras duplicado", ""), IF(AND(E2026&lt;&gt;"", COUNTIF($E$2:$E$2509, E2026)&gt;1), "SKU duplicado", ""), IF(OR(J2026="", J2026=""), "[Aviso] División no capturada ()", IF(ISNA(MATCH(J2026, Criterios!$A$123:$A$126, 0)), "División no válida", "")), IF(OR(K2026="", K2026=""), "[Aviso] Categoría no capturada ()", IF(ISNA(MATCH(K2026, Criterios!$A$81:$A$120, 0)), "Categoría no válida", IF(AND(J2026&lt;&gt;"", J2026&lt;&gt;"", J2026&lt;&gt;VLOOKUP(K2026, Criterios!$A$81:$B$120, 2, FALSE)), "División no coincide con Categoría", ""))), IF(OR(L2026="", L2026=""), "[Aviso] Género no capturado ()", IF(ISNA(MATCH(L2026, Criterios!$B$123:$B$127, 0)), "Género no válido", "")), IF(OR(N2026="", N2026=""), "[Aviso] Temporada no capturada ()", IF(ISNA(MATCH(N2026, Criterios!$C$123:$C$128, 0)), "Temporada no válida", "")), IF(OR(O2026="", O2026=""), "[Aviso] Ciclo de vida no capturado ()", IF(ISNA(MATCH(O2026, Criterios!$D$123:$D$124, 0)), "Ciclo de vida no válido", ""))))</f>
        <v/>
      </c>
      <c r="AC2026" s="56" t="n"/>
      <c r="AD2026" s="51" t="n">
        <v>0</v>
      </c>
      <c r="AE2026" s="156" t="n"/>
      <c r="AF2026" s="51" t="n">
        <v>0</v>
      </c>
      <c r="AG2026" s="156" t="inlineStr">
        <is>
          <t>Catálogo existente</t>
        </is>
      </c>
      <c r="AH2026" s="156" t="inlineStr">
        <is>
          <t>Revisión 29/09/2026: Campos sin respaldo: P, S, U; Auditoría NetSuite 30/09/2026: llenado desde NetSuite [T] | 01/10/2026: complementado desde Shopify Stetson México (match por código de barras): WB Silueta</t>
        </is>
      </c>
      <c r="AI2026" s="156" t="inlineStr">
        <is>
          <t>No</t>
        </is>
      </c>
      <c r="AJ2026" s="156" t="n"/>
      <c r="AK2026" s="155" t="inlineStr">
        <is>
          <t>Criterios: J [R]; G1522_Extraccion_Articulos_NetSuite_2026-09-30.xlsx: fila 57402 [T] | Shopify Stetson: producto 14725978849643 / variante 52145014440299</t>
        </is>
      </c>
      <c r="AL2026" s="58" t="n">
        <v>795.2586207000001</v>
      </c>
      <c r="AM2026" s="58" t="n">
        <v>1767.241379</v>
      </c>
      <c r="AN2026" s="155" t="inlineStr">
        <is>
          <t>Shopify Stetson México</t>
        </is>
      </c>
      <c r="AO2026" s="59" t="n">
        <v>0</v>
      </c>
      <c r="AP2026" s="59" t="n"/>
      <c r="AQ2026" s="59" t="n"/>
      <c r="AR2026" s="155" t="n"/>
    </row>
    <row r="2027">
      <c r="A2027" s="50" t="inlineStr">
        <is>
          <t>196070779431</t>
        </is>
      </c>
      <c r="B2027" s="51" t="inlineStr">
        <is>
          <t>109588</t>
        </is>
      </c>
      <c r="C2027" s="156" t="inlineStr">
        <is>
          <t>Multimarca</t>
        </is>
      </c>
      <c r="D2027" s="156" t="inlineStr">
        <is>
          <t>11-001-0478-2033</t>
        </is>
      </c>
      <c r="E2027" s="156" t="inlineStr">
        <is>
          <t>11-001-0478-2033-S</t>
        </is>
      </c>
      <c r="F2027" s="156" t="inlineStr">
        <is>
          <t>S</t>
        </is>
      </c>
      <c r="G2027" s="156" t="inlineStr">
        <is>
          <t>S</t>
        </is>
      </c>
      <c r="H2027" s="156" t="inlineStr">
        <is>
          <t>Stetson</t>
        </is>
      </c>
      <c r="I2027" s="156" t="inlineStr">
        <is>
          <t>Camisa Stetson Sandy</t>
        </is>
      </c>
      <c r="J2027" s="156" t="inlineStr">
        <is>
          <t>Ropa</t>
        </is>
      </c>
      <c r="K2027" s="156" t="inlineStr">
        <is>
          <t>Camisas</t>
        </is>
      </c>
      <c r="L2027" s="156" t="inlineStr">
        <is>
          <t>Hombre</t>
        </is>
      </c>
      <c r="M2027" s="156" t="inlineStr">
        <is>
          <t>Stetson</t>
        </is>
      </c>
      <c r="N2027" s="156" t="inlineStr">
        <is>
          <t>SS26</t>
        </is>
      </c>
      <c r="O2027" s="156" t="inlineStr">
        <is>
          <t>Seasonal</t>
        </is>
      </c>
      <c r="P2027" s="156" t="n"/>
      <c r="Q2027" s="156" t="inlineStr">
        <is>
          <t>Clásico</t>
        </is>
      </c>
      <c r="R2027" s="156" t="n"/>
      <c r="S2027" s="156" t="n"/>
      <c r="T2027"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7" s="156" t="n"/>
      <c r="V2027" s="156" t="inlineStr">
        <is>
          <t>PZS</t>
        </is>
      </c>
      <c r="W2027" s="51" t="inlineStr">
        <is>
          <t>53101600</t>
        </is>
      </c>
      <c r="X2027" s="156" t="inlineStr">
        <is>
          <t>https://cdn.shopify.com/s/files/1/0888/3250/8267/files/1100104782033a.jpg?v=1750967446</t>
        </is>
      </c>
      <c r="Y2027" s="54" t="n">
        <v>795.2586207000001</v>
      </c>
      <c r="Z2027" s="54" t="n">
        <v>1767.241379</v>
      </c>
      <c r="AA2027" s="55">
        <f>IF(AND(A2027="", B2027="", E2027=""), "", IF(AB2027="", "Válido", IF((LEN(AB2027)-LEN(SUBSTITUTE(AB2027,"; ","")))/2+1&gt;(LEN(AB2027)-LEN(SUBSTITUTE(AB2027,"[Aviso]","")))/7, "Con Incidencias", "Válido")))</f>
        <v/>
      </c>
      <c r="AB2027" s="56">
        <f>IF(AND(A2027="", B2027="", E2027=""), "", TEXTJOIN("; ", TRUE, IF(OR(TRIM(A2027&amp;"")="", ISNUMBER(SEARCH("FALTA", A2027))), "UPC faltante/inválido", ""), IF(AND(A2027&lt;&gt;"", IFERROR(_xlfn.XMATCH(A2027,$A$2:$A$2509,0,1)&lt;&gt;_xlfn.XMATCH(A2027,$A$2:$A$2509,0,-1),FALSE)), "Código de barras duplicado", ""), IF(AND(E2027&lt;&gt;"", COUNTIF($E$2:$E$2509, E2027)&gt;1), "SKU duplicado", ""), IF(OR(J2027="", J2027=""), "[Aviso] División no capturada ()", IF(ISNA(MATCH(J2027, Criterios!$A$123:$A$126, 0)), "División no válida", "")), IF(OR(K2027="", K2027=""), "[Aviso] Categoría no capturada ()", IF(ISNA(MATCH(K2027, Criterios!$A$81:$A$120, 0)), "Categoría no válida", IF(AND(J2027&lt;&gt;"", J2027&lt;&gt;"", J2027&lt;&gt;VLOOKUP(K2027, Criterios!$A$81:$B$120, 2, FALSE)), "División no coincide con Categoría", ""))), IF(OR(L2027="", L2027=""), "[Aviso] Género no capturado ()", IF(ISNA(MATCH(L2027, Criterios!$B$123:$B$127, 0)), "Género no válido", "")), IF(OR(N2027="", N2027=""), "[Aviso] Temporada no capturada ()", IF(ISNA(MATCH(N2027, Criterios!$C$123:$C$128, 0)), "Temporada no válida", "")), IF(OR(O2027="", O2027=""), "[Aviso] Ciclo de vida no capturado ()", IF(ISNA(MATCH(O2027, Criterios!$D$123:$D$124, 0)), "Ciclo de vida no válido", ""))))</f>
        <v/>
      </c>
      <c r="AC2027" s="56" t="n"/>
      <c r="AD2027" s="51" t="n">
        <v>0</v>
      </c>
      <c r="AE2027" s="156" t="n"/>
      <c r="AF2027" s="51" t="n">
        <v>0</v>
      </c>
      <c r="AG2027" s="156" t="inlineStr">
        <is>
          <t>Catálogo existente</t>
        </is>
      </c>
      <c r="AH2027" s="156" t="inlineStr">
        <is>
          <t>Revisión 29/09/2026: Campos sin respaldo: P, S, U; Auditoría NetSuite 30/09/2026: llenado desde NetSuite [T] | 01/10/2026: complementado desde Shopify Stetson México (match por código de barras): WB Silueta</t>
        </is>
      </c>
      <c r="AI2027" s="156" t="inlineStr">
        <is>
          <t>No</t>
        </is>
      </c>
      <c r="AJ2027" s="156" t="n"/>
      <c r="AK2027" s="155" t="inlineStr">
        <is>
          <t>Criterios: J [R]; G1522_Extraccion_Articulos_NetSuite_2026-09-30.xlsx: fila 57403 [T] | Shopify Stetson: producto 14725978849643 / variante 52145014407531</t>
        </is>
      </c>
      <c r="AL2027" s="58" t="n">
        <v>795.2586207000001</v>
      </c>
      <c r="AM2027" s="58" t="n">
        <v>1767.241379</v>
      </c>
      <c r="AN2027" s="155" t="inlineStr">
        <is>
          <t>Shopify Stetson México</t>
        </is>
      </c>
      <c r="AO2027" s="59" t="n">
        <v>0</v>
      </c>
      <c r="AP2027" s="59" t="n"/>
      <c r="AQ2027" s="59" t="n"/>
      <c r="AR2027" s="155" t="n"/>
    </row>
    <row r="2028">
      <c r="A2028" s="50" t="inlineStr">
        <is>
          <t>196070779448</t>
        </is>
      </c>
      <c r="B2028" s="51" t="inlineStr">
        <is>
          <t>109589</t>
        </is>
      </c>
      <c r="C2028" s="156" t="inlineStr">
        <is>
          <t>Multimarca</t>
        </is>
      </c>
      <c r="D2028" s="156" t="inlineStr">
        <is>
          <t>11-001-0478-2033</t>
        </is>
      </c>
      <c r="E2028" s="156" t="inlineStr">
        <is>
          <t>11-001-0478-2033-XL</t>
        </is>
      </c>
      <c r="F2028" s="156" t="inlineStr">
        <is>
          <t>XL</t>
        </is>
      </c>
      <c r="G2028" s="156" t="inlineStr">
        <is>
          <t>XL</t>
        </is>
      </c>
      <c r="H2028" s="156" t="inlineStr">
        <is>
          <t>Stetson</t>
        </is>
      </c>
      <c r="I2028" s="156" t="inlineStr">
        <is>
          <t>Camisa Stetson Sandy</t>
        </is>
      </c>
      <c r="J2028" s="156" t="inlineStr">
        <is>
          <t>Ropa</t>
        </is>
      </c>
      <c r="K2028" s="156" t="inlineStr">
        <is>
          <t>Camisas</t>
        </is>
      </c>
      <c r="L2028" s="156" t="inlineStr">
        <is>
          <t>Hombre</t>
        </is>
      </c>
      <c r="M2028" s="156" t="inlineStr">
        <is>
          <t>Stetson</t>
        </is>
      </c>
      <c r="N2028" s="156" t="inlineStr">
        <is>
          <t>SS26</t>
        </is>
      </c>
      <c r="O2028" s="156" t="inlineStr">
        <is>
          <t>Seasonal</t>
        </is>
      </c>
      <c r="P2028" s="156" t="n"/>
      <c r="Q2028" s="156" t="inlineStr">
        <is>
          <t>Clásico</t>
        </is>
      </c>
      <c r="R2028" s="156" t="n"/>
      <c r="S2028" s="156" t="n"/>
      <c r="T2028"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8" s="156" t="n"/>
      <c r="V2028" s="156" t="inlineStr">
        <is>
          <t>PZS</t>
        </is>
      </c>
      <c r="W2028" s="51" t="inlineStr">
        <is>
          <t>53101600</t>
        </is>
      </c>
      <c r="X2028" s="156" t="inlineStr">
        <is>
          <t>https://cdn.shopify.com/s/files/1/0888/3250/8267/files/1100104782033a.jpg?v=1750967446</t>
        </is>
      </c>
      <c r="Y2028" s="54" t="n">
        <v>795.2586207000001</v>
      </c>
      <c r="Z2028" s="54" t="n">
        <v>1767.241379</v>
      </c>
      <c r="AA2028" s="55">
        <f>IF(AND(A2028="", B2028="", E2028=""), "", IF(AB2028="", "Válido", IF((LEN(AB2028)-LEN(SUBSTITUTE(AB2028,"; ","")))/2+1&gt;(LEN(AB2028)-LEN(SUBSTITUTE(AB2028,"[Aviso]","")))/7, "Con Incidencias", "Válido")))</f>
        <v/>
      </c>
      <c r="AB2028" s="56">
        <f>IF(AND(A2028="", B2028="", E2028=""), "", TEXTJOIN("; ", TRUE, IF(OR(TRIM(A2028&amp;"")="", ISNUMBER(SEARCH("FALTA", A2028))), "UPC faltante/inválido", ""), IF(AND(A2028&lt;&gt;"", IFERROR(_xlfn.XMATCH(A2028,$A$2:$A$2509,0,1)&lt;&gt;_xlfn.XMATCH(A2028,$A$2:$A$2509,0,-1),FALSE)), "Código de barras duplicado", ""), IF(AND(E2028&lt;&gt;"", COUNTIF($E$2:$E$2509, E2028)&gt;1), "SKU duplicado", ""), IF(OR(J2028="", J2028=""), "[Aviso] División no capturada ()", IF(ISNA(MATCH(J2028, Criterios!$A$123:$A$126, 0)), "División no válida", "")), IF(OR(K2028="", K2028=""), "[Aviso] Categoría no capturada ()", IF(ISNA(MATCH(K2028, Criterios!$A$81:$A$120, 0)), "Categoría no válida", IF(AND(J2028&lt;&gt;"", J2028&lt;&gt;"", J2028&lt;&gt;VLOOKUP(K2028, Criterios!$A$81:$B$120, 2, FALSE)), "División no coincide con Categoría", ""))), IF(OR(L2028="", L2028=""), "[Aviso] Género no capturado ()", IF(ISNA(MATCH(L2028, Criterios!$B$123:$B$127, 0)), "Género no válido", "")), IF(OR(N2028="", N2028=""), "[Aviso] Temporada no capturada ()", IF(ISNA(MATCH(N2028, Criterios!$C$123:$C$128, 0)), "Temporada no válida", "")), IF(OR(O2028="", O2028=""), "[Aviso] Ciclo de vida no capturado ()", IF(ISNA(MATCH(O2028, Criterios!$D$123:$D$124, 0)), "Ciclo de vida no válido", ""))))</f>
        <v/>
      </c>
      <c r="AC2028" s="56" t="n"/>
      <c r="AD2028" s="51" t="n">
        <v>1</v>
      </c>
      <c r="AE2028" s="156" t="inlineStr">
        <is>
          <t>B25 STETSON.MX (1)</t>
        </is>
      </c>
      <c r="AF2028" s="51" t="n">
        <v>1</v>
      </c>
      <c r="AG2028" s="156" t="inlineStr">
        <is>
          <t>Catálogo existente</t>
        </is>
      </c>
      <c r="AH2028" s="156" t="inlineStr">
        <is>
          <t>Revisión 29/09/2026: Campos sin respaldo: P, S, U, X; Auditoría NetSuite 30/09/2026: llenado desde NetSuite [T] | 01/10/2026: complementado desde Shopify Stetson México (match por código de barras): WB Silueta, Enlace de imagen</t>
        </is>
      </c>
      <c r="AI2028" s="156" t="inlineStr">
        <is>
          <t>No</t>
        </is>
      </c>
      <c r="AJ2028" s="156" t="n"/>
      <c r="AK2028" s="155" t="inlineStr">
        <is>
          <t>Criterios: J [R]; G1522_Extraccion_Articulos_NetSuite_2026-09-30.xlsx: fila 57404 [T] | Shopify Stetson: producto 14725978849643 / variante 52145014505835</t>
        </is>
      </c>
      <c r="AL2028" s="58" t="n">
        <v>795.2586207000001</v>
      </c>
      <c r="AM2028" s="58" t="n">
        <v>1767.241379</v>
      </c>
      <c r="AN2028" s="155" t="inlineStr">
        <is>
          <t>Shopify Stetson México</t>
        </is>
      </c>
      <c r="AO2028" s="59" t="n">
        <v>1</v>
      </c>
      <c r="AP2028" s="59" t="n"/>
      <c r="AQ2028" s="59" t="n"/>
      <c r="AR2028" s="155" t="inlineStr">
        <is>
          <t>Shopify Stetson México › Stetson México: 1</t>
        </is>
      </c>
    </row>
    <row r="2029">
      <c r="A2029" s="50" t="inlineStr">
        <is>
          <t>196070779455</t>
        </is>
      </c>
      <c r="B2029" s="51" t="inlineStr">
        <is>
          <t>109590</t>
        </is>
      </c>
      <c r="C2029" s="156" t="inlineStr">
        <is>
          <t>Multimarca</t>
        </is>
      </c>
      <c r="D2029" s="156" t="inlineStr">
        <is>
          <t>11-001-0478-2033</t>
        </is>
      </c>
      <c r="E2029" s="156" t="inlineStr">
        <is>
          <t>11-001-0478-2033-XXL</t>
        </is>
      </c>
      <c r="F2029" s="156" t="inlineStr">
        <is>
          <t>XXL</t>
        </is>
      </c>
      <c r="G2029" s="156" t="inlineStr">
        <is>
          <t>XXL</t>
        </is>
      </c>
      <c r="H2029" s="156" t="inlineStr">
        <is>
          <t>Stetson</t>
        </is>
      </c>
      <c r="I2029" s="156" t="inlineStr">
        <is>
          <t>Camisa Stetson Sandy</t>
        </is>
      </c>
      <c r="J2029" s="156" t="inlineStr">
        <is>
          <t>Ropa</t>
        </is>
      </c>
      <c r="K2029" s="156" t="inlineStr">
        <is>
          <t>Camisas</t>
        </is>
      </c>
      <c r="L2029" s="156" t="inlineStr">
        <is>
          <t>Hombre</t>
        </is>
      </c>
      <c r="M2029" s="156" t="inlineStr">
        <is>
          <t>Stetson</t>
        </is>
      </c>
      <c r="N2029" s="156" t="inlineStr">
        <is>
          <t>SS26</t>
        </is>
      </c>
      <c r="O2029" s="156" t="inlineStr">
        <is>
          <t>Seasonal</t>
        </is>
      </c>
      <c r="P2029" s="156" t="n"/>
      <c r="Q2029" s="156" t="inlineStr">
        <is>
          <t>Clásico</t>
        </is>
      </c>
      <c r="R2029" s="156" t="n"/>
      <c r="S2029" s="156" t="n"/>
      <c r="T2029"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9" s="156" t="n"/>
      <c r="V2029" s="156" t="inlineStr">
        <is>
          <t>PZS</t>
        </is>
      </c>
      <c r="W2029" s="51" t="inlineStr">
        <is>
          <t>53101600</t>
        </is>
      </c>
      <c r="X2029" s="156" t="inlineStr">
        <is>
          <t>https://cdn.shopify.com/s/files/1/0888/3250/8267/files/1100104782033a.jpg?v=1750967446</t>
        </is>
      </c>
      <c r="Y2029" s="54" t="n">
        <v>795.2586207000001</v>
      </c>
      <c r="Z2029" s="54" t="n">
        <v>1767.241379</v>
      </c>
      <c r="AA2029" s="55">
        <f>IF(AND(A2029="", B2029="", E2029=""), "", IF(AB2029="", "Válido", IF((LEN(AB2029)-LEN(SUBSTITUTE(AB2029,"; ","")))/2+1&gt;(LEN(AB2029)-LEN(SUBSTITUTE(AB2029,"[Aviso]","")))/7, "Con Incidencias", "Válido")))</f>
        <v/>
      </c>
      <c r="AB2029" s="56">
        <f>IF(AND(A2029="", B2029="", E2029=""), "", TEXTJOIN("; ", TRUE, IF(OR(TRIM(A2029&amp;"")="", ISNUMBER(SEARCH("FALTA", A2029))), "UPC faltante/inválido", ""), IF(AND(A2029&lt;&gt;"", IFERROR(_xlfn.XMATCH(A2029,$A$2:$A$2509,0,1)&lt;&gt;_xlfn.XMATCH(A2029,$A$2:$A$2509,0,-1),FALSE)), "Código de barras duplicado", ""), IF(AND(E2029&lt;&gt;"", COUNTIF($E$2:$E$2509, E2029)&gt;1), "SKU duplicado", ""), IF(OR(J2029="", J2029=""), "[Aviso] División no capturada ()", IF(ISNA(MATCH(J2029, Criterios!$A$123:$A$126, 0)), "División no válida", "")), IF(OR(K2029="", K2029=""), "[Aviso] Categoría no capturada ()", IF(ISNA(MATCH(K2029, Criterios!$A$81:$A$120, 0)), "Categoría no válida", IF(AND(J2029&lt;&gt;"", J2029&lt;&gt;"", J2029&lt;&gt;VLOOKUP(K2029, Criterios!$A$81:$B$120, 2, FALSE)), "División no coincide con Categoría", ""))), IF(OR(L2029="", L2029=""), "[Aviso] Género no capturado ()", IF(ISNA(MATCH(L2029, Criterios!$B$123:$B$127, 0)), "Género no válido", "")), IF(OR(N2029="", N2029=""), "[Aviso] Temporada no capturada ()", IF(ISNA(MATCH(N2029, Criterios!$C$123:$C$128, 0)), "Temporada no válida", "")), IF(OR(O2029="", O2029=""), "[Aviso] Ciclo de vida no capturado ()", IF(ISNA(MATCH(O2029, Criterios!$D$123:$D$124, 0)), "Ciclo de vida no válido", ""))))</f>
        <v/>
      </c>
      <c r="AC2029" s="56" t="n"/>
      <c r="AD2029" s="51" t="n">
        <v>2</v>
      </c>
      <c r="AE2029" s="156" t="inlineStr">
        <is>
          <t>B25 STETSON.MX (2)</t>
        </is>
      </c>
      <c r="AF2029" s="51" t="n">
        <v>2</v>
      </c>
      <c r="AG2029" s="156" t="inlineStr">
        <is>
          <t>Catálogo existente</t>
        </is>
      </c>
      <c r="AH2029" s="156" t="inlineStr">
        <is>
          <t>Revisión 29/09/2026: Campos sin respaldo: P, S, U, X; Auditoría NetSuite 30/09/2026: llenado desde NetSuite [T] | 01/10/2026: complementado desde Shopify Stetson México (match por código de barras): WB Silueta, Enlace de imagen</t>
        </is>
      </c>
      <c r="AI2029" s="156" t="inlineStr">
        <is>
          <t>No</t>
        </is>
      </c>
      <c r="AJ2029" s="156" t="n"/>
      <c r="AK2029" s="155" t="inlineStr">
        <is>
          <t>Criterios: J [R]; G1522_Extraccion_Articulos_NetSuite_2026-09-30.xlsx: fila 57405 [T] | Shopify Stetson: producto 14725978849643 / variante 52145014538603</t>
        </is>
      </c>
      <c r="AL2029" s="58" t="n">
        <v>795.2586207000001</v>
      </c>
      <c r="AM2029" s="58" t="n">
        <v>1767.241379</v>
      </c>
      <c r="AN2029" s="155" t="inlineStr">
        <is>
          <t>Shopify Stetson México</t>
        </is>
      </c>
      <c r="AO2029" s="59" t="n">
        <v>2</v>
      </c>
      <c r="AP2029" s="59" t="n"/>
      <c r="AQ2029" s="59" t="n"/>
      <c r="AR2029" s="155" t="inlineStr">
        <is>
          <t>Shopify Stetson México › Stetson México: 2</t>
        </is>
      </c>
    </row>
    <row r="2030">
      <c r="A2030" s="50" t="inlineStr">
        <is>
          <t>196070779899</t>
        </is>
      </c>
      <c r="B2030" s="51" t="inlineStr">
        <is>
          <t>109618</t>
        </is>
      </c>
      <c r="C2030" s="156" t="inlineStr">
        <is>
          <t>Multimarca</t>
        </is>
      </c>
      <c r="D2030" s="156" t="inlineStr">
        <is>
          <t>11-001-0526-2067</t>
        </is>
      </c>
      <c r="E2030" s="156" t="inlineStr">
        <is>
          <t>11-001-0526-2067-L</t>
        </is>
      </c>
      <c r="F2030" s="156" t="inlineStr">
        <is>
          <t>L</t>
        </is>
      </c>
      <c r="G2030" s="156" t="inlineStr">
        <is>
          <t>L</t>
        </is>
      </c>
      <c r="H2030" s="156" t="inlineStr">
        <is>
          <t>Stetson</t>
        </is>
      </c>
      <c r="I2030" s="156" t="inlineStr">
        <is>
          <t>Camisa Stetson Mosaico Geo</t>
        </is>
      </c>
      <c r="J2030" s="156" t="inlineStr">
        <is>
          <t>Ropa</t>
        </is>
      </c>
      <c r="K2030" s="156" t="inlineStr">
        <is>
          <t>Camisas</t>
        </is>
      </c>
      <c r="L2030" s="156" t="inlineStr">
        <is>
          <t>Hombre</t>
        </is>
      </c>
      <c r="M2030" s="156" t="inlineStr">
        <is>
          <t>Stetson</t>
        </is>
      </c>
      <c r="N2030" s="156" t="inlineStr">
        <is>
          <t>SS26</t>
        </is>
      </c>
      <c r="O2030" s="156" t="inlineStr">
        <is>
          <t>Seasonal</t>
        </is>
      </c>
      <c r="P2030" s="156" t="n"/>
      <c r="Q2030" s="156" t="inlineStr">
        <is>
          <t>Clásico</t>
        </is>
      </c>
      <c r="R2030" s="156" t="n"/>
      <c r="S2030" s="156" t="inlineStr">
        <is>
          <t>100% Algodón</t>
        </is>
      </c>
      <c r="T2030"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0" s="156" t="n"/>
      <c r="V2030" s="156" t="inlineStr">
        <is>
          <t>PZS</t>
        </is>
      </c>
      <c r="W2030" s="51" t="inlineStr">
        <is>
          <t>53101600</t>
        </is>
      </c>
      <c r="X2030" s="156" t="inlineStr">
        <is>
          <t>https://cdn.shopify.com/s/files/1/0888/3250/8267/files/1100105262067b.jpg?v=1751040288</t>
        </is>
      </c>
      <c r="Y2030" s="54" t="n">
        <v>717.6724138</v>
      </c>
      <c r="Z2030" s="54" t="n">
        <v>1594.827586</v>
      </c>
      <c r="AA2030" s="55">
        <f>IF(AND(A2030="", B2030="", E2030=""), "", IF(AB2030="", "Válido", IF((LEN(AB2030)-LEN(SUBSTITUTE(AB2030,"; ","")))/2+1&gt;(LEN(AB2030)-LEN(SUBSTITUTE(AB2030,"[Aviso]","")))/7, "Con Incidencias", "Válido")))</f>
        <v/>
      </c>
      <c r="AB2030" s="56">
        <f>IF(AND(A2030="", B2030="", E2030=""), "", TEXTJOIN("; ", TRUE, IF(OR(TRIM(A2030&amp;"")="", ISNUMBER(SEARCH("FALTA", A2030))), "UPC faltante/inválido", ""), IF(AND(A2030&lt;&gt;"", IFERROR(_xlfn.XMATCH(A2030,$A$2:$A$2509,0,1)&lt;&gt;_xlfn.XMATCH(A2030,$A$2:$A$2509,0,-1),FALSE)), "Código de barras duplicado", ""), IF(AND(E2030&lt;&gt;"", COUNTIF($E$2:$E$2509, E2030)&gt;1), "SKU duplicado", ""), IF(OR(J2030="", J2030=""), "[Aviso] División no capturada ()", IF(ISNA(MATCH(J2030, Criterios!$A$123:$A$126, 0)), "División no válida", "")), IF(OR(K2030="", K2030=""), "[Aviso] Categoría no capturada ()", IF(ISNA(MATCH(K2030, Criterios!$A$81:$A$120, 0)), "Categoría no válida", IF(AND(J2030&lt;&gt;"", J2030&lt;&gt;"", J2030&lt;&gt;VLOOKUP(K2030, Criterios!$A$81:$B$120, 2, FALSE)), "División no coincide con Categoría", ""))), IF(OR(L2030="", L2030=""), "[Aviso] Género no capturado ()", IF(ISNA(MATCH(L2030, Criterios!$B$123:$B$127, 0)), "Género no válido", "")), IF(OR(N2030="", N2030=""), "[Aviso] Temporada no capturada ()", IF(ISNA(MATCH(N2030, Criterios!$C$123:$C$128, 0)), "Temporada no válida", "")), IF(OR(O2030="", O2030=""), "[Aviso] Ciclo de vida no capturado ()", IF(ISNA(MATCH(O2030, Criterios!$D$123:$D$124, 0)), "Ciclo de vida no válido", ""))))</f>
        <v/>
      </c>
      <c r="AC2030" s="56" t="n"/>
      <c r="AD2030" s="51" t="n">
        <v>0</v>
      </c>
      <c r="AE2030" s="156" t="inlineStr">
        <is>
          <t>B25 STETSON.MX (2)</t>
        </is>
      </c>
      <c r="AF2030" s="51" t="n">
        <v>2</v>
      </c>
      <c r="AG2030" s="156" t="inlineStr">
        <is>
          <t>Catálogo existente</t>
        </is>
      </c>
      <c r="AH2030"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0" s="156" t="inlineStr">
        <is>
          <t>Sí</t>
        </is>
      </c>
      <c r="AJ2030" s="156" t="inlineStr">
        <is>
          <t>STETSON AMERICAS (-2)</t>
        </is>
      </c>
      <c r="AK2030" s="155" t="inlineStr">
        <is>
          <t>Criterios: J [R]; G1522_Extraccion_Articulos_NetSuite_2026-09-30.xlsx: fila 57433 [S] | Shopify Stetson: producto 14727071367531 / variante 52147357942123</t>
        </is>
      </c>
      <c r="AL2030" s="58" t="n">
        <v>717.6724138</v>
      </c>
      <c r="AM2030" s="58" t="n">
        <v>1594.827586</v>
      </c>
      <c r="AN2030" s="155" t="inlineStr">
        <is>
          <t>Shopify Stetson México</t>
        </is>
      </c>
      <c r="AO2030" s="59" t="n">
        <v>3</v>
      </c>
      <c r="AP2030" s="59" t="n"/>
      <c r="AQ2030" s="59" t="n"/>
      <c r="AR2030" s="155" t="inlineStr">
        <is>
          <t>Shopify Stetson México › Stetson México: 2 | Shopify Stetson México › Stetson Americas: 1</t>
        </is>
      </c>
    </row>
    <row r="2031">
      <c r="A2031" s="50" t="inlineStr">
        <is>
          <t>196070779905</t>
        </is>
      </c>
      <c r="B2031" s="51" t="inlineStr">
        <is>
          <t>109619</t>
        </is>
      </c>
      <c r="C2031" s="156" t="inlineStr">
        <is>
          <t>Multimarca</t>
        </is>
      </c>
      <c r="D2031" s="156" t="inlineStr">
        <is>
          <t>11-001-0526-2067</t>
        </is>
      </c>
      <c r="E2031" s="156" t="inlineStr">
        <is>
          <t>11-001-0526-2067-M</t>
        </is>
      </c>
      <c r="F2031" s="156" t="inlineStr">
        <is>
          <t>M</t>
        </is>
      </c>
      <c r="G2031" s="156" t="inlineStr">
        <is>
          <t>M</t>
        </is>
      </c>
      <c r="H2031" s="156" t="inlineStr">
        <is>
          <t>Stetson</t>
        </is>
      </c>
      <c r="I2031" s="156" t="inlineStr">
        <is>
          <t>Camisa Stetson Mosaico Geo</t>
        </is>
      </c>
      <c r="J2031" s="156" t="inlineStr">
        <is>
          <t>Ropa</t>
        </is>
      </c>
      <c r="K2031" s="156" t="inlineStr">
        <is>
          <t>Camisas</t>
        </is>
      </c>
      <c r="L2031" s="156" t="inlineStr">
        <is>
          <t>Hombre</t>
        </is>
      </c>
      <c r="M2031" s="156" t="inlineStr">
        <is>
          <t>Stetson</t>
        </is>
      </c>
      <c r="N2031" s="156" t="inlineStr">
        <is>
          <t>SS26</t>
        </is>
      </c>
      <c r="O2031" s="156" t="inlineStr">
        <is>
          <t>Seasonal</t>
        </is>
      </c>
      <c r="P2031" s="156" t="n"/>
      <c r="Q2031" s="156" t="inlineStr">
        <is>
          <t>Clásico</t>
        </is>
      </c>
      <c r="R2031" s="156" t="n"/>
      <c r="S2031" s="156" t="inlineStr">
        <is>
          <t>100% Algodón</t>
        </is>
      </c>
      <c r="T2031"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1" s="156" t="n"/>
      <c r="V2031" s="156" t="inlineStr">
        <is>
          <t>PZS</t>
        </is>
      </c>
      <c r="W2031" s="51" t="inlineStr">
        <is>
          <t>53101600</t>
        </is>
      </c>
      <c r="X2031" s="156" t="inlineStr">
        <is>
          <t>https://cdn.shopify.com/s/files/1/0888/3250/8267/files/1100105262067c.jpg?v=1751040280</t>
        </is>
      </c>
      <c r="Y2031" s="54" t="n">
        <v>717.6724138</v>
      </c>
      <c r="Z2031" s="54" t="n">
        <v>1594.827586</v>
      </c>
      <c r="AA2031" s="55">
        <f>IF(AND(A2031="", B2031="", E2031=""), "", IF(AB2031="", "Válido", IF((LEN(AB2031)-LEN(SUBSTITUTE(AB2031,"; ","")))/2+1&gt;(LEN(AB2031)-LEN(SUBSTITUTE(AB2031,"[Aviso]","")))/7, "Con Incidencias", "Válido")))</f>
        <v/>
      </c>
      <c r="AB2031" s="56">
        <f>IF(AND(A2031="", B2031="", E2031=""), "", TEXTJOIN("; ", TRUE, IF(OR(TRIM(A2031&amp;"")="", ISNUMBER(SEARCH("FALTA", A2031))), "UPC faltante/inválido", ""), IF(AND(A2031&lt;&gt;"", IFERROR(_xlfn.XMATCH(A2031,$A$2:$A$2509,0,1)&lt;&gt;_xlfn.XMATCH(A2031,$A$2:$A$2509,0,-1),FALSE)), "Código de barras duplicado", ""), IF(AND(E2031&lt;&gt;"", COUNTIF($E$2:$E$2509, E2031)&gt;1), "SKU duplicado", ""), IF(OR(J2031="", J2031=""), "[Aviso] División no capturada ()", IF(ISNA(MATCH(J2031, Criterios!$A$123:$A$126, 0)), "División no válida", "")), IF(OR(K2031="", K2031=""), "[Aviso] Categoría no capturada ()", IF(ISNA(MATCH(K2031, Criterios!$A$81:$A$120, 0)), "Categoría no válida", IF(AND(J2031&lt;&gt;"", J2031&lt;&gt;"", J2031&lt;&gt;VLOOKUP(K2031, Criterios!$A$81:$B$120, 2, FALSE)), "División no coincide con Categoría", ""))), IF(OR(L2031="", L2031=""), "[Aviso] Género no capturado ()", IF(ISNA(MATCH(L2031, Criterios!$B$123:$B$127, 0)), "Género no válido", "")), IF(OR(N2031="", N2031=""), "[Aviso] Temporada no capturada ()", IF(ISNA(MATCH(N2031, Criterios!$C$123:$C$128, 0)), "Temporada no válida", "")), IF(OR(O2031="", O2031=""), "[Aviso] Ciclo de vida no capturado ()", IF(ISNA(MATCH(O2031, Criterios!$D$123:$D$124, 0)), "Ciclo de vida no válido", ""))))</f>
        <v/>
      </c>
      <c r="AC2031" s="56" t="n"/>
      <c r="AD2031" s="51" t="n">
        <v>1</v>
      </c>
      <c r="AE2031" s="156" t="inlineStr">
        <is>
          <t>B25 STETSON.MX (3)</t>
        </is>
      </c>
      <c r="AF2031" s="51" t="n">
        <v>3</v>
      </c>
      <c r="AG2031" s="156" t="inlineStr">
        <is>
          <t>Catálogo existente</t>
        </is>
      </c>
      <c r="AH20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1" s="156" t="inlineStr">
        <is>
          <t>Sí</t>
        </is>
      </c>
      <c r="AJ2031" s="156" t="inlineStr">
        <is>
          <t>STETSON AMERICAS (-2)</t>
        </is>
      </c>
      <c r="AK2031" s="155" t="inlineStr">
        <is>
          <t>Criterios: J [R]; G1522_Extraccion_Articulos_NetSuite_2026-09-30.xlsx: fila 57434 [S] | Shopify Stetson: producto 14727071367531 / variante 52147357909355</t>
        </is>
      </c>
      <c r="AL2031" s="58" t="n">
        <v>717.6724138</v>
      </c>
      <c r="AM2031" s="58" t="n">
        <v>1594.827586</v>
      </c>
      <c r="AN2031" s="155" t="inlineStr">
        <is>
          <t>Shopify Stetson México</t>
        </is>
      </c>
      <c r="AO2031" s="59" t="n">
        <v>3</v>
      </c>
      <c r="AP2031" s="59" t="n"/>
      <c r="AQ2031" s="59" t="n"/>
      <c r="AR2031" s="155" t="inlineStr">
        <is>
          <t>Shopify Stetson México › Stetson México: 3</t>
        </is>
      </c>
    </row>
    <row r="2032">
      <c r="A2032" s="50" t="inlineStr">
        <is>
          <t>196070779912</t>
        </is>
      </c>
      <c r="B2032" s="51" t="inlineStr">
        <is>
          <t>109620</t>
        </is>
      </c>
      <c r="C2032" s="156" t="inlineStr">
        <is>
          <t>Multimarca</t>
        </is>
      </c>
      <c r="D2032" s="156" t="inlineStr">
        <is>
          <t>11-001-0526-2067</t>
        </is>
      </c>
      <c r="E2032" s="156" t="inlineStr">
        <is>
          <t>11-001-0526-2067-S</t>
        </is>
      </c>
      <c r="F2032" s="156" t="inlineStr">
        <is>
          <t>S</t>
        </is>
      </c>
      <c r="G2032" s="156" t="inlineStr">
        <is>
          <t>S</t>
        </is>
      </c>
      <c r="H2032" s="156" t="inlineStr">
        <is>
          <t>Stetson</t>
        </is>
      </c>
      <c r="I2032" s="156" t="inlineStr">
        <is>
          <t>Camisa Stetson Mosaico Geo</t>
        </is>
      </c>
      <c r="J2032" s="156" t="inlineStr">
        <is>
          <t>Ropa</t>
        </is>
      </c>
      <c r="K2032" s="156" t="inlineStr">
        <is>
          <t>Camisas</t>
        </is>
      </c>
      <c r="L2032" s="156" t="inlineStr">
        <is>
          <t>Hombre</t>
        </is>
      </c>
      <c r="M2032" s="156" t="inlineStr">
        <is>
          <t>Stetson</t>
        </is>
      </c>
      <c r="N2032" s="156" t="inlineStr">
        <is>
          <t>SS26</t>
        </is>
      </c>
      <c r="O2032" s="156" t="inlineStr">
        <is>
          <t>Seasonal</t>
        </is>
      </c>
      <c r="P2032" s="156" t="n"/>
      <c r="Q2032" s="156" t="inlineStr">
        <is>
          <t>Clásico</t>
        </is>
      </c>
      <c r="R2032" s="156" t="n"/>
      <c r="S2032" s="156" t="inlineStr">
        <is>
          <t>100% Algodón</t>
        </is>
      </c>
      <c r="T2032"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2" s="156" t="n"/>
      <c r="V2032" s="156" t="inlineStr">
        <is>
          <t>PZS</t>
        </is>
      </c>
      <c r="W2032" s="51" t="inlineStr">
        <is>
          <t>53101600</t>
        </is>
      </c>
      <c r="X2032" s="156" t="inlineStr">
        <is>
          <t>https://cdn.shopify.com/s/files/1/0888/3250/8267/files/1100105262067a.jpg?v=1751040273</t>
        </is>
      </c>
      <c r="Y2032" s="54" t="n">
        <v>717.6724138</v>
      </c>
      <c r="Z2032" s="54" t="n">
        <v>1594.827586</v>
      </c>
      <c r="AA2032" s="55">
        <f>IF(AND(A2032="", B2032="", E2032=""), "", IF(AB2032="", "Válido", IF((LEN(AB2032)-LEN(SUBSTITUTE(AB2032,"; ","")))/2+1&gt;(LEN(AB2032)-LEN(SUBSTITUTE(AB2032,"[Aviso]","")))/7, "Con Incidencias", "Válido")))</f>
        <v/>
      </c>
      <c r="AB2032" s="56">
        <f>IF(AND(A2032="", B2032="", E2032=""), "", TEXTJOIN("; ", TRUE, IF(OR(TRIM(A2032&amp;"")="", ISNUMBER(SEARCH("FALTA", A2032))), "UPC faltante/inválido", ""), IF(AND(A2032&lt;&gt;"", IFERROR(_xlfn.XMATCH(A2032,$A$2:$A$2509,0,1)&lt;&gt;_xlfn.XMATCH(A2032,$A$2:$A$2509,0,-1),FALSE)), "Código de barras duplicado", ""), IF(AND(E2032&lt;&gt;"", COUNTIF($E$2:$E$2509, E2032)&gt;1), "SKU duplicado", ""), IF(OR(J2032="", J2032=""), "[Aviso] División no capturada ()", IF(ISNA(MATCH(J2032, Criterios!$A$123:$A$126, 0)), "División no válida", "")), IF(OR(K2032="", K2032=""), "[Aviso] Categoría no capturada ()", IF(ISNA(MATCH(K2032, Criterios!$A$81:$A$120, 0)), "Categoría no válida", IF(AND(J2032&lt;&gt;"", J2032&lt;&gt;"", J2032&lt;&gt;VLOOKUP(K2032, Criterios!$A$81:$B$120, 2, FALSE)), "División no coincide con Categoría", ""))), IF(OR(L2032="", L2032=""), "[Aviso] Género no capturado ()", IF(ISNA(MATCH(L2032, Criterios!$B$123:$B$127, 0)), "Género no válido", "")), IF(OR(N2032="", N2032=""), "[Aviso] Temporada no capturada ()", IF(ISNA(MATCH(N2032, Criterios!$C$123:$C$128, 0)), "Temporada no válida", "")), IF(OR(O2032="", O2032=""), "[Aviso] Ciclo de vida no capturado ()", IF(ISNA(MATCH(O2032, Criterios!$D$123:$D$124, 0)), "Ciclo de vida no válido", ""))))</f>
        <v/>
      </c>
      <c r="AC2032" s="56" t="n"/>
      <c r="AD2032" s="51" t="n">
        <v>2</v>
      </c>
      <c r="AE2032" s="156" t="inlineStr">
        <is>
          <t>B25 STETSON.MX (2)</t>
        </is>
      </c>
      <c r="AF2032" s="51" t="n">
        <v>2</v>
      </c>
      <c r="AG2032" s="156" t="inlineStr">
        <is>
          <t>Catálogo existente</t>
        </is>
      </c>
      <c r="AH20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2" s="156" t="inlineStr">
        <is>
          <t>No</t>
        </is>
      </c>
      <c r="AJ2032" s="156" t="n"/>
      <c r="AK2032" s="155" t="inlineStr">
        <is>
          <t>Criterios: J [R]; G1522_Extraccion_Articulos_NetSuite_2026-09-30.xlsx: fila 57435 [S] | Shopify Stetson: producto 14727071367531 / variante 52147357876587</t>
        </is>
      </c>
      <c r="AL2032" s="58" t="n">
        <v>717.6724138</v>
      </c>
      <c r="AM2032" s="58" t="n">
        <v>1594.827586</v>
      </c>
      <c r="AN2032" s="155" t="inlineStr">
        <is>
          <t>Shopify Stetson México</t>
        </is>
      </c>
      <c r="AO2032" s="59" t="n">
        <v>2</v>
      </c>
      <c r="AP2032" s="59" t="n"/>
      <c r="AQ2032" s="59" t="n"/>
      <c r="AR2032" s="155" t="inlineStr">
        <is>
          <t>Shopify Stetson México › Stetson México: 2</t>
        </is>
      </c>
    </row>
    <row r="2033">
      <c r="A2033" s="50" t="inlineStr">
        <is>
          <t>196070779929</t>
        </is>
      </c>
      <c r="B2033" s="51" t="inlineStr">
        <is>
          <t>109621</t>
        </is>
      </c>
      <c r="C2033" s="156" t="inlineStr">
        <is>
          <t>Multimarca</t>
        </is>
      </c>
      <c r="D2033" s="156" t="inlineStr">
        <is>
          <t>11-001-0526-2067</t>
        </is>
      </c>
      <c r="E2033" s="156" t="inlineStr">
        <is>
          <t>11-001-0526-2067-XL</t>
        </is>
      </c>
      <c r="F2033" s="156" t="inlineStr">
        <is>
          <t>XL</t>
        </is>
      </c>
      <c r="G2033" s="156" t="inlineStr">
        <is>
          <t>XL</t>
        </is>
      </c>
      <c r="H2033" s="156" t="inlineStr">
        <is>
          <t>Stetson</t>
        </is>
      </c>
      <c r="I2033" s="156" t="inlineStr">
        <is>
          <t>Camisa Stetson Mosaico Geo</t>
        </is>
      </c>
      <c r="J2033" s="156" t="inlineStr">
        <is>
          <t>Ropa</t>
        </is>
      </c>
      <c r="K2033" s="156" t="inlineStr">
        <is>
          <t>Camisas</t>
        </is>
      </c>
      <c r="L2033" s="156" t="inlineStr">
        <is>
          <t>Hombre</t>
        </is>
      </c>
      <c r="M2033" s="156" t="inlineStr">
        <is>
          <t>Stetson</t>
        </is>
      </c>
      <c r="N2033" s="156" t="inlineStr">
        <is>
          <t>SS26</t>
        </is>
      </c>
      <c r="O2033" s="156" t="inlineStr">
        <is>
          <t>Seasonal</t>
        </is>
      </c>
      <c r="P2033" s="156" t="n"/>
      <c r="Q2033" s="156" t="inlineStr">
        <is>
          <t>Clásico</t>
        </is>
      </c>
      <c r="R2033" s="156" t="n"/>
      <c r="S2033" s="156" t="inlineStr">
        <is>
          <t>100% Algodón</t>
        </is>
      </c>
      <c r="T2033"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3" s="156" t="n"/>
      <c r="V2033" s="156" t="inlineStr">
        <is>
          <t>PZS</t>
        </is>
      </c>
      <c r="W2033" s="51" t="inlineStr">
        <is>
          <t>53101600</t>
        </is>
      </c>
      <c r="X2033" s="156" t="inlineStr">
        <is>
          <t>https://cdn.shopify.com/s/files/1/0888/3250/8267/files/1100105262067a.jpg?v=1751040273</t>
        </is>
      </c>
      <c r="Y2033" s="54" t="n">
        <v>717.6724138</v>
      </c>
      <c r="Z2033" s="54" t="n">
        <v>1594.827586</v>
      </c>
      <c r="AA2033" s="55">
        <f>IF(AND(A2033="", B2033="", E2033=""), "", IF(AB2033="", "Válido", IF((LEN(AB2033)-LEN(SUBSTITUTE(AB2033,"; ","")))/2+1&gt;(LEN(AB2033)-LEN(SUBSTITUTE(AB2033,"[Aviso]","")))/7, "Con Incidencias", "Válido")))</f>
        <v/>
      </c>
      <c r="AB2033" s="56">
        <f>IF(AND(A2033="", B2033="", E2033=""), "", TEXTJOIN("; ", TRUE, IF(OR(TRIM(A2033&amp;"")="", ISNUMBER(SEARCH("FALTA", A2033))), "UPC faltante/inválido", ""), IF(AND(A2033&lt;&gt;"", IFERROR(_xlfn.XMATCH(A2033,$A$2:$A$2509,0,1)&lt;&gt;_xlfn.XMATCH(A2033,$A$2:$A$2509,0,-1),FALSE)), "Código de barras duplicado", ""), IF(AND(E2033&lt;&gt;"", COUNTIF($E$2:$E$2509, E2033)&gt;1), "SKU duplicado", ""), IF(OR(J2033="", J2033=""), "[Aviso] División no capturada ()", IF(ISNA(MATCH(J2033, Criterios!$A$123:$A$126, 0)), "División no válida", "")), IF(OR(K2033="", K2033=""), "[Aviso] Categoría no capturada ()", IF(ISNA(MATCH(K2033, Criterios!$A$81:$A$120, 0)), "Categoría no válida", IF(AND(J2033&lt;&gt;"", J2033&lt;&gt;"", J2033&lt;&gt;VLOOKUP(K2033, Criterios!$A$81:$B$120, 2, FALSE)), "División no coincide con Categoría", ""))), IF(OR(L2033="", L2033=""), "[Aviso] Género no capturado ()", IF(ISNA(MATCH(L2033, Criterios!$B$123:$B$127, 0)), "Género no válido", "")), IF(OR(N2033="", N2033=""), "[Aviso] Temporada no capturada ()", IF(ISNA(MATCH(N2033, Criterios!$C$123:$C$128, 0)), "Temporada no válida", "")), IF(OR(O2033="", O2033=""), "[Aviso] Ciclo de vida no capturado ()", IF(ISNA(MATCH(O2033, Criterios!$D$123:$D$124, 0)), "Ciclo de vida no válido", ""))))</f>
        <v/>
      </c>
      <c r="AC2033" s="56" t="n"/>
      <c r="AD2033" s="51" t="n">
        <v>2</v>
      </c>
      <c r="AE2033" s="156" t="inlineStr">
        <is>
          <t>B25 STETSON.MX (2)</t>
        </is>
      </c>
      <c r="AF2033" s="51" t="n">
        <v>2</v>
      </c>
      <c r="AG2033" s="156" t="inlineStr">
        <is>
          <t>Catálogo existente</t>
        </is>
      </c>
      <c r="AH2033"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33" s="156" t="inlineStr">
        <is>
          <t>No</t>
        </is>
      </c>
      <c r="AJ2033" s="156" t="n"/>
      <c r="AK2033" s="155" t="inlineStr">
        <is>
          <t>Criterios: J [R]; G1522_Extraccion_Articulos_NetSuite_2026-09-30.xlsx: fila 57436 [S] | Shopify Stetson: producto 14727071367531 / variante 52147357974891</t>
        </is>
      </c>
      <c r="AL2033" s="58" t="n">
        <v>717.6724138</v>
      </c>
      <c r="AM2033" s="58" t="n">
        <v>1594.827586</v>
      </c>
      <c r="AN2033" s="155" t="inlineStr">
        <is>
          <t>Shopify Stetson México</t>
        </is>
      </c>
      <c r="AO2033" s="59" t="n">
        <v>2</v>
      </c>
      <c r="AP2033" s="59" t="n"/>
      <c r="AQ2033" s="59" t="n"/>
      <c r="AR2033" s="155" t="inlineStr">
        <is>
          <t>Shopify Stetson México › Stetson México: 2</t>
        </is>
      </c>
    </row>
    <row r="2034">
      <c r="A2034" s="50" t="inlineStr">
        <is>
          <t>196070779936</t>
        </is>
      </c>
      <c r="B2034" s="51" t="inlineStr">
        <is>
          <t>109622</t>
        </is>
      </c>
      <c r="C2034" s="156" t="inlineStr">
        <is>
          <t>Multimarca</t>
        </is>
      </c>
      <c r="D2034" s="156" t="inlineStr">
        <is>
          <t>11-001-0526-2067</t>
        </is>
      </c>
      <c r="E2034" s="156" t="inlineStr">
        <is>
          <t>11-001-0526-2067-XXL</t>
        </is>
      </c>
      <c r="F2034" s="156" t="inlineStr">
        <is>
          <t>XXL</t>
        </is>
      </c>
      <c r="G2034" s="156" t="inlineStr">
        <is>
          <t>XXL</t>
        </is>
      </c>
      <c r="H2034" s="156" t="inlineStr">
        <is>
          <t>Stetson</t>
        </is>
      </c>
      <c r="I2034" s="156" t="inlineStr">
        <is>
          <t>Camisa Stetson Mosaico Geo</t>
        </is>
      </c>
      <c r="J2034" s="156" t="inlineStr">
        <is>
          <t>Ropa</t>
        </is>
      </c>
      <c r="K2034" s="156" t="inlineStr">
        <is>
          <t>Camisas</t>
        </is>
      </c>
      <c r="L2034" s="156" t="inlineStr">
        <is>
          <t>Hombre</t>
        </is>
      </c>
      <c r="M2034" s="156" t="inlineStr">
        <is>
          <t>Stetson</t>
        </is>
      </c>
      <c r="N2034" s="156" t="inlineStr">
        <is>
          <t>SS26</t>
        </is>
      </c>
      <c r="O2034" s="156" t="inlineStr">
        <is>
          <t>Seasonal</t>
        </is>
      </c>
      <c r="P2034" s="156" t="n"/>
      <c r="Q2034" s="156" t="inlineStr">
        <is>
          <t>Clásico</t>
        </is>
      </c>
      <c r="R2034" s="156" t="n"/>
      <c r="S2034" s="156" t="inlineStr">
        <is>
          <t>100% Algodón</t>
        </is>
      </c>
      <c r="T2034"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4" s="156" t="n"/>
      <c r="V2034" s="156" t="inlineStr">
        <is>
          <t>PZS</t>
        </is>
      </c>
      <c r="W2034" s="51" t="inlineStr">
        <is>
          <t>53101600</t>
        </is>
      </c>
      <c r="X2034" s="156" t="inlineStr">
        <is>
          <t>https://cdn.shopify.com/s/files/1/0888/3250/8267/files/1100105262067a.jpg?v=1751040273</t>
        </is>
      </c>
      <c r="Y2034" s="54" t="n">
        <v>717.6724138</v>
      </c>
      <c r="Z2034" s="54" t="n">
        <v>1594.827586</v>
      </c>
      <c r="AA2034" s="55">
        <f>IF(AND(A2034="", B2034="", E2034=""), "", IF(AB2034="", "Válido", IF((LEN(AB2034)-LEN(SUBSTITUTE(AB2034,"; ","")))/2+1&gt;(LEN(AB2034)-LEN(SUBSTITUTE(AB2034,"[Aviso]","")))/7, "Con Incidencias", "Válido")))</f>
        <v/>
      </c>
      <c r="AB2034" s="56">
        <f>IF(AND(A2034="", B2034="", E2034=""), "", TEXTJOIN("; ", TRUE, IF(OR(TRIM(A2034&amp;"")="", ISNUMBER(SEARCH("FALTA", A2034))), "UPC faltante/inválido", ""), IF(AND(A2034&lt;&gt;"", IFERROR(_xlfn.XMATCH(A2034,$A$2:$A$2509,0,1)&lt;&gt;_xlfn.XMATCH(A2034,$A$2:$A$2509,0,-1),FALSE)), "Código de barras duplicado", ""), IF(AND(E2034&lt;&gt;"", COUNTIF($E$2:$E$2509, E2034)&gt;1), "SKU duplicado", ""), IF(OR(J2034="", J2034=""), "[Aviso] División no capturada ()", IF(ISNA(MATCH(J2034, Criterios!$A$123:$A$126, 0)), "División no válida", "")), IF(OR(K2034="", K2034=""), "[Aviso] Categoría no capturada ()", IF(ISNA(MATCH(K2034, Criterios!$A$81:$A$120, 0)), "Categoría no válida", IF(AND(J2034&lt;&gt;"", J2034&lt;&gt;"", J2034&lt;&gt;VLOOKUP(K2034, Criterios!$A$81:$B$120, 2, FALSE)), "División no coincide con Categoría", ""))), IF(OR(L2034="", L2034=""), "[Aviso] Género no capturado ()", IF(ISNA(MATCH(L2034, Criterios!$B$123:$B$127, 0)), "Género no válido", "")), IF(OR(N2034="", N2034=""), "[Aviso] Temporada no capturada ()", IF(ISNA(MATCH(N2034, Criterios!$C$123:$C$128, 0)), "Temporada no válida", "")), IF(OR(O2034="", O2034=""), "[Aviso] Ciclo de vida no capturado ()", IF(ISNA(MATCH(O2034, Criterios!$D$123:$D$124, 0)), "Ciclo de vida no válido", ""))))</f>
        <v/>
      </c>
      <c r="AC2034" s="56" t="n"/>
      <c r="AD2034" s="51" t="n">
        <v>2</v>
      </c>
      <c r="AE2034" s="156" t="inlineStr">
        <is>
          <t>B25 STETSON.MX (2)</t>
        </is>
      </c>
      <c r="AF2034" s="51" t="n">
        <v>2</v>
      </c>
      <c r="AG2034" s="156" t="inlineStr">
        <is>
          <t>Catálogo existente</t>
        </is>
      </c>
      <c r="AH203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34" s="156" t="inlineStr">
        <is>
          <t>No</t>
        </is>
      </c>
      <c r="AJ2034" s="156" t="n"/>
      <c r="AK2034" s="155" t="inlineStr">
        <is>
          <t>Criterios: J [R]; G1522_Extraccion_Articulos_NetSuite_2026-09-30.xlsx: fila 57437 [S] | Shopify Stetson: producto 14727071367531 / variante 52147358007659</t>
        </is>
      </c>
      <c r="AL2034" s="58" t="n">
        <v>717.6724138</v>
      </c>
      <c r="AM2034" s="58" t="n">
        <v>1594.827586</v>
      </c>
      <c r="AN2034" s="155" t="inlineStr">
        <is>
          <t>Shopify Stetson México</t>
        </is>
      </c>
      <c r="AO2034" s="59" t="n">
        <v>2</v>
      </c>
      <c r="AP2034" s="59" t="n"/>
      <c r="AQ2034" s="59" t="n"/>
      <c r="AR2034" s="155" t="inlineStr">
        <is>
          <t>Shopify Stetson México › Stetson México: 2</t>
        </is>
      </c>
    </row>
    <row r="2035">
      <c r="A2035" s="50" t="inlineStr">
        <is>
          <t>196070780253</t>
        </is>
      </c>
      <c r="B2035" s="51" t="n"/>
      <c r="C2035" s="156" t="inlineStr">
        <is>
          <t>Multimarca</t>
        </is>
      </c>
      <c r="D2035" s="156" t="inlineStr">
        <is>
          <t>11-002-0425-2061 BU</t>
        </is>
      </c>
      <c r="E2035" s="156" t="inlineStr">
        <is>
          <t>11-002-0425-2061 BU_GDE</t>
        </is>
      </c>
      <c r="F2035" s="156" t="inlineStr">
        <is>
          <t>L</t>
        </is>
      </c>
      <c r="G2035" s="156" t="inlineStr">
        <is>
          <t>L</t>
        </is>
      </c>
      <c r="H2035" s="156" t="inlineStr">
        <is>
          <t>Stetson</t>
        </is>
      </c>
      <c r="I2035" s="156" t="inlineStr">
        <is>
          <t>Camisa Stetson Medallon Azul</t>
        </is>
      </c>
      <c r="J2035" s="156" t="inlineStr">
        <is>
          <t>Ropa</t>
        </is>
      </c>
      <c r="K2035" s="156" t="inlineStr">
        <is>
          <t>Camisas</t>
        </is>
      </c>
      <c r="L2035" s="156" t="inlineStr">
        <is>
          <t>Unisex</t>
        </is>
      </c>
      <c r="M2035" s="156" t="inlineStr">
        <is>
          <t>Stetson</t>
        </is>
      </c>
      <c r="N2035" s="156" t="n"/>
      <c r="O2035" s="156" t="n"/>
      <c r="P2035" s="156" t="inlineStr">
        <is>
          <t>Azul</t>
        </is>
      </c>
      <c r="Q2035" s="156" t="inlineStr">
        <is>
          <t>Regular</t>
        </is>
      </c>
      <c r="R2035" s="156" t="n"/>
      <c r="S2035" s="156" t="n"/>
      <c r="T2035"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5" s="156" t="n"/>
      <c r="V2035" s="156" t="inlineStr">
        <is>
          <t>PZS</t>
        </is>
      </c>
      <c r="W2035" s="51" t="inlineStr">
        <is>
          <t>53101602</t>
        </is>
      </c>
      <c r="X2035" s="156" t="inlineStr">
        <is>
          <t>https://cdn.shopify.com/s/files/1/0888/3250/8267/files/1100204252061a.jpg?v=1751041900</t>
        </is>
      </c>
      <c r="Y2035" s="54" t="n"/>
      <c r="Z2035" s="54" t="n">
        <v>1850</v>
      </c>
      <c r="AA2035" s="55">
        <f>IF(AND(A2035="", B2035="", E2035=""), "", IF(AB2035="", "Válido", IF((LEN(AB2035)-LEN(SUBSTITUTE(AB2035,"; ","")))/2+1&gt;(LEN(AB2035)-LEN(SUBSTITUTE(AB2035,"[Aviso]","")))/7, "Con Incidencias", "Válido")))</f>
        <v/>
      </c>
      <c r="AB2035" s="56">
        <f>IF(AND(A2035="", B2035="", E2035=""), "", TEXTJOIN("; ", TRUE, IF(OR(TRIM(A2035&amp;"")="", ISNUMBER(SEARCH("FALTA", A2035))), "UPC faltante/inválido", ""), IF(AND(A2035&lt;&gt;"", IFERROR(_xlfn.XMATCH(A2035,$A$2:$A$2509,0,1)&lt;&gt;_xlfn.XMATCH(A2035,$A$2:$A$2509,0,-1),FALSE)), "Código de barras duplicado", ""), IF(AND(E2035&lt;&gt;"", COUNTIF($E$2:$E$2509, E2035)&gt;1), "SKU duplicado", ""), IF(OR(J2035="", J2035=""), "[Aviso] División no capturada ()", IF(ISNA(MATCH(J2035, Criterios!$A$123:$A$126, 0)), "División no válida", "")), IF(OR(K2035="", K2035=""), "[Aviso] Categoría no capturada ()", IF(ISNA(MATCH(K2035, Criterios!$A$81:$A$120, 0)), "Categoría no válida", IF(AND(J2035&lt;&gt;"", J2035&lt;&gt;"", J2035&lt;&gt;VLOOKUP(K2035, Criterios!$A$81:$B$120, 2, FALSE)), "División no coincide con Categoría", ""))), IF(OR(L2035="", L2035=""), "[Aviso] Género no capturado ()", IF(ISNA(MATCH(L2035, Criterios!$B$123:$B$127, 0)), "Género no válido", "")), IF(OR(N2035="", N2035=""), "[Aviso] Temporada no capturada ()", IF(ISNA(MATCH(N2035, Criterios!$C$123:$C$128, 0)), "Temporada no válida", "")), IF(OR(O2035="", O2035=""), "[Aviso] Ciclo de vida no capturado ()", IF(ISNA(MATCH(O2035, Criterios!$D$123:$D$124, 0)), "Ciclo de vida no válido", ""))))</f>
        <v/>
      </c>
      <c r="AC2035" s="56" t="n"/>
      <c r="AD2035" s="51" t="n">
        <v>0</v>
      </c>
      <c r="AE2035" s="156" t="inlineStr">
        <is>
          <t>Sin coincidencia en NetSuite</t>
        </is>
      </c>
      <c r="AF2035" s="51" t="n"/>
      <c r="AG2035" s="156" t="inlineStr">
        <is>
          <t>Catálogo existente</t>
        </is>
      </c>
      <c r="AH2035" s="156" t="inlineStr">
        <is>
          <t>No se encontró en Hoja a Revisar por ID interno ni por código de barras | 01/10/2026: complementado desde Shopify Stetson México (match por código de barras): WB Silueta, Enlace de imagen | 01/10/2026: Shopify Stetson México trae Género «Hombre» — se conservó el valor de Productos | Homologación G1522 06/10/2026: Validador Shopify: ST: precio con IVA no es múltiplo de 50</t>
        </is>
      </c>
      <c r="AI2035" s="156" t="n"/>
      <c r="AJ2035" s="156" t="n"/>
      <c r="AK2035" s="155" t="inlineStr">
        <is>
          <t>Shopify Stetson: producto 14727073628523 / variante 52147373703531</t>
        </is>
      </c>
      <c r="AL2035" s="58" t="n"/>
      <c r="AM2035" s="58" t="n">
        <v>1850</v>
      </c>
      <c r="AN2035" s="155" t="inlineStr">
        <is>
          <t>Shopify Stetson México</t>
        </is>
      </c>
      <c r="AO2035" s="59" t="n">
        <v>0</v>
      </c>
      <c r="AP2035" s="59" t="n"/>
      <c r="AQ2035" s="59" t="n"/>
      <c r="AR2035" s="155" t="n"/>
    </row>
    <row r="2036">
      <c r="A2036" s="50" t="inlineStr">
        <is>
          <t>196070780260</t>
        </is>
      </c>
      <c r="B2036" s="51" t="n"/>
      <c r="C2036" s="156" t="inlineStr">
        <is>
          <t>Multimarca</t>
        </is>
      </c>
      <c r="D2036" s="156" t="inlineStr">
        <is>
          <t>11-002-0425-2061 BU</t>
        </is>
      </c>
      <c r="E2036" s="156" t="inlineStr">
        <is>
          <t>11-002-0425-2061 BU_MED</t>
        </is>
      </c>
      <c r="F2036" s="156" t="inlineStr">
        <is>
          <t>M</t>
        </is>
      </c>
      <c r="G2036" s="156" t="inlineStr">
        <is>
          <t>M</t>
        </is>
      </c>
      <c r="H2036" s="156" t="inlineStr">
        <is>
          <t>Stetson</t>
        </is>
      </c>
      <c r="I2036" s="156" t="inlineStr">
        <is>
          <t>Camisa Stetson Medallon Azul</t>
        </is>
      </c>
      <c r="J2036" s="156" t="inlineStr">
        <is>
          <t>Ropa</t>
        </is>
      </c>
      <c r="K2036" s="156" t="inlineStr">
        <is>
          <t>Camisas</t>
        </is>
      </c>
      <c r="L2036" s="156" t="inlineStr">
        <is>
          <t>Unisex</t>
        </is>
      </c>
      <c r="M2036" s="156" t="inlineStr">
        <is>
          <t>Stetson</t>
        </is>
      </c>
      <c r="N2036" s="156" t="n"/>
      <c r="O2036" s="156" t="n"/>
      <c r="P2036" s="156" t="inlineStr">
        <is>
          <t>Azul</t>
        </is>
      </c>
      <c r="Q2036" s="156" t="inlineStr">
        <is>
          <t>Regular</t>
        </is>
      </c>
      <c r="R2036" s="156" t="n"/>
      <c r="S2036" s="156" t="n"/>
      <c r="T2036"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6" s="156" t="n"/>
      <c r="V2036" s="156" t="inlineStr">
        <is>
          <t>PZS</t>
        </is>
      </c>
      <c r="W2036" s="51" t="inlineStr">
        <is>
          <t>53101602</t>
        </is>
      </c>
      <c r="X2036" s="156" t="inlineStr">
        <is>
          <t>https://cdn.shopify.com/s/files/1/0888/3250/8267/files/1100204252061b.jpg?v=1751041906</t>
        </is>
      </c>
      <c r="Y2036" s="54" t="n"/>
      <c r="Z2036" s="54" t="n">
        <v>1850</v>
      </c>
      <c r="AA2036" s="55">
        <f>IF(AND(A2036="", B2036="", E2036=""), "", IF(AB2036="", "Válido", IF((LEN(AB2036)-LEN(SUBSTITUTE(AB2036,"; ","")))/2+1&gt;(LEN(AB2036)-LEN(SUBSTITUTE(AB2036,"[Aviso]","")))/7, "Con Incidencias", "Válido")))</f>
        <v/>
      </c>
      <c r="AB2036" s="56">
        <f>IF(AND(A2036="", B2036="", E2036=""), "", TEXTJOIN("; ", TRUE, IF(OR(TRIM(A2036&amp;"")="", ISNUMBER(SEARCH("FALTA", A2036))), "UPC faltante/inválido", ""), IF(AND(A2036&lt;&gt;"", IFERROR(_xlfn.XMATCH(A2036,$A$2:$A$2509,0,1)&lt;&gt;_xlfn.XMATCH(A2036,$A$2:$A$2509,0,-1),FALSE)), "Código de barras duplicado", ""), IF(AND(E2036&lt;&gt;"", COUNTIF($E$2:$E$2509, E2036)&gt;1), "SKU duplicado", ""), IF(OR(J2036="", J2036=""), "[Aviso] División no capturada ()", IF(ISNA(MATCH(J2036, Criterios!$A$123:$A$126, 0)), "División no válida", "")), IF(OR(K2036="", K2036=""), "[Aviso] Categoría no capturada ()", IF(ISNA(MATCH(K2036, Criterios!$A$81:$A$120, 0)), "Categoría no válida", IF(AND(J2036&lt;&gt;"", J2036&lt;&gt;"", J2036&lt;&gt;VLOOKUP(K2036, Criterios!$A$81:$B$120, 2, FALSE)), "División no coincide con Categoría", ""))), IF(OR(L2036="", L2036=""), "[Aviso] Género no capturado ()", IF(ISNA(MATCH(L2036, Criterios!$B$123:$B$127, 0)), "Género no válido", "")), IF(OR(N2036="", N2036=""), "[Aviso] Temporada no capturada ()", IF(ISNA(MATCH(N2036, Criterios!$C$123:$C$128, 0)), "Temporada no válida", "")), IF(OR(O2036="", O2036=""), "[Aviso] Ciclo de vida no capturado ()", IF(ISNA(MATCH(O2036, Criterios!$D$123:$D$124, 0)), "Ciclo de vida no válido", ""))))</f>
        <v/>
      </c>
      <c r="AC2036" s="56" t="n"/>
      <c r="AD2036" s="51" t="n">
        <v>0</v>
      </c>
      <c r="AE2036" s="156" t="inlineStr">
        <is>
          <t>Sin coincidencia en NetSuite</t>
        </is>
      </c>
      <c r="AF2036" s="51" t="n"/>
      <c r="AG2036" s="156" t="inlineStr">
        <is>
          <t>Catálogo existente</t>
        </is>
      </c>
      <c r="AH2036" s="156" t="inlineStr">
        <is>
          <t>No se encontró en Hoja a Revisar por ID interno ni por código de barras | 01/10/2026: complementado desde Shopify Stetson México (match por código de barras): WB Silueta | 01/10/2026: Shopify Stetson México trae Género «Hombre» — se conservó el valor de Productos | Homologación G1522 06/10/2026: Validador Shopify: ST: precio con IVA no es múltiplo de 50</t>
        </is>
      </c>
      <c r="AI2036" s="156" t="n"/>
      <c r="AJ2036" s="156" t="n"/>
      <c r="AK2036" s="155" t="inlineStr">
        <is>
          <t>Shopify Stetson: producto 14727073628523 / variante 52147373670763</t>
        </is>
      </c>
      <c r="AL2036" s="58" t="n"/>
      <c r="AM2036" s="58" t="n">
        <v>1850</v>
      </c>
      <c r="AN2036" s="155" t="inlineStr">
        <is>
          <t>Shopify Stetson México</t>
        </is>
      </c>
      <c r="AO2036" s="59" t="n">
        <v>0</v>
      </c>
      <c r="AP2036" s="59" t="n"/>
      <c r="AQ2036" s="59" t="n"/>
      <c r="AR2036" s="155" t="n"/>
    </row>
    <row r="2037">
      <c r="A2037" s="50" t="inlineStr">
        <is>
          <t>196070780277</t>
        </is>
      </c>
      <c r="B2037" s="51" t="n"/>
      <c r="C2037" s="156" t="inlineStr">
        <is>
          <t>Multimarca</t>
        </is>
      </c>
      <c r="D2037" s="156" t="inlineStr">
        <is>
          <t>11-002-0425-2061 BU</t>
        </is>
      </c>
      <c r="E2037" s="156" t="inlineStr">
        <is>
          <t>11-002-0425-2061 BU_CH</t>
        </is>
      </c>
      <c r="F2037" s="156" t="inlineStr">
        <is>
          <t>S</t>
        </is>
      </c>
      <c r="G2037" s="156" t="inlineStr">
        <is>
          <t>S</t>
        </is>
      </c>
      <c r="H2037" s="156" t="inlineStr">
        <is>
          <t>Stetson</t>
        </is>
      </c>
      <c r="I2037" s="156" t="inlineStr">
        <is>
          <t>Camisa Stetson Medallon Azul</t>
        </is>
      </c>
      <c r="J2037" s="156" t="inlineStr">
        <is>
          <t>Ropa</t>
        </is>
      </c>
      <c r="K2037" s="156" t="inlineStr">
        <is>
          <t>Camisas</t>
        </is>
      </c>
      <c r="L2037" s="156" t="inlineStr">
        <is>
          <t>Unisex</t>
        </is>
      </c>
      <c r="M2037" s="156" t="inlineStr">
        <is>
          <t>Stetson</t>
        </is>
      </c>
      <c r="N2037" s="156" t="inlineStr">
        <is>
          <t>SS26</t>
        </is>
      </c>
      <c r="O2037" s="156" t="inlineStr">
        <is>
          <t>Seasonal</t>
        </is>
      </c>
      <c r="P2037" s="156" t="inlineStr">
        <is>
          <t>Azul</t>
        </is>
      </c>
      <c r="Q2037" s="156" t="inlineStr">
        <is>
          <t>Regular</t>
        </is>
      </c>
      <c r="R2037" s="156" t="n"/>
      <c r="S2037" s="156" t="inlineStr">
        <is>
          <t>100% algodón</t>
        </is>
      </c>
      <c r="T2037"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7" s="156" t="n"/>
      <c r="V2037" s="156" t="inlineStr">
        <is>
          <t>PZS</t>
        </is>
      </c>
      <c r="W2037" s="51" t="inlineStr">
        <is>
          <t>53101602</t>
        </is>
      </c>
      <c r="X2037" s="156" t="inlineStr">
        <is>
          <t>https://cdn.shopify.com/s/files/1/0888/3250/8267/files/1100204252061a.jpg?v=1751041900</t>
        </is>
      </c>
      <c r="Y2037" s="54" t="n"/>
      <c r="Z2037" s="54" t="n">
        <v>1850</v>
      </c>
      <c r="AA2037" s="55">
        <f>IF(AND(A2037="", B2037="", E2037=""), "", IF(AB2037="", "Válido", IF((LEN(AB2037)-LEN(SUBSTITUTE(AB2037,"; ","")))/2+1&gt;(LEN(AB2037)-LEN(SUBSTITUTE(AB2037,"[Aviso]","")))/7, "Con Incidencias", "Válido")))</f>
        <v/>
      </c>
      <c r="AB2037" s="56">
        <f>IF(AND(A2037="", B2037="", E2037=""), "", TEXTJOIN("; ", TRUE, IF(OR(TRIM(A2037&amp;"")="", ISNUMBER(SEARCH("FALTA", A2037))), "UPC faltante/inválido", ""), IF(AND(A2037&lt;&gt;"", IFERROR(_xlfn.XMATCH(A2037,$A$2:$A$2509,0,1)&lt;&gt;_xlfn.XMATCH(A2037,$A$2:$A$2509,0,-1),FALSE)), "Código de barras duplicado", ""), IF(AND(E2037&lt;&gt;"", COUNTIF($E$2:$E$2509, E2037)&gt;1), "SKU duplicado", ""), IF(OR(J2037="", J2037=""), "[Aviso] División no capturada ()", IF(ISNA(MATCH(J2037, Criterios!$A$123:$A$126, 0)), "División no válida", "")), IF(OR(K2037="", K2037=""), "[Aviso] Categoría no capturada ()", IF(ISNA(MATCH(K2037, Criterios!$A$81:$A$120, 0)), "Categoría no válida", IF(AND(J2037&lt;&gt;"", J2037&lt;&gt;"", J2037&lt;&gt;VLOOKUP(K2037, Criterios!$A$81:$B$120, 2, FALSE)), "División no coincide con Categoría", ""))), IF(OR(L2037="", L2037=""), "[Aviso] Género no capturado ()", IF(ISNA(MATCH(L2037, Criterios!$B$123:$B$127, 0)), "Género no válido", "")), IF(OR(N2037="", N2037=""), "[Aviso] Temporada no capturada ()", IF(ISNA(MATCH(N2037, Criterios!$C$123:$C$128, 0)), "Temporada no válida", "")), IF(OR(O2037="", O2037=""), "[Aviso] Ciclo de vida no capturado ()", IF(ISNA(MATCH(O2037, Criterios!$D$123:$D$124, 0)), "Ciclo de vida no válido", ""))))</f>
        <v/>
      </c>
      <c r="AC2037" s="56" t="n"/>
      <c r="AD2037" s="51" t="n">
        <v>0</v>
      </c>
      <c r="AE2037" s="156" t="inlineStr">
        <is>
          <t>Sin coincidencia en NetSuite</t>
        </is>
      </c>
      <c r="AF2037" s="51" t="n"/>
      <c r="AG2037" s="156" t="inlineStr">
        <is>
          <t>Catálogo existente</t>
        </is>
      </c>
      <c r="AH2037"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11-002-0425-2061 | WB SKU: 11-002-0425-2061 BU-S | WB Descripcion: Camisa Stetson Navy Ornamental Print | WB Género: Hombre | WB Descripción larga: Camisa Stetson Navy Ornamental Print; manga corta; frente con botones; | 01/10/2026: complementado desde Shopify Stetson México (match por código de barras): WB Silueta (antes «Manga corta; frente con botones», no válido en Criterios) | 01/10/2026: Shopify Stetson México trae Género «Hombre» — se conservó el valor de Productos | Homologación G1522 06/10/2026: Validador Shopify: ST: precio con IVA no es múltiplo de 50</t>
        </is>
      </c>
      <c r="AI2037" s="156" t="n"/>
      <c r="AJ2037" s="156" t="n"/>
      <c r="AK2037" s="155" t="inlineStr">
        <is>
          <t>Shopify Stetson: producto 14727073628523 / variante 52147373637995</t>
        </is>
      </c>
      <c r="AL2037" s="58" t="n"/>
      <c r="AM2037" s="58" t="n">
        <v>1850</v>
      </c>
      <c r="AN2037" s="155" t="inlineStr">
        <is>
          <t>Shopify Stetson México</t>
        </is>
      </c>
      <c r="AO2037" s="59" t="n">
        <v>0</v>
      </c>
      <c r="AP2037" s="59" t="n"/>
      <c r="AQ2037" s="59" t="n"/>
      <c r="AR2037" s="155" t="n"/>
    </row>
    <row r="2038">
      <c r="A2038" s="50" t="inlineStr">
        <is>
          <t>196070780284</t>
        </is>
      </c>
      <c r="B2038" s="51" t="n"/>
      <c r="C2038" s="156" t="inlineStr">
        <is>
          <t>Multimarca</t>
        </is>
      </c>
      <c r="D2038" s="156" t="inlineStr">
        <is>
          <t>11-002-0425-2061 BU</t>
        </is>
      </c>
      <c r="E2038" s="156" t="inlineStr">
        <is>
          <t>11-002-0425-2061 BU_XL</t>
        </is>
      </c>
      <c r="F2038" s="156" t="inlineStr">
        <is>
          <t>XL</t>
        </is>
      </c>
      <c r="G2038" s="156" t="inlineStr">
        <is>
          <t>XL</t>
        </is>
      </c>
      <c r="H2038" s="156" t="inlineStr">
        <is>
          <t>Stetson</t>
        </is>
      </c>
      <c r="I2038" s="156" t="inlineStr">
        <is>
          <t>Camisa Stetson Medallon Azul</t>
        </is>
      </c>
      <c r="J2038" s="156" t="inlineStr">
        <is>
          <t>Ropa</t>
        </is>
      </c>
      <c r="K2038" s="156" t="inlineStr">
        <is>
          <t>Camisas</t>
        </is>
      </c>
      <c r="L2038" s="156" t="inlineStr">
        <is>
          <t>Unisex</t>
        </is>
      </c>
      <c r="M2038" s="156" t="inlineStr">
        <is>
          <t>Stetson</t>
        </is>
      </c>
      <c r="N2038" s="156" t="inlineStr">
        <is>
          <t>SS26</t>
        </is>
      </c>
      <c r="O2038" s="156" t="inlineStr">
        <is>
          <t>Seasonal</t>
        </is>
      </c>
      <c r="P2038" s="156" t="inlineStr">
        <is>
          <t>Azul</t>
        </is>
      </c>
      <c r="Q2038" s="156" t="inlineStr">
        <is>
          <t>Regular</t>
        </is>
      </c>
      <c r="R2038" s="156" t="n"/>
      <c r="S2038" s="156" t="inlineStr">
        <is>
          <t>100% algodón</t>
        </is>
      </c>
      <c r="T2038"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8" s="156" t="n"/>
      <c r="V2038" s="156" t="inlineStr">
        <is>
          <t>PZS</t>
        </is>
      </c>
      <c r="W2038" s="51" t="inlineStr">
        <is>
          <t>53101602</t>
        </is>
      </c>
      <c r="X2038" s="156" t="inlineStr">
        <is>
          <t>https://cdn.shopify.com/s/files/1/0888/3250/8267/files/1100204252061a.jpg?v=1751041900</t>
        </is>
      </c>
      <c r="Y2038" s="54" t="n"/>
      <c r="Z2038" s="54" t="n">
        <v>1850</v>
      </c>
      <c r="AA2038" s="55">
        <f>IF(AND(A2038="", B2038="", E2038=""), "", IF(AB2038="", "Válido", IF((LEN(AB2038)-LEN(SUBSTITUTE(AB2038,"; ","")))/2+1&gt;(LEN(AB2038)-LEN(SUBSTITUTE(AB2038,"[Aviso]","")))/7, "Con Incidencias", "Válido")))</f>
        <v/>
      </c>
      <c r="AB2038" s="56">
        <f>IF(AND(A2038="", B2038="", E2038=""), "", TEXTJOIN("; ", TRUE, IF(OR(TRIM(A2038&amp;"")="", ISNUMBER(SEARCH("FALTA", A2038))), "UPC faltante/inválido", ""), IF(AND(A2038&lt;&gt;"", IFERROR(_xlfn.XMATCH(A2038,$A$2:$A$2509,0,1)&lt;&gt;_xlfn.XMATCH(A2038,$A$2:$A$2509,0,-1),FALSE)), "Código de barras duplicado", ""), IF(AND(E2038&lt;&gt;"", COUNTIF($E$2:$E$2509, E2038)&gt;1), "SKU duplicado", ""), IF(OR(J2038="", J2038=""), "[Aviso] División no capturada ()", IF(ISNA(MATCH(J2038, Criterios!$A$123:$A$126, 0)), "División no válida", "")), IF(OR(K2038="", K2038=""), "[Aviso] Categoría no capturada ()", IF(ISNA(MATCH(K2038, Criterios!$A$81:$A$120, 0)), "Categoría no válida", IF(AND(J2038&lt;&gt;"", J2038&lt;&gt;"", J2038&lt;&gt;VLOOKUP(K2038, Criterios!$A$81:$B$120, 2, FALSE)), "División no coincide con Categoría", ""))), IF(OR(L2038="", L2038=""), "[Aviso] Género no capturado ()", IF(ISNA(MATCH(L2038, Criterios!$B$123:$B$127, 0)), "Género no válido", "")), IF(OR(N2038="", N2038=""), "[Aviso] Temporada no capturada ()", IF(ISNA(MATCH(N2038, Criterios!$C$123:$C$128, 0)), "Temporada no válida", "")), IF(OR(O2038="", O2038=""), "[Aviso] Ciclo de vida no capturado ()", IF(ISNA(MATCH(O2038, Criterios!$D$123:$D$124, 0)), "Ciclo de vida no válido", ""))))</f>
        <v/>
      </c>
      <c r="AC2038" s="56" t="n"/>
      <c r="AD2038" s="51" t="n">
        <v>0</v>
      </c>
      <c r="AE2038" s="156" t="inlineStr">
        <is>
          <t>Sin coincidencia en NetSuite</t>
        </is>
      </c>
      <c r="AF2038" s="51" t="n"/>
      <c r="AG2038" s="156" t="inlineStr">
        <is>
          <t>Catálogo existente</t>
        </is>
      </c>
      <c r="AH2038"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11-002-0425-2061 | WB SKU: 11-002-0425-2061 BU-XL | WB Descripcion: Camisa Stetson Navy Ornamental Print | WB Género: Hombre | WB Descripción larga: Camisa Stetson Navy Ornamental Print; manga corta; frente con botones; | 01/10/2026: complementado desde Shopify Stetson México (match por código de barras): WB Silueta (antes «Manga corta; frente con botones», no válido en Criterios), Enlace de imagen | 01/10/2026: Shopify Stetson México trae Género «Hombre» — se conservó el valor de Productos | Homologación G1522 06/10/2026: Validador Shopify: ST: precio con IVA no es múltiplo de 50</t>
        </is>
      </c>
      <c r="AI2038" s="156" t="n"/>
      <c r="AJ2038" s="156" t="n"/>
      <c r="AK2038" s="155" t="inlineStr">
        <is>
          <t>Shopify Stetson: producto 14727073628523 / variante 52147373736299</t>
        </is>
      </c>
      <c r="AL2038" s="58" t="n"/>
      <c r="AM2038" s="58" t="n">
        <v>1850</v>
      </c>
      <c r="AN2038" s="155" t="inlineStr">
        <is>
          <t>Shopify Stetson México</t>
        </is>
      </c>
      <c r="AO2038" s="59" t="n">
        <v>0</v>
      </c>
      <c r="AP2038" s="59" t="n"/>
      <c r="AQ2038" s="59" t="n"/>
      <c r="AR2038" s="155" t="n"/>
    </row>
    <row r="2039">
      <c r="A2039" s="50" t="inlineStr">
        <is>
          <t>196070780291</t>
        </is>
      </c>
      <c r="B2039" s="51" t="n"/>
      <c r="C2039" s="156" t="inlineStr">
        <is>
          <t>Multimarca</t>
        </is>
      </c>
      <c r="D2039" s="156" t="inlineStr">
        <is>
          <t>11-002-0425-2061 BU</t>
        </is>
      </c>
      <c r="E2039" s="156" t="inlineStr">
        <is>
          <t>11-002-0425-2061 BU_XXL</t>
        </is>
      </c>
      <c r="F2039" s="156" t="inlineStr">
        <is>
          <t>XXL</t>
        </is>
      </c>
      <c r="G2039" s="156" t="inlineStr">
        <is>
          <t>XXL</t>
        </is>
      </c>
      <c r="H2039" s="156" t="inlineStr">
        <is>
          <t>Stetson</t>
        </is>
      </c>
      <c r="I2039" s="156" t="inlineStr">
        <is>
          <t>Camisa Stetson Medallon Azul</t>
        </is>
      </c>
      <c r="J2039" s="156" t="inlineStr">
        <is>
          <t>Ropa</t>
        </is>
      </c>
      <c r="K2039" s="156" t="inlineStr">
        <is>
          <t>Camisas</t>
        </is>
      </c>
      <c r="L2039" s="156" t="inlineStr">
        <is>
          <t>Unisex</t>
        </is>
      </c>
      <c r="M2039" s="156" t="inlineStr">
        <is>
          <t>Stetson</t>
        </is>
      </c>
      <c r="N2039" s="156" t="n"/>
      <c r="O2039" s="156" t="n"/>
      <c r="P2039" s="156" t="inlineStr">
        <is>
          <t>Azul</t>
        </is>
      </c>
      <c r="Q2039" s="156" t="inlineStr">
        <is>
          <t>Regular</t>
        </is>
      </c>
      <c r="R2039" s="156" t="n"/>
      <c r="S2039" s="156" t="n"/>
      <c r="T2039"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9" s="156" t="n"/>
      <c r="V2039" s="156" t="inlineStr">
        <is>
          <t>PZS</t>
        </is>
      </c>
      <c r="W2039" s="51" t="inlineStr">
        <is>
          <t>53101602</t>
        </is>
      </c>
      <c r="X2039" s="156" t="inlineStr">
        <is>
          <t>https://cdn.shopify.com/s/files/1/0888/3250/8267/files/1100204252061a.jpg?v=1751041900</t>
        </is>
      </c>
      <c r="Y2039" s="54" t="n"/>
      <c r="Z2039" s="54" t="n">
        <v>1850</v>
      </c>
      <c r="AA2039" s="55">
        <f>IF(AND(A2039="", B2039="", E2039=""), "", IF(AB2039="", "Válido", IF((LEN(AB2039)-LEN(SUBSTITUTE(AB2039,"; ","")))/2+1&gt;(LEN(AB2039)-LEN(SUBSTITUTE(AB2039,"[Aviso]","")))/7, "Con Incidencias", "Válido")))</f>
        <v/>
      </c>
      <c r="AB2039" s="56">
        <f>IF(AND(A2039="", B2039="", E2039=""), "", TEXTJOIN("; ", TRUE, IF(OR(TRIM(A2039&amp;"")="", ISNUMBER(SEARCH("FALTA", A2039))), "UPC faltante/inválido", ""), IF(AND(A2039&lt;&gt;"", IFERROR(_xlfn.XMATCH(A2039,$A$2:$A$2509,0,1)&lt;&gt;_xlfn.XMATCH(A2039,$A$2:$A$2509,0,-1),FALSE)), "Código de barras duplicado", ""), IF(AND(E2039&lt;&gt;"", COUNTIF($E$2:$E$2509, E2039)&gt;1), "SKU duplicado", ""), IF(OR(J2039="", J2039=""), "[Aviso] División no capturada ()", IF(ISNA(MATCH(J2039, Criterios!$A$123:$A$126, 0)), "División no válida", "")), IF(OR(K2039="", K2039=""), "[Aviso] Categoría no capturada ()", IF(ISNA(MATCH(K2039, Criterios!$A$81:$A$120, 0)), "Categoría no válida", IF(AND(J2039&lt;&gt;"", J2039&lt;&gt;"", J2039&lt;&gt;VLOOKUP(K2039, Criterios!$A$81:$B$120, 2, FALSE)), "División no coincide con Categoría", ""))), IF(OR(L2039="", L2039=""), "[Aviso] Género no capturado ()", IF(ISNA(MATCH(L2039, Criterios!$B$123:$B$127, 0)), "Género no válido", "")), IF(OR(N2039="", N2039=""), "[Aviso] Temporada no capturada ()", IF(ISNA(MATCH(N2039, Criterios!$C$123:$C$128, 0)), "Temporada no válida", "")), IF(OR(O2039="", O2039=""), "[Aviso] Ciclo de vida no capturado ()", IF(ISNA(MATCH(O2039, Criterios!$D$123:$D$124, 0)), "Ciclo de vida no válido", ""))))</f>
        <v/>
      </c>
      <c r="AC2039" s="56" t="n"/>
      <c r="AD2039" s="51" t="n">
        <v>0</v>
      </c>
      <c r="AE2039" s="156" t="inlineStr">
        <is>
          <t>Sin coincidencia en NetSuite</t>
        </is>
      </c>
      <c r="AF2039" s="51" t="n"/>
      <c r="AG2039" s="156" t="inlineStr">
        <is>
          <t>Catálogo existente</t>
        </is>
      </c>
      <c r="AH2039" s="156" t="inlineStr">
        <is>
          <t>No se encontró en Hoja a Revisar por ID interno ni por código de barras | 01/10/2026: complementado desde Shopify Stetson México (match por código de barras): WB Silueta, Enlace de imagen | 01/10/2026: Shopify Stetson México trae Género «Hombre» — se conservó el valor de Productos | Homologación G1522 06/10/2026: Validador Shopify: ST: precio con IVA no es múltiplo de 50</t>
        </is>
      </c>
      <c r="AI2039" s="156" t="n"/>
      <c r="AJ2039" s="156" t="n"/>
      <c r="AK2039" s="155" t="inlineStr">
        <is>
          <t>Shopify Stetson: producto 14727073628523 / variante 52147373769067</t>
        </is>
      </c>
      <c r="AL2039" s="58" t="n"/>
      <c r="AM2039" s="58" t="n">
        <v>1850</v>
      </c>
      <c r="AN2039" s="155" t="inlineStr">
        <is>
          <t>Shopify Stetson México</t>
        </is>
      </c>
      <c r="AO2039" s="59" t="n">
        <v>0</v>
      </c>
      <c r="AP2039" s="59" t="n"/>
      <c r="AQ2039" s="59" t="n"/>
      <c r="AR2039" s="155" t="n"/>
    </row>
    <row r="2040">
      <c r="A2040" s="50" t="inlineStr">
        <is>
          <t>196070780376</t>
        </is>
      </c>
      <c r="B2040" s="51" t="inlineStr">
        <is>
          <t>109623</t>
        </is>
      </c>
      <c r="C2040" s="156" t="inlineStr">
        <is>
          <t>Multimarca</t>
        </is>
      </c>
      <c r="D2040" s="156" t="inlineStr">
        <is>
          <t>11-002-0478-2030</t>
        </is>
      </c>
      <c r="E2040" s="156" t="inlineStr">
        <is>
          <t>11-002-0478-2030-L</t>
        </is>
      </c>
      <c r="F2040" s="156" t="inlineStr">
        <is>
          <t>L</t>
        </is>
      </c>
      <c r="G2040" s="156" t="inlineStr">
        <is>
          <t>L</t>
        </is>
      </c>
      <c r="H2040" s="156" t="inlineStr">
        <is>
          <t>Stetson</t>
        </is>
      </c>
      <c r="I2040" s="156" t="inlineStr">
        <is>
          <t>Camisa Stetson Manga Corta Moss Dobby</t>
        </is>
      </c>
      <c r="J2040" s="156" t="inlineStr">
        <is>
          <t>Ropa</t>
        </is>
      </c>
      <c r="K2040" s="156" t="inlineStr">
        <is>
          <t>Camisas</t>
        </is>
      </c>
      <c r="L2040" s="156" t="inlineStr">
        <is>
          <t>Hombre</t>
        </is>
      </c>
      <c r="M2040" s="156" t="inlineStr">
        <is>
          <t>Stetson</t>
        </is>
      </c>
      <c r="N2040" s="156" t="inlineStr">
        <is>
          <t>SS26</t>
        </is>
      </c>
      <c r="O2040" s="156" t="inlineStr">
        <is>
          <t>Seasonal</t>
        </is>
      </c>
      <c r="P2040" s="156" t="inlineStr">
        <is>
          <t>Azul</t>
        </is>
      </c>
      <c r="Q2040" s="156" t="inlineStr">
        <is>
          <t>Regular</t>
        </is>
      </c>
      <c r="R2040" s="156" t="n"/>
      <c r="S2040" s="156" t="inlineStr">
        <is>
          <t>100% Algodón</t>
        </is>
      </c>
      <c r="T2040"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40" s="156" t="n"/>
      <c r="V2040" s="156" t="inlineStr">
        <is>
          <t>PZS</t>
        </is>
      </c>
      <c r="W2040" s="51" t="inlineStr">
        <is>
          <t>53101600</t>
        </is>
      </c>
      <c r="X2040" s="156" t="inlineStr">
        <is>
          <t>https://cdn.shopify.com/s/files/1/0888/3250/8267/files/1100204782030a.jpg?v=1751042555</t>
        </is>
      </c>
      <c r="Y2040" s="54" t="n">
        <v>717.6724138</v>
      </c>
      <c r="Z2040" s="54" t="n">
        <v>1594.827586</v>
      </c>
      <c r="AA2040" s="55">
        <f>IF(AND(A2040="", B2040="", E2040=""), "", IF(AB2040="", "Válido", IF((LEN(AB2040)-LEN(SUBSTITUTE(AB2040,"; ","")))/2+1&gt;(LEN(AB2040)-LEN(SUBSTITUTE(AB2040,"[Aviso]","")))/7, "Con Incidencias", "Válido")))</f>
        <v/>
      </c>
      <c r="AB2040" s="56">
        <f>IF(AND(A2040="", B2040="", E2040=""), "", TEXTJOIN("; ", TRUE, IF(OR(TRIM(A2040&amp;"")="", ISNUMBER(SEARCH("FALTA", A2040))), "UPC faltante/inválido", ""), IF(AND(A2040&lt;&gt;"", IFERROR(_xlfn.XMATCH(A2040,$A$2:$A$2509,0,1)&lt;&gt;_xlfn.XMATCH(A2040,$A$2:$A$2509,0,-1),FALSE)), "Código de barras duplicado", ""), IF(AND(E2040&lt;&gt;"", COUNTIF($E$2:$E$2509, E2040)&gt;1), "SKU duplicado", ""), IF(OR(J2040="", J2040=""), "[Aviso] División no capturada ()", IF(ISNA(MATCH(J2040, Criterios!$A$123:$A$126, 0)), "División no válida", "")), IF(OR(K2040="", K2040=""), "[Aviso] Categoría no capturada ()", IF(ISNA(MATCH(K2040, Criterios!$A$81:$A$120, 0)), "Categoría no válida", IF(AND(J2040&lt;&gt;"", J2040&lt;&gt;"", J2040&lt;&gt;VLOOKUP(K2040, Criterios!$A$81:$B$120, 2, FALSE)), "División no coincide con Categoría", ""))), IF(OR(L2040="", L2040=""), "[Aviso] Género no capturado ()", IF(ISNA(MATCH(L2040, Criterios!$B$123:$B$127, 0)), "Género no válido", "")), IF(OR(N2040="", N2040=""), "[Aviso] Temporada no capturada ()", IF(ISNA(MATCH(N2040, Criterios!$C$123:$C$128, 0)), "Temporada no válida", "")), IF(OR(O2040="", O2040=""), "[Aviso] Ciclo de vida no capturado ()", IF(ISNA(MATCH(O2040, Criterios!$D$123:$D$124, 0)), "Ciclo de vida no válido", ""))))</f>
        <v/>
      </c>
      <c r="AC2040" s="56" t="n"/>
      <c r="AD2040" s="51" t="n">
        <v>0</v>
      </c>
      <c r="AE2040" s="156" t="n"/>
      <c r="AF2040" s="51" t="n">
        <v>0</v>
      </c>
      <c r="AG2040" s="156" t="inlineStr">
        <is>
          <t>Catálogo existente</t>
        </is>
      </c>
      <c r="AH204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0" s="156" t="inlineStr">
        <is>
          <t>No</t>
        </is>
      </c>
      <c r="AJ2040" s="156" t="n"/>
      <c r="AK2040" s="155" t="inlineStr">
        <is>
          <t>Descripción y Criterios: G/H [P] | Criterios: J [R]; G1522_Extraccion_Articulos_NetSuite_2026-09-30.xlsx: fila 57438 [S] | Shopify Stetson: producto 14727074087275 / variante 52147375636843</t>
        </is>
      </c>
      <c r="AL2040" s="58" t="n">
        <v>717.6724138</v>
      </c>
      <c r="AM2040" s="58" t="n">
        <v>1594.827586</v>
      </c>
      <c r="AN2040" s="155" t="inlineStr">
        <is>
          <t>Shopify Stetson México</t>
        </is>
      </c>
      <c r="AO2040" s="59" t="n">
        <v>0</v>
      </c>
      <c r="AP2040" s="59" t="n"/>
      <c r="AQ2040" s="59" t="n"/>
      <c r="AR2040" s="155" t="n"/>
    </row>
    <row r="2041">
      <c r="A2041" s="50" t="inlineStr">
        <is>
          <t>196070780383</t>
        </is>
      </c>
      <c r="B2041" s="51" t="inlineStr">
        <is>
          <t>109624</t>
        </is>
      </c>
      <c r="C2041" s="156" t="inlineStr">
        <is>
          <t>Multimarca</t>
        </is>
      </c>
      <c r="D2041" s="156" t="inlineStr">
        <is>
          <t>11-002-0478-2030</t>
        </is>
      </c>
      <c r="E2041" s="156" t="inlineStr">
        <is>
          <t>11-002-0478-2030-M</t>
        </is>
      </c>
      <c r="F2041" s="156" t="inlineStr">
        <is>
          <t>M</t>
        </is>
      </c>
      <c r="G2041" s="156" t="inlineStr">
        <is>
          <t>M</t>
        </is>
      </c>
      <c r="H2041" s="156" t="inlineStr">
        <is>
          <t>Stetson</t>
        </is>
      </c>
      <c r="I2041" s="156" t="inlineStr">
        <is>
          <t>Camisa Stetson Manga Corta Moss Dobby</t>
        </is>
      </c>
      <c r="J2041" s="156" t="inlineStr">
        <is>
          <t>Ropa</t>
        </is>
      </c>
      <c r="K2041" s="156" t="inlineStr">
        <is>
          <t>Camisas</t>
        </is>
      </c>
      <c r="L2041" s="156" t="inlineStr">
        <is>
          <t>Hombre</t>
        </is>
      </c>
      <c r="M2041" s="156" t="inlineStr">
        <is>
          <t>Stetson</t>
        </is>
      </c>
      <c r="N2041" s="156" t="inlineStr">
        <is>
          <t>SS26</t>
        </is>
      </c>
      <c r="O2041" s="156" t="inlineStr">
        <is>
          <t>Seasonal</t>
        </is>
      </c>
      <c r="P2041" s="156" t="inlineStr">
        <is>
          <t>Azul</t>
        </is>
      </c>
      <c r="Q2041" s="156" t="inlineStr">
        <is>
          <t>Regular</t>
        </is>
      </c>
      <c r="R2041" s="156" t="n"/>
      <c r="S2041" s="156" t="inlineStr">
        <is>
          <t>100% Algodón</t>
        </is>
      </c>
      <c r="T2041"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1" s="156" t="n"/>
      <c r="V2041" s="156" t="inlineStr">
        <is>
          <t>PZS</t>
        </is>
      </c>
      <c r="W2041" s="51" t="inlineStr">
        <is>
          <t>53101600</t>
        </is>
      </c>
      <c r="X2041" s="156" t="inlineStr">
        <is>
          <t>https://cdn.shopify.com/s/files/1/0888/3250/8267/files/1100204782030b.jpg?v=1751042561</t>
        </is>
      </c>
      <c r="Y2041" s="54" t="n">
        <v>717.6724138</v>
      </c>
      <c r="Z2041" s="54" t="n">
        <v>1594.827586</v>
      </c>
      <c r="AA2041" s="55">
        <f>IF(AND(A2041="", B2041="", E2041=""), "", IF(AB2041="", "Válido", IF((LEN(AB2041)-LEN(SUBSTITUTE(AB2041,"; ","")))/2+1&gt;(LEN(AB2041)-LEN(SUBSTITUTE(AB2041,"[Aviso]","")))/7, "Con Incidencias", "Válido")))</f>
        <v/>
      </c>
      <c r="AB2041" s="56">
        <f>IF(AND(A2041="", B2041="", E2041=""), "", TEXTJOIN("; ", TRUE, IF(OR(TRIM(A2041&amp;"")="", ISNUMBER(SEARCH("FALTA", A2041))), "UPC faltante/inválido", ""), IF(AND(A2041&lt;&gt;"", IFERROR(_xlfn.XMATCH(A2041,$A$2:$A$2509,0,1)&lt;&gt;_xlfn.XMATCH(A2041,$A$2:$A$2509,0,-1),FALSE)), "Código de barras duplicado", ""), IF(AND(E2041&lt;&gt;"", COUNTIF($E$2:$E$2509, E2041)&gt;1), "SKU duplicado", ""), IF(OR(J2041="", J2041=""), "[Aviso] División no capturada ()", IF(ISNA(MATCH(J2041, Criterios!$A$123:$A$126, 0)), "División no válida", "")), IF(OR(K2041="", K2041=""), "[Aviso] Categoría no capturada ()", IF(ISNA(MATCH(K2041, Criterios!$A$81:$A$120, 0)), "Categoría no válida", IF(AND(J2041&lt;&gt;"", J2041&lt;&gt;"", J2041&lt;&gt;VLOOKUP(K2041, Criterios!$A$81:$B$120, 2, FALSE)), "División no coincide con Categoría", ""))), IF(OR(L2041="", L2041=""), "[Aviso] Género no capturado ()", IF(ISNA(MATCH(L2041, Criterios!$B$123:$B$127, 0)), "Género no válido", "")), IF(OR(N2041="", N2041=""), "[Aviso] Temporada no capturada ()", IF(ISNA(MATCH(N2041, Criterios!$C$123:$C$128, 0)), "Temporada no válida", "")), IF(OR(O2041="", O2041=""), "[Aviso] Ciclo de vida no capturado ()", IF(ISNA(MATCH(O2041, Criterios!$D$123:$D$124, 0)), "Ciclo de vida no válido", ""))))</f>
        <v/>
      </c>
      <c r="AC2041" s="56" t="n"/>
      <c r="AD2041" s="51" t="n">
        <v>2</v>
      </c>
      <c r="AE2041" s="156" t="inlineStr">
        <is>
          <t>B25 STETSON.MX (2)</t>
        </is>
      </c>
      <c r="AF2041" s="51" t="n">
        <v>2</v>
      </c>
      <c r="AG2041" s="156" t="inlineStr">
        <is>
          <t>Catálogo existente</t>
        </is>
      </c>
      <c r="AH204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41" s="156" t="inlineStr">
        <is>
          <t>No</t>
        </is>
      </c>
      <c r="AJ2041" s="156" t="n"/>
      <c r="AK2041" s="155" t="inlineStr">
        <is>
          <t>Descripción y Criterios: G/H [P] | Criterios: J [R]; G1522_Extraccion_Articulos_NetSuite_2026-09-30.xlsx: fila 57439 [S] | Shopify Stetson: producto 14727074087275 / variante 52147375604075</t>
        </is>
      </c>
      <c r="AL2041" s="58" t="n">
        <v>717.6724138</v>
      </c>
      <c r="AM2041" s="58" t="n">
        <v>1594.827586</v>
      </c>
      <c r="AN2041" s="155" t="inlineStr">
        <is>
          <t>Shopify Stetson México</t>
        </is>
      </c>
      <c r="AO2041" s="59" t="n">
        <v>2</v>
      </c>
      <c r="AP2041" s="59" t="n"/>
      <c r="AQ2041" s="59" t="n"/>
      <c r="AR2041" s="155" t="inlineStr">
        <is>
          <t>Shopify Stetson México › Stetson México: 2</t>
        </is>
      </c>
    </row>
    <row r="2042">
      <c r="A2042" s="50" t="inlineStr">
        <is>
          <t>196070780390</t>
        </is>
      </c>
      <c r="B2042" s="51" t="inlineStr">
        <is>
          <t>109625</t>
        </is>
      </c>
      <c r="C2042" s="156" t="inlineStr">
        <is>
          <t>Multimarca</t>
        </is>
      </c>
      <c r="D2042" s="156" t="inlineStr">
        <is>
          <t>11-002-0478-2030</t>
        </is>
      </c>
      <c r="E2042" s="156" t="inlineStr">
        <is>
          <t>11-002-0478-2030-S</t>
        </is>
      </c>
      <c r="F2042" s="156" t="inlineStr">
        <is>
          <t>S</t>
        </is>
      </c>
      <c r="G2042" s="156" t="inlineStr">
        <is>
          <t>S</t>
        </is>
      </c>
      <c r="H2042" s="156" t="inlineStr">
        <is>
          <t>Stetson</t>
        </is>
      </c>
      <c r="I2042" s="156" t="inlineStr">
        <is>
          <t>Camisa Stetson Manga Corta Moss Dobby</t>
        </is>
      </c>
      <c r="J2042" s="156" t="inlineStr">
        <is>
          <t>Ropa</t>
        </is>
      </c>
      <c r="K2042" s="156" t="inlineStr">
        <is>
          <t>Camisas</t>
        </is>
      </c>
      <c r="L2042" s="156" t="inlineStr">
        <is>
          <t>Hombre</t>
        </is>
      </c>
      <c r="M2042" s="156" t="inlineStr">
        <is>
          <t>Stetson</t>
        </is>
      </c>
      <c r="N2042" s="156" t="inlineStr">
        <is>
          <t>SS26</t>
        </is>
      </c>
      <c r="O2042" s="156" t="inlineStr">
        <is>
          <t>Seasonal</t>
        </is>
      </c>
      <c r="P2042" s="156" t="inlineStr">
        <is>
          <t>Azul</t>
        </is>
      </c>
      <c r="Q2042" s="156" t="inlineStr">
        <is>
          <t>Regular</t>
        </is>
      </c>
      <c r="R2042" s="156" t="n"/>
      <c r="S2042" s="156" t="inlineStr">
        <is>
          <t>100% Algodón</t>
        </is>
      </c>
      <c r="T2042"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2" s="156" t="n"/>
      <c r="V2042" s="156" t="inlineStr">
        <is>
          <t>PZS</t>
        </is>
      </c>
      <c r="W2042" s="51" t="inlineStr">
        <is>
          <t>53101600</t>
        </is>
      </c>
      <c r="X2042" s="156" t="inlineStr">
        <is>
          <t>https://cdn.shopify.com/s/files/1/0888/3250/8267/files/1100204782030a.jpg?v=1751042555</t>
        </is>
      </c>
      <c r="Y2042" s="54" t="n">
        <v>717.6724138</v>
      </c>
      <c r="Z2042" s="54" t="n">
        <v>1594.827586</v>
      </c>
      <c r="AA2042" s="55">
        <f>IF(AND(A2042="", B2042="", E2042=""), "", IF(AB2042="", "Válido", IF((LEN(AB2042)-LEN(SUBSTITUTE(AB2042,"; ","")))/2+1&gt;(LEN(AB2042)-LEN(SUBSTITUTE(AB2042,"[Aviso]","")))/7, "Con Incidencias", "Válido")))</f>
        <v/>
      </c>
      <c r="AB2042" s="56">
        <f>IF(AND(A2042="", B2042="", E2042=""), "", TEXTJOIN("; ", TRUE, IF(OR(TRIM(A2042&amp;"")="", ISNUMBER(SEARCH("FALTA", A2042))), "UPC faltante/inválido", ""), IF(AND(A2042&lt;&gt;"", IFERROR(_xlfn.XMATCH(A2042,$A$2:$A$2509,0,1)&lt;&gt;_xlfn.XMATCH(A2042,$A$2:$A$2509,0,-1),FALSE)), "Código de barras duplicado", ""), IF(AND(E2042&lt;&gt;"", COUNTIF($E$2:$E$2509, E2042)&gt;1), "SKU duplicado", ""), IF(OR(J2042="", J2042=""), "[Aviso] División no capturada ()", IF(ISNA(MATCH(J2042, Criterios!$A$123:$A$126, 0)), "División no válida", "")), IF(OR(K2042="", K2042=""), "[Aviso] Categoría no capturada ()", IF(ISNA(MATCH(K2042, Criterios!$A$81:$A$120, 0)), "Categoría no válida", IF(AND(J2042&lt;&gt;"", J2042&lt;&gt;"", J2042&lt;&gt;VLOOKUP(K2042, Criterios!$A$81:$B$120, 2, FALSE)), "División no coincide con Categoría", ""))), IF(OR(L2042="", L2042=""), "[Aviso] Género no capturado ()", IF(ISNA(MATCH(L2042, Criterios!$B$123:$B$127, 0)), "Género no válido", "")), IF(OR(N2042="", N2042=""), "[Aviso] Temporada no capturada ()", IF(ISNA(MATCH(N2042, Criterios!$C$123:$C$128, 0)), "Temporada no válida", "")), IF(OR(O2042="", O2042=""), "[Aviso] Ciclo de vida no capturado ()", IF(ISNA(MATCH(O2042, Criterios!$D$123:$D$124, 0)), "Ciclo de vida no válido", ""))))</f>
        <v/>
      </c>
      <c r="AC2042" s="56" t="n"/>
      <c r="AD2042" s="51" t="n">
        <v>1</v>
      </c>
      <c r="AE2042" s="156" t="inlineStr">
        <is>
          <t>B25 STETSON.MX (1)</t>
        </is>
      </c>
      <c r="AF2042" s="51" t="n">
        <v>1</v>
      </c>
      <c r="AG2042" s="156" t="inlineStr">
        <is>
          <t>Catálogo existente</t>
        </is>
      </c>
      <c r="AH204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42" s="156" t="inlineStr">
        <is>
          <t>No</t>
        </is>
      </c>
      <c r="AJ2042" s="156" t="n"/>
      <c r="AK2042" s="155" t="inlineStr">
        <is>
          <t>Descripción y Criterios: G/H [P] | Criterios: J [R]; G1522_Extraccion_Articulos_NetSuite_2026-09-30.xlsx: fila 57440 [S] | Shopify Stetson: producto 14727074087275 / variante 52147375571307</t>
        </is>
      </c>
      <c r="AL2042" s="58" t="n">
        <v>717.6724138</v>
      </c>
      <c r="AM2042" s="58" t="n">
        <v>1594.827586</v>
      </c>
      <c r="AN2042" s="155" t="inlineStr">
        <is>
          <t>Shopify Stetson México</t>
        </is>
      </c>
      <c r="AO2042" s="59" t="n">
        <v>1</v>
      </c>
      <c r="AP2042" s="59" t="n"/>
      <c r="AQ2042" s="59" t="n"/>
      <c r="AR2042" s="155" t="inlineStr">
        <is>
          <t>Shopify Stetson México › Stetson México: 1</t>
        </is>
      </c>
    </row>
    <row r="2043">
      <c r="A2043" s="50" t="inlineStr">
        <is>
          <t>196070780406</t>
        </is>
      </c>
      <c r="B2043" s="51" t="inlineStr">
        <is>
          <t>109626</t>
        </is>
      </c>
      <c r="C2043" s="156" t="inlineStr">
        <is>
          <t>Multimarca</t>
        </is>
      </c>
      <c r="D2043" s="156" t="inlineStr">
        <is>
          <t>11-002-0478-2030</t>
        </is>
      </c>
      <c r="E2043" s="156" t="inlineStr">
        <is>
          <t>11-002-0478-2030-XL</t>
        </is>
      </c>
      <c r="F2043" s="156" t="inlineStr">
        <is>
          <t>XL</t>
        </is>
      </c>
      <c r="G2043" s="156" t="inlineStr">
        <is>
          <t>XL</t>
        </is>
      </c>
      <c r="H2043" s="156" t="inlineStr">
        <is>
          <t>Stetson</t>
        </is>
      </c>
      <c r="I2043" s="156" t="inlineStr">
        <is>
          <t>Camisa Stetson Manga Corta Moss Dobby</t>
        </is>
      </c>
      <c r="J2043" s="156" t="inlineStr">
        <is>
          <t>Ropa</t>
        </is>
      </c>
      <c r="K2043" s="156" t="inlineStr">
        <is>
          <t>Camisas</t>
        </is>
      </c>
      <c r="L2043" s="156" t="inlineStr">
        <is>
          <t>Hombre</t>
        </is>
      </c>
      <c r="M2043" s="156" t="inlineStr">
        <is>
          <t>Stetson</t>
        </is>
      </c>
      <c r="N2043" s="156" t="inlineStr">
        <is>
          <t>SS26</t>
        </is>
      </c>
      <c r="O2043" s="156" t="inlineStr">
        <is>
          <t>Seasonal</t>
        </is>
      </c>
      <c r="P2043" s="156" t="inlineStr">
        <is>
          <t>Azul</t>
        </is>
      </c>
      <c r="Q2043" s="156" t="inlineStr">
        <is>
          <t>Regular</t>
        </is>
      </c>
      <c r="R2043" s="156" t="n"/>
      <c r="S2043" s="156" t="inlineStr">
        <is>
          <t>100% Algodón</t>
        </is>
      </c>
      <c r="T2043"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3" s="156" t="n"/>
      <c r="V2043" s="156" t="inlineStr">
        <is>
          <t>PZS</t>
        </is>
      </c>
      <c r="W2043" s="51" t="inlineStr">
        <is>
          <t>53101600</t>
        </is>
      </c>
      <c r="X2043" s="156" t="inlineStr">
        <is>
          <t>https://cdn.shopify.com/s/files/1/0888/3250/8267/files/1100204782030a.jpg?v=1751042555</t>
        </is>
      </c>
      <c r="Y2043" s="54" t="n">
        <v>717.6724138</v>
      </c>
      <c r="Z2043" s="54" t="n">
        <v>1594.827586</v>
      </c>
      <c r="AA2043" s="55">
        <f>IF(AND(A2043="", B2043="", E2043=""), "", IF(AB2043="", "Válido", IF((LEN(AB2043)-LEN(SUBSTITUTE(AB2043,"; ","")))/2+1&gt;(LEN(AB2043)-LEN(SUBSTITUTE(AB2043,"[Aviso]","")))/7, "Con Incidencias", "Válido")))</f>
        <v/>
      </c>
      <c r="AB2043" s="56">
        <f>IF(AND(A2043="", B2043="", E2043=""), "", TEXTJOIN("; ", TRUE, IF(OR(TRIM(A2043&amp;"")="", ISNUMBER(SEARCH("FALTA", A2043))), "UPC faltante/inválido", ""), IF(AND(A2043&lt;&gt;"", IFERROR(_xlfn.XMATCH(A2043,$A$2:$A$2509,0,1)&lt;&gt;_xlfn.XMATCH(A2043,$A$2:$A$2509,0,-1),FALSE)), "Código de barras duplicado", ""), IF(AND(E2043&lt;&gt;"", COUNTIF($E$2:$E$2509, E2043)&gt;1), "SKU duplicado", ""), IF(OR(J2043="", J2043=""), "[Aviso] División no capturada ()", IF(ISNA(MATCH(J2043, Criterios!$A$123:$A$126, 0)), "División no válida", "")), IF(OR(K2043="", K2043=""), "[Aviso] Categoría no capturada ()", IF(ISNA(MATCH(K2043, Criterios!$A$81:$A$120, 0)), "Categoría no válida", IF(AND(J2043&lt;&gt;"", J2043&lt;&gt;"", J2043&lt;&gt;VLOOKUP(K2043, Criterios!$A$81:$B$120, 2, FALSE)), "División no coincide con Categoría", ""))), IF(OR(L2043="", L2043=""), "[Aviso] Género no capturado ()", IF(ISNA(MATCH(L2043, Criterios!$B$123:$B$127, 0)), "Género no válido", "")), IF(OR(N2043="", N2043=""), "[Aviso] Temporada no capturada ()", IF(ISNA(MATCH(N2043, Criterios!$C$123:$C$128, 0)), "Temporada no válida", "")), IF(OR(O2043="", O2043=""), "[Aviso] Ciclo de vida no capturado ()", IF(ISNA(MATCH(O2043, Criterios!$D$123:$D$124, 0)), "Ciclo de vida no válido", ""))))</f>
        <v/>
      </c>
      <c r="AC2043" s="56" t="n"/>
      <c r="AD2043" s="51" t="n">
        <v>2</v>
      </c>
      <c r="AE2043" s="156" t="inlineStr">
        <is>
          <t>B25 STETSON.MX (2)</t>
        </is>
      </c>
      <c r="AF2043" s="51" t="n">
        <v>2</v>
      </c>
      <c r="AG2043" s="156" t="inlineStr">
        <is>
          <t>Catálogo existente</t>
        </is>
      </c>
      <c r="AH204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3" s="156" t="inlineStr">
        <is>
          <t>No</t>
        </is>
      </c>
      <c r="AJ2043" s="156" t="n"/>
      <c r="AK2043" s="155" t="inlineStr">
        <is>
          <t>Descripción y Criterios: G/H [P] | Criterios: J [R]; G1522_Extraccion_Articulos_NetSuite_2026-09-30.xlsx: fila 57441 [S] | Shopify Stetson: producto 14727074087275 / variante 52147375669611</t>
        </is>
      </c>
      <c r="AL2043" s="58" t="n">
        <v>717.6724138</v>
      </c>
      <c r="AM2043" s="58" t="n">
        <v>1594.827586</v>
      </c>
      <c r="AN2043" s="155" t="inlineStr">
        <is>
          <t>Shopify Stetson México</t>
        </is>
      </c>
      <c r="AO2043" s="59" t="n">
        <v>2</v>
      </c>
      <c r="AP2043" s="59" t="n"/>
      <c r="AQ2043" s="59" t="n"/>
      <c r="AR2043" s="155" t="inlineStr">
        <is>
          <t>Shopify Stetson México › Stetson México: 2</t>
        </is>
      </c>
    </row>
    <row r="2044">
      <c r="A2044" s="50" t="inlineStr">
        <is>
          <t>196070780413</t>
        </is>
      </c>
      <c r="B2044" s="51" t="inlineStr">
        <is>
          <t>109627</t>
        </is>
      </c>
      <c r="C2044" s="156" t="inlineStr">
        <is>
          <t>Multimarca</t>
        </is>
      </c>
      <c r="D2044" s="156" t="inlineStr">
        <is>
          <t>11-002-0478-2030</t>
        </is>
      </c>
      <c r="E2044" s="156" t="inlineStr">
        <is>
          <t>11-002-0478-2030-XXL</t>
        </is>
      </c>
      <c r="F2044" s="156" t="inlineStr">
        <is>
          <t>XXL</t>
        </is>
      </c>
      <c r="G2044" s="156" t="inlineStr">
        <is>
          <t>XXL</t>
        </is>
      </c>
      <c r="H2044" s="156" t="inlineStr">
        <is>
          <t>Stetson</t>
        </is>
      </c>
      <c r="I2044" s="156" t="inlineStr">
        <is>
          <t>Camisa Stetson Manga Corta Moss Dobby</t>
        </is>
      </c>
      <c r="J2044" s="156" t="inlineStr">
        <is>
          <t>Ropa</t>
        </is>
      </c>
      <c r="K2044" s="156" t="inlineStr">
        <is>
          <t>Camisas</t>
        </is>
      </c>
      <c r="L2044" s="156" t="inlineStr">
        <is>
          <t>Hombre</t>
        </is>
      </c>
      <c r="M2044" s="156" t="inlineStr">
        <is>
          <t>Stetson</t>
        </is>
      </c>
      <c r="N2044" s="156" t="inlineStr">
        <is>
          <t>SS26</t>
        </is>
      </c>
      <c r="O2044" s="156" t="inlineStr">
        <is>
          <t>Seasonal</t>
        </is>
      </c>
      <c r="P2044" s="156" t="inlineStr">
        <is>
          <t>Azul</t>
        </is>
      </c>
      <c r="Q2044" s="156" t="inlineStr">
        <is>
          <t>Regular</t>
        </is>
      </c>
      <c r="R2044" s="156" t="n"/>
      <c r="S2044" s="156" t="inlineStr">
        <is>
          <t>100% Algodón</t>
        </is>
      </c>
      <c r="T2044"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4" s="156" t="n"/>
      <c r="V2044" s="156" t="inlineStr">
        <is>
          <t>PZS</t>
        </is>
      </c>
      <c r="W2044" s="51" t="inlineStr">
        <is>
          <t>53101600</t>
        </is>
      </c>
      <c r="X2044" s="156" t="inlineStr">
        <is>
          <t>https://cdn.shopify.com/s/files/1/0888/3250/8267/files/1100204782030a.jpg?v=1751042555</t>
        </is>
      </c>
      <c r="Y2044" s="54" t="n">
        <v>717.6724138</v>
      </c>
      <c r="Z2044" s="54" t="n">
        <v>1594.827586</v>
      </c>
      <c r="AA2044" s="55">
        <f>IF(AND(A2044="", B2044="", E2044=""), "", IF(AB2044="", "Válido", IF((LEN(AB2044)-LEN(SUBSTITUTE(AB2044,"; ","")))/2+1&gt;(LEN(AB2044)-LEN(SUBSTITUTE(AB2044,"[Aviso]","")))/7, "Con Incidencias", "Válido")))</f>
        <v/>
      </c>
      <c r="AB2044" s="56">
        <f>IF(AND(A2044="", B2044="", E2044=""), "", TEXTJOIN("; ", TRUE, IF(OR(TRIM(A2044&amp;"")="", ISNUMBER(SEARCH("FALTA", A2044))), "UPC faltante/inválido", ""), IF(AND(A2044&lt;&gt;"", IFERROR(_xlfn.XMATCH(A2044,$A$2:$A$2509,0,1)&lt;&gt;_xlfn.XMATCH(A2044,$A$2:$A$2509,0,-1),FALSE)), "Código de barras duplicado", ""), IF(AND(E2044&lt;&gt;"", COUNTIF($E$2:$E$2509, E2044)&gt;1), "SKU duplicado", ""), IF(OR(J2044="", J2044=""), "[Aviso] División no capturada ()", IF(ISNA(MATCH(J2044, Criterios!$A$123:$A$126, 0)), "División no válida", "")), IF(OR(K2044="", K2044=""), "[Aviso] Categoría no capturada ()", IF(ISNA(MATCH(K2044, Criterios!$A$81:$A$120, 0)), "Categoría no válida", IF(AND(J2044&lt;&gt;"", J2044&lt;&gt;"", J2044&lt;&gt;VLOOKUP(K2044, Criterios!$A$81:$B$120, 2, FALSE)), "División no coincide con Categoría", ""))), IF(OR(L2044="", L2044=""), "[Aviso] Género no capturado ()", IF(ISNA(MATCH(L2044, Criterios!$B$123:$B$127, 0)), "Género no válido", "")), IF(OR(N2044="", N2044=""), "[Aviso] Temporada no capturada ()", IF(ISNA(MATCH(N2044, Criterios!$C$123:$C$128, 0)), "Temporada no válida", "")), IF(OR(O2044="", O2044=""), "[Aviso] Ciclo de vida no capturado ()", IF(ISNA(MATCH(O2044, Criterios!$D$123:$D$124, 0)), "Ciclo de vida no válido", ""))))</f>
        <v/>
      </c>
      <c r="AC2044" s="56" t="n"/>
      <c r="AD2044" s="51" t="n">
        <v>2</v>
      </c>
      <c r="AE2044" s="156" t="inlineStr">
        <is>
          <t>B25 STETSON.MX (2)</t>
        </is>
      </c>
      <c r="AF2044" s="51" t="n">
        <v>2</v>
      </c>
      <c r="AG2044" s="156" t="inlineStr">
        <is>
          <t>Catálogo existente</t>
        </is>
      </c>
      <c r="AH204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4" s="156" t="inlineStr">
        <is>
          <t>No</t>
        </is>
      </c>
      <c r="AJ2044" s="156" t="n"/>
      <c r="AK2044" s="155" t="inlineStr">
        <is>
          <t>Descripción y Criterios: G/H [P] | Criterios: J [R]; G1522_Extraccion_Articulos_NetSuite_2026-09-30.xlsx: fila 57442 [S] | Shopify Stetson: producto 14727074087275 / variante 52147375702379</t>
        </is>
      </c>
      <c r="AL2044" s="58" t="n">
        <v>717.6724138</v>
      </c>
      <c r="AM2044" s="58" t="n">
        <v>1594.827586</v>
      </c>
      <c r="AN2044" s="155" t="inlineStr">
        <is>
          <t>Shopify Stetson México</t>
        </is>
      </c>
      <c r="AO2044" s="59" t="n">
        <v>2</v>
      </c>
      <c r="AP2044" s="59" t="n"/>
      <c r="AQ2044" s="59" t="n"/>
      <c r="AR2044" s="155" t="inlineStr">
        <is>
          <t>Shopify Stetson México › Stetson México: 2</t>
        </is>
      </c>
    </row>
    <row r="2045">
      <c r="A2045" s="50" t="inlineStr">
        <is>
          <t>724303723083</t>
        </is>
      </c>
      <c r="B2045" s="51" t="n"/>
      <c r="C2045" s="156" t="inlineStr">
        <is>
          <t>Multimarca</t>
        </is>
      </c>
      <c r="D2045" s="156" t="inlineStr">
        <is>
          <t>ST-BELT-1500-DBRN-32</t>
        </is>
      </c>
      <c r="E2045" s="156" t="inlineStr">
        <is>
          <t>ST-BELT-1500-DBRN-32</t>
        </is>
      </c>
      <c r="F2045" s="156" t="inlineStr">
        <is>
          <t>32</t>
        </is>
      </c>
      <c r="G2045" s="156" t="inlineStr">
        <is>
          <t>32</t>
        </is>
      </c>
      <c r="H2045" s="156" t="inlineStr">
        <is>
          <t>Stetson</t>
        </is>
      </c>
      <c r="I2045" s="156" t="inlineStr">
        <is>
          <t>Cinturón Stetson Piel Dark Brown 1500</t>
        </is>
      </c>
      <c r="J2045" s="156" t="inlineStr">
        <is>
          <t>Accesorios</t>
        </is>
      </c>
      <c r="K2045" s="156" t="inlineStr">
        <is>
          <t>Cinturones</t>
        </is>
      </c>
      <c r="L2045" s="156" t="inlineStr">
        <is>
          <t>Unisex</t>
        </is>
      </c>
      <c r="M2045" s="156" t="inlineStr">
        <is>
          <t>Stetson</t>
        </is>
      </c>
      <c r="N2045" s="156" t="n"/>
      <c r="O2045" s="156" t="n"/>
      <c r="P2045" s="156" t="inlineStr">
        <is>
          <t>Cafe</t>
        </is>
      </c>
      <c r="Q2045" s="156" t="n"/>
      <c r="R2045" s="156" t="n"/>
      <c r="S2045" s="156" t="n"/>
      <c r="T2045" s="156" t="inlineStr">
        <is>
          <t>CINTURÓN STETSON PARA CABALLERO – COLOR MARRÓN OSCURO – 38MM
 Cinturón Stetson para hombre elaborado en cuero de grano superior, diseñado para quienes aprecian la calidad, el estilo western y los detalles artesanales. Este cinturón de 38 mm (1 1/2") de ancho presenta grabados hechos a mano con motivos de hojas y bellotas, bordes entrelazados en cuero, un concho metálico con acabado plateado y una hebilla Stetson con acabado bicolor, que le dan un carácter auténtico y elegante.
 • Modelo: Cinturón Stetson Dark Brown 1500 38mm
 • Ancho: 38 mm (1 1/2")
 • Material: Cuero de grano superior (Top Grain Leather)
 • Diseño: Grabados artesanales de hojas y bellotas
 • Detalles: Bordes con entrelazado de cuero
 • Concho: Metálico con acabado en color plateado
 • Hebilla: Estilo western, acabado bicolor (plateado y dorado)
 • Color: Marrón oscuro (Dark Brown)
 • Estilo: Occidental / Western
 • Tallas disponibles: 32 | 34 | 36 | 38 | 40 | 42 | 44 | 46</t>
        </is>
      </c>
      <c r="U2045" s="156" t="n"/>
      <c r="V2045" s="156" t="inlineStr">
        <is>
          <t>PZS</t>
        </is>
      </c>
      <c r="W2045" s="51" t="inlineStr">
        <is>
          <t>53102501</t>
        </is>
      </c>
      <c r="X2045" s="156" t="inlineStr">
        <is>
          <t>https://cdn.shopify.com/s/files/1/0888/3250/8267/files/9901500-204.jpg?v=1744906317</t>
        </is>
      </c>
      <c r="Y2045" s="54" t="n"/>
      <c r="Z2045" s="54" t="n">
        <v>2450</v>
      </c>
      <c r="AA2045" s="55">
        <f>IF(AND(A2045="", B2045="", E2045=""), "", IF(AB2045="", "Válido", IF((LEN(AB2045)-LEN(SUBSTITUTE(AB2045,"; ","")))/2+1&gt;(LEN(AB2045)-LEN(SUBSTITUTE(AB2045,"[Aviso]","")))/7, "Con Incidencias", "Válido")))</f>
        <v/>
      </c>
      <c r="AB2045" s="56">
        <f>IF(AND(A2045="", B2045="", E2045=""), "", TEXTJOIN("; ", TRUE, IF(OR(TRIM(A2045&amp;"")="", ISNUMBER(SEARCH("FALTA", A2045))), "UPC faltante/inválido", ""), IF(AND(A2045&lt;&gt;"", IFERROR(_xlfn.XMATCH(A2045,$A$2:$A$2509,0,1)&lt;&gt;_xlfn.XMATCH(A2045,$A$2:$A$2509,0,-1),FALSE)), "Código de barras duplicado", ""), IF(AND(E2045&lt;&gt;"", COUNTIF($E$2:$E$2509, E2045)&gt;1), "SKU duplicado", ""), IF(OR(J2045="", J2045=""), "[Aviso] División no capturada ()", IF(ISNA(MATCH(J2045, Criterios!$A$123:$A$126, 0)), "División no válida", "")), IF(OR(K2045="", K2045=""), "[Aviso] Categoría no capturada ()", IF(ISNA(MATCH(K2045, Criterios!$A$81:$A$120, 0)), "Categoría no válida", IF(AND(J2045&lt;&gt;"", J2045&lt;&gt;"", J2045&lt;&gt;VLOOKUP(K2045, Criterios!$A$81:$B$120, 2, FALSE)), "División no coincide con Categoría", ""))), IF(OR(L2045="", L2045=""), "[Aviso] Género no capturado ()", IF(ISNA(MATCH(L2045, Criterios!$B$123:$B$127, 0)), "Género no válido", "")), IF(OR(N2045="", N2045=""), "[Aviso] Temporada no capturada ()", IF(ISNA(MATCH(N2045, Criterios!$C$123:$C$128, 0)), "Temporada no válida", "")), IF(OR(O2045="", O2045=""), "[Aviso] Ciclo de vida no capturado ()", IF(ISNA(MATCH(O2045, Criterios!$D$123:$D$124, 0)), "Ciclo de vida no válido", ""))))</f>
        <v/>
      </c>
      <c r="AC2045" s="56" t="n"/>
      <c r="AD2045" s="51" t="n">
        <v>0</v>
      </c>
      <c r="AE2045" s="156" t="inlineStr">
        <is>
          <t>Sin coincidencia en NetSuite</t>
        </is>
      </c>
      <c r="AF2045" s="51" t="n"/>
      <c r="AG2045" s="156" t="inlineStr">
        <is>
          <t>Catálogo existente</t>
        </is>
      </c>
      <c r="AH2045"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5" s="156" t="n"/>
      <c r="AJ2045" s="156" t="n"/>
      <c r="AK2045" s="155" t="inlineStr">
        <is>
          <t>Shopify Stetson: producto 14696047051115 / variante 52008014676331</t>
        </is>
      </c>
      <c r="AL2045" s="58" t="n"/>
      <c r="AM2045" s="58" t="n">
        <v>2450</v>
      </c>
      <c r="AN2045" s="155" t="inlineStr">
        <is>
          <t>Shopify Stetson México</t>
        </is>
      </c>
      <c r="AO2045" s="59" t="n">
        <v>0</v>
      </c>
      <c r="AP2045" s="59" t="n"/>
      <c r="AQ2045" s="59" t="n"/>
      <c r="AR2045" s="155" t="n"/>
    </row>
    <row r="2046">
      <c r="A2046" s="50" t="inlineStr">
        <is>
          <t>724303723090</t>
        </is>
      </c>
      <c r="B2046" s="51" t="n"/>
      <c r="C2046" s="156" t="inlineStr">
        <is>
          <t>Multimarca</t>
        </is>
      </c>
      <c r="D2046" s="156" t="inlineStr">
        <is>
          <t>ST-BELT-1500-DBRN-34</t>
        </is>
      </c>
      <c r="E2046" s="156" t="inlineStr">
        <is>
          <t>ST-BELT-1500-DBRN-34</t>
        </is>
      </c>
      <c r="F2046" s="156" t="inlineStr">
        <is>
          <t>34</t>
        </is>
      </c>
      <c r="G2046" s="156" t="inlineStr">
        <is>
          <t>34</t>
        </is>
      </c>
      <c r="H2046" s="156" t="inlineStr">
        <is>
          <t>Stetson</t>
        </is>
      </c>
      <c r="I2046" s="156" t="inlineStr">
        <is>
          <t>Cinturón Stetson Piel Dark Brown 1500</t>
        </is>
      </c>
      <c r="J2046" s="156" t="inlineStr">
        <is>
          <t>Accesorios</t>
        </is>
      </c>
      <c r="K2046" s="156" t="inlineStr">
        <is>
          <t>Cinturones</t>
        </is>
      </c>
      <c r="L2046" s="156" t="inlineStr">
        <is>
          <t>Unisex</t>
        </is>
      </c>
      <c r="M2046" s="156" t="inlineStr">
        <is>
          <t>Stetson</t>
        </is>
      </c>
      <c r="N2046" s="156" t="n"/>
      <c r="O2046" s="156" t="n"/>
      <c r="P2046" s="156" t="inlineStr">
        <is>
          <t>Cafe</t>
        </is>
      </c>
      <c r="Q2046" s="156" t="n"/>
      <c r="R2046" s="156" t="n"/>
      <c r="S2046" s="156" t="n"/>
      <c r="T2046" s="156" t="inlineStr">
        <is>
          <t>CINTURÓN STETSON PARA CABALLERO – COLOR MARRÓN OSCURO – 38MM
 Cinturón Stetson para hombre elaborado en cuero de grano superior, diseñado para quienes aprecian la calidad, el estilo western y los detalles artesanales. Este cinturón de 38 mm (1 1/2") de ancho presenta grabados hechos a mano con motivos de hojas y bellotas, bordes entrelazados en cuero, un concho metálico con acabado plateado y una hebilla Stetson con acabado bicolor, que le dan un carácter auténtico y elegante.
 • Modelo: Cinturón Stetson Dark Brown 1500 38mm
 • Ancho: 38 mm (1 1/2")
 • Material: Cuero de grano superior (Top Grain Leather)
 • Diseño: Grabados artesanales de hojas y bellotas
 • Detalles: Bordes con entrelazado de cuero
 • Concho: Metálico con acabado en color plateado
 • Hebilla: Estilo western, acabado bicolor (plateado y dorado)
 • Color: Marrón oscuro (Dark Brown)
 • Estilo: Occidental / Western
 • Tallas disponibles: 32 | 34 | 36 | 38 | 40 | 42 | 44 | 46</t>
        </is>
      </c>
      <c r="U2046" s="156" t="n"/>
      <c r="V2046" s="156" t="inlineStr">
        <is>
          <t>PZS</t>
        </is>
      </c>
      <c r="W2046" s="51" t="inlineStr">
        <is>
          <t>53102501</t>
        </is>
      </c>
      <c r="X2046" s="156" t="inlineStr">
        <is>
          <t>https://cdn.shopify.com/s/files/1/0888/3250/8267/files/9901500-204.jpg?v=1744906317</t>
        </is>
      </c>
      <c r="Y2046" s="54" t="n"/>
      <c r="Z2046" s="54" t="n">
        <v>2450</v>
      </c>
      <c r="AA2046" s="55">
        <f>IF(AND(A2046="", B2046="", E2046=""), "", IF(AB2046="", "Válido", IF((LEN(AB2046)-LEN(SUBSTITUTE(AB2046,"; ","")))/2+1&gt;(LEN(AB2046)-LEN(SUBSTITUTE(AB2046,"[Aviso]","")))/7, "Con Incidencias", "Válido")))</f>
        <v/>
      </c>
      <c r="AB2046" s="56">
        <f>IF(AND(A2046="", B2046="", E2046=""), "", TEXTJOIN("; ", TRUE, IF(OR(TRIM(A2046&amp;"")="", ISNUMBER(SEARCH("FALTA", A2046))), "UPC faltante/inválido", ""), IF(AND(A2046&lt;&gt;"", IFERROR(_xlfn.XMATCH(A2046,$A$2:$A$2509,0,1)&lt;&gt;_xlfn.XMATCH(A2046,$A$2:$A$2509,0,-1),FALSE)), "Código de barras duplicado", ""), IF(AND(E2046&lt;&gt;"", COUNTIF($E$2:$E$2509, E2046)&gt;1), "SKU duplicado", ""), IF(OR(J2046="", J2046=""), "[Aviso] División no capturada ()", IF(ISNA(MATCH(J2046, Criterios!$A$123:$A$126, 0)), "División no válida", "")), IF(OR(K2046="", K2046=""), "[Aviso] Categoría no capturada ()", IF(ISNA(MATCH(K2046, Criterios!$A$81:$A$120, 0)), "Categoría no válida", IF(AND(J2046&lt;&gt;"", J2046&lt;&gt;"", J2046&lt;&gt;VLOOKUP(K2046, Criterios!$A$81:$B$120, 2, FALSE)), "División no coincide con Categoría", ""))), IF(OR(L2046="", L2046=""), "[Aviso] Género no capturado ()", IF(ISNA(MATCH(L2046, Criterios!$B$123:$B$127, 0)), "Género no válido", "")), IF(OR(N2046="", N2046=""), "[Aviso] Temporada no capturada ()", IF(ISNA(MATCH(N2046, Criterios!$C$123:$C$128, 0)), "Temporada no válida", "")), IF(OR(O2046="", O2046=""), "[Aviso] Ciclo de vida no capturado ()", IF(ISNA(MATCH(O2046, Criterios!$D$123:$D$124, 0)), "Ciclo de vida no válido", ""))))</f>
        <v/>
      </c>
      <c r="AC2046" s="56" t="n"/>
      <c r="AD2046" s="51" t="n">
        <v>0</v>
      </c>
      <c r="AE2046" s="156" t="inlineStr">
        <is>
          <t>Sin coincidencia en NetSuite</t>
        </is>
      </c>
      <c r="AF2046" s="51" t="n"/>
      <c r="AG2046" s="156" t="inlineStr">
        <is>
          <t>Catálogo existente</t>
        </is>
      </c>
      <c r="AH2046" s="156" t="inlineStr">
        <is>
          <t>No se encontró en Hoja a Revisar por ID interno ni por código de barras | 01/10/2026: complementado desde Shopify Stetson México (match por código de barras): WB Fit, WB Silueta, Enlace de imagen | 01/10/2026: Shopify Stetson México trae Género «Hombre» — se conservó el valor de Productos | Homologación G1522 06/10/2026: Validador Shopify: ST: precio con IVA no es múltiplo de 50</t>
        </is>
      </c>
      <c r="AI2046" s="156" t="n"/>
      <c r="AJ2046" s="156" t="n"/>
      <c r="AK2046" s="155" t="inlineStr">
        <is>
          <t>Shopify Stetson: producto 14696047051115 / variante 52008014709099</t>
        </is>
      </c>
      <c r="AL2046" s="58" t="n"/>
      <c r="AM2046" s="58" t="n">
        <v>2450</v>
      </c>
      <c r="AN2046" s="155" t="inlineStr">
        <is>
          <t>Shopify Stetson México</t>
        </is>
      </c>
      <c r="AO2046" s="59" t="n">
        <v>0</v>
      </c>
      <c r="AP2046" s="59" t="n"/>
      <c r="AQ2046" s="59" t="n"/>
      <c r="AR2046" s="155" t="n"/>
    </row>
    <row r="2047">
      <c r="A2047" s="50" t="inlineStr">
        <is>
          <t>724303723267</t>
        </is>
      </c>
      <c r="B2047" s="51" t="n"/>
      <c r="C2047" s="156" t="inlineStr">
        <is>
          <t>Multimarca</t>
        </is>
      </c>
      <c r="D2047" s="156" t="inlineStr">
        <is>
          <t>ST-BELT-7500-DBRN-32</t>
        </is>
      </c>
      <c r="E2047" s="156" t="inlineStr">
        <is>
          <t>ST-BELT-7500-DBRN-32</t>
        </is>
      </c>
      <c r="F2047" s="156" t="inlineStr">
        <is>
          <t>32</t>
        </is>
      </c>
      <c r="G2047" s="156" t="inlineStr">
        <is>
          <t>32</t>
        </is>
      </c>
      <c r="H2047" s="156" t="inlineStr">
        <is>
          <t>Stetson</t>
        </is>
      </c>
      <c r="I2047" s="156" t="inlineStr">
        <is>
          <t>Cinturón Stetson Piel Dark Brown 7500</t>
        </is>
      </c>
      <c r="J2047" s="156" t="inlineStr">
        <is>
          <t>Accesorios</t>
        </is>
      </c>
      <c r="K2047" s="156" t="inlineStr">
        <is>
          <t>Cinturones</t>
        </is>
      </c>
      <c r="L2047" s="156" t="inlineStr">
        <is>
          <t>Unisex</t>
        </is>
      </c>
      <c r="M2047" s="156" t="inlineStr">
        <is>
          <t>Stetson</t>
        </is>
      </c>
      <c r="N2047" s="156" t="n"/>
      <c r="O2047" s="156" t="n"/>
      <c r="P2047" s="156" t="inlineStr">
        <is>
          <t>Cafe</t>
        </is>
      </c>
      <c r="Q2047" s="156" t="n"/>
      <c r="R2047" s="156" t="n"/>
      <c r="S2047" s="156" t="n"/>
      <c r="T2047"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2047" s="156" t="n"/>
      <c r="V2047" s="156" t="inlineStr">
        <is>
          <t>PZS</t>
        </is>
      </c>
      <c r="W2047" s="51" t="inlineStr">
        <is>
          <t>53102501</t>
        </is>
      </c>
      <c r="X2047" s="156" t="inlineStr">
        <is>
          <t>https://cdn.shopify.com/s/files/1/0888/3250/8267/files/9907500-204_Dark_Brown_1.jpg?v=1761947310</t>
        </is>
      </c>
      <c r="Y2047" s="54" t="n"/>
      <c r="Z2047" s="54" t="n">
        <v>1950</v>
      </c>
      <c r="AA2047" s="55">
        <f>IF(AND(A2047="", B2047="", E2047=""), "", IF(AB2047="", "Válido", IF((LEN(AB2047)-LEN(SUBSTITUTE(AB2047,"; ","")))/2+1&gt;(LEN(AB2047)-LEN(SUBSTITUTE(AB2047,"[Aviso]","")))/7, "Con Incidencias", "Válido")))</f>
        <v/>
      </c>
      <c r="AB2047" s="56">
        <f>IF(AND(A2047="", B2047="", E2047=""), "", TEXTJOIN("; ", TRUE, IF(OR(TRIM(A2047&amp;"")="", ISNUMBER(SEARCH("FALTA", A2047))), "UPC faltante/inválido", ""), IF(AND(A2047&lt;&gt;"", IFERROR(_xlfn.XMATCH(A2047,$A$2:$A$2509,0,1)&lt;&gt;_xlfn.XMATCH(A2047,$A$2:$A$2509,0,-1),FALSE)), "Código de barras duplicado", ""), IF(AND(E2047&lt;&gt;"", COUNTIF($E$2:$E$2509, E2047)&gt;1), "SKU duplicado", ""), IF(OR(J2047="", J2047=""), "[Aviso] División no capturada ()", IF(ISNA(MATCH(J2047, Criterios!$A$123:$A$126, 0)), "División no válida", "")), IF(OR(K2047="", K2047=""), "[Aviso] Categoría no capturada ()", IF(ISNA(MATCH(K2047, Criterios!$A$81:$A$120, 0)), "Categoría no válida", IF(AND(J2047&lt;&gt;"", J2047&lt;&gt;"", J2047&lt;&gt;VLOOKUP(K2047, Criterios!$A$81:$B$120, 2, FALSE)), "División no coincide con Categoría", ""))), IF(OR(L2047="", L2047=""), "[Aviso] Género no capturado ()", IF(ISNA(MATCH(L2047, Criterios!$B$123:$B$127, 0)), "Género no válido", "")), IF(OR(N2047="", N2047=""), "[Aviso] Temporada no capturada ()", IF(ISNA(MATCH(N2047, Criterios!$C$123:$C$128, 0)), "Temporada no válida", "")), IF(OR(O2047="", O2047=""), "[Aviso] Ciclo de vida no capturado ()", IF(ISNA(MATCH(O2047, Criterios!$D$123:$D$124, 0)), "Ciclo de vida no válido", ""))))</f>
        <v/>
      </c>
      <c r="AC2047" s="56" t="n"/>
      <c r="AD2047" s="51" t="n">
        <v>0</v>
      </c>
      <c r="AE2047" s="156" t="inlineStr">
        <is>
          <t>Sin coincidencia en NetSuite</t>
        </is>
      </c>
      <c r="AF2047" s="51" t="n"/>
      <c r="AG2047" s="156" t="inlineStr">
        <is>
          <t>Catálogo existente</t>
        </is>
      </c>
      <c r="AH2047"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7" s="156" t="n"/>
      <c r="AJ2047" s="156" t="n"/>
      <c r="AK2047" s="155" t="inlineStr">
        <is>
          <t>Shopify Stetson: producto 14697965453675 / variante 52013824049515</t>
        </is>
      </c>
      <c r="AL2047" s="58" t="n"/>
      <c r="AM2047" s="58" t="n">
        <v>1950</v>
      </c>
      <c r="AN2047" s="155" t="inlineStr">
        <is>
          <t>Shopify Stetson México</t>
        </is>
      </c>
      <c r="AO2047" s="59" t="n">
        <v>0</v>
      </c>
      <c r="AP2047" s="59" t="n"/>
      <c r="AQ2047" s="59" t="n"/>
      <c r="AR2047" s="155" t="n"/>
    </row>
    <row r="2048">
      <c r="A2048" s="50" t="inlineStr">
        <is>
          <t>724303723274</t>
        </is>
      </c>
      <c r="B2048" s="51" t="n"/>
      <c r="C2048" s="156" t="inlineStr">
        <is>
          <t>Multimarca</t>
        </is>
      </c>
      <c r="D2048" s="156" t="inlineStr">
        <is>
          <t>ST-BELT-7500-DBRN-34</t>
        </is>
      </c>
      <c r="E2048" s="156" t="inlineStr">
        <is>
          <t>ST-BELT-7500-DBRN-34</t>
        </is>
      </c>
      <c r="F2048" s="156" t="inlineStr">
        <is>
          <t>34</t>
        </is>
      </c>
      <c r="G2048" s="156" t="inlineStr">
        <is>
          <t>34</t>
        </is>
      </c>
      <c r="H2048" s="156" t="inlineStr">
        <is>
          <t>Stetson</t>
        </is>
      </c>
      <c r="I2048" s="156" t="inlineStr">
        <is>
          <t>Cinturón Stetson Piel Dark Brown 7500</t>
        </is>
      </c>
      <c r="J2048" s="156" t="inlineStr">
        <is>
          <t>Accesorios</t>
        </is>
      </c>
      <c r="K2048" s="156" t="inlineStr">
        <is>
          <t>Cinturones</t>
        </is>
      </c>
      <c r="L2048" s="156" t="inlineStr">
        <is>
          <t>Unisex</t>
        </is>
      </c>
      <c r="M2048" s="156" t="inlineStr">
        <is>
          <t>Stetson</t>
        </is>
      </c>
      <c r="N2048" s="156" t="n"/>
      <c r="O2048" s="156" t="n"/>
      <c r="P2048" s="156" t="inlineStr">
        <is>
          <t>Cafe</t>
        </is>
      </c>
      <c r="Q2048" s="156" t="n"/>
      <c r="R2048" s="156" t="n"/>
      <c r="S2048" s="156" t="n"/>
      <c r="T2048"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2048" s="156" t="n"/>
      <c r="V2048" s="156" t="inlineStr">
        <is>
          <t>PZS</t>
        </is>
      </c>
      <c r="W2048" s="51" t="inlineStr">
        <is>
          <t>53102501</t>
        </is>
      </c>
      <c r="X2048" s="156" t="inlineStr">
        <is>
          <t>https://cdn.shopify.com/s/files/1/0888/3250/8267/files/9907500-204_alt2.jpg?v=1761947316</t>
        </is>
      </c>
      <c r="Y2048" s="54" t="n"/>
      <c r="Z2048" s="54" t="n">
        <v>1950</v>
      </c>
      <c r="AA2048" s="55">
        <f>IF(AND(A2048="", B2048="", E2048=""), "", IF(AB2048="", "Válido", IF((LEN(AB2048)-LEN(SUBSTITUTE(AB2048,"; ","")))/2+1&gt;(LEN(AB2048)-LEN(SUBSTITUTE(AB2048,"[Aviso]","")))/7, "Con Incidencias", "Válido")))</f>
        <v/>
      </c>
      <c r="AB2048" s="56">
        <f>IF(AND(A2048="", B2048="", E2048=""), "", TEXTJOIN("; ", TRUE, IF(OR(TRIM(A2048&amp;"")="", ISNUMBER(SEARCH("FALTA", A2048))), "UPC faltante/inválido", ""), IF(AND(A2048&lt;&gt;"", IFERROR(_xlfn.XMATCH(A2048,$A$2:$A$2509,0,1)&lt;&gt;_xlfn.XMATCH(A2048,$A$2:$A$2509,0,-1),FALSE)), "Código de barras duplicado", ""), IF(AND(E2048&lt;&gt;"", COUNTIF($E$2:$E$2509, E2048)&gt;1), "SKU duplicado", ""), IF(OR(J2048="", J2048=""), "[Aviso] División no capturada ()", IF(ISNA(MATCH(J2048, Criterios!$A$123:$A$126, 0)), "División no válida", "")), IF(OR(K2048="", K2048=""), "[Aviso] Categoría no capturada ()", IF(ISNA(MATCH(K2048, Criterios!$A$81:$A$120, 0)), "Categoría no válida", IF(AND(J2048&lt;&gt;"", J2048&lt;&gt;"", J2048&lt;&gt;VLOOKUP(K2048, Criterios!$A$81:$B$120, 2, FALSE)), "División no coincide con Categoría", ""))), IF(OR(L2048="", L2048=""), "[Aviso] Género no capturado ()", IF(ISNA(MATCH(L2048, Criterios!$B$123:$B$127, 0)), "Género no válido", "")), IF(OR(N2048="", N2048=""), "[Aviso] Temporada no capturada ()", IF(ISNA(MATCH(N2048, Criterios!$C$123:$C$128, 0)), "Temporada no válida", "")), IF(OR(O2048="", O2048=""), "[Aviso] Ciclo de vida no capturado ()", IF(ISNA(MATCH(O2048, Criterios!$D$123:$D$124, 0)), "Ciclo de vida no válido", ""))))</f>
        <v/>
      </c>
      <c r="AC2048" s="56" t="n"/>
      <c r="AD2048" s="51" t="n">
        <v>0</v>
      </c>
      <c r="AE2048" s="156" t="inlineStr">
        <is>
          <t>Sin coincidencia en NetSuite</t>
        </is>
      </c>
      <c r="AF2048" s="51" t="n"/>
      <c r="AG2048" s="156" t="inlineStr">
        <is>
          <t>Catálogo existente</t>
        </is>
      </c>
      <c r="AH2048"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8" s="156" t="n"/>
      <c r="AJ2048" s="156" t="n"/>
      <c r="AK2048" s="155" t="inlineStr">
        <is>
          <t>Shopify Stetson: producto 14697965453675 / variante 52013824082283</t>
        </is>
      </c>
      <c r="AL2048" s="58" t="n"/>
      <c r="AM2048" s="58" t="n">
        <v>1950</v>
      </c>
      <c r="AN2048" s="155" t="inlineStr">
        <is>
          <t>Shopify Stetson México</t>
        </is>
      </c>
      <c r="AO2048" s="59" t="n">
        <v>0</v>
      </c>
      <c r="AP2048" s="59" t="n"/>
      <c r="AQ2048" s="59" t="n"/>
      <c r="AR2048" s="155" t="n"/>
    </row>
    <row r="2049">
      <c r="A2049" s="50" t="inlineStr">
        <is>
          <t>724303723588</t>
        </is>
      </c>
      <c r="B2049" s="51" t="n"/>
      <c r="C2049" s="156" t="inlineStr">
        <is>
          <t>Multimarca</t>
        </is>
      </c>
      <c r="D2049" s="156" t="inlineStr">
        <is>
          <t>9801001</t>
        </is>
      </c>
      <c r="E2049" s="156" t="inlineStr">
        <is>
          <t>9801001-BLK</t>
        </is>
      </c>
      <c r="F2049" s="156" t="inlineStr">
        <is>
          <t>Talla única</t>
        </is>
      </c>
      <c r="G2049" s="156" t="inlineStr">
        <is>
          <t>One Size</t>
        </is>
      </c>
      <c r="H2049" s="156" t="inlineStr">
        <is>
          <t>Stetson</t>
        </is>
      </c>
      <c r="I2049" s="156" t="inlineStr">
        <is>
          <t>Cartera Piel Triple Pliegue Negra Estilo Cocodrilo</t>
        </is>
      </c>
      <c r="J2049" s="156" t="inlineStr">
        <is>
          <t>Accesorios</t>
        </is>
      </c>
      <c r="K2049" s="156" t="inlineStr">
        <is>
          <t>Carteras</t>
        </is>
      </c>
      <c r="L2049" s="156" t="inlineStr">
        <is>
          <t>Unisex</t>
        </is>
      </c>
      <c r="M2049" s="156" t="inlineStr">
        <is>
          <t>Stetson</t>
        </is>
      </c>
      <c r="N2049" s="156" t="n"/>
      <c r="O2049" s="156" t="n"/>
      <c r="P2049" s="156" t="inlineStr">
        <is>
          <t>Negro</t>
        </is>
      </c>
      <c r="Q2049" s="156" t="n"/>
      <c r="R2049" s="156" t="n"/>
      <c r="S2049" s="156" t="n"/>
      <c r="T2049" s="156" t="inlineStr">
        <is>
          <t>Cartera Stetson Negra de Tres Pliegues – Estilo Elegante en Piel Texturizada
 Cartera para hombre Stetson de piel genuina con grabado tipo cocodrilo, costuras tono a tono y detalle metálico con el logo grabado. Elegancia clásica con un toque de distinción.
 Sofisticación y funcionalidad en una sola pieza. Esta cartera Stetson, con diseño de tres pliegues y acabado tipo piel de cocodrilo, combina estilo clásico con un toque audaz. Su color negro profundo y detalle metálico con el logo de la marca aportan distinción, mientras que su interior está diseñado para ofrecer amplio espacio y organización
 • Modelo: Tri-Fold (tres pliegues)
 • Color: Negro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49" s="156" t="n"/>
      <c r="V2049" s="156" t="inlineStr">
        <is>
          <t>PZS</t>
        </is>
      </c>
      <c r="W2049" s="51" t="inlineStr">
        <is>
          <t>53121700</t>
        </is>
      </c>
      <c r="X2049" s="156" t="inlineStr">
        <is>
          <t>https://cdn.shopify.com/s/files/1/0888/3250/8267/files/9801001-001.jpg?v=1744734145</t>
        </is>
      </c>
      <c r="Y2049" s="54" t="n"/>
      <c r="Z2049" s="54" t="n">
        <v>1650</v>
      </c>
      <c r="AA2049" s="55">
        <f>IF(AND(A2049="", B2049="", E2049=""), "", IF(AB2049="", "Válido", IF((LEN(AB2049)-LEN(SUBSTITUTE(AB2049,"; ","")))/2+1&gt;(LEN(AB2049)-LEN(SUBSTITUTE(AB2049,"[Aviso]","")))/7, "Con Incidencias", "Válido")))</f>
        <v/>
      </c>
      <c r="AB2049" s="56">
        <f>IF(AND(A2049="", B2049="", E2049=""), "", TEXTJOIN("; ", TRUE, IF(OR(TRIM(A2049&amp;"")="", ISNUMBER(SEARCH("FALTA", A2049))), "UPC faltante/inválido", ""), IF(AND(A2049&lt;&gt;"", IFERROR(_xlfn.XMATCH(A2049,$A$2:$A$2509,0,1)&lt;&gt;_xlfn.XMATCH(A2049,$A$2:$A$2509,0,-1),FALSE)), "Código de barras duplicado", ""), IF(AND(E2049&lt;&gt;"", COUNTIF($E$2:$E$2509, E2049)&gt;1), "SKU duplicado", ""), IF(OR(J2049="", J2049=""), "[Aviso] División no capturada ()", IF(ISNA(MATCH(J2049, Criterios!$A$123:$A$126, 0)), "División no válida", "")), IF(OR(K2049="", K2049=""), "[Aviso] Categoría no capturada ()", IF(ISNA(MATCH(K2049, Criterios!$A$81:$A$120, 0)), "Categoría no válida", IF(AND(J2049&lt;&gt;"", J2049&lt;&gt;"", J2049&lt;&gt;VLOOKUP(K2049, Criterios!$A$81:$B$120, 2, FALSE)), "División no coincide con Categoría", ""))), IF(OR(L2049="", L2049=""), "[Aviso] Género no capturado ()", IF(ISNA(MATCH(L2049, Criterios!$B$123:$B$127, 0)), "Género no válido", "")), IF(OR(N2049="", N2049=""), "[Aviso] Temporada no capturada ()", IF(ISNA(MATCH(N2049, Criterios!$C$123:$C$128, 0)), "Temporada no válida", "")), IF(OR(O2049="", O2049=""), "[Aviso] Ciclo de vida no capturado ()", IF(ISNA(MATCH(O2049, Criterios!$D$123:$D$124, 0)), "Ciclo de vida no válido", ""))))</f>
        <v/>
      </c>
      <c r="AC2049" s="56" t="n"/>
      <c r="AD2049" s="51" t="n">
        <v>0</v>
      </c>
      <c r="AE2049" s="156" t="inlineStr">
        <is>
          <t>Sin coincidencia en NetSuite</t>
        </is>
      </c>
      <c r="AF2049" s="51" t="n"/>
      <c r="AG2049" s="156" t="inlineStr">
        <is>
          <t>Catálogo existente</t>
        </is>
      </c>
      <c r="AH2049"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9" s="156" t="n"/>
      <c r="AJ2049" s="156" t="n"/>
      <c r="AK2049" s="155" t="inlineStr">
        <is>
          <t>Shopify Stetson: producto 14695366132075 / variante 52004008067435</t>
        </is>
      </c>
      <c r="AL2049" s="58" t="n"/>
      <c r="AM2049" s="58" t="n">
        <v>1650</v>
      </c>
      <c r="AN2049" s="155" t="inlineStr">
        <is>
          <t>Shopify Stetson México</t>
        </is>
      </c>
      <c r="AO2049" s="59" t="n">
        <v>0</v>
      </c>
      <c r="AP2049" s="59" t="n"/>
      <c r="AQ2049" s="59" t="n"/>
      <c r="AR2049" s="155" t="n"/>
    </row>
    <row r="2050">
      <c r="A2050" s="50" t="inlineStr">
        <is>
          <t>724303723595</t>
        </is>
      </c>
      <c r="B2050" s="51" t="n"/>
      <c r="C2050" s="156" t="inlineStr">
        <is>
          <t>Multimarca</t>
        </is>
      </c>
      <c r="D2050" s="156" t="inlineStr">
        <is>
          <t>9801001</t>
        </is>
      </c>
      <c r="E2050" s="156" t="inlineStr">
        <is>
          <t>9801001-BRN</t>
        </is>
      </c>
      <c r="F2050" s="156" t="inlineStr">
        <is>
          <t>Talla única</t>
        </is>
      </c>
      <c r="G2050" s="156" t="inlineStr">
        <is>
          <t>One Size</t>
        </is>
      </c>
      <c r="H2050" s="156" t="inlineStr">
        <is>
          <t>Stetson</t>
        </is>
      </c>
      <c r="I2050" s="156" t="inlineStr">
        <is>
          <t>Cartera Piel Triple Pliegue Coñac Estilo Cocodrilo</t>
        </is>
      </c>
      <c r="J2050" s="156" t="inlineStr">
        <is>
          <t>Accesorios</t>
        </is>
      </c>
      <c r="K2050" s="156" t="inlineStr">
        <is>
          <t>Carteras</t>
        </is>
      </c>
      <c r="L2050" s="156" t="inlineStr">
        <is>
          <t>Unisex</t>
        </is>
      </c>
      <c r="M2050" s="156" t="inlineStr">
        <is>
          <t>Stetson</t>
        </is>
      </c>
      <c r="N2050" s="156" t="n"/>
      <c r="O2050" s="156" t="n"/>
      <c r="P2050" s="156" t="inlineStr">
        <is>
          <t>Cafe</t>
        </is>
      </c>
      <c r="Q2050" s="156" t="n"/>
      <c r="R2050" s="156" t="n"/>
      <c r="S2050" s="156" t="n"/>
      <c r="T2050" s="156" t="inlineStr">
        <is>
          <t>Cartera Stetson Coñac de Tres Pliegues – Estilo Elegante en Piel Texturizada
 Cartera para hombre Stetson de piel genuina con grabado tipo cocodrilo, costuras tono a tono y detalle metálico con el logo grabado. Elegancia clásica con un toque de distinción.
 Sofisticación y funcionalidad en una sola pieza. Esta cartera Stetson, con diseño de tres pliegues y acabado tipo piel de cocodrilo, combina estilo clásico con un toque audaz. Su color negro profundo y detalle metálico con el logo de la marca aportan distinción, mientras que su interior está diseñado para ofrecer amplio espacio y organización
 • Modelo: Tri-Fold (tres pliegues)
 • Color: Coñac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0" s="156" t="n"/>
      <c r="V2050" s="156" t="inlineStr">
        <is>
          <t>PZS</t>
        </is>
      </c>
      <c r="W2050" s="51" t="inlineStr">
        <is>
          <t>53121700</t>
        </is>
      </c>
      <c r="X2050" s="156" t="inlineStr">
        <is>
          <t>https://cdn.shopify.com/s/files/1/0888/3250/8267/files/9801001-233_a77ee9e6-b21b-411c-beb7-38b89e50e0dc.jpg?v=1744817942</t>
        </is>
      </c>
      <c r="Y2050" s="54" t="n"/>
      <c r="Z2050" s="54" t="n">
        <v>1650</v>
      </c>
      <c r="AA2050" s="55">
        <f>IF(AND(A2050="", B2050="", E2050=""), "", IF(AB2050="", "Válido", IF((LEN(AB2050)-LEN(SUBSTITUTE(AB2050,"; ","")))/2+1&gt;(LEN(AB2050)-LEN(SUBSTITUTE(AB2050,"[Aviso]","")))/7, "Con Incidencias", "Válido")))</f>
        <v/>
      </c>
      <c r="AB2050" s="56">
        <f>IF(AND(A2050="", B2050="", E2050=""), "", TEXTJOIN("; ", TRUE, IF(OR(TRIM(A2050&amp;"")="", ISNUMBER(SEARCH("FALTA", A2050))), "UPC faltante/inválido", ""), IF(AND(A2050&lt;&gt;"", IFERROR(_xlfn.XMATCH(A2050,$A$2:$A$2509,0,1)&lt;&gt;_xlfn.XMATCH(A2050,$A$2:$A$2509,0,-1),FALSE)), "Código de barras duplicado", ""), IF(AND(E2050&lt;&gt;"", COUNTIF($E$2:$E$2509, E2050)&gt;1), "SKU duplicado", ""), IF(OR(J2050="", J2050=""), "[Aviso] División no capturada ()", IF(ISNA(MATCH(J2050, Criterios!$A$123:$A$126, 0)), "División no válida", "")), IF(OR(K2050="", K2050=""), "[Aviso] Categoría no capturada ()", IF(ISNA(MATCH(K2050, Criterios!$A$81:$A$120, 0)), "Categoría no válida", IF(AND(J2050&lt;&gt;"", J2050&lt;&gt;"", J2050&lt;&gt;VLOOKUP(K2050, Criterios!$A$81:$B$120, 2, FALSE)), "División no coincide con Categoría", ""))), IF(OR(L2050="", L2050=""), "[Aviso] Género no capturado ()", IF(ISNA(MATCH(L2050, Criterios!$B$123:$B$127, 0)), "Género no válido", "")), IF(OR(N2050="", N2050=""), "[Aviso] Temporada no capturada ()", IF(ISNA(MATCH(N2050, Criterios!$C$123:$C$128, 0)), "Temporada no válida", "")), IF(OR(O2050="", O2050=""), "[Aviso] Ciclo de vida no capturado ()", IF(ISNA(MATCH(O2050, Criterios!$D$123:$D$124, 0)), "Ciclo de vida no válido", ""))))</f>
        <v/>
      </c>
      <c r="AC2050" s="56" t="n"/>
      <c r="AD2050" s="51" t="n">
        <v>0</v>
      </c>
      <c r="AE2050" s="156" t="inlineStr">
        <is>
          <t>Sin coincidencia en NetSuite</t>
        </is>
      </c>
      <c r="AF2050" s="51" t="n"/>
      <c r="AG2050" s="156" t="inlineStr">
        <is>
          <t>Catálogo existente</t>
        </is>
      </c>
      <c r="AH2050"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0" s="156" t="n"/>
      <c r="AJ2050" s="156" t="n"/>
      <c r="AK2050" s="155" t="inlineStr">
        <is>
          <t>Shopify Stetson: producto 14695691059563 / variante 52005628871019</t>
        </is>
      </c>
      <c r="AL2050" s="58" t="n"/>
      <c r="AM2050" s="58" t="n">
        <v>1650</v>
      </c>
      <c r="AN2050" s="155" t="inlineStr">
        <is>
          <t>Shopify Stetson México</t>
        </is>
      </c>
      <c r="AO2050" s="59" t="n">
        <v>0</v>
      </c>
      <c r="AP2050" s="59" t="n"/>
      <c r="AQ2050" s="59" t="n"/>
      <c r="AR2050" s="155" t="n"/>
    </row>
    <row r="2051">
      <c r="A2051" s="50" t="inlineStr">
        <is>
          <t>724303723625</t>
        </is>
      </c>
      <c r="B2051" s="51" t="n"/>
      <c r="C2051" s="156" t="inlineStr">
        <is>
          <t>Multimarca</t>
        </is>
      </c>
      <c r="D2051" s="156" t="inlineStr">
        <is>
          <t>9801002</t>
        </is>
      </c>
      <c r="E2051" s="156" t="inlineStr">
        <is>
          <t>9801002-BLK</t>
        </is>
      </c>
      <c r="F2051" s="156" t="inlineStr">
        <is>
          <t>Talla única</t>
        </is>
      </c>
      <c r="G2051" s="156" t="inlineStr">
        <is>
          <t>One Size</t>
        </is>
      </c>
      <c r="H2051" s="156" t="inlineStr">
        <is>
          <t>Stetson</t>
        </is>
      </c>
      <c r="I2051" s="156" t="inlineStr">
        <is>
          <t>Cartera Piel Doble Pliegue Negra Estilo Cocodrilo</t>
        </is>
      </c>
      <c r="J2051" s="156" t="inlineStr">
        <is>
          <t>Accesorios</t>
        </is>
      </c>
      <c r="K2051" s="156" t="inlineStr">
        <is>
          <t>Carteras</t>
        </is>
      </c>
      <c r="L2051" s="156" t="inlineStr">
        <is>
          <t>Unisex</t>
        </is>
      </c>
      <c r="M2051" s="156" t="inlineStr">
        <is>
          <t>Stetson</t>
        </is>
      </c>
      <c r="N2051" s="156" t="n"/>
      <c r="O2051" s="156" t="n"/>
      <c r="P2051" s="156" t="inlineStr">
        <is>
          <t>Negro</t>
        </is>
      </c>
      <c r="Q2051" s="156" t="n"/>
      <c r="R2051" s="156" t="n"/>
      <c r="S2051" s="156" t="n"/>
      <c r="T2051" s="156" t="inlineStr">
        <is>
          <t>Cartera Stetson Negra de Dos Pliegues – Estilo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 Modelo: Bi-Fold (dos pliegues)
 • Color: Negro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1" s="156" t="n"/>
      <c r="V2051" s="156" t="inlineStr">
        <is>
          <t>PZS</t>
        </is>
      </c>
      <c r="W2051" s="51" t="inlineStr">
        <is>
          <t>53121700</t>
        </is>
      </c>
      <c r="X2051" s="156" t="inlineStr">
        <is>
          <t>https://cdn.shopify.com/s/files/1/0888/3250/8267/files/9801002-001.jpg?v=1744818484</t>
        </is>
      </c>
      <c r="Y2051" s="54" t="n"/>
      <c r="Z2051" s="54" t="n">
        <v>1650</v>
      </c>
      <c r="AA2051" s="55">
        <f>IF(AND(A2051="", B2051="", E2051=""), "", IF(AB2051="", "Válido", IF((LEN(AB2051)-LEN(SUBSTITUTE(AB2051,"; ","")))/2+1&gt;(LEN(AB2051)-LEN(SUBSTITUTE(AB2051,"[Aviso]","")))/7, "Con Incidencias", "Válido")))</f>
        <v/>
      </c>
      <c r="AB2051" s="56">
        <f>IF(AND(A2051="", B2051="", E2051=""), "", TEXTJOIN("; ", TRUE, IF(OR(TRIM(A2051&amp;"")="", ISNUMBER(SEARCH("FALTA", A2051))), "UPC faltante/inválido", ""), IF(AND(A2051&lt;&gt;"", IFERROR(_xlfn.XMATCH(A2051,$A$2:$A$2509,0,1)&lt;&gt;_xlfn.XMATCH(A2051,$A$2:$A$2509,0,-1),FALSE)), "Código de barras duplicado", ""), IF(AND(E2051&lt;&gt;"", COUNTIF($E$2:$E$2509, E2051)&gt;1), "SKU duplicado", ""), IF(OR(J2051="", J2051=""), "[Aviso] División no capturada ()", IF(ISNA(MATCH(J2051, Criterios!$A$123:$A$126, 0)), "División no válida", "")), IF(OR(K2051="", K2051=""), "[Aviso] Categoría no capturada ()", IF(ISNA(MATCH(K2051, Criterios!$A$81:$A$120, 0)), "Categoría no válida", IF(AND(J2051&lt;&gt;"", J2051&lt;&gt;"", J2051&lt;&gt;VLOOKUP(K2051, Criterios!$A$81:$B$120, 2, FALSE)), "División no coincide con Categoría", ""))), IF(OR(L2051="", L2051=""), "[Aviso] Género no capturado ()", IF(ISNA(MATCH(L2051, Criterios!$B$123:$B$127, 0)), "Género no válido", "")), IF(OR(N2051="", N2051=""), "[Aviso] Temporada no capturada ()", IF(ISNA(MATCH(N2051, Criterios!$C$123:$C$128, 0)), "Temporada no válida", "")), IF(OR(O2051="", O2051=""), "[Aviso] Ciclo de vida no capturado ()", IF(ISNA(MATCH(O2051, Criterios!$D$123:$D$124, 0)), "Ciclo de vida no válido", ""))))</f>
        <v/>
      </c>
      <c r="AC2051" s="56" t="n"/>
      <c r="AD2051" s="51" t="n">
        <v>0</v>
      </c>
      <c r="AE2051" s="156" t="inlineStr">
        <is>
          <t>Sin coincidencia en NetSuite</t>
        </is>
      </c>
      <c r="AF2051" s="51" t="n"/>
      <c r="AG2051" s="156" t="inlineStr">
        <is>
          <t>Catálogo existente</t>
        </is>
      </c>
      <c r="AH2051"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1" s="156" t="n"/>
      <c r="AJ2051" s="156" t="n"/>
      <c r="AK2051" s="155" t="inlineStr">
        <is>
          <t>Shopify Stetson: producto 14695693517163 / variante 52005633524075</t>
        </is>
      </c>
      <c r="AL2051" s="58" t="n"/>
      <c r="AM2051" s="58" t="n">
        <v>1650</v>
      </c>
      <c r="AN2051" s="155" t="inlineStr">
        <is>
          <t>Shopify Stetson México</t>
        </is>
      </c>
      <c r="AO2051" s="59" t="n">
        <v>0</v>
      </c>
      <c r="AP2051" s="59" t="n"/>
      <c r="AQ2051" s="59" t="n"/>
      <c r="AR2051" s="155" t="n"/>
    </row>
    <row r="2052">
      <c r="A2052" s="50" t="inlineStr">
        <is>
          <t>724303723632</t>
        </is>
      </c>
      <c r="B2052" s="51" t="n"/>
      <c r="C2052" s="156" t="inlineStr">
        <is>
          <t>Multimarca</t>
        </is>
      </c>
      <c r="D2052" s="156" t="inlineStr">
        <is>
          <t>9801002</t>
        </is>
      </c>
      <c r="E2052" s="156" t="inlineStr">
        <is>
          <t>9801002-BRN</t>
        </is>
      </c>
      <c r="F2052" s="156" t="inlineStr">
        <is>
          <t>Talla única</t>
        </is>
      </c>
      <c r="G2052" s="156" t="inlineStr">
        <is>
          <t>One Size</t>
        </is>
      </c>
      <c r="H2052" s="156" t="inlineStr">
        <is>
          <t>Stetson</t>
        </is>
      </c>
      <c r="I2052" s="156" t="inlineStr">
        <is>
          <t>Cartera Piel Doble Pliegue Coñac Estilo Cocodrilo</t>
        </is>
      </c>
      <c r="J2052" s="156" t="inlineStr">
        <is>
          <t>Accesorios</t>
        </is>
      </c>
      <c r="K2052" s="156" t="inlineStr">
        <is>
          <t>Carteras</t>
        </is>
      </c>
      <c r="L2052" s="156" t="inlineStr">
        <is>
          <t>Unisex</t>
        </is>
      </c>
      <c r="M2052" s="156" t="inlineStr">
        <is>
          <t>Stetson</t>
        </is>
      </c>
      <c r="N2052" s="156" t="n"/>
      <c r="O2052" s="156" t="n"/>
      <c r="P2052" s="156" t="inlineStr">
        <is>
          <t>Cafe</t>
        </is>
      </c>
      <c r="Q2052" s="156" t="n"/>
      <c r="R2052" s="156" t="n"/>
      <c r="S2052" s="156" t="n"/>
      <c r="T2052" s="156" t="inlineStr">
        <is>
          <t>Cartera Stetson Coñac de Dos Pliegues – Estilo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 Modelo: Bi-Fold (dos pliegues)
 • Color: Coñac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2" s="156" t="n"/>
      <c r="V2052" s="156" t="inlineStr">
        <is>
          <t>PZS</t>
        </is>
      </c>
      <c r="W2052" s="51" t="inlineStr">
        <is>
          <t>53121700</t>
        </is>
      </c>
      <c r="X2052" s="156" t="inlineStr">
        <is>
          <t>https://cdn.shopify.com/s/files/1/0888/3250/8267/files/9801002-233.jpg?v=1744824143</t>
        </is>
      </c>
      <c r="Y2052" s="54" t="n"/>
      <c r="Z2052" s="54" t="n">
        <v>1650</v>
      </c>
      <c r="AA2052" s="55">
        <f>IF(AND(A2052="", B2052="", E2052=""), "", IF(AB2052="", "Válido", IF((LEN(AB2052)-LEN(SUBSTITUTE(AB2052,"; ","")))/2+1&gt;(LEN(AB2052)-LEN(SUBSTITUTE(AB2052,"[Aviso]","")))/7, "Con Incidencias", "Válido")))</f>
        <v/>
      </c>
      <c r="AB2052" s="56">
        <f>IF(AND(A2052="", B2052="", E2052=""), "", TEXTJOIN("; ", TRUE, IF(OR(TRIM(A2052&amp;"")="", ISNUMBER(SEARCH("FALTA", A2052))), "UPC faltante/inválido", ""), IF(AND(A2052&lt;&gt;"", IFERROR(_xlfn.XMATCH(A2052,$A$2:$A$2509,0,1)&lt;&gt;_xlfn.XMATCH(A2052,$A$2:$A$2509,0,-1),FALSE)), "Código de barras duplicado", ""), IF(AND(E2052&lt;&gt;"", COUNTIF($E$2:$E$2509, E2052)&gt;1), "SKU duplicado", ""), IF(OR(J2052="", J2052=""), "[Aviso] División no capturada ()", IF(ISNA(MATCH(J2052, Criterios!$A$123:$A$126, 0)), "División no válida", "")), IF(OR(K2052="", K2052=""), "[Aviso] Categoría no capturada ()", IF(ISNA(MATCH(K2052, Criterios!$A$81:$A$120, 0)), "Categoría no válida", IF(AND(J2052&lt;&gt;"", J2052&lt;&gt;"", J2052&lt;&gt;VLOOKUP(K2052, Criterios!$A$81:$B$120, 2, FALSE)), "División no coincide con Categoría", ""))), IF(OR(L2052="", L2052=""), "[Aviso] Género no capturado ()", IF(ISNA(MATCH(L2052, Criterios!$B$123:$B$127, 0)), "Género no válido", "")), IF(OR(N2052="", N2052=""), "[Aviso] Temporada no capturada ()", IF(ISNA(MATCH(N2052, Criterios!$C$123:$C$128, 0)), "Temporada no válida", "")), IF(OR(O2052="", O2052=""), "[Aviso] Ciclo de vida no capturado ()", IF(ISNA(MATCH(O2052, Criterios!$D$123:$D$124, 0)), "Ciclo de vida no válido", ""))))</f>
        <v/>
      </c>
      <c r="AC2052" s="56" t="n"/>
      <c r="AD2052" s="51" t="n">
        <v>0</v>
      </c>
      <c r="AE2052" s="156" t="inlineStr">
        <is>
          <t>Sin coincidencia en NetSuite</t>
        </is>
      </c>
      <c r="AF2052" s="51" t="n"/>
      <c r="AG2052" s="156" t="inlineStr">
        <is>
          <t>Catálogo existente</t>
        </is>
      </c>
      <c r="AH2052"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2" s="156" t="n"/>
      <c r="AJ2052" s="156" t="n"/>
      <c r="AK2052" s="155" t="inlineStr">
        <is>
          <t>Shopify Stetson: producto 14695702135147 / variante 52005729632619</t>
        </is>
      </c>
      <c r="AL2052" s="58" t="n"/>
      <c r="AM2052" s="58" t="n">
        <v>1650</v>
      </c>
      <c r="AN2052" s="155" t="inlineStr">
        <is>
          <t>Shopify Stetson México</t>
        </is>
      </c>
      <c r="AO2052" s="59" t="n">
        <v>0</v>
      </c>
      <c r="AP2052" s="59" t="n"/>
      <c r="AQ2052" s="59" t="n"/>
      <c r="AR2052" s="155" t="n"/>
    </row>
    <row r="2053">
      <c r="A2053" s="50" t="inlineStr">
        <is>
          <t>724303723663</t>
        </is>
      </c>
      <c r="B2053" s="51" t="n"/>
      <c r="C2053" s="156" t="inlineStr">
        <is>
          <t>Multimarca</t>
        </is>
      </c>
      <c r="D2053" s="156" t="inlineStr">
        <is>
          <t>ST-CLIP-BLK</t>
        </is>
      </c>
      <c r="E2053" s="156" t="inlineStr">
        <is>
          <t>ST-CLIP-BLK</t>
        </is>
      </c>
      <c r="F2053" s="156" t="inlineStr">
        <is>
          <t>Talla única</t>
        </is>
      </c>
      <c r="G2053" s="156" t="inlineStr">
        <is>
          <t>One Size</t>
        </is>
      </c>
      <c r="H2053" s="156" t="inlineStr">
        <is>
          <t>Stetson</t>
        </is>
      </c>
      <c r="I2053" s="156" t="inlineStr">
        <is>
          <t>Clip Magnético para Billetes Negro</t>
        </is>
      </c>
      <c r="J2053" s="156" t="inlineStr">
        <is>
          <t>Accesorios</t>
        </is>
      </c>
      <c r="K2053" s="156" t="inlineStr">
        <is>
          <t>Carteras</t>
        </is>
      </c>
      <c r="L2053" s="156" t="inlineStr">
        <is>
          <t>Unisex</t>
        </is>
      </c>
      <c r="M2053" s="156" t="inlineStr">
        <is>
          <t>Stetson</t>
        </is>
      </c>
      <c r="N2053" s="156" t="n"/>
      <c r="O2053" s="156" t="n"/>
      <c r="P2053" s="156" t="inlineStr">
        <is>
          <t>Negro</t>
        </is>
      </c>
      <c r="Q2053" s="156" t="n"/>
      <c r="R2053" s="156" t="n"/>
      <c r="S2053" s="156" t="n"/>
      <c r="T2053" s="156" t="inlineStr">
        <is>
          <t>Clip Magnético para Billetes Stetson – Negro
 Elegancia y funcionalidad en tu bolsillo. Este clip magnético para billetes Stetson, elaborado en cuero genuino de alta calidad con grabado tipo cocodrilo, combina estilo y resistencia. Sus finas costuras tonales y el distintivo remache con el logo Stetson le dan un toque sofisticado. Ideal para llevar tus billetes con clase y seguridad.
 • Tipo de producto: Clip magnético para billetes
 • Modelo: Mag Money Clip
 • Color: Negro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53" s="156" t="n"/>
      <c r="V2053" s="156" t="inlineStr">
        <is>
          <t>PZS</t>
        </is>
      </c>
      <c r="W2053" s="51" t="inlineStr">
        <is>
          <t>53121700</t>
        </is>
      </c>
      <c r="X2053" s="156" t="inlineStr">
        <is>
          <t>https://cdn.shopify.com/s/files/1/0888/3250/8267/files/9801004-001.jpg?v=1744825827</t>
        </is>
      </c>
      <c r="Y2053" s="54" t="n"/>
      <c r="Z2053" s="54" t="n">
        <v>950</v>
      </c>
      <c r="AA2053" s="55">
        <f>IF(AND(A2053="", B2053="", E2053=""), "", IF(AB2053="", "Válido", IF((LEN(AB2053)-LEN(SUBSTITUTE(AB2053,"; ","")))/2+1&gt;(LEN(AB2053)-LEN(SUBSTITUTE(AB2053,"[Aviso]","")))/7, "Con Incidencias", "Válido")))</f>
        <v/>
      </c>
      <c r="AB2053" s="56">
        <f>IF(AND(A2053="", B2053="", E2053=""), "", TEXTJOIN("; ", TRUE, IF(OR(TRIM(A2053&amp;"")="", ISNUMBER(SEARCH("FALTA", A2053))), "UPC faltante/inválido", ""), IF(AND(A2053&lt;&gt;"", IFERROR(_xlfn.XMATCH(A2053,$A$2:$A$2509,0,1)&lt;&gt;_xlfn.XMATCH(A2053,$A$2:$A$2509,0,-1),FALSE)), "Código de barras duplicado", ""), IF(AND(E2053&lt;&gt;"", COUNTIF($E$2:$E$2509, E2053)&gt;1), "SKU duplicado", ""), IF(OR(J2053="", J2053=""), "[Aviso] División no capturada ()", IF(ISNA(MATCH(J2053, Criterios!$A$123:$A$126, 0)), "División no válida", "")), IF(OR(K2053="", K2053=""), "[Aviso] Categoría no capturada ()", IF(ISNA(MATCH(K2053, Criterios!$A$81:$A$120, 0)), "Categoría no válida", IF(AND(J2053&lt;&gt;"", J2053&lt;&gt;"", J2053&lt;&gt;VLOOKUP(K2053, Criterios!$A$81:$B$120, 2, FALSE)), "División no coincide con Categoría", ""))), IF(OR(L2053="", L2053=""), "[Aviso] Género no capturado ()", IF(ISNA(MATCH(L2053, Criterios!$B$123:$B$127, 0)), "Género no válido", "")), IF(OR(N2053="", N2053=""), "[Aviso] Temporada no capturada ()", IF(ISNA(MATCH(N2053, Criterios!$C$123:$C$128, 0)), "Temporada no válida", "")), IF(OR(O2053="", O2053=""), "[Aviso] Ciclo de vida no capturado ()", IF(ISNA(MATCH(O2053, Criterios!$D$123:$D$124, 0)), "Ciclo de vida no válido", ""))))</f>
        <v/>
      </c>
      <c r="AC2053" s="56" t="n"/>
      <c r="AD2053" s="51" t="n">
        <v>0</v>
      </c>
      <c r="AE2053" s="156" t="inlineStr">
        <is>
          <t>Sin coincidencia en NetSuite</t>
        </is>
      </c>
      <c r="AF2053" s="51" t="n"/>
      <c r="AG2053" s="156" t="inlineStr">
        <is>
          <t>Catálogo existente</t>
        </is>
      </c>
      <c r="AH2053"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3" s="156" t="n"/>
      <c r="AJ2053" s="156" t="n"/>
      <c r="AK2053" s="155" t="inlineStr">
        <is>
          <t>Shopify Stetson: producto 14695705411947 / variante 52005819482475</t>
        </is>
      </c>
      <c r="AL2053" s="58" t="n"/>
      <c r="AM2053" s="58" t="n">
        <v>950</v>
      </c>
      <c r="AN2053" s="155" t="inlineStr">
        <is>
          <t>Shopify Stetson México</t>
        </is>
      </c>
      <c r="AO2053" s="59" t="n">
        <v>0</v>
      </c>
      <c r="AP2053" s="59" t="n"/>
      <c r="AQ2053" s="59" t="n"/>
      <c r="AR2053" s="155" t="n"/>
    </row>
    <row r="2054">
      <c r="A2054" s="50" t="inlineStr">
        <is>
          <t>724303723670</t>
        </is>
      </c>
      <c r="B2054" s="51" t="n"/>
      <c r="C2054" s="156" t="inlineStr">
        <is>
          <t>Multimarca</t>
        </is>
      </c>
      <c r="D2054" s="156" t="inlineStr">
        <is>
          <t>ST-CLIP-BRN</t>
        </is>
      </c>
      <c r="E2054" s="156" t="inlineStr">
        <is>
          <t>ST-CLIP-BRN</t>
        </is>
      </c>
      <c r="F2054" s="156" t="inlineStr">
        <is>
          <t>Talla única</t>
        </is>
      </c>
      <c r="G2054" s="156" t="inlineStr">
        <is>
          <t>One Size</t>
        </is>
      </c>
      <c r="H2054" s="156" t="inlineStr">
        <is>
          <t>Stetson</t>
        </is>
      </c>
      <c r="I2054" s="156" t="inlineStr">
        <is>
          <t>Clip Magnético para Billetes Coñac</t>
        </is>
      </c>
      <c r="J2054" s="156" t="inlineStr">
        <is>
          <t>Accesorios</t>
        </is>
      </c>
      <c r="K2054" s="156" t="inlineStr">
        <is>
          <t>Carteras</t>
        </is>
      </c>
      <c r="L2054" s="156" t="inlineStr">
        <is>
          <t>Unisex</t>
        </is>
      </c>
      <c r="M2054" s="156" t="inlineStr">
        <is>
          <t>Stetson</t>
        </is>
      </c>
      <c r="N2054" s="156" t="n"/>
      <c r="O2054" s="156" t="n"/>
      <c r="P2054" s="156" t="inlineStr">
        <is>
          <t>Cafe</t>
        </is>
      </c>
      <c r="Q2054" s="156" t="n"/>
      <c r="R2054" s="156" t="n"/>
      <c r="S2054" s="156" t="n"/>
      <c r="T2054" s="156" t="inlineStr">
        <is>
          <t>Clip Magnético para Billetes Stetson – Coñac
 Elegancia y funcionalidad en tu bolsillo. Este clip magnético para billetes Stetson, elaborado en cuero genuino de alta calidad con grabado tipo cocodrilo, combina estilo y resistencia. Sus finas costuras tonales y el distintivo remache con el logo Stetson le dan un toque sofisticado. Ideal para llevar tus billetes con clase y seguridad.
 • Tipo de producto: Clip magnético para billetes
 • Modelo: Mag Money Clip
 • Color: Coñac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54" s="156" t="n"/>
      <c r="V2054" s="156" t="inlineStr">
        <is>
          <t>PZS</t>
        </is>
      </c>
      <c r="W2054" s="51" t="inlineStr">
        <is>
          <t>53121700</t>
        </is>
      </c>
      <c r="X2054" s="156" t="inlineStr">
        <is>
          <t>https://cdn.shopify.com/s/files/1/0888/3250/8267/files/9801004-233.jpg?v=1744825937</t>
        </is>
      </c>
      <c r="Y2054" s="54" t="n"/>
      <c r="Z2054" s="54" t="n">
        <v>950</v>
      </c>
      <c r="AA2054" s="55">
        <f>IF(AND(A2054="", B2054="", E2054=""), "", IF(AB2054="", "Válido", IF((LEN(AB2054)-LEN(SUBSTITUTE(AB2054,"; ","")))/2+1&gt;(LEN(AB2054)-LEN(SUBSTITUTE(AB2054,"[Aviso]","")))/7, "Con Incidencias", "Válido")))</f>
        <v/>
      </c>
      <c r="AB2054" s="56">
        <f>IF(AND(A2054="", B2054="", E2054=""), "", TEXTJOIN("; ", TRUE, IF(OR(TRIM(A2054&amp;"")="", ISNUMBER(SEARCH("FALTA", A2054))), "UPC faltante/inválido", ""), IF(AND(A2054&lt;&gt;"", IFERROR(_xlfn.XMATCH(A2054,$A$2:$A$2509,0,1)&lt;&gt;_xlfn.XMATCH(A2054,$A$2:$A$2509,0,-1),FALSE)), "Código de barras duplicado", ""), IF(AND(E2054&lt;&gt;"", COUNTIF($E$2:$E$2509, E2054)&gt;1), "SKU duplicado", ""), IF(OR(J2054="", J2054=""), "[Aviso] División no capturada ()", IF(ISNA(MATCH(J2054, Criterios!$A$123:$A$126, 0)), "División no válida", "")), IF(OR(K2054="", K2054=""), "[Aviso] Categoría no capturada ()", IF(ISNA(MATCH(K2054, Criterios!$A$81:$A$120, 0)), "Categoría no válida", IF(AND(J2054&lt;&gt;"", J2054&lt;&gt;"", J2054&lt;&gt;VLOOKUP(K2054, Criterios!$A$81:$B$120, 2, FALSE)), "División no coincide con Categoría", ""))), IF(OR(L2054="", L2054=""), "[Aviso] Género no capturado ()", IF(ISNA(MATCH(L2054, Criterios!$B$123:$B$127, 0)), "Género no válido", "")), IF(OR(N2054="", N2054=""), "[Aviso] Temporada no capturada ()", IF(ISNA(MATCH(N2054, Criterios!$C$123:$C$128, 0)), "Temporada no válida", "")), IF(OR(O2054="", O2054=""), "[Aviso] Ciclo de vida no capturado ()", IF(ISNA(MATCH(O2054, Criterios!$D$123:$D$124, 0)), "Ciclo de vida no válido", ""))))</f>
        <v/>
      </c>
      <c r="AC2054" s="56" t="n"/>
      <c r="AD2054" s="51" t="n">
        <v>0</v>
      </c>
      <c r="AE2054" s="156" t="inlineStr">
        <is>
          <t>Sin coincidencia en NetSuite</t>
        </is>
      </c>
      <c r="AF2054" s="51" t="n"/>
      <c r="AG2054" s="156" t="inlineStr">
        <is>
          <t>Catálogo existente</t>
        </is>
      </c>
      <c r="AH2054"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4" s="156" t="n"/>
      <c r="AJ2054" s="156" t="n"/>
      <c r="AK2054" s="155" t="inlineStr">
        <is>
          <t>Shopify Stetson: producto 14695706689899 / variante 52005824856427</t>
        </is>
      </c>
      <c r="AL2054" s="58" t="n"/>
      <c r="AM2054" s="58" t="n">
        <v>950</v>
      </c>
      <c r="AN2054" s="155" t="inlineStr">
        <is>
          <t>Shopify Stetson México</t>
        </is>
      </c>
      <c r="AO2054" s="59" t="n">
        <v>0</v>
      </c>
      <c r="AP2054" s="59" t="n"/>
      <c r="AQ2054" s="59" t="n"/>
      <c r="AR2054" s="155" t="n"/>
    </row>
    <row r="2055">
      <c r="A2055" s="50" t="inlineStr">
        <is>
          <t>724303723878</t>
        </is>
      </c>
      <c r="B2055" s="51" t="n"/>
      <c r="C2055" s="156" t="inlineStr">
        <is>
          <t>Multimarca</t>
        </is>
      </c>
      <c r="D2055" s="156" t="inlineStr">
        <is>
          <t>ST-BELT-NAT-32</t>
        </is>
      </c>
      <c r="E2055" s="156" t="inlineStr">
        <is>
          <t>ST-BELT-NAT-32</t>
        </is>
      </c>
      <c r="F2055" s="156" t="inlineStr">
        <is>
          <t>32</t>
        </is>
      </c>
      <c r="G2055" s="156" t="inlineStr">
        <is>
          <t>32</t>
        </is>
      </c>
      <c r="H2055" s="156" t="inlineStr">
        <is>
          <t>Stetson</t>
        </is>
      </c>
      <c r="I2055" s="156" t="inlineStr">
        <is>
          <t>Cinturón Stetson Piel Natural Brown</t>
        </is>
      </c>
      <c r="J2055" s="156" t="inlineStr">
        <is>
          <t>Accesorios</t>
        </is>
      </c>
      <c r="K2055" s="156" t="inlineStr">
        <is>
          <t>Cinturones</t>
        </is>
      </c>
      <c r="L2055" s="156" t="inlineStr">
        <is>
          <t>Unisex</t>
        </is>
      </c>
      <c r="M2055" s="156" t="inlineStr">
        <is>
          <t>Stetson</t>
        </is>
      </c>
      <c r="N2055" s="156" t="n"/>
      <c r="O2055" s="156" t="n"/>
      <c r="P2055" s="156" t="inlineStr">
        <is>
          <t>Cafe</t>
        </is>
      </c>
      <c r="Q2055" s="156" t="n"/>
      <c r="R2055" s="156" t="n"/>
      <c r="S2055" s="156" t="n"/>
      <c r="T2055"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2055" s="156" t="n"/>
      <c r="V2055" s="156" t="inlineStr">
        <is>
          <t>PZS</t>
        </is>
      </c>
      <c r="W2055" s="51" t="inlineStr">
        <is>
          <t>53102501</t>
        </is>
      </c>
      <c r="X2055" s="156" t="inlineStr">
        <is>
          <t>https://cdn.shopify.com/s/files/1/0888/3250/8267/files/9903500-109_Natural_Brown_1.jpg?v=1761947167</t>
        </is>
      </c>
      <c r="Y2055" s="54" t="n"/>
      <c r="Z2055" s="54" t="n">
        <v>2350</v>
      </c>
      <c r="AA2055" s="55">
        <f>IF(AND(A2055="", B2055="", E2055=""), "", IF(AB2055="", "Válido", IF((LEN(AB2055)-LEN(SUBSTITUTE(AB2055,"; ","")))/2+1&gt;(LEN(AB2055)-LEN(SUBSTITUTE(AB2055,"[Aviso]","")))/7, "Con Incidencias", "Válido")))</f>
        <v/>
      </c>
      <c r="AB2055" s="56">
        <f>IF(AND(A2055="", B2055="", E2055=""), "", TEXTJOIN("; ", TRUE, IF(OR(TRIM(A2055&amp;"")="", ISNUMBER(SEARCH("FALTA", A2055))), "UPC faltante/inválido", ""), IF(AND(A2055&lt;&gt;"", IFERROR(_xlfn.XMATCH(A2055,$A$2:$A$2509,0,1)&lt;&gt;_xlfn.XMATCH(A2055,$A$2:$A$2509,0,-1),FALSE)), "Código de barras duplicado", ""), IF(AND(E2055&lt;&gt;"", COUNTIF($E$2:$E$2509, E2055)&gt;1), "SKU duplicado", ""), IF(OR(J2055="", J2055=""), "[Aviso] División no capturada ()", IF(ISNA(MATCH(J2055, Criterios!$A$123:$A$126, 0)), "División no válida", "")), IF(OR(K2055="", K2055=""), "[Aviso] Categoría no capturada ()", IF(ISNA(MATCH(K2055, Criterios!$A$81:$A$120, 0)), "Categoría no válida", IF(AND(J2055&lt;&gt;"", J2055&lt;&gt;"", J2055&lt;&gt;VLOOKUP(K2055, Criterios!$A$81:$B$120, 2, FALSE)), "División no coincide con Categoría", ""))), IF(OR(L2055="", L2055=""), "[Aviso] Género no capturado ()", IF(ISNA(MATCH(L2055, Criterios!$B$123:$B$127, 0)), "Género no válido", "")), IF(OR(N2055="", N2055=""), "[Aviso] Temporada no capturada ()", IF(ISNA(MATCH(N2055, Criterios!$C$123:$C$128, 0)), "Temporada no válida", "")), IF(OR(O2055="", O2055=""), "[Aviso] Ciclo de vida no capturado ()", IF(ISNA(MATCH(O2055, Criterios!$D$123:$D$124, 0)), "Ciclo de vida no válido", ""))))</f>
        <v/>
      </c>
      <c r="AC2055" s="56" t="n"/>
      <c r="AD2055" s="51" t="n">
        <v>0</v>
      </c>
      <c r="AE2055" s="156" t="inlineStr">
        <is>
          <t>Sin coincidencia en NetSuite</t>
        </is>
      </c>
      <c r="AF2055" s="51" t="n"/>
      <c r="AG2055" s="156" t="inlineStr">
        <is>
          <t>Catálogo existente</t>
        </is>
      </c>
      <c r="AH2055"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5" s="156" t="n"/>
      <c r="AJ2055" s="156" t="n"/>
      <c r="AK2055" s="155" t="inlineStr">
        <is>
          <t>Shopify Stetson: producto 14697963553131 / variante 52013817758059</t>
        </is>
      </c>
      <c r="AL2055" s="58" t="n"/>
      <c r="AM2055" s="58" t="n">
        <v>2350</v>
      </c>
      <c r="AN2055" s="155" t="inlineStr">
        <is>
          <t>Shopify Stetson México</t>
        </is>
      </c>
      <c r="AO2055" s="59" t="n">
        <v>0</v>
      </c>
      <c r="AP2055" s="59" t="n"/>
      <c r="AQ2055" s="59" t="n"/>
      <c r="AR2055" s="155" t="n"/>
    </row>
    <row r="2056">
      <c r="A2056" s="50" t="inlineStr">
        <is>
          <t>724303723885</t>
        </is>
      </c>
      <c r="B2056" s="51" t="n"/>
      <c r="C2056" s="156" t="inlineStr">
        <is>
          <t>Multimarca</t>
        </is>
      </c>
      <c r="D2056" s="156" t="inlineStr">
        <is>
          <t>ST-BELT-NAT-34</t>
        </is>
      </c>
      <c r="E2056" s="156" t="inlineStr">
        <is>
          <t>ST-BELT-NAT-34</t>
        </is>
      </c>
      <c r="F2056" s="156" t="inlineStr">
        <is>
          <t>34</t>
        </is>
      </c>
      <c r="G2056" s="156" t="inlineStr">
        <is>
          <t>34</t>
        </is>
      </c>
      <c r="H2056" s="156" t="inlineStr">
        <is>
          <t>Stetson</t>
        </is>
      </c>
      <c r="I2056" s="156" t="inlineStr">
        <is>
          <t>Cinturón Stetson Piel Natural Brown</t>
        </is>
      </c>
      <c r="J2056" s="156" t="inlineStr">
        <is>
          <t>Accesorios</t>
        </is>
      </c>
      <c r="K2056" s="156" t="inlineStr">
        <is>
          <t>Cinturones</t>
        </is>
      </c>
      <c r="L2056" s="156" t="inlineStr">
        <is>
          <t>Unisex</t>
        </is>
      </c>
      <c r="M2056" s="156" t="inlineStr">
        <is>
          <t>Stetson</t>
        </is>
      </c>
      <c r="N2056" s="156" t="n"/>
      <c r="O2056" s="156" t="n"/>
      <c r="P2056" s="156" t="inlineStr">
        <is>
          <t>Cafe</t>
        </is>
      </c>
      <c r="Q2056" s="156" t="n"/>
      <c r="R2056" s="156" t="n"/>
      <c r="S2056" s="156" t="n"/>
      <c r="T2056"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2056" s="156" t="n"/>
      <c r="V2056" s="156" t="inlineStr">
        <is>
          <t>PZS</t>
        </is>
      </c>
      <c r="W2056" s="51" t="inlineStr">
        <is>
          <t>53102501</t>
        </is>
      </c>
      <c r="X2056" s="156" t="inlineStr">
        <is>
          <t>https://cdn.shopify.com/s/files/1/0888/3250/8267/files/BenC__DSC8218_R_-_PDP_Crop.jpg?v=1761947175</t>
        </is>
      </c>
      <c r="Y2056" s="54" t="n"/>
      <c r="Z2056" s="54" t="n">
        <v>2350</v>
      </c>
      <c r="AA2056" s="55">
        <f>IF(AND(A2056="", B2056="", E2056=""), "", IF(AB2056="", "Válido", IF((LEN(AB2056)-LEN(SUBSTITUTE(AB2056,"; ","")))/2+1&gt;(LEN(AB2056)-LEN(SUBSTITUTE(AB2056,"[Aviso]","")))/7, "Con Incidencias", "Válido")))</f>
        <v/>
      </c>
      <c r="AB2056" s="56">
        <f>IF(AND(A2056="", B2056="", E2056=""), "", TEXTJOIN("; ", TRUE, IF(OR(TRIM(A2056&amp;"")="", ISNUMBER(SEARCH("FALTA", A2056))), "UPC faltante/inválido", ""), IF(AND(A2056&lt;&gt;"", IFERROR(_xlfn.XMATCH(A2056,$A$2:$A$2509,0,1)&lt;&gt;_xlfn.XMATCH(A2056,$A$2:$A$2509,0,-1),FALSE)), "Código de barras duplicado", ""), IF(AND(E2056&lt;&gt;"", COUNTIF($E$2:$E$2509, E2056)&gt;1), "SKU duplicado", ""), IF(OR(J2056="", J2056=""), "[Aviso] División no capturada ()", IF(ISNA(MATCH(J2056, Criterios!$A$123:$A$126, 0)), "División no válida", "")), IF(OR(K2056="", K2056=""), "[Aviso] Categoría no capturada ()", IF(ISNA(MATCH(K2056, Criterios!$A$81:$A$120, 0)), "Categoría no válida", IF(AND(J2056&lt;&gt;"", J2056&lt;&gt;"", J2056&lt;&gt;VLOOKUP(K2056, Criterios!$A$81:$B$120, 2, FALSE)), "División no coincide con Categoría", ""))), IF(OR(L2056="", L2056=""), "[Aviso] Género no capturado ()", IF(ISNA(MATCH(L2056, Criterios!$B$123:$B$127, 0)), "Género no válido", "")), IF(OR(N2056="", N2056=""), "[Aviso] Temporada no capturada ()", IF(ISNA(MATCH(N2056, Criterios!$C$123:$C$128, 0)), "Temporada no válida", "")), IF(OR(O2056="", O2056=""), "[Aviso] Ciclo de vida no capturado ()", IF(ISNA(MATCH(O2056, Criterios!$D$123:$D$124, 0)), "Ciclo de vida no válido", ""))))</f>
        <v/>
      </c>
      <c r="AC2056" s="56" t="n"/>
      <c r="AD2056" s="51" t="n">
        <v>0</v>
      </c>
      <c r="AE2056" s="156" t="inlineStr">
        <is>
          <t>Sin coincidencia en NetSuite</t>
        </is>
      </c>
      <c r="AF2056" s="51" t="n"/>
      <c r="AG2056" s="156" t="inlineStr">
        <is>
          <t>Catálogo existente</t>
        </is>
      </c>
      <c r="AH2056"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6" s="156" t="n"/>
      <c r="AJ2056" s="156" t="n"/>
      <c r="AK2056" s="155" t="inlineStr">
        <is>
          <t>Shopify Stetson: producto 14697963553131 / variante 52013817790827</t>
        </is>
      </c>
      <c r="AL2056" s="58" t="n"/>
      <c r="AM2056" s="58" t="n">
        <v>2350</v>
      </c>
      <c r="AN2056" s="155" t="inlineStr">
        <is>
          <t>Shopify Stetson México</t>
        </is>
      </c>
      <c r="AO2056" s="59" t="n">
        <v>0</v>
      </c>
      <c r="AP2056" s="59" t="n"/>
      <c r="AQ2056" s="59" t="n"/>
      <c r="AR2056" s="155" t="n"/>
    </row>
    <row r="2057">
      <c r="A2057" s="50" t="inlineStr">
        <is>
          <t>724303723960</t>
        </is>
      </c>
      <c r="B2057" s="51" t="n"/>
      <c r="C2057" s="156" t="inlineStr">
        <is>
          <t>Multimarca</t>
        </is>
      </c>
      <c r="D2057" s="156" t="inlineStr">
        <is>
          <t>9908500-233</t>
        </is>
      </c>
      <c r="E2057" s="156" t="inlineStr">
        <is>
          <t>9908500-233-32</t>
        </is>
      </c>
      <c r="F2057" s="156" t="inlineStr">
        <is>
          <t>32</t>
        </is>
      </c>
      <c r="G2057" s="156" t="inlineStr">
        <is>
          <t>32</t>
        </is>
      </c>
      <c r="H2057" s="156" t="inlineStr">
        <is>
          <t>Stetson</t>
        </is>
      </c>
      <c r="I2057" s="156" t="inlineStr">
        <is>
          <t>Cinturón Stetson Piel Cognac 8500</t>
        </is>
      </c>
      <c r="J2057" s="156" t="inlineStr">
        <is>
          <t>Accesorios</t>
        </is>
      </c>
      <c r="K2057" s="156" t="inlineStr">
        <is>
          <t>Cinturones</t>
        </is>
      </c>
      <c r="L2057" s="156" t="inlineStr">
        <is>
          <t>Hombre</t>
        </is>
      </c>
      <c r="M2057" s="156" t="inlineStr">
        <is>
          <t>Stetson</t>
        </is>
      </c>
      <c r="N2057" s="156" t="inlineStr">
        <is>
          <t>SS26</t>
        </is>
      </c>
      <c r="O2057" s="156" t="inlineStr">
        <is>
          <t>Seasonal</t>
        </is>
      </c>
      <c r="P2057" s="156" t="inlineStr">
        <is>
          <t>Cafe</t>
        </is>
      </c>
      <c r="Q2057" s="156" t="n"/>
      <c r="R2057" s="156" t="n"/>
      <c r="S2057" s="156" t="inlineStr">
        <is>
          <t>Cuero</t>
        </is>
      </c>
      <c r="T2057"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8500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7" s="156" t="n"/>
      <c r="V2057" s="156" t="inlineStr">
        <is>
          <t>PZS</t>
        </is>
      </c>
      <c r="W2057" s="51" t="inlineStr">
        <is>
          <t>53102501</t>
        </is>
      </c>
      <c r="X2057" s="156" t="inlineStr">
        <is>
          <t>https://cdn.shopify.com/s/files/1/0888/3250/8267/files/9908500-233_Cognac_1.jpg?v=1761947895</t>
        </is>
      </c>
      <c r="Y2057" s="54" t="n">
        <v>775.862069</v>
      </c>
      <c r="Z2057" s="54" t="n">
        <v>2000</v>
      </c>
      <c r="AA2057" s="55">
        <f>IF(AND(A2057="", B2057="", E2057=""), "", IF(AB2057="", "Válido", IF((LEN(AB2057)-LEN(SUBSTITUTE(AB2057,"; ","")))/2+1&gt;(LEN(AB2057)-LEN(SUBSTITUTE(AB2057,"[Aviso]","")))/7, "Con Incidencias", "Válido")))</f>
        <v/>
      </c>
      <c r="AB2057" s="56">
        <f>IF(AND(A2057="", B2057="", E2057=""), "", TEXTJOIN("; ", TRUE, IF(OR(TRIM(A2057&amp;"")="", ISNUMBER(SEARCH("FALTA", A2057))), "UPC faltante/inválido", ""), IF(AND(A2057&lt;&gt;"", IFERROR(_xlfn.XMATCH(A2057,$A$2:$A$2509,0,1)&lt;&gt;_xlfn.XMATCH(A2057,$A$2:$A$2509,0,-1),FALSE)), "Código de barras duplicado", ""), IF(AND(E2057&lt;&gt;"", COUNTIF($E$2:$E$2509, E2057)&gt;1), "SKU duplicado", ""), IF(OR(J2057="", J2057=""), "[Aviso] División no capturada ()", IF(ISNA(MATCH(J2057, Criterios!$A$123:$A$126, 0)), "División no válida", "")), IF(OR(K2057="", K2057=""), "[Aviso] Categoría no capturada ()", IF(ISNA(MATCH(K2057, Criterios!$A$81:$A$120, 0)), "Categoría no válida", IF(AND(J2057&lt;&gt;"", J2057&lt;&gt;"", J2057&lt;&gt;VLOOKUP(K2057, Criterios!$A$81:$B$120, 2, FALSE)), "División no coincide con Categoría", ""))), IF(OR(L2057="", L2057=""), "[Aviso] Género no capturado ()", IF(ISNA(MATCH(L2057, Criterios!$B$123:$B$127, 0)), "Género no válido", "")), IF(OR(N2057="", N2057=""), "[Aviso] Temporada no capturada ()", IF(ISNA(MATCH(N2057, Criterios!$C$123:$C$128, 0)), "Temporada no válida", "")), IF(OR(O2057="", O2057=""), "[Aviso] Ciclo de vida no capturado ()", IF(ISNA(MATCH(O2057, Criterios!$D$123:$D$124, 0)), "Ciclo de vida no válido", ""))))</f>
        <v/>
      </c>
      <c r="AC2057" s="56" t="n"/>
      <c r="AD2057" s="51" t="n">
        <v>0</v>
      </c>
      <c r="AE2057" s="156" t="inlineStr">
        <is>
          <t>Sin coincidencia en NetSuite</t>
        </is>
      </c>
      <c r="AF2057" s="51" t="n"/>
      <c r="AG2057" s="156" t="inlineStr">
        <is>
          <t>Catálogo existente</t>
        </is>
      </c>
      <c r="AH2057"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7" s="156" t="n"/>
      <c r="AJ2057" s="156" t="n"/>
      <c r="AK2057" s="155" t="inlineStr">
        <is>
          <t>Shopify Stetson: producto 14697968861547 / variante 52013830603115</t>
        </is>
      </c>
      <c r="AL2057" s="58" t="n">
        <v>775.862069</v>
      </c>
      <c r="AM2057" s="58" t="n">
        <v>2000</v>
      </c>
      <c r="AN2057" s="155" t="inlineStr">
        <is>
          <t>Shopify Stetson México</t>
        </is>
      </c>
      <c r="AO2057" s="59" t="n">
        <v>0</v>
      </c>
      <c r="AP2057" s="59" t="n"/>
      <c r="AQ2057" s="59" t="n"/>
      <c r="AR2057" s="155" t="n"/>
    </row>
    <row r="2058">
      <c r="A2058" s="50" t="inlineStr">
        <is>
          <t>724303723977</t>
        </is>
      </c>
      <c r="B2058" s="51" t="n"/>
      <c r="C2058" s="156" t="inlineStr">
        <is>
          <t>Multimarca</t>
        </is>
      </c>
      <c r="D2058" s="156" t="inlineStr">
        <is>
          <t>9908500-233</t>
        </is>
      </c>
      <c r="E2058" s="156" t="inlineStr">
        <is>
          <t>9908500-233-34</t>
        </is>
      </c>
      <c r="F2058" s="156" t="inlineStr">
        <is>
          <t>34</t>
        </is>
      </c>
      <c r="G2058" s="156" t="inlineStr">
        <is>
          <t>34</t>
        </is>
      </c>
      <c r="H2058" s="156" t="inlineStr">
        <is>
          <t>Stetson</t>
        </is>
      </c>
      <c r="I2058" s="156" t="inlineStr">
        <is>
          <t>Cinturón Stetson Piel Cognac 8500</t>
        </is>
      </c>
      <c r="J2058" s="156" t="inlineStr">
        <is>
          <t>Accesorios</t>
        </is>
      </c>
      <c r="K2058" s="156" t="inlineStr">
        <is>
          <t>Cinturones</t>
        </is>
      </c>
      <c r="L2058" s="156" t="inlineStr">
        <is>
          <t>Hombre</t>
        </is>
      </c>
      <c r="M2058" s="156" t="inlineStr">
        <is>
          <t>Stetson</t>
        </is>
      </c>
      <c r="N2058" s="156" t="inlineStr">
        <is>
          <t>SS26</t>
        </is>
      </c>
      <c r="O2058" s="156" t="inlineStr">
        <is>
          <t>Seasonal</t>
        </is>
      </c>
      <c r="P2058" s="156" t="inlineStr">
        <is>
          <t>Cafe</t>
        </is>
      </c>
      <c r="Q2058" s="156" t="n"/>
      <c r="R2058" s="156" t="n"/>
      <c r="S2058" s="156" t="inlineStr">
        <is>
          <t>Cuero</t>
        </is>
      </c>
      <c r="T2058"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8500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8" s="156" t="n"/>
      <c r="V2058" s="156" t="inlineStr">
        <is>
          <t>PZS</t>
        </is>
      </c>
      <c r="W2058" s="51" t="inlineStr">
        <is>
          <t>53102501</t>
        </is>
      </c>
      <c r="X2058" s="156" t="inlineStr">
        <is>
          <t>https://cdn.shopify.com/s/files/1/0888/3250/8267/files/9908500-233_alt1.jpg?v=1761947919</t>
        </is>
      </c>
      <c r="Y2058" s="54" t="n">
        <v>775.862069</v>
      </c>
      <c r="Z2058" s="54" t="n">
        <v>2000</v>
      </c>
      <c r="AA2058" s="55">
        <f>IF(AND(A2058="", B2058="", E2058=""), "", IF(AB2058="", "Válido", IF((LEN(AB2058)-LEN(SUBSTITUTE(AB2058,"; ","")))/2+1&gt;(LEN(AB2058)-LEN(SUBSTITUTE(AB2058,"[Aviso]","")))/7, "Con Incidencias", "Válido")))</f>
        <v/>
      </c>
      <c r="AB2058" s="56">
        <f>IF(AND(A2058="", B2058="", E2058=""), "", TEXTJOIN("; ", TRUE, IF(OR(TRIM(A2058&amp;"")="", ISNUMBER(SEARCH("FALTA", A2058))), "UPC faltante/inválido", ""), IF(AND(A2058&lt;&gt;"", IFERROR(_xlfn.XMATCH(A2058,$A$2:$A$2509,0,1)&lt;&gt;_xlfn.XMATCH(A2058,$A$2:$A$2509,0,-1),FALSE)), "Código de barras duplicado", ""), IF(AND(E2058&lt;&gt;"", COUNTIF($E$2:$E$2509, E2058)&gt;1), "SKU duplicado", ""), IF(OR(J2058="", J2058=""), "[Aviso] División no capturada ()", IF(ISNA(MATCH(J2058, Criterios!$A$123:$A$126, 0)), "División no válida", "")), IF(OR(K2058="", K2058=""), "[Aviso] Categoría no capturada ()", IF(ISNA(MATCH(K2058, Criterios!$A$81:$A$120, 0)), "Categoría no válida", IF(AND(J2058&lt;&gt;"", J2058&lt;&gt;"", J2058&lt;&gt;VLOOKUP(K2058, Criterios!$A$81:$B$120, 2, FALSE)), "División no coincide con Categoría", ""))), IF(OR(L2058="", L2058=""), "[Aviso] Género no capturado ()", IF(ISNA(MATCH(L2058, Criterios!$B$123:$B$127, 0)), "Género no válido", "")), IF(OR(N2058="", N2058=""), "[Aviso] Temporada no capturada ()", IF(ISNA(MATCH(N2058, Criterios!$C$123:$C$128, 0)), "Temporada no válida", "")), IF(OR(O2058="", O2058=""), "[Aviso] Ciclo de vida no capturado ()", IF(ISNA(MATCH(O2058, Criterios!$D$123:$D$124, 0)), "Ciclo de vida no válido", ""))))</f>
        <v/>
      </c>
      <c r="AC2058" s="56" t="n"/>
      <c r="AD2058" s="51" t="n">
        <v>0</v>
      </c>
      <c r="AE2058" s="156" t="inlineStr">
        <is>
          <t>Sin coincidencia en NetSuite</t>
        </is>
      </c>
      <c r="AF2058" s="51" t="n"/>
      <c r="AG2058" s="156" t="inlineStr">
        <is>
          <t>Catálogo existente</t>
        </is>
      </c>
      <c r="AH2058"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8" s="156" t="n"/>
      <c r="AJ2058" s="156" t="n"/>
      <c r="AK2058" s="155" t="inlineStr">
        <is>
          <t>Shopify Stetson: producto 14697968861547 / variante 52013830635883</t>
        </is>
      </c>
      <c r="AL2058" s="58" t="n">
        <v>775.862069</v>
      </c>
      <c r="AM2058" s="58" t="n">
        <v>2000</v>
      </c>
      <c r="AN2058" s="155" t="inlineStr">
        <is>
          <t>Shopify Stetson México</t>
        </is>
      </c>
      <c r="AO2058" s="59" t="n">
        <v>0</v>
      </c>
      <c r="AP2058" s="59" t="n"/>
      <c r="AQ2058" s="59" t="n"/>
      <c r="AR2058" s="155" t="n"/>
    </row>
    <row r="2059">
      <c r="A2059" s="50" t="inlineStr">
        <is>
          <t>724303724059</t>
        </is>
      </c>
      <c r="B2059" s="51" t="n"/>
      <c r="C2059" s="156" t="inlineStr">
        <is>
          <t>Multimarca</t>
        </is>
      </c>
      <c r="D2059" s="156" t="inlineStr">
        <is>
          <t>9910500-233</t>
        </is>
      </c>
      <c r="E2059" s="156" t="inlineStr">
        <is>
          <t>9910500-233-32</t>
        </is>
      </c>
      <c r="F2059" s="156" t="inlineStr">
        <is>
          <t>32</t>
        </is>
      </c>
      <c r="G2059" s="156" t="inlineStr">
        <is>
          <t>32</t>
        </is>
      </c>
      <c r="H2059" s="156" t="inlineStr">
        <is>
          <t>Stetson</t>
        </is>
      </c>
      <c r="I2059" s="156" t="inlineStr">
        <is>
          <t>Cinturón Stetson Piel Cognac 0500</t>
        </is>
      </c>
      <c r="J2059" s="156" t="inlineStr">
        <is>
          <t>Accesorios</t>
        </is>
      </c>
      <c r="K2059" s="156" t="inlineStr">
        <is>
          <t>Cinturones</t>
        </is>
      </c>
      <c r="L2059" s="156" t="inlineStr">
        <is>
          <t>Hombre</t>
        </is>
      </c>
      <c r="M2059" s="156" t="inlineStr">
        <is>
          <t>Stetson</t>
        </is>
      </c>
      <c r="N2059" s="156" t="inlineStr">
        <is>
          <t>SS26</t>
        </is>
      </c>
      <c r="O2059" s="156" t="inlineStr">
        <is>
          <t>Seasonal</t>
        </is>
      </c>
      <c r="P2059" s="156" t="inlineStr">
        <is>
          <t>Cafe</t>
        </is>
      </c>
      <c r="Q2059" s="156" t="n"/>
      <c r="R2059" s="156" t="n"/>
      <c r="S2059" s="156" t="inlineStr">
        <is>
          <t>Cuero</t>
        </is>
      </c>
      <c r="T2059"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9" s="156" t="n"/>
      <c r="V2059" s="156" t="inlineStr">
        <is>
          <t>PZS</t>
        </is>
      </c>
      <c r="W2059" s="51" t="inlineStr">
        <is>
          <t>53102501</t>
        </is>
      </c>
      <c r="X2059" s="156" t="inlineStr">
        <is>
          <t>https://cdn.shopify.com/s/files/1/0888/3250/8267/files/9910500-233_Cognac_1.jpg?v=1761948342</t>
        </is>
      </c>
      <c r="Y2059" s="54" t="n">
        <v>775.862069</v>
      </c>
      <c r="Z2059" s="54" t="n">
        <v>2000</v>
      </c>
      <c r="AA2059" s="55">
        <f>IF(AND(A2059="", B2059="", E2059=""), "", IF(AB2059="", "Válido", IF((LEN(AB2059)-LEN(SUBSTITUTE(AB2059,"; ","")))/2+1&gt;(LEN(AB2059)-LEN(SUBSTITUTE(AB2059,"[Aviso]","")))/7, "Con Incidencias", "Válido")))</f>
        <v/>
      </c>
      <c r="AB2059" s="56">
        <f>IF(AND(A2059="", B2059="", E2059=""), "", TEXTJOIN("; ", TRUE, IF(OR(TRIM(A2059&amp;"")="", ISNUMBER(SEARCH("FALTA", A2059))), "UPC faltante/inválido", ""), IF(AND(A2059&lt;&gt;"", IFERROR(_xlfn.XMATCH(A2059,$A$2:$A$2509,0,1)&lt;&gt;_xlfn.XMATCH(A2059,$A$2:$A$2509,0,-1),FALSE)), "Código de barras duplicado", ""), IF(AND(E2059&lt;&gt;"", COUNTIF($E$2:$E$2509, E2059)&gt;1), "SKU duplicado", ""), IF(OR(J2059="", J2059=""), "[Aviso] División no capturada ()", IF(ISNA(MATCH(J2059, Criterios!$A$123:$A$126, 0)), "División no válida", "")), IF(OR(K2059="", K2059=""), "[Aviso] Categoría no capturada ()", IF(ISNA(MATCH(K2059, Criterios!$A$81:$A$120, 0)), "Categoría no válida", IF(AND(J2059&lt;&gt;"", J2059&lt;&gt;"", J2059&lt;&gt;VLOOKUP(K2059, Criterios!$A$81:$B$120, 2, FALSE)), "División no coincide con Categoría", ""))), IF(OR(L2059="", L2059=""), "[Aviso] Género no capturado ()", IF(ISNA(MATCH(L2059, Criterios!$B$123:$B$127, 0)), "Género no válido", "")), IF(OR(N2059="", N2059=""), "[Aviso] Temporada no capturada ()", IF(ISNA(MATCH(N2059, Criterios!$C$123:$C$128, 0)), "Temporada no válida", "")), IF(OR(O2059="", O2059=""), "[Aviso] Ciclo de vida no capturado ()", IF(ISNA(MATCH(O2059, Criterios!$D$123:$D$124, 0)), "Ciclo de vida no válido", ""))))</f>
        <v/>
      </c>
      <c r="AC2059" s="56" t="n"/>
      <c r="AD2059" s="51" t="n">
        <v>0</v>
      </c>
      <c r="AE2059" s="156" t="inlineStr">
        <is>
          <t>Sin coincidencia en NetSuite</t>
        </is>
      </c>
      <c r="AF2059" s="51" t="n"/>
      <c r="AG2059" s="156" t="inlineStr">
        <is>
          <t>Catálogo existente</t>
        </is>
      </c>
      <c r="AH2059"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9" s="156" t="n"/>
      <c r="AJ2059" s="156" t="n"/>
      <c r="AK2059" s="155" t="inlineStr">
        <is>
          <t>Shopify Stetson: producto 14697972367723 / variante 52013837779307</t>
        </is>
      </c>
      <c r="AL2059" s="58" t="n">
        <v>775.862069</v>
      </c>
      <c r="AM2059" s="58" t="n">
        <v>2000</v>
      </c>
      <c r="AN2059" s="155" t="inlineStr">
        <is>
          <t>Shopify Stetson México</t>
        </is>
      </c>
      <c r="AO2059" s="59" t="n">
        <v>0</v>
      </c>
      <c r="AP2059" s="59" t="n"/>
      <c r="AQ2059" s="59" t="n"/>
      <c r="AR2059" s="155" t="n"/>
    </row>
    <row r="2060">
      <c r="A2060" s="50" t="inlineStr">
        <is>
          <t>724303724066</t>
        </is>
      </c>
      <c r="B2060" s="51" t="n"/>
      <c r="C2060" s="156" t="inlineStr">
        <is>
          <t>Multimarca</t>
        </is>
      </c>
      <c r="D2060" s="156" t="inlineStr">
        <is>
          <t>9910500-233</t>
        </is>
      </c>
      <c r="E2060" s="156" t="inlineStr">
        <is>
          <t>9910500-233-34</t>
        </is>
      </c>
      <c r="F2060" s="156" t="inlineStr">
        <is>
          <t>34</t>
        </is>
      </c>
      <c r="G2060" s="156" t="inlineStr">
        <is>
          <t>34</t>
        </is>
      </c>
      <c r="H2060" s="156" t="inlineStr">
        <is>
          <t>Stetson</t>
        </is>
      </c>
      <c r="I2060" s="156" t="inlineStr">
        <is>
          <t>Cinturón Stetson Piel Cognac 0500</t>
        </is>
      </c>
      <c r="J2060" s="156" t="inlineStr">
        <is>
          <t>Accesorios</t>
        </is>
      </c>
      <c r="K2060" s="156" t="inlineStr">
        <is>
          <t>Cinturones</t>
        </is>
      </c>
      <c r="L2060" s="156" t="inlineStr">
        <is>
          <t>Hombre</t>
        </is>
      </c>
      <c r="M2060" s="156" t="inlineStr">
        <is>
          <t>Stetson</t>
        </is>
      </c>
      <c r="N2060" s="156" t="inlineStr">
        <is>
          <t>SS26</t>
        </is>
      </c>
      <c r="O2060" s="156" t="inlineStr">
        <is>
          <t>Seasonal</t>
        </is>
      </c>
      <c r="P2060" s="156" t="inlineStr">
        <is>
          <t>Cafe</t>
        </is>
      </c>
      <c r="Q2060" s="156" t="n"/>
      <c r="R2060" s="156" t="n"/>
      <c r="S2060" s="156" t="inlineStr">
        <is>
          <t>Cuero</t>
        </is>
      </c>
      <c r="T2060"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60" s="156" t="n"/>
      <c r="V2060" s="156" t="inlineStr">
        <is>
          <t>PZS</t>
        </is>
      </c>
      <c r="W2060" s="51" t="inlineStr">
        <is>
          <t>53102501</t>
        </is>
      </c>
      <c r="X2060" s="156" t="inlineStr">
        <is>
          <t>https://cdn.shopify.com/s/files/1/0888/3250/8267/files/9910500-233_alt1.jpg?v=1761948352</t>
        </is>
      </c>
      <c r="Y2060" s="54" t="n">
        <v>775.862069</v>
      </c>
      <c r="Z2060" s="54" t="n">
        <v>2000</v>
      </c>
      <c r="AA2060" s="55">
        <f>IF(AND(A2060="", B2060="", E2060=""), "", IF(AB2060="", "Válido", IF((LEN(AB2060)-LEN(SUBSTITUTE(AB2060,"; ","")))/2+1&gt;(LEN(AB2060)-LEN(SUBSTITUTE(AB2060,"[Aviso]","")))/7, "Con Incidencias", "Válido")))</f>
        <v/>
      </c>
      <c r="AB2060" s="56">
        <f>IF(AND(A2060="", B2060="", E2060=""), "", TEXTJOIN("; ", TRUE, IF(OR(TRIM(A2060&amp;"")="", ISNUMBER(SEARCH("FALTA", A2060))), "UPC faltante/inválido", ""), IF(AND(A2060&lt;&gt;"", IFERROR(_xlfn.XMATCH(A2060,$A$2:$A$2509,0,1)&lt;&gt;_xlfn.XMATCH(A2060,$A$2:$A$2509,0,-1),FALSE)), "Código de barras duplicado", ""), IF(AND(E2060&lt;&gt;"", COUNTIF($E$2:$E$2509, E2060)&gt;1), "SKU duplicado", ""), IF(OR(J2060="", J2060=""), "[Aviso] División no capturada ()", IF(ISNA(MATCH(J2060, Criterios!$A$123:$A$126, 0)), "División no válida", "")), IF(OR(K2060="", K2060=""), "[Aviso] Categoría no capturada ()", IF(ISNA(MATCH(K2060, Criterios!$A$81:$A$120, 0)), "Categoría no válida", IF(AND(J2060&lt;&gt;"", J2060&lt;&gt;"", J2060&lt;&gt;VLOOKUP(K2060, Criterios!$A$81:$B$120, 2, FALSE)), "División no coincide con Categoría", ""))), IF(OR(L2060="", L2060=""), "[Aviso] Género no capturado ()", IF(ISNA(MATCH(L2060, Criterios!$B$123:$B$127, 0)), "Género no válido", "")), IF(OR(N2060="", N2060=""), "[Aviso] Temporada no capturada ()", IF(ISNA(MATCH(N2060, Criterios!$C$123:$C$128, 0)), "Temporada no válida", "")), IF(OR(O2060="", O2060=""), "[Aviso] Ciclo de vida no capturado ()", IF(ISNA(MATCH(O2060, Criterios!$D$123:$D$124, 0)), "Ciclo de vida no válido", ""))))</f>
        <v/>
      </c>
      <c r="AC2060" s="56" t="n"/>
      <c r="AD2060" s="51" t="n">
        <v>0</v>
      </c>
      <c r="AE2060" s="156" t="inlineStr">
        <is>
          <t>Sin coincidencia en NetSuite</t>
        </is>
      </c>
      <c r="AF2060" s="51" t="n"/>
      <c r="AG2060" s="156" t="inlineStr">
        <is>
          <t>Catálogo existente</t>
        </is>
      </c>
      <c r="AH2060"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0" s="156" t="n"/>
      <c r="AJ2060" s="156" t="n"/>
      <c r="AK2060" s="155" t="inlineStr">
        <is>
          <t>Shopify Stetson: producto 14697972367723 / variante 52013837812075</t>
        </is>
      </c>
      <c r="AL2060" s="58" t="n">
        <v>775.862069</v>
      </c>
      <c r="AM2060" s="58" t="n">
        <v>2000</v>
      </c>
      <c r="AN2060" s="155" t="inlineStr">
        <is>
          <t>Shopify Stetson México</t>
        </is>
      </c>
      <c r="AO2060" s="59" t="n">
        <v>0</v>
      </c>
      <c r="AP2060" s="59" t="n"/>
      <c r="AQ2060" s="59" t="n"/>
      <c r="AR2060" s="155" t="n"/>
    </row>
    <row r="2061">
      <c r="A2061" s="50" t="inlineStr">
        <is>
          <t>724303724233</t>
        </is>
      </c>
      <c r="B2061" s="51" t="n"/>
      <c r="C2061" s="156" t="inlineStr">
        <is>
          <t>Multimarca</t>
        </is>
      </c>
      <c r="D2061" s="156" t="inlineStr">
        <is>
          <t>9918500-203</t>
        </is>
      </c>
      <c r="E2061" s="156" t="inlineStr">
        <is>
          <t>9918500-203-32</t>
        </is>
      </c>
      <c r="F2061" s="156" t="inlineStr">
        <is>
          <t>32</t>
        </is>
      </c>
      <c r="G2061" s="156" t="inlineStr">
        <is>
          <t>32</t>
        </is>
      </c>
      <c r="H2061" s="156" t="inlineStr">
        <is>
          <t>Stetson</t>
        </is>
      </c>
      <c r="I2061" s="156" t="inlineStr">
        <is>
          <t>Cinturón Stetson Piel Vintage Brown</t>
        </is>
      </c>
      <c r="J2061" s="156" t="inlineStr">
        <is>
          <t>Accesorios</t>
        </is>
      </c>
      <c r="K2061" s="156" t="inlineStr">
        <is>
          <t>Cinturones</t>
        </is>
      </c>
      <c r="L2061" s="156" t="inlineStr">
        <is>
          <t>Hombre</t>
        </is>
      </c>
      <c r="M2061" s="156" t="inlineStr">
        <is>
          <t>Stetson</t>
        </is>
      </c>
      <c r="N2061" s="156" t="inlineStr">
        <is>
          <t>SS26</t>
        </is>
      </c>
      <c r="O2061" s="156" t="inlineStr">
        <is>
          <t>Seasonal</t>
        </is>
      </c>
      <c r="P2061" s="156" t="inlineStr">
        <is>
          <t>Cafe</t>
        </is>
      </c>
      <c r="Q2061" s="156" t="n"/>
      <c r="R2061" s="156" t="n"/>
      <c r="S2061" s="156" t="inlineStr">
        <is>
          <t>Piel</t>
        </is>
      </c>
      <c r="T2061"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2061" s="156" t="n"/>
      <c r="V2061" s="156" t="inlineStr">
        <is>
          <t>PZS</t>
        </is>
      </c>
      <c r="W2061" s="51" t="inlineStr">
        <is>
          <t>53102501</t>
        </is>
      </c>
      <c r="X2061" s="156" t="inlineStr">
        <is>
          <t>https://cdn.shopify.com/s/files/1/0888/3250/8267/files/9918500-203_Vintage_Brown_1.jpg?v=1763143475</t>
        </is>
      </c>
      <c r="Y2061" s="54" t="n">
        <v>756.4655172</v>
      </c>
      <c r="Z2061" s="54" t="n">
        <v>1950</v>
      </c>
      <c r="AA2061" s="55">
        <f>IF(AND(A2061="", B2061="", E2061=""), "", IF(AB2061="", "Válido", IF((LEN(AB2061)-LEN(SUBSTITUTE(AB2061,"; ","")))/2+1&gt;(LEN(AB2061)-LEN(SUBSTITUTE(AB2061,"[Aviso]","")))/7, "Con Incidencias", "Válido")))</f>
        <v/>
      </c>
      <c r="AB2061" s="56">
        <f>IF(AND(A2061="", B2061="", E2061=""), "", TEXTJOIN("; ", TRUE, IF(OR(TRIM(A2061&amp;"")="", ISNUMBER(SEARCH("FALTA", A2061))), "UPC faltante/inválido", ""), IF(AND(A2061&lt;&gt;"", IFERROR(_xlfn.XMATCH(A2061,$A$2:$A$2509,0,1)&lt;&gt;_xlfn.XMATCH(A2061,$A$2:$A$2509,0,-1),FALSE)), "Código de barras duplicado", ""), IF(AND(E2061&lt;&gt;"", COUNTIF($E$2:$E$2509, E2061)&gt;1), "SKU duplicado", ""), IF(OR(J2061="", J2061=""), "[Aviso] División no capturada ()", IF(ISNA(MATCH(J2061, Criterios!$A$123:$A$126, 0)), "División no válida", "")), IF(OR(K2061="", K2061=""), "[Aviso] Categoría no capturada ()", IF(ISNA(MATCH(K2061, Criterios!$A$81:$A$120, 0)), "Categoría no válida", IF(AND(J2061&lt;&gt;"", J2061&lt;&gt;"", J2061&lt;&gt;VLOOKUP(K2061, Criterios!$A$81:$B$120, 2, FALSE)), "División no coincide con Categoría", ""))), IF(OR(L2061="", L2061=""), "[Aviso] Género no capturado ()", IF(ISNA(MATCH(L2061, Criterios!$B$123:$B$127, 0)), "Género no válido", "")), IF(OR(N2061="", N2061=""), "[Aviso] Temporada no capturada ()", IF(ISNA(MATCH(N2061, Criterios!$C$123:$C$128, 0)), "Temporada no válida", "")), IF(OR(O2061="", O2061=""), "[Aviso] Ciclo de vida no capturado ()", IF(ISNA(MATCH(O2061, Criterios!$D$123:$D$124, 0)), "Ciclo de vida no válido", ""))))</f>
        <v/>
      </c>
      <c r="AC2061" s="56" t="n"/>
      <c r="AD2061" s="51" t="n">
        <v>0</v>
      </c>
      <c r="AE2061" s="156" t="inlineStr">
        <is>
          <t>Sin coincidencia en NetSuite</t>
        </is>
      </c>
      <c r="AF2061" s="51" t="n"/>
      <c r="AG2061" s="156" t="inlineStr">
        <is>
          <t>Catálogo existente</t>
        </is>
      </c>
      <c r="AH2061"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1" s="156" t="n"/>
      <c r="AJ2061" s="156" t="n"/>
      <c r="AK2061" s="155" t="inlineStr">
        <is>
          <t>Shopify Stetson: producto 14697993175403 / variante 52013901775211</t>
        </is>
      </c>
      <c r="AL2061" s="58" t="n">
        <v>756.4655172</v>
      </c>
      <c r="AM2061" s="58" t="n">
        <v>1950</v>
      </c>
      <c r="AN2061" s="155" t="inlineStr">
        <is>
          <t>Shopify Stetson México</t>
        </is>
      </c>
      <c r="AO2061" s="59" t="n">
        <v>0</v>
      </c>
      <c r="AP2061" s="59" t="n"/>
      <c r="AQ2061" s="59" t="n"/>
      <c r="AR2061" s="155" t="n"/>
    </row>
    <row r="2062">
      <c r="A2062" s="50" t="inlineStr">
        <is>
          <t>724303724240</t>
        </is>
      </c>
      <c r="B2062" s="51" t="n"/>
      <c r="C2062" s="156" t="inlineStr">
        <is>
          <t>Multimarca</t>
        </is>
      </c>
      <c r="D2062" s="156" t="inlineStr">
        <is>
          <t>9918500-203</t>
        </is>
      </c>
      <c r="E2062" s="156" t="inlineStr">
        <is>
          <t>9918500-203-34</t>
        </is>
      </c>
      <c r="F2062" s="156" t="inlineStr">
        <is>
          <t>34</t>
        </is>
      </c>
      <c r="G2062" s="156" t="inlineStr">
        <is>
          <t>34</t>
        </is>
      </c>
      <c r="H2062" s="156" t="inlineStr">
        <is>
          <t>Stetson</t>
        </is>
      </c>
      <c r="I2062" s="156" t="inlineStr">
        <is>
          <t>Cinturón Stetson Piel Vintage Brown</t>
        </is>
      </c>
      <c r="J2062" s="156" t="inlineStr">
        <is>
          <t>Accesorios</t>
        </is>
      </c>
      <c r="K2062" s="156" t="inlineStr">
        <is>
          <t>Cinturones</t>
        </is>
      </c>
      <c r="L2062" s="156" t="inlineStr">
        <is>
          <t>Hombre</t>
        </is>
      </c>
      <c r="M2062" s="156" t="inlineStr">
        <is>
          <t>Stetson</t>
        </is>
      </c>
      <c r="N2062" s="156" t="inlineStr">
        <is>
          <t>SS26</t>
        </is>
      </c>
      <c r="O2062" s="156" t="inlineStr">
        <is>
          <t>Seasonal</t>
        </is>
      </c>
      <c r="P2062" s="156" t="inlineStr">
        <is>
          <t>Cafe</t>
        </is>
      </c>
      <c r="Q2062" s="156" t="n"/>
      <c r="R2062" s="156" t="n"/>
      <c r="S2062" s="156" t="inlineStr">
        <is>
          <t>Piel</t>
        </is>
      </c>
      <c r="T2062"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2062" s="156" t="n"/>
      <c r="V2062" s="156" t="inlineStr">
        <is>
          <t>PZS</t>
        </is>
      </c>
      <c r="W2062" s="51" t="inlineStr">
        <is>
          <t>53102501</t>
        </is>
      </c>
      <c r="X2062" s="156" t="inlineStr">
        <is>
          <t>https://cdn.shopify.com/s/files/1/0888/3250/8267/files/9918500-203_alt2.jpg?v=1763143483</t>
        </is>
      </c>
      <c r="Y2062" s="54" t="n">
        <v>756.4655172</v>
      </c>
      <c r="Z2062" s="54" t="n">
        <v>1950</v>
      </c>
      <c r="AA2062" s="55">
        <f>IF(AND(A2062="", B2062="", E2062=""), "", IF(AB2062="", "Válido", IF((LEN(AB2062)-LEN(SUBSTITUTE(AB2062,"; ","")))/2+1&gt;(LEN(AB2062)-LEN(SUBSTITUTE(AB2062,"[Aviso]","")))/7, "Con Incidencias", "Válido")))</f>
        <v/>
      </c>
      <c r="AB2062" s="56">
        <f>IF(AND(A2062="", B2062="", E2062=""), "", TEXTJOIN("; ", TRUE, IF(OR(TRIM(A2062&amp;"")="", ISNUMBER(SEARCH("FALTA", A2062))), "UPC faltante/inválido", ""), IF(AND(A2062&lt;&gt;"", IFERROR(_xlfn.XMATCH(A2062,$A$2:$A$2509,0,1)&lt;&gt;_xlfn.XMATCH(A2062,$A$2:$A$2509,0,-1),FALSE)), "Código de barras duplicado", ""), IF(AND(E2062&lt;&gt;"", COUNTIF($E$2:$E$2509, E2062)&gt;1), "SKU duplicado", ""), IF(OR(J2062="", J2062=""), "[Aviso] División no capturada ()", IF(ISNA(MATCH(J2062, Criterios!$A$123:$A$126, 0)), "División no válida", "")), IF(OR(K2062="", K2062=""), "[Aviso] Categoría no capturada ()", IF(ISNA(MATCH(K2062, Criterios!$A$81:$A$120, 0)), "Categoría no válida", IF(AND(J2062&lt;&gt;"", J2062&lt;&gt;"", J2062&lt;&gt;VLOOKUP(K2062, Criterios!$A$81:$B$120, 2, FALSE)), "División no coincide con Categoría", ""))), IF(OR(L2062="", L2062=""), "[Aviso] Género no capturado ()", IF(ISNA(MATCH(L2062, Criterios!$B$123:$B$127, 0)), "Género no válido", "")), IF(OR(N2062="", N2062=""), "[Aviso] Temporada no capturada ()", IF(ISNA(MATCH(N2062, Criterios!$C$123:$C$128, 0)), "Temporada no válida", "")), IF(OR(O2062="", O2062=""), "[Aviso] Ciclo de vida no capturado ()", IF(ISNA(MATCH(O2062, Criterios!$D$123:$D$124, 0)), "Ciclo de vida no válido", ""))))</f>
        <v/>
      </c>
      <c r="AC2062" s="56" t="n"/>
      <c r="AD2062" s="51" t="n">
        <v>0</v>
      </c>
      <c r="AE2062" s="156" t="inlineStr">
        <is>
          <t>Sin coincidencia en NetSuite</t>
        </is>
      </c>
      <c r="AF2062" s="51" t="n"/>
      <c r="AG2062" s="156" t="inlineStr">
        <is>
          <t>Catálogo existente</t>
        </is>
      </c>
      <c r="AH2062"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2" s="156" t="n"/>
      <c r="AJ2062" s="156" t="n"/>
      <c r="AK2062" s="155" t="inlineStr">
        <is>
          <t>Shopify Stetson: producto 14697993175403 / variante 52013901807979</t>
        </is>
      </c>
      <c r="AL2062" s="58" t="n">
        <v>756.4655172</v>
      </c>
      <c r="AM2062" s="58" t="n">
        <v>1950</v>
      </c>
      <c r="AN2062" s="155" t="inlineStr">
        <is>
          <t>Shopify Stetson México</t>
        </is>
      </c>
      <c r="AO2062" s="59" t="n">
        <v>0</v>
      </c>
      <c r="AP2062" s="59" t="n"/>
      <c r="AQ2062" s="59" t="n"/>
      <c r="AR2062" s="155" t="n"/>
    </row>
    <row r="2063">
      <c r="A2063" s="50" t="inlineStr">
        <is>
          <t>724303724592</t>
        </is>
      </c>
      <c r="B2063" s="51" t="inlineStr">
        <is>
          <t>109737</t>
        </is>
      </c>
      <c r="C2063" s="156" t="inlineStr">
        <is>
          <t>Multimarca</t>
        </is>
      </c>
      <c r="D2063" s="156" t="inlineStr">
        <is>
          <t>9805002-200-NZ</t>
        </is>
      </c>
      <c r="E2063" s="156" t="inlineStr">
        <is>
          <t>9805002-200-NZ</t>
        </is>
      </c>
      <c r="F2063" s="156" t="inlineStr">
        <is>
          <t>Talla única</t>
        </is>
      </c>
      <c r="G2063" s="156" t="inlineStr">
        <is>
          <t>One Size</t>
        </is>
      </c>
      <c r="H2063" s="156" t="inlineStr">
        <is>
          <t>Stetson</t>
        </is>
      </c>
      <c r="I2063" s="156" t="inlineStr">
        <is>
          <t>Cartera Artesanal Western Doble Pliegue</t>
        </is>
      </c>
      <c r="J2063" s="156" t="inlineStr">
        <is>
          <t>Accesorios</t>
        </is>
      </c>
      <c r="K2063" s="156" t="inlineStr">
        <is>
          <t>Carteras</t>
        </is>
      </c>
      <c r="L2063" s="156" t="inlineStr">
        <is>
          <t>Hombre</t>
        </is>
      </c>
      <c r="M2063" s="156" t="inlineStr">
        <is>
          <t>Stetson</t>
        </is>
      </c>
      <c r="N2063" s="156" t="inlineStr">
        <is>
          <t>SS26</t>
        </is>
      </c>
      <c r="O2063" s="156" t="inlineStr">
        <is>
          <t>Seasonal</t>
        </is>
      </c>
      <c r="P2063" s="156" t="inlineStr">
        <is>
          <t>Cafe</t>
        </is>
      </c>
      <c r="Q2063" s="156" t="n"/>
      <c r="R2063" s="156" t="n"/>
      <c r="S2063" s="156" t="inlineStr">
        <is>
          <t>Piel</t>
        </is>
      </c>
      <c r="T2063" s="156" t="inlineStr">
        <is>
          <t>La Billetera Bifold con Cabeza de Toro Repujada Stetson combina fuerza, estilo y artesanía en una sola pieza. Fabricada en piel genuina de primera calidad, presenta una base de piel con textura granulada en tono café, con una sobrecubierta de piel (más...)</t>
        </is>
      </c>
      <c r="U2063" s="156" t="n"/>
      <c r="V2063" s="156" t="inlineStr">
        <is>
          <t>PZS</t>
        </is>
      </c>
      <c r="W2063" s="51" t="inlineStr">
        <is>
          <t>53121700</t>
        </is>
      </c>
      <c r="X2063" s="156" t="inlineStr">
        <is>
          <t>https://cdn.shopify.com/s/files/1/0888/3250/8267/files/9805002-200-01_8750e1bf-2ab3-4538-b444-cf7c8a943c6a.jpg?v=1761938644</t>
        </is>
      </c>
      <c r="Y2063" s="54" t="n">
        <v>775.862069</v>
      </c>
      <c r="Z2063" s="54" t="n">
        <v>1724.137931</v>
      </c>
      <c r="AA2063" s="55">
        <f>IF(AND(A2063="", B2063="", E2063=""), "", IF(AB2063="", "Válido", IF((LEN(AB2063)-LEN(SUBSTITUTE(AB2063,"; ","")))/2+1&gt;(LEN(AB2063)-LEN(SUBSTITUTE(AB2063,"[Aviso]","")))/7, "Con Incidencias", "Válido")))</f>
        <v/>
      </c>
      <c r="AB2063" s="56">
        <f>IF(AND(A2063="", B2063="", E2063=""), "", TEXTJOIN("; ", TRUE, IF(OR(TRIM(A2063&amp;"")="", ISNUMBER(SEARCH("FALTA", A2063))), "UPC faltante/inválido", ""), IF(AND(A2063&lt;&gt;"", IFERROR(_xlfn.XMATCH(A2063,$A$2:$A$2509,0,1)&lt;&gt;_xlfn.XMATCH(A2063,$A$2:$A$2509,0,-1),FALSE)), "Código de barras duplicado", ""), IF(AND(E2063&lt;&gt;"", COUNTIF($E$2:$E$2509, E2063)&gt;1), "SKU duplicado", ""), IF(OR(J2063="", J2063=""), "[Aviso] División no capturada ()", IF(ISNA(MATCH(J2063, Criterios!$A$123:$A$126, 0)), "División no válida", "")), IF(OR(K2063="", K2063=""), "[Aviso] Categoría no capturada ()", IF(ISNA(MATCH(K2063, Criterios!$A$81:$A$120, 0)), "Categoría no válida", IF(AND(J2063&lt;&gt;"", J2063&lt;&gt;"", J2063&lt;&gt;VLOOKUP(K2063, Criterios!$A$81:$B$120, 2, FALSE)), "División no coincide con Categoría", ""))), IF(OR(L2063="", L2063=""), "[Aviso] Género no capturado ()", IF(ISNA(MATCH(L2063, Criterios!$B$123:$B$127, 0)), "Género no válido", "")), IF(OR(N2063="", N2063=""), "[Aviso] Temporada no capturada ()", IF(ISNA(MATCH(N2063, Criterios!$C$123:$C$128, 0)), "Temporada no válida", "")), IF(OR(O2063="", O2063=""), "[Aviso] Ciclo de vida no capturado ()", IF(ISNA(MATCH(O2063, Criterios!$D$123:$D$124, 0)), "Ciclo de vida no válido", ""))))</f>
        <v/>
      </c>
      <c r="AC2063" s="56" t="n"/>
      <c r="AD2063" s="51" t="n">
        <v>6</v>
      </c>
      <c r="AE2063" s="156" t="inlineStr">
        <is>
          <t>B25 STETSON.MX (4); PUNTO DE VENTA (2)</t>
        </is>
      </c>
      <c r="AF2063" s="51" t="n">
        <v>6</v>
      </c>
      <c r="AG2063" s="156" t="inlineStr">
        <is>
          <t>Catálogo existente</t>
        </is>
      </c>
      <c r="AH2063" s="156" t="inlineStr">
        <is>
          <t>Revisión 29/09/2026: Campos sin respaldo: U; Auditoría NetSuite 30/09/2026: llenado desde NetSuite [S] | 01/10/2026: complementado desde Shopify Stetson México (match por código de barras): WB Fit, WB Silueta</t>
        </is>
      </c>
      <c r="AI2063" s="156" t="inlineStr">
        <is>
          <t>No</t>
        </is>
      </c>
      <c r="AJ2063" s="156" t="n"/>
      <c r="AK2063" s="155" t="inlineStr">
        <is>
          <t>Descripción y Criterios: G/H [P] | Criterios: I [Q] | Criterios: J [R]; G1522_Extraccion_Articulos_NetSuite_2026-09-30.xlsx: fila 57552 [S] | Shopify Stetson: producto 14811738341739 / variante 52517649252715</t>
        </is>
      </c>
      <c r="AL2063" s="58" t="n">
        <v>775.862069</v>
      </c>
      <c r="AM2063" s="58" t="n">
        <v>1724.137931</v>
      </c>
      <c r="AN2063" s="155" t="inlineStr">
        <is>
          <t>Shopify Stetson México</t>
        </is>
      </c>
      <c r="AO2063" s="59" t="n">
        <v>16</v>
      </c>
      <c r="AP2063" s="59" t="n"/>
      <c r="AQ2063" s="59" t="n"/>
      <c r="AR2063" s="155" t="inlineStr">
        <is>
          <t>Shopify Stetson México › Stetson México: 4 | Shopify Stetson México › Stetson Americas: 10 | Shopify Stetson México › Eventos: 2</t>
        </is>
      </c>
    </row>
    <row r="2064">
      <c r="A2064" s="50" t="inlineStr">
        <is>
          <t>724303724608</t>
        </is>
      </c>
      <c r="B2064" s="51" t="inlineStr">
        <is>
          <t>109738</t>
        </is>
      </c>
      <c r="C2064" s="156" t="inlineStr">
        <is>
          <t>Multimarca</t>
        </is>
      </c>
      <c r="D2064" s="156" t="inlineStr">
        <is>
          <t>9805003-200-NZ</t>
        </is>
      </c>
      <c r="E2064" s="156" t="inlineStr">
        <is>
          <t>9805003-200-NZ</t>
        </is>
      </c>
      <c r="F2064" s="156" t="inlineStr">
        <is>
          <t>Talla única</t>
        </is>
      </c>
      <c r="G2064" s="156" t="inlineStr">
        <is>
          <t>One Size</t>
        </is>
      </c>
      <c r="H2064" s="156" t="inlineStr">
        <is>
          <t>Stetson</t>
        </is>
      </c>
      <c r="I2064" s="156" t="inlineStr">
        <is>
          <t>Cartera Chequera Artesanal Western Doble Pliegue</t>
        </is>
      </c>
      <c r="J2064" s="156" t="inlineStr">
        <is>
          <t>Accesorios</t>
        </is>
      </c>
      <c r="K2064" s="156" t="inlineStr">
        <is>
          <t>Carteras</t>
        </is>
      </c>
      <c r="L2064" s="156" t="inlineStr">
        <is>
          <t>Hombre</t>
        </is>
      </c>
      <c r="M2064" s="156" t="inlineStr">
        <is>
          <t>Stetson</t>
        </is>
      </c>
      <c r="N2064" s="156" t="inlineStr">
        <is>
          <t>SS26</t>
        </is>
      </c>
      <c r="O2064" s="156" t="inlineStr">
        <is>
          <t>Seasonal</t>
        </is>
      </c>
      <c r="P2064" s="156" t="inlineStr">
        <is>
          <t>Cafe</t>
        </is>
      </c>
      <c r="Q2064" s="156" t="n"/>
      <c r="R2064" s="156" t="n"/>
      <c r="S2064" s="156" t="inlineStr">
        <is>
          <t>Piel</t>
        </is>
      </c>
      <c r="T2064" s="156" t="inlineStr">
        <is>
          <t>Cartera Bi-Fold Stetson Café – Estilo Western con Toque Artesanal
 Diseñada para el hombre con espíritu vaquero y gusto por lo auténtico. Esta cartera bi-fold Stetson está fabricada en cuero genuino de primera calidad, con una elegante sobreposición repujada con diseño floral, cuerpo en piel texturizada tipo “pebble grain” y una llamativa cabeza de toro pintada a mano. El logotipo Stetson en relieve completa este diseño único que mezcla tradición, carácter y funcionalidad.
 • Tipo de producto: Cartera Chequera Bi-fold (plegable en dos partes)
 • Modelo: Bi-Fold
 • Color: Café
 • Material principal: Cuero de primera calidad (Top Grain Leather)
 • Diseño:
  - Sobreposición repujada con diseño floral
  - Cabeza de toro pintada a mano
  - Cuerpo en cuero texturizado tipo “pebble grain”
  - Logotipo Stetson en relieve
  - Género: Hombre
  - Estilo: Western, artesanal y rústico</t>
        </is>
      </c>
      <c r="U2064" s="156" t="n"/>
      <c r="V2064" s="156" t="inlineStr">
        <is>
          <t>PZS</t>
        </is>
      </c>
      <c r="W2064" s="51" t="inlineStr">
        <is>
          <t>53121700</t>
        </is>
      </c>
      <c r="X2064" s="156" t="inlineStr">
        <is>
          <t>https://cdn.shopify.com/s/files/1/0888/3250/8267/files/9805003-200_Brown_1.jpg?v=1761939641</t>
        </is>
      </c>
      <c r="Y2064" s="54" t="n">
        <v>775.862069</v>
      </c>
      <c r="Z2064" s="54" t="n">
        <v>1724.137931</v>
      </c>
      <c r="AA2064" s="55">
        <f>IF(AND(A2064="", B2064="", E2064=""), "", IF(AB2064="", "Válido", IF((LEN(AB2064)-LEN(SUBSTITUTE(AB2064,"; ","")))/2+1&gt;(LEN(AB2064)-LEN(SUBSTITUTE(AB2064,"[Aviso]","")))/7, "Con Incidencias", "Válido")))</f>
        <v/>
      </c>
      <c r="AB2064" s="56">
        <f>IF(AND(A2064="", B2064="", E2064=""), "", TEXTJOIN("; ", TRUE, IF(OR(TRIM(A2064&amp;"")="", ISNUMBER(SEARCH("FALTA", A2064))), "UPC faltante/inválido", ""), IF(AND(A2064&lt;&gt;"", IFERROR(_xlfn.XMATCH(A2064,$A$2:$A$2509,0,1)&lt;&gt;_xlfn.XMATCH(A2064,$A$2:$A$2509,0,-1),FALSE)), "Código de barras duplicado", ""), IF(AND(E2064&lt;&gt;"", COUNTIF($E$2:$E$2509, E2064)&gt;1), "SKU duplicado", ""), IF(OR(J2064="", J2064=""), "[Aviso] División no capturada ()", IF(ISNA(MATCH(J2064, Criterios!$A$123:$A$126, 0)), "División no válida", "")), IF(OR(K2064="", K2064=""), "[Aviso] Categoría no capturada ()", IF(ISNA(MATCH(K2064, Criterios!$A$81:$A$120, 0)), "Categoría no válida", IF(AND(J2064&lt;&gt;"", J2064&lt;&gt;"", J2064&lt;&gt;VLOOKUP(K2064, Criterios!$A$81:$B$120, 2, FALSE)), "División no coincide con Categoría", ""))), IF(OR(L2064="", L2064=""), "[Aviso] Género no capturado ()", IF(ISNA(MATCH(L2064, Criterios!$B$123:$B$127, 0)), "Género no válido", "")), IF(OR(N2064="", N2064=""), "[Aviso] Temporada no capturada ()", IF(ISNA(MATCH(N2064, Criterios!$C$123:$C$128, 0)), "Temporada no válida", "")), IF(OR(O2064="", O2064=""), "[Aviso] Ciclo de vida no capturado ()", IF(ISNA(MATCH(O2064, Criterios!$D$123:$D$124, 0)), "Ciclo de vida no válido", ""))))</f>
        <v/>
      </c>
      <c r="AC2064" s="56" t="n"/>
      <c r="AD2064" s="51" t="n">
        <v>2</v>
      </c>
      <c r="AE2064" s="156" t="inlineStr">
        <is>
          <t>WB OUTLET LERMA (2)</t>
        </is>
      </c>
      <c r="AF2064" s="51" t="n">
        <v>2</v>
      </c>
      <c r="AG2064" s="156" t="inlineStr">
        <is>
          <t>Catálogo existente</t>
        </is>
      </c>
      <c r="AH2064"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«Varios» — se conservó el valor de Productos</t>
        </is>
      </c>
      <c r="AI2064" s="156" t="inlineStr">
        <is>
          <t>No</t>
        </is>
      </c>
      <c r="AJ2064" s="156" t="n"/>
      <c r="AK2064" s="155" t="inlineStr">
        <is>
          <t>Criterios: I [Q] | Criterios: J [R]; G1522_Extraccion_Articulos_NetSuite_2026-09-30.xlsx: fila 57553 [S] | Shopify Stetson: producto 14695726252395 / variante 52006363005291 | Shopify WB: producto 10310237618361 / variante 50512089874617</t>
        </is>
      </c>
      <c r="AL2064" s="58" t="n">
        <v>775.862069</v>
      </c>
      <c r="AM2064" s="58" t="n">
        <v>1724.137931</v>
      </c>
      <c r="AN2064" s="155" t="inlineStr">
        <is>
          <t>Shopify Stetson México | Shopify Western Brothers</t>
        </is>
      </c>
      <c r="AO2064" s="59" t="n">
        <v>7</v>
      </c>
      <c r="AP2064" s="59" t="n">
        <v>2</v>
      </c>
      <c r="AQ2064" s="59" t="n"/>
      <c r="AR2064" s="155" t="inlineStr">
        <is>
          <t>Shopify Stetson México › Stetson Americas: 5 | Shopify Stetson México › Eventos: 2 | Shopify Western Brothers › Western Brothers Outlet Lerma: 2</t>
        </is>
      </c>
    </row>
    <row r="2065">
      <c r="A2065" s="50" t="inlineStr">
        <is>
          <t>724303724615</t>
        </is>
      </c>
      <c r="B2065" s="51" t="inlineStr">
        <is>
          <t>109739</t>
        </is>
      </c>
      <c r="C2065" s="156" t="inlineStr">
        <is>
          <t>Multimarca</t>
        </is>
      </c>
      <c r="D2065" s="156" t="inlineStr">
        <is>
          <t>9805004-200-NZ</t>
        </is>
      </c>
      <c r="E2065" s="156" t="inlineStr">
        <is>
          <t>9805004-200-NZ</t>
        </is>
      </c>
      <c r="F2065" s="156" t="inlineStr">
        <is>
          <t>Talla única</t>
        </is>
      </c>
      <c r="G2065" s="156" t="inlineStr">
        <is>
          <t>One Size</t>
        </is>
      </c>
      <c r="H2065" s="156" t="inlineStr">
        <is>
          <t>Stetson</t>
        </is>
      </c>
      <c r="I2065" s="156" t="inlineStr">
        <is>
          <t>Cartera Stetson Mag Money Clip</t>
        </is>
      </c>
      <c r="J2065" s="156" t="inlineStr">
        <is>
          <t>Accesorios</t>
        </is>
      </c>
      <c r="K2065" s="156" t="inlineStr">
        <is>
          <t>Carteras</t>
        </is>
      </c>
      <c r="L2065" s="156" t="inlineStr">
        <is>
          <t>Hombre</t>
        </is>
      </c>
      <c r="M2065" s="156" t="inlineStr">
        <is>
          <t>Stetson</t>
        </is>
      </c>
      <c r="N2065" s="156" t="inlineStr">
        <is>
          <t>SS26</t>
        </is>
      </c>
      <c r="O2065" s="156" t="inlineStr">
        <is>
          <t>Seasonal</t>
        </is>
      </c>
      <c r="P2065" s="156" t="inlineStr">
        <is>
          <t>Cafe</t>
        </is>
      </c>
      <c r="Q2065" s="156" t="n"/>
      <c r="R2065" s="156" t="n"/>
      <c r="S2065" s="156" t="inlineStr">
        <is>
          <t>Piel</t>
        </is>
      </c>
      <c r="T2065" s="156" t="inlineStr">
        <is>
          <t>Clip Magnético para Billetes Stetson Café – Estilo Western con Toque Artesanal
 Diseñada para el hombre con espíritu vaquero y gusto por lo auténtico. Este clip magnético Stetson está fabricada en cuero genuino de primera calidad, con una elegante sobreposición repujada con diseño floral, cuerpo en piel texturizada tipo “pebble grain” y una llamativa cabeza de toro pintada a mano. El logotipo Stetson en relieve completa este diseño único que mezcla tradición, carácter y funcionalidad.
 • Tipo de producto: Clip Magnético para Billetes
 • Modelo: Clip Magnético
 • Color: Café
 • Material principal: Cuero de primera calidad (Top Grain Leather)
 • Diseño:
  - Sobreposición repujada con diseño floral
  - Cabeza de toro pintada a mano
  - Cuerpo en cuero texturizado tipo “pebble grain”
  - Logotipo Stetson en relieve
  - Género: Hombre
  - Estilo: Western, artesanal y rústico</t>
        </is>
      </c>
      <c r="U2065" s="156" t="n"/>
      <c r="V2065" s="156" t="inlineStr">
        <is>
          <t>PZS</t>
        </is>
      </c>
      <c r="W2065" s="51" t="inlineStr">
        <is>
          <t>53121700</t>
        </is>
      </c>
      <c r="X2065" s="156" t="inlineStr">
        <is>
          <t>https://cdn.shopify.com/s/files/1/0888/3250/8267/files/9805004-200_Brown_1.jpg?v=1761939799</t>
        </is>
      </c>
      <c r="Y2065" s="54" t="n">
        <v>426.7241379</v>
      </c>
      <c r="Z2065" s="54" t="n">
        <v>948.2758621</v>
      </c>
      <c r="AA2065" s="55">
        <f>IF(AND(A2065="", B2065="", E2065=""), "", IF(AB2065="", "Válido", IF((LEN(AB2065)-LEN(SUBSTITUTE(AB2065,"; ","")))/2+1&gt;(LEN(AB2065)-LEN(SUBSTITUTE(AB2065,"[Aviso]","")))/7, "Con Incidencias", "Válido")))</f>
        <v/>
      </c>
      <c r="AB2065" s="56">
        <f>IF(AND(A2065="", B2065="", E2065=""), "", TEXTJOIN("; ", TRUE, IF(OR(TRIM(A2065&amp;"")="", ISNUMBER(SEARCH("FALTA", A2065))), "UPC faltante/inválido", ""), IF(AND(A2065&lt;&gt;"", IFERROR(_xlfn.XMATCH(A2065,$A$2:$A$2509,0,1)&lt;&gt;_xlfn.XMATCH(A2065,$A$2:$A$2509,0,-1),FALSE)), "Código de barras duplicado", ""), IF(AND(E2065&lt;&gt;"", COUNTIF($E$2:$E$2509, E2065)&gt;1), "SKU duplicado", ""), IF(OR(J2065="", J2065=""), "[Aviso] División no capturada ()", IF(ISNA(MATCH(J2065, Criterios!$A$123:$A$126, 0)), "División no válida", "")), IF(OR(K2065="", K2065=""), "[Aviso] Categoría no capturada ()", IF(ISNA(MATCH(K2065, Criterios!$A$81:$A$120, 0)), "Categoría no válida", IF(AND(J2065&lt;&gt;"", J2065&lt;&gt;"", J2065&lt;&gt;VLOOKUP(K2065, Criterios!$A$81:$B$120, 2, FALSE)), "División no coincide con Categoría", ""))), IF(OR(L2065="", L2065=""), "[Aviso] Género no capturado ()", IF(ISNA(MATCH(L2065, Criterios!$B$123:$B$127, 0)), "Género no válido", "")), IF(OR(N2065="", N2065=""), "[Aviso] Temporada no capturada ()", IF(ISNA(MATCH(N2065, Criterios!$C$123:$C$128, 0)), "Temporada no válida", "")), IF(OR(O2065="", O2065=""), "[Aviso] Ciclo de vida no capturado ()", IF(ISNA(MATCH(O2065, Criterios!$D$123:$D$124, 0)), "Ciclo de vida no válido", ""))))</f>
        <v/>
      </c>
      <c r="AC2065" s="56" t="n"/>
      <c r="AD2065" s="51" t="n">
        <v>-1</v>
      </c>
      <c r="AE2065" s="156" t="inlineStr">
        <is>
          <t>PUNTO DE VENTA (1)</t>
        </is>
      </c>
      <c r="AF2065" s="51" t="n">
        <v>1</v>
      </c>
      <c r="AG2065" s="156" t="inlineStr">
        <is>
          <t>Catálogo existente</t>
        </is>
      </c>
      <c r="AH2065" s="156" t="inlineStr">
        <is>
          <t>Stock negativo en sistema: revisar en conteo | Revisión 29/09/2026: Campos sin respaldo: U; Auditoría NetSuite 30/09/2026: llenado desde NetSuite [S] | 01/10/2026: complementado desde Shopify Stetson México (match por código de barras): WB Fit, WB Silueta</t>
        </is>
      </c>
      <c r="AI2065" s="156" t="inlineStr">
        <is>
          <t>Sí</t>
        </is>
      </c>
      <c r="AJ2065" s="156" t="inlineStr">
        <is>
          <t>STETSON AMERICAS (-2)</t>
        </is>
      </c>
      <c r="AK2065" s="155" t="inlineStr">
        <is>
          <t>Criterios: I [Q] | Criterios: J [R]; G1522_Extraccion_Articulos_NetSuite_2026-09-30.xlsx: fila 57554 [S] | Shopify Stetson: producto 14695727366507 / variante 52006371197291 | Shopify WB: producto 8579865903289 / variante 47802963493049</t>
        </is>
      </c>
      <c r="AL2065" s="58" t="n">
        <v>426.7241379</v>
      </c>
      <c r="AM2065" s="58" t="n">
        <v>948.2758621</v>
      </c>
      <c r="AN2065" s="155" t="inlineStr">
        <is>
          <t>Shopify Stetson México | Shopify Western Brothers</t>
        </is>
      </c>
      <c r="AO2065" s="59" t="n">
        <v>2</v>
      </c>
      <c r="AP2065" s="59" t="n">
        <v>0</v>
      </c>
      <c r="AQ2065" s="59" t="n"/>
      <c r="AR2065" s="155" t="inlineStr">
        <is>
          <t>Shopify Stetson México › Eventos: 2</t>
        </is>
      </c>
    </row>
    <row r="2066">
      <c r="A2066" s="50" t="inlineStr">
        <is>
          <t>724303724639</t>
        </is>
      </c>
      <c r="B2066" s="51" t="inlineStr">
        <is>
          <t>109751</t>
        </is>
      </c>
      <c r="C2066" s="156" t="inlineStr">
        <is>
          <t>Multimarca</t>
        </is>
      </c>
      <c r="D2066" s="156" t="inlineStr">
        <is>
          <t>9809001-200-NZ</t>
        </is>
      </c>
      <c r="E2066" s="156" t="inlineStr">
        <is>
          <t>9809001-200-NZ</t>
        </is>
      </c>
      <c r="F2066" s="156" t="inlineStr">
        <is>
          <t>Talla única</t>
        </is>
      </c>
      <c r="G2066" s="156" t="inlineStr">
        <is>
          <t>One Size</t>
        </is>
      </c>
      <c r="H2066" s="156" t="inlineStr">
        <is>
          <t>Stetson</t>
        </is>
      </c>
      <c r="I2066" s="156" t="inlineStr">
        <is>
          <t>Cartera Stetson Trifold</t>
        </is>
      </c>
      <c r="J2066" s="156" t="inlineStr">
        <is>
          <t>Accesorios</t>
        </is>
      </c>
      <c r="K2066" s="156" t="inlineStr">
        <is>
          <t>Carteras</t>
        </is>
      </c>
      <c r="L2066" s="156" t="inlineStr">
        <is>
          <t>Hombre</t>
        </is>
      </c>
      <c r="M2066" s="156" t="inlineStr">
        <is>
          <t>Stetson</t>
        </is>
      </c>
      <c r="N2066" s="156" t="inlineStr">
        <is>
          <t>SS26</t>
        </is>
      </c>
      <c r="O2066" s="156" t="inlineStr">
        <is>
          <t>Seasonal</t>
        </is>
      </c>
      <c r="P2066" s="156" t="n"/>
      <c r="Q2066" s="156" t="n"/>
      <c r="R2066" s="156" t="n"/>
      <c r="S2066" s="156" t="n"/>
      <c r="T2066" s="156" t="n"/>
      <c r="U2066" s="156" t="n"/>
      <c r="V2066" s="156" t="inlineStr">
        <is>
          <t>PZS</t>
        </is>
      </c>
      <c r="W2066" s="51" t="inlineStr">
        <is>
          <t>53121700</t>
        </is>
      </c>
      <c r="X2066" s="156" t="n"/>
      <c r="Y2066" s="54" t="n">
        <v>756.4655172</v>
      </c>
      <c r="Z2066" s="54" t="n">
        <v>1681.034483</v>
      </c>
      <c r="AA2066" s="55">
        <f>IF(AND(A2066="", B2066="", E2066=""), "", IF(AB2066="", "Válido", IF((LEN(AB2066)-LEN(SUBSTITUTE(AB2066,"; ","")))/2+1&gt;(LEN(AB2066)-LEN(SUBSTITUTE(AB2066,"[Aviso]","")))/7, "Con Incidencias", "Válido")))</f>
        <v/>
      </c>
      <c r="AB2066" s="56">
        <f>IF(AND(A2066="", B2066="", E2066=""), "", TEXTJOIN("; ", TRUE, IF(OR(TRIM(A2066&amp;"")="", ISNUMBER(SEARCH("FALTA", A2066))), "UPC faltante/inválido", ""), IF(AND(A2066&lt;&gt;"", IFERROR(_xlfn.XMATCH(A2066,$A$2:$A$2509,0,1)&lt;&gt;_xlfn.XMATCH(A2066,$A$2:$A$2509,0,-1),FALSE)), "Código de barras duplicado", ""), IF(AND(E2066&lt;&gt;"", COUNTIF($E$2:$E$2509, E2066)&gt;1), "SKU duplicado", ""), IF(OR(J2066="", J2066=""), "[Aviso] División no capturada ()", IF(ISNA(MATCH(J2066, Criterios!$A$123:$A$126, 0)), "División no válida", "")), IF(OR(K2066="", K2066=""), "[Aviso] Categoría no capturada ()", IF(ISNA(MATCH(K2066, Criterios!$A$81:$A$120, 0)), "Categoría no válida", IF(AND(J2066&lt;&gt;"", J2066&lt;&gt;"", J2066&lt;&gt;VLOOKUP(K2066, Criterios!$A$81:$B$120, 2, FALSE)), "División no coincide con Categoría", ""))), IF(OR(L2066="", L2066=""), "[Aviso] Género no capturado ()", IF(ISNA(MATCH(L2066, Criterios!$B$123:$B$127, 0)), "Género no válido", "")), IF(OR(N2066="", N2066=""), "[Aviso] Temporada no capturada ()", IF(ISNA(MATCH(N2066, Criterios!$C$123:$C$128, 0)), "Temporada no válida", "")), IF(OR(O2066="", O2066=""), "[Aviso] Ciclo de vida no capturado ()", IF(ISNA(MATCH(O2066, Criterios!$D$123:$D$124, 0)), "Ciclo de vida no válido", ""))))</f>
        <v/>
      </c>
      <c r="AC2066" s="56" t="n"/>
      <c r="AD2066" s="51" t="n">
        <v>0</v>
      </c>
      <c r="AE2066" s="156" t="inlineStr">
        <is>
          <t>PUNTO DE VENTA (1)</t>
        </is>
      </c>
      <c r="AF2066" s="51" t="n">
        <v>1</v>
      </c>
      <c r="AG2066" s="156" t="inlineStr">
        <is>
          <t>Catálogo existente</t>
        </is>
      </c>
      <c r="AH2066" s="156" t="inlineStr">
        <is>
          <t>Revisión 29/09/2026: Campos sin respaldo: P, S, U, X | 01/10/2026: complementado desde Shopify Stetson México (match por código de barras): WB Fit, WB Silueta</t>
        </is>
      </c>
      <c r="AI2066" s="156" t="inlineStr">
        <is>
          <t>Sí</t>
        </is>
      </c>
      <c r="AJ2066" s="156" t="inlineStr">
        <is>
          <t>STETSON AMERICAS (-1)</t>
        </is>
      </c>
      <c r="AK2066" s="155" t="inlineStr">
        <is>
          <t>Criterios: I [Q] | Criterios: J [R] | Descripción del registro fuente [T] | Shopify Stetson: producto 15069732766059 / variante 53413006541163</t>
        </is>
      </c>
      <c r="AL2066" s="58" t="n">
        <v>756.4655172</v>
      </c>
      <c r="AM2066" s="58" t="n">
        <v>1681.034483</v>
      </c>
      <c r="AN2066" s="155" t="inlineStr">
        <is>
          <t>Shopify Stetson México</t>
        </is>
      </c>
      <c r="AO2066" s="59" t="n">
        <v>20</v>
      </c>
      <c r="AP2066" s="59" t="n"/>
      <c r="AQ2066" s="59" t="n"/>
      <c r="AR2066" s="155" t="inlineStr">
        <is>
          <t>Shopify Stetson México › Stetson Americas: 18 | Shopify Stetson México › Eventos: 2</t>
        </is>
      </c>
    </row>
    <row r="2067">
      <c r="A2067" s="50" t="inlineStr">
        <is>
          <t>724303724646</t>
        </is>
      </c>
      <c r="B2067" s="51" t="inlineStr">
        <is>
          <t>109752</t>
        </is>
      </c>
      <c r="C2067" s="156" t="inlineStr">
        <is>
          <t>Multimarca</t>
        </is>
      </c>
      <c r="D2067" s="156" t="inlineStr">
        <is>
          <t>9809003-200-NZ</t>
        </is>
      </c>
      <c r="E2067" s="156" t="inlineStr">
        <is>
          <t>9809003-200-NZ</t>
        </is>
      </c>
      <c r="F2067" s="156" t="inlineStr">
        <is>
          <t>Talla única</t>
        </is>
      </c>
      <c r="G2067" s="156" t="inlineStr">
        <is>
          <t>One Size</t>
        </is>
      </c>
      <c r="H2067" s="156" t="inlineStr">
        <is>
          <t>Stetson</t>
        </is>
      </c>
      <c r="I2067" s="156" t="inlineStr">
        <is>
          <t>Cartera Stetson Checkbook</t>
        </is>
      </c>
      <c r="J2067" s="156" t="inlineStr">
        <is>
          <t>Accesorios</t>
        </is>
      </c>
      <c r="K2067" s="156" t="inlineStr">
        <is>
          <t>Carteras</t>
        </is>
      </c>
      <c r="L2067" s="156" t="inlineStr">
        <is>
          <t>Hombre</t>
        </is>
      </c>
      <c r="M2067" s="156" t="inlineStr">
        <is>
          <t>Stetson</t>
        </is>
      </c>
      <c r="N2067" s="156" t="inlineStr">
        <is>
          <t>SS26</t>
        </is>
      </c>
      <c r="O2067" s="156" t="inlineStr">
        <is>
          <t>Seasonal</t>
        </is>
      </c>
      <c r="P2067" s="156" t="inlineStr">
        <is>
          <t>Varios</t>
        </is>
      </c>
      <c r="Q2067" s="156" t="n"/>
      <c r="R2067" s="156" t="n"/>
      <c r="S2067" s="156" t="n"/>
      <c r="T2067" s="156" t="inlineStr">
        <is>
          <t>Producto Cartera Stetson Checkbook de la marca Stetson, ideal para uso diario. Fabricado con los mejores materiales para garantizar durabilidad y comodidad. Estilo western auténtico.</t>
        </is>
      </c>
      <c r="U2067" s="156" t="n"/>
      <c r="V2067" s="156" t="inlineStr">
        <is>
          <t>PZS</t>
        </is>
      </c>
      <c r="W2067" s="51" t="inlineStr">
        <is>
          <t>53121700</t>
        </is>
      </c>
      <c r="X2067" s="156" t="inlineStr">
        <is>
          <t>https://cdn.shopify.com/s/files/1/0357/2432/9005/files/9809003-200_Brown_1.jpg?v=1713387617</t>
        </is>
      </c>
      <c r="Y2067" s="54" t="n">
        <v>892.2413792999999</v>
      </c>
      <c r="Z2067" s="54" t="n">
        <v>1982.758621</v>
      </c>
      <c r="AA2067" s="55">
        <f>IF(AND(A2067="", B2067="", E2067=""), "", IF(AB2067="", "Válido", IF((LEN(AB2067)-LEN(SUBSTITUTE(AB2067,"; ","")))/2+1&gt;(LEN(AB2067)-LEN(SUBSTITUTE(AB2067,"[Aviso]","")))/7, "Con Incidencias", "Válido")))</f>
        <v/>
      </c>
      <c r="AB2067" s="56">
        <f>IF(AND(A2067="", B2067="", E2067=""), "", TEXTJOIN("; ", TRUE, IF(OR(TRIM(A2067&amp;"")="", ISNUMBER(SEARCH("FALTA", A2067))), "UPC faltante/inválido", ""), IF(AND(A2067&lt;&gt;"", IFERROR(_xlfn.XMATCH(A2067,$A$2:$A$2509,0,1)&lt;&gt;_xlfn.XMATCH(A2067,$A$2:$A$2509,0,-1),FALSE)), "Código de barras duplicado", ""), IF(AND(E2067&lt;&gt;"", COUNTIF($E$2:$E$2509, E2067)&gt;1), "SKU duplicado", ""), IF(OR(J2067="", J2067=""), "[Aviso] División no capturada ()", IF(ISNA(MATCH(J2067, Criterios!$A$123:$A$126, 0)), "División no válida", "")), IF(OR(K2067="", K2067=""), "[Aviso] Categoría no capturada ()", IF(ISNA(MATCH(K2067, Criterios!$A$81:$A$120, 0)), "Categoría no válida", IF(AND(J2067&lt;&gt;"", J2067&lt;&gt;"", J2067&lt;&gt;VLOOKUP(K2067, Criterios!$A$81:$B$120, 2, FALSE)), "División no coincide con Categoría", ""))), IF(OR(L2067="", L2067=""), "[Aviso] Género no capturado ()", IF(ISNA(MATCH(L2067, Criterios!$B$123:$B$127, 0)), "Género no válido", "")), IF(OR(N2067="", N2067=""), "[Aviso] Temporada no capturada ()", IF(ISNA(MATCH(N2067, Criterios!$C$123:$C$128, 0)), "Temporada no válida", "")), IF(OR(O2067="", O2067=""), "[Aviso] Ciclo de vida no capturado ()", IF(ISNA(MATCH(O2067, Criterios!$D$123:$D$124, 0)), "Ciclo de vida no válido", ""))))</f>
        <v/>
      </c>
      <c r="AC2067" s="56" t="n"/>
      <c r="AD2067" s="51" t="n">
        <v>4</v>
      </c>
      <c r="AE2067" s="156" t="inlineStr">
        <is>
          <t>WB OUTLET LERMA (4)</t>
        </is>
      </c>
      <c r="AF2067" s="51" t="n">
        <v>4</v>
      </c>
      <c r="AG2067" s="156" t="inlineStr">
        <is>
          <t>Catálogo existente</t>
        </is>
      </c>
      <c r="AH2067"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 Homologación G1522 06/10/2026: Enlace de imagen: «» → «https://cdn.shopify.com/s/files/1/0357/2432/9005/files/9809003-200_Brown_1.jpg?v=1713387617» (Completado por investigación en línea)</t>
        </is>
      </c>
      <c r="AI2067" s="156" t="inlineStr">
        <is>
          <t>No</t>
        </is>
      </c>
      <c r="AJ2067" s="156" t="n"/>
      <c r="AK2067" s="155" t="inlineStr">
        <is>
          <t>Criterios: I [Q] | Criterios: J [R] | Descripción del registro fuente [T] | Shopify Stetson: producto 15069732929899 / variante 53413006672235 | Shopify WB: producto 10310237651129 / variante 50512089907385 | Investigación en línea 06/10/2026: https://www.stetson.com/products/hand-tooled-checkbook-wallet-brown</t>
        </is>
      </c>
      <c r="AL2067" s="58" t="n">
        <v>892.2413792999999</v>
      </c>
      <c r="AM2067" s="58" t="n">
        <v>1982.758621</v>
      </c>
      <c r="AN2067" s="155" t="inlineStr">
        <is>
          <t>Shopify Stetson México | Shopify Western Brothers</t>
        </is>
      </c>
      <c r="AO2067" s="59" t="n">
        <v>7</v>
      </c>
      <c r="AP2067" s="59" t="n">
        <v>4</v>
      </c>
      <c r="AQ2067" s="59" t="n"/>
      <c r="AR2067" s="155" t="inlineStr">
        <is>
          <t>Shopify Stetson México › Stetson Americas: 5 | Shopify Stetson México › Eventos: 2 | Shopify Western Brothers › Western Brothers Outlet Lerma: 4</t>
        </is>
      </c>
    </row>
    <row r="2068">
      <c r="A2068" s="50" t="inlineStr">
        <is>
          <t>724303724738</t>
        </is>
      </c>
      <c r="B2068" s="51" t="inlineStr">
        <is>
          <t>109732</t>
        </is>
      </c>
      <c r="C2068" s="156" t="inlineStr">
        <is>
          <t>Multimarca</t>
        </is>
      </c>
      <c r="D2068" s="156" t="inlineStr">
        <is>
          <t>9803004-255-NZ</t>
        </is>
      </c>
      <c r="E2068" s="156" t="inlineStr">
        <is>
          <t>9803004-255-NZ</t>
        </is>
      </c>
      <c r="F2068" s="156" t="inlineStr">
        <is>
          <t>Talla única</t>
        </is>
      </c>
      <c r="G2068" s="156" t="inlineStr">
        <is>
          <t>One Size</t>
        </is>
      </c>
      <c r="H2068" s="156" t="inlineStr">
        <is>
          <t>Stetson</t>
        </is>
      </c>
      <c r="I2068" s="156" t="inlineStr">
        <is>
          <t>Cartera Stetson Mag Money Clip</t>
        </is>
      </c>
      <c r="J2068" s="156" t="inlineStr">
        <is>
          <t>Accesorios</t>
        </is>
      </c>
      <c r="K2068" s="156" t="inlineStr">
        <is>
          <t>Carteras</t>
        </is>
      </c>
      <c r="L2068" s="156" t="inlineStr">
        <is>
          <t>Hombre</t>
        </is>
      </c>
      <c r="M2068" s="156" t="inlineStr">
        <is>
          <t>Stetson</t>
        </is>
      </c>
      <c r="N2068" s="156" t="inlineStr">
        <is>
          <t>SS26</t>
        </is>
      </c>
      <c r="O2068" s="156" t="inlineStr">
        <is>
          <t>Seasonal</t>
        </is>
      </c>
      <c r="P2068" s="156" t="inlineStr">
        <is>
          <t>Cafe</t>
        </is>
      </c>
      <c r="Q2068" s="156" t="n"/>
      <c r="R2068" s="156" t="n"/>
      <c r="S2068" s="156" t="inlineStr">
        <is>
          <t>Piel</t>
        </is>
      </c>
      <c r="T2068" s="156" t="inlineStr">
        <is>
          <t>Clip Magnético para Billetes Stetson – Diseño Artesanal en Cuero Genuino
 Dale un toque de distinción a tu día a día con este elegante clip magnético para billetes Stetson. Fabricado en cuero de primera calidad, presenta una exclusiva sobreposición de piel repujada a mano, cuerpo con textura tipo cocodrilo y finas costuras tonales. El logotipo Stetson, en relieve y pintado a mano, reafirma su carácter artesanal y auténtico. Compacto, funcional y con un estilo único que refleja buen gusto.
 • Tipo de producto: Clip magnético para billetes
 • Modelo: Mag Money Clip
 • Color: Marrón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68" s="156" t="n"/>
      <c r="V2068" s="156" t="inlineStr">
        <is>
          <t>PZS</t>
        </is>
      </c>
      <c r="W2068" s="51" t="inlineStr">
        <is>
          <t>53121700</t>
        </is>
      </c>
      <c r="X2068" s="156" t="inlineStr">
        <is>
          <t>https://cdn.shopify.com/s/files/1/0888/3250/8267/files/9803004-255-01.jpg?v=1761935971</t>
        </is>
      </c>
      <c r="Y2068" s="54" t="n">
        <v>407.3275862</v>
      </c>
      <c r="Z2068" s="54" t="n">
        <v>905.1724138</v>
      </c>
      <c r="AA2068" s="55">
        <f>IF(AND(A2068="", B2068="", E2068=""), "", IF(AB2068="", "Válido", IF((LEN(AB2068)-LEN(SUBSTITUTE(AB2068,"; ","")))/2+1&gt;(LEN(AB2068)-LEN(SUBSTITUTE(AB2068,"[Aviso]","")))/7, "Con Incidencias", "Válido")))</f>
        <v/>
      </c>
      <c r="AB2068" s="56">
        <f>IF(AND(A2068="", B2068="", E2068=""), "", TEXTJOIN("; ", TRUE, IF(OR(TRIM(A2068&amp;"")="", ISNUMBER(SEARCH("FALTA", A2068))), "UPC faltante/inválido", ""), IF(AND(A2068&lt;&gt;"", IFERROR(_xlfn.XMATCH(A2068,$A$2:$A$2509,0,1)&lt;&gt;_xlfn.XMATCH(A2068,$A$2:$A$2509,0,-1),FALSE)), "Código de barras duplicado", ""), IF(AND(E2068&lt;&gt;"", COUNTIF($E$2:$E$2509, E2068)&gt;1), "SKU duplicado", ""), IF(OR(J2068="", J2068=""), "[Aviso] División no capturada ()", IF(ISNA(MATCH(J2068, Criterios!$A$123:$A$126, 0)), "División no válida", "")), IF(OR(K2068="", K2068=""), "[Aviso] Categoría no capturada ()", IF(ISNA(MATCH(K2068, Criterios!$A$81:$A$120, 0)), "Categoría no válida", IF(AND(J2068&lt;&gt;"", J2068&lt;&gt;"", J2068&lt;&gt;VLOOKUP(K2068, Criterios!$A$81:$B$120, 2, FALSE)), "División no coincide con Categoría", ""))), IF(OR(L2068="", L2068=""), "[Aviso] Género no capturado ()", IF(ISNA(MATCH(L2068, Criterios!$B$123:$B$127, 0)), "Género no válido", "")), IF(OR(N2068="", N2068=""), "[Aviso] Temporada no capturada ()", IF(ISNA(MATCH(N2068, Criterios!$C$123:$C$128, 0)), "Temporada no válida", "")), IF(OR(O2068="", O2068=""), "[Aviso] Ciclo de vida no capturado ()", IF(ISNA(MATCH(O2068, Criterios!$D$123:$D$124, 0)), "Ciclo de vida no válido", ""))))</f>
        <v/>
      </c>
      <c r="AC2068" s="56" t="n"/>
      <c r="AD2068" s="51" t="n">
        <v>-1</v>
      </c>
      <c r="AE2068" s="156" t="inlineStr">
        <is>
          <t>WB OUTLET LERMA (1)</t>
        </is>
      </c>
      <c r="AF2068" s="51" t="n">
        <v>1</v>
      </c>
      <c r="AG2068" s="156" t="inlineStr">
        <is>
          <t>Catálogo existente</t>
        </is>
      </c>
      <c r="AH2068" s="156" t="inlineStr">
        <is>
          <t>Stock negativo en sistema: revisar en conteo | Revisión 29/09/2026: Campos sin respaldo: U; Auditoría NetSuite 30/09/2026: llenado desde NetSuite [S] | 01/10/2026: complementado desde Shopify Stetson México (match por código de barras): WB Fit, WB Silueta</t>
        </is>
      </c>
      <c r="AI2068" s="156" t="inlineStr">
        <is>
          <t>Sí</t>
        </is>
      </c>
      <c r="AJ2068" s="156" t="inlineStr">
        <is>
          <t>STETSON AMERICAS (-2)</t>
        </is>
      </c>
      <c r="AK2068" s="155" t="inlineStr">
        <is>
          <t>Criterios: I [Q] | Criterios: J [R]; G1522_Extraccion_Articulos_NetSuite_2026-09-30.xlsx: fila 57547 [S] | Shopify Stetson: producto 14695709147499 / variante 52005907857771 | Shopify WB: producto 8579865772217 / variante 47802962870457</t>
        </is>
      </c>
      <c r="AL2068" s="58" t="n">
        <v>407.3275862</v>
      </c>
      <c r="AM2068" s="58" t="n">
        <v>905.1724138</v>
      </c>
      <c r="AN2068" s="155" t="inlineStr">
        <is>
          <t>Shopify Stetson México | Shopify Western Brothers</t>
        </is>
      </c>
      <c r="AO2068" s="59" t="n">
        <v>0</v>
      </c>
      <c r="AP2068" s="59" t="n">
        <v>1</v>
      </c>
      <c r="AQ2068" s="59" t="n"/>
      <c r="AR2068" s="155" t="inlineStr">
        <is>
          <t>Shopify Western Brothers › Western Brothers Outlet Lerma: 1</t>
        </is>
      </c>
    </row>
    <row r="2069">
      <c r="A2069" s="50" t="inlineStr">
        <is>
          <t>724303724844</t>
        </is>
      </c>
      <c r="B2069" s="51" t="inlineStr">
        <is>
          <t>109743</t>
        </is>
      </c>
      <c r="C2069" s="156" t="inlineStr">
        <is>
          <t>Multimarca</t>
        </is>
      </c>
      <c r="D2069" s="156" t="inlineStr">
        <is>
          <t>9807001-14-NZ</t>
        </is>
      </c>
      <c r="E2069" s="156" t="inlineStr">
        <is>
          <t>9807001-14-NZ</t>
        </is>
      </c>
      <c r="F2069" s="156" t="inlineStr">
        <is>
          <t>Talla única</t>
        </is>
      </c>
      <c r="G2069" s="156" t="inlineStr">
        <is>
          <t>One Size</t>
        </is>
      </c>
      <c r="H2069" s="156" t="inlineStr">
        <is>
          <t>Stetson</t>
        </is>
      </c>
      <c r="I2069" s="156" t="inlineStr">
        <is>
          <t>Cartera Stetson Trifold</t>
        </is>
      </c>
      <c r="J2069" s="156" t="inlineStr">
        <is>
          <t>Accesorios</t>
        </is>
      </c>
      <c r="K2069" s="156" t="inlineStr">
        <is>
          <t>Carteras</t>
        </is>
      </c>
      <c r="L2069" s="156" t="inlineStr">
        <is>
          <t>Hombre</t>
        </is>
      </c>
      <c r="M2069" s="156" t="inlineStr">
        <is>
          <t>Stetson</t>
        </is>
      </c>
      <c r="N2069" s="156" t="inlineStr">
        <is>
          <t>SS26</t>
        </is>
      </c>
      <c r="O2069" s="156" t="inlineStr">
        <is>
          <t>Seasonal</t>
        </is>
      </c>
      <c r="P2069" s="156" t="n"/>
      <c r="Q2069" s="156" t="n"/>
      <c r="R2069" s="156" t="n"/>
      <c r="S2069" s="156" t="n"/>
      <c r="T2069" s="156" t="n"/>
      <c r="U2069" s="156" t="n"/>
      <c r="V2069" s="156" t="inlineStr">
        <is>
          <t>PZS</t>
        </is>
      </c>
      <c r="W2069" s="51" t="inlineStr">
        <is>
          <t>53121700</t>
        </is>
      </c>
      <c r="X2069" s="156" t="n"/>
      <c r="Y2069" s="54" t="n">
        <v>2211.206897</v>
      </c>
      <c r="Z2069" s="54" t="n">
        <v>4913.793103</v>
      </c>
      <c r="AA2069" s="55">
        <f>IF(AND(A2069="", B2069="", E2069=""), "", IF(AB2069="", "Válido", IF((LEN(AB2069)-LEN(SUBSTITUTE(AB2069,"; ","")))/2+1&gt;(LEN(AB2069)-LEN(SUBSTITUTE(AB2069,"[Aviso]","")))/7, "Con Incidencias", "Válido")))</f>
        <v/>
      </c>
      <c r="AB2069" s="56">
        <f>IF(AND(A2069="", B2069="", E2069=""), "", TEXTJOIN("; ", TRUE, IF(OR(TRIM(A2069&amp;"")="", ISNUMBER(SEARCH("FALTA", A2069))), "UPC faltante/inválido", ""), IF(AND(A2069&lt;&gt;"", IFERROR(_xlfn.XMATCH(A2069,$A$2:$A$2509,0,1)&lt;&gt;_xlfn.XMATCH(A2069,$A$2:$A$2509,0,-1),FALSE)), "Código de barras duplicado", ""), IF(AND(E2069&lt;&gt;"", COUNTIF($E$2:$E$2509, E2069)&gt;1), "SKU duplicado", ""), IF(OR(J2069="", J2069=""), "[Aviso] División no capturada ()", IF(ISNA(MATCH(J2069, Criterios!$A$123:$A$126, 0)), "División no válida", "")), IF(OR(K2069="", K2069=""), "[Aviso] Categoría no capturada ()", IF(ISNA(MATCH(K2069, Criterios!$A$81:$A$120, 0)), "Categoría no válida", IF(AND(J2069&lt;&gt;"", J2069&lt;&gt;"", J2069&lt;&gt;VLOOKUP(K2069, Criterios!$A$81:$B$120, 2, FALSE)), "División no coincide con Categoría", ""))), IF(OR(L2069="", L2069=""), "[Aviso] Género no capturado ()", IF(ISNA(MATCH(L2069, Criterios!$B$123:$B$127, 0)), "Género no válido", "")), IF(OR(N2069="", N2069=""), "[Aviso] Temporada no capturada ()", IF(ISNA(MATCH(N2069, Criterios!$C$123:$C$128, 0)), "Temporada no válida", "")), IF(OR(O2069="", O2069=""), "[Aviso] Ciclo de vida no capturado ()", IF(ISNA(MATCH(O2069, Criterios!$D$123:$D$124, 0)), "Ciclo de vida no válido", ""))))</f>
        <v/>
      </c>
      <c r="AC2069" s="56" t="n"/>
      <c r="AD2069" s="51" t="n">
        <v>3</v>
      </c>
      <c r="AE2069" s="156" t="inlineStr">
        <is>
          <t>B25 STETSON.MX (3)</t>
        </is>
      </c>
      <c r="AF2069" s="51" t="n">
        <v>3</v>
      </c>
      <c r="AG2069" s="156" t="inlineStr">
        <is>
          <t>Catálogo existente</t>
        </is>
      </c>
      <c r="AH2069" s="156" t="inlineStr">
        <is>
          <t>Revisión 29/09/2026: Campos sin respaldo: P, S, U, X | 01/10/2026: complementado desde Shopify Stetson México (match por código de barras): WB Fit, WB Silueta</t>
        </is>
      </c>
      <c r="AI2069" s="156" t="inlineStr">
        <is>
          <t>No</t>
        </is>
      </c>
      <c r="AJ2069" s="156" t="n"/>
      <c r="AK2069" s="155" t="inlineStr">
        <is>
          <t>Criterios: I [Q] | Criterios: J [R] | Descripción del registro fuente [T] | Shopify Stetson: producto 15069731946859 / variante 53413005525355</t>
        </is>
      </c>
      <c r="AL2069" s="58" t="n">
        <v>2211.206897</v>
      </c>
      <c r="AM2069" s="58" t="n">
        <v>4913.793103</v>
      </c>
      <c r="AN2069" s="155" t="inlineStr">
        <is>
          <t>Shopify Stetson México</t>
        </is>
      </c>
      <c r="AO2069" s="59" t="n">
        <v>8</v>
      </c>
      <c r="AP2069" s="59" t="n"/>
      <c r="AQ2069" s="59" t="n"/>
      <c r="AR2069" s="155" t="inlineStr">
        <is>
          <t>Shopify Stetson México › Stetson México: 3 | Shopify Stetson México › Stetson Americas: 5</t>
        </is>
      </c>
    </row>
    <row r="2070">
      <c r="A2070" s="50" t="inlineStr">
        <is>
          <t>724303724851</t>
        </is>
      </c>
      <c r="B2070" s="51" t="inlineStr">
        <is>
          <t>109744</t>
        </is>
      </c>
      <c r="C2070" s="156" t="inlineStr">
        <is>
          <t>Multimarca</t>
        </is>
      </c>
      <c r="D2070" s="156" t="inlineStr">
        <is>
          <t>9807001-232-NZ</t>
        </is>
      </c>
      <c r="E2070" s="156" t="inlineStr">
        <is>
          <t>9807001-232-NZ</t>
        </is>
      </c>
      <c r="F2070" s="156" t="inlineStr">
        <is>
          <t>Talla única</t>
        </is>
      </c>
      <c r="G2070" s="156" t="inlineStr">
        <is>
          <t>One Size</t>
        </is>
      </c>
      <c r="H2070" s="156" t="inlineStr">
        <is>
          <t>Stetson</t>
        </is>
      </c>
      <c r="I2070" s="156" t="inlineStr">
        <is>
          <t>Cartera Stetson Trifold</t>
        </is>
      </c>
      <c r="J2070" s="156" t="inlineStr">
        <is>
          <t>Accesorios</t>
        </is>
      </c>
      <c r="K2070" s="156" t="inlineStr">
        <is>
          <t>Carteras</t>
        </is>
      </c>
      <c r="L2070" s="156" t="inlineStr">
        <is>
          <t>Hombre</t>
        </is>
      </c>
      <c r="M2070" s="156" t="inlineStr">
        <is>
          <t>Stetson</t>
        </is>
      </c>
      <c r="N2070" s="156" t="inlineStr">
        <is>
          <t>SS26</t>
        </is>
      </c>
      <c r="O2070" s="156" t="inlineStr">
        <is>
          <t>Seasonal</t>
        </is>
      </c>
      <c r="P2070" s="156" t="inlineStr">
        <is>
          <t>Varios</t>
        </is>
      </c>
      <c r="Q2070" s="156" t="n"/>
      <c r="R2070" s="156" t="n"/>
      <c r="S2070" s="156" t="n"/>
      <c r="T2070" s="156" t="inlineStr">
        <is>
          <t>Producto Cartera Stetson Trifold de la marca Stetson, ideal para uso diario. Fabricado con los mejores materiales para garantizar durabilidad y comodidad. Estilo western auténtico.</t>
        </is>
      </c>
      <c r="U2070" s="156" t="n"/>
      <c r="V2070" s="156" t="inlineStr">
        <is>
          <t>PZS</t>
        </is>
      </c>
      <c r="W2070" s="51" t="inlineStr">
        <is>
          <t>53121700</t>
        </is>
      </c>
      <c r="X2070" s="156" t="n"/>
      <c r="Y2070" s="54" t="n">
        <v>2211.206897</v>
      </c>
      <c r="Z2070" s="54" t="n">
        <v>4913.793103</v>
      </c>
      <c r="AA2070" s="55">
        <f>IF(AND(A2070="", B2070="", E2070=""), "", IF(AB2070="", "Válido", IF((LEN(AB2070)-LEN(SUBSTITUTE(AB2070,"; ","")))/2+1&gt;(LEN(AB2070)-LEN(SUBSTITUTE(AB2070,"[Aviso]","")))/7, "Con Incidencias", "Válido")))</f>
        <v/>
      </c>
      <c r="AB2070" s="56">
        <f>IF(AND(A2070="", B2070="", E2070=""), "", TEXTJOIN("; ", TRUE, IF(OR(TRIM(A2070&amp;"")="", ISNUMBER(SEARCH("FALTA", A2070))), "UPC faltante/inválido", ""), IF(AND(A2070&lt;&gt;"", IFERROR(_xlfn.XMATCH(A2070,$A$2:$A$2509,0,1)&lt;&gt;_xlfn.XMATCH(A2070,$A$2:$A$2509,0,-1),FALSE)), "Código de barras duplicado", ""), IF(AND(E2070&lt;&gt;"", COUNTIF($E$2:$E$2509, E2070)&gt;1), "SKU duplicado", ""), IF(OR(J2070="", J2070=""), "[Aviso] División no capturada ()", IF(ISNA(MATCH(J2070, Criterios!$A$123:$A$126, 0)), "División no válida", "")), IF(OR(K2070="", K2070=""), "[Aviso] Categoría no capturada ()", IF(ISNA(MATCH(K2070, Criterios!$A$81:$A$120, 0)), "Categoría no válida", IF(AND(J2070&lt;&gt;"", J2070&lt;&gt;"", J2070&lt;&gt;VLOOKUP(K2070, Criterios!$A$81:$B$120, 2, FALSE)), "División no coincide con Categoría", ""))), IF(OR(L2070="", L2070=""), "[Aviso] Género no capturado ()", IF(ISNA(MATCH(L2070, Criterios!$B$123:$B$127, 0)), "Género no válido", "")), IF(OR(N2070="", N2070=""), "[Aviso] Temporada no capturada ()", IF(ISNA(MATCH(N2070, Criterios!$C$123:$C$128, 0)), "Temporada no válida", "")), IF(OR(O2070="", O2070=""), "[Aviso] Ciclo de vida no capturado ()", IF(ISNA(MATCH(O2070, Criterios!$D$123:$D$124, 0)), "Ciclo de vida no válido", ""))))</f>
        <v/>
      </c>
      <c r="AC2070" s="56" t="n"/>
      <c r="AD2070" s="51" t="n">
        <v>2</v>
      </c>
      <c r="AE2070" s="156" t="inlineStr">
        <is>
          <t>WB OUTLET LERMA (2)</t>
        </is>
      </c>
      <c r="AF2070" s="51" t="n">
        <v>2</v>
      </c>
      <c r="AG2070" s="156" t="inlineStr">
        <is>
          <t>Catálogo existente</t>
        </is>
      </c>
      <c r="AH2070"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t>
        </is>
      </c>
      <c r="AI2070" s="156" t="inlineStr">
        <is>
          <t>No</t>
        </is>
      </c>
      <c r="AJ2070" s="156" t="n"/>
      <c r="AK2070" s="155" t="inlineStr">
        <is>
          <t>Criterios: I [Q] | Criterios: J [R] | Descripción del registro fuente [T] | Shopify Stetson: producto 15069731979627 / variante 53413005558123 | Shopify WB: producto 10310238568633 / variante 50512091414713</t>
        </is>
      </c>
      <c r="AL2070" s="58" t="n">
        <v>2211.206897</v>
      </c>
      <c r="AM2070" s="58" t="n">
        <v>4913.793103</v>
      </c>
      <c r="AN2070" s="155" t="inlineStr">
        <is>
          <t>Shopify Stetson México | Shopify Western Brothers</t>
        </is>
      </c>
      <c r="AO2070" s="59" t="n">
        <v>5</v>
      </c>
      <c r="AP2070" s="59" t="n">
        <v>2</v>
      </c>
      <c r="AQ2070" s="59" t="n"/>
      <c r="AR2070" s="155" t="inlineStr">
        <is>
          <t>Shopify Stetson México › Stetson Americas: 5 | Shopify Western Brothers › Western Brothers Outlet Lerma: 2</t>
        </is>
      </c>
    </row>
    <row r="2071">
      <c r="A2071" s="50" t="inlineStr">
        <is>
          <t>724303724868</t>
        </is>
      </c>
      <c r="B2071" s="51" t="inlineStr">
        <is>
          <t>109745</t>
        </is>
      </c>
      <c r="C2071" s="156" t="inlineStr">
        <is>
          <t>Multimarca</t>
        </is>
      </c>
      <c r="D2071" s="156" t="inlineStr">
        <is>
          <t>9807002-14-NZ</t>
        </is>
      </c>
      <c r="E2071" s="156" t="inlineStr">
        <is>
          <t>9807002-14-NZ</t>
        </is>
      </c>
      <c r="F2071" s="156" t="inlineStr">
        <is>
          <t>Talla única</t>
        </is>
      </c>
      <c r="G2071" s="156" t="inlineStr">
        <is>
          <t>One Size</t>
        </is>
      </c>
      <c r="H2071" s="156" t="inlineStr">
        <is>
          <t>Stetson</t>
        </is>
      </c>
      <c r="I2071" s="156" t="inlineStr">
        <is>
          <t>Cartera Stetson Bifold</t>
        </is>
      </c>
      <c r="J2071" s="156" t="inlineStr">
        <is>
          <t>Accesorios</t>
        </is>
      </c>
      <c r="K2071" s="156" t="inlineStr">
        <is>
          <t>Carteras</t>
        </is>
      </c>
      <c r="L2071" s="156" t="inlineStr">
        <is>
          <t>Hombre</t>
        </is>
      </c>
      <c r="M2071" s="156" t="inlineStr">
        <is>
          <t>Stetson</t>
        </is>
      </c>
      <c r="N2071" s="156" t="inlineStr">
        <is>
          <t>SS26</t>
        </is>
      </c>
      <c r="O2071" s="156" t="inlineStr">
        <is>
          <t>Seasonal</t>
        </is>
      </c>
      <c r="P2071" s="156" t="n"/>
      <c r="Q2071" s="156" t="n"/>
      <c r="R2071" s="156" t="n"/>
      <c r="S2071" s="156" t="n"/>
      <c r="T2071" s="156" t="inlineStr">
        <is>
          <t>Cartera Stetson Bifold.</t>
        </is>
      </c>
      <c r="U2071" s="156" t="n"/>
      <c r="V2071" s="156" t="inlineStr">
        <is>
          <t>PZS</t>
        </is>
      </c>
      <c r="W2071" s="51" t="inlineStr">
        <is>
          <t>53121700</t>
        </is>
      </c>
      <c r="X2071" s="156" t="n"/>
      <c r="Y2071" s="54" t="n">
        <v>2211.206897</v>
      </c>
      <c r="Z2071" s="54" t="n">
        <v>4913.793103</v>
      </c>
      <c r="AA2071" s="55">
        <f>IF(AND(A2071="", B2071="", E2071=""), "", IF(AB2071="", "Válido", IF((LEN(AB2071)-LEN(SUBSTITUTE(AB2071,"; ","")))/2+1&gt;(LEN(AB2071)-LEN(SUBSTITUTE(AB2071,"[Aviso]","")))/7, "Con Incidencias", "Válido")))</f>
        <v/>
      </c>
      <c r="AB2071" s="56">
        <f>IF(AND(A2071="", B2071="", E2071=""), "", TEXTJOIN("; ", TRUE, IF(OR(TRIM(A2071&amp;"")="", ISNUMBER(SEARCH("FALTA", A2071))), "UPC faltante/inválido", ""), IF(AND(A2071&lt;&gt;"", IFERROR(_xlfn.XMATCH(A2071,$A$2:$A$2509,0,1)&lt;&gt;_xlfn.XMATCH(A2071,$A$2:$A$2509,0,-1),FALSE)), "Código de barras duplicado", ""), IF(AND(E2071&lt;&gt;"", COUNTIF($E$2:$E$2509, E2071)&gt;1), "SKU duplicado", ""), IF(OR(J2071="", J2071=""), "[Aviso] División no capturada ()", IF(ISNA(MATCH(J2071, Criterios!$A$123:$A$126, 0)), "División no válida", "")), IF(OR(K2071="", K2071=""), "[Aviso] Categoría no capturada ()", IF(ISNA(MATCH(K2071, Criterios!$A$81:$A$120, 0)), "Categoría no válida", IF(AND(J2071&lt;&gt;"", J2071&lt;&gt;"", J2071&lt;&gt;VLOOKUP(K2071, Criterios!$A$81:$B$120, 2, FALSE)), "División no coincide con Categoría", ""))), IF(OR(L2071="", L2071=""), "[Aviso] Género no capturado ()", IF(ISNA(MATCH(L2071, Criterios!$B$123:$B$127, 0)), "Género no válido", "")), IF(OR(N2071="", N2071=""), "[Aviso] Temporada no capturada ()", IF(ISNA(MATCH(N2071, Criterios!$C$123:$C$128, 0)), "Temporada no válida", "")), IF(OR(O2071="", O2071=""), "[Aviso] Ciclo de vida no capturado ()", IF(ISNA(MATCH(O2071, Criterios!$D$123:$D$124, 0)), "Ciclo de vida no válido", ""))))</f>
        <v/>
      </c>
      <c r="AC2071" s="56" t="n"/>
      <c r="AD2071" s="51" t="n">
        <v>3</v>
      </c>
      <c r="AE2071" s="156" t="inlineStr">
        <is>
          <t>B25 STETSON.MX (3)</t>
        </is>
      </c>
      <c r="AF2071" s="51" t="n">
        <v>3</v>
      </c>
      <c r="AG2071" s="156" t="inlineStr">
        <is>
          <t>Catálogo existente</t>
        </is>
      </c>
      <c r="AH2071" s="156" t="inlineStr">
        <is>
          <t>Revisión 29/09/2026: Campos sin respaldo: P, S, U, X | 01/10/2026: complementado desde Shopify Stetson México (match por código de barras): WB Fit, WB Silueta</t>
        </is>
      </c>
      <c r="AI2071" s="156" t="inlineStr">
        <is>
          <t>No</t>
        </is>
      </c>
      <c r="AJ2071" s="156" t="n"/>
      <c r="AK2071" s="155" t="inlineStr">
        <is>
          <t>Criterios: I [Q] | Criterios: J [R] | Shopify Stetson: producto 15056328786283 / variante 53357911343467</t>
        </is>
      </c>
      <c r="AL2071" s="58" t="n">
        <v>2211.206897</v>
      </c>
      <c r="AM2071" s="58" t="n">
        <v>4913.793103</v>
      </c>
      <c r="AN2071" s="155" t="inlineStr">
        <is>
          <t>Shopify Stetson México</t>
        </is>
      </c>
      <c r="AO2071" s="59" t="n">
        <v>7</v>
      </c>
      <c r="AP2071" s="59" t="n"/>
      <c r="AQ2071" s="59" t="n"/>
      <c r="AR2071" s="155" t="inlineStr">
        <is>
          <t>Shopify Stetson México › Stetson México: 3 | Shopify Stetson México › Stetson Americas: 4</t>
        </is>
      </c>
    </row>
    <row r="2072">
      <c r="A2072" s="50" t="inlineStr">
        <is>
          <t>724303724936</t>
        </is>
      </c>
      <c r="B2072" s="51" t="inlineStr">
        <is>
          <t>109795</t>
        </is>
      </c>
      <c r="C2072" s="156" t="inlineStr">
        <is>
          <t>Multimarca</t>
        </is>
      </c>
      <c r="D2072" s="156" t="inlineStr">
        <is>
          <t>9914500-625</t>
        </is>
      </c>
      <c r="E2072" s="156" t="inlineStr">
        <is>
          <t>9914500-625-36</t>
        </is>
      </c>
      <c r="F2072" s="156" t="inlineStr">
        <is>
          <t>36</t>
        </is>
      </c>
      <c r="G2072" s="156" t="inlineStr">
        <is>
          <t>36</t>
        </is>
      </c>
      <c r="H2072" s="156" t="inlineStr">
        <is>
          <t>Stetson</t>
        </is>
      </c>
      <c r="I2072" s="156" t="inlineStr">
        <is>
          <t>Cinturón Stetson Piel de Bisonte Repujado</t>
        </is>
      </c>
      <c r="J2072" s="156" t="inlineStr">
        <is>
          <t>Accesorios</t>
        </is>
      </c>
      <c r="K2072" s="156" t="inlineStr">
        <is>
          <t>Cinturones</t>
        </is>
      </c>
      <c r="L2072" s="156" t="inlineStr">
        <is>
          <t>Hombre</t>
        </is>
      </c>
      <c r="M2072" s="156" t="inlineStr">
        <is>
          <t>Stetson</t>
        </is>
      </c>
      <c r="N2072" s="156" t="inlineStr">
        <is>
          <t>SS26</t>
        </is>
      </c>
      <c r="O2072" s="156" t="inlineStr">
        <is>
          <t>Seasonal</t>
        </is>
      </c>
      <c r="P2072" s="156" t="inlineStr">
        <is>
          <t>Varios</t>
        </is>
      </c>
      <c r="Q2072" s="156" t="n"/>
      <c r="R2072" s="156" t="n"/>
      <c r="S2072" s="156" t="n"/>
      <c r="T2072"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2" s="156" t="n"/>
      <c r="V2072" s="156" t="inlineStr">
        <is>
          <t>PZS</t>
        </is>
      </c>
      <c r="W2072" s="51" t="inlineStr">
        <is>
          <t>53102501</t>
        </is>
      </c>
      <c r="X2072" s="156" t="inlineStr">
        <is>
          <t>https://cdn.shopify.com/s/files/1/0888/3250/8267/files/9914500-001-06.jpg?v=1761949269</t>
        </is>
      </c>
      <c r="Y2072" s="54" t="n">
        <v>931.0344828</v>
      </c>
      <c r="Z2072" s="54" t="n">
        <v>2068.965517</v>
      </c>
      <c r="AA2072" s="55">
        <f>IF(AND(A2072="", B2072="", E2072=""), "", IF(AB2072="", "Válido", IF((LEN(AB2072)-LEN(SUBSTITUTE(AB2072,"; ","")))/2+1&gt;(LEN(AB2072)-LEN(SUBSTITUTE(AB2072,"[Aviso]","")))/7, "Con Incidencias", "Válido")))</f>
        <v/>
      </c>
      <c r="AB2072" s="56">
        <f>IF(AND(A2072="", B2072="", E2072=""), "", TEXTJOIN("; ", TRUE, IF(OR(TRIM(A2072&amp;"")="", ISNUMBER(SEARCH("FALTA", A2072))), "UPC faltante/inválido", ""), IF(AND(A2072&lt;&gt;"", IFERROR(_xlfn.XMATCH(A2072,$A$2:$A$2509,0,1)&lt;&gt;_xlfn.XMATCH(A2072,$A$2:$A$2509,0,-1),FALSE)), "Código de barras duplicado", ""), IF(AND(E2072&lt;&gt;"", COUNTIF($E$2:$E$2509, E2072)&gt;1), "SKU duplicado", ""), IF(OR(J2072="", J2072=""), "[Aviso] División no capturada ()", IF(ISNA(MATCH(J2072, Criterios!$A$123:$A$126, 0)), "División no válida", "")), IF(OR(K2072="", K2072=""), "[Aviso] Categoría no capturada ()", IF(ISNA(MATCH(K2072, Criterios!$A$81:$A$120, 0)), "Categoría no válida", IF(AND(J2072&lt;&gt;"", J2072&lt;&gt;"", J2072&lt;&gt;VLOOKUP(K2072, Criterios!$A$81:$B$120, 2, FALSE)), "División no coincide con Categoría", ""))), IF(OR(L2072="", L2072=""), "[Aviso] Género no capturado ()", IF(ISNA(MATCH(L2072, Criterios!$B$123:$B$127, 0)), "Género no válido", "")), IF(OR(N2072="", N2072=""), "[Aviso] Temporada no capturada ()", IF(ISNA(MATCH(N2072, Criterios!$C$123:$C$128, 0)), "Temporada no válida", "")), IF(OR(O2072="", O2072=""), "[Aviso] Ciclo de vida no capturado ()", IF(ISNA(MATCH(O2072, Criterios!$D$123:$D$124, 0)), "Ciclo de vida no válido", ""))))</f>
        <v/>
      </c>
      <c r="AC2072" s="56" t="n"/>
      <c r="AD2072" s="51" t="n">
        <v>3</v>
      </c>
      <c r="AE2072" s="156" t="inlineStr">
        <is>
          <t>B25 STETSON.MX (3)</t>
        </is>
      </c>
      <c r="AF2072" s="51" t="n">
        <v>3</v>
      </c>
      <c r="AG2072" s="156" t="inlineStr">
        <is>
          <t>Catálogo existente</t>
        </is>
      </c>
      <c r="AH2072" s="156" t="inlineStr">
        <is>
          <t>Revisión 29/09/2026: Campos sin respaldo: P, S, U | 01/10/2026: complementado desde Shopify Stetson México (match por código de barras): WB Color, WB Fit, WB Silueta</t>
        </is>
      </c>
      <c r="AI2072" s="156" t="inlineStr">
        <is>
          <t>No</t>
        </is>
      </c>
      <c r="AJ2072" s="156" t="n"/>
      <c r="AK2072" s="155" t="inlineStr">
        <is>
          <t>Criterios: I [Q] | Criterios: J [R] | Shopify Stetson: producto 14811822752107 / variante 53350600900971</t>
        </is>
      </c>
      <c r="AL2072" s="58" t="n">
        <v>931.0344828</v>
      </c>
      <c r="AM2072" s="58" t="n">
        <v>2068.965517</v>
      </c>
      <c r="AN2072" s="155" t="inlineStr">
        <is>
          <t>Shopify Stetson México</t>
        </is>
      </c>
      <c r="AO2072" s="59" t="n">
        <v>3</v>
      </c>
      <c r="AP2072" s="59" t="n"/>
      <c r="AQ2072" s="59" t="n"/>
      <c r="AR2072" s="155" t="inlineStr">
        <is>
          <t>Shopify Stetson México › Stetson México: 3</t>
        </is>
      </c>
    </row>
    <row r="2073">
      <c r="A2073" s="50" t="inlineStr">
        <is>
          <t>724303724943</t>
        </is>
      </c>
      <c r="B2073" s="51" t="inlineStr">
        <is>
          <t>109796</t>
        </is>
      </c>
      <c r="C2073" s="156" t="inlineStr">
        <is>
          <t>Multimarca</t>
        </is>
      </c>
      <c r="D2073" s="156" t="inlineStr">
        <is>
          <t>9914500-625</t>
        </is>
      </c>
      <c r="E2073" s="156" t="inlineStr">
        <is>
          <t>9914500-625-38</t>
        </is>
      </c>
      <c r="F2073" s="156" t="inlineStr">
        <is>
          <t>38</t>
        </is>
      </c>
      <c r="G2073" s="156" t="inlineStr">
        <is>
          <t>38</t>
        </is>
      </c>
      <c r="H2073" s="156" t="inlineStr">
        <is>
          <t>Stetson</t>
        </is>
      </c>
      <c r="I2073" s="156" t="inlineStr">
        <is>
          <t>Cinturón Stetson Piel de Bisonte Repujado</t>
        </is>
      </c>
      <c r="J2073" s="156" t="inlineStr">
        <is>
          <t>Accesorios</t>
        </is>
      </c>
      <c r="K2073" s="156" t="inlineStr">
        <is>
          <t>Cinturones</t>
        </is>
      </c>
      <c r="L2073" s="156" t="inlineStr">
        <is>
          <t>Hombre</t>
        </is>
      </c>
      <c r="M2073" s="156" t="inlineStr">
        <is>
          <t>Stetson</t>
        </is>
      </c>
      <c r="N2073" s="156" t="inlineStr">
        <is>
          <t>SS26</t>
        </is>
      </c>
      <c r="O2073" s="156" t="inlineStr">
        <is>
          <t>Seasonal</t>
        </is>
      </c>
      <c r="P2073" s="156" t="inlineStr">
        <is>
          <t>Varios</t>
        </is>
      </c>
      <c r="Q2073" s="156" t="n"/>
      <c r="R2073" s="156" t="n"/>
      <c r="S2073" s="156" t="n"/>
      <c r="T207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3" s="156" t="n"/>
      <c r="V2073" s="156" t="inlineStr">
        <is>
          <t>PZS</t>
        </is>
      </c>
      <c r="W2073" s="51" t="inlineStr">
        <is>
          <t>53102501</t>
        </is>
      </c>
      <c r="X2073" s="156" t="inlineStr">
        <is>
          <t>https://cdn.shopify.com/s/files/1/0888/3250/8267/files/9914500-625-01.jpg?v=1761949281</t>
        </is>
      </c>
      <c r="Y2073" s="54" t="n">
        <v>931.0344828</v>
      </c>
      <c r="Z2073" s="54" t="n">
        <v>2068.965517</v>
      </c>
      <c r="AA2073" s="55">
        <f>IF(AND(A2073="", B2073="", E2073=""), "", IF(AB2073="", "Válido", IF((LEN(AB2073)-LEN(SUBSTITUTE(AB2073,"; ","")))/2+1&gt;(LEN(AB2073)-LEN(SUBSTITUTE(AB2073,"[Aviso]","")))/7, "Con Incidencias", "Válido")))</f>
        <v/>
      </c>
      <c r="AB2073" s="56">
        <f>IF(AND(A2073="", B2073="", E2073=""), "", TEXTJOIN("; ", TRUE, IF(OR(TRIM(A2073&amp;"")="", ISNUMBER(SEARCH("FALTA", A2073))), "UPC faltante/inválido", ""), IF(AND(A2073&lt;&gt;"", IFERROR(_xlfn.XMATCH(A2073,$A$2:$A$2509,0,1)&lt;&gt;_xlfn.XMATCH(A2073,$A$2:$A$2509,0,-1),FALSE)), "Código de barras duplicado", ""), IF(AND(E2073&lt;&gt;"", COUNTIF($E$2:$E$2509, E2073)&gt;1), "SKU duplicado", ""), IF(OR(J2073="", J2073=""), "[Aviso] División no capturada ()", IF(ISNA(MATCH(J2073, Criterios!$A$123:$A$126, 0)), "División no válida", "")), IF(OR(K2073="", K2073=""), "[Aviso] Categoría no capturada ()", IF(ISNA(MATCH(K2073, Criterios!$A$81:$A$120, 0)), "Categoría no válida", IF(AND(J2073&lt;&gt;"", J2073&lt;&gt;"", J2073&lt;&gt;VLOOKUP(K2073, Criterios!$A$81:$B$120, 2, FALSE)), "División no coincide con Categoría", ""))), IF(OR(L2073="", L2073=""), "[Aviso] Género no capturado ()", IF(ISNA(MATCH(L2073, Criterios!$B$123:$B$127, 0)), "Género no válido", "")), IF(OR(N2073="", N2073=""), "[Aviso] Temporada no capturada ()", IF(ISNA(MATCH(N2073, Criterios!$C$123:$C$128, 0)), "Temporada no válida", "")), IF(OR(O2073="", O2073=""), "[Aviso] Ciclo de vida no capturado ()", IF(ISNA(MATCH(O2073, Criterios!$D$123:$D$124, 0)), "Ciclo de vida no válido", ""))))</f>
        <v/>
      </c>
      <c r="AC2073" s="56" t="n"/>
      <c r="AD2073" s="51" t="n">
        <v>7</v>
      </c>
      <c r="AE2073" s="156" t="inlineStr">
        <is>
          <t>B25 STETSON.MX (7)</t>
        </is>
      </c>
      <c r="AF2073" s="51" t="n">
        <v>7</v>
      </c>
      <c r="AG2073" s="156" t="inlineStr">
        <is>
          <t>Catálogo existente</t>
        </is>
      </c>
      <c r="AH2073" s="156" t="inlineStr">
        <is>
          <t>Revisión 29/09/2026: Campos sin respaldo: P, S, U | 01/10/2026: complementado desde Shopify Stetson México (match por código de barras): WB Color, WB Fit, WB Silueta</t>
        </is>
      </c>
      <c r="AI2073" s="156" t="inlineStr">
        <is>
          <t>No</t>
        </is>
      </c>
      <c r="AJ2073" s="156" t="n"/>
      <c r="AK2073" s="155" t="inlineStr">
        <is>
          <t>Criterios: I [Q] | Criterios: J [R] | Shopify Stetson: producto 14811822752107 / variante 53350600966507</t>
        </is>
      </c>
      <c r="AL2073" s="58" t="n">
        <v>931.0344828</v>
      </c>
      <c r="AM2073" s="58" t="n">
        <v>2068.965517</v>
      </c>
      <c r="AN2073" s="155" t="inlineStr">
        <is>
          <t>Shopify Stetson México</t>
        </is>
      </c>
      <c r="AO2073" s="59" t="n">
        <v>7</v>
      </c>
      <c r="AP2073" s="59" t="n"/>
      <c r="AQ2073" s="59" t="n"/>
      <c r="AR2073" s="155" t="inlineStr">
        <is>
          <t>Shopify Stetson México › Stetson México: 7</t>
        </is>
      </c>
    </row>
    <row r="2074">
      <c r="A2074" s="50" t="inlineStr">
        <is>
          <t>724303724950</t>
        </is>
      </c>
      <c r="B2074" s="51" t="inlineStr">
        <is>
          <t>109797</t>
        </is>
      </c>
      <c r="C2074" s="156" t="inlineStr">
        <is>
          <t>Multimarca</t>
        </is>
      </c>
      <c r="D2074" s="156" t="inlineStr">
        <is>
          <t>9914500-625</t>
        </is>
      </c>
      <c r="E2074" s="156" t="inlineStr">
        <is>
          <t>9914500-625-40</t>
        </is>
      </c>
      <c r="F2074" s="156" t="inlineStr">
        <is>
          <t>40</t>
        </is>
      </c>
      <c r="G2074" s="156" t="inlineStr">
        <is>
          <t>40</t>
        </is>
      </c>
      <c r="H2074" s="156" t="inlineStr">
        <is>
          <t>Stetson</t>
        </is>
      </c>
      <c r="I2074" s="156" t="inlineStr">
        <is>
          <t>Cinturón Stetson Piel de Bisonte Repujado</t>
        </is>
      </c>
      <c r="J2074" s="156" t="inlineStr">
        <is>
          <t>Accesorios</t>
        </is>
      </c>
      <c r="K2074" s="156" t="inlineStr">
        <is>
          <t>Cinturones</t>
        </is>
      </c>
      <c r="L2074" s="156" t="inlineStr">
        <is>
          <t>Hombre</t>
        </is>
      </c>
      <c r="M2074" s="156" t="inlineStr">
        <is>
          <t>Stetson</t>
        </is>
      </c>
      <c r="N2074" s="156" t="inlineStr">
        <is>
          <t>SS26</t>
        </is>
      </c>
      <c r="O2074" s="156" t="inlineStr">
        <is>
          <t>Seasonal</t>
        </is>
      </c>
      <c r="P2074" s="156" t="inlineStr">
        <is>
          <t>Varios</t>
        </is>
      </c>
      <c r="Q2074" s="156" t="n"/>
      <c r="R2074" s="156" t="n"/>
      <c r="S2074" s="156" t="n"/>
      <c r="T2074"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4" s="156" t="n"/>
      <c r="V2074" s="156" t="inlineStr">
        <is>
          <t>PZS</t>
        </is>
      </c>
      <c r="W2074" s="51" t="inlineStr">
        <is>
          <t>53102501</t>
        </is>
      </c>
      <c r="X2074" s="156" t="inlineStr">
        <is>
          <t>https://cdn.shopify.com/s/files/1/0888/3250/8267/files/9914500-625-03.jpg?v=1761949281</t>
        </is>
      </c>
      <c r="Y2074" s="54" t="n">
        <v>931.0344828</v>
      </c>
      <c r="Z2074" s="54" t="n">
        <v>2068.965517</v>
      </c>
      <c r="AA2074" s="55">
        <f>IF(AND(A2074="", B2074="", E2074=""), "", IF(AB2074="", "Válido", IF((LEN(AB2074)-LEN(SUBSTITUTE(AB2074,"; ","")))/2+1&gt;(LEN(AB2074)-LEN(SUBSTITUTE(AB2074,"[Aviso]","")))/7, "Con Incidencias", "Válido")))</f>
        <v/>
      </c>
      <c r="AB2074" s="56">
        <f>IF(AND(A2074="", B2074="", E2074=""), "", TEXTJOIN("; ", TRUE, IF(OR(TRIM(A2074&amp;"")="", ISNUMBER(SEARCH("FALTA", A2074))), "UPC faltante/inválido", ""), IF(AND(A2074&lt;&gt;"", IFERROR(_xlfn.XMATCH(A2074,$A$2:$A$2509,0,1)&lt;&gt;_xlfn.XMATCH(A2074,$A$2:$A$2509,0,-1),FALSE)), "Código de barras duplicado", ""), IF(AND(E2074&lt;&gt;"", COUNTIF($E$2:$E$2509, E2074)&gt;1), "SKU duplicado", ""), IF(OR(J2074="", J2074=""), "[Aviso] División no capturada ()", IF(ISNA(MATCH(J2074, Criterios!$A$123:$A$126, 0)), "División no válida", "")), IF(OR(K2074="", K2074=""), "[Aviso] Categoría no capturada ()", IF(ISNA(MATCH(K2074, Criterios!$A$81:$A$120, 0)), "Categoría no válida", IF(AND(J2074&lt;&gt;"", J2074&lt;&gt;"", J2074&lt;&gt;VLOOKUP(K2074, Criterios!$A$81:$B$120, 2, FALSE)), "División no coincide con Categoría", ""))), IF(OR(L2074="", L2074=""), "[Aviso] Género no capturado ()", IF(ISNA(MATCH(L2074, Criterios!$B$123:$B$127, 0)), "Género no válido", "")), IF(OR(N2074="", N2074=""), "[Aviso] Temporada no capturada ()", IF(ISNA(MATCH(N2074, Criterios!$C$123:$C$128, 0)), "Temporada no válida", "")), IF(OR(O2074="", O2074=""), "[Aviso] Ciclo de vida no capturado ()", IF(ISNA(MATCH(O2074, Criterios!$D$123:$D$124, 0)), "Ciclo de vida no válido", ""))))</f>
        <v/>
      </c>
      <c r="AC2074" s="56" t="n"/>
      <c r="AD2074" s="51" t="n">
        <v>8</v>
      </c>
      <c r="AE2074" s="156" t="inlineStr">
        <is>
          <t>B25 STETSON.MX (8)</t>
        </is>
      </c>
      <c r="AF2074" s="51" t="n">
        <v>8</v>
      </c>
      <c r="AG2074" s="156" t="inlineStr">
        <is>
          <t>Catálogo existente</t>
        </is>
      </c>
      <c r="AH2074" s="156" t="inlineStr">
        <is>
          <t>Revisión 29/09/2026: Campos sin respaldo: P, S, U | 01/10/2026: complementado desde Shopify Stetson México (match por código de barras): WB Color, WB Fit, WB Silueta</t>
        </is>
      </c>
      <c r="AI2074" s="156" t="inlineStr">
        <is>
          <t>No</t>
        </is>
      </c>
      <c r="AJ2074" s="156" t="n"/>
      <c r="AK2074" s="155" t="inlineStr">
        <is>
          <t>Criterios: I [Q] | Criterios: J [R] | Shopify Stetson: producto 14811822752107 / variante 53350601032043</t>
        </is>
      </c>
      <c r="AL2074" s="58" t="n">
        <v>931.0344828</v>
      </c>
      <c r="AM2074" s="58" t="n">
        <v>2068.965517</v>
      </c>
      <c r="AN2074" s="155" t="inlineStr">
        <is>
          <t>Shopify Stetson México</t>
        </is>
      </c>
      <c r="AO2074" s="59" t="n">
        <v>8</v>
      </c>
      <c r="AP2074" s="59" t="n"/>
      <c r="AQ2074" s="59" t="n"/>
      <c r="AR2074" s="155" t="inlineStr">
        <is>
          <t>Shopify Stetson México › Stetson México: 8</t>
        </is>
      </c>
    </row>
    <row r="2075">
      <c r="A2075" s="50" t="inlineStr">
        <is>
          <t>724303724967</t>
        </is>
      </c>
      <c r="B2075" s="51" t="inlineStr">
        <is>
          <t>109798</t>
        </is>
      </c>
      <c r="C2075" s="156" t="inlineStr">
        <is>
          <t>Multimarca</t>
        </is>
      </c>
      <c r="D2075" s="156" t="inlineStr">
        <is>
          <t>9914500-625</t>
        </is>
      </c>
      <c r="E2075" s="156" t="inlineStr">
        <is>
          <t>9914500-625-42</t>
        </is>
      </c>
      <c r="F2075" s="156" t="inlineStr">
        <is>
          <t>42</t>
        </is>
      </c>
      <c r="G2075" s="156" t="inlineStr">
        <is>
          <t>42</t>
        </is>
      </c>
      <c r="H2075" s="156" t="inlineStr">
        <is>
          <t>Stetson</t>
        </is>
      </c>
      <c r="I2075" s="156" t="inlineStr">
        <is>
          <t>Cinturón Stetson Piel de Bisonte Repujado</t>
        </is>
      </c>
      <c r="J2075" s="156" t="inlineStr">
        <is>
          <t>Accesorios</t>
        </is>
      </c>
      <c r="K2075" s="156" t="inlineStr">
        <is>
          <t>Cinturones</t>
        </is>
      </c>
      <c r="L2075" s="156" t="inlineStr">
        <is>
          <t>Hombre</t>
        </is>
      </c>
      <c r="M2075" s="156" t="inlineStr">
        <is>
          <t>Stetson</t>
        </is>
      </c>
      <c r="N2075" s="156" t="inlineStr">
        <is>
          <t>SS26</t>
        </is>
      </c>
      <c r="O2075" s="156" t="inlineStr">
        <is>
          <t>Seasonal</t>
        </is>
      </c>
      <c r="P2075" s="156" t="inlineStr">
        <is>
          <t>Varios</t>
        </is>
      </c>
      <c r="Q2075" s="156" t="n"/>
      <c r="R2075" s="156" t="n"/>
      <c r="S2075" s="156" t="n"/>
      <c r="T2075"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5" s="156" t="n"/>
      <c r="V2075" s="156" t="inlineStr">
        <is>
          <t>PZS</t>
        </is>
      </c>
      <c r="W2075" s="51" t="inlineStr">
        <is>
          <t>53102501</t>
        </is>
      </c>
      <c r="X2075" s="156" t="inlineStr">
        <is>
          <t>https://cdn.shopify.com/s/files/1/0888/3250/8267/files/9914500-625-05.jpg?v=1761949281</t>
        </is>
      </c>
      <c r="Y2075" s="54" t="n">
        <v>931.0344828</v>
      </c>
      <c r="Z2075" s="54" t="n">
        <v>2068.965517</v>
      </c>
      <c r="AA2075" s="55">
        <f>IF(AND(A2075="", B2075="", E2075=""), "", IF(AB2075="", "Válido", IF((LEN(AB2075)-LEN(SUBSTITUTE(AB2075,"; ","")))/2+1&gt;(LEN(AB2075)-LEN(SUBSTITUTE(AB2075,"[Aviso]","")))/7, "Con Incidencias", "Válido")))</f>
        <v/>
      </c>
      <c r="AB2075" s="56">
        <f>IF(AND(A2075="", B2075="", E2075=""), "", TEXTJOIN("; ", TRUE, IF(OR(TRIM(A2075&amp;"")="", ISNUMBER(SEARCH("FALTA", A2075))), "UPC faltante/inválido", ""), IF(AND(A2075&lt;&gt;"", IFERROR(_xlfn.XMATCH(A2075,$A$2:$A$2509,0,1)&lt;&gt;_xlfn.XMATCH(A2075,$A$2:$A$2509,0,-1),FALSE)), "Código de barras duplicado", ""), IF(AND(E2075&lt;&gt;"", COUNTIF($E$2:$E$2509, E2075)&gt;1), "SKU duplicado", ""), IF(OR(J2075="", J2075=""), "[Aviso] División no capturada ()", IF(ISNA(MATCH(J2075, Criterios!$A$123:$A$126, 0)), "División no válida", "")), IF(OR(K2075="", K2075=""), "[Aviso] Categoría no capturada ()", IF(ISNA(MATCH(K2075, Criterios!$A$81:$A$120, 0)), "Categoría no válida", IF(AND(J2075&lt;&gt;"", J2075&lt;&gt;"", J2075&lt;&gt;VLOOKUP(K2075, Criterios!$A$81:$B$120, 2, FALSE)), "División no coincide con Categoría", ""))), IF(OR(L2075="", L2075=""), "[Aviso] Género no capturado ()", IF(ISNA(MATCH(L2075, Criterios!$B$123:$B$127, 0)), "Género no válido", "")), IF(OR(N2075="", N2075=""), "[Aviso] Temporada no capturada ()", IF(ISNA(MATCH(N2075, Criterios!$C$123:$C$128, 0)), "Temporada no válida", "")), IF(OR(O2075="", O2075=""), "[Aviso] Ciclo de vida no capturado ()", IF(ISNA(MATCH(O2075, Criterios!$D$123:$D$124, 0)), "Ciclo de vida no válido", ""))))</f>
        <v/>
      </c>
      <c r="AC2075" s="56" t="n"/>
      <c r="AD2075" s="51" t="n">
        <v>3</v>
      </c>
      <c r="AE2075" s="156" t="inlineStr">
        <is>
          <t>B25 STETSON.MX (3)</t>
        </is>
      </c>
      <c r="AF2075" s="51" t="n">
        <v>3</v>
      </c>
      <c r="AG2075" s="156" t="inlineStr">
        <is>
          <t>Catálogo existente</t>
        </is>
      </c>
      <c r="AH2075" s="156" t="inlineStr">
        <is>
          <t>Revisión 29/09/2026: Campos sin respaldo: P, S, U | 01/10/2026: complementado desde Shopify Stetson México (match por código de barras): WB Color, WB Fit, WB Silueta</t>
        </is>
      </c>
      <c r="AI2075" s="156" t="inlineStr">
        <is>
          <t>No</t>
        </is>
      </c>
      <c r="AJ2075" s="156" t="n"/>
      <c r="AK2075" s="155" t="inlineStr">
        <is>
          <t>Criterios: I [Q] | Criterios: J [R] | Shopify Stetson: producto 14811822752107 / variante 53350601097579</t>
        </is>
      </c>
      <c r="AL2075" s="58" t="n">
        <v>931.0344828</v>
      </c>
      <c r="AM2075" s="58" t="n">
        <v>2068.965517</v>
      </c>
      <c r="AN2075" s="155" t="inlineStr">
        <is>
          <t>Shopify Stetson México</t>
        </is>
      </c>
      <c r="AO2075" s="59" t="n">
        <v>7</v>
      </c>
      <c r="AP2075" s="59" t="n"/>
      <c r="AQ2075" s="59" t="n"/>
      <c r="AR2075" s="155" t="inlineStr">
        <is>
          <t>Shopify Stetson México › Stetson México: 3 | Shopify Stetson México › Stetson Americas: 4</t>
        </is>
      </c>
    </row>
    <row r="2076">
      <c r="A2076" s="50" t="inlineStr">
        <is>
          <t>724303724974</t>
        </is>
      </c>
      <c r="B2076" s="51" t="inlineStr">
        <is>
          <t>109799</t>
        </is>
      </c>
      <c r="C2076" s="156" t="inlineStr">
        <is>
          <t>Multimarca</t>
        </is>
      </c>
      <c r="D2076" s="156" t="inlineStr">
        <is>
          <t>9914500-625</t>
        </is>
      </c>
      <c r="E2076" s="156" t="inlineStr">
        <is>
          <t>9914500-625-44</t>
        </is>
      </c>
      <c r="F2076" s="156" t="inlineStr">
        <is>
          <t>44</t>
        </is>
      </c>
      <c r="G2076" s="156" t="inlineStr">
        <is>
          <t>44</t>
        </is>
      </c>
      <c r="H2076" s="156" t="inlineStr">
        <is>
          <t>Stetson</t>
        </is>
      </c>
      <c r="I2076" s="156" t="inlineStr">
        <is>
          <t>Cinturón Stetson Piel de Bisonte Repujado</t>
        </is>
      </c>
      <c r="J2076" s="156" t="inlineStr">
        <is>
          <t>Accesorios</t>
        </is>
      </c>
      <c r="K2076" s="156" t="inlineStr">
        <is>
          <t>Cinturones</t>
        </is>
      </c>
      <c r="L2076" s="156" t="inlineStr">
        <is>
          <t>Hombre</t>
        </is>
      </c>
      <c r="M2076" s="156" t="inlineStr">
        <is>
          <t>Stetson</t>
        </is>
      </c>
      <c r="N2076" s="156" t="inlineStr">
        <is>
          <t>SS26</t>
        </is>
      </c>
      <c r="O2076" s="156" t="inlineStr">
        <is>
          <t>Seasonal</t>
        </is>
      </c>
      <c r="P2076" s="156" t="inlineStr">
        <is>
          <t>Varios</t>
        </is>
      </c>
      <c r="Q2076" s="156" t="n"/>
      <c r="R2076" s="156" t="n"/>
      <c r="S2076" s="156" t="n"/>
      <c r="T2076"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6" s="156" t="n"/>
      <c r="V2076" s="156" t="inlineStr">
        <is>
          <t>PZS</t>
        </is>
      </c>
      <c r="W2076" s="51" t="inlineStr">
        <is>
          <t>53102501</t>
        </is>
      </c>
      <c r="X2076" s="156" t="inlineStr">
        <is>
          <t>https://cdn.shopify.com/s/files/1/0888/3250/8267/files/9914500-625-07.jpg?v=1761949281</t>
        </is>
      </c>
      <c r="Y2076" s="54" t="n">
        <v>931.0344828</v>
      </c>
      <c r="Z2076" s="54" t="n">
        <v>2068.965517</v>
      </c>
      <c r="AA2076" s="55">
        <f>IF(AND(A2076="", B2076="", E2076=""), "", IF(AB2076="", "Válido", IF((LEN(AB2076)-LEN(SUBSTITUTE(AB2076,"; ","")))/2+1&gt;(LEN(AB2076)-LEN(SUBSTITUTE(AB2076,"[Aviso]","")))/7, "Con Incidencias", "Válido")))</f>
        <v/>
      </c>
      <c r="AB2076" s="56">
        <f>IF(AND(A2076="", B2076="", E2076=""), "", TEXTJOIN("; ", TRUE, IF(OR(TRIM(A2076&amp;"")="", ISNUMBER(SEARCH("FALTA", A2076))), "UPC faltante/inválido", ""), IF(AND(A2076&lt;&gt;"", IFERROR(_xlfn.XMATCH(A2076,$A$2:$A$2509,0,1)&lt;&gt;_xlfn.XMATCH(A2076,$A$2:$A$2509,0,-1),FALSE)), "Código de barras duplicado", ""), IF(AND(E2076&lt;&gt;"", COUNTIF($E$2:$E$2509, E2076)&gt;1), "SKU duplicado", ""), IF(OR(J2076="", J2076=""), "[Aviso] División no capturada ()", IF(ISNA(MATCH(J2076, Criterios!$A$123:$A$126, 0)), "División no válida", "")), IF(OR(K2076="", K2076=""), "[Aviso] Categoría no capturada ()", IF(ISNA(MATCH(K2076, Criterios!$A$81:$A$120, 0)), "Categoría no válida", IF(AND(J2076&lt;&gt;"", J2076&lt;&gt;"", J2076&lt;&gt;VLOOKUP(K2076, Criterios!$A$81:$B$120, 2, FALSE)), "División no coincide con Categoría", ""))), IF(OR(L2076="", L2076=""), "[Aviso] Género no capturado ()", IF(ISNA(MATCH(L2076, Criterios!$B$123:$B$127, 0)), "Género no válido", "")), IF(OR(N2076="", N2076=""), "[Aviso] Temporada no capturada ()", IF(ISNA(MATCH(N2076, Criterios!$C$123:$C$128, 0)), "Temporada no válida", "")), IF(OR(O2076="", O2076=""), "[Aviso] Ciclo de vida no capturado ()", IF(ISNA(MATCH(O2076, Criterios!$D$123:$D$124, 0)), "Ciclo de vida no válido", ""))))</f>
        <v/>
      </c>
      <c r="AC2076" s="56" t="n"/>
      <c r="AD2076" s="51" t="n">
        <v>-1</v>
      </c>
      <c r="AE2076" s="156" t="n"/>
      <c r="AF2076" s="51" t="n">
        <v>0</v>
      </c>
      <c r="AG2076" s="156" t="inlineStr">
        <is>
          <t>Catálogo existente</t>
        </is>
      </c>
      <c r="AH2076" s="156" t="inlineStr">
        <is>
          <t>Stock negativo en sistema: revisar en conteo | Revisión 29/09/2026: Campos sin respaldo: P, S, U | 01/10/2026: complementado desde Shopify Stetson México (match por código de barras): WB Color, WB Fit, WB Silueta</t>
        </is>
      </c>
      <c r="AI2076" s="156" t="inlineStr">
        <is>
          <t>Sí</t>
        </is>
      </c>
      <c r="AJ2076" s="156" t="inlineStr">
        <is>
          <t>STETSON AMERICAS (-1)</t>
        </is>
      </c>
      <c r="AK2076" s="155" t="inlineStr">
        <is>
          <t>Criterios: I [Q] | Criterios: J [R] | Shopify Stetson: producto 14811822752107 / variante 53350601163115</t>
        </is>
      </c>
      <c r="AL2076" s="58" t="n">
        <v>931.0344828</v>
      </c>
      <c r="AM2076" s="58" t="n">
        <v>2068.965517</v>
      </c>
      <c r="AN2076" s="155" t="inlineStr">
        <is>
          <t>Shopify Stetson México</t>
        </is>
      </c>
      <c r="AO2076" s="59" t="n">
        <v>4</v>
      </c>
      <c r="AP2076" s="59" t="n"/>
      <c r="AQ2076" s="59" t="n"/>
      <c r="AR2076" s="155" t="inlineStr">
        <is>
          <t>Shopify Stetson México › Stetson Americas: 4</t>
        </is>
      </c>
    </row>
    <row r="2077">
      <c r="A2077" s="50" t="inlineStr">
        <is>
          <t>724303724981</t>
        </is>
      </c>
      <c r="B2077" s="51" t="inlineStr">
        <is>
          <t>109800</t>
        </is>
      </c>
      <c r="C2077" s="156" t="inlineStr">
        <is>
          <t>Multimarca</t>
        </is>
      </c>
      <c r="D2077" s="156" t="inlineStr">
        <is>
          <t>9914500-625</t>
        </is>
      </c>
      <c r="E2077" s="156" t="inlineStr">
        <is>
          <t>9914500-625-46</t>
        </is>
      </c>
      <c r="F2077" s="156" t="inlineStr">
        <is>
          <t>46</t>
        </is>
      </c>
      <c r="G2077" s="156" t="inlineStr">
        <is>
          <t>46</t>
        </is>
      </c>
      <c r="H2077" s="156" t="inlineStr">
        <is>
          <t>Stetson</t>
        </is>
      </c>
      <c r="I2077" s="156" t="inlineStr">
        <is>
          <t>Cinturón Stetson Piel de Bisonte Repujado</t>
        </is>
      </c>
      <c r="J2077" s="156" t="inlineStr">
        <is>
          <t>Accesorios</t>
        </is>
      </c>
      <c r="K2077" s="156" t="inlineStr">
        <is>
          <t>Cinturones</t>
        </is>
      </c>
      <c r="L2077" s="156" t="inlineStr">
        <is>
          <t>Hombre</t>
        </is>
      </c>
      <c r="M2077" s="156" t="inlineStr">
        <is>
          <t>Stetson</t>
        </is>
      </c>
      <c r="N2077" s="156" t="inlineStr">
        <is>
          <t>SS26</t>
        </is>
      </c>
      <c r="O2077" s="156" t="inlineStr">
        <is>
          <t>Seasonal</t>
        </is>
      </c>
      <c r="P2077" s="156" t="inlineStr">
        <is>
          <t>Varios</t>
        </is>
      </c>
      <c r="Q2077" s="156" t="n"/>
      <c r="R2077" s="156" t="n"/>
      <c r="S2077" s="156" t="n"/>
      <c r="T2077"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7" s="156" t="n"/>
      <c r="V2077" s="156" t="inlineStr">
        <is>
          <t>PZS</t>
        </is>
      </c>
      <c r="W2077" s="51" t="inlineStr">
        <is>
          <t>53102501</t>
        </is>
      </c>
      <c r="X2077" s="156" t="inlineStr">
        <is>
          <t>https://cdn.shopify.com/s/files/1/0888/3250/8267/files/9914500-001-01.jpg?v=1761949269</t>
        </is>
      </c>
      <c r="Y2077" s="54" t="n">
        <v>931.0344828</v>
      </c>
      <c r="Z2077" s="54" t="n">
        <v>2068.965517</v>
      </c>
      <c r="AA2077" s="55">
        <f>IF(AND(A2077="", B2077="", E2077=""), "", IF(AB2077="", "Válido", IF((LEN(AB2077)-LEN(SUBSTITUTE(AB2077,"; ","")))/2+1&gt;(LEN(AB2077)-LEN(SUBSTITUTE(AB2077,"[Aviso]","")))/7, "Con Incidencias", "Válido")))</f>
        <v/>
      </c>
      <c r="AB2077" s="56">
        <f>IF(AND(A2077="", B2077="", E2077=""), "", TEXTJOIN("; ", TRUE, IF(OR(TRIM(A2077&amp;"")="", ISNUMBER(SEARCH("FALTA", A2077))), "UPC faltante/inválido", ""), IF(AND(A2077&lt;&gt;"", IFERROR(_xlfn.XMATCH(A2077,$A$2:$A$2509,0,1)&lt;&gt;_xlfn.XMATCH(A2077,$A$2:$A$2509,0,-1),FALSE)), "Código de barras duplicado", ""), IF(AND(E2077&lt;&gt;"", COUNTIF($E$2:$E$2509, E2077)&gt;1), "SKU duplicado", ""), IF(OR(J2077="", J2077=""), "[Aviso] División no capturada ()", IF(ISNA(MATCH(J2077, Criterios!$A$123:$A$126, 0)), "División no válida", "")), IF(OR(K2077="", K2077=""), "[Aviso] Categoría no capturada ()", IF(ISNA(MATCH(K2077, Criterios!$A$81:$A$120, 0)), "Categoría no válida", IF(AND(J2077&lt;&gt;"", J2077&lt;&gt;"", J2077&lt;&gt;VLOOKUP(K2077, Criterios!$A$81:$B$120, 2, FALSE)), "División no coincide con Categoría", ""))), IF(OR(L2077="", L2077=""), "[Aviso] Género no capturado ()", IF(ISNA(MATCH(L2077, Criterios!$B$123:$B$127, 0)), "Género no válido", "")), IF(OR(N2077="", N2077=""), "[Aviso] Temporada no capturada ()", IF(ISNA(MATCH(N2077, Criterios!$C$123:$C$128, 0)), "Temporada no válida", "")), IF(OR(O2077="", O2077=""), "[Aviso] Ciclo de vida no capturado ()", IF(ISNA(MATCH(O2077, Criterios!$D$123:$D$124, 0)), "Ciclo de vida no válido", ""))))</f>
        <v/>
      </c>
      <c r="AC2077" s="56" t="n"/>
      <c r="AD2077" s="51" t="n">
        <v>1</v>
      </c>
      <c r="AE2077" s="156" t="inlineStr">
        <is>
          <t>B25 STETSON.MX (1)</t>
        </is>
      </c>
      <c r="AF2077" s="51" t="n">
        <v>1</v>
      </c>
      <c r="AG2077" s="156" t="inlineStr">
        <is>
          <t>Catálogo existente</t>
        </is>
      </c>
      <c r="AH2077" s="156" t="inlineStr">
        <is>
          <t>Revisión 29/09/2026: Campos sin respaldo: P, S, U, X | 01/10/2026: complementado desde Shopify Stetson México (match por código de barras): WB Color, WB Fit, WB Silueta, Enlace de imagen</t>
        </is>
      </c>
      <c r="AI2077" s="156" t="inlineStr">
        <is>
          <t>No</t>
        </is>
      </c>
      <c r="AJ2077" s="156" t="n"/>
      <c r="AK2077" s="155" t="inlineStr">
        <is>
          <t>Criterios: I [Q] | Criterios: J [R] | Shopify Stetson: producto 14811822752107 / variante 53350601228651</t>
        </is>
      </c>
      <c r="AL2077" s="58" t="n">
        <v>931.0344828</v>
      </c>
      <c r="AM2077" s="58" t="n">
        <v>2068.965517</v>
      </c>
      <c r="AN2077" s="155" t="inlineStr">
        <is>
          <t>Shopify Stetson México</t>
        </is>
      </c>
      <c r="AO2077" s="59" t="n">
        <v>3</v>
      </c>
      <c r="AP2077" s="59" t="n"/>
      <c r="AQ2077" s="59" t="n"/>
      <c r="AR2077" s="155" t="inlineStr">
        <is>
          <t>Shopify Stetson México › Stetson México: 1 | Shopify Stetson México › Stetson Americas: 2</t>
        </is>
      </c>
    </row>
    <row r="2078">
      <c r="A2078" s="50" t="inlineStr">
        <is>
          <t>724303725025</t>
        </is>
      </c>
      <c r="B2078" s="51" t="inlineStr">
        <is>
          <t>109807</t>
        </is>
      </c>
      <c r="C2078" s="156" t="inlineStr">
        <is>
          <t>Multimarca</t>
        </is>
      </c>
      <c r="D2078" s="156" t="inlineStr">
        <is>
          <t>9915500-625</t>
        </is>
      </c>
      <c r="E2078" s="156" t="inlineStr">
        <is>
          <t>9915500-625-36</t>
        </is>
      </c>
      <c r="F2078" s="156" t="inlineStr">
        <is>
          <t>36</t>
        </is>
      </c>
      <c r="G2078" s="156" t="inlineStr">
        <is>
          <t>36</t>
        </is>
      </c>
      <c r="H2078" s="156" t="inlineStr">
        <is>
          <t>Stetson</t>
        </is>
      </c>
      <c r="I2078" s="156" t="inlineStr">
        <is>
          <t>Cinturón Stetson Piel de Bisonte Conchos</t>
        </is>
      </c>
      <c r="J2078" s="156" t="inlineStr">
        <is>
          <t>Accesorios</t>
        </is>
      </c>
      <c r="K2078" s="156" t="inlineStr">
        <is>
          <t>Cinturones</t>
        </is>
      </c>
      <c r="L2078" s="156" t="inlineStr">
        <is>
          <t>Hombre</t>
        </is>
      </c>
      <c r="M2078" s="156" t="inlineStr">
        <is>
          <t>Stetson</t>
        </is>
      </c>
      <c r="N2078" s="156" t="inlineStr">
        <is>
          <t>SS26</t>
        </is>
      </c>
      <c r="O2078" s="156" t="inlineStr">
        <is>
          <t>Seasonal</t>
        </is>
      </c>
      <c r="P2078" s="156" t="inlineStr">
        <is>
          <t>Varios</t>
        </is>
      </c>
      <c r="Q2078" s="156" t="n"/>
      <c r="R2078" s="156" t="n"/>
      <c r="S2078" s="156" t="inlineStr">
        <is>
          <t>Lana</t>
        </is>
      </c>
      <c r="T2078"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78" s="156" t="n"/>
      <c r="V2078" s="156" t="inlineStr">
        <is>
          <t>PZS</t>
        </is>
      </c>
      <c r="W2078" s="51" t="inlineStr">
        <is>
          <t>53102501</t>
        </is>
      </c>
      <c r="X2078" s="156" t="inlineStr">
        <is>
          <t>https://cdn.shopify.com/s/files/1/0888/3250/8267/files/9915500-625_Hazelnut_Bison_3.jpg?v=1761950562</t>
        </is>
      </c>
      <c r="Y2078" s="54" t="n">
        <v>756.4655172</v>
      </c>
      <c r="Z2078" s="54" t="n">
        <v>1681.034483</v>
      </c>
      <c r="AA2078" s="55">
        <f>IF(AND(A2078="", B2078="", E2078=""), "", IF(AB2078="", "Válido", IF((LEN(AB2078)-LEN(SUBSTITUTE(AB2078,"; ","")))/2+1&gt;(LEN(AB2078)-LEN(SUBSTITUTE(AB2078,"[Aviso]","")))/7, "Con Incidencias", "Válido")))</f>
        <v/>
      </c>
      <c r="AB2078" s="56">
        <f>IF(AND(A2078="", B2078="", E2078=""), "", TEXTJOIN("; ", TRUE, IF(OR(TRIM(A2078&amp;"")="", ISNUMBER(SEARCH("FALTA", A2078))), "UPC faltante/inválido", ""), IF(AND(A2078&lt;&gt;"", IFERROR(_xlfn.XMATCH(A2078,$A$2:$A$2509,0,1)&lt;&gt;_xlfn.XMATCH(A2078,$A$2:$A$2509,0,-1),FALSE)), "Código de barras duplicado", ""), IF(AND(E2078&lt;&gt;"", COUNTIF($E$2:$E$2509, E2078)&gt;1), "SKU duplicado", ""), IF(OR(J2078="", J2078=""), "[Aviso] División no capturada ()", IF(ISNA(MATCH(J2078, Criterios!$A$123:$A$126, 0)), "División no válida", "")), IF(OR(K2078="", K2078=""), "[Aviso] Categoría no capturada ()", IF(ISNA(MATCH(K2078, Criterios!$A$81:$A$120, 0)), "Categoría no válida", IF(AND(J2078&lt;&gt;"", J2078&lt;&gt;"", J2078&lt;&gt;VLOOKUP(K2078, Criterios!$A$81:$B$120, 2, FALSE)), "División no coincide con Categoría", ""))), IF(OR(L2078="", L2078=""), "[Aviso] Género no capturado ()", IF(ISNA(MATCH(L2078, Criterios!$B$123:$B$127, 0)), "Género no válido", "")), IF(OR(N2078="", N2078=""), "[Aviso] Temporada no capturada ()", IF(ISNA(MATCH(N2078, Criterios!$C$123:$C$128, 0)), "Temporada no válida", "")), IF(OR(O2078="", O2078=""), "[Aviso] Ciclo de vida no capturado ()", IF(ISNA(MATCH(O2078, Criterios!$D$123:$D$124, 0)), "Ciclo de vida no válido", ""))))</f>
        <v/>
      </c>
      <c r="AC2078" s="56" t="n"/>
      <c r="AD2078" s="51" t="n">
        <v>6</v>
      </c>
      <c r="AE2078" s="156" t="inlineStr">
        <is>
          <t>WB OUTLET LERMA (1); B25 STETSON.MX (5)</t>
        </is>
      </c>
      <c r="AF2078" s="51" t="n">
        <v>6</v>
      </c>
      <c r="AG2078" s="156" t="inlineStr">
        <is>
          <t>Catálogo existente</t>
        </is>
      </c>
      <c r="AH2078" s="156" t="inlineStr">
        <is>
          <t>Revisión 29/09/2026: Campos sin respaldo: P, U | 01/10/2026: complementado desde Shopify Stetson México (match por código de barras): WB Color, WB Fit, WB Silueta</t>
        </is>
      </c>
      <c r="AI2078" s="156" t="inlineStr">
        <is>
          <t>No</t>
        </is>
      </c>
      <c r="AJ2078" s="156" t="n"/>
      <c r="AK2078" s="155" t="inlineStr">
        <is>
          <t>Criterios: I [Q] | Criterios: J [R] | Shopify Stetson: producto 14697976398187 / variante 53350615941483 | Shopify WB: producto 10310237880505 / variante 50512090235065</t>
        </is>
      </c>
      <c r="AL2078" s="58" t="n">
        <v>756.4655172</v>
      </c>
      <c r="AM2078" s="58" t="n">
        <v>1681.034483</v>
      </c>
      <c r="AN2078" s="155" t="inlineStr">
        <is>
          <t>Shopify Stetson México | Shopify Western Brothers</t>
        </is>
      </c>
      <c r="AO2078" s="59" t="n">
        <v>6</v>
      </c>
      <c r="AP2078" s="59" t="n">
        <v>1</v>
      </c>
      <c r="AQ2078" s="59" t="n"/>
      <c r="AR2078" s="155" t="inlineStr">
        <is>
          <t>Shopify Stetson México › Stetson México: 5 | Shopify Stetson México › Eventos: 1 | Shopify Western Brothers › Western Brothers Outlet Lerma: 1</t>
        </is>
      </c>
    </row>
    <row r="2079">
      <c r="A2079" s="50" t="inlineStr">
        <is>
          <t>724303725032</t>
        </is>
      </c>
      <c r="B2079" s="51" t="inlineStr">
        <is>
          <t>109808</t>
        </is>
      </c>
      <c r="C2079" s="156" t="inlineStr">
        <is>
          <t>Multimarca</t>
        </is>
      </c>
      <c r="D2079" s="156" t="inlineStr">
        <is>
          <t>9915500-625</t>
        </is>
      </c>
      <c r="E2079" s="156" t="inlineStr">
        <is>
          <t>9915500-625-38</t>
        </is>
      </c>
      <c r="F2079" s="156" t="inlineStr">
        <is>
          <t>38</t>
        </is>
      </c>
      <c r="G2079" s="156" t="inlineStr">
        <is>
          <t>38</t>
        </is>
      </c>
      <c r="H2079" s="156" t="inlineStr">
        <is>
          <t>Stetson</t>
        </is>
      </c>
      <c r="I2079" s="156" t="inlineStr">
        <is>
          <t>Cinturón Stetson Piel de Bisonte Conchos</t>
        </is>
      </c>
      <c r="J2079" s="156" t="inlineStr">
        <is>
          <t>Accesorios</t>
        </is>
      </c>
      <c r="K2079" s="156" t="inlineStr">
        <is>
          <t>Cinturones</t>
        </is>
      </c>
      <c r="L2079" s="156" t="inlineStr">
        <is>
          <t>Hombre</t>
        </is>
      </c>
      <c r="M2079" s="156" t="inlineStr">
        <is>
          <t>Stetson</t>
        </is>
      </c>
      <c r="N2079" s="156" t="inlineStr">
        <is>
          <t>SS26</t>
        </is>
      </c>
      <c r="O2079" s="156" t="inlineStr">
        <is>
          <t>Seasonal</t>
        </is>
      </c>
      <c r="P2079" s="156" t="inlineStr">
        <is>
          <t>Varios</t>
        </is>
      </c>
      <c r="Q2079" s="156" t="n"/>
      <c r="R2079" s="156" t="n"/>
      <c r="S2079" s="156" t="inlineStr">
        <is>
          <t>Lana</t>
        </is>
      </c>
      <c r="T2079"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79" s="156" t="n"/>
      <c r="V2079" s="156" t="inlineStr">
        <is>
          <t>PZS</t>
        </is>
      </c>
      <c r="W2079" s="51" t="inlineStr">
        <is>
          <t>53102501</t>
        </is>
      </c>
      <c r="X2079" s="156" t="inlineStr">
        <is>
          <t>https://cdn.shopify.com/s/files/1/0888/3250/8267/files/9915500-625_Hazelnut_Bison_4.jpg?v=1761950571</t>
        </is>
      </c>
      <c r="Y2079" s="54" t="n">
        <v>756.4655172</v>
      </c>
      <c r="Z2079" s="54" t="n">
        <v>1681.034483</v>
      </c>
      <c r="AA2079" s="55">
        <f>IF(AND(A2079="", B2079="", E2079=""), "", IF(AB2079="", "Válido", IF((LEN(AB2079)-LEN(SUBSTITUTE(AB2079,"; ","")))/2+1&gt;(LEN(AB2079)-LEN(SUBSTITUTE(AB2079,"[Aviso]","")))/7, "Con Incidencias", "Válido")))</f>
        <v/>
      </c>
      <c r="AB2079" s="56">
        <f>IF(AND(A2079="", B2079="", E2079=""), "", TEXTJOIN("; ", TRUE, IF(OR(TRIM(A2079&amp;"")="", ISNUMBER(SEARCH("FALTA", A2079))), "UPC faltante/inválido", ""), IF(AND(A2079&lt;&gt;"", IFERROR(_xlfn.XMATCH(A2079,$A$2:$A$2509,0,1)&lt;&gt;_xlfn.XMATCH(A2079,$A$2:$A$2509,0,-1),FALSE)), "Código de barras duplicado", ""), IF(AND(E2079&lt;&gt;"", COUNTIF($E$2:$E$2509, E2079)&gt;1), "SKU duplicado", ""), IF(OR(J2079="", J2079=""), "[Aviso] División no capturada ()", IF(ISNA(MATCH(J2079, Criterios!$A$123:$A$126, 0)), "División no válida", "")), IF(OR(K2079="", K2079=""), "[Aviso] Categoría no capturada ()", IF(ISNA(MATCH(K2079, Criterios!$A$81:$A$120, 0)), "Categoría no válida", IF(AND(J2079&lt;&gt;"", J2079&lt;&gt;"", J2079&lt;&gt;VLOOKUP(K2079, Criterios!$A$81:$B$120, 2, FALSE)), "División no coincide con Categoría", ""))), IF(OR(L2079="", L2079=""), "[Aviso] Género no capturado ()", IF(ISNA(MATCH(L2079, Criterios!$B$123:$B$127, 0)), "Género no válido", "")), IF(OR(N2079="", N2079=""), "[Aviso] Temporada no capturada ()", IF(ISNA(MATCH(N2079, Criterios!$C$123:$C$128, 0)), "Temporada no válida", "")), IF(OR(O2079="", O2079=""), "[Aviso] Ciclo de vida no capturado ()", IF(ISNA(MATCH(O2079, Criterios!$D$123:$D$124, 0)), "Ciclo de vida no válido", ""))))</f>
        <v/>
      </c>
      <c r="AC2079" s="56" t="n"/>
      <c r="AD2079" s="51" t="n">
        <v>10</v>
      </c>
      <c r="AE2079" s="156" t="inlineStr">
        <is>
          <t>B25 STETSON.MX (11); WB OUTLET LERMA (1)</t>
        </is>
      </c>
      <c r="AF2079" s="51" t="n">
        <v>12</v>
      </c>
      <c r="AG2079" s="156" t="inlineStr">
        <is>
          <t>Catálogo existente</t>
        </is>
      </c>
      <c r="AH2079" s="156" t="inlineStr">
        <is>
          <t>Revisión 29/09/2026: Campos sin respaldo: P, U | 01/10/2026: complementado desde Shopify Stetson México (match por código de barras): WB Color, WB Fit, WB Silueta</t>
        </is>
      </c>
      <c r="AI2079" s="156" t="inlineStr">
        <is>
          <t>Sí</t>
        </is>
      </c>
      <c r="AJ2079" s="156" t="inlineStr">
        <is>
          <t>STETSON AMERICAS (-2)</t>
        </is>
      </c>
      <c r="AK2079" s="155" t="inlineStr">
        <is>
          <t>Criterios: I [Q] | Criterios: J [R] | Shopify Stetson: producto 14697976398187 / variante 53350615974251 | Shopify WB: producto 10310237880505 / variante 50512090267833</t>
        </is>
      </c>
      <c r="AL2079" s="58" t="n">
        <v>756.4655172</v>
      </c>
      <c r="AM2079" s="58" t="n">
        <v>1681.034483</v>
      </c>
      <c r="AN2079" s="155" t="inlineStr">
        <is>
          <t>Shopify Stetson México | Shopify Western Brothers</t>
        </is>
      </c>
      <c r="AO2079" s="59" t="n">
        <v>12</v>
      </c>
      <c r="AP2079" s="59" t="n">
        <v>1</v>
      </c>
      <c r="AQ2079" s="59" t="n"/>
      <c r="AR2079" s="155" t="inlineStr">
        <is>
          <t>Shopify Stetson México › Stetson México: 11 | Shopify Stetson México › Eventos: 1 | Shopify Western Brothers › Western Brothers Outlet Lerma: 1</t>
        </is>
      </c>
    </row>
    <row r="2080">
      <c r="A2080" s="50" t="inlineStr">
        <is>
          <t>724303725049</t>
        </is>
      </c>
      <c r="B2080" s="51" t="inlineStr">
        <is>
          <t>109809</t>
        </is>
      </c>
      <c r="C2080" s="156" t="inlineStr">
        <is>
          <t>Multimarca</t>
        </is>
      </c>
      <c r="D2080" s="156" t="inlineStr">
        <is>
          <t>9915500-625</t>
        </is>
      </c>
      <c r="E2080" s="156" t="inlineStr">
        <is>
          <t>9915500-625-40</t>
        </is>
      </c>
      <c r="F2080" s="156" t="inlineStr">
        <is>
          <t>40</t>
        </is>
      </c>
      <c r="G2080" s="156" t="inlineStr">
        <is>
          <t>40</t>
        </is>
      </c>
      <c r="H2080" s="156" t="inlineStr">
        <is>
          <t>Stetson</t>
        </is>
      </c>
      <c r="I2080" s="156" t="inlineStr">
        <is>
          <t>Cinturón Stetson Piel de Bisonte Conchos</t>
        </is>
      </c>
      <c r="J2080" s="156" t="inlineStr">
        <is>
          <t>Accesorios</t>
        </is>
      </c>
      <c r="K2080" s="156" t="inlineStr">
        <is>
          <t>Cinturones</t>
        </is>
      </c>
      <c r="L2080" s="156" t="inlineStr">
        <is>
          <t>Hombre</t>
        </is>
      </c>
      <c r="M2080" s="156" t="inlineStr">
        <is>
          <t>Stetson</t>
        </is>
      </c>
      <c r="N2080" s="156" t="inlineStr">
        <is>
          <t>SS26</t>
        </is>
      </c>
      <c r="O2080" s="156" t="inlineStr">
        <is>
          <t>Seasonal</t>
        </is>
      </c>
      <c r="P2080" s="156" t="inlineStr">
        <is>
          <t>Varios</t>
        </is>
      </c>
      <c r="Q2080" s="156" t="n"/>
      <c r="R2080" s="156" t="n"/>
      <c r="S2080" s="156" t="inlineStr">
        <is>
          <t>Lana</t>
        </is>
      </c>
      <c r="T2080"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0" s="156" t="n"/>
      <c r="V2080" s="156" t="inlineStr">
        <is>
          <t>PZS</t>
        </is>
      </c>
      <c r="W2080" s="51" t="inlineStr">
        <is>
          <t>53102501</t>
        </is>
      </c>
      <c r="X2080" s="156" t="inlineStr">
        <is>
          <t>https://cdn.shopify.com/s/files/1/0888/3250/8267/files/9915500-625_Hazelnut_Bison_5.jpg?v=1761950578</t>
        </is>
      </c>
      <c r="Y2080" s="54" t="n">
        <v>756.4655172</v>
      </c>
      <c r="Z2080" s="54" t="n">
        <v>1681.034483</v>
      </c>
      <c r="AA2080" s="55">
        <f>IF(AND(A2080="", B2080="", E2080=""), "", IF(AB2080="", "Válido", IF((LEN(AB2080)-LEN(SUBSTITUTE(AB2080,"; ","")))/2+1&gt;(LEN(AB2080)-LEN(SUBSTITUTE(AB2080,"[Aviso]","")))/7, "Con Incidencias", "Válido")))</f>
        <v/>
      </c>
      <c r="AB2080" s="56">
        <f>IF(AND(A2080="", B2080="", E2080=""), "", TEXTJOIN("; ", TRUE, IF(OR(TRIM(A2080&amp;"")="", ISNUMBER(SEARCH("FALTA", A2080))), "UPC faltante/inválido", ""), IF(AND(A2080&lt;&gt;"", IFERROR(_xlfn.XMATCH(A2080,$A$2:$A$2509,0,1)&lt;&gt;_xlfn.XMATCH(A2080,$A$2:$A$2509,0,-1),FALSE)), "Código de barras duplicado", ""), IF(AND(E2080&lt;&gt;"", COUNTIF($E$2:$E$2509, E2080)&gt;1), "SKU duplicado", ""), IF(OR(J2080="", J2080=""), "[Aviso] División no capturada ()", IF(ISNA(MATCH(J2080, Criterios!$A$123:$A$126, 0)), "División no válida", "")), IF(OR(K2080="", K2080=""), "[Aviso] Categoría no capturada ()", IF(ISNA(MATCH(K2080, Criterios!$A$81:$A$120, 0)), "Categoría no válida", IF(AND(J2080&lt;&gt;"", J2080&lt;&gt;"", J2080&lt;&gt;VLOOKUP(K2080, Criterios!$A$81:$B$120, 2, FALSE)), "División no coincide con Categoría", ""))), IF(OR(L2080="", L2080=""), "[Aviso] Género no capturado ()", IF(ISNA(MATCH(L2080, Criterios!$B$123:$B$127, 0)), "Género no válido", "")), IF(OR(N2080="", N2080=""), "[Aviso] Temporada no capturada ()", IF(ISNA(MATCH(N2080, Criterios!$C$123:$C$128, 0)), "Temporada no válida", "")), IF(OR(O2080="", O2080=""), "[Aviso] Ciclo de vida no capturado ()", IF(ISNA(MATCH(O2080, Criterios!$D$123:$D$124, 0)), "Ciclo de vida no válido", ""))))</f>
        <v/>
      </c>
      <c r="AC2080" s="56" t="n"/>
      <c r="AD2080" s="51" t="n">
        <v>9</v>
      </c>
      <c r="AE2080" s="156" t="inlineStr">
        <is>
          <t>B25 STETSON.MX (10); WB OUTLET LERMA (1)</t>
        </is>
      </c>
      <c r="AF2080" s="51" t="n">
        <v>11</v>
      </c>
      <c r="AG2080" s="156" t="inlineStr">
        <is>
          <t>Catálogo existente</t>
        </is>
      </c>
      <c r="AH2080" s="156" t="inlineStr">
        <is>
          <t>Revisión 29/09/2026: Campos sin respaldo: P, U | 01/10/2026: complementado desde Shopify Stetson México (match por código de barras): WB Color, WB Fit, WB Silueta</t>
        </is>
      </c>
      <c r="AI2080" s="156" t="inlineStr">
        <is>
          <t>Sí</t>
        </is>
      </c>
      <c r="AJ2080" s="156" t="inlineStr">
        <is>
          <t>STETSON AMERICAS (-2)</t>
        </is>
      </c>
      <c r="AK2080" s="155" t="inlineStr">
        <is>
          <t>Criterios: I [Q] | Criterios: J [R] | Shopify Stetson: producto 14697976398187 / variante 53350616007019 | Shopify WB: producto 10310237880505 / variante 50512090300601</t>
        </is>
      </c>
      <c r="AL2080" s="58" t="n">
        <v>756.4655172</v>
      </c>
      <c r="AM2080" s="58" t="n">
        <v>1681.034483</v>
      </c>
      <c r="AN2080" s="155" t="inlineStr">
        <is>
          <t>Shopify Stetson México | Shopify Western Brothers</t>
        </is>
      </c>
      <c r="AO2080" s="59" t="n">
        <v>12</v>
      </c>
      <c r="AP2080" s="59" t="n">
        <v>1</v>
      </c>
      <c r="AQ2080" s="59" t="n"/>
      <c r="AR2080" s="155" t="inlineStr">
        <is>
          <t>Shopify Stetson México › Stetson México: 10 | Shopify Stetson México › Stetson Americas: 1 | Shopify Stetson México › Eventos: 1 | Shopify Western Brothers › Western Brothers Outlet Lerma: 1</t>
        </is>
      </c>
    </row>
    <row r="2081">
      <c r="A2081" s="50" t="inlineStr">
        <is>
          <t>724303725056</t>
        </is>
      </c>
      <c r="B2081" s="51" t="inlineStr">
        <is>
          <t>109810</t>
        </is>
      </c>
      <c r="C2081" s="156" t="inlineStr">
        <is>
          <t>Multimarca</t>
        </is>
      </c>
      <c r="D2081" s="156" t="inlineStr">
        <is>
          <t>9915500-625</t>
        </is>
      </c>
      <c r="E2081" s="156" t="inlineStr">
        <is>
          <t>9915500-625-42</t>
        </is>
      </c>
      <c r="F2081" s="156" t="inlineStr">
        <is>
          <t>42</t>
        </is>
      </c>
      <c r="G2081" s="156" t="inlineStr">
        <is>
          <t>42</t>
        </is>
      </c>
      <c r="H2081" s="156" t="inlineStr">
        <is>
          <t>Stetson</t>
        </is>
      </c>
      <c r="I2081" s="156" t="inlineStr">
        <is>
          <t>Cinturón Stetson Piel de Bisonte Conchos</t>
        </is>
      </c>
      <c r="J2081" s="156" t="inlineStr">
        <is>
          <t>Accesorios</t>
        </is>
      </c>
      <c r="K2081" s="156" t="inlineStr">
        <is>
          <t>Cinturones</t>
        </is>
      </c>
      <c r="L2081" s="156" t="inlineStr">
        <is>
          <t>Hombre</t>
        </is>
      </c>
      <c r="M2081" s="156" t="inlineStr">
        <is>
          <t>Stetson</t>
        </is>
      </c>
      <c r="N2081" s="156" t="inlineStr">
        <is>
          <t>SS26</t>
        </is>
      </c>
      <c r="O2081" s="156" t="inlineStr">
        <is>
          <t>Seasonal</t>
        </is>
      </c>
      <c r="P2081" s="156" t="inlineStr">
        <is>
          <t>Varios</t>
        </is>
      </c>
      <c r="Q2081" s="156" t="n"/>
      <c r="R2081" s="156" t="n"/>
      <c r="S2081" s="156" t="inlineStr">
        <is>
          <t>Lana</t>
        </is>
      </c>
      <c r="T2081"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1" s="156" t="n"/>
      <c r="V2081" s="156" t="inlineStr">
        <is>
          <t>PZS</t>
        </is>
      </c>
      <c r="W2081" s="51" t="inlineStr">
        <is>
          <t>53102501</t>
        </is>
      </c>
      <c r="X2081" s="156" t="inlineStr">
        <is>
          <t>https://cdn.shopify.com/s/files/1/0888/3250/8267/files/9915500-625_Hazelnut_Bison_1.jpg?v=1761950522</t>
        </is>
      </c>
      <c r="Y2081" s="54" t="n">
        <v>756.4655172</v>
      </c>
      <c r="Z2081" s="54" t="n">
        <v>1681.034483</v>
      </c>
      <c r="AA2081" s="55">
        <f>IF(AND(A2081="", B2081="", E2081=""), "", IF(AB2081="", "Válido", IF((LEN(AB2081)-LEN(SUBSTITUTE(AB2081,"; ","")))/2+1&gt;(LEN(AB2081)-LEN(SUBSTITUTE(AB2081,"[Aviso]","")))/7, "Con Incidencias", "Válido")))</f>
        <v/>
      </c>
      <c r="AB2081" s="56">
        <f>IF(AND(A2081="", B2081="", E2081=""), "", TEXTJOIN("; ", TRUE, IF(OR(TRIM(A2081&amp;"")="", ISNUMBER(SEARCH("FALTA", A2081))), "UPC faltante/inválido", ""), IF(AND(A2081&lt;&gt;"", IFERROR(_xlfn.XMATCH(A2081,$A$2:$A$2509,0,1)&lt;&gt;_xlfn.XMATCH(A2081,$A$2:$A$2509,0,-1),FALSE)), "Código de barras duplicado", ""), IF(AND(E2081&lt;&gt;"", COUNTIF($E$2:$E$2509, E2081)&gt;1), "SKU duplicado", ""), IF(OR(J2081="", J2081=""), "[Aviso] División no capturada ()", IF(ISNA(MATCH(J2081, Criterios!$A$123:$A$126, 0)), "División no válida", "")), IF(OR(K2081="", K2081=""), "[Aviso] Categoría no capturada ()", IF(ISNA(MATCH(K2081, Criterios!$A$81:$A$120, 0)), "Categoría no válida", IF(AND(J2081&lt;&gt;"", J2081&lt;&gt;"", J2081&lt;&gt;VLOOKUP(K2081, Criterios!$A$81:$B$120, 2, FALSE)), "División no coincide con Categoría", ""))), IF(OR(L2081="", L2081=""), "[Aviso] Género no capturado ()", IF(ISNA(MATCH(L2081, Criterios!$B$123:$B$127, 0)), "Género no válido", "")), IF(OR(N2081="", N2081=""), "[Aviso] Temporada no capturada ()", IF(ISNA(MATCH(N2081, Criterios!$C$123:$C$128, 0)), "Temporada no válida", "")), IF(OR(O2081="", O2081=""), "[Aviso] Ciclo de vida no capturado ()", IF(ISNA(MATCH(O2081, Criterios!$D$123:$D$124, 0)), "Ciclo de vida no válido", ""))))</f>
        <v/>
      </c>
      <c r="AC2081" s="56" t="n"/>
      <c r="AD2081" s="51" t="n">
        <v>11</v>
      </c>
      <c r="AE2081" s="156" t="inlineStr">
        <is>
          <t>B25 STETSON.MX (10); WB OUTLET LERMA (1)</t>
        </is>
      </c>
      <c r="AF2081" s="51" t="n">
        <v>11</v>
      </c>
      <c r="AG2081" s="156" t="inlineStr">
        <is>
          <t>Catálogo existente</t>
        </is>
      </c>
      <c r="AH2081" s="156" t="inlineStr">
        <is>
          <t>Revisión 29/09/2026: Campos sin respaldo: P, U, X | 01/10/2026: complementado desde Shopify Stetson México (match por código de barras): WB Color, WB Fit, WB Silueta, Enlace de imagen</t>
        </is>
      </c>
      <c r="AI2081" s="156" t="inlineStr">
        <is>
          <t>No</t>
        </is>
      </c>
      <c r="AJ2081" s="156" t="n"/>
      <c r="AK2081" s="155" t="inlineStr">
        <is>
          <t>Criterios: I [Q] | Criterios: J [R] | Shopify Stetson: producto 14697976398187 / variante 53350616039787 | Shopify WB: producto 10310237880505 / variante 50512090333369</t>
        </is>
      </c>
      <c r="AL2081" s="58" t="n">
        <v>756.4655172</v>
      </c>
      <c r="AM2081" s="58" t="n">
        <v>1681.034483</v>
      </c>
      <c r="AN2081" s="155" t="inlineStr">
        <is>
          <t>Shopify Stetson México | Shopify Western Brothers</t>
        </is>
      </c>
      <c r="AO2081" s="59" t="n">
        <v>16</v>
      </c>
      <c r="AP2081" s="59" t="n">
        <v>1</v>
      </c>
      <c r="AQ2081" s="59" t="n"/>
      <c r="AR2081" s="155" t="inlineStr">
        <is>
          <t>Shopify Stetson México › Stetson México: 10 | Shopify Stetson México › Stetson Americas: 5 | Shopify Stetson México › Eventos: 1 | Shopify Western Brothers › Western Brothers Outlet Lerma: 1</t>
        </is>
      </c>
    </row>
    <row r="2082">
      <c r="A2082" s="50" t="inlineStr">
        <is>
          <t>724303725063</t>
        </is>
      </c>
      <c r="B2082" s="51" t="inlineStr">
        <is>
          <t>109811</t>
        </is>
      </c>
      <c r="C2082" s="156" t="inlineStr">
        <is>
          <t>Multimarca</t>
        </is>
      </c>
      <c r="D2082" s="156" t="inlineStr">
        <is>
          <t>9915500-625</t>
        </is>
      </c>
      <c r="E2082" s="156" t="inlineStr">
        <is>
          <t>9915500-625-44</t>
        </is>
      </c>
      <c r="F2082" s="156" t="inlineStr">
        <is>
          <t>44</t>
        </is>
      </c>
      <c r="G2082" s="156" t="inlineStr">
        <is>
          <t>44</t>
        </is>
      </c>
      <c r="H2082" s="156" t="inlineStr">
        <is>
          <t>Stetson</t>
        </is>
      </c>
      <c r="I2082" s="156" t="inlineStr">
        <is>
          <t>Cinturón Stetson Piel de Bisonte Conchos</t>
        </is>
      </c>
      <c r="J2082" s="156" t="inlineStr">
        <is>
          <t>Accesorios</t>
        </is>
      </c>
      <c r="K2082" s="156" t="inlineStr">
        <is>
          <t>Cinturones</t>
        </is>
      </c>
      <c r="L2082" s="156" t="inlineStr">
        <is>
          <t>Hombre</t>
        </is>
      </c>
      <c r="M2082" s="156" t="inlineStr">
        <is>
          <t>Stetson</t>
        </is>
      </c>
      <c r="N2082" s="156" t="inlineStr">
        <is>
          <t>SS26</t>
        </is>
      </c>
      <c r="O2082" s="156" t="inlineStr">
        <is>
          <t>Seasonal</t>
        </is>
      </c>
      <c r="P2082" s="156" t="inlineStr">
        <is>
          <t>Varios</t>
        </is>
      </c>
      <c r="Q2082" s="156" t="n"/>
      <c r="R2082" s="156" t="n"/>
      <c r="S2082" s="156" t="inlineStr">
        <is>
          <t>Lana</t>
        </is>
      </c>
      <c r="T2082"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2" s="156" t="n"/>
      <c r="V2082" s="156" t="inlineStr">
        <is>
          <t>PZS</t>
        </is>
      </c>
      <c r="W2082" s="51" t="inlineStr">
        <is>
          <t>53102501</t>
        </is>
      </c>
      <c r="X2082" s="156" t="inlineStr">
        <is>
          <t>https://cdn.shopify.com/s/files/1/0888/3250/8267/files/9915500-625_Hazelnut_Bison_1.jpg?v=1761950522</t>
        </is>
      </c>
      <c r="Y2082" s="54" t="n">
        <v>756.4655172</v>
      </c>
      <c r="Z2082" s="54" t="n">
        <v>1681.034483</v>
      </c>
      <c r="AA2082" s="55">
        <f>IF(AND(A2082="", B2082="", E2082=""), "", IF(AB2082="", "Válido", IF((LEN(AB2082)-LEN(SUBSTITUTE(AB2082,"; ","")))/2+1&gt;(LEN(AB2082)-LEN(SUBSTITUTE(AB2082,"[Aviso]","")))/7, "Con Incidencias", "Válido")))</f>
        <v/>
      </c>
      <c r="AB2082" s="56">
        <f>IF(AND(A2082="", B2082="", E2082=""), "", TEXTJOIN("; ", TRUE, IF(OR(TRIM(A2082&amp;"")="", ISNUMBER(SEARCH("FALTA", A2082))), "UPC faltante/inválido", ""), IF(AND(A2082&lt;&gt;"", IFERROR(_xlfn.XMATCH(A2082,$A$2:$A$2509,0,1)&lt;&gt;_xlfn.XMATCH(A2082,$A$2:$A$2509,0,-1),FALSE)), "Código de barras duplicado", ""), IF(AND(E2082&lt;&gt;"", COUNTIF($E$2:$E$2509, E2082)&gt;1), "SKU duplicado", ""), IF(OR(J2082="", J2082=""), "[Aviso] División no capturada ()", IF(ISNA(MATCH(J2082, Criterios!$A$123:$A$126, 0)), "División no válida", "")), IF(OR(K2082="", K2082=""), "[Aviso] Categoría no capturada ()", IF(ISNA(MATCH(K2082, Criterios!$A$81:$A$120, 0)), "Categoría no válida", IF(AND(J2082&lt;&gt;"", J2082&lt;&gt;"", J2082&lt;&gt;VLOOKUP(K2082, Criterios!$A$81:$B$120, 2, FALSE)), "División no coincide con Categoría", ""))), IF(OR(L2082="", L2082=""), "[Aviso] Género no capturado ()", IF(ISNA(MATCH(L2082, Criterios!$B$123:$B$127, 0)), "Género no válido", "")), IF(OR(N2082="", N2082=""), "[Aviso] Temporada no capturada ()", IF(ISNA(MATCH(N2082, Criterios!$C$123:$C$128, 0)), "Temporada no válida", "")), IF(OR(O2082="", O2082=""), "[Aviso] Ciclo de vida no capturado ()", IF(ISNA(MATCH(O2082, Criterios!$D$123:$D$124, 0)), "Ciclo de vida no válido", ""))))</f>
        <v/>
      </c>
      <c r="AC2082" s="56" t="n"/>
      <c r="AD2082" s="51" t="n">
        <v>9</v>
      </c>
      <c r="AE2082" s="156" t="inlineStr">
        <is>
          <t>PUNTO DE VENTA (1); B25 STETSON.MX (8)</t>
        </is>
      </c>
      <c r="AF2082" s="51" t="n">
        <v>9</v>
      </c>
      <c r="AG2082" s="156" t="inlineStr">
        <is>
          <t>Catálogo existente</t>
        </is>
      </c>
      <c r="AH2082" s="156" t="inlineStr">
        <is>
          <t>Revisión 29/09/2026: Campos sin respaldo: P, U, X | 01/10/2026: complementado desde Shopify Stetson México (match por código de barras): WB Color, WB Fit, WB Silueta, Enlace de imagen</t>
        </is>
      </c>
      <c r="AI2082" s="156" t="inlineStr">
        <is>
          <t>No</t>
        </is>
      </c>
      <c r="AJ2082" s="156" t="n"/>
      <c r="AK2082" s="155" t="inlineStr">
        <is>
          <t>Criterios: I [Q] | Criterios: J [R] | Shopify Stetson: producto 14697976398187 / variante 53350616072555</t>
        </is>
      </c>
      <c r="AL2082" s="58" t="n">
        <v>756.4655172</v>
      </c>
      <c r="AM2082" s="58" t="n">
        <v>1681.034483</v>
      </c>
      <c r="AN2082" s="155" t="inlineStr">
        <is>
          <t>Shopify Stetson México</t>
        </is>
      </c>
      <c r="AO2082" s="59" t="n">
        <v>10</v>
      </c>
      <c r="AP2082" s="59" t="n"/>
      <c r="AQ2082" s="59" t="n"/>
      <c r="AR2082" s="155" t="inlineStr">
        <is>
          <t>Shopify Stetson México › Stetson México: 8 | Shopify Stetson México › Stetson Americas: 1 | Shopify Stetson México › Eventos: 1</t>
        </is>
      </c>
    </row>
    <row r="2083">
      <c r="A2083" s="50" t="inlineStr">
        <is>
          <t>724303725070</t>
        </is>
      </c>
      <c r="B2083" s="51" t="inlineStr">
        <is>
          <t>109812</t>
        </is>
      </c>
      <c r="C2083" s="156" t="inlineStr">
        <is>
          <t>Multimarca</t>
        </is>
      </c>
      <c r="D2083" s="156" t="inlineStr">
        <is>
          <t>9915500-625</t>
        </is>
      </c>
      <c r="E2083" s="156" t="inlineStr">
        <is>
          <t>9915500-625-46</t>
        </is>
      </c>
      <c r="F2083" s="156" t="inlineStr">
        <is>
          <t>46</t>
        </is>
      </c>
      <c r="G2083" s="156" t="inlineStr">
        <is>
          <t>46</t>
        </is>
      </c>
      <c r="H2083" s="156" t="inlineStr">
        <is>
          <t>Stetson</t>
        </is>
      </c>
      <c r="I2083" s="156" t="inlineStr">
        <is>
          <t>Cinturón Stetson Piel de Bisonte Conchos</t>
        </is>
      </c>
      <c r="J2083" s="156" t="inlineStr">
        <is>
          <t>Accesorios</t>
        </is>
      </c>
      <c r="K2083" s="156" t="inlineStr">
        <is>
          <t>Cinturones</t>
        </is>
      </c>
      <c r="L2083" s="156" t="inlineStr">
        <is>
          <t>Hombre</t>
        </is>
      </c>
      <c r="M2083" s="156" t="inlineStr">
        <is>
          <t>Stetson</t>
        </is>
      </c>
      <c r="N2083" s="156" t="inlineStr">
        <is>
          <t>SS26</t>
        </is>
      </c>
      <c r="O2083" s="156" t="inlineStr">
        <is>
          <t>Seasonal</t>
        </is>
      </c>
      <c r="P2083" s="156" t="inlineStr">
        <is>
          <t>Varios</t>
        </is>
      </c>
      <c r="Q2083" s="156" t="n"/>
      <c r="R2083" s="156" t="n"/>
      <c r="S2083" s="156" t="inlineStr">
        <is>
          <t>Lana</t>
        </is>
      </c>
      <c r="T2083"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3" s="156" t="n"/>
      <c r="V2083" s="156" t="inlineStr">
        <is>
          <t>PZS</t>
        </is>
      </c>
      <c r="W2083" s="51" t="inlineStr">
        <is>
          <t>53102501</t>
        </is>
      </c>
      <c r="X2083" s="156" t="inlineStr">
        <is>
          <t>https://cdn.shopify.com/s/files/1/0888/3250/8267/files/9915500-625_Hazelnut_Bison_1.jpg?v=1761950522</t>
        </is>
      </c>
      <c r="Y2083" s="54" t="n">
        <v>756.4655172</v>
      </c>
      <c r="Z2083" s="54" t="n">
        <v>1681.034483</v>
      </c>
      <c r="AA2083" s="55">
        <f>IF(AND(A2083="", B2083="", E2083=""), "", IF(AB2083="", "Válido", IF((LEN(AB2083)-LEN(SUBSTITUTE(AB2083,"; ","")))/2+1&gt;(LEN(AB2083)-LEN(SUBSTITUTE(AB2083,"[Aviso]","")))/7, "Con Incidencias", "Válido")))</f>
        <v/>
      </c>
      <c r="AB2083" s="56">
        <f>IF(AND(A2083="", B2083="", E2083=""), "", TEXTJOIN("; ", TRUE, IF(OR(TRIM(A2083&amp;"")="", ISNUMBER(SEARCH("FALTA", A2083))), "UPC faltante/inválido", ""), IF(AND(A2083&lt;&gt;"", IFERROR(_xlfn.XMATCH(A2083,$A$2:$A$2509,0,1)&lt;&gt;_xlfn.XMATCH(A2083,$A$2:$A$2509,0,-1),FALSE)), "Código de barras duplicado", ""), IF(AND(E2083&lt;&gt;"", COUNTIF($E$2:$E$2509, E2083)&gt;1), "SKU duplicado", ""), IF(OR(J2083="", J2083=""), "[Aviso] División no capturada ()", IF(ISNA(MATCH(J2083, Criterios!$A$123:$A$126, 0)), "División no válida", "")), IF(OR(K2083="", K2083=""), "[Aviso] Categoría no capturada ()", IF(ISNA(MATCH(K2083, Criterios!$A$81:$A$120, 0)), "Categoría no válida", IF(AND(J2083&lt;&gt;"", J2083&lt;&gt;"", J2083&lt;&gt;VLOOKUP(K2083, Criterios!$A$81:$B$120, 2, FALSE)), "División no coincide con Categoría", ""))), IF(OR(L2083="", L2083=""), "[Aviso] Género no capturado ()", IF(ISNA(MATCH(L2083, Criterios!$B$123:$B$127, 0)), "Género no válido", "")), IF(OR(N2083="", N2083=""), "[Aviso] Temporada no capturada ()", IF(ISNA(MATCH(N2083, Criterios!$C$123:$C$128, 0)), "Temporada no válida", "")), IF(OR(O2083="", O2083=""), "[Aviso] Ciclo de vida no capturado ()", IF(ISNA(MATCH(O2083, Criterios!$D$123:$D$124, 0)), "Ciclo de vida no válido", ""))))</f>
        <v/>
      </c>
      <c r="AC2083" s="56" t="n"/>
      <c r="AD2083" s="51" t="n">
        <v>5</v>
      </c>
      <c r="AE2083" s="156" t="inlineStr">
        <is>
          <t>B25 STETSON.MX (4); WB OUTLET LERMA (1)</t>
        </is>
      </c>
      <c r="AF2083" s="51" t="n">
        <v>5</v>
      </c>
      <c r="AG2083" s="156" t="inlineStr">
        <is>
          <t>Catálogo existente</t>
        </is>
      </c>
      <c r="AH2083" s="156" t="inlineStr">
        <is>
          <t>Revisión 29/09/2026: Campos sin respaldo: P, U, X | 01/10/2026: complementado desde Shopify Stetson México (match por código de barras): WB Color, WB Fit, WB Silueta, Enlace de imagen</t>
        </is>
      </c>
      <c r="AI2083" s="156" t="inlineStr">
        <is>
          <t>No</t>
        </is>
      </c>
      <c r="AJ2083" s="156" t="n"/>
      <c r="AK2083" s="155" t="inlineStr">
        <is>
          <t>Criterios: I [Q] | Criterios: J [R] | Shopify Stetson: producto 14697976398187 / variante 53350616105323 | Shopify WB: producto 10310237880505 / variante 50512090366137</t>
        </is>
      </c>
      <c r="AL2083" s="58" t="n">
        <v>756.4655172</v>
      </c>
      <c r="AM2083" s="58" t="n">
        <v>1681.034483</v>
      </c>
      <c r="AN2083" s="155" t="inlineStr">
        <is>
          <t>Shopify Stetson México | Shopify Western Brothers</t>
        </is>
      </c>
      <c r="AO2083" s="59" t="n">
        <v>6</v>
      </c>
      <c r="AP2083" s="59" t="n">
        <v>1</v>
      </c>
      <c r="AQ2083" s="59" t="n"/>
      <c r="AR2083" s="155" t="inlineStr">
        <is>
          <t>Shopify Stetson México › Stetson México: 4 | Shopify Stetson México › Stetson Americas: 1 | Shopify Stetson México › Eventos: 1 | Shopify Western Brothers › Western Brothers Outlet Lerma: 1</t>
        </is>
      </c>
    </row>
    <row r="2084">
      <c r="A2084" s="50" t="inlineStr">
        <is>
          <t>724303725094</t>
        </is>
      </c>
      <c r="B2084" s="51" t="n"/>
      <c r="C2084" s="156" t="inlineStr">
        <is>
          <t>Multimarca</t>
        </is>
      </c>
      <c r="D2084" s="156" t="inlineStr">
        <is>
          <t>9917500-014</t>
        </is>
      </c>
      <c r="E2084" s="156" t="inlineStr">
        <is>
          <t>9917500-014-32</t>
        </is>
      </c>
      <c r="F2084" s="156" t="inlineStr">
        <is>
          <t>32</t>
        </is>
      </c>
      <c r="G2084" s="156" t="inlineStr">
        <is>
          <t>32</t>
        </is>
      </c>
      <c r="H2084" s="156" t="inlineStr">
        <is>
          <t>Stetson</t>
        </is>
      </c>
      <c r="I2084" s="156" t="inlineStr">
        <is>
          <t>Cinturón Stetson Piel Clásico Black</t>
        </is>
      </c>
      <c r="J2084" s="156" t="inlineStr">
        <is>
          <t>Accesorios</t>
        </is>
      </c>
      <c r="K2084" s="156" t="inlineStr">
        <is>
          <t>Cinturones</t>
        </is>
      </c>
      <c r="L2084" s="156" t="inlineStr">
        <is>
          <t>Hombre</t>
        </is>
      </c>
      <c r="M2084" s="156" t="inlineStr">
        <is>
          <t>Stetson</t>
        </is>
      </c>
      <c r="N2084" s="156" t="inlineStr">
        <is>
          <t>SS26</t>
        </is>
      </c>
      <c r="O2084" s="156" t="inlineStr">
        <is>
          <t>Seasonal</t>
        </is>
      </c>
      <c r="P2084" s="156" t="inlineStr">
        <is>
          <t>Negro</t>
        </is>
      </c>
      <c r="Q2084" s="156" t="n"/>
      <c r="R2084" s="156" t="n"/>
      <c r="S2084" s="156" t="n"/>
      <c r="T2084"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 Modelo: Cinturón Stetson Clasic Black 7500 38mm
 • Ancho: 38 mm (1 1/2")
 • Material: Cuero exótico genuino de caimán
 • Diseño:
  - Correa en piel de caimán con textura natural
  - Extremos estilo western en caimán a juego
  - Bordes perfilados con costura tonal
  - Hebilla metálica Stetson con acabado bicolor
  - Color: Negro
  - Estilo: Occidental / Western
  - Tallas disponibles: 32 | 34 | 36 | 38 | 40 | 42 | 44 | 46</t>
        </is>
      </c>
      <c r="U2084" s="156" t="n"/>
      <c r="V2084" s="156" t="inlineStr">
        <is>
          <t>PZS</t>
        </is>
      </c>
      <c r="W2084" s="51" t="inlineStr">
        <is>
          <t>53102501</t>
        </is>
      </c>
      <c r="X2084" s="156" t="inlineStr">
        <is>
          <t>https://cdn.shopify.com/s/files/1/0888/3250/8267/files/9917500-014.jpg?v=1745269327</t>
        </is>
      </c>
      <c r="Y2084" s="54" t="n">
        <v>2327.586207</v>
      </c>
      <c r="Z2084" s="54" t="n">
        <v>6000</v>
      </c>
      <c r="AA2084" s="55">
        <f>IF(AND(A2084="", B2084="", E2084=""), "", IF(AB2084="", "Válido", IF((LEN(AB2084)-LEN(SUBSTITUTE(AB2084,"; ","")))/2+1&gt;(LEN(AB2084)-LEN(SUBSTITUTE(AB2084,"[Aviso]","")))/7, "Con Incidencias", "Válido")))</f>
        <v/>
      </c>
      <c r="AB2084" s="56">
        <f>IF(AND(A2084="", B2084="", E2084=""), "", TEXTJOIN("; ", TRUE, IF(OR(TRIM(A2084&amp;"")="", ISNUMBER(SEARCH("FALTA", A2084))), "UPC faltante/inválido", ""), IF(AND(A2084&lt;&gt;"", IFERROR(_xlfn.XMATCH(A2084,$A$2:$A$2509,0,1)&lt;&gt;_xlfn.XMATCH(A2084,$A$2:$A$2509,0,-1),FALSE)), "Código de barras duplicado", ""), IF(AND(E2084&lt;&gt;"", COUNTIF($E$2:$E$2509, E2084)&gt;1), "SKU duplicado", ""), IF(OR(J2084="", J2084=""), "[Aviso] División no capturada ()", IF(ISNA(MATCH(J2084, Criterios!$A$123:$A$126, 0)), "División no válida", "")), IF(OR(K2084="", K2084=""), "[Aviso] Categoría no capturada ()", IF(ISNA(MATCH(K2084, Criterios!$A$81:$A$120, 0)), "Categoría no válida", IF(AND(J2084&lt;&gt;"", J2084&lt;&gt;"", J2084&lt;&gt;VLOOKUP(K2084, Criterios!$A$81:$B$120, 2, FALSE)), "División no coincide con Categoría", ""))), IF(OR(L2084="", L2084=""), "[Aviso] Género no capturado ()", IF(ISNA(MATCH(L2084, Criterios!$B$123:$B$127, 0)), "Género no válido", "")), IF(OR(N2084="", N2084=""), "[Aviso] Temporada no capturada ()", IF(ISNA(MATCH(N2084, Criterios!$C$123:$C$128, 0)), "Temporada no válida", "")), IF(OR(O2084="", O2084=""), "[Aviso] Ciclo de vida no capturado ()", IF(ISNA(MATCH(O2084, Criterios!$D$123:$D$124, 0)), "Ciclo de vida no válido", ""))))</f>
        <v/>
      </c>
      <c r="AC2084" s="56" t="n"/>
      <c r="AD2084" s="51" t="n">
        <v>0</v>
      </c>
      <c r="AE2084" s="156" t="inlineStr">
        <is>
          <t>Sin coincidencia en NetSuite</t>
        </is>
      </c>
      <c r="AF2084" s="51" t="n"/>
      <c r="AG2084" s="156" t="inlineStr">
        <is>
          <t>Catálogo existente</t>
        </is>
      </c>
      <c r="AH2084"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84" s="156" t="n"/>
      <c r="AJ2084" s="156" t="n"/>
      <c r="AK2084" s="155" t="inlineStr">
        <is>
          <t>Shopify Stetson: producto 14697991733611 / variante 52013896270187</t>
        </is>
      </c>
      <c r="AL2084" s="58" t="n">
        <v>2327.586207</v>
      </c>
      <c r="AM2084" s="58" t="n">
        <v>6000</v>
      </c>
      <c r="AN2084" s="155" t="inlineStr">
        <is>
          <t>Shopify Stetson México</t>
        </is>
      </c>
      <c r="AO2084" s="59" t="n">
        <v>0</v>
      </c>
      <c r="AP2084" s="59" t="n"/>
      <c r="AQ2084" s="59" t="n"/>
      <c r="AR2084" s="155" t="n"/>
    </row>
    <row r="2085">
      <c r="A2085" s="50" t="inlineStr">
        <is>
          <t>724303725100</t>
        </is>
      </c>
      <c r="B2085" s="51" t="n"/>
      <c r="C2085" s="156" t="inlineStr">
        <is>
          <t>Multimarca</t>
        </is>
      </c>
      <c r="D2085" s="156" t="inlineStr">
        <is>
          <t>9917500-014</t>
        </is>
      </c>
      <c r="E2085" s="156" t="inlineStr">
        <is>
          <t>9917500-014-34</t>
        </is>
      </c>
      <c r="F2085" s="156" t="inlineStr">
        <is>
          <t>34</t>
        </is>
      </c>
      <c r="G2085" s="156" t="inlineStr">
        <is>
          <t>34</t>
        </is>
      </c>
      <c r="H2085" s="156" t="inlineStr">
        <is>
          <t>Stetson</t>
        </is>
      </c>
      <c r="I2085" s="156" t="inlineStr">
        <is>
          <t>Cinturón Stetson Piel Clásico Black</t>
        </is>
      </c>
      <c r="J2085" s="156" t="inlineStr">
        <is>
          <t>Accesorios</t>
        </is>
      </c>
      <c r="K2085" s="156" t="inlineStr">
        <is>
          <t>Cinturones</t>
        </is>
      </c>
      <c r="L2085" s="156" t="inlineStr">
        <is>
          <t>Hombre</t>
        </is>
      </c>
      <c r="M2085" s="156" t="inlineStr">
        <is>
          <t>Stetson</t>
        </is>
      </c>
      <c r="N2085" s="156" t="inlineStr">
        <is>
          <t>SS26</t>
        </is>
      </c>
      <c r="O2085" s="156" t="inlineStr">
        <is>
          <t>Seasonal</t>
        </is>
      </c>
      <c r="P2085" s="156" t="inlineStr">
        <is>
          <t>Negro</t>
        </is>
      </c>
      <c r="Q2085" s="156" t="n"/>
      <c r="R2085" s="156" t="n"/>
      <c r="S2085" s="156" t="n"/>
      <c r="T2085"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 Modelo: Cinturón Stetson Clasic Black 7500 38mm
 • Ancho: 38 mm (1 1/2")
 • Material: Cuero exótico genuino de caimán
 • Diseño:
  - Correa en piel de caimán con textura natural
  - Extremos estilo western en caimán a juego
  - Bordes perfilados con costura tonal
  - Hebilla metálica Stetson con acabado bicolor
  - Color: Negro
  - Estilo: Occidental / Western
  - Tallas disponibles: 32 | 34 | 36 | 38 | 40 | 42 | 44 | 46</t>
        </is>
      </c>
      <c r="U2085" s="156" t="n"/>
      <c r="V2085" s="156" t="inlineStr">
        <is>
          <t>PZS</t>
        </is>
      </c>
      <c r="W2085" s="51" t="inlineStr">
        <is>
          <t>53102501</t>
        </is>
      </c>
      <c r="X2085" s="156" t="inlineStr">
        <is>
          <t>https://cdn.shopify.com/s/files/1/0888/3250/8267/files/9917500-014.jpg?v=1745269327</t>
        </is>
      </c>
      <c r="Y2085" s="54" t="n">
        <v>2327.586207</v>
      </c>
      <c r="Z2085" s="54" t="n">
        <v>6000</v>
      </c>
      <c r="AA2085" s="55">
        <f>IF(AND(A2085="", B2085="", E2085=""), "", IF(AB2085="", "Válido", IF((LEN(AB2085)-LEN(SUBSTITUTE(AB2085,"; ","")))/2+1&gt;(LEN(AB2085)-LEN(SUBSTITUTE(AB2085,"[Aviso]","")))/7, "Con Incidencias", "Válido")))</f>
        <v/>
      </c>
      <c r="AB2085" s="56">
        <f>IF(AND(A2085="", B2085="", E2085=""), "", TEXTJOIN("; ", TRUE, IF(OR(TRIM(A2085&amp;"")="", ISNUMBER(SEARCH("FALTA", A2085))), "UPC faltante/inválido", ""), IF(AND(A2085&lt;&gt;"", IFERROR(_xlfn.XMATCH(A2085,$A$2:$A$2509,0,1)&lt;&gt;_xlfn.XMATCH(A2085,$A$2:$A$2509,0,-1),FALSE)), "Código de barras duplicado", ""), IF(AND(E2085&lt;&gt;"", COUNTIF($E$2:$E$2509, E2085)&gt;1), "SKU duplicado", ""), IF(OR(J2085="", J2085=""), "[Aviso] División no capturada ()", IF(ISNA(MATCH(J2085, Criterios!$A$123:$A$126, 0)), "División no válida", "")), IF(OR(K2085="", K2085=""), "[Aviso] Categoría no capturada ()", IF(ISNA(MATCH(K2085, Criterios!$A$81:$A$120, 0)), "Categoría no válida", IF(AND(J2085&lt;&gt;"", J2085&lt;&gt;"", J2085&lt;&gt;VLOOKUP(K2085, Criterios!$A$81:$B$120, 2, FALSE)), "División no coincide con Categoría", ""))), IF(OR(L2085="", L2085=""), "[Aviso] Género no capturado ()", IF(ISNA(MATCH(L2085, Criterios!$B$123:$B$127, 0)), "Género no válido", "")), IF(OR(N2085="", N2085=""), "[Aviso] Temporada no capturada ()", IF(ISNA(MATCH(N2085, Criterios!$C$123:$C$128, 0)), "Temporada no válida", "")), IF(OR(O2085="", O2085=""), "[Aviso] Ciclo de vida no capturado ()", IF(ISNA(MATCH(O2085, Criterios!$D$123:$D$124, 0)), "Ciclo de vida no válido", ""))))</f>
        <v/>
      </c>
      <c r="AC2085" s="56" t="n"/>
      <c r="AD2085" s="51" t="n">
        <v>0</v>
      </c>
      <c r="AE2085" s="156" t="inlineStr">
        <is>
          <t>Sin coincidencia en NetSuite</t>
        </is>
      </c>
      <c r="AF2085" s="51" t="n"/>
      <c r="AG2085" s="156" t="inlineStr">
        <is>
          <t>Catálogo existente</t>
        </is>
      </c>
      <c r="AH2085" s="156" t="inlineStr">
        <is>
          <t>No se encontró en Hoja a Revisar por ID interno ni por código de barras | 01/10/2026: complementado desde Shopify Stetson México (match por código de barras): WB Fit, WB Silueta, Enlace de imagen | Homologación G1522 06/10/2026: Validador Shopify: ST: precio con IVA no es múltiplo de 50</t>
        </is>
      </c>
      <c r="AI2085" s="156" t="n"/>
      <c r="AJ2085" s="156" t="n"/>
      <c r="AK2085" s="155" t="inlineStr">
        <is>
          <t>Shopify Stetson: producto 14697991733611 / variante 52013896302955</t>
        </is>
      </c>
      <c r="AL2085" s="58" t="n">
        <v>2327.586207</v>
      </c>
      <c r="AM2085" s="58" t="n">
        <v>6000</v>
      </c>
      <c r="AN2085" s="155" t="inlineStr">
        <is>
          <t>Shopify Stetson México</t>
        </is>
      </c>
      <c r="AO2085" s="59" t="n">
        <v>0</v>
      </c>
      <c r="AP2085" s="59" t="n"/>
      <c r="AQ2085" s="59" t="n"/>
      <c r="AR2085" s="155" t="n"/>
    </row>
    <row r="2086">
      <c r="A2086" s="50" t="inlineStr">
        <is>
          <t>724303725186</t>
        </is>
      </c>
      <c r="B2086" s="51" t="inlineStr">
        <is>
          <t>109838</t>
        </is>
      </c>
      <c r="C2086" s="156" t="inlineStr">
        <is>
          <t>Multimarca</t>
        </is>
      </c>
      <c r="D2086" s="156" t="inlineStr">
        <is>
          <t>9917500-238</t>
        </is>
      </c>
      <c r="E2086" s="156" t="inlineStr">
        <is>
          <t>9917500-238-32</t>
        </is>
      </c>
      <c r="F2086" s="156" t="inlineStr">
        <is>
          <t>32</t>
        </is>
      </c>
      <c r="G2086" s="156" t="inlineStr">
        <is>
          <t>32</t>
        </is>
      </c>
      <c r="H2086" s="156" t="inlineStr">
        <is>
          <t>Stetson</t>
        </is>
      </c>
      <c r="I2086" s="156" t="inlineStr">
        <is>
          <t>Cinturón Stetson Cigar Classic Caballero</t>
        </is>
      </c>
      <c r="J2086" s="156" t="inlineStr">
        <is>
          <t>Accesorios</t>
        </is>
      </c>
      <c r="K2086" s="156" t="inlineStr">
        <is>
          <t>Cinturones</t>
        </is>
      </c>
      <c r="L2086" s="156" t="inlineStr">
        <is>
          <t>Hombre</t>
        </is>
      </c>
      <c r="M2086" s="156" t="inlineStr">
        <is>
          <t>Stetson</t>
        </is>
      </c>
      <c r="N2086" s="156" t="inlineStr">
        <is>
          <t>SS26</t>
        </is>
      </c>
      <c r="O2086" s="156" t="inlineStr">
        <is>
          <t>Seasonal</t>
        </is>
      </c>
      <c r="P2086" s="156" t="inlineStr">
        <is>
          <t>Cafe</t>
        </is>
      </c>
      <c r="Q2086" s="156" t="n"/>
      <c r="R2086" s="156" t="n"/>
      <c r="S2086" s="156" t="n"/>
      <c r="T2086"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6" s="156" t="n"/>
      <c r="V2086" s="156" t="inlineStr">
        <is>
          <t>PZS</t>
        </is>
      </c>
      <c r="W2086" s="51" t="inlineStr">
        <is>
          <t>53102501</t>
        </is>
      </c>
      <c r="X2086" s="156" t="inlineStr">
        <is>
          <t>https://cdn.shopify.com/s/files/1/0888/3250/8267/files/9917500-232.jpg?v=1745269612</t>
        </is>
      </c>
      <c r="Y2086" s="54" t="n">
        <v>1163.793103</v>
      </c>
      <c r="Z2086" s="54" t="n">
        <v>2586.206897</v>
      </c>
      <c r="AA2086" s="55">
        <f>IF(AND(A2086="", B2086="", E2086=""), "", IF(AB2086="", "Válido", IF((LEN(AB2086)-LEN(SUBSTITUTE(AB2086,"; ","")))/2+1&gt;(LEN(AB2086)-LEN(SUBSTITUTE(AB2086,"[Aviso]","")))/7, "Con Incidencias", "Válido")))</f>
        <v/>
      </c>
      <c r="AB2086" s="56">
        <f>IF(AND(A2086="", B2086="", E2086=""), "", TEXTJOIN("; ", TRUE, IF(OR(TRIM(A2086&amp;"")="", ISNUMBER(SEARCH("FALTA", A2086))), "UPC faltante/inválido", ""), IF(AND(A2086&lt;&gt;"", IFERROR(_xlfn.XMATCH(A2086,$A$2:$A$2509,0,1)&lt;&gt;_xlfn.XMATCH(A2086,$A$2:$A$2509,0,-1),FALSE)), "Código de barras duplicado", ""), IF(AND(E2086&lt;&gt;"", COUNTIF($E$2:$E$2509, E2086)&gt;1), "SKU duplicado", ""), IF(OR(J2086="", J2086=""), "[Aviso] División no capturada ()", IF(ISNA(MATCH(J2086, Criterios!$A$123:$A$126, 0)), "División no válida", "")), IF(OR(K2086="", K2086=""), "[Aviso] Categoría no capturada ()", IF(ISNA(MATCH(K2086, Criterios!$A$81:$A$120, 0)), "Categoría no válida", IF(AND(J2086&lt;&gt;"", J2086&lt;&gt;"", J2086&lt;&gt;VLOOKUP(K2086, Criterios!$A$81:$B$120, 2, FALSE)), "División no coincide con Categoría", ""))), IF(OR(L2086="", L2086=""), "[Aviso] Género no capturado ()", IF(ISNA(MATCH(L2086, Criterios!$B$123:$B$127, 0)), "Género no válido", "")), IF(OR(N2086="", N2086=""), "[Aviso] Temporada no capturada ()", IF(ISNA(MATCH(N2086, Criterios!$C$123:$C$128, 0)), "Temporada no válida", "")), IF(OR(O2086="", O2086=""), "[Aviso] Ciclo de vida no capturado ()", IF(ISNA(MATCH(O2086, Criterios!$D$123:$D$124, 0)), "Ciclo de vida no válido", ""))))</f>
        <v/>
      </c>
      <c r="AC2086" s="56" t="n"/>
      <c r="AD2086" s="51" t="n">
        <v>0</v>
      </c>
      <c r="AE2086" s="156" t="n"/>
      <c r="AF2086" s="51" t="n">
        <v>0</v>
      </c>
      <c r="AG2086" s="156" t="inlineStr">
        <is>
          <t>Catálogo existente</t>
        </is>
      </c>
      <c r="AH2086" s="156" t="inlineStr">
        <is>
          <t>Revisión 29/09/2026: Campos sin respaldo: S, U | 01/10/2026: complementado desde Shopify Stetson México (match por código de barras): WB Fit, WB Silueta, WB Descripción larga</t>
        </is>
      </c>
      <c r="AI2086" s="156" t="inlineStr">
        <is>
          <t>No</t>
        </is>
      </c>
      <c r="AJ2086" s="156" t="n"/>
      <c r="AK2086" s="155" t="inlineStr">
        <is>
          <t>Criterios: I [Q] | Criterios: J [R] | Shopify Stetson: producto 14697992847723 / variante 52013900497259</t>
        </is>
      </c>
      <c r="AL2086" s="58" t="n">
        <v>1163.793103</v>
      </c>
      <c r="AM2086" s="58" t="n">
        <v>2586.206897</v>
      </c>
      <c r="AN2086" s="155" t="inlineStr">
        <is>
          <t>Shopify Stetson México</t>
        </is>
      </c>
      <c r="AO2086" s="59" t="n">
        <v>0</v>
      </c>
      <c r="AP2086" s="59" t="n"/>
      <c r="AQ2086" s="59" t="n"/>
      <c r="AR2086" s="155" t="n"/>
    </row>
    <row r="2087">
      <c r="A2087" s="50" t="inlineStr">
        <is>
          <t>724303725193</t>
        </is>
      </c>
      <c r="B2087" s="51" t="inlineStr">
        <is>
          <t>109831</t>
        </is>
      </c>
      <c r="C2087" s="156" t="inlineStr">
        <is>
          <t>Multimarca</t>
        </is>
      </c>
      <c r="D2087" s="156" t="inlineStr">
        <is>
          <t>9917500-232</t>
        </is>
      </c>
      <c r="E2087" s="156" t="inlineStr">
        <is>
          <t>9917500-232-34</t>
        </is>
      </c>
      <c r="F2087" s="156" t="inlineStr">
        <is>
          <t>34</t>
        </is>
      </c>
      <c r="G2087" s="156" t="inlineStr">
        <is>
          <t>34</t>
        </is>
      </c>
      <c r="H2087" s="156" t="inlineStr">
        <is>
          <t>Stetson</t>
        </is>
      </c>
      <c r="I2087" s="156" t="inlineStr">
        <is>
          <t>Cinturón Stetson Cigar Classic Caballero 34</t>
        </is>
      </c>
      <c r="J2087" s="156" t="inlineStr">
        <is>
          <t>Accesorios</t>
        </is>
      </c>
      <c r="K2087" s="156" t="inlineStr">
        <is>
          <t>Cinturones</t>
        </is>
      </c>
      <c r="L2087" s="156" t="inlineStr">
        <is>
          <t>Hombre</t>
        </is>
      </c>
      <c r="M2087" s="156" t="inlineStr">
        <is>
          <t>Stetson</t>
        </is>
      </c>
      <c r="N2087" s="156" t="inlineStr">
        <is>
          <t>SS26</t>
        </is>
      </c>
      <c r="O2087" s="156" t="inlineStr">
        <is>
          <t>Seasonal</t>
        </is>
      </c>
      <c r="P2087" s="156" t="inlineStr">
        <is>
          <t>Cafe</t>
        </is>
      </c>
      <c r="Q2087" s="156" t="n"/>
      <c r="R2087" s="156" t="n"/>
      <c r="S2087" s="156" t="n"/>
      <c r="T2087"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7" s="156" t="n"/>
      <c r="V2087" s="156" t="inlineStr">
        <is>
          <t>PZS</t>
        </is>
      </c>
      <c r="W2087" s="51" t="inlineStr">
        <is>
          <t>53102501</t>
        </is>
      </c>
      <c r="X2087" s="156" t="inlineStr">
        <is>
          <t>https://cdn.shopify.com/s/files/1/0888/3250/8267/files/9917500-232.jpg?v=1745269612</t>
        </is>
      </c>
      <c r="Y2087" s="54" t="n">
        <v>2327.586207</v>
      </c>
      <c r="Z2087" s="54" t="n">
        <v>5172.413793</v>
      </c>
      <c r="AA2087" s="55">
        <f>IF(AND(A2087="", B2087="", E2087=""), "", IF(AB2087="", "Válido", IF((LEN(AB2087)-LEN(SUBSTITUTE(AB2087,"; ","")))/2+1&gt;(LEN(AB2087)-LEN(SUBSTITUTE(AB2087,"[Aviso]","")))/7, "Con Incidencias", "Válido")))</f>
        <v/>
      </c>
      <c r="AB2087" s="56">
        <f>IF(AND(A2087="", B2087="", E2087=""), "", TEXTJOIN("; ", TRUE, IF(OR(TRIM(A2087&amp;"")="", ISNUMBER(SEARCH("FALTA", A2087))), "UPC faltante/inválido", ""), IF(AND(A2087&lt;&gt;"", IFERROR(_xlfn.XMATCH(A2087,$A$2:$A$2509,0,1)&lt;&gt;_xlfn.XMATCH(A2087,$A$2:$A$2509,0,-1),FALSE)), "Código de barras duplicado", ""), IF(AND(E2087&lt;&gt;"", COUNTIF($E$2:$E$2509, E2087)&gt;1), "SKU duplicado", ""), IF(OR(J2087="", J2087=""), "[Aviso] División no capturada ()", IF(ISNA(MATCH(J2087, Criterios!$A$123:$A$126, 0)), "División no válida", "")), IF(OR(K2087="", K2087=""), "[Aviso] Categoría no capturada ()", IF(ISNA(MATCH(K2087, Criterios!$A$81:$A$120, 0)), "Categoría no válida", IF(AND(J2087&lt;&gt;"", J2087&lt;&gt;"", J2087&lt;&gt;VLOOKUP(K2087, Criterios!$A$81:$B$120, 2, FALSE)), "División no coincide con Categoría", ""))), IF(OR(L2087="", L2087=""), "[Aviso] Género no capturado ()", IF(ISNA(MATCH(L2087, Criterios!$B$123:$B$127, 0)), "Género no válido", "")), IF(OR(N2087="", N2087=""), "[Aviso] Temporada no capturada ()", IF(ISNA(MATCH(N2087, Criterios!$C$123:$C$128, 0)), "Temporada no válida", "")), IF(OR(O2087="", O2087=""), "[Aviso] Ciclo de vida no capturado ()", IF(ISNA(MATCH(O2087, Criterios!$D$123:$D$124, 0)), "Ciclo de vida no válido", ""))))</f>
        <v/>
      </c>
      <c r="AC2087" s="56" t="n"/>
      <c r="AD2087" s="51" t="n">
        <v>0</v>
      </c>
      <c r="AE2087" s="156" t="n"/>
      <c r="AF2087" s="51" t="n">
        <v>0</v>
      </c>
      <c r="AG2087" s="156" t="inlineStr">
        <is>
          <t>Catálogo existente</t>
        </is>
      </c>
      <c r="AH2087" s="156" t="inlineStr">
        <is>
          <t>Revisión 29/09/2026: Campos sin respaldo: S, U, X | 01/10/2026: complementado desde Shopify Stetson México (match por código de barras): WB Fit, WB Silueta, WB Descripción larga, Enlace de imagen</t>
        </is>
      </c>
      <c r="AI2087" s="156" t="inlineStr">
        <is>
          <t>No</t>
        </is>
      </c>
      <c r="AJ2087" s="156" t="n"/>
      <c r="AK2087" s="155" t="inlineStr">
        <is>
          <t>Criterios: I [Q] | Criterios: J [R] | Shopify Stetson: producto 14697992847723 / variante 52013900530027</t>
        </is>
      </c>
      <c r="AL2087" s="58" t="n">
        <v>2327.586207</v>
      </c>
      <c r="AM2087" s="58" t="n">
        <v>5172.413793</v>
      </c>
      <c r="AN2087" s="155" t="inlineStr">
        <is>
          <t>Shopify Stetson México</t>
        </is>
      </c>
      <c r="AO2087" s="59" t="n">
        <v>0</v>
      </c>
      <c r="AP2087" s="59" t="n"/>
      <c r="AQ2087" s="59" t="n"/>
      <c r="AR2087" s="155" t="n"/>
    </row>
    <row r="2088">
      <c r="A2088" s="50" t="inlineStr">
        <is>
          <t>724303725209</t>
        </is>
      </c>
      <c r="B2088" s="51" t="inlineStr">
        <is>
          <t>109832</t>
        </is>
      </c>
      <c r="C2088" s="156" t="inlineStr">
        <is>
          <t>Multimarca</t>
        </is>
      </c>
      <c r="D2088" s="156" t="inlineStr">
        <is>
          <t>9917500-232</t>
        </is>
      </c>
      <c r="E2088" s="156" t="inlineStr">
        <is>
          <t>9917500-232-36</t>
        </is>
      </c>
      <c r="F2088" s="156" t="inlineStr">
        <is>
          <t>36</t>
        </is>
      </c>
      <c r="G2088" s="156" t="inlineStr">
        <is>
          <t>36</t>
        </is>
      </c>
      <c r="H2088" s="156" t="inlineStr">
        <is>
          <t>Stetson</t>
        </is>
      </c>
      <c r="I2088" s="156" t="inlineStr">
        <is>
          <t>Cinturón Stetson Cigar Classic Caballero 34</t>
        </is>
      </c>
      <c r="J2088" s="156" t="inlineStr">
        <is>
          <t>Accesorios</t>
        </is>
      </c>
      <c r="K2088" s="156" t="inlineStr">
        <is>
          <t>Cinturones</t>
        </is>
      </c>
      <c r="L2088" s="156" t="inlineStr">
        <is>
          <t>Hombre</t>
        </is>
      </c>
      <c r="M2088" s="156" t="inlineStr">
        <is>
          <t>Stetson</t>
        </is>
      </c>
      <c r="N2088" s="156" t="inlineStr">
        <is>
          <t>SS26</t>
        </is>
      </c>
      <c r="O2088" s="156" t="inlineStr">
        <is>
          <t>Seasonal</t>
        </is>
      </c>
      <c r="P2088" s="156" t="inlineStr">
        <is>
          <t>Cafe</t>
        </is>
      </c>
      <c r="Q2088" s="156" t="n"/>
      <c r="R2088" s="156" t="n"/>
      <c r="S2088" s="156" t="n"/>
      <c r="T2088"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8" s="156" t="n"/>
      <c r="V2088" s="156" t="inlineStr">
        <is>
          <t>PZS</t>
        </is>
      </c>
      <c r="W2088" s="51" t="inlineStr">
        <is>
          <t>53102501</t>
        </is>
      </c>
      <c r="X2088" s="156" t="inlineStr">
        <is>
          <t>https://cdn.shopify.com/s/files/1/0888/3250/8267/files/9917500-232.jpg?v=1745269612</t>
        </is>
      </c>
      <c r="Y2088" s="54" t="n">
        <v>2327.586207</v>
      </c>
      <c r="Z2088" s="54" t="n">
        <v>5172.413793</v>
      </c>
      <c r="AA2088" s="55">
        <f>IF(AND(A2088="", B2088="", E2088=""), "", IF(AB2088="", "Válido", IF((LEN(AB2088)-LEN(SUBSTITUTE(AB2088,"; ","")))/2+1&gt;(LEN(AB2088)-LEN(SUBSTITUTE(AB2088,"[Aviso]","")))/7, "Con Incidencias", "Válido")))</f>
        <v/>
      </c>
      <c r="AB2088" s="56">
        <f>IF(AND(A2088="", B2088="", E2088=""), "", TEXTJOIN("; ", TRUE, IF(OR(TRIM(A2088&amp;"")="", ISNUMBER(SEARCH("FALTA", A2088))), "UPC faltante/inválido", ""), IF(AND(A2088&lt;&gt;"", IFERROR(_xlfn.XMATCH(A2088,$A$2:$A$2509,0,1)&lt;&gt;_xlfn.XMATCH(A2088,$A$2:$A$2509,0,-1),FALSE)), "Código de barras duplicado", ""), IF(AND(E2088&lt;&gt;"", COUNTIF($E$2:$E$2509, E2088)&gt;1), "SKU duplicado", ""), IF(OR(J2088="", J2088=""), "[Aviso] División no capturada ()", IF(ISNA(MATCH(J2088, Criterios!$A$123:$A$126, 0)), "División no válida", "")), IF(OR(K2088="", K2088=""), "[Aviso] Categoría no capturada ()", IF(ISNA(MATCH(K2088, Criterios!$A$81:$A$120, 0)), "Categoría no válida", IF(AND(J2088&lt;&gt;"", J2088&lt;&gt;"", J2088&lt;&gt;VLOOKUP(K2088, Criterios!$A$81:$B$120, 2, FALSE)), "División no coincide con Categoría", ""))), IF(OR(L2088="", L2088=""), "[Aviso] Género no capturado ()", IF(ISNA(MATCH(L2088, Criterios!$B$123:$B$127, 0)), "Género no válido", "")), IF(OR(N2088="", N2088=""), "[Aviso] Temporada no capturada ()", IF(ISNA(MATCH(N2088, Criterios!$C$123:$C$128, 0)), "Temporada no válida", "")), IF(OR(O2088="", O2088=""), "[Aviso] Ciclo de vida no capturado ()", IF(ISNA(MATCH(O2088, Criterios!$D$123:$D$124, 0)), "Ciclo de vida no válido", ""))))</f>
        <v/>
      </c>
      <c r="AC2088" s="56" t="n"/>
      <c r="AD2088" s="51" t="n">
        <v>-1</v>
      </c>
      <c r="AE2088" s="156" t="n"/>
      <c r="AF2088" s="51" t="n">
        <v>0</v>
      </c>
      <c r="AG2088" s="156" t="inlineStr">
        <is>
          <t>Catálogo existente</t>
        </is>
      </c>
      <c r="AH2088" s="156" t="inlineStr">
        <is>
          <t>Stock negativo en sistema: revisar en conteo | Revisión 29/09/2026: Campos sin respaldo: S, U, X | 01/10/2026: complementado desde Shopify Stetson México (match por código de barras): WB Fit, WB Silueta, WB Descripción larga, Enlace de imagen</t>
        </is>
      </c>
      <c r="AI2088" s="156" t="inlineStr">
        <is>
          <t>Sí</t>
        </is>
      </c>
      <c r="AJ2088" s="156" t="inlineStr">
        <is>
          <t>STETSON AMERICAS (-1)</t>
        </is>
      </c>
      <c r="AK2088" s="155" t="inlineStr">
        <is>
          <t>Criterios: I [Q] | Criterios: J [R] | Shopify Stetson: producto 14697992847723 / variante 52013900562795</t>
        </is>
      </c>
      <c r="AL2088" s="58" t="n">
        <v>2327.586207</v>
      </c>
      <c r="AM2088" s="58" t="n">
        <v>5172.413793</v>
      </c>
      <c r="AN2088" s="155" t="inlineStr">
        <is>
          <t>Shopify Stetson México</t>
        </is>
      </c>
      <c r="AO2088" s="59" t="n">
        <v>0</v>
      </c>
      <c r="AP2088" s="59" t="n"/>
      <c r="AQ2088" s="59" t="n"/>
      <c r="AR2088" s="155" t="n"/>
    </row>
    <row r="2089">
      <c r="A2089" s="50" t="inlineStr">
        <is>
          <t>724303725216</t>
        </is>
      </c>
      <c r="B2089" s="51" t="inlineStr">
        <is>
          <t>109833</t>
        </is>
      </c>
      <c r="C2089" s="156" t="inlineStr">
        <is>
          <t>Multimarca</t>
        </is>
      </c>
      <c r="D2089" s="156" t="inlineStr">
        <is>
          <t>9917500-232</t>
        </is>
      </c>
      <c r="E2089" s="156" t="inlineStr">
        <is>
          <t>9917500-232-38</t>
        </is>
      </c>
      <c r="F2089" s="156" t="inlineStr">
        <is>
          <t>38</t>
        </is>
      </c>
      <c r="G2089" s="156" t="inlineStr">
        <is>
          <t>38</t>
        </is>
      </c>
      <c r="H2089" s="156" t="inlineStr">
        <is>
          <t>Stetson</t>
        </is>
      </c>
      <c r="I2089" s="156" t="inlineStr">
        <is>
          <t>Cinturón Stetson Cigar Classic Caballero 34</t>
        </is>
      </c>
      <c r="J2089" s="156" t="inlineStr">
        <is>
          <t>Accesorios</t>
        </is>
      </c>
      <c r="K2089" s="156" t="inlineStr">
        <is>
          <t>Cinturones</t>
        </is>
      </c>
      <c r="L2089" s="156" t="inlineStr">
        <is>
          <t>Hombre</t>
        </is>
      </c>
      <c r="M2089" s="156" t="inlineStr">
        <is>
          <t>Stetson</t>
        </is>
      </c>
      <c r="N2089" s="156" t="inlineStr">
        <is>
          <t>SS26</t>
        </is>
      </c>
      <c r="O2089" s="156" t="inlineStr">
        <is>
          <t>Seasonal</t>
        </is>
      </c>
      <c r="P2089" s="156" t="inlineStr">
        <is>
          <t>Cafe</t>
        </is>
      </c>
      <c r="Q2089" s="156" t="n"/>
      <c r="R2089" s="156" t="n"/>
      <c r="S2089" s="156" t="n"/>
      <c r="T2089"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9" s="156" t="n"/>
      <c r="V2089" s="156" t="inlineStr">
        <is>
          <t>PZS</t>
        </is>
      </c>
      <c r="W2089" s="51" t="inlineStr">
        <is>
          <t>53102501</t>
        </is>
      </c>
      <c r="X2089" s="156" t="inlineStr">
        <is>
          <t>https://cdn.shopify.com/s/files/1/0888/3250/8267/files/9917500-232.jpg?v=1745269612</t>
        </is>
      </c>
      <c r="Y2089" s="54" t="n">
        <v>2327.586207</v>
      </c>
      <c r="Z2089" s="54" t="n">
        <v>5172.413793</v>
      </c>
      <c r="AA2089" s="55">
        <f>IF(AND(A2089="", B2089="", E2089=""), "", IF(AB2089="", "Válido", IF((LEN(AB2089)-LEN(SUBSTITUTE(AB2089,"; ","")))/2+1&gt;(LEN(AB2089)-LEN(SUBSTITUTE(AB2089,"[Aviso]","")))/7, "Con Incidencias", "Válido")))</f>
        <v/>
      </c>
      <c r="AB2089" s="56">
        <f>IF(AND(A2089="", B2089="", E2089=""), "", TEXTJOIN("; ", TRUE, IF(OR(TRIM(A2089&amp;"")="", ISNUMBER(SEARCH("FALTA", A2089))), "UPC faltante/inválido", ""), IF(AND(A2089&lt;&gt;"", IFERROR(_xlfn.XMATCH(A2089,$A$2:$A$2509,0,1)&lt;&gt;_xlfn.XMATCH(A2089,$A$2:$A$2509,0,-1),FALSE)), "Código de barras duplicado", ""), IF(AND(E2089&lt;&gt;"", COUNTIF($E$2:$E$2509, E2089)&gt;1), "SKU duplicado", ""), IF(OR(J2089="", J2089=""), "[Aviso] División no capturada ()", IF(ISNA(MATCH(J2089, Criterios!$A$123:$A$126, 0)), "División no válida", "")), IF(OR(K2089="", K2089=""), "[Aviso] Categoría no capturada ()", IF(ISNA(MATCH(K2089, Criterios!$A$81:$A$120, 0)), "Categoría no válida", IF(AND(J2089&lt;&gt;"", J2089&lt;&gt;"", J2089&lt;&gt;VLOOKUP(K2089, Criterios!$A$81:$B$120, 2, FALSE)), "División no coincide con Categoría", ""))), IF(OR(L2089="", L2089=""), "[Aviso] Género no capturado ()", IF(ISNA(MATCH(L2089, Criterios!$B$123:$B$127, 0)), "Género no válido", "")), IF(OR(N2089="", N2089=""), "[Aviso] Temporada no capturada ()", IF(ISNA(MATCH(N2089, Criterios!$C$123:$C$128, 0)), "Temporada no válida", "")), IF(OR(O2089="", O2089=""), "[Aviso] Ciclo de vida no capturado ()", IF(ISNA(MATCH(O2089, Criterios!$D$123:$D$124, 0)), "Ciclo de vida no válido", ""))))</f>
        <v/>
      </c>
      <c r="AC2089" s="56" t="n"/>
      <c r="AD2089" s="51" t="n">
        <v>-2</v>
      </c>
      <c r="AE2089" s="156" t="inlineStr">
        <is>
          <t>B25 STETSON.MX (1)</t>
        </is>
      </c>
      <c r="AF2089" s="51" t="n">
        <v>1</v>
      </c>
      <c r="AG2089" s="156" t="inlineStr">
        <is>
          <t>Catálogo existente</t>
        </is>
      </c>
      <c r="AH2089" s="156" t="inlineStr">
        <is>
          <t>Stock negativo en sistema: revisar en conteo | Revisión 29/09/2026: Campos sin respaldo: S, U, X | 01/10/2026: complementado desde Shopify Stetson México (match por código de barras): WB Fit, WB Silueta, WB Descripción larga, Enlace de imagen</t>
        </is>
      </c>
      <c r="AI2089" s="156" t="inlineStr">
        <is>
          <t>Sí</t>
        </is>
      </c>
      <c r="AJ2089" s="156" t="inlineStr">
        <is>
          <t>STETSON AMERICAS (-3)</t>
        </is>
      </c>
      <c r="AK2089" s="155" t="inlineStr">
        <is>
          <t>Criterios: I [Q] | Criterios: J [R] | Shopify Stetson: producto 14697992847723 / variante 52013900595563</t>
        </is>
      </c>
      <c r="AL2089" s="58" t="n">
        <v>2327.586207</v>
      </c>
      <c r="AM2089" s="58" t="n">
        <v>5172.413793</v>
      </c>
      <c r="AN2089" s="155" t="inlineStr">
        <is>
          <t>Shopify Stetson México</t>
        </is>
      </c>
      <c r="AO2089" s="59" t="n">
        <v>1</v>
      </c>
      <c r="AP2089" s="59" t="n"/>
      <c r="AQ2089" s="59" t="n"/>
      <c r="AR2089" s="155" t="inlineStr">
        <is>
          <t>Shopify Stetson México › Stetson México: 1</t>
        </is>
      </c>
    </row>
    <row r="2090">
      <c r="A2090" s="50" t="inlineStr">
        <is>
          <t>724303725223</t>
        </is>
      </c>
      <c r="B2090" s="51" t="inlineStr">
        <is>
          <t>109834</t>
        </is>
      </c>
      <c r="C2090" s="156" t="inlineStr">
        <is>
          <t>Multimarca</t>
        </is>
      </c>
      <c r="D2090" s="156" t="inlineStr">
        <is>
          <t>9917500-232</t>
        </is>
      </c>
      <c r="E2090" s="156" t="inlineStr">
        <is>
          <t>9917500-232-40</t>
        </is>
      </c>
      <c r="F2090" s="156" t="inlineStr">
        <is>
          <t>40</t>
        </is>
      </c>
      <c r="G2090" s="156" t="inlineStr">
        <is>
          <t>40</t>
        </is>
      </c>
      <c r="H2090" s="156" t="inlineStr">
        <is>
          <t>Stetson</t>
        </is>
      </c>
      <c r="I2090" s="156" t="inlineStr">
        <is>
          <t>Cinturón Stetson Cigar Classic Caballero 34</t>
        </is>
      </c>
      <c r="J2090" s="156" t="inlineStr">
        <is>
          <t>Accesorios</t>
        </is>
      </c>
      <c r="K2090" s="156" t="inlineStr">
        <is>
          <t>Cinturones</t>
        </is>
      </c>
      <c r="L2090" s="156" t="inlineStr">
        <is>
          <t>Hombre</t>
        </is>
      </c>
      <c r="M2090" s="156" t="inlineStr">
        <is>
          <t>Stetson</t>
        </is>
      </c>
      <c r="N2090" s="156" t="inlineStr">
        <is>
          <t>SS26</t>
        </is>
      </c>
      <c r="O2090" s="156" t="inlineStr">
        <is>
          <t>Seasonal</t>
        </is>
      </c>
      <c r="P2090" s="156" t="inlineStr">
        <is>
          <t>Cafe</t>
        </is>
      </c>
      <c r="Q2090" s="156" t="n"/>
      <c r="R2090" s="156" t="n"/>
      <c r="S2090" s="156" t="n"/>
      <c r="T2090"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0" s="156" t="n"/>
      <c r="V2090" s="156" t="inlineStr">
        <is>
          <t>PZS</t>
        </is>
      </c>
      <c r="W2090" s="51" t="inlineStr">
        <is>
          <t>53102501</t>
        </is>
      </c>
      <c r="X2090" s="156" t="inlineStr">
        <is>
          <t>https://cdn.shopify.com/s/files/1/0888/3250/8267/files/9917500-232.jpg?v=1745269612</t>
        </is>
      </c>
      <c r="Y2090" s="54" t="n">
        <v>2327.586207</v>
      </c>
      <c r="Z2090" s="54" t="n">
        <v>5172.413793</v>
      </c>
      <c r="AA2090" s="55">
        <f>IF(AND(A2090="", B2090="", E2090=""), "", IF(AB2090="", "Válido", IF((LEN(AB2090)-LEN(SUBSTITUTE(AB2090,"; ","")))/2+1&gt;(LEN(AB2090)-LEN(SUBSTITUTE(AB2090,"[Aviso]","")))/7, "Con Incidencias", "Válido")))</f>
        <v/>
      </c>
      <c r="AB2090" s="56">
        <f>IF(AND(A2090="", B2090="", E2090=""), "", TEXTJOIN("; ", TRUE, IF(OR(TRIM(A2090&amp;"")="", ISNUMBER(SEARCH("FALTA", A2090))), "UPC faltante/inválido", ""), IF(AND(A2090&lt;&gt;"", IFERROR(_xlfn.XMATCH(A2090,$A$2:$A$2509,0,1)&lt;&gt;_xlfn.XMATCH(A2090,$A$2:$A$2509,0,-1),FALSE)), "Código de barras duplicado", ""), IF(AND(E2090&lt;&gt;"", COUNTIF($E$2:$E$2509, E2090)&gt;1), "SKU duplicado", ""), IF(OR(J2090="", J2090=""), "[Aviso] División no capturada ()", IF(ISNA(MATCH(J2090, Criterios!$A$123:$A$126, 0)), "División no válida", "")), IF(OR(K2090="", K2090=""), "[Aviso] Categoría no capturada ()", IF(ISNA(MATCH(K2090, Criterios!$A$81:$A$120, 0)), "Categoría no válida", IF(AND(J2090&lt;&gt;"", J2090&lt;&gt;"", J2090&lt;&gt;VLOOKUP(K2090, Criterios!$A$81:$B$120, 2, FALSE)), "División no coincide con Categoría", ""))), IF(OR(L2090="", L2090=""), "[Aviso] Género no capturado ()", IF(ISNA(MATCH(L2090, Criterios!$B$123:$B$127, 0)), "Género no válido", "")), IF(OR(N2090="", N2090=""), "[Aviso] Temporada no capturada ()", IF(ISNA(MATCH(N2090, Criterios!$C$123:$C$128, 0)), "Temporada no válida", "")), IF(OR(O2090="", O2090=""), "[Aviso] Ciclo de vida no capturado ()", IF(ISNA(MATCH(O2090, Criterios!$D$123:$D$124, 0)), "Ciclo de vida no válido", ""))))</f>
        <v/>
      </c>
      <c r="AC2090" s="56" t="n"/>
      <c r="AD2090" s="51" t="n">
        <v>2</v>
      </c>
      <c r="AE2090" s="156" t="inlineStr">
        <is>
          <t>B25 STETSON.MX (2)</t>
        </is>
      </c>
      <c r="AF2090" s="51" t="n">
        <v>2</v>
      </c>
      <c r="AG2090" s="156" t="inlineStr">
        <is>
          <t>Catálogo existente</t>
        </is>
      </c>
      <c r="AH2090" s="156" t="inlineStr">
        <is>
          <t>Revisión 29/09/2026: Campos sin respaldo: S, U, X | 01/10/2026: complementado desde Shopify Stetson México (match por código de barras): WB Fit, WB Silueta, WB Descripción larga, Enlace de imagen</t>
        </is>
      </c>
      <c r="AI2090" s="156" t="inlineStr">
        <is>
          <t>No</t>
        </is>
      </c>
      <c r="AJ2090" s="156" t="n"/>
      <c r="AK2090" s="155" t="inlineStr">
        <is>
          <t>Criterios: I [Q] | Criterios: J [R] | Shopify Stetson: producto 14697992847723 / variante 52013900628331</t>
        </is>
      </c>
      <c r="AL2090" s="58" t="n">
        <v>2327.586207</v>
      </c>
      <c r="AM2090" s="58" t="n">
        <v>5172.413793</v>
      </c>
      <c r="AN2090" s="155" t="inlineStr">
        <is>
          <t>Shopify Stetson México</t>
        </is>
      </c>
      <c r="AO2090" s="59" t="n">
        <v>5</v>
      </c>
      <c r="AP2090" s="59" t="n"/>
      <c r="AQ2090" s="59" t="n"/>
      <c r="AR2090" s="155" t="inlineStr">
        <is>
          <t>Shopify Stetson México › Stetson México: 2 | Shopify Stetson México › Stetson Americas: 3</t>
        </is>
      </c>
    </row>
    <row r="2091">
      <c r="A2091" s="50" t="inlineStr">
        <is>
          <t>724303725230</t>
        </is>
      </c>
      <c r="B2091" s="51" t="inlineStr">
        <is>
          <t>109835</t>
        </is>
      </c>
      <c r="C2091" s="156" t="inlineStr">
        <is>
          <t>Multimarca</t>
        </is>
      </c>
      <c r="D2091" s="156" t="inlineStr">
        <is>
          <t>9917500-232</t>
        </is>
      </c>
      <c r="E2091" s="156" t="inlineStr">
        <is>
          <t>9917500-232-42</t>
        </is>
      </c>
      <c r="F2091" s="156" t="inlineStr">
        <is>
          <t>42</t>
        </is>
      </c>
      <c r="G2091" s="156" t="inlineStr">
        <is>
          <t>42</t>
        </is>
      </c>
      <c r="H2091" s="156" t="inlineStr">
        <is>
          <t>Stetson</t>
        </is>
      </c>
      <c r="I2091" s="156" t="inlineStr">
        <is>
          <t>Cinturón Stetson Cigar Classic Caballero 34</t>
        </is>
      </c>
      <c r="J2091" s="156" t="inlineStr">
        <is>
          <t>Accesorios</t>
        </is>
      </c>
      <c r="K2091" s="156" t="inlineStr">
        <is>
          <t>Cinturones</t>
        </is>
      </c>
      <c r="L2091" s="156" t="inlineStr">
        <is>
          <t>Hombre</t>
        </is>
      </c>
      <c r="M2091" s="156" t="inlineStr">
        <is>
          <t>Stetson</t>
        </is>
      </c>
      <c r="N2091" s="156" t="inlineStr">
        <is>
          <t>SS26</t>
        </is>
      </c>
      <c r="O2091" s="156" t="inlineStr">
        <is>
          <t>Seasonal</t>
        </is>
      </c>
      <c r="P2091" s="156" t="inlineStr">
        <is>
          <t>Cafe</t>
        </is>
      </c>
      <c r="Q2091" s="156" t="n"/>
      <c r="R2091" s="156" t="n"/>
      <c r="S2091" s="156" t="n"/>
      <c r="T2091"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1" s="156" t="n"/>
      <c r="V2091" s="156" t="inlineStr">
        <is>
          <t>PZS</t>
        </is>
      </c>
      <c r="W2091" s="51" t="inlineStr">
        <is>
          <t>53102501</t>
        </is>
      </c>
      <c r="X2091" s="156" t="inlineStr">
        <is>
          <t>https://cdn.shopify.com/s/files/1/0888/3250/8267/files/9917500-232.jpg?v=1745269612</t>
        </is>
      </c>
      <c r="Y2091" s="54" t="n">
        <v>2327.586207</v>
      </c>
      <c r="Z2091" s="54" t="n">
        <v>5172.413793</v>
      </c>
      <c r="AA2091" s="55">
        <f>IF(AND(A2091="", B2091="", E2091=""), "", IF(AB2091="", "Válido", IF((LEN(AB2091)-LEN(SUBSTITUTE(AB2091,"; ","")))/2+1&gt;(LEN(AB2091)-LEN(SUBSTITUTE(AB2091,"[Aviso]","")))/7, "Con Incidencias", "Válido")))</f>
        <v/>
      </c>
      <c r="AB2091" s="56">
        <f>IF(AND(A2091="", B2091="", E2091=""), "", TEXTJOIN("; ", TRUE, IF(OR(TRIM(A2091&amp;"")="", ISNUMBER(SEARCH("FALTA", A2091))), "UPC faltante/inválido", ""), IF(AND(A2091&lt;&gt;"", IFERROR(_xlfn.XMATCH(A2091,$A$2:$A$2509,0,1)&lt;&gt;_xlfn.XMATCH(A2091,$A$2:$A$2509,0,-1),FALSE)), "Código de barras duplicado", ""), IF(AND(E2091&lt;&gt;"", COUNTIF($E$2:$E$2509, E2091)&gt;1), "SKU duplicado", ""), IF(OR(J2091="", J2091=""), "[Aviso] División no capturada ()", IF(ISNA(MATCH(J2091, Criterios!$A$123:$A$126, 0)), "División no válida", "")), IF(OR(K2091="", K2091=""), "[Aviso] Categoría no capturada ()", IF(ISNA(MATCH(K2091, Criterios!$A$81:$A$120, 0)), "Categoría no válida", IF(AND(J2091&lt;&gt;"", J2091&lt;&gt;"", J2091&lt;&gt;VLOOKUP(K2091, Criterios!$A$81:$B$120, 2, FALSE)), "División no coincide con Categoría", ""))), IF(OR(L2091="", L2091=""), "[Aviso] Género no capturado ()", IF(ISNA(MATCH(L2091, Criterios!$B$123:$B$127, 0)), "Género no válido", "")), IF(OR(N2091="", N2091=""), "[Aviso] Temporada no capturada ()", IF(ISNA(MATCH(N2091, Criterios!$C$123:$C$128, 0)), "Temporada no válida", "")), IF(OR(O2091="", O2091=""), "[Aviso] Ciclo de vida no capturado ()", IF(ISNA(MATCH(O2091, Criterios!$D$123:$D$124, 0)), "Ciclo de vida no válido", ""))))</f>
        <v/>
      </c>
      <c r="AC2091" s="56" t="n"/>
      <c r="AD2091" s="51" t="n">
        <v>5</v>
      </c>
      <c r="AE2091" s="156" t="inlineStr">
        <is>
          <t>B25 STETSON.MX (5)</t>
        </is>
      </c>
      <c r="AF2091" s="51" t="n">
        <v>5</v>
      </c>
      <c r="AG2091" s="156" t="inlineStr">
        <is>
          <t>Catálogo existente</t>
        </is>
      </c>
      <c r="AH2091" s="156" t="inlineStr">
        <is>
          <t>Revisión 29/09/2026: Campos sin respaldo: S, U, X | 01/10/2026: complementado desde Shopify Stetson México (match por código de barras): WB Fit, WB Silueta, WB Descripción larga, Enlace de imagen</t>
        </is>
      </c>
      <c r="AI2091" s="156" t="inlineStr">
        <is>
          <t>No</t>
        </is>
      </c>
      <c r="AJ2091" s="156" t="n"/>
      <c r="AK2091" s="155" t="inlineStr">
        <is>
          <t>Criterios: I [Q] | Criterios: J [R] | Shopify Stetson: producto 14697992847723 / variante 52013900661099</t>
        </is>
      </c>
      <c r="AL2091" s="58" t="n">
        <v>2327.586207</v>
      </c>
      <c r="AM2091" s="58" t="n">
        <v>5172.413793</v>
      </c>
      <c r="AN2091" s="155" t="inlineStr">
        <is>
          <t>Shopify Stetson México</t>
        </is>
      </c>
      <c r="AO2091" s="59" t="n">
        <v>6</v>
      </c>
      <c r="AP2091" s="59" t="n"/>
      <c r="AQ2091" s="59" t="n"/>
      <c r="AR2091" s="155" t="inlineStr">
        <is>
          <t>Shopify Stetson México › Stetson México: 5 | Shopify Stetson México › Stetson Americas: 1</t>
        </is>
      </c>
    </row>
    <row r="2092">
      <c r="A2092" s="50" t="inlineStr">
        <is>
          <t>724303725247</t>
        </is>
      </c>
      <c r="B2092" s="51" t="inlineStr">
        <is>
          <t>109836</t>
        </is>
      </c>
      <c r="C2092" s="156" t="inlineStr">
        <is>
          <t>Multimarca</t>
        </is>
      </c>
      <c r="D2092" s="156" t="inlineStr">
        <is>
          <t>9917500-232</t>
        </is>
      </c>
      <c r="E2092" s="156" t="inlineStr">
        <is>
          <t>9917500-232-44</t>
        </is>
      </c>
      <c r="F2092" s="156" t="inlineStr">
        <is>
          <t>44</t>
        </is>
      </c>
      <c r="G2092" s="156" t="inlineStr">
        <is>
          <t>44</t>
        </is>
      </c>
      <c r="H2092" s="156" t="inlineStr">
        <is>
          <t>Stetson</t>
        </is>
      </c>
      <c r="I2092" s="156" t="inlineStr">
        <is>
          <t>Cinturón Stetson Cigar Classic Caballero 34</t>
        </is>
      </c>
      <c r="J2092" s="156" t="inlineStr">
        <is>
          <t>Accesorios</t>
        </is>
      </c>
      <c r="K2092" s="156" t="inlineStr">
        <is>
          <t>Cinturones</t>
        </is>
      </c>
      <c r="L2092" s="156" t="inlineStr">
        <is>
          <t>Hombre</t>
        </is>
      </c>
      <c r="M2092" s="156" t="inlineStr">
        <is>
          <t>Stetson</t>
        </is>
      </c>
      <c r="N2092" s="156" t="inlineStr">
        <is>
          <t>SS26</t>
        </is>
      </c>
      <c r="O2092" s="156" t="inlineStr">
        <is>
          <t>Seasonal</t>
        </is>
      </c>
      <c r="P2092" s="156" t="inlineStr">
        <is>
          <t>Cafe</t>
        </is>
      </c>
      <c r="Q2092" s="156" t="n"/>
      <c r="R2092" s="156" t="n"/>
      <c r="S2092" s="156" t="n"/>
      <c r="T2092"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2" s="156" t="n"/>
      <c r="V2092" s="156" t="inlineStr">
        <is>
          <t>PZS</t>
        </is>
      </c>
      <c r="W2092" s="51" t="inlineStr">
        <is>
          <t>53102501</t>
        </is>
      </c>
      <c r="X2092" s="156" t="inlineStr">
        <is>
          <t>https://cdn.shopify.com/s/files/1/0888/3250/8267/files/9917500-232.jpg?v=1745269612</t>
        </is>
      </c>
      <c r="Y2092" s="54" t="n">
        <v>2327.586207</v>
      </c>
      <c r="Z2092" s="54" t="n">
        <v>5172.413793</v>
      </c>
      <c r="AA2092" s="55">
        <f>IF(AND(A2092="", B2092="", E2092=""), "", IF(AB2092="", "Válido", IF((LEN(AB2092)-LEN(SUBSTITUTE(AB2092,"; ","")))/2+1&gt;(LEN(AB2092)-LEN(SUBSTITUTE(AB2092,"[Aviso]","")))/7, "Con Incidencias", "Válido")))</f>
        <v/>
      </c>
      <c r="AB2092" s="56">
        <f>IF(AND(A2092="", B2092="", E2092=""), "", TEXTJOIN("; ", TRUE, IF(OR(TRIM(A2092&amp;"")="", ISNUMBER(SEARCH("FALTA", A2092))), "UPC faltante/inválido", ""), IF(AND(A2092&lt;&gt;"", IFERROR(_xlfn.XMATCH(A2092,$A$2:$A$2509,0,1)&lt;&gt;_xlfn.XMATCH(A2092,$A$2:$A$2509,0,-1),FALSE)), "Código de barras duplicado", ""), IF(AND(E2092&lt;&gt;"", COUNTIF($E$2:$E$2509, E2092)&gt;1), "SKU duplicado", ""), IF(OR(J2092="", J2092=""), "[Aviso] División no capturada ()", IF(ISNA(MATCH(J2092, Criterios!$A$123:$A$126, 0)), "División no válida", "")), IF(OR(K2092="", K2092=""), "[Aviso] Categoría no capturada ()", IF(ISNA(MATCH(K2092, Criterios!$A$81:$A$120, 0)), "Categoría no válida", IF(AND(J2092&lt;&gt;"", J2092&lt;&gt;"", J2092&lt;&gt;VLOOKUP(K2092, Criterios!$A$81:$B$120, 2, FALSE)), "División no coincide con Categoría", ""))), IF(OR(L2092="", L2092=""), "[Aviso] Género no capturado ()", IF(ISNA(MATCH(L2092, Criterios!$B$123:$B$127, 0)), "Género no válido", "")), IF(OR(N2092="", N2092=""), "[Aviso] Temporada no capturada ()", IF(ISNA(MATCH(N2092, Criterios!$C$123:$C$128, 0)), "Temporada no válida", "")), IF(OR(O2092="", O2092=""), "[Aviso] Ciclo de vida no capturado ()", IF(ISNA(MATCH(O2092, Criterios!$D$123:$D$124, 0)), "Ciclo de vida no válido", ""))))</f>
        <v/>
      </c>
      <c r="AC2092" s="56" t="n"/>
      <c r="AD2092" s="51" t="n">
        <v>1</v>
      </c>
      <c r="AE2092" s="156" t="inlineStr">
        <is>
          <t>B25 STETSON.MX (1)</t>
        </is>
      </c>
      <c r="AF2092" s="51" t="n">
        <v>1</v>
      </c>
      <c r="AG2092" s="156" t="inlineStr">
        <is>
          <t>Catálogo existente</t>
        </is>
      </c>
      <c r="AH2092" s="156" t="inlineStr">
        <is>
          <t>Revisión 29/09/2026: Campos sin respaldo: S, U, X | 01/10/2026: complementado desde Shopify Stetson México (match por código de barras): WB Fit, WB Silueta, WB Descripción larga, Enlace de imagen</t>
        </is>
      </c>
      <c r="AI2092" s="156" t="inlineStr">
        <is>
          <t>No</t>
        </is>
      </c>
      <c r="AJ2092" s="156" t="n"/>
      <c r="AK2092" s="155" t="inlineStr">
        <is>
          <t>Criterios: I [Q] | Criterios: J [R] | Shopify Stetson: producto 14697992847723 / variante 52013900693867</t>
        </is>
      </c>
      <c r="AL2092" s="58" t="n">
        <v>2327.586207</v>
      </c>
      <c r="AM2092" s="58" t="n">
        <v>5172.413793</v>
      </c>
      <c r="AN2092" s="155" t="inlineStr">
        <is>
          <t>Shopify Stetson México</t>
        </is>
      </c>
      <c r="AO2092" s="59" t="n">
        <v>3</v>
      </c>
      <c r="AP2092" s="59" t="n"/>
      <c r="AQ2092" s="59" t="n"/>
      <c r="AR2092" s="155" t="inlineStr">
        <is>
          <t>Shopify Stetson México › Stetson México: 1 | Shopify Stetson México › Stetson Americas: 2</t>
        </is>
      </c>
    </row>
    <row r="2093">
      <c r="A2093" s="50" t="inlineStr">
        <is>
          <t>724303725254</t>
        </is>
      </c>
      <c r="B2093" s="51" t="inlineStr">
        <is>
          <t>109837</t>
        </is>
      </c>
      <c r="C2093" s="156" t="inlineStr">
        <is>
          <t>Multimarca</t>
        </is>
      </c>
      <c r="D2093" s="156" t="inlineStr">
        <is>
          <t>9917500-232</t>
        </is>
      </c>
      <c r="E2093" s="156" t="inlineStr">
        <is>
          <t>9917500-232-46</t>
        </is>
      </c>
      <c r="F2093" s="156" t="inlineStr">
        <is>
          <t>46</t>
        </is>
      </c>
      <c r="G2093" s="156" t="inlineStr">
        <is>
          <t>46</t>
        </is>
      </c>
      <c r="H2093" s="156" t="inlineStr">
        <is>
          <t>Stetson</t>
        </is>
      </c>
      <c r="I2093" s="156" t="inlineStr">
        <is>
          <t>Cinturón Stetson Cigar Classic Caballero 34</t>
        </is>
      </c>
      <c r="J2093" s="156" t="inlineStr">
        <is>
          <t>Accesorios</t>
        </is>
      </c>
      <c r="K2093" s="156" t="inlineStr">
        <is>
          <t>Cinturones</t>
        </is>
      </c>
      <c r="L2093" s="156" t="inlineStr">
        <is>
          <t>Hombre</t>
        </is>
      </c>
      <c r="M2093" s="156" t="inlineStr">
        <is>
          <t>Stetson</t>
        </is>
      </c>
      <c r="N2093" s="156" t="inlineStr">
        <is>
          <t>SS26</t>
        </is>
      </c>
      <c r="O2093" s="156" t="inlineStr">
        <is>
          <t>Seasonal</t>
        </is>
      </c>
      <c r="P2093" s="156" t="inlineStr">
        <is>
          <t>Cafe</t>
        </is>
      </c>
      <c r="Q2093" s="156" t="n"/>
      <c r="R2093" s="156" t="n"/>
      <c r="S2093" s="156" t="n"/>
      <c r="T2093"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3" s="156" t="n"/>
      <c r="V2093" s="156" t="inlineStr">
        <is>
          <t>PZS</t>
        </is>
      </c>
      <c r="W2093" s="51" t="inlineStr">
        <is>
          <t>53102501</t>
        </is>
      </c>
      <c r="X2093" s="156" t="inlineStr">
        <is>
          <t>https://cdn.shopify.com/s/files/1/0888/3250/8267/files/9917500-232.jpg?v=1745269612</t>
        </is>
      </c>
      <c r="Y2093" s="54" t="n">
        <v>2327.586207</v>
      </c>
      <c r="Z2093" s="54" t="n">
        <v>5172.413793</v>
      </c>
      <c r="AA2093" s="55">
        <f>IF(AND(A2093="", B2093="", E2093=""), "", IF(AB2093="", "Válido", IF((LEN(AB2093)-LEN(SUBSTITUTE(AB2093,"; ","")))/2+1&gt;(LEN(AB2093)-LEN(SUBSTITUTE(AB2093,"[Aviso]","")))/7, "Con Incidencias", "Válido")))</f>
        <v/>
      </c>
      <c r="AB2093" s="56">
        <f>IF(AND(A2093="", B2093="", E2093=""), "", TEXTJOIN("; ", TRUE, IF(OR(TRIM(A2093&amp;"")="", ISNUMBER(SEARCH("FALTA", A2093))), "UPC faltante/inválido", ""), IF(AND(A2093&lt;&gt;"", IFERROR(_xlfn.XMATCH(A2093,$A$2:$A$2509,0,1)&lt;&gt;_xlfn.XMATCH(A2093,$A$2:$A$2509,0,-1),FALSE)), "Código de barras duplicado", ""), IF(AND(E2093&lt;&gt;"", COUNTIF($E$2:$E$2509, E2093)&gt;1), "SKU duplicado", ""), IF(OR(J2093="", J2093=""), "[Aviso] División no capturada ()", IF(ISNA(MATCH(J2093, Criterios!$A$123:$A$126, 0)), "División no válida", "")), IF(OR(K2093="", K2093=""), "[Aviso] Categoría no capturada ()", IF(ISNA(MATCH(K2093, Criterios!$A$81:$A$120, 0)), "Categoría no válida", IF(AND(J2093&lt;&gt;"", J2093&lt;&gt;"", J2093&lt;&gt;VLOOKUP(K2093, Criterios!$A$81:$B$120, 2, FALSE)), "División no coincide con Categoría", ""))), IF(OR(L2093="", L2093=""), "[Aviso] Género no capturado ()", IF(ISNA(MATCH(L2093, Criterios!$B$123:$B$127, 0)), "Género no válido", "")), IF(OR(N2093="", N2093=""), "[Aviso] Temporada no capturada ()", IF(ISNA(MATCH(N2093, Criterios!$C$123:$C$128, 0)), "Temporada no válida", "")), IF(OR(O2093="", O2093=""), "[Aviso] Ciclo de vida no capturado ()", IF(ISNA(MATCH(O2093, Criterios!$D$123:$D$124, 0)), "Ciclo de vida no válido", ""))))</f>
        <v/>
      </c>
      <c r="AC2093" s="56" t="n"/>
      <c r="AD2093" s="51" t="n">
        <v>0</v>
      </c>
      <c r="AE2093" s="156" t="n"/>
      <c r="AF2093" s="51" t="n">
        <v>0</v>
      </c>
      <c r="AG2093" s="156" t="inlineStr">
        <is>
          <t>Catálogo existente</t>
        </is>
      </c>
      <c r="AH2093" s="156" t="inlineStr">
        <is>
          <t>Revisión 29/09/2026: Campos sin respaldo: S, U, X | 01/10/2026: complementado desde Shopify Stetson México (match por código de barras): WB Fit, WB Silueta, WB Descripción larga, Enlace de imagen</t>
        </is>
      </c>
      <c r="AI2093" s="156" t="inlineStr">
        <is>
          <t>No</t>
        </is>
      </c>
      <c r="AJ2093" s="156" t="n"/>
      <c r="AK2093" s="155" t="inlineStr">
        <is>
          <t>Criterios: I [Q] | Criterios: J [R] | Shopify Stetson: producto 14697992847723 / variante 52013900726635</t>
        </is>
      </c>
      <c r="AL2093" s="58" t="n">
        <v>2327.586207</v>
      </c>
      <c r="AM2093" s="58" t="n">
        <v>5172.413793</v>
      </c>
      <c r="AN2093" s="155" t="inlineStr">
        <is>
          <t>Shopify Stetson México</t>
        </is>
      </c>
      <c r="AO2093" s="59" t="n">
        <v>0</v>
      </c>
      <c r="AP2093" s="59" t="n"/>
      <c r="AQ2093" s="59" t="n"/>
      <c r="AR2093" s="155" t="n"/>
    </row>
    <row r="2094">
      <c r="A2094" s="50" t="inlineStr">
        <is>
          <t>724303725452</t>
        </is>
      </c>
      <c r="B2094" s="51" t="n"/>
      <c r="C2094" s="156" t="inlineStr">
        <is>
          <t>Multimarca</t>
        </is>
      </c>
      <c r="D2094" s="156" t="inlineStr">
        <is>
          <t>9912500-203</t>
        </is>
      </c>
      <c r="E2094" s="156" t="inlineStr">
        <is>
          <t>9912500-203-32</t>
        </is>
      </c>
      <c r="F2094" s="156" t="inlineStr">
        <is>
          <t>32</t>
        </is>
      </c>
      <c r="G2094" s="156" t="inlineStr">
        <is>
          <t>32</t>
        </is>
      </c>
      <c r="H2094" s="156" t="inlineStr">
        <is>
          <t>Stetson</t>
        </is>
      </c>
      <c r="I2094" s="156" t="inlineStr">
        <is>
          <t>Cinturón Stetson Piel Vintage Brown</t>
        </is>
      </c>
      <c r="J2094" s="156" t="inlineStr">
        <is>
          <t>Accesorios</t>
        </is>
      </c>
      <c r="K2094" s="156" t="inlineStr">
        <is>
          <t>Cinturones</t>
        </is>
      </c>
      <c r="L2094" s="156" t="inlineStr">
        <is>
          <t>Hombre</t>
        </is>
      </c>
      <c r="M2094" s="156" t="inlineStr">
        <is>
          <t>Stetson</t>
        </is>
      </c>
      <c r="N2094" s="156" t="inlineStr">
        <is>
          <t>SS26</t>
        </is>
      </c>
      <c r="O2094" s="156" t="inlineStr">
        <is>
          <t>Seasonal</t>
        </is>
      </c>
      <c r="P2094" s="156" t="inlineStr">
        <is>
          <t>Cafe</t>
        </is>
      </c>
      <c r="Q2094" s="156" t="n"/>
      <c r="R2094" s="156" t="n"/>
      <c r="S2094" s="156" t="inlineStr">
        <is>
          <t>Cuero</t>
        </is>
      </c>
      <c r="T2094"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2094" s="156" t="n"/>
      <c r="V2094" s="156" t="inlineStr">
        <is>
          <t>PZS</t>
        </is>
      </c>
      <c r="W2094" s="51" t="inlineStr">
        <is>
          <t>53102501</t>
        </is>
      </c>
      <c r="X2094" s="156" t="inlineStr">
        <is>
          <t>https://cdn.shopify.com/s/files/1/0888/3250/8267/files/9912500-203_Vintage_Brown_1.jpg?v=1761948519</t>
        </is>
      </c>
      <c r="Y2094" s="54" t="n">
        <v>834.0517241</v>
      </c>
      <c r="Z2094" s="54" t="n">
        <v>2150</v>
      </c>
      <c r="AA2094" s="55">
        <f>IF(AND(A2094="", B2094="", E2094=""), "", IF(AB2094="", "Válido", IF((LEN(AB2094)-LEN(SUBSTITUTE(AB2094,"; ","")))/2+1&gt;(LEN(AB2094)-LEN(SUBSTITUTE(AB2094,"[Aviso]","")))/7, "Con Incidencias", "Válido")))</f>
        <v/>
      </c>
      <c r="AB2094" s="56">
        <f>IF(AND(A2094="", B2094="", E2094=""), "", TEXTJOIN("; ", TRUE, IF(OR(TRIM(A2094&amp;"")="", ISNUMBER(SEARCH("FALTA", A2094))), "UPC faltante/inválido", ""), IF(AND(A2094&lt;&gt;"", IFERROR(_xlfn.XMATCH(A2094,$A$2:$A$2509,0,1)&lt;&gt;_xlfn.XMATCH(A2094,$A$2:$A$2509,0,-1),FALSE)), "Código de barras duplicado", ""), IF(AND(E2094&lt;&gt;"", COUNTIF($E$2:$E$2509, E2094)&gt;1), "SKU duplicado", ""), IF(OR(J2094="", J2094=""), "[Aviso] División no capturada ()", IF(ISNA(MATCH(J2094, Criterios!$A$123:$A$126, 0)), "División no válida", "")), IF(OR(K2094="", K2094=""), "[Aviso] Categoría no capturada ()", IF(ISNA(MATCH(K2094, Criterios!$A$81:$A$120, 0)), "Categoría no válida", IF(AND(J2094&lt;&gt;"", J2094&lt;&gt;"", J2094&lt;&gt;VLOOKUP(K2094, Criterios!$A$81:$B$120, 2, FALSE)), "División no coincide con Categoría", ""))), IF(OR(L2094="", L2094=""), "[Aviso] Género no capturado ()", IF(ISNA(MATCH(L2094, Criterios!$B$123:$B$127, 0)), "Género no válido", "")), IF(OR(N2094="", N2094=""), "[Aviso] Temporada no capturada ()", IF(ISNA(MATCH(N2094, Criterios!$C$123:$C$128, 0)), "Temporada no válida", "")), IF(OR(O2094="", O2094=""), "[Aviso] Ciclo de vida no capturado ()", IF(ISNA(MATCH(O2094, Criterios!$D$123:$D$124, 0)), "Ciclo de vida no válido", ""))))</f>
        <v/>
      </c>
      <c r="AC2094" s="56" t="n"/>
      <c r="AD2094" s="51" t="n">
        <v>0</v>
      </c>
      <c r="AE2094" s="156" t="inlineStr">
        <is>
          <t>Sin coincidencia en NetSuite</t>
        </is>
      </c>
      <c r="AF2094" s="51" t="n"/>
      <c r="AG2094" s="156" t="inlineStr">
        <is>
          <t>Catálogo existente</t>
        </is>
      </c>
      <c r="AH2094"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4" s="156" t="n"/>
      <c r="AJ2094" s="156" t="n"/>
      <c r="AK2094" s="155" t="inlineStr">
        <is>
          <t>Shopify Stetson: producto 14697973875051 / variante 52013843382635</t>
        </is>
      </c>
      <c r="AL2094" s="58" t="n">
        <v>834.0517241</v>
      </c>
      <c r="AM2094" s="58" t="n">
        <v>2150</v>
      </c>
      <c r="AN2094" s="155" t="inlineStr">
        <is>
          <t>Shopify Stetson México</t>
        </is>
      </c>
      <c r="AO2094" s="59" t="n">
        <v>0</v>
      </c>
      <c r="AP2094" s="59" t="n"/>
      <c r="AQ2094" s="59" t="n"/>
      <c r="AR2094" s="155" t="n"/>
    </row>
    <row r="2095">
      <c r="A2095" s="50" t="inlineStr">
        <is>
          <t>724303725469</t>
        </is>
      </c>
      <c r="B2095" s="51" t="n"/>
      <c r="C2095" s="156" t="inlineStr">
        <is>
          <t>Multimarca</t>
        </is>
      </c>
      <c r="D2095" s="156" t="inlineStr">
        <is>
          <t>9912500-203</t>
        </is>
      </c>
      <c r="E2095" s="156" t="inlineStr">
        <is>
          <t>9912500-203-34</t>
        </is>
      </c>
      <c r="F2095" s="156" t="inlineStr">
        <is>
          <t>34</t>
        </is>
      </c>
      <c r="G2095" s="156" t="inlineStr">
        <is>
          <t>34</t>
        </is>
      </c>
      <c r="H2095" s="156" t="inlineStr">
        <is>
          <t>Stetson</t>
        </is>
      </c>
      <c r="I2095" s="156" t="inlineStr">
        <is>
          <t>Cinturón Stetson Piel Vintage Brown</t>
        </is>
      </c>
      <c r="J2095" s="156" t="inlineStr">
        <is>
          <t>Accesorios</t>
        </is>
      </c>
      <c r="K2095" s="156" t="inlineStr">
        <is>
          <t>Cinturones</t>
        </is>
      </c>
      <c r="L2095" s="156" t="inlineStr">
        <is>
          <t>Hombre</t>
        </is>
      </c>
      <c r="M2095" s="156" t="inlineStr">
        <is>
          <t>Stetson</t>
        </is>
      </c>
      <c r="N2095" s="156" t="inlineStr">
        <is>
          <t>SS26</t>
        </is>
      </c>
      <c r="O2095" s="156" t="inlineStr">
        <is>
          <t>Seasonal</t>
        </is>
      </c>
      <c r="P2095" s="156" t="inlineStr">
        <is>
          <t>Cafe</t>
        </is>
      </c>
      <c r="Q2095" s="156" t="n"/>
      <c r="R2095" s="156" t="n"/>
      <c r="S2095" s="156" t="inlineStr">
        <is>
          <t>Cuero</t>
        </is>
      </c>
      <c r="T2095"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2095" s="156" t="n"/>
      <c r="V2095" s="156" t="inlineStr">
        <is>
          <t>PZS</t>
        </is>
      </c>
      <c r="W2095" s="51" t="inlineStr">
        <is>
          <t>53102501</t>
        </is>
      </c>
      <c r="X2095" s="156" t="inlineStr">
        <is>
          <t>https://cdn.shopify.com/s/files/1/0888/3250/8267/files/9912500-203-38_alt1.jpg?v=1761948526</t>
        </is>
      </c>
      <c r="Y2095" s="54" t="n">
        <v>834.0517241</v>
      </c>
      <c r="Z2095" s="54" t="n">
        <v>2150</v>
      </c>
      <c r="AA2095" s="55">
        <f>IF(AND(A2095="", B2095="", E2095=""), "", IF(AB2095="", "Válido", IF((LEN(AB2095)-LEN(SUBSTITUTE(AB2095,"; ","")))/2+1&gt;(LEN(AB2095)-LEN(SUBSTITUTE(AB2095,"[Aviso]","")))/7, "Con Incidencias", "Válido")))</f>
        <v/>
      </c>
      <c r="AB2095" s="56">
        <f>IF(AND(A2095="", B2095="", E2095=""), "", TEXTJOIN("; ", TRUE, IF(OR(TRIM(A2095&amp;"")="", ISNUMBER(SEARCH("FALTA", A2095))), "UPC faltante/inválido", ""), IF(AND(A2095&lt;&gt;"", IFERROR(_xlfn.XMATCH(A2095,$A$2:$A$2509,0,1)&lt;&gt;_xlfn.XMATCH(A2095,$A$2:$A$2509,0,-1),FALSE)), "Código de barras duplicado", ""), IF(AND(E2095&lt;&gt;"", COUNTIF($E$2:$E$2509, E2095)&gt;1), "SKU duplicado", ""), IF(OR(J2095="", J2095=""), "[Aviso] División no capturada ()", IF(ISNA(MATCH(J2095, Criterios!$A$123:$A$126, 0)), "División no válida", "")), IF(OR(K2095="", K2095=""), "[Aviso] Categoría no capturada ()", IF(ISNA(MATCH(K2095, Criterios!$A$81:$A$120, 0)), "Categoría no válida", IF(AND(J2095&lt;&gt;"", J2095&lt;&gt;"", J2095&lt;&gt;VLOOKUP(K2095, Criterios!$A$81:$B$120, 2, FALSE)), "División no coincide con Categoría", ""))), IF(OR(L2095="", L2095=""), "[Aviso] Género no capturado ()", IF(ISNA(MATCH(L2095, Criterios!$B$123:$B$127, 0)), "Género no válido", "")), IF(OR(N2095="", N2095=""), "[Aviso] Temporada no capturada ()", IF(ISNA(MATCH(N2095, Criterios!$C$123:$C$128, 0)), "Temporada no válida", "")), IF(OR(O2095="", O2095=""), "[Aviso] Ciclo de vida no capturado ()", IF(ISNA(MATCH(O2095, Criterios!$D$123:$D$124, 0)), "Ciclo de vida no válido", ""))))</f>
        <v/>
      </c>
      <c r="AC2095" s="56" t="n"/>
      <c r="AD2095" s="51" t="n">
        <v>0</v>
      </c>
      <c r="AE2095" s="156" t="inlineStr">
        <is>
          <t>Sin coincidencia en NetSuite</t>
        </is>
      </c>
      <c r="AF2095" s="51" t="n"/>
      <c r="AG2095" s="156" t="inlineStr">
        <is>
          <t>Catálogo existente</t>
        </is>
      </c>
      <c r="AH2095"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5" s="156" t="n"/>
      <c r="AJ2095" s="156" t="n"/>
      <c r="AK2095" s="155" t="inlineStr">
        <is>
          <t>Shopify Stetson: producto 14697973875051 / variante 52013843415403</t>
        </is>
      </c>
      <c r="AL2095" s="58" t="n">
        <v>834.0517241</v>
      </c>
      <c r="AM2095" s="58" t="n">
        <v>2150</v>
      </c>
      <c r="AN2095" s="155" t="inlineStr">
        <is>
          <t>Shopify Stetson México</t>
        </is>
      </c>
      <c r="AO2095" s="59" t="n">
        <v>0</v>
      </c>
      <c r="AP2095" s="59" t="n"/>
      <c r="AQ2095" s="59" t="n"/>
      <c r="AR2095" s="155" t="n"/>
    </row>
    <row r="2096">
      <c r="A2096" s="50" t="inlineStr">
        <is>
          <t>724303725537</t>
        </is>
      </c>
      <c r="B2096" s="51" t="inlineStr">
        <is>
          <t>109740</t>
        </is>
      </c>
      <c r="C2096" s="156" t="inlineStr">
        <is>
          <t>Multimarca</t>
        </is>
      </c>
      <c r="D2096" s="156" t="inlineStr">
        <is>
          <t>9806001-625-NZ</t>
        </is>
      </c>
      <c r="E2096" s="156" t="inlineStr">
        <is>
          <t>9806001-625-NZ</t>
        </is>
      </c>
      <c r="F2096" s="156" t="inlineStr">
        <is>
          <t>Talla única</t>
        </is>
      </c>
      <c r="G2096" s="156" t="inlineStr">
        <is>
          <t>One Size</t>
        </is>
      </c>
      <c r="H2096" s="156" t="inlineStr">
        <is>
          <t>Stetson</t>
        </is>
      </c>
      <c r="I2096" s="156" t="inlineStr">
        <is>
          <t>Cartera Artesanal Bisonte Triple Pliegue</t>
        </is>
      </c>
      <c r="J2096" s="156" t="inlineStr">
        <is>
          <t>Accesorios</t>
        </is>
      </c>
      <c r="K2096" s="156" t="inlineStr">
        <is>
          <t>Carteras</t>
        </is>
      </c>
      <c r="L2096" s="156" t="inlineStr">
        <is>
          <t>Hombre</t>
        </is>
      </c>
      <c r="M2096" s="156" t="inlineStr">
        <is>
          <t>Stetson</t>
        </is>
      </c>
      <c r="N2096" s="156" t="inlineStr">
        <is>
          <t>SS26</t>
        </is>
      </c>
      <c r="O2096" s="156" t="inlineStr">
        <is>
          <t>Seasonal</t>
        </is>
      </c>
      <c r="P2096" s="156" t="inlineStr">
        <is>
          <t>Varios</t>
        </is>
      </c>
      <c r="Q2096" s="156" t="n"/>
      <c r="R2096" s="156" t="n"/>
      <c r="S2096" s="156" t="inlineStr">
        <is>
          <t>Lana</t>
        </is>
      </c>
      <c r="T2096" s="156" t="inlineStr">
        <is>
          <t>Cartera Tri-Fold Stetson de Bisonte Americano – Color Hazelnut Autenticidad, resistencia y estilo en una sola pieza. Esta cartera tri-fold Stetson para hombre está elaborada en piel genuina de bisonte americano, reconocida por su durabilidad y textur(más...)</t>
        </is>
      </c>
      <c r="U2096" s="156" t="n"/>
      <c r="V2096" s="156" t="inlineStr">
        <is>
          <t>PZS</t>
        </is>
      </c>
      <c r="W2096" s="51" t="inlineStr">
        <is>
          <t>53121700</t>
        </is>
      </c>
      <c r="X2096" s="156" t="inlineStr">
        <is>
          <t>https://cdn.shopify.com/s/files/1/0888/3250/8267/files/9806001-625.jpg?v=1744832130</t>
        </is>
      </c>
      <c r="Y2096" s="54" t="n">
        <v>465.5172414</v>
      </c>
      <c r="Z2096" s="54" t="n">
        <v>1034.482759</v>
      </c>
      <c r="AA2096" s="55">
        <f>IF(AND(A2096="", B2096="", E2096=""), "", IF(AB2096="", "Válido", IF((LEN(AB2096)-LEN(SUBSTITUTE(AB2096,"; ","")))/2+1&gt;(LEN(AB2096)-LEN(SUBSTITUTE(AB2096,"[Aviso]","")))/7, "Con Incidencias", "Válido")))</f>
        <v/>
      </c>
      <c r="AB2096" s="56">
        <f>IF(AND(A2096="", B2096="", E2096=""), "", TEXTJOIN("; ", TRUE, IF(OR(TRIM(A2096&amp;"")="", ISNUMBER(SEARCH("FALTA", A2096))), "UPC faltante/inválido", ""), IF(AND(A2096&lt;&gt;"", IFERROR(_xlfn.XMATCH(A2096,$A$2:$A$2509,0,1)&lt;&gt;_xlfn.XMATCH(A2096,$A$2:$A$2509,0,-1),FALSE)), "Código de barras duplicado", ""), IF(AND(E2096&lt;&gt;"", COUNTIF($E$2:$E$2509, E2096)&gt;1), "SKU duplicado", ""), IF(OR(J2096="", J2096=""), "[Aviso] División no capturada ()", IF(ISNA(MATCH(J2096, Criterios!$A$123:$A$126, 0)), "División no válida", "")), IF(OR(K2096="", K2096=""), "[Aviso] Categoría no capturada ()", IF(ISNA(MATCH(K2096, Criterios!$A$81:$A$120, 0)), "Categoría no válida", IF(AND(J2096&lt;&gt;"", J2096&lt;&gt;"", J2096&lt;&gt;VLOOKUP(K2096, Criterios!$A$81:$B$120, 2, FALSE)), "División no coincide con Categoría", ""))), IF(OR(L2096="", L2096=""), "[Aviso] Género no capturado ()", IF(ISNA(MATCH(L2096, Criterios!$B$123:$B$127, 0)), "Género no válido", "")), IF(OR(N2096="", N2096=""), "[Aviso] Temporada no capturada ()", IF(ISNA(MATCH(N2096, Criterios!$C$123:$C$128, 0)), "Temporada no válida", "")), IF(OR(O2096="", O2096=""), "[Aviso] Ciclo de vida no capturado ()", IF(ISNA(MATCH(O2096, Criterios!$D$123:$D$124, 0)), "Ciclo de vida no válido", ""))))</f>
        <v/>
      </c>
      <c r="AC2096" s="56" t="n"/>
      <c r="AD2096" s="51" t="n">
        <v>14</v>
      </c>
      <c r="AE2096" s="156" t="inlineStr">
        <is>
          <t>B25 STETSON.MX (13); WB OUTLET LERMA (3)</t>
        </is>
      </c>
      <c r="AF2096" s="51" t="n">
        <v>16</v>
      </c>
      <c r="AG2096" s="156" t="inlineStr">
        <is>
          <t>Catálogo existente</t>
        </is>
      </c>
      <c r="AH2096" s="156" t="inlineStr">
        <is>
          <t>Revisión 29/09/2026: Campos sin respaldo: P, U | 01/10/2026: complementado desde Shopify Stetson México (match por código de barras): WB Color, WB Fit, WB Silueta</t>
        </is>
      </c>
      <c r="AI2096" s="156" t="inlineStr">
        <is>
          <t>Sí</t>
        </is>
      </c>
      <c r="AJ2096" s="156" t="inlineStr">
        <is>
          <t>STETSON AMERICAS (-2)</t>
        </is>
      </c>
      <c r="AK2096" s="155" t="inlineStr">
        <is>
          <t>Criterios: I [Q] | Criterios: J [R] | Shopify Stetson: producto 14695728775531 / variante 52006373818731 | Shopify WB: producto 10310237585593 / variante 50512089841849</t>
        </is>
      </c>
      <c r="AL2096" s="58" t="n">
        <v>465.5172414</v>
      </c>
      <c r="AM2096" s="58" t="n">
        <v>1034.482759</v>
      </c>
      <c r="AN2096" s="155" t="inlineStr">
        <is>
          <t>Shopify Stetson México | Shopify Western Brothers</t>
        </is>
      </c>
      <c r="AO2096" s="59" t="n">
        <v>23</v>
      </c>
      <c r="AP2096" s="59" t="n">
        <v>3</v>
      </c>
      <c r="AQ2096" s="59" t="n"/>
      <c r="AR2096" s="155" t="inlineStr">
        <is>
          <t>Shopify Stetson México › Stetson México: 13 | Shopify Stetson México › Stetson Americas: 8 | Shopify Stetson México › Eventos: 2 | Shopify Western Brothers › Western Brothers Outlet Lerma: 3</t>
        </is>
      </c>
    </row>
    <row r="2097">
      <c r="A2097" s="50" t="inlineStr">
        <is>
          <t>724303725544</t>
        </is>
      </c>
      <c r="B2097" s="51" t="inlineStr">
        <is>
          <t>109741</t>
        </is>
      </c>
      <c r="C2097" s="156" t="inlineStr">
        <is>
          <t>Multimarca</t>
        </is>
      </c>
      <c r="D2097" s="156" t="inlineStr">
        <is>
          <t>9806002-625-NZ</t>
        </is>
      </c>
      <c r="E2097" s="156" t="inlineStr">
        <is>
          <t>9806002-625-NZ</t>
        </is>
      </c>
      <c r="F2097" s="156" t="inlineStr">
        <is>
          <t>Talla única</t>
        </is>
      </c>
      <c r="G2097" s="156" t="inlineStr">
        <is>
          <t>One Size</t>
        </is>
      </c>
      <c r="H2097" s="156" t="inlineStr">
        <is>
          <t>Stetson</t>
        </is>
      </c>
      <c r="I2097" s="156" t="inlineStr">
        <is>
          <t>Cartera Artesanal Bisonte Doble Pliegue</t>
        </is>
      </c>
      <c r="J2097" s="156" t="inlineStr">
        <is>
          <t>Accesorios</t>
        </is>
      </c>
      <c r="K2097" s="156" t="inlineStr">
        <is>
          <t>Carteras</t>
        </is>
      </c>
      <c r="L2097" s="156" t="inlineStr">
        <is>
          <t>Hombre</t>
        </is>
      </c>
      <c r="M2097" s="156" t="inlineStr">
        <is>
          <t>Stetson</t>
        </is>
      </c>
      <c r="N2097" s="156" t="inlineStr">
        <is>
          <t>SS26</t>
        </is>
      </c>
      <c r="O2097" s="156" t="inlineStr">
        <is>
          <t>Seasonal</t>
        </is>
      </c>
      <c r="P2097" s="156" t="inlineStr">
        <is>
          <t>Varios</t>
        </is>
      </c>
      <c r="Q2097" s="156" t="n"/>
      <c r="R2097" s="156" t="n"/>
      <c r="S2097" s="156" t="inlineStr">
        <is>
          <t>Lana</t>
        </is>
      </c>
      <c r="T2097" s="156" t="inlineStr">
        <is>
          <t>Cartera Bi-Fold Stetson de Bisonte Americano – Color Hazelnut Autenticidad, resistencia y estilo en una sola pieza. Esta cartera bi-fold Stetson para hombre está elaborada en piel genuina de bisonte americano, reconocida por su durabilidad y textura (más...)</t>
        </is>
      </c>
      <c r="U2097" s="156" t="n"/>
      <c r="V2097" s="156" t="inlineStr">
        <is>
          <t>PZS</t>
        </is>
      </c>
      <c r="W2097" s="51" t="inlineStr">
        <is>
          <t>53121700</t>
        </is>
      </c>
      <c r="X2097" s="156" t="inlineStr">
        <is>
          <t>https://cdn.shopify.com/s/files/1/0888/3250/8267/files/9806002-625_Hazelnut_Bison_1.jpg?v=1761939903</t>
        </is>
      </c>
      <c r="Y2097" s="54" t="n">
        <v>465.5172414</v>
      </c>
      <c r="Z2097" s="54" t="n">
        <v>1034.482759</v>
      </c>
      <c r="AA2097" s="55">
        <f>IF(AND(A2097="", B2097="", E2097=""), "", IF(AB2097="", "Válido", IF((LEN(AB2097)-LEN(SUBSTITUTE(AB2097,"; ","")))/2+1&gt;(LEN(AB2097)-LEN(SUBSTITUTE(AB2097,"[Aviso]","")))/7, "Con Incidencias", "Válido")))</f>
        <v/>
      </c>
      <c r="AB2097" s="56">
        <f>IF(AND(A2097="", B2097="", E2097=""), "", TEXTJOIN("; ", TRUE, IF(OR(TRIM(A2097&amp;"")="", ISNUMBER(SEARCH("FALTA", A2097))), "UPC faltante/inválido", ""), IF(AND(A2097&lt;&gt;"", IFERROR(_xlfn.XMATCH(A2097,$A$2:$A$2509,0,1)&lt;&gt;_xlfn.XMATCH(A2097,$A$2:$A$2509,0,-1),FALSE)), "Código de barras duplicado", ""), IF(AND(E2097&lt;&gt;"", COUNTIF($E$2:$E$2509, E2097)&gt;1), "SKU duplicado", ""), IF(OR(J2097="", J2097=""), "[Aviso] División no capturada ()", IF(ISNA(MATCH(J2097, Criterios!$A$123:$A$126, 0)), "División no válida", "")), IF(OR(K2097="", K2097=""), "[Aviso] Categoría no capturada ()", IF(ISNA(MATCH(K2097, Criterios!$A$81:$A$120, 0)), "Categoría no válida", IF(AND(J2097&lt;&gt;"", J2097&lt;&gt;"", J2097&lt;&gt;VLOOKUP(K2097, Criterios!$A$81:$B$120, 2, FALSE)), "División no coincide con Categoría", ""))), IF(OR(L2097="", L2097=""), "[Aviso] Género no capturado ()", IF(ISNA(MATCH(L2097, Criterios!$B$123:$B$127, 0)), "Género no válido", "")), IF(OR(N2097="", N2097=""), "[Aviso] Temporada no capturada ()", IF(ISNA(MATCH(N2097, Criterios!$C$123:$C$128, 0)), "Temporada no válida", "")), IF(OR(O2097="", O2097=""), "[Aviso] Ciclo de vida no capturado ()", IF(ISNA(MATCH(O2097, Criterios!$D$123:$D$124, 0)), "Ciclo de vida no válido", ""))))</f>
        <v/>
      </c>
      <c r="AC2097" s="56" t="n"/>
      <c r="AD2097" s="51" t="n">
        <v>15</v>
      </c>
      <c r="AE2097" s="156" t="inlineStr">
        <is>
          <t>B25 STETSON.MX (12); WB OUTLET LERMA (5)</t>
        </is>
      </c>
      <c r="AF2097" s="51" t="n">
        <v>17</v>
      </c>
      <c r="AG2097" s="156" t="inlineStr">
        <is>
          <t>Catálogo existente</t>
        </is>
      </c>
      <c r="AH2097" s="156" t="inlineStr">
        <is>
          <t>Revisión 29/09/2026: Campos sin respaldo: P, U | 01/10/2026: complementado desde Shopify Stetson México (match por código de barras): WB Color, WB Fit, WB Silueta</t>
        </is>
      </c>
      <c r="AI2097" s="156" t="inlineStr">
        <is>
          <t>Sí</t>
        </is>
      </c>
      <c r="AJ2097" s="156" t="inlineStr">
        <is>
          <t>STETSON AMERICAS (-2)</t>
        </is>
      </c>
      <c r="AK2097" s="155" t="inlineStr">
        <is>
          <t>Criterios: I [Q] | Criterios: J [R] | Shopify Stetson: producto 14695729987947 / variante 52006375457131 | Shopify WB: producto 10310237683897 / variante 50512089940153</t>
        </is>
      </c>
      <c r="AL2097" s="58" t="n">
        <v>465.5172414</v>
      </c>
      <c r="AM2097" s="58" t="n">
        <v>1034.482759</v>
      </c>
      <c r="AN2097" s="155" t="inlineStr">
        <is>
          <t>Shopify Stetson México | Shopify Western Brothers</t>
        </is>
      </c>
      <c r="AO2097" s="59" t="n">
        <v>22</v>
      </c>
      <c r="AP2097" s="59" t="n">
        <v>5</v>
      </c>
      <c r="AQ2097" s="59" t="n"/>
      <c r="AR2097" s="155" t="inlineStr">
        <is>
          <t>Shopify Stetson México › Stetson México: 12 | Shopify Stetson México › Stetson Americas: 8 | Shopify Stetson México › Eventos: 2 | Shopify Western Brothers › Western Brothers Outlet Lerma: 5</t>
        </is>
      </c>
    </row>
    <row r="2098">
      <c r="A2098" s="50" t="inlineStr">
        <is>
          <t>724303725551</t>
        </is>
      </c>
      <c r="B2098" s="51" t="inlineStr">
        <is>
          <t>109742</t>
        </is>
      </c>
      <c r="C2098" s="156" t="inlineStr">
        <is>
          <t>Multimarca</t>
        </is>
      </c>
      <c r="D2098" s="156" t="inlineStr">
        <is>
          <t>9806003-625-NZ</t>
        </is>
      </c>
      <c r="E2098" s="156" t="inlineStr">
        <is>
          <t>9806003-625-NZ</t>
        </is>
      </c>
      <c r="F2098" s="156" t="inlineStr">
        <is>
          <t>Talla única</t>
        </is>
      </c>
      <c r="G2098" s="156" t="inlineStr">
        <is>
          <t>One Size</t>
        </is>
      </c>
      <c r="H2098" s="156" t="inlineStr">
        <is>
          <t>Stetson</t>
        </is>
      </c>
      <c r="I2098" s="156" t="inlineStr">
        <is>
          <t>Cartera Chequera Artesanal Bisonte Doble Pliegue</t>
        </is>
      </c>
      <c r="J2098" s="156" t="inlineStr">
        <is>
          <t>Accesorios</t>
        </is>
      </c>
      <c r="K2098" s="156" t="inlineStr">
        <is>
          <t>Carteras</t>
        </is>
      </c>
      <c r="L2098" s="156" t="inlineStr">
        <is>
          <t>Hombre</t>
        </is>
      </c>
      <c r="M2098" s="156" t="inlineStr">
        <is>
          <t>Stetson</t>
        </is>
      </c>
      <c r="N2098" s="156" t="inlineStr">
        <is>
          <t>SS26</t>
        </is>
      </c>
      <c r="O2098" s="156" t="inlineStr">
        <is>
          <t>Seasonal</t>
        </is>
      </c>
      <c r="P2098" s="156" t="inlineStr">
        <is>
          <t>Cafe</t>
        </is>
      </c>
      <c r="Q2098" s="156" t="n"/>
      <c r="R2098" s="156" t="n"/>
      <c r="S2098" s="156" t="inlineStr">
        <is>
          <t>Lana</t>
        </is>
      </c>
      <c r="T2098" s="156" t="inlineStr">
        <is>
          <t>Cartera Chequera Bi-Fold Stetson de Bisonte Americano – Color Hazelnut Autenticidad, resistencia y estilo en una sola pieza. Esta chequera bi-fold Stetson para hombre está elaborada en piel genuina de bisonte americano, reconocida por su durabilidad (más...)</t>
        </is>
      </c>
      <c r="U2098" s="156" t="n"/>
      <c r="V2098" s="156" t="inlineStr">
        <is>
          <t>PZS</t>
        </is>
      </c>
      <c r="W2098" s="51" t="inlineStr">
        <is>
          <t>53121700</t>
        </is>
      </c>
      <c r="X2098" s="156" t="inlineStr">
        <is>
          <t>https://cdn.shopify.com/s/files/1/0888/3250/8267/files/9806003-625_Hazelnut_Bison_1.jpg?v=1761940007</t>
        </is>
      </c>
      <c r="Y2098" s="54" t="n">
        <v>562.5</v>
      </c>
      <c r="Z2098" s="54" t="n">
        <v>1250</v>
      </c>
      <c r="AA2098" s="55">
        <f>IF(AND(A2098="", B2098="", E2098=""), "", IF(AB2098="", "Válido", IF((LEN(AB2098)-LEN(SUBSTITUTE(AB2098,"; ","")))/2+1&gt;(LEN(AB2098)-LEN(SUBSTITUTE(AB2098,"[Aviso]","")))/7, "Con Incidencias", "Válido")))</f>
        <v/>
      </c>
      <c r="AB2098" s="56">
        <f>IF(AND(A2098="", B2098="", E2098=""), "", TEXTJOIN("; ", TRUE, IF(OR(TRIM(A2098&amp;"")="", ISNUMBER(SEARCH("FALTA", A2098))), "UPC faltante/inválido", ""), IF(AND(A2098&lt;&gt;"", IFERROR(_xlfn.XMATCH(A2098,$A$2:$A$2509,0,1)&lt;&gt;_xlfn.XMATCH(A2098,$A$2:$A$2509,0,-1),FALSE)), "Código de barras duplicado", ""), IF(AND(E2098&lt;&gt;"", COUNTIF($E$2:$E$2509, E2098)&gt;1), "SKU duplicado", ""), IF(OR(J2098="", J2098=""), "[Aviso] División no capturada ()", IF(ISNA(MATCH(J2098, Criterios!$A$123:$A$126, 0)), "División no válida", "")), IF(OR(K2098="", K2098=""), "[Aviso] Categoría no capturada ()", IF(ISNA(MATCH(K2098, Criterios!$A$81:$A$120, 0)), "Categoría no válida", IF(AND(J2098&lt;&gt;"", J2098&lt;&gt;"", J2098&lt;&gt;VLOOKUP(K2098, Criterios!$A$81:$B$120, 2, FALSE)), "División no coincide con Categoría", ""))), IF(OR(L2098="", L2098=""), "[Aviso] Género no capturado ()", IF(ISNA(MATCH(L2098, Criterios!$B$123:$B$127, 0)), "Género no válido", "")), IF(OR(N2098="", N2098=""), "[Aviso] Temporada no capturada ()", IF(ISNA(MATCH(N2098, Criterios!$C$123:$C$128, 0)), "Temporada no válida", "")), IF(OR(O2098="", O2098=""), "[Aviso] Ciclo de vida no capturado ()", IF(ISNA(MATCH(O2098, Criterios!$D$123:$D$124, 0)), "Ciclo de vida no válido", ""))))</f>
        <v/>
      </c>
      <c r="AC2098" s="56" t="n"/>
      <c r="AD2098" s="51" t="n">
        <v>4</v>
      </c>
      <c r="AE2098" s="156" t="inlineStr">
        <is>
          <t>B25 STETSON.MX (3); WB OUTLET LERMA (3)</t>
        </is>
      </c>
      <c r="AF2098" s="51" t="n">
        <v>6</v>
      </c>
      <c r="AG2098" s="156" t="inlineStr">
        <is>
          <t>Catálogo existente</t>
        </is>
      </c>
      <c r="AH2098" s="156" t="inlineStr">
        <is>
          <t>Revisión 29/09/2026: Campos sin respaldo: P, U | 01/10/2026: complementado desde Shopify Stetson México (match por código de barras): WB Color, WB Fit, WB Silueta</t>
        </is>
      </c>
      <c r="AI2098" s="156" t="inlineStr">
        <is>
          <t>Sí</t>
        </is>
      </c>
      <c r="AJ2098" s="156" t="inlineStr">
        <is>
          <t>STETSON AMERICAS (-2)</t>
        </is>
      </c>
      <c r="AK2098" s="155" t="inlineStr">
        <is>
          <t>Criterios: I [Q] | Criterios: J [R] | Shopify Stetson: producto 14695730545003 / variante 52006376866155 | Shopify WB: producto 8579866034361 / variante 47802963787961</t>
        </is>
      </c>
      <c r="AL2098" s="58" t="n">
        <v>562.5</v>
      </c>
      <c r="AM2098" s="58" t="n">
        <v>1250</v>
      </c>
      <c r="AN2098" s="155" t="inlineStr">
        <is>
          <t>Shopify Stetson México | Shopify Western Brothers</t>
        </is>
      </c>
      <c r="AO2098" s="59" t="n">
        <v>10</v>
      </c>
      <c r="AP2098" s="59" t="n">
        <v>3</v>
      </c>
      <c r="AQ2098" s="59" t="n"/>
      <c r="AR2098" s="155" t="inlineStr">
        <is>
          <t>Shopify Stetson México › Stetson México: 3 | Shopify Stetson México › Stetson Americas: 7 | Shopify Western Brothers › Western Brothers Outlet Lerma: 3</t>
        </is>
      </c>
    </row>
    <row r="2099">
      <c r="A2099" s="50" t="inlineStr">
        <is>
          <t>724303725605</t>
        </is>
      </c>
      <c r="B2099" s="51" t="n"/>
      <c r="C2099" s="156" t="inlineStr">
        <is>
          <t>Multimarca</t>
        </is>
      </c>
      <c r="D2099" s="156" t="inlineStr">
        <is>
          <t>9916500-19</t>
        </is>
      </c>
      <c r="E2099" s="156" t="inlineStr">
        <is>
          <t>9916500-19-32</t>
        </is>
      </c>
      <c r="F2099" s="156" t="inlineStr">
        <is>
          <t>32</t>
        </is>
      </c>
      <c r="G2099" s="156" t="inlineStr">
        <is>
          <t>32</t>
        </is>
      </c>
      <c r="H2099" s="156" t="inlineStr">
        <is>
          <t>Stetson</t>
        </is>
      </c>
      <c r="I2099" s="156" t="inlineStr">
        <is>
          <t>Cinturón Stetson Piel de Avestruz Cowboy Black</t>
        </is>
      </c>
      <c r="J2099" s="156" t="inlineStr">
        <is>
          <t>Accesorios</t>
        </is>
      </c>
      <c r="K2099" s="156" t="inlineStr">
        <is>
          <t>Cinturones</t>
        </is>
      </c>
      <c r="L2099" s="156" t="inlineStr">
        <is>
          <t>Hombre</t>
        </is>
      </c>
      <c r="M2099" s="156" t="inlineStr">
        <is>
          <t>Stetson</t>
        </is>
      </c>
      <c r="N2099" s="156" t="inlineStr">
        <is>
          <t>SS26</t>
        </is>
      </c>
      <c r="O2099" s="156" t="inlineStr">
        <is>
          <t>Seasonal</t>
        </is>
      </c>
      <c r="P2099" s="156" t="inlineStr">
        <is>
          <t>Negro</t>
        </is>
      </c>
      <c r="Q2099" s="156" t="n"/>
      <c r="R2099" s="156" t="n"/>
      <c r="S2099" s="156" t="n"/>
      <c r="T2099"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 Modelo: Cinturón Stetson Black Cowboy 6500 38mm
 • Ancho: 38 mm (1 1/2")
 • Material: Cuero exótico genuino de avestruz
 • Diseño:
  - Correa en cuero de avestruz con textura natural
  - Extremos estilo western en avestruz a juego
  - Bordes perfilados con costura tonal
  - Hebilla metálica Stetson en acabado bicolor
  - Color: Negro
  - Estilo: Occidental / Western
  - Tallas disponibles: 32 | 34 | 36 | 38 | 40 | 42 | 44 | 46</t>
        </is>
      </c>
      <c r="U2099" s="156" t="n"/>
      <c r="V2099" s="156" t="inlineStr">
        <is>
          <t>PZS</t>
        </is>
      </c>
      <c r="W2099" s="51" t="inlineStr">
        <is>
          <t>53102501</t>
        </is>
      </c>
      <c r="X2099" s="156" t="inlineStr">
        <is>
          <t>https://cdn.shopify.com/s/files/1/0888/3250/8267/files/9916500-019_Black_Cowboy_Classic_1.jpg?v=1763142723</t>
        </is>
      </c>
      <c r="Y2099" s="54" t="n">
        <v>1900.862069</v>
      </c>
      <c r="Z2099" s="54" t="n">
        <v>4900</v>
      </c>
      <c r="AA2099" s="55">
        <f>IF(AND(A2099="", B2099="", E2099=""), "", IF(AB2099="", "Válido", IF((LEN(AB2099)-LEN(SUBSTITUTE(AB2099,"; ","")))/2+1&gt;(LEN(AB2099)-LEN(SUBSTITUTE(AB2099,"[Aviso]","")))/7, "Con Incidencias", "Válido")))</f>
        <v/>
      </c>
      <c r="AB2099" s="56">
        <f>IF(AND(A2099="", B2099="", E2099=""), "", TEXTJOIN("; ", TRUE, IF(OR(TRIM(A2099&amp;"")="", ISNUMBER(SEARCH("FALTA", A2099))), "UPC faltante/inválido", ""), IF(AND(A2099&lt;&gt;"", IFERROR(_xlfn.XMATCH(A2099,$A$2:$A$2509,0,1)&lt;&gt;_xlfn.XMATCH(A2099,$A$2:$A$2509,0,-1),FALSE)), "Código de barras duplicado", ""), IF(AND(E2099&lt;&gt;"", COUNTIF($E$2:$E$2509, E2099)&gt;1), "SKU duplicado", ""), IF(OR(J2099="", J2099=""), "[Aviso] División no capturada ()", IF(ISNA(MATCH(J2099, Criterios!$A$123:$A$126, 0)), "División no válida", "")), IF(OR(K2099="", K2099=""), "[Aviso] Categoría no capturada ()", IF(ISNA(MATCH(K2099, Criterios!$A$81:$A$120, 0)), "Categoría no válida", IF(AND(J2099&lt;&gt;"", J2099&lt;&gt;"", J2099&lt;&gt;VLOOKUP(K2099, Criterios!$A$81:$B$120, 2, FALSE)), "División no coincide con Categoría", ""))), IF(OR(L2099="", L2099=""), "[Aviso] Género no capturado ()", IF(ISNA(MATCH(L2099, Criterios!$B$123:$B$127, 0)), "Género no válido", "")), IF(OR(N2099="", N2099=""), "[Aviso] Temporada no capturada ()", IF(ISNA(MATCH(N2099, Criterios!$C$123:$C$128, 0)), "Temporada no válida", "")), IF(OR(O2099="", O2099=""), "[Aviso] Ciclo de vida no capturado ()", IF(ISNA(MATCH(O2099, Criterios!$D$123:$D$124, 0)), "Ciclo de vida no válido", ""))))</f>
        <v/>
      </c>
      <c r="AC2099" s="56" t="n"/>
      <c r="AD2099" s="51" t="n">
        <v>0</v>
      </c>
      <c r="AE2099" s="156" t="inlineStr">
        <is>
          <t>Sin coincidencia en NetSuite</t>
        </is>
      </c>
      <c r="AF2099" s="51" t="n"/>
      <c r="AG2099" s="156" t="inlineStr">
        <is>
          <t>Catálogo existente</t>
        </is>
      </c>
      <c r="AH2099"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9" s="156" t="n"/>
      <c r="AJ2099" s="156" t="n"/>
      <c r="AK2099" s="155" t="inlineStr">
        <is>
          <t>Shopify Stetson: producto 14697978462571 / variante 52013854949739</t>
        </is>
      </c>
      <c r="AL2099" s="58" t="n">
        <v>1900.862069</v>
      </c>
      <c r="AM2099" s="58" t="n">
        <v>4900</v>
      </c>
      <c r="AN2099" s="155" t="inlineStr">
        <is>
          <t>Shopify Stetson México</t>
        </is>
      </c>
      <c r="AO2099" s="59" t="n">
        <v>0</v>
      </c>
      <c r="AP2099" s="59" t="n"/>
      <c r="AQ2099" s="59" t="n"/>
      <c r="AR2099" s="155" t="n"/>
    </row>
    <row r="2100">
      <c r="A2100" s="50" t="inlineStr">
        <is>
          <t>724303725612</t>
        </is>
      </c>
      <c r="B2100" s="51" t="n"/>
      <c r="C2100" s="156" t="inlineStr">
        <is>
          <t>Multimarca</t>
        </is>
      </c>
      <c r="D2100" s="156" t="inlineStr">
        <is>
          <t>9916500-19</t>
        </is>
      </c>
      <c r="E2100" s="156" t="inlineStr">
        <is>
          <t>9916500-19-34</t>
        </is>
      </c>
      <c r="F2100" s="156" t="inlineStr">
        <is>
          <t>34</t>
        </is>
      </c>
      <c r="G2100" s="156" t="inlineStr">
        <is>
          <t>34</t>
        </is>
      </c>
      <c r="H2100" s="156" t="inlineStr">
        <is>
          <t>Stetson</t>
        </is>
      </c>
      <c r="I2100" s="156" t="inlineStr">
        <is>
          <t>Cinturón Stetson Piel de Avestruz Cowboy Black</t>
        </is>
      </c>
      <c r="J2100" s="156" t="inlineStr">
        <is>
          <t>Accesorios</t>
        </is>
      </c>
      <c r="K2100" s="156" t="inlineStr">
        <is>
          <t>Cinturones</t>
        </is>
      </c>
      <c r="L2100" s="156" t="inlineStr">
        <is>
          <t>Hombre</t>
        </is>
      </c>
      <c r="M2100" s="156" t="inlineStr">
        <is>
          <t>Stetson</t>
        </is>
      </c>
      <c r="N2100" s="156" t="inlineStr">
        <is>
          <t>SS26</t>
        </is>
      </c>
      <c r="O2100" s="156" t="inlineStr">
        <is>
          <t>Seasonal</t>
        </is>
      </c>
      <c r="P2100" s="156" t="inlineStr">
        <is>
          <t>Negro</t>
        </is>
      </c>
      <c r="Q2100" s="156" t="n"/>
      <c r="R2100" s="156" t="n"/>
      <c r="S2100" s="156" t="n"/>
      <c r="T2100"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 Modelo: Cinturón Stetson Black Cowboy 6500 38mm
 • Ancho: 38 mm (1 1/2")
 • Material: Cuero exótico genuino de avestruz
 • Diseño:
  - Correa en cuero de avestruz con textura natural
  - Extremos estilo western en avestruz a juego
  - Bordes perfilados con costura tonal
  - Hebilla metálica Stetson en acabado bicolor
  - Color: Negro
  - Estilo: Occidental / Western
  - Tallas disponibles: 32 | 34 | 36 | 38 | 40 | 42 | 44 | 46</t>
        </is>
      </c>
      <c r="U2100" s="156" t="n"/>
      <c r="V2100" s="156" t="inlineStr">
        <is>
          <t>PZS</t>
        </is>
      </c>
      <c r="W2100" s="51" t="inlineStr">
        <is>
          <t>53102501</t>
        </is>
      </c>
      <c r="X2100" s="156" t="inlineStr">
        <is>
          <t>https://cdn.shopify.com/s/files/1/0888/3250/8267/files/9916500-019_alt1.jpg?v=1763142736</t>
        </is>
      </c>
      <c r="Y2100" s="54" t="n">
        <v>1900.862069</v>
      </c>
      <c r="Z2100" s="54" t="n">
        <v>4900</v>
      </c>
      <c r="AA2100" s="55">
        <f>IF(AND(A2100="", B2100="", E2100=""), "", IF(AB2100="", "Válido", IF((LEN(AB2100)-LEN(SUBSTITUTE(AB2100,"; ","")))/2+1&gt;(LEN(AB2100)-LEN(SUBSTITUTE(AB2100,"[Aviso]","")))/7, "Con Incidencias", "Válido")))</f>
        <v/>
      </c>
      <c r="AB2100" s="56">
        <f>IF(AND(A2100="", B2100="", E2100=""), "", TEXTJOIN("; ", TRUE, IF(OR(TRIM(A2100&amp;"")="", ISNUMBER(SEARCH("FALTA", A2100))), "UPC faltante/inválido", ""), IF(AND(A2100&lt;&gt;"", IFERROR(_xlfn.XMATCH(A2100,$A$2:$A$2509,0,1)&lt;&gt;_xlfn.XMATCH(A2100,$A$2:$A$2509,0,-1),FALSE)), "Código de barras duplicado", ""), IF(AND(E2100&lt;&gt;"", COUNTIF($E$2:$E$2509, E2100)&gt;1), "SKU duplicado", ""), IF(OR(J2100="", J2100=""), "[Aviso] División no capturada ()", IF(ISNA(MATCH(J2100, Criterios!$A$123:$A$126, 0)), "División no válida", "")), IF(OR(K2100="", K2100=""), "[Aviso] Categoría no capturada ()", IF(ISNA(MATCH(K2100, Criterios!$A$81:$A$120, 0)), "Categoría no válida", IF(AND(J2100&lt;&gt;"", J2100&lt;&gt;"", J2100&lt;&gt;VLOOKUP(K2100, Criterios!$A$81:$B$120, 2, FALSE)), "División no coincide con Categoría", ""))), IF(OR(L2100="", L2100=""), "[Aviso] Género no capturado ()", IF(ISNA(MATCH(L2100, Criterios!$B$123:$B$127, 0)), "Género no válido", "")), IF(OR(N2100="", N2100=""), "[Aviso] Temporada no capturada ()", IF(ISNA(MATCH(N2100, Criterios!$C$123:$C$128, 0)), "Temporada no válida", "")), IF(OR(O2100="", O2100=""), "[Aviso] Ciclo de vida no capturado ()", IF(ISNA(MATCH(O2100, Criterios!$D$123:$D$124, 0)), "Ciclo de vida no válido", ""))))</f>
        <v/>
      </c>
      <c r="AC2100" s="56" t="n"/>
      <c r="AD2100" s="51" t="n">
        <v>0</v>
      </c>
      <c r="AE2100" s="156" t="inlineStr">
        <is>
          <t>Sin coincidencia en NetSuite</t>
        </is>
      </c>
      <c r="AF2100" s="51" t="n"/>
      <c r="AG2100" s="156" t="inlineStr">
        <is>
          <t>Catálogo existente</t>
        </is>
      </c>
      <c r="AH2100"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00" s="156" t="n"/>
      <c r="AJ2100" s="156" t="n"/>
      <c r="AK2100" s="155" t="inlineStr">
        <is>
          <t>Shopify Stetson: producto 14697978462571 / variante 52013854982507</t>
        </is>
      </c>
      <c r="AL2100" s="58" t="n">
        <v>1900.862069</v>
      </c>
      <c r="AM2100" s="58" t="n">
        <v>4900</v>
      </c>
      <c r="AN2100" s="155" t="inlineStr">
        <is>
          <t>Shopify Stetson México</t>
        </is>
      </c>
      <c r="AO2100" s="59" t="n">
        <v>0</v>
      </c>
      <c r="AP2100" s="59" t="n"/>
      <c r="AQ2100" s="59" t="n"/>
      <c r="AR2100" s="155" t="n"/>
    </row>
    <row r="2101">
      <c r="A2101" s="50" t="inlineStr">
        <is>
          <t>724303729115</t>
        </is>
      </c>
      <c r="B2101" s="51" t="inlineStr">
        <is>
          <t>109735</t>
        </is>
      </c>
      <c r="C2101" s="156" t="inlineStr">
        <is>
          <t>Multimarca</t>
        </is>
      </c>
      <c r="D2101" s="156" t="inlineStr">
        <is>
          <t>9804003-203-NZ</t>
        </is>
      </c>
      <c r="E2101" s="156" t="inlineStr">
        <is>
          <t>9804003-203-NZ</t>
        </is>
      </c>
      <c r="F2101" s="156" t="inlineStr">
        <is>
          <t>Talla única</t>
        </is>
      </c>
      <c r="G2101" s="156" t="inlineStr">
        <is>
          <t>One Size</t>
        </is>
      </c>
      <c r="H2101" s="156" t="inlineStr">
        <is>
          <t>Stetson</t>
        </is>
      </c>
      <c r="I2101" s="156" t="inlineStr">
        <is>
          <t>Cartera Chequera Artesanal Doble Pliegue Vintage</t>
        </is>
      </c>
      <c r="J2101" s="156" t="inlineStr">
        <is>
          <t>Accesorios</t>
        </is>
      </c>
      <c r="K2101" s="156" t="inlineStr">
        <is>
          <t>Carteras</t>
        </is>
      </c>
      <c r="L2101" s="156" t="inlineStr">
        <is>
          <t>Hombre</t>
        </is>
      </c>
      <c r="M2101" s="156" t="inlineStr">
        <is>
          <t>Stetson</t>
        </is>
      </c>
      <c r="N2101" s="156" t="inlineStr">
        <is>
          <t>SS26</t>
        </is>
      </c>
      <c r="O2101" s="156" t="inlineStr">
        <is>
          <t>Seasonal</t>
        </is>
      </c>
      <c r="P2101" s="156" t="inlineStr">
        <is>
          <t>Cafe</t>
        </is>
      </c>
      <c r="Q2101" s="156" t="n"/>
      <c r="R2101" s="156" t="n"/>
      <c r="S2101" s="156" t="inlineStr">
        <is>
          <t>Piel</t>
        </is>
      </c>
      <c r="T2101" s="156" t="inlineStr">
        <is>
          <t>Cartera Chequera Bi-Fold Stetson Vintage Café – Estilo Rústico y Detalle Artesanal
 Autenticidad y carácter en una sola pieza. Esta cartera Bi-fold Stetson para hombre está elaborada en cuero genuino de primera calidad, con un diseño distintivo que combina una incrustación de piel de pelo natural tipo brindle, cuerpo grabado a mano con motivos florales y costuras en contraste. Un elegante concho metálico con el logotipo Stetson grabado corona el diseño, reflejando una mezcla perfecta entre lo rústico y lo refinado.
 • Tipo de producto: Cartera Chequera Bi-fold (plegable en dos partes)
 • Modelo: Bi-Fold Vintage
 • Color: Café Vintage
 • Material principal: Cuero de primera calidad (Top Grain Leather)
 • Diseño:
  - Incrustación de piel con pelo natural tipo brindle
  - Cuerpo grabado a mano con diseño floral
 • Detalles:
  - Costuras en contraste
  - Concho metálico grabado con el logotipo Stetson
  - Género: Hombre
  - Estilo: Rústico, artesanal y elegante</t>
        </is>
      </c>
      <c r="U2101" s="156" t="n"/>
      <c r="V2101" s="156" t="inlineStr">
        <is>
          <t>PZS</t>
        </is>
      </c>
      <c r="W2101" s="51" t="inlineStr">
        <is>
          <t>53121700</t>
        </is>
      </c>
      <c r="X2101" s="156" t="inlineStr">
        <is>
          <t>https://cdn.shopify.com/s/files/1/0888/3250/8267/files/9804003-203_Vintage_Brown_1.jpg?v=1761936179</t>
        </is>
      </c>
      <c r="Y2101" s="54" t="n">
        <v>795.2586207000001</v>
      </c>
      <c r="Z2101" s="54" t="n">
        <v>1767.241379</v>
      </c>
      <c r="AA2101" s="55">
        <f>IF(AND(A2101="", B2101="", E2101=""), "", IF(AB2101="", "Válido", IF((LEN(AB2101)-LEN(SUBSTITUTE(AB2101,"; ","")))/2+1&gt;(LEN(AB2101)-LEN(SUBSTITUTE(AB2101,"[Aviso]","")))/7, "Con Incidencias", "Válido")))</f>
        <v/>
      </c>
      <c r="AB2101" s="56">
        <f>IF(AND(A2101="", B2101="", E2101=""), "", TEXTJOIN("; ", TRUE, IF(OR(TRIM(A2101&amp;"")="", ISNUMBER(SEARCH("FALTA", A2101))), "UPC faltante/inválido", ""), IF(AND(A2101&lt;&gt;"", IFERROR(_xlfn.XMATCH(A2101,$A$2:$A$2509,0,1)&lt;&gt;_xlfn.XMATCH(A2101,$A$2:$A$2509,0,-1),FALSE)), "Código de barras duplicado", ""), IF(AND(E2101&lt;&gt;"", COUNTIF($E$2:$E$2509, E2101)&gt;1), "SKU duplicado", ""), IF(OR(J2101="", J2101=""), "[Aviso] División no capturada ()", IF(ISNA(MATCH(J2101, Criterios!$A$123:$A$126, 0)), "División no válida", "")), IF(OR(K2101="", K2101=""), "[Aviso] Categoría no capturada ()", IF(ISNA(MATCH(K2101, Criterios!$A$81:$A$120, 0)), "Categoría no válida", IF(AND(J2101&lt;&gt;"", J2101&lt;&gt;"", J2101&lt;&gt;VLOOKUP(K2101, Criterios!$A$81:$B$120, 2, FALSE)), "División no coincide con Categoría", ""))), IF(OR(L2101="", L2101=""), "[Aviso] Género no capturado ()", IF(ISNA(MATCH(L2101, Criterios!$B$123:$B$127, 0)), "Género no válido", "")), IF(OR(N2101="", N2101=""), "[Aviso] Temporada no capturada ()", IF(ISNA(MATCH(N2101, Criterios!$C$123:$C$128, 0)), "Temporada no válida", "")), IF(OR(O2101="", O2101=""), "[Aviso] Ciclo de vida no capturado ()", IF(ISNA(MATCH(O2101, Criterios!$D$123:$D$124, 0)), "Ciclo de vida no válido", ""))))</f>
        <v/>
      </c>
      <c r="AC2101" s="56" t="n"/>
      <c r="AD2101" s="51" t="n">
        <v>3</v>
      </c>
      <c r="AE2101" s="156" t="inlineStr">
        <is>
          <t>WB OUTLET LERMA (3)</t>
        </is>
      </c>
      <c r="AF2101" s="51" t="n">
        <v>3</v>
      </c>
      <c r="AG2101" s="156" t="inlineStr">
        <is>
          <t>Catálogo existente</t>
        </is>
      </c>
      <c r="AH2101" s="156" t="inlineStr">
        <is>
          <t>Revisión 29/09/2026: Campos sin respaldo: U; Auditoría NetSuite 30/09/2026: llenado desde NetSuite [S] | 01/10/2026: complementado desde Shopify Stetson México (match por código de barras): WB Fit, WB Silueta</t>
        </is>
      </c>
      <c r="AI2101" s="156" t="inlineStr">
        <is>
          <t>No</t>
        </is>
      </c>
      <c r="AJ2101" s="156" t="n"/>
      <c r="AK2101" s="155" t="inlineStr">
        <is>
          <t>Criterios: I [Q] | Criterios: J [R]; G1522_Extraccion_Articulos_NetSuite_2026-09-30.xlsx: fila 57550 [S] | Shopify Stetson: producto 14695717241195 / variante 52006075236715 | Shopify WB: producto 8579865837753 / variante 47802963263673</t>
        </is>
      </c>
      <c r="AL2101" s="58" t="n">
        <v>795.2586207000001</v>
      </c>
      <c r="AM2101" s="58" t="n">
        <v>1767.241379</v>
      </c>
      <c r="AN2101" s="155" t="inlineStr">
        <is>
          <t>Shopify Stetson México | Shopify Western Brothers</t>
        </is>
      </c>
      <c r="AO2101" s="59" t="n">
        <v>1</v>
      </c>
      <c r="AP2101" s="59" t="n">
        <v>3</v>
      </c>
      <c r="AQ2101" s="59" t="n"/>
      <c r="AR2101" s="155" t="inlineStr">
        <is>
          <t>Shopify Stetson México › Stetson Americas: 1 | Shopify Western Brothers › Western Brothers Outlet Lerma: 3</t>
        </is>
      </c>
    </row>
    <row r="2102">
      <c r="A2102" s="50" t="inlineStr">
        <is>
          <t>724303729153</t>
        </is>
      </c>
      <c r="B2102" s="51" t="inlineStr">
        <is>
          <t>109734</t>
        </is>
      </c>
      <c r="C2102" s="156" t="inlineStr">
        <is>
          <t>Multimarca</t>
        </is>
      </c>
      <c r="D2102" s="156" t="inlineStr">
        <is>
          <t>9804002-203-NZ</t>
        </is>
      </c>
      <c r="E2102" s="156" t="inlineStr">
        <is>
          <t>9804002-203-NZ</t>
        </is>
      </c>
      <c r="F2102" s="156" t="inlineStr">
        <is>
          <t>Talla única</t>
        </is>
      </c>
      <c r="G2102" s="156" t="inlineStr">
        <is>
          <t>One Size</t>
        </is>
      </c>
      <c r="H2102" s="156" t="inlineStr">
        <is>
          <t>Stetson</t>
        </is>
      </c>
      <c r="I2102" s="156" t="inlineStr">
        <is>
          <t>Cartera Artesanal Doble Pliegue Vintage</t>
        </is>
      </c>
      <c r="J2102" s="156" t="inlineStr">
        <is>
          <t>Accesorios</t>
        </is>
      </c>
      <c r="K2102" s="156" t="inlineStr">
        <is>
          <t>Carteras</t>
        </is>
      </c>
      <c r="L2102" s="156" t="inlineStr">
        <is>
          <t>Hombre</t>
        </is>
      </c>
      <c r="M2102" s="156" t="inlineStr">
        <is>
          <t>Stetson</t>
        </is>
      </c>
      <c r="N2102" s="156" t="inlineStr">
        <is>
          <t>SS26</t>
        </is>
      </c>
      <c r="O2102" s="156" t="inlineStr">
        <is>
          <t>Seasonal</t>
        </is>
      </c>
      <c r="P2102" s="156" t="inlineStr">
        <is>
          <t>Cafe</t>
        </is>
      </c>
      <c r="Q2102" s="156" t="n"/>
      <c r="R2102" s="156" t="n"/>
      <c r="S2102" s="156" t="inlineStr">
        <is>
          <t>Piel</t>
        </is>
      </c>
      <c r="T2102" s="156" t="inlineStr">
        <is>
          <t>Cartera Bi-Fold Stetson Vintage Café – Estilo Rústico y Detalle Artesanal Autenticidad y carácter en una sola pieza. Esta cartera Bi-fold Stetson para hombre está elaborada en cuero genuino de primera calidad, con un diseño distintivo que combina una(más...)</t>
        </is>
      </c>
      <c r="U2102" s="156" t="n"/>
      <c r="V2102" s="156" t="inlineStr">
        <is>
          <t>PZS</t>
        </is>
      </c>
      <c r="W2102" s="51" t="inlineStr">
        <is>
          <t>53121700</t>
        </is>
      </c>
      <c r="X2102" s="156" t="inlineStr">
        <is>
          <t>https://cdn.shopify.com/s/files/1/0888/3250/8267/files/9804002-203_Vintage_Brown_1.jpg?v=1761936057</t>
        </is>
      </c>
      <c r="Y2102" s="54" t="n">
        <v>640.0862069</v>
      </c>
      <c r="Z2102" s="54" t="n">
        <v>1422.413793</v>
      </c>
      <c r="AA2102" s="55">
        <f>IF(AND(A2102="", B2102="", E2102=""), "", IF(AB2102="", "Válido", IF((LEN(AB2102)-LEN(SUBSTITUTE(AB2102,"; ","")))/2+1&gt;(LEN(AB2102)-LEN(SUBSTITUTE(AB2102,"[Aviso]","")))/7, "Con Incidencias", "Válido")))</f>
        <v/>
      </c>
      <c r="AB2102" s="56">
        <f>IF(AND(A2102="", B2102="", E2102=""), "", TEXTJOIN("; ", TRUE, IF(OR(TRIM(A2102&amp;"")="", ISNUMBER(SEARCH("FALTA", A2102))), "UPC faltante/inválido", ""), IF(AND(A2102&lt;&gt;"", IFERROR(_xlfn.XMATCH(A2102,$A$2:$A$2509,0,1)&lt;&gt;_xlfn.XMATCH(A2102,$A$2:$A$2509,0,-1),FALSE)), "Código de barras duplicado", ""), IF(AND(E2102&lt;&gt;"", COUNTIF($E$2:$E$2509, E2102)&gt;1), "SKU duplicado", ""), IF(OR(J2102="", J2102=""), "[Aviso] División no capturada ()", IF(ISNA(MATCH(J2102, Criterios!$A$123:$A$126, 0)), "División no válida", "")), IF(OR(K2102="", K2102=""), "[Aviso] Categoría no capturada ()", IF(ISNA(MATCH(K2102, Criterios!$A$81:$A$120, 0)), "Categoría no válida", IF(AND(J2102&lt;&gt;"", J2102&lt;&gt;"", J2102&lt;&gt;VLOOKUP(K2102, Criterios!$A$81:$B$120, 2, FALSE)), "División no coincide con Categoría", ""))), IF(OR(L2102="", L2102=""), "[Aviso] Género no capturado ()", IF(ISNA(MATCH(L2102, Criterios!$B$123:$B$127, 0)), "Género no válido", "")), IF(OR(N2102="", N2102=""), "[Aviso] Temporada no capturada ()", IF(ISNA(MATCH(N2102, Criterios!$C$123:$C$128, 0)), "Temporada no válida", "")), IF(OR(O2102="", O2102=""), "[Aviso] Ciclo de vida no capturado ()", IF(ISNA(MATCH(O2102, Criterios!$D$123:$D$124, 0)), "Ciclo de vida no válido", ""))))</f>
        <v/>
      </c>
      <c r="AC2102" s="56" t="n"/>
      <c r="AD2102" s="51" t="n">
        <v>1</v>
      </c>
      <c r="AE2102" s="156" t="inlineStr">
        <is>
          <t>B25 STETSON.MX (3)</t>
        </is>
      </c>
      <c r="AF2102" s="51" t="n">
        <v>3</v>
      </c>
      <c r="AG2102" s="156" t="inlineStr">
        <is>
          <t>Catálogo existente</t>
        </is>
      </c>
      <c r="AH2102" s="156" t="inlineStr">
        <is>
          <t>Revisión 29/09/2026: Campos sin respaldo: U; Auditoría NetSuite 30/09/2026: llenado desde NetSuite [S] | 01/10/2026: complementado desde Shopify Stetson México (match por código de barras): WB Fit, WB Silueta</t>
        </is>
      </c>
      <c r="AI2102" s="156" t="inlineStr">
        <is>
          <t>Sí</t>
        </is>
      </c>
      <c r="AJ2102" s="156" t="inlineStr">
        <is>
          <t>STETSON AMERICAS (-2)</t>
        </is>
      </c>
      <c r="AK2102" s="155" t="inlineStr">
        <is>
          <t>Descripción y Criterios: G/H [P] | Criterios: I [Q] | Criterios: J [R]; G1522_Extraccion_Articulos_NetSuite_2026-09-30.xlsx: fila 57549 [S] | Shopify Stetson: producto 14695716946283 / variante 52006046761323</t>
        </is>
      </c>
      <c r="AL2102" s="58" t="n">
        <v>640.0862069</v>
      </c>
      <c r="AM2102" s="58" t="n">
        <v>1422.413793</v>
      </c>
      <c r="AN2102" s="155" t="inlineStr">
        <is>
          <t>Shopify Stetson México</t>
        </is>
      </c>
      <c r="AO2102" s="59" t="n">
        <v>6</v>
      </c>
      <c r="AP2102" s="59" t="n"/>
      <c r="AQ2102" s="59" t="n"/>
      <c r="AR2102" s="155" t="inlineStr">
        <is>
          <t>Shopify Stetson México › Stetson México: 3 | Shopify Stetson México › Stetson Americas: 3</t>
        </is>
      </c>
    </row>
    <row r="2103">
      <c r="A2103" s="50" t="inlineStr">
        <is>
          <t>724303731378</t>
        </is>
      </c>
      <c r="B2103" s="51" t="n"/>
      <c r="C2103" s="156" t="inlineStr">
        <is>
          <t>Multimarca</t>
        </is>
      </c>
      <c r="D2103" s="156" t="inlineStr">
        <is>
          <t>9921500-97</t>
        </is>
      </c>
      <c r="E2103" s="156" t="inlineStr">
        <is>
          <t>9921500-97-32</t>
        </is>
      </c>
      <c r="F2103" s="156" t="inlineStr">
        <is>
          <t>32</t>
        </is>
      </c>
      <c r="G2103" s="156" t="inlineStr">
        <is>
          <t>32</t>
        </is>
      </c>
      <c r="H2103" s="156" t="inlineStr">
        <is>
          <t>Stetson</t>
        </is>
      </c>
      <c r="I2103" s="156" t="inlineStr">
        <is>
          <t>Cinturón Stetson Piel Vintage Taupe</t>
        </is>
      </c>
      <c r="J2103" s="156" t="inlineStr">
        <is>
          <t>Accesorios</t>
        </is>
      </c>
      <c r="K2103" s="156" t="inlineStr">
        <is>
          <t>Cinturones</t>
        </is>
      </c>
      <c r="L2103" s="156" t="inlineStr">
        <is>
          <t>Hombre</t>
        </is>
      </c>
      <c r="M2103" s="156" t="inlineStr">
        <is>
          <t>Stetson</t>
        </is>
      </c>
      <c r="N2103" s="156" t="inlineStr">
        <is>
          <t>SS26</t>
        </is>
      </c>
      <c r="O2103" s="156" t="inlineStr">
        <is>
          <t>Seasonal</t>
        </is>
      </c>
      <c r="P2103" s="156" t="inlineStr">
        <is>
          <t>Cafe</t>
        </is>
      </c>
      <c r="Q2103" s="156" t="n"/>
      <c r="R2103" s="156" t="n"/>
      <c r="S2103" s="156" t="inlineStr">
        <is>
          <t>Cuero</t>
        </is>
      </c>
      <c r="T2103" s="156" t="inlineStr">
        <is>
          <t>CINTURÓN STETSON PARA CABALLERO – VINTAGE TAUPE– 38MM
 Cinturón para hombre Stetson de 1 ½” (38 mm) elaborado en cuero de grano superior con acabado envejecido (distressed). Cuenta con doble costura decorativa estilo western al centro, extremos con grabado floral artesanal y acabado lijado a mano, bordes con doble costura en contraste y hebilla metálica grabada con el logotipo Stetson en acabado plateado.
 • Modelo: Cinturón Stetson Vintage Taupe 1500 38mm
 • Ancho: 38 mm (1 1/2")
 • Material: Cuero de grano superior con acabado envejecido
 • Diseño:
  - Doble costura central estilo western
  - Extremos con grabado floral artesanal y efecto lijado a mano
  - Bordes con doble costura en contraste
  - Hebilla metálica grabada con logotipo Stetson en acabado plateado
  - Color: Vintage / Taupe
  - Estilo: Occidental / Western
  - Tallas disponibles: 32 | 34 | 36 | 38 | 40 | 42 | 44 | 46</t>
        </is>
      </c>
      <c r="U2103" s="156" t="n"/>
      <c r="V2103" s="156" t="inlineStr">
        <is>
          <t>PZS</t>
        </is>
      </c>
      <c r="W2103" s="51" t="inlineStr">
        <is>
          <t>53102501</t>
        </is>
      </c>
      <c r="X2103" s="156" t="inlineStr">
        <is>
          <t>https://cdn.shopify.com/s/files/1/0888/3250/8267/files/9921500-097.jpg?v=1745270699</t>
        </is>
      </c>
      <c r="Y2103" s="54" t="n">
        <v>756.4655172</v>
      </c>
      <c r="Z2103" s="54" t="n">
        <v>1900</v>
      </c>
      <c r="AA2103" s="55">
        <f>IF(AND(A2103="", B2103="", E2103=""), "", IF(AB2103="", "Válido", IF((LEN(AB2103)-LEN(SUBSTITUTE(AB2103,"; ","")))/2+1&gt;(LEN(AB2103)-LEN(SUBSTITUTE(AB2103,"[Aviso]","")))/7, "Con Incidencias", "Válido")))</f>
        <v/>
      </c>
      <c r="AB2103" s="56">
        <f>IF(AND(A2103="", B2103="", E2103=""), "", TEXTJOIN("; ", TRUE, IF(OR(TRIM(A2103&amp;"")="", ISNUMBER(SEARCH("FALTA", A2103))), "UPC faltante/inválido", ""), IF(AND(A2103&lt;&gt;"", IFERROR(_xlfn.XMATCH(A2103,$A$2:$A$2509,0,1)&lt;&gt;_xlfn.XMATCH(A2103,$A$2:$A$2509,0,-1),FALSE)), "Código de barras duplicado", ""), IF(AND(E2103&lt;&gt;"", COUNTIF($E$2:$E$2509, E2103)&gt;1), "SKU duplicado", ""), IF(OR(J2103="", J2103=""), "[Aviso] División no capturada ()", IF(ISNA(MATCH(J2103, Criterios!$A$123:$A$126, 0)), "División no válida", "")), IF(OR(K2103="", K2103=""), "[Aviso] Categoría no capturada ()", IF(ISNA(MATCH(K2103, Criterios!$A$81:$A$120, 0)), "Categoría no válida", IF(AND(J2103&lt;&gt;"", J2103&lt;&gt;"", J2103&lt;&gt;VLOOKUP(K2103, Criterios!$A$81:$B$120, 2, FALSE)), "División no coincide con Categoría", ""))), IF(OR(L2103="", L2103=""), "[Aviso] Género no capturado ()", IF(ISNA(MATCH(L2103, Criterios!$B$123:$B$127, 0)), "Género no válido", "")), IF(OR(N2103="", N2103=""), "[Aviso] Temporada no capturada ()", IF(ISNA(MATCH(N2103, Criterios!$C$123:$C$128, 0)), "Temporada no válida", "")), IF(OR(O2103="", O2103=""), "[Aviso] Ciclo de vida no capturado ()", IF(ISNA(MATCH(O2103, Criterios!$D$123:$D$124, 0)), "Ciclo de vida no válido", ""))))</f>
        <v/>
      </c>
      <c r="AC2103" s="56" t="n"/>
      <c r="AD2103" s="51" t="n">
        <v>0</v>
      </c>
      <c r="AE2103" s="156" t="inlineStr">
        <is>
          <t>Sin coincidencia en NetSuite</t>
        </is>
      </c>
      <c r="AF2103" s="51" t="n"/>
      <c r="AG2103" s="156" t="inlineStr">
        <is>
          <t>Catálogo existente</t>
        </is>
      </c>
      <c r="AH2103" s="156" t="inlineStr">
        <is>
          <t>No se encontró en Hoja a Revisar por ID interno ni por código de barras | Consolidado 30/09/2026 con 1 registro(s) duplicado(s) (ver hoja «Consolidación Duplicados»). Completado desde duplicado: WB Silueta. Valores alternos del duplicado (dos): Código de barras: 724304000000 (truncado, descartado) | Marca principal: Stetson | WB N.º de estilo: 9921500 | WB Descripcion: Cinturón Stetson Vintage Taupe | WB Composición: Cuero de grano superior | WB Descripción larga: Cinturón Stetson Vintage Taupe; correa de 38 mm; cuero de grano superi | 01/10/2026: complementado desde Shopify Stetson México (match por código de barras): WB Fit, WB Silueta (antes «Correa de 38 mm», no válido en Criterios) | Homologación G1522 06/10/2026: Validador Shopify: ST: precio con IVA no es múltiplo de 50</t>
        </is>
      </c>
      <c r="AI2103" s="156" t="n"/>
      <c r="AJ2103" s="156" t="n"/>
      <c r="AK2103" s="155" t="inlineStr">
        <is>
          <t>Shopify Stetson: producto 14697993863531 / variante 52013903905131</t>
        </is>
      </c>
      <c r="AL2103" s="58" t="n">
        <v>756.4655172</v>
      </c>
      <c r="AM2103" s="58" t="n">
        <v>1900</v>
      </c>
      <c r="AN2103" s="155" t="inlineStr">
        <is>
          <t>Shopify Stetson México</t>
        </is>
      </c>
      <c r="AO2103" s="59" t="n">
        <v>0</v>
      </c>
      <c r="AP2103" s="59" t="n"/>
      <c r="AQ2103" s="59" t="n"/>
      <c r="AR2103" s="155" t="n"/>
    </row>
    <row r="2104">
      <c r="A2104" s="50" t="inlineStr">
        <is>
          <t>724303731385</t>
        </is>
      </c>
      <c r="B2104" s="51" t="n"/>
      <c r="C2104" s="156" t="inlineStr">
        <is>
          <t>Multimarca</t>
        </is>
      </c>
      <c r="D2104" s="156" t="inlineStr">
        <is>
          <t>9921500-97</t>
        </is>
      </c>
      <c r="E2104" s="156" t="inlineStr">
        <is>
          <t>9921500-97-34</t>
        </is>
      </c>
      <c r="F2104" s="156" t="inlineStr">
        <is>
          <t>34</t>
        </is>
      </c>
      <c r="G2104" s="156" t="inlineStr">
        <is>
          <t>34</t>
        </is>
      </c>
      <c r="H2104" s="156" t="inlineStr">
        <is>
          <t>Stetson</t>
        </is>
      </c>
      <c r="I2104" s="156" t="inlineStr">
        <is>
          <t>Cinturón Stetson Piel Vintage Taupe</t>
        </is>
      </c>
      <c r="J2104" s="156" t="inlineStr">
        <is>
          <t>Accesorios</t>
        </is>
      </c>
      <c r="K2104" s="156" t="inlineStr">
        <is>
          <t>Cinturones</t>
        </is>
      </c>
      <c r="L2104" s="156" t="inlineStr">
        <is>
          <t>Hombre</t>
        </is>
      </c>
      <c r="M2104" s="156" t="inlineStr">
        <is>
          <t>Stetson</t>
        </is>
      </c>
      <c r="N2104" s="156" t="inlineStr">
        <is>
          <t>SS26</t>
        </is>
      </c>
      <c r="O2104" s="156" t="inlineStr">
        <is>
          <t>Seasonal</t>
        </is>
      </c>
      <c r="P2104" s="156" t="inlineStr">
        <is>
          <t>Cafe</t>
        </is>
      </c>
      <c r="Q2104" s="156" t="n"/>
      <c r="R2104" s="156" t="n"/>
      <c r="S2104" s="156" t="inlineStr">
        <is>
          <t>Cuero</t>
        </is>
      </c>
      <c r="T2104" s="156" t="inlineStr">
        <is>
          <t>CINTURÓN STETSON PARA CABALLERO – VINTAGE TAUPE– 38MM
 Cinturón para hombre Stetson de 1 ½” (38 mm) elaborado en cuero de grano superior con acabado envejecido (distressed). Cuenta con doble costura decorativa estilo western al centro, extremos con grabado floral artesanal y acabado lijado a mano, bordes con doble costura en contraste y hebilla metálica grabada con el logotipo Stetson en acabado plateado.
 • Modelo: Cinturón Stetson Vintage Taupe 1500 38mm
 • Ancho: 38 mm (1 1/2")
 • Material: Cuero de grano superior con acabado envejecido
 • Diseño:
  - Doble costura central estilo western
  - Extremos con grabado floral artesanal y efecto lijado a mano
  - Bordes con doble costura en contraste
  - Hebilla metálica grabada con logotipo Stetson en acabado plateado
  - Color: Vintage / Taupe
  - Estilo: Occidental / Western
  - Tallas disponibles: 32 | 34 | 36 | 38 | 40 | 42 | 44 | 46</t>
        </is>
      </c>
      <c r="U2104" s="156" t="n"/>
      <c r="V2104" s="156" t="inlineStr">
        <is>
          <t>PZS</t>
        </is>
      </c>
      <c r="W2104" s="51" t="inlineStr">
        <is>
          <t>53102501</t>
        </is>
      </c>
      <c r="X2104" s="156" t="inlineStr">
        <is>
          <t>https://cdn.shopify.com/s/files/1/0888/3250/8267/files/9921500-097.jpg?v=1745270699</t>
        </is>
      </c>
      <c r="Y2104" s="54" t="n">
        <v>756.4655172</v>
      </c>
      <c r="Z2104" s="54" t="n">
        <v>1900</v>
      </c>
      <c r="AA2104" s="55">
        <f>IF(AND(A2104="", B2104="", E2104=""), "", IF(AB2104="", "Válido", IF((LEN(AB2104)-LEN(SUBSTITUTE(AB2104,"; ","")))/2+1&gt;(LEN(AB2104)-LEN(SUBSTITUTE(AB2104,"[Aviso]","")))/7, "Con Incidencias", "Válido")))</f>
        <v/>
      </c>
      <c r="AB2104" s="56">
        <f>IF(AND(A2104="", B2104="", E2104=""), "", TEXTJOIN("; ", TRUE, IF(OR(TRIM(A2104&amp;"")="", ISNUMBER(SEARCH("FALTA", A2104))), "UPC faltante/inválido", ""), IF(AND(A2104&lt;&gt;"", IFERROR(_xlfn.XMATCH(A2104,$A$2:$A$2509,0,1)&lt;&gt;_xlfn.XMATCH(A2104,$A$2:$A$2509,0,-1),FALSE)), "Código de barras duplicado", ""), IF(AND(E2104&lt;&gt;"", COUNTIF($E$2:$E$2509, E2104)&gt;1), "SKU duplicado", ""), IF(OR(J2104="", J2104=""), "[Aviso] División no capturada ()", IF(ISNA(MATCH(J2104, Criterios!$A$123:$A$126, 0)), "División no válida", "")), IF(OR(K2104="", K2104=""), "[Aviso] Categoría no capturada ()", IF(ISNA(MATCH(K2104, Criterios!$A$81:$A$120, 0)), "Categoría no válida", IF(AND(J2104&lt;&gt;"", J2104&lt;&gt;"", J2104&lt;&gt;VLOOKUP(K2104, Criterios!$A$81:$B$120, 2, FALSE)), "División no coincide con Categoría", ""))), IF(OR(L2104="", L2104=""), "[Aviso] Género no capturado ()", IF(ISNA(MATCH(L2104, Criterios!$B$123:$B$127, 0)), "Género no válido", "")), IF(OR(N2104="", N2104=""), "[Aviso] Temporada no capturada ()", IF(ISNA(MATCH(N2104, Criterios!$C$123:$C$128, 0)), "Temporada no válida", "")), IF(OR(O2104="", O2104=""), "[Aviso] Ciclo de vida no capturado ()", IF(ISNA(MATCH(O2104, Criterios!$D$123:$D$124, 0)), "Ciclo de vida no válido", ""))))</f>
        <v/>
      </c>
      <c r="AC2104" s="56" t="n"/>
      <c r="AD2104" s="51" t="n">
        <v>0</v>
      </c>
      <c r="AE2104" s="156" t="inlineStr">
        <is>
          <t>Sin coincidencia en NetSuite</t>
        </is>
      </c>
      <c r="AF2104" s="51" t="n"/>
      <c r="AG2104" s="156" t="inlineStr">
        <is>
          <t>Catálogo existente</t>
        </is>
      </c>
      <c r="AH2104" s="156" t="inlineStr">
        <is>
          <t>No se encontró en Hoja a Revisar por ID interno ni por código de barras | Consolidado 30/09/2026 con 1 registro(s) duplicado(s) (ver hoja «Consolidación Duplicados»). Completado desde duplicado: WB Silueta, Enlace de imagen. Valores alternos del duplicado (dos): Código de barras: 724304000000 (truncado, descartado) | Marca principal: Stetson | WB N.º de estilo: 9921500 | WB Descripcion: Cinturón Stetson Vintage Taupe | WB Composición: Cuero de grano superior | WB Descripción larga: Cinturón Stetson Vintage Taupe; correa de 38 mm; cuero de grano superi | 01/10/2026: complementado desde Shopify Stetson México (match por código de barras): WB Fit, WB Silueta (antes «Correa de 38 mm», no válido en Criterios) | Homologación G1522 06/10/2026: Validador Shopify: ST: precio con IVA no es múltiplo de 50</t>
        </is>
      </c>
      <c r="AI2104" s="156" t="n"/>
      <c r="AJ2104" s="156" t="n"/>
      <c r="AK2104" s="155" t="inlineStr">
        <is>
          <t>Shopify Stetson: producto 14697993863531 / variante 52013903937899</t>
        </is>
      </c>
      <c r="AL2104" s="58" t="n">
        <v>756.4655172</v>
      </c>
      <c r="AM2104" s="58" t="n">
        <v>1900</v>
      </c>
      <c r="AN2104" s="155" t="inlineStr">
        <is>
          <t>Shopify Stetson México</t>
        </is>
      </c>
      <c r="AO2104" s="59" t="n">
        <v>0</v>
      </c>
      <c r="AP2104" s="59" t="n"/>
      <c r="AQ2104" s="59" t="n"/>
      <c r="AR2104" s="155" t="n"/>
    </row>
    <row r="2105">
      <c r="A2105" s="50" t="inlineStr">
        <is>
          <t>724303731392</t>
        </is>
      </c>
      <c r="B2105" s="51" t="inlineStr">
        <is>
          <t>109845</t>
        </is>
      </c>
      <c r="C2105" s="156" t="inlineStr">
        <is>
          <t>Multimarca</t>
        </is>
      </c>
      <c r="D2105" s="156" t="inlineStr">
        <is>
          <t>9921500-97</t>
        </is>
      </c>
      <c r="E2105" s="156" t="inlineStr">
        <is>
          <t>9921500-97-36</t>
        </is>
      </c>
      <c r="F2105" s="156" t="inlineStr">
        <is>
          <t>36</t>
        </is>
      </c>
      <c r="G2105" s="156" t="inlineStr">
        <is>
          <t>36</t>
        </is>
      </c>
      <c r="H2105" s="156" t="inlineStr">
        <is>
          <t>Stetson</t>
        </is>
      </c>
      <c r="I2105" s="156" t="inlineStr">
        <is>
          <t>Cinturón Stetson Piel Vintage Taupe</t>
        </is>
      </c>
      <c r="J2105" s="156" t="inlineStr">
        <is>
          <t>Accesorios</t>
        </is>
      </c>
      <c r="K2105" s="156" t="inlineStr">
        <is>
          <t>Cinturones</t>
        </is>
      </c>
      <c r="L2105" s="156" t="inlineStr">
        <is>
          <t>Hombre</t>
        </is>
      </c>
      <c r="M2105" s="156" t="inlineStr">
        <is>
          <t>Stetson</t>
        </is>
      </c>
      <c r="N2105" s="156" t="inlineStr">
        <is>
          <t>SS26</t>
        </is>
      </c>
      <c r="O2105" s="156" t="inlineStr">
        <is>
          <t>Seasonal</t>
        </is>
      </c>
      <c r="P2105" s="156" t="inlineStr">
        <is>
          <t>Cafe</t>
        </is>
      </c>
      <c r="Q2105" s="156" t="n"/>
      <c r="R2105" s="156" t="n"/>
      <c r="S2105" s="156" t="inlineStr">
        <is>
          <t>Cuero</t>
        </is>
      </c>
      <c r="T2105"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5" s="156" t="n"/>
      <c r="V2105" s="156" t="inlineStr">
        <is>
          <t>PZS</t>
        </is>
      </c>
      <c r="W2105" s="51" t="inlineStr">
        <is>
          <t>53102501</t>
        </is>
      </c>
      <c r="X2105" s="156" t="inlineStr">
        <is>
          <t>https://cdn.shopify.com/s/files/1/0888/3250/8267/files/9921500-097.jpg?v=1745270699</t>
        </is>
      </c>
      <c r="Y2105" s="54" t="n">
        <v>756.4655172</v>
      </c>
      <c r="Z2105" s="54" t="n">
        <v>1681.034483</v>
      </c>
      <c r="AA2105" s="55">
        <f>IF(AND(A2105="", B2105="", E2105=""), "", IF(AB2105="", "Válido", IF((LEN(AB2105)-LEN(SUBSTITUTE(AB2105,"; ","")))/2+1&gt;(LEN(AB2105)-LEN(SUBSTITUTE(AB2105,"[Aviso]","")))/7, "Con Incidencias", "Válido")))</f>
        <v/>
      </c>
      <c r="AB2105" s="56">
        <f>IF(AND(A2105="", B2105="", E2105=""), "", TEXTJOIN("; ", TRUE, IF(OR(TRIM(A2105&amp;"")="", ISNUMBER(SEARCH("FALTA", A2105))), "UPC faltante/inválido", ""), IF(AND(A2105&lt;&gt;"", IFERROR(_xlfn.XMATCH(A2105,$A$2:$A$2509,0,1)&lt;&gt;_xlfn.XMATCH(A2105,$A$2:$A$2509,0,-1),FALSE)), "Código de barras duplicado", ""), IF(AND(E2105&lt;&gt;"", COUNTIF($E$2:$E$2509, E2105)&gt;1), "SKU duplicado", ""), IF(OR(J2105="", J2105=""), "[Aviso] División no capturada ()", IF(ISNA(MATCH(J2105, Criterios!$A$123:$A$126, 0)), "División no válida", "")), IF(OR(K2105="", K2105=""), "[Aviso] Categoría no capturada ()", IF(ISNA(MATCH(K2105, Criterios!$A$81:$A$120, 0)), "Categoría no válida", IF(AND(J2105&lt;&gt;"", J2105&lt;&gt;"", J2105&lt;&gt;VLOOKUP(K2105, Criterios!$A$81:$B$120, 2, FALSE)), "División no coincide con Categoría", ""))), IF(OR(L2105="", L2105=""), "[Aviso] Género no capturado ()", IF(ISNA(MATCH(L2105, Criterios!$B$123:$B$127, 0)), "Género no válido", "")), IF(OR(N2105="", N2105=""), "[Aviso] Temporada no capturada ()", IF(ISNA(MATCH(N2105, Criterios!$C$123:$C$128, 0)), "Temporada no válida", "")), IF(OR(O2105="", O2105=""), "[Aviso] Ciclo de vida no capturado ()", IF(ISNA(MATCH(O2105, Criterios!$D$123:$D$124, 0)), "Ciclo de vida no válido", ""))))</f>
        <v/>
      </c>
      <c r="AC2105" s="56" t="n"/>
      <c r="AD2105" s="51" t="n">
        <v>3</v>
      </c>
      <c r="AE2105" s="156" t="inlineStr">
        <is>
          <t>WB OUTLET LERMA (1); B25 STETSON.MX (2)</t>
        </is>
      </c>
      <c r="AF2105" s="51" t="n">
        <v>3</v>
      </c>
      <c r="AG2105" s="156" t="inlineStr">
        <is>
          <t>Catálogo existente</t>
        </is>
      </c>
      <c r="AH2105" s="156" t="inlineStr">
        <is>
          <t>Revisión 29/09/2026: Campos sin respaldo: U, X; Auditoría NetSuite 30/09/2026: llenado desde NetSuite [S] | 01/10/2026: complementado desde Shopify Stetson México (match por código de barras): WB Fit, WB Silueta, Enlace de imagen</t>
        </is>
      </c>
      <c r="AI2105" s="156" t="inlineStr">
        <is>
          <t>No</t>
        </is>
      </c>
      <c r="AJ2105" s="156" t="n"/>
      <c r="AK2105" s="155" t="inlineStr">
        <is>
          <t>Criterios: I [Q] | Criterios: J [R]; G1522_Extraccion_Articulos_NetSuite_2026-09-30.xlsx: fila 57660 [S] | Shopify Stetson: producto 14697993863531 / variante 52013903970667 | Shopify WB: producto 10310238732473 / variante 50512091578553</t>
        </is>
      </c>
      <c r="AL2105" s="58" t="n">
        <v>756.4655172</v>
      </c>
      <c r="AM2105" s="58" t="n">
        <v>1681.034483</v>
      </c>
      <c r="AN2105" s="155" t="inlineStr">
        <is>
          <t>Shopify Stetson México | Shopify Western Brothers</t>
        </is>
      </c>
      <c r="AO2105" s="59" t="n">
        <v>3</v>
      </c>
      <c r="AP2105" s="59" t="n">
        <v>1</v>
      </c>
      <c r="AQ2105" s="59" t="n"/>
      <c r="AR2105" s="155" t="inlineStr">
        <is>
          <t>Shopify Stetson México › Stetson México: 2 | Shopify Stetson México › Stetson Americas: 1 | Shopify Western Brothers › Western Brothers Outlet Lerma: 1</t>
        </is>
      </c>
    </row>
    <row r="2106">
      <c r="A2106" s="50" t="inlineStr">
        <is>
          <t>724303731408</t>
        </is>
      </c>
      <c r="B2106" s="51" t="inlineStr">
        <is>
          <t>109846</t>
        </is>
      </c>
      <c r="C2106" s="156" t="inlineStr">
        <is>
          <t>Multimarca</t>
        </is>
      </c>
      <c r="D2106" s="156" t="inlineStr">
        <is>
          <t>9921500-97</t>
        </is>
      </c>
      <c r="E2106" s="156" t="inlineStr">
        <is>
          <t>9921500-97-38</t>
        </is>
      </c>
      <c r="F2106" s="156" t="inlineStr">
        <is>
          <t>38</t>
        </is>
      </c>
      <c r="G2106" s="156" t="inlineStr">
        <is>
          <t>38</t>
        </is>
      </c>
      <c r="H2106" s="156" t="inlineStr">
        <is>
          <t>Stetson</t>
        </is>
      </c>
      <c r="I2106" s="156" t="inlineStr">
        <is>
          <t>Cinturón Stetson Piel Vintage Taupe</t>
        </is>
      </c>
      <c r="J2106" s="156" t="inlineStr">
        <is>
          <t>Accesorios</t>
        </is>
      </c>
      <c r="K2106" s="156" t="inlineStr">
        <is>
          <t>Cinturones</t>
        </is>
      </c>
      <c r="L2106" s="156" t="inlineStr">
        <is>
          <t>Hombre</t>
        </is>
      </c>
      <c r="M2106" s="156" t="inlineStr">
        <is>
          <t>Stetson</t>
        </is>
      </c>
      <c r="N2106" s="156" t="inlineStr">
        <is>
          <t>SS26</t>
        </is>
      </c>
      <c r="O2106" s="156" t="inlineStr">
        <is>
          <t>Seasonal</t>
        </is>
      </c>
      <c r="P2106" s="156" t="inlineStr">
        <is>
          <t>Cafe</t>
        </is>
      </c>
      <c r="Q2106" s="156" t="n"/>
      <c r="R2106" s="156" t="n"/>
      <c r="S2106" s="156" t="inlineStr">
        <is>
          <t>Cuero</t>
        </is>
      </c>
      <c r="T2106"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6" s="156" t="n"/>
      <c r="V2106" s="156" t="inlineStr">
        <is>
          <t>PZS</t>
        </is>
      </c>
      <c r="W2106" s="51" t="inlineStr">
        <is>
          <t>53102501</t>
        </is>
      </c>
      <c r="X2106" s="156" t="inlineStr">
        <is>
          <t>https://cdn.shopify.com/s/files/1/0888/3250/8267/files/9921500-097.jpg?v=1745270699</t>
        </is>
      </c>
      <c r="Y2106" s="54" t="n">
        <v>756.4655172</v>
      </c>
      <c r="Z2106" s="54" t="n">
        <v>1681.034483</v>
      </c>
      <c r="AA2106" s="55">
        <f>IF(AND(A2106="", B2106="", E2106=""), "", IF(AB2106="", "Válido", IF((LEN(AB2106)-LEN(SUBSTITUTE(AB2106,"; ","")))/2+1&gt;(LEN(AB2106)-LEN(SUBSTITUTE(AB2106,"[Aviso]","")))/7, "Con Incidencias", "Válido")))</f>
        <v/>
      </c>
      <c r="AB2106" s="56">
        <f>IF(AND(A2106="", B2106="", E2106=""), "", TEXTJOIN("; ", TRUE, IF(OR(TRIM(A2106&amp;"")="", ISNUMBER(SEARCH("FALTA", A2106))), "UPC faltante/inválido", ""), IF(AND(A2106&lt;&gt;"", IFERROR(_xlfn.XMATCH(A2106,$A$2:$A$2509,0,1)&lt;&gt;_xlfn.XMATCH(A2106,$A$2:$A$2509,0,-1),FALSE)), "Código de barras duplicado", ""), IF(AND(E2106&lt;&gt;"", COUNTIF($E$2:$E$2509, E2106)&gt;1), "SKU duplicado", ""), IF(OR(J2106="", J2106=""), "[Aviso] División no capturada ()", IF(ISNA(MATCH(J2106, Criterios!$A$123:$A$126, 0)), "División no válida", "")), IF(OR(K2106="", K2106=""), "[Aviso] Categoría no capturada ()", IF(ISNA(MATCH(K2106, Criterios!$A$81:$A$120, 0)), "Categoría no válida", IF(AND(J2106&lt;&gt;"", J2106&lt;&gt;"", J2106&lt;&gt;VLOOKUP(K2106, Criterios!$A$81:$B$120, 2, FALSE)), "División no coincide con Categoría", ""))), IF(OR(L2106="", L2106=""), "[Aviso] Género no capturado ()", IF(ISNA(MATCH(L2106, Criterios!$B$123:$B$127, 0)), "Género no válido", "")), IF(OR(N2106="", N2106=""), "[Aviso] Temporada no capturada ()", IF(ISNA(MATCH(N2106, Criterios!$C$123:$C$128, 0)), "Temporada no válida", "")), IF(OR(O2106="", O2106=""), "[Aviso] Ciclo de vida no capturado ()", IF(ISNA(MATCH(O2106, Criterios!$D$123:$D$124, 0)), "Ciclo de vida no válido", ""))))</f>
        <v/>
      </c>
      <c r="AC2106" s="56" t="n"/>
      <c r="AD2106" s="51" t="n">
        <v>6</v>
      </c>
      <c r="AE2106" s="156" t="inlineStr">
        <is>
          <t>B25 STETSON.MX (8); WB OUTLET LERMA (1)</t>
        </is>
      </c>
      <c r="AF2106" s="51" t="n">
        <v>9</v>
      </c>
      <c r="AG2106" s="156" t="inlineStr">
        <is>
          <t>Catálogo existente</t>
        </is>
      </c>
      <c r="AH2106" s="156" t="inlineStr">
        <is>
          <t>Revisión 29/09/2026: Campos sin respaldo: U, X; Auditoría NetSuite 30/09/2026: llenado desde NetSuite [S] | 01/10/2026: complementado desde Shopify Stetson México (match por código de barras): WB Fit, WB Silueta, Enlace de imagen</t>
        </is>
      </c>
      <c r="AI2106" s="156" t="inlineStr">
        <is>
          <t>Sí</t>
        </is>
      </c>
      <c r="AJ2106" s="156" t="inlineStr">
        <is>
          <t>STETSON AMERICAS (-3)</t>
        </is>
      </c>
      <c r="AK2106" s="155" t="inlineStr">
        <is>
          <t>Criterios: I [Q] | Criterios: J [R]; G1522_Extraccion_Articulos_NetSuite_2026-09-30.xlsx: fila 57661 [S] | Shopify Stetson: producto 14697993863531 / variante 52013904003435 | Shopify WB: producto 10310238732473 / variante 50512091611321</t>
        </is>
      </c>
      <c r="AL2106" s="58" t="n">
        <v>756.4655172</v>
      </c>
      <c r="AM2106" s="58" t="n">
        <v>1681.034483</v>
      </c>
      <c r="AN2106" s="155" t="inlineStr">
        <is>
          <t>Shopify Stetson México | Shopify Western Brothers</t>
        </is>
      </c>
      <c r="AO2106" s="59" t="n">
        <v>10</v>
      </c>
      <c r="AP2106" s="59" t="n">
        <v>1</v>
      </c>
      <c r="AQ2106" s="59" t="n"/>
      <c r="AR2106" s="155" t="inlineStr">
        <is>
          <t>Shopify Stetson México › Stetson México: 8 | Shopify Stetson México › Stetson Americas: 2 | Shopify Western Brothers › Western Brothers Outlet Lerma: 1</t>
        </is>
      </c>
    </row>
    <row r="2107">
      <c r="A2107" s="50" t="inlineStr">
        <is>
          <t>724303731415</t>
        </is>
      </c>
      <c r="B2107" s="51" t="inlineStr">
        <is>
          <t>109847</t>
        </is>
      </c>
      <c r="C2107" s="156" t="inlineStr">
        <is>
          <t>Multimarca</t>
        </is>
      </c>
      <c r="D2107" s="156" t="inlineStr">
        <is>
          <t>9921500-97</t>
        </is>
      </c>
      <c r="E2107" s="156" t="inlineStr">
        <is>
          <t>9921500-97-40</t>
        </is>
      </c>
      <c r="F2107" s="156" t="inlineStr">
        <is>
          <t>40</t>
        </is>
      </c>
      <c r="G2107" s="156" t="inlineStr">
        <is>
          <t>40</t>
        </is>
      </c>
      <c r="H2107" s="156" t="inlineStr">
        <is>
          <t>Stetson</t>
        </is>
      </c>
      <c r="I2107" s="156" t="inlineStr">
        <is>
          <t>Cinturón Stetson Piel Vintage Taupe</t>
        </is>
      </c>
      <c r="J2107" s="156" t="inlineStr">
        <is>
          <t>Accesorios</t>
        </is>
      </c>
      <c r="K2107" s="156" t="inlineStr">
        <is>
          <t>Cinturones</t>
        </is>
      </c>
      <c r="L2107" s="156" t="inlineStr">
        <is>
          <t>Hombre</t>
        </is>
      </c>
      <c r="M2107" s="156" t="inlineStr">
        <is>
          <t>Stetson</t>
        </is>
      </c>
      <c r="N2107" s="156" t="inlineStr">
        <is>
          <t>SS26</t>
        </is>
      </c>
      <c r="O2107" s="156" t="inlineStr">
        <is>
          <t>Seasonal</t>
        </is>
      </c>
      <c r="P2107" s="156" t="inlineStr">
        <is>
          <t>Cafe</t>
        </is>
      </c>
      <c r="Q2107" s="156" t="n"/>
      <c r="R2107" s="156" t="n"/>
      <c r="S2107" s="156" t="inlineStr">
        <is>
          <t>Cuero</t>
        </is>
      </c>
      <c r="T2107"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7" s="156" t="n"/>
      <c r="V2107" s="156" t="inlineStr">
        <is>
          <t>PZS</t>
        </is>
      </c>
      <c r="W2107" s="51" t="inlineStr">
        <is>
          <t>53102501</t>
        </is>
      </c>
      <c r="X2107" s="156" t="inlineStr">
        <is>
          <t>https://cdn.shopify.com/s/files/1/0888/3250/8267/files/9921500-097.jpg?v=1745270699</t>
        </is>
      </c>
      <c r="Y2107" s="54" t="n">
        <v>756.4655172</v>
      </c>
      <c r="Z2107" s="54" t="n">
        <v>1681.034483</v>
      </c>
      <c r="AA2107" s="55">
        <f>IF(AND(A2107="", B2107="", E2107=""), "", IF(AB2107="", "Válido", IF((LEN(AB2107)-LEN(SUBSTITUTE(AB2107,"; ","")))/2+1&gt;(LEN(AB2107)-LEN(SUBSTITUTE(AB2107,"[Aviso]","")))/7, "Con Incidencias", "Válido")))</f>
        <v/>
      </c>
      <c r="AB2107" s="56">
        <f>IF(AND(A2107="", B2107="", E2107=""), "", TEXTJOIN("; ", TRUE, IF(OR(TRIM(A2107&amp;"")="", ISNUMBER(SEARCH("FALTA", A2107))), "UPC faltante/inválido", ""), IF(AND(A2107&lt;&gt;"", IFERROR(_xlfn.XMATCH(A2107,$A$2:$A$2509,0,1)&lt;&gt;_xlfn.XMATCH(A2107,$A$2:$A$2509,0,-1),FALSE)), "Código de barras duplicado", ""), IF(AND(E2107&lt;&gt;"", COUNTIF($E$2:$E$2509, E2107)&gt;1), "SKU duplicado", ""), IF(OR(J2107="", J2107=""), "[Aviso] División no capturada ()", IF(ISNA(MATCH(J2107, Criterios!$A$123:$A$126, 0)), "División no válida", "")), IF(OR(K2107="", K2107=""), "[Aviso] Categoría no capturada ()", IF(ISNA(MATCH(K2107, Criterios!$A$81:$A$120, 0)), "Categoría no válida", IF(AND(J2107&lt;&gt;"", J2107&lt;&gt;"", J2107&lt;&gt;VLOOKUP(K2107, Criterios!$A$81:$B$120, 2, FALSE)), "División no coincide con Categoría", ""))), IF(OR(L2107="", L2107=""), "[Aviso] Género no capturado ()", IF(ISNA(MATCH(L2107, Criterios!$B$123:$B$127, 0)), "Género no válido", "")), IF(OR(N2107="", N2107=""), "[Aviso] Temporada no capturada ()", IF(ISNA(MATCH(N2107, Criterios!$C$123:$C$128, 0)), "Temporada no válida", "")), IF(OR(O2107="", O2107=""), "[Aviso] Ciclo de vida no capturado ()", IF(ISNA(MATCH(O2107, Criterios!$D$123:$D$124, 0)), "Ciclo de vida no válido", ""))))</f>
        <v/>
      </c>
      <c r="AC2107" s="56" t="n"/>
      <c r="AD2107" s="51" t="n">
        <v>9</v>
      </c>
      <c r="AE2107" s="156" t="inlineStr">
        <is>
          <t>B25 STETSON.MX (9); WB OUTLET LERMA (1)</t>
        </is>
      </c>
      <c r="AF2107" s="51" t="n">
        <v>10</v>
      </c>
      <c r="AG2107" s="156" t="inlineStr">
        <is>
          <t>Catálogo existente</t>
        </is>
      </c>
      <c r="AH2107" s="156" t="inlineStr">
        <is>
          <t>Revisión 29/09/2026: Campos sin respaldo: U, X; Auditoría NetSuite 30/09/2026: llenado desde NetSuite [S] | 01/10/2026: complementado desde Shopify Stetson México (match por código de barras): WB Fit, WB Silueta, Enlace de imagen</t>
        </is>
      </c>
      <c r="AI2107" s="156" t="inlineStr">
        <is>
          <t>Sí</t>
        </is>
      </c>
      <c r="AJ2107" s="156" t="inlineStr">
        <is>
          <t>STETSON AMERICAS (-1)</t>
        </is>
      </c>
      <c r="AK2107" s="155" t="inlineStr">
        <is>
          <t>Criterios: I [Q] | Criterios: J [R]; G1522_Extraccion_Articulos_NetSuite_2026-09-30.xlsx: fila 57662 [S] | Shopify Stetson: producto 14697993863531 / variante 52013904036203 | Shopify WB: producto 10310238732473 / variante 50512091644089</t>
        </is>
      </c>
      <c r="AL2107" s="58" t="n">
        <v>756.4655172</v>
      </c>
      <c r="AM2107" s="58" t="n">
        <v>1681.034483</v>
      </c>
      <c r="AN2107" s="155" t="inlineStr">
        <is>
          <t>Shopify Stetson México | Shopify Western Brothers</t>
        </is>
      </c>
      <c r="AO2107" s="59" t="n">
        <v>12</v>
      </c>
      <c r="AP2107" s="59" t="n">
        <v>1</v>
      </c>
      <c r="AQ2107" s="59" t="n"/>
      <c r="AR2107" s="155" t="inlineStr">
        <is>
          <t>Shopify Stetson México › Stetson México: 9 | Shopify Stetson México › Stetson Americas: 3 | Shopify Western Brothers › Western Brothers Outlet Lerma: 1</t>
        </is>
      </c>
    </row>
    <row r="2108">
      <c r="A2108" s="50" t="inlineStr">
        <is>
          <t>724303731422</t>
        </is>
      </c>
      <c r="B2108" s="51" t="inlineStr">
        <is>
          <t>109848</t>
        </is>
      </c>
      <c r="C2108" s="156" t="inlineStr">
        <is>
          <t>Multimarca</t>
        </is>
      </c>
      <c r="D2108" s="156" t="inlineStr">
        <is>
          <t>9921500-97</t>
        </is>
      </c>
      <c r="E2108" s="156" t="inlineStr">
        <is>
          <t>9921500-97-42</t>
        </is>
      </c>
      <c r="F2108" s="156" t="inlineStr">
        <is>
          <t>42</t>
        </is>
      </c>
      <c r="G2108" s="156" t="inlineStr">
        <is>
          <t>42</t>
        </is>
      </c>
      <c r="H2108" s="156" t="inlineStr">
        <is>
          <t>Stetson</t>
        </is>
      </c>
      <c r="I2108" s="156" t="inlineStr">
        <is>
          <t>Cinturón Stetson Piel Vintage Taupe</t>
        </is>
      </c>
      <c r="J2108" s="156" t="inlineStr">
        <is>
          <t>Accesorios</t>
        </is>
      </c>
      <c r="K2108" s="156" t="inlineStr">
        <is>
          <t>Cinturones</t>
        </is>
      </c>
      <c r="L2108" s="156" t="inlineStr">
        <is>
          <t>Hombre</t>
        </is>
      </c>
      <c r="M2108" s="156" t="inlineStr">
        <is>
          <t>Stetson</t>
        </is>
      </c>
      <c r="N2108" s="156" t="inlineStr">
        <is>
          <t>SS26</t>
        </is>
      </c>
      <c r="O2108" s="156" t="inlineStr">
        <is>
          <t>Seasonal</t>
        </is>
      </c>
      <c r="P2108" s="156" t="inlineStr">
        <is>
          <t>Cafe</t>
        </is>
      </c>
      <c r="Q2108" s="156" t="n"/>
      <c r="R2108" s="156" t="n"/>
      <c r="S2108" s="156" t="inlineStr">
        <is>
          <t>Cuero</t>
        </is>
      </c>
      <c r="T2108"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8" s="156" t="n"/>
      <c r="V2108" s="156" t="inlineStr">
        <is>
          <t>PZS</t>
        </is>
      </c>
      <c r="W2108" s="51" t="inlineStr">
        <is>
          <t>53102501</t>
        </is>
      </c>
      <c r="X2108" s="156" t="inlineStr">
        <is>
          <t>https://cdn.shopify.com/s/files/1/0888/3250/8267/files/9921500-097.jpg?v=1745270699</t>
        </is>
      </c>
      <c r="Y2108" s="54" t="n">
        <v>756.4655172</v>
      </c>
      <c r="Z2108" s="54" t="n">
        <v>1681.034483</v>
      </c>
      <c r="AA2108" s="55">
        <f>IF(AND(A2108="", B2108="", E2108=""), "", IF(AB2108="", "Válido", IF((LEN(AB2108)-LEN(SUBSTITUTE(AB2108,"; ","")))/2+1&gt;(LEN(AB2108)-LEN(SUBSTITUTE(AB2108,"[Aviso]","")))/7, "Con Incidencias", "Válido")))</f>
        <v/>
      </c>
      <c r="AB2108" s="56">
        <f>IF(AND(A2108="", B2108="", E2108=""), "", TEXTJOIN("; ", TRUE, IF(OR(TRIM(A2108&amp;"")="", ISNUMBER(SEARCH("FALTA", A2108))), "UPC faltante/inválido", ""), IF(AND(A2108&lt;&gt;"", IFERROR(_xlfn.XMATCH(A2108,$A$2:$A$2509,0,1)&lt;&gt;_xlfn.XMATCH(A2108,$A$2:$A$2509,0,-1),FALSE)), "Código de barras duplicado", ""), IF(AND(E2108&lt;&gt;"", COUNTIF($E$2:$E$2509, E2108)&gt;1), "SKU duplicado", ""), IF(OR(J2108="", J2108=""), "[Aviso] División no capturada ()", IF(ISNA(MATCH(J2108, Criterios!$A$123:$A$126, 0)), "División no válida", "")), IF(OR(K2108="", K2108=""), "[Aviso] Categoría no capturada ()", IF(ISNA(MATCH(K2108, Criterios!$A$81:$A$120, 0)), "Categoría no válida", IF(AND(J2108&lt;&gt;"", J2108&lt;&gt;"", J2108&lt;&gt;VLOOKUP(K2108, Criterios!$A$81:$B$120, 2, FALSE)), "División no coincide con Categoría", ""))), IF(OR(L2108="", L2108=""), "[Aviso] Género no capturado ()", IF(ISNA(MATCH(L2108, Criterios!$B$123:$B$127, 0)), "Género no válido", "")), IF(OR(N2108="", N2108=""), "[Aviso] Temporada no capturada ()", IF(ISNA(MATCH(N2108, Criterios!$C$123:$C$128, 0)), "Temporada no válida", "")), IF(OR(O2108="", O2108=""), "[Aviso] Ciclo de vida no capturado ()", IF(ISNA(MATCH(O2108, Criterios!$D$123:$D$124, 0)), "Ciclo de vida no válido", ""))))</f>
        <v/>
      </c>
      <c r="AC2108" s="56" t="n"/>
      <c r="AD2108" s="51" t="n">
        <v>8</v>
      </c>
      <c r="AE2108" s="156" t="inlineStr">
        <is>
          <t>WB OUTLET LERMA (1); B25 STETSON.MX (8)</t>
        </is>
      </c>
      <c r="AF2108" s="51" t="n">
        <v>9</v>
      </c>
      <c r="AG2108" s="156" t="inlineStr">
        <is>
          <t>Catálogo existente</t>
        </is>
      </c>
      <c r="AH2108" s="156" t="inlineStr">
        <is>
          <t>Revisión 29/09/2026: Campos sin respaldo: U, X; Auditoría NetSuite 30/09/2026: llenado desde NetSuite [S] | 01/10/2026: complementado desde Shopify Stetson México (match por código de barras): WB Fit, WB Silueta, Enlace de imagen</t>
        </is>
      </c>
      <c r="AI2108" s="156" t="inlineStr">
        <is>
          <t>Sí</t>
        </is>
      </c>
      <c r="AJ2108" s="156" t="inlineStr">
        <is>
          <t>STETSON AMERICAS (-1)</t>
        </is>
      </c>
      <c r="AK2108" s="155" t="inlineStr">
        <is>
          <t>Criterios: I [Q] | Criterios: J [R]; G1522_Extraccion_Articulos_NetSuite_2026-09-30.xlsx: fila 57663 [S] | Shopify Stetson: producto 14697993863531 / variante 52013904068971 | Shopify WB: producto 10310238732473 / variante 50512091676857</t>
        </is>
      </c>
      <c r="AL2108" s="58" t="n">
        <v>756.4655172</v>
      </c>
      <c r="AM2108" s="58" t="n">
        <v>1681.034483</v>
      </c>
      <c r="AN2108" s="155" t="inlineStr">
        <is>
          <t>Shopify Stetson México | Shopify Western Brothers</t>
        </is>
      </c>
      <c r="AO2108" s="59" t="n">
        <v>11</v>
      </c>
      <c r="AP2108" s="59" t="n">
        <v>1</v>
      </c>
      <c r="AQ2108" s="59" t="n"/>
      <c r="AR2108" s="155" t="inlineStr">
        <is>
          <t>Shopify Stetson México › Stetson México: 8 | Shopify Stetson México › Stetson Americas: 3 | Shopify Western Brothers › Western Brothers Outlet Lerma: 1</t>
        </is>
      </c>
    </row>
    <row r="2109">
      <c r="A2109" s="50" t="inlineStr">
        <is>
          <t>724303731439</t>
        </is>
      </c>
      <c r="B2109" s="51" t="inlineStr">
        <is>
          <t>109849</t>
        </is>
      </c>
      <c r="C2109" s="156" t="inlineStr">
        <is>
          <t>Multimarca</t>
        </is>
      </c>
      <c r="D2109" s="156" t="inlineStr">
        <is>
          <t>9921500-97</t>
        </is>
      </c>
      <c r="E2109" s="156" t="inlineStr">
        <is>
          <t>9921500-97-44</t>
        </is>
      </c>
      <c r="F2109" s="156" t="inlineStr">
        <is>
          <t>44</t>
        </is>
      </c>
      <c r="G2109" s="156" t="inlineStr">
        <is>
          <t>44</t>
        </is>
      </c>
      <c r="H2109" s="156" t="inlineStr">
        <is>
          <t>Stetson</t>
        </is>
      </c>
      <c r="I2109" s="156" t="inlineStr">
        <is>
          <t>Cinturón Stetson Piel Vintage Taupe</t>
        </is>
      </c>
      <c r="J2109" s="156" t="inlineStr">
        <is>
          <t>Accesorios</t>
        </is>
      </c>
      <c r="K2109" s="156" t="inlineStr">
        <is>
          <t>Cinturones</t>
        </is>
      </c>
      <c r="L2109" s="156" t="inlineStr">
        <is>
          <t>Hombre</t>
        </is>
      </c>
      <c r="M2109" s="156" t="inlineStr">
        <is>
          <t>Stetson</t>
        </is>
      </c>
      <c r="N2109" s="156" t="inlineStr">
        <is>
          <t>SS26</t>
        </is>
      </c>
      <c r="O2109" s="156" t="inlineStr">
        <is>
          <t>Seasonal</t>
        </is>
      </c>
      <c r="P2109" s="156" t="inlineStr">
        <is>
          <t>Cafe</t>
        </is>
      </c>
      <c r="Q2109" s="156" t="n"/>
      <c r="R2109" s="156" t="n"/>
      <c r="S2109" s="156" t="inlineStr">
        <is>
          <t>Cuero</t>
        </is>
      </c>
      <c r="T2109"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9" s="156" t="n"/>
      <c r="V2109" s="156" t="inlineStr">
        <is>
          <t>PZS</t>
        </is>
      </c>
      <c r="W2109" s="51" t="inlineStr">
        <is>
          <t>53102501</t>
        </is>
      </c>
      <c r="X2109" s="156" t="inlineStr">
        <is>
          <t>https://cdn.shopify.com/s/files/1/0888/3250/8267/files/9921500-097.jpg?v=1745270699</t>
        </is>
      </c>
      <c r="Y2109" s="54" t="n">
        <v>756.4655172</v>
      </c>
      <c r="Z2109" s="54" t="n">
        <v>1681.034483</v>
      </c>
      <c r="AA2109" s="55">
        <f>IF(AND(A2109="", B2109="", E2109=""), "", IF(AB2109="", "Válido", IF((LEN(AB2109)-LEN(SUBSTITUTE(AB2109,"; ","")))/2+1&gt;(LEN(AB2109)-LEN(SUBSTITUTE(AB2109,"[Aviso]","")))/7, "Con Incidencias", "Válido")))</f>
        <v/>
      </c>
      <c r="AB2109" s="56">
        <f>IF(AND(A2109="", B2109="", E2109=""), "", TEXTJOIN("; ", TRUE, IF(OR(TRIM(A2109&amp;"")="", ISNUMBER(SEARCH("FALTA", A2109))), "UPC faltante/inválido", ""), IF(AND(A2109&lt;&gt;"", IFERROR(_xlfn.XMATCH(A2109,$A$2:$A$2509,0,1)&lt;&gt;_xlfn.XMATCH(A2109,$A$2:$A$2509,0,-1),FALSE)), "Código de barras duplicado", ""), IF(AND(E2109&lt;&gt;"", COUNTIF($E$2:$E$2509, E2109)&gt;1), "SKU duplicado", ""), IF(OR(J2109="", J2109=""), "[Aviso] División no capturada ()", IF(ISNA(MATCH(J2109, Criterios!$A$123:$A$126, 0)), "División no válida", "")), IF(OR(K2109="", K2109=""), "[Aviso] Categoría no capturada ()", IF(ISNA(MATCH(K2109, Criterios!$A$81:$A$120, 0)), "Categoría no válida", IF(AND(J2109&lt;&gt;"", J2109&lt;&gt;"", J2109&lt;&gt;VLOOKUP(K2109, Criterios!$A$81:$B$120, 2, FALSE)), "División no coincide con Categoría", ""))), IF(OR(L2109="", L2109=""), "[Aviso] Género no capturado ()", IF(ISNA(MATCH(L2109, Criterios!$B$123:$B$127, 0)), "Género no válido", "")), IF(OR(N2109="", N2109=""), "[Aviso] Temporada no capturada ()", IF(ISNA(MATCH(N2109, Criterios!$C$123:$C$128, 0)), "Temporada no válida", "")), IF(OR(O2109="", O2109=""), "[Aviso] Ciclo de vida no capturado ()", IF(ISNA(MATCH(O2109, Criterios!$D$123:$D$124, 0)), "Ciclo de vida no válido", ""))))</f>
        <v/>
      </c>
      <c r="AC2109" s="56" t="n"/>
      <c r="AD2109" s="51" t="n">
        <v>5</v>
      </c>
      <c r="AE2109" s="156" t="inlineStr">
        <is>
          <t>B25 STETSON.MX (5)</t>
        </is>
      </c>
      <c r="AF2109" s="51" t="n">
        <v>5</v>
      </c>
      <c r="AG2109" s="156" t="inlineStr">
        <is>
          <t>Catálogo existente</t>
        </is>
      </c>
      <c r="AH2109" s="156" t="inlineStr">
        <is>
          <t>Revisión 29/09/2026: Campos sin respaldo: U, X; Auditoría NetSuite 30/09/2026: llenado desde NetSuite [S] | 01/10/2026: complementado desde Shopify Stetson México (match por código de barras): WB Fit, WB Silueta, Enlace de imagen</t>
        </is>
      </c>
      <c r="AI2109" s="156" t="inlineStr">
        <is>
          <t>No</t>
        </is>
      </c>
      <c r="AJ2109" s="156" t="n"/>
      <c r="AK2109" s="155" t="inlineStr">
        <is>
          <t>Criterios: I [Q] | Criterios: J [R]; G1522_Extraccion_Articulos_NetSuite_2026-09-30.xlsx: fila 57664 [S] | Shopify Stetson: producto 14697993863531 / variante 52013904101739</t>
        </is>
      </c>
      <c r="AL2109" s="58" t="n">
        <v>756.4655172</v>
      </c>
      <c r="AM2109" s="58" t="n">
        <v>1681.034483</v>
      </c>
      <c r="AN2109" s="155" t="inlineStr">
        <is>
          <t>Shopify Stetson México</t>
        </is>
      </c>
      <c r="AO2109" s="59" t="n">
        <v>8</v>
      </c>
      <c r="AP2109" s="59" t="n"/>
      <c r="AQ2109" s="59" t="n"/>
      <c r="AR2109" s="155" t="inlineStr">
        <is>
          <t>Shopify Stetson México › Stetson México: 5 | Shopify Stetson México › Stetson Americas: 3</t>
        </is>
      </c>
    </row>
    <row r="2110">
      <c r="A2110" s="50" t="inlineStr">
        <is>
          <t>724303731446</t>
        </is>
      </c>
      <c r="B2110" s="51" t="inlineStr">
        <is>
          <t>109850</t>
        </is>
      </c>
      <c r="C2110" s="156" t="inlineStr">
        <is>
          <t>Multimarca</t>
        </is>
      </c>
      <c r="D2110" s="156" t="inlineStr">
        <is>
          <t>9921500-97</t>
        </is>
      </c>
      <c r="E2110" s="156" t="inlineStr">
        <is>
          <t>9921500-97-46</t>
        </is>
      </c>
      <c r="F2110" s="156" t="inlineStr">
        <is>
          <t>46</t>
        </is>
      </c>
      <c r="G2110" s="156" t="inlineStr">
        <is>
          <t>46</t>
        </is>
      </c>
      <c r="H2110" s="156" t="inlineStr">
        <is>
          <t>Stetson</t>
        </is>
      </c>
      <c r="I2110" s="156" t="inlineStr">
        <is>
          <t>Cinturón Stetson Piel Vintage Taupe</t>
        </is>
      </c>
      <c r="J2110" s="156" t="inlineStr">
        <is>
          <t>Accesorios</t>
        </is>
      </c>
      <c r="K2110" s="156" t="inlineStr">
        <is>
          <t>Cinturones</t>
        </is>
      </c>
      <c r="L2110" s="156" t="inlineStr">
        <is>
          <t>Hombre</t>
        </is>
      </c>
      <c r="M2110" s="156" t="inlineStr">
        <is>
          <t>Stetson</t>
        </is>
      </c>
      <c r="N2110" s="156" t="inlineStr">
        <is>
          <t>SS26</t>
        </is>
      </c>
      <c r="O2110" s="156" t="inlineStr">
        <is>
          <t>Seasonal</t>
        </is>
      </c>
      <c r="P2110" s="156" t="inlineStr">
        <is>
          <t>Cafe</t>
        </is>
      </c>
      <c r="Q2110" s="156" t="n"/>
      <c r="R2110" s="156" t="n"/>
      <c r="S2110" s="156" t="inlineStr">
        <is>
          <t>Cuero</t>
        </is>
      </c>
      <c r="T2110"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10" s="156" t="n"/>
      <c r="V2110" s="156" t="inlineStr">
        <is>
          <t>PZS</t>
        </is>
      </c>
      <c r="W2110" s="51" t="inlineStr">
        <is>
          <t>53102501</t>
        </is>
      </c>
      <c r="X2110" s="156" t="inlineStr">
        <is>
          <t>https://cdn.shopify.com/s/files/1/0888/3250/8267/files/9921500-097.jpg?v=1745270699</t>
        </is>
      </c>
      <c r="Y2110" s="54" t="n">
        <v>756.4655172</v>
      </c>
      <c r="Z2110" s="54" t="n">
        <v>1681.034483</v>
      </c>
      <c r="AA2110" s="55">
        <f>IF(AND(A2110="", B2110="", E2110=""), "", IF(AB2110="", "Válido", IF((LEN(AB2110)-LEN(SUBSTITUTE(AB2110,"; ","")))/2+1&gt;(LEN(AB2110)-LEN(SUBSTITUTE(AB2110,"[Aviso]","")))/7, "Con Incidencias", "Válido")))</f>
        <v/>
      </c>
      <c r="AB2110" s="56">
        <f>IF(AND(A2110="", B2110="", E2110=""), "", TEXTJOIN("; ", TRUE, IF(OR(TRIM(A2110&amp;"")="", ISNUMBER(SEARCH("FALTA", A2110))), "UPC faltante/inválido", ""), IF(AND(A2110&lt;&gt;"", IFERROR(_xlfn.XMATCH(A2110,$A$2:$A$2509,0,1)&lt;&gt;_xlfn.XMATCH(A2110,$A$2:$A$2509,0,-1),FALSE)), "Código de barras duplicado", ""), IF(AND(E2110&lt;&gt;"", COUNTIF($E$2:$E$2509, E2110)&gt;1), "SKU duplicado", ""), IF(OR(J2110="", J2110=""), "[Aviso] División no capturada ()", IF(ISNA(MATCH(J2110, Criterios!$A$123:$A$126, 0)), "División no válida", "")), IF(OR(K2110="", K2110=""), "[Aviso] Categoría no capturada ()", IF(ISNA(MATCH(K2110, Criterios!$A$81:$A$120, 0)), "Categoría no válida", IF(AND(J2110&lt;&gt;"", J2110&lt;&gt;"", J2110&lt;&gt;VLOOKUP(K2110, Criterios!$A$81:$B$120, 2, FALSE)), "División no coincide con Categoría", ""))), IF(OR(L2110="", L2110=""), "[Aviso] Género no capturado ()", IF(ISNA(MATCH(L2110, Criterios!$B$123:$B$127, 0)), "Género no válido", "")), IF(OR(N2110="", N2110=""), "[Aviso] Temporada no capturada ()", IF(ISNA(MATCH(N2110, Criterios!$C$123:$C$128, 0)), "Temporada no válida", "")), IF(OR(O2110="", O2110=""), "[Aviso] Ciclo de vida no capturado ()", IF(ISNA(MATCH(O2110, Criterios!$D$123:$D$124, 0)), "Ciclo de vida no válido", ""))))</f>
        <v/>
      </c>
      <c r="AC2110" s="56" t="n"/>
      <c r="AD2110" s="51" t="n">
        <v>3</v>
      </c>
      <c r="AE2110" s="156" t="inlineStr">
        <is>
          <t>WB OUTLET LERMA (1); B25 STETSON.MX (2)</t>
        </is>
      </c>
      <c r="AF2110" s="51" t="n">
        <v>3</v>
      </c>
      <c r="AG2110" s="156" t="inlineStr">
        <is>
          <t>Catálogo existente</t>
        </is>
      </c>
      <c r="AH2110" s="156" t="inlineStr">
        <is>
          <t>Revisión 29/09/2026: Campos sin respaldo: U, X; Auditoría NetSuite 30/09/2026: llenado desde NetSuite [S] | 01/10/2026: complementado desde Shopify Stetson México (match por código de barras): WB Fit, WB Silueta, Enlace de imagen</t>
        </is>
      </c>
      <c r="AI2110" s="156" t="inlineStr">
        <is>
          <t>No</t>
        </is>
      </c>
      <c r="AJ2110" s="156" t="n"/>
      <c r="AK2110" s="155" t="inlineStr">
        <is>
          <t>Criterios: I [Q] | Criterios: J [R]; G1522_Extraccion_Articulos_NetSuite_2026-09-30.xlsx: fila 57665 [S] | Shopify Stetson: producto 14697993863531 / variante 52013904134507 | Shopify WB: producto 10310238732473 / variante 50512091709625</t>
        </is>
      </c>
      <c r="AL2110" s="58" t="n">
        <v>756.4655172</v>
      </c>
      <c r="AM2110" s="58" t="n">
        <v>1681.034483</v>
      </c>
      <c r="AN2110" s="155" t="inlineStr">
        <is>
          <t>Shopify Stetson México | Shopify Western Brothers</t>
        </is>
      </c>
      <c r="AO2110" s="59" t="n">
        <v>3</v>
      </c>
      <c r="AP2110" s="59" t="n">
        <v>1</v>
      </c>
      <c r="AQ2110" s="59" t="n"/>
      <c r="AR2110" s="155" t="inlineStr">
        <is>
          <t>Shopify Stetson México › Stetson México: 2 | Shopify Stetson México › Stetson Americas: 1 | Shopify Western Brothers › Western Brothers Outlet Lerma: 1</t>
        </is>
      </c>
    </row>
    <row r="2111">
      <c r="A2111" s="50" t="inlineStr">
        <is>
          <t>724303739367</t>
        </is>
      </c>
      <c r="B2111" s="51" t="n"/>
      <c r="C2111" s="156" t="inlineStr">
        <is>
          <t>Multimarca</t>
        </is>
      </c>
      <c r="D2111" s="156" t="inlineStr">
        <is>
          <t>9916500-260</t>
        </is>
      </c>
      <c r="E2111" s="156" t="inlineStr">
        <is>
          <t>9916500-260-32</t>
        </is>
      </c>
      <c r="F2111" s="156" t="inlineStr">
        <is>
          <t>32</t>
        </is>
      </c>
      <c r="G2111" s="156" t="inlineStr">
        <is>
          <t>32</t>
        </is>
      </c>
      <c r="H2111" s="156" t="inlineStr">
        <is>
          <t>Stetson</t>
        </is>
      </c>
      <c r="I2111" s="156" t="inlineStr">
        <is>
          <t>Cinturón Stetson Piel de Avestruz Cowboy Brown</t>
        </is>
      </c>
      <c r="J2111" s="156" t="inlineStr">
        <is>
          <t>Accesorios</t>
        </is>
      </c>
      <c r="K2111" s="156" t="inlineStr">
        <is>
          <t>Cinturones</t>
        </is>
      </c>
      <c r="L2111" s="156" t="inlineStr">
        <is>
          <t>Hombre</t>
        </is>
      </c>
      <c r="M2111" s="156" t="inlineStr">
        <is>
          <t>Stetson</t>
        </is>
      </c>
      <c r="N2111" s="156" t="inlineStr">
        <is>
          <t>SS26</t>
        </is>
      </c>
      <c r="O2111" s="156" t="inlineStr">
        <is>
          <t>Seasonal</t>
        </is>
      </c>
      <c r="P2111" s="156" t="inlineStr">
        <is>
          <t>Cafe</t>
        </is>
      </c>
      <c r="Q2111" s="156" t="n"/>
      <c r="R2111" s="156" t="n"/>
      <c r="S2111" s="156" t="n"/>
      <c r="T2111"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 Modelo: Cinturón Stetson Brown Cowboy 6500 38mm
 • Ancho: 38 mm (1 1/2")
 • Material: Cuero exótico genuino de avestruz
 • Diseño:
  - Correa en cuero de avestruz con textura natural
  - Extremos estilo western en avestruz a juego
  - Bordes perfilados con costura tonal
  - Hebilla metálica Stetson en acabado bicolor
  - Color: Moca Brown
  - Estilo: Occidental / Western
  - Tallas disponibles: 32 | 34 | 36 | 38 | 40 | 42 | 44 | 46</t>
        </is>
      </c>
      <c r="U2111" s="156" t="n"/>
      <c r="V2111" s="156" t="inlineStr">
        <is>
          <t>PZS</t>
        </is>
      </c>
      <c r="W2111" s="51" t="inlineStr">
        <is>
          <t>53102501</t>
        </is>
      </c>
      <c r="X2111" s="156" t="inlineStr">
        <is>
          <t>https://cdn.shopify.com/s/files/1/0888/3250/8267/files/9916500-243_Antique_Cognac_1.jpg?v=1763142861</t>
        </is>
      </c>
      <c r="Y2111" s="54" t="n">
        <v>1900.862069</v>
      </c>
      <c r="Z2111" s="54" t="n">
        <v>4900</v>
      </c>
      <c r="AA2111" s="55">
        <f>IF(AND(A2111="", B2111="", E2111=""), "", IF(AB2111="", "Válido", IF((LEN(AB2111)-LEN(SUBSTITUTE(AB2111,"; ","")))/2+1&gt;(LEN(AB2111)-LEN(SUBSTITUTE(AB2111,"[Aviso]","")))/7, "Con Incidencias", "Válido")))</f>
        <v/>
      </c>
      <c r="AB2111" s="56">
        <f>IF(AND(A2111="", B2111="", E2111=""), "", TEXTJOIN("; ", TRUE, IF(OR(TRIM(A2111&amp;"")="", ISNUMBER(SEARCH("FALTA", A2111))), "UPC faltante/inválido", ""), IF(AND(A2111&lt;&gt;"", IFERROR(_xlfn.XMATCH(A2111,$A$2:$A$2509,0,1)&lt;&gt;_xlfn.XMATCH(A2111,$A$2:$A$2509,0,-1),FALSE)), "Código de barras duplicado", ""), IF(AND(E2111&lt;&gt;"", COUNTIF($E$2:$E$2509, E2111)&gt;1), "SKU duplicado", ""), IF(OR(J2111="", J2111=""), "[Aviso] División no capturada ()", IF(ISNA(MATCH(J2111, Criterios!$A$123:$A$126, 0)), "División no válida", "")), IF(OR(K2111="", K2111=""), "[Aviso] Categoría no capturada ()", IF(ISNA(MATCH(K2111, Criterios!$A$81:$A$120, 0)), "Categoría no válida", IF(AND(J2111&lt;&gt;"", J2111&lt;&gt;"", J2111&lt;&gt;VLOOKUP(K2111, Criterios!$A$81:$B$120, 2, FALSE)), "División no coincide con Categoría", ""))), IF(OR(L2111="", L2111=""), "[Aviso] Género no capturado ()", IF(ISNA(MATCH(L2111, Criterios!$B$123:$B$127, 0)), "Género no válido", "")), IF(OR(N2111="", N2111=""), "[Aviso] Temporada no capturada ()", IF(ISNA(MATCH(N2111, Criterios!$C$123:$C$128, 0)), "Temporada no válida", "")), IF(OR(O2111="", O2111=""), "[Aviso] Ciclo de vida no capturado ()", IF(ISNA(MATCH(O2111, Criterios!$D$123:$D$124, 0)), "Ciclo de vida no válido", ""))))</f>
        <v/>
      </c>
      <c r="AC2111" s="56" t="n"/>
      <c r="AD2111" s="51" t="n">
        <v>0</v>
      </c>
      <c r="AE2111" s="156" t="inlineStr">
        <is>
          <t>Sin coincidencia en NetSuite</t>
        </is>
      </c>
      <c r="AF2111" s="51" t="n"/>
      <c r="AG2111" s="156" t="inlineStr">
        <is>
          <t>Catálogo existente</t>
        </is>
      </c>
      <c r="AH2111"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11" s="156" t="n"/>
      <c r="AJ2111" s="156" t="n"/>
      <c r="AK2111" s="155" t="inlineStr">
        <is>
          <t>Shopify Stetson: producto 14697979707755 / variante 52013857309035</t>
        </is>
      </c>
      <c r="AL2111" s="58" t="n">
        <v>1900.862069</v>
      </c>
      <c r="AM2111" s="58" t="n">
        <v>4900</v>
      </c>
      <c r="AN2111" s="155" t="inlineStr">
        <is>
          <t>Shopify Stetson México</t>
        </is>
      </c>
      <c r="AO2111" s="59" t="n">
        <v>0</v>
      </c>
      <c r="AP2111" s="59" t="n"/>
      <c r="AQ2111" s="59" t="n"/>
      <c r="AR2111" s="155" t="n"/>
    </row>
    <row r="2112">
      <c r="A2112" s="50" t="inlineStr">
        <is>
          <t>724303739374</t>
        </is>
      </c>
      <c r="B2112" s="51" t="n"/>
      <c r="C2112" s="156" t="inlineStr">
        <is>
          <t>Multimarca</t>
        </is>
      </c>
      <c r="D2112" s="156" t="inlineStr">
        <is>
          <t>9916500-260</t>
        </is>
      </c>
      <c r="E2112" s="156" t="inlineStr">
        <is>
          <t>9916500-260-34</t>
        </is>
      </c>
      <c r="F2112" s="156" t="inlineStr">
        <is>
          <t>34</t>
        </is>
      </c>
      <c r="G2112" s="156" t="inlineStr">
        <is>
          <t>34</t>
        </is>
      </c>
      <c r="H2112" s="156" t="inlineStr">
        <is>
          <t>Stetson</t>
        </is>
      </c>
      <c r="I2112" s="156" t="inlineStr">
        <is>
          <t>Cinturón Stetson Piel de Avestruz Cowboy Brown</t>
        </is>
      </c>
      <c r="J2112" s="156" t="inlineStr">
        <is>
          <t>Accesorios</t>
        </is>
      </c>
      <c r="K2112" s="156" t="inlineStr">
        <is>
          <t>Cinturones</t>
        </is>
      </c>
      <c r="L2112" s="156" t="inlineStr">
        <is>
          <t>Hombre</t>
        </is>
      </c>
      <c r="M2112" s="156" t="inlineStr">
        <is>
          <t>Stetson</t>
        </is>
      </c>
      <c r="N2112" s="156" t="inlineStr">
        <is>
          <t>SS26</t>
        </is>
      </c>
      <c r="O2112" s="156" t="inlineStr">
        <is>
          <t>Seasonal</t>
        </is>
      </c>
      <c r="P2112" s="156" t="inlineStr">
        <is>
          <t>Cafe</t>
        </is>
      </c>
      <c r="Q2112" s="156" t="n"/>
      <c r="R2112" s="156" t="n"/>
      <c r="S2112" s="156" t="n"/>
      <c r="T2112"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 Modelo: Cinturón Stetson Brown Cowboy 6500 38mm
 • Ancho: 38 mm (1 1/2")
 • Material: Cuero exótico genuino de avestruz
 • Diseño:
  - Correa en cuero de avestruz con textura natural
  - Extremos estilo western en avestruz a juego
  - Bordes perfilados con costura tonal
  - Hebilla metálica Stetson en acabado bicolor
  - Color: Moca Brown
  - Estilo: Occidental / Western
  - Tallas disponibles: 32 | 34 | 36 | 38 | 40 | 42 | 44 | 46</t>
        </is>
      </c>
      <c r="U2112" s="156" t="n"/>
      <c r="V2112" s="156" t="inlineStr">
        <is>
          <t>PZS</t>
        </is>
      </c>
      <c r="W2112" s="51" t="inlineStr">
        <is>
          <t>53102501</t>
        </is>
      </c>
      <c r="X2112" s="156" t="inlineStr">
        <is>
          <t>https://cdn.shopify.com/s/files/1/0888/3250/8267/files/9916500-243_alt1.jpg?v=1763142873</t>
        </is>
      </c>
      <c r="Y2112" s="54" t="n">
        <v>1900.862069</v>
      </c>
      <c r="Z2112" s="54" t="n">
        <v>4900</v>
      </c>
      <c r="AA2112" s="55">
        <f>IF(AND(A2112="", B2112="", E2112=""), "", IF(AB2112="", "Válido", IF((LEN(AB2112)-LEN(SUBSTITUTE(AB2112,"; ","")))/2+1&gt;(LEN(AB2112)-LEN(SUBSTITUTE(AB2112,"[Aviso]","")))/7, "Con Incidencias", "Válido")))</f>
        <v/>
      </c>
      <c r="AB2112" s="56">
        <f>IF(AND(A2112="", B2112="", E2112=""), "", TEXTJOIN("; ", TRUE, IF(OR(TRIM(A2112&amp;"")="", ISNUMBER(SEARCH("FALTA", A2112))), "UPC faltante/inválido", ""), IF(AND(A2112&lt;&gt;"", IFERROR(_xlfn.XMATCH(A2112,$A$2:$A$2509,0,1)&lt;&gt;_xlfn.XMATCH(A2112,$A$2:$A$2509,0,-1),FALSE)), "Código de barras duplicado", ""), IF(AND(E2112&lt;&gt;"", COUNTIF($E$2:$E$2509, E2112)&gt;1), "SKU duplicado", ""), IF(OR(J2112="", J2112=""), "[Aviso] División no capturada ()", IF(ISNA(MATCH(J2112, Criterios!$A$123:$A$126, 0)), "División no válida", "")), IF(OR(K2112="", K2112=""), "[Aviso] Categoría no capturada ()", IF(ISNA(MATCH(K2112, Criterios!$A$81:$A$120, 0)), "Categoría no válida", IF(AND(J2112&lt;&gt;"", J2112&lt;&gt;"", J2112&lt;&gt;VLOOKUP(K2112, Criterios!$A$81:$B$120, 2, FALSE)), "División no coincide con Categoría", ""))), IF(OR(L2112="", L2112=""), "[Aviso] Género no capturado ()", IF(ISNA(MATCH(L2112, Criterios!$B$123:$B$127, 0)), "Género no válido", "")), IF(OR(N2112="", N2112=""), "[Aviso] Temporada no capturada ()", IF(ISNA(MATCH(N2112, Criterios!$C$123:$C$128, 0)), "Temporada no válida", "")), IF(OR(O2112="", O2112=""), "[Aviso] Ciclo de vida no capturado ()", IF(ISNA(MATCH(O2112, Criterios!$D$123:$D$124, 0)), "Ciclo de vida no válido", ""))))</f>
        <v/>
      </c>
      <c r="AC2112" s="56" t="n"/>
      <c r="AD2112" s="51" t="n">
        <v>0</v>
      </c>
      <c r="AE2112" s="156" t="inlineStr">
        <is>
          <t>Sin coincidencia en NetSuite</t>
        </is>
      </c>
      <c r="AF2112" s="51" t="n"/>
      <c r="AG2112" s="156" t="inlineStr">
        <is>
          <t>Catálogo existente</t>
        </is>
      </c>
      <c r="AH2112"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12" s="156" t="n"/>
      <c r="AJ2112" s="156" t="n"/>
      <c r="AK2112" s="155" t="inlineStr">
        <is>
          <t>Shopify Stetson: producto 14697979707755 / variante 52013857341803</t>
        </is>
      </c>
      <c r="AL2112" s="58" t="n">
        <v>1900.862069</v>
      </c>
      <c r="AM2112" s="58" t="n">
        <v>4900</v>
      </c>
      <c r="AN2112" s="155" t="inlineStr">
        <is>
          <t>Shopify Stetson México</t>
        </is>
      </c>
      <c r="AO2112" s="59" t="n">
        <v>0</v>
      </c>
      <c r="AP2112" s="59" t="n"/>
      <c r="AQ2112" s="59" t="n"/>
      <c r="AR2112" s="155" t="n"/>
    </row>
    <row r="2113">
      <c r="A2113" s="50" t="inlineStr">
        <is>
          <t>724303740790</t>
        </is>
      </c>
      <c r="B2113" s="51" t="inlineStr">
        <is>
          <t>109668</t>
        </is>
      </c>
      <c r="C2113" s="156" t="inlineStr">
        <is>
          <t>Multimarca</t>
        </is>
      </c>
      <c r="D2113" s="156" t="inlineStr">
        <is>
          <t>9401790-204</t>
        </is>
      </c>
      <c r="E2113" s="156" t="inlineStr">
        <is>
          <t>9401790-204-S</t>
        </is>
      </c>
      <c r="F2113" s="156" t="inlineStr">
        <is>
          <t>S</t>
        </is>
      </c>
      <c r="G2113" s="156" t="inlineStr">
        <is>
          <t>S</t>
        </is>
      </c>
      <c r="H2113" s="156" t="inlineStr">
        <is>
          <t>Stetson</t>
        </is>
      </c>
      <c r="I2113" s="156" t="inlineStr">
        <is>
          <t>Cinturón Conchos Estilo Southwestern</t>
        </is>
      </c>
      <c r="J2113" s="156" t="inlineStr">
        <is>
          <t>Accesorios</t>
        </is>
      </c>
      <c r="K2113" s="156" t="inlineStr">
        <is>
          <t>Cinturones</t>
        </is>
      </c>
      <c r="L2113" s="156" t="inlineStr">
        <is>
          <t>Mujer</t>
        </is>
      </c>
      <c r="M2113" s="156" t="inlineStr">
        <is>
          <t>Stetson</t>
        </is>
      </c>
      <c r="N2113" s="156" t="inlineStr">
        <is>
          <t>SS26</t>
        </is>
      </c>
      <c r="O2113" s="156" t="inlineStr">
        <is>
          <t>Seasonal</t>
        </is>
      </c>
      <c r="P2113" s="156" t="inlineStr">
        <is>
          <t>Cafe</t>
        </is>
      </c>
      <c r="Q2113" s="156" t="n"/>
      <c r="R2113" s="156" t="n"/>
      <c r="S2113" s="156" t="inlineStr">
        <is>
          <t>Cuero</t>
        </is>
      </c>
      <c r="T2113"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3" s="156" t="n"/>
      <c r="V2113" s="156" t="inlineStr">
        <is>
          <t>PZS</t>
        </is>
      </c>
      <c r="W2113" s="51" t="inlineStr">
        <is>
          <t>53102501</t>
        </is>
      </c>
      <c r="X2113" s="156" t="inlineStr">
        <is>
          <t>https://cdn.shopify.com/s/files/1/0888/3250/8267/files/9401790-204-01.jpg?v=1761925299</t>
        </is>
      </c>
      <c r="Y2113" s="54" t="n">
        <v>1183.189655</v>
      </c>
      <c r="Z2113" s="54" t="n">
        <v>2629.310345</v>
      </c>
      <c r="AA2113" s="55">
        <f>IF(AND(A2113="", B2113="", E2113=""), "", IF(AB2113="", "Válido", IF((LEN(AB2113)-LEN(SUBSTITUTE(AB2113,"; ","")))/2+1&gt;(LEN(AB2113)-LEN(SUBSTITUTE(AB2113,"[Aviso]","")))/7, "Con Incidencias", "Válido")))</f>
        <v/>
      </c>
      <c r="AB2113" s="56">
        <f>IF(AND(A2113="", B2113="", E2113=""), "", TEXTJOIN("; ", TRUE, IF(OR(TRIM(A2113&amp;"")="", ISNUMBER(SEARCH("FALTA", A2113))), "UPC faltante/inválido", ""), IF(AND(A2113&lt;&gt;"", IFERROR(_xlfn.XMATCH(A2113,$A$2:$A$2509,0,1)&lt;&gt;_xlfn.XMATCH(A2113,$A$2:$A$2509,0,-1),FALSE)), "Código de barras duplicado", ""), IF(AND(E2113&lt;&gt;"", COUNTIF($E$2:$E$2509, E2113)&gt;1), "SKU duplicado", ""), IF(OR(J2113="", J2113=""), "[Aviso] División no capturada ()", IF(ISNA(MATCH(J2113, Criterios!$A$123:$A$126, 0)), "División no válida", "")), IF(OR(K2113="", K2113=""), "[Aviso] Categoría no capturada ()", IF(ISNA(MATCH(K2113, Criterios!$A$81:$A$120, 0)), "Categoría no válida", IF(AND(J2113&lt;&gt;"", J2113&lt;&gt;"", J2113&lt;&gt;VLOOKUP(K2113, Criterios!$A$81:$B$120, 2, FALSE)), "División no coincide con Categoría", ""))), IF(OR(L2113="", L2113=""), "[Aviso] Género no capturado ()", IF(ISNA(MATCH(L2113, Criterios!$B$123:$B$127, 0)), "Género no válido", "")), IF(OR(N2113="", N2113=""), "[Aviso] Temporada no capturada ()", IF(ISNA(MATCH(N2113, Criterios!$C$123:$C$128, 0)), "Temporada no válida", "")), IF(OR(O2113="", O2113=""), "[Aviso] Ciclo de vida no capturado ()", IF(ISNA(MATCH(O2113, Criterios!$D$123:$D$124, 0)), "Ciclo de vida no válido", ""))))</f>
        <v/>
      </c>
      <c r="AC2113" s="56" t="n"/>
      <c r="AD2113" s="51" t="n">
        <v>-1</v>
      </c>
      <c r="AE2113" s="156" t="n"/>
      <c r="AF2113" s="51" t="n">
        <v>0</v>
      </c>
      <c r="AG2113" s="156" t="inlineStr">
        <is>
          <t>Catálogo existente</t>
        </is>
      </c>
      <c r="AH2113" s="156" t="inlineStr">
        <is>
          <t>Stock negativo en sistema: revisar en conteo | Revisión 29/09/2026: Campos sin respaldo: U; Auditoría NetSuite 30/09/2026: llenado desde NetSuite [S] | 01/10/2026: complementado desde Shopify Stetson México (match por código de barras): WB Fit, WB Silueta</t>
        </is>
      </c>
      <c r="AI2113" s="156" t="inlineStr">
        <is>
          <t>Sí</t>
        </is>
      </c>
      <c r="AJ2113" s="156" t="inlineStr">
        <is>
          <t>STETSON AMERICAS (-1)</t>
        </is>
      </c>
      <c r="AK2113" s="155" t="inlineStr">
        <is>
          <t>Descripción y Criterios: G/H [P] | Criterios: I [Q] | Criterios: J [R]; G1522_Extraccion_Articulos_NetSuite_2026-09-30.xlsx: fila 57483 [S] | Shopify Stetson: producto 14811700363627 / variante 53350602441067</t>
        </is>
      </c>
      <c r="AL2113" s="58" t="n">
        <v>1183.189655</v>
      </c>
      <c r="AM2113" s="58" t="n">
        <v>2629.310345</v>
      </c>
      <c r="AN2113" s="155" t="inlineStr">
        <is>
          <t>Shopify Stetson México</t>
        </is>
      </c>
      <c r="AO2113" s="59" t="n">
        <v>0</v>
      </c>
      <c r="AP2113" s="59" t="n"/>
      <c r="AQ2113" s="59" t="n"/>
      <c r="AR2113" s="155" t="n"/>
    </row>
    <row r="2114">
      <c r="A2114" s="50" t="inlineStr">
        <is>
          <t>724303740806</t>
        </is>
      </c>
      <c r="B2114" s="51" t="inlineStr">
        <is>
          <t>109669</t>
        </is>
      </c>
      <c r="C2114" s="156" t="inlineStr">
        <is>
          <t>Multimarca</t>
        </is>
      </c>
      <c r="D2114" s="156" t="inlineStr">
        <is>
          <t>9401790-204</t>
        </is>
      </c>
      <c r="E2114" s="156" t="inlineStr">
        <is>
          <t>9401790-204-M</t>
        </is>
      </c>
      <c r="F2114" s="156" t="inlineStr">
        <is>
          <t>M</t>
        </is>
      </c>
      <c r="G2114" s="156" t="inlineStr">
        <is>
          <t>M</t>
        </is>
      </c>
      <c r="H2114" s="156" t="inlineStr">
        <is>
          <t>Stetson</t>
        </is>
      </c>
      <c r="I2114" s="156" t="inlineStr">
        <is>
          <t>Cinturón Conchos Estilo Southwestern</t>
        </is>
      </c>
      <c r="J2114" s="156" t="inlineStr">
        <is>
          <t>Accesorios</t>
        </is>
      </c>
      <c r="K2114" s="156" t="inlineStr">
        <is>
          <t>Cinturones</t>
        </is>
      </c>
      <c r="L2114" s="156" t="inlineStr">
        <is>
          <t>Mujer</t>
        </is>
      </c>
      <c r="M2114" s="156" t="inlineStr">
        <is>
          <t>Stetson</t>
        </is>
      </c>
      <c r="N2114" s="156" t="inlineStr">
        <is>
          <t>SS26</t>
        </is>
      </c>
      <c r="O2114" s="156" t="inlineStr">
        <is>
          <t>Seasonal</t>
        </is>
      </c>
      <c r="P2114" s="156" t="inlineStr">
        <is>
          <t>Cafe</t>
        </is>
      </c>
      <c r="Q2114" s="156" t="n"/>
      <c r="R2114" s="156" t="n"/>
      <c r="S2114" s="156" t="inlineStr">
        <is>
          <t>Cuero</t>
        </is>
      </c>
      <c r="T2114"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4" s="156" t="n"/>
      <c r="V2114" s="156" t="inlineStr">
        <is>
          <t>PZS</t>
        </is>
      </c>
      <c r="W2114" s="51" t="inlineStr">
        <is>
          <t>53102501</t>
        </is>
      </c>
      <c r="X2114" s="156" t="inlineStr">
        <is>
          <t>https://cdn.shopify.com/s/files/1/0888/3250/8267/files/9401790-204-02.jpg?v=1761925299</t>
        </is>
      </c>
      <c r="Y2114" s="54" t="n">
        <v>1183.189655</v>
      </c>
      <c r="Z2114" s="54" t="n">
        <v>2629.310345</v>
      </c>
      <c r="AA2114" s="55">
        <f>IF(AND(A2114="", B2114="", E2114=""), "", IF(AB2114="", "Válido", IF((LEN(AB2114)-LEN(SUBSTITUTE(AB2114,"; ","")))/2+1&gt;(LEN(AB2114)-LEN(SUBSTITUTE(AB2114,"[Aviso]","")))/7, "Con Incidencias", "Válido")))</f>
        <v/>
      </c>
      <c r="AB2114" s="56">
        <f>IF(AND(A2114="", B2114="", E2114=""), "", TEXTJOIN("; ", TRUE, IF(OR(TRIM(A2114&amp;"")="", ISNUMBER(SEARCH("FALTA", A2114))), "UPC faltante/inválido", ""), IF(AND(A2114&lt;&gt;"", IFERROR(_xlfn.XMATCH(A2114,$A$2:$A$2509,0,1)&lt;&gt;_xlfn.XMATCH(A2114,$A$2:$A$2509,0,-1),FALSE)), "Código de barras duplicado", ""), IF(AND(E2114&lt;&gt;"", COUNTIF($E$2:$E$2509, E2114)&gt;1), "SKU duplicado", ""), IF(OR(J2114="", J2114=""), "[Aviso] División no capturada ()", IF(ISNA(MATCH(J2114, Criterios!$A$123:$A$126, 0)), "División no válida", "")), IF(OR(K2114="", K2114=""), "[Aviso] Categoría no capturada ()", IF(ISNA(MATCH(K2114, Criterios!$A$81:$A$120, 0)), "Categoría no válida", IF(AND(J2114&lt;&gt;"", J2114&lt;&gt;"", J2114&lt;&gt;VLOOKUP(K2114, Criterios!$A$81:$B$120, 2, FALSE)), "División no coincide con Categoría", ""))), IF(OR(L2114="", L2114=""), "[Aviso] Género no capturado ()", IF(ISNA(MATCH(L2114, Criterios!$B$123:$B$127, 0)), "Género no válido", "")), IF(OR(N2114="", N2114=""), "[Aviso] Temporada no capturada ()", IF(ISNA(MATCH(N2114, Criterios!$C$123:$C$128, 0)), "Temporada no válida", "")), IF(OR(O2114="", O2114=""), "[Aviso] Ciclo de vida no capturado ()", IF(ISNA(MATCH(O2114, Criterios!$D$123:$D$124, 0)), "Ciclo de vida no válido", ""))))</f>
        <v/>
      </c>
      <c r="AC2114" s="56" t="n"/>
      <c r="AD2114" s="51" t="n">
        <v>-3</v>
      </c>
      <c r="AE2114" s="156" t="n"/>
      <c r="AF2114" s="51" t="n">
        <v>0</v>
      </c>
      <c r="AG2114" s="156" t="inlineStr">
        <is>
          <t>Catálogo existente</t>
        </is>
      </c>
      <c r="AH2114" s="156" t="inlineStr">
        <is>
          <t>Stock negativo en sistema: revisar en conteo | Revisión 29/09/2026: Campos sin respaldo: U; Auditoría NetSuite 30/09/2026: llenado desde NetSuite [S] | 01/10/2026: complementado desde Shopify Stetson México (match por código de barras): WB Fit, WB Silueta</t>
        </is>
      </c>
      <c r="AI2114" s="156" t="inlineStr">
        <is>
          <t>Sí</t>
        </is>
      </c>
      <c r="AJ2114" s="156" t="inlineStr">
        <is>
          <t>STETSON AMERICAS (-3)</t>
        </is>
      </c>
      <c r="AK2114" s="155" t="inlineStr">
        <is>
          <t>Descripción y Criterios: G/H [P] | Criterios: I [Q] | Criterios: J [R]; G1522_Extraccion_Articulos_NetSuite_2026-09-30.xlsx: fila 57484 [S] | Shopify Stetson: producto 14811700363627 / variante 53350602473835</t>
        </is>
      </c>
      <c r="AL2114" s="58" t="n">
        <v>1183.189655</v>
      </c>
      <c r="AM2114" s="58" t="n">
        <v>2629.310345</v>
      </c>
      <c r="AN2114" s="155" t="inlineStr">
        <is>
          <t>Shopify Stetson México</t>
        </is>
      </c>
      <c r="AO2114" s="59" t="n">
        <v>0</v>
      </c>
      <c r="AP2114" s="59" t="n"/>
      <c r="AQ2114" s="59" t="n"/>
      <c r="AR2114" s="155" t="n"/>
    </row>
    <row r="2115">
      <c r="A2115" s="50" t="inlineStr">
        <is>
          <t>724303740813</t>
        </is>
      </c>
      <c r="B2115" s="51" t="inlineStr">
        <is>
          <t>109670</t>
        </is>
      </c>
      <c r="C2115" s="156" t="inlineStr">
        <is>
          <t>Multimarca</t>
        </is>
      </c>
      <c r="D2115" s="156" t="inlineStr">
        <is>
          <t>9401790-204</t>
        </is>
      </c>
      <c r="E2115" s="156" t="inlineStr">
        <is>
          <t>9401790-204-L</t>
        </is>
      </c>
      <c r="F2115" s="156" t="inlineStr">
        <is>
          <t>L</t>
        </is>
      </c>
      <c r="G2115" s="156" t="inlineStr">
        <is>
          <t>L</t>
        </is>
      </c>
      <c r="H2115" s="156" t="inlineStr">
        <is>
          <t>Stetson</t>
        </is>
      </c>
      <c r="I2115" s="156" t="inlineStr">
        <is>
          <t>Cinturón Conchos Estilo Southwestern</t>
        </is>
      </c>
      <c r="J2115" s="156" t="inlineStr">
        <is>
          <t>Accesorios</t>
        </is>
      </c>
      <c r="K2115" s="156" t="inlineStr">
        <is>
          <t>Cinturones</t>
        </is>
      </c>
      <c r="L2115" s="156" t="inlineStr">
        <is>
          <t>Mujer</t>
        </is>
      </c>
      <c r="M2115" s="156" t="inlineStr">
        <is>
          <t>Stetson</t>
        </is>
      </c>
      <c r="N2115" s="156" t="inlineStr">
        <is>
          <t>SS26</t>
        </is>
      </c>
      <c r="O2115" s="156" t="inlineStr">
        <is>
          <t>Seasonal</t>
        </is>
      </c>
      <c r="P2115" s="156" t="inlineStr">
        <is>
          <t>Cafe</t>
        </is>
      </c>
      <c r="Q2115" s="156" t="n"/>
      <c r="R2115" s="156" t="n"/>
      <c r="S2115" s="156" t="inlineStr">
        <is>
          <t>Cuero</t>
        </is>
      </c>
      <c r="T2115" s="156" t="inlineStr">
        <is>
          <t>Fabricado en cuero genuino de primera calidad, este cinturón Stetson estilo Southwestern combina tradición y carácter. Presenta una correa de 3/4” (20 mm) en tono marrón oscuro, adornada con conchos deslizables plateados y conchos bicolor con el lo(más...)</t>
        </is>
      </c>
      <c r="U2115" s="156" t="n"/>
      <c r="V2115" s="156" t="inlineStr">
        <is>
          <t>PZS</t>
        </is>
      </c>
      <c r="W2115" s="51" t="inlineStr">
        <is>
          <t>53102501</t>
        </is>
      </c>
      <c r="X2115" s="156" t="inlineStr">
        <is>
          <t>https://cdn.shopify.com/s/files/1/0888/3250/8267/files/9401790-204-03.jpg?v=1761925299</t>
        </is>
      </c>
      <c r="Y2115" s="54" t="n">
        <v>1183.189655</v>
      </c>
      <c r="Z2115" s="54" t="n">
        <v>2629.310345</v>
      </c>
      <c r="AA2115" s="55">
        <f>IF(AND(A2115="", B2115="", E2115=""), "", IF(AB2115="", "Válido", IF((LEN(AB2115)-LEN(SUBSTITUTE(AB2115,"; ","")))/2+1&gt;(LEN(AB2115)-LEN(SUBSTITUTE(AB2115,"[Aviso]","")))/7, "Con Incidencias", "Válido")))</f>
        <v/>
      </c>
      <c r="AB2115" s="56">
        <f>IF(AND(A2115="", B2115="", E2115=""), "", TEXTJOIN("; ", TRUE, IF(OR(TRIM(A2115&amp;"")="", ISNUMBER(SEARCH("FALTA", A2115))), "UPC faltante/inválido", ""), IF(AND(A2115&lt;&gt;"", IFERROR(_xlfn.XMATCH(A2115,$A$2:$A$2509,0,1)&lt;&gt;_xlfn.XMATCH(A2115,$A$2:$A$2509,0,-1),FALSE)), "Código de barras duplicado", ""), IF(AND(E2115&lt;&gt;"", COUNTIF($E$2:$E$2509, E2115)&gt;1), "SKU duplicado", ""), IF(OR(J2115="", J2115=""), "[Aviso] División no capturada ()", IF(ISNA(MATCH(J2115, Criterios!$A$123:$A$126, 0)), "División no válida", "")), IF(OR(K2115="", K2115=""), "[Aviso] Categoría no capturada ()", IF(ISNA(MATCH(K2115, Criterios!$A$81:$A$120, 0)), "Categoría no válida", IF(AND(J2115&lt;&gt;"", J2115&lt;&gt;"", J2115&lt;&gt;VLOOKUP(K2115, Criterios!$A$81:$B$120, 2, FALSE)), "División no coincide con Categoría", ""))), IF(OR(L2115="", L2115=""), "[Aviso] Género no capturado ()", IF(ISNA(MATCH(L2115, Criterios!$B$123:$B$127, 0)), "Género no válido", "")), IF(OR(N2115="", N2115=""), "[Aviso] Temporada no capturada ()", IF(ISNA(MATCH(N2115, Criterios!$C$123:$C$128, 0)), "Temporada no válida", "")), IF(OR(O2115="", O2115=""), "[Aviso] Ciclo de vida no capturado ()", IF(ISNA(MATCH(O2115, Criterios!$D$123:$D$124, 0)), "Ciclo de vida no válido", ""))))</f>
        <v/>
      </c>
      <c r="AC2115" s="56" t="n"/>
      <c r="AD2115" s="51" t="n">
        <v>2</v>
      </c>
      <c r="AE2115" s="156" t="inlineStr">
        <is>
          <t>B25 STETSON.MX (2); WB OUTLET LERMA (2)</t>
        </is>
      </c>
      <c r="AF2115" s="51" t="n">
        <v>4</v>
      </c>
      <c r="AG2115" s="156" t="inlineStr">
        <is>
          <t>Catálogo existente</t>
        </is>
      </c>
      <c r="AH2115"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5" s="156" t="inlineStr">
        <is>
          <t>Sí</t>
        </is>
      </c>
      <c r="AJ2115" s="156" t="inlineStr">
        <is>
          <t>STETSON AMERICAS (-2)</t>
        </is>
      </c>
      <c r="AK2115" s="155" t="inlineStr">
        <is>
          <t>Descripción y Criterios: G/H [P] | Criterios: I [Q] | Criterios: J [R]; G1522_Extraccion_Articulos_NetSuite_2026-09-30.xlsx: fila 57485 [S] | Shopify Stetson: producto 14811700363627 / variante 53350602506603 | Shopify WB: producto 10310238339257 / variante 50512090988729</t>
        </is>
      </c>
      <c r="AL2115" s="58" t="n">
        <v>1183.189655</v>
      </c>
      <c r="AM2115" s="58" t="n">
        <v>2629.310345</v>
      </c>
      <c r="AN2115" s="155" t="inlineStr">
        <is>
          <t>Shopify Stetson México | Shopify Western Brothers</t>
        </is>
      </c>
      <c r="AO2115" s="59" t="n">
        <v>5</v>
      </c>
      <c r="AP2115" s="59" t="n">
        <v>2</v>
      </c>
      <c r="AQ2115" s="59" t="n"/>
      <c r="AR2115" s="155" t="inlineStr">
        <is>
          <t>Shopify Stetson México › Stetson México: 2 | Shopify Stetson México › Stetson Americas: 2 | Shopify Stetson México › Eventos: 1 | Shopify Western Brothers › Western Brothers Outlet Lerma: 2</t>
        </is>
      </c>
    </row>
    <row r="2116">
      <c r="A2116" s="50" t="inlineStr">
        <is>
          <t>724303740820</t>
        </is>
      </c>
      <c r="B2116" s="51" t="inlineStr">
        <is>
          <t>109671</t>
        </is>
      </c>
      <c r="C2116" s="156" t="inlineStr">
        <is>
          <t>Multimarca</t>
        </is>
      </c>
      <c r="D2116" s="156" t="inlineStr">
        <is>
          <t>9401790-204</t>
        </is>
      </c>
      <c r="E2116" s="156" t="inlineStr">
        <is>
          <t>9401790-204-XL</t>
        </is>
      </c>
      <c r="F2116" s="156" t="inlineStr">
        <is>
          <t>XL</t>
        </is>
      </c>
      <c r="G2116" s="156" t="inlineStr">
        <is>
          <t>XL</t>
        </is>
      </c>
      <c r="H2116" s="156" t="inlineStr">
        <is>
          <t>Stetson</t>
        </is>
      </c>
      <c r="I2116" s="156" t="inlineStr">
        <is>
          <t>Cinturón Conchos Estilo Southwestern</t>
        </is>
      </c>
      <c r="J2116" s="156" t="inlineStr">
        <is>
          <t>Accesorios</t>
        </is>
      </c>
      <c r="K2116" s="156" t="inlineStr">
        <is>
          <t>Cinturones</t>
        </is>
      </c>
      <c r="L2116" s="156" t="inlineStr">
        <is>
          <t>Mujer</t>
        </is>
      </c>
      <c r="M2116" s="156" t="inlineStr">
        <is>
          <t>Stetson</t>
        </is>
      </c>
      <c r="N2116" s="156" t="inlineStr">
        <is>
          <t>SS26</t>
        </is>
      </c>
      <c r="O2116" s="156" t="inlineStr">
        <is>
          <t>Seasonal</t>
        </is>
      </c>
      <c r="P2116" s="156" t="inlineStr">
        <is>
          <t>Cafe</t>
        </is>
      </c>
      <c r="Q2116" s="156" t="n"/>
      <c r="R2116" s="156" t="n"/>
      <c r="S2116" s="156" t="inlineStr">
        <is>
          <t>Cuero</t>
        </is>
      </c>
      <c r="T2116"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6" s="156" t="n"/>
      <c r="V2116" s="156" t="inlineStr">
        <is>
          <t>PZS</t>
        </is>
      </c>
      <c r="W2116" s="51" t="inlineStr">
        <is>
          <t>53102501</t>
        </is>
      </c>
      <c r="X2116" s="156" t="inlineStr">
        <is>
          <t>https://cdn.shopify.com/s/files/1/0888/3250/8267/files/9401790-204-04.jpg?v=1761925299</t>
        </is>
      </c>
      <c r="Y2116" s="54" t="n">
        <v>1183.189655</v>
      </c>
      <c r="Z2116" s="54" t="n">
        <v>2629.310345</v>
      </c>
      <c r="AA2116" s="55">
        <f>IF(AND(A2116="", B2116="", E2116=""), "", IF(AB2116="", "Válido", IF((LEN(AB2116)-LEN(SUBSTITUTE(AB2116,"; ","")))/2+1&gt;(LEN(AB2116)-LEN(SUBSTITUTE(AB2116,"[Aviso]","")))/7, "Con Incidencias", "Válido")))</f>
        <v/>
      </c>
      <c r="AB2116" s="56">
        <f>IF(AND(A2116="", B2116="", E2116=""), "", TEXTJOIN("; ", TRUE, IF(OR(TRIM(A2116&amp;"")="", ISNUMBER(SEARCH("FALTA", A2116))), "UPC faltante/inválido", ""), IF(AND(A2116&lt;&gt;"", IFERROR(_xlfn.XMATCH(A2116,$A$2:$A$2509,0,1)&lt;&gt;_xlfn.XMATCH(A2116,$A$2:$A$2509,0,-1),FALSE)), "Código de barras duplicado", ""), IF(AND(E2116&lt;&gt;"", COUNTIF($E$2:$E$2509, E2116)&gt;1), "SKU duplicado", ""), IF(OR(J2116="", J2116=""), "[Aviso] División no capturada ()", IF(ISNA(MATCH(J2116, Criterios!$A$123:$A$126, 0)), "División no válida", "")), IF(OR(K2116="", K2116=""), "[Aviso] Categoría no capturada ()", IF(ISNA(MATCH(K2116, Criterios!$A$81:$A$120, 0)), "Categoría no válida", IF(AND(J2116&lt;&gt;"", J2116&lt;&gt;"", J2116&lt;&gt;VLOOKUP(K2116, Criterios!$A$81:$B$120, 2, FALSE)), "División no coincide con Categoría", ""))), IF(OR(L2116="", L2116=""), "[Aviso] Género no capturado ()", IF(ISNA(MATCH(L2116, Criterios!$B$123:$B$127, 0)), "Género no válido", "")), IF(OR(N2116="", N2116=""), "[Aviso] Temporada no capturada ()", IF(ISNA(MATCH(N2116, Criterios!$C$123:$C$128, 0)), "Temporada no válida", "")), IF(OR(O2116="", O2116=""), "[Aviso] Ciclo de vida no capturado ()", IF(ISNA(MATCH(O2116, Criterios!$D$123:$D$124, 0)), "Ciclo de vida no válido", ""))))</f>
        <v/>
      </c>
      <c r="AC2116" s="56" t="n"/>
      <c r="AD2116" s="51" t="n">
        <v>-1</v>
      </c>
      <c r="AE2116" s="156" t="n"/>
      <c r="AF2116" s="51" t="n">
        <v>0</v>
      </c>
      <c r="AG2116" s="156" t="inlineStr">
        <is>
          <t>Catálogo existente</t>
        </is>
      </c>
      <c r="AH2116" s="156" t="inlineStr">
        <is>
          <t>Stock negativo en sistema: revisar en conteo | Revisión 29/09/2026: Campos sin respaldo: U; Auditoría NetSuite 30/09/2026: llenado desde NetSuite [S] | 01/10/2026: complementado desde Shopify Stetson México (match por código de barras): WB Fit, WB Silueta</t>
        </is>
      </c>
      <c r="AI2116" s="156" t="inlineStr">
        <is>
          <t>Sí</t>
        </is>
      </c>
      <c r="AJ2116" s="156" t="inlineStr">
        <is>
          <t>STETSON AMERICAS (-1)</t>
        </is>
      </c>
      <c r="AK2116" s="155" t="inlineStr">
        <is>
          <t>Descripción y Criterios: G/H [P] | Criterios: I [Q] | Criterios: J [R]; G1522_Extraccion_Articulos_NetSuite_2026-09-30.xlsx: fila 57486 [S] | Shopify Stetson: producto 14811700363627 / variante 53350602539371</t>
        </is>
      </c>
      <c r="AL2116" s="58" t="n">
        <v>1183.189655</v>
      </c>
      <c r="AM2116" s="58" t="n">
        <v>2629.310345</v>
      </c>
      <c r="AN2116" s="155" t="inlineStr">
        <is>
          <t>Shopify Stetson México</t>
        </is>
      </c>
      <c r="AO2116" s="59" t="n">
        <v>1</v>
      </c>
      <c r="AP2116" s="59" t="n"/>
      <c r="AQ2116" s="59" t="n"/>
      <c r="AR2116" s="155" t="inlineStr">
        <is>
          <t>Shopify Stetson México › Stetson Americas: 1</t>
        </is>
      </c>
    </row>
    <row r="2117">
      <c r="A2117" s="50" t="inlineStr">
        <is>
          <t>724303740905</t>
        </is>
      </c>
      <c r="B2117" s="51" t="inlineStr">
        <is>
          <t>109672</t>
        </is>
      </c>
      <c r="C2117" s="156" t="inlineStr">
        <is>
          <t>Multimarca</t>
        </is>
      </c>
      <c r="D2117" s="156" t="inlineStr">
        <is>
          <t>9402790-200</t>
        </is>
      </c>
      <c r="E2117" s="156" t="inlineStr">
        <is>
          <t>9402790-200-S</t>
        </is>
      </c>
      <c r="F2117" s="156" t="inlineStr">
        <is>
          <t>S</t>
        </is>
      </c>
      <c r="G2117" s="156" t="inlineStr">
        <is>
          <t>S</t>
        </is>
      </c>
      <c r="H2117" s="156" t="inlineStr">
        <is>
          <t>Stetson</t>
        </is>
      </c>
      <c r="I2117" s="156" t="inlineStr">
        <is>
          <t>Cinturón Grabado Conchos Southwestern</t>
        </is>
      </c>
      <c r="J2117" s="156" t="inlineStr">
        <is>
          <t>Accesorios</t>
        </is>
      </c>
      <c r="K2117" s="156" t="inlineStr">
        <is>
          <t>Cinturones</t>
        </is>
      </c>
      <c r="L2117" s="156" t="inlineStr">
        <is>
          <t>Mujer</t>
        </is>
      </c>
      <c r="M2117" s="156" t="inlineStr">
        <is>
          <t>Stetson</t>
        </is>
      </c>
      <c r="N2117" s="156" t="inlineStr">
        <is>
          <t>SS26</t>
        </is>
      </c>
      <c r="O2117" s="156" t="inlineStr">
        <is>
          <t>Seasonal</t>
        </is>
      </c>
      <c r="P2117" s="156" t="inlineStr">
        <is>
          <t>Cafe</t>
        </is>
      </c>
      <c r="Q2117" s="156" t="n"/>
      <c r="R2117" s="156" t="n"/>
      <c r="S2117" s="156" t="inlineStr">
        <is>
          <t>Cuero</t>
        </is>
      </c>
      <c r="T2117" s="156" t="inlineStr">
        <is>
          <t>Fabricado en cuero genuino de primera calidad, este cinturón Stetson destaca por su diseño grabado artesanal y conchos deslizables estilo Southwestern en tono plateado.
 La correa marrón de 3/4” (20 mm) combina elegancia y carácter, mientras que la hebilla ovalada plateada añade un toque clásico.
 Con cinco orificios de ajuste, ofrece un calce cómodo para distintos tipos de cuerpo.
 Cada cinturón de cuero Stetson refleja el legendario compromiso con la calidad, la durabilidad y el auténtico espíritu western, siendo el complemento ideal para tu sombrero y tus botas favoritas.
 • Ancho: 3/4" (20 mm)
 • Diseño grabado artesanal
 • Conchos deslizables estilo Southwestern
 • Hebilla ovalada plateada
 • Cuero genuino
 • Importado
 Tallas disponibles:
 • S: 28–30 (29" al orificio central)
 • M: 32–34 (33" al orificio central)
 • L: 36–38 (37" al orificio central)
 • XL: 40–42 (41" al orificio central)
 • XXL: 44–46 (45" al orificio central)</t>
        </is>
      </c>
      <c r="U2117" s="156" t="n"/>
      <c r="V2117" s="156" t="inlineStr">
        <is>
          <t>PZS</t>
        </is>
      </c>
      <c r="W2117" s="51" t="inlineStr">
        <is>
          <t>53102501</t>
        </is>
      </c>
      <c r="X2117" s="156" t="inlineStr">
        <is>
          <t>https://cdn.shopify.com/s/files/1/0888/3250/8267/files/9402790-200-01.jpg?v=1761927091</t>
        </is>
      </c>
      <c r="Y2117" s="54" t="n">
        <v>1183.189655</v>
      </c>
      <c r="Z2117" s="54" t="n">
        <v>2629.310345</v>
      </c>
      <c r="AA2117" s="55">
        <f>IF(AND(A2117="", B2117="", E2117=""), "", IF(AB2117="", "Válido", IF((LEN(AB2117)-LEN(SUBSTITUTE(AB2117,"; ","")))/2+1&gt;(LEN(AB2117)-LEN(SUBSTITUTE(AB2117,"[Aviso]","")))/7, "Con Incidencias", "Válido")))</f>
        <v/>
      </c>
      <c r="AB2117" s="56">
        <f>IF(AND(A2117="", B2117="", E2117=""), "", TEXTJOIN("; ", TRUE, IF(OR(TRIM(A2117&amp;"")="", ISNUMBER(SEARCH("FALTA", A2117))), "UPC faltante/inválido", ""), IF(AND(A2117&lt;&gt;"", IFERROR(_xlfn.XMATCH(A2117,$A$2:$A$2509,0,1)&lt;&gt;_xlfn.XMATCH(A2117,$A$2:$A$2509,0,-1),FALSE)), "Código de barras duplicado", ""), IF(AND(E2117&lt;&gt;"", COUNTIF($E$2:$E$2509, E2117)&gt;1), "SKU duplicado", ""), IF(OR(J2117="", J2117=""), "[Aviso] División no capturada ()", IF(ISNA(MATCH(J2117, Criterios!$A$123:$A$126, 0)), "División no válida", "")), IF(OR(K2117="", K2117=""), "[Aviso] Categoría no capturada ()", IF(ISNA(MATCH(K2117, Criterios!$A$81:$A$120, 0)), "Categoría no válida", IF(AND(J2117&lt;&gt;"", J2117&lt;&gt;"", J2117&lt;&gt;VLOOKUP(K2117, Criterios!$A$81:$B$120, 2, FALSE)), "División no coincide con Categoría", ""))), IF(OR(L2117="", L2117=""), "[Aviso] Género no capturado ()", IF(ISNA(MATCH(L2117, Criterios!$B$123:$B$127, 0)), "Género no válido", "")), IF(OR(N2117="", N2117=""), "[Aviso] Temporada no capturada ()", IF(ISNA(MATCH(N2117, Criterios!$C$123:$C$128, 0)), "Temporada no válida", "")), IF(OR(O2117="", O2117=""), "[Aviso] Ciclo de vida no capturado ()", IF(ISNA(MATCH(O2117, Criterios!$D$123:$D$124, 0)), "Ciclo de vida no válido", ""))))</f>
        <v/>
      </c>
      <c r="AC2117" s="56" t="n"/>
      <c r="AD2117" s="51" t="n">
        <v>-1</v>
      </c>
      <c r="AE2117" s="156" t="n"/>
      <c r="AF2117" s="51" t="n">
        <v>0</v>
      </c>
      <c r="AG2117" s="156" t="inlineStr">
        <is>
          <t>Catálogo existente</t>
        </is>
      </c>
      <c r="AH2117" s="156" t="inlineStr">
        <is>
          <t>Stock negativo en sistema: revisar en conteo | Revisión 29/09/2026: Campos sin respaldo: U; Auditoría NetSuite 30/09/2026: llenado desde NetSuite [S] | 01/10/2026: complementado desde Shopify Stetson México (match por código de barras): WB Fit, WB Silueta</t>
        </is>
      </c>
      <c r="AI2117" s="156" t="inlineStr">
        <is>
          <t>Sí</t>
        </is>
      </c>
      <c r="AJ2117" s="156" t="inlineStr">
        <is>
          <t>PUNTO DE VENTA (-1)</t>
        </is>
      </c>
      <c r="AK2117" s="155" t="inlineStr">
        <is>
          <t>Descripción y Criterios: G/H [P] | Criterios: I [Q] | Criterios: J [R]; G1522_Extraccion_Articulos_NetSuite_2026-09-30.xlsx: fila 57487 [S] | Shopify Stetson: producto 14811701117291 / variante 53350602309995</t>
        </is>
      </c>
      <c r="AL2117" s="58" t="n">
        <v>1183.189655</v>
      </c>
      <c r="AM2117" s="58" t="n">
        <v>2629.310345</v>
      </c>
      <c r="AN2117" s="155" t="inlineStr">
        <is>
          <t>Shopify Stetson México</t>
        </is>
      </c>
      <c r="AO2117" s="59" t="n">
        <v>1</v>
      </c>
      <c r="AP2117" s="59" t="n"/>
      <c r="AQ2117" s="59" t="n"/>
      <c r="AR2117" s="155" t="inlineStr">
        <is>
          <t>Shopify Stetson México › Stetson Americas: 1</t>
        </is>
      </c>
    </row>
    <row r="2118">
      <c r="A2118" s="50" t="inlineStr">
        <is>
          <t>724303740912</t>
        </is>
      </c>
      <c r="B2118" s="51" t="inlineStr">
        <is>
          <t>109673</t>
        </is>
      </c>
      <c r="C2118" s="156" t="inlineStr">
        <is>
          <t>Multimarca</t>
        </is>
      </c>
      <c r="D2118" s="156" t="inlineStr">
        <is>
          <t>9402790-200</t>
        </is>
      </c>
      <c r="E2118" s="156" t="inlineStr">
        <is>
          <t>9402790-200-M</t>
        </is>
      </c>
      <c r="F2118" s="156" t="inlineStr">
        <is>
          <t>M</t>
        </is>
      </c>
      <c r="G2118" s="156" t="inlineStr">
        <is>
          <t>M</t>
        </is>
      </c>
      <c r="H2118" s="156" t="inlineStr">
        <is>
          <t>Stetson</t>
        </is>
      </c>
      <c r="I2118" s="156" t="inlineStr">
        <is>
          <t>Cinturón Grabado Conchos Southwestern</t>
        </is>
      </c>
      <c r="J2118" s="156" t="inlineStr">
        <is>
          <t>Accesorios</t>
        </is>
      </c>
      <c r="K2118" s="156" t="inlineStr">
        <is>
          <t>Cinturones</t>
        </is>
      </c>
      <c r="L2118" s="156" t="inlineStr">
        <is>
          <t>Mujer</t>
        </is>
      </c>
      <c r="M2118" s="156" t="inlineStr">
        <is>
          <t>Stetson</t>
        </is>
      </c>
      <c r="N2118" s="156" t="inlineStr">
        <is>
          <t>SS26</t>
        </is>
      </c>
      <c r="O2118" s="156" t="inlineStr">
        <is>
          <t>Seasonal</t>
        </is>
      </c>
      <c r="P2118" s="156" t="inlineStr">
        <is>
          <t>Cafe</t>
        </is>
      </c>
      <c r="Q2118" s="156" t="n"/>
      <c r="R2118" s="156" t="n"/>
      <c r="S2118" s="156" t="inlineStr">
        <is>
          <t>Cuero</t>
        </is>
      </c>
      <c r="T2118" s="156" t="inlineStr">
        <is>
          <t>Fabricado en cuero genuino de primera calidad, este cinturón Stetson destaca por su diseño grabado artesanal y conchos deslizables estilo Southwestern en tono plateado. La correa marrón de 3/4” (20 mm) combina elegancia y carácter, mientras que la (más...)</t>
        </is>
      </c>
      <c r="U2118" s="156" t="n"/>
      <c r="V2118" s="156" t="inlineStr">
        <is>
          <t>PZS</t>
        </is>
      </c>
      <c r="W2118" s="51" t="inlineStr">
        <is>
          <t>53102501</t>
        </is>
      </c>
      <c r="X2118" s="156" t="inlineStr">
        <is>
          <t>https://cdn.shopify.com/s/files/1/0888/3250/8267/files/9402790-200-02.jpg?v=1761927090</t>
        </is>
      </c>
      <c r="Y2118" s="54" t="n">
        <v>1183.189655</v>
      </c>
      <c r="Z2118" s="54" t="n">
        <v>2629.310345</v>
      </c>
      <c r="AA2118" s="55">
        <f>IF(AND(A2118="", B2118="", E2118=""), "", IF(AB2118="", "Válido", IF((LEN(AB2118)-LEN(SUBSTITUTE(AB2118,"; ","")))/2+1&gt;(LEN(AB2118)-LEN(SUBSTITUTE(AB2118,"[Aviso]","")))/7, "Con Incidencias", "Válido")))</f>
        <v/>
      </c>
      <c r="AB2118" s="56">
        <f>IF(AND(A2118="", B2118="", E2118=""), "", TEXTJOIN("; ", TRUE, IF(OR(TRIM(A2118&amp;"")="", ISNUMBER(SEARCH("FALTA", A2118))), "UPC faltante/inválido", ""), IF(AND(A2118&lt;&gt;"", IFERROR(_xlfn.XMATCH(A2118,$A$2:$A$2509,0,1)&lt;&gt;_xlfn.XMATCH(A2118,$A$2:$A$2509,0,-1),FALSE)), "Código de barras duplicado", ""), IF(AND(E2118&lt;&gt;"", COUNTIF($E$2:$E$2509, E2118)&gt;1), "SKU duplicado", ""), IF(OR(J2118="", J2118=""), "[Aviso] División no capturada ()", IF(ISNA(MATCH(J2118, Criterios!$A$123:$A$126, 0)), "División no válida", "")), IF(OR(K2118="", K2118=""), "[Aviso] Categoría no capturada ()", IF(ISNA(MATCH(K2118, Criterios!$A$81:$A$120, 0)), "Categoría no válida", IF(AND(J2118&lt;&gt;"", J2118&lt;&gt;"", J2118&lt;&gt;VLOOKUP(K2118, Criterios!$A$81:$B$120, 2, FALSE)), "División no coincide con Categoría", ""))), IF(OR(L2118="", L2118=""), "[Aviso] Género no capturado ()", IF(ISNA(MATCH(L2118, Criterios!$B$123:$B$127, 0)), "Género no válido", "")), IF(OR(N2118="", N2118=""), "[Aviso] Temporada no capturada ()", IF(ISNA(MATCH(N2118, Criterios!$C$123:$C$128, 0)), "Temporada no válida", "")), IF(OR(O2118="", O2118=""), "[Aviso] Ciclo de vida no capturado ()", IF(ISNA(MATCH(O2118, Criterios!$D$123:$D$124, 0)), "Ciclo de vida no válido", ""))))</f>
        <v/>
      </c>
      <c r="AC2118" s="56" t="n"/>
      <c r="AD2118" s="51" t="n">
        <v>0</v>
      </c>
      <c r="AE2118" s="156" t="inlineStr">
        <is>
          <t>WB OUTLET LERMA (2)</t>
        </is>
      </c>
      <c r="AF2118" s="51" t="n">
        <v>2</v>
      </c>
      <c r="AG2118" s="156" t="inlineStr">
        <is>
          <t>Catálogo existente</t>
        </is>
      </c>
      <c r="AH2118"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8" s="156" t="inlineStr">
        <is>
          <t>Sí</t>
        </is>
      </c>
      <c r="AJ2118" s="156" t="inlineStr">
        <is>
          <t>STETSON AMERICAS (-2)</t>
        </is>
      </c>
      <c r="AK2118" s="155" t="inlineStr">
        <is>
          <t>Descripción y Criterios: G/H [P] | Criterios: I [Q] | Criterios: J [R]; G1522_Extraccion_Articulos_NetSuite_2026-09-30.xlsx: fila 57488 [S] | Shopify Stetson: producto 14811701117291 / variante 53350602342763 | Shopify WB: producto 10310238404793 / variante 50512091087033</t>
        </is>
      </c>
      <c r="AL2118" s="58" t="n">
        <v>1183.189655</v>
      </c>
      <c r="AM2118" s="58" t="n">
        <v>2629.310345</v>
      </c>
      <c r="AN2118" s="155" t="inlineStr">
        <is>
          <t>Shopify Stetson México | Shopify Western Brothers</t>
        </is>
      </c>
      <c r="AO2118" s="59" t="n">
        <v>0</v>
      </c>
      <c r="AP2118" s="59" t="n">
        <v>2</v>
      </c>
      <c r="AQ2118" s="59" t="n"/>
      <c r="AR2118" s="155" t="inlineStr">
        <is>
          <t>Shopify Stetson México › Eventos: 1 | Shopify Western Brothers › Western Brothers Outlet Lerma: 2</t>
        </is>
      </c>
    </row>
    <row r="2119">
      <c r="A2119" s="50" t="inlineStr">
        <is>
          <t>724303740929</t>
        </is>
      </c>
      <c r="B2119" s="51" t="inlineStr">
        <is>
          <t>109674</t>
        </is>
      </c>
      <c r="C2119" s="156" t="inlineStr">
        <is>
          <t>Multimarca</t>
        </is>
      </c>
      <c r="D2119" s="156" t="inlineStr">
        <is>
          <t>9402790-200</t>
        </is>
      </c>
      <c r="E2119" s="156" t="inlineStr">
        <is>
          <t>9402790-200-L</t>
        </is>
      </c>
      <c r="F2119" s="156" t="inlineStr">
        <is>
          <t>L</t>
        </is>
      </c>
      <c r="G2119" s="156" t="inlineStr">
        <is>
          <t>L</t>
        </is>
      </c>
      <c r="H2119" s="156" t="inlineStr">
        <is>
          <t>Stetson</t>
        </is>
      </c>
      <c r="I2119" s="156" t="inlineStr">
        <is>
          <t>Cinturón Grabado Conchos Southwestern</t>
        </is>
      </c>
      <c r="J2119" s="156" t="inlineStr">
        <is>
          <t>Accesorios</t>
        </is>
      </c>
      <c r="K2119" s="156" t="inlineStr">
        <is>
          <t>Cinturones</t>
        </is>
      </c>
      <c r="L2119" s="156" t="inlineStr">
        <is>
          <t>Mujer</t>
        </is>
      </c>
      <c r="M2119" s="156" t="inlineStr">
        <is>
          <t>Stetson</t>
        </is>
      </c>
      <c r="N2119" s="156" t="inlineStr">
        <is>
          <t>SS26</t>
        </is>
      </c>
      <c r="O2119" s="156" t="inlineStr">
        <is>
          <t>Seasonal</t>
        </is>
      </c>
      <c r="P2119" s="156" t="inlineStr">
        <is>
          <t>Cafe</t>
        </is>
      </c>
      <c r="Q2119" s="156" t="n"/>
      <c r="R2119" s="156" t="n"/>
      <c r="S2119" s="156" t="inlineStr">
        <is>
          <t>Cuero</t>
        </is>
      </c>
      <c r="T2119" s="156" t="inlineStr">
        <is>
          <t>Fabricado en cuero genuino de primera calidad, este cinturón Stetson destaca por su diseño grabado artesanal y conchos deslizables estilo Southwestern en tono plateado.
 La correa marrón de 3/4” (20 mm) combina elegancia y carácter, mientras que la hebilla ovalada plateada añade un toque clásico.
 Con cinco orificios de ajuste, ofrece un calce cómodo para distintos tipos de cuerpo.
 Cada cinturón de cuero Stetson refleja el legendario compromiso con la calidad, la durabilidad y el auténtico espíritu western, siendo el complemento ideal para tu sombrero y tus botas favoritas.
 • Ancho: 3/4" (20 mm)
 • Diseño grabado artesanal
 • Conchos deslizables estilo Southwestern
 • Hebilla ovalada plateada
 • Cuero genuino
 • Importado
 Tallas disponibles:
 • S: 28–30 (29" al orificio central)
 • M: 32–34 (33" al orificio central)
 • L: 36–38 (37" al orificio central)
 • XL: 40–42 (41" al orificio central)
 • XXL: 44–46 (45" al orificio central)</t>
        </is>
      </c>
      <c r="U2119" s="156" t="n"/>
      <c r="V2119" s="156" t="inlineStr">
        <is>
          <t>PZS</t>
        </is>
      </c>
      <c r="W2119" s="51" t="inlineStr">
        <is>
          <t>53102501</t>
        </is>
      </c>
      <c r="X2119" s="156" t="inlineStr">
        <is>
          <t>https://cdn.shopify.com/s/files/1/0888/3250/8267/files/9402790-200-03.jpg?v=1761927090</t>
        </is>
      </c>
      <c r="Y2119" s="54" t="n">
        <v>1183.189655</v>
      </c>
      <c r="Z2119" s="54" t="n">
        <v>2629.310345</v>
      </c>
      <c r="AA2119" s="55">
        <f>IF(AND(A2119="", B2119="", E2119=""), "", IF(AB2119="", "Válido", IF((LEN(AB2119)-LEN(SUBSTITUTE(AB2119,"; ","")))/2+1&gt;(LEN(AB2119)-LEN(SUBSTITUTE(AB2119,"[Aviso]","")))/7, "Con Incidencias", "Válido")))</f>
        <v/>
      </c>
      <c r="AB2119" s="56">
        <f>IF(AND(A2119="", B2119="", E2119=""), "", TEXTJOIN("; ", TRUE, IF(OR(TRIM(A2119&amp;"")="", ISNUMBER(SEARCH("FALTA", A2119))), "UPC faltante/inválido", ""), IF(AND(A2119&lt;&gt;"", IFERROR(_xlfn.XMATCH(A2119,$A$2:$A$2509,0,1)&lt;&gt;_xlfn.XMATCH(A2119,$A$2:$A$2509,0,-1),FALSE)), "Código de barras duplicado", ""), IF(AND(E2119&lt;&gt;"", COUNTIF($E$2:$E$2509, E2119)&gt;1), "SKU duplicado", ""), IF(OR(J2119="", J2119=""), "[Aviso] División no capturada ()", IF(ISNA(MATCH(J2119, Criterios!$A$123:$A$126, 0)), "División no válida", "")), IF(OR(K2119="", K2119=""), "[Aviso] Categoría no capturada ()", IF(ISNA(MATCH(K2119, Criterios!$A$81:$A$120, 0)), "Categoría no válida", IF(AND(J2119&lt;&gt;"", J2119&lt;&gt;"", J2119&lt;&gt;VLOOKUP(K2119, Criterios!$A$81:$B$120, 2, FALSE)), "División no coincide con Categoría", ""))), IF(OR(L2119="", L2119=""), "[Aviso] Género no capturado ()", IF(ISNA(MATCH(L2119, Criterios!$B$123:$B$127, 0)), "Género no válido", "")), IF(OR(N2119="", N2119=""), "[Aviso] Temporada no capturada ()", IF(ISNA(MATCH(N2119, Criterios!$C$123:$C$128, 0)), "Temporada no válida", "")), IF(OR(O2119="", O2119=""), "[Aviso] Ciclo de vida no capturado ()", IF(ISNA(MATCH(O2119, Criterios!$D$123:$D$124, 0)), "Ciclo de vida no válido", ""))))</f>
        <v/>
      </c>
      <c r="AC2119" s="56" t="n"/>
      <c r="AD2119" s="51" t="n">
        <v>0</v>
      </c>
      <c r="AE2119" s="156" t="inlineStr">
        <is>
          <t>WB OUTLET LERMA (1)</t>
        </is>
      </c>
      <c r="AF2119" s="51" t="n">
        <v>1</v>
      </c>
      <c r="AG2119" s="156" t="inlineStr">
        <is>
          <t>Catálogo existente</t>
        </is>
      </c>
      <c r="AH2119"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9" s="156" t="inlineStr">
        <is>
          <t>Sí</t>
        </is>
      </c>
      <c r="AJ2119" s="156" t="inlineStr">
        <is>
          <t>STETSON AMERICAS (-1)</t>
        </is>
      </c>
      <c r="AK2119" s="155" t="inlineStr">
        <is>
          <t>Descripción y Criterios: G/H [P] | Criterios: I [Q] | Criterios: J [R]; G1522_Extraccion_Articulos_NetSuite_2026-09-30.xlsx: fila 57489 [S] | Shopify Stetson: producto 14811701117291 / variante 53350602375531 | Shopify WB: producto 10310238404793 / variante 50512091119801</t>
        </is>
      </c>
      <c r="AL2119" s="58" t="n">
        <v>1183.189655</v>
      </c>
      <c r="AM2119" s="58" t="n">
        <v>2629.310345</v>
      </c>
      <c r="AN2119" s="155" t="inlineStr">
        <is>
          <t>Shopify Stetson México | Shopify Western Brothers</t>
        </is>
      </c>
      <c r="AO2119" s="59" t="n">
        <v>4</v>
      </c>
      <c r="AP2119" s="59" t="n">
        <v>1</v>
      </c>
      <c r="AQ2119" s="59" t="n"/>
      <c r="AR2119" s="155" t="inlineStr">
        <is>
          <t>Shopify Stetson México › Stetson Americas: 3 | Shopify Stetson México › Eventos: 1 | Shopify Western Brothers › Western Brothers Outlet Lerma: 1</t>
        </is>
      </c>
    </row>
    <row r="2120">
      <c r="A2120" s="50" t="inlineStr">
        <is>
          <t>724303740936</t>
        </is>
      </c>
      <c r="B2120" s="51" t="inlineStr">
        <is>
          <t>109675</t>
        </is>
      </c>
      <c r="C2120" s="156" t="inlineStr">
        <is>
          <t>Multimarca</t>
        </is>
      </c>
      <c r="D2120" s="156" t="inlineStr">
        <is>
          <t>9402790-200</t>
        </is>
      </c>
      <c r="E2120" s="156" t="inlineStr">
        <is>
          <t>9402790-200-XL</t>
        </is>
      </c>
      <c r="F2120" s="156" t="inlineStr">
        <is>
          <t>XL</t>
        </is>
      </c>
      <c r="G2120" s="156" t="inlineStr">
        <is>
          <t>XL</t>
        </is>
      </c>
      <c r="H2120" s="156" t="inlineStr">
        <is>
          <t>Stetson</t>
        </is>
      </c>
      <c r="I2120" s="156" t="inlineStr">
        <is>
          <t>Cinturón Grabado Conchos Southwestern</t>
        </is>
      </c>
      <c r="J2120" s="156" t="inlineStr">
        <is>
          <t>Accesorios</t>
        </is>
      </c>
      <c r="K2120" s="156" t="inlineStr">
        <is>
          <t>Cinturones</t>
        </is>
      </c>
      <c r="L2120" s="156" t="inlineStr">
        <is>
          <t>Mujer</t>
        </is>
      </c>
      <c r="M2120" s="156" t="inlineStr">
        <is>
          <t>Stetson</t>
        </is>
      </c>
      <c r="N2120" s="156" t="inlineStr">
        <is>
          <t>SS26</t>
        </is>
      </c>
      <c r="O2120" s="156" t="inlineStr">
        <is>
          <t>Seasonal</t>
        </is>
      </c>
      <c r="P2120" s="156" t="inlineStr">
        <is>
          <t>Cafe</t>
        </is>
      </c>
      <c r="Q2120" s="156" t="n"/>
      <c r="R2120" s="156" t="n"/>
      <c r="S2120" s="156" t="inlineStr">
        <is>
          <t>Cuero</t>
        </is>
      </c>
      <c r="T2120" s="156" t="inlineStr">
        <is>
          <t>Fabricado en cuero genuino de primera calidad, este cinturón Stetson destaca por su diseño grabado artesanal y conchos deslizables estilo Southwestern en tono plateado. La correa marrón de 3/4” (20 mm) combina elegancia y carácter, mientras que la (más...)</t>
        </is>
      </c>
      <c r="U2120" s="156" t="n"/>
      <c r="V2120" s="156" t="inlineStr">
        <is>
          <t>PZS</t>
        </is>
      </c>
      <c r="W2120" s="51" t="inlineStr">
        <is>
          <t>53102501</t>
        </is>
      </c>
      <c r="X2120" s="156" t="inlineStr">
        <is>
          <t>https://cdn.shopify.com/s/files/1/0888/3250/8267/files/9402790-200-04.jpg?v=1761927090</t>
        </is>
      </c>
      <c r="Y2120" s="54" t="n">
        <v>1183.189655</v>
      </c>
      <c r="Z2120" s="54" t="n">
        <v>2629.310345</v>
      </c>
      <c r="AA2120" s="55">
        <f>IF(AND(A2120="", B2120="", E2120=""), "", IF(AB2120="", "Válido", IF((LEN(AB2120)-LEN(SUBSTITUTE(AB2120,"; ","")))/2+1&gt;(LEN(AB2120)-LEN(SUBSTITUTE(AB2120,"[Aviso]","")))/7, "Con Incidencias", "Válido")))</f>
        <v/>
      </c>
      <c r="AB2120" s="56">
        <f>IF(AND(A2120="", B2120="", E2120=""), "", TEXTJOIN("; ", TRUE, IF(OR(TRIM(A2120&amp;"")="", ISNUMBER(SEARCH("FALTA", A2120))), "UPC faltante/inválido", ""), IF(AND(A2120&lt;&gt;"", IFERROR(_xlfn.XMATCH(A2120,$A$2:$A$2509,0,1)&lt;&gt;_xlfn.XMATCH(A2120,$A$2:$A$2509,0,-1),FALSE)), "Código de barras duplicado", ""), IF(AND(E2120&lt;&gt;"", COUNTIF($E$2:$E$2509, E2120)&gt;1), "SKU duplicado", ""), IF(OR(J2120="", J2120=""), "[Aviso] División no capturada ()", IF(ISNA(MATCH(J2120, Criterios!$A$123:$A$126, 0)), "División no válida", "")), IF(OR(K2120="", K2120=""), "[Aviso] Categoría no capturada ()", IF(ISNA(MATCH(K2120, Criterios!$A$81:$A$120, 0)), "Categoría no válida", IF(AND(J2120&lt;&gt;"", J2120&lt;&gt;"", J2120&lt;&gt;VLOOKUP(K2120, Criterios!$A$81:$B$120, 2, FALSE)), "División no coincide con Categoría", ""))), IF(OR(L2120="", L2120=""), "[Aviso] Género no capturado ()", IF(ISNA(MATCH(L2120, Criterios!$B$123:$B$127, 0)), "Género no válido", "")), IF(OR(N2120="", N2120=""), "[Aviso] Temporada no capturada ()", IF(ISNA(MATCH(N2120, Criterios!$C$123:$C$128, 0)), "Temporada no válida", "")), IF(OR(O2120="", O2120=""), "[Aviso] Ciclo de vida no capturado ()", IF(ISNA(MATCH(O2120, Criterios!$D$123:$D$124, 0)), "Ciclo de vida no válido", ""))))</f>
        <v/>
      </c>
      <c r="AC2120" s="56" t="n"/>
      <c r="AD2120" s="51" t="n">
        <v>2</v>
      </c>
      <c r="AE2120" s="156" t="inlineStr">
        <is>
          <t>WB OUTLET LERMA (2)</t>
        </is>
      </c>
      <c r="AF2120" s="51" t="n">
        <v>2</v>
      </c>
      <c r="AG2120" s="156" t="inlineStr">
        <is>
          <t>Catálogo existente</t>
        </is>
      </c>
      <c r="AH2120"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20" s="156" t="inlineStr">
        <is>
          <t>No</t>
        </is>
      </c>
      <c r="AJ2120" s="156" t="n"/>
      <c r="AK2120" s="155" t="inlineStr">
        <is>
          <t>Descripción y Criterios: G/H [P] | Criterios: I [Q] | Criterios: J [R]; G1522_Extraccion_Articulos_NetSuite_2026-09-30.xlsx: fila 57490 [S] | Shopify Stetson: producto 14811701117291 / variante 53350602408299 | Shopify WB: producto 10310238404793 / variante 50512091152569</t>
        </is>
      </c>
      <c r="AL2120" s="58" t="n">
        <v>1183.189655</v>
      </c>
      <c r="AM2120" s="58" t="n">
        <v>2629.310345</v>
      </c>
      <c r="AN2120" s="155" t="inlineStr">
        <is>
          <t>Shopify Stetson México | Shopify Western Brothers</t>
        </is>
      </c>
      <c r="AO2120" s="59" t="n">
        <v>2</v>
      </c>
      <c r="AP2120" s="59" t="n">
        <v>2</v>
      </c>
      <c r="AQ2120" s="59" t="n"/>
      <c r="AR2120" s="155" t="inlineStr">
        <is>
          <t>Shopify Stetson México › Stetson Americas: 1 | Shopify Stetson México › Eventos: 1 | Shopify Western Brothers › Western Brothers Outlet Lerma: 2</t>
        </is>
      </c>
    </row>
    <row r="2121">
      <c r="A2121" s="50" t="inlineStr">
        <is>
          <t>724303740950</t>
        </is>
      </c>
      <c r="B2121" s="51" t="inlineStr">
        <is>
          <t>109676</t>
        </is>
      </c>
      <c r="C2121" s="156" t="inlineStr">
        <is>
          <t>Multimarca</t>
        </is>
      </c>
      <c r="D2121" s="156" t="inlineStr">
        <is>
          <t>9403790-200</t>
        </is>
      </c>
      <c r="E2121" s="156" t="inlineStr">
        <is>
          <t>9403790-200-S</t>
        </is>
      </c>
      <c r="F2121" s="156" t="inlineStr">
        <is>
          <t>S</t>
        </is>
      </c>
      <c r="G2121" s="156" t="inlineStr">
        <is>
          <t>S</t>
        </is>
      </c>
      <c r="H2121" s="156" t="inlineStr">
        <is>
          <t>Stetson</t>
        </is>
      </c>
      <c r="I2121" s="156" t="inlineStr">
        <is>
          <t>Cinturón Ancho Conchos Southwestern</t>
        </is>
      </c>
      <c r="J2121" s="156" t="inlineStr">
        <is>
          <t>Accesorios</t>
        </is>
      </c>
      <c r="K2121" s="156" t="inlineStr">
        <is>
          <t>Cinturones</t>
        </is>
      </c>
      <c r="L2121" s="156" t="inlineStr">
        <is>
          <t>Mujer</t>
        </is>
      </c>
      <c r="M2121" s="156" t="inlineStr">
        <is>
          <t>Stetson</t>
        </is>
      </c>
      <c r="N2121" s="156" t="inlineStr">
        <is>
          <t>SS26</t>
        </is>
      </c>
      <c r="O2121" s="156" t="inlineStr">
        <is>
          <t>Seasonal</t>
        </is>
      </c>
      <c r="P2121" s="156" t="inlineStr">
        <is>
          <t>Cafe</t>
        </is>
      </c>
      <c r="Q2121" s="156" t="n"/>
      <c r="R2121" s="156" t="n"/>
      <c r="S2121" s="156" t="inlineStr">
        <is>
          <t>Cuero</t>
        </is>
      </c>
      <c r="T2121"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1" s="156" t="n"/>
      <c r="V2121" s="156" t="inlineStr">
        <is>
          <t>PZS</t>
        </is>
      </c>
      <c r="W2121" s="51" t="inlineStr">
        <is>
          <t>53102501</t>
        </is>
      </c>
      <c r="X2121" s="156" t="inlineStr">
        <is>
          <t>https://cdn.shopify.com/s/files/1/0888/3250/8267/files/9403790-200-01.jpg?v=1761927705</t>
        </is>
      </c>
      <c r="Y2121" s="54" t="n">
        <v>1183.189655</v>
      </c>
      <c r="Z2121" s="54" t="n">
        <v>2629.310345</v>
      </c>
      <c r="AA2121" s="55">
        <f>IF(AND(A2121="", B2121="", E2121=""), "", IF(AB2121="", "Válido", IF((LEN(AB2121)-LEN(SUBSTITUTE(AB2121,"; ","")))/2+1&gt;(LEN(AB2121)-LEN(SUBSTITUTE(AB2121,"[Aviso]","")))/7, "Con Incidencias", "Válido")))</f>
        <v/>
      </c>
      <c r="AB2121" s="56">
        <f>IF(AND(A2121="", B2121="", E2121=""), "", TEXTJOIN("; ", TRUE, IF(OR(TRIM(A2121&amp;"")="", ISNUMBER(SEARCH("FALTA", A2121))), "UPC faltante/inválido", ""), IF(AND(A2121&lt;&gt;"", IFERROR(_xlfn.XMATCH(A2121,$A$2:$A$2509,0,1)&lt;&gt;_xlfn.XMATCH(A2121,$A$2:$A$2509,0,-1),FALSE)), "Código de barras duplicado", ""), IF(AND(E2121&lt;&gt;"", COUNTIF($E$2:$E$2509, E2121)&gt;1), "SKU duplicado", ""), IF(OR(J2121="", J2121=""), "[Aviso] División no capturada ()", IF(ISNA(MATCH(J2121, Criterios!$A$123:$A$126, 0)), "División no válida", "")), IF(OR(K2121="", K2121=""), "[Aviso] Categoría no capturada ()", IF(ISNA(MATCH(K2121, Criterios!$A$81:$A$120, 0)), "Categoría no válida", IF(AND(J2121&lt;&gt;"", J2121&lt;&gt;"", J2121&lt;&gt;VLOOKUP(K2121, Criterios!$A$81:$B$120, 2, FALSE)), "División no coincide con Categoría", ""))), IF(OR(L2121="", L2121=""), "[Aviso] Género no capturado ()", IF(ISNA(MATCH(L2121, Criterios!$B$123:$B$127, 0)), "Género no válido", "")), IF(OR(N2121="", N2121=""), "[Aviso] Temporada no capturada ()", IF(ISNA(MATCH(N2121, Criterios!$C$123:$C$128, 0)), "Temporada no válida", "")), IF(OR(O2121="", O2121=""), "[Aviso] Ciclo de vida no capturado ()", IF(ISNA(MATCH(O2121, Criterios!$D$123:$D$124, 0)), "Ciclo de vida no válido", ""))))</f>
        <v/>
      </c>
      <c r="AC2121" s="56" t="n"/>
      <c r="AD2121" s="51" t="n">
        <v>-2</v>
      </c>
      <c r="AE2121" s="156" t="inlineStr">
        <is>
          <t>WB OUTLET LERMA (1)</t>
        </is>
      </c>
      <c r="AF2121" s="51" t="n">
        <v>1</v>
      </c>
      <c r="AG2121" s="156" t="inlineStr">
        <is>
          <t>Catálogo existente</t>
        </is>
      </c>
      <c r="AH2121" s="156" t="inlineStr">
        <is>
          <t>Stock negativo en sistema: revisar en conteo | 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21" s="156" t="inlineStr">
        <is>
          <t>Sí</t>
        </is>
      </c>
      <c r="AJ2121" s="156" t="inlineStr">
        <is>
          <t>STETSON AMERICAS (-3)</t>
        </is>
      </c>
      <c r="AK2121" s="155" t="inlineStr">
        <is>
          <t>Descripción y Criterios: G/H [P] | Criterios: I [Q] | Criterios: J [R]; G1522_Extraccion_Articulos_NetSuite_2026-09-30.xlsx: fila 57491 [S] | Shopify Stetson: producto 14811702722923 / variante 53350602178923 | Shopify WB: producto 10310238470329 / variante 50512091218105</t>
        </is>
      </c>
      <c r="AL2121" s="58" t="n">
        <v>1183.189655</v>
      </c>
      <c r="AM2121" s="58" t="n">
        <v>2629.310345</v>
      </c>
      <c r="AN2121" s="155" t="inlineStr">
        <is>
          <t>Shopify Stetson México | Shopify Western Brothers</t>
        </is>
      </c>
      <c r="AO2121" s="59" t="n">
        <v>0</v>
      </c>
      <c r="AP2121" s="59" t="n">
        <v>1</v>
      </c>
      <c r="AQ2121" s="59" t="n"/>
      <c r="AR2121" s="155" t="inlineStr">
        <is>
          <t>Shopify Western Brothers › Western Brothers Outlet Lerma: 1</t>
        </is>
      </c>
    </row>
    <row r="2122">
      <c r="A2122" s="50" t="inlineStr">
        <is>
          <t>724303740967</t>
        </is>
      </c>
      <c r="B2122" s="51" t="inlineStr">
        <is>
          <t>109677</t>
        </is>
      </c>
      <c r="C2122" s="156" t="inlineStr">
        <is>
          <t>Multimarca</t>
        </is>
      </c>
      <c r="D2122" s="156" t="inlineStr">
        <is>
          <t>9403790-200</t>
        </is>
      </c>
      <c r="E2122" s="156" t="inlineStr">
        <is>
          <t>9403790-200-M</t>
        </is>
      </c>
      <c r="F2122" s="156" t="inlineStr">
        <is>
          <t>M</t>
        </is>
      </c>
      <c r="G2122" s="156" t="inlineStr">
        <is>
          <t>M</t>
        </is>
      </c>
      <c r="H2122" s="156" t="inlineStr">
        <is>
          <t>Stetson</t>
        </is>
      </c>
      <c r="I2122" s="156" t="inlineStr">
        <is>
          <t>Cinturón Ancho Conchos Southwestern</t>
        </is>
      </c>
      <c r="J2122" s="156" t="inlineStr">
        <is>
          <t>Accesorios</t>
        </is>
      </c>
      <c r="K2122" s="156" t="inlineStr">
        <is>
          <t>Cinturones</t>
        </is>
      </c>
      <c r="L2122" s="156" t="inlineStr">
        <is>
          <t>Mujer</t>
        </is>
      </c>
      <c r="M2122" s="156" t="inlineStr">
        <is>
          <t>Stetson</t>
        </is>
      </c>
      <c r="N2122" s="156" t="inlineStr">
        <is>
          <t>SS26</t>
        </is>
      </c>
      <c r="O2122" s="156" t="inlineStr">
        <is>
          <t>Seasonal</t>
        </is>
      </c>
      <c r="P2122" s="156" t="inlineStr">
        <is>
          <t>Cafe</t>
        </is>
      </c>
      <c r="Q2122" s="156" t="n"/>
      <c r="R2122" s="156" t="n"/>
      <c r="S2122" s="156" t="inlineStr">
        <is>
          <t>Cuero</t>
        </is>
      </c>
      <c r="T2122"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2" s="156" t="n"/>
      <c r="V2122" s="156" t="inlineStr">
        <is>
          <t>PZS</t>
        </is>
      </c>
      <c r="W2122" s="51" t="inlineStr">
        <is>
          <t>53102501</t>
        </is>
      </c>
      <c r="X2122" s="156" t="inlineStr">
        <is>
          <t>https://cdn.shopify.com/s/files/1/0888/3250/8267/files/9403790-200-02.jpg?v=1761927705</t>
        </is>
      </c>
      <c r="Y2122" s="54" t="n">
        <v>1183.189655</v>
      </c>
      <c r="Z2122" s="54" t="n">
        <v>2629.310345</v>
      </c>
      <c r="AA2122" s="55">
        <f>IF(AND(A2122="", B2122="", E2122=""), "", IF(AB2122="", "Válido", IF((LEN(AB2122)-LEN(SUBSTITUTE(AB2122,"; ","")))/2+1&gt;(LEN(AB2122)-LEN(SUBSTITUTE(AB2122,"[Aviso]","")))/7, "Con Incidencias", "Válido")))</f>
        <v/>
      </c>
      <c r="AB2122" s="56">
        <f>IF(AND(A2122="", B2122="", E2122=""), "", TEXTJOIN("; ", TRUE, IF(OR(TRIM(A2122&amp;"")="", ISNUMBER(SEARCH("FALTA", A2122))), "UPC faltante/inválido", ""), IF(AND(A2122&lt;&gt;"", IFERROR(_xlfn.XMATCH(A2122,$A$2:$A$2509,0,1)&lt;&gt;_xlfn.XMATCH(A2122,$A$2:$A$2509,0,-1),FALSE)), "Código de barras duplicado", ""), IF(AND(E2122&lt;&gt;"", COUNTIF($E$2:$E$2509, E2122)&gt;1), "SKU duplicado", ""), IF(OR(J2122="", J2122=""), "[Aviso] División no capturada ()", IF(ISNA(MATCH(J2122, Criterios!$A$123:$A$126, 0)), "División no válida", "")), IF(OR(K2122="", K2122=""), "[Aviso] Categoría no capturada ()", IF(ISNA(MATCH(K2122, Criterios!$A$81:$A$120, 0)), "Categoría no válida", IF(AND(J2122&lt;&gt;"", J2122&lt;&gt;"", J2122&lt;&gt;VLOOKUP(K2122, Criterios!$A$81:$B$120, 2, FALSE)), "División no coincide con Categoría", ""))), IF(OR(L2122="", L2122=""), "[Aviso] Género no capturado ()", IF(ISNA(MATCH(L2122, Criterios!$B$123:$B$127, 0)), "Género no válido", "")), IF(OR(N2122="", N2122=""), "[Aviso] Temporada no capturada ()", IF(ISNA(MATCH(N2122, Criterios!$C$123:$C$128, 0)), "Temporada no válida", "")), IF(OR(O2122="", O2122=""), "[Aviso] Ciclo de vida no capturado ()", IF(ISNA(MATCH(O2122, Criterios!$D$123:$D$124, 0)), "Ciclo de vida no válido", ""))))</f>
        <v/>
      </c>
      <c r="AC2122" s="56" t="n"/>
      <c r="AD2122" s="51" t="n">
        <v>-2</v>
      </c>
      <c r="AE2122" s="156" t="n"/>
      <c r="AF2122" s="51" t="n">
        <v>0</v>
      </c>
      <c r="AG2122" s="156" t="inlineStr">
        <is>
          <t>Catálogo existente</t>
        </is>
      </c>
      <c r="AH2122" s="156" t="inlineStr">
        <is>
          <t>Stock negativo en sistema: revisar en conteo | Revisión 29/09/2026: Campos sin respaldo: U; Auditoría NetSuite 30/09/2026: llenado desde NetSuite [S] | 01/10/2026: complementado desde Shopify Stetson México (match por código de barras): WB Fit, WB Silueta</t>
        </is>
      </c>
      <c r="AI2122" s="156" t="inlineStr">
        <is>
          <t>Sí</t>
        </is>
      </c>
      <c r="AJ2122" s="156" t="inlineStr">
        <is>
          <t>STETSON AMERICAS (-2)</t>
        </is>
      </c>
      <c r="AK2122" s="155" t="inlineStr">
        <is>
          <t>Descripción y Criterios: G/H [P] | Criterios: I [Q] | Criterios: J [R]; G1522_Extraccion_Articulos_NetSuite_2026-09-30.xlsx: fila 57492 [S] | Shopify Stetson: producto 14811702722923 / variante 53350602211691</t>
        </is>
      </c>
      <c r="AL2122" s="58" t="n">
        <v>1183.189655</v>
      </c>
      <c r="AM2122" s="58" t="n">
        <v>2629.310345</v>
      </c>
      <c r="AN2122" s="155" t="inlineStr">
        <is>
          <t>Shopify Stetson México</t>
        </is>
      </c>
      <c r="AO2122" s="59" t="n">
        <v>0</v>
      </c>
      <c r="AP2122" s="59" t="n"/>
      <c r="AQ2122" s="59" t="n"/>
      <c r="AR2122" s="155" t="n"/>
    </row>
    <row r="2123">
      <c r="A2123" s="50" t="inlineStr">
        <is>
          <t>724303740974</t>
        </is>
      </c>
      <c r="B2123" s="51" t="inlineStr">
        <is>
          <t>109678</t>
        </is>
      </c>
      <c r="C2123" s="156" t="inlineStr">
        <is>
          <t>Multimarca</t>
        </is>
      </c>
      <c r="D2123" s="156" t="inlineStr">
        <is>
          <t>9403790-200</t>
        </is>
      </c>
      <c r="E2123" s="156" t="inlineStr">
        <is>
          <t>9403790-200-L</t>
        </is>
      </c>
      <c r="F2123" s="156" t="inlineStr">
        <is>
          <t>L</t>
        </is>
      </c>
      <c r="G2123" s="156" t="inlineStr">
        <is>
          <t>L</t>
        </is>
      </c>
      <c r="H2123" s="156" t="inlineStr">
        <is>
          <t>Stetson</t>
        </is>
      </c>
      <c r="I2123" s="156" t="inlineStr">
        <is>
          <t>Cinturón Ancho Conchos Southwestern</t>
        </is>
      </c>
      <c r="J2123" s="156" t="inlineStr">
        <is>
          <t>Accesorios</t>
        </is>
      </c>
      <c r="K2123" s="156" t="inlineStr">
        <is>
          <t>Cinturones</t>
        </is>
      </c>
      <c r="L2123" s="156" t="inlineStr">
        <is>
          <t>Mujer</t>
        </is>
      </c>
      <c r="M2123" s="156" t="inlineStr">
        <is>
          <t>Stetson</t>
        </is>
      </c>
      <c r="N2123" s="156" t="inlineStr">
        <is>
          <t>SS26</t>
        </is>
      </c>
      <c r="O2123" s="156" t="inlineStr">
        <is>
          <t>Seasonal</t>
        </is>
      </c>
      <c r="P2123" s="156" t="inlineStr">
        <is>
          <t>Cafe</t>
        </is>
      </c>
      <c r="Q2123" s="156" t="n"/>
      <c r="R2123" s="156" t="n"/>
      <c r="S2123" s="156" t="inlineStr">
        <is>
          <t>Cuero</t>
        </is>
      </c>
      <c r="T2123"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3" s="156" t="n"/>
      <c r="V2123" s="156" t="inlineStr">
        <is>
          <t>PZS</t>
        </is>
      </c>
      <c r="W2123" s="51" t="inlineStr">
        <is>
          <t>53102501</t>
        </is>
      </c>
      <c r="X2123" s="156" t="inlineStr">
        <is>
          <t>https://cdn.shopify.com/s/files/1/0888/3250/8267/files/9403790-200-03.jpg?v=1761927705</t>
        </is>
      </c>
      <c r="Y2123" s="54" t="n">
        <v>1183.189655</v>
      </c>
      <c r="Z2123" s="54" t="n">
        <v>2629.310345</v>
      </c>
      <c r="AA2123" s="55">
        <f>IF(AND(A2123="", B2123="", E2123=""), "", IF(AB2123="", "Válido", IF((LEN(AB2123)-LEN(SUBSTITUTE(AB2123,"; ","")))/2+1&gt;(LEN(AB2123)-LEN(SUBSTITUTE(AB2123,"[Aviso]","")))/7, "Con Incidencias", "Válido")))</f>
        <v/>
      </c>
      <c r="AB2123" s="56">
        <f>IF(AND(A2123="", B2123="", E2123=""), "", TEXTJOIN("; ", TRUE, IF(OR(TRIM(A2123&amp;"")="", ISNUMBER(SEARCH("FALTA", A2123))), "UPC faltante/inválido", ""), IF(AND(A2123&lt;&gt;"", IFERROR(_xlfn.XMATCH(A2123,$A$2:$A$2509,0,1)&lt;&gt;_xlfn.XMATCH(A2123,$A$2:$A$2509,0,-1),FALSE)), "Código de barras duplicado", ""), IF(AND(E2123&lt;&gt;"", COUNTIF($E$2:$E$2509, E2123)&gt;1), "SKU duplicado", ""), IF(OR(J2123="", J2123=""), "[Aviso] División no capturada ()", IF(ISNA(MATCH(J2123, Criterios!$A$123:$A$126, 0)), "División no válida", "")), IF(OR(K2123="", K2123=""), "[Aviso] Categoría no capturada ()", IF(ISNA(MATCH(K2123, Criterios!$A$81:$A$120, 0)), "Categoría no válida", IF(AND(J2123&lt;&gt;"", J2123&lt;&gt;"", J2123&lt;&gt;VLOOKUP(K2123, Criterios!$A$81:$B$120, 2, FALSE)), "División no coincide con Categoría", ""))), IF(OR(L2123="", L2123=""), "[Aviso] Género no capturado ()", IF(ISNA(MATCH(L2123, Criterios!$B$123:$B$127, 0)), "Género no válido", "")), IF(OR(N2123="", N2123=""), "[Aviso] Temporada no capturada ()", IF(ISNA(MATCH(N2123, Criterios!$C$123:$C$128, 0)), "Temporada no válida", "")), IF(OR(O2123="", O2123=""), "[Aviso] Ciclo de vida no capturado ()", IF(ISNA(MATCH(O2123, Criterios!$D$123:$D$124, 0)), "Ciclo de vida no válido", ""))))</f>
        <v/>
      </c>
      <c r="AC2123" s="56" t="n"/>
      <c r="AD2123" s="51" t="n">
        <v>-3</v>
      </c>
      <c r="AE2123" s="156" t="n"/>
      <c r="AF2123" s="51" t="n">
        <v>0</v>
      </c>
      <c r="AG2123" s="156" t="inlineStr">
        <is>
          <t>Catálogo existente</t>
        </is>
      </c>
      <c r="AH2123" s="156" t="inlineStr">
        <is>
          <t>Stock negativo en sistema: revisar en conteo | Revisión 29/09/2026: Campos sin respaldo: U; Auditoría NetSuite 30/09/2026: llenado desde NetSuite [S] | 01/10/2026: complementado desde Shopify Stetson México (match por código de barras): WB Fit, WB Silueta</t>
        </is>
      </c>
      <c r="AI2123" s="156" t="inlineStr">
        <is>
          <t>Sí</t>
        </is>
      </c>
      <c r="AJ2123" s="156" t="inlineStr">
        <is>
          <t>STETSON AMERICAS (-3)</t>
        </is>
      </c>
      <c r="AK2123" s="155" t="inlineStr">
        <is>
          <t>Descripción y Criterios: G/H [P] | Criterios: I [Q] | Criterios: J [R]; G1522_Extraccion_Articulos_NetSuite_2026-09-30.xlsx: fila 57493 [S] | Shopify Stetson: producto 14811702722923 / variante 53350602244459</t>
        </is>
      </c>
      <c r="AL2123" s="58" t="n">
        <v>1183.189655</v>
      </c>
      <c r="AM2123" s="58" t="n">
        <v>2629.310345</v>
      </c>
      <c r="AN2123" s="155" t="inlineStr">
        <is>
          <t>Shopify Stetson México</t>
        </is>
      </c>
      <c r="AO2123" s="59" t="n">
        <v>2</v>
      </c>
      <c r="AP2123" s="59" t="n"/>
      <c r="AQ2123" s="59" t="n"/>
      <c r="AR2123" s="155" t="inlineStr">
        <is>
          <t>Shopify Stetson México › Stetson Americas: 2</t>
        </is>
      </c>
    </row>
    <row r="2124">
      <c r="A2124" s="50" t="inlineStr">
        <is>
          <t>724303740981</t>
        </is>
      </c>
      <c r="B2124" s="51" t="inlineStr">
        <is>
          <t>109679</t>
        </is>
      </c>
      <c r="C2124" s="156" t="inlineStr">
        <is>
          <t>Multimarca</t>
        </is>
      </c>
      <c r="D2124" s="156" t="inlineStr">
        <is>
          <t>9403790-200</t>
        </is>
      </c>
      <c r="E2124" s="156" t="inlineStr">
        <is>
          <t>9403790-200-XL</t>
        </is>
      </c>
      <c r="F2124" s="156" t="inlineStr">
        <is>
          <t>XL</t>
        </is>
      </c>
      <c r="G2124" s="156" t="inlineStr">
        <is>
          <t>XL</t>
        </is>
      </c>
      <c r="H2124" s="156" t="inlineStr">
        <is>
          <t>Stetson</t>
        </is>
      </c>
      <c r="I2124" s="156" t="inlineStr">
        <is>
          <t>Cinturón Ancho Conchos Southwestern</t>
        </is>
      </c>
      <c r="J2124" s="156" t="inlineStr">
        <is>
          <t>Accesorios</t>
        </is>
      </c>
      <c r="K2124" s="156" t="inlineStr">
        <is>
          <t>Cinturones</t>
        </is>
      </c>
      <c r="L2124" s="156" t="inlineStr">
        <is>
          <t>Mujer</t>
        </is>
      </c>
      <c r="M2124" s="156" t="inlineStr">
        <is>
          <t>Stetson</t>
        </is>
      </c>
      <c r="N2124" s="156" t="inlineStr">
        <is>
          <t>SS26</t>
        </is>
      </c>
      <c r="O2124" s="156" t="inlineStr">
        <is>
          <t>Seasonal</t>
        </is>
      </c>
      <c r="P2124" s="156" t="inlineStr">
        <is>
          <t>Cafe</t>
        </is>
      </c>
      <c r="Q2124" s="156" t="n"/>
      <c r="R2124" s="156" t="n"/>
      <c r="S2124" s="156" t="inlineStr">
        <is>
          <t>Cuero</t>
        </is>
      </c>
      <c r="T2124"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4" s="156" t="n"/>
      <c r="V2124" s="156" t="inlineStr">
        <is>
          <t>PZS</t>
        </is>
      </c>
      <c r="W2124" s="51" t="inlineStr">
        <is>
          <t>53102501</t>
        </is>
      </c>
      <c r="X2124" s="156" t="inlineStr">
        <is>
          <t>https://cdn.shopify.com/s/files/1/0888/3250/8267/files/9403790-200-04.jpg?v=1761927705</t>
        </is>
      </c>
      <c r="Y2124" s="54" t="n">
        <v>1183.189655</v>
      </c>
      <c r="Z2124" s="54" t="n">
        <v>2629.310345</v>
      </c>
      <c r="AA2124" s="55">
        <f>IF(AND(A2124="", B2124="", E2124=""), "", IF(AB2124="", "Válido", IF((LEN(AB2124)-LEN(SUBSTITUTE(AB2124,"; ","")))/2+1&gt;(LEN(AB2124)-LEN(SUBSTITUTE(AB2124,"[Aviso]","")))/7, "Con Incidencias", "Válido")))</f>
        <v/>
      </c>
      <c r="AB2124" s="56">
        <f>IF(AND(A2124="", B2124="", E2124=""), "", TEXTJOIN("; ", TRUE, IF(OR(TRIM(A2124&amp;"")="", ISNUMBER(SEARCH("FALTA", A2124))), "UPC faltante/inválido", ""), IF(AND(A2124&lt;&gt;"", IFERROR(_xlfn.XMATCH(A2124,$A$2:$A$2509,0,1)&lt;&gt;_xlfn.XMATCH(A2124,$A$2:$A$2509,0,-1),FALSE)), "Código de barras duplicado", ""), IF(AND(E2124&lt;&gt;"", COUNTIF($E$2:$E$2509, E2124)&gt;1), "SKU duplicado", ""), IF(OR(J2124="", J2124=""), "[Aviso] División no capturada ()", IF(ISNA(MATCH(J2124, Criterios!$A$123:$A$126, 0)), "División no válida", "")), IF(OR(K2124="", K2124=""), "[Aviso] Categoría no capturada ()", IF(ISNA(MATCH(K2124, Criterios!$A$81:$A$120, 0)), "Categoría no válida", IF(AND(J2124&lt;&gt;"", J2124&lt;&gt;"", J2124&lt;&gt;VLOOKUP(K2124, Criterios!$A$81:$B$120, 2, FALSE)), "División no coincide con Categoría", ""))), IF(OR(L2124="", L2124=""), "[Aviso] Género no capturado ()", IF(ISNA(MATCH(L2124, Criterios!$B$123:$B$127, 0)), "Género no válido", "")), IF(OR(N2124="", N2124=""), "[Aviso] Temporada no capturada ()", IF(ISNA(MATCH(N2124, Criterios!$C$123:$C$128, 0)), "Temporada no válida", "")), IF(OR(O2124="", O2124=""), "[Aviso] Ciclo de vida no capturado ()", IF(ISNA(MATCH(O2124, Criterios!$D$123:$D$124, 0)), "Ciclo de vida no válido", ""))))</f>
        <v/>
      </c>
      <c r="AC2124" s="56" t="n"/>
      <c r="AD2124" s="51" t="n">
        <v>0</v>
      </c>
      <c r="AE2124" s="156" t="n"/>
      <c r="AF2124" s="51" t="n">
        <v>0</v>
      </c>
      <c r="AG2124" s="156" t="inlineStr">
        <is>
          <t>Catálogo existente</t>
        </is>
      </c>
      <c r="AH2124" s="156" t="inlineStr">
        <is>
          <t>Revisión 29/09/2026: Campos sin respaldo: U; Auditoría NetSuite 30/09/2026: llenado desde NetSuite [S] | 01/10/2026: complementado desde Shopify Stetson México (match por código de barras): WB Fit, WB Silueta</t>
        </is>
      </c>
      <c r="AI2124" s="156" t="inlineStr">
        <is>
          <t>No</t>
        </is>
      </c>
      <c r="AJ2124" s="156" t="n"/>
      <c r="AK2124" s="155" t="inlineStr">
        <is>
          <t>Descripción y Criterios: G/H [P] | Criterios: I [Q] | Criterios: J [R]; G1522_Extraccion_Articulos_NetSuite_2026-09-30.xlsx: fila 57494 [S] | Shopify Stetson: producto 14811702722923 / variante 53350602277227</t>
        </is>
      </c>
      <c r="AL2124" s="58" t="n">
        <v>1183.189655</v>
      </c>
      <c r="AM2124" s="58" t="n">
        <v>2629.310345</v>
      </c>
      <c r="AN2124" s="155" t="inlineStr">
        <is>
          <t>Shopify Stetson México</t>
        </is>
      </c>
      <c r="AO2124" s="59" t="n">
        <v>0</v>
      </c>
      <c r="AP2124" s="59" t="n"/>
      <c r="AQ2124" s="59" t="n"/>
      <c r="AR2124" s="155" t="n"/>
    </row>
    <row r="2125">
      <c r="A2125" s="50" t="inlineStr">
        <is>
          <t>724303741001</t>
        </is>
      </c>
      <c r="B2125" s="51" t="inlineStr">
        <is>
          <t>109680</t>
        </is>
      </c>
      <c r="C2125" s="156" t="inlineStr">
        <is>
          <t>Multimarca</t>
        </is>
      </c>
      <c r="D2125" s="156" t="inlineStr">
        <is>
          <t>9404790-104</t>
        </is>
      </c>
      <c r="E2125" s="156" t="inlineStr">
        <is>
          <t>9404790-104-S</t>
        </is>
      </c>
      <c r="F2125" s="156" t="inlineStr">
        <is>
          <t>S</t>
        </is>
      </c>
      <c r="G2125" s="156" t="inlineStr">
        <is>
          <t>S</t>
        </is>
      </c>
      <c r="H2125" s="156" t="inlineStr">
        <is>
          <t>Stetson</t>
        </is>
      </c>
      <c r="I2125" s="156" t="inlineStr">
        <is>
          <t>Cinturón Dama Cuero Repujado</t>
        </is>
      </c>
      <c r="J2125" s="156" t="inlineStr">
        <is>
          <t>Accesorios</t>
        </is>
      </c>
      <c r="K2125" s="156" t="inlineStr">
        <is>
          <t>Cinturones</t>
        </is>
      </c>
      <c r="L2125" s="156" t="inlineStr">
        <is>
          <t>Mujer</t>
        </is>
      </c>
      <c r="M2125" s="156" t="inlineStr">
        <is>
          <t>Stetson</t>
        </is>
      </c>
      <c r="N2125" s="156" t="inlineStr">
        <is>
          <t>SS26</t>
        </is>
      </c>
      <c r="O2125" s="156" t="inlineStr">
        <is>
          <t>Seasonal</t>
        </is>
      </c>
      <c r="P2125" s="156" t="inlineStr">
        <is>
          <t>Cafe</t>
        </is>
      </c>
      <c r="Q2125" s="156" t="n"/>
      <c r="R2125" s="156" t="n"/>
      <c r="S2125" s="156" t="inlineStr">
        <is>
          <t>Cuero</t>
        </is>
      </c>
      <c r="T2125"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5" s="156" t="n"/>
      <c r="V2125" s="156" t="inlineStr">
        <is>
          <t>PZS</t>
        </is>
      </c>
      <c r="W2125" s="51" t="inlineStr">
        <is>
          <t>53102501</t>
        </is>
      </c>
      <c r="X2125" s="156" t="inlineStr">
        <is>
          <t>https://cdn.shopify.com/s/files/1/0888/3250/8267/files/9404790-104-01.jpg?v=1761928684</t>
        </is>
      </c>
      <c r="Y2125" s="54" t="n">
        <v>1008.62069</v>
      </c>
      <c r="Z2125" s="54" t="n">
        <v>2241.37931</v>
      </c>
      <c r="AA2125" s="55">
        <f>IF(AND(A2125="", B2125="", E2125=""), "", IF(AB2125="", "Válido", IF((LEN(AB2125)-LEN(SUBSTITUTE(AB2125,"; ","")))/2+1&gt;(LEN(AB2125)-LEN(SUBSTITUTE(AB2125,"[Aviso]","")))/7, "Con Incidencias", "Válido")))</f>
        <v/>
      </c>
      <c r="AB2125" s="56">
        <f>IF(AND(A2125="", B2125="", E2125=""), "", TEXTJOIN("; ", TRUE, IF(OR(TRIM(A2125&amp;"")="", ISNUMBER(SEARCH("FALTA", A2125))), "UPC faltante/inválido", ""), IF(AND(A2125&lt;&gt;"", IFERROR(_xlfn.XMATCH(A2125,$A$2:$A$2509,0,1)&lt;&gt;_xlfn.XMATCH(A2125,$A$2:$A$2509,0,-1),FALSE)), "Código de barras duplicado", ""), IF(AND(E2125&lt;&gt;"", COUNTIF($E$2:$E$2509, E2125)&gt;1), "SKU duplicado", ""), IF(OR(J2125="", J2125=""), "[Aviso] División no capturada ()", IF(ISNA(MATCH(J2125, Criterios!$A$123:$A$126, 0)), "División no válida", "")), IF(OR(K2125="", K2125=""), "[Aviso] Categoría no capturada ()", IF(ISNA(MATCH(K2125, Criterios!$A$81:$A$120, 0)), "Categoría no válida", IF(AND(J2125&lt;&gt;"", J2125&lt;&gt;"", J2125&lt;&gt;VLOOKUP(K2125, Criterios!$A$81:$B$120, 2, FALSE)), "División no coincide con Categoría", ""))), IF(OR(L2125="", L2125=""), "[Aviso] Género no capturado ()", IF(ISNA(MATCH(L2125, Criterios!$B$123:$B$127, 0)), "Género no válido", "")), IF(OR(N2125="", N2125=""), "[Aviso] Temporada no capturada ()", IF(ISNA(MATCH(N2125, Criterios!$C$123:$C$128, 0)), "Temporada no válida", "")), IF(OR(O2125="", O2125=""), "[Aviso] Ciclo de vida no capturado ()", IF(ISNA(MATCH(O2125, Criterios!$D$123:$D$124, 0)), "Ciclo de vida no válido", ""))))</f>
        <v/>
      </c>
      <c r="AC2125" s="56" t="n"/>
      <c r="AD2125" s="51" t="n">
        <v>-2</v>
      </c>
      <c r="AE2125" s="156" t="n"/>
      <c r="AF2125" s="51" t="n">
        <v>0</v>
      </c>
      <c r="AG2125" s="156" t="inlineStr">
        <is>
          <t>Catálogo existente</t>
        </is>
      </c>
      <c r="AH2125" s="156" t="inlineStr">
        <is>
          <t>Stock negativo en sistema: revisar en conteo | Revisión 29/09/2026: Campos sin respaldo: P, U | 01/10/2026: complementado desde Shopify Stetson México (match por código de barras): WB Color, WB Fit, WB Silueta</t>
        </is>
      </c>
      <c r="AI2125" s="156" t="inlineStr">
        <is>
          <t>Sí</t>
        </is>
      </c>
      <c r="AJ2125" s="156" t="inlineStr">
        <is>
          <t>STETSON AMERICAS (-2)</t>
        </is>
      </c>
      <c r="AK2125" s="155" t="inlineStr">
        <is>
          <t>Criterios: I [Q] | Criterios: J [R] | Shopify Stetson: producto 14811704754539 / variante 53350602047851</t>
        </is>
      </c>
      <c r="AL2125" s="58" t="n">
        <v>1008.62069</v>
      </c>
      <c r="AM2125" s="58" t="n">
        <v>2241.37931</v>
      </c>
      <c r="AN2125" s="155" t="inlineStr">
        <is>
          <t>Shopify Stetson México</t>
        </is>
      </c>
      <c r="AO2125" s="59" t="n">
        <v>1</v>
      </c>
      <c r="AP2125" s="59" t="n"/>
      <c r="AQ2125" s="59" t="n"/>
      <c r="AR2125" s="155" t="inlineStr">
        <is>
          <t>Shopify Stetson México › Stetson Americas: 1</t>
        </is>
      </c>
    </row>
    <row r="2126">
      <c r="A2126" s="50" t="inlineStr">
        <is>
          <t>724303741018</t>
        </is>
      </c>
      <c r="B2126" s="51" t="inlineStr">
        <is>
          <t>109681</t>
        </is>
      </c>
      <c r="C2126" s="156" t="inlineStr">
        <is>
          <t>Multimarca</t>
        </is>
      </c>
      <c r="D2126" s="156" t="inlineStr">
        <is>
          <t>9404790-104</t>
        </is>
      </c>
      <c r="E2126" s="156" t="inlineStr">
        <is>
          <t>9404790-104-M</t>
        </is>
      </c>
      <c r="F2126" s="156" t="inlineStr">
        <is>
          <t>M</t>
        </is>
      </c>
      <c r="G2126" s="156" t="inlineStr">
        <is>
          <t>M</t>
        </is>
      </c>
      <c r="H2126" s="156" t="inlineStr">
        <is>
          <t>Stetson</t>
        </is>
      </c>
      <c r="I2126" s="156" t="inlineStr">
        <is>
          <t>Cinturón Dama Cuero Repujado</t>
        </is>
      </c>
      <c r="J2126" s="156" t="inlineStr">
        <is>
          <t>Accesorios</t>
        </is>
      </c>
      <c r="K2126" s="156" t="inlineStr">
        <is>
          <t>Cinturones</t>
        </is>
      </c>
      <c r="L2126" s="156" t="inlineStr">
        <is>
          <t>Mujer</t>
        </is>
      </c>
      <c r="M2126" s="156" t="inlineStr">
        <is>
          <t>Stetson</t>
        </is>
      </c>
      <c r="N2126" s="156" t="inlineStr">
        <is>
          <t>SS26</t>
        </is>
      </c>
      <c r="O2126" s="156" t="inlineStr">
        <is>
          <t>Seasonal</t>
        </is>
      </c>
      <c r="P2126" s="156" t="inlineStr">
        <is>
          <t>Cafe</t>
        </is>
      </c>
      <c r="Q2126" s="156" t="n"/>
      <c r="R2126" s="156" t="n"/>
      <c r="S2126" s="156" t="inlineStr">
        <is>
          <t>Cuero</t>
        </is>
      </c>
      <c r="T2126"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6" s="156" t="n"/>
      <c r="V2126" s="156" t="inlineStr">
        <is>
          <t>PZS</t>
        </is>
      </c>
      <c r="W2126" s="51" t="inlineStr">
        <is>
          <t>53102501</t>
        </is>
      </c>
      <c r="X2126" s="156" t="inlineStr">
        <is>
          <t>https://cdn.shopify.com/s/files/1/0888/3250/8267/files/9404790-104-02.jpg?v=1761928684</t>
        </is>
      </c>
      <c r="Y2126" s="54" t="n">
        <v>1008.62069</v>
      </c>
      <c r="Z2126" s="54" t="n">
        <v>2241.37931</v>
      </c>
      <c r="AA2126" s="55">
        <f>IF(AND(A2126="", B2126="", E2126=""), "", IF(AB2126="", "Válido", IF((LEN(AB2126)-LEN(SUBSTITUTE(AB2126,"; ","")))/2+1&gt;(LEN(AB2126)-LEN(SUBSTITUTE(AB2126,"[Aviso]","")))/7, "Con Incidencias", "Válido")))</f>
        <v/>
      </c>
      <c r="AB2126" s="56">
        <f>IF(AND(A2126="", B2126="", E2126=""), "", TEXTJOIN("; ", TRUE, IF(OR(TRIM(A2126&amp;"")="", ISNUMBER(SEARCH("FALTA", A2126))), "UPC faltante/inválido", ""), IF(AND(A2126&lt;&gt;"", IFERROR(_xlfn.XMATCH(A2126,$A$2:$A$2509,0,1)&lt;&gt;_xlfn.XMATCH(A2126,$A$2:$A$2509,0,-1),FALSE)), "Código de barras duplicado", ""), IF(AND(E2126&lt;&gt;"", COUNTIF($E$2:$E$2509, E2126)&gt;1), "SKU duplicado", ""), IF(OR(J2126="", J2126=""), "[Aviso] División no capturada ()", IF(ISNA(MATCH(J2126, Criterios!$A$123:$A$126, 0)), "División no válida", "")), IF(OR(K2126="", K2126=""), "[Aviso] Categoría no capturada ()", IF(ISNA(MATCH(K2126, Criterios!$A$81:$A$120, 0)), "Categoría no válida", IF(AND(J2126&lt;&gt;"", J2126&lt;&gt;"", J2126&lt;&gt;VLOOKUP(K2126, Criterios!$A$81:$B$120, 2, FALSE)), "División no coincide con Categoría", ""))), IF(OR(L2126="", L2126=""), "[Aviso] Género no capturado ()", IF(ISNA(MATCH(L2126, Criterios!$B$123:$B$127, 0)), "Género no válido", "")), IF(OR(N2126="", N2126=""), "[Aviso] Temporada no capturada ()", IF(ISNA(MATCH(N2126, Criterios!$C$123:$C$128, 0)), "Temporada no válida", "")), IF(OR(O2126="", O2126=""), "[Aviso] Ciclo de vida no capturado ()", IF(ISNA(MATCH(O2126, Criterios!$D$123:$D$124, 0)), "Ciclo de vida no válido", ""))))</f>
        <v/>
      </c>
      <c r="AC2126" s="56" t="n"/>
      <c r="AD2126" s="51" t="n">
        <v>-4</v>
      </c>
      <c r="AE2126" s="156" t="n"/>
      <c r="AF2126" s="51" t="n">
        <v>0</v>
      </c>
      <c r="AG2126" s="156" t="inlineStr">
        <is>
          <t>Catálogo existente</t>
        </is>
      </c>
      <c r="AH2126" s="156" t="inlineStr">
        <is>
          <t>Stock negativo en sistema: revisar en conteo | Revisión 29/09/2026: Campos sin respaldo: P, U | 01/10/2026: complementado desde Shopify Stetson México (match por código de barras): WB Color, WB Fit, WB Silueta</t>
        </is>
      </c>
      <c r="AI2126" s="156" t="inlineStr">
        <is>
          <t>Sí</t>
        </is>
      </c>
      <c r="AJ2126" s="156" t="inlineStr">
        <is>
          <t>STETSON AMERICAS (-4)</t>
        </is>
      </c>
      <c r="AK2126" s="155" t="inlineStr">
        <is>
          <t>Criterios: I [Q] | Criterios: J [R] | Shopify Stetson: producto 14811704754539 / variante 53350602080619</t>
        </is>
      </c>
      <c r="AL2126" s="58" t="n">
        <v>1008.62069</v>
      </c>
      <c r="AM2126" s="58" t="n">
        <v>2241.37931</v>
      </c>
      <c r="AN2126" s="155" t="inlineStr">
        <is>
          <t>Shopify Stetson México</t>
        </is>
      </c>
      <c r="AO2126" s="59" t="n">
        <v>0</v>
      </c>
      <c r="AP2126" s="59" t="n"/>
      <c r="AQ2126" s="59" t="n"/>
      <c r="AR2126" s="155" t="n"/>
    </row>
    <row r="2127">
      <c r="A2127" s="50" t="inlineStr">
        <is>
          <t>724303741025</t>
        </is>
      </c>
      <c r="B2127" s="51" t="inlineStr">
        <is>
          <t>109682</t>
        </is>
      </c>
      <c r="C2127" s="156" t="inlineStr">
        <is>
          <t>Multimarca</t>
        </is>
      </c>
      <c r="D2127" s="156" t="inlineStr">
        <is>
          <t>9404790-104</t>
        </is>
      </c>
      <c r="E2127" s="156" t="inlineStr">
        <is>
          <t>9404790-104-L</t>
        </is>
      </c>
      <c r="F2127" s="156" t="inlineStr">
        <is>
          <t>L</t>
        </is>
      </c>
      <c r="G2127" s="156" t="inlineStr">
        <is>
          <t>L</t>
        </is>
      </c>
      <c r="H2127" s="156" t="inlineStr">
        <is>
          <t>Stetson</t>
        </is>
      </c>
      <c r="I2127" s="156" t="inlineStr">
        <is>
          <t>Cinturón Dama Cuero Repujado</t>
        </is>
      </c>
      <c r="J2127" s="156" t="inlineStr">
        <is>
          <t>Accesorios</t>
        </is>
      </c>
      <c r="K2127" s="156" t="inlineStr">
        <is>
          <t>Cinturones</t>
        </is>
      </c>
      <c r="L2127" s="156" t="inlineStr">
        <is>
          <t>Mujer</t>
        </is>
      </c>
      <c r="M2127" s="156" t="inlineStr">
        <is>
          <t>Stetson</t>
        </is>
      </c>
      <c r="N2127" s="156" t="inlineStr">
        <is>
          <t>SS26</t>
        </is>
      </c>
      <c r="O2127" s="156" t="inlineStr">
        <is>
          <t>Seasonal</t>
        </is>
      </c>
      <c r="P2127" s="156" t="inlineStr">
        <is>
          <t>Cafe</t>
        </is>
      </c>
      <c r="Q2127" s="156" t="n"/>
      <c r="R2127" s="156" t="n"/>
      <c r="S2127" s="156" t="inlineStr">
        <is>
          <t>Cuero</t>
        </is>
      </c>
      <c r="T2127" s="156" t="inlineStr">
        <is>
          <t>El cinturón para mujer con grabado Stetson está elaborado en cuero genuino de primera calidad. Su diseño western presenta un grabado repujado con cortes decorativos, ideal para quienes buscan un estilo vaquero auténtico y elegante. Cuenta con una h(más...)</t>
        </is>
      </c>
      <c r="U2127" s="156" t="n"/>
      <c r="V2127" s="156" t="inlineStr">
        <is>
          <t>PZS</t>
        </is>
      </c>
      <c r="W2127" s="51" t="inlineStr">
        <is>
          <t>53102501</t>
        </is>
      </c>
      <c r="X2127" s="156" t="inlineStr">
        <is>
          <t>https://cdn.shopify.com/s/files/1/0888/3250/8267/files/9404790-104-03.jpg?v=1761928684</t>
        </is>
      </c>
      <c r="Y2127" s="54" t="n">
        <v>1008.62069</v>
      </c>
      <c r="Z2127" s="54" t="n">
        <v>2241.37931</v>
      </c>
      <c r="AA2127" s="55">
        <f>IF(AND(A2127="", B2127="", E2127=""), "", IF(AB2127="", "Válido", IF((LEN(AB2127)-LEN(SUBSTITUTE(AB2127,"; ","")))/2+1&gt;(LEN(AB2127)-LEN(SUBSTITUTE(AB2127,"[Aviso]","")))/7, "Con Incidencias", "Válido")))</f>
        <v/>
      </c>
      <c r="AB2127" s="56">
        <f>IF(AND(A2127="", B2127="", E2127=""), "", TEXTJOIN("; ", TRUE, IF(OR(TRIM(A2127&amp;"")="", ISNUMBER(SEARCH("FALTA", A2127))), "UPC faltante/inválido", ""), IF(AND(A2127&lt;&gt;"", IFERROR(_xlfn.XMATCH(A2127,$A$2:$A$2509,0,1)&lt;&gt;_xlfn.XMATCH(A2127,$A$2:$A$2509,0,-1),FALSE)), "Código de barras duplicado", ""), IF(AND(E2127&lt;&gt;"", COUNTIF($E$2:$E$2509, E2127)&gt;1), "SKU duplicado", ""), IF(OR(J2127="", J2127=""), "[Aviso] División no capturada ()", IF(ISNA(MATCH(J2127, Criterios!$A$123:$A$126, 0)), "División no válida", "")), IF(OR(K2127="", K2127=""), "[Aviso] Categoría no capturada ()", IF(ISNA(MATCH(K2127, Criterios!$A$81:$A$120, 0)), "Categoría no válida", IF(AND(J2127&lt;&gt;"", J2127&lt;&gt;"", J2127&lt;&gt;VLOOKUP(K2127, Criterios!$A$81:$B$120, 2, FALSE)), "División no coincide con Categoría", ""))), IF(OR(L2127="", L2127=""), "[Aviso] Género no capturado ()", IF(ISNA(MATCH(L2127, Criterios!$B$123:$B$127, 0)), "Género no válido", "")), IF(OR(N2127="", N2127=""), "[Aviso] Temporada no capturada ()", IF(ISNA(MATCH(N2127, Criterios!$C$123:$C$128, 0)), "Temporada no válida", "")), IF(OR(O2127="", O2127=""), "[Aviso] Ciclo de vida no capturado ()", IF(ISNA(MATCH(O2127, Criterios!$D$123:$D$124, 0)), "Ciclo de vida no válido", ""))))</f>
        <v/>
      </c>
      <c r="AC2127" s="56" t="n"/>
      <c r="AD2127" s="51" t="n">
        <v>2</v>
      </c>
      <c r="AE2127" s="156" t="inlineStr">
        <is>
          <t>WB OUTLET LERMA (3)</t>
        </is>
      </c>
      <c r="AF2127" s="51" t="n">
        <v>3</v>
      </c>
      <c r="AG2127" s="156" t="inlineStr">
        <is>
          <t>Catálogo existente</t>
        </is>
      </c>
      <c r="AH2127" s="156" t="inlineStr">
        <is>
          <t>Revisión 29/09/2026: Campos sin respaldo: P, U | 01/10/2026: complementado desde Shopify Stetson México (match por código de barras): WB Color, WB Fit, WB Silueta | 01/10/2026: Shopify Western Brothers trae Color «Varios» — se conservó el valor de Productos</t>
        </is>
      </c>
      <c r="AI2127" s="156" t="inlineStr">
        <is>
          <t>Sí</t>
        </is>
      </c>
      <c r="AJ2127" s="156" t="inlineStr">
        <is>
          <t>STETSON AMERICAS (-1)</t>
        </is>
      </c>
      <c r="AK2127" s="155" t="inlineStr">
        <is>
          <t>Criterios: I [Q] | Criterios: J [R] | Shopify Stetson: producto 14811704754539 / variante 53350602113387 | Shopify WB: producto 10310238240953 / variante 50512090824889</t>
        </is>
      </c>
      <c r="AL2127" s="58" t="n">
        <v>1008.62069</v>
      </c>
      <c r="AM2127" s="58" t="n">
        <v>2241.37931</v>
      </c>
      <c r="AN2127" s="155" t="inlineStr">
        <is>
          <t>Shopify Stetson México | Shopify Western Brothers</t>
        </is>
      </c>
      <c r="AO2127" s="59" t="n">
        <v>3</v>
      </c>
      <c r="AP2127" s="59" t="n">
        <v>3</v>
      </c>
      <c r="AQ2127" s="59" t="n"/>
      <c r="AR2127" s="155" t="inlineStr">
        <is>
          <t>Shopify Stetson México › Stetson Americas: 2 | Shopify Stetson México › Eventos: 1 | Shopify Western Brothers › Western Brothers Outlet Lerma: 3</t>
        </is>
      </c>
    </row>
    <row r="2128">
      <c r="A2128" s="50" t="inlineStr">
        <is>
          <t>724303741032</t>
        </is>
      </c>
      <c r="B2128" s="51" t="inlineStr">
        <is>
          <t>109683</t>
        </is>
      </c>
      <c r="C2128" s="156" t="inlineStr">
        <is>
          <t>Multimarca</t>
        </is>
      </c>
      <c r="D2128" s="156" t="inlineStr">
        <is>
          <t>9404790-104</t>
        </is>
      </c>
      <c r="E2128" s="156" t="inlineStr">
        <is>
          <t>9404790-104-XL</t>
        </is>
      </c>
      <c r="F2128" s="156" t="inlineStr">
        <is>
          <t>XL</t>
        </is>
      </c>
      <c r="G2128" s="156" t="inlineStr">
        <is>
          <t>XL</t>
        </is>
      </c>
      <c r="H2128" s="156" t="inlineStr">
        <is>
          <t>Stetson</t>
        </is>
      </c>
      <c r="I2128" s="156" t="inlineStr">
        <is>
          <t>Cinturón Dama Cuero Repujado</t>
        </is>
      </c>
      <c r="J2128" s="156" t="inlineStr">
        <is>
          <t>Accesorios</t>
        </is>
      </c>
      <c r="K2128" s="156" t="inlineStr">
        <is>
          <t>Cinturones</t>
        </is>
      </c>
      <c r="L2128" s="156" t="inlineStr">
        <is>
          <t>Mujer</t>
        </is>
      </c>
      <c r="M2128" s="156" t="inlineStr">
        <is>
          <t>Stetson</t>
        </is>
      </c>
      <c r="N2128" s="156" t="inlineStr">
        <is>
          <t>SS26</t>
        </is>
      </c>
      <c r="O2128" s="156" t="inlineStr">
        <is>
          <t>Seasonal</t>
        </is>
      </c>
      <c r="P2128" s="156" t="inlineStr">
        <is>
          <t>Cafe</t>
        </is>
      </c>
      <c r="Q2128" s="156" t="n"/>
      <c r="R2128" s="156" t="n"/>
      <c r="S2128" s="156" t="inlineStr">
        <is>
          <t>Cuero</t>
        </is>
      </c>
      <c r="T2128"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8" s="156" t="n"/>
      <c r="V2128" s="156" t="inlineStr">
        <is>
          <t>PZS</t>
        </is>
      </c>
      <c r="W2128" s="51" t="inlineStr">
        <is>
          <t>53102501</t>
        </is>
      </c>
      <c r="X2128" s="156" t="inlineStr">
        <is>
          <t>https://cdn.shopify.com/s/files/1/0888/3250/8267/files/9404790-104-04.jpg?v=1761928684</t>
        </is>
      </c>
      <c r="Y2128" s="54" t="n">
        <v>1008.62069</v>
      </c>
      <c r="Z2128" s="54" t="n">
        <v>2241.37931</v>
      </c>
      <c r="AA2128" s="55">
        <f>IF(AND(A2128="", B2128="", E2128=""), "", IF(AB2128="", "Válido", IF((LEN(AB2128)-LEN(SUBSTITUTE(AB2128,"; ","")))/2+1&gt;(LEN(AB2128)-LEN(SUBSTITUTE(AB2128,"[Aviso]","")))/7, "Con Incidencias", "Válido")))</f>
        <v/>
      </c>
      <c r="AB2128" s="56">
        <f>IF(AND(A2128="", B2128="", E2128=""), "", TEXTJOIN("; ", TRUE, IF(OR(TRIM(A2128&amp;"")="", ISNUMBER(SEARCH("FALTA", A2128))), "UPC faltante/inválido", ""), IF(AND(A2128&lt;&gt;"", IFERROR(_xlfn.XMATCH(A2128,$A$2:$A$2509,0,1)&lt;&gt;_xlfn.XMATCH(A2128,$A$2:$A$2509,0,-1),FALSE)), "Código de barras duplicado", ""), IF(AND(E2128&lt;&gt;"", COUNTIF($E$2:$E$2509, E2128)&gt;1), "SKU duplicado", ""), IF(OR(J2128="", J2128=""), "[Aviso] División no capturada ()", IF(ISNA(MATCH(J2128, Criterios!$A$123:$A$126, 0)), "División no válida", "")), IF(OR(K2128="", K2128=""), "[Aviso] Categoría no capturada ()", IF(ISNA(MATCH(K2128, Criterios!$A$81:$A$120, 0)), "Categoría no válida", IF(AND(J2128&lt;&gt;"", J2128&lt;&gt;"", J2128&lt;&gt;VLOOKUP(K2128, Criterios!$A$81:$B$120, 2, FALSE)), "División no coincide con Categoría", ""))), IF(OR(L2128="", L2128=""), "[Aviso] Género no capturado ()", IF(ISNA(MATCH(L2128, Criterios!$B$123:$B$127, 0)), "Género no válido", "")), IF(OR(N2128="", N2128=""), "[Aviso] Temporada no capturada ()", IF(ISNA(MATCH(N2128, Criterios!$C$123:$C$128, 0)), "Temporada no válida", "")), IF(OR(O2128="", O2128=""), "[Aviso] Ciclo de vida no capturado ()", IF(ISNA(MATCH(O2128, Criterios!$D$123:$D$124, 0)), "Ciclo de vida no válido", ""))))</f>
        <v/>
      </c>
      <c r="AC2128" s="56" t="n"/>
      <c r="AD2128" s="51" t="n">
        <v>0</v>
      </c>
      <c r="AE2128" s="156" t="n"/>
      <c r="AF2128" s="51" t="n">
        <v>0</v>
      </c>
      <c r="AG2128" s="156" t="inlineStr">
        <is>
          <t>Catálogo existente</t>
        </is>
      </c>
      <c r="AH2128" s="156" t="inlineStr">
        <is>
          <t>Revisión 29/09/2026: Campos sin respaldo: P, U | 01/10/2026: complementado desde Shopify Stetson México (match por código de barras): WB Color, WB Fit, WB Silueta</t>
        </is>
      </c>
      <c r="AI2128" s="156" t="inlineStr">
        <is>
          <t>No</t>
        </is>
      </c>
      <c r="AJ2128" s="156" t="n"/>
      <c r="AK2128" s="155" t="inlineStr">
        <is>
          <t>Criterios: I [Q] | Criterios: J [R] | Shopify Stetson: producto 14811704754539 / variante 53350602146155</t>
        </is>
      </c>
      <c r="AL2128" s="58" t="n">
        <v>1008.62069</v>
      </c>
      <c r="AM2128" s="58" t="n">
        <v>2241.37931</v>
      </c>
      <c r="AN2128" s="155" t="inlineStr">
        <is>
          <t>Shopify Stetson México</t>
        </is>
      </c>
      <c r="AO2128" s="59" t="n">
        <v>2</v>
      </c>
      <c r="AP2128" s="59" t="n"/>
      <c r="AQ2128" s="59" t="n"/>
      <c r="AR2128" s="155" t="inlineStr">
        <is>
          <t>Shopify Stetson México › Stetson Americas: 2</t>
        </is>
      </c>
    </row>
    <row r="2129">
      <c r="A2129" s="50" t="inlineStr">
        <is>
          <t>724303741063</t>
        </is>
      </c>
      <c r="B2129" s="51" t="n"/>
      <c r="C2129" s="156" t="inlineStr">
        <is>
          <t>Multimarca</t>
        </is>
      </c>
      <c r="D2129" s="156" t="inlineStr">
        <is>
          <t>9923500-104</t>
        </is>
      </c>
      <c r="E2129" s="156" t="inlineStr">
        <is>
          <t>9923500-104-32</t>
        </is>
      </c>
      <c r="F2129" s="156" t="inlineStr">
        <is>
          <t>32</t>
        </is>
      </c>
      <c r="G2129" s="156" t="inlineStr">
        <is>
          <t>32</t>
        </is>
      </c>
      <c r="H2129" s="156" t="inlineStr">
        <is>
          <t>Stetson</t>
        </is>
      </c>
      <c r="I2129" s="156" t="inlineStr">
        <is>
          <t>Cinturón Stetson Piel Natural</t>
        </is>
      </c>
      <c r="J2129" s="156" t="inlineStr">
        <is>
          <t>Accesorios</t>
        </is>
      </c>
      <c r="K2129" s="156" t="inlineStr">
        <is>
          <t>Cinturones</t>
        </is>
      </c>
      <c r="L2129" s="156" t="inlineStr">
        <is>
          <t>Hombre</t>
        </is>
      </c>
      <c r="M2129" s="156" t="inlineStr">
        <is>
          <t>Stetson</t>
        </is>
      </c>
      <c r="N2129" s="156" t="inlineStr">
        <is>
          <t>SS26</t>
        </is>
      </c>
      <c r="O2129" s="156" t="inlineStr">
        <is>
          <t>Seasonal</t>
        </is>
      </c>
      <c r="P2129" s="156" t="inlineStr">
        <is>
          <t>Beige</t>
        </is>
      </c>
      <c r="Q2129" s="156" t="n"/>
      <c r="R2129" s="156" t="n"/>
      <c r="S2129" s="156" t="inlineStr">
        <is>
          <t>Cuero</t>
        </is>
      </c>
      <c r="T2129" s="156" t="inlineStr">
        <is>
          <t>CINTURÓN STETSON PARA CABALLERO – NATURAL 3500 – 38MM
 Cinturón para hombre Stetson de 1 ½” (38 mm) elaborado en cuero de grano superior. Presenta grabado floral artesanal a lo largo de la correa, bordes recortados con costura en contraste y hebilla metálica con el logotipo Stetson en acabado bicolor.
 • Modelo: Cinturón Stetson Natural 3500 38mm
 • Ancho: 38 mm (1 1/2")
 • Material: Cuero de grano superior (Top Grain Leather)
 • Diseño:
  - Grabado floral artesanal sobre toda la correa
  - Bordes recortados con costura en contraste
  - Hebilla metálica con logotipo Stetson en acabado bicolor
  - Color: Natural
  - Estilo: Occidental / Western
  - Tallas disponibles: 32 | 34 | 36 | 38 | 40 | 42 | 44 | 46</t>
        </is>
      </c>
      <c r="U2129" s="156" t="n"/>
      <c r="V2129" s="156" t="inlineStr">
        <is>
          <t>PZS</t>
        </is>
      </c>
      <c r="W2129" s="51" t="inlineStr">
        <is>
          <t>53102501</t>
        </is>
      </c>
      <c r="X2129" s="156" t="inlineStr">
        <is>
          <t>https://cdn.shopify.com/s/files/1/0888/3250/8267/files/9923500-104.jpg?v=1745271541</t>
        </is>
      </c>
      <c r="Y2129" s="54" t="n">
        <v>814.6551724</v>
      </c>
      <c r="Z2129" s="54" t="n">
        <v>2100</v>
      </c>
      <c r="AA2129" s="55">
        <f>IF(AND(A2129="", B2129="", E2129=""), "", IF(AB2129="", "Válido", IF((LEN(AB2129)-LEN(SUBSTITUTE(AB2129,"; ","")))/2+1&gt;(LEN(AB2129)-LEN(SUBSTITUTE(AB2129,"[Aviso]","")))/7, "Con Incidencias", "Válido")))</f>
        <v/>
      </c>
      <c r="AB2129" s="56">
        <f>IF(AND(A2129="", B2129="", E2129=""), "", TEXTJOIN("; ", TRUE, IF(OR(TRIM(A2129&amp;"")="", ISNUMBER(SEARCH("FALTA", A2129))), "UPC faltante/inválido", ""), IF(AND(A2129&lt;&gt;"", IFERROR(_xlfn.XMATCH(A2129,$A$2:$A$2509,0,1)&lt;&gt;_xlfn.XMATCH(A2129,$A$2:$A$2509,0,-1),FALSE)), "Código de barras duplicado", ""), IF(AND(E2129&lt;&gt;"", COUNTIF($E$2:$E$2509, E2129)&gt;1), "SKU duplicado", ""), IF(OR(J2129="", J2129=""), "[Aviso] División no capturada ()", IF(ISNA(MATCH(J2129, Criterios!$A$123:$A$126, 0)), "División no válida", "")), IF(OR(K2129="", K2129=""), "[Aviso] Categoría no capturada ()", IF(ISNA(MATCH(K2129, Criterios!$A$81:$A$120, 0)), "Categoría no válida", IF(AND(J2129&lt;&gt;"", J2129&lt;&gt;"", J2129&lt;&gt;VLOOKUP(K2129, Criterios!$A$81:$B$120, 2, FALSE)), "División no coincide con Categoría", ""))), IF(OR(L2129="", L2129=""), "[Aviso] Género no capturado ()", IF(ISNA(MATCH(L2129, Criterios!$B$123:$B$127, 0)), "Género no válido", "")), IF(OR(N2129="", N2129=""), "[Aviso] Temporada no capturada ()", IF(ISNA(MATCH(N2129, Criterios!$C$123:$C$128, 0)), "Temporada no válida", "")), IF(OR(O2129="", O2129=""), "[Aviso] Ciclo de vida no capturado ()", IF(ISNA(MATCH(O2129, Criterios!$D$123:$D$124, 0)), "Ciclo de vida no válido", ""))))</f>
        <v/>
      </c>
      <c r="AC2129" s="56" t="n"/>
      <c r="AD2129" s="51" t="n">
        <v>0</v>
      </c>
      <c r="AE2129" s="156" t="inlineStr">
        <is>
          <t>Sin coincidencia en NetSuite</t>
        </is>
      </c>
      <c r="AF2129" s="51" t="n"/>
      <c r="AG2129" s="156" t="inlineStr">
        <is>
          <t>Catálogo existente</t>
        </is>
      </c>
      <c r="AH2129" s="156" t="inlineStr">
        <is>
          <t>No se encontró en Hoja a Revisar por ID interno ni por código de barras | Consolidado 30/09/2026 con 1 registro(s) duplicado(s) (ver hoja «Consolidación Duplicados»). Completado desde duplicado: WB Silueta. Valores alternos del duplicado (dos): Código de barras: 724304000000 (truncado, descartado) | Marca principal: Stetson | WB N.º de estilo: 9923500 | WB Descripcion: Cinturón Stetson Natural con grabado floral | WB Composición: Cuero de grano superior | WB Descripción larga: Cinturón Stetson Natural con grabado floral; correa de 38 mm; cuero de | 01/10/2026: complementado desde Shopify Stetson México (match por código de barras): WB Fit, WB Silueta (antes «Correa de 38 mm», no válido en Criterios) | Homologación G1522 06/10/2026: Validador Shopify: ST: precio con IVA no es múltiplo de 50</t>
        </is>
      </c>
      <c r="AI2129" s="156" t="n"/>
      <c r="AJ2129" s="156" t="n"/>
      <c r="AK2129" s="155" t="inlineStr">
        <is>
          <t>Shopify Stetson: producto 14697994748267 / variante 52013907509611</t>
        </is>
      </c>
      <c r="AL2129" s="58" t="n">
        <v>814.6551724</v>
      </c>
      <c r="AM2129" s="58" t="n">
        <v>2100</v>
      </c>
      <c r="AN2129" s="155" t="inlineStr">
        <is>
          <t>Shopify Stetson México</t>
        </is>
      </c>
      <c r="AO2129" s="59" t="n">
        <v>0</v>
      </c>
      <c r="AP2129" s="59" t="n"/>
      <c r="AQ2129" s="59" t="n"/>
      <c r="AR2129" s="155" t="n"/>
    </row>
    <row r="2130">
      <c r="A2130" s="50" t="inlineStr">
        <is>
          <t>724303741070</t>
        </is>
      </c>
      <c r="B2130" s="51" t="n"/>
      <c r="C2130" s="156" t="inlineStr">
        <is>
          <t>Multimarca</t>
        </is>
      </c>
      <c r="D2130" s="156" t="inlineStr">
        <is>
          <t>9923500-104</t>
        </is>
      </c>
      <c r="E2130" s="156" t="inlineStr">
        <is>
          <t>9923500-104-34</t>
        </is>
      </c>
      <c r="F2130" s="156" t="inlineStr">
        <is>
          <t>34</t>
        </is>
      </c>
      <c r="G2130" s="156" t="inlineStr">
        <is>
          <t>34</t>
        </is>
      </c>
      <c r="H2130" s="156" t="inlineStr">
        <is>
          <t>Stetson</t>
        </is>
      </c>
      <c r="I2130" s="156" t="inlineStr">
        <is>
          <t>Cinturón Stetson Piel Natural</t>
        </is>
      </c>
      <c r="J2130" s="156" t="inlineStr">
        <is>
          <t>Accesorios</t>
        </is>
      </c>
      <c r="K2130" s="156" t="inlineStr">
        <is>
          <t>Cinturones</t>
        </is>
      </c>
      <c r="L2130" s="156" t="inlineStr">
        <is>
          <t>Hombre</t>
        </is>
      </c>
      <c r="M2130" s="156" t="inlineStr">
        <is>
          <t>Stetson</t>
        </is>
      </c>
      <c r="N2130" s="156" t="inlineStr">
        <is>
          <t>SS26</t>
        </is>
      </c>
      <c r="O2130" s="156" t="inlineStr">
        <is>
          <t>Seasonal</t>
        </is>
      </c>
      <c r="P2130" s="156" t="inlineStr">
        <is>
          <t>Beige</t>
        </is>
      </c>
      <c r="Q2130" s="156" t="n"/>
      <c r="R2130" s="156" t="n"/>
      <c r="S2130" s="156" t="inlineStr">
        <is>
          <t>Cuero</t>
        </is>
      </c>
      <c r="T2130" s="156" t="inlineStr">
        <is>
          <t>CINTURÓN STETSON PARA CABALLERO – NATURAL 3500 – 38MM
 Cinturón para hombre Stetson de 1 ½” (38 mm) elaborado en cuero de grano superior. Presenta grabado floral artesanal a lo largo de la correa, bordes recortados con costura en contraste y hebilla metálica con el logotipo Stetson en acabado bicolor.
 • Modelo: Cinturón Stetson Natural 3500 38mm
 • Ancho: 38 mm (1 1/2")
 • Material: Cuero de grano superior (Top Grain Leather)
 • Diseño:
  - Grabado floral artesanal sobre toda la correa
  - Bordes recortados con costura en contraste
  - Hebilla metálica con logotipo Stetson en acabado bicolor
  - Color: Natural
  - Estilo: Occidental / Western
  - Tallas disponibles: 32 | 34 | 36 | 38 | 40 | 42 | 44 | 46</t>
        </is>
      </c>
      <c r="U2130" s="156" t="n"/>
      <c r="V2130" s="156" t="inlineStr">
        <is>
          <t>PZS</t>
        </is>
      </c>
      <c r="W2130" s="51" t="inlineStr">
        <is>
          <t>53102501</t>
        </is>
      </c>
      <c r="X2130" s="156" t="inlineStr">
        <is>
          <t>https://cdn.shopify.com/s/files/1/0888/3250/8267/files/9923500-104.jpg?v=1745271541</t>
        </is>
      </c>
      <c r="Y2130" s="54" t="n">
        <v>814.6551724</v>
      </c>
      <c r="Z2130" s="54" t="n">
        <v>2100</v>
      </c>
      <c r="AA2130" s="55">
        <f>IF(AND(A2130="", B2130="", E2130=""), "", IF(AB2130="", "Válido", IF((LEN(AB2130)-LEN(SUBSTITUTE(AB2130,"; ","")))/2+1&gt;(LEN(AB2130)-LEN(SUBSTITUTE(AB2130,"[Aviso]","")))/7, "Con Incidencias", "Válido")))</f>
        <v/>
      </c>
      <c r="AB2130" s="56">
        <f>IF(AND(A2130="", B2130="", E2130=""), "", TEXTJOIN("; ", TRUE, IF(OR(TRIM(A2130&amp;"")="", ISNUMBER(SEARCH("FALTA", A2130))), "UPC faltante/inválido", ""), IF(AND(A2130&lt;&gt;"", IFERROR(_xlfn.XMATCH(A2130,$A$2:$A$2509,0,1)&lt;&gt;_xlfn.XMATCH(A2130,$A$2:$A$2509,0,-1),FALSE)), "Código de barras duplicado", ""), IF(AND(E2130&lt;&gt;"", COUNTIF($E$2:$E$2509, E2130)&gt;1), "SKU duplicado", ""), IF(OR(J2130="", J2130=""), "[Aviso] División no capturada ()", IF(ISNA(MATCH(J2130, Criterios!$A$123:$A$126, 0)), "División no válida", "")), IF(OR(K2130="", K2130=""), "[Aviso] Categoría no capturada ()", IF(ISNA(MATCH(K2130, Criterios!$A$81:$A$120, 0)), "Categoría no válida", IF(AND(J2130&lt;&gt;"", J2130&lt;&gt;"", J2130&lt;&gt;VLOOKUP(K2130, Criterios!$A$81:$B$120, 2, FALSE)), "División no coincide con Categoría", ""))), IF(OR(L2130="", L2130=""), "[Aviso] Género no capturado ()", IF(ISNA(MATCH(L2130, Criterios!$B$123:$B$127, 0)), "Género no válido", "")), IF(OR(N2130="", N2130=""), "[Aviso] Temporada no capturada ()", IF(ISNA(MATCH(N2130, Criterios!$C$123:$C$128, 0)), "Temporada no válida", "")), IF(OR(O2130="", O2130=""), "[Aviso] Ciclo de vida no capturado ()", IF(ISNA(MATCH(O2130, Criterios!$D$123:$D$124, 0)), "Ciclo de vida no válido", ""))))</f>
        <v/>
      </c>
      <c r="AC2130" s="56" t="n"/>
      <c r="AD2130" s="51" t="n">
        <v>0</v>
      </c>
      <c r="AE2130" s="156" t="inlineStr">
        <is>
          <t>Sin coincidencia en NetSuite</t>
        </is>
      </c>
      <c r="AF2130" s="51" t="n"/>
      <c r="AG2130" s="156" t="inlineStr">
        <is>
          <t>Catálogo existente</t>
        </is>
      </c>
      <c r="AH2130" s="156" t="inlineStr">
        <is>
          <t>No se encontró en Hoja a Revisar por ID interno ni por código de barras | Consolidado 30/09/2026 con 1 registro(s) duplicado(s) (ver hoja «Consolidación Duplicados»). Completado desde duplicado: WB Silueta, Enlace de imagen. Valores alternos del duplicado (dos): Código de barras: 724304000000 (truncado, descartado) | Marca principal: Stetson | WB N.º de estilo: 9923500 | WB Descripcion: Cinturón Stetson Natural con grabado floral | WB Composición: Cuero de grano superior | WB Descripción larga: Cinturón Stetson Natural con grabado floral; correa de 38 mm; cuero de | 01/10/2026: complementado desde Shopify Stetson México (match por código de barras): WB Fit, WB Silueta (antes «Correa de 38 mm», no válido en Criterios) | Homologación G1522 06/10/2026: Validador Shopify: ST: precio con IVA no es múltiplo de 50</t>
        </is>
      </c>
      <c r="AI2130" s="156" t="n"/>
      <c r="AJ2130" s="156" t="n"/>
      <c r="AK2130" s="155" t="inlineStr">
        <is>
          <t>Shopify Stetson: producto 14697994748267 / variante 52013907542379</t>
        </is>
      </c>
      <c r="AL2130" s="58" t="n">
        <v>814.6551724</v>
      </c>
      <c r="AM2130" s="58" t="n">
        <v>2100</v>
      </c>
      <c r="AN2130" s="155" t="inlineStr">
        <is>
          <t>Shopify Stetson México</t>
        </is>
      </c>
      <c r="AO2130" s="59" t="n">
        <v>0</v>
      </c>
      <c r="AP2130" s="59" t="n"/>
      <c r="AQ2130" s="59" t="n"/>
      <c r="AR2130" s="155" t="n"/>
    </row>
    <row r="2131">
      <c r="A2131" s="50" t="inlineStr">
        <is>
          <t>724303741148</t>
        </is>
      </c>
      <c r="B2131" s="51" t="inlineStr">
        <is>
          <t>109684</t>
        </is>
      </c>
      <c r="C2131" s="156" t="inlineStr">
        <is>
          <t>Multimarca</t>
        </is>
      </c>
      <c r="D2131" s="156" t="inlineStr">
        <is>
          <t>9405790-210</t>
        </is>
      </c>
      <c r="E2131" s="156" t="inlineStr">
        <is>
          <t>9405790-210-S</t>
        </is>
      </c>
      <c r="F2131" s="156" t="inlineStr">
        <is>
          <t>S</t>
        </is>
      </c>
      <c r="G2131" s="156" t="inlineStr">
        <is>
          <t>S</t>
        </is>
      </c>
      <c r="H2131" s="156" t="inlineStr">
        <is>
          <t>Stetson</t>
        </is>
      </c>
      <c r="I2131" s="156" t="inlineStr">
        <is>
          <t>Cinturón Dama Bordado Detalles Repujados</t>
        </is>
      </c>
      <c r="J2131" s="156" t="inlineStr">
        <is>
          <t>Accesorios</t>
        </is>
      </c>
      <c r="K2131" s="156" t="inlineStr">
        <is>
          <t>Cinturones</t>
        </is>
      </c>
      <c r="L2131" s="156" t="inlineStr">
        <is>
          <t>Mujer</t>
        </is>
      </c>
      <c r="M2131" s="156" t="inlineStr">
        <is>
          <t>Stetson</t>
        </is>
      </c>
      <c r="N2131" s="156" t="inlineStr">
        <is>
          <t>SS26</t>
        </is>
      </c>
      <c r="O2131" s="156" t="inlineStr">
        <is>
          <t>Seasonal</t>
        </is>
      </c>
      <c r="P2131" s="156" t="inlineStr">
        <is>
          <t>Cafe</t>
        </is>
      </c>
      <c r="Q2131" s="156" t="n"/>
      <c r="R2131" s="156" t="n"/>
      <c r="S2131" s="156" t="inlineStr">
        <is>
          <t>Piel</t>
        </is>
      </c>
      <c r="T2131"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1" s="156" t="n"/>
      <c r="V2131" s="156" t="inlineStr">
        <is>
          <t>PZS</t>
        </is>
      </c>
      <c r="W2131" s="51" t="inlineStr">
        <is>
          <t>53102501</t>
        </is>
      </c>
      <c r="X2131" s="156" t="inlineStr">
        <is>
          <t>https://cdn.shopify.com/s/files/1/0888/3250/8267/files/9405790-210-01.jpg?v=1761929034</t>
        </is>
      </c>
      <c r="Y2131" s="54" t="n">
        <v>1066.810345</v>
      </c>
      <c r="Z2131" s="54" t="n">
        <v>2370.689655</v>
      </c>
      <c r="AA2131" s="55">
        <f>IF(AND(A2131="", B2131="", E2131=""), "", IF(AB2131="", "Válido", IF((LEN(AB2131)-LEN(SUBSTITUTE(AB2131,"; ","")))/2+1&gt;(LEN(AB2131)-LEN(SUBSTITUTE(AB2131,"[Aviso]","")))/7, "Con Incidencias", "Válido")))</f>
        <v/>
      </c>
      <c r="AB2131" s="56">
        <f>IF(AND(A2131="", B2131="", E2131=""), "", TEXTJOIN("; ", TRUE, IF(OR(TRIM(A2131&amp;"")="", ISNUMBER(SEARCH("FALTA", A2131))), "UPC faltante/inválido", ""), IF(AND(A2131&lt;&gt;"", IFERROR(_xlfn.XMATCH(A2131,$A$2:$A$2509,0,1)&lt;&gt;_xlfn.XMATCH(A2131,$A$2:$A$2509,0,-1),FALSE)), "Código de barras duplicado", ""), IF(AND(E2131&lt;&gt;"", COUNTIF($E$2:$E$2509, E2131)&gt;1), "SKU duplicado", ""), IF(OR(J2131="", J2131=""), "[Aviso] División no capturada ()", IF(ISNA(MATCH(J2131, Criterios!$A$123:$A$126, 0)), "División no válida", "")), IF(OR(K2131="", K2131=""), "[Aviso] Categoría no capturada ()", IF(ISNA(MATCH(K2131, Criterios!$A$81:$A$120, 0)), "Categoría no válida", IF(AND(J2131&lt;&gt;"", J2131&lt;&gt;"", J2131&lt;&gt;VLOOKUP(K2131, Criterios!$A$81:$B$120, 2, FALSE)), "División no coincide con Categoría", ""))), IF(OR(L2131="", L2131=""), "[Aviso] Género no capturado ()", IF(ISNA(MATCH(L2131, Criterios!$B$123:$B$127, 0)), "Género no válido", "")), IF(OR(N2131="", N2131=""), "[Aviso] Temporada no capturada ()", IF(ISNA(MATCH(N2131, Criterios!$C$123:$C$128, 0)), "Temporada no válida", "")), IF(OR(O2131="", O2131=""), "[Aviso] Ciclo de vida no capturado ()", IF(ISNA(MATCH(O2131, Criterios!$D$123:$D$124, 0)), "Ciclo de vida no válido", ""))))</f>
        <v/>
      </c>
      <c r="AC2131" s="56" t="n"/>
      <c r="AD2131" s="51" t="n">
        <v>2</v>
      </c>
      <c r="AE2131" s="156" t="inlineStr">
        <is>
          <t>WB OUTLET LERMA (1); B25 STETSON.MX (1)</t>
        </is>
      </c>
      <c r="AF2131" s="51" t="n">
        <v>2</v>
      </c>
      <c r="AG2131" s="156" t="inlineStr">
        <is>
          <t>Catálogo existente</t>
        </is>
      </c>
      <c r="AH2131" s="156" t="inlineStr">
        <is>
          <t>Revisión 29/09/2026: Campos sin respaldo: P, U | 01/10/2026: complementado desde Shopify Stetson México (match por código de barras): WB Color, WB Fit, WB Silueta | 01/10/2026: Shopify Western Brothers trae Color «Varios» — se conservó el valor de Productos</t>
        </is>
      </c>
      <c r="AI2131" s="156" t="inlineStr">
        <is>
          <t>No</t>
        </is>
      </c>
      <c r="AJ2131" s="156" t="n"/>
      <c r="AK2131" s="155" t="inlineStr">
        <is>
          <t>Criterios: I [Q] | Criterios: J [R] | Shopify Stetson: producto 14811705082219 / variante 53350601916779 | Shopify WB: producto 10310238503097 / variante 50512091250873</t>
        </is>
      </c>
      <c r="AL2131" s="58" t="n">
        <v>1066.810345</v>
      </c>
      <c r="AM2131" s="58" t="n">
        <v>2370.689655</v>
      </c>
      <c r="AN2131" s="155" t="inlineStr">
        <is>
          <t>Shopify Stetson México | Shopify Western Brothers</t>
        </is>
      </c>
      <c r="AO2131" s="59" t="n">
        <v>2</v>
      </c>
      <c r="AP2131" s="59" t="n">
        <v>1</v>
      </c>
      <c r="AQ2131" s="59" t="n"/>
      <c r="AR2131" s="155" t="inlineStr">
        <is>
          <t>Shopify Stetson México › Stetson México: 1 | Shopify Stetson México › Eventos: 1 | Shopify Western Brothers › Western Brothers Outlet Lerma: 1</t>
        </is>
      </c>
    </row>
    <row r="2132">
      <c r="A2132" s="50" t="inlineStr">
        <is>
          <t>724303741155</t>
        </is>
      </c>
      <c r="B2132" s="51" t="inlineStr">
        <is>
          <t>109685</t>
        </is>
      </c>
      <c r="C2132" s="156" t="inlineStr">
        <is>
          <t>Multimarca</t>
        </is>
      </c>
      <c r="D2132" s="156" t="inlineStr">
        <is>
          <t>9405790-210</t>
        </is>
      </c>
      <c r="E2132" s="156" t="inlineStr">
        <is>
          <t>9405790-210-M</t>
        </is>
      </c>
      <c r="F2132" s="156" t="inlineStr">
        <is>
          <t>M</t>
        </is>
      </c>
      <c r="G2132" s="156" t="inlineStr">
        <is>
          <t>M</t>
        </is>
      </c>
      <c r="H2132" s="156" t="inlineStr">
        <is>
          <t>Stetson</t>
        </is>
      </c>
      <c r="I2132" s="156" t="inlineStr">
        <is>
          <t>Cinturón Dama Bordado Detalles Repujados</t>
        </is>
      </c>
      <c r="J2132" s="156" t="inlineStr">
        <is>
          <t>Accesorios</t>
        </is>
      </c>
      <c r="K2132" s="156" t="inlineStr">
        <is>
          <t>Cinturones</t>
        </is>
      </c>
      <c r="L2132" s="156" t="inlineStr">
        <is>
          <t>Mujer</t>
        </is>
      </c>
      <c r="M2132" s="156" t="inlineStr">
        <is>
          <t>Stetson</t>
        </is>
      </c>
      <c r="N2132" s="156" t="inlineStr">
        <is>
          <t>SS26</t>
        </is>
      </c>
      <c r="O2132" s="156" t="inlineStr">
        <is>
          <t>Seasonal</t>
        </is>
      </c>
      <c r="P2132" s="156" t="inlineStr">
        <is>
          <t>Cafe</t>
        </is>
      </c>
      <c r="Q2132" s="156" t="n"/>
      <c r="R2132" s="156" t="n"/>
      <c r="S2132" s="156" t="inlineStr">
        <is>
          <t>Piel</t>
        </is>
      </c>
      <c r="T2132"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2" s="156" t="n"/>
      <c r="V2132" s="156" t="inlineStr">
        <is>
          <t>PZS</t>
        </is>
      </c>
      <c r="W2132" s="51" t="inlineStr">
        <is>
          <t>53102501</t>
        </is>
      </c>
      <c r="X2132" s="156" t="inlineStr">
        <is>
          <t>https://cdn.shopify.com/s/files/1/0888/3250/8267/files/9405790-210-02.jpg?v=1761929034</t>
        </is>
      </c>
      <c r="Y2132" s="54" t="n">
        <v>1066.810345</v>
      </c>
      <c r="Z2132" s="54" t="n">
        <v>2370.689655</v>
      </c>
      <c r="AA2132" s="55">
        <f>IF(AND(A2132="", B2132="", E2132=""), "", IF(AB2132="", "Válido", IF((LEN(AB2132)-LEN(SUBSTITUTE(AB2132,"; ","")))/2+1&gt;(LEN(AB2132)-LEN(SUBSTITUTE(AB2132,"[Aviso]","")))/7, "Con Incidencias", "Válido")))</f>
        <v/>
      </c>
      <c r="AB2132" s="56">
        <f>IF(AND(A2132="", B2132="", E2132=""), "", TEXTJOIN("; ", TRUE, IF(OR(TRIM(A2132&amp;"")="", ISNUMBER(SEARCH("FALTA", A2132))), "UPC faltante/inválido", ""), IF(AND(A2132&lt;&gt;"", IFERROR(_xlfn.XMATCH(A2132,$A$2:$A$2509,0,1)&lt;&gt;_xlfn.XMATCH(A2132,$A$2:$A$2509,0,-1),FALSE)), "Código de barras duplicado", ""), IF(AND(E2132&lt;&gt;"", COUNTIF($E$2:$E$2509, E2132)&gt;1), "SKU duplicado", ""), IF(OR(J2132="", J2132=""), "[Aviso] División no capturada ()", IF(ISNA(MATCH(J2132, Criterios!$A$123:$A$126, 0)), "División no válida", "")), IF(OR(K2132="", K2132=""), "[Aviso] Categoría no capturada ()", IF(ISNA(MATCH(K2132, Criterios!$A$81:$A$120, 0)), "Categoría no válida", IF(AND(J2132&lt;&gt;"", J2132&lt;&gt;"", J2132&lt;&gt;VLOOKUP(K2132, Criterios!$A$81:$B$120, 2, FALSE)), "División no coincide con Categoría", ""))), IF(OR(L2132="", L2132=""), "[Aviso] Género no capturado ()", IF(ISNA(MATCH(L2132, Criterios!$B$123:$B$127, 0)), "Género no válido", "")), IF(OR(N2132="", N2132=""), "[Aviso] Temporada no capturada ()", IF(ISNA(MATCH(N2132, Criterios!$C$123:$C$128, 0)), "Temporada no válida", "")), IF(OR(O2132="", O2132=""), "[Aviso] Ciclo de vida no capturado ()", IF(ISNA(MATCH(O2132, Criterios!$D$123:$D$124, 0)), "Ciclo de vida no válido", ""))))</f>
        <v/>
      </c>
      <c r="AC2132" s="56" t="n"/>
      <c r="AD2132" s="51" t="n">
        <v>3</v>
      </c>
      <c r="AE2132" s="156" t="inlineStr">
        <is>
          <t>WB OUTLET LERMA (1); B25 STETSON.MX (2)</t>
        </is>
      </c>
      <c r="AF2132" s="51" t="n">
        <v>3</v>
      </c>
      <c r="AG2132" s="156" t="inlineStr">
        <is>
          <t>Catálogo existente</t>
        </is>
      </c>
      <c r="AH2132" s="156" t="inlineStr">
        <is>
          <t>Revisión 29/09/2026: Campos sin respaldo: P, U | 01/10/2026: complementado desde Shopify Stetson México (match por código de barras): WB Color, WB Fit, WB Silueta | 01/10/2026: Shopify Western Brothers trae Color «Varios» — se conservó el valor de Productos</t>
        </is>
      </c>
      <c r="AI2132" s="156" t="inlineStr">
        <is>
          <t>No</t>
        </is>
      </c>
      <c r="AJ2132" s="156" t="n"/>
      <c r="AK2132" s="155" t="inlineStr">
        <is>
          <t>Criterios: I [Q] | Criterios: J [R] | Shopify Stetson: producto 14811705082219 / variante 53350601949547 | Shopify WB: producto 10310238503097 / variante 50512091283641</t>
        </is>
      </c>
      <c r="AL2132" s="58" t="n">
        <v>1066.810345</v>
      </c>
      <c r="AM2132" s="58" t="n">
        <v>2370.689655</v>
      </c>
      <c r="AN2132" s="155" t="inlineStr">
        <is>
          <t>Shopify Stetson México | Shopify Western Brothers</t>
        </is>
      </c>
      <c r="AO2132" s="59" t="n">
        <v>4</v>
      </c>
      <c r="AP2132" s="59" t="n">
        <v>1</v>
      </c>
      <c r="AQ2132" s="59" t="n"/>
      <c r="AR2132" s="155" t="inlineStr">
        <is>
          <t>Shopify Stetson México › Stetson México: 2 | Shopify Stetson México › Stetson Americas: 1 | Shopify Stetson México › Eventos: 1 | Shopify Western Brothers › Western Brothers Outlet Lerma: 1</t>
        </is>
      </c>
    </row>
    <row r="2133">
      <c r="A2133" s="50" t="inlineStr">
        <is>
          <t>724303741162</t>
        </is>
      </c>
      <c r="B2133" s="51" t="inlineStr">
        <is>
          <t>109686</t>
        </is>
      </c>
      <c r="C2133" s="156" t="inlineStr">
        <is>
          <t>Multimarca</t>
        </is>
      </c>
      <c r="D2133" s="156" t="inlineStr">
        <is>
          <t>9405790-210</t>
        </is>
      </c>
      <c r="E2133" s="156" t="inlineStr">
        <is>
          <t>9405790-210-L</t>
        </is>
      </c>
      <c r="F2133" s="156" t="inlineStr">
        <is>
          <t>L</t>
        </is>
      </c>
      <c r="G2133" s="156" t="inlineStr">
        <is>
          <t>L</t>
        </is>
      </c>
      <c r="H2133" s="156" t="inlineStr">
        <is>
          <t>Stetson</t>
        </is>
      </c>
      <c r="I2133" s="156" t="inlineStr">
        <is>
          <t>Cinturón Dama Bordado Detalles Repujados</t>
        </is>
      </c>
      <c r="J2133" s="156" t="inlineStr">
        <is>
          <t>Accesorios</t>
        </is>
      </c>
      <c r="K2133" s="156" t="inlineStr">
        <is>
          <t>Cinturones</t>
        </is>
      </c>
      <c r="L2133" s="156" t="inlineStr">
        <is>
          <t>Mujer</t>
        </is>
      </c>
      <c r="M2133" s="156" t="inlineStr">
        <is>
          <t>Stetson</t>
        </is>
      </c>
      <c r="N2133" s="156" t="inlineStr">
        <is>
          <t>SS26</t>
        </is>
      </c>
      <c r="O2133" s="156" t="inlineStr">
        <is>
          <t>Seasonal</t>
        </is>
      </c>
      <c r="P2133" s="156" t="inlineStr">
        <is>
          <t>Cafe</t>
        </is>
      </c>
      <c r="Q2133" s="156" t="n"/>
      <c r="R2133" s="156" t="n"/>
      <c r="S2133" s="156" t="inlineStr">
        <is>
          <t>Piel</t>
        </is>
      </c>
      <c r="T2133"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3" s="156" t="n"/>
      <c r="V2133" s="156" t="inlineStr">
        <is>
          <t>PZS</t>
        </is>
      </c>
      <c r="W2133" s="51" t="inlineStr">
        <is>
          <t>53102501</t>
        </is>
      </c>
      <c r="X2133" s="156" t="inlineStr">
        <is>
          <t>https://cdn.shopify.com/s/files/1/0888/3250/8267/files/9405790-210-03.jpg?v=1761929034</t>
        </is>
      </c>
      <c r="Y2133" s="54" t="n">
        <v>1066.810345</v>
      </c>
      <c r="Z2133" s="54" t="n">
        <v>2370.689655</v>
      </c>
      <c r="AA2133" s="55">
        <f>IF(AND(A2133="", B2133="", E2133=""), "", IF(AB2133="", "Válido", IF((LEN(AB2133)-LEN(SUBSTITUTE(AB2133,"; ","")))/2+1&gt;(LEN(AB2133)-LEN(SUBSTITUTE(AB2133,"[Aviso]","")))/7, "Con Incidencias", "Válido")))</f>
        <v/>
      </c>
      <c r="AB2133" s="56">
        <f>IF(AND(A2133="", B2133="", E2133=""), "", TEXTJOIN("; ", TRUE, IF(OR(TRIM(A2133&amp;"")="", ISNUMBER(SEARCH("FALTA", A2133))), "UPC faltante/inválido", ""), IF(AND(A2133&lt;&gt;"", IFERROR(_xlfn.XMATCH(A2133,$A$2:$A$2509,0,1)&lt;&gt;_xlfn.XMATCH(A2133,$A$2:$A$2509,0,-1),FALSE)), "Código de barras duplicado", ""), IF(AND(E2133&lt;&gt;"", COUNTIF($E$2:$E$2509, E2133)&gt;1), "SKU duplicado", ""), IF(OR(J2133="", J2133=""), "[Aviso] División no capturada ()", IF(ISNA(MATCH(J2133, Criterios!$A$123:$A$126, 0)), "División no válida", "")), IF(OR(K2133="", K2133=""), "[Aviso] Categoría no capturada ()", IF(ISNA(MATCH(K2133, Criterios!$A$81:$A$120, 0)), "Categoría no válida", IF(AND(J2133&lt;&gt;"", J2133&lt;&gt;"", J2133&lt;&gt;VLOOKUP(K2133, Criterios!$A$81:$B$120, 2, FALSE)), "División no coincide con Categoría", ""))), IF(OR(L2133="", L2133=""), "[Aviso] Género no capturado ()", IF(ISNA(MATCH(L2133, Criterios!$B$123:$B$127, 0)), "Género no válido", "")), IF(OR(N2133="", N2133=""), "[Aviso] Temporada no capturada ()", IF(ISNA(MATCH(N2133, Criterios!$C$123:$C$128, 0)), "Temporada no válida", "")), IF(OR(O2133="", O2133=""), "[Aviso] Ciclo de vida no capturado ()", IF(ISNA(MATCH(O2133, Criterios!$D$123:$D$124, 0)), "Ciclo de vida no válido", ""))))</f>
        <v/>
      </c>
      <c r="AC2133" s="56" t="n"/>
      <c r="AD2133" s="51" t="n">
        <v>2</v>
      </c>
      <c r="AE2133" s="156" t="inlineStr">
        <is>
          <t>WB OUTLET LERMA (1); B25 STETSON.MX (1)</t>
        </is>
      </c>
      <c r="AF2133" s="51" t="n">
        <v>2</v>
      </c>
      <c r="AG2133" s="156" t="inlineStr">
        <is>
          <t>Catálogo existente</t>
        </is>
      </c>
      <c r="AH2133" s="156" t="inlineStr">
        <is>
          <t>Revisión 29/09/2026: Campos sin respaldo: P, U | 01/10/2026: complementado desde Shopify Stetson México (match por código de barras): WB Color, WB Fit, WB Silueta | 01/10/2026: Shopify Western Brothers trae Color «Varios» — se conservó el valor de Productos</t>
        </is>
      </c>
      <c r="AI2133" s="156" t="inlineStr">
        <is>
          <t>No</t>
        </is>
      </c>
      <c r="AJ2133" s="156" t="n"/>
      <c r="AK2133" s="155" t="inlineStr">
        <is>
          <t>Criterios: I [Q] | Criterios: J [R] | Shopify Stetson: producto 14811705082219 / variante 53350601982315 | Shopify WB: producto 10310238503097 / variante 50512091316409</t>
        </is>
      </c>
      <c r="AL2133" s="58" t="n">
        <v>1066.810345</v>
      </c>
      <c r="AM2133" s="58" t="n">
        <v>2370.689655</v>
      </c>
      <c r="AN2133" s="155" t="inlineStr">
        <is>
          <t>Shopify Stetson México | Shopify Western Brothers</t>
        </is>
      </c>
      <c r="AO2133" s="59" t="n">
        <v>4</v>
      </c>
      <c r="AP2133" s="59" t="n">
        <v>1</v>
      </c>
      <c r="AQ2133" s="59" t="n"/>
      <c r="AR2133" s="155" t="inlineStr">
        <is>
          <t>Shopify Stetson México › Stetson México: 1 | Shopify Stetson México › Stetson Americas: 2 | Shopify Stetson México › Eventos: 1 | Shopify Western Brothers › Western Brothers Outlet Lerma: 1</t>
        </is>
      </c>
    </row>
    <row r="2134">
      <c r="A2134" s="50" t="inlineStr">
        <is>
          <t>724303741179</t>
        </is>
      </c>
      <c r="B2134" s="51" t="inlineStr">
        <is>
          <t>109687</t>
        </is>
      </c>
      <c r="C2134" s="156" t="inlineStr">
        <is>
          <t>Multimarca</t>
        </is>
      </c>
      <c r="D2134" s="156" t="inlineStr">
        <is>
          <t>9405790-210</t>
        </is>
      </c>
      <c r="E2134" s="156" t="inlineStr">
        <is>
          <t>9405790-210-XL</t>
        </is>
      </c>
      <c r="F2134" s="156" t="inlineStr">
        <is>
          <t>XL</t>
        </is>
      </c>
      <c r="G2134" s="156" t="inlineStr">
        <is>
          <t>XL</t>
        </is>
      </c>
      <c r="H2134" s="156" t="inlineStr">
        <is>
          <t>Stetson</t>
        </is>
      </c>
      <c r="I2134" s="156" t="inlineStr">
        <is>
          <t>Cinturón Dama Bordado Detalles Repujados</t>
        </is>
      </c>
      <c r="J2134" s="156" t="inlineStr">
        <is>
          <t>Accesorios</t>
        </is>
      </c>
      <c r="K2134" s="156" t="inlineStr">
        <is>
          <t>Cinturones</t>
        </is>
      </c>
      <c r="L2134" s="156" t="inlineStr">
        <is>
          <t>Mujer</t>
        </is>
      </c>
      <c r="M2134" s="156" t="inlineStr">
        <is>
          <t>Stetson</t>
        </is>
      </c>
      <c r="N2134" s="156" t="inlineStr">
        <is>
          <t>SS26</t>
        </is>
      </c>
      <c r="O2134" s="156" t="inlineStr">
        <is>
          <t>Seasonal</t>
        </is>
      </c>
      <c r="P2134" s="156" t="inlineStr">
        <is>
          <t>Cafe</t>
        </is>
      </c>
      <c r="Q2134" s="156" t="n"/>
      <c r="R2134" s="156" t="n"/>
      <c r="S2134" s="156" t="inlineStr">
        <is>
          <t>Piel</t>
        </is>
      </c>
      <c r="T2134" s="156" t="inlineStr">
        <is>
          <t>El Cinturón Bordado con Detalles Repujados Stetson combina el auténtico estilo del Oeste con la calidad artesanal que distingue a la marca. Fabricado en piel de primera calidad, presenta un diseño bordado de inspiración suroeste, con pestañas y bordes repujados que realzan su carácter único. Incluye cinco perforaciones para un ajuste perfecto y una hebilla Stetson en tono plateado con grabado fino, que aporta un toque elegante y distintivo.
 Ideal para complementar tus jeans favoritos, tus botas o tu sombrero Stetson.
 Características:
 • Ancho de 1 ½” (38 mm)
 • Diseño bordado de estilo suroeste
 • Pestañas y bordes repujados
 • Hebilla Stetson grabada en tono plateado
 • Fabricado en piel genuina
 • Importado
 Tallas:
 • S: 28–30 (29" al orificio central)
 • M: 32–34 (33" al orificio central)
 • L: 36–38 (37" al orificio central)
 • XL: 40–42 (41" al orificio central)
 • XXL: 44–46 (45" al orificio central)</t>
        </is>
      </c>
      <c r="U2134" s="156" t="n"/>
      <c r="V2134" s="156" t="inlineStr">
        <is>
          <t>PZS</t>
        </is>
      </c>
      <c r="W2134" s="51" t="inlineStr">
        <is>
          <t>53102501</t>
        </is>
      </c>
      <c r="X2134" s="156" t="inlineStr">
        <is>
          <t>https://cdn.shopify.com/s/files/1/0888/3250/8267/files/9405790-210-04.jpg?v=1761929034</t>
        </is>
      </c>
      <c r="Y2134" s="54" t="n">
        <v>1066.810345</v>
      </c>
      <c r="Z2134" s="54" t="n">
        <v>2370.689655</v>
      </c>
      <c r="AA2134" s="55">
        <f>IF(AND(A2134="", B2134="", E2134=""), "", IF(AB2134="", "Válido", IF((LEN(AB2134)-LEN(SUBSTITUTE(AB2134,"; ","")))/2+1&gt;(LEN(AB2134)-LEN(SUBSTITUTE(AB2134,"[Aviso]","")))/7, "Con Incidencias", "Válido")))</f>
        <v/>
      </c>
      <c r="AB2134" s="56">
        <f>IF(AND(A2134="", B2134="", E2134=""), "", TEXTJOIN("; ", TRUE, IF(OR(TRIM(A2134&amp;"")="", ISNUMBER(SEARCH("FALTA", A2134))), "UPC faltante/inválido", ""), IF(AND(A2134&lt;&gt;"", IFERROR(_xlfn.XMATCH(A2134,$A$2:$A$2509,0,1)&lt;&gt;_xlfn.XMATCH(A2134,$A$2:$A$2509,0,-1),FALSE)), "Código de barras duplicado", ""), IF(AND(E2134&lt;&gt;"", COUNTIF($E$2:$E$2509, E2134)&gt;1), "SKU duplicado", ""), IF(OR(J2134="", J2134=""), "[Aviso] División no capturada ()", IF(ISNA(MATCH(J2134, Criterios!$A$123:$A$126, 0)), "División no válida", "")), IF(OR(K2134="", K2134=""), "[Aviso] Categoría no capturada ()", IF(ISNA(MATCH(K2134, Criterios!$A$81:$A$120, 0)), "Categoría no válida", IF(AND(J2134&lt;&gt;"", J2134&lt;&gt;"", J2134&lt;&gt;VLOOKUP(K2134, Criterios!$A$81:$B$120, 2, FALSE)), "División no coincide con Categoría", ""))), IF(OR(L2134="", L2134=""), "[Aviso] Género no capturado ()", IF(ISNA(MATCH(L2134, Criterios!$B$123:$B$127, 0)), "Género no válido", "")), IF(OR(N2134="", N2134=""), "[Aviso] Temporada no capturada ()", IF(ISNA(MATCH(N2134, Criterios!$C$123:$C$128, 0)), "Temporada no válida", "")), IF(OR(O2134="", O2134=""), "[Aviso] Ciclo de vida no capturado ()", IF(ISNA(MATCH(O2134, Criterios!$D$123:$D$124, 0)), "Ciclo de vida no válido", ""))))</f>
        <v/>
      </c>
      <c r="AC2134" s="56" t="n"/>
      <c r="AD2134" s="51" t="n">
        <v>0</v>
      </c>
      <c r="AE2134" s="156" t="n"/>
      <c r="AF2134" s="51" t="n">
        <v>0</v>
      </c>
      <c r="AG2134" s="156" t="inlineStr">
        <is>
          <t>Catálogo existente</t>
        </is>
      </c>
      <c r="AH2134" s="156" t="inlineStr">
        <is>
          <t>Revisión 29/09/2026: Campos sin respaldo: P, U | 01/10/2026: complementado desde Shopify Stetson México (match por código de barras): WB Color, WB Fit, WB Silueta</t>
        </is>
      </c>
      <c r="AI2134" s="156" t="inlineStr">
        <is>
          <t>No</t>
        </is>
      </c>
      <c r="AJ2134" s="156" t="n"/>
      <c r="AK2134" s="155" t="inlineStr">
        <is>
          <t>Criterios: I [Q] | Criterios: J [R] | Shopify Stetson: producto 14811705082219 / variante 53350602015083</t>
        </is>
      </c>
      <c r="AL2134" s="58" t="n">
        <v>1066.810345</v>
      </c>
      <c r="AM2134" s="58" t="n">
        <v>2370.689655</v>
      </c>
      <c r="AN2134" s="155" t="inlineStr">
        <is>
          <t>Shopify Stetson México</t>
        </is>
      </c>
      <c r="AO2134" s="59" t="n">
        <v>1</v>
      </c>
      <c r="AP2134" s="59" t="n"/>
      <c r="AQ2134" s="59" t="n"/>
      <c r="AR2134" s="155" t="inlineStr">
        <is>
          <t>Shopify Stetson México › Stetson Americas: 1</t>
        </is>
      </c>
    </row>
    <row r="2135">
      <c r="A2135" s="50" t="inlineStr">
        <is>
          <t>724303741896</t>
        </is>
      </c>
      <c r="B2135" s="51" t="inlineStr">
        <is>
          <t>109692</t>
        </is>
      </c>
      <c r="C2135" s="156" t="inlineStr">
        <is>
          <t>Multimarca</t>
        </is>
      </c>
      <c r="D2135" s="156" t="inlineStr">
        <is>
          <t>9408790-233</t>
        </is>
      </c>
      <c r="E2135" s="156" t="inlineStr">
        <is>
          <t>9408790-233-S</t>
        </is>
      </c>
      <c r="F2135" s="156" t="inlineStr">
        <is>
          <t>S</t>
        </is>
      </c>
      <c r="G2135" s="156" t="inlineStr">
        <is>
          <t>S</t>
        </is>
      </c>
      <c r="H2135" s="156" t="inlineStr">
        <is>
          <t>Stetson</t>
        </is>
      </c>
      <c r="I2135" s="156" t="inlineStr">
        <is>
          <t>Cinturón Stetson Dama BELT35MM</t>
        </is>
      </c>
      <c r="J2135" s="156" t="inlineStr">
        <is>
          <t>Accesorios</t>
        </is>
      </c>
      <c r="K2135" s="156" t="inlineStr">
        <is>
          <t>Cinturones</t>
        </is>
      </c>
      <c r="L2135" s="156" t="inlineStr">
        <is>
          <t>Mujer</t>
        </is>
      </c>
      <c r="M2135" s="156" t="inlineStr">
        <is>
          <t>Stetson</t>
        </is>
      </c>
      <c r="N2135" s="156" t="inlineStr">
        <is>
          <t>SS26</t>
        </is>
      </c>
      <c r="O2135" s="156" t="inlineStr">
        <is>
          <t>Seasonal</t>
        </is>
      </c>
      <c r="P2135" s="156" t="inlineStr">
        <is>
          <t>Varios</t>
        </is>
      </c>
      <c r="Q2135" s="156" t="n"/>
      <c r="R2135" s="156" t="n"/>
      <c r="S2135" s="156" t="n"/>
      <c r="T2135" s="156" t="inlineStr">
        <is>
          <t>Producto Cinturón Stetson Dama BELT35MM de la marca Stetson, ideal para uso diario. Fabricado con los mejores materiales para garantizar durabilidad y comodidad. Estilo western auténtico.</t>
        </is>
      </c>
      <c r="U2135" s="156" t="n"/>
      <c r="V2135" s="156" t="inlineStr">
        <is>
          <t>PZS</t>
        </is>
      </c>
      <c r="W2135" s="51" t="inlineStr">
        <is>
          <t>53102501</t>
        </is>
      </c>
      <c r="X2135" s="156" t="n"/>
      <c r="Y2135" s="54" t="n">
        <v>950.4310345</v>
      </c>
      <c r="Z2135" s="54" t="n">
        <v>2112.068966</v>
      </c>
      <c r="AA2135" s="55">
        <f>IF(AND(A2135="", B2135="", E2135=""), "", IF(AB2135="", "Válido", IF((LEN(AB2135)-LEN(SUBSTITUTE(AB2135,"; ","")))/2+1&gt;(LEN(AB2135)-LEN(SUBSTITUTE(AB2135,"[Aviso]","")))/7, "Con Incidencias", "Válido")))</f>
        <v/>
      </c>
      <c r="AB2135" s="56">
        <f>IF(AND(A2135="", B2135="", E2135=""), "", TEXTJOIN("; ", TRUE, IF(OR(TRIM(A2135&amp;"")="", ISNUMBER(SEARCH("FALTA", A2135))), "UPC faltante/inválido", ""), IF(AND(A2135&lt;&gt;"", IFERROR(_xlfn.XMATCH(A2135,$A$2:$A$2509,0,1)&lt;&gt;_xlfn.XMATCH(A2135,$A$2:$A$2509,0,-1),FALSE)), "Código de barras duplicado", ""), IF(AND(E2135&lt;&gt;"", COUNTIF($E$2:$E$2509, E2135)&gt;1), "SKU duplicado", ""), IF(OR(J2135="", J2135=""), "[Aviso] División no capturada ()", IF(ISNA(MATCH(J2135, Criterios!$A$123:$A$126, 0)), "División no válida", "")), IF(OR(K2135="", K2135=""), "[Aviso] Categoría no capturada ()", IF(ISNA(MATCH(K2135, Criterios!$A$81:$A$120, 0)), "Categoría no válida", IF(AND(J2135&lt;&gt;"", J2135&lt;&gt;"", J2135&lt;&gt;VLOOKUP(K2135, Criterios!$A$81:$B$120, 2, FALSE)), "División no coincide con Categoría", ""))), IF(OR(L2135="", L2135=""), "[Aviso] Género no capturado ()", IF(ISNA(MATCH(L2135, Criterios!$B$123:$B$127, 0)), "Género no válido", "")), IF(OR(N2135="", N2135=""), "[Aviso] Temporada no capturada ()", IF(ISNA(MATCH(N2135, Criterios!$C$123:$C$128, 0)), "Temporada no válida", "")), IF(OR(O2135="", O2135=""), "[Aviso] Ciclo de vida no capturado ()", IF(ISNA(MATCH(O2135, Criterios!$D$123:$D$124, 0)), "Ciclo de vida no válido", ""))))</f>
        <v/>
      </c>
      <c r="AC2135" s="56" t="n"/>
      <c r="AD2135" s="51" t="n">
        <v>0</v>
      </c>
      <c r="AE2135" s="156" t="inlineStr">
        <is>
          <t>WB OUTLET LERMA (1)</t>
        </is>
      </c>
      <c r="AF2135" s="51" t="n">
        <v>1</v>
      </c>
      <c r="AG2135" s="156" t="inlineStr">
        <is>
          <t>Catálogo existente</t>
        </is>
      </c>
      <c r="AH2135"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5" s="156" t="inlineStr">
        <is>
          <t>Sí</t>
        </is>
      </c>
      <c r="AJ2135" s="156" t="inlineStr">
        <is>
          <t>STETSON AMERICAS (-1)</t>
        </is>
      </c>
      <c r="AK2135" s="155" t="inlineStr">
        <is>
          <t>Criterios: I [Q] | Criterios: J [R] | Shopify Stetson: producto 15056328720747 / variante 53357911212395 | Shopify WB: producto 10310239027385 / variante 50512092266681</t>
        </is>
      </c>
      <c r="AL2135" s="58" t="n">
        <v>950.4310345</v>
      </c>
      <c r="AM2135" s="58" t="n">
        <v>2112.068966</v>
      </c>
      <c r="AN2135" s="155" t="inlineStr">
        <is>
          <t>Shopify Stetson México | Shopify Western Brothers</t>
        </is>
      </c>
      <c r="AO2135" s="59" t="n">
        <v>3</v>
      </c>
      <c r="AP2135" s="59" t="n">
        <v>1</v>
      </c>
      <c r="AQ2135" s="59" t="n"/>
      <c r="AR2135" s="155" t="inlineStr">
        <is>
          <t>Shopify Stetson México › Stetson Americas: 3 | Shopify Western Brothers › Western Brothers Outlet Lerma: 1</t>
        </is>
      </c>
    </row>
    <row r="2136">
      <c r="A2136" s="50" t="inlineStr">
        <is>
          <t>724303741902</t>
        </is>
      </c>
      <c r="B2136" s="51" t="inlineStr">
        <is>
          <t>109693</t>
        </is>
      </c>
      <c r="C2136" s="156" t="inlineStr">
        <is>
          <t>Multimarca</t>
        </is>
      </c>
      <c r="D2136" s="156" t="inlineStr">
        <is>
          <t>9408790-233</t>
        </is>
      </c>
      <c r="E2136" s="156" t="inlineStr">
        <is>
          <t>9408790-233-M</t>
        </is>
      </c>
      <c r="F2136" s="156" t="inlineStr">
        <is>
          <t>M</t>
        </is>
      </c>
      <c r="G2136" s="156" t="inlineStr">
        <is>
          <t>M</t>
        </is>
      </c>
      <c r="H2136" s="156" t="inlineStr">
        <is>
          <t>Stetson</t>
        </is>
      </c>
      <c r="I2136" s="156" t="inlineStr">
        <is>
          <t>Cinturón Stetson Dama BELT35MM</t>
        </is>
      </c>
      <c r="J2136" s="156" t="inlineStr">
        <is>
          <t>Accesorios</t>
        </is>
      </c>
      <c r="K2136" s="156" t="inlineStr">
        <is>
          <t>Cinturones</t>
        </is>
      </c>
      <c r="L2136" s="156" t="inlineStr">
        <is>
          <t>Mujer</t>
        </is>
      </c>
      <c r="M2136" s="156" t="inlineStr">
        <is>
          <t>Stetson</t>
        </is>
      </c>
      <c r="N2136" s="156" t="inlineStr">
        <is>
          <t>SS26</t>
        </is>
      </c>
      <c r="O2136" s="156" t="inlineStr">
        <is>
          <t>Seasonal</t>
        </is>
      </c>
      <c r="P2136" s="156" t="inlineStr">
        <is>
          <t>Varios</t>
        </is>
      </c>
      <c r="Q2136" s="156" t="n"/>
      <c r="R2136" s="156" t="n"/>
      <c r="S2136" s="156" t="n"/>
      <c r="T2136" s="156" t="inlineStr">
        <is>
          <t>Producto Cinturón Stetson Dama BELT35MM de la marca Stetson, ideal para uso diario. Fabricado con los mejores materiales para garantizar durabilidad y comodidad. Estilo western auténtico.</t>
        </is>
      </c>
      <c r="U2136" s="156" t="n"/>
      <c r="V2136" s="156" t="inlineStr">
        <is>
          <t>PZS</t>
        </is>
      </c>
      <c r="W2136" s="51" t="inlineStr">
        <is>
          <t>53102501</t>
        </is>
      </c>
      <c r="X2136" s="156" t="n"/>
      <c r="Y2136" s="54" t="n">
        <v>950.4310345</v>
      </c>
      <c r="Z2136" s="54" t="n">
        <v>2112.068966</v>
      </c>
      <c r="AA2136" s="55">
        <f>IF(AND(A2136="", B2136="", E2136=""), "", IF(AB2136="", "Válido", IF((LEN(AB2136)-LEN(SUBSTITUTE(AB2136,"; ","")))/2+1&gt;(LEN(AB2136)-LEN(SUBSTITUTE(AB2136,"[Aviso]","")))/7, "Con Incidencias", "Válido")))</f>
        <v/>
      </c>
      <c r="AB2136" s="56">
        <f>IF(AND(A2136="", B2136="", E2136=""), "", TEXTJOIN("; ", TRUE, IF(OR(TRIM(A2136&amp;"")="", ISNUMBER(SEARCH("FALTA", A2136))), "UPC faltante/inválido", ""), IF(AND(A2136&lt;&gt;"", IFERROR(_xlfn.XMATCH(A2136,$A$2:$A$2509,0,1)&lt;&gt;_xlfn.XMATCH(A2136,$A$2:$A$2509,0,-1),FALSE)), "Código de barras duplicado", ""), IF(AND(E2136&lt;&gt;"", COUNTIF($E$2:$E$2509, E2136)&gt;1), "SKU duplicado", ""), IF(OR(J2136="", J2136=""), "[Aviso] División no capturada ()", IF(ISNA(MATCH(J2136, Criterios!$A$123:$A$126, 0)), "División no válida", "")), IF(OR(K2136="", K2136=""), "[Aviso] Categoría no capturada ()", IF(ISNA(MATCH(K2136, Criterios!$A$81:$A$120, 0)), "Categoría no válida", IF(AND(J2136&lt;&gt;"", J2136&lt;&gt;"", J2136&lt;&gt;VLOOKUP(K2136, Criterios!$A$81:$B$120, 2, FALSE)), "División no coincide con Categoría", ""))), IF(OR(L2136="", L2136=""), "[Aviso] Género no capturado ()", IF(ISNA(MATCH(L2136, Criterios!$B$123:$B$127, 0)), "Género no válido", "")), IF(OR(N2136="", N2136=""), "[Aviso] Temporada no capturada ()", IF(ISNA(MATCH(N2136, Criterios!$C$123:$C$128, 0)), "Temporada no válida", "")), IF(OR(O2136="", O2136=""), "[Aviso] Ciclo de vida no capturado ()", IF(ISNA(MATCH(O2136, Criterios!$D$123:$D$124, 0)), "Ciclo de vida no válido", ""))))</f>
        <v/>
      </c>
      <c r="AC2136" s="56" t="n"/>
      <c r="AD2136" s="51" t="n">
        <v>1</v>
      </c>
      <c r="AE2136" s="156" t="inlineStr">
        <is>
          <t>WB OUTLET LERMA (2)</t>
        </is>
      </c>
      <c r="AF2136" s="51" t="n">
        <v>2</v>
      </c>
      <c r="AG2136" s="156" t="inlineStr">
        <is>
          <t>Catálogo existente</t>
        </is>
      </c>
      <c r="AH2136"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6" s="156" t="inlineStr">
        <is>
          <t>Sí</t>
        </is>
      </c>
      <c r="AJ2136" s="156" t="inlineStr">
        <is>
          <t>STETSON AMERICAS (-1)</t>
        </is>
      </c>
      <c r="AK2136" s="155" t="inlineStr">
        <is>
          <t>Criterios: I [Q] | Criterios: J [R] | Shopify Stetson: producto 15056328720747 / variante 53357911245163 | Shopify WB: producto 10310239027385 / variante 50512092299449</t>
        </is>
      </c>
      <c r="AL2136" s="58" t="n">
        <v>950.4310345</v>
      </c>
      <c r="AM2136" s="58" t="n">
        <v>2112.068966</v>
      </c>
      <c r="AN2136" s="155" t="inlineStr">
        <is>
          <t>Shopify Stetson México | Shopify Western Brothers</t>
        </is>
      </c>
      <c r="AO2136" s="59" t="n">
        <v>4</v>
      </c>
      <c r="AP2136" s="59" t="n">
        <v>2</v>
      </c>
      <c r="AQ2136" s="59" t="n"/>
      <c r="AR2136" s="155" t="inlineStr">
        <is>
          <t>Shopify Stetson México › Stetson México: 1 | Shopify Stetson México › Stetson Americas: 3 | Shopify Western Brothers › Western Brothers Outlet Lerma: 2</t>
        </is>
      </c>
    </row>
    <row r="2137">
      <c r="A2137" s="50" t="inlineStr">
        <is>
          <t>724303741919</t>
        </is>
      </c>
      <c r="B2137" s="51" t="inlineStr">
        <is>
          <t>109694</t>
        </is>
      </c>
      <c r="C2137" s="156" t="inlineStr">
        <is>
          <t>Multimarca</t>
        </is>
      </c>
      <c r="D2137" s="156" t="inlineStr">
        <is>
          <t>9408790-233</t>
        </is>
      </c>
      <c r="E2137" s="156" t="inlineStr">
        <is>
          <t>9408790-233-L</t>
        </is>
      </c>
      <c r="F2137" s="156" t="inlineStr">
        <is>
          <t>L</t>
        </is>
      </c>
      <c r="G2137" s="156" t="inlineStr">
        <is>
          <t>L</t>
        </is>
      </c>
      <c r="H2137" s="156" t="inlineStr">
        <is>
          <t>Stetson</t>
        </is>
      </c>
      <c r="I2137" s="156" t="inlineStr">
        <is>
          <t>Cinturón Stetson Dama BELT35MM</t>
        </is>
      </c>
      <c r="J2137" s="156" t="inlineStr">
        <is>
          <t>Accesorios</t>
        </is>
      </c>
      <c r="K2137" s="156" t="inlineStr">
        <is>
          <t>Cinturones</t>
        </is>
      </c>
      <c r="L2137" s="156" t="inlineStr">
        <is>
          <t>Mujer</t>
        </is>
      </c>
      <c r="M2137" s="156" t="inlineStr">
        <is>
          <t>Stetson</t>
        </is>
      </c>
      <c r="N2137" s="156" t="inlineStr">
        <is>
          <t>SS26</t>
        </is>
      </c>
      <c r="O2137" s="156" t="inlineStr">
        <is>
          <t>Seasonal</t>
        </is>
      </c>
      <c r="P2137" s="156" t="inlineStr">
        <is>
          <t>Varios</t>
        </is>
      </c>
      <c r="Q2137" s="156" t="n"/>
      <c r="R2137" s="156" t="n"/>
      <c r="S2137" s="156" t="n"/>
      <c r="T2137" s="156" t="inlineStr">
        <is>
          <t>Producto Cinturón Stetson Dama BELT35MM de la marca Stetson, ideal para uso diario. Fabricado con los mejores materiales para garantizar durabilidad y comodidad. Estilo western auténtico.</t>
        </is>
      </c>
      <c r="U2137" s="156" t="n"/>
      <c r="V2137" s="156" t="inlineStr">
        <is>
          <t>PZS</t>
        </is>
      </c>
      <c r="W2137" s="51" t="inlineStr">
        <is>
          <t>53102501</t>
        </is>
      </c>
      <c r="X2137" s="156" t="n"/>
      <c r="Y2137" s="54" t="n">
        <v>950.4310345</v>
      </c>
      <c r="Z2137" s="54" t="n">
        <v>2112.068966</v>
      </c>
      <c r="AA2137" s="55">
        <f>IF(AND(A2137="", B2137="", E2137=""), "", IF(AB2137="", "Válido", IF((LEN(AB2137)-LEN(SUBSTITUTE(AB2137,"; ","")))/2+1&gt;(LEN(AB2137)-LEN(SUBSTITUTE(AB2137,"[Aviso]","")))/7, "Con Incidencias", "Válido")))</f>
        <v/>
      </c>
      <c r="AB2137" s="56">
        <f>IF(AND(A2137="", B2137="", E2137=""), "", TEXTJOIN("; ", TRUE, IF(OR(TRIM(A2137&amp;"")="", ISNUMBER(SEARCH("FALTA", A2137))), "UPC faltante/inválido", ""), IF(AND(A2137&lt;&gt;"", IFERROR(_xlfn.XMATCH(A2137,$A$2:$A$2509,0,1)&lt;&gt;_xlfn.XMATCH(A2137,$A$2:$A$2509,0,-1),FALSE)), "Código de barras duplicado", ""), IF(AND(E2137&lt;&gt;"", COUNTIF($E$2:$E$2509, E2137)&gt;1), "SKU duplicado", ""), IF(OR(J2137="", J2137=""), "[Aviso] División no capturada ()", IF(ISNA(MATCH(J2137, Criterios!$A$123:$A$126, 0)), "División no válida", "")), IF(OR(K2137="", K2137=""), "[Aviso] Categoría no capturada ()", IF(ISNA(MATCH(K2137, Criterios!$A$81:$A$120, 0)), "Categoría no válida", IF(AND(J2137&lt;&gt;"", J2137&lt;&gt;"", J2137&lt;&gt;VLOOKUP(K2137, Criterios!$A$81:$B$120, 2, FALSE)), "División no coincide con Categoría", ""))), IF(OR(L2137="", L2137=""), "[Aviso] Género no capturado ()", IF(ISNA(MATCH(L2137, Criterios!$B$123:$B$127, 0)), "Género no válido", "")), IF(OR(N2137="", N2137=""), "[Aviso] Temporada no capturada ()", IF(ISNA(MATCH(N2137, Criterios!$C$123:$C$128, 0)), "Temporada no válida", "")), IF(OR(O2137="", O2137=""), "[Aviso] Ciclo de vida no capturado ()", IF(ISNA(MATCH(O2137, Criterios!$D$123:$D$124, 0)), "Ciclo de vida no válido", ""))))</f>
        <v/>
      </c>
      <c r="AC2137" s="56" t="n"/>
      <c r="AD2137" s="51" t="n">
        <v>2</v>
      </c>
      <c r="AE2137" s="156" t="inlineStr">
        <is>
          <t>B25 STETSON.MX (2); WB OUTLET LERMA (1)</t>
        </is>
      </c>
      <c r="AF2137" s="51" t="n">
        <v>3</v>
      </c>
      <c r="AG2137" s="156" t="inlineStr">
        <is>
          <t>Catálogo existente</t>
        </is>
      </c>
      <c r="AH2137"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7" s="156" t="inlineStr">
        <is>
          <t>Sí</t>
        </is>
      </c>
      <c r="AJ2137" s="156" t="inlineStr">
        <is>
          <t>STETSON AMERICAS (-1)</t>
        </is>
      </c>
      <c r="AK2137" s="155" t="inlineStr">
        <is>
          <t>Criterios: I [Q] | Criterios: J [R] | Shopify Stetson: producto 15056328720747 / variante 53357911277931 | Shopify WB: producto 10310239027385 / variante 50512092332217</t>
        </is>
      </c>
      <c r="AL2137" s="58" t="n">
        <v>950.4310345</v>
      </c>
      <c r="AM2137" s="58" t="n">
        <v>2112.068966</v>
      </c>
      <c r="AN2137" s="155" t="inlineStr">
        <is>
          <t>Shopify Stetson México | Shopify Western Brothers</t>
        </is>
      </c>
      <c r="AO2137" s="59" t="n">
        <v>4</v>
      </c>
      <c r="AP2137" s="59" t="n">
        <v>1</v>
      </c>
      <c r="AQ2137" s="59" t="n"/>
      <c r="AR2137" s="155" t="inlineStr">
        <is>
          <t>Shopify Stetson México › Stetson México: 2 | Shopify Stetson México › Stetson Americas: 2 | Shopify Western Brothers › Western Brothers Outlet Lerma: 1</t>
        </is>
      </c>
    </row>
    <row r="2138">
      <c r="A2138" s="50" t="inlineStr">
        <is>
          <t>724303741926</t>
        </is>
      </c>
      <c r="B2138" s="51" t="inlineStr">
        <is>
          <t>109695</t>
        </is>
      </c>
      <c r="C2138" s="156" t="inlineStr">
        <is>
          <t>Multimarca</t>
        </is>
      </c>
      <c r="D2138" s="156" t="inlineStr">
        <is>
          <t>9408790-233</t>
        </is>
      </c>
      <c r="E2138" s="156" t="inlineStr">
        <is>
          <t>9408790-233-XL</t>
        </is>
      </c>
      <c r="F2138" s="156" t="inlineStr">
        <is>
          <t>XL</t>
        </is>
      </c>
      <c r="G2138" s="156" t="inlineStr">
        <is>
          <t>XL</t>
        </is>
      </c>
      <c r="H2138" s="156" t="inlineStr">
        <is>
          <t>Stetson</t>
        </is>
      </c>
      <c r="I2138" s="156" t="inlineStr">
        <is>
          <t>Cinturón Stetson Dama BELT35MM</t>
        </is>
      </c>
      <c r="J2138" s="156" t="inlineStr">
        <is>
          <t>Accesorios</t>
        </is>
      </c>
      <c r="K2138" s="156" t="inlineStr">
        <is>
          <t>Cinturones</t>
        </is>
      </c>
      <c r="L2138" s="156" t="inlineStr">
        <is>
          <t>Mujer</t>
        </is>
      </c>
      <c r="M2138" s="156" t="inlineStr">
        <is>
          <t>Stetson</t>
        </is>
      </c>
      <c r="N2138" s="156" t="inlineStr">
        <is>
          <t>SS26</t>
        </is>
      </c>
      <c r="O2138" s="156" t="inlineStr">
        <is>
          <t>Seasonal</t>
        </is>
      </c>
      <c r="P2138" s="156" t="n"/>
      <c r="Q2138" s="156" t="n"/>
      <c r="R2138" s="156" t="n"/>
      <c r="S2138" s="156" t="n"/>
      <c r="T2138" s="156" t="inlineStr">
        <is>
          <t>Cinturón Stetson Dama BELT35MM.</t>
        </is>
      </c>
      <c r="U2138" s="156" t="n"/>
      <c r="V2138" s="156" t="inlineStr">
        <is>
          <t>PZS</t>
        </is>
      </c>
      <c r="W2138" s="51" t="inlineStr">
        <is>
          <t>53102501</t>
        </is>
      </c>
      <c r="X2138" s="156" t="n"/>
      <c r="Y2138" s="54" t="n">
        <v>950.4310345</v>
      </c>
      <c r="Z2138" s="54" t="n">
        <v>2112.068966</v>
      </c>
      <c r="AA2138" s="55">
        <f>IF(AND(A2138="", B2138="", E2138=""), "", IF(AB2138="", "Válido", IF((LEN(AB2138)-LEN(SUBSTITUTE(AB2138,"; ","")))/2+1&gt;(LEN(AB2138)-LEN(SUBSTITUTE(AB2138,"[Aviso]","")))/7, "Con Incidencias", "Válido")))</f>
        <v/>
      </c>
      <c r="AB2138" s="56">
        <f>IF(AND(A2138="", B2138="", E2138=""), "", TEXTJOIN("; ", TRUE, IF(OR(TRIM(A2138&amp;"")="", ISNUMBER(SEARCH("FALTA", A2138))), "UPC faltante/inválido", ""), IF(AND(A2138&lt;&gt;"", IFERROR(_xlfn.XMATCH(A2138,$A$2:$A$2509,0,1)&lt;&gt;_xlfn.XMATCH(A2138,$A$2:$A$2509,0,-1),FALSE)), "Código de barras duplicado", ""), IF(AND(E2138&lt;&gt;"", COUNTIF($E$2:$E$2509, E2138)&gt;1), "SKU duplicado", ""), IF(OR(J2138="", J2138=""), "[Aviso] División no capturada ()", IF(ISNA(MATCH(J2138, Criterios!$A$123:$A$126, 0)), "División no válida", "")), IF(OR(K2138="", K2138=""), "[Aviso] Categoría no capturada ()", IF(ISNA(MATCH(K2138, Criterios!$A$81:$A$120, 0)), "Categoría no válida", IF(AND(J2138&lt;&gt;"", J2138&lt;&gt;"", J2138&lt;&gt;VLOOKUP(K2138, Criterios!$A$81:$B$120, 2, FALSE)), "División no coincide con Categoría", ""))), IF(OR(L2138="", L2138=""), "[Aviso] Género no capturado ()", IF(ISNA(MATCH(L2138, Criterios!$B$123:$B$127, 0)), "Género no válido", "")), IF(OR(N2138="", N2138=""), "[Aviso] Temporada no capturada ()", IF(ISNA(MATCH(N2138, Criterios!$C$123:$C$128, 0)), "Temporada no válida", "")), IF(OR(O2138="", O2138=""), "[Aviso] Ciclo de vida no capturado ()", IF(ISNA(MATCH(O2138, Criterios!$D$123:$D$124, 0)), "Ciclo de vida no válido", ""))))</f>
        <v/>
      </c>
      <c r="AC2138" s="56" t="n"/>
      <c r="AD2138" s="51" t="n">
        <v>0</v>
      </c>
      <c r="AE2138" s="156" t="n"/>
      <c r="AF2138" s="51" t="n">
        <v>0</v>
      </c>
      <c r="AG2138" s="156" t="inlineStr">
        <is>
          <t>Catálogo existente</t>
        </is>
      </c>
      <c r="AH2138" s="156" t="inlineStr">
        <is>
          <t>Revisión 29/09/2026: Campos sin respaldo: P, S, U, X</t>
        </is>
      </c>
      <c r="AI2138" s="156" t="inlineStr">
        <is>
          <t>No</t>
        </is>
      </c>
      <c r="AJ2138" s="156" t="n"/>
      <c r="AK2138" s="155" t="inlineStr">
        <is>
          <t>Criterios: I [Q] | Criterios: J [R]</t>
        </is>
      </c>
      <c r="AL2138" s="58" t="n">
        <v>950.4310345</v>
      </c>
      <c r="AM2138" s="58" t="n">
        <v>2112.068966</v>
      </c>
      <c r="AN2138" s="155" t="n"/>
      <c r="AO2138" s="59" t="n"/>
      <c r="AP2138" s="59" t="n"/>
      <c r="AQ2138" s="59" t="n"/>
      <c r="AR2138" s="155" t="n"/>
    </row>
    <row r="2139">
      <c r="A2139" s="50" t="inlineStr">
        <is>
          <t>724303741940</t>
        </is>
      </c>
      <c r="B2139" s="51" t="inlineStr">
        <is>
          <t>109688</t>
        </is>
      </c>
      <c r="C2139" s="156" t="inlineStr">
        <is>
          <t>Multimarca</t>
        </is>
      </c>
      <c r="D2139" s="156" t="inlineStr">
        <is>
          <t>9408790-001</t>
        </is>
      </c>
      <c r="E2139" s="156" t="inlineStr">
        <is>
          <t>9408790-001-S</t>
        </is>
      </c>
      <c r="F2139" s="156" t="inlineStr">
        <is>
          <t>S</t>
        </is>
      </c>
      <c r="G2139" s="156" t="inlineStr">
        <is>
          <t>S</t>
        </is>
      </c>
      <c r="H2139" s="156" t="inlineStr">
        <is>
          <t>Stetson</t>
        </is>
      </c>
      <c r="I2139" s="156" t="inlineStr">
        <is>
          <t>Cinturón Stetson Dama</t>
        </is>
      </c>
      <c r="J2139" s="156" t="inlineStr">
        <is>
          <t>Accesorios</t>
        </is>
      </c>
      <c r="K2139" s="156" t="inlineStr">
        <is>
          <t>Cinturones</t>
        </is>
      </c>
      <c r="L2139" s="156" t="inlineStr">
        <is>
          <t>Mujer</t>
        </is>
      </c>
      <c r="M2139" s="156" t="inlineStr">
        <is>
          <t>Stetson</t>
        </is>
      </c>
      <c r="N2139" s="156" t="inlineStr">
        <is>
          <t>SS26</t>
        </is>
      </c>
      <c r="O2139" s="156" t="inlineStr">
        <is>
          <t>Seasonal</t>
        </is>
      </c>
      <c r="P2139" s="156" t="n"/>
      <c r="Q2139" s="156" t="n"/>
      <c r="R2139" s="156" t="n"/>
      <c r="S2139" s="156" t="n"/>
      <c r="T2139" s="156" t="inlineStr">
        <is>
          <t>Cinturón Stetson Dama.</t>
        </is>
      </c>
      <c r="U2139" s="156" t="n"/>
      <c r="V2139" s="156" t="inlineStr">
        <is>
          <t>PZS</t>
        </is>
      </c>
      <c r="W2139" s="51" t="inlineStr">
        <is>
          <t>53102501</t>
        </is>
      </c>
      <c r="X2139" s="156" t="n"/>
      <c r="Y2139" s="54" t="n">
        <v>950.4310345</v>
      </c>
      <c r="Z2139" s="54" t="n">
        <v>2112.068966</v>
      </c>
      <c r="AA2139" s="55">
        <f>IF(AND(A2139="", B2139="", E2139=""), "", IF(AB2139="", "Válido", IF((LEN(AB2139)-LEN(SUBSTITUTE(AB2139,"; ","")))/2+1&gt;(LEN(AB2139)-LEN(SUBSTITUTE(AB2139,"[Aviso]","")))/7, "Con Incidencias", "Válido")))</f>
        <v/>
      </c>
      <c r="AB2139" s="56">
        <f>IF(AND(A2139="", B2139="", E2139=""), "", TEXTJOIN("; ", TRUE, IF(OR(TRIM(A2139&amp;"")="", ISNUMBER(SEARCH("FALTA", A2139))), "UPC faltante/inválido", ""), IF(AND(A2139&lt;&gt;"", IFERROR(_xlfn.XMATCH(A2139,$A$2:$A$2509,0,1)&lt;&gt;_xlfn.XMATCH(A2139,$A$2:$A$2509,0,-1),FALSE)), "Código de barras duplicado", ""), IF(AND(E2139&lt;&gt;"", COUNTIF($E$2:$E$2509, E2139)&gt;1), "SKU duplicado", ""), IF(OR(J2139="", J2139=""), "[Aviso] División no capturada ()", IF(ISNA(MATCH(J2139, Criterios!$A$123:$A$126, 0)), "División no válida", "")), IF(OR(K2139="", K2139=""), "[Aviso] Categoría no capturada ()", IF(ISNA(MATCH(K2139, Criterios!$A$81:$A$120, 0)), "Categoría no válida", IF(AND(J2139&lt;&gt;"", J2139&lt;&gt;"", J2139&lt;&gt;VLOOKUP(K2139, Criterios!$A$81:$B$120, 2, FALSE)), "División no coincide con Categoría", ""))), IF(OR(L2139="", L2139=""), "[Aviso] Género no capturado ()", IF(ISNA(MATCH(L2139, Criterios!$B$123:$B$127, 0)), "Género no válido", "")), IF(OR(N2139="", N2139=""), "[Aviso] Temporada no capturada ()", IF(ISNA(MATCH(N2139, Criterios!$C$123:$C$128, 0)), "Temporada no válida", "")), IF(OR(O2139="", O2139=""), "[Aviso] Ciclo de vida no capturado ()", IF(ISNA(MATCH(O2139, Criterios!$D$123:$D$124, 0)), "Ciclo de vida no válido", ""))))</f>
        <v/>
      </c>
      <c r="AC2139" s="56" t="n"/>
      <c r="AD2139" s="51" t="n">
        <v>-1</v>
      </c>
      <c r="AE2139" s="156" t="inlineStr">
        <is>
          <t>B25 STETSON.MX (1)</t>
        </is>
      </c>
      <c r="AF2139" s="51" t="n">
        <v>1</v>
      </c>
      <c r="AG2139" s="156" t="inlineStr">
        <is>
          <t>Catálogo existente</t>
        </is>
      </c>
      <c r="AH2139" s="156" t="inlineStr">
        <is>
          <t>Stock negativo en sistema: revisar en conteo | Revisión 29/09/2026: Campos sin respaldo: P, S, U, X | 01/10/2026: complementado desde Shopify Stetson México (match por código de barras): WB Fit, WB Silueta</t>
        </is>
      </c>
      <c r="AI2139" s="156" t="inlineStr">
        <is>
          <t>Sí</t>
        </is>
      </c>
      <c r="AJ2139" s="156" t="inlineStr">
        <is>
          <t>STETSON AMERICAS (-2)</t>
        </is>
      </c>
      <c r="AK2139" s="155" t="inlineStr">
        <is>
          <t>Criterios: I [Q] | Criterios: J [R] | Shopify Stetson: producto 15056328687979 / variante 53357911081323</t>
        </is>
      </c>
      <c r="AL2139" s="58" t="n">
        <v>950.4310345</v>
      </c>
      <c r="AM2139" s="58" t="n">
        <v>2112.068966</v>
      </c>
      <c r="AN2139" s="155" t="inlineStr">
        <is>
          <t>Shopify Stetson México</t>
        </is>
      </c>
      <c r="AO2139" s="59" t="n">
        <v>2</v>
      </c>
      <c r="AP2139" s="59" t="n"/>
      <c r="AQ2139" s="59" t="n"/>
      <c r="AR2139" s="155" t="inlineStr">
        <is>
          <t>Shopify Stetson México › Stetson México: 1 | Shopify Stetson México › Stetson Americas: 1</t>
        </is>
      </c>
    </row>
    <row r="2140">
      <c r="A2140" s="50" t="inlineStr">
        <is>
          <t>724303741957</t>
        </is>
      </c>
      <c r="B2140" s="51" t="inlineStr">
        <is>
          <t>109689</t>
        </is>
      </c>
      <c r="C2140" s="156" t="inlineStr">
        <is>
          <t>Multimarca</t>
        </is>
      </c>
      <c r="D2140" s="156" t="inlineStr">
        <is>
          <t>9408790-001</t>
        </is>
      </c>
      <c r="E2140" s="156" t="inlineStr">
        <is>
          <t>9408790-001-M</t>
        </is>
      </c>
      <c r="F2140" s="156" t="inlineStr">
        <is>
          <t>M</t>
        </is>
      </c>
      <c r="G2140" s="156" t="inlineStr">
        <is>
          <t>M</t>
        </is>
      </c>
      <c r="H2140" s="156" t="inlineStr">
        <is>
          <t>Stetson</t>
        </is>
      </c>
      <c r="I2140" s="156" t="inlineStr">
        <is>
          <t>Cinturón Stetson Dama</t>
        </is>
      </c>
      <c r="J2140" s="156" t="inlineStr">
        <is>
          <t>Accesorios</t>
        </is>
      </c>
      <c r="K2140" s="156" t="inlineStr">
        <is>
          <t>Cinturones</t>
        </is>
      </c>
      <c r="L2140" s="156" t="inlineStr">
        <is>
          <t>Mujer</t>
        </is>
      </c>
      <c r="M2140" s="156" t="inlineStr">
        <is>
          <t>Stetson</t>
        </is>
      </c>
      <c r="N2140" s="156" t="inlineStr">
        <is>
          <t>SS26</t>
        </is>
      </c>
      <c r="O2140" s="156" t="inlineStr">
        <is>
          <t>Seasonal</t>
        </is>
      </c>
      <c r="P2140" s="156" t="n"/>
      <c r="Q2140" s="156" t="n"/>
      <c r="R2140" s="156" t="n"/>
      <c r="S2140" s="156" t="n"/>
      <c r="T2140" s="156" t="inlineStr">
        <is>
          <t>Cinturón Stetson Dama.</t>
        </is>
      </c>
      <c r="U2140" s="156" t="n"/>
      <c r="V2140" s="156" t="inlineStr">
        <is>
          <t>PZS</t>
        </is>
      </c>
      <c r="W2140" s="51" t="inlineStr">
        <is>
          <t>53102501</t>
        </is>
      </c>
      <c r="X2140" s="156" t="n"/>
      <c r="Y2140" s="54" t="n">
        <v>950.4310345</v>
      </c>
      <c r="Z2140" s="54" t="n">
        <v>2112.068966</v>
      </c>
      <c r="AA2140" s="55">
        <f>IF(AND(A2140="", B2140="", E2140=""), "", IF(AB2140="", "Válido", IF((LEN(AB2140)-LEN(SUBSTITUTE(AB2140,"; ","")))/2+1&gt;(LEN(AB2140)-LEN(SUBSTITUTE(AB2140,"[Aviso]","")))/7, "Con Incidencias", "Válido")))</f>
        <v/>
      </c>
      <c r="AB2140" s="56">
        <f>IF(AND(A2140="", B2140="", E2140=""), "", TEXTJOIN("; ", TRUE, IF(OR(TRIM(A2140&amp;"")="", ISNUMBER(SEARCH("FALTA", A2140))), "UPC faltante/inválido", ""), IF(AND(A2140&lt;&gt;"", IFERROR(_xlfn.XMATCH(A2140,$A$2:$A$2509,0,1)&lt;&gt;_xlfn.XMATCH(A2140,$A$2:$A$2509,0,-1),FALSE)), "Código de barras duplicado", ""), IF(AND(E2140&lt;&gt;"", COUNTIF($E$2:$E$2509, E2140)&gt;1), "SKU duplicado", ""), IF(OR(J2140="", J2140=""), "[Aviso] División no capturada ()", IF(ISNA(MATCH(J2140, Criterios!$A$123:$A$126, 0)), "División no válida", "")), IF(OR(K2140="", K2140=""), "[Aviso] Categoría no capturada ()", IF(ISNA(MATCH(K2140, Criterios!$A$81:$A$120, 0)), "Categoría no válida", IF(AND(J2140&lt;&gt;"", J2140&lt;&gt;"", J2140&lt;&gt;VLOOKUP(K2140, Criterios!$A$81:$B$120, 2, FALSE)), "División no coincide con Categoría", ""))), IF(OR(L2140="", L2140=""), "[Aviso] Género no capturado ()", IF(ISNA(MATCH(L2140, Criterios!$B$123:$B$127, 0)), "Género no válido", "")), IF(OR(N2140="", N2140=""), "[Aviso] Temporada no capturada ()", IF(ISNA(MATCH(N2140, Criterios!$C$123:$C$128, 0)), "Temporada no válida", "")), IF(OR(O2140="", O2140=""), "[Aviso] Ciclo de vida no capturado ()", IF(ISNA(MATCH(O2140, Criterios!$D$123:$D$124, 0)), "Ciclo de vida no válido", ""))))</f>
        <v/>
      </c>
      <c r="AC2140" s="56" t="n"/>
      <c r="AD2140" s="51" t="n">
        <v>3</v>
      </c>
      <c r="AE2140" s="156" t="inlineStr">
        <is>
          <t>B25 STETSON.MX (3)</t>
        </is>
      </c>
      <c r="AF2140" s="51" t="n">
        <v>3</v>
      </c>
      <c r="AG2140" s="156" t="inlineStr">
        <is>
          <t>Catálogo existente</t>
        </is>
      </c>
      <c r="AH2140" s="156" t="inlineStr">
        <is>
          <t>Revisión 29/09/2026: Campos sin respaldo: P, S, U, X | 01/10/2026: complementado desde Shopify Stetson México (match por código de barras): WB Fit, WB Silueta</t>
        </is>
      </c>
      <c r="AI2140" s="156" t="inlineStr">
        <is>
          <t>No</t>
        </is>
      </c>
      <c r="AJ2140" s="156" t="n"/>
      <c r="AK2140" s="155" t="inlineStr">
        <is>
          <t>Criterios: I [Q] | Criterios: J [R] | Shopify Stetson: producto 15056328687979 / variante 53357911114091</t>
        </is>
      </c>
      <c r="AL2140" s="58" t="n">
        <v>950.4310345</v>
      </c>
      <c r="AM2140" s="58" t="n">
        <v>2112.068966</v>
      </c>
      <c r="AN2140" s="155" t="inlineStr">
        <is>
          <t>Shopify Stetson México</t>
        </is>
      </c>
      <c r="AO2140" s="59" t="n">
        <v>5</v>
      </c>
      <c r="AP2140" s="59" t="n"/>
      <c r="AQ2140" s="59" t="n"/>
      <c r="AR2140" s="155" t="inlineStr">
        <is>
          <t>Shopify Stetson México › Stetson México: 3 | Shopify Stetson México › Stetson Americas: 2</t>
        </is>
      </c>
    </row>
    <row r="2141">
      <c r="A2141" s="50" t="inlineStr">
        <is>
          <t>724303741964</t>
        </is>
      </c>
      <c r="B2141" s="51" t="inlineStr">
        <is>
          <t>109690</t>
        </is>
      </c>
      <c r="C2141" s="156" t="inlineStr">
        <is>
          <t>Multimarca</t>
        </is>
      </c>
      <c r="D2141" s="156" t="inlineStr">
        <is>
          <t>9408790-001</t>
        </is>
      </c>
      <c r="E2141" s="156" t="inlineStr">
        <is>
          <t>9408790-001-L</t>
        </is>
      </c>
      <c r="F2141" s="156" t="inlineStr">
        <is>
          <t>L</t>
        </is>
      </c>
      <c r="G2141" s="156" t="inlineStr">
        <is>
          <t>L</t>
        </is>
      </c>
      <c r="H2141" s="156" t="inlineStr">
        <is>
          <t>Stetson</t>
        </is>
      </c>
      <c r="I2141" s="156" t="inlineStr">
        <is>
          <t>Cinturón Stetson Dama</t>
        </is>
      </c>
      <c r="J2141" s="156" t="inlineStr">
        <is>
          <t>Accesorios</t>
        </is>
      </c>
      <c r="K2141" s="156" t="inlineStr">
        <is>
          <t>Cinturones</t>
        </is>
      </c>
      <c r="L2141" s="156" t="inlineStr">
        <is>
          <t>Mujer</t>
        </is>
      </c>
      <c r="M2141" s="156" t="inlineStr">
        <is>
          <t>Stetson</t>
        </is>
      </c>
      <c r="N2141" s="156" t="inlineStr">
        <is>
          <t>SS26</t>
        </is>
      </c>
      <c r="O2141" s="156" t="inlineStr">
        <is>
          <t>Seasonal</t>
        </is>
      </c>
      <c r="P2141" s="156" t="n"/>
      <c r="Q2141" s="156" t="n"/>
      <c r="R2141" s="156" t="n"/>
      <c r="S2141" s="156" t="n"/>
      <c r="T2141" s="156" t="inlineStr">
        <is>
          <t>Cinturón Stetson Dama.</t>
        </is>
      </c>
      <c r="U2141" s="156" t="n"/>
      <c r="V2141" s="156" t="inlineStr">
        <is>
          <t>PZS</t>
        </is>
      </c>
      <c r="W2141" s="51" t="inlineStr">
        <is>
          <t>53102501</t>
        </is>
      </c>
      <c r="X2141" s="156" t="n"/>
      <c r="Y2141" s="54" t="n">
        <v>950.4310345</v>
      </c>
      <c r="Z2141" s="54" t="n">
        <v>2112.068966</v>
      </c>
      <c r="AA2141" s="55">
        <f>IF(AND(A2141="", B2141="", E2141=""), "", IF(AB2141="", "Válido", IF((LEN(AB2141)-LEN(SUBSTITUTE(AB2141,"; ","")))/2+1&gt;(LEN(AB2141)-LEN(SUBSTITUTE(AB2141,"[Aviso]","")))/7, "Con Incidencias", "Válido")))</f>
        <v/>
      </c>
      <c r="AB2141" s="56">
        <f>IF(AND(A2141="", B2141="", E2141=""), "", TEXTJOIN("; ", TRUE, IF(OR(TRIM(A2141&amp;"")="", ISNUMBER(SEARCH("FALTA", A2141))), "UPC faltante/inválido", ""), IF(AND(A2141&lt;&gt;"", IFERROR(_xlfn.XMATCH(A2141,$A$2:$A$2509,0,1)&lt;&gt;_xlfn.XMATCH(A2141,$A$2:$A$2509,0,-1),FALSE)), "Código de barras duplicado", ""), IF(AND(E2141&lt;&gt;"", COUNTIF($E$2:$E$2509, E2141)&gt;1), "SKU duplicado", ""), IF(OR(J2141="", J2141=""), "[Aviso] División no capturada ()", IF(ISNA(MATCH(J2141, Criterios!$A$123:$A$126, 0)), "División no válida", "")), IF(OR(K2141="", K2141=""), "[Aviso] Categoría no capturada ()", IF(ISNA(MATCH(K2141, Criterios!$A$81:$A$120, 0)), "Categoría no válida", IF(AND(J2141&lt;&gt;"", J2141&lt;&gt;"", J2141&lt;&gt;VLOOKUP(K2141, Criterios!$A$81:$B$120, 2, FALSE)), "División no coincide con Categoría", ""))), IF(OR(L2141="", L2141=""), "[Aviso] Género no capturado ()", IF(ISNA(MATCH(L2141, Criterios!$B$123:$B$127, 0)), "Género no válido", "")), IF(OR(N2141="", N2141=""), "[Aviso] Temporada no capturada ()", IF(ISNA(MATCH(N2141, Criterios!$C$123:$C$128, 0)), "Temporada no válida", "")), IF(OR(O2141="", O2141=""), "[Aviso] Ciclo de vida no capturado ()", IF(ISNA(MATCH(O2141, Criterios!$D$123:$D$124, 0)), "Ciclo de vida no válido", ""))))</f>
        <v/>
      </c>
      <c r="AC2141" s="56" t="n"/>
      <c r="AD2141" s="51" t="n">
        <v>2</v>
      </c>
      <c r="AE2141" s="156" t="inlineStr">
        <is>
          <t>B25 STETSON.MX (3)</t>
        </is>
      </c>
      <c r="AF2141" s="51" t="n">
        <v>3</v>
      </c>
      <c r="AG2141" s="156" t="inlineStr">
        <is>
          <t>Catálogo existente</t>
        </is>
      </c>
      <c r="AH2141" s="156" t="inlineStr">
        <is>
          <t>Revisión 29/09/2026: Campos sin respaldo: P, S, U, X | 01/10/2026: complementado desde Shopify Stetson México (match por código de barras): WB Fit, WB Silueta</t>
        </is>
      </c>
      <c r="AI2141" s="156" t="inlineStr">
        <is>
          <t>Sí</t>
        </is>
      </c>
      <c r="AJ2141" s="156" t="inlineStr">
        <is>
          <t>STETSON AMERICAS (-1)</t>
        </is>
      </c>
      <c r="AK2141" s="155" t="inlineStr">
        <is>
          <t>Criterios: I [Q] | Criterios: J [R] | Shopify Stetson: producto 15056328687979 / variante 53357911146859</t>
        </is>
      </c>
      <c r="AL2141" s="58" t="n">
        <v>950.4310345</v>
      </c>
      <c r="AM2141" s="58" t="n">
        <v>2112.068966</v>
      </c>
      <c r="AN2141" s="155" t="inlineStr">
        <is>
          <t>Shopify Stetson México</t>
        </is>
      </c>
      <c r="AO2141" s="59" t="n">
        <v>5</v>
      </c>
      <c r="AP2141" s="59" t="n"/>
      <c r="AQ2141" s="59" t="n"/>
      <c r="AR2141" s="155" t="inlineStr">
        <is>
          <t>Shopify Stetson México › Stetson México: 3 | Shopify Stetson México › Stetson Americas: 2</t>
        </is>
      </c>
    </row>
    <row r="2142">
      <c r="A2142" s="50" t="inlineStr">
        <is>
          <t>724303741971</t>
        </is>
      </c>
      <c r="B2142" s="51" t="inlineStr">
        <is>
          <t>109691</t>
        </is>
      </c>
      <c r="C2142" s="156" t="inlineStr">
        <is>
          <t>Multimarca</t>
        </is>
      </c>
      <c r="D2142" s="156" t="inlineStr">
        <is>
          <t>9408790-001</t>
        </is>
      </c>
      <c r="E2142" s="156" t="inlineStr">
        <is>
          <t>9408790-001-XL</t>
        </is>
      </c>
      <c r="F2142" s="156" t="inlineStr">
        <is>
          <t>XL</t>
        </is>
      </c>
      <c r="G2142" s="156" t="inlineStr">
        <is>
          <t>XL</t>
        </is>
      </c>
      <c r="H2142" s="156" t="inlineStr">
        <is>
          <t>Stetson</t>
        </is>
      </c>
      <c r="I2142" s="156" t="inlineStr">
        <is>
          <t>Cinturón Stetson Dama</t>
        </is>
      </c>
      <c r="J2142" s="156" t="inlineStr">
        <is>
          <t>Accesorios</t>
        </is>
      </c>
      <c r="K2142" s="156" t="inlineStr">
        <is>
          <t>Cinturones</t>
        </is>
      </c>
      <c r="L2142" s="156" t="inlineStr">
        <is>
          <t>Mujer</t>
        </is>
      </c>
      <c r="M2142" s="156" t="inlineStr">
        <is>
          <t>Stetson</t>
        </is>
      </c>
      <c r="N2142" s="156" t="inlineStr">
        <is>
          <t>SS26</t>
        </is>
      </c>
      <c r="O2142" s="156" t="inlineStr">
        <is>
          <t>Seasonal</t>
        </is>
      </c>
      <c r="P2142" s="156" t="n"/>
      <c r="Q2142" s="156" t="n"/>
      <c r="R2142" s="156" t="n"/>
      <c r="S2142" s="156" t="n"/>
      <c r="T2142" s="156" t="inlineStr">
        <is>
          <t>Cinturón Stetson Dama.</t>
        </is>
      </c>
      <c r="U2142" s="156" t="n"/>
      <c r="V2142" s="156" t="inlineStr">
        <is>
          <t>PZS</t>
        </is>
      </c>
      <c r="W2142" s="51" t="inlineStr">
        <is>
          <t>53102501</t>
        </is>
      </c>
      <c r="X2142" s="156" t="n"/>
      <c r="Y2142" s="54" t="n">
        <v>950.4310345</v>
      </c>
      <c r="Z2142" s="54" t="n">
        <v>2112.068966</v>
      </c>
      <c r="AA2142" s="55">
        <f>IF(AND(A2142="", B2142="", E2142=""), "", IF(AB2142="", "Válido", IF((LEN(AB2142)-LEN(SUBSTITUTE(AB2142,"; ","")))/2+1&gt;(LEN(AB2142)-LEN(SUBSTITUTE(AB2142,"[Aviso]","")))/7, "Con Incidencias", "Válido")))</f>
        <v/>
      </c>
      <c r="AB2142" s="56">
        <f>IF(AND(A2142="", B2142="", E2142=""), "", TEXTJOIN("; ", TRUE, IF(OR(TRIM(A2142&amp;"")="", ISNUMBER(SEARCH("FALTA", A2142))), "UPC faltante/inválido", ""), IF(AND(A2142&lt;&gt;"", IFERROR(_xlfn.XMATCH(A2142,$A$2:$A$2509,0,1)&lt;&gt;_xlfn.XMATCH(A2142,$A$2:$A$2509,0,-1),FALSE)), "Código de barras duplicado", ""), IF(AND(E2142&lt;&gt;"", COUNTIF($E$2:$E$2509, E2142)&gt;1), "SKU duplicado", ""), IF(OR(J2142="", J2142=""), "[Aviso] División no capturada ()", IF(ISNA(MATCH(J2142, Criterios!$A$123:$A$126, 0)), "División no válida", "")), IF(OR(K2142="", K2142=""), "[Aviso] Categoría no capturada ()", IF(ISNA(MATCH(K2142, Criterios!$A$81:$A$120, 0)), "Categoría no válida", IF(AND(J2142&lt;&gt;"", J2142&lt;&gt;"", J2142&lt;&gt;VLOOKUP(K2142, Criterios!$A$81:$B$120, 2, FALSE)), "División no coincide con Categoría", ""))), IF(OR(L2142="", L2142=""), "[Aviso] Género no capturado ()", IF(ISNA(MATCH(L2142, Criterios!$B$123:$B$127, 0)), "Género no válido", "")), IF(OR(N2142="", N2142=""), "[Aviso] Temporada no capturada ()", IF(ISNA(MATCH(N2142, Criterios!$C$123:$C$128, 0)), "Temporada no válida", "")), IF(OR(O2142="", O2142=""), "[Aviso] Ciclo de vida no capturado ()", IF(ISNA(MATCH(O2142, Criterios!$D$123:$D$124, 0)), "Ciclo de vida no válido", ""))))</f>
        <v/>
      </c>
      <c r="AC2142" s="56" t="n"/>
      <c r="AD2142" s="51" t="n">
        <v>0</v>
      </c>
      <c r="AE2142" s="156" t="n"/>
      <c r="AF2142" s="51" t="n">
        <v>0</v>
      </c>
      <c r="AG2142" s="156" t="inlineStr">
        <is>
          <t>Catálogo existente</t>
        </is>
      </c>
      <c r="AH2142" s="156" t="inlineStr">
        <is>
          <t>Revisión 29/09/2026: Campos sin respaldo: P, S, U, X | 01/10/2026: complementado desde Shopify Stetson México (match por código de barras): WB Fit, WB Silueta</t>
        </is>
      </c>
      <c r="AI2142" s="156" t="inlineStr">
        <is>
          <t>No</t>
        </is>
      </c>
      <c r="AJ2142" s="156" t="n"/>
      <c r="AK2142" s="155" t="inlineStr">
        <is>
          <t>Criterios: I [Q] | Criterios: J [R] | Shopify Stetson: producto 15056328687979 / variante 53357911179627</t>
        </is>
      </c>
      <c r="AL2142" s="58" t="n">
        <v>950.4310345</v>
      </c>
      <c r="AM2142" s="58" t="n">
        <v>2112.068966</v>
      </c>
      <c r="AN2142" s="155" t="inlineStr">
        <is>
          <t>Shopify Stetson México</t>
        </is>
      </c>
      <c r="AO2142" s="59" t="n">
        <v>4</v>
      </c>
      <c r="AP2142" s="59" t="n"/>
      <c r="AQ2142" s="59" t="n"/>
      <c r="AR2142" s="155" t="inlineStr">
        <is>
          <t>Shopify Stetson México › Stetson Americas: 4</t>
        </is>
      </c>
    </row>
    <row r="2143">
      <c r="A2143" s="50" t="inlineStr">
        <is>
          <t>724303741995</t>
        </is>
      </c>
      <c r="B2143" s="51" t="inlineStr">
        <is>
          <t>109700</t>
        </is>
      </c>
      <c r="C2143" s="156" t="inlineStr">
        <is>
          <t>Multimarca</t>
        </is>
      </c>
      <c r="D2143" s="156" t="inlineStr">
        <is>
          <t>9409790-600</t>
        </is>
      </c>
      <c r="E2143" s="156" t="inlineStr">
        <is>
          <t>9409790-600-S</t>
        </is>
      </c>
      <c r="F2143" s="156" t="inlineStr">
        <is>
          <t>S</t>
        </is>
      </c>
      <c r="G2143" s="156" t="inlineStr">
        <is>
          <t>S</t>
        </is>
      </c>
      <c r="H2143" s="156" t="inlineStr">
        <is>
          <t>Stetson</t>
        </is>
      </c>
      <c r="I2143" s="156" t="inlineStr">
        <is>
          <t>Cinturón Dama Estampado Tipo Cocodrilo</t>
        </is>
      </c>
      <c r="J2143" s="156" t="inlineStr">
        <is>
          <t>Accesorios</t>
        </is>
      </c>
      <c r="K2143" s="156" t="inlineStr">
        <is>
          <t>Cinturones</t>
        </is>
      </c>
      <c r="L2143" s="156" t="inlineStr">
        <is>
          <t>Mujer</t>
        </is>
      </c>
      <c r="M2143" s="156" t="inlineStr">
        <is>
          <t>Stetson</t>
        </is>
      </c>
      <c r="N2143" s="156" t="inlineStr">
        <is>
          <t>SS26</t>
        </is>
      </c>
      <c r="O2143" s="156" t="inlineStr">
        <is>
          <t>Seasonal</t>
        </is>
      </c>
      <c r="P2143" s="156" t="inlineStr">
        <is>
          <t>Varios</t>
        </is>
      </c>
      <c r="Q2143" s="156" t="n"/>
      <c r="R2143" s="156" t="n"/>
      <c r="S2143" s="156" t="inlineStr">
        <is>
          <t>Piel</t>
        </is>
      </c>
      <c r="T2143" s="156" t="inlineStr">
        <is>
          <t>El Cinturón Estampado Tipo Cocodrilo Stetson refleja el estilo clásico del Oeste con un toque refinado y elegante. Confeccionado en piel italiana de primera calidad, cuenta con una correa cónica de 1 ⅜” a 1” de ancho (35 mm a 25 mm) y un atractivo acabado con textura tipo cocodrilo. Incluye cinco perforaciones para un ajuste perfecto y un juego de hebilla Stetson de tres piezas en tono plateado, que aporta carácter y distinción.
 Un accesorio versátil que combina con jeans, botas o atuendos formales, manteniendo siempre el sello de calidad Stetson.
 ___________________________________________________
 Características:
 • Ancho cónico de 1 ⅜” a 1” (35 mm–25 mm)
 • Acabado con textura tipo cocodrilo
 • Juego de hebilla Stetson de tres piezas en tono plateado
 • Fabricado en piel italiana genuina
 • Importado
 Tallas disponibles:
 • S: para tallas 28–30 (29" al orificio central)
 • M: para tallas 32–34 (33" al orificio central)
 • L: para tallas 36–38 (37" al orificio central)
 • XL: para tallas 40–42 (41" al orificio central)
 • XXL: para tallas 44–46 (45" al orificio central)</t>
        </is>
      </c>
      <c r="U2143" s="156" t="n"/>
      <c r="V2143" s="156" t="inlineStr">
        <is>
          <t>PZS</t>
        </is>
      </c>
      <c r="W2143" s="51" t="inlineStr">
        <is>
          <t>53102501</t>
        </is>
      </c>
      <c r="X2143" s="156" t="inlineStr">
        <is>
          <t>https://cdn.shopify.com/s/files/1/0888/3250/8267/files/9409790-001-05.jpg?v=1761932677</t>
        </is>
      </c>
      <c r="Y2143" s="54" t="n">
        <v>1066.810345</v>
      </c>
      <c r="Z2143" s="54" t="n">
        <v>2370.689655</v>
      </c>
      <c r="AA2143" s="55">
        <f>IF(AND(A2143="", B2143="", E2143=""), "", IF(AB2143="", "Válido", IF((LEN(AB2143)-LEN(SUBSTITUTE(AB2143,"; ","")))/2+1&gt;(LEN(AB2143)-LEN(SUBSTITUTE(AB2143,"[Aviso]","")))/7, "Con Incidencias", "Válido")))</f>
        <v/>
      </c>
      <c r="AB2143" s="56">
        <f>IF(AND(A2143="", B2143="", E2143=""), "", TEXTJOIN("; ", TRUE, IF(OR(TRIM(A2143&amp;"")="", ISNUMBER(SEARCH("FALTA", A2143))), "UPC faltante/inválido", ""), IF(AND(A2143&lt;&gt;"", IFERROR(_xlfn.XMATCH(A2143,$A$2:$A$2509,0,1)&lt;&gt;_xlfn.XMATCH(A2143,$A$2:$A$2509,0,-1),FALSE)), "Código de barras duplicado", ""), IF(AND(E2143&lt;&gt;"", COUNTIF($E$2:$E$2509, E2143)&gt;1), "SKU duplicado", ""), IF(OR(J2143="", J2143=""), "[Aviso] División no capturada ()", IF(ISNA(MATCH(J2143, Criterios!$A$123:$A$126, 0)), "División no válida", "")), IF(OR(K2143="", K2143=""), "[Aviso] Categoría no capturada ()", IF(ISNA(MATCH(K2143, Criterios!$A$81:$A$120, 0)), "Categoría no válida", IF(AND(J2143&lt;&gt;"", J2143&lt;&gt;"", J2143&lt;&gt;VLOOKUP(K2143, Criterios!$A$81:$B$120, 2, FALSE)), "División no coincide con Categoría", ""))), IF(OR(L2143="", L2143=""), "[Aviso] Género no capturado ()", IF(ISNA(MATCH(L2143, Criterios!$B$123:$B$127, 0)), "Género no válido", "")), IF(OR(N2143="", N2143=""), "[Aviso] Temporada no capturada ()", IF(ISNA(MATCH(N2143, Criterios!$C$123:$C$128, 0)), "Temporada no válida", "")), IF(OR(O2143="", O2143=""), "[Aviso] Ciclo de vida no capturado ()", IF(ISNA(MATCH(O2143, Criterios!$D$123:$D$124, 0)), "Ciclo de vida no válido", ""))))</f>
        <v/>
      </c>
      <c r="AC2143" s="56" t="n"/>
      <c r="AD2143" s="51" t="n">
        <v>-2</v>
      </c>
      <c r="AE2143" s="156" t="n"/>
      <c r="AF2143" s="51" t="n">
        <v>0</v>
      </c>
      <c r="AG2143" s="156" t="inlineStr">
        <is>
          <t>Catálogo existente</t>
        </is>
      </c>
      <c r="AH2143"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3" s="156" t="inlineStr">
        <is>
          <t>Sí</t>
        </is>
      </c>
      <c r="AJ2143" s="156" t="inlineStr">
        <is>
          <t>STETSON AMERICAS (-2)</t>
        </is>
      </c>
      <c r="AK2143" s="155" t="inlineStr">
        <is>
          <t>Criterios: I [Q] | Criterios: J [R]; G1522_Extraccion_Articulos_NetSuite_2026-09-30.xlsx: fila 57515 [S] | Shopify Stetson: producto 14811718058347 / variante 53350601785707</t>
        </is>
      </c>
      <c r="AL2143" s="58" t="n">
        <v>1066.810345</v>
      </c>
      <c r="AM2143" s="58" t="n">
        <v>2370.689655</v>
      </c>
      <c r="AN2143" s="155" t="inlineStr">
        <is>
          <t>Shopify Stetson México</t>
        </is>
      </c>
      <c r="AO2143" s="59" t="n">
        <v>2</v>
      </c>
      <c r="AP2143" s="59" t="n"/>
      <c r="AQ2143" s="59" t="n"/>
      <c r="AR2143" s="155" t="inlineStr">
        <is>
          <t>Shopify Stetson México › Stetson Americas: 2</t>
        </is>
      </c>
    </row>
    <row r="2144">
      <c r="A2144" s="50" t="inlineStr">
        <is>
          <t>724303742008</t>
        </is>
      </c>
      <c r="B2144" s="51" t="inlineStr">
        <is>
          <t>109701</t>
        </is>
      </c>
      <c r="C2144" s="156" t="inlineStr">
        <is>
          <t>Multimarca</t>
        </is>
      </c>
      <c r="D2144" s="156" t="inlineStr">
        <is>
          <t>9409790-600</t>
        </is>
      </c>
      <c r="E2144" s="156" t="inlineStr">
        <is>
          <t>9409790-600-M</t>
        </is>
      </c>
      <c r="F2144" s="156" t="inlineStr">
        <is>
          <t>M</t>
        </is>
      </c>
      <c r="G2144" s="156" t="inlineStr">
        <is>
          <t>M</t>
        </is>
      </c>
      <c r="H2144" s="156" t="inlineStr">
        <is>
          <t>Stetson</t>
        </is>
      </c>
      <c r="I2144" s="156" t="inlineStr">
        <is>
          <t>Cinturón Dama Estampado Tipo Cocodrilo</t>
        </is>
      </c>
      <c r="J2144" s="156" t="inlineStr">
        <is>
          <t>Accesorios</t>
        </is>
      </c>
      <c r="K2144" s="156" t="inlineStr">
        <is>
          <t>Cinturones</t>
        </is>
      </c>
      <c r="L2144" s="156" t="inlineStr">
        <is>
          <t>Mujer</t>
        </is>
      </c>
      <c r="M2144" s="156" t="inlineStr">
        <is>
          <t>Stetson</t>
        </is>
      </c>
      <c r="N2144" s="156" t="inlineStr">
        <is>
          <t>SS26</t>
        </is>
      </c>
      <c r="O2144" s="156" t="inlineStr">
        <is>
          <t>Seasonal</t>
        </is>
      </c>
      <c r="P2144" s="156" t="inlineStr">
        <is>
          <t>Varios</t>
        </is>
      </c>
      <c r="Q2144" s="156" t="n"/>
      <c r="R2144" s="156" t="n"/>
      <c r="S2144" s="156" t="inlineStr">
        <is>
          <t>Piel</t>
        </is>
      </c>
      <c r="T2144"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4" s="156" t="n"/>
      <c r="V2144" s="156" t="inlineStr">
        <is>
          <t>PZS</t>
        </is>
      </c>
      <c r="W2144" s="51" t="inlineStr">
        <is>
          <t>53102501</t>
        </is>
      </c>
      <c r="X2144" s="156" t="inlineStr">
        <is>
          <t>https://cdn.shopify.com/s/files/1/0888/3250/8267/files/9409790-001-06.jpg?v=1761932677</t>
        </is>
      </c>
      <c r="Y2144" s="54" t="n">
        <v>1066.810345</v>
      </c>
      <c r="Z2144" s="54" t="n">
        <v>2370.689655</v>
      </c>
      <c r="AA2144" s="55">
        <f>IF(AND(A2144="", B2144="", E2144=""), "", IF(AB2144="", "Válido", IF((LEN(AB2144)-LEN(SUBSTITUTE(AB2144,"; ","")))/2+1&gt;(LEN(AB2144)-LEN(SUBSTITUTE(AB2144,"[Aviso]","")))/7, "Con Incidencias", "Válido")))</f>
        <v/>
      </c>
      <c r="AB2144" s="56">
        <f>IF(AND(A2144="", B2144="", E2144=""), "", TEXTJOIN("; ", TRUE, IF(OR(TRIM(A2144&amp;"")="", ISNUMBER(SEARCH("FALTA", A2144))), "UPC faltante/inválido", ""), IF(AND(A2144&lt;&gt;"", IFERROR(_xlfn.XMATCH(A2144,$A$2:$A$2509,0,1)&lt;&gt;_xlfn.XMATCH(A2144,$A$2:$A$2509,0,-1),FALSE)), "Código de barras duplicado", ""), IF(AND(E2144&lt;&gt;"", COUNTIF($E$2:$E$2509, E2144)&gt;1), "SKU duplicado", ""), IF(OR(J2144="", J2144=""), "[Aviso] División no capturada ()", IF(ISNA(MATCH(J2144, Criterios!$A$123:$A$126, 0)), "División no válida", "")), IF(OR(K2144="", K2144=""), "[Aviso] Categoría no capturada ()", IF(ISNA(MATCH(K2144, Criterios!$A$81:$A$120, 0)), "Categoría no válida", IF(AND(J2144&lt;&gt;"", J2144&lt;&gt;"", J2144&lt;&gt;VLOOKUP(K2144, Criterios!$A$81:$B$120, 2, FALSE)), "División no coincide con Categoría", ""))), IF(OR(L2144="", L2144=""), "[Aviso] Género no capturado ()", IF(ISNA(MATCH(L2144, Criterios!$B$123:$B$127, 0)), "Género no válido", "")), IF(OR(N2144="", N2144=""), "[Aviso] Temporada no capturada ()", IF(ISNA(MATCH(N2144, Criterios!$C$123:$C$128, 0)), "Temporada no válida", "")), IF(OR(O2144="", O2144=""), "[Aviso] Ciclo de vida no capturado ()", IF(ISNA(MATCH(O2144, Criterios!$D$123:$D$124, 0)), "Ciclo de vida no válido", ""))))</f>
        <v/>
      </c>
      <c r="AC2144" s="56" t="n"/>
      <c r="AD2144" s="51" t="n">
        <v>4</v>
      </c>
      <c r="AE2144" s="156" t="inlineStr">
        <is>
          <t>B25 STETSON.MX (1); WB OUTLET LERMA (2); PUNTO DE VENTA (1)</t>
        </is>
      </c>
      <c r="AF2144" s="51" t="n">
        <v>4</v>
      </c>
      <c r="AG2144" s="156" t="inlineStr">
        <is>
          <t>Catálogo existente</t>
        </is>
      </c>
      <c r="AH2144"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4" s="156" t="inlineStr">
        <is>
          <t>No</t>
        </is>
      </c>
      <c r="AJ2144" s="156" t="n"/>
      <c r="AK2144" s="155" t="inlineStr">
        <is>
          <t>Criterios: I [Q] | Criterios: J [R]; G1522_Extraccion_Articulos_NetSuite_2026-09-30.xlsx: fila 57516 [S] | Shopify Stetson: producto 14811718058347 / variante 53350601818475 | Shopify WB: producto 10310238306489 / variante 50512090890425</t>
        </is>
      </c>
      <c r="AL2144" s="58" t="n">
        <v>1066.810345</v>
      </c>
      <c r="AM2144" s="58" t="n">
        <v>2370.689655</v>
      </c>
      <c r="AN2144" s="155" t="inlineStr">
        <is>
          <t>Shopify Stetson México | Shopify Western Brothers</t>
        </is>
      </c>
      <c r="AO2144" s="59" t="n">
        <v>5</v>
      </c>
      <c r="AP2144" s="59" t="n">
        <v>2</v>
      </c>
      <c r="AQ2144" s="59" t="n"/>
      <c r="AR2144" s="155" t="inlineStr">
        <is>
          <t>Shopify Stetson México › Stetson México: 1 | Shopify Stetson México › Stetson Americas: 4 | Shopify Western Brothers › Western Brothers Outlet Lerma: 2</t>
        </is>
      </c>
    </row>
    <row r="2145">
      <c r="A2145" s="50" t="inlineStr">
        <is>
          <t>724303742015</t>
        </is>
      </c>
      <c r="B2145" s="51" t="inlineStr">
        <is>
          <t>109702</t>
        </is>
      </c>
      <c r="C2145" s="156" t="inlineStr">
        <is>
          <t>Multimarca</t>
        </is>
      </c>
      <c r="D2145" s="156" t="inlineStr">
        <is>
          <t>9409790-600</t>
        </is>
      </c>
      <c r="E2145" s="156" t="inlineStr">
        <is>
          <t>9409790-600-L</t>
        </is>
      </c>
      <c r="F2145" s="156" t="inlineStr">
        <is>
          <t>L</t>
        </is>
      </c>
      <c r="G2145" s="156" t="inlineStr">
        <is>
          <t>L</t>
        </is>
      </c>
      <c r="H2145" s="156" t="inlineStr">
        <is>
          <t>Stetson</t>
        </is>
      </c>
      <c r="I2145" s="156" t="inlineStr">
        <is>
          <t>Cinturón Dama Estampado Tipo Cocodrilo</t>
        </is>
      </c>
      <c r="J2145" s="156" t="inlineStr">
        <is>
          <t>Accesorios</t>
        </is>
      </c>
      <c r="K2145" s="156" t="inlineStr">
        <is>
          <t>Cinturones</t>
        </is>
      </c>
      <c r="L2145" s="156" t="inlineStr">
        <is>
          <t>Mujer</t>
        </is>
      </c>
      <c r="M2145" s="156" t="inlineStr">
        <is>
          <t>Stetson</t>
        </is>
      </c>
      <c r="N2145" s="156" t="inlineStr">
        <is>
          <t>SS26</t>
        </is>
      </c>
      <c r="O2145" s="156" t="inlineStr">
        <is>
          <t>Seasonal</t>
        </is>
      </c>
      <c r="P2145" s="156" t="inlineStr">
        <is>
          <t>Varios</t>
        </is>
      </c>
      <c r="Q2145" s="156" t="n"/>
      <c r="R2145" s="156" t="n"/>
      <c r="S2145" s="156" t="inlineStr">
        <is>
          <t>Piel</t>
        </is>
      </c>
      <c r="T2145"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5" s="156" t="n"/>
      <c r="V2145" s="156" t="inlineStr">
        <is>
          <t>PZS</t>
        </is>
      </c>
      <c r="W2145" s="51" t="inlineStr">
        <is>
          <t>53102501</t>
        </is>
      </c>
      <c r="X2145" s="156" t="inlineStr">
        <is>
          <t>https://cdn.shopify.com/s/files/1/0888/3250/8267/files/9409790-001-07.jpg?v=1761932677</t>
        </is>
      </c>
      <c r="Y2145" s="54" t="n">
        <v>1066.810345</v>
      </c>
      <c r="Z2145" s="54" t="n">
        <v>2370.689655</v>
      </c>
      <c r="AA2145" s="55">
        <f>IF(AND(A2145="", B2145="", E2145=""), "", IF(AB2145="", "Válido", IF((LEN(AB2145)-LEN(SUBSTITUTE(AB2145,"; ","")))/2+1&gt;(LEN(AB2145)-LEN(SUBSTITUTE(AB2145,"[Aviso]","")))/7, "Con Incidencias", "Válido")))</f>
        <v/>
      </c>
      <c r="AB2145" s="56">
        <f>IF(AND(A2145="", B2145="", E2145=""), "", TEXTJOIN("; ", TRUE, IF(OR(TRIM(A2145&amp;"")="", ISNUMBER(SEARCH("FALTA", A2145))), "UPC faltante/inválido", ""), IF(AND(A2145&lt;&gt;"", IFERROR(_xlfn.XMATCH(A2145,$A$2:$A$2509,0,1)&lt;&gt;_xlfn.XMATCH(A2145,$A$2:$A$2509,0,-1),FALSE)), "Código de barras duplicado", ""), IF(AND(E2145&lt;&gt;"", COUNTIF($E$2:$E$2509, E2145)&gt;1), "SKU duplicado", ""), IF(OR(J2145="", J2145=""), "[Aviso] División no capturada ()", IF(ISNA(MATCH(J2145, Criterios!$A$123:$A$126, 0)), "División no válida", "")), IF(OR(K2145="", K2145=""), "[Aviso] Categoría no capturada ()", IF(ISNA(MATCH(K2145, Criterios!$A$81:$A$120, 0)), "Categoría no válida", IF(AND(J2145&lt;&gt;"", J2145&lt;&gt;"", J2145&lt;&gt;VLOOKUP(K2145, Criterios!$A$81:$B$120, 2, FALSE)), "División no coincide con Categoría", ""))), IF(OR(L2145="", L2145=""), "[Aviso] Género no capturado ()", IF(ISNA(MATCH(L2145, Criterios!$B$123:$B$127, 0)), "Género no válido", "")), IF(OR(N2145="", N2145=""), "[Aviso] Temporada no capturada ()", IF(ISNA(MATCH(N2145, Criterios!$C$123:$C$128, 0)), "Temporada no válida", "")), IF(OR(O2145="", O2145=""), "[Aviso] Ciclo de vida no capturado ()", IF(ISNA(MATCH(O2145, Criterios!$D$123:$D$124, 0)), "Ciclo de vida no válido", ""))))</f>
        <v/>
      </c>
      <c r="AC2145" s="56" t="n"/>
      <c r="AD2145" s="51" t="n">
        <v>4</v>
      </c>
      <c r="AE2145" s="156" t="inlineStr">
        <is>
          <t>B25 STETSON.MX (4); WB OUTLET LERMA (1)</t>
        </is>
      </c>
      <c r="AF2145" s="51" t="n">
        <v>5</v>
      </c>
      <c r="AG2145" s="156" t="inlineStr">
        <is>
          <t>Catálogo existente</t>
        </is>
      </c>
      <c r="AH2145"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5" s="156" t="inlineStr">
        <is>
          <t>Sí</t>
        </is>
      </c>
      <c r="AJ2145" s="156" t="inlineStr">
        <is>
          <t>STETSON AMERICAS (-1)</t>
        </is>
      </c>
      <c r="AK2145" s="155" t="inlineStr">
        <is>
          <t>Criterios: I [Q] | Criterios: J [R]; G1522_Extraccion_Articulos_NetSuite_2026-09-30.xlsx: fila 57517 [S] | Shopify Stetson: producto 14811718058347 / variante 53350601851243 | Shopify WB: producto 10310238306489 / variante 50512090923193</t>
        </is>
      </c>
      <c r="AL2145" s="58" t="n">
        <v>1066.810345</v>
      </c>
      <c r="AM2145" s="58" t="n">
        <v>2370.689655</v>
      </c>
      <c r="AN2145" s="155" t="inlineStr">
        <is>
          <t>Shopify Stetson México | Shopify Western Brothers</t>
        </is>
      </c>
      <c r="AO2145" s="59" t="n">
        <v>7</v>
      </c>
      <c r="AP2145" s="59" t="n">
        <v>1</v>
      </c>
      <c r="AQ2145" s="59" t="n"/>
      <c r="AR2145" s="155" t="inlineStr">
        <is>
          <t>Shopify Stetson México › Stetson México: 4 | Shopify Stetson México › Stetson Americas: 3 | Shopify Western Brothers › Western Brothers Outlet Lerma: 1</t>
        </is>
      </c>
    </row>
    <row r="2146">
      <c r="A2146" s="50" t="inlineStr">
        <is>
          <t>724303742022</t>
        </is>
      </c>
      <c r="B2146" s="51" t="inlineStr">
        <is>
          <t>109703</t>
        </is>
      </c>
      <c r="C2146" s="156" t="inlineStr">
        <is>
          <t>Multimarca</t>
        </is>
      </c>
      <c r="D2146" s="156" t="inlineStr">
        <is>
          <t>9409790-600</t>
        </is>
      </c>
      <c r="E2146" s="156" t="inlineStr">
        <is>
          <t>9409790-600-XL</t>
        </is>
      </c>
      <c r="F2146" s="156" t="inlineStr">
        <is>
          <t>XL</t>
        </is>
      </c>
      <c r="G2146" s="156" t="inlineStr">
        <is>
          <t>XL</t>
        </is>
      </c>
      <c r="H2146" s="156" t="inlineStr">
        <is>
          <t>Stetson</t>
        </is>
      </c>
      <c r="I2146" s="156" t="inlineStr">
        <is>
          <t>Cinturón Dama Estampado Tipo Cocodrilo</t>
        </is>
      </c>
      <c r="J2146" s="156" t="inlineStr">
        <is>
          <t>Accesorios</t>
        </is>
      </c>
      <c r="K2146" s="156" t="inlineStr">
        <is>
          <t>Cinturones</t>
        </is>
      </c>
      <c r="L2146" s="156" t="inlineStr">
        <is>
          <t>Mujer</t>
        </is>
      </c>
      <c r="M2146" s="156" t="inlineStr">
        <is>
          <t>Stetson</t>
        </is>
      </c>
      <c r="N2146" s="156" t="inlineStr">
        <is>
          <t>SS26</t>
        </is>
      </c>
      <c r="O2146" s="156" t="inlineStr">
        <is>
          <t>Seasonal</t>
        </is>
      </c>
      <c r="P2146" s="156" t="inlineStr">
        <is>
          <t>Varios</t>
        </is>
      </c>
      <c r="Q2146" s="156" t="n"/>
      <c r="R2146" s="156" t="n"/>
      <c r="S2146" s="156" t="inlineStr">
        <is>
          <t>Piel</t>
        </is>
      </c>
      <c r="T2146"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6" s="156" t="n"/>
      <c r="V2146" s="156" t="inlineStr">
        <is>
          <t>PZS</t>
        </is>
      </c>
      <c r="W2146" s="51" t="inlineStr">
        <is>
          <t>53102501</t>
        </is>
      </c>
      <c r="X2146" s="156" t="inlineStr">
        <is>
          <t>https://cdn.shopify.com/s/files/1/0888/3250/8267/files/9409790-600-01_193ce993-5dd4-482e-b557-5c90d101bb02.jpg?v=1761932849</t>
        </is>
      </c>
      <c r="Y2146" s="54" t="n">
        <v>1066.810345</v>
      </c>
      <c r="Z2146" s="54" t="n">
        <v>2370.689655</v>
      </c>
      <c r="AA2146" s="55">
        <f>IF(AND(A2146="", B2146="", E2146=""), "", IF(AB2146="", "Válido", IF((LEN(AB2146)-LEN(SUBSTITUTE(AB2146,"; ","")))/2+1&gt;(LEN(AB2146)-LEN(SUBSTITUTE(AB2146,"[Aviso]","")))/7, "Con Incidencias", "Válido")))</f>
        <v/>
      </c>
      <c r="AB2146" s="56">
        <f>IF(AND(A2146="", B2146="", E2146=""), "", TEXTJOIN("; ", TRUE, IF(OR(TRIM(A2146&amp;"")="", ISNUMBER(SEARCH("FALTA", A2146))), "UPC faltante/inválido", ""), IF(AND(A2146&lt;&gt;"", IFERROR(_xlfn.XMATCH(A2146,$A$2:$A$2509,0,1)&lt;&gt;_xlfn.XMATCH(A2146,$A$2:$A$2509,0,-1),FALSE)), "Código de barras duplicado", ""), IF(AND(E2146&lt;&gt;"", COUNTIF($E$2:$E$2509, E2146)&gt;1), "SKU duplicado", ""), IF(OR(J2146="", J2146=""), "[Aviso] División no capturada ()", IF(ISNA(MATCH(J2146, Criterios!$A$123:$A$126, 0)), "División no válida", "")), IF(OR(K2146="", K2146=""), "[Aviso] Categoría no capturada ()", IF(ISNA(MATCH(K2146, Criterios!$A$81:$A$120, 0)), "Categoría no válida", IF(AND(J2146&lt;&gt;"", J2146&lt;&gt;"", J2146&lt;&gt;VLOOKUP(K2146, Criterios!$A$81:$B$120, 2, FALSE)), "División no coincide con Categoría", ""))), IF(OR(L2146="", L2146=""), "[Aviso] Género no capturado ()", IF(ISNA(MATCH(L2146, Criterios!$B$123:$B$127, 0)), "Género no válido", "")), IF(OR(N2146="", N2146=""), "[Aviso] Temporada no capturada ()", IF(ISNA(MATCH(N2146, Criterios!$C$123:$C$128, 0)), "Temporada no válida", "")), IF(OR(O2146="", O2146=""), "[Aviso] Ciclo de vida no capturado ()", IF(ISNA(MATCH(O2146, Criterios!$D$123:$D$124, 0)), "Ciclo de vida no válido", ""))))</f>
        <v/>
      </c>
      <c r="AC2146" s="56" t="n"/>
      <c r="AD2146" s="51" t="n">
        <v>3</v>
      </c>
      <c r="AE2146" s="156" t="inlineStr">
        <is>
          <t>B25 STETSON.MX (2); WB OUTLET LERMA (1)</t>
        </is>
      </c>
      <c r="AF2146" s="51" t="n">
        <v>3</v>
      </c>
      <c r="AG2146" s="156" t="inlineStr">
        <is>
          <t>Catálogo existente</t>
        </is>
      </c>
      <c r="AH2146"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6" s="156" t="inlineStr">
        <is>
          <t>No</t>
        </is>
      </c>
      <c r="AJ2146" s="156" t="n"/>
      <c r="AK2146" s="155" t="inlineStr">
        <is>
          <t>Criterios: I [Q] | Criterios: J [R]; G1522_Extraccion_Articulos_NetSuite_2026-09-30.xlsx: fila 57518 [S] | Shopify Stetson: producto 14811718058347 / variante 53350601884011 | Shopify WB: producto 10310238306489 / variante 50512090955961</t>
        </is>
      </c>
      <c r="AL2146" s="58" t="n">
        <v>1066.810345</v>
      </c>
      <c r="AM2146" s="58" t="n">
        <v>2370.689655</v>
      </c>
      <c r="AN2146" s="155" t="inlineStr">
        <is>
          <t>Shopify Stetson México | Shopify Western Brothers</t>
        </is>
      </c>
      <c r="AO2146" s="59" t="n">
        <v>2</v>
      </c>
      <c r="AP2146" s="59" t="n">
        <v>1</v>
      </c>
      <c r="AQ2146" s="59" t="n"/>
      <c r="AR2146" s="155" t="inlineStr">
        <is>
          <t>Shopify Stetson México › Stetson México: 2 | Shopify Western Brothers › Western Brothers Outlet Lerma: 1</t>
        </is>
      </c>
    </row>
    <row r="2147">
      <c r="A2147" s="50" t="inlineStr">
        <is>
          <t>724303742046</t>
        </is>
      </c>
      <c r="B2147" s="51" t="inlineStr">
        <is>
          <t>109704</t>
        </is>
      </c>
      <c r="C2147" s="156" t="inlineStr">
        <is>
          <t>Multimarca</t>
        </is>
      </c>
      <c r="D2147" s="156" t="inlineStr">
        <is>
          <t>9410790-962</t>
        </is>
      </c>
      <c r="E2147" s="156" t="inlineStr">
        <is>
          <t>9410790-962-S</t>
        </is>
      </c>
      <c r="F2147" s="156" t="inlineStr">
        <is>
          <t>S</t>
        </is>
      </c>
      <c r="G2147" s="156" t="inlineStr">
        <is>
          <t>S</t>
        </is>
      </c>
      <c r="H2147" s="156" t="inlineStr">
        <is>
          <t>Stetson</t>
        </is>
      </c>
      <c r="I2147" s="156" t="inlineStr">
        <is>
          <t>Cinturón Dama Piel / Pelo Borde Trenzado</t>
        </is>
      </c>
      <c r="J2147" s="156" t="inlineStr">
        <is>
          <t>Accesorios</t>
        </is>
      </c>
      <c r="K2147" s="156" t="inlineStr">
        <is>
          <t>Cinturones</t>
        </is>
      </c>
      <c r="L2147" s="156" t="inlineStr">
        <is>
          <t>Mujer</t>
        </is>
      </c>
      <c r="M2147" s="156" t="inlineStr">
        <is>
          <t>Stetson</t>
        </is>
      </c>
      <c r="N2147" s="156" t="inlineStr">
        <is>
          <t>SS26</t>
        </is>
      </c>
      <c r="O2147" s="156" t="inlineStr">
        <is>
          <t>Seasonal</t>
        </is>
      </c>
      <c r="P2147" s="156" t="inlineStr">
        <is>
          <t>Negro</t>
        </is>
      </c>
      <c r="Q2147" s="156" t="n"/>
      <c r="R2147" s="156" t="n"/>
      <c r="S2147" s="156" t="inlineStr">
        <is>
          <t>Piel</t>
        </is>
      </c>
      <c r="T2147"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47" s="156" t="n"/>
      <c r="V2147" s="156" t="inlineStr">
        <is>
          <t>PZS</t>
        </is>
      </c>
      <c r="W2147" s="51" t="inlineStr">
        <is>
          <t>53102501</t>
        </is>
      </c>
      <c r="X2147" s="156" t="inlineStr">
        <is>
          <t>https://cdn.shopify.com/s/files/1/0888/3250/8267/files/9410790-962-01.jpg?v=1761933437</t>
        </is>
      </c>
      <c r="Y2147" s="54" t="n">
        <v>892.2413792999999</v>
      </c>
      <c r="Z2147" s="54" t="n">
        <v>1982.758621</v>
      </c>
      <c r="AA2147" s="55">
        <f>IF(AND(A2147="", B2147="", E2147=""), "", IF(AB2147="", "Válido", IF((LEN(AB2147)-LEN(SUBSTITUTE(AB2147,"; ","")))/2+1&gt;(LEN(AB2147)-LEN(SUBSTITUTE(AB2147,"[Aviso]","")))/7, "Con Incidencias", "Válido")))</f>
        <v/>
      </c>
      <c r="AB2147" s="56">
        <f>IF(AND(A2147="", B2147="", E2147=""), "", TEXTJOIN("; ", TRUE, IF(OR(TRIM(A2147&amp;"")="", ISNUMBER(SEARCH("FALTA", A2147))), "UPC faltante/inválido", ""), IF(AND(A2147&lt;&gt;"", IFERROR(_xlfn.XMATCH(A2147,$A$2:$A$2509,0,1)&lt;&gt;_xlfn.XMATCH(A2147,$A$2:$A$2509,0,-1),FALSE)), "Código de barras duplicado", ""), IF(AND(E2147&lt;&gt;"", COUNTIF($E$2:$E$2509, E2147)&gt;1), "SKU duplicado", ""), IF(OR(J2147="", J2147=""), "[Aviso] División no capturada ()", IF(ISNA(MATCH(J2147, Criterios!$A$123:$A$126, 0)), "División no válida", "")), IF(OR(K2147="", K2147=""), "[Aviso] Categoría no capturada ()", IF(ISNA(MATCH(K2147, Criterios!$A$81:$A$120, 0)), "Categoría no válida", IF(AND(J2147&lt;&gt;"", J2147&lt;&gt;"", J2147&lt;&gt;VLOOKUP(K2147, Criterios!$A$81:$B$120, 2, FALSE)), "División no coincide con Categoría", ""))), IF(OR(L2147="", L2147=""), "[Aviso] Género no capturado ()", IF(ISNA(MATCH(L2147, Criterios!$B$123:$B$127, 0)), "Género no válido", "")), IF(OR(N2147="", N2147=""), "[Aviso] Temporada no capturada ()", IF(ISNA(MATCH(N2147, Criterios!$C$123:$C$128, 0)), "Temporada no válida", "")), IF(OR(O2147="", O2147=""), "[Aviso] Ciclo de vida no capturado ()", IF(ISNA(MATCH(O2147, Criterios!$D$123:$D$124, 0)), "Ciclo de vida no válido", ""))))</f>
        <v/>
      </c>
      <c r="AC2147" s="56" t="n"/>
      <c r="AD2147" s="51" t="n">
        <v>-2</v>
      </c>
      <c r="AE2147" s="156" t="n"/>
      <c r="AF2147" s="51" t="n">
        <v>0</v>
      </c>
      <c r="AG2147" s="156" t="inlineStr">
        <is>
          <t>Catálogo existente</t>
        </is>
      </c>
      <c r="AH2147" s="156" t="inlineStr">
        <is>
          <t>Stock negativo en sistema: revisar en conteo | Revisión 29/09/2026: Campos sin respaldo: P, U | 01/10/2026: complementado desde Shopify Stetson México (match por código de barras): WB Fit, WB Silueta | Homologación G1522 06/10/2026: WB Color: «» → «Negro» (Completado por investigación en línea)</t>
        </is>
      </c>
      <c r="AI2147" s="156" t="inlineStr">
        <is>
          <t>Sí</t>
        </is>
      </c>
      <c r="AJ2147" s="156" t="inlineStr">
        <is>
          <t>STETSON AMERICAS (-2)</t>
        </is>
      </c>
      <c r="AK2147" s="155" t="inlineStr">
        <is>
          <t>Criterios: I [Q] | Criterios: J [R] | Shopify Stetson: producto 14811722154347 / variante 53350601523563 | Investigación en línea 06/10/2026: https://www.stetson.com/products/hair-on-hide-laced-belt-white-black</t>
        </is>
      </c>
      <c r="AL2147" s="58" t="n">
        <v>892.2413792999999</v>
      </c>
      <c r="AM2147" s="58" t="n">
        <v>1982.758621</v>
      </c>
      <c r="AN2147" s="155" t="inlineStr">
        <is>
          <t>Shopify Stetson México</t>
        </is>
      </c>
      <c r="AO2147" s="59" t="n">
        <v>1</v>
      </c>
      <c r="AP2147" s="59" t="n"/>
      <c r="AQ2147" s="59" t="n"/>
      <c r="AR2147" s="155" t="inlineStr">
        <is>
          <t>Shopify Stetson México › Stetson Americas: 1</t>
        </is>
      </c>
    </row>
    <row r="2148">
      <c r="A2148" s="50" t="inlineStr">
        <is>
          <t>724303742053</t>
        </is>
      </c>
      <c r="B2148" s="51" t="inlineStr">
        <is>
          <t>109705</t>
        </is>
      </c>
      <c r="C2148" s="156" t="inlineStr">
        <is>
          <t>Multimarca</t>
        </is>
      </c>
      <c r="D2148" s="156" t="inlineStr">
        <is>
          <t>9410790-962</t>
        </is>
      </c>
      <c r="E2148" s="156" t="inlineStr">
        <is>
          <t>9410790-962-M</t>
        </is>
      </c>
      <c r="F2148" s="156" t="inlineStr">
        <is>
          <t>M</t>
        </is>
      </c>
      <c r="G2148" s="156" t="inlineStr">
        <is>
          <t>M</t>
        </is>
      </c>
      <c r="H2148" s="156" t="inlineStr">
        <is>
          <t>Stetson</t>
        </is>
      </c>
      <c r="I2148" s="156" t="inlineStr">
        <is>
          <t>Cinturón Dama Piel / Pelo Borde Trenzado</t>
        </is>
      </c>
      <c r="J2148" s="156" t="inlineStr">
        <is>
          <t>Accesorios</t>
        </is>
      </c>
      <c r="K2148" s="156" t="inlineStr">
        <is>
          <t>Cinturones</t>
        </is>
      </c>
      <c r="L2148" s="156" t="inlineStr">
        <is>
          <t>Mujer</t>
        </is>
      </c>
      <c r="M2148" s="156" t="inlineStr">
        <is>
          <t>Stetson</t>
        </is>
      </c>
      <c r="N2148" s="156" t="inlineStr">
        <is>
          <t>SS26</t>
        </is>
      </c>
      <c r="O2148" s="156" t="inlineStr">
        <is>
          <t>Seasonal</t>
        </is>
      </c>
      <c r="P2148" s="156" t="inlineStr">
        <is>
          <t>Negro</t>
        </is>
      </c>
      <c r="Q2148" s="156" t="n"/>
      <c r="R2148" s="156" t="n"/>
      <c r="S2148" s="156" t="inlineStr">
        <is>
          <t>Piel</t>
        </is>
      </c>
      <c r="T2148"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48" s="156" t="n"/>
      <c r="V2148" s="156" t="inlineStr">
        <is>
          <t>PZS</t>
        </is>
      </c>
      <c r="W2148" s="51" t="inlineStr">
        <is>
          <t>53102501</t>
        </is>
      </c>
      <c r="X2148" s="156" t="inlineStr">
        <is>
          <t>https://cdn.shopify.com/s/files/1/0888/3250/8267/files/9410790-962-02.jpg?v=1761933437</t>
        </is>
      </c>
      <c r="Y2148" s="54" t="n">
        <v>892.2413792999999</v>
      </c>
      <c r="Z2148" s="54" t="n">
        <v>1982.758621</v>
      </c>
      <c r="AA2148" s="55">
        <f>IF(AND(A2148="", B2148="", E2148=""), "", IF(AB2148="", "Válido", IF((LEN(AB2148)-LEN(SUBSTITUTE(AB2148,"; ","")))/2+1&gt;(LEN(AB2148)-LEN(SUBSTITUTE(AB2148,"[Aviso]","")))/7, "Con Incidencias", "Válido")))</f>
        <v/>
      </c>
      <c r="AB2148" s="56">
        <f>IF(AND(A2148="", B2148="", E2148=""), "", TEXTJOIN("; ", TRUE, IF(OR(TRIM(A2148&amp;"")="", ISNUMBER(SEARCH("FALTA", A2148))), "UPC faltante/inválido", ""), IF(AND(A2148&lt;&gt;"", IFERROR(_xlfn.XMATCH(A2148,$A$2:$A$2509,0,1)&lt;&gt;_xlfn.XMATCH(A2148,$A$2:$A$2509,0,-1),FALSE)), "Código de barras duplicado", ""), IF(AND(E2148&lt;&gt;"", COUNTIF($E$2:$E$2509, E2148)&gt;1), "SKU duplicado", ""), IF(OR(J2148="", J2148=""), "[Aviso] División no capturada ()", IF(ISNA(MATCH(J2148, Criterios!$A$123:$A$126, 0)), "División no válida", "")), IF(OR(K2148="", K2148=""), "[Aviso] Categoría no capturada ()", IF(ISNA(MATCH(K2148, Criterios!$A$81:$A$120, 0)), "Categoría no válida", IF(AND(J2148&lt;&gt;"", J2148&lt;&gt;"", J2148&lt;&gt;VLOOKUP(K2148, Criterios!$A$81:$B$120, 2, FALSE)), "División no coincide con Categoría", ""))), IF(OR(L2148="", L2148=""), "[Aviso] Género no capturado ()", IF(ISNA(MATCH(L2148, Criterios!$B$123:$B$127, 0)), "Género no válido", "")), IF(OR(N2148="", N2148=""), "[Aviso] Temporada no capturada ()", IF(ISNA(MATCH(N2148, Criterios!$C$123:$C$128, 0)), "Temporada no válida", "")), IF(OR(O2148="", O2148=""), "[Aviso] Ciclo de vida no capturado ()", IF(ISNA(MATCH(O2148, Criterios!$D$123:$D$124, 0)), "Ciclo de vida no válido", ""))))</f>
        <v/>
      </c>
      <c r="AC2148" s="56" t="n"/>
      <c r="AD2148" s="51" t="n">
        <v>-1</v>
      </c>
      <c r="AE2148" s="156" t="n"/>
      <c r="AF2148" s="51" t="n">
        <v>0</v>
      </c>
      <c r="AG2148" s="156" t="inlineStr">
        <is>
          <t>Catálogo existente</t>
        </is>
      </c>
      <c r="AH2148" s="156" t="inlineStr">
        <is>
          <t>Stock negativo en sistema: revisar en conteo | Revisión 29/09/2026: Campos sin respaldo: P, U | 01/10/2026: complementado desde Shopify Stetson México (match por código de barras): WB Fit, WB Silueta | Homologación G1522 06/10/2026: WB Color: «» → «Negro» (Completado por investigación en línea)</t>
        </is>
      </c>
      <c r="AI2148" s="156" t="inlineStr">
        <is>
          <t>Sí</t>
        </is>
      </c>
      <c r="AJ2148" s="156" t="inlineStr">
        <is>
          <t>STETSON AMERICAS (-1)</t>
        </is>
      </c>
      <c r="AK2148" s="155" t="inlineStr">
        <is>
          <t>Criterios: I [Q] | Criterios: J [R] | Shopify Stetson: producto 14811722154347 / variante 53350601556331 | Investigación en línea 06/10/2026: https://www.stetson.com/products/hair-on-hide-laced-belt-white-black</t>
        </is>
      </c>
      <c r="AL2148" s="58" t="n">
        <v>892.2413792999999</v>
      </c>
      <c r="AM2148" s="58" t="n">
        <v>1982.758621</v>
      </c>
      <c r="AN2148" s="155" t="inlineStr">
        <is>
          <t>Shopify Stetson México</t>
        </is>
      </c>
      <c r="AO2148" s="59" t="n">
        <v>3</v>
      </c>
      <c r="AP2148" s="59" t="n"/>
      <c r="AQ2148" s="59" t="n"/>
      <c r="AR2148" s="155" t="inlineStr">
        <is>
          <t>Shopify Stetson México › Stetson Americas: 3</t>
        </is>
      </c>
    </row>
    <row r="2149">
      <c r="A2149" s="50" t="inlineStr">
        <is>
          <t>724303742060</t>
        </is>
      </c>
      <c r="B2149" s="51" t="inlineStr">
        <is>
          <t>109706</t>
        </is>
      </c>
      <c r="C2149" s="156" t="inlineStr">
        <is>
          <t>Multimarca</t>
        </is>
      </c>
      <c r="D2149" s="156" t="inlineStr">
        <is>
          <t>9410790-962</t>
        </is>
      </c>
      <c r="E2149" s="156" t="inlineStr">
        <is>
          <t>9410790-962-L</t>
        </is>
      </c>
      <c r="F2149" s="156" t="inlineStr">
        <is>
          <t>L</t>
        </is>
      </c>
      <c r="G2149" s="156" t="inlineStr">
        <is>
          <t>L</t>
        </is>
      </c>
      <c r="H2149" s="156" t="inlineStr">
        <is>
          <t>Stetson</t>
        </is>
      </c>
      <c r="I2149" s="156" t="inlineStr">
        <is>
          <t>Cinturón Dama Piel / Pelo Borde Trenzado</t>
        </is>
      </c>
      <c r="J2149" s="156" t="inlineStr">
        <is>
          <t>Accesorios</t>
        </is>
      </c>
      <c r="K2149" s="156" t="inlineStr">
        <is>
          <t>Cinturones</t>
        </is>
      </c>
      <c r="L2149" s="156" t="inlineStr">
        <is>
          <t>Mujer</t>
        </is>
      </c>
      <c r="M2149" s="156" t="inlineStr">
        <is>
          <t>Stetson</t>
        </is>
      </c>
      <c r="N2149" s="156" t="inlineStr">
        <is>
          <t>SS26</t>
        </is>
      </c>
      <c r="O2149" s="156" t="inlineStr">
        <is>
          <t>Seasonal</t>
        </is>
      </c>
      <c r="P2149" s="156" t="inlineStr">
        <is>
          <t>Varios</t>
        </is>
      </c>
      <c r="Q2149" s="156" t="n"/>
      <c r="R2149" s="156" t="n"/>
      <c r="S2149" s="156" t="inlineStr">
        <is>
          <t>Piel</t>
        </is>
      </c>
      <c r="T2149" s="156" t="inlineStr">
        <is>
          <t>El Cinturón de Piel con Pelo y Borde Trenzado Stetson combina la fuerza del estilo western con un acabado artesanal de lujo. Fabricado en piel genuina de primera calidad, presenta una correa de 1 ?” (35 mm) de ancho con un elegante detalle de borde (más...)</t>
        </is>
      </c>
      <c r="U2149" s="156" t="n"/>
      <c r="V2149" s="156" t="inlineStr">
        <is>
          <t>PZS</t>
        </is>
      </c>
      <c r="W2149" s="51" t="inlineStr">
        <is>
          <t>53102501</t>
        </is>
      </c>
      <c r="X2149" s="156" t="inlineStr">
        <is>
          <t>https://cdn.shopify.com/s/files/1/0888/3250/8267/files/9410790-962-03.jpg?v=1761933437</t>
        </is>
      </c>
      <c r="Y2149" s="54" t="n">
        <v>892.2413792999999</v>
      </c>
      <c r="Z2149" s="54" t="n">
        <v>1982.758621</v>
      </c>
      <c r="AA2149" s="55">
        <f>IF(AND(A2149="", B2149="", E2149=""), "", IF(AB2149="", "Válido", IF((LEN(AB2149)-LEN(SUBSTITUTE(AB2149,"; ","")))/2+1&gt;(LEN(AB2149)-LEN(SUBSTITUTE(AB2149,"[Aviso]","")))/7, "Con Incidencias", "Válido")))</f>
        <v/>
      </c>
      <c r="AB2149" s="56">
        <f>IF(AND(A2149="", B2149="", E2149=""), "", TEXTJOIN("; ", TRUE, IF(OR(TRIM(A2149&amp;"")="", ISNUMBER(SEARCH("FALTA", A2149))), "UPC faltante/inválido", ""), IF(AND(A2149&lt;&gt;"", IFERROR(_xlfn.XMATCH(A2149,$A$2:$A$2509,0,1)&lt;&gt;_xlfn.XMATCH(A2149,$A$2:$A$2509,0,-1),FALSE)), "Código de barras duplicado", ""), IF(AND(E2149&lt;&gt;"", COUNTIF($E$2:$E$2509, E2149)&gt;1), "SKU duplicado", ""), IF(OR(J2149="", J2149=""), "[Aviso] División no capturada ()", IF(ISNA(MATCH(J2149, Criterios!$A$123:$A$126, 0)), "División no válida", "")), IF(OR(K2149="", K2149=""), "[Aviso] Categoría no capturada ()", IF(ISNA(MATCH(K2149, Criterios!$A$81:$A$120, 0)), "Categoría no válida", IF(AND(J2149&lt;&gt;"", J2149&lt;&gt;"", J2149&lt;&gt;VLOOKUP(K2149, Criterios!$A$81:$B$120, 2, FALSE)), "División no coincide con Categoría", ""))), IF(OR(L2149="", L2149=""), "[Aviso] Género no capturado ()", IF(ISNA(MATCH(L2149, Criterios!$B$123:$B$127, 0)), "Género no válido", "")), IF(OR(N2149="", N2149=""), "[Aviso] Temporada no capturada ()", IF(ISNA(MATCH(N2149, Criterios!$C$123:$C$128, 0)), "Temporada no válida", "")), IF(OR(O2149="", O2149=""), "[Aviso] Ciclo de vida no capturado ()", IF(ISNA(MATCH(O2149, Criterios!$D$123:$D$124, 0)), "Ciclo de vida no válido", ""))))</f>
        <v/>
      </c>
      <c r="AC2149" s="56" t="n"/>
      <c r="AD2149" s="51" t="n">
        <v>1</v>
      </c>
      <c r="AE2149" s="156" t="inlineStr">
        <is>
          <t>WB OUTLET LERMA (2)</t>
        </is>
      </c>
      <c r="AF2149" s="51" t="n">
        <v>2</v>
      </c>
      <c r="AG2149" s="156" t="inlineStr">
        <is>
          <t>Catálogo existente</t>
        </is>
      </c>
      <c r="AH2149" s="156" t="inlineStr">
        <is>
          <t>Revisión 29/09/2026: Campos sin respaldo: P, U | 01/10/2026: complementado desde Shopify Stetson México (match por código de barras): WB Color, WB Fit, WB Silueta</t>
        </is>
      </c>
      <c r="AI2149" s="156" t="inlineStr">
        <is>
          <t>Sí</t>
        </is>
      </c>
      <c r="AJ2149" s="156" t="inlineStr">
        <is>
          <t>STETSON AMERICAS (-1)</t>
        </is>
      </c>
      <c r="AK2149" s="155" t="inlineStr">
        <is>
          <t>Criterios: I [Q] | Criterios: J [R] | Shopify Stetson: producto 14811722154347 / variante 53350601589099 | Shopify WB: producto 10310238273721 / variante 50512090857657</t>
        </is>
      </c>
      <c r="AL2149" s="58" t="n">
        <v>892.2413792999999</v>
      </c>
      <c r="AM2149" s="58" t="n">
        <v>1982.758621</v>
      </c>
      <c r="AN2149" s="155" t="inlineStr">
        <is>
          <t>Shopify Stetson México | Shopify Western Brothers</t>
        </is>
      </c>
      <c r="AO2149" s="59" t="n">
        <v>1</v>
      </c>
      <c r="AP2149" s="59" t="n">
        <v>2</v>
      </c>
      <c r="AQ2149" s="59" t="n"/>
      <c r="AR2149" s="155" t="inlineStr">
        <is>
          <t>Shopify Stetson México › Eventos: 1 | Shopify Western Brothers › Western Brothers Outlet Lerma: 2</t>
        </is>
      </c>
    </row>
    <row r="2150">
      <c r="A2150" s="50" t="inlineStr">
        <is>
          <t>724303742077</t>
        </is>
      </c>
      <c r="B2150" s="51" t="inlineStr">
        <is>
          <t>109707</t>
        </is>
      </c>
      <c r="C2150" s="156" t="inlineStr">
        <is>
          <t>Multimarca</t>
        </is>
      </c>
      <c r="D2150" s="156" t="inlineStr">
        <is>
          <t>9410790-962</t>
        </is>
      </c>
      <c r="E2150" s="156" t="inlineStr">
        <is>
          <t>9410790-962-XL</t>
        </is>
      </c>
      <c r="F2150" s="156" t="inlineStr">
        <is>
          <t>XL</t>
        </is>
      </c>
      <c r="G2150" s="156" t="inlineStr">
        <is>
          <t>XL</t>
        </is>
      </c>
      <c r="H2150" s="156" t="inlineStr">
        <is>
          <t>Stetson</t>
        </is>
      </c>
      <c r="I2150" s="156" t="inlineStr">
        <is>
          <t>Cinturón Dama Piel / Pelo Borde Trenzado</t>
        </is>
      </c>
      <c r="J2150" s="156" t="inlineStr">
        <is>
          <t>Accesorios</t>
        </is>
      </c>
      <c r="K2150" s="156" t="inlineStr">
        <is>
          <t>Cinturones</t>
        </is>
      </c>
      <c r="L2150" s="156" t="inlineStr">
        <is>
          <t>Mujer</t>
        </is>
      </c>
      <c r="M2150" s="156" t="inlineStr">
        <is>
          <t>Stetson</t>
        </is>
      </c>
      <c r="N2150" s="156" t="inlineStr">
        <is>
          <t>SS26</t>
        </is>
      </c>
      <c r="O2150" s="156" t="inlineStr">
        <is>
          <t>Seasonal</t>
        </is>
      </c>
      <c r="P2150" s="156" t="inlineStr">
        <is>
          <t>Negro</t>
        </is>
      </c>
      <c r="Q2150" s="156" t="n"/>
      <c r="R2150" s="156" t="n"/>
      <c r="S2150" s="156" t="inlineStr">
        <is>
          <t>Piel</t>
        </is>
      </c>
      <c r="T2150"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0" s="156" t="n"/>
      <c r="V2150" s="156" t="inlineStr">
        <is>
          <t>PZS</t>
        </is>
      </c>
      <c r="W2150" s="51" t="inlineStr">
        <is>
          <t>53102501</t>
        </is>
      </c>
      <c r="X2150" s="156" t="inlineStr">
        <is>
          <t>https://cdn.shopify.com/s/files/1/0888/3250/8267/files/9410790-962-04.jpg?v=1761933437</t>
        </is>
      </c>
      <c r="Y2150" s="54" t="n">
        <v>892.2413792999999</v>
      </c>
      <c r="Z2150" s="54" t="n">
        <v>1982.758621</v>
      </c>
      <c r="AA2150" s="55">
        <f>IF(AND(A2150="", B2150="", E2150=""), "", IF(AB2150="", "Válido", IF((LEN(AB2150)-LEN(SUBSTITUTE(AB2150,"; ","")))/2+1&gt;(LEN(AB2150)-LEN(SUBSTITUTE(AB2150,"[Aviso]","")))/7, "Con Incidencias", "Válido")))</f>
        <v/>
      </c>
      <c r="AB2150" s="56">
        <f>IF(AND(A2150="", B2150="", E2150=""), "", TEXTJOIN("; ", TRUE, IF(OR(TRIM(A2150&amp;"")="", ISNUMBER(SEARCH("FALTA", A2150))), "UPC faltante/inválido", ""), IF(AND(A2150&lt;&gt;"", IFERROR(_xlfn.XMATCH(A2150,$A$2:$A$2509,0,1)&lt;&gt;_xlfn.XMATCH(A2150,$A$2:$A$2509,0,-1),FALSE)), "Código de barras duplicado", ""), IF(AND(E2150&lt;&gt;"", COUNTIF($E$2:$E$2509, E2150)&gt;1), "SKU duplicado", ""), IF(OR(J2150="", J2150=""), "[Aviso] División no capturada ()", IF(ISNA(MATCH(J2150, Criterios!$A$123:$A$126, 0)), "División no válida", "")), IF(OR(K2150="", K2150=""), "[Aviso] Categoría no capturada ()", IF(ISNA(MATCH(K2150, Criterios!$A$81:$A$120, 0)), "Categoría no válida", IF(AND(J2150&lt;&gt;"", J2150&lt;&gt;"", J2150&lt;&gt;VLOOKUP(K2150, Criterios!$A$81:$B$120, 2, FALSE)), "División no coincide con Categoría", ""))), IF(OR(L2150="", L2150=""), "[Aviso] Género no capturado ()", IF(ISNA(MATCH(L2150, Criterios!$B$123:$B$127, 0)), "Género no válido", "")), IF(OR(N2150="", N2150=""), "[Aviso] Temporada no capturada ()", IF(ISNA(MATCH(N2150, Criterios!$C$123:$C$128, 0)), "Temporada no válida", "")), IF(OR(O2150="", O2150=""), "[Aviso] Ciclo de vida no capturado ()", IF(ISNA(MATCH(O2150, Criterios!$D$123:$D$124, 0)), "Ciclo de vida no válido", ""))))</f>
        <v/>
      </c>
      <c r="AC2150" s="56" t="n"/>
      <c r="AD2150" s="51" t="n">
        <v>0</v>
      </c>
      <c r="AE2150" s="156" t="n"/>
      <c r="AF2150" s="51" t="n">
        <v>0</v>
      </c>
      <c r="AG2150" s="156" t="inlineStr">
        <is>
          <t>Catálogo existente</t>
        </is>
      </c>
      <c r="AH2150" s="156" t="inlineStr">
        <is>
          <t>Revisión 29/09/2026: Campos sin respaldo: P, U | 01/10/2026: complementado desde Shopify Stetson México (match por código de barras): WB Fit, WB Silueta | Homologación G1522 06/10/2026: WB Color: «» → «Negro» (Completado por investigación en línea)</t>
        </is>
      </c>
      <c r="AI2150" s="156" t="inlineStr">
        <is>
          <t>No</t>
        </is>
      </c>
      <c r="AJ2150" s="156" t="n"/>
      <c r="AK2150" s="155" t="inlineStr">
        <is>
          <t>Criterios: I [Q] | Criterios: J [R] | Shopify Stetson: producto 14811722154347 / variante 53350601621867 | Investigación en línea 06/10/2026: https://www.stetson.com/products/hair-on-hide-laced-belt-white-black</t>
        </is>
      </c>
      <c r="AL2150" s="58" t="n">
        <v>892.2413792999999</v>
      </c>
      <c r="AM2150" s="58" t="n">
        <v>1982.758621</v>
      </c>
      <c r="AN2150" s="155" t="inlineStr">
        <is>
          <t>Shopify Stetson México</t>
        </is>
      </c>
      <c r="AO2150" s="59" t="n">
        <v>0</v>
      </c>
      <c r="AP2150" s="59" t="n"/>
      <c r="AQ2150" s="59" t="n"/>
      <c r="AR2150" s="155" t="n"/>
    </row>
    <row r="2151">
      <c r="A2151" s="50" t="inlineStr">
        <is>
          <t>724303742091</t>
        </is>
      </c>
      <c r="B2151" s="51" t="inlineStr">
        <is>
          <t>109708</t>
        </is>
      </c>
      <c r="C2151" s="156" t="inlineStr">
        <is>
          <t>Multimarca</t>
        </is>
      </c>
      <c r="D2151" s="156" t="inlineStr">
        <is>
          <t>9411790-909</t>
        </is>
      </c>
      <c r="E2151" s="156" t="inlineStr">
        <is>
          <t>9411790-909-S</t>
        </is>
      </c>
      <c r="F2151" s="156" t="inlineStr">
        <is>
          <t>S</t>
        </is>
      </c>
      <c r="G2151" s="156" t="inlineStr">
        <is>
          <t>S</t>
        </is>
      </c>
      <c r="H2151" s="156" t="inlineStr">
        <is>
          <t>Stetson</t>
        </is>
      </c>
      <c r="I2151" s="156" t="inlineStr">
        <is>
          <t>Cinturón Dama Piel / Pelo Hebilla Southwestern</t>
        </is>
      </c>
      <c r="J2151" s="156" t="inlineStr">
        <is>
          <t>Accesorios</t>
        </is>
      </c>
      <c r="K2151" s="156" t="inlineStr">
        <is>
          <t>Cinturones</t>
        </is>
      </c>
      <c r="L2151" s="156" t="inlineStr">
        <is>
          <t>Mujer</t>
        </is>
      </c>
      <c r="M2151" s="156" t="inlineStr">
        <is>
          <t>Stetson</t>
        </is>
      </c>
      <c r="N2151" s="156" t="inlineStr">
        <is>
          <t>SS26</t>
        </is>
      </c>
      <c r="O2151" s="156" t="inlineStr">
        <is>
          <t>Seasonal</t>
        </is>
      </c>
      <c r="P2151" s="156" t="inlineStr">
        <is>
          <t>Cafe</t>
        </is>
      </c>
      <c r="Q2151" s="156" t="n"/>
      <c r="R2151" s="156" t="n"/>
      <c r="S2151" s="156" t="inlineStr">
        <is>
          <t>Piel</t>
        </is>
      </c>
      <c r="T2151" s="156" t="inlineStr">
        <is>
          <t>El Cinturón de Piel con Pelo y Hebilla Suroeste Stetson captura el auténtico espíritu del Oeste con un diseño elegante y distintivo. Fabricado en piel genuina de primera calidad, cuenta con una correa de 1 ⅜” (35 mm) con textura de piel con pelo, que aporta un acabado natural y sofisticado. Incluye cinco perforaciones para un ajuste perfecto y una hebilla ovalada en tono plateado con diseño suroeste, que realza su carácter vaquero clásico.
 Un accesorio ideal para complementar jeans, botas o cualquier atuendo con inspiración western.
 ______________________________________________
 Características:
 • Ancho de 1 ⅜” (35 mm)
 • Correa de piel con pelo
 • Hebilla ovalada estilo suroeste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1" s="156" t="n"/>
      <c r="V2151" s="156" t="inlineStr">
        <is>
          <t>PZS</t>
        </is>
      </c>
      <c r="W2151" s="51" t="inlineStr">
        <is>
          <t>53102501</t>
        </is>
      </c>
      <c r="X2151" s="156" t="inlineStr">
        <is>
          <t>https://cdn.shopify.com/s/files/1/0888/3250/8267/files/9411790-909-01.jpg?v=1761933946</t>
        </is>
      </c>
      <c r="Y2151" s="54" t="n">
        <v>795.2586207000001</v>
      </c>
      <c r="Z2151" s="54" t="n">
        <v>1767.241379</v>
      </c>
      <c r="AA2151" s="55">
        <f>IF(AND(A2151="", B2151="", E2151=""), "", IF(AB2151="", "Válido", IF((LEN(AB2151)-LEN(SUBSTITUTE(AB2151,"; ","")))/2+1&gt;(LEN(AB2151)-LEN(SUBSTITUTE(AB2151,"[Aviso]","")))/7, "Con Incidencias", "Válido")))</f>
        <v/>
      </c>
      <c r="AB2151" s="56">
        <f>IF(AND(A2151="", B2151="", E2151=""), "", TEXTJOIN("; ", TRUE, IF(OR(TRIM(A2151&amp;"")="", ISNUMBER(SEARCH("FALTA", A2151))), "UPC faltante/inválido", ""), IF(AND(A2151&lt;&gt;"", IFERROR(_xlfn.XMATCH(A2151,$A$2:$A$2509,0,1)&lt;&gt;_xlfn.XMATCH(A2151,$A$2:$A$2509,0,-1),FALSE)), "Código de barras duplicado", ""), IF(AND(E2151&lt;&gt;"", COUNTIF($E$2:$E$2509, E2151)&gt;1), "SKU duplicado", ""), IF(OR(J2151="", J2151=""), "[Aviso] División no capturada ()", IF(ISNA(MATCH(J2151, Criterios!$A$123:$A$126, 0)), "División no válida", "")), IF(OR(K2151="", K2151=""), "[Aviso] Categoría no capturada ()", IF(ISNA(MATCH(K2151, Criterios!$A$81:$A$120, 0)), "Categoría no válida", IF(AND(J2151&lt;&gt;"", J2151&lt;&gt;"", J2151&lt;&gt;VLOOKUP(K2151, Criterios!$A$81:$B$120, 2, FALSE)), "División no coincide con Categoría", ""))), IF(OR(L2151="", L2151=""), "[Aviso] Género no capturado ()", IF(ISNA(MATCH(L2151, Criterios!$B$123:$B$127, 0)), "Género no válido", "")), IF(OR(N2151="", N2151=""), "[Aviso] Temporada no capturada ()", IF(ISNA(MATCH(N2151, Criterios!$C$123:$C$128, 0)), "Temporada no válida", "")), IF(OR(O2151="", O2151=""), "[Aviso] Ciclo de vida no capturado ()", IF(ISNA(MATCH(O2151, Criterios!$D$123:$D$124, 0)), "Ciclo de vida no válido", ""))))</f>
        <v/>
      </c>
      <c r="AC2151" s="56" t="n"/>
      <c r="AD2151" s="51" t="n">
        <v>-3</v>
      </c>
      <c r="AE2151" s="156" t="n"/>
      <c r="AF2151" s="51" t="n">
        <v>0</v>
      </c>
      <c r="AG2151" s="156" t="inlineStr">
        <is>
          <t>Catálogo existente</t>
        </is>
      </c>
      <c r="AH2151" s="156" t="inlineStr">
        <is>
          <t>Stock negativo en sistema: revisar en conteo | Revisión 29/09/2026: Campos sin respaldo: P, U | 01/10/2026: complementado desde Shopify Stetson México (match por código de barras): WB Fit, WB Silueta | Homologación G1522 06/10/2026: WB Color: «» → «Cafe» (Completado por investigación en línea)</t>
        </is>
      </c>
      <c r="AI2151" s="156" t="inlineStr">
        <is>
          <t>Sí</t>
        </is>
      </c>
      <c r="AJ2151" s="156" t="inlineStr">
        <is>
          <t>STETSON AMERICAS (-3)</t>
        </is>
      </c>
      <c r="AK2151" s="155" t="inlineStr">
        <is>
          <t>Criterios: I [Q] | Criterios: J [R] | Shopify Stetson: producto 14811725431147 / variante 53350601392491 | Investigación en línea 06/10/2026: https://www.stetson.com/products/hair-on-hide-southwestern-buckle-belt-brown-white</t>
        </is>
      </c>
      <c r="AL2151" s="58" t="n">
        <v>795.2586207000001</v>
      </c>
      <c r="AM2151" s="58" t="n">
        <v>1767.241379</v>
      </c>
      <c r="AN2151" s="155" t="inlineStr">
        <is>
          <t>Shopify Stetson México</t>
        </is>
      </c>
      <c r="AO2151" s="59" t="n">
        <v>0</v>
      </c>
      <c r="AP2151" s="59" t="n"/>
      <c r="AQ2151" s="59" t="n"/>
      <c r="AR2151" s="155" t="n"/>
    </row>
    <row r="2152">
      <c r="A2152" s="50" t="inlineStr">
        <is>
          <t>724303742107</t>
        </is>
      </c>
      <c r="B2152" s="51" t="inlineStr">
        <is>
          <t>109709</t>
        </is>
      </c>
      <c r="C2152" s="156" t="inlineStr">
        <is>
          <t>Multimarca</t>
        </is>
      </c>
      <c r="D2152" s="156" t="inlineStr">
        <is>
          <t>9411790-909</t>
        </is>
      </c>
      <c r="E2152" s="156" t="inlineStr">
        <is>
          <t>9411790-909-M</t>
        </is>
      </c>
      <c r="F2152" s="156" t="inlineStr">
        <is>
          <t>M</t>
        </is>
      </c>
      <c r="G2152" s="156" t="inlineStr">
        <is>
          <t>M</t>
        </is>
      </c>
      <c r="H2152" s="156" t="inlineStr">
        <is>
          <t>Stetson</t>
        </is>
      </c>
      <c r="I2152" s="156" t="inlineStr">
        <is>
          <t>Cinturón Dama Piel / Pelo Hebilla Southwestern</t>
        </is>
      </c>
      <c r="J2152" s="156" t="inlineStr">
        <is>
          <t>Accesorios</t>
        </is>
      </c>
      <c r="K2152" s="156" t="inlineStr">
        <is>
          <t>Cinturones</t>
        </is>
      </c>
      <c r="L2152" s="156" t="inlineStr">
        <is>
          <t>Mujer</t>
        </is>
      </c>
      <c r="M2152" s="156" t="inlineStr">
        <is>
          <t>Stetson</t>
        </is>
      </c>
      <c r="N2152" s="156" t="inlineStr">
        <is>
          <t>SS26</t>
        </is>
      </c>
      <c r="O2152" s="156" t="inlineStr">
        <is>
          <t>Seasonal</t>
        </is>
      </c>
      <c r="P2152" s="156" t="inlineStr">
        <is>
          <t>Cafe</t>
        </is>
      </c>
      <c r="Q2152" s="156" t="n"/>
      <c r="R2152" s="156" t="n"/>
      <c r="S2152" s="156" t="inlineStr">
        <is>
          <t>Piel</t>
        </is>
      </c>
      <c r="T2152" s="156" t="inlineStr">
        <is>
          <t>El Cinturón de Piel con Pelo y Hebilla Suroeste Stetson captura el auténtico espíritu del Oeste con un diseño elegante y distintivo. Fabricado en piel genuina de primera calidad, cuenta con una correa de 1 ?” (35 mm) con textura de piel con pelo, q(más...)</t>
        </is>
      </c>
      <c r="U2152" s="156" t="n"/>
      <c r="V2152" s="156" t="inlineStr">
        <is>
          <t>PZS</t>
        </is>
      </c>
      <c r="W2152" s="51" t="inlineStr">
        <is>
          <t>53102501</t>
        </is>
      </c>
      <c r="X2152" s="156" t="inlineStr">
        <is>
          <t>https://cdn.shopify.com/s/files/1/0888/3250/8267/files/9411790-909-02.jpg?v=1761933946</t>
        </is>
      </c>
      <c r="Y2152" s="54" t="n">
        <v>795.2586207000001</v>
      </c>
      <c r="Z2152" s="54" t="n">
        <v>1767.241379</v>
      </c>
      <c r="AA2152" s="55">
        <f>IF(AND(A2152="", B2152="", E2152=""), "", IF(AB2152="", "Válido", IF((LEN(AB2152)-LEN(SUBSTITUTE(AB2152,"; ","")))/2+1&gt;(LEN(AB2152)-LEN(SUBSTITUTE(AB2152,"[Aviso]","")))/7, "Con Incidencias", "Válido")))</f>
        <v/>
      </c>
      <c r="AB2152" s="56">
        <f>IF(AND(A2152="", B2152="", E2152=""), "", TEXTJOIN("; ", TRUE, IF(OR(TRIM(A2152&amp;"")="", ISNUMBER(SEARCH("FALTA", A2152))), "UPC faltante/inválido", ""), IF(AND(A2152&lt;&gt;"", IFERROR(_xlfn.XMATCH(A2152,$A$2:$A$2509,0,1)&lt;&gt;_xlfn.XMATCH(A2152,$A$2:$A$2509,0,-1),FALSE)), "Código de barras duplicado", ""), IF(AND(E2152&lt;&gt;"", COUNTIF($E$2:$E$2509, E2152)&gt;1), "SKU duplicado", ""), IF(OR(J2152="", J2152=""), "[Aviso] División no capturada ()", IF(ISNA(MATCH(J2152, Criterios!$A$123:$A$126, 0)), "División no válida", "")), IF(OR(K2152="", K2152=""), "[Aviso] Categoría no capturada ()", IF(ISNA(MATCH(K2152, Criterios!$A$81:$A$120, 0)), "Categoría no válida", IF(AND(J2152&lt;&gt;"", J2152&lt;&gt;"", J2152&lt;&gt;VLOOKUP(K2152, Criterios!$A$81:$B$120, 2, FALSE)), "División no coincide con Categoría", ""))), IF(OR(L2152="", L2152=""), "[Aviso] Género no capturado ()", IF(ISNA(MATCH(L2152, Criterios!$B$123:$B$127, 0)), "Género no válido", "")), IF(OR(N2152="", N2152=""), "[Aviso] Temporada no capturada ()", IF(ISNA(MATCH(N2152, Criterios!$C$123:$C$128, 0)), "Temporada no válida", "")), IF(OR(O2152="", O2152=""), "[Aviso] Ciclo de vida no capturado ()", IF(ISNA(MATCH(O2152, Criterios!$D$123:$D$124, 0)), "Ciclo de vida no válido", ""))))</f>
        <v/>
      </c>
      <c r="AC2152" s="56" t="n"/>
      <c r="AD2152" s="51" t="n">
        <v>8</v>
      </c>
      <c r="AE2152" s="156" t="inlineStr">
        <is>
          <t>PUNTO DE VENTA (1); B25 STETSON.MX (7)</t>
        </is>
      </c>
      <c r="AF2152" s="51" t="n">
        <v>8</v>
      </c>
      <c r="AG2152" s="156" t="inlineStr">
        <is>
          <t>Catálogo existente</t>
        </is>
      </c>
      <c r="AH2152" s="156" t="inlineStr">
        <is>
          <t>Revisión 29/09/2026: Campos sin respaldo: P, U | 01/10/2026: complementado desde Shopify Stetson México (match por código de barras): WB Fit, WB Silueta | Homologación G1522 06/10/2026: WB Color: «» → «Cafe» (Completado por investigación en línea)</t>
        </is>
      </c>
      <c r="AI2152" s="156" t="inlineStr">
        <is>
          <t>No</t>
        </is>
      </c>
      <c r="AJ2152" s="156" t="n"/>
      <c r="AK2152" s="155" t="inlineStr">
        <is>
          <t>Criterios: I [Q] | Criterios: J [R] | Shopify Stetson: producto 14811725431147 / variante 53350601425259 | Investigación en línea 06/10/2026: https://www.stetson.com/products/hair-on-hide-southwestern-buckle-belt-brown-white</t>
        </is>
      </c>
      <c r="AL2152" s="58" t="n">
        <v>795.2586207000001</v>
      </c>
      <c r="AM2152" s="58" t="n">
        <v>1767.241379</v>
      </c>
      <c r="AN2152" s="155" t="inlineStr">
        <is>
          <t>Shopify Stetson México</t>
        </is>
      </c>
      <c r="AO2152" s="59" t="n">
        <v>8</v>
      </c>
      <c r="AP2152" s="59" t="n"/>
      <c r="AQ2152" s="59" t="n"/>
      <c r="AR2152" s="155" t="inlineStr">
        <is>
          <t>Shopify Stetson México › Stetson México: 7 | Shopify Stetson México › Eventos: 1</t>
        </is>
      </c>
    </row>
    <row r="2153">
      <c r="A2153" s="50" t="inlineStr">
        <is>
          <t>724303742114</t>
        </is>
      </c>
      <c r="B2153" s="51" t="inlineStr">
        <is>
          <t>109710</t>
        </is>
      </c>
      <c r="C2153" s="156" t="inlineStr">
        <is>
          <t>Multimarca</t>
        </is>
      </c>
      <c r="D2153" s="156" t="inlineStr">
        <is>
          <t>9411790-909</t>
        </is>
      </c>
      <c r="E2153" s="156" t="inlineStr">
        <is>
          <t>9411790-909-L</t>
        </is>
      </c>
      <c r="F2153" s="156" t="inlineStr">
        <is>
          <t>L</t>
        </is>
      </c>
      <c r="G2153" s="156" t="inlineStr">
        <is>
          <t>L</t>
        </is>
      </c>
      <c r="H2153" s="156" t="inlineStr">
        <is>
          <t>Stetson</t>
        </is>
      </c>
      <c r="I2153" s="156" t="inlineStr">
        <is>
          <t>Cinturón Dama Piel / Pelo Hebilla Southwestern</t>
        </is>
      </c>
      <c r="J2153" s="156" t="inlineStr">
        <is>
          <t>Accesorios</t>
        </is>
      </c>
      <c r="K2153" s="156" t="inlineStr">
        <is>
          <t>Cinturones</t>
        </is>
      </c>
      <c r="L2153" s="156" t="inlineStr">
        <is>
          <t>Mujer</t>
        </is>
      </c>
      <c r="M2153" s="156" t="inlineStr">
        <is>
          <t>Stetson</t>
        </is>
      </c>
      <c r="N2153" s="156" t="inlineStr">
        <is>
          <t>SS26</t>
        </is>
      </c>
      <c r="O2153" s="156" t="inlineStr">
        <is>
          <t>Seasonal</t>
        </is>
      </c>
      <c r="P2153" s="156" t="inlineStr">
        <is>
          <t>Cafe</t>
        </is>
      </c>
      <c r="Q2153" s="156" t="n"/>
      <c r="R2153" s="156" t="n"/>
      <c r="S2153" s="156" t="inlineStr">
        <is>
          <t>Piel</t>
        </is>
      </c>
      <c r="T2153" s="156" t="inlineStr">
        <is>
          <t>El Cinturón de Piel con Pelo y Hebilla Suroeste Stetson captura el auténtico espíritu del Oeste con un diseño elegante y distintivo. Fabricado en piel genuina de primera calidad, cuenta con una correa de 1 ?” (35 mm) con textura de piel con pelo, q(más...)</t>
        </is>
      </c>
      <c r="U2153" s="156" t="n"/>
      <c r="V2153" s="156" t="inlineStr">
        <is>
          <t>PZS</t>
        </is>
      </c>
      <c r="W2153" s="51" t="inlineStr">
        <is>
          <t>53102501</t>
        </is>
      </c>
      <c r="X2153" s="156" t="inlineStr">
        <is>
          <t>https://cdn.shopify.com/s/files/1/0888/3250/8267/files/9411790-909-03.jpg?v=1761933946</t>
        </is>
      </c>
      <c r="Y2153" s="54" t="n">
        <v>795.2586207000001</v>
      </c>
      <c r="Z2153" s="54" t="n">
        <v>1767.241379</v>
      </c>
      <c r="AA2153" s="55">
        <f>IF(AND(A2153="", B2153="", E2153=""), "", IF(AB2153="", "Válido", IF((LEN(AB2153)-LEN(SUBSTITUTE(AB2153,"; ","")))/2+1&gt;(LEN(AB2153)-LEN(SUBSTITUTE(AB2153,"[Aviso]","")))/7, "Con Incidencias", "Válido")))</f>
        <v/>
      </c>
      <c r="AB2153" s="56">
        <f>IF(AND(A2153="", B2153="", E2153=""), "", TEXTJOIN("; ", TRUE, IF(OR(TRIM(A2153&amp;"")="", ISNUMBER(SEARCH("FALTA", A2153))), "UPC faltante/inválido", ""), IF(AND(A2153&lt;&gt;"", IFERROR(_xlfn.XMATCH(A2153,$A$2:$A$2509,0,1)&lt;&gt;_xlfn.XMATCH(A2153,$A$2:$A$2509,0,-1),FALSE)), "Código de barras duplicado", ""), IF(AND(E2153&lt;&gt;"", COUNTIF($E$2:$E$2509, E2153)&gt;1), "SKU duplicado", ""), IF(OR(J2153="", J2153=""), "[Aviso] División no capturada ()", IF(ISNA(MATCH(J2153, Criterios!$A$123:$A$126, 0)), "División no válida", "")), IF(OR(K2153="", K2153=""), "[Aviso] Categoría no capturada ()", IF(ISNA(MATCH(K2153, Criterios!$A$81:$A$120, 0)), "Categoría no válida", IF(AND(J2153&lt;&gt;"", J2153&lt;&gt;"", J2153&lt;&gt;VLOOKUP(K2153, Criterios!$A$81:$B$120, 2, FALSE)), "División no coincide con Categoría", ""))), IF(OR(L2153="", L2153=""), "[Aviso] Género no capturado ()", IF(ISNA(MATCH(L2153, Criterios!$B$123:$B$127, 0)), "Género no válido", "")), IF(OR(N2153="", N2153=""), "[Aviso] Temporada no capturada ()", IF(ISNA(MATCH(N2153, Criterios!$C$123:$C$128, 0)), "Temporada no válida", "")), IF(OR(O2153="", O2153=""), "[Aviso] Ciclo de vida no capturado ()", IF(ISNA(MATCH(O2153, Criterios!$D$123:$D$124, 0)), "Ciclo de vida no válido", ""))))</f>
        <v/>
      </c>
      <c r="AC2153" s="56" t="n"/>
      <c r="AD2153" s="51" t="n">
        <v>2</v>
      </c>
      <c r="AE2153" s="156" t="inlineStr">
        <is>
          <t>PUNTO DE VENTA (1); B25 STETSON.MX (3)</t>
        </is>
      </c>
      <c r="AF2153" s="51" t="n">
        <v>4</v>
      </c>
      <c r="AG2153" s="156" t="inlineStr">
        <is>
          <t>Catálogo existente</t>
        </is>
      </c>
      <c r="AH2153" s="156" t="inlineStr">
        <is>
          <t>Revisión 29/09/2026: Campos sin respaldo: P, U | 01/10/2026: complementado desde Shopify Stetson México (match por código de barras): WB Fit, WB Silueta | Homologación G1522 06/10/2026: WB Color: «» → «Cafe» (Completado por investigación en línea)</t>
        </is>
      </c>
      <c r="AI2153" s="156" t="inlineStr">
        <is>
          <t>Sí</t>
        </is>
      </c>
      <c r="AJ2153" s="156" t="inlineStr">
        <is>
          <t>STETSON AMERICAS (-2)</t>
        </is>
      </c>
      <c r="AK2153" s="155" t="inlineStr">
        <is>
          <t>Criterios: I [Q] | Criterios: J [R] | Shopify Stetson: producto 14811725431147 / variante 53350601458027 | Investigación en línea 06/10/2026: https://www.stetson.com/products/hair-on-hide-southwestern-buckle-belt-brown-white</t>
        </is>
      </c>
      <c r="AL2153" s="58" t="n">
        <v>795.2586207000001</v>
      </c>
      <c r="AM2153" s="58" t="n">
        <v>1767.241379</v>
      </c>
      <c r="AN2153" s="155" t="inlineStr">
        <is>
          <t>Shopify Stetson México</t>
        </is>
      </c>
      <c r="AO2153" s="59" t="n">
        <v>6</v>
      </c>
      <c r="AP2153" s="59" t="n"/>
      <c r="AQ2153" s="59" t="n"/>
      <c r="AR2153" s="155" t="inlineStr">
        <is>
          <t>Shopify Stetson México › Stetson México: 3 | Shopify Stetson México › Stetson Americas: 2 | Shopify Stetson México › Eventos: 1</t>
        </is>
      </c>
    </row>
    <row r="2154">
      <c r="A2154" s="50" t="inlineStr">
        <is>
          <t>724303742121</t>
        </is>
      </c>
      <c r="B2154" s="51" t="inlineStr">
        <is>
          <t>109711</t>
        </is>
      </c>
      <c r="C2154" s="156" t="inlineStr">
        <is>
          <t>Multimarca</t>
        </is>
      </c>
      <c r="D2154" s="156" t="inlineStr">
        <is>
          <t>9411790-909</t>
        </is>
      </c>
      <c r="E2154" s="156" t="inlineStr">
        <is>
          <t>9411790-909-XL</t>
        </is>
      </c>
      <c r="F2154" s="156" t="inlineStr">
        <is>
          <t>XL</t>
        </is>
      </c>
      <c r="G2154" s="156" t="inlineStr">
        <is>
          <t>XL</t>
        </is>
      </c>
      <c r="H2154" s="156" t="inlineStr">
        <is>
          <t>Stetson</t>
        </is>
      </c>
      <c r="I2154" s="156" t="inlineStr">
        <is>
          <t>Cinturón Dama Piel / Pelo Hebilla Southwestern</t>
        </is>
      </c>
      <c r="J2154" s="156" t="inlineStr">
        <is>
          <t>Accesorios</t>
        </is>
      </c>
      <c r="K2154" s="156" t="inlineStr">
        <is>
          <t>Cinturones</t>
        </is>
      </c>
      <c r="L2154" s="156" t="inlineStr">
        <is>
          <t>Mujer</t>
        </is>
      </c>
      <c r="M2154" s="156" t="inlineStr">
        <is>
          <t>Stetson</t>
        </is>
      </c>
      <c r="N2154" s="156" t="inlineStr">
        <is>
          <t>SS26</t>
        </is>
      </c>
      <c r="O2154" s="156" t="inlineStr">
        <is>
          <t>Seasonal</t>
        </is>
      </c>
      <c r="P2154" s="156" t="inlineStr">
        <is>
          <t>Cafe</t>
        </is>
      </c>
      <c r="Q2154" s="156" t="n"/>
      <c r="R2154" s="156" t="n"/>
      <c r="S2154" s="156" t="inlineStr">
        <is>
          <t>Piel</t>
        </is>
      </c>
      <c r="T2154" s="156" t="inlineStr">
        <is>
          <t>El Cinturón de Piel con Pelo y Hebilla Suroeste Stetson captura el auténtico espíritu del Oeste con un diseño elegante y distintivo. Fabricado en piel genuina de primera calidad, cuenta con una correa de 1 ⅜” (35 mm) con textura de piel con pelo, que aporta un acabado natural y sofisticado. Incluye cinco perforaciones para un ajuste perfecto y una hebilla ovalada en tono plateado con diseño suroeste, que realza su carácter vaquero clásico.
 Un accesorio ideal para complementar jeans, botas o cualquier atuendo con inspiración western.
 ______________________________________________
 Características:
 • Ancho de 1 ⅜” (35 mm)
 • Correa de piel con pelo
 • Hebilla ovalada estilo suroeste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4" s="156" t="n"/>
      <c r="V2154" s="156" t="inlineStr">
        <is>
          <t>PZS</t>
        </is>
      </c>
      <c r="W2154" s="51" t="inlineStr">
        <is>
          <t>53102501</t>
        </is>
      </c>
      <c r="X2154" s="156" t="inlineStr">
        <is>
          <t>https://cdn.shopify.com/s/files/1/0888/3250/8267/files/9411790-909-04.jpg?v=1761933946</t>
        </is>
      </c>
      <c r="Y2154" s="54" t="n">
        <v>795.2586207000001</v>
      </c>
      <c r="Z2154" s="54" t="n">
        <v>1767.241379</v>
      </c>
      <c r="AA2154" s="55">
        <f>IF(AND(A2154="", B2154="", E2154=""), "", IF(AB2154="", "Válido", IF((LEN(AB2154)-LEN(SUBSTITUTE(AB2154,"; ","")))/2+1&gt;(LEN(AB2154)-LEN(SUBSTITUTE(AB2154,"[Aviso]","")))/7, "Con Incidencias", "Válido")))</f>
        <v/>
      </c>
      <c r="AB2154" s="56">
        <f>IF(AND(A2154="", B2154="", E2154=""), "", TEXTJOIN("; ", TRUE, IF(OR(TRIM(A2154&amp;"")="", ISNUMBER(SEARCH("FALTA", A2154))), "UPC faltante/inválido", ""), IF(AND(A2154&lt;&gt;"", IFERROR(_xlfn.XMATCH(A2154,$A$2:$A$2509,0,1)&lt;&gt;_xlfn.XMATCH(A2154,$A$2:$A$2509,0,-1),FALSE)), "Código de barras duplicado", ""), IF(AND(E2154&lt;&gt;"", COUNTIF($E$2:$E$2509, E2154)&gt;1), "SKU duplicado", ""), IF(OR(J2154="", J2154=""), "[Aviso] División no capturada ()", IF(ISNA(MATCH(J2154, Criterios!$A$123:$A$126, 0)), "División no válida", "")), IF(OR(K2154="", K2154=""), "[Aviso] Categoría no capturada ()", IF(ISNA(MATCH(K2154, Criterios!$A$81:$A$120, 0)), "Categoría no válida", IF(AND(J2154&lt;&gt;"", J2154&lt;&gt;"", J2154&lt;&gt;VLOOKUP(K2154, Criterios!$A$81:$B$120, 2, FALSE)), "División no coincide con Categoría", ""))), IF(OR(L2154="", L2154=""), "[Aviso] Género no capturado ()", IF(ISNA(MATCH(L2154, Criterios!$B$123:$B$127, 0)), "Género no válido", "")), IF(OR(N2154="", N2154=""), "[Aviso] Temporada no capturada ()", IF(ISNA(MATCH(N2154, Criterios!$C$123:$C$128, 0)), "Temporada no válida", "")), IF(OR(O2154="", O2154=""), "[Aviso] Ciclo de vida no capturado ()", IF(ISNA(MATCH(O2154, Criterios!$D$123:$D$124, 0)), "Ciclo de vida no válido", ""))))</f>
        <v/>
      </c>
      <c r="AC2154" s="56" t="n"/>
      <c r="AD2154" s="51" t="n">
        <v>-1</v>
      </c>
      <c r="AE2154" s="156" t="n"/>
      <c r="AF2154" s="51" t="n">
        <v>0</v>
      </c>
      <c r="AG2154" s="156" t="inlineStr">
        <is>
          <t>Catálogo existente</t>
        </is>
      </c>
      <c r="AH2154" s="156" t="inlineStr">
        <is>
          <t>Stock negativo en sistema: revisar en conteo | Revisión 29/09/2026: Campos sin respaldo: P, U | 01/10/2026: complementado desde Shopify Stetson México (match por código de barras): WB Fit, WB Silueta | Homologación G1522 06/10/2026: WB Color: «» → «Cafe» (Completado por investigación en línea)</t>
        </is>
      </c>
      <c r="AI2154" s="156" t="inlineStr">
        <is>
          <t>Sí</t>
        </is>
      </c>
      <c r="AJ2154" s="156" t="inlineStr">
        <is>
          <t>STETSON AMERICAS (-1)</t>
        </is>
      </c>
      <c r="AK2154" s="155" t="inlineStr">
        <is>
          <t>Criterios: I [Q] | Criterios: J [R] | Shopify Stetson: producto 14811725431147 / variante 53350601490795 | Investigación en línea 06/10/2026: https://www.stetson.com/products/hair-on-hide-southwestern-buckle-belt-brown-white</t>
        </is>
      </c>
      <c r="AL2154" s="58" t="n">
        <v>795.2586207000001</v>
      </c>
      <c r="AM2154" s="58" t="n">
        <v>1767.241379</v>
      </c>
      <c r="AN2154" s="155" t="inlineStr">
        <is>
          <t>Shopify Stetson México</t>
        </is>
      </c>
      <c r="AO2154" s="59" t="n">
        <v>1</v>
      </c>
      <c r="AP2154" s="59" t="n"/>
      <c r="AQ2154" s="59" t="n"/>
      <c r="AR2154" s="155" t="inlineStr">
        <is>
          <t>Shopify Stetson México › Stetson Americas: 1</t>
        </is>
      </c>
    </row>
    <row r="2155">
      <c r="A2155" s="50" t="inlineStr">
        <is>
          <t>724303742145</t>
        </is>
      </c>
      <c r="B2155" s="51" t="inlineStr">
        <is>
          <t>109712</t>
        </is>
      </c>
      <c r="C2155" s="156" t="inlineStr">
        <is>
          <t>Multimarca</t>
        </is>
      </c>
      <c r="D2155" s="156" t="inlineStr">
        <is>
          <t>9412790-100</t>
        </is>
      </c>
      <c r="E2155" s="156" t="inlineStr">
        <is>
          <t>9412790-100-S</t>
        </is>
      </c>
      <c r="F2155" s="156" t="inlineStr">
        <is>
          <t>S</t>
        </is>
      </c>
      <c r="G2155" s="156" t="inlineStr">
        <is>
          <t>S</t>
        </is>
      </c>
      <c r="H2155" s="156" t="inlineStr">
        <is>
          <t>Stetson</t>
        </is>
      </c>
      <c r="I2155" s="156" t="inlineStr">
        <is>
          <t>Cinturón Dama Borde Trenzado Repujado</t>
        </is>
      </c>
      <c r="J2155" s="156" t="inlineStr">
        <is>
          <t>Accesorios</t>
        </is>
      </c>
      <c r="K2155" s="156" t="inlineStr">
        <is>
          <t>Cinturones</t>
        </is>
      </c>
      <c r="L2155" s="156" t="inlineStr">
        <is>
          <t>Mujer</t>
        </is>
      </c>
      <c r="M2155" s="156" t="inlineStr">
        <is>
          <t>Stetson</t>
        </is>
      </c>
      <c r="N2155" s="156" t="inlineStr">
        <is>
          <t>SS26</t>
        </is>
      </c>
      <c r="O2155" s="156" t="inlineStr">
        <is>
          <t>Seasonal</t>
        </is>
      </c>
      <c r="P2155" s="156" t="inlineStr">
        <is>
          <t>Blanco</t>
        </is>
      </c>
      <c r="Q2155" s="156" t="n"/>
      <c r="R2155" s="156" t="n"/>
      <c r="S2155" s="156" t="inlineStr">
        <is>
          <t>Piel</t>
        </is>
      </c>
      <c r="T2155"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5" s="156" t="n"/>
      <c r="V2155" s="156" t="inlineStr">
        <is>
          <t>PZS</t>
        </is>
      </c>
      <c r="W2155" s="51" t="inlineStr">
        <is>
          <t>53102501</t>
        </is>
      </c>
      <c r="X2155" s="156" t="inlineStr">
        <is>
          <t>https://cdn.shopify.com/s/files/1/0888/3250/8267/files/9412790-100-01.jpg?v=1761934342</t>
        </is>
      </c>
      <c r="Y2155" s="54" t="n">
        <v>1299.568966</v>
      </c>
      <c r="Z2155" s="54" t="n">
        <v>2887.931034</v>
      </c>
      <c r="AA2155" s="55">
        <f>IF(AND(A2155="", B2155="", E2155=""), "", IF(AB2155="", "Válido", IF((LEN(AB2155)-LEN(SUBSTITUTE(AB2155,"; ","")))/2+1&gt;(LEN(AB2155)-LEN(SUBSTITUTE(AB2155,"[Aviso]","")))/7, "Con Incidencias", "Válido")))</f>
        <v/>
      </c>
      <c r="AB2155" s="56">
        <f>IF(AND(A2155="", B2155="", E2155=""), "", TEXTJOIN("; ", TRUE, IF(OR(TRIM(A2155&amp;"")="", ISNUMBER(SEARCH("FALTA", A2155))), "UPC faltante/inválido", ""), IF(AND(A2155&lt;&gt;"", IFERROR(_xlfn.XMATCH(A2155,$A$2:$A$2509,0,1)&lt;&gt;_xlfn.XMATCH(A2155,$A$2:$A$2509,0,-1),FALSE)), "Código de barras duplicado", ""), IF(AND(E2155&lt;&gt;"", COUNTIF($E$2:$E$2509, E2155)&gt;1), "SKU duplicado", ""), IF(OR(J2155="", J2155=""), "[Aviso] División no capturada ()", IF(ISNA(MATCH(J2155, Criterios!$A$123:$A$126, 0)), "División no válida", "")), IF(OR(K2155="", K2155=""), "[Aviso] Categoría no capturada ()", IF(ISNA(MATCH(K2155, Criterios!$A$81:$A$120, 0)), "Categoría no válida", IF(AND(J2155&lt;&gt;"", J2155&lt;&gt;"", J2155&lt;&gt;VLOOKUP(K2155, Criterios!$A$81:$B$120, 2, FALSE)), "División no coincide con Categoría", ""))), IF(OR(L2155="", L2155=""), "[Aviso] Género no capturado ()", IF(ISNA(MATCH(L2155, Criterios!$B$123:$B$127, 0)), "Género no válido", "")), IF(OR(N2155="", N2155=""), "[Aviso] Temporada no capturada ()", IF(ISNA(MATCH(N2155, Criterios!$C$123:$C$128, 0)), "Temporada no válida", "")), IF(OR(O2155="", O2155=""), "[Aviso] Ciclo de vida no capturado ()", IF(ISNA(MATCH(O2155, Criterios!$D$123:$D$124, 0)), "Ciclo de vida no válido", ""))))</f>
        <v/>
      </c>
      <c r="AC2155" s="56" t="n"/>
      <c r="AD2155" s="51" t="n">
        <v>2</v>
      </c>
      <c r="AE2155" s="156" t="inlineStr">
        <is>
          <t>B25 STETSON.MX (2)</t>
        </is>
      </c>
      <c r="AF2155" s="51" t="n">
        <v>2</v>
      </c>
      <c r="AG2155" s="156" t="inlineStr">
        <is>
          <t>Catálogo existente</t>
        </is>
      </c>
      <c r="AH2155" s="156" t="inlineStr">
        <is>
          <t>Revisión 29/09/2026: Campos sin respaldo: U; Auditoría NetSuite 30/09/2026: llenado desde NetSuite [S] | 01/10/2026: complementado desde Shopify Stetson México (match por código de barras): WB Fit, WB Silueta</t>
        </is>
      </c>
      <c r="AI2155" s="156" t="inlineStr">
        <is>
          <t>No</t>
        </is>
      </c>
      <c r="AJ2155" s="156" t="n"/>
      <c r="AK2155" s="155" t="inlineStr">
        <is>
          <t>Descripción y Criterios: G/H [P] | Criterios: I [Q] | Criterios: J [R]; G1522_Extraccion_Articulos_NetSuite_2026-09-30.xlsx: fila 57527 [S] | Shopify Stetson: producto 14811727036779 / variante 53350601261419</t>
        </is>
      </c>
      <c r="AL2155" s="58" t="n">
        <v>1299.568966</v>
      </c>
      <c r="AM2155" s="58" t="n">
        <v>2887.931034</v>
      </c>
      <c r="AN2155" s="155" t="inlineStr">
        <is>
          <t>Shopify Stetson México</t>
        </is>
      </c>
      <c r="AO2155" s="59" t="n">
        <v>5</v>
      </c>
      <c r="AP2155" s="59" t="n"/>
      <c r="AQ2155" s="59" t="n"/>
      <c r="AR2155" s="155" t="inlineStr">
        <is>
          <t>Shopify Stetson México › Stetson México: 2 | Shopify Stetson México › Stetson Americas: 3</t>
        </is>
      </c>
    </row>
    <row r="2156">
      <c r="A2156" s="50" t="inlineStr">
        <is>
          <t>724303742152</t>
        </is>
      </c>
      <c r="B2156" s="51" t="inlineStr">
        <is>
          <t>109713</t>
        </is>
      </c>
      <c r="C2156" s="156" t="inlineStr">
        <is>
          <t>Multimarca</t>
        </is>
      </c>
      <c r="D2156" s="156" t="inlineStr">
        <is>
          <t>9412790-100</t>
        </is>
      </c>
      <c r="E2156" s="156" t="inlineStr">
        <is>
          <t>9412790-100-M</t>
        </is>
      </c>
      <c r="F2156" s="156" t="inlineStr">
        <is>
          <t>M</t>
        </is>
      </c>
      <c r="G2156" s="156" t="inlineStr">
        <is>
          <t>M</t>
        </is>
      </c>
      <c r="H2156" s="156" t="inlineStr">
        <is>
          <t>Stetson</t>
        </is>
      </c>
      <c r="I2156" s="156" t="inlineStr">
        <is>
          <t>Cinturón Dama Borde Trenzado Repujado</t>
        </is>
      </c>
      <c r="J2156" s="156" t="inlineStr">
        <is>
          <t>Accesorios</t>
        </is>
      </c>
      <c r="K2156" s="156" t="inlineStr">
        <is>
          <t>Cinturones</t>
        </is>
      </c>
      <c r="L2156" s="156" t="inlineStr">
        <is>
          <t>Mujer</t>
        </is>
      </c>
      <c r="M2156" s="156" t="inlineStr">
        <is>
          <t>Stetson</t>
        </is>
      </c>
      <c r="N2156" s="156" t="inlineStr">
        <is>
          <t>SS26</t>
        </is>
      </c>
      <c r="O2156" s="156" t="inlineStr">
        <is>
          <t>Seasonal</t>
        </is>
      </c>
      <c r="P2156" s="156" t="inlineStr">
        <is>
          <t>Blanco</t>
        </is>
      </c>
      <c r="Q2156" s="156" t="n"/>
      <c r="R2156" s="156" t="n"/>
      <c r="S2156" s="156" t="inlineStr">
        <is>
          <t>Piel</t>
        </is>
      </c>
      <c r="T2156"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6" s="156" t="n"/>
      <c r="V2156" s="156" t="inlineStr">
        <is>
          <t>PZS</t>
        </is>
      </c>
      <c r="W2156" s="51" t="inlineStr">
        <is>
          <t>53102501</t>
        </is>
      </c>
      <c r="X2156" s="156" t="inlineStr">
        <is>
          <t>https://cdn.shopify.com/s/files/1/0888/3250/8267/files/9412790-100-02.jpg?v=1761934342</t>
        </is>
      </c>
      <c r="Y2156" s="54" t="n">
        <v>1299.568966</v>
      </c>
      <c r="Z2156" s="54" t="n">
        <v>2887.931034</v>
      </c>
      <c r="AA2156" s="55">
        <f>IF(AND(A2156="", B2156="", E2156=""), "", IF(AB2156="", "Válido", IF((LEN(AB2156)-LEN(SUBSTITUTE(AB2156,"; ","")))/2+1&gt;(LEN(AB2156)-LEN(SUBSTITUTE(AB2156,"[Aviso]","")))/7, "Con Incidencias", "Válido")))</f>
        <v/>
      </c>
      <c r="AB2156" s="56">
        <f>IF(AND(A2156="", B2156="", E2156=""), "", TEXTJOIN("; ", TRUE, IF(OR(TRIM(A2156&amp;"")="", ISNUMBER(SEARCH("FALTA", A2156))), "UPC faltante/inválido", ""), IF(AND(A2156&lt;&gt;"", IFERROR(_xlfn.XMATCH(A2156,$A$2:$A$2509,0,1)&lt;&gt;_xlfn.XMATCH(A2156,$A$2:$A$2509,0,-1),FALSE)), "Código de barras duplicado", ""), IF(AND(E2156&lt;&gt;"", COUNTIF($E$2:$E$2509, E2156)&gt;1), "SKU duplicado", ""), IF(OR(J2156="", J2156=""), "[Aviso] División no capturada ()", IF(ISNA(MATCH(J2156, Criterios!$A$123:$A$126, 0)), "División no válida", "")), IF(OR(K2156="", K2156=""), "[Aviso] Categoría no capturada ()", IF(ISNA(MATCH(K2156, Criterios!$A$81:$A$120, 0)), "Categoría no válida", IF(AND(J2156&lt;&gt;"", J2156&lt;&gt;"", J2156&lt;&gt;VLOOKUP(K2156, Criterios!$A$81:$B$120, 2, FALSE)), "División no coincide con Categoría", ""))), IF(OR(L2156="", L2156=""), "[Aviso] Género no capturado ()", IF(ISNA(MATCH(L2156, Criterios!$B$123:$B$127, 0)), "Género no válido", "")), IF(OR(N2156="", N2156=""), "[Aviso] Temporada no capturada ()", IF(ISNA(MATCH(N2156, Criterios!$C$123:$C$128, 0)), "Temporada no válida", "")), IF(OR(O2156="", O2156=""), "[Aviso] Ciclo de vida no capturado ()", IF(ISNA(MATCH(O2156, Criterios!$D$123:$D$124, 0)), "Ciclo de vida no válido", ""))))</f>
        <v/>
      </c>
      <c r="AC2156" s="56" t="n"/>
      <c r="AD2156" s="51" t="n">
        <v>3</v>
      </c>
      <c r="AE2156" s="156" t="inlineStr">
        <is>
          <t>STETSON AMERICAS (1); B25 STETSON.MX (2)</t>
        </is>
      </c>
      <c r="AF2156" s="51" t="n">
        <v>3</v>
      </c>
      <c r="AG2156" s="156" t="inlineStr">
        <is>
          <t>Catálogo existente</t>
        </is>
      </c>
      <c r="AH2156" s="156" t="inlineStr">
        <is>
          <t>Revisión 29/09/2026: Campos sin respaldo: U; Auditoría NetSuite 30/09/2026: llenado desde NetSuite [S] | 01/10/2026: complementado desde Shopify Stetson México (match por código de barras): WB Fit, WB Silueta</t>
        </is>
      </c>
      <c r="AI2156" s="156" t="inlineStr">
        <is>
          <t>No</t>
        </is>
      </c>
      <c r="AJ2156" s="156" t="n"/>
      <c r="AK2156" s="155" t="inlineStr">
        <is>
          <t>Descripción y Criterios: G/H [P] | Criterios: I [Q] | Criterios: J [R]; G1522_Extraccion_Articulos_NetSuite_2026-09-30.xlsx: fila 57528 [S] | Shopify Stetson: producto 14811727036779 / variante 53350601294187</t>
        </is>
      </c>
      <c r="AL2156" s="58" t="n">
        <v>1299.568966</v>
      </c>
      <c r="AM2156" s="58" t="n">
        <v>2887.931034</v>
      </c>
      <c r="AN2156" s="155" t="inlineStr">
        <is>
          <t>Shopify Stetson México</t>
        </is>
      </c>
      <c r="AO2156" s="59" t="n">
        <v>8</v>
      </c>
      <c r="AP2156" s="59" t="n"/>
      <c r="AQ2156" s="59" t="n"/>
      <c r="AR2156" s="155" t="inlineStr">
        <is>
          <t>Shopify Stetson México › Stetson México: 2 | Shopify Stetson México › Stetson Americas: 6</t>
        </is>
      </c>
    </row>
    <row r="2157">
      <c r="A2157" s="50" t="inlineStr">
        <is>
          <t>724303742169</t>
        </is>
      </c>
      <c r="B2157" s="51" t="inlineStr">
        <is>
          <t>109714</t>
        </is>
      </c>
      <c r="C2157" s="156" t="inlineStr">
        <is>
          <t>Multimarca</t>
        </is>
      </c>
      <c r="D2157" s="156" t="inlineStr">
        <is>
          <t>9412790-100</t>
        </is>
      </c>
      <c r="E2157" s="156" t="inlineStr">
        <is>
          <t>9412790-100-L</t>
        </is>
      </c>
      <c r="F2157" s="156" t="inlineStr">
        <is>
          <t>L</t>
        </is>
      </c>
      <c r="G2157" s="156" t="inlineStr">
        <is>
          <t>L</t>
        </is>
      </c>
      <c r="H2157" s="156" t="inlineStr">
        <is>
          <t>Stetson</t>
        </is>
      </c>
      <c r="I2157" s="156" t="inlineStr">
        <is>
          <t>Cinturón Dama Borde Trenzado Repujado</t>
        </is>
      </c>
      <c r="J2157" s="156" t="inlineStr">
        <is>
          <t>Accesorios</t>
        </is>
      </c>
      <c r="K2157" s="156" t="inlineStr">
        <is>
          <t>Cinturones</t>
        </is>
      </c>
      <c r="L2157" s="156" t="inlineStr">
        <is>
          <t>Mujer</t>
        </is>
      </c>
      <c r="M2157" s="156" t="inlineStr">
        <is>
          <t>Stetson</t>
        </is>
      </c>
      <c r="N2157" s="156" t="inlineStr">
        <is>
          <t>SS26</t>
        </is>
      </c>
      <c r="O2157" s="156" t="inlineStr">
        <is>
          <t>Seasonal</t>
        </is>
      </c>
      <c r="P2157" s="156" t="inlineStr">
        <is>
          <t>Blanco</t>
        </is>
      </c>
      <c r="Q2157" s="156" t="n"/>
      <c r="R2157" s="156" t="n"/>
      <c r="S2157" s="156" t="inlineStr">
        <is>
          <t>Piel</t>
        </is>
      </c>
      <c r="T2157"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7" s="156" t="n"/>
      <c r="V2157" s="156" t="inlineStr">
        <is>
          <t>PZS</t>
        </is>
      </c>
      <c r="W2157" s="51" t="inlineStr">
        <is>
          <t>53102501</t>
        </is>
      </c>
      <c r="X2157" s="156" t="inlineStr">
        <is>
          <t>https://cdn.shopify.com/s/files/1/0888/3250/8267/files/9412790-100-03.jpg?v=1761934342</t>
        </is>
      </c>
      <c r="Y2157" s="54" t="n">
        <v>1299.568966</v>
      </c>
      <c r="Z2157" s="54" t="n">
        <v>2887.931034</v>
      </c>
      <c r="AA2157" s="55">
        <f>IF(AND(A2157="", B2157="", E2157=""), "", IF(AB2157="", "Válido", IF((LEN(AB2157)-LEN(SUBSTITUTE(AB2157,"; ","")))/2+1&gt;(LEN(AB2157)-LEN(SUBSTITUTE(AB2157,"[Aviso]","")))/7, "Con Incidencias", "Válido")))</f>
        <v/>
      </c>
      <c r="AB2157" s="56">
        <f>IF(AND(A2157="", B2157="", E2157=""), "", TEXTJOIN("; ", TRUE, IF(OR(TRIM(A2157&amp;"")="", ISNUMBER(SEARCH("FALTA", A2157))), "UPC faltante/inválido", ""), IF(AND(A2157&lt;&gt;"", IFERROR(_xlfn.XMATCH(A2157,$A$2:$A$2509,0,1)&lt;&gt;_xlfn.XMATCH(A2157,$A$2:$A$2509,0,-1),FALSE)), "Código de barras duplicado", ""), IF(AND(E2157&lt;&gt;"", COUNTIF($E$2:$E$2509, E2157)&gt;1), "SKU duplicado", ""), IF(OR(J2157="", J2157=""), "[Aviso] División no capturada ()", IF(ISNA(MATCH(J2157, Criterios!$A$123:$A$126, 0)), "División no válida", "")), IF(OR(K2157="", K2157=""), "[Aviso] Categoría no capturada ()", IF(ISNA(MATCH(K2157, Criterios!$A$81:$A$120, 0)), "Categoría no válida", IF(AND(J2157&lt;&gt;"", J2157&lt;&gt;"", J2157&lt;&gt;VLOOKUP(K2157, Criterios!$A$81:$B$120, 2, FALSE)), "División no coincide con Categoría", ""))), IF(OR(L2157="", L2157=""), "[Aviso] Género no capturado ()", IF(ISNA(MATCH(L2157, Criterios!$B$123:$B$127, 0)), "Género no válido", "")), IF(OR(N2157="", N2157=""), "[Aviso] Temporada no capturada ()", IF(ISNA(MATCH(N2157, Criterios!$C$123:$C$128, 0)), "Temporada no válida", "")), IF(OR(O2157="", O2157=""), "[Aviso] Ciclo de vida no capturado ()", IF(ISNA(MATCH(O2157, Criterios!$D$123:$D$124, 0)), "Ciclo de vida no válido", ""))))</f>
        <v/>
      </c>
      <c r="AC2157" s="56" t="n"/>
      <c r="AD2157" s="51" t="n">
        <v>4</v>
      </c>
      <c r="AE2157" s="156" t="inlineStr">
        <is>
          <t>B25 STETSON.MX (4)</t>
        </is>
      </c>
      <c r="AF2157" s="51" t="n">
        <v>4</v>
      </c>
      <c r="AG2157" s="156" t="inlineStr">
        <is>
          <t>Catálogo existente</t>
        </is>
      </c>
      <c r="AH2157" s="156" t="inlineStr">
        <is>
          <t>Revisión 29/09/2026: Campos sin respaldo: U; Auditoría NetSuite 30/09/2026: llenado desde NetSuite [S] | 01/10/2026: complementado desde Shopify Stetson México (match por código de barras): WB Fit, WB Silueta</t>
        </is>
      </c>
      <c r="AI2157" s="156" t="inlineStr">
        <is>
          <t>No</t>
        </is>
      </c>
      <c r="AJ2157" s="156" t="n"/>
      <c r="AK2157" s="155" t="inlineStr">
        <is>
          <t>Descripción y Criterios: G/H [P] | Criterios: I [Q] | Criterios: J [R]; G1522_Extraccion_Articulos_NetSuite_2026-09-30.xlsx: fila 57529 [S] | Shopify Stetson: producto 14811727036779 / variante 53350601326955</t>
        </is>
      </c>
      <c r="AL2157" s="58" t="n">
        <v>1299.568966</v>
      </c>
      <c r="AM2157" s="58" t="n">
        <v>2887.931034</v>
      </c>
      <c r="AN2157" s="155" t="inlineStr">
        <is>
          <t>Shopify Stetson México</t>
        </is>
      </c>
      <c r="AO2157" s="59" t="n">
        <v>8</v>
      </c>
      <c r="AP2157" s="59" t="n"/>
      <c r="AQ2157" s="59" t="n"/>
      <c r="AR2157" s="155" t="inlineStr">
        <is>
          <t>Shopify Stetson México › Stetson México: 4 | Shopify Stetson México › Stetson Americas: 4</t>
        </is>
      </c>
    </row>
    <row r="2158">
      <c r="A2158" s="50" t="inlineStr">
        <is>
          <t>724303742176</t>
        </is>
      </c>
      <c r="B2158" s="51" t="inlineStr">
        <is>
          <t>109715</t>
        </is>
      </c>
      <c r="C2158" s="156" t="inlineStr">
        <is>
          <t>Multimarca</t>
        </is>
      </c>
      <c r="D2158" s="156" t="inlineStr">
        <is>
          <t>9412790-100</t>
        </is>
      </c>
      <c r="E2158" s="156" t="inlineStr">
        <is>
          <t>9412790-100-XL</t>
        </is>
      </c>
      <c r="F2158" s="156" t="inlineStr">
        <is>
          <t>XL</t>
        </is>
      </c>
      <c r="G2158" s="156" t="inlineStr">
        <is>
          <t>XL</t>
        </is>
      </c>
      <c r="H2158" s="156" t="inlineStr">
        <is>
          <t>Stetson</t>
        </is>
      </c>
      <c r="I2158" s="156" t="inlineStr">
        <is>
          <t>Cinturón Dama Borde Trenzado Repujado</t>
        </is>
      </c>
      <c r="J2158" s="156" t="inlineStr">
        <is>
          <t>Accesorios</t>
        </is>
      </c>
      <c r="K2158" s="156" t="inlineStr">
        <is>
          <t>Cinturones</t>
        </is>
      </c>
      <c r="L2158" s="156" t="inlineStr">
        <is>
          <t>Mujer</t>
        </is>
      </c>
      <c r="M2158" s="156" t="inlineStr">
        <is>
          <t>Stetson</t>
        </is>
      </c>
      <c r="N2158" s="156" t="inlineStr">
        <is>
          <t>SS26</t>
        </is>
      </c>
      <c r="O2158" s="156" t="inlineStr">
        <is>
          <t>Seasonal</t>
        </is>
      </c>
      <c r="P2158" s="156" t="inlineStr">
        <is>
          <t>Blanco</t>
        </is>
      </c>
      <c r="Q2158" s="156" t="n"/>
      <c r="R2158" s="156" t="n"/>
      <c r="S2158" s="156" t="inlineStr">
        <is>
          <t>Piel</t>
        </is>
      </c>
      <c r="T2158"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8" s="156" t="n"/>
      <c r="V2158" s="156" t="inlineStr">
        <is>
          <t>PZS</t>
        </is>
      </c>
      <c r="W2158" s="51" t="inlineStr">
        <is>
          <t>53102501</t>
        </is>
      </c>
      <c r="X2158" s="156" t="inlineStr">
        <is>
          <t>https://cdn.shopify.com/s/files/1/0888/3250/8267/files/9412790-100-04.jpg?v=1761934342</t>
        </is>
      </c>
      <c r="Y2158" s="54" t="n">
        <v>1299.568966</v>
      </c>
      <c r="Z2158" s="54" t="n">
        <v>2887.931034</v>
      </c>
      <c r="AA2158" s="55">
        <f>IF(AND(A2158="", B2158="", E2158=""), "", IF(AB2158="", "Válido", IF((LEN(AB2158)-LEN(SUBSTITUTE(AB2158,"; ","")))/2+1&gt;(LEN(AB2158)-LEN(SUBSTITUTE(AB2158,"[Aviso]","")))/7, "Con Incidencias", "Válido")))</f>
        <v/>
      </c>
      <c r="AB2158" s="56">
        <f>IF(AND(A2158="", B2158="", E2158=""), "", TEXTJOIN("; ", TRUE, IF(OR(TRIM(A2158&amp;"")="", ISNUMBER(SEARCH("FALTA", A2158))), "UPC faltante/inválido", ""), IF(AND(A2158&lt;&gt;"", IFERROR(_xlfn.XMATCH(A2158,$A$2:$A$2509,0,1)&lt;&gt;_xlfn.XMATCH(A2158,$A$2:$A$2509,0,-1),FALSE)), "Código de barras duplicado", ""), IF(AND(E2158&lt;&gt;"", COUNTIF($E$2:$E$2509, E2158)&gt;1), "SKU duplicado", ""), IF(OR(J2158="", J2158=""), "[Aviso] División no capturada ()", IF(ISNA(MATCH(J2158, Criterios!$A$123:$A$126, 0)), "División no válida", "")), IF(OR(K2158="", K2158=""), "[Aviso] Categoría no capturada ()", IF(ISNA(MATCH(K2158, Criterios!$A$81:$A$120, 0)), "Categoría no válida", IF(AND(J2158&lt;&gt;"", J2158&lt;&gt;"", J2158&lt;&gt;VLOOKUP(K2158, Criterios!$A$81:$B$120, 2, FALSE)), "División no coincide con Categoría", ""))), IF(OR(L2158="", L2158=""), "[Aviso] Género no capturado ()", IF(ISNA(MATCH(L2158, Criterios!$B$123:$B$127, 0)), "Género no válido", "")), IF(OR(N2158="", N2158=""), "[Aviso] Temporada no capturada ()", IF(ISNA(MATCH(N2158, Criterios!$C$123:$C$128, 0)), "Temporada no válida", "")), IF(OR(O2158="", O2158=""), "[Aviso] Ciclo de vida no capturado ()", IF(ISNA(MATCH(O2158, Criterios!$D$123:$D$124, 0)), "Ciclo de vida no válido", ""))))</f>
        <v/>
      </c>
      <c r="AC2158" s="56" t="n"/>
      <c r="AD2158" s="51" t="n">
        <v>2</v>
      </c>
      <c r="AE2158" s="156" t="inlineStr">
        <is>
          <t>B25 STETSON.MX (2)</t>
        </is>
      </c>
      <c r="AF2158" s="51" t="n">
        <v>2</v>
      </c>
      <c r="AG2158" s="156" t="inlineStr">
        <is>
          <t>Catálogo existente</t>
        </is>
      </c>
      <c r="AH2158" s="156" t="inlineStr">
        <is>
          <t>Revisión 29/09/2026: Campos sin respaldo: U; Auditoría NetSuite 30/09/2026: llenado desde NetSuite [S] | 01/10/2026: complementado desde Shopify Stetson México (match por código de barras): WB Fit, WB Silueta</t>
        </is>
      </c>
      <c r="AI2158" s="156" t="inlineStr">
        <is>
          <t>No</t>
        </is>
      </c>
      <c r="AJ2158" s="156" t="n"/>
      <c r="AK2158" s="155" t="inlineStr">
        <is>
          <t>Descripción y Criterios: G/H [P] | Criterios: I [Q] | Criterios: J [R]; G1522_Extraccion_Articulos_NetSuite_2026-09-30.xlsx: fila 57530 [S] | Shopify Stetson: producto 14811727036779 / variante 53350601359723</t>
        </is>
      </c>
      <c r="AL2158" s="58" t="n">
        <v>1299.568966</v>
      </c>
      <c r="AM2158" s="58" t="n">
        <v>2887.931034</v>
      </c>
      <c r="AN2158" s="155" t="inlineStr">
        <is>
          <t>Shopify Stetson México</t>
        </is>
      </c>
      <c r="AO2158" s="59" t="n">
        <v>2</v>
      </c>
      <c r="AP2158" s="59" t="n"/>
      <c r="AQ2158" s="59" t="n"/>
      <c r="AR2158" s="155" t="inlineStr">
        <is>
          <t>Shopify Stetson México › Stetson México: 2</t>
        </is>
      </c>
    </row>
    <row r="2159">
      <c r="A2159" s="50" t="inlineStr">
        <is>
          <t>724303742190</t>
        </is>
      </c>
      <c r="B2159" s="51" t="inlineStr">
        <is>
          <t>109696</t>
        </is>
      </c>
      <c r="C2159" s="156" t="inlineStr">
        <is>
          <t>Multimarca</t>
        </is>
      </c>
      <c r="D2159" s="156" t="inlineStr">
        <is>
          <t>9409790-001</t>
        </is>
      </c>
      <c r="E2159" s="156" t="inlineStr">
        <is>
          <t>9409790-001-S</t>
        </is>
      </c>
      <c r="F2159" s="156" t="inlineStr">
        <is>
          <t>S</t>
        </is>
      </c>
      <c r="G2159" s="156" t="inlineStr">
        <is>
          <t>S</t>
        </is>
      </c>
      <c r="H2159" s="156" t="inlineStr">
        <is>
          <t>Stetson</t>
        </is>
      </c>
      <c r="I2159" s="156" t="inlineStr">
        <is>
          <t>Cinturón Dama Estampado Tipo Cocodrilo</t>
        </is>
      </c>
      <c r="J2159" s="156" t="inlineStr">
        <is>
          <t>Accesorios</t>
        </is>
      </c>
      <c r="K2159" s="156" t="inlineStr">
        <is>
          <t>Cinturones</t>
        </is>
      </c>
      <c r="L2159" s="156" t="inlineStr">
        <is>
          <t>Mujer</t>
        </is>
      </c>
      <c r="M2159" s="156" t="inlineStr">
        <is>
          <t>Stetson</t>
        </is>
      </c>
      <c r="N2159" s="156" t="inlineStr">
        <is>
          <t>SS26</t>
        </is>
      </c>
      <c r="O2159" s="156" t="inlineStr">
        <is>
          <t>Seasonal</t>
        </is>
      </c>
      <c r="P2159" s="156" t="inlineStr">
        <is>
          <t>Varios</t>
        </is>
      </c>
      <c r="Q2159" s="156" t="n"/>
      <c r="R2159" s="156" t="n"/>
      <c r="S2159" s="156" t="inlineStr">
        <is>
          <t>Piel</t>
        </is>
      </c>
      <c r="T2159" s="156" t="inlineStr">
        <is>
          <t>El Cinturón Estampado Tipo Cocodrilo Stetson refleja el estilo clásico del Oeste con un toque refinado y elegante. Confeccionado en piel italiana de primera calidad, cuenta con una correa cónica de 1 ⅜” a 1” de ancho (35 mm a 25 mm) y un atractivo acabado con textura tipo cocodrilo. Incluye cinco perforaciones para un ajuste perfecto y un juego de hebilla Stetson de tres piezas en tono plateado, que aporta carácter y distinción.
 Un accesorio versátil que combina con jeans, botas o atuendos formales, manteniendo siempre el sello de calidad Stetson.
 ___________________________________________________
 Características:
 • Ancho cónico de 1 ⅜” a 1” (35 mm–25 mm)
 • Acabado con textura tipo cocodrilo
 • Juego de hebilla Stetson de tres piezas en tono plateado
 • Fabricado en piel italiana genuina
 • Importado
 Tallas disponibles:
 • S: para tallas 28–30 (29" al orificio central)
 • M: para tallas 32–34 (33" al orificio central)
 • L: para tallas 36–38 (37" al orificio central)
 • XL: para tallas 40–42 (41" al orificio central)
 • XXL: para tallas 44–46 (45" al orificio central)</t>
        </is>
      </c>
      <c r="U2159" s="156" t="n"/>
      <c r="V2159" s="156" t="inlineStr">
        <is>
          <t>PZS</t>
        </is>
      </c>
      <c r="W2159" s="51" t="inlineStr">
        <is>
          <t>53102501</t>
        </is>
      </c>
      <c r="X2159" s="156" t="inlineStr">
        <is>
          <t>https://cdn.shopify.com/s/files/1/0888/3250/8267/files/9409790-001-01.jpg?v=1761932677</t>
        </is>
      </c>
      <c r="Y2159" s="54" t="n">
        <v>1066.810345</v>
      </c>
      <c r="Z2159" s="54" t="n">
        <v>2370.689655</v>
      </c>
      <c r="AA2159" s="55">
        <f>IF(AND(A2159="", B2159="", E2159=""), "", IF(AB2159="", "Válido", IF((LEN(AB2159)-LEN(SUBSTITUTE(AB2159,"; ","")))/2+1&gt;(LEN(AB2159)-LEN(SUBSTITUTE(AB2159,"[Aviso]","")))/7, "Con Incidencias", "Válido")))</f>
        <v/>
      </c>
      <c r="AB2159" s="56">
        <f>IF(AND(A2159="", B2159="", E2159=""), "", TEXTJOIN("; ", TRUE, IF(OR(TRIM(A2159&amp;"")="", ISNUMBER(SEARCH("FALTA", A2159))), "UPC faltante/inválido", ""), IF(AND(A2159&lt;&gt;"", IFERROR(_xlfn.XMATCH(A2159,$A$2:$A$2509,0,1)&lt;&gt;_xlfn.XMATCH(A2159,$A$2:$A$2509,0,-1),FALSE)), "Código de barras duplicado", ""), IF(AND(E2159&lt;&gt;"", COUNTIF($E$2:$E$2509, E2159)&gt;1), "SKU duplicado", ""), IF(OR(J2159="", J2159=""), "[Aviso] División no capturada ()", IF(ISNA(MATCH(J2159, Criterios!$A$123:$A$126, 0)), "División no válida", "")), IF(OR(K2159="", K2159=""), "[Aviso] Categoría no capturada ()", IF(ISNA(MATCH(K2159, Criterios!$A$81:$A$120, 0)), "Categoría no válida", IF(AND(J2159&lt;&gt;"", J2159&lt;&gt;"", J2159&lt;&gt;VLOOKUP(K2159, Criterios!$A$81:$B$120, 2, FALSE)), "División no coincide con Categoría", ""))), IF(OR(L2159="", L2159=""), "[Aviso] Género no capturado ()", IF(ISNA(MATCH(L2159, Criterios!$B$123:$B$127, 0)), "Género no válido", "")), IF(OR(N2159="", N2159=""), "[Aviso] Temporada no capturada ()", IF(ISNA(MATCH(N2159, Criterios!$C$123:$C$128, 0)), "Temporada no válida", "")), IF(OR(O2159="", O2159=""), "[Aviso] Ciclo de vida no capturado ()", IF(ISNA(MATCH(O2159, Criterios!$D$123:$D$124, 0)), "Ciclo de vida no válido", ""))))</f>
        <v/>
      </c>
      <c r="AC2159" s="56" t="n"/>
      <c r="AD2159" s="51" t="n">
        <v>-2</v>
      </c>
      <c r="AE2159" s="156" t="n"/>
      <c r="AF2159" s="51" t="n">
        <v>0</v>
      </c>
      <c r="AG2159" s="156" t="inlineStr">
        <is>
          <t>Catálogo existente</t>
        </is>
      </c>
      <c r="AH2159"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59" s="156" t="inlineStr">
        <is>
          <t>Sí</t>
        </is>
      </c>
      <c r="AJ2159" s="156" t="inlineStr">
        <is>
          <t>STETSON AMERICAS (-2)</t>
        </is>
      </c>
      <c r="AK2159" s="155" t="inlineStr">
        <is>
          <t>Criterios: I [Q] | Criterios: J [R]; G1522_Extraccion_Articulos_NetSuite_2026-09-30.xlsx: fila 57511 [S] | Shopify Stetson: producto 14811718058347 / variante 53350601654635</t>
        </is>
      </c>
      <c r="AL2159" s="58" t="n">
        <v>1066.810345</v>
      </c>
      <c r="AM2159" s="58" t="n">
        <v>2370.689655</v>
      </c>
      <c r="AN2159" s="155" t="inlineStr">
        <is>
          <t>Shopify Stetson México</t>
        </is>
      </c>
      <c r="AO2159" s="59" t="n">
        <v>1</v>
      </c>
      <c r="AP2159" s="59" t="n"/>
      <c r="AQ2159" s="59" t="n"/>
      <c r="AR2159" s="155" t="inlineStr">
        <is>
          <t>Shopify Stetson México › Stetson Americas: 1</t>
        </is>
      </c>
    </row>
    <row r="2160">
      <c r="A2160" s="50" t="inlineStr">
        <is>
          <t>724303742206</t>
        </is>
      </c>
      <c r="B2160" s="51" t="inlineStr">
        <is>
          <t>109697</t>
        </is>
      </c>
      <c r="C2160" s="156" t="inlineStr">
        <is>
          <t>Multimarca</t>
        </is>
      </c>
      <c r="D2160" s="156" t="inlineStr">
        <is>
          <t>9409790-001</t>
        </is>
      </c>
      <c r="E2160" s="156" t="inlineStr">
        <is>
          <t>9409790-001-M</t>
        </is>
      </c>
      <c r="F2160" s="156" t="inlineStr">
        <is>
          <t>M</t>
        </is>
      </c>
      <c r="G2160" s="156" t="inlineStr">
        <is>
          <t>M</t>
        </is>
      </c>
      <c r="H2160" s="156" t="inlineStr">
        <is>
          <t>Stetson</t>
        </is>
      </c>
      <c r="I2160" s="156" t="inlineStr">
        <is>
          <t>Cinturón Dama Estampado Tipo Cocodrilo</t>
        </is>
      </c>
      <c r="J2160" s="156" t="inlineStr">
        <is>
          <t>Accesorios</t>
        </is>
      </c>
      <c r="K2160" s="156" t="inlineStr">
        <is>
          <t>Cinturones</t>
        </is>
      </c>
      <c r="L2160" s="156" t="inlineStr">
        <is>
          <t>Mujer</t>
        </is>
      </c>
      <c r="M2160" s="156" t="inlineStr">
        <is>
          <t>Stetson</t>
        </is>
      </c>
      <c r="N2160" s="156" t="inlineStr">
        <is>
          <t>SS26</t>
        </is>
      </c>
      <c r="O2160" s="156" t="inlineStr">
        <is>
          <t>Seasonal</t>
        </is>
      </c>
      <c r="P2160" s="156" t="inlineStr">
        <is>
          <t>Varios</t>
        </is>
      </c>
      <c r="Q2160" s="156" t="n"/>
      <c r="R2160" s="156" t="n"/>
      <c r="S2160" s="156" t="inlineStr">
        <is>
          <t>Piel</t>
        </is>
      </c>
      <c r="T2160"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0" s="156" t="n"/>
      <c r="V2160" s="156" t="inlineStr">
        <is>
          <t>PZS</t>
        </is>
      </c>
      <c r="W2160" s="51" t="inlineStr">
        <is>
          <t>53102501</t>
        </is>
      </c>
      <c r="X2160" s="156" t="inlineStr">
        <is>
          <t>https://cdn.shopify.com/s/files/1/0888/3250/8267/files/9409790-001-02.jpg?v=1761932677</t>
        </is>
      </c>
      <c r="Y2160" s="54" t="n">
        <v>1066.810345</v>
      </c>
      <c r="Z2160" s="54" t="n">
        <v>2370.689655</v>
      </c>
      <c r="AA2160" s="55">
        <f>IF(AND(A2160="", B2160="", E2160=""), "", IF(AB2160="", "Válido", IF((LEN(AB2160)-LEN(SUBSTITUTE(AB2160,"; ","")))/2+1&gt;(LEN(AB2160)-LEN(SUBSTITUTE(AB2160,"[Aviso]","")))/7, "Con Incidencias", "Válido")))</f>
        <v/>
      </c>
      <c r="AB2160" s="56">
        <f>IF(AND(A2160="", B2160="", E2160=""), "", TEXTJOIN("; ", TRUE, IF(OR(TRIM(A2160&amp;"")="", ISNUMBER(SEARCH("FALTA", A2160))), "UPC faltante/inválido", ""), IF(AND(A2160&lt;&gt;"", IFERROR(_xlfn.XMATCH(A2160,$A$2:$A$2509,0,1)&lt;&gt;_xlfn.XMATCH(A2160,$A$2:$A$2509,0,-1),FALSE)), "Código de barras duplicado", ""), IF(AND(E2160&lt;&gt;"", COUNTIF($E$2:$E$2509, E2160)&gt;1), "SKU duplicado", ""), IF(OR(J2160="", J2160=""), "[Aviso] División no capturada ()", IF(ISNA(MATCH(J2160, Criterios!$A$123:$A$126, 0)), "División no válida", "")), IF(OR(K2160="", K2160=""), "[Aviso] Categoría no capturada ()", IF(ISNA(MATCH(K2160, Criterios!$A$81:$A$120, 0)), "Categoría no válida", IF(AND(J2160&lt;&gt;"", J2160&lt;&gt;"", J2160&lt;&gt;VLOOKUP(K2160, Criterios!$A$81:$B$120, 2, FALSE)), "División no coincide con Categoría", ""))), IF(OR(L2160="", L2160=""), "[Aviso] Género no capturado ()", IF(ISNA(MATCH(L2160, Criterios!$B$123:$B$127, 0)), "Género no válido", "")), IF(OR(N2160="", N2160=""), "[Aviso] Temporada no capturada ()", IF(ISNA(MATCH(N2160, Criterios!$C$123:$C$128, 0)), "Temporada no válida", "")), IF(OR(O2160="", O2160=""), "[Aviso] Ciclo de vida no capturado ()", IF(ISNA(MATCH(O2160, Criterios!$D$123:$D$124, 0)), "Ciclo de vida no válido", ""))))</f>
        <v/>
      </c>
      <c r="AC2160" s="56" t="n"/>
      <c r="AD2160" s="51" t="n">
        <v>0</v>
      </c>
      <c r="AE2160" s="156" t="inlineStr">
        <is>
          <t>WB OUTLET LERMA (2); B25 STETSON.MX (1)</t>
        </is>
      </c>
      <c r="AF2160" s="51" t="n">
        <v>3</v>
      </c>
      <c r="AG2160" s="156" t="inlineStr">
        <is>
          <t>Catálogo existente</t>
        </is>
      </c>
      <c r="AH2160"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0" s="156" t="inlineStr">
        <is>
          <t>Sí</t>
        </is>
      </c>
      <c r="AJ2160" s="156" t="inlineStr">
        <is>
          <t>STETSON AMERICAS (-3)</t>
        </is>
      </c>
      <c r="AK2160" s="155" t="inlineStr">
        <is>
          <t>Criterios: I [Q] | Criterios: J [R]; G1522_Extraccion_Articulos_NetSuite_2026-09-30.xlsx: fila 57512 [S] | Shopify Stetson: producto 14811718058347 / variante 53350601687403 | Shopify WB: producto 10310239060153 / variante 50512092364985</t>
        </is>
      </c>
      <c r="AL2160" s="58" t="n">
        <v>1066.810345</v>
      </c>
      <c r="AM2160" s="58" t="n">
        <v>2370.689655</v>
      </c>
      <c r="AN2160" s="155" t="inlineStr">
        <is>
          <t>Shopify Stetson México | Shopify Western Brothers</t>
        </is>
      </c>
      <c r="AO2160" s="59" t="n">
        <v>4</v>
      </c>
      <c r="AP2160" s="59" t="n">
        <v>2</v>
      </c>
      <c r="AQ2160" s="59" t="n"/>
      <c r="AR2160" s="155" t="inlineStr">
        <is>
          <t>Shopify Stetson México › Stetson México: 1 | Shopify Stetson México › Stetson Americas: 2 | Shopify Stetson México › Eventos: 1 | Shopify Western Brothers › Western Brothers Outlet Lerma: 2</t>
        </is>
      </c>
    </row>
    <row r="2161">
      <c r="A2161" s="50" t="inlineStr">
        <is>
          <t>724303742213</t>
        </is>
      </c>
      <c r="B2161" s="51" t="inlineStr">
        <is>
          <t>109698</t>
        </is>
      </c>
      <c r="C2161" s="156" t="inlineStr">
        <is>
          <t>Multimarca</t>
        </is>
      </c>
      <c r="D2161" s="156" t="inlineStr">
        <is>
          <t>9409790-001</t>
        </is>
      </c>
      <c r="E2161" s="156" t="inlineStr">
        <is>
          <t>9409790-001-L</t>
        </is>
      </c>
      <c r="F2161" s="156" t="inlineStr">
        <is>
          <t>L</t>
        </is>
      </c>
      <c r="G2161" s="156" t="inlineStr">
        <is>
          <t>L</t>
        </is>
      </c>
      <c r="H2161" s="156" t="inlineStr">
        <is>
          <t>Stetson</t>
        </is>
      </c>
      <c r="I2161" s="156" t="inlineStr">
        <is>
          <t>Cinturón Dama Estampado Tipo Cocodrilo</t>
        </is>
      </c>
      <c r="J2161" s="156" t="inlineStr">
        <is>
          <t>Accesorios</t>
        </is>
      </c>
      <c r="K2161" s="156" t="inlineStr">
        <is>
          <t>Cinturones</t>
        </is>
      </c>
      <c r="L2161" s="156" t="inlineStr">
        <is>
          <t>Mujer</t>
        </is>
      </c>
      <c r="M2161" s="156" t="inlineStr">
        <is>
          <t>Stetson</t>
        </is>
      </c>
      <c r="N2161" s="156" t="inlineStr">
        <is>
          <t>SS26</t>
        </is>
      </c>
      <c r="O2161" s="156" t="inlineStr">
        <is>
          <t>Seasonal</t>
        </is>
      </c>
      <c r="P2161" s="156" t="inlineStr">
        <is>
          <t>Varios</t>
        </is>
      </c>
      <c r="Q2161" s="156" t="n"/>
      <c r="R2161" s="156" t="n"/>
      <c r="S2161" s="156" t="inlineStr">
        <is>
          <t>Piel</t>
        </is>
      </c>
      <c r="T2161"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1" s="156" t="n"/>
      <c r="V2161" s="156" t="inlineStr">
        <is>
          <t>PZS</t>
        </is>
      </c>
      <c r="W2161" s="51" t="inlineStr">
        <is>
          <t>53102501</t>
        </is>
      </c>
      <c r="X2161" s="156" t="inlineStr">
        <is>
          <t>https://cdn.shopify.com/s/files/1/0888/3250/8267/files/9409790-001-03.jpg?v=1761932677</t>
        </is>
      </c>
      <c r="Y2161" s="54" t="n">
        <v>1066.810345</v>
      </c>
      <c r="Z2161" s="54" t="n">
        <v>2370.689655</v>
      </c>
      <c r="AA2161" s="55">
        <f>IF(AND(A2161="", B2161="", E2161=""), "", IF(AB2161="", "Válido", IF((LEN(AB2161)-LEN(SUBSTITUTE(AB2161,"; ","")))/2+1&gt;(LEN(AB2161)-LEN(SUBSTITUTE(AB2161,"[Aviso]","")))/7, "Con Incidencias", "Válido")))</f>
        <v/>
      </c>
      <c r="AB2161" s="56">
        <f>IF(AND(A2161="", B2161="", E2161=""), "", TEXTJOIN("; ", TRUE, IF(OR(TRIM(A2161&amp;"")="", ISNUMBER(SEARCH("FALTA", A2161))), "UPC faltante/inválido", ""), IF(AND(A2161&lt;&gt;"", IFERROR(_xlfn.XMATCH(A2161,$A$2:$A$2509,0,1)&lt;&gt;_xlfn.XMATCH(A2161,$A$2:$A$2509,0,-1),FALSE)), "Código de barras duplicado", ""), IF(AND(E2161&lt;&gt;"", COUNTIF($E$2:$E$2509, E2161)&gt;1), "SKU duplicado", ""), IF(OR(J2161="", J2161=""), "[Aviso] División no capturada ()", IF(ISNA(MATCH(J2161, Criterios!$A$123:$A$126, 0)), "División no válida", "")), IF(OR(K2161="", K2161=""), "[Aviso] Categoría no capturada ()", IF(ISNA(MATCH(K2161, Criterios!$A$81:$A$120, 0)), "Categoría no válida", IF(AND(J2161&lt;&gt;"", J2161&lt;&gt;"", J2161&lt;&gt;VLOOKUP(K2161, Criterios!$A$81:$B$120, 2, FALSE)), "División no coincide con Categoría", ""))), IF(OR(L2161="", L2161=""), "[Aviso] Género no capturado ()", IF(ISNA(MATCH(L2161, Criterios!$B$123:$B$127, 0)), "Género no válido", "")), IF(OR(N2161="", N2161=""), "[Aviso] Temporada no capturada ()", IF(ISNA(MATCH(N2161, Criterios!$C$123:$C$128, 0)), "Temporada no válida", "")), IF(OR(O2161="", O2161=""), "[Aviso] Ciclo de vida no capturado ()", IF(ISNA(MATCH(O2161, Criterios!$D$123:$D$124, 0)), "Ciclo de vida no válido", ""))))</f>
        <v/>
      </c>
      <c r="AC2161" s="56" t="n"/>
      <c r="AD2161" s="51" t="n">
        <v>1</v>
      </c>
      <c r="AE2161" s="156" t="inlineStr">
        <is>
          <t>WB OUTLET LERMA (1)</t>
        </is>
      </c>
      <c r="AF2161" s="51" t="n">
        <v>1</v>
      </c>
      <c r="AG2161" s="156" t="inlineStr">
        <is>
          <t>Catálogo existente</t>
        </is>
      </c>
      <c r="AH2161"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1" s="156" t="inlineStr">
        <is>
          <t>No</t>
        </is>
      </c>
      <c r="AJ2161" s="156" t="n"/>
      <c r="AK2161" s="155" t="inlineStr">
        <is>
          <t>Criterios: I [Q] | Criterios: J [R]; G1522_Extraccion_Articulos_NetSuite_2026-09-30.xlsx: fila 57513 [S] | Shopify Stetson: producto 14811718058347 / variante 53350601720171 | Shopify WB: producto 10310239060153 / variante 50512092397753</t>
        </is>
      </c>
      <c r="AL2161" s="58" t="n">
        <v>1066.810345</v>
      </c>
      <c r="AM2161" s="58" t="n">
        <v>2370.689655</v>
      </c>
      <c r="AN2161" s="155" t="inlineStr">
        <is>
          <t>Shopify Stetson México | Shopify Western Brothers</t>
        </is>
      </c>
      <c r="AO2161" s="59" t="n">
        <v>5</v>
      </c>
      <c r="AP2161" s="59" t="n">
        <v>1</v>
      </c>
      <c r="AQ2161" s="59" t="n"/>
      <c r="AR2161" s="155" t="inlineStr">
        <is>
          <t>Shopify Stetson México › Stetson Americas: 4 | Shopify Stetson México › Eventos: 1 | Shopify Western Brothers › Western Brothers Outlet Lerma: 1</t>
        </is>
      </c>
    </row>
    <row r="2162">
      <c r="A2162" s="50" t="inlineStr">
        <is>
          <t>724303742220</t>
        </is>
      </c>
      <c r="B2162" s="51" t="inlineStr">
        <is>
          <t>109699</t>
        </is>
      </c>
      <c r="C2162" s="156" t="inlineStr">
        <is>
          <t>Multimarca</t>
        </is>
      </c>
      <c r="D2162" s="156" t="inlineStr">
        <is>
          <t>9409790-001</t>
        </is>
      </c>
      <c r="E2162" s="156" t="inlineStr">
        <is>
          <t>9409790-001-XL</t>
        </is>
      </c>
      <c r="F2162" s="156" t="inlineStr">
        <is>
          <t>XL</t>
        </is>
      </c>
      <c r="G2162" s="156" t="inlineStr">
        <is>
          <t>XL</t>
        </is>
      </c>
      <c r="H2162" s="156" t="inlineStr">
        <is>
          <t>Stetson</t>
        </is>
      </c>
      <c r="I2162" s="156" t="inlineStr">
        <is>
          <t>Cinturón Dama Estampado Tipo Cocodrilo</t>
        </is>
      </c>
      <c r="J2162" s="156" t="inlineStr">
        <is>
          <t>Accesorios</t>
        </is>
      </c>
      <c r="K2162" s="156" t="inlineStr">
        <is>
          <t>Cinturones</t>
        </is>
      </c>
      <c r="L2162" s="156" t="inlineStr">
        <is>
          <t>Mujer</t>
        </is>
      </c>
      <c r="M2162" s="156" t="inlineStr">
        <is>
          <t>Stetson</t>
        </is>
      </c>
      <c r="N2162" s="156" t="inlineStr">
        <is>
          <t>SS26</t>
        </is>
      </c>
      <c r="O2162" s="156" t="inlineStr">
        <is>
          <t>Seasonal</t>
        </is>
      </c>
      <c r="P2162" s="156" t="inlineStr">
        <is>
          <t>Varios</t>
        </is>
      </c>
      <c r="Q2162" s="156" t="n"/>
      <c r="R2162" s="156" t="n"/>
      <c r="S2162" s="156" t="inlineStr">
        <is>
          <t>Piel</t>
        </is>
      </c>
      <c r="T2162"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2" s="156" t="n"/>
      <c r="V2162" s="156" t="inlineStr">
        <is>
          <t>PZS</t>
        </is>
      </c>
      <c r="W2162" s="51" t="inlineStr">
        <is>
          <t>53102501</t>
        </is>
      </c>
      <c r="X2162" s="156" t="inlineStr">
        <is>
          <t>https://cdn.shopify.com/s/files/1/0888/3250/8267/files/9409790-001-04.jpg?v=1761932677</t>
        </is>
      </c>
      <c r="Y2162" s="54" t="n">
        <v>1066.810345</v>
      </c>
      <c r="Z2162" s="54" t="n">
        <v>2370.689655</v>
      </c>
      <c r="AA2162" s="55">
        <f>IF(AND(A2162="", B2162="", E2162=""), "", IF(AB2162="", "Válido", IF((LEN(AB2162)-LEN(SUBSTITUTE(AB2162,"; ","")))/2+1&gt;(LEN(AB2162)-LEN(SUBSTITUTE(AB2162,"[Aviso]","")))/7, "Con Incidencias", "Válido")))</f>
        <v/>
      </c>
      <c r="AB2162" s="56">
        <f>IF(AND(A2162="", B2162="", E2162=""), "", TEXTJOIN("; ", TRUE, IF(OR(TRIM(A2162&amp;"")="", ISNUMBER(SEARCH("FALTA", A2162))), "UPC faltante/inválido", ""), IF(AND(A2162&lt;&gt;"", IFERROR(_xlfn.XMATCH(A2162,$A$2:$A$2509,0,1)&lt;&gt;_xlfn.XMATCH(A2162,$A$2:$A$2509,0,-1),FALSE)), "Código de barras duplicado", ""), IF(AND(E2162&lt;&gt;"", COUNTIF($E$2:$E$2509, E2162)&gt;1), "SKU duplicado", ""), IF(OR(J2162="", J2162=""), "[Aviso] División no capturada ()", IF(ISNA(MATCH(J2162, Criterios!$A$123:$A$126, 0)), "División no válida", "")), IF(OR(K2162="", K2162=""), "[Aviso] Categoría no capturada ()", IF(ISNA(MATCH(K2162, Criterios!$A$81:$A$120, 0)), "Categoría no válida", IF(AND(J2162&lt;&gt;"", J2162&lt;&gt;"", J2162&lt;&gt;VLOOKUP(K2162, Criterios!$A$81:$B$120, 2, FALSE)), "División no coincide con Categoría", ""))), IF(OR(L2162="", L2162=""), "[Aviso] Género no capturado ()", IF(ISNA(MATCH(L2162, Criterios!$B$123:$B$127, 0)), "Género no válido", "")), IF(OR(N2162="", N2162=""), "[Aviso] Temporada no capturada ()", IF(ISNA(MATCH(N2162, Criterios!$C$123:$C$128, 0)), "Temporada no válida", "")), IF(OR(O2162="", O2162=""), "[Aviso] Ciclo de vida no capturado ()", IF(ISNA(MATCH(O2162, Criterios!$D$123:$D$124, 0)), "Ciclo de vida no válido", ""))))</f>
        <v/>
      </c>
      <c r="AC2162" s="56" t="n"/>
      <c r="AD2162" s="51" t="n">
        <v>1</v>
      </c>
      <c r="AE2162" s="156" t="inlineStr">
        <is>
          <t>WB OUTLET LERMA (1)</t>
        </is>
      </c>
      <c r="AF2162" s="51" t="n">
        <v>1</v>
      </c>
      <c r="AG2162" s="156" t="inlineStr">
        <is>
          <t>Catálogo existente</t>
        </is>
      </c>
      <c r="AH2162"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2" s="156" t="inlineStr">
        <is>
          <t>No</t>
        </is>
      </c>
      <c r="AJ2162" s="156" t="n"/>
      <c r="AK2162" s="155" t="inlineStr">
        <is>
          <t>Criterios: I [Q] | Criterios: J [R]; G1522_Extraccion_Articulos_NetSuite_2026-09-30.xlsx: fila 57514 [S] | Shopify Stetson: producto 14811718058347 / variante 53350601752939 | Shopify WB: producto 10310239060153 / variante 50512092430521</t>
        </is>
      </c>
      <c r="AL2162" s="58" t="n">
        <v>1066.810345</v>
      </c>
      <c r="AM2162" s="58" t="n">
        <v>2370.689655</v>
      </c>
      <c r="AN2162" s="155" t="inlineStr">
        <is>
          <t>Shopify Stetson México | Shopify Western Brothers</t>
        </is>
      </c>
      <c r="AO2162" s="59" t="n">
        <v>3</v>
      </c>
      <c r="AP2162" s="59" t="n">
        <v>1</v>
      </c>
      <c r="AQ2162" s="59" t="n"/>
      <c r="AR2162" s="155" t="inlineStr">
        <is>
          <t>Shopify Stetson México › Stetson Americas: 2 | Shopify Stetson México › Eventos: 1 | Shopify Western Brothers › Western Brothers Outlet Lerma: 1</t>
        </is>
      </c>
    </row>
    <row r="2163">
      <c r="A2163" s="50" t="inlineStr">
        <is>
          <t>724303742541</t>
        </is>
      </c>
      <c r="B2163" s="51" t="inlineStr">
        <is>
          <t>109789</t>
        </is>
      </c>
      <c r="C2163" s="156" t="inlineStr">
        <is>
          <t>Multimarca</t>
        </is>
      </c>
      <c r="D2163" s="156" t="inlineStr">
        <is>
          <t>9914500-001</t>
        </is>
      </c>
      <c r="E2163" s="156" t="inlineStr">
        <is>
          <t>9914500-001-36</t>
        </is>
      </c>
      <c r="F2163" s="156" t="inlineStr">
        <is>
          <t>36</t>
        </is>
      </c>
      <c r="G2163" s="156" t="inlineStr">
        <is>
          <t>36</t>
        </is>
      </c>
      <c r="H2163" s="156" t="inlineStr">
        <is>
          <t>Stetson</t>
        </is>
      </c>
      <c r="I2163" s="156" t="inlineStr">
        <is>
          <t>Cinturón Stetson Piel de Bisonte Repujado</t>
        </is>
      </c>
      <c r="J2163" s="156" t="inlineStr">
        <is>
          <t>Accesorios</t>
        </is>
      </c>
      <c r="K2163" s="156" t="inlineStr">
        <is>
          <t>Cinturones</t>
        </is>
      </c>
      <c r="L2163" s="156" t="inlineStr">
        <is>
          <t>Hombre</t>
        </is>
      </c>
      <c r="M2163" s="156" t="inlineStr">
        <is>
          <t>Stetson</t>
        </is>
      </c>
      <c r="N2163" s="156" t="inlineStr">
        <is>
          <t>SS26</t>
        </is>
      </c>
      <c r="O2163" s="156" t="inlineStr">
        <is>
          <t>Seasonal</t>
        </is>
      </c>
      <c r="P2163" s="156" t="inlineStr">
        <is>
          <t>Negro</t>
        </is>
      </c>
      <c r="Q2163" s="156" t="n"/>
      <c r="R2163" s="156" t="n"/>
      <c r="S2163" s="156" t="n"/>
      <c r="T216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3" s="156" t="n"/>
      <c r="V2163" s="156" t="inlineStr">
        <is>
          <t>PZS</t>
        </is>
      </c>
      <c r="W2163" s="51" t="inlineStr">
        <is>
          <t>53102501</t>
        </is>
      </c>
      <c r="X2163" s="156" t="inlineStr">
        <is>
          <t>https://cdn.shopify.com/s/files/1/0888/3250/8267/files/9914500-001-05.jpg?v=1761949269</t>
        </is>
      </c>
      <c r="Y2163" s="54" t="n">
        <v>931.0344828</v>
      </c>
      <c r="Z2163" s="54" t="n">
        <v>2068.965517</v>
      </c>
      <c r="AA2163" s="55">
        <f>IF(AND(A2163="", B2163="", E2163=""), "", IF(AB2163="", "Válido", IF((LEN(AB2163)-LEN(SUBSTITUTE(AB2163,"; ","")))/2+1&gt;(LEN(AB2163)-LEN(SUBSTITUTE(AB2163,"[Aviso]","")))/7, "Con Incidencias", "Válido")))</f>
        <v/>
      </c>
      <c r="AB2163" s="56">
        <f>IF(AND(A2163="", B2163="", E2163=""), "", TEXTJOIN("; ", TRUE, IF(OR(TRIM(A2163&amp;"")="", ISNUMBER(SEARCH("FALTA", A2163))), "UPC faltante/inválido", ""), IF(AND(A2163&lt;&gt;"", IFERROR(_xlfn.XMATCH(A2163,$A$2:$A$2509,0,1)&lt;&gt;_xlfn.XMATCH(A2163,$A$2:$A$2509,0,-1),FALSE)), "Código de barras duplicado", ""), IF(AND(E2163&lt;&gt;"", COUNTIF($E$2:$E$2509, E2163)&gt;1), "SKU duplicado", ""), IF(OR(J2163="", J2163=""), "[Aviso] División no capturada ()", IF(ISNA(MATCH(J2163, Criterios!$A$123:$A$126, 0)), "División no válida", "")), IF(OR(K2163="", K2163=""), "[Aviso] Categoría no capturada ()", IF(ISNA(MATCH(K2163, Criterios!$A$81:$A$120, 0)), "Categoría no válida", IF(AND(J2163&lt;&gt;"", J2163&lt;&gt;"", J2163&lt;&gt;VLOOKUP(K2163, Criterios!$A$81:$B$120, 2, FALSE)), "División no coincide con Categoría", ""))), IF(OR(L2163="", L2163=""), "[Aviso] Género no capturado ()", IF(ISNA(MATCH(L2163, Criterios!$B$123:$B$127, 0)), "Género no válido", "")), IF(OR(N2163="", N2163=""), "[Aviso] Temporada no capturada ()", IF(ISNA(MATCH(N2163, Criterios!$C$123:$C$128, 0)), "Temporada no válida", "")), IF(OR(O2163="", O2163=""), "[Aviso] Ciclo de vida no capturado ()", IF(ISNA(MATCH(O2163, Criterios!$D$123:$D$124, 0)), "Ciclo de vida no válido", ""))))</f>
        <v/>
      </c>
      <c r="AC2163" s="56" t="n"/>
      <c r="AD2163" s="51" t="n">
        <v>3</v>
      </c>
      <c r="AE2163" s="156" t="inlineStr">
        <is>
          <t>B25 STETSON.MX (3)</t>
        </is>
      </c>
      <c r="AF2163" s="51" t="n">
        <v>3</v>
      </c>
      <c r="AG2163" s="156" t="inlineStr">
        <is>
          <t>Catálogo existente</t>
        </is>
      </c>
      <c r="AH2163" s="156" t="inlineStr">
        <is>
          <t>Revisión 29/09/2026: Campos sin respaldo: P, S, U | 01/10/2026: complementado desde Shopify Stetson México (match por código de barras): WB Color, WB Fit, WB Silueta</t>
        </is>
      </c>
      <c r="AI2163" s="156" t="inlineStr">
        <is>
          <t>No</t>
        </is>
      </c>
      <c r="AJ2163" s="156" t="n"/>
      <c r="AK2163" s="155" t="inlineStr">
        <is>
          <t>Criterios: I [Q] | Criterios: J [R] | Shopify Stetson: producto 14811822752107 / variante 53350600868203</t>
        </is>
      </c>
      <c r="AL2163" s="58" t="n">
        <v>931.0344828</v>
      </c>
      <c r="AM2163" s="58" t="n">
        <v>2068.965517</v>
      </c>
      <c r="AN2163" s="155" t="inlineStr">
        <is>
          <t>Shopify Stetson México</t>
        </is>
      </c>
      <c r="AO2163" s="59" t="n">
        <v>3</v>
      </c>
      <c r="AP2163" s="59" t="n"/>
      <c r="AQ2163" s="59" t="n"/>
      <c r="AR2163" s="155" t="inlineStr">
        <is>
          <t>Shopify Stetson México › Stetson México: 3</t>
        </is>
      </c>
    </row>
    <row r="2164">
      <c r="A2164" s="50" t="inlineStr">
        <is>
          <t>724303742558</t>
        </is>
      </c>
      <c r="B2164" s="51" t="inlineStr">
        <is>
          <t>109790</t>
        </is>
      </c>
      <c r="C2164" s="156" t="inlineStr">
        <is>
          <t>Multimarca</t>
        </is>
      </c>
      <c r="D2164" s="156" t="inlineStr">
        <is>
          <t>9914500-001</t>
        </is>
      </c>
      <c r="E2164" s="156" t="inlineStr">
        <is>
          <t>9914500-001-38</t>
        </is>
      </c>
      <c r="F2164" s="156" t="inlineStr">
        <is>
          <t>38</t>
        </is>
      </c>
      <c r="G2164" s="156" t="inlineStr">
        <is>
          <t>38</t>
        </is>
      </c>
      <c r="H2164" s="156" t="inlineStr">
        <is>
          <t>Stetson</t>
        </is>
      </c>
      <c r="I2164" s="156" t="inlineStr">
        <is>
          <t>Cinturón Stetson Piel de Bisonte Repujado</t>
        </is>
      </c>
      <c r="J2164" s="156" t="inlineStr">
        <is>
          <t>Accesorios</t>
        </is>
      </c>
      <c r="K2164" s="156" t="inlineStr">
        <is>
          <t>Cinturones</t>
        </is>
      </c>
      <c r="L2164" s="156" t="inlineStr">
        <is>
          <t>Hombre</t>
        </is>
      </c>
      <c r="M2164" s="156" t="inlineStr">
        <is>
          <t>Stetson</t>
        </is>
      </c>
      <c r="N2164" s="156" t="inlineStr">
        <is>
          <t>SS26</t>
        </is>
      </c>
      <c r="O2164" s="156" t="inlineStr">
        <is>
          <t>Seasonal</t>
        </is>
      </c>
      <c r="P2164" s="156" t="inlineStr">
        <is>
          <t>Negro</t>
        </is>
      </c>
      <c r="Q2164" s="156" t="n"/>
      <c r="R2164" s="156" t="n"/>
      <c r="S2164" s="156" t="n"/>
      <c r="T2164"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4" s="156" t="n"/>
      <c r="V2164" s="156" t="inlineStr">
        <is>
          <t>PZS</t>
        </is>
      </c>
      <c r="W2164" s="51" t="inlineStr">
        <is>
          <t>53102501</t>
        </is>
      </c>
      <c r="X2164" s="156" t="inlineStr">
        <is>
          <t>https://cdn.shopify.com/s/files/1/0888/3250/8267/files/9914500-001-07.jpg?v=1761949269</t>
        </is>
      </c>
      <c r="Y2164" s="54" t="n">
        <v>931.0344828</v>
      </c>
      <c r="Z2164" s="54" t="n">
        <v>2068.965517</v>
      </c>
      <c r="AA2164" s="55">
        <f>IF(AND(A2164="", B2164="", E2164=""), "", IF(AB2164="", "Válido", IF((LEN(AB2164)-LEN(SUBSTITUTE(AB2164,"; ","")))/2+1&gt;(LEN(AB2164)-LEN(SUBSTITUTE(AB2164,"[Aviso]","")))/7, "Con Incidencias", "Válido")))</f>
        <v/>
      </c>
      <c r="AB2164" s="56">
        <f>IF(AND(A2164="", B2164="", E2164=""), "", TEXTJOIN("; ", TRUE, IF(OR(TRIM(A2164&amp;"")="", ISNUMBER(SEARCH("FALTA", A2164))), "UPC faltante/inválido", ""), IF(AND(A2164&lt;&gt;"", IFERROR(_xlfn.XMATCH(A2164,$A$2:$A$2509,0,1)&lt;&gt;_xlfn.XMATCH(A2164,$A$2:$A$2509,0,-1),FALSE)), "Código de barras duplicado", ""), IF(AND(E2164&lt;&gt;"", COUNTIF($E$2:$E$2509, E2164)&gt;1), "SKU duplicado", ""), IF(OR(J2164="", J2164=""), "[Aviso] División no capturada ()", IF(ISNA(MATCH(J2164, Criterios!$A$123:$A$126, 0)), "División no válida", "")), IF(OR(K2164="", K2164=""), "[Aviso] Categoría no capturada ()", IF(ISNA(MATCH(K2164, Criterios!$A$81:$A$120, 0)), "Categoría no válida", IF(AND(J2164&lt;&gt;"", J2164&lt;&gt;"", J2164&lt;&gt;VLOOKUP(K2164, Criterios!$A$81:$B$120, 2, FALSE)), "División no coincide con Categoría", ""))), IF(OR(L2164="", L2164=""), "[Aviso] Género no capturado ()", IF(ISNA(MATCH(L2164, Criterios!$B$123:$B$127, 0)), "Género no válido", "")), IF(OR(N2164="", N2164=""), "[Aviso] Temporada no capturada ()", IF(ISNA(MATCH(N2164, Criterios!$C$123:$C$128, 0)), "Temporada no válida", "")), IF(OR(O2164="", O2164=""), "[Aviso] Ciclo de vida no capturado ()", IF(ISNA(MATCH(O2164, Criterios!$D$123:$D$124, 0)), "Ciclo de vida no válido", ""))))</f>
        <v/>
      </c>
      <c r="AC2164" s="56" t="n"/>
      <c r="AD2164" s="51" t="n">
        <v>1</v>
      </c>
      <c r="AE2164" s="156" t="inlineStr">
        <is>
          <t>B25 STETSON.MX (4)</t>
        </is>
      </c>
      <c r="AF2164" s="51" t="n">
        <v>4</v>
      </c>
      <c r="AG2164" s="156" t="inlineStr">
        <is>
          <t>Catálogo existente</t>
        </is>
      </c>
      <c r="AH2164" s="156" t="inlineStr">
        <is>
          <t>Revisión 29/09/2026: Campos sin respaldo: P, S, U | 01/10/2026: complementado desde Shopify Stetson México (match por código de barras): WB Color, WB Fit, WB Silueta</t>
        </is>
      </c>
      <c r="AI2164" s="156" t="inlineStr">
        <is>
          <t>Sí</t>
        </is>
      </c>
      <c r="AJ2164" s="156" t="inlineStr">
        <is>
          <t>STETSON AMERICAS (-3)</t>
        </is>
      </c>
      <c r="AK2164" s="155" t="inlineStr">
        <is>
          <t>Criterios: I [Q] | Criterios: J [R] | Shopify Stetson: producto 14811822752107 / variante 53350600933739</t>
        </is>
      </c>
      <c r="AL2164" s="58" t="n">
        <v>931.0344828</v>
      </c>
      <c r="AM2164" s="58" t="n">
        <v>2068.965517</v>
      </c>
      <c r="AN2164" s="155" t="inlineStr">
        <is>
          <t>Shopify Stetson México</t>
        </is>
      </c>
      <c r="AO2164" s="59" t="n">
        <v>5</v>
      </c>
      <c r="AP2164" s="59" t="n"/>
      <c r="AQ2164" s="59" t="n"/>
      <c r="AR2164" s="155" t="inlineStr">
        <is>
          <t>Shopify Stetson México › Stetson México: 4 | Shopify Stetson México › Stetson Americas: 1</t>
        </is>
      </c>
    </row>
    <row r="2165">
      <c r="A2165" s="50" t="inlineStr">
        <is>
          <t>724303742565</t>
        </is>
      </c>
      <c r="B2165" s="51" t="inlineStr">
        <is>
          <t>109791</t>
        </is>
      </c>
      <c r="C2165" s="156" t="inlineStr">
        <is>
          <t>Multimarca</t>
        </is>
      </c>
      <c r="D2165" s="156" t="inlineStr">
        <is>
          <t>9914500-001</t>
        </is>
      </c>
      <c r="E2165" s="156" t="inlineStr">
        <is>
          <t>9914500-001-40</t>
        </is>
      </c>
      <c r="F2165" s="156" t="inlineStr">
        <is>
          <t>40</t>
        </is>
      </c>
      <c r="G2165" s="156" t="inlineStr">
        <is>
          <t>40</t>
        </is>
      </c>
      <c r="H2165" s="156" t="inlineStr">
        <is>
          <t>Stetson</t>
        </is>
      </c>
      <c r="I2165" s="156" t="inlineStr">
        <is>
          <t>Cinturón Stetson Piel de Bisonte Repujado</t>
        </is>
      </c>
      <c r="J2165" s="156" t="inlineStr">
        <is>
          <t>Accesorios</t>
        </is>
      </c>
      <c r="K2165" s="156" t="inlineStr">
        <is>
          <t>Cinturones</t>
        </is>
      </c>
      <c r="L2165" s="156" t="inlineStr">
        <is>
          <t>Hombre</t>
        </is>
      </c>
      <c r="M2165" s="156" t="inlineStr">
        <is>
          <t>Stetson</t>
        </is>
      </c>
      <c r="N2165" s="156" t="inlineStr">
        <is>
          <t>SS26</t>
        </is>
      </c>
      <c r="O2165" s="156" t="inlineStr">
        <is>
          <t>Seasonal</t>
        </is>
      </c>
      <c r="P2165" s="156" t="inlineStr">
        <is>
          <t>Negro</t>
        </is>
      </c>
      <c r="Q2165" s="156" t="n"/>
      <c r="R2165" s="156" t="n"/>
      <c r="S2165" s="156" t="n"/>
      <c r="T2165"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5" s="156" t="n"/>
      <c r="V2165" s="156" t="inlineStr">
        <is>
          <t>PZS</t>
        </is>
      </c>
      <c r="W2165" s="51" t="inlineStr">
        <is>
          <t>53102501</t>
        </is>
      </c>
      <c r="X2165" s="156" t="inlineStr">
        <is>
          <t>https://cdn.shopify.com/s/files/1/0888/3250/8267/files/9914500-625-02.jpg?v=1761949281</t>
        </is>
      </c>
      <c r="Y2165" s="54" t="n">
        <v>931.0344828</v>
      </c>
      <c r="Z2165" s="54" t="n">
        <v>2068.965517</v>
      </c>
      <c r="AA2165" s="55">
        <f>IF(AND(A2165="", B2165="", E2165=""), "", IF(AB2165="", "Válido", IF((LEN(AB2165)-LEN(SUBSTITUTE(AB2165,"; ","")))/2+1&gt;(LEN(AB2165)-LEN(SUBSTITUTE(AB2165,"[Aviso]","")))/7, "Con Incidencias", "Válido")))</f>
        <v/>
      </c>
      <c r="AB2165" s="56">
        <f>IF(AND(A2165="", B2165="", E2165=""), "", TEXTJOIN("; ", TRUE, IF(OR(TRIM(A2165&amp;"")="", ISNUMBER(SEARCH("FALTA", A2165))), "UPC faltante/inválido", ""), IF(AND(A2165&lt;&gt;"", IFERROR(_xlfn.XMATCH(A2165,$A$2:$A$2509,0,1)&lt;&gt;_xlfn.XMATCH(A2165,$A$2:$A$2509,0,-1),FALSE)), "Código de barras duplicado", ""), IF(AND(E2165&lt;&gt;"", COUNTIF($E$2:$E$2509, E2165)&gt;1), "SKU duplicado", ""), IF(OR(J2165="", J2165=""), "[Aviso] División no capturada ()", IF(ISNA(MATCH(J2165, Criterios!$A$123:$A$126, 0)), "División no válida", "")), IF(OR(K2165="", K2165=""), "[Aviso] Categoría no capturada ()", IF(ISNA(MATCH(K2165, Criterios!$A$81:$A$120, 0)), "Categoría no válida", IF(AND(J2165&lt;&gt;"", J2165&lt;&gt;"", J2165&lt;&gt;VLOOKUP(K2165, Criterios!$A$81:$B$120, 2, FALSE)), "División no coincide con Categoría", ""))), IF(OR(L2165="", L2165=""), "[Aviso] Género no capturado ()", IF(ISNA(MATCH(L2165, Criterios!$B$123:$B$127, 0)), "Género no válido", "")), IF(OR(N2165="", N2165=""), "[Aviso] Temporada no capturada ()", IF(ISNA(MATCH(N2165, Criterios!$C$123:$C$128, 0)), "Temporada no válida", "")), IF(OR(O2165="", O2165=""), "[Aviso] Ciclo de vida no capturado ()", IF(ISNA(MATCH(O2165, Criterios!$D$123:$D$124, 0)), "Ciclo de vida no válido", ""))))</f>
        <v/>
      </c>
      <c r="AC2165" s="56" t="n"/>
      <c r="AD2165" s="51" t="n">
        <v>8</v>
      </c>
      <c r="AE2165" s="156" t="inlineStr">
        <is>
          <t>B25 STETSON.MX (8)</t>
        </is>
      </c>
      <c r="AF2165" s="51" t="n">
        <v>8</v>
      </c>
      <c r="AG2165" s="156" t="inlineStr">
        <is>
          <t>Catálogo existente</t>
        </is>
      </c>
      <c r="AH2165" s="156" t="inlineStr">
        <is>
          <t>Revisión 29/09/2026: Campos sin respaldo: P, S, U | 01/10/2026: complementado desde Shopify Stetson México (match por código de barras): WB Color, WB Fit, WB Silueta</t>
        </is>
      </c>
      <c r="AI2165" s="156" t="inlineStr">
        <is>
          <t>No</t>
        </is>
      </c>
      <c r="AJ2165" s="156" t="n"/>
      <c r="AK2165" s="155" t="inlineStr">
        <is>
          <t>Criterios: I [Q] | Criterios: J [R] | Shopify Stetson: producto 14811822752107 / variante 53350600999275</t>
        </is>
      </c>
      <c r="AL2165" s="58" t="n">
        <v>931.0344828</v>
      </c>
      <c r="AM2165" s="58" t="n">
        <v>2068.965517</v>
      </c>
      <c r="AN2165" s="155" t="inlineStr">
        <is>
          <t>Shopify Stetson México</t>
        </is>
      </c>
      <c r="AO2165" s="59" t="n">
        <v>8</v>
      </c>
      <c r="AP2165" s="59" t="n"/>
      <c r="AQ2165" s="59" t="n"/>
      <c r="AR2165" s="155" t="inlineStr">
        <is>
          <t>Shopify Stetson México › Stetson México: 8</t>
        </is>
      </c>
    </row>
    <row r="2166">
      <c r="A2166" s="50" t="inlineStr">
        <is>
          <t>724303742572</t>
        </is>
      </c>
      <c r="B2166" s="51" t="inlineStr">
        <is>
          <t>109792</t>
        </is>
      </c>
      <c r="C2166" s="156" t="inlineStr">
        <is>
          <t>Multimarca</t>
        </is>
      </c>
      <c r="D2166" s="156" t="inlineStr">
        <is>
          <t>9914500-001</t>
        </is>
      </c>
      <c r="E2166" s="156" t="inlineStr">
        <is>
          <t>9914500-001-42</t>
        </is>
      </c>
      <c r="F2166" s="156" t="inlineStr">
        <is>
          <t>42</t>
        </is>
      </c>
      <c r="G2166" s="156" t="inlineStr">
        <is>
          <t>42</t>
        </is>
      </c>
      <c r="H2166" s="156" t="inlineStr">
        <is>
          <t>Stetson</t>
        </is>
      </c>
      <c r="I2166" s="156" t="inlineStr">
        <is>
          <t>Cinturón Stetson Piel de Bisonte Repujado</t>
        </is>
      </c>
      <c r="J2166" s="156" t="inlineStr">
        <is>
          <t>Accesorios</t>
        </is>
      </c>
      <c r="K2166" s="156" t="inlineStr">
        <is>
          <t>Cinturones</t>
        </is>
      </c>
      <c r="L2166" s="156" t="inlineStr">
        <is>
          <t>Hombre</t>
        </is>
      </c>
      <c r="M2166" s="156" t="inlineStr">
        <is>
          <t>Stetson</t>
        </is>
      </c>
      <c r="N2166" s="156" t="inlineStr">
        <is>
          <t>SS26</t>
        </is>
      </c>
      <c r="O2166" s="156" t="inlineStr">
        <is>
          <t>Seasonal</t>
        </is>
      </c>
      <c r="P2166" s="156" t="inlineStr">
        <is>
          <t>Negro</t>
        </is>
      </c>
      <c r="Q2166" s="156" t="n"/>
      <c r="R2166" s="156" t="n"/>
      <c r="S2166" s="156" t="n"/>
      <c r="T2166"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6" s="156" t="n"/>
      <c r="V2166" s="156" t="inlineStr">
        <is>
          <t>PZS</t>
        </is>
      </c>
      <c r="W2166" s="51" t="inlineStr">
        <is>
          <t>53102501</t>
        </is>
      </c>
      <c r="X2166" s="156" t="inlineStr">
        <is>
          <t>https://cdn.shopify.com/s/files/1/0888/3250/8267/files/9914500-625-04.jpg?v=1761949281</t>
        </is>
      </c>
      <c r="Y2166" s="54" t="n">
        <v>931.0344828</v>
      </c>
      <c r="Z2166" s="54" t="n">
        <v>2068.965517</v>
      </c>
      <c r="AA2166" s="55">
        <f>IF(AND(A2166="", B2166="", E2166=""), "", IF(AB2166="", "Válido", IF((LEN(AB2166)-LEN(SUBSTITUTE(AB2166,"; ","")))/2+1&gt;(LEN(AB2166)-LEN(SUBSTITUTE(AB2166,"[Aviso]","")))/7, "Con Incidencias", "Válido")))</f>
        <v/>
      </c>
      <c r="AB2166" s="56">
        <f>IF(AND(A2166="", B2166="", E2166=""), "", TEXTJOIN("; ", TRUE, IF(OR(TRIM(A2166&amp;"")="", ISNUMBER(SEARCH("FALTA", A2166))), "UPC faltante/inválido", ""), IF(AND(A2166&lt;&gt;"", IFERROR(_xlfn.XMATCH(A2166,$A$2:$A$2509,0,1)&lt;&gt;_xlfn.XMATCH(A2166,$A$2:$A$2509,0,-1),FALSE)), "Código de barras duplicado", ""), IF(AND(E2166&lt;&gt;"", COUNTIF($E$2:$E$2509, E2166)&gt;1), "SKU duplicado", ""), IF(OR(J2166="", J2166=""), "[Aviso] División no capturada ()", IF(ISNA(MATCH(J2166, Criterios!$A$123:$A$126, 0)), "División no válida", "")), IF(OR(K2166="", K2166=""), "[Aviso] Categoría no capturada ()", IF(ISNA(MATCH(K2166, Criterios!$A$81:$A$120, 0)), "Categoría no válida", IF(AND(J2166&lt;&gt;"", J2166&lt;&gt;"", J2166&lt;&gt;VLOOKUP(K2166, Criterios!$A$81:$B$120, 2, FALSE)), "División no coincide con Categoría", ""))), IF(OR(L2166="", L2166=""), "[Aviso] Género no capturado ()", IF(ISNA(MATCH(L2166, Criterios!$B$123:$B$127, 0)), "Género no válido", "")), IF(OR(N2166="", N2166=""), "[Aviso] Temporada no capturada ()", IF(ISNA(MATCH(N2166, Criterios!$C$123:$C$128, 0)), "Temporada no válida", "")), IF(OR(O2166="", O2166=""), "[Aviso] Ciclo de vida no capturado ()", IF(ISNA(MATCH(O2166, Criterios!$D$123:$D$124, 0)), "Ciclo de vida no válido", ""))))</f>
        <v/>
      </c>
      <c r="AC2166" s="56" t="n"/>
      <c r="AD2166" s="51" t="n">
        <v>8</v>
      </c>
      <c r="AE2166" s="156" t="inlineStr">
        <is>
          <t>B25 STETSON.MX (8)</t>
        </is>
      </c>
      <c r="AF2166" s="51" t="n">
        <v>8</v>
      </c>
      <c r="AG2166" s="156" t="inlineStr">
        <is>
          <t>Catálogo existente</t>
        </is>
      </c>
      <c r="AH2166" s="156" t="inlineStr">
        <is>
          <t>Revisión 29/09/2026: Campos sin respaldo: P, S, U | 01/10/2026: complementado desde Shopify Stetson México (match por código de barras): WB Color, WB Fit, WB Silueta</t>
        </is>
      </c>
      <c r="AI2166" s="156" t="inlineStr">
        <is>
          <t>No</t>
        </is>
      </c>
      <c r="AJ2166" s="156" t="n"/>
      <c r="AK2166" s="155" t="inlineStr">
        <is>
          <t>Criterios: I [Q] | Criterios: J [R] | Shopify Stetson: producto 14811822752107 / variante 53350601064811</t>
        </is>
      </c>
      <c r="AL2166" s="58" t="n">
        <v>931.0344828</v>
      </c>
      <c r="AM2166" s="58" t="n">
        <v>2068.965517</v>
      </c>
      <c r="AN2166" s="155" t="inlineStr">
        <is>
          <t>Shopify Stetson México</t>
        </is>
      </c>
      <c r="AO2166" s="59" t="n">
        <v>8</v>
      </c>
      <c r="AP2166" s="59" t="n"/>
      <c r="AQ2166" s="59" t="n"/>
      <c r="AR2166" s="155" t="inlineStr">
        <is>
          <t>Shopify Stetson México › Stetson México: 8</t>
        </is>
      </c>
    </row>
    <row r="2167">
      <c r="A2167" s="50" t="inlineStr">
        <is>
          <t>724303742589</t>
        </is>
      </c>
      <c r="B2167" s="51" t="inlineStr">
        <is>
          <t>109793</t>
        </is>
      </c>
      <c r="C2167" s="156" t="inlineStr">
        <is>
          <t>Multimarca</t>
        </is>
      </c>
      <c r="D2167" s="156" t="inlineStr">
        <is>
          <t>9914500-001</t>
        </is>
      </c>
      <c r="E2167" s="156" t="inlineStr">
        <is>
          <t>9914500-001-44</t>
        </is>
      </c>
      <c r="F2167" s="156" t="inlineStr">
        <is>
          <t>44</t>
        </is>
      </c>
      <c r="G2167" s="156" t="inlineStr">
        <is>
          <t>44</t>
        </is>
      </c>
      <c r="H2167" s="156" t="inlineStr">
        <is>
          <t>Stetson</t>
        </is>
      </c>
      <c r="I2167" s="156" t="inlineStr">
        <is>
          <t>Cinturón Stetson Piel de Bisonte Repujado</t>
        </is>
      </c>
      <c r="J2167" s="156" t="inlineStr">
        <is>
          <t>Accesorios</t>
        </is>
      </c>
      <c r="K2167" s="156" t="inlineStr">
        <is>
          <t>Cinturones</t>
        </is>
      </c>
      <c r="L2167" s="156" t="inlineStr">
        <is>
          <t>Hombre</t>
        </is>
      </c>
      <c r="M2167" s="156" t="inlineStr">
        <is>
          <t>Stetson</t>
        </is>
      </c>
      <c r="N2167" s="156" t="inlineStr">
        <is>
          <t>SS26</t>
        </is>
      </c>
      <c r="O2167" s="156" t="inlineStr">
        <is>
          <t>Seasonal</t>
        </is>
      </c>
      <c r="P2167" s="156" t="inlineStr">
        <is>
          <t>Negro</t>
        </is>
      </c>
      <c r="Q2167" s="156" t="n"/>
      <c r="R2167" s="156" t="n"/>
      <c r="S2167" s="156" t="n"/>
      <c r="T2167"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7" s="156" t="n"/>
      <c r="V2167" s="156" t="inlineStr">
        <is>
          <t>PZS</t>
        </is>
      </c>
      <c r="W2167" s="51" t="inlineStr">
        <is>
          <t>53102501</t>
        </is>
      </c>
      <c r="X2167" s="156" t="inlineStr">
        <is>
          <t>https://cdn.shopify.com/s/files/1/0888/3250/8267/files/9914500-625-06.jpg?v=1761949281</t>
        </is>
      </c>
      <c r="Y2167" s="54" t="n">
        <v>931.0344828</v>
      </c>
      <c r="Z2167" s="54" t="n">
        <v>2068.965517</v>
      </c>
      <c r="AA2167" s="55">
        <f>IF(AND(A2167="", B2167="", E2167=""), "", IF(AB2167="", "Válido", IF((LEN(AB2167)-LEN(SUBSTITUTE(AB2167,"; ","")))/2+1&gt;(LEN(AB2167)-LEN(SUBSTITUTE(AB2167,"[Aviso]","")))/7, "Con Incidencias", "Válido")))</f>
        <v/>
      </c>
      <c r="AB2167" s="56">
        <f>IF(AND(A2167="", B2167="", E2167=""), "", TEXTJOIN("; ", TRUE, IF(OR(TRIM(A2167&amp;"")="", ISNUMBER(SEARCH("FALTA", A2167))), "UPC faltante/inválido", ""), IF(AND(A2167&lt;&gt;"", IFERROR(_xlfn.XMATCH(A2167,$A$2:$A$2509,0,1)&lt;&gt;_xlfn.XMATCH(A2167,$A$2:$A$2509,0,-1),FALSE)), "Código de barras duplicado", ""), IF(AND(E2167&lt;&gt;"", COUNTIF($E$2:$E$2509, E2167)&gt;1), "SKU duplicado", ""), IF(OR(J2167="", J2167=""), "[Aviso] División no capturada ()", IF(ISNA(MATCH(J2167, Criterios!$A$123:$A$126, 0)), "División no válida", "")), IF(OR(K2167="", K2167=""), "[Aviso] Categoría no capturada ()", IF(ISNA(MATCH(K2167, Criterios!$A$81:$A$120, 0)), "Categoría no válida", IF(AND(J2167&lt;&gt;"", J2167&lt;&gt;"", J2167&lt;&gt;VLOOKUP(K2167, Criterios!$A$81:$B$120, 2, FALSE)), "División no coincide con Categoría", ""))), IF(OR(L2167="", L2167=""), "[Aviso] Género no capturado ()", IF(ISNA(MATCH(L2167, Criterios!$B$123:$B$127, 0)), "Género no válido", "")), IF(OR(N2167="", N2167=""), "[Aviso] Temporada no capturada ()", IF(ISNA(MATCH(N2167, Criterios!$C$123:$C$128, 0)), "Temporada no válida", "")), IF(OR(O2167="", O2167=""), "[Aviso] Ciclo de vida no capturado ()", IF(ISNA(MATCH(O2167, Criterios!$D$123:$D$124, 0)), "Ciclo de vida no válido", ""))))</f>
        <v/>
      </c>
      <c r="AC2167" s="56" t="n"/>
      <c r="AD2167" s="51" t="n">
        <v>2</v>
      </c>
      <c r="AE2167" s="156" t="inlineStr">
        <is>
          <t>B25 STETSON.MX (2)</t>
        </is>
      </c>
      <c r="AF2167" s="51" t="n">
        <v>2</v>
      </c>
      <c r="AG2167" s="156" t="inlineStr">
        <is>
          <t>Catálogo existente</t>
        </is>
      </c>
      <c r="AH2167" s="156" t="inlineStr">
        <is>
          <t>Revisión 29/09/2026: Campos sin respaldo: P, S, U | 01/10/2026: complementado desde Shopify Stetson México (match por código de barras): WB Color, WB Fit, WB Silueta</t>
        </is>
      </c>
      <c r="AI2167" s="156" t="inlineStr">
        <is>
          <t>No</t>
        </is>
      </c>
      <c r="AJ2167" s="156" t="n"/>
      <c r="AK2167" s="155" t="inlineStr">
        <is>
          <t>Criterios: I [Q] | Criterios: J [R] | Shopify Stetson: producto 14811822752107 / variante 53350601130347</t>
        </is>
      </c>
      <c r="AL2167" s="58" t="n">
        <v>931.0344828</v>
      </c>
      <c r="AM2167" s="58" t="n">
        <v>2068.965517</v>
      </c>
      <c r="AN2167" s="155" t="inlineStr">
        <is>
          <t>Shopify Stetson México</t>
        </is>
      </c>
      <c r="AO2167" s="59" t="n">
        <v>5</v>
      </c>
      <c r="AP2167" s="59" t="n"/>
      <c r="AQ2167" s="59" t="n"/>
      <c r="AR2167" s="155" t="inlineStr">
        <is>
          <t>Shopify Stetson México › Stetson México: 2 | Shopify Stetson México › Stetson Americas: 3</t>
        </is>
      </c>
    </row>
    <row r="2168">
      <c r="A2168" s="50" t="inlineStr">
        <is>
          <t>724303742596</t>
        </is>
      </c>
      <c r="B2168" s="51" t="inlineStr">
        <is>
          <t>109794</t>
        </is>
      </c>
      <c r="C2168" s="156" t="inlineStr">
        <is>
          <t>Multimarca</t>
        </is>
      </c>
      <c r="D2168" s="156" t="inlineStr">
        <is>
          <t>9914500-001</t>
        </is>
      </c>
      <c r="E2168" s="156" t="inlineStr">
        <is>
          <t>9914500-001-46</t>
        </is>
      </c>
      <c r="F2168" s="156" t="inlineStr">
        <is>
          <t>46</t>
        </is>
      </c>
      <c r="G2168" s="156" t="inlineStr">
        <is>
          <t>46</t>
        </is>
      </c>
      <c r="H2168" s="156" t="inlineStr">
        <is>
          <t>Stetson</t>
        </is>
      </c>
      <c r="I2168" s="156" t="inlineStr">
        <is>
          <t>Cinturón Stetson Piel de Bisonte Repujado</t>
        </is>
      </c>
      <c r="J2168" s="156" t="inlineStr">
        <is>
          <t>Accesorios</t>
        </is>
      </c>
      <c r="K2168" s="156" t="inlineStr">
        <is>
          <t>Cinturones</t>
        </is>
      </c>
      <c r="L2168" s="156" t="inlineStr">
        <is>
          <t>Hombre</t>
        </is>
      </c>
      <c r="M2168" s="156" t="inlineStr">
        <is>
          <t>Stetson</t>
        </is>
      </c>
      <c r="N2168" s="156" t="inlineStr">
        <is>
          <t>SS26</t>
        </is>
      </c>
      <c r="O2168" s="156" t="inlineStr">
        <is>
          <t>Seasonal</t>
        </is>
      </c>
      <c r="P2168" s="156" t="inlineStr">
        <is>
          <t>Negro</t>
        </is>
      </c>
      <c r="Q2168" s="156" t="n"/>
      <c r="R2168" s="156" t="n"/>
      <c r="S2168" s="156" t="n"/>
      <c r="T2168"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8" s="156" t="n"/>
      <c r="V2168" s="156" t="inlineStr">
        <is>
          <t>PZS</t>
        </is>
      </c>
      <c r="W2168" s="51" t="inlineStr">
        <is>
          <t>53102501</t>
        </is>
      </c>
      <c r="X2168" s="156" t="inlineStr">
        <is>
          <t>https://cdn.shopify.com/s/files/1/0888/3250/8267/files/9914500-001-01.jpg?v=1761949269</t>
        </is>
      </c>
      <c r="Y2168" s="54" t="n">
        <v>931.0344828</v>
      </c>
      <c r="Z2168" s="54" t="n">
        <v>2068.965517</v>
      </c>
      <c r="AA2168" s="55">
        <f>IF(AND(A2168="", B2168="", E2168=""), "", IF(AB2168="", "Válido", IF((LEN(AB2168)-LEN(SUBSTITUTE(AB2168,"; ","")))/2+1&gt;(LEN(AB2168)-LEN(SUBSTITUTE(AB2168,"[Aviso]","")))/7, "Con Incidencias", "Válido")))</f>
        <v/>
      </c>
      <c r="AB2168" s="56">
        <f>IF(AND(A2168="", B2168="", E2168=""), "", TEXTJOIN("; ", TRUE, IF(OR(TRIM(A2168&amp;"")="", ISNUMBER(SEARCH("FALTA", A2168))), "UPC faltante/inválido", ""), IF(AND(A2168&lt;&gt;"", IFERROR(_xlfn.XMATCH(A2168,$A$2:$A$2509,0,1)&lt;&gt;_xlfn.XMATCH(A2168,$A$2:$A$2509,0,-1),FALSE)), "Código de barras duplicado", ""), IF(AND(E2168&lt;&gt;"", COUNTIF($E$2:$E$2509, E2168)&gt;1), "SKU duplicado", ""), IF(OR(J2168="", J2168=""), "[Aviso] División no capturada ()", IF(ISNA(MATCH(J2168, Criterios!$A$123:$A$126, 0)), "División no válida", "")), IF(OR(K2168="", K2168=""), "[Aviso] Categoría no capturada ()", IF(ISNA(MATCH(K2168, Criterios!$A$81:$A$120, 0)), "Categoría no válida", IF(AND(J2168&lt;&gt;"", J2168&lt;&gt;"", J2168&lt;&gt;VLOOKUP(K2168, Criterios!$A$81:$B$120, 2, FALSE)), "División no coincide con Categoría", ""))), IF(OR(L2168="", L2168=""), "[Aviso] Género no capturado ()", IF(ISNA(MATCH(L2168, Criterios!$B$123:$B$127, 0)), "Género no válido", "")), IF(OR(N2168="", N2168=""), "[Aviso] Temporada no capturada ()", IF(ISNA(MATCH(N2168, Criterios!$C$123:$C$128, 0)), "Temporada no válida", "")), IF(OR(O2168="", O2168=""), "[Aviso] Ciclo de vida no capturado ()", IF(ISNA(MATCH(O2168, Criterios!$D$123:$D$124, 0)), "Ciclo de vida no válido", ""))))</f>
        <v/>
      </c>
      <c r="AC2168" s="56" t="n"/>
      <c r="AD2168" s="51" t="n">
        <v>3</v>
      </c>
      <c r="AE2168" s="156" t="inlineStr">
        <is>
          <t>B25 STETSON.MX (3)</t>
        </is>
      </c>
      <c r="AF2168" s="51" t="n">
        <v>3</v>
      </c>
      <c r="AG2168" s="156" t="inlineStr">
        <is>
          <t>Catálogo existente</t>
        </is>
      </c>
      <c r="AH2168" s="156" t="inlineStr">
        <is>
          <t>Revisión 29/09/2026: Campos sin respaldo: P, S, U, X | 01/10/2026: complementado desde Shopify Stetson México (match por código de barras): WB Color, WB Fit, WB Silueta, Enlace de imagen</t>
        </is>
      </c>
      <c r="AI2168" s="156" t="inlineStr">
        <is>
          <t>No</t>
        </is>
      </c>
      <c r="AJ2168" s="156" t="n"/>
      <c r="AK2168" s="155" t="inlineStr">
        <is>
          <t>Criterios: I [Q] | Criterios: J [R] | Shopify Stetson: producto 14811822752107 / variante 53350601195883</t>
        </is>
      </c>
      <c r="AL2168" s="58" t="n">
        <v>931.0344828</v>
      </c>
      <c r="AM2168" s="58" t="n">
        <v>2068.965517</v>
      </c>
      <c r="AN2168" s="155" t="inlineStr">
        <is>
          <t>Shopify Stetson México</t>
        </is>
      </c>
      <c r="AO2168" s="59" t="n">
        <v>3</v>
      </c>
      <c r="AP2168" s="59" t="n"/>
      <c r="AQ2168" s="59" t="n"/>
      <c r="AR2168" s="155" t="inlineStr">
        <is>
          <t>Shopify Stetson México › Stetson México: 3</t>
        </is>
      </c>
    </row>
    <row r="2169">
      <c r="A2169" s="50" t="inlineStr">
        <is>
          <t>724303742626</t>
        </is>
      </c>
      <c r="B2169" s="51" t="inlineStr">
        <is>
          <t>109801</t>
        </is>
      </c>
      <c r="C2169" s="156" t="inlineStr">
        <is>
          <t>Multimarca</t>
        </is>
      </c>
      <c r="D2169" s="156" t="inlineStr">
        <is>
          <t>9915500-001</t>
        </is>
      </c>
      <c r="E2169" s="156" t="inlineStr">
        <is>
          <t>9915500-001-38</t>
        </is>
      </c>
      <c r="F2169" s="156" t="inlineStr">
        <is>
          <t>38</t>
        </is>
      </c>
      <c r="G2169" s="156" t="inlineStr">
        <is>
          <t>38</t>
        </is>
      </c>
      <c r="H2169" s="156" t="inlineStr">
        <is>
          <t>Stetson</t>
        </is>
      </c>
      <c r="I2169" s="156" t="inlineStr">
        <is>
          <t>Cinturón Stetson Piel de Bisonte Conchos</t>
        </is>
      </c>
      <c r="J2169" s="156" t="inlineStr">
        <is>
          <t>Accesorios</t>
        </is>
      </c>
      <c r="K2169" s="156" t="inlineStr">
        <is>
          <t>Cinturones</t>
        </is>
      </c>
      <c r="L2169" s="156" t="inlineStr">
        <is>
          <t>Hombre</t>
        </is>
      </c>
      <c r="M2169" s="156" t="inlineStr">
        <is>
          <t>Stetson</t>
        </is>
      </c>
      <c r="N2169" s="156" t="inlineStr">
        <is>
          <t>SS26</t>
        </is>
      </c>
      <c r="O2169" s="156" t="inlineStr">
        <is>
          <t>Seasonal</t>
        </is>
      </c>
      <c r="P2169" s="156" t="inlineStr">
        <is>
          <t>Negro</t>
        </is>
      </c>
      <c r="Q2169" s="156" t="n"/>
      <c r="R2169" s="156" t="n"/>
      <c r="S2169" s="156" t="inlineStr">
        <is>
          <t>Piel</t>
        </is>
      </c>
      <c r="T2169"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69" s="156" t="n"/>
      <c r="V2169" s="156" t="inlineStr">
        <is>
          <t>PZS</t>
        </is>
      </c>
      <c r="W2169" s="51" t="inlineStr">
        <is>
          <t>53102501</t>
        </is>
      </c>
      <c r="X2169" s="156" t="inlineStr">
        <is>
          <t>https://cdn.shopify.com/s/files/1/0888/3250/8267/files/9915500-001_Black_3.jpg?v=1761950465</t>
        </is>
      </c>
      <c r="Y2169" s="54" t="n">
        <v>756.4655172</v>
      </c>
      <c r="Z2169" s="54" t="n">
        <v>1681.034483</v>
      </c>
      <c r="AA2169" s="55">
        <f>IF(AND(A2169="", B2169="", E2169=""), "", IF(AB2169="", "Válido", IF((LEN(AB2169)-LEN(SUBSTITUTE(AB2169,"; ","")))/2+1&gt;(LEN(AB2169)-LEN(SUBSTITUTE(AB2169,"[Aviso]","")))/7, "Con Incidencias", "Válido")))</f>
        <v/>
      </c>
      <c r="AB2169" s="56">
        <f>IF(AND(A2169="", B2169="", E2169=""), "", TEXTJOIN("; ", TRUE, IF(OR(TRIM(A2169&amp;"")="", ISNUMBER(SEARCH("FALTA", A2169))), "UPC faltante/inválido", ""), IF(AND(A2169&lt;&gt;"", IFERROR(_xlfn.XMATCH(A2169,$A$2:$A$2509,0,1)&lt;&gt;_xlfn.XMATCH(A2169,$A$2:$A$2509,0,-1),FALSE)), "Código de barras duplicado", ""), IF(AND(E2169&lt;&gt;"", COUNTIF($E$2:$E$2509, E2169)&gt;1), "SKU duplicado", ""), IF(OR(J2169="", J2169=""), "[Aviso] División no capturada ()", IF(ISNA(MATCH(J2169, Criterios!$A$123:$A$126, 0)), "División no válida", "")), IF(OR(K2169="", K2169=""), "[Aviso] Categoría no capturada ()", IF(ISNA(MATCH(K2169, Criterios!$A$81:$A$120, 0)), "Categoría no válida", IF(AND(J2169&lt;&gt;"", J2169&lt;&gt;"", J2169&lt;&gt;VLOOKUP(K2169, Criterios!$A$81:$B$120, 2, FALSE)), "División no coincide con Categoría", ""))), IF(OR(L2169="", L2169=""), "[Aviso] Género no capturado ()", IF(ISNA(MATCH(L2169, Criterios!$B$123:$B$127, 0)), "Género no válido", "")), IF(OR(N2169="", N2169=""), "[Aviso] Temporada no capturada ()", IF(ISNA(MATCH(N2169, Criterios!$C$123:$C$128, 0)), "Temporada no válida", "")), IF(OR(O2169="", O2169=""), "[Aviso] Ciclo de vida no capturado ()", IF(ISNA(MATCH(O2169, Criterios!$D$123:$D$124, 0)), "Ciclo de vida no válido", ""))))</f>
        <v/>
      </c>
      <c r="AC2169" s="56" t="n"/>
      <c r="AD2169" s="51" t="n">
        <v>0</v>
      </c>
      <c r="AE2169" s="156" t="n"/>
      <c r="AF2169" s="51" t="n">
        <v>0</v>
      </c>
      <c r="AG2169" s="156" t="inlineStr">
        <is>
          <t>Catálogo existente</t>
        </is>
      </c>
      <c r="AH2169" s="156" t="inlineStr">
        <is>
          <t>Revisión 29/09/2026: Campos sin respaldo: P, U | 01/10/2026: complementado desde Shopify Stetson México (match por código de barras): WB Color, WB Fit, WB Silueta</t>
        </is>
      </c>
      <c r="AI2169" s="156" t="inlineStr">
        <is>
          <t>No</t>
        </is>
      </c>
      <c r="AJ2169" s="156" t="n"/>
      <c r="AK2169" s="155" t="inlineStr">
        <is>
          <t>Criterios: I [Q] | Criterios: J [R] | Shopify Stetson: producto 14697976398187 / variante 53350615712107</t>
        </is>
      </c>
      <c r="AL2169" s="58" t="n">
        <v>756.4655172</v>
      </c>
      <c r="AM2169" s="58" t="n">
        <v>1681.034483</v>
      </c>
      <c r="AN2169" s="155" t="inlineStr">
        <is>
          <t>Shopify Stetson México</t>
        </is>
      </c>
      <c r="AO2169" s="59" t="n">
        <v>0</v>
      </c>
      <c r="AP2169" s="59" t="n"/>
      <c r="AQ2169" s="59" t="n"/>
      <c r="AR2169" s="155" t="n"/>
    </row>
    <row r="2170">
      <c r="A2170" s="50" t="inlineStr">
        <is>
          <t>724303742628</t>
        </is>
      </c>
      <c r="B2170" s="51" t="inlineStr">
        <is>
          <t>109802</t>
        </is>
      </c>
      <c r="C2170" s="156" t="inlineStr">
        <is>
          <t>Multimarca</t>
        </is>
      </c>
      <c r="D2170" s="156" t="inlineStr">
        <is>
          <t>9915500-001</t>
        </is>
      </c>
      <c r="E2170" s="156" t="inlineStr">
        <is>
          <t>9915500-001-40</t>
        </is>
      </c>
      <c r="F2170" s="156" t="inlineStr">
        <is>
          <t>40</t>
        </is>
      </c>
      <c r="G2170" s="156" t="inlineStr">
        <is>
          <t>40</t>
        </is>
      </c>
      <c r="H2170" s="156" t="inlineStr">
        <is>
          <t>Stetson</t>
        </is>
      </c>
      <c r="I2170" s="156" t="inlineStr">
        <is>
          <t>Cinturón Stetson Piel de Bisonte Conchos</t>
        </is>
      </c>
      <c r="J2170" s="156" t="inlineStr">
        <is>
          <t>Accesorios</t>
        </is>
      </c>
      <c r="K2170" s="156" t="inlineStr">
        <is>
          <t>Cinturones</t>
        </is>
      </c>
      <c r="L2170" s="156" t="inlineStr">
        <is>
          <t>Hombre</t>
        </is>
      </c>
      <c r="M2170" s="156" t="inlineStr">
        <is>
          <t>Stetson</t>
        </is>
      </c>
      <c r="N2170" s="156" t="inlineStr">
        <is>
          <t>SS26</t>
        </is>
      </c>
      <c r="O2170" s="156" t="inlineStr">
        <is>
          <t>Seasonal</t>
        </is>
      </c>
      <c r="P2170" s="156" t="inlineStr">
        <is>
          <t>Negro</t>
        </is>
      </c>
      <c r="Q2170" s="156" t="n"/>
      <c r="R2170" s="156" t="n"/>
      <c r="S2170" s="156" t="inlineStr">
        <is>
          <t>Piel</t>
        </is>
      </c>
      <c r="T2170"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0" s="156" t="n"/>
      <c r="V2170" s="156" t="inlineStr">
        <is>
          <t>PZS</t>
        </is>
      </c>
      <c r="W2170" s="51" t="inlineStr">
        <is>
          <t>53102501</t>
        </is>
      </c>
      <c r="X2170" s="156" t="inlineStr">
        <is>
          <t>https://cdn.shopify.com/s/files/1/0888/3250/8267/files/9915500-001_Black_4.jpg?v=1761950471</t>
        </is>
      </c>
      <c r="Y2170" s="54" t="n">
        <v>756.4655172</v>
      </c>
      <c r="Z2170" s="54" t="n">
        <v>1681.034483</v>
      </c>
      <c r="AA2170" s="55">
        <f>IF(AND(A2170="", B2170="", E2170=""), "", IF(AB2170="", "Válido", IF((LEN(AB2170)-LEN(SUBSTITUTE(AB2170,"; ","")))/2+1&gt;(LEN(AB2170)-LEN(SUBSTITUTE(AB2170,"[Aviso]","")))/7, "Con Incidencias", "Válido")))</f>
        <v/>
      </c>
      <c r="AB2170" s="56">
        <f>IF(AND(A2170="", B2170="", E2170=""), "", TEXTJOIN("; ", TRUE, IF(OR(TRIM(A2170&amp;"")="", ISNUMBER(SEARCH("FALTA", A2170))), "UPC faltante/inválido", ""), IF(AND(A2170&lt;&gt;"", IFERROR(_xlfn.XMATCH(A2170,$A$2:$A$2509,0,1)&lt;&gt;_xlfn.XMATCH(A2170,$A$2:$A$2509,0,-1),FALSE)), "Código de barras duplicado", ""), IF(AND(E2170&lt;&gt;"", COUNTIF($E$2:$E$2509, E2170)&gt;1), "SKU duplicado", ""), IF(OR(J2170="", J2170=""), "[Aviso] División no capturada ()", IF(ISNA(MATCH(J2170, Criterios!$A$123:$A$126, 0)), "División no válida", "")), IF(OR(K2170="", K2170=""), "[Aviso] Categoría no capturada ()", IF(ISNA(MATCH(K2170, Criterios!$A$81:$A$120, 0)), "Categoría no válida", IF(AND(J2170&lt;&gt;"", J2170&lt;&gt;"", J2170&lt;&gt;VLOOKUP(K2170, Criterios!$A$81:$B$120, 2, FALSE)), "División no coincide con Categoría", ""))), IF(OR(L2170="", L2170=""), "[Aviso] Género no capturado ()", IF(ISNA(MATCH(L2170, Criterios!$B$123:$B$127, 0)), "Género no válido", "")), IF(OR(N2170="", N2170=""), "[Aviso] Temporada no capturada ()", IF(ISNA(MATCH(N2170, Criterios!$C$123:$C$128, 0)), "Temporada no válida", "")), IF(OR(O2170="", O2170=""), "[Aviso] Ciclo de vida no capturado ()", IF(ISNA(MATCH(O2170, Criterios!$D$123:$D$124, 0)), "Ciclo de vida no válido", ""))))</f>
        <v/>
      </c>
      <c r="AC2170" s="56" t="n"/>
      <c r="AD2170" s="51" t="n">
        <v>0</v>
      </c>
      <c r="AE2170" s="156" t="n"/>
      <c r="AF2170" s="51" t="n">
        <v>0</v>
      </c>
      <c r="AG2170" s="156" t="inlineStr">
        <is>
          <t>Catálogo existente</t>
        </is>
      </c>
      <c r="AH2170"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0" s="156" t="inlineStr">
        <is>
          <t>No</t>
        </is>
      </c>
      <c r="AJ2170" s="156" t="n"/>
      <c r="AK2170" s="155" t="inlineStr">
        <is>
          <t>Criterios: I [Q] | Criterios: J [R] | Shopify Stetson: producto 14697976398187 / variante 53350615744875</t>
        </is>
      </c>
      <c r="AL2170" s="58" t="n">
        <v>756.4655172</v>
      </c>
      <c r="AM2170" s="58" t="n">
        <v>1681.034483</v>
      </c>
      <c r="AN2170" s="155" t="inlineStr">
        <is>
          <t>Shopify Stetson México</t>
        </is>
      </c>
      <c r="AO2170" s="59" t="n">
        <v>0</v>
      </c>
      <c r="AP2170" s="59" t="n"/>
      <c r="AQ2170" s="59" t="n"/>
      <c r="AR2170" s="155" t="n"/>
    </row>
    <row r="2171">
      <c r="A2171" s="50" t="inlineStr">
        <is>
          <t>724303742630</t>
        </is>
      </c>
      <c r="B2171" s="51" t="inlineStr">
        <is>
          <t>109803</t>
        </is>
      </c>
      <c r="C2171" s="156" t="inlineStr">
        <is>
          <t>Multimarca</t>
        </is>
      </c>
      <c r="D2171" s="156" t="inlineStr">
        <is>
          <t>9915500-001</t>
        </is>
      </c>
      <c r="E2171" s="156" t="inlineStr">
        <is>
          <t>9915500-001-42</t>
        </is>
      </c>
      <c r="F2171" s="156" t="inlineStr">
        <is>
          <t>42</t>
        </is>
      </c>
      <c r="G2171" s="156" t="inlineStr">
        <is>
          <t>42</t>
        </is>
      </c>
      <c r="H2171" s="156" t="inlineStr">
        <is>
          <t>Stetson</t>
        </is>
      </c>
      <c r="I2171" s="156" t="inlineStr">
        <is>
          <t>Cinturón Stetson Piel de Bisonte Conchos</t>
        </is>
      </c>
      <c r="J2171" s="156" t="inlineStr">
        <is>
          <t>Accesorios</t>
        </is>
      </c>
      <c r="K2171" s="156" t="inlineStr">
        <is>
          <t>Cinturones</t>
        </is>
      </c>
      <c r="L2171" s="156" t="inlineStr">
        <is>
          <t>Hombre</t>
        </is>
      </c>
      <c r="M2171" s="156" t="inlineStr">
        <is>
          <t>Stetson</t>
        </is>
      </c>
      <c r="N2171" s="156" t="inlineStr">
        <is>
          <t>SS26</t>
        </is>
      </c>
      <c r="O2171" s="156" t="inlineStr">
        <is>
          <t>Seasonal</t>
        </is>
      </c>
      <c r="P2171" s="156" t="inlineStr">
        <is>
          <t>Negro</t>
        </is>
      </c>
      <c r="Q2171" s="156" t="n"/>
      <c r="R2171" s="156" t="n"/>
      <c r="S2171" s="156" t="inlineStr">
        <is>
          <t>Piel</t>
        </is>
      </c>
      <c r="T2171"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1" s="156" t="n"/>
      <c r="V2171" s="156" t="inlineStr">
        <is>
          <t>PZS</t>
        </is>
      </c>
      <c r="W2171" s="51" t="inlineStr">
        <is>
          <t>53102501</t>
        </is>
      </c>
      <c r="X2171" s="156" t="inlineStr">
        <is>
          <t>https://cdn.shopify.com/s/files/1/0888/3250/8267/files/9915500-625_Hazelnut_Bison_1.jpg?v=1761950522</t>
        </is>
      </c>
      <c r="Y2171" s="54" t="n">
        <v>756.4655172</v>
      </c>
      <c r="Z2171" s="54" t="n">
        <v>1681.034483</v>
      </c>
      <c r="AA2171" s="55">
        <f>IF(AND(A2171="", B2171="", E2171=""), "", IF(AB2171="", "Válido", IF((LEN(AB2171)-LEN(SUBSTITUTE(AB2171,"; ","")))/2+1&gt;(LEN(AB2171)-LEN(SUBSTITUTE(AB2171,"[Aviso]","")))/7, "Con Incidencias", "Válido")))</f>
        <v/>
      </c>
      <c r="AB2171" s="56">
        <f>IF(AND(A2171="", B2171="", E2171=""), "", TEXTJOIN("; ", TRUE, IF(OR(TRIM(A2171&amp;"")="", ISNUMBER(SEARCH("FALTA", A2171))), "UPC faltante/inválido", ""), IF(AND(A2171&lt;&gt;"", IFERROR(_xlfn.XMATCH(A2171,$A$2:$A$2509,0,1)&lt;&gt;_xlfn.XMATCH(A2171,$A$2:$A$2509,0,-1),FALSE)), "Código de barras duplicado", ""), IF(AND(E2171&lt;&gt;"", COUNTIF($E$2:$E$2509, E2171)&gt;1), "SKU duplicado", ""), IF(OR(J2171="", J2171=""), "[Aviso] División no capturada ()", IF(ISNA(MATCH(J2171, Criterios!$A$123:$A$126, 0)), "División no válida", "")), IF(OR(K2171="", K2171=""), "[Aviso] Categoría no capturada ()", IF(ISNA(MATCH(K2171, Criterios!$A$81:$A$120, 0)), "Categoría no válida", IF(AND(J2171&lt;&gt;"", J2171&lt;&gt;"", J2171&lt;&gt;VLOOKUP(K2171, Criterios!$A$81:$B$120, 2, FALSE)), "División no coincide con Categoría", ""))), IF(OR(L2171="", L2171=""), "[Aviso] Género no capturado ()", IF(ISNA(MATCH(L2171, Criterios!$B$123:$B$127, 0)), "Género no válido", "")), IF(OR(N2171="", N2171=""), "[Aviso] Temporada no capturada ()", IF(ISNA(MATCH(N2171, Criterios!$C$123:$C$128, 0)), "Temporada no válida", "")), IF(OR(O2171="", O2171=""), "[Aviso] Ciclo de vida no capturado ()", IF(ISNA(MATCH(O2171, Criterios!$D$123:$D$124, 0)), "Ciclo de vida no válido", ""))))</f>
        <v/>
      </c>
      <c r="AC2171" s="56" t="n"/>
      <c r="AD2171" s="51" t="n">
        <v>0</v>
      </c>
      <c r="AE2171" s="156" t="n"/>
      <c r="AF2171" s="51" t="n">
        <v>0</v>
      </c>
      <c r="AG2171" s="156" t="inlineStr">
        <is>
          <t>Catálogo existente</t>
        </is>
      </c>
      <c r="AH2171"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1" s="156" t="inlineStr">
        <is>
          <t>No</t>
        </is>
      </c>
      <c r="AJ2171" s="156" t="n"/>
      <c r="AK2171" s="155" t="inlineStr">
        <is>
          <t>Criterios: I [Q] | Criterios: J [R] | Shopify Stetson: producto 14697976398187 / variante 53350615777643</t>
        </is>
      </c>
      <c r="AL2171" s="58" t="n">
        <v>756.4655172</v>
      </c>
      <c r="AM2171" s="58" t="n">
        <v>1681.034483</v>
      </c>
      <c r="AN2171" s="155" t="inlineStr">
        <is>
          <t>Shopify Stetson México</t>
        </is>
      </c>
      <c r="AO2171" s="59" t="n">
        <v>0</v>
      </c>
      <c r="AP2171" s="59" t="n"/>
      <c r="AQ2171" s="59" t="n"/>
      <c r="AR2171" s="155" t="n"/>
    </row>
    <row r="2172">
      <c r="A2172" s="50" t="inlineStr">
        <is>
          <t>724303742632</t>
        </is>
      </c>
      <c r="B2172" s="51" t="inlineStr">
        <is>
          <t>109804</t>
        </is>
      </c>
      <c r="C2172" s="156" t="inlineStr">
        <is>
          <t>Multimarca</t>
        </is>
      </c>
      <c r="D2172" s="156" t="inlineStr">
        <is>
          <t>9915500-001</t>
        </is>
      </c>
      <c r="E2172" s="156" t="inlineStr">
        <is>
          <t>9915500-001-44</t>
        </is>
      </c>
      <c r="F2172" s="156" t="inlineStr">
        <is>
          <t>44</t>
        </is>
      </c>
      <c r="G2172" s="156" t="inlineStr">
        <is>
          <t>44</t>
        </is>
      </c>
      <c r="H2172" s="156" t="inlineStr">
        <is>
          <t>Stetson</t>
        </is>
      </c>
      <c r="I2172" s="156" t="inlineStr">
        <is>
          <t>Cinturón Stetson Piel de Bisonte Conchos</t>
        </is>
      </c>
      <c r="J2172" s="156" t="inlineStr">
        <is>
          <t>Accesorios</t>
        </is>
      </c>
      <c r="K2172" s="156" t="inlineStr">
        <is>
          <t>Cinturones</t>
        </is>
      </c>
      <c r="L2172" s="156" t="inlineStr">
        <is>
          <t>Hombre</t>
        </is>
      </c>
      <c r="M2172" s="156" t="inlineStr">
        <is>
          <t>Stetson</t>
        </is>
      </c>
      <c r="N2172" s="156" t="inlineStr">
        <is>
          <t>SS26</t>
        </is>
      </c>
      <c r="O2172" s="156" t="inlineStr">
        <is>
          <t>Seasonal</t>
        </is>
      </c>
      <c r="P2172" s="156" t="inlineStr">
        <is>
          <t>Negro</t>
        </is>
      </c>
      <c r="Q2172" s="156" t="n"/>
      <c r="R2172" s="156" t="n"/>
      <c r="S2172" s="156" t="inlineStr">
        <is>
          <t>Piel</t>
        </is>
      </c>
      <c r="T2172"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2" s="156" t="n"/>
      <c r="V2172" s="156" t="inlineStr">
        <is>
          <t>PZS</t>
        </is>
      </c>
      <c r="W2172" s="51" t="inlineStr">
        <is>
          <t>53102501</t>
        </is>
      </c>
      <c r="X2172" s="156" t="inlineStr">
        <is>
          <t>https://cdn.shopify.com/s/files/1/0888/3250/8267/files/9915500-625_alt2.jpg?v=1761950531</t>
        </is>
      </c>
      <c r="Y2172" s="54" t="n">
        <v>756.4655172</v>
      </c>
      <c r="Z2172" s="54" t="n">
        <v>1681.034483</v>
      </c>
      <c r="AA2172" s="55">
        <f>IF(AND(A2172="", B2172="", E2172=""), "", IF(AB2172="", "Válido", IF((LEN(AB2172)-LEN(SUBSTITUTE(AB2172,"; ","")))/2+1&gt;(LEN(AB2172)-LEN(SUBSTITUTE(AB2172,"[Aviso]","")))/7, "Con Incidencias", "Válido")))</f>
        <v/>
      </c>
      <c r="AB2172" s="56">
        <f>IF(AND(A2172="", B2172="", E2172=""), "", TEXTJOIN("; ", TRUE, IF(OR(TRIM(A2172&amp;"")="", ISNUMBER(SEARCH("FALTA", A2172))), "UPC faltante/inválido", ""), IF(AND(A2172&lt;&gt;"", IFERROR(_xlfn.XMATCH(A2172,$A$2:$A$2509,0,1)&lt;&gt;_xlfn.XMATCH(A2172,$A$2:$A$2509,0,-1),FALSE)), "Código de barras duplicado", ""), IF(AND(E2172&lt;&gt;"", COUNTIF($E$2:$E$2509, E2172)&gt;1), "SKU duplicado", ""), IF(OR(J2172="", J2172=""), "[Aviso] División no capturada ()", IF(ISNA(MATCH(J2172, Criterios!$A$123:$A$126, 0)), "División no válida", "")), IF(OR(K2172="", K2172=""), "[Aviso] Categoría no capturada ()", IF(ISNA(MATCH(K2172, Criterios!$A$81:$A$120, 0)), "Categoría no válida", IF(AND(J2172&lt;&gt;"", J2172&lt;&gt;"", J2172&lt;&gt;VLOOKUP(K2172, Criterios!$A$81:$B$120, 2, FALSE)), "División no coincide con Categoría", ""))), IF(OR(L2172="", L2172=""), "[Aviso] Género no capturado ()", IF(ISNA(MATCH(L2172, Criterios!$B$123:$B$127, 0)), "Género no válido", "")), IF(OR(N2172="", N2172=""), "[Aviso] Temporada no capturada ()", IF(ISNA(MATCH(N2172, Criterios!$C$123:$C$128, 0)), "Temporada no válida", "")), IF(OR(O2172="", O2172=""), "[Aviso] Ciclo de vida no capturado ()", IF(ISNA(MATCH(O2172, Criterios!$D$123:$D$124, 0)), "Ciclo de vida no válido", ""))))</f>
        <v/>
      </c>
      <c r="AC2172" s="56" t="n"/>
      <c r="AD2172" s="51" t="n">
        <v>0</v>
      </c>
      <c r="AE2172" s="156" t="n"/>
      <c r="AF2172" s="51" t="n">
        <v>0</v>
      </c>
      <c r="AG2172" s="156" t="inlineStr">
        <is>
          <t>Catálogo existente</t>
        </is>
      </c>
      <c r="AH2172"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2" s="156" t="inlineStr">
        <is>
          <t>No</t>
        </is>
      </c>
      <c r="AJ2172" s="156" t="n"/>
      <c r="AK2172" s="155" t="inlineStr">
        <is>
          <t>Criterios: I [Q] | Criterios: J [R] | Shopify Stetson: producto 14697976398187 / variante 53350615810411</t>
        </is>
      </c>
      <c r="AL2172" s="58" t="n">
        <v>756.4655172</v>
      </c>
      <c r="AM2172" s="58" t="n">
        <v>1681.034483</v>
      </c>
      <c r="AN2172" s="155" t="inlineStr">
        <is>
          <t>Shopify Stetson México</t>
        </is>
      </c>
      <c r="AO2172" s="59" t="n">
        <v>0</v>
      </c>
      <c r="AP2172" s="59" t="n"/>
      <c r="AQ2172" s="59" t="n"/>
      <c r="AR2172" s="155" t="n"/>
    </row>
    <row r="2173">
      <c r="A2173" s="50" t="inlineStr">
        <is>
          <t>724303742633</t>
        </is>
      </c>
      <c r="B2173" s="51" t="inlineStr">
        <is>
          <t>109805</t>
        </is>
      </c>
      <c r="C2173" s="156" t="inlineStr">
        <is>
          <t>Multimarca</t>
        </is>
      </c>
      <c r="D2173" s="156" t="inlineStr">
        <is>
          <t>9915500-001</t>
        </is>
      </c>
      <c r="E2173" s="156" t="inlineStr">
        <is>
          <t>9915500-001-36</t>
        </is>
      </c>
      <c r="F2173" s="156" t="inlineStr">
        <is>
          <t>36</t>
        </is>
      </c>
      <c r="G2173" s="156" t="inlineStr">
        <is>
          <t>36</t>
        </is>
      </c>
      <c r="H2173" s="156" t="inlineStr">
        <is>
          <t>Stetson</t>
        </is>
      </c>
      <c r="I2173" s="156" t="inlineStr">
        <is>
          <t>Cinturón Stetson Piel de Bisonte Conchos</t>
        </is>
      </c>
      <c r="J2173" s="156" t="inlineStr">
        <is>
          <t>Accesorios</t>
        </is>
      </c>
      <c r="K2173" s="156" t="inlineStr">
        <is>
          <t>Cinturones</t>
        </is>
      </c>
      <c r="L2173" s="156" t="inlineStr">
        <is>
          <t>Hombre</t>
        </is>
      </c>
      <c r="M2173" s="156" t="inlineStr">
        <is>
          <t>Stetson</t>
        </is>
      </c>
      <c r="N2173" s="156" t="inlineStr">
        <is>
          <t>SS26</t>
        </is>
      </c>
      <c r="O2173" s="156" t="inlineStr">
        <is>
          <t>Seasonal</t>
        </is>
      </c>
      <c r="P2173" s="156" t="inlineStr">
        <is>
          <t>Negro</t>
        </is>
      </c>
      <c r="Q2173" s="156" t="n"/>
      <c r="R2173" s="156" t="n"/>
      <c r="S2173" s="156" t="inlineStr">
        <is>
          <t>Lana</t>
        </is>
      </c>
      <c r="T2173"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173" s="156" t="n"/>
      <c r="V2173" s="156" t="inlineStr">
        <is>
          <t>PZS</t>
        </is>
      </c>
      <c r="W2173" s="51" t="inlineStr">
        <is>
          <t>53102501</t>
        </is>
      </c>
      <c r="X2173" s="156" t="inlineStr">
        <is>
          <t>https://cdn.shopify.com/s/files/1/0888/3250/8267/files/9915500-001_Black_2.jpg?v=1761950459</t>
        </is>
      </c>
      <c r="Y2173" s="54" t="n">
        <v>756.4655172</v>
      </c>
      <c r="Z2173" s="54" t="n">
        <v>1681.034483</v>
      </c>
      <c r="AA2173" s="55">
        <f>IF(AND(A2173="", B2173="", E2173=""), "", IF(AB2173="", "Válido", IF((LEN(AB2173)-LEN(SUBSTITUTE(AB2173,"; ","")))/2+1&gt;(LEN(AB2173)-LEN(SUBSTITUTE(AB2173,"[Aviso]","")))/7, "Con Incidencias", "Válido")))</f>
        <v/>
      </c>
      <c r="AB2173" s="56">
        <f>IF(AND(A2173="", B2173="", E2173=""), "", TEXTJOIN("; ", TRUE, IF(OR(TRIM(A2173&amp;"")="", ISNUMBER(SEARCH("FALTA", A2173))), "UPC faltante/inválido", ""), IF(AND(A2173&lt;&gt;"", IFERROR(_xlfn.XMATCH(A2173,$A$2:$A$2509,0,1)&lt;&gt;_xlfn.XMATCH(A2173,$A$2:$A$2509,0,-1),FALSE)), "Código de barras duplicado", ""), IF(AND(E2173&lt;&gt;"", COUNTIF($E$2:$E$2509, E2173)&gt;1), "SKU duplicado", ""), IF(OR(J2173="", J2173=""), "[Aviso] División no capturada ()", IF(ISNA(MATCH(J2173, Criterios!$A$123:$A$126, 0)), "División no válida", "")), IF(OR(K2173="", K2173=""), "[Aviso] Categoría no capturada ()", IF(ISNA(MATCH(K2173, Criterios!$A$81:$A$120, 0)), "Categoría no válida", IF(AND(J2173&lt;&gt;"", J2173&lt;&gt;"", J2173&lt;&gt;VLOOKUP(K2173, Criterios!$A$81:$B$120, 2, FALSE)), "División no coincide con Categoría", ""))), IF(OR(L2173="", L2173=""), "[Aviso] Género no capturado ()", IF(ISNA(MATCH(L2173, Criterios!$B$123:$B$127, 0)), "Género no válido", "")), IF(OR(N2173="", N2173=""), "[Aviso] Temporada no capturada ()", IF(ISNA(MATCH(N2173, Criterios!$C$123:$C$128, 0)), "Temporada no válida", "")), IF(OR(O2173="", O2173=""), "[Aviso] Ciclo de vida no capturado ()", IF(ISNA(MATCH(O2173, Criterios!$D$123:$D$124, 0)), "Ciclo de vida no válido", ""))))</f>
        <v/>
      </c>
      <c r="AC2173" s="56" t="n"/>
      <c r="AD2173" s="51" t="n">
        <v>1</v>
      </c>
      <c r="AE2173" s="156" t="inlineStr">
        <is>
          <t>WB OUTLET LERMA (1)</t>
        </is>
      </c>
      <c r="AF2173" s="51" t="n">
        <v>1</v>
      </c>
      <c r="AG2173" s="156" t="inlineStr">
        <is>
          <t>Catálogo existente</t>
        </is>
      </c>
      <c r="AH2173" s="156" t="inlineStr">
        <is>
          <t>Revisión 29/09/2026: Campos sin respaldo: P, U | 01/10/2026: complementado desde Shopify Stetson México (match por código de barras): WB Color, WB Fit, WB Silueta | 01/10/2026: Shopify Western Brothers trae Color «Varios» — se conservó el valor de Productos</t>
        </is>
      </c>
      <c r="AI2173" s="156" t="inlineStr">
        <is>
          <t>No</t>
        </is>
      </c>
      <c r="AJ2173" s="156" t="n"/>
      <c r="AK2173" s="155" t="inlineStr">
        <is>
          <t>Criterios: I [Q] | Criterios: J [R] | Shopify Stetson: producto 14697976398187 / variante 53350615679339 | Shopify WB: producto 10310238994617 / variante 50512092233913</t>
        </is>
      </c>
      <c r="AL2173" s="58" t="n">
        <v>756.4655172</v>
      </c>
      <c r="AM2173" s="58" t="n">
        <v>1681.034483</v>
      </c>
      <c r="AN2173" s="155" t="inlineStr">
        <is>
          <t>Shopify Stetson México | Shopify Western Brothers</t>
        </is>
      </c>
      <c r="AO2173" s="59" t="n">
        <v>0</v>
      </c>
      <c r="AP2173" s="59" t="n">
        <v>1</v>
      </c>
      <c r="AQ2173" s="59" t="n"/>
      <c r="AR2173" s="155" t="inlineStr">
        <is>
          <t>Shopify Western Brothers › Western Brothers Outlet Lerma: 1</t>
        </is>
      </c>
    </row>
    <row r="2174">
      <c r="A2174" s="50" t="inlineStr">
        <is>
          <t>724303742634</t>
        </is>
      </c>
      <c r="B2174" s="51" t="inlineStr">
        <is>
          <t>109806</t>
        </is>
      </c>
      <c r="C2174" s="156" t="inlineStr">
        <is>
          <t>Multimarca</t>
        </is>
      </c>
      <c r="D2174" s="156" t="inlineStr">
        <is>
          <t>9915500-001</t>
        </is>
      </c>
      <c r="E2174" s="156" t="inlineStr">
        <is>
          <t>9915500-001-46</t>
        </is>
      </c>
      <c r="F2174" s="156" t="inlineStr">
        <is>
          <t>46</t>
        </is>
      </c>
      <c r="G2174" s="156" t="inlineStr">
        <is>
          <t>46</t>
        </is>
      </c>
      <c r="H2174" s="156" t="inlineStr">
        <is>
          <t>Stetson</t>
        </is>
      </c>
      <c r="I2174" s="156" t="inlineStr">
        <is>
          <t>Cinturón Stetson Piel de Bisonte Conchos</t>
        </is>
      </c>
      <c r="J2174" s="156" t="inlineStr">
        <is>
          <t>Accesorios</t>
        </is>
      </c>
      <c r="K2174" s="156" t="inlineStr">
        <is>
          <t>Cinturones</t>
        </is>
      </c>
      <c r="L2174" s="156" t="inlineStr">
        <is>
          <t>Hombre</t>
        </is>
      </c>
      <c r="M2174" s="156" t="inlineStr">
        <is>
          <t>Stetson</t>
        </is>
      </c>
      <c r="N2174" s="156" t="inlineStr">
        <is>
          <t>SS26</t>
        </is>
      </c>
      <c r="O2174" s="156" t="inlineStr">
        <is>
          <t>Seasonal</t>
        </is>
      </c>
      <c r="P2174" s="156" t="inlineStr">
        <is>
          <t>Negro</t>
        </is>
      </c>
      <c r="Q2174" s="156" t="n"/>
      <c r="R2174" s="156" t="n"/>
      <c r="S2174" s="156" t="inlineStr">
        <is>
          <t>Piel</t>
        </is>
      </c>
      <c r="T2174"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4" s="156" t="n"/>
      <c r="V2174" s="156" t="inlineStr">
        <is>
          <t>PZS</t>
        </is>
      </c>
      <c r="W2174" s="51" t="inlineStr">
        <is>
          <t>53102501</t>
        </is>
      </c>
      <c r="X2174" s="156" t="inlineStr">
        <is>
          <t>https://cdn.shopify.com/s/files/1/0888/3250/8267/files/9915500-625_alt1.jpg?v=1761950538</t>
        </is>
      </c>
      <c r="Y2174" s="54" t="n">
        <v>756.4655172</v>
      </c>
      <c r="Z2174" s="54" t="n">
        <v>1681.034483</v>
      </c>
      <c r="AA2174" s="55">
        <f>IF(AND(A2174="", B2174="", E2174=""), "", IF(AB2174="", "Válido", IF((LEN(AB2174)-LEN(SUBSTITUTE(AB2174,"; ","")))/2+1&gt;(LEN(AB2174)-LEN(SUBSTITUTE(AB2174,"[Aviso]","")))/7, "Con Incidencias", "Válido")))</f>
        <v/>
      </c>
      <c r="AB2174" s="56">
        <f>IF(AND(A2174="", B2174="", E2174=""), "", TEXTJOIN("; ", TRUE, IF(OR(TRIM(A2174&amp;"")="", ISNUMBER(SEARCH("FALTA", A2174))), "UPC faltante/inválido", ""), IF(AND(A2174&lt;&gt;"", IFERROR(_xlfn.XMATCH(A2174,$A$2:$A$2509,0,1)&lt;&gt;_xlfn.XMATCH(A2174,$A$2:$A$2509,0,-1),FALSE)), "Código de barras duplicado", ""), IF(AND(E2174&lt;&gt;"", COUNTIF($E$2:$E$2509, E2174)&gt;1), "SKU duplicado", ""), IF(OR(J2174="", J2174=""), "[Aviso] División no capturada ()", IF(ISNA(MATCH(J2174, Criterios!$A$123:$A$126, 0)), "División no válida", "")), IF(OR(K2174="", K2174=""), "[Aviso] Categoría no capturada ()", IF(ISNA(MATCH(K2174, Criterios!$A$81:$A$120, 0)), "Categoría no válida", IF(AND(J2174&lt;&gt;"", J2174&lt;&gt;"", J2174&lt;&gt;VLOOKUP(K2174, Criterios!$A$81:$B$120, 2, FALSE)), "División no coincide con Categoría", ""))), IF(OR(L2174="", L2174=""), "[Aviso] Género no capturado ()", IF(ISNA(MATCH(L2174, Criterios!$B$123:$B$127, 0)), "Género no válido", "")), IF(OR(N2174="", N2174=""), "[Aviso] Temporada no capturada ()", IF(ISNA(MATCH(N2174, Criterios!$C$123:$C$128, 0)), "Temporada no válida", "")), IF(OR(O2174="", O2174=""), "[Aviso] Ciclo de vida no capturado ()", IF(ISNA(MATCH(O2174, Criterios!$D$123:$D$124, 0)), "Ciclo de vida no válido", ""))))</f>
        <v/>
      </c>
      <c r="AC2174" s="56" t="n"/>
      <c r="AD2174" s="51" t="n">
        <v>0</v>
      </c>
      <c r="AE2174" s="156" t="n"/>
      <c r="AF2174" s="51" t="n">
        <v>0</v>
      </c>
      <c r="AG2174" s="156" t="inlineStr">
        <is>
          <t>Catálogo existente</t>
        </is>
      </c>
      <c r="AH2174"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4" s="156" t="inlineStr">
        <is>
          <t>No</t>
        </is>
      </c>
      <c r="AJ2174" s="156" t="n"/>
      <c r="AK2174" s="155" t="inlineStr">
        <is>
          <t>Criterios: I [Q] | Criterios: J [R] | Shopify Stetson: producto 14697976398187 / variante 53350615843179</t>
        </is>
      </c>
      <c r="AL2174" s="58" t="n">
        <v>756.4655172</v>
      </c>
      <c r="AM2174" s="58" t="n">
        <v>1681.034483</v>
      </c>
      <c r="AN2174" s="155" t="inlineStr">
        <is>
          <t>Shopify Stetson México</t>
        </is>
      </c>
      <c r="AO2174" s="59" t="n">
        <v>0</v>
      </c>
      <c r="AP2174" s="59" t="n"/>
      <c r="AQ2174" s="59" t="n"/>
      <c r="AR2174" s="155" t="n"/>
    </row>
    <row r="2175">
      <c r="A2175" s="50" t="inlineStr">
        <is>
          <t>724303743906</t>
        </is>
      </c>
      <c r="B2175" s="51" t="inlineStr">
        <is>
          <t>109720</t>
        </is>
      </c>
      <c r="C2175" s="156" t="inlineStr">
        <is>
          <t>Multimarca</t>
        </is>
      </c>
      <c r="D2175" s="156" t="inlineStr">
        <is>
          <t>9509000-001-NZ</t>
        </is>
      </c>
      <c r="E2175" s="156" t="inlineStr">
        <is>
          <t>9509000-001-NZ</t>
        </is>
      </c>
      <c r="F2175" s="156" t="inlineStr">
        <is>
          <t>Talla única</t>
        </is>
      </c>
      <c r="G2175" s="156" t="inlineStr">
        <is>
          <t>One Size</t>
        </is>
      </c>
      <c r="H2175" s="156" t="inlineStr">
        <is>
          <t>Stetson</t>
        </is>
      </c>
      <c r="I2175" s="156" t="inlineStr">
        <is>
          <t>Cartera Stetson Grabada Piel / Pelo</t>
        </is>
      </c>
      <c r="J2175" s="156" t="inlineStr">
        <is>
          <t>Accesorios</t>
        </is>
      </c>
      <c r="K2175" s="156" t="inlineStr">
        <is>
          <t>Carteras</t>
        </is>
      </c>
      <c r="L2175" s="156" t="inlineStr">
        <is>
          <t>Mujer</t>
        </is>
      </c>
      <c r="M2175" s="156" t="inlineStr">
        <is>
          <t>Stetson</t>
        </is>
      </c>
      <c r="N2175" s="156" t="inlineStr">
        <is>
          <t>SS26</t>
        </is>
      </c>
      <c r="O2175" s="156" t="inlineStr">
        <is>
          <t>Seasonal</t>
        </is>
      </c>
      <c r="P2175" s="156" t="inlineStr">
        <is>
          <t>Negro</t>
        </is>
      </c>
      <c r="Q2175" s="156" t="n"/>
      <c r="R2175" s="156" t="n"/>
      <c r="S2175" s="156" t="inlineStr">
        <is>
          <t>Piel</t>
        </is>
      </c>
      <c r="T2175" s="156" t="inlineStr">
        <is>
          <t>Elaborada en cuero genuino de primera calidad, esta cartera con cierre completo combina un grabado artesanal con un elegante detalle de piel con pelo en contraste, logrando un estilo clásico con carácter. Incluye 4 compartimentos para billetes, 12(más...)</t>
        </is>
      </c>
      <c r="U2175" s="156" t="n"/>
      <c r="V2175" s="156" t="inlineStr">
        <is>
          <t>PZS</t>
        </is>
      </c>
      <c r="W2175" s="51" t="inlineStr">
        <is>
          <t>53121700</t>
        </is>
      </c>
      <c r="X2175" s="156" t="inlineStr">
        <is>
          <t>https://cdn.shopify.com/s/files/1/0888/3250/8267/files/9509000-001-NZ-01_25071f5c-e98f-4ec2-aa50-5f62ca3b5075.jpg?v=1761846789</t>
        </is>
      </c>
      <c r="Y2175" s="54" t="n">
        <v>1047.413793</v>
      </c>
      <c r="Z2175" s="54" t="n">
        <v>2327.586207</v>
      </c>
      <c r="AA2175" s="55">
        <f>IF(AND(A2175="", B2175="", E2175=""), "", IF(AB2175="", "Válido", IF((LEN(AB2175)-LEN(SUBSTITUTE(AB2175,"; ","")))/2+1&gt;(LEN(AB2175)-LEN(SUBSTITUTE(AB2175,"[Aviso]","")))/7, "Con Incidencias", "Válido")))</f>
        <v/>
      </c>
      <c r="AB2175" s="56">
        <f>IF(AND(A2175="", B2175="", E2175=""), "", TEXTJOIN("; ", TRUE, IF(OR(TRIM(A2175&amp;"")="", ISNUMBER(SEARCH("FALTA", A2175))), "UPC faltante/inválido", ""), IF(AND(A2175&lt;&gt;"", IFERROR(_xlfn.XMATCH(A2175,$A$2:$A$2509,0,1)&lt;&gt;_xlfn.XMATCH(A2175,$A$2:$A$2509,0,-1),FALSE)), "Código de barras duplicado", ""), IF(AND(E2175&lt;&gt;"", COUNTIF($E$2:$E$2509, E2175)&gt;1), "SKU duplicado", ""), IF(OR(J2175="", J2175=""), "[Aviso] División no capturada ()", IF(ISNA(MATCH(J2175, Criterios!$A$123:$A$126, 0)), "División no válida", "")), IF(OR(K2175="", K2175=""), "[Aviso] Categoría no capturada ()", IF(ISNA(MATCH(K2175, Criterios!$A$81:$A$120, 0)), "Categoría no válida", IF(AND(J2175&lt;&gt;"", J2175&lt;&gt;"", J2175&lt;&gt;VLOOKUP(K2175, Criterios!$A$81:$B$120, 2, FALSE)), "División no coincide con Categoría", ""))), IF(OR(L2175="", L2175=""), "[Aviso] Género no capturado ()", IF(ISNA(MATCH(L2175, Criterios!$B$123:$B$127, 0)), "Género no válido", "")), IF(OR(N2175="", N2175=""), "[Aviso] Temporada no capturada ()", IF(ISNA(MATCH(N2175, Criterios!$C$123:$C$128, 0)), "Temporada no válida", "")), IF(OR(O2175="", O2175=""), "[Aviso] Ciclo de vida no capturado ()", IF(ISNA(MATCH(O2175, Criterios!$D$123:$D$124, 0)), "Ciclo de vida no válido", ""))))</f>
        <v/>
      </c>
      <c r="AC2175" s="56" t="n"/>
      <c r="AD2175" s="51" t="n">
        <v>12</v>
      </c>
      <c r="AE2175" s="156" t="inlineStr">
        <is>
          <t>B25 STETSON.MX (7); WB OUTLET LERMA (3); PUNTO DE VENTA (2)</t>
        </is>
      </c>
      <c r="AF2175" s="51" t="n">
        <v>12</v>
      </c>
      <c r="AG2175" s="156" t="inlineStr">
        <is>
          <t>Catálogo existente</t>
        </is>
      </c>
      <c r="AH2175" s="156" t="inlineStr">
        <is>
          <t>Revisión 29/09/2026: Campos sin respaldo: P, U | 01/10/2026: complementado desde Shopify Stetson México (match por código de barras): WB Fit, WB Silueta | Homologación G1522 06/10/2026: WB Color: «» → «Negro» (Completado por investigación en línea)</t>
        </is>
      </c>
      <c r="AI2175" s="156" t="inlineStr">
        <is>
          <t>No</t>
        </is>
      </c>
      <c r="AJ2175" s="156" t="n"/>
      <c r="AK2175" s="155" t="inlineStr">
        <is>
          <t>Criterios: I [Q] | Criterios: J [R] | Shopify Stetson: producto 14810786988395 / variante 52515511927147 | Shopify WB: producto 8579865379001 / variante 47802961494201 | Investigación en línea 06/10/2026: https://www.stetson.com/products/hair-on-hide-tooled-zip-wallet</t>
        </is>
      </c>
      <c r="AL2175" s="58" t="n">
        <v>1047.413793</v>
      </c>
      <c r="AM2175" s="58" t="n">
        <v>2327.586207</v>
      </c>
      <c r="AN2175" s="155" t="inlineStr">
        <is>
          <t>Shopify Stetson México | Shopify Western Brothers</t>
        </is>
      </c>
      <c r="AO2175" s="59" t="n">
        <v>18</v>
      </c>
      <c r="AP2175" s="59" t="n">
        <v>3</v>
      </c>
      <c r="AQ2175" s="59" t="n"/>
      <c r="AR2175" s="155" t="inlineStr">
        <is>
          <t>Shopify Stetson México › Stetson México: 7 | Shopify Stetson México › Stetson Americas: 9 | Shopify Stetson México › Eventos: 2 | Shopify Western Brothers › Western Brothers Outlet Lerma: 3</t>
        </is>
      </c>
    </row>
    <row r="2176">
      <c r="A2176" s="50" t="inlineStr">
        <is>
          <t>724303743913</t>
        </is>
      </c>
      <c r="B2176" s="51" t="inlineStr">
        <is>
          <t>109719</t>
        </is>
      </c>
      <c r="C2176" s="156" t="inlineStr">
        <is>
          <t>Multimarca</t>
        </is>
      </c>
      <c r="D2176" s="156" t="inlineStr">
        <is>
          <t>9508000-001-NZ</t>
        </is>
      </c>
      <c r="E2176" s="156" t="inlineStr">
        <is>
          <t>9508000-001-NZ</t>
        </is>
      </c>
      <c r="F2176" s="156" t="inlineStr">
        <is>
          <t>Talla única</t>
        </is>
      </c>
      <c r="G2176" s="156" t="inlineStr">
        <is>
          <t>One Size</t>
        </is>
      </c>
      <c r="H2176" s="156" t="inlineStr">
        <is>
          <t>Stetson</t>
        </is>
      </c>
      <c r="I2176" s="156" t="inlineStr">
        <is>
          <t>Cartera Stetson Solapa Piel / Pelo</t>
        </is>
      </c>
      <c r="J2176" s="156" t="inlineStr">
        <is>
          <t>Accesorios</t>
        </is>
      </c>
      <c r="K2176" s="156" t="inlineStr">
        <is>
          <t>Carteras</t>
        </is>
      </c>
      <c r="L2176" s="156" t="inlineStr">
        <is>
          <t>Mujer</t>
        </is>
      </c>
      <c r="M2176" s="156" t="inlineStr">
        <is>
          <t>Stetson</t>
        </is>
      </c>
      <c r="N2176" s="156" t="inlineStr">
        <is>
          <t>SS26</t>
        </is>
      </c>
      <c r="O2176" s="156" t="inlineStr">
        <is>
          <t>Seasonal</t>
        </is>
      </c>
      <c r="P2176" s="156" t="inlineStr">
        <is>
          <t>Cafe</t>
        </is>
      </c>
      <c r="Q2176" s="156" t="n"/>
      <c r="R2176" s="156" t="n"/>
      <c r="S2176" s="156" t="inlineStr">
        <is>
          <t>Piel</t>
        </is>
      </c>
      <c r="T2176" s="156" t="inlineStr">
        <is>
          <t>Fabricada en cuero genuino de primera calidad, esta cartera con solapa frontal destaca por su detalle de piel con pelo natural, que aporta textura y un estilo auténtico inspirado en el Oeste. Cuenta con 4 compartimentos para billetes, 16 ranuras p(más...)</t>
        </is>
      </c>
      <c r="U2176" s="156" t="n"/>
      <c r="V2176" s="156" t="inlineStr">
        <is>
          <t>PZS</t>
        </is>
      </c>
      <c r="W2176" s="51" t="inlineStr">
        <is>
          <t>53121700</t>
        </is>
      </c>
      <c r="X2176" s="156" t="inlineStr">
        <is>
          <t>https://cdn.shopify.com/s/files/1/0888/3250/8267/files/9508000-001-NZ-01_aa96c033-15dc-408b-9822-3c5353afdf1f.jpg?v=1761845759</t>
        </is>
      </c>
      <c r="Y2176" s="54" t="n">
        <v>911.637931</v>
      </c>
      <c r="Z2176" s="54" t="n">
        <v>2025.862069</v>
      </c>
      <c r="AA2176" s="55">
        <f>IF(AND(A2176="", B2176="", E2176=""), "", IF(AB2176="", "Válido", IF((LEN(AB2176)-LEN(SUBSTITUTE(AB2176,"; ","")))/2+1&gt;(LEN(AB2176)-LEN(SUBSTITUTE(AB2176,"[Aviso]","")))/7, "Con Incidencias", "Válido")))</f>
        <v/>
      </c>
      <c r="AB2176" s="56">
        <f>IF(AND(A2176="", B2176="", E2176=""), "", TEXTJOIN("; ", TRUE, IF(OR(TRIM(A2176&amp;"")="", ISNUMBER(SEARCH("FALTA", A2176))), "UPC faltante/inválido", ""), IF(AND(A2176&lt;&gt;"", IFERROR(_xlfn.XMATCH(A2176,$A$2:$A$2509,0,1)&lt;&gt;_xlfn.XMATCH(A2176,$A$2:$A$2509,0,-1),FALSE)), "Código de barras duplicado", ""), IF(AND(E2176&lt;&gt;"", COUNTIF($E$2:$E$2509, E2176)&gt;1), "SKU duplicado", ""), IF(OR(J2176="", J2176=""), "[Aviso] División no capturada ()", IF(ISNA(MATCH(J2176, Criterios!$A$123:$A$126, 0)), "División no válida", "")), IF(OR(K2176="", K2176=""), "[Aviso] Categoría no capturada ()", IF(ISNA(MATCH(K2176, Criterios!$A$81:$A$120, 0)), "Categoría no válida", IF(AND(J2176&lt;&gt;"", J2176&lt;&gt;"", J2176&lt;&gt;VLOOKUP(K2176, Criterios!$A$81:$B$120, 2, FALSE)), "División no coincide con Categoría", ""))), IF(OR(L2176="", L2176=""), "[Aviso] Género no capturado ()", IF(ISNA(MATCH(L2176, Criterios!$B$123:$B$127, 0)), "Género no válido", "")), IF(OR(N2176="", N2176=""), "[Aviso] Temporada no capturada ()", IF(ISNA(MATCH(N2176, Criterios!$C$123:$C$128, 0)), "Temporada no válida", "")), IF(OR(O2176="", O2176=""), "[Aviso] Ciclo de vida no capturado ()", IF(ISNA(MATCH(O2176, Criterios!$D$123:$D$124, 0)), "Ciclo de vida no válido", ""))))</f>
        <v/>
      </c>
      <c r="AC2176" s="56" t="n"/>
      <c r="AD2176" s="51" t="n">
        <v>15</v>
      </c>
      <c r="AE2176" s="156" t="inlineStr">
        <is>
          <t>WB OUTLET LERMA (2); B25 STETSON.MX (11); PUNTO DE VENTA (2)</t>
        </is>
      </c>
      <c r="AF2176" s="51" t="n">
        <v>15</v>
      </c>
      <c r="AG2176" s="156" t="inlineStr">
        <is>
          <t>Catálogo existente</t>
        </is>
      </c>
      <c r="AH2176" s="156" t="inlineStr">
        <is>
          <t>Revisión 29/09/2026: Campos sin respaldo: P, U | 01/10/2026: complementado desde Shopify Stetson México (match por código de barras): WB Color, WB Fit, WB Silueta</t>
        </is>
      </c>
      <c r="AI2176" s="156" t="inlineStr">
        <is>
          <t>No</t>
        </is>
      </c>
      <c r="AJ2176" s="156" t="n"/>
      <c r="AK2176" s="155" t="inlineStr">
        <is>
          <t>Criterios: I [Q] | Criterios: J [R] | Shopify Stetson: producto 14810784924011 / variante 52515501408619 | Shopify WB: producto 8579865313465 / variante 47802961100985</t>
        </is>
      </c>
      <c r="AL2176" s="58" t="n">
        <v>911.637931</v>
      </c>
      <c r="AM2176" s="58" t="n">
        <v>2025.862069</v>
      </c>
      <c r="AN2176" s="155" t="inlineStr">
        <is>
          <t>Shopify Stetson México | Shopify Western Brothers</t>
        </is>
      </c>
      <c r="AO2176" s="59" t="n">
        <v>18</v>
      </c>
      <c r="AP2176" s="59" t="n">
        <v>2</v>
      </c>
      <c r="AQ2176" s="59" t="n"/>
      <c r="AR2176" s="155" t="inlineStr">
        <is>
          <t>Shopify Stetson México › Stetson México: 11 | Shopify Stetson México › Stetson Americas: 5 | Shopify Stetson México › Eventos: 2 | Shopify Western Brothers › Western Brothers Outlet Lerma: 2</t>
        </is>
      </c>
    </row>
    <row r="2177">
      <c r="A2177" s="50" t="inlineStr">
        <is>
          <t>724303743944</t>
        </is>
      </c>
      <c r="B2177" s="51" t="inlineStr">
        <is>
          <t>109723</t>
        </is>
      </c>
      <c r="C2177" s="156" t="inlineStr">
        <is>
          <t>Multimarca</t>
        </is>
      </c>
      <c r="D2177" s="156" t="inlineStr">
        <is>
          <t>9511000-200-NZ</t>
        </is>
      </c>
      <c r="E2177" s="156" t="inlineStr">
        <is>
          <t>9511000-200-NZ</t>
        </is>
      </c>
      <c r="F2177" s="156" t="inlineStr">
        <is>
          <t>Talla única</t>
        </is>
      </c>
      <c r="G2177" s="156" t="inlineStr">
        <is>
          <t>One Size</t>
        </is>
      </c>
      <c r="H2177" s="156" t="inlineStr">
        <is>
          <t>Stetson</t>
        </is>
      </c>
      <c r="I2177" s="156" t="inlineStr">
        <is>
          <t>Cartera Stetson Dama Frt Flap</t>
        </is>
      </c>
      <c r="J2177" s="156" t="inlineStr">
        <is>
          <t>Accesorios</t>
        </is>
      </c>
      <c r="K2177" s="156" t="inlineStr">
        <is>
          <t>Carteras</t>
        </is>
      </c>
      <c r="L2177" s="156" t="inlineStr">
        <is>
          <t>Mujer</t>
        </is>
      </c>
      <c r="M2177" s="156" t="inlineStr">
        <is>
          <t>Stetson</t>
        </is>
      </c>
      <c r="N2177" s="156" t="inlineStr">
        <is>
          <t>SS26</t>
        </is>
      </c>
      <c r="O2177" s="156" t="inlineStr">
        <is>
          <t>Seasonal</t>
        </is>
      </c>
      <c r="P2177" s="156" t="inlineStr">
        <is>
          <t>Cafe</t>
        </is>
      </c>
      <c r="Q2177" s="156" t="n"/>
      <c r="R2177" s="156" t="n"/>
      <c r="S2177" s="156" t="n"/>
      <c r="T2177" s="156" t="inlineStr">
        <is>
          <t>Cartera Stetson Dama Frt Flap.</t>
        </is>
      </c>
      <c r="U2177" s="156" t="n"/>
      <c r="V2177" s="156" t="inlineStr">
        <is>
          <t>PZS</t>
        </is>
      </c>
      <c r="W2177" s="51" t="inlineStr">
        <is>
          <t>53121700</t>
        </is>
      </c>
      <c r="X2177" s="156" t="inlineStr">
        <is>
          <t>https://cdn.shopify.com/s/files/1/0357/2432/9005/files/9511000-200_Brown_1.jpg?v=1743571936</t>
        </is>
      </c>
      <c r="Y2177" s="54" t="n">
        <v>1066.810345</v>
      </c>
      <c r="Z2177" s="54" t="n">
        <v>2370.689655</v>
      </c>
      <c r="AA2177" s="55">
        <f>IF(AND(A2177="", B2177="", E2177=""), "", IF(AB2177="", "Válido", IF((LEN(AB2177)-LEN(SUBSTITUTE(AB2177,"; ","")))/2+1&gt;(LEN(AB2177)-LEN(SUBSTITUTE(AB2177,"[Aviso]","")))/7, "Con Incidencias", "Válido")))</f>
        <v/>
      </c>
      <c r="AB2177" s="56">
        <f>IF(AND(A2177="", B2177="", E2177=""), "", TEXTJOIN("; ", TRUE, IF(OR(TRIM(A2177&amp;"")="", ISNUMBER(SEARCH("FALTA", A2177))), "UPC faltante/inválido", ""), IF(AND(A2177&lt;&gt;"", IFERROR(_xlfn.XMATCH(A2177,$A$2:$A$2509,0,1)&lt;&gt;_xlfn.XMATCH(A2177,$A$2:$A$2509,0,-1),FALSE)), "Código de barras duplicado", ""), IF(AND(E2177&lt;&gt;"", COUNTIF($E$2:$E$2509, E2177)&gt;1), "SKU duplicado", ""), IF(OR(J2177="", J2177=""), "[Aviso] División no capturada ()", IF(ISNA(MATCH(J2177, Criterios!$A$123:$A$126, 0)), "División no válida", "")), IF(OR(K2177="", K2177=""), "[Aviso] Categoría no capturada ()", IF(ISNA(MATCH(K2177, Criterios!$A$81:$A$120, 0)), "Categoría no válida", IF(AND(J2177&lt;&gt;"", J2177&lt;&gt;"", J2177&lt;&gt;VLOOKUP(K2177, Criterios!$A$81:$B$120, 2, FALSE)), "División no coincide con Categoría", ""))), IF(OR(L2177="", L2177=""), "[Aviso] Género no capturado ()", IF(ISNA(MATCH(L2177, Criterios!$B$123:$B$127, 0)), "Género no válido", "")), IF(OR(N2177="", N2177=""), "[Aviso] Temporada no capturada ()", IF(ISNA(MATCH(N2177, Criterios!$C$123:$C$128, 0)), "Temporada no válida", "")), IF(OR(O2177="", O2177=""), "[Aviso] Ciclo de vida no capturado ()", IF(ISNA(MATCH(O2177, Criterios!$D$123:$D$124, 0)), "Ciclo de vida no válido", ""))))</f>
        <v/>
      </c>
      <c r="AC2177" s="56" t="n"/>
      <c r="AD2177" s="51" t="n">
        <v>13</v>
      </c>
      <c r="AE2177" s="156" t="inlineStr">
        <is>
          <t>WB OUTLET LERMA (3); PUNTO DE VENTA (2); B25 STETSON.MX (9)</t>
        </is>
      </c>
      <c r="AF2177" s="51" t="n">
        <v>14</v>
      </c>
      <c r="AG2177" s="156" t="inlineStr">
        <is>
          <t>Catálogo existente</t>
        </is>
      </c>
      <c r="AH2177" s="156" t="inlineStr">
        <is>
          <t>Revisión 29/09/2026: Campos sin respaldo: P, S, U, X | 01/10/2026: complementado desde Shopify Stetson México (match por código de barras): WB Color, WB Fit, WB Silueta | Homologación G1522 06/10/2026: Enlace de imagen: «» → «https://cdn.shopify.com/s/files/1/0357/2432/9005/files/9511000-200_Brown_1.jpg?v=1743571936» (Completado por investigación en línea)</t>
        </is>
      </c>
      <c r="AI2177" s="156" t="inlineStr">
        <is>
          <t>Sí</t>
        </is>
      </c>
      <c r="AJ2177" s="156" t="inlineStr">
        <is>
          <t>STETSON AMERICAS (-1)</t>
        </is>
      </c>
      <c r="AK2177" s="155" t="inlineStr">
        <is>
          <t>Criterios: I [Q] | Criterios: J [R] | Shopify Stetson: producto 15056328753515 / variante 53357911310699 | Shopify WB: producto 8579865542841 / variante 47802961985721 | Investigación en línea 06/10/2026: https://www.stetson.com/products/croco-front-flap-wallet</t>
        </is>
      </c>
      <c r="AL2177" s="58" t="n">
        <v>1066.810345</v>
      </c>
      <c r="AM2177" s="58" t="n">
        <v>2370.689655</v>
      </c>
      <c r="AN2177" s="155" t="inlineStr">
        <is>
          <t>Shopify Stetson México | Shopify Western Brothers</t>
        </is>
      </c>
      <c r="AO2177" s="59" t="n">
        <v>11</v>
      </c>
      <c r="AP2177" s="59" t="n">
        <v>3</v>
      </c>
      <c r="AQ2177" s="59" t="n"/>
      <c r="AR2177" s="155" t="inlineStr">
        <is>
          <t>Shopify Stetson México › Stetson México: 9 | Shopify Stetson México › Eventos: 2 | Shopify Western Brothers › Western Brothers Outlet Lerma: 3</t>
        </is>
      </c>
    </row>
    <row r="2178">
      <c r="A2178" s="50" t="inlineStr">
        <is>
          <t>724303743951</t>
        </is>
      </c>
      <c r="B2178" s="51" t="inlineStr">
        <is>
          <t>109724</t>
        </is>
      </c>
      <c r="C2178" s="156" t="inlineStr">
        <is>
          <t>Multimarca</t>
        </is>
      </c>
      <c r="D2178" s="156" t="inlineStr">
        <is>
          <t>9512000-600-NZ</t>
        </is>
      </c>
      <c r="E2178" s="156" t="inlineStr">
        <is>
          <t>9512000-600-NZ</t>
        </is>
      </c>
      <c r="F2178" s="156" t="inlineStr">
        <is>
          <t>Talla única</t>
        </is>
      </c>
      <c r="G2178" s="156" t="inlineStr">
        <is>
          <t>One Size</t>
        </is>
      </c>
      <c r="H2178" s="156" t="inlineStr">
        <is>
          <t>Stetson</t>
        </is>
      </c>
      <c r="I2178" s="156" t="inlineStr">
        <is>
          <t>Cartera Stetson con Solapa Relieve Tipo Lagarto</t>
        </is>
      </c>
      <c r="J2178" s="156" t="inlineStr">
        <is>
          <t>Accesorios</t>
        </is>
      </c>
      <c r="K2178" s="156" t="inlineStr">
        <is>
          <t>Carteras</t>
        </is>
      </c>
      <c r="L2178" s="156" t="inlineStr">
        <is>
          <t>Mujer</t>
        </is>
      </c>
      <c r="M2178" s="156" t="inlineStr">
        <is>
          <t>Stetson</t>
        </is>
      </c>
      <c r="N2178" s="156" t="inlineStr">
        <is>
          <t>SS26</t>
        </is>
      </c>
      <c r="O2178" s="156" t="inlineStr">
        <is>
          <t>Seasonal</t>
        </is>
      </c>
      <c r="P2178" s="156" t="inlineStr">
        <is>
          <t>Rojo</t>
        </is>
      </c>
      <c r="Q2178" s="156" t="n"/>
      <c r="R2178" s="156" t="n"/>
      <c r="S2178" s="156" t="inlineStr">
        <is>
          <t>Cuero</t>
        </is>
      </c>
      <c r="T2178" s="156" t="inlineStr">
        <is>
          <t>Fabricada en cuero con relieve tipo lagarto, esta cartera con solapa frontal combina un estilo western refinado con materiales de lujo. Cuenta con 5 compartimentos para billetes, 12 ranuras para tarjetas, ventana para identificación y un bolsillo(más...)</t>
        </is>
      </c>
      <c r="U2178" s="156" t="n"/>
      <c r="V2178" s="156" t="inlineStr">
        <is>
          <t>PZS</t>
        </is>
      </c>
      <c r="W2178" s="51" t="inlineStr">
        <is>
          <t>53121700</t>
        </is>
      </c>
      <c r="X2178" s="156" t="inlineStr">
        <is>
          <t>https://cdn.shopify.com/s/files/1/0888/3250/8267/files/9512000-600-NZ-01.jpg?v=1761923094</t>
        </is>
      </c>
      <c r="Y2178" s="54" t="n">
        <v>1532.327586</v>
      </c>
      <c r="Z2178" s="54" t="n">
        <v>3405.172414</v>
      </c>
      <c r="AA2178" s="55">
        <f>IF(AND(A2178="", B2178="", E2178=""), "", IF(AB2178="", "Válido", IF((LEN(AB2178)-LEN(SUBSTITUTE(AB2178,"; ","")))/2+1&gt;(LEN(AB2178)-LEN(SUBSTITUTE(AB2178,"[Aviso]","")))/7, "Con Incidencias", "Válido")))</f>
        <v/>
      </c>
      <c r="AB2178" s="56">
        <f>IF(AND(A2178="", B2178="", E2178=""), "", TEXTJOIN("; ", TRUE, IF(OR(TRIM(A2178&amp;"")="", ISNUMBER(SEARCH("FALTA", A2178))), "UPC faltante/inválido", ""), IF(AND(A2178&lt;&gt;"", IFERROR(_xlfn.XMATCH(A2178,$A$2:$A$2509,0,1)&lt;&gt;_xlfn.XMATCH(A2178,$A$2:$A$2509,0,-1),FALSE)), "Código de barras duplicado", ""), IF(AND(E2178&lt;&gt;"", COUNTIF($E$2:$E$2509, E2178)&gt;1), "SKU duplicado", ""), IF(OR(J2178="", J2178=""), "[Aviso] División no capturada ()", IF(ISNA(MATCH(J2178, Criterios!$A$123:$A$126, 0)), "División no válida", "")), IF(OR(K2178="", K2178=""), "[Aviso] Categoría no capturada ()", IF(ISNA(MATCH(K2178, Criterios!$A$81:$A$120, 0)), "Categoría no válida", IF(AND(J2178&lt;&gt;"", J2178&lt;&gt;"", J2178&lt;&gt;VLOOKUP(K2178, Criterios!$A$81:$B$120, 2, FALSE)), "División no coincide con Categoría", ""))), IF(OR(L2178="", L2178=""), "[Aviso] Género no capturado ()", IF(ISNA(MATCH(L2178, Criterios!$B$123:$B$127, 0)), "Género no válido", "")), IF(OR(N2178="", N2178=""), "[Aviso] Temporada no capturada ()", IF(ISNA(MATCH(N2178, Criterios!$C$123:$C$128, 0)), "Temporada no válida", "")), IF(OR(O2178="", O2178=""), "[Aviso] Ciclo de vida no capturado ()", IF(ISNA(MATCH(O2178, Criterios!$D$123:$D$124, 0)), "Ciclo de vida no válido", ""))))</f>
        <v/>
      </c>
      <c r="AC2178" s="56" t="n"/>
      <c r="AD2178" s="51" t="n">
        <v>12</v>
      </c>
      <c r="AE2178" s="156" t="inlineStr">
        <is>
          <t>B25 STETSON.MX (8); PUNTO DE VENTA (2); WB OUTLET LERMA (3)</t>
        </is>
      </c>
      <c r="AF2178" s="51" t="n">
        <v>13</v>
      </c>
      <c r="AG2178" s="156" t="inlineStr">
        <is>
          <t>Catálogo existente</t>
        </is>
      </c>
      <c r="AH2178" s="156" t="inlineStr">
        <is>
          <t>Revisión 29/09/2026: Campos sin respaldo: P, U | 01/10/2026: complementado desde Shopify Stetson México (match por código de barras): WB Color, WB Fit, WB Silueta</t>
        </is>
      </c>
      <c r="AI2178" s="156" t="inlineStr">
        <is>
          <t>Sí</t>
        </is>
      </c>
      <c r="AJ2178" s="156" t="inlineStr">
        <is>
          <t>STETSON AMERICAS (-1)</t>
        </is>
      </c>
      <c r="AK2178" s="155" t="inlineStr">
        <is>
          <t>Criterios: I [Q] | Criterios: J [R] | Shopify Stetson: producto 14811694137707 / variante 52517498847595 | Shopify WB: producto 8579865608377 / variante 47802962378937</t>
        </is>
      </c>
      <c r="AL2178" s="58" t="n">
        <v>1532.327586</v>
      </c>
      <c r="AM2178" s="58" t="n">
        <v>3405.172414</v>
      </c>
      <c r="AN2178" s="155" t="inlineStr">
        <is>
          <t>Shopify Stetson México | Shopify Western Brothers</t>
        </is>
      </c>
      <c r="AO2178" s="59" t="n">
        <v>14</v>
      </c>
      <c r="AP2178" s="59" t="n">
        <v>3</v>
      </c>
      <c r="AQ2178" s="59" t="n"/>
      <c r="AR2178" s="155" t="inlineStr">
        <is>
          <t>Shopify Stetson México › Stetson México: 8 | Shopify Stetson México › Stetson Americas: 4 | Shopify Stetson México › Eventos: 2 | Shopify Western Brothers › Western Brothers Outlet Lerma: 3</t>
        </is>
      </c>
    </row>
    <row r="2179">
      <c r="A2179" s="50" t="inlineStr">
        <is>
          <t>724303743968</t>
        </is>
      </c>
      <c r="B2179" s="51" t="inlineStr">
        <is>
          <t>109722</t>
        </is>
      </c>
      <c r="C2179" s="156" t="inlineStr">
        <is>
          <t>Multimarca</t>
        </is>
      </c>
      <c r="D2179" s="156" t="inlineStr">
        <is>
          <t>9510000-219-NZ</t>
        </is>
      </c>
      <c r="E2179" s="156" t="inlineStr">
        <is>
          <t>9510000-219-NZ</t>
        </is>
      </c>
      <c r="F2179" s="156" t="inlineStr">
        <is>
          <t>Talla única</t>
        </is>
      </c>
      <c r="G2179" s="156" t="inlineStr">
        <is>
          <t>One Size</t>
        </is>
      </c>
      <c r="H2179" s="156" t="inlineStr">
        <is>
          <t>Stetson</t>
        </is>
      </c>
      <c r="I2179" s="156" t="inlineStr">
        <is>
          <t>Cartera Stetson Tipo Clutch Grabada</t>
        </is>
      </c>
      <c r="J2179" s="156" t="inlineStr">
        <is>
          <t>Accesorios</t>
        </is>
      </c>
      <c r="K2179" s="156" t="inlineStr">
        <is>
          <t>Carteras</t>
        </is>
      </c>
      <c r="L2179" s="156" t="inlineStr">
        <is>
          <t>Mujer</t>
        </is>
      </c>
      <c r="M2179" s="156" t="inlineStr">
        <is>
          <t>Stetson</t>
        </is>
      </c>
      <c r="N2179" s="156" t="inlineStr">
        <is>
          <t>SS26</t>
        </is>
      </c>
      <c r="O2179" s="156" t="inlineStr">
        <is>
          <t>Seasonal</t>
        </is>
      </c>
      <c r="P2179" s="156" t="inlineStr">
        <is>
          <t>Varios</t>
        </is>
      </c>
      <c r="Q2179" s="156" t="n"/>
      <c r="R2179" s="156" t="n"/>
      <c r="S2179" s="156" t="inlineStr">
        <is>
          <t>Piel</t>
        </is>
      </c>
      <c r="T2179" s="156" t="inlineStr">
        <is>
          <t>Elaborada en cuero genuino de primera calidad, esta cartera tipo clutch destaca por su grabado artesanal y su hebilla metálica de tres piezas en tono plateado. Diseñada para combinar elegancia y funcionalidad, cuenta con 2 compartimentos para bill(más...)</t>
        </is>
      </c>
      <c r="U2179" s="156" t="n"/>
      <c r="V2179" s="156" t="inlineStr">
        <is>
          <t>PZS</t>
        </is>
      </c>
      <c r="W2179" s="51" t="inlineStr">
        <is>
          <t>53121700</t>
        </is>
      </c>
      <c r="X2179" s="156" t="inlineStr">
        <is>
          <t>https://cdn.shopify.com/s/files/1/0888/3250/8267/files/9510000-200-NZ-02.jpg?v=1761852309</t>
        </is>
      </c>
      <c r="Y2179" s="54" t="n">
        <v>1532.327586</v>
      </c>
      <c r="Z2179" s="54" t="n">
        <v>3405.172414</v>
      </c>
      <c r="AA2179" s="55">
        <f>IF(AND(A2179="", B2179="", E2179=""), "", IF(AB2179="", "Válido", IF((LEN(AB2179)-LEN(SUBSTITUTE(AB2179,"; ","")))/2+1&gt;(LEN(AB2179)-LEN(SUBSTITUTE(AB2179,"[Aviso]","")))/7, "Con Incidencias", "Válido")))</f>
        <v/>
      </c>
      <c r="AB2179" s="56">
        <f>IF(AND(A2179="", B2179="", E2179=""), "", TEXTJOIN("; ", TRUE, IF(OR(TRIM(A2179&amp;"")="", ISNUMBER(SEARCH("FALTA", A2179))), "UPC faltante/inválido", ""), IF(AND(A2179&lt;&gt;"", IFERROR(_xlfn.XMATCH(A2179,$A$2:$A$2509,0,1)&lt;&gt;_xlfn.XMATCH(A2179,$A$2:$A$2509,0,-1),FALSE)), "Código de barras duplicado", ""), IF(AND(E2179&lt;&gt;"", COUNTIF($E$2:$E$2509, E2179)&gt;1), "SKU duplicado", ""), IF(OR(J2179="", J2179=""), "[Aviso] División no capturada ()", IF(ISNA(MATCH(J2179, Criterios!$A$123:$A$126, 0)), "División no válida", "")), IF(OR(K2179="", K2179=""), "[Aviso] Categoría no capturada ()", IF(ISNA(MATCH(K2179, Criterios!$A$81:$A$120, 0)), "Categoría no válida", IF(AND(J2179&lt;&gt;"", J2179&lt;&gt;"", J2179&lt;&gt;VLOOKUP(K2179, Criterios!$A$81:$B$120, 2, FALSE)), "División no coincide con Categoría", ""))), IF(OR(L2179="", L2179=""), "[Aviso] Género no capturado ()", IF(ISNA(MATCH(L2179, Criterios!$B$123:$B$127, 0)), "Género no válido", "")), IF(OR(N2179="", N2179=""), "[Aviso] Temporada no capturada ()", IF(ISNA(MATCH(N2179, Criterios!$C$123:$C$128, 0)), "Temporada no válida", "")), IF(OR(O2179="", O2179=""), "[Aviso] Ciclo de vida no capturado ()", IF(ISNA(MATCH(O2179, Criterios!$D$123:$D$124, 0)), "Ciclo de vida no válido", ""))))</f>
        <v/>
      </c>
      <c r="AC2179" s="56" t="n"/>
      <c r="AD2179" s="51" t="n">
        <v>12</v>
      </c>
      <c r="AE2179" s="156" t="inlineStr">
        <is>
          <t>PUNTO DE VENTA (2); B25 STETSON.MX (11)</t>
        </is>
      </c>
      <c r="AF2179" s="51" t="n">
        <v>13</v>
      </c>
      <c r="AG2179" s="156" t="inlineStr">
        <is>
          <t>Catálogo existente</t>
        </is>
      </c>
      <c r="AH2179" s="156" t="inlineStr">
        <is>
          <t>Revisión 29/09/2026: Campos sin respaldo: P, U | 01/10/2026: complementado desde Shopify Stetson México (match por código de barras): WB Color, WB Fit, WB Silueta</t>
        </is>
      </c>
      <c r="AI2179" s="156" t="inlineStr">
        <is>
          <t>Sí</t>
        </is>
      </c>
      <c r="AJ2179" s="156" t="inlineStr">
        <is>
          <t>STETSON AMERICAS (-1)</t>
        </is>
      </c>
      <c r="AK2179" s="155" t="inlineStr">
        <is>
          <t>Criterios: I [Q] | Criterios: J [R] | Shopify Stetson: producto 14810796130667 / variante 52515547054443</t>
        </is>
      </c>
      <c r="AL2179" s="58" t="n">
        <v>1532.327586</v>
      </c>
      <c r="AM2179" s="58" t="n">
        <v>3405.172414</v>
      </c>
      <c r="AN2179" s="155" t="inlineStr">
        <is>
          <t>Shopify Stetson México</t>
        </is>
      </c>
      <c r="AO2179" s="59" t="n">
        <v>17</v>
      </c>
      <c r="AP2179" s="59" t="n"/>
      <c r="AQ2179" s="59" t="n"/>
      <c r="AR2179" s="155" t="inlineStr">
        <is>
          <t>Shopify Stetson México › Stetson México: 11 | Shopify Stetson México › Stetson Americas: 4 | Shopify Stetson México › Eventos: 2</t>
        </is>
      </c>
    </row>
    <row r="2180">
      <c r="A2180" s="50" t="inlineStr">
        <is>
          <t>724303743975</t>
        </is>
      </c>
      <c r="B2180" s="51" t="inlineStr">
        <is>
          <t>109721</t>
        </is>
      </c>
      <c r="C2180" s="156" t="inlineStr">
        <is>
          <t>Multimarca</t>
        </is>
      </c>
      <c r="D2180" s="156" t="inlineStr">
        <is>
          <t>9510000-200-NZ</t>
        </is>
      </c>
      <c r="E2180" s="156" t="inlineStr">
        <is>
          <t>9510000-200-NZ</t>
        </is>
      </c>
      <c r="F2180" s="156" t="inlineStr">
        <is>
          <t>Talla única</t>
        </is>
      </c>
      <c r="G2180" s="156" t="inlineStr">
        <is>
          <t>One Size</t>
        </is>
      </c>
      <c r="H2180" s="156" t="inlineStr">
        <is>
          <t>Stetson</t>
        </is>
      </c>
      <c r="I2180" s="156" t="inlineStr">
        <is>
          <t>Cartera Stetson Tipo Clutch Grabada</t>
        </is>
      </c>
      <c r="J2180" s="156" t="inlineStr">
        <is>
          <t>Accesorios</t>
        </is>
      </c>
      <c r="K2180" s="156" t="inlineStr">
        <is>
          <t>Carteras</t>
        </is>
      </c>
      <c r="L2180" s="156" t="inlineStr">
        <is>
          <t>Mujer</t>
        </is>
      </c>
      <c r="M2180" s="156" t="inlineStr">
        <is>
          <t>Stetson</t>
        </is>
      </c>
      <c r="N2180" s="156" t="inlineStr">
        <is>
          <t>SS26</t>
        </is>
      </c>
      <c r="O2180" s="156" t="inlineStr">
        <is>
          <t>Seasonal</t>
        </is>
      </c>
      <c r="P2180" s="156" t="inlineStr">
        <is>
          <t>Cafe</t>
        </is>
      </c>
      <c r="Q2180" s="156" t="n"/>
      <c r="R2180" s="156" t="n"/>
      <c r="S2180" s="156" t="inlineStr">
        <is>
          <t>Piel</t>
        </is>
      </c>
      <c r="T2180" s="156" t="inlineStr">
        <is>
          <t>Elaborada en cuero genuino de primera calidad, esta cartera tipo clutch destaca por su grabado artesanal y su hebilla metálica de tres piezas en tono plateado. Diseñada para combinar elegancia y funcionalidad, cuenta con 2 compartimentos para bill(más...)</t>
        </is>
      </c>
      <c r="U2180" s="156" t="n"/>
      <c r="V2180" s="156" t="inlineStr">
        <is>
          <t>PZS</t>
        </is>
      </c>
      <c r="W2180" s="51" t="inlineStr">
        <is>
          <t>53121700</t>
        </is>
      </c>
      <c r="X2180" s="156" t="inlineStr">
        <is>
          <t>https://cdn.shopify.com/s/files/1/0888/3250/8267/files/9510000-200-NZ-01.jpg?v=1761852308</t>
        </is>
      </c>
      <c r="Y2180" s="54" t="n">
        <v>1532.327586</v>
      </c>
      <c r="Z2180" s="54" t="n">
        <v>3405.172414</v>
      </c>
      <c r="AA2180" s="55">
        <f>IF(AND(A2180="", B2180="", E2180=""), "", IF(AB2180="", "Válido", IF((LEN(AB2180)-LEN(SUBSTITUTE(AB2180,"; ","")))/2+1&gt;(LEN(AB2180)-LEN(SUBSTITUTE(AB2180,"[Aviso]","")))/7, "Con Incidencias", "Válido")))</f>
        <v/>
      </c>
      <c r="AB2180" s="56">
        <f>IF(AND(A2180="", B2180="", E2180=""), "", TEXTJOIN("; ", TRUE, IF(OR(TRIM(A2180&amp;"")="", ISNUMBER(SEARCH("FALTA", A2180))), "UPC faltante/inválido", ""), IF(AND(A2180&lt;&gt;"", IFERROR(_xlfn.XMATCH(A2180,$A$2:$A$2509,0,1)&lt;&gt;_xlfn.XMATCH(A2180,$A$2:$A$2509,0,-1),FALSE)), "Código de barras duplicado", ""), IF(AND(E2180&lt;&gt;"", COUNTIF($E$2:$E$2509, E2180)&gt;1), "SKU duplicado", ""), IF(OR(J2180="", J2180=""), "[Aviso] División no capturada ()", IF(ISNA(MATCH(J2180, Criterios!$A$123:$A$126, 0)), "División no válida", "")), IF(OR(K2180="", K2180=""), "[Aviso] Categoría no capturada ()", IF(ISNA(MATCH(K2180, Criterios!$A$81:$A$120, 0)), "Categoría no válida", IF(AND(J2180&lt;&gt;"", J2180&lt;&gt;"", J2180&lt;&gt;VLOOKUP(K2180, Criterios!$A$81:$B$120, 2, FALSE)), "División no coincide con Categoría", ""))), IF(OR(L2180="", L2180=""), "[Aviso] Género no capturado ()", IF(ISNA(MATCH(L2180, Criterios!$B$123:$B$127, 0)), "Género no válido", "")), IF(OR(N2180="", N2180=""), "[Aviso] Temporada no capturada ()", IF(ISNA(MATCH(N2180, Criterios!$C$123:$C$128, 0)), "Temporada no válida", "")), IF(OR(O2180="", O2180=""), "[Aviso] Ciclo de vida no capturado ()", IF(ISNA(MATCH(O2180, Criterios!$D$123:$D$124, 0)), "Ciclo de vida no válido", ""))))</f>
        <v/>
      </c>
      <c r="AC2180" s="56" t="n"/>
      <c r="AD2180" s="51" t="n">
        <v>6</v>
      </c>
      <c r="AE2180" s="156" t="inlineStr">
        <is>
          <t>PUNTO DE VENTA (2); B25 STETSON.MX (3); WB OUTLET LERMA (2)</t>
        </is>
      </c>
      <c r="AF2180" s="51" t="n">
        <v>7</v>
      </c>
      <c r="AG2180" s="156" t="inlineStr">
        <is>
          <t>Catálogo existente</t>
        </is>
      </c>
      <c r="AH2180" s="156" t="inlineStr">
        <is>
          <t>Revisión 29/09/2026: Campos sin respaldo: P, U | 01/10/2026: complementado desde Shopify Stetson México (match por código de barras): WB Color, WB Fit, WB Silueta</t>
        </is>
      </c>
      <c r="AI2180" s="156" t="inlineStr">
        <is>
          <t>Sí</t>
        </is>
      </c>
      <c r="AJ2180" s="156" t="inlineStr">
        <is>
          <t>STETSON AMERICAS (-1)</t>
        </is>
      </c>
      <c r="AK2180" s="155" t="inlineStr">
        <is>
          <t>Criterios: I [Q] | Criterios: J [R] | Shopify Stetson: producto 14810796130667 / variante 52515547021675 | Shopify WB: producto 8579865444537 / variante 47802961723577</t>
        </is>
      </c>
      <c r="AL2180" s="58" t="n">
        <v>1532.327586</v>
      </c>
      <c r="AM2180" s="58" t="n">
        <v>3405.172414</v>
      </c>
      <c r="AN2180" s="155" t="inlineStr">
        <is>
          <t>Shopify Stetson México | Shopify Western Brothers</t>
        </is>
      </c>
      <c r="AO2180" s="59" t="n">
        <v>15</v>
      </c>
      <c r="AP2180" s="59" t="n">
        <v>2</v>
      </c>
      <c r="AQ2180" s="59" t="n"/>
      <c r="AR2180" s="155" t="inlineStr">
        <is>
          <t>Shopify Stetson México › Stetson México: 3 | Shopify Stetson México › Stetson Americas: 10 | Shopify Stetson México › Eventos: 2 | Shopify Western Brothers › Western Brothers Outlet Lerma: 2</t>
        </is>
      </c>
    </row>
    <row r="2181">
      <c r="A2181" s="50" t="inlineStr">
        <is>
          <t>724303744002</t>
        </is>
      </c>
      <c r="B2181" s="51" t="inlineStr">
        <is>
          <t>109716</t>
        </is>
      </c>
      <c r="C2181" s="156" t="inlineStr">
        <is>
          <t>Multimarca</t>
        </is>
      </c>
      <c r="D2181" s="156" t="inlineStr">
        <is>
          <t>9501000-200-NZ</t>
        </is>
      </c>
      <c r="E2181" s="156" t="inlineStr">
        <is>
          <t>9501000-200-NZ</t>
        </is>
      </c>
      <c r="F2181" s="156" t="inlineStr">
        <is>
          <t>Talla única</t>
        </is>
      </c>
      <c r="G2181" s="156" t="inlineStr">
        <is>
          <t>One Size</t>
        </is>
      </c>
      <c r="H2181" s="156" t="inlineStr">
        <is>
          <t>Stetson</t>
        </is>
      </c>
      <c r="I2181" s="156" t="inlineStr">
        <is>
          <t>Cartera Stetson Dama Grabado y Cierre</t>
        </is>
      </c>
      <c r="J2181" s="156" t="inlineStr">
        <is>
          <t>Accesorios</t>
        </is>
      </c>
      <c r="K2181" s="156" t="inlineStr">
        <is>
          <t>Carteras</t>
        </is>
      </c>
      <c r="L2181" s="156" t="inlineStr">
        <is>
          <t>Mujer</t>
        </is>
      </c>
      <c r="M2181" s="156" t="inlineStr">
        <is>
          <t>Stetson</t>
        </is>
      </c>
      <c r="N2181" s="156" t="inlineStr">
        <is>
          <t>SS26</t>
        </is>
      </c>
      <c r="O2181" s="156" t="inlineStr">
        <is>
          <t>Seasonal</t>
        </is>
      </c>
      <c r="P2181" s="156" t="inlineStr">
        <is>
          <t>Cafe</t>
        </is>
      </c>
      <c r="Q2181" s="156" t="n"/>
      <c r="R2181" s="156" t="n"/>
      <c r="S2181" s="156" t="inlineStr">
        <is>
          <t>Cuero de grano superior</t>
        </is>
      </c>
      <c r="T2181" s="156" t="inlineStr">
        <is>
          <t>Fabricada en cuero de primera calidad, esta elegante cartera con cierre perimetral presenta un grabado ornamental y un concho distintivo de Stetson. Cuenta con tres compartimentos para billetes, 13 ranuras para tarjetas, ventana para identificaci(más...)</t>
        </is>
      </c>
      <c r="U2181" s="156" t="n"/>
      <c r="V2181" s="156" t="inlineStr">
        <is>
          <t>PZS</t>
        </is>
      </c>
      <c r="W2181" s="51" t="inlineStr">
        <is>
          <t>53121700</t>
        </is>
      </c>
      <c r="X2181" s="156" t="inlineStr">
        <is>
          <t>https://cdn.shopify.com/s/files/1/0888/3250/8267/files/9501000-200-NZ-01.jpg?v=1761840390</t>
        </is>
      </c>
      <c r="Y2181" s="54" t="n">
        <v>1435.344828</v>
      </c>
      <c r="Z2181" s="54" t="n">
        <v>3189.655172</v>
      </c>
      <c r="AA2181" s="55">
        <f>IF(AND(A2181="", B2181="", E2181=""), "", IF(AB2181="", "Válido", IF((LEN(AB2181)-LEN(SUBSTITUTE(AB2181,"; ","")))/2+1&gt;(LEN(AB2181)-LEN(SUBSTITUTE(AB2181,"[Aviso]","")))/7, "Con Incidencias", "Válido")))</f>
        <v/>
      </c>
      <c r="AB2181" s="56">
        <f>IF(AND(A2181="", B2181="", E2181=""), "", TEXTJOIN("; ", TRUE, IF(OR(TRIM(A2181&amp;"")="", ISNUMBER(SEARCH("FALTA", A2181))), "UPC faltante/inválido", ""), IF(AND(A2181&lt;&gt;"", IFERROR(_xlfn.XMATCH(A2181,$A$2:$A$2509,0,1)&lt;&gt;_xlfn.XMATCH(A2181,$A$2:$A$2509,0,-1),FALSE)), "Código de barras duplicado", ""), IF(AND(E2181&lt;&gt;"", COUNTIF($E$2:$E$2509, E2181)&gt;1), "SKU duplicado", ""), IF(OR(J2181="", J2181=""), "[Aviso] División no capturada ()", IF(ISNA(MATCH(J2181, Criterios!$A$123:$A$126, 0)), "División no válida", "")), IF(OR(K2181="", K2181=""), "[Aviso] Categoría no capturada ()", IF(ISNA(MATCH(K2181, Criterios!$A$81:$A$120, 0)), "Categoría no válida", IF(AND(J2181&lt;&gt;"", J2181&lt;&gt;"", J2181&lt;&gt;VLOOKUP(K2181, Criterios!$A$81:$B$120, 2, FALSE)), "División no coincide con Categoría", ""))), IF(OR(L2181="", L2181=""), "[Aviso] Género no capturado ()", IF(ISNA(MATCH(L2181, Criterios!$B$123:$B$127, 0)), "Género no válido", "")), IF(OR(N2181="", N2181=""), "[Aviso] Temporada no capturada ()", IF(ISNA(MATCH(N2181, Criterios!$C$123:$C$128, 0)), "Temporada no válida", "")), IF(OR(O2181="", O2181=""), "[Aviso] Ciclo de vida no capturado ()", IF(ISNA(MATCH(O2181, Criterios!$D$123:$D$124, 0)), "Ciclo de vida no válido", ""))))</f>
        <v/>
      </c>
      <c r="AC2181" s="56" t="n"/>
      <c r="AD2181" s="51" t="n">
        <v>10</v>
      </c>
      <c r="AE2181" s="156" t="inlineStr">
        <is>
          <t>WB OUTLET LERMA (3); B25 STETSON.MX (7)</t>
        </is>
      </c>
      <c r="AF2181" s="51" t="n">
        <v>10</v>
      </c>
      <c r="AG2181" s="156" t="inlineStr">
        <is>
          <t>Catálogo existente</t>
        </is>
      </c>
      <c r="AH2181" s="156" t="inlineStr">
        <is>
          <t>Revisión 29/09/2026: Campos sin respaldo: U | 01/10/2026: complementado desde Shopify Stetson México (match por código de barras): WB Fit, WB Silueta | 01/10/2026: Shopify Stetson México trae Color «Varios» — se conservó el valor de Productos | 01/10/2026: Shopify Western Brothers trae Color «Varios» — se conservó el valor de Productos</t>
        </is>
      </c>
      <c r="AI2181" s="156" t="inlineStr">
        <is>
          <t>No</t>
        </is>
      </c>
      <c r="AJ2181" s="156" t="n"/>
      <c r="AK2181" s="155" t="inlineStr">
        <is>
          <t>Criterios: I [Q] | Criterios: J [R] | Shopify Stetson: producto 14810776666475 / variante 52515449078123 | Shopify WB: producto 10310237814969 / variante 50512090071225</t>
        </is>
      </c>
      <c r="AL2181" s="58" t="n">
        <v>1435.344828</v>
      </c>
      <c r="AM2181" s="58" t="n">
        <v>3189.655172</v>
      </c>
      <c r="AN2181" s="155" t="inlineStr">
        <is>
          <t>Shopify Stetson México | Shopify Western Brothers</t>
        </is>
      </c>
      <c r="AO2181" s="59" t="n">
        <v>19</v>
      </c>
      <c r="AP2181" s="59" t="n">
        <v>3</v>
      </c>
      <c r="AQ2181" s="59" t="n"/>
      <c r="AR2181" s="155" t="inlineStr">
        <is>
          <t>Shopify Stetson México › Stetson México: 7 | Shopify Stetson México › Stetson Americas: 10 | Shopify Stetson México › Eventos: 2 | Shopify Western Brothers › Western Brothers Outlet Lerma: 3</t>
        </is>
      </c>
    </row>
    <row r="2182">
      <c r="A2182" s="50" t="inlineStr">
        <is>
          <t>724303749496</t>
        </is>
      </c>
      <c r="B2182" s="51" t="inlineStr">
        <is>
          <t>109748</t>
        </is>
      </c>
      <c r="C2182" s="156" t="inlineStr">
        <is>
          <t>Multimarca</t>
        </is>
      </c>
      <c r="D2182" s="156" t="inlineStr">
        <is>
          <t>9808001-19-NZ</t>
        </is>
      </c>
      <c r="E2182" s="156" t="inlineStr">
        <is>
          <t>9808001-19-NZ</t>
        </is>
      </c>
      <c r="F2182" s="156" t="inlineStr">
        <is>
          <t>Talla única</t>
        </is>
      </c>
      <c r="G2182" s="156" t="inlineStr">
        <is>
          <t>One Size</t>
        </is>
      </c>
      <c r="H2182" s="156" t="inlineStr">
        <is>
          <t>Stetson</t>
        </is>
      </c>
      <c r="I2182" s="156" t="inlineStr">
        <is>
          <t>Cartera Stetson Trifold</t>
        </is>
      </c>
      <c r="J2182" s="156" t="inlineStr">
        <is>
          <t>Accesorios</t>
        </is>
      </c>
      <c r="K2182" s="156" t="inlineStr">
        <is>
          <t>Carteras</t>
        </is>
      </c>
      <c r="L2182" s="156" t="inlineStr">
        <is>
          <t>Hombre</t>
        </is>
      </c>
      <c r="M2182" s="156" t="inlineStr">
        <is>
          <t>Stetson</t>
        </is>
      </c>
      <c r="N2182" s="156" t="inlineStr">
        <is>
          <t>SS26</t>
        </is>
      </c>
      <c r="O2182" s="156" t="inlineStr">
        <is>
          <t>Seasonal</t>
        </is>
      </c>
      <c r="P2182" s="156" t="n"/>
      <c r="Q2182" s="156" t="n"/>
      <c r="R2182" s="156" t="n"/>
      <c r="S2182" s="156" t="n"/>
      <c r="T2182" s="156" t="n"/>
      <c r="U2182" s="156" t="n"/>
      <c r="V2182" s="156" t="inlineStr">
        <is>
          <t>PZS</t>
        </is>
      </c>
      <c r="W2182" s="51" t="inlineStr">
        <is>
          <t>53121700</t>
        </is>
      </c>
      <c r="X2182" s="156" t="n"/>
      <c r="Y2182" s="54" t="n">
        <v>2094.827586</v>
      </c>
      <c r="Z2182" s="54" t="n">
        <v>4655.172414</v>
      </c>
      <c r="AA2182" s="55">
        <f>IF(AND(A2182="", B2182="", E2182=""), "", IF(AB2182="", "Válido", IF((LEN(AB2182)-LEN(SUBSTITUTE(AB2182,"; ","")))/2+1&gt;(LEN(AB2182)-LEN(SUBSTITUTE(AB2182,"[Aviso]","")))/7, "Con Incidencias", "Válido")))</f>
        <v/>
      </c>
      <c r="AB2182" s="56">
        <f>IF(AND(A2182="", B2182="", E2182=""), "", TEXTJOIN("; ", TRUE, IF(OR(TRIM(A2182&amp;"")="", ISNUMBER(SEARCH("FALTA", A2182))), "UPC faltante/inválido", ""), IF(AND(A2182&lt;&gt;"", IFERROR(_xlfn.XMATCH(A2182,$A$2:$A$2509,0,1)&lt;&gt;_xlfn.XMATCH(A2182,$A$2:$A$2509,0,-1),FALSE)), "Código de barras duplicado", ""), IF(AND(E2182&lt;&gt;"", COUNTIF($E$2:$E$2509, E2182)&gt;1), "SKU duplicado", ""), IF(OR(J2182="", J2182=""), "[Aviso] División no capturada ()", IF(ISNA(MATCH(J2182, Criterios!$A$123:$A$126, 0)), "División no válida", "")), IF(OR(K2182="", K2182=""), "[Aviso] Categoría no capturada ()", IF(ISNA(MATCH(K2182, Criterios!$A$81:$A$120, 0)), "Categoría no válida", IF(AND(J2182&lt;&gt;"", J2182&lt;&gt;"", J2182&lt;&gt;VLOOKUP(K2182, Criterios!$A$81:$B$120, 2, FALSE)), "División no coincide con Categoría", ""))), IF(OR(L2182="", L2182=""), "[Aviso] Género no capturado ()", IF(ISNA(MATCH(L2182, Criterios!$B$123:$B$127, 0)), "Género no válido", "")), IF(OR(N2182="", N2182=""), "[Aviso] Temporada no capturada ()", IF(ISNA(MATCH(N2182, Criterios!$C$123:$C$128, 0)), "Temporada no válida", "")), IF(OR(O2182="", O2182=""), "[Aviso] Ciclo de vida no capturado ()", IF(ISNA(MATCH(O2182, Criterios!$D$123:$D$124, 0)), "Ciclo de vida no válido", ""))))</f>
        <v/>
      </c>
      <c r="AC2182" s="56" t="n"/>
      <c r="AD2182" s="51" t="n">
        <v>0</v>
      </c>
      <c r="AE2182" s="156" t="n"/>
      <c r="AF2182" s="51" t="n">
        <v>0</v>
      </c>
      <c r="AG2182" s="156" t="inlineStr">
        <is>
          <t>Catálogo existente</t>
        </is>
      </c>
      <c r="AH2182" s="156" t="inlineStr">
        <is>
          <t>Revisión 29/09/2026: Campos sin respaldo: P, S, U, X | 01/10/2026: complementado desde Shopify Stetson México (match por código de barras): WB Fit, WB Silueta</t>
        </is>
      </c>
      <c r="AI2182" s="156" t="inlineStr">
        <is>
          <t>No</t>
        </is>
      </c>
      <c r="AJ2182" s="156" t="n"/>
      <c r="AK2182" s="155" t="inlineStr">
        <is>
          <t>Criterios: I [Q] | Criterios: J [R] | Descripción del registro fuente [T] | Shopify Stetson: producto 15069732077931 / variante 53413005656427</t>
        </is>
      </c>
      <c r="AL2182" s="58" t="n">
        <v>2094.827586</v>
      </c>
      <c r="AM2182" s="58" t="n">
        <v>4655.172414</v>
      </c>
      <c r="AN2182" s="155" t="inlineStr">
        <is>
          <t>Shopify Stetson México</t>
        </is>
      </c>
      <c r="AO2182" s="59" t="n">
        <v>0</v>
      </c>
      <c r="AP2182" s="59" t="n"/>
      <c r="AQ2182" s="59" t="n"/>
      <c r="AR2182" s="155" t="n"/>
    </row>
    <row r="2183">
      <c r="A2183" s="50" t="inlineStr">
        <is>
          <t>724303749502</t>
        </is>
      </c>
      <c r="B2183" s="51" t="inlineStr">
        <is>
          <t>109749</t>
        </is>
      </c>
      <c r="C2183" s="156" t="inlineStr">
        <is>
          <t>Multimarca</t>
        </is>
      </c>
      <c r="D2183" s="156" t="inlineStr">
        <is>
          <t>9808002-19-NZ</t>
        </is>
      </c>
      <c r="E2183" s="156" t="inlineStr">
        <is>
          <t>9808002-19-NZ</t>
        </is>
      </c>
      <c r="F2183" s="156" t="inlineStr">
        <is>
          <t>Talla única</t>
        </is>
      </c>
      <c r="G2183" s="156" t="inlineStr">
        <is>
          <t>One Size</t>
        </is>
      </c>
      <c r="H2183" s="156" t="inlineStr">
        <is>
          <t>Stetson</t>
        </is>
      </c>
      <c r="I2183" s="156" t="inlineStr">
        <is>
          <t>Cartera Stetson Bifold</t>
        </is>
      </c>
      <c r="J2183" s="156" t="inlineStr">
        <is>
          <t>Accesorios</t>
        </is>
      </c>
      <c r="K2183" s="156" t="inlineStr">
        <is>
          <t>Carteras</t>
        </is>
      </c>
      <c r="L2183" s="156" t="inlineStr">
        <is>
          <t>Hombre</t>
        </is>
      </c>
      <c r="M2183" s="156" t="inlineStr">
        <is>
          <t>Stetson</t>
        </is>
      </c>
      <c r="N2183" s="156" t="inlineStr">
        <is>
          <t>SS26</t>
        </is>
      </c>
      <c r="O2183" s="156" t="inlineStr">
        <is>
          <t>Seasonal</t>
        </is>
      </c>
      <c r="P2183" s="156" t="n"/>
      <c r="Q2183" s="156" t="n"/>
      <c r="R2183" s="156" t="n"/>
      <c r="S2183" s="156" t="n"/>
      <c r="T2183" s="156" t="inlineStr">
        <is>
          <t>Cartera Stetson Bifold.</t>
        </is>
      </c>
      <c r="U2183" s="156" t="n"/>
      <c r="V2183" s="156" t="inlineStr">
        <is>
          <t>PZS</t>
        </is>
      </c>
      <c r="W2183" s="51" t="inlineStr">
        <is>
          <t>53121700</t>
        </is>
      </c>
      <c r="X2183" s="156" t="n"/>
      <c r="Y2183" s="54" t="n">
        <v>2094.827586</v>
      </c>
      <c r="Z2183" s="54" t="n">
        <v>4655.172414</v>
      </c>
      <c r="AA2183" s="55">
        <f>IF(AND(A2183="", B2183="", E2183=""), "", IF(AB2183="", "Válido", IF((LEN(AB2183)-LEN(SUBSTITUTE(AB2183,"; ","")))/2+1&gt;(LEN(AB2183)-LEN(SUBSTITUTE(AB2183,"[Aviso]","")))/7, "Con Incidencias", "Válido")))</f>
        <v/>
      </c>
      <c r="AB2183" s="56">
        <f>IF(AND(A2183="", B2183="", E2183=""), "", TEXTJOIN("; ", TRUE, IF(OR(TRIM(A2183&amp;"")="", ISNUMBER(SEARCH("FALTA", A2183))), "UPC faltante/inválido", ""), IF(AND(A2183&lt;&gt;"", IFERROR(_xlfn.XMATCH(A2183,$A$2:$A$2509,0,1)&lt;&gt;_xlfn.XMATCH(A2183,$A$2:$A$2509,0,-1),FALSE)), "Código de barras duplicado", ""), IF(AND(E2183&lt;&gt;"", COUNTIF($E$2:$E$2509, E2183)&gt;1), "SKU duplicado", ""), IF(OR(J2183="", J2183=""), "[Aviso] División no capturada ()", IF(ISNA(MATCH(J2183, Criterios!$A$123:$A$126, 0)), "División no válida", "")), IF(OR(K2183="", K2183=""), "[Aviso] Categoría no capturada ()", IF(ISNA(MATCH(K2183, Criterios!$A$81:$A$120, 0)), "Categoría no válida", IF(AND(J2183&lt;&gt;"", J2183&lt;&gt;"", J2183&lt;&gt;VLOOKUP(K2183, Criterios!$A$81:$B$120, 2, FALSE)), "División no coincide con Categoría", ""))), IF(OR(L2183="", L2183=""), "[Aviso] Género no capturado ()", IF(ISNA(MATCH(L2183, Criterios!$B$123:$B$127, 0)), "Género no válido", "")), IF(OR(N2183="", N2183=""), "[Aviso] Temporada no capturada ()", IF(ISNA(MATCH(N2183, Criterios!$C$123:$C$128, 0)), "Temporada no válida", "")), IF(OR(O2183="", O2183=""), "[Aviso] Ciclo de vida no capturado ()", IF(ISNA(MATCH(O2183, Criterios!$D$123:$D$124, 0)), "Ciclo de vida no válido", ""))))</f>
        <v/>
      </c>
      <c r="AC2183" s="56" t="n"/>
      <c r="AD2183" s="51" t="n">
        <v>0</v>
      </c>
      <c r="AE2183" s="156" t="n"/>
      <c r="AF2183" s="51" t="n">
        <v>0</v>
      </c>
      <c r="AG2183" s="156" t="inlineStr">
        <is>
          <t>Catálogo existente</t>
        </is>
      </c>
      <c r="AH2183" s="156" t="inlineStr">
        <is>
          <t>Revisión 29/09/2026: Campos sin respaldo: P, S, U, X | 01/10/2026: complementado desde Shopify Stetson México (match por código de barras): WB Fit, WB Silueta</t>
        </is>
      </c>
      <c r="AI2183" s="156" t="inlineStr">
        <is>
          <t>No</t>
        </is>
      </c>
      <c r="AJ2183" s="156" t="n"/>
      <c r="AK2183" s="155" t="inlineStr">
        <is>
          <t>Criterios: I [Q] | Criterios: J [R] | Shopify Stetson: producto 15069732110699 / variante 53413005689195</t>
        </is>
      </c>
      <c r="AL2183" s="58" t="n">
        <v>2094.827586</v>
      </c>
      <c r="AM2183" s="58" t="n">
        <v>4655.172414</v>
      </c>
      <c r="AN2183" s="155" t="inlineStr">
        <is>
          <t>Shopify Stetson México</t>
        </is>
      </c>
      <c r="AO2183" s="59" t="n">
        <v>0</v>
      </c>
      <c r="AP2183" s="59" t="n"/>
      <c r="AQ2183" s="59" t="n"/>
      <c r="AR2183" s="155" t="n"/>
    </row>
    <row r="2184">
      <c r="A2184" s="50" t="inlineStr">
        <is>
          <t>7506136303112</t>
        </is>
      </c>
      <c r="B2184" s="51" t="inlineStr">
        <is>
          <t>107401</t>
        </is>
      </c>
      <c r="C2184" s="156" t="inlineStr">
        <is>
          <t>Multimarca</t>
        </is>
      </c>
      <c r="D2184" s="156" t="inlineStr">
        <is>
          <t>STS01</t>
        </is>
      </c>
      <c r="E2184" s="156" t="inlineStr">
        <is>
          <t>STS01</t>
        </is>
      </c>
      <c r="F2184" s="156" t="inlineStr">
        <is>
          <t>Talla única</t>
        </is>
      </c>
      <c r="G2184" s="156" t="inlineStr">
        <is>
          <t>One Size</t>
        </is>
      </c>
      <c r="H2184" s="156" t="inlineStr">
        <is>
          <t>Stetson</t>
        </is>
      </c>
      <c r="I2184" s="156" t="inlineStr">
        <is>
          <t>Gorra Stetson Trucker Negra</t>
        </is>
      </c>
      <c r="J2184" s="156" t="inlineStr">
        <is>
          <t>Accesorios</t>
        </is>
      </c>
      <c r="K2184" s="156" t="inlineStr">
        <is>
          <t>Gorras</t>
        </is>
      </c>
      <c r="L2184" s="156" t="inlineStr">
        <is>
          <t>Hombre</t>
        </is>
      </c>
      <c r="M2184" s="156" t="inlineStr">
        <is>
          <t>Stetson</t>
        </is>
      </c>
      <c r="N2184" s="156" t="inlineStr">
        <is>
          <t>SS26</t>
        </is>
      </c>
      <c r="O2184" s="156" t="inlineStr">
        <is>
          <t>Seasonal</t>
        </is>
      </c>
      <c r="P2184" s="156" t="inlineStr">
        <is>
          <t>Negro</t>
        </is>
      </c>
      <c r="Q2184" s="156" t="n"/>
      <c r="R2184" s="156" t="n"/>
      <c r="S2184" s="156" t="inlineStr">
        <is>
          <t>50% Algod</t>
        </is>
      </c>
      <c r="T2184"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184" s="156" t="n"/>
      <c r="V2184" s="156" t="inlineStr">
        <is>
          <t>PZS</t>
        </is>
      </c>
      <c r="W2184" s="51" t="inlineStr">
        <is>
          <t>53102516</t>
        </is>
      </c>
      <c r="X2184" s="156" t="inlineStr">
        <is>
          <t>https://cdn.shopify.com/s/files/1/0888/3250/8267/files/STS01-01.jpg?v=1758736700</t>
        </is>
      </c>
      <c r="Y2184" s="54" t="n">
        <v>258.62</v>
      </c>
      <c r="Z2184" s="54" t="n">
        <v>430.1724138</v>
      </c>
      <c r="AA2184" s="55">
        <f>IF(AND(A2184="", B2184="", E2184=""), "", IF(AB2184="", "Válido", IF((LEN(AB2184)-LEN(SUBSTITUTE(AB2184,"; ","")))/2+1&gt;(LEN(AB2184)-LEN(SUBSTITUTE(AB2184,"[Aviso]","")))/7, "Con Incidencias", "Válido")))</f>
        <v/>
      </c>
      <c r="AB2184" s="56">
        <f>IF(AND(A2184="", B2184="", E2184=""), "", TEXTJOIN("; ", TRUE, IF(OR(TRIM(A2184&amp;"")="", ISNUMBER(SEARCH("FALTA", A2184))), "UPC faltante/inválido", ""), IF(AND(A2184&lt;&gt;"", IFERROR(_xlfn.XMATCH(A2184,$A$2:$A$2509,0,1)&lt;&gt;_xlfn.XMATCH(A2184,$A$2:$A$2509,0,-1),FALSE)), "Código de barras duplicado", ""), IF(AND(E2184&lt;&gt;"", COUNTIF($E$2:$E$2509, E2184)&gt;1), "SKU duplicado", ""), IF(OR(J2184="", J2184=""), "[Aviso] División no capturada ()", IF(ISNA(MATCH(J2184, Criterios!$A$123:$A$126, 0)), "División no válida", "")), IF(OR(K2184="", K2184=""), "[Aviso] Categoría no capturada ()", IF(ISNA(MATCH(K2184, Criterios!$A$81:$A$120, 0)), "Categoría no válida", IF(AND(J2184&lt;&gt;"", J2184&lt;&gt;"", J2184&lt;&gt;VLOOKUP(K2184, Criterios!$A$81:$B$120, 2, FALSE)), "División no coincide con Categoría", ""))), IF(OR(L2184="", L2184=""), "[Aviso] Género no capturado ()", IF(ISNA(MATCH(L2184, Criterios!$B$123:$B$127, 0)), "Género no válido", "")), IF(OR(N2184="", N2184=""), "[Aviso] Temporada no capturada ()", IF(ISNA(MATCH(N2184, Criterios!$C$123:$C$128, 0)), "Temporada no válida", "")), IF(OR(O2184="", O2184=""), "[Aviso] Ciclo de vida no capturado ()", IF(ISNA(MATCH(O2184, Criterios!$D$123:$D$124, 0)), "Ciclo de vida no válido", ""))))</f>
        <v/>
      </c>
      <c r="AC2184" s="56" t="n"/>
      <c r="AD2184" s="51" t="n">
        <v>0</v>
      </c>
      <c r="AE2184" s="156" t="inlineStr">
        <is>
          <t>B25 STETSON.MX (2)</t>
        </is>
      </c>
      <c r="AF2184" s="51" t="n">
        <v>2</v>
      </c>
      <c r="AG2184" s="156" t="inlineStr">
        <is>
          <t>Catálogo existente</t>
        </is>
      </c>
      <c r="AH2184" s="156" t="inlineStr">
        <is>
          <t>Revisión 29/09/2026: Campos sin respaldo: U; Auditoría NetSuite 30/09/2026: llenado desde NetSuite [S] | 01/10/2026: complementado desde Shopify Stetson México (match por código de barras): WB Fit, WB Silueta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2184" s="156" t="inlineStr">
        <is>
          <t>Sí</t>
        </is>
      </c>
      <c r="AJ2184" s="156" t="inlineStr">
        <is>
          <t>STETSON AMERICAS (-2)</t>
        </is>
      </c>
      <c r="AK2184" s="155" t="inlineStr">
        <is>
          <t>Criterios: I [Q] | Criterios: J [R]; G1522_Extraccion_Articulos_NetSuite_2026-09-30.xlsx: fila 55897 [S] | Shopify Stetson: producto 14629179556203 / variante 51711201050987 | Shopify WB: producto 8469286977721 / variante 46869084405945</t>
        </is>
      </c>
      <c r="AL2184" s="58" t="n">
        <v>258.62</v>
      </c>
      <c r="AM2184" s="58" t="n">
        <v>430.1724138</v>
      </c>
      <c r="AN2184" s="155" t="inlineStr">
        <is>
          <t>Shopify Stetson México | Shopify Western Brothers</t>
        </is>
      </c>
      <c r="AO2184" s="59" t="n">
        <v>2</v>
      </c>
      <c r="AP2184" s="59" t="n">
        <v>0</v>
      </c>
      <c r="AQ2184" s="59" t="n"/>
      <c r="AR2184" s="155" t="inlineStr">
        <is>
          <t>Shopify Stetson México › Stetson México: 2</t>
        </is>
      </c>
    </row>
    <row r="2185">
      <c r="A2185" s="50" t="inlineStr">
        <is>
          <t>7506136303167</t>
        </is>
      </c>
      <c r="B2185" s="51" t="inlineStr">
        <is>
          <t>110249</t>
        </is>
      </c>
      <c r="C2185" s="156" t="inlineStr">
        <is>
          <t>Multimarca</t>
        </is>
      </c>
      <c r="D2185" s="156" t="inlineStr">
        <is>
          <t>STS06</t>
        </is>
      </c>
      <c r="E2185" s="156" t="inlineStr">
        <is>
          <t>STS06</t>
        </is>
      </c>
      <c r="F2185" s="156" t="inlineStr">
        <is>
          <t>Talla única</t>
        </is>
      </c>
      <c r="G2185" s="156" t="inlineStr">
        <is>
          <t>One Size</t>
        </is>
      </c>
      <c r="H2185" s="156" t="inlineStr">
        <is>
          <t>Stetson</t>
        </is>
      </c>
      <c r="I2185" s="156" t="inlineStr">
        <is>
          <t>Gorra Stetson Trucker Negra</t>
        </is>
      </c>
      <c r="J2185" s="156" t="inlineStr">
        <is>
          <t>Accesorios</t>
        </is>
      </c>
      <c r="K2185" s="156" t="inlineStr">
        <is>
          <t>Gorras</t>
        </is>
      </c>
      <c r="L2185" s="156" t="inlineStr">
        <is>
          <t>Hombre</t>
        </is>
      </c>
      <c r="M2185" s="156" t="inlineStr">
        <is>
          <t>Stetson</t>
        </is>
      </c>
      <c r="N2185" s="156" t="inlineStr">
        <is>
          <t>SS26</t>
        </is>
      </c>
      <c r="O2185" s="156" t="inlineStr">
        <is>
          <t>Seasonal</t>
        </is>
      </c>
      <c r="P2185" s="156" t="inlineStr">
        <is>
          <t>Negro</t>
        </is>
      </c>
      <c r="Q2185" s="156" t="n"/>
      <c r="R2185" s="156" t="n"/>
      <c r="S2185" s="156" t="inlineStr">
        <is>
          <t>50% Algod</t>
        </is>
      </c>
      <c r="T218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185" s="156" t="n"/>
      <c r="V2185" s="156" t="inlineStr">
        <is>
          <t>PZS</t>
        </is>
      </c>
      <c r="W2185" s="51" t="inlineStr">
        <is>
          <t>53102516</t>
        </is>
      </c>
      <c r="X2185" s="156" t="inlineStr">
        <is>
          <t>https://cdn.shopify.com/s/files/1/0888/3250/8267/files/STS06-01.jpg?v=1758736785</t>
        </is>
      </c>
      <c r="Y2185" s="54" t="n">
        <v>310.3448276</v>
      </c>
      <c r="Z2185" s="54" t="n">
        <v>689.6551724</v>
      </c>
      <c r="AA2185" s="55">
        <f>IF(AND(A2185="", B2185="", E2185=""), "", IF(AB2185="", "Válido", IF((LEN(AB2185)-LEN(SUBSTITUTE(AB2185,"; ","")))/2+1&gt;(LEN(AB2185)-LEN(SUBSTITUTE(AB2185,"[Aviso]","")))/7, "Con Incidencias", "Válido")))</f>
        <v/>
      </c>
      <c r="AB2185" s="56">
        <f>IF(AND(A2185="", B2185="", E2185=""), "", TEXTJOIN("; ", TRUE, IF(OR(TRIM(A2185&amp;"")="", ISNUMBER(SEARCH("FALTA", A2185))), "UPC faltante/inválido", ""), IF(AND(A2185&lt;&gt;"", IFERROR(_xlfn.XMATCH(A2185,$A$2:$A$2509,0,1)&lt;&gt;_xlfn.XMATCH(A2185,$A$2:$A$2509,0,-1),FALSE)), "Código de barras duplicado", ""), IF(AND(E2185&lt;&gt;"", COUNTIF($E$2:$E$2509, E2185)&gt;1), "SKU duplicado", ""), IF(OR(J2185="", J2185=""), "[Aviso] División no capturada ()", IF(ISNA(MATCH(J2185, Criterios!$A$123:$A$126, 0)), "División no válida", "")), IF(OR(K2185="", K2185=""), "[Aviso] Categoría no capturada ()", IF(ISNA(MATCH(K2185, Criterios!$A$81:$A$120, 0)), "Categoría no válida", IF(AND(J2185&lt;&gt;"", J2185&lt;&gt;"", J2185&lt;&gt;VLOOKUP(K2185, Criterios!$A$81:$B$120, 2, FALSE)), "División no coincide con Categoría", ""))), IF(OR(L2185="", L2185=""), "[Aviso] Género no capturado ()", IF(ISNA(MATCH(L2185, Criterios!$B$123:$B$127, 0)), "Género no válido", "")), IF(OR(N2185="", N2185=""), "[Aviso] Temporada no capturada ()", IF(ISNA(MATCH(N2185, Criterios!$C$123:$C$128, 0)), "Temporada no válida", "")), IF(OR(O2185="", O2185=""), "[Aviso] Ciclo de vida no capturado ()", IF(ISNA(MATCH(O2185, Criterios!$D$123:$D$124, 0)), "Ciclo de vida no válido", ""))))</f>
        <v/>
      </c>
      <c r="AC2185" s="56" t="n"/>
      <c r="AD2185" s="51" t="n">
        <v>1</v>
      </c>
      <c r="AE2185" s="156" t="inlineStr">
        <is>
          <t>B25 STETSON.MX (1)</t>
        </is>
      </c>
      <c r="AF2185" s="51" t="n">
        <v>1</v>
      </c>
      <c r="AG2185" s="156" t="inlineStr">
        <is>
          <t>Catálogo existente</t>
        </is>
      </c>
      <c r="AH218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2185" s="156" t="inlineStr">
        <is>
          <t>No</t>
        </is>
      </c>
      <c r="AJ2185" s="156" t="n"/>
      <c r="AK2185" s="155" t="inlineStr">
        <is>
          <t>Criterios: I [Q] | Criterios: J [R]; G1522_Extraccion_Articulos_NetSuite_2026-09-30.xlsx: fila 58064 [S] | Shopify Stetson: producto 14629190074731 / variante 51711283364203</t>
        </is>
      </c>
      <c r="AL2185" s="58" t="n">
        <v>310.3448276</v>
      </c>
      <c r="AM2185" s="58" t="n">
        <v>689.6551724</v>
      </c>
      <c r="AN2185" s="155" t="inlineStr">
        <is>
          <t>Shopify Stetson México</t>
        </is>
      </c>
      <c r="AO2185" s="59" t="n">
        <v>1</v>
      </c>
      <c r="AP2185" s="59" t="n"/>
      <c r="AQ2185" s="59" t="n"/>
      <c r="AR2185" s="155" t="inlineStr">
        <is>
          <t>Shopify Stetson México › Stetson Americas: 1</t>
        </is>
      </c>
    </row>
    <row r="2186">
      <c r="A2186" s="50" t="inlineStr">
        <is>
          <t>7506499569200</t>
        </is>
      </c>
      <c r="B2186" s="51" t="inlineStr">
        <is>
          <t>110239</t>
        </is>
      </c>
      <c r="C2186" s="156" t="inlineStr">
        <is>
          <t>Multimarca</t>
        </is>
      </c>
      <c r="D2186" s="156" t="inlineStr">
        <is>
          <t>ST-LT-001-FW25-AF</t>
        </is>
      </c>
      <c r="E2186" s="156" t="inlineStr">
        <is>
          <t>ST-LT-001-FW25-AF-S</t>
        </is>
      </c>
      <c r="F2186" s="156" t="inlineStr">
        <is>
          <t>S</t>
        </is>
      </c>
      <c r="G2186" s="156" t="inlineStr">
        <is>
          <t>S</t>
        </is>
      </c>
      <c r="H2186" s="156" t="inlineStr">
        <is>
          <t>Stetson</t>
        </is>
      </c>
      <c r="I2186" s="156" t="inlineStr">
        <is>
          <t>Camisa Stetson Legacy Taper</t>
        </is>
      </c>
      <c r="J2186" s="156" t="inlineStr">
        <is>
          <t>Ropa</t>
        </is>
      </c>
      <c r="K2186" s="156" t="inlineStr">
        <is>
          <t>Camisas</t>
        </is>
      </c>
      <c r="L2186" s="156" t="inlineStr">
        <is>
          <t>Hombre</t>
        </is>
      </c>
      <c r="M2186" s="156" t="inlineStr">
        <is>
          <t>Stetson</t>
        </is>
      </c>
      <c r="N2186" s="156" t="inlineStr">
        <is>
          <t>SS26</t>
        </is>
      </c>
      <c r="O2186" s="156" t="inlineStr">
        <is>
          <t>Seasonal</t>
        </is>
      </c>
      <c r="P2186" s="156" t="inlineStr">
        <is>
          <t>Varios</t>
        </is>
      </c>
      <c r="Q2186" s="156" t="inlineStr">
        <is>
          <t>Clásico</t>
        </is>
      </c>
      <c r="R2186" s="156" t="n"/>
      <c r="S2186" s="156" t="inlineStr">
        <is>
          <t>100% Algodón</t>
        </is>
      </c>
      <c r="T2186"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6" s="156" t="n"/>
      <c r="V2186" s="156" t="inlineStr">
        <is>
          <t>PZS</t>
        </is>
      </c>
      <c r="W2186" s="51" t="inlineStr">
        <is>
          <t>53101600</t>
        </is>
      </c>
      <c r="X2186" s="156" t="inlineStr">
        <is>
          <t>https://cdn.shopify.com/s/files/1/0888/3250/8267/files/ST-LT-001-AF-01.jpg?v=1762198093</t>
        </is>
      </c>
      <c r="Y2186" s="54" t="n">
        <v>659.4827586</v>
      </c>
      <c r="Z2186" s="54" t="n">
        <v>1465.517241</v>
      </c>
      <c r="AA2186" s="55">
        <f>IF(AND(A2186="", B2186="", E2186=""), "", IF(AB2186="", "Válido", IF((LEN(AB2186)-LEN(SUBSTITUTE(AB2186,"; ","")))/2+1&gt;(LEN(AB2186)-LEN(SUBSTITUTE(AB2186,"[Aviso]","")))/7, "Con Incidencias", "Válido")))</f>
        <v/>
      </c>
      <c r="AB2186" s="56">
        <f>IF(AND(A2186="", B2186="", E2186=""), "", TEXTJOIN("; ", TRUE, IF(OR(TRIM(A2186&amp;"")="", ISNUMBER(SEARCH("FALTA", A2186))), "UPC faltante/inválido", ""), IF(AND(A2186&lt;&gt;"", IFERROR(_xlfn.XMATCH(A2186,$A$2:$A$2509,0,1)&lt;&gt;_xlfn.XMATCH(A2186,$A$2:$A$2509,0,-1),FALSE)), "Código de barras duplicado", ""), IF(AND(E2186&lt;&gt;"", COUNTIF($E$2:$E$2509, E2186)&gt;1), "SKU duplicado", ""), IF(OR(J2186="", J2186=""), "[Aviso] División no capturada ()", IF(ISNA(MATCH(J2186, Criterios!$A$123:$A$126, 0)), "División no válida", "")), IF(OR(K2186="", K2186=""), "[Aviso] Categoría no capturada ()", IF(ISNA(MATCH(K2186, Criterios!$A$81:$A$120, 0)), "Categoría no válida", IF(AND(J2186&lt;&gt;"", J2186&lt;&gt;"", J2186&lt;&gt;VLOOKUP(K2186, Criterios!$A$81:$B$120, 2, FALSE)), "División no coincide con Categoría", ""))), IF(OR(L2186="", L2186=""), "[Aviso] Género no capturado ()", IF(ISNA(MATCH(L2186, Criterios!$B$123:$B$127, 0)), "Género no válido", "")), IF(OR(N2186="", N2186=""), "[Aviso] Temporada no capturada ()", IF(ISNA(MATCH(N2186, Criterios!$C$123:$C$128, 0)), "Temporada no válida", "")), IF(OR(O2186="", O2186=""), "[Aviso] Ciclo de vida no capturado ()", IF(ISNA(MATCH(O2186, Criterios!$D$123:$D$124, 0)), "Ciclo de vida no válido", ""))))</f>
        <v/>
      </c>
      <c r="AC2186" s="56" t="n"/>
      <c r="AD2186" s="51" t="n">
        <v>-1</v>
      </c>
      <c r="AE2186" s="156" t="inlineStr">
        <is>
          <t>B25 STETSON.MX (1)</t>
        </is>
      </c>
      <c r="AF2186" s="51" t="n">
        <v>1</v>
      </c>
      <c r="AG2186" s="156" t="inlineStr">
        <is>
          <t>Catálogo existente</t>
        </is>
      </c>
      <c r="AH2186"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6" s="156" t="inlineStr">
        <is>
          <t>Sí</t>
        </is>
      </c>
      <c r="AJ2186" s="156" t="inlineStr">
        <is>
          <t>STETSON AMERICAS (-2)</t>
        </is>
      </c>
      <c r="AK2186" s="155" t="inlineStr">
        <is>
          <t>Criterios: J [R]; G1522_Extraccion_Articulos_NetSuite_2026-09-30.xlsx: fila 58054 [S] | Shopify Stetson: producto 14813124526443 / variante 53350600573291</t>
        </is>
      </c>
      <c r="AL2186" s="58" t="n">
        <v>659.4827586</v>
      </c>
      <c r="AM2186" s="58" t="n">
        <v>1465.517241</v>
      </c>
      <c r="AN2186" s="155" t="inlineStr">
        <is>
          <t>Shopify Stetson México</t>
        </is>
      </c>
      <c r="AO2186" s="59" t="n">
        <v>3</v>
      </c>
      <c r="AP2186" s="59" t="n"/>
      <c r="AQ2186" s="59" t="n"/>
      <c r="AR2186" s="155" t="inlineStr">
        <is>
          <t>Shopify Stetson México › Stetson México: 1 | Shopify Stetson México › Stetson Americas: 2</t>
        </is>
      </c>
    </row>
    <row r="2187">
      <c r="A2187" s="50" t="inlineStr">
        <is>
          <t>7506499569217</t>
        </is>
      </c>
      <c r="B2187" s="51" t="inlineStr">
        <is>
          <t>110240</t>
        </is>
      </c>
      <c r="C2187" s="156" t="inlineStr">
        <is>
          <t>Multimarca</t>
        </is>
      </c>
      <c r="D2187" s="156" t="inlineStr">
        <is>
          <t>ST-LT-001-FW25-AF</t>
        </is>
      </c>
      <c r="E2187" s="156" t="inlineStr">
        <is>
          <t>ST-LT-001-FW25-AF-M</t>
        </is>
      </c>
      <c r="F2187" s="156" t="inlineStr">
        <is>
          <t>M</t>
        </is>
      </c>
      <c r="G2187" s="156" t="inlineStr">
        <is>
          <t>M</t>
        </is>
      </c>
      <c r="H2187" s="156" t="inlineStr">
        <is>
          <t>Stetson</t>
        </is>
      </c>
      <c r="I2187" s="156" t="inlineStr">
        <is>
          <t>Camisa Stetson Legacy Taper</t>
        </is>
      </c>
      <c r="J2187" s="156" t="inlineStr">
        <is>
          <t>Ropa</t>
        </is>
      </c>
      <c r="K2187" s="156" t="inlineStr">
        <is>
          <t>Camisas</t>
        </is>
      </c>
      <c r="L2187" s="156" t="inlineStr">
        <is>
          <t>Hombre</t>
        </is>
      </c>
      <c r="M2187" s="156" t="inlineStr">
        <is>
          <t>Stetson</t>
        </is>
      </c>
      <c r="N2187" s="156" t="inlineStr">
        <is>
          <t>SS26</t>
        </is>
      </c>
      <c r="O2187" s="156" t="inlineStr">
        <is>
          <t>Seasonal</t>
        </is>
      </c>
      <c r="P2187" s="156" t="inlineStr">
        <is>
          <t>Varios</t>
        </is>
      </c>
      <c r="Q2187" s="156" t="inlineStr">
        <is>
          <t>Clásico</t>
        </is>
      </c>
      <c r="R2187" s="156" t="n"/>
      <c r="S2187" s="156" t="inlineStr">
        <is>
          <t>100% Algodón</t>
        </is>
      </c>
      <c r="T2187"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7" s="156" t="n"/>
      <c r="V2187" s="156" t="inlineStr">
        <is>
          <t>PZS</t>
        </is>
      </c>
      <c r="W2187" s="51" t="inlineStr">
        <is>
          <t>53101600</t>
        </is>
      </c>
      <c r="X2187" s="156" t="inlineStr">
        <is>
          <t>https://cdn.shopify.com/s/files/1/0888/3250/8267/files/ST-LT-001-AF-01.jpg?v=1762198093</t>
        </is>
      </c>
      <c r="Y2187" s="54" t="n">
        <v>659.4827586</v>
      </c>
      <c r="Z2187" s="54" t="n">
        <v>1465.517241</v>
      </c>
      <c r="AA2187" s="55">
        <f>IF(AND(A2187="", B2187="", E2187=""), "", IF(AB2187="", "Válido", IF((LEN(AB2187)-LEN(SUBSTITUTE(AB2187,"; ","")))/2+1&gt;(LEN(AB2187)-LEN(SUBSTITUTE(AB2187,"[Aviso]","")))/7, "Con Incidencias", "Válido")))</f>
        <v/>
      </c>
      <c r="AB2187" s="56">
        <f>IF(AND(A2187="", B2187="", E2187=""), "", TEXTJOIN("; ", TRUE, IF(OR(TRIM(A2187&amp;"")="", ISNUMBER(SEARCH("FALTA", A2187))), "UPC faltante/inválido", ""), IF(AND(A2187&lt;&gt;"", IFERROR(_xlfn.XMATCH(A2187,$A$2:$A$2509,0,1)&lt;&gt;_xlfn.XMATCH(A2187,$A$2:$A$2509,0,-1),FALSE)), "Código de barras duplicado", ""), IF(AND(E2187&lt;&gt;"", COUNTIF($E$2:$E$2509, E2187)&gt;1), "SKU duplicado", ""), IF(OR(J2187="", J2187=""), "[Aviso] División no capturada ()", IF(ISNA(MATCH(J2187, Criterios!$A$123:$A$126, 0)), "División no válida", "")), IF(OR(K2187="", K2187=""), "[Aviso] Categoría no capturada ()", IF(ISNA(MATCH(K2187, Criterios!$A$81:$A$120, 0)), "Categoría no válida", IF(AND(J2187&lt;&gt;"", J2187&lt;&gt;"", J2187&lt;&gt;VLOOKUP(K2187, Criterios!$A$81:$B$120, 2, FALSE)), "División no coincide con Categoría", ""))), IF(OR(L2187="", L2187=""), "[Aviso] Género no capturado ()", IF(ISNA(MATCH(L2187, Criterios!$B$123:$B$127, 0)), "Género no válido", "")), IF(OR(N2187="", N2187=""), "[Aviso] Temporada no capturada ()", IF(ISNA(MATCH(N2187, Criterios!$C$123:$C$128, 0)), "Temporada no válida", "")), IF(OR(O2187="", O2187=""), "[Aviso] Ciclo de vida no capturado ()", IF(ISNA(MATCH(O2187, Criterios!$D$123:$D$124, 0)), "Ciclo de vida no válido", ""))))</f>
        <v/>
      </c>
      <c r="AC2187" s="56" t="n"/>
      <c r="AD2187" s="51" t="n">
        <v>-2</v>
      </c>
      <c r="AE2187" s="156" t="inlineStr">
        <is>
          <t>B25 STETSON.MX (1)</t>
        </is>
      </c>
      <c r="AF2187" s="51" t="n">
        <v>1</v>
      </c>
      <c r="AG2187" s="156" t="inlineStr">
        <is>
          <t>Catálogo existente</t>
        </is>
      </c>
      <c r="AH2187"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7" s="156" t="inlineStr">
        <is>
          <t>Sí</t>
        </is>
      </c>
      <c r="AJ2187" s="156" t="inlineStr">
        <is>
          <t>STETSON AMERICAS (-3)</t>
        </is>
      </c>
      <c r="AK2187" s="155" t="inlineStr">
        <is>
          <t>Criterios: J [R]; G1522_Extraccion_Articulos_NetSuite_2026-09-30.xlsx: fila 58055 [S] | Shopify Stetson: producto 14813124526443 / variante 53350600606059</t>
        </is>
      </c>
      <c r="AL2187" s="58" t="n">
        <v>659.4827586</v>
      </c>
      <c r="AM2187" s="58" t="n">
        <v>1465.517241</v>
      </c>
      <c r="AN2187" s="155" t="inlineStr">
        <is>
          <t>Shopify Stetson México</t>
        </is>
      </c>
      <c r="AO2187" s="59" t="n">
        <v>1</v>
      </c>
      <c r="AP2187" s="59" t="n"/>
      <c r="AQ2187" s="59" t="n"/>
      <c r="AR2187" s="155" t="inlineStr">
        <is>
          <t>Shopify Stetson México › Stetson México: 1</t>
        </is>
      </c>
    </row>
    <row r="2188">
      <c r="A2188" s="50" t="inlineStr">
        <is>
          <t>7506499569224</t>
        </is>
      </c>
      <c r="B2188" s="51" t="inlineStr">
        <is>
          <t>110241</t>
        </is>
      </c>
      <c r="C2188" s="156" t="inlineStr">
        <is>
          <t>Multimarca</t>
        </is>
      </c>
      <c r="D2188" s="156" t="inlineStr">
        <is>
          <t>ST-LT-001-FW25-AF</t>
        </is>
      </c>
      <c r="E2188" s="156" t="inlineStr">
        <is>
          <t>ST-LT-001-FW25-AF-L</t>
        </is>
      </c>
      <c r="F2188" s="156" t="inlineStr">
        <is>
          <t>L</t>
        </is>
      </c>
      <c r="G2188" s="156" t="inlineStr">
        <is>
          <t>L</t>
        </is>
      </c>
      <c r="H2188" s="156" t="inlineStr">
        <is>
          <t>Stetson</t>
        </is>
      </c>
      <c r="I2188" s="156" t="inlineStr">
        <is>
          <t>Camisa Stetson Legacy Taper</t>
        </is>
      </c>
      <c r="J2188" s="156" t="inlineStr">
        <is>
          <t>Ropa</t>
        </is>
      </c>
      <c r="K2188" s="156" t="inlineStr">
        <is>
          <t>Camisas</t>
        </is>
      </c>
      <c r="L2188" s="156" t="inlineStr">
        <is>
          <t>Hombre</t>
        </is>
      </c>
      <c r="M2188" s="156" t="inlineStr">
        <is>
          <t>Stetson</t>
        </is>
      </c>
      <c r="N2188" s="156" t="inlineStr">
        <is>
          <t>SS26</t>
        </is>
      </c>
      <c r="O2188" s="156" t="inlineStr">
        <is>
          <t>Seasonal</t>
        </is>
      </c>
      <c r="P2188" s="156" t="inlineStr">
        <is>
          <t>Varios</t>
        </is>
      </c>
      <c r="Q2188" s="156" t="inlineStr">
        <is>
          <t>Clásico</t>
        </is>
      </c>
      <c r="R2188" s="156" t="n"/>
      <c r="S2188" s="156" t="inlineStr">
        <is>
          <t>100% Algodón</t>
        </is>
      </c>
      <c r="T2188"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8" s="156" t="n"/>
      <c r="V2188" s="156" t="inlineStr">
        <is>
          <t>PZS</t>
        </is>
      </c>
      <c r="W2188" s="51" t="inlineStr">
        <is>
          <t>53101600</t>
        </is>
      </c>
      <c r="X2188" s="156" t="inlineStr">
        <is>
          <t>https://cdn.shopify.com/s/files/1/0888/3250/8267/files/ST-LT-001-AF-01.jpg?v=1762198093</t>
        </is>
      </c>
      <c r="Y2188" s="54" t="n">
        <v>659.4827586</v>
      </c>
      <c r="Z2188" s="54" t="n">
        <v>1465.517241</v>
      </c>
      <c r="AA2188" s="55">
        <f>IF(AND(A2188="", B2188="", E2188=""), "", IF(AB2188="", "Válido", IF((LEN(AB2188)-LEN(SUBSTITUTE(AB2188,"; ","")))/2+1&gt;(LEN(AB2188)-LEN(SUBSTITUTE(AB2188,"[Aviso]","")))/7, "Con Incidencias", "Válido")))</f>
        <v/>
      </c>
      <c r="AB2188" s="56">
        <f>IF(AND(A2188="", B2188="", E2188=""), "", TEXTJOIN("; ", TRUE, IF(OR(TRIM(A2188&amp;"")="", ISNUMBER(SEARCH("FALTA", A2188))), "UPC faltante/inválido", ""), IF(AND(A2188&lt;&gt;"", IFERROR(_xlfn.XMATCH(A2188,$A$2:$A$2509,0,1)&lt;&gt;_xlfn.XMATCH(A2188,$A$2:$A$2509,0,-1),FALSE)), "Código de barras duplicado", ""), IF(AND(E2188&lt;&gt;"", COUNTIF($E$2:$E$2509, E2188)&gt;1), "SKU duplicado", ""), IF(OR(J2188="", J2188=""), "[Aviso] División no capturada ()", IF(ISNA(MATCH(J2188, Criterios!$A$123:$A$126, 0)), "División no válida", "")), IF(OR(K2188="", K2188=""), "[Aviso] Categoría no capturada ()", IF(ISNA(MATCH(K2188, Criterios!$A$81:$A$120, 0)), "Categoría no válida", IF(AND(J2188&lt;&gt;"", J2188&lt;&gt;"", J2188&lt;&gt;VLOOKUP(K2188, Criterios!$A$81:$B$120, 2, FALSE)), "División no coincide con Categoría", ""))), IF(OR(L2188="", L2188=""), "[Aviso] Género no capturado ()", IF(ISNA(MATCH(L2188, Criterios!$B$123:$B$127, 0)), "Género no válido", "")), IF(OR(N2188="", N2188=""), "[Aviso] Temporada no capturada ()", IF(ISNA(MATCH(N2188, Criterios!$C$123:$C$128, 0)), "Temporada no válida", "")), IF(OR(O2188="", O2188=""), "[Aviso] Ciclo de vida no capturado ()", IF(ISNA(MATCH(O2188, Criterios!$D$123:$D$124, 0)), "Ciclo de vida no válido", ""))))</f>
        <v/>
      </c>
      <c r="AC2188" s="56" t="n"/>
      <c r="AD2188" s="51" t="n">
        <v>1</v>
      </c>
      <c r="AE2188" s="156" t="inlineStr">
        <is>
          <t>B25 STETSON.MX (2)</t>
        </is>
      </c>
      <c r="AF2188" s="51" t="n">
        <v>2</v>
      </c>
      <c r="AG2188" s="156" t="inlineStr">
        <is>
          <t>Catálogo existente</t>
        </is>
      </c>
      <c r="AH2188"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8" s="156" t="inlineStr">
        <is>
          <t>Sí</t>
        </is>
      </c>
      <c r="AJ2188" s="156" t="inlineStr">
        <is>
          <t>STETSON AMERICAS (-1)</t>
        </is>
      </c>
      <c r="AK2188" s="155" t="inlineStr">
        <is>
          <t>Criterios: J [R]; G1522_Extraccion_Articulos_NetSuite_2026-09-30.xlsx: fila 58056 [S] | Shopify Stetson: producto 14813124526443 / variante 53350600638827</t>
        </is>
      </c>
      <c r="AL2188" s="58" t="n">
        <v>659.4827586</v>
      </c>
      <c r="AM2188" s="58" t="n">
        <v>1465.517241</v>
      </c>
      <c r="AN2188" s="155" t="inlineStr">
        <is>
          <t>Shopify Stetson México</t>
        </is>
      </c>
      <c r="AO2188" s="59" t="n">
        <v>7</v>
      </c>
      <c r="AP2188" s="59" t="n"/>
      <c r="AQ2188" s="59" t="n"/>
      <c r="AR2188" s="155" t="inlineStr">
        <is>
          <t>Shopify Stetson México › Stetson México: 2 | Shopify Stetson México › Stetson Americas: 5</t>
        </is>
      </c>
    </row>
    <row r="2189">
      <c r="A2189" s="50" t="inlineStr">
        <is>
          <t>7506499569231</t>
        </is>
      </c>
      <c r="B2189" s="51" t="inlineStr">
        <is>
          <t>110242</t>
        </is>
      </c>
      <c r="C2189" s="156" t="inlineStr">
        <is>
          <t>Multimarca</t>
        </is>
      </c>
      <c r="D2189" s="156" t="inlineStr">
        <is>
          <t>ST-LT-001-FW25-AF</t>
        </is>
      </c>
      <c r="E2189" s="156" t="inlineStr">
        <is>
          <t>ST-LT-001-FW25-AF-XL</t>
        </is>
      </c>
      <c r="F2189" s="156" t="inlineStr">
        <is>
          <t>XL</t>
        </is>
      </c>
      <c r="G2189" s="156" t="inlineStr">
        <is>
          <t>XL</t>
        </is>
      </c>
      <c r="H2189" s="156" t="inlineStr">
        <is>
          <t>Stetson</t>
        </is>
      </c>
      <c r="I2189" s="156" t="inlineStr">
        <is>
          <t>Camisa Stetson Legacy Taper</t>
        </is>
      </c>
      <c r="J2189" s="156" t="inlineStr">
        <is>
          <t>Ropa</t>
        </is>
      </c>
      <c r="K2189" s="156" t="inlineStr">
        <is>
          <t>Camisas</t>
        </is>
      </c>
      <c r="L2189" s="156" t="inlineStr">
        <is>
          <t>Hombre</t>
        </is>
      </c>
      <c r="M2189" s="156" t="inlineStr">
        <is>
          <t>Stetson</t>
        </is>
      </c>
      <c r="N2189" s="156" t="inlineStr">
        <is>
          <t>SS26</t>
        </is>
      </c>
      <c r="O2189" s="156" t="inlineStr">
        <is>
          <t>Seasonal</t>
        </is>
      </c>
      <c r="P2189" s="156" t="inlineStr">
        <is>
          <t>Beige</t>
        </is>
      </c>
      <c r="Q2189" s="156" t="inlineStr">
        <is>
          <t>Moderno</t>
        </is>
      </c>
      <c r="R2189" s="156" t="n"/>
      <c r="S2189" s="156" t="inlineStr">
        <is>
          <t>100% Algodón</t>
        </is>
      </c>
      <c r="T2189"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89" s="156" t="n"/>
      <c r="V2189" s="156" t="inlineStr">
        <is>
          <t>PZS</t>
        </is>
      </c>
      <c r="W2189" s="51" t="inlineStr">
        <is>
          <t>53101600</t>
        </is>
      </c>
      <c r="X2189" s="156" t="inlineStr">
        <is>
          <t>https://cdn.shopify.com/s/files/1/0888/3250/8267/files/ST-LT-001-AF-01.jpg?v=1762198093</t>
        </is>
      </c>
      <c r="Y2189" s="54" t="n">
        <v>659.4827586</v>
      </c>
      <c r="Z2189" s="54" t="n">
        <v>1465.517241</v>
      </c>
      <c r="AA2189" s="55">
        <f>IF(AND(A2189="", B2189="", E2189=""), "", IF(AB2189="", "Válido", IF((LEN(AB2189)-LEN(SUBSTITUTE(AB2189,"; ","")))/2+1&gt;(LEN(AB2189)-LEN(SUBSTITUTE(AB2189,"[Aviso]","")))/7, "Con Incidencias", "Válido")))</f>
        <v/>
      </c>
      <c r="AB2189" s="56">
        <f>IF(AND(A2189="", B2189="", E2189=""), "", TEXTJOIN("; ", TRUE, IF(OR(TRIM(A2189&amp;"")="", ISNUMBER(SEARCH("FALTA", A2189))), "UPC faltante/inválido", ""), IF(AND(A2189&lt;&gt;"", IFERROR(_xlfn.XMATCH(A2189,$A$2:$A$2509,0,1)&lt;&gt;_xlfn.XMATCH(A2189,$A$2:$A$2509,0,-1),FALSE)), "Código de barras duplicado", ""), IF(AND(E2189&lt;&gt;"", COUNTIF($E$2:$E$2509, E2189)&gt;1), "SKU duplicado", ""), IF(OR(J2189="", J2189=""), "[Aviso] División no capturada ()", IF(ISNA(MATCH(J2189, Criterios!$A$123:$A$126, 0)), "División no válida", "")), IF(OR(K2189="", K2189=""), "[Aviso] Categoría no capturada ()", IF(ISNA(MATCH(K2189, Criterios!$A$81:$A$120, 0)), "Categoría no válida", IF(AND(J2189&lt;&gt;"", J2189&lt;&gt;"", J2189&lt;&gt;VLOOKUP(K2189, Criterios!$A$81:$B$120, 2, FALSE)), "División no coincide con Categoría", ""))), IF(OR(L2189="", L2189=""), "[Aviso] Género no capturado ()", IF(ISNA(MATCH(L2189, Criterios!$B$123:$B$127, 0)), "Género no válido", "")), IF(OR(N2189="", N2189=""), "[Aviso] Temporada no capturada ()", IF(ISNA(MATCH(N2189, Criterios!$C$123:$C$128, 0)), "Temporada no válida", "")), IF(OR(O2189="", O2189=""), "[Aviso] Ciclo de vida no capturado ()", IF(ISNA(MATCH(O2189, Criterios!$D$123:$D$124, 0)), "Ciclo de vida no válido", ""))))</f>
        <v/>
      </c>
      <c r="AC2189" s="56" t="n"/>
      <c r="AD2189" s="51" t="n">
        <v>-2</v>
      </c>
      <c r="AE2189" s="156" t="n"/>
      <c r="AF2189" s="51" t="n">
        <v>0</v>
      </c>
      <c r="AG2189" s="156" t="inlineStr">
        <is>
          <t>Catálogo existente</t>
        </is>
      </c>
      <c r="AH2189" s="156" t="inlineStr">
        <is>
          <t>Stock negativo en sistema: revisar en conteo | Revisión 29/09/2026: Campos sin respaldo: U, X; Auditoría NetSuite 30/09/2026: llenado desde NetSuite [S] | 01/10/2026: complementado desde Shopify Stetson México (match por código de barras): WB Fit, WB Silueta, Enlace de imagen | 01/10/2026: Shopify Stetson México trae Color «Varios» — se conservó el valor de Productos | Homologación G1522 06/10/2026: WB Composición: «100% Algodon» → «100% Algodón» (Corrección aplicada)</t>
        </is>
      </c>
      <c r="AI2189" s="156" t="inlineStr">
        <is>
          <t>Sí</t>
        </is>
      </c>
      <c r="AJ2189" s="156" t="inlineStr">
        <is>
          <t>STETSON AMERICAS (-2)</t>
        </is>
      </c>
      <c r="AK2189" s="155" t="inlineStr">
        <is>
          <t>Descripción y Criterios: G/H [P] | Criterios: J [R]; G1522_Extraccion_Articulos_NetSuite_2026-09-30.xlsx: fila 58057 [S] | Shopify Stetson: producto 14813124526443 / variante 53350600671595</t>
        </is>
      </c>
      <c r="AL2189" s="58" t="n">
        <v>659.4827586</v>
      </c>
      <c r="AM2189" s="58" t="n">
        <v>1465.517241</v>
      </c>
      <c r="AN2189" s="155" t="inlineStr">
        <is>
          <t>Shopify Stetson México</t>
        </is>
      </c>
      <c r="AO2189" s="59" t="n">
        <v>4</v>
      </c>
      <c r="AP2189" s="59" t="n"/>
      <c r="AQ2189" s="59" t="n"/>
      <c r="AR2189" s="155" t="inlineStr">
        <is>
          <t>Shopify Stetson México › Stetson México: 1 | Shopify Stetson México › Stetson Americas: 3</t>
        </is>
      </c>
    </row>
    <row r="2190">
      <c r="A2190" s="50" t="inlineStr">
        <is>
          <t>7506499569248</t>
        </is>
      </c>
      <c r="B2190" s="51" t="inlineStr">
        <is>
          <t>110243</t>
        </is>
      </c>
      <c r="C2190" s="156" t="inlineStr">
        <is>
          <t>Multimarca</t>
        </is>
      </c>
      <c r="D2190" s="156" t="inlineStr">
        <is>
          <t>ST-LT-001-FW25-AF</t>
        </is>
      </c>
      <c r="E2190" s="156" t="inlineStr">
        <is>
          <t>ST-LT-001-FW25-AF-XXL</t>
        </is>
      </c>
      <c r="F2190" s="156" t="inlineStr">
        <is>
          <t>XXL</t>
        </is>
      </c>
      <c r="G2190" s="156" t="inlineStr">
        <is>
          <t>XXL</t>
        </is>
      </c>
      <c r="H2190" s="156" t="inlineStr">
        <is>
          <t>Stetson</t>
        </is>
      </c>
      <c r="I2190" s="156" t="inlineStr">
        <is>
          <t>Camisa Stetson Legacy Taper</t>
        </is>
      </c>
      <c r="J2190" s="156" t="inlineStr">
        <is>
          <t>Ropa</t>
        </is>
      </c>
      <c r="K2190" s="156" t="inlineStr">
        <is>
          <t>Camisas</t>
        </is>
      </c>
      <c r="L2190" s="156" t="inlineStr">
        <is>
          <t>Hombre</t>
        </is>
      </c>
      <c r="M2190" s="156" t="inlineStr">
        <is>
          <t>Stetson</t>
        </is>
      </c>
      <c r="N2190" s="156" t="inlineStr">
        <is>
          <t>SS26</t>
        </is>
      </c>
      <c r="O2190" s="156" t="inlineStr">
        <is>
          <t>Seasonal</t>
        </is>
      </c>
      <c r="P2190" s="156" t="inlineStr">
        <is>
          <t>Varios</t>
        </is>
      </c>
      <c r="Q2190" s="156" t="inlineStr">
        <is>
          <t>Clásico</t>
        </is>
      </c>
      <c r="R2190" s="156" t="n"/>
      <c r="S2190" s="156" t="inlineStr">
        <is>
          <t>100% Algodón</t>
        </is>
      </c>
      <c r="T2190"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0" s="156" t="n"/>
      <c r="V2190" s="156" t="inlineStr">
        <is>
          <t>PZS</t>
        </is>
      </c>
      <c r="W2190" s="51" t="inlineStr">
        <is>
          <t>53101600</t>
        </is>
      </c>
      <c r="X2190" s="156" t="inlineStr">
        <is>
          <t>https://cdn.shopify.com/s/files/1/0888/3250/8267/files/ST-LT-001-AF-01.jpg?v=1762198093</t>
        </is>
      </c>
      <c r="Y2190" s="54" t="n">
        <v>659.4827586</v>
      </c>
      <c r="Z2190" s="54" t="n">
        <v>1465.517241</v>
      </c>
      <c r="AA2190" s="55">
        <f>IF(AND(A2190="", B2190="", E2190=""), "", IF(AB2190="", "Válido", IF((LEN(AB2190)-LEN(SUBSTITUTE(AB2190,"; ","")))/2+1&gt;(LEN(AB2190)-LEN(SUBSTITUTE(AB2190,"[Aviso]","")))/7, "Con Incidencias", "Válido")))</f>
        <v/>
      </c>
      <c r="AB2190" s="56">
        <f>IF(AND(A2190="", B2190="", E2190=""), "", TEXTJOIN("; ", TRUE, IF(OR(TRIM(A2190&amp;"")="", ISNUMBER(SEARCH("FALTA", A2190))), "UPC faltante/inválido", ""), IF(AND(A2190&lt;&gt;"", IFERROR(_xlfn.XMATCH(A2190,$A$2:$A$2509,0,1)&lt;&gt;_xlfn.XMATCH(A2190,$A$2:$A$2509,0,-1),FALSE)), "Código de barras duplicado", ""), IF(AND(E2190&lt;&gt;"", COUNTIF($E$2:$E$2509, E2190)&gt;1), "SKU duplicado", ""), IF(OR(J2190="", J2190=""), "[Aviso] División no capturada ()", IF(ISNA(MATCH(J2190, Criterios!$A$123:$A$126, 0)), "División no válida", "")), IF(OR(K2190="", K2190=""), "[Aviso] Categoría no capturada ()", IF(ISNA(MATCH(K2190, Criterios!$A$81:$A$120, 0)), "Categoría no válida", IF(AND(J2190&lt;&gt;"", J2190&lt;&gt;"", J2190&lt;&gt;VLOOKUP(K2190, Criterios!$A$81:$B$120, 2, FALSE)), "División no coincide con Categoría", ""))), IF(OR(L2190="", L2190=""), "[Aviso] Género no capturado ()", IF(ISNA(MATCH(L2190, Criterios!$B$123:$B$127, 0)), "Género no válido", "")), IF(OR(N2190="", N2190=""), "[Aviso] Temporada no capturada ()", IF(ISNA(MATCH(N2190, Criterios!$C$123:$C$128, 0)), "Temporada no válida", "")), IF(OR(O2190="", O2190=""), "[Aviso] Ciclo de vida no capturado ()", IF(ISNA(MATCH(O2190, Criterios!$D$123:$D$124, 0)), "Ciclo de vida no válido", ""))))</f>
        <v/>
      </c>
      <c r="AC2190" s="56" t="n"/>
      <c r="AD2190" s="51" t="n">
        <v>1</v>
      </c>
      <c r="AE2190" s="156" t="inlineStr">
        <is>
          <t>B25 STETSON.MX (1)</t>
        </is>
      </c>
      <c r="AF2190" s="51" t="n">
        <v>1</v>
      </c>
      <c r="AG2190" s="156" t="inlineStr">
        <is>
          <t>Catálogo existente</t>
        </is>
      </c>
      <c r="AH2190"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90" s="156" t="inlineStr">
        <is>
          <t>No</t>
        </is>
      </c>
      <c r="AJ2190" s="156" t="n"/>
      <c r="AK2190" s="155" t="inlineStr">
        <is>
          <t>Criterios: J [R]; G1522_Extraccion_Articulos_NetSuite_2026-09-30.xlsx: fila 58058 [S] | Shopify Stetson: producto 14813124526443 / variante 53350600704363</t>
        </is>
      </c>
      <c r="AL2190" s="58" t="n">
        <v>659.4827586</v>
      </c>
      <c r="AM2190" s="58" t="n">
        <v>1465.517241</v>
      </c>
      <c r="AN2190" s="155" t="inlineStr">
        <is>
          <t>Shopify Stetson México</t>
        </is>
      </c>
      <c r="AO2190" s="59" t="n">
        <v>3</v>
      </c>
      <c r="AP2190" s="59" t="n"/>
      <c r="AQ2190" s="59" t="n"/>
      <c r="AR2190" s="155" t="inlineStr">
        <is>
          <t>Shopify Stetson México › Stetson México: 1 | Shopify Stetson México › Stetson Americas: 2</t>
        </is>
      </c>
    </row>
    <row r="2191">
      <c r="A2191" s="50" t="inlineStr">
        <is>
          <t>7506499569255</t>
        </is>
      </c>
      <c r="B2191" s="51" t="inlineStr">
        <is>
          <t>108497</t>
        </is>
      </c>
      <c r="C2191" s="156" t="inlineStr">
        <is>
          <t>Multimarca</t>
        </is>
      </c>
      <c r="D2191" s="156" t="inlineStr">
        <is>
          <t>ST-LT-002-FW25-OR</t>
        </is>
      </c>
      <c r="E2191" s="156" t="inlineStr">
        <is>
          <t>ST-LT-002-FW25-OR-S</t>
        </is>
      </c>
      <c r="F2191" s="156" t="inlineStr">
        <is>
          <t>S</t>
        </is>
      </c>
      <c r="G2191" s="156" t="inlineStr">
        <is>
          <t>S</t>
        </is>
      </c>
      <c r="H2191" s="156" t="inlineStr">
        <is>
          <t>Stetson</t>
        </is>
      </c>
      <c r="I2191" s="156" t="inlineStr">
        <is>
          <t>Camisa Stetson Legacy Taper</t>
        </is>
      </c>
      <c r="J2191" s="156" t="inlineStr">
        <is>
          <t>Ropa</t>
        </is>
      </c>
      <c r="K2191" s="156" t="inlineStr">
        <is>
          <t>Camisas</t>
        </is>
      </c>
      <c r="L2191" s="156" t="inlineStr">
        <is>
          <t>Hombre</t>
        </is>
      </c>
      <c r="M2191" s="156" t="inlineStr">
        <is>
          <t>Stetson</t>
        </is>
      </c>
      <c r="N2191" s="156" t="inlineStr">
        <is>
          <t>SS26</t>
        </is>
      </c>
      <c r="O2191" s="156" t="inlineStr">
        <is>
          <t>Seasonal</t>
        </is>
      </c>
      <c r="P2191" s="156" t="inlineStr">
        <is>
          <t>Varios</t>
        </is>
      </c>
      <c r="Q2191" s="156" t="inlineStr">
        <is>
          <t>Clásico</t>
        </is>
      </c>
      <c r="R2191" s="156" t="n"/>
      <c r="S2191" s="156" t="inlineStr">
        <is>
          <t>100% Algodón</t>
        </is>
      </c>
      <c r="T2191"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1" s="156" t="n"/>
      <c r="V2191" s="156" t="inlineStr">
        <is>
          <t>PZS</t>
        </is>
      </c>
      <c r="W2191" s="51" t="inlineStr">
        <is>
          <t>53101600</t>
        </is>
      </c>
      <c r="X2191" s="156" t="inlineStr">
        <is>
          <t>https://cdn.shopify.com/s/files/1/0888/3250/8267/files/ST-LT-002-OR-02.jpg?v=1762198078</t>
        </is>
      </c>
      <c r="Y2191" s="54" t="n">
        <v>659.4827586</v>
      </c>
      <c r="Z2191" s="54" t="n">
        <v>1465.517241</v>
      </c>
      <c r="AA2191" s="55">
        <f>IF(AND(A2191="", B2191="", E2191=""), "", IF(AB2191="", "Válido", IF((LEN(AB2191)-LEN(SUBSTITUTE(AB2191,"; ","")))/2+1&gt;(LEN(AB2191)-LEN(SUBSTITUTE(AB2191,"[Aviso]","")))/7, "Con Incidencias", "Válido")))</f>
        <v/>
      </c>
      <c r="AB2191" s="56">
        <f>IF(AND(A2191="", B2191="", E2191=""), "", TEXTJOIN("; ", TRUE, IF(OR(TRIM(A2191&amp;"")="", ISNUMBER(SEARCH("FALTA", A2191))), "UPC faltante/inválido", ""), IF(AND(A2191&lt;&gt;"", IFERROR(_xlfn.XMATCH(A2191,$A$2:$A$2509,0,1)&lt;&gt;_xlfn.XMATCH(A2191,$A$2:$A$2509,0,-1),FALSE)), "Código de barras duplicado", ""), IF(AND(E2191&lt;&gt;"", COUNTIF($E$2:$E$2509, E2191)&gt;1), "SKU duplicado", ""), IF(OR(J2191="", J2191=""), "[Aviso] División no capturada ()", IF(ISNA(MATCH(J2191, Criterios!$A$123:$A$126, 0)), "División no válida", "")), IF(OR(K2191="", K2191=""), "[Aviso] Categoría no capturada ()", IF(ISNA(MATCH(K2191, Criterios!$A$81:$A$120, 0)), "Categoría no válida", IF(AND(J2191&lt;&gt;"", J2191&lt;&gt;"", J2191&lt;&gt;VLOOKUP(K2191, Criterios!$A$81:$B$120, 2, FALSE)), "División no coincide con Categoría", ""))), IF(OR(L2191="", L2191=""), "[Aviso] Género no capturado ()", IF(ISNA(MATCH(L2191, Criterios!$B$123:$B$127, 0)), "Género no válido", "")), IF(OR(N2191="", N2191=""), "[Aviso] Temporada no capturada ()", IF(ISNA(MATCH(N2191, Criterios!$C$123:$C$128, 0)), "Temporada no válida", "")), IF(OR(O2191="", O2191=""), "[Aviso] Ciclo de vida no capturado ()", IF(ISNA(MATCH(O2191, Criterios!$D$123:$D$124, 0)), "Ciclo de vida no válido", ""))))</f>
        <v/>
      </c>
      <c r="AC2191" s="56" t="n"/>
      <c r="AD2191" s="51" t="n">
        <v>0</v>
      </c>
      <c r="AE2191" s="156" t="n"/>
      <c r="AF2191" s="51" t="n">
        <v>0</v>
      </c>
      <c r="AG2191" s="156" t="inlineStr">
        <is>
          <t>Catálogo existente</t>
        </is>
      </c>
      <c r="AH2191"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191" s="156" t="inlineStr">
        <is>
          <t>No</t>
        </is>
      </c>
      <c r="AJ2191" s="156" t="n"/>
      <c r="AK2191" s="155" t="inlineStr">
        <is>
          <t>Criterios: J [R]; G1522_Extraccion_Articulos_NetSuite_2026-09-30.xlsx: fila 56656 [S] | Shopify Stetson: producto 14813124526443 / variante 53350600245611 | Shopify WB: producto 8569964822713 / variante 47621331452089</t>
        </is>
      </c>
      <c r="AL2191" s="58" t="n">
        <v>659.4827586</v>
      </c>
      <c r="AM2191" s="58" t="n">
        <v>1465.517241</v>
      </c>
      <c r="AN2191" s="155" t="inlineStr">
        <is>
          <t>Shopify Stetson México | Shopify Western Brothers</t>
        </is>
      </c>
      <c r="AO2191" s="59" t="n">
        <v>3</v>
      </c>
      <c r="AP2191" s="59" t="n">
        <v>10</v>
      </c>
      <c r="AQ2191" s="59" t="n"/>
      <c r="AR2191" s="155" t="inlineStr">
        <is>
          <t>Shopify Stetson México › Stetson Americas: 3 | Shopify Western Brothers › Western Brothers Outlet Lerma: 10</t>
        </is>
      </c>
    </row>
    <row r="2192">
      <c r="A2192" s="50" t="inlineStr">
        <is>
          <t>7506499569262</t>
        </is>
      </c>
      <c r="B2192" s="51" t="inlineStr">
        <is>
          <t>108498</t>
        </is>
      </c>
      <c r="C2192" s="156" t="inlineStr">
        <is>
          <t>Multimarca</t>
        </is>
      </c>
      <c r="D2192" s="156" t="inlineStr">
        <is>
          <t>ST-LT-002-FW25-OR</t>
        </is>
      </c>
      <c r="E2192" s="156" t="inlineStr">
        <is>
          <t>ST-LT-002-FW25-OR-M</t>
        </is>
      </c>
      <c r="F2192" s="156" t="inlineStr">
        <is>
          <t>M</t>
        </is>
      </c>
      <c r="G2192" s="156" t="inlineStr">
        <is>
          <t>M</t>
        </is>
      </c>
      <c r="H2192" s="156" t="inlineStr">
        <is>
          <t>Stetson</t>
        </is>
      </c>
      <c r="I2192" s="156" t="inlineStr">
        <is>
          <t>Camisa Stetson Legacy Taper</t>
        </is>
      </c>
      <c r="J2192" s="156" t="inlineStr">
        <is>
          <t>Ropa</t>
        </is>
      </c>
      <c r="K2192" s="156" t="inlineStr">
        <is>
          <t>Camisas</t>
        </is>
      </c>
      <c r="L2192" s="156" t="inlineStr">
        <is>
          <t>Hombre</t>
        </is>
      </c>
      <c r="M2192" s="156" t="inlineStr">
        <is>
          <t>Stetson</t>
        </is>
      </c>
      <c r="N2192" s="156" t="inlineStr">
        <is>
          <t>SS26</t>
        </is>
      </c>
      <c r="O2192" s="156" t="inlineStr">
        <is>
          <t>Seasonal</t>
        </is>
      </c>
      <c r="P2192" s="156" t="inlineStr">
        <is>
          <t>Beige</t>
        </is>
      </c>
      <c r="Q2192" s="156" t="inlineStr">
        <is>
          <t>Moderno</t>
        </is>
      </c>
      <c r="R2192" s="156" t="n"/>
      <c r="S2192" s="156" t="inlineStr">
        <is>
          <t>100% Algodón</t>
        </is>
      </c>
      <c r="T2192"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2" s="156" t="n"/>
      <c r="V2192" s="156" t="inlineStr">
        <is>
          <t>PZS</t>
        </is>
      </c>
      <c r="W2192" s="51" t="inlineStr">
        <is>
          <t>53101600</t>
        </is>
      </c>
      <c r="X2192" s="156" t="inlineStr">
        <is>
          <t>https://cdn.shopify.com/s/files/1/0888/3250/8267/files/ST-LT-002-OR-03.jpg?v=1762198078</t>
        </is>
      </c>
      <c r="Y2192" s="54" t="n">
        <v>659.4827586</v>
      </c>
      <c r="Z2192" s="54" t="n">
        <v>1465.517241</v>
      </c>
      <c r="AA2192" s="55">
        <f>IF(AND(A2192="", B2192="", E2192=""), "", IF(AB2192="", "Válido", IF((LEN(AB2192)-LEN(SUBSTITUTE(AB2192,"; ","")))/2+1&gt;(LEN(AB2192)-LEN(SUBSTITUTE(AB2192,"[Aviso]","")))/7, "Con Incidencias", "Válido")))</f>
        <v/>
      </c>
      <c r="AB2192" s="56">
        <f>IF(AND(A2192="", B2192="", E2192=""), "", TEXTJOIN("; ", TRUE, IF(OR(TRIM(A2192&amp;"")="", ISNUMBER(SEARCH("FALTA", A2192))), "UPC faltante/inválido", ""), IF(AND(A2192&lt;&gt;"", IFERROR(_xlfn.XMATCH(A2192,$A$2:$A$2509,0,1)&lt;&gt;_xlfn.XMATCH(A2192,$A$2:$A$2509,0,-1),FALSE)), "Código de barras duplicado", ""), IF(AND(E2192&lt;&gt;"", COUNTIF($E$2:$E$2509, E2192)&gt;1), "SKU duplicado", ""), IF(OR(J2192="", J2192=""), "[Aviso] División no capturada ()", IF(ISNA(MATCH(J2192, Criterios!$A$123:$A$126, 0)), "División no válida", "")), IF(OR(K2192="", K2192=""), "[Aviso] Categoría no capturada ()", IF(ISNA(MATCH(K2192, Criterios!$A$81:$A$120, 0)), "Categoría no válida", IF(AND(J2192&lt;&gt;"", J2192&lt;&gt;"", J2192&lt;&gt;VLOOKUP(K2192, Criterios!$A$81:$B$120, 2, FALSE)), "División no coincide con Categoría", ""))), IF(OR(L2192="", L2192=""), "[Aviso] Género no capturado ()", IF(ISNA(MATCH(L2192, Criterios!$B$123:$B$127, 0)), "Género no válido", "")), IF(OR(N2192="", N2192=""), "[Aviso] Temporada no capturada ()", IF(ISNA(MATCH(N2192, Criterios!$C$123:$C$128, 0)), "Temporada no válida", "")), IF(OR(O2192="", O2192=""), "[Aviso] Ciclo de vida no capturado ()", IF(ISNA(MATCH(O2192, Criterios!$D$123:$D$124, 0)), "Ciclo de vida no válido", ""))))</f>
        <v/>
      </c>
      <c r="AC2192" s="56" t="n"/>
      <c r="AD2192" s="51" t="n">
        <v>-2</v>
      </c>
      <c r="AE2192" s="156" t="n"/>
      <c r="AF2192" s="51" t="n">
        <v>0</v>
      </c>
      <c r="AG2192" s="156" t="inlineStr">
        <is>
          <t>Catálogo existente</t>
        </is>
      </c>
      <c r="AH2192"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«Negro» — se conservó el valor de Productos | Homologación G1522 06/10/2026: WB Composición: «100% Algodon» → «100% Algodón» (Corrección aplicada)</t>
        </is>
      </c>
      <c r="AI2192" s="156" t="inlineStr">
        <is>
          <t>Sí</t>
        </is>
      </c>
      <c r="AJ2192" s="156" t="inlineStr">
        <is>
          <t>STETSON AMERICAS (-1); WB OUTLET LERMA (-1)</t>
        </is>
      </c>
      <c r="AK2192" s="155" t="inlineStr">
        <is>
          <t>Descripción y Criterios: G/H [P] | Criterios: J [R]; G1522_Extraccion_Articulos_NetSuite_2026-09-30.xlsx: fila 56657 [S] | Shopify Stetson: producto 14813124526443 / variante 53350600278379 | Shopify WB: producto 8569964822713 / variante 47621331484857</t>
        </is>
      </c>
      <c r="AL2192" s="58" t="n">
        <v>659.4827586</v>
      </c>
      <c r="AM2192" s="58" t="n">
        <v>1465.517241</v>
      </c>
      <c r="AN2192" s="155" t="inlineStr">
        <is>
          <t>Shopify Stetson México | Shopify Western Brothers</t>
        </is>
      </c>
      <c r="AO2192" s="59" t="n">
        <v>1</v>
      </c>
      <c r="AP2192" s="59" t="n">
        <v>-1</v>
      </c>
      <c r="AQ2192" s="59" t="n"/>
      <c r="AR2192" s="155" t="inlineStr">
        <is>
          <t>Shopify Stetson México › Stetson Americas: 1</t>
        </is>
      </c>
    </row>
    <row r="2193">
      <c r="A2193" s="50" t="inlineStr">
        <is>
          <t>7506499569279</t>
        </is>
      </c>
      <c r="B2193" s="51" t="inlineStr">
        <is>
          <t>108499</t>
        </is>
      </c>
      <c r="C2193" s="156" t="inlineStr">
        <is>
          <t>Multimarca</t>
        </is>
      </c>
      <c r="D2193" s="156" t="inlineStr">
        <is>
          <t>ST-LT-002-FW25-OR</t>
        </is>
      </c>
      <c r="E2193" s="156" t="inlineStr">
        <is>
          <t>ST-LT-002-FW25-OR-L</t>
        </is>
      </c>
      <c r="F2193" s="156" t="inlineStr">
        <is>
          <t>L</t>
        </is>
      </c>
      <c r="G2193" s="156" t="inlineStr">
        <is>
          <t>L</t>
        </is>
      </c>
      <c r="H2193" s="156" t="inlineStr">
        <is>
          <t>Stetson</t>
        </is>
      </c>
      <c r="I2193" s="156" t="inlineStr">
        <is>
          <t>Camisa Stetson Legacy Taper</t>
        </is>
      </c>
      <c r="J2193" s="156" t="inlineStr">
        <is>
          <t>Ropa</t>
        </is>
      </c>
      <c r="K2193" s="156" t="inlineStr">
        <is>
          <t>Camisas</t>
        </is>
      </c>
      <c r="L2193" s="156" t="inlineStr">
        <is>
          <t>Hombre</t>
        </is>
      </c>
      <c r="M2193" s="156" t="inlineStr">
        <is>
          <t>Stetson</t>
        </is>
      </c>
      <c r="N2193" s="156" t="inlineStr">
        <is>
          <t>SS26</t>
        </is>
      </c>
      <c r="O2193" s="156" t="inlineStr">
        <is>
          <t>Seasonal</t>
        </is>
      </c>
      <c r="P2193" s="156" t="inlineStr">
        <is>
          <t>Varios</t>
        </is>
      </c>
      <c r="Q2193" s="156" t="inlineStr">
        <is>
          <t>Clásico</t>
        </is>
      </c>
      <c r="R2193" s="156" t="n"/>
      <c r="S2193" s="156" t="inlineStr">
        <is>
          <t>100% Algodón</t>
        </is>
      </c>
      <c r="T2193"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3" s="156" t="n"/>
      <c r="V2193" s="156" t="inlineStr">
        <is>
          <t>PZS</t>
        </is>
      </c>
      <c r="W2193" s="51" t="inlineStr">
        <is>
          <t>53101600</t>
        </is>
      </c>
      <c r="X2193" s="156" t="inlineStr">
        <is>
          <t>https://cdn.shopify.com/s/files/1/0888/3250/8267/files/ST-LT-004-TR-01.jpg?v=1762198087</t>
        </is>
      </c>
      <c r="Y2193" s="54" t="n">
        <v>659.4827586</v>
      </c>
      <c r="Z2193" s="54" t="n">
        <v>1465.517241</v>
      </c>
      <c r="AA2193" s="55">
        <f>IF(AND(A2193="", B2193="", E2193=""), "", IF(AB2193="", "Válido", IF((LEN(AB2193)-LEN(SUBSTITUTE(AB2193,"; ","")))/2+1&gt;(LEN(AB2193)-LEN(SUBSTITUTE(AB2193,"[Aviso]","")))/7, "Con Incidencias", "Válido")))</f>
        <v/>
      </c>
      <c r="AB2193" s="56">
        <f>IF(AND(A2193="", B2193="", E2193=""), "", TEXTJOIN("; ", TRUE, IF(OR(TRIM(A2193&amp;"")="", ISNUMBER(SEARCH("FALTA", A2193))), "UPC faltante/inválido", ""), IF(AND(A2193&lt;&gt;"", IFERROR(_xlfn.XMATCH(A2193,$A$2:$A$2509,0,1)&lt;&gt;_xlfn.XMATCH(A2193,$A$2:$A$2509,0,-1),FALSE)), "Código de barras duplicado", ""), IF(AND(E2193&lt;&gt;"", COUNTIF($E$2:$E$2509, E2193)&gt;1), "SKU duplicado", ""), IF(OR(J2193="", J2193=""), "[Aviso] División no capturada ()", IF(ISNA(MATCH(J2193, Criterios!$A$123:$A$126, 0)), "División no válida", "")), IF(OR(K2193="", K2193=""), "[Aviso] Categoría no capturada ()", IF(ISNA(MATCH(K2193, Criterios!$A$81:$A$120, 0)), "Categoría no válida", IF(AND(J2193&lt;&gt;"", J2193&lt;&gt;"", J2193&lt;&gt;VLOOKUP(K2193, Criterios!$A$81:$B$120, 2, FALSE)), "División no coincide con Categoría", ""))), IF(OR(L2193="", L2193=""), "[Aviso] Género no capturado ()", IF(ISNA(MATCH(L2193, Criterios!$B$123:$B$127, 0)), "Género no válido", "")), IF(OR(N2193="", N2193=""), "[Aviso] Temporada no capturada ()", IF(ISNA(MATCH(N2193, Criterios!$C$123:$C$128, 0)), "Temporada no válida", "")), IF(OR(O2193="", O2193=""), "[Aviso] Ciclo de vida no capturado ()", IF(ISNA(MATCH(O2193, Criterios!$D$123:$D$124, 0)), "Ciclo de vida no válido", ""))))</f>
        <v/>
      </c>
      <c r="AC2193" s="56" t="n"/>
      <c r="AD2193" s="51" t="n">
        <v>2</v>
      </c>
      <c r="AE2193" s="156" t="inlineStr">
        <is>
          <t>WB OUTLET LERMA (3)</t>
        </is>
      </c>
      <c r="AF2193" s="51" t="n">
        <v>3</v>
      </c>
      <c r="AG2193" s="156" t="inlineStr">
        <is>
          <t>Catálogo existente</t>
        </is>
      </c>
      <c r="AH2193"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193" s="156" t="inlineStr">
        <is>
          <t>Sí</t>
        </is>
      </c>
      <c r="AJ2193" s="156" t="inlineStr">
        <is>
          <t>STETSON AMERICAS (-1)</t>
        </is>
      </c>
      <c r="AK2193" s="155" t="inlineStr">
        <is>
          <t>Criterios: J [R]; G1522_Extraccion_Articulos_NetSuite_2026-09-30.xlsx: fila 56658 [S] | Shopify Stetson: producto 14813124526443 / variante 53350600311147 | Shopify WB: producto 8569964822713 / variante 47621331517625</t>
        </is>
      </c>
      <c r="AL2193" s="58" t="n">
        <v>659.4827586</v>
      </c>
      <c r="AM2193" s="58" t="n">
        <v>1465.517241</v>
      </c>
      <c r="AN2193" s="155" t="inlineStr">
        <is>
          <t>Shopify Stetson México | Shopify Western Brothers</t>
        </is>
      </c>
      <c r="AO2193" s="59" t="n">
        <v>2</v>
      </c>
      <c r="AP2193" s="59" t="n">
        <v>3</v>
      </c>
      <c r="AQ2193" s="59" t="n"/>
      <c r="AR2193" s="155" t="inlineStr">
        <is>
          <t>Shopify Stetson México › Stetson Americas: 2 | Shopify Western Brothers › Western Brothers Outlet Lerma: 3</t>
        </is>
      </c>
    </row>
    <row r="2194">
      <c r="A2194" s="50" t="inlineStr">
        <is>
          <t>7506499569286</t>
        </is>
      </c>
      <c r="B2194" s="51" t="inlineStr">
        <is>
          <t>108500</t>
        </is>
      </c>
      <c r="C2194" s="156" t="inlineStr">
        <is>
          <t>Multimarca</t>
        </is>
      </c>
      <c r="D2194" s="156" t="inlineStr">
        <is>
          <t>ST-LT-002-FW25-OR</t>
        </is>
      </c>
      <c r="E2194" s="156" t="inlineStr">
        <is>
          <t>ST-LT-002-FW25-OR-XL</t>
        </is>
      </c>
      <c r="F2194" s="156" t="inlineStr">
        <is>
          <t>XL</t>
        </is>
      </c>
      <c r="G2194" s="156" t="inlineStr">
        <is>
          <t>XL</t>
        </is>
      </c>
      <c r="H2194" s="156" t="inlineStr">
        <is>
          <t>Stetson</t>
        </is>
      </c>
      <c r="I2194" s="156" t="inlineStr">
        <is>
          <t>Camisa Stetson Legacy Taper</t>
        </is>
      </c>
      <c r="J2194" s="156" t="inlineStr">
        <is>
          <t>Ropa</t>
        </is>
      </c>
      <c r="K2194" s="156" t="inlineStr">
        <is>
          <t>Camisas</t>
        </is>
      </c>
      <c r="L2194" s="156" t="inlineStr">
        <is>
          <t>Hombre</t>
        </is>
      </c>
      <c r="M2194" s="156" t="inlineStr">
        <is>
          <t>Stetson</t>
        </is>
      </c>
      <c r="N2194" s="156" t="inlineStr">
        <is>
          <t>SS26</t>
        </is>
      </c>
      <c r="O2194" s="156" t="inlineStr">
        <is>
          <t>Seasonal</t>
        </is>
      </c>
      <c r="P2194" s="156" t="inlineStr">
        <is>
          <t>Beige</t>
        </is>
      </c>
      <c r="Q2194" s="156" t="inlineStr">
        <is>
          <t>Moderno</t>
        </is>
      </c>
      <c r="R2194" s="156" t="n"/>
      <c r="S2194" s="156" t="inlineStr">
        <is>
          <t>100% Algodón</t>
        </is>
      </c>
      <c r="T2194"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4" s="156" t="n"/>
      <c r="V2194" s="156" t="inlineStr">
        <is>
          <t>PZS</t>
        </is>
      </c>
      <c r="W2194" s="51" t="inlineStr">
        <is>
          <t>53101600</t>
        </is>
      </c>
      <c r="X2194" s="156" t="inlineStr">
        <is>
          <t>https://cdn.shopify.com/s/files/1/0888/3250/8267/files/ST-LT-004-TR-02.jpg?v=1762198087</t>
        </is>
      </c>
      <c r="Y2194" s="54" t="n">
        <v>659.4827586</v>
      </c>
      <c r="Z2194" s="54" t="n">
        <v>1465.517241</v>
      </c>
      <c r="AA2194" s="55">
        <f>IF(AND(A2194="", B2194="", E2194=""), "", IF(AB2194="", "Válido", IF((LEN(AB2194)-LEN(SUBSTITUTE(AB2194,"; ","")))/2+1&gt;(LEN(AB2194)-LEN(SUBSTITUTE(AB2194,"[Aviso]","")))/7, "Con Incidencias", "Válido")))</f>
        <v/>
      </c>
      <c r="AB2194" s="56">
        <f>IF(AND(A2194="", B2194="", E2194=""), "", TEXTJOIN("; ", TRUE, IF(OR(TRIM(A2194&amp;"")="", ISNUMBER(SEARCH("FALTA", A2194))), "UPC faltante/inválido", ""), IF(AND(A2194&lt;&gt;"", IFERROR(_xlfn.XMATCH(A2194,$A$2:$A$2509,0,1)&lt;&gt;_xlfn.XMATCH(A2194,$A$2:$A$2509,0,-1),FALSE)), "Código de barras duplicado", ""), IF(AND(E2194&lt;&gt;"", COUNTIF($E$2:$E$2509, E2194)&gt;1), "SKU duplicado", ""), IF(OR(J2194="", J2194=""), "[Aviso] División no capturada ()", IF(ISNA(MATCH(J2194, Criterios!$A$123:$A$126, 0)), "División no válida", "")), IF(OR(K2194="", K2194=""), "[Aviso] Categoría no capturada ()", IF(ISNA(MATCH(K2194, Criterios!$A$81:$A$120, 0)), "Categoría no válida", IF(AND(J2194&lt;&gt;"", J2194&lt;&gt;"", J2194&lt;&gt;VLOOKUP(K2194, Criterios!$A$81:$B$120, 2, FALSE)), "División no coincide con Categoría", ""))), IF(OR(L2194="", L2194=""), "[Aviso] Género no capturado ()", IF(ISNA(MATCH(L2194, Criterios!$B$123:$B$127, 0)), "Género no válido", "")), IF(OR(N2194="", N2194=""), "[Aviso] Temporada no capturada ()", IF(ISNA(MATCH(N2194, Criterios!$C$123:$C$128, 0)), "Temporada no válida", "")), IF(OR(O2194="", O2194=""), "[Aviso] Ciclo de vida no capturado ()", IF(ISNA(MATCH(O2194, Criterios!$D$123:$D$124, 0)), "Ciclo de vida no válido", ""))))</f>
        <v/>
      </c>
      <c r="AC2194" s="56" t="n"/>
      <c r="AD2194" s="51" t="n">
        <v>1</v>
      </c>
      <c r="AE2194" s="156" t="inlineStr">
        <is>
          <t>WB OUTLET LERMA (2)</t>
        </is>
      </c>
      <c r="AF2194" s="51" t="n">
        <v>2</v>
      </c>
      <c r="AG2194" s="156" t="inlineStr">
        <is>
          <t>Catálogo existente</t>
        </is>
      </c>
      <c r="AH2194"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«Negro» — se conservó el valor de Productos | Homologación G1522 06/10/2026: WB Composición: «100% Algodon» → «100% Algodón» (Corrección aplicada)</t>
        </is>
      </c>
      <c r="AI2194" s="156" t="inlineStr">
        <is>
          <t>Sí</t>
        </is>
      </c>
      <c r="AJ2194" s="156" t="inlineStr">
        <is>
          <t>STETSON AMERICAS (-1)</t>
        </is>
      </c>
      <c r="AK2194" s="155" t="inlineStr">
        <is>
          <t>Descripción y Criterios: G/H [P] | Criterios: J [R]; G1522_Extraccion_Articulos_NetSuite_2026-09-30.xlsx: fila 56659 [S] | Shopify Stetson: producto 14813124526443 / variante 53350600343915 | Shopify WB: producto 8569964822713 / variante 47621331550393</t>
        </is>
      </c>
      <c r="AL2194" s="58" t="n">
        <v>659.4827586</v>
      </c>
      <c r="AM2194" s="58" t="n">
        <v>1465.517241</v>
      </c>
      <c r="AN2194" s="155" t="inlineStr">
        <is>
          <t>Shopify Stetson México | Shopify Western Brothers</t>
        </is>
      </c>
      <c r="AO2194" s="59" t="n">
        <v>2</v>
      </c>
      <c r="AP2194" s="59" t="n">
        <v>2</v>
      </c>
      <c r="AQ2194" s="59" t="n"/>
      <c r="AR2194" s="155" t="inlineStr">
        <is>
          <t>Shopify Stetson México › Stetson Americas: 2 | Shopify Western Brothers › Western Brothers Outlet Lerma: 2</t>
        </is>
      </c>
    </row>
    <row r="2195">
      <c r="A2195" s="50" t="inlineStr">
        <is>
          <t>7506499569293</t>
        </is>
      </c>
      <c r="B2195" s="51" t="inlineStr">
        <is>
          <t>110244</t>
        </is>
      </c>
      <c r="C2195" s="156" t="inlineStr">
        <is>
          <t>Multimarca</t>
        </is>
      </c>
      <c r="D2195" s="156" t="inlineStr">
        <is>
          <t>ST-LT-002-FW25-OR</t>
        </is>
      </c>
      <c r="E2195" s="156" t="inlineStr">
        <is>
          <t>ST-LT-002-FW25-OR-XXL</t>
        </is>
      </c>
      <c r="F2195" s="156" t="inlineStr">
        <is>
          <t>XXL</t>
        </is>
      </c>
      <c r="G2195" s="156" t="inlineStr">
        <is>
          <t>XXL</t>
        </is>
      </c>
      <c r="H2195" s="156" t="inlineStr">
        <is>
          <t>Stetson</t>
        </is>
      </c>
      <c r="I2195" s="156" t="inlineStr">
        <is>
          <t>Camisa Stetson Legacy Taper</t>
        </is>
      </c>
      <c r="J2195" s="156" t="inlineStr">
        <is>
          <t>Ropa</t>
        </is>
      </c>
      <c r="K2195" s="156" t="inlineStr">
        <is>
          <t>Camisas</t>
        </is>
      </c>
      <c r="L2195" s="156" t="inlineStr">
        <is>
          <t>Hombre</t>
        </is>
      </c>
      <c r="M2195" s="156" t="inlineStr">
        <is>
          <t>Stetson</t>
        </is>
      </c>
      <c r="N2195" s="156" t="inlineStr">
        <is>
          <t>SS26</t>
        </is>
      </c>
      <c r="O2195" s="156" t="inlineStr">
        <is>
          <t>Seasonal</t>
        </is>
      </c>
      <c r="P2195" s="156" t="inlineStr">
        <is>
          <t>Beige</t>
        </is>
      </c>
      <c r="Q2195" s="156" t="inlineStr">
        <is>
          <t>Moderno</t>
        </is>
      </c>
      <c r="R2195" s="156" t="n"/>
      <c r="S2195" s="156" t="inlineStr">
        <is>
          <t>100% Algodón</t>
        </is>
      </c>
      <c r="T2195"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5" s="156" t="n"/>
      <c r="V2195" s="156" t="inlineStr">
        <is>
          <t>PZS</t>
        </is>
      </c>
      <c r="W2195" s="51" t="inlineStr">
        <is>
          <t>53101600</t>
        </is>
      </c>
      <c r="X2195" s="156" t="inlineStr">
        <is>
          <t>https://cdn.shopify.com/s/files/1/0888/3250/8267/files/ST-LT-004-TR-03.jpg?v=1762198087</t>
        </is>
      </c>
      <c r="Y2195" s="54" t="n">
        <v>659.4827586</v>
      </c>
      <c r="Z2195" s="54" t="n">
        <v>1465.517241</v>
      </c>
      <c r="AA2195" s="55">
        <f>IF(AND(A2195="", B2195="", E2195=""), "", IF(AB2195="", "Válido", IF((LEN(AB2195)-LEN(SUBSTITUTE(AB2195,"; ","")))/2+1&gt;(LEN(AB2195)-LEN(SUBSTITUTE(AB2195,"[Aviso]","")))/7, "Con Incidencias", "Válido")))</f>
        <v/>
      </c>
      <c r="AB2195" s="56">
        <f>IF(AND(A2195="", B2195="", E2195=""), "", TEXTJOIN("; ", TRUE, IF(OR(TRIM(A2195&amp;"")="", ISNUMBER(SEARCH("FALTA", A2195))), "UPC faltante/inválido", ""), IF(AND(A2195&lt;&gt;"", IFERROR(_xlfn.XMATCH(A2195,$A$2:$A$2509,0,1)&lt;&gt;_xlfn.XMATCH(A2195,$A$2:$A$2509,0,-1),FALSE)), "Código de barras duplicado", ""), IF(AND(E2195&lt;&gt;"", COUNTIF($E$2:$E$2509, E2195)&gt;1), "SKU duplicado", ""), IF(OR(J2195="", J2195=""), "[Aviso] División no capturada ()", IF(ISNA(MATCH(J2195, Criterios!$A$123:$A$126, 0)), "División no válida", "")), IF(OR(K2195="", K2195=""), "[Aviso] Categoría no capturada ()", IF(ISNA(MATCH(K2195, Criterios!$A$81:$A$120, 0)), "Categoría no válida", IF(AND(J2195&lt;&gt;"", J2195&lt;&gt;"", J2195&lt;&gt;VLOOKUP(K2195, Criterios!$A$81:$B$120, 2, FALSE)), "División no coincide con Categoría", ""))), IF(OR(L2195="", L2195=""), "[Aviso] Género no capturado ()", IF(ISNA(MATCH(L2195, Criterios!$B$123:$B$127, 0)), "Género no válido", "")), IF(OR(N2195="", N2195=""), "[Aviso] Temporada no capturada ()", IF(ISNA(MATCH(N2195, Criterios!$C$123:$C$128, 0)), "Temporada no válida", "")), IF(OR(O2195="", O2195=""), "[Aviso] Ciclo de vida no capturado ()", IF(ISNA(MATCH(O2195, Criterios!$D$123:$D$124, 0)), "Ciclo de vida no válido", ""))))</f>
        <v/>
      </c>
      <c r="AC2195" s="56" t="n"/>
      <c r="AD2195" s="51" t="n">
        <v>0</v>
      </c>
      <c r="AE2195" s="156" t="n"/>
      <c r="AF2195" s="51" t="n">
        <v>0</v>
      </c>
      <c r="AG2195" s="156" t="inlineStr">
        <is>
          <t>Catálogo existente</t>
        </is>
      </c>
      <c r="AH2195"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Homologación G1522 06/10/2026: WB Composición: «100% Algodon» → «100% Algodón» (Corrección aplicada)</t>
        </is>
      </c>
      <c r="AI2195" s="156" t="inlineStr">
        <is>
          <t>No</t>
        </is>
      </c>
      <c r="AJ2195" s="156" t="n"/>
      <c r="AK2195" s="155" t="inlineStr">
        <is>
          <t>Descripción y Criterios: G/H [P] | Criterios: J [R]; G1522_Extraccion_Articulos_NetSuite_2026-09-30.xlsx: fila 58059 [S] | Shopify Stetson: producto 14813124526443 / variante 53350600376683</t>
        </is>
      </c>
      <c r="AL2195" s="58" t="n">
        <v>659.4827586</v>
      </c>
      <c r="AM2195" s="58" t="n">
        <v>1465.517241</v>
      </c>
      <c r="AN2195" s="155" t="inlineStr">
        <is>
          <t>Shopify Stetson México</t>
        </is>
      </c>
      <c r="AO2195" s="59" t="n">
        <v>2</v>
      </c>
      <c r="AP2195" s="59" t="n"/>
      <c r="AQ2195" s="59" t="n"/>
      <c r="AR2195" s="155" t="inlineStr">
        <is>
          <t>Shopify Stetson México › Stetson Americas: 2</t>
        </is>
      </c>
    </row>
    <row r="2196">
      <c r="A2196" s="50" t="inlineStr">
        <is>
          <t>7506499569309</t>
        </is>
      </c>
      <c r="B2196" s="51" t="inlineStr">
        <is>
          <t>108524</t>
        </is>
      </c>
      <c r="C2196" s="156" t="inlineStr">
        <is>
          <t>Multimarca</t>
        </is>
      </c>
      <c r="D2196" s="156" t="inlineStr">
        <is>
          <t>ST-LT-003-FW25-PN</t>
        </is>
      </c>
      <c r="E2196" s="156" t="inlineStr">
        <is>
          <t>ST-LT-003-FW25-PN-S</t>
        </is>
      </c>
      <c r="F2196" s="156" t="inlineStr">
        <is>
          <t>S</t>
        </is>
      </c>
      <c r="G2196" s="156" t="inlineStr">
        <is>
          <t>S</t>
        </is>
      </c>
      <c r="H2196" s="156" t="inlineStr">
        <is>
          <t>Stetson</t>
        </is>
      </c>
      <c r="I2196" s="156" t="inlineStr">
        <is>
          <t>Camisa Stetson Legacy Taper</t>
        </is>
      </c>
      <c r="J2196" s="156" t="inlineStr">
        <is>
          <t>Ropa</t>
        </is>
      </c>
      <c r="K2196" s="156" t="inlineStr">
        <is>
          <t>Camisas</t>
        </is>
      </c>
      <c r="L2196" s="156" t="inlineStr">
        <is>
          <t>Hombre</t>
        </is>
      </c>
      <c r="M2196" s="156" t="inlineStr">
        <is>
          <t>Stetson</t>
        </is>
      </c>
      <c r="N2196" s="156" t="inlineStr">
        <is>
          <t>SS26</t>
        </is>
      </c>
      <c r="O2196" s="156" t="inlineStr">
        <is>
          <t>Seasonal</t>
        </is>
      </c>
      <c r="P2196" s="156" t="inlineStr">
        <is>
          <t>Varios</t>
        </is>
      </c>
      <c r="Q2196" s="156" t="inlineStr">
        <is>
          <t>Clásico</t>
        </is>
      </c>
      <c r="R2196" s="156" t="n"/>
      <c r="S2196" s="156" t="inlineStr">
        <is>
          <t>100% Algodón</t>
        </is>
      </c>
      <c r="T2196"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6" s="156" t="n"/>
      <c r="V2196" s="156" t="inlineStr">
        <is>
          <t>PZS</t>
        </is>
      </c>
      <c r="W2196" s="51" t="inlineStr">
        <is>
          <t>53101600</t>
        </is>
      </c>
      <c r="X2196" s="156" t="inlineStr">
        <is>
          <t>https://cdn.shopify.com/s/files/1/0888/3250/8267/files/ST-LT-003-PN-01.jpg?v=1762198069</t>
        </is>
      </c>
      <c r="Y2196" s="54" t="n">
        <v>659.4827586</v>
      </c>
      <c r="Z2196" s="54" t="n">
        <v>1465.517241</v>
      </c>
      <c r="AA2196" s="55">
        <f>IF(AND(A2196="", B2196="", E2196=""), "", IF(AB2196="", "Válido", IF((LEN(AB2196)-LEN(SUBSTITUTE(AB2196,"; ","")))/2+1&gt;(LEN(AB2196)-LEN(SUBSTITUTE(AB2196,"[Aviso]","")))/7, "Con Incidencias", "Válido")))</f>
        <v/>
      </c>
      <c r="AB2196" s="56">
        <f>IF(AND(A2196="", B2196="", E2196=""), "", TEXTJOIN("; ", TRUE, IF(OR(TRIM(A2196&amp;"")="", ISNUMBER(SEARCH("FALTA", A2196))), "UPC faltante/inválido", ""), IF(AND(A2196&lt;&gt;"", IFERROR(_xlfn.XMATCH(A2196,$A$2:$A$2509,0,1)&lt;&gt;_xlfn.XMATCH(A2196,$A$2:$A$2509,0,-1),FALSE)), "Código de barras duplicado", ""), IF(AND(E2196&lt;&gt;"", COUNTIF($E$2:$E$2509, E2196)&gt;1), "SKU duplicado", ""), IF(OR(J2196="", J2196=""), "[Aviso] División no capturada ()", IF(ISNA(MATCH(J2196, Criterios!$A$123:$A$126, 0)), "División no válida", "")), IF(OR(K2196="", K2196=""), "[Aviso] Categoría no capturada ()", IF(ISNA(MATCH(K2196, Criterios!$A$81:$A$120, 0)), "Categoría no válida", IF(AND(J2196&lt;&gt;"", J2196&lt;&gt;"", J2196&lt;&gt;VLOOKUP(K2196, Criterios!$A$81:$B$120, 2, FALSE)), "División no coincide con Categoría", ""))), IF(OR(L2196="", L2196=""), "[Aviso] Género no capturado ()", IF(ISNA(MATCH(L2196, Criterios!$B$123:$B$127, 0)), "Género no válido", "")), IF(OR(N2196="", N2196=""), "[Aviso] Temporada no capturada ()", IF(ISNA(MATCH(N2196, Criterios!$C$123:$C$128, 0)), "Temporada no válida", "")), IF(OR(O2196="", O2196=""), "[Aviso] Ciclo de vida no capturado ()", IF(ISNA(MATCH(O2196, Criterios!$D$123:$D$124, 0)), "Ciclo de vida no válido", ""))))</f>
        <v/>
      </c>
      <c r="AC2196" s="56" t="n"/>
      <c r="AD2196" s="51" t="n">
        <v>-2</v>
      </c>
      <c r="AE2196" s="156" t="n"/>
      <c r="AF2196" s="51" t="n">
        <v>0</v>
      </c>
      <c r="AG2196" s="156" t="inlineStr">
        <is>
          <t>Catálogo existente</t>
        </is>
      </c>
      <c r="AH2196"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«Verde» — se conservó el valor de Productos | Homologación G1522 06/10/2026: WB Composición: «100% Algodon» → «100% Algodón» (Corrección aplicada)</t>
        </is>
      </c>
      <c r="AI2196" s="156" t="inlineStr">
        <is>
          <t>Sí</t>
        </is>
      </c>
      <c r="AJ2196" s="156" t="inlineStr">
        <is>
          <t>STETSON AMERICAS (-2)</t>
        </is>
      </c>
      <c r="AK2196" s="155" t="inlineStr">
        <is>
          <t>Criterios: J [R]; G1522_Extraccion_Articulos_NetSuite_2026-09-30.xlsx: fila 56683 [S] | Shopify Stetson: producto 14813124526443 / variante 53350600081771 | Shopify WB: producto 8569965019321 / variante 47621334073529</t>
        </is>
      </c>
      <c r="AL2196" s="58" t="n">
        <v>659.4827586</v>
      </c>
      <c r="AM2196" s="58" t="n">
        <v>1465.517241</v>
      </c>
      <c r="AN2196" s="155" t="inlineStr">
        <is>
          <t>Shopify Stetson México | Shopify Western Brothers</t>
        </is>
      </c>
      <c r="AO2196" s="59" t="n">
        <v>3</v>
      </c>
      <c r="AP2196" s="59" t="n">
        <v>0</v>
      </c>
      <c r="AQ2196" s="59" t="n"/>
      <c r="AR2196" s="155" t="inlineStr">
        <is>
          <t>Shopify Stetson México › Stetson Americas: 3</t>
        </is>
      </c>
    </row>
    <row r="2197">
      <c r="A2197" s="50" t="inlineStr">
        <is>
          <t>7506499569316</t>
        </is>
      </c>
      <c r="B2197" s="51" t="inlineStr">
        <is>
          <t>108525</t>
        </is>
      </c>
      <c r="C2197" s="156" t="inlineStr">
        <is>
          <t>Multimarca</t>
        </is>
      </c>
      <c r="D2197" s="156" t="inlineStr">
        <is>
          <t>ST-LT-003-FW25-PN</t>
        </is>
      </c>
      <c r="E2197" s="156" t="inlineStr">
        <is>
          <t>ST-LT-003-FW25-PN-M</t>
        </is>
      </c>
      <c r="F2197" s="156" t="inlineStr">
        <is>
          <t>M</t>
        </is>
      </c>
      <c r="G2197" s="156" t="inlineStr">
        <is>
          <t>M</t>
        </is>
      </c>
      <c r="H2197" s="156" t="inlineStr">
        <is>
          <t>Stetson</t>
        </is>
      </c>
      <c r="I2197" s="156" t="inlineStr">
        <is>
          <t>Camisa Stetson Legacy Taper</t>
        </is>
      </c>
      <c r="J2197" s="156" t="inlineStr">
        <is>
          <t>Ropa</t>
        </is>
      </c>
      <c r="K2197" s="156" t="inlineStr">
        <is>
          <t>Camisas</t>
        </is>
      </c>
      <c r="L2197" s="156" t="inlineStr">
        <is>
          <t>Hombre</t>
        </is>
      </c>
      <c r="M2197" s="156" t="inlineStr">
        <is>
          <t>Stetson</t>
        </is>
      </c>
      <c r="N2197" s="156" t="inlineStr">
        <is>
          <t>SS26</t>
        </is>
      </c>
      <c r="O2197" s="156" t="inlineStr">
        <is>
          <t>Seasonal</t>
        </is>
      </c>
      <c r="P2197" s="156" t="inlineStr">
        <is>
          <t>Beige</t>
        </is>
      </c>
      <c r="Q2197" s="156" t="inlineStr">
        <is>
          <t>Moderno</t>
        </is>
      </c>
      <c r="R2197" s="156" t="n"/>
      <c r="S2197" s="156" t="inlineStr">
        <is>
          <t>100% Algodón</t>
        </is>
      </c>
      <c r="T2197"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7" s="156" t="n"/>
      <c r="V2197" s="156" t="inlineStr">
        <is>
          <t>PZS</t>
        </is>
      </c>
      <c r="W2197" s="51" t="inlineStr">
        <is>
          <t>53101600</t>
        </is>
      </c>
      <c r="X2197" s="156" t="inlineStr">
        <is>
          <t>https://cdn.shopify.com/s/files/1/0888/3250/8267/files/ST-LT-003-PN-01_ea9c02cb-1ebe-4340-bfcf-6f14943eb582.jpg?v=1789137312</t>
        </is>
      </c>
      <c r="Y2197" s="54" t="n">
        <v>659.4827586</v>
      </c>
      <c r="Z2197" s="54" t="n">
        <v>1465.517241</v>
      </c>
      <c r="AA2197" s="55">
        <f>IF(AND(A2197="", B2197="", E2197=""), "", IF(AB2197="", "Válido", IF((LEN(AB2197)-LEN(SUBSTITUTE(AB2197,"; ","")))/2+1&gt;(LEN(AB2197)-LEN(SUBSTITUTE(AB2197,"[Aviso]","")))/7, "Con Incidencias", "Válido")))</f>
        <v/>
      </c>
      <c r="AB2197" s="56">
        <f>IF(AND(A2197="", B2197="", E2197=""), "", TEXTJOIN("; ", TRUE, IF(OR(TRIM(A2197&amp;"")="", ISNUMBER(SEARCH("FALTA", A2197))), "UPC faltante/inválido", ""), IF(AND(A2197&lt;&gt;"", IFERROR(_xlfn.XMATCH(A2197,$A$2:$A$2509,0,1)&lt;&gt;_xlfn.XMATCH(A2197,$A$2:$A$2509,0,-1),FALSE)), "Código de barras duplicado", ""), IF(AND(E2197&lt;&gt;"", COUNTIF($E$2:$E$2509, E2197)&gt;1), "SKU duplicado", ""), IF(OR(J2197="", J2197=""), "[Aviso] División no capturada ()", IF(ISNA(MATCH(J2197, Criterios!$A$123:$A$126, 0)), "División no válida", "")), IF(OR(K2197="", K2197=""), "[Aviso] Categoría no capturada ()", IF(ISNA(MATCH(K2197, Criterios!$A$81:$A$120, 0)), "Categoría no válida", IF(AND(J2197&lt;&gt;"", J2197&lt;&gt;"", J2197&lt;&gt;VLOOKUP(K2197, Criterios!$A$81:$B$120, 2, FALSE)), "División no coincide con Categoría", ""))), IF(OR(L2197="", L2197=""), "[Aviso] Género no capturado ()", IF(ISNA(MATCH(L2197, Criterios!$B$123:$B$127, 0)), "Género no válido", "")), IF(OR(N2197="", N2197=""), "[Aviso] Temporada no capturada ()", IF(ISNA(MATCH(N2197, Criterios!$C$123:$C$128, 0)), "Temporada no válida", "")), IF(OR(O2197="", O2197=""), "[Aviso] Ciclo de vida no capturado ()", IF(ISNA(MATCH(O2197, Criterios!$D$123:$D$124, 0)), "Ciclo de vida no válido", ""))))</f>
        <v/>
      </c>
      <c r="AC2197" s="56" t="n"/>
      <c r="AD2197" s="51" t="n">
        <v>-3</v>
      </c>
      <c r="AE2197" s="156" t="n"/>
      <c r="AF2197" s="51" t="n">
        <v>0</v>
      </c>
      <c r="AG2197" s="156" t="inlineStr">
        <is>
          <t>Catálogo existente</t>
        </is>
      </c>
      <c r="AH2197"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7" s="156" t="inlineStr">
        <is>
          <t>Sí</t>
        </is>
      </c>
      <c r="AJ2197" s="156" t="inlineStr">
        <is>
          <t>WB OUTLET LERMA (-1); STETSON AMERICAS (-2)</t>
        </is>
      </c>
      <c r="AK2197" s="155" t="inlineStr">
        <is>
          <t>Descripción y Criterios: G/H [P] | Criterios: J [R]; G1522_Extraccion_Articulos_NetSuite_2026-09-30.xlsx: fila 56684 [S] | Shopify Stetson: producto 14813124526443 / variante 53350600114539 | Shopify WB: producto 8569965019321 / variante 47621334106297</t>
        </is>
      </c>
      <c r="AL2197" s="58" t="n">
        <v>659.4827586</v>
      </c>
      <c r="AM2197" s="58" t="n">
        <v>1465.517241</v>
      </c>
      <c r="AN2197" s="155" t="inlineStr">
        <is>
          <t>Shopify Stetson México | Shopify Western Brothers</t>
        </is>
      </c>
      <c r="AO2197" s="59" t="n">
        <v>0</v>
      </c>
      <c r="AP2197" s="59" t="n">
        <v>-1</v>
      </c>
      <c r="AQ2197" s="59" t="n"/>
      <c r="AR2197" s="155" t="n"/>
    </row>
    <row r="2198">
      <c r="A2198" s="50" t="inlineStr">
        <is>
          <t>7506499569323</t>
        </is>
      </c>
      <c r="B2198" s="51" t="inlineStr">
        <is>
          <t>108526</t>
        </is>
      </c>
      <c r="C2198" s="156" t="inlineStr">
        <is>
          <t>Multimarca</t>
        </is>
      </c>
      <c r="D2198" s="156" t="inlineStr">
        <is>
          <t>ST-LT-003-FW25-PN</t>
        </is>
      </c>
      <c r="E2198" s="156" t="inlineStr">
        <is>
          <t>ST-LT-003-FW25-PN-L</t>
        </is>
      </c>
      <c r="F2198" s="156" t="inlineStr">
        <is>
          <t>L</t>
        </is>
      </c>
      <c r="G2198" s="156" t="inlineStr">
        <is>
          <t>L</t>
        </is>
      </c>
      <c r="H2198" s="156" t="inlineStr">
        <is>
          <t>Stetson</t>
        </is>
      </c>
      <c r="I2198" s="156" t="inlineStr">
        <is>
          <t>Camisa Stetson Legacy Taper</t>
        </is>
      </c>
      <c r="J2198" s="156" t="inlineStr">
        <is>
          <t>Ropa</t>
        </is>
      </c>
      <c r="K2198" s="156" t="inlineStr">
        <is>
          <t>Camisas</t>
        </is>
      </c>
      <c r="L2198" s="156" t="inlineStr">
        <is>
          <t>Hombre</t>
        </is>
      </c>
      <c r="M2198" s="156" t="inlineStr">
        <is>
          <t>Stetson</t>
        </is>
      </c>
      <c r="N2198" s="156" t="inlineStr">
        <is>
          <t>SS26</t>
        </is>
      </c>
      <c r="O2198" s="156" t="inlineStr">
        <is>
          <t>Seasonal</t>
        </is>
      </c>
      <c r="P2198" s="156" t="inlineStr">
        <is>
          <t>Beige</t>
        </is>
      </c>
      <c r="Q2198" s="156" t="inlineStr">
        <is>
          <t>Moderno</t>
        </is>
      </c>
      <c r="R2198" s="156" t="n"/>
      <c r="S2198" s="156" t="inlineStr">
        <is>
          <t>100% Algodón</t>
        </is>
      </c>
      <c r="T2198"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8" s="156" t="n"/>
      <c r="V2198" s="156" t="inlineStr">
        <is>
          <t>PZS</t>
        </is>
      </c>
      <c r="W2198" s="51" t="inlineStr">
        <is>
          <t>53101600</t>
        </is>
      </c>
      <c r="X2198" s="156" t="inlineStr">
        <is>
          <t>https://cdn.shopify.com/s/files/1/0888/3250/8267/files/ST-LT-003-PN-02.jpg?v=1762198070</t>
        </is>
      </c>
      <c r="Y2198" s="54" t="n">
        <v>659.4827586</v>
      </c>
      <c r="Z2198" s="54" t="n">
        <v>1465.517241</v>
      </c>
      <c r="AA2198" s="55">
        <f>IF(AND(A2198="", B2198="", E2198=""), "", IF(AB2198="", "Válido", IF((LEN(AB2198)-LEN(SUBSTITUTE(AB2198,"; ","")))/2+1&gt;(LEN(AB2198)-LEN(SUBSTITUTE(AB2198,"[Aviso]","")))/7, "Con Incidencias", "Válido")))</f>
        <v/>
      </c>
      <c r="AB2198" s="56">
        <f>IF(AND(A2198="", B2198="", E2198=""), "", TEXTJOIN("; ", TRUE, IF(OR(TRIM(A2198&amp;"")="", ISNUMBER(SEARCH("FALTA", A2198))), "UPC faltante/inválido", ""), IF(AND(A2198&lt;&gt;"", IFERROR(_xlfn.XMATCH(A2198,$A$2:$A$2509,0,1)&lt;&gt;_xlfn.XMATCH(A2198,$A$2:$A$2509,0,-1),FALSE)), "Código de barras duplicado", ""), IF(AND(E2198&lt;&gt;"", COUNTIF($E$2:$E$2509, E2198)&gt;1), "SKU duplicado", ""), IF(OR(J2198="", J2198=""), "[Aviso] División no capturada ()", IF(ISNA(MATCH(J2198, Criterios!$A$123:$A$126, 0)), "División no válida", "")), IF(OR(K2198="", K2198=""), "[Aviso] Categoría no capturada ()", IF(ISNA(MATCH(K2198, Criterios!$A$81:$A$120, 0)), "Categoría no válida", IF(AND(J2198&lt;&gt;"", J2198&lt;&gt;"", J2198&lt;&gt;VLOOKUP(K2198, Criterios!$A$81:$B$120, 2, FALSE)), "División no coincide con Categoría", ""))), IF(OR(L2198="", L2198=""), "[Aviso] Género no capturado ()", IF(ISNA(MATCH(L2198, Criterios!$B$123:$B$127, 0)), "Género no válido", "")), IF(OR(N2198="", N2198=""), "[Aviso] Temporada no capturada ()", IF(ISNA(MATCH(N2198, Criterios!$C$123:$C$128, 0)), "Temporada no válida", "")), IF(OR(O2198="", O2198=""), "[Aviso] Ciclo de vida no capturado ()", IF(ISNA(MATCH(O2198, Criterios!$D$123:$D$124, 0)), "Ciclo de vida no válido", ""))))</f>
        <v/>
      </c>
      <c r="AC2198" s="56" t="n"/>
      <c r="AD2198" s="51" t="n">
        <v>-2</v>
      </c>
      <c r="AE2198" s="156" t="inlineStr">
        <is>
          <t>WB OUTLET LERMA (2)</t>
        </is>
      </c>
      <c r="AF2198" s="51" t="n">
        <v>2</v>
      </c>
      <c r="AG2198" s="156" t="inlineStr">
        <is>
          <t>Catálogo existente</t>
        </is>
      </c>
      <c r="AH2198"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8" s="156" t="inlineStr">
        <is>
          <t>Sí</t>
        </is>
      </c>
      <c r="AJ2198" s="156" t="inlineStr">
        <is>
          <t>STETSON AMERICAS (-4)</t>
        </is>
      </c>
      <c r="AK2198" s="155" t="inlineStr">
        <is>
          <t>Descripción y Criterios: G/H [P] | Criterios: J [R]; G1522_Extraccion_Articulos_NetSuite_2026-09-30.xlsx: fila 56685 [S] | Shopify Stetson: producto 14813124526443 / variante 53350600147307 | Shopify WB: producto 8569965019321 / variante 47621334139065</t>
        </is>
      </c>
      <c r="AL2198" s="58" t="n">
        <v>659.4827586</v>
      </c>
      <c r="AM2198" s="58" t="n">
        <v>1465.517241</v>
      </c>
      <c r="AN2198" s="155" t="inlineStr">
        <is>
          <t>Shopify Stetson México | Shopify Western Brothers</t>
        </is>
      </c>
      <c r="AO2198" s="59" t="n">
        <v>0</v>
      </c>
      <c r="AP2198" s="59" t="n">
        <v>2</v>
      </c>
      <c r="AQ2198" s="59" t="n"/>
      <c r="AR2198" s="155" t="inlineStr">
        <is>
          <t>Shopify Western Brothers › Western Brothers Outlet Lerma: 2</t>
        </is>
      </c>
    </row>
    <row r="2199">
      <c r="A2199" s="50" t="inlineStr">
        <is>
          <t>7506499569330</t>
        </is>
      </c>
      <c r="B2199" s="51" t="inlineStr">
        <is>
          <t>108527</t>
        </is>
      </c>
      <c r="C2199" s="156" t="inlineStr">
        <is>
          <t>Multimarca</t>
        </is>
      </c>
      <c r="D2199" s="156" t="inlineStr">
        <is>
          <t>ST-LT-003-FW25-PN</t>
        </is>
      </c>
      <c r="E2199" s="156" t="inlineStr">
        <is>
          <t>ST-LT-003-FW25-PN-XL</t>
        </is>
      </c>
      <c r="F2199" s="156" t="inlineStr">
        <is>
          <t>XL</t>
        </is>
      </c>
      <c r="G2199" s="156" t="inlineStr">
        <is>
          <t>XL</t>
        </is>
      </c>
      <c r="H2199" s="156" t="inlineStr">
        <is>
          <t>Stetson</t>
        </is>
      </c>
      <c r="I2199" s="156" t="inlineStr">
        <is>
          <t>Camisa Stetson Legacy Taper</t>
        </is>
      </c>
      <c r="J2199" s="156" t="inlineStr">
        <is>
          <t>Ropa</t>
        </is>
      </c>
      <c r="K2199" s="156" t="inlineStr">
        <is>
          <t>Camisas</t>
        </is>
      </c>
      <c r="L2199" s="156" t="inlineStr">
        <is>
          <t>Hombre</t>
        </is>
      </c>
      <c r="M2199" s="156" t="inlineStr">
        <is>
          <t>Stetson</t>
        </is>
      </c>
      <c r="N2199" s="156" t="inlineStr">
        <is>
          <t>SS26</t>
        </is>
      </c>
      <c r="O2199" s="156" t="inlineStr">
        <is>
          <t>Seasonal</t>
        </is>
      </c>
      <c r="P2199" s="156" t="inlineStr">
        <is>
          <t>Beige</t>
        </is>
      </c>
      <c r="Q2199" s="156" t="inlineStr">
        <is>
          <t>Moderno</t>
        </is>
      </c>
      <c r="R2199" s="156" t="n"/>
      <c r="S2199" s="156" t="inlineStr">
        <is>
          <t>100% Algodón</t>
        </is>
      </c>
      <c r="T2199"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9" s="156" t="n"/>
      <c r="V2199" s="156" t="inlineStr">
        <is>
          <t>PZS</t>
        </is>
      </c>
      <c r="W2199" s="51" t="inlineStr">
        <is>
          <t>53101600</t>
        </is>
      </c>
      <c r="X2199" s="156" t="inlineStr">
        <is>
          <t>https://cdn.shopify.com/s/files/1/0888/3250/8267/files/ST-LT-003-PN-03.jpg?v=1762198070</t>
        </is>
      </c>
      <c r="Y2199" s="54" t="n">
        <v>659.4827586</v>
      </c>
      <c r="Z2199" s="54" t="n">
        <v>1465.517241</v>
      </c>
      <c r="AA2199" s="55">
        <f>IF(AND(A2199="", B2199="", E2199=""), "", IF(AB2199="", "Válido", IF((LEN(AB2199)-LEN(SUBSTITUTE(AB2199,"; ","")))/2+1&gt;(LEN(AB2199)-LEN(SUBSTITUTE(AB2199,"[Aviso]","")))/7, "Con Incidencias", "Válido")))</f>
        <v/>
      </c>
      <c r="AB2199" s="56">
        <f>IF(AND(A2199="", B2199="", E2199=""), "", TEXTJOIN("; ", TRUE, IF(OR(TRIM(A2199&amp;"")="", ISNUMBER(SEARCH("FALTA", A2199))), "UPC faltante/inválido", ""), IF(AND(A2199&lt;&gt;"", IFERROR(_xlfn.XMATCH(A2199,$A$2:$A$2509,0,1)&lt;&gt;_xlfn.XMATCH(A2199,$A$2:$A$2509,0,-1),FALSE)), "Código de barras duplicado", ""), IF(AND(E2199&lt;&gt;"", COUNTIF($E$2:$E$2509, E2199)&gt;1), "SKU duplicado", ""), IF(OR(J2199="", J2199=""), "[Aviso] División no capturada ()", IF(ISNA(MATCH(J2199, Criterios!$A$123:$A$126, 0)), "División no válida", "")), IF(OR(K2199="", K2199=""), "[Aviso] Categoría no capturada ()", IF(ISNA(MATCH(K2199, Criterios!$A$81:$A$120, 0)), "Categoría no válida", IF(AND(J2199&lt;&gt;"", J2199&lt;&gt;"", J2199&lt;&gt;VLOOKUP(K2199, Criterios!$A$81:$B$120, 2, FALSE)), "División no coincide con Categoría", ""))), IF(OR(L2199="", L2199=""), "[Aviso] Género no capturado ()", IF(ISNA(MATCH(L2199, Criterios!$B$123:$B$127, 0)), "Género no válido", "")), IF(OR(N2199="", N2199=""), "[Aviso] Temporada no capturada ()", IF(ISNA(MATCH(N2199, Criterios!$C$123:$C$128, 0)), "Temporada no válida", "")), IF(OR(O2199="", O2199=""), "[Aviso] Ciclo de vida no capturado ()", IF(ISNA(MATCH(O2199, Criterios!$D$123:$D$124, 0)), "Ciclo de vida no válido", ""))))</f>
        <v/>
      </c>
      <c r="AC2199" s="56" t="n"/>
      <c r="AD2199" s="51" t="n">
        <v>-1</v>
      </c>
      <c r="AE2199" s="156" t="inlineStr">
        <is>
          <t>WB OUTLET LERMA (1)</t>
        </is>
      </c>
      <c r="AF2199" s="51" t="n">
        <v>1</v>
      </c>
      <c r="AG2199" s="156" t="inlineStr">
        <is>
          <t>Catálogo existente</t>
        </is>
      </c>
      <c r="AH2199"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9" s="156" t="inlineStr">
        <is>
          <t>Sí</t>
        </is>
      </c>
      <c r="AJ2199" s="156" t="inlineStr">
        <is>
          <t>STETSON AMERICAS (-2)</t>
        </is>
      </c>
      <c r="AK2199" s="155" t="inlineStr">
        <is>
          <t>Descripción y Criterios: G/H [P] | Criterios: J [R]; G1522_Extraccion_Articulos_NetSuite_2026-09-30.xlsx: fila 56686 [S] | Shopify Stetson: producto 14813124526443 / variante 53350600180075 | Shopify WB: producto 8569965019321 / variante 47621334171833</t>
        </is>
      </c>
      <c r="AL2199" s="58" t="n">
        <v>659.4827586</v>
      </c>
      <c r="AM2199" s="58" t="n">
        <v>1465.517241</v>
      </c>
      <c r="AN2199" s="155" t="inlineStr">
        <is>
          <t>Shopify Stetson México | Shopify Western Brothers</t>
        </is>
      </c>
      <c r="AO2199" s="59" t="n">
        <v>1</v>
      </c>
      <c r="AP2199" s="59" t="n">
        <v>1</v>
      </c>
      <c r="AQ2199" s="59" t="n"/>
      <c r="AR2199" s="155" t="inlineStr">
        <is>
          <t>Shopify Stetson México › Stetson Americas: 1 | Shopify Western Brothers › Western Brothers Outlet Lerma: 1</t>
        </is>
      </c>
    </row>
    <row r="2200">
      <c r="A2200" s="50" t="inlineStr">
        <is>
          <t>7506499569347</t>
        </is>
      </c>
      <c r="B2200" s="51" t="inlineStr">
        <is>
          <t>110245</t>
        </is>
      </c>
      <c r="C2200" s="156" t="inlineStr">
        <is>
          <t>Multimarca</t>
        </is>
      </c>
      <c r="D2200" s="156" t="inlineStr">
        <is>
          <t>ST-LT-003-FW25-PN</t>
        </is>
      </c>
      <c r="E2200" s="156" t="inlineStr">
        <is>
          <t>ST-LT-003-FW25-PN-XXL</t>
        </is>
      </c>
      <c r="F2200" s="156" t="inlineStr">
        <is>
          <t>XXL</t>
        </is>
      </c>
      <c r="G2200" s="156" t="inlineStr">
        <is>
          <t>XXL</t>
        </is>
      </c>
      <c r="H2200" s="156" t="inlineStr">
        <is>
          <t>Stetson</t>
        </is>
      </c>
      <c r="I2200" s="156" t="inlineStr">
        <is>
          <t>Camisa Stetson Legacy Taper</t>
        </is>
      </c>
      <c r="J2200" s="156" t="inlineStr">
        <is>
          <t>Ropa</t>
        </is>
      </c>
      <c r="K2200" s="156" t="inlineStr">
        <is>
          <t>Camisas</t>
        </is>
      </c>
      <c r="L2200" s="156" t="inlineStr">
        <is>
          <t>Hombre</t>
        </is>
      </c>
      <c r="M2200" s="156" t="inlineStr">
        <is>
          <t>Stetson</t>
        </is>
      </c>
      <c r="N2200" s="156" t="inlineStr">
        <is>
          <t>SS26</t>
        </is>
      </c>
      <c r="O2200" s="156" t="inlineStr">
        <is>
          <t>Seasonal</t>
        </is>
      </c>
      <c r="P2200" s="156" t="inlineStr">
        <is>
          <t>Beige</t>
        </is>
      </c>
      <c r="Q2200" s="156" t="inlineStr">
        <is>
          <t>Moderno</t>
        </is>
      </c>
      <c r="R2200" s="156" t="n"/>
      <c r="S2200" s="156" t="inlineStr">
        <is>
          <t>100% Algodón</t>
        </is>
      </c>
      <c r="T2200"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200" s="156" t="n"/>
      <c r="V2200" s="156" t="inlineStr">
        <is>
          <t>PZS</t>
        </is>
      </c>
      <c r="W2200" s="51" t="inlineStr">
        <is>
          <t>53101600</t>
        </is>
      </c>
      <c r="X2200" s="156" t="inlineStr">
        <is>
          <t>https://cdn.shopify.com/s/files/1/0888/3250/8267/files/ST-LT-002-OR-01.jpg?v=1762198078</t>
        </is>
      </c>
      <c r="Y2200" s="54" t="n">
        <v>659.4827586</v>
      </c>
      <c r="Z2200" s="54" t="n">
        <v>1465.517241</v>
      </c>
      <c r="AA2200" s="55">
        <f>IF(AND(A2200="", B2200="", E2200=""), "", IF(AB2200="", "Válido", IF((LEN(AB2200)-LEN(SUBSTITUTE(AB2200,"; ","")))/2+1&gt;(LEN(AB2200)-LEN(SUBSTITUTE(AB2200,"[Aviso]","")))/7, "Con Incidencias", "Válido")))</f>
        <v/>
      </c>
      <c r="AB2200" s="56">
        <f>IF(AND(A2200="", B2200="", E2200=""), "", TEXTJOIN("; ", TRUE, IF(OR(TRIM(A2200&amp;"")="", ISNUMBER(SEARCH("FALTA", A2200))), "UPC faltante/inválido", ""), IF(AND(A2200&lt;&gt;"", IFERROR(_xlfn.XMATCH(A2200,$A$2:$A$2509,0,1)&lt;&gt;_xlfn.XMATCH(A2200,$A$2:$A$2509,0,-1),FALSE)), "Código de barras duplicado", ""), IF(AND(E2200&lt;&gt;"", COUNTIF($E$2:$E$2509, E2200)&gt;1), "SKU duplicado", ""), IF(OR(J2200="", J2200=""), "[Aviso] División no capturada ()", IF(ISNA(MATCH(J2200, Criterios!$A$123:$A$126, 0)), "División no válida", "")), IF(OR(K2200="", K2200=""), "[Aviso] Categoría no capturada ()", IF(ISNA(MATCH(K2200, Criterios!$A$81:$A$120, 0)), "Categoría no válida", IF(AND(J2200&lt;&gt;"", J2200&lt;&gt;"", J2200&lt;&gt;VLOOKUP(K2200, Criterios!$A$81:$B$120, 2, FALSE)), "División no coincide con Categoría", ""))), IF(OR(L2200="", L2200=""), "[Aviso] Género no capturado ()", IF(ISNA(MATCH(L2200, Criterios!$B$123:$B$127, 0)), "Género no válido", "")), IF(OR(N2200="", N2200=""), "[Aviso] Temporada no capturada ()", IF(ISNA(MATCH(N2200, Criterios!$C$123:$C$128, 0)), "Temporada no válida", "")), IF(OR(O2200="", O2200=""), "[Aviso] Ciclo de vida no capturado ()", IF(ISNA(MATCH(O2200, Criterios!$D$123:$D$124, 0)), "Ciclo de vida no válido", ""))))</f>
        <v/>
      </c>
      <c r="AC2200" s="56" t="n"/>
      <c r="AD2200" s="51" t="n">
        <v>1</v>
      </c>
      <c r="AE2200" s="156" t="inlineStr">
        <is>
          <t>STETSON AMERICAS (1)</t>
        </is>
      </c>
      <c r="AF2200" s="51" t="n">
        <v>1</v>
      </c>
      <c r="AG2200" s="156" t="inlineStr">
        <is>
          <t>Catálogo existente</t>
        </is>
      </c>
      <c r="AH2200"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Homologación G1522 06/10/2026: WB Composición: «100% Algodon» → «100% Algodón» (Corrección aplicada)</t>
        </is>
      </c>
      <c r="AI2200" s="156" t="inlineStr">
        <is>
          <t>No</t>
        </is>
      </c>
      <c r="AJ2200" s="156" t="n"/>
      <c r="AK2200" s="155" t="inlineStr">
        <is>
          <t>Descripción y Criterios: G/H [P] | Criterios: J [R]; G1522_Extraccion_Articulos_NetSuite_2026-09-30.xlsx: fila 58060 [S] | Shopify Stetson: producto 14813124526443 / variante 53350600212843</t>
        </is>
      </c>
      <c r="AL2200" s="58" t="n">
        <v>659.4827586</v>
      </c>
      <c r="AM2200" s="58" t="n">
        <v>1465.517241</v>
      </c>
      <c r="AN2200" s="155" t="inlineStr">
        <is>
          <t>Shopify Stetson México</t>
        </is>
      </c>
      <c r="AO2200" s="59" t="n">
        <v>3</v>
      </c>
      <c r="AP2200" s="59" t="n"/>
      <c r="AQ2200" s="59" t="n"/>
      <c r="AR2200" s="155" t="inlineStr">
        <is>
          <t>Shopify Stetson México › Stetson Americas: 3</t>
        </is>
      </c>
    </row>
    <row r="2201">
      <c r="A2201" s="50" t="inlineStr">
        <is>
          <t>7506499569354</t>
        </is>
      </c>
      <c r="B2201" s="51" t="inlineStr">
        <is>
          <t>108597</t>
        </is>
      </c>
      <c r="C2201" s="156" t="inlineStr">
        <is>
          <t>Multimarca</t>
        </is>
      </c>
      <c r="D2201" s="156" t="inlineStr">
        <is>
          <t>ST-LT-004-FW25-TR</t>
        </is>
      </c>
      <c r="E2201" s="156" t="inlineStr">
        <is>
          <t>ST-LT-004-FW25-TR-S</t>
        </is>
      </c>
      <c r="F2201" s="156" t="inlineStr">
        <is>
          <t>S</t>
        </is>
      </c>
      <c r="G2201" s="156" t="inlineStr">
        <is>
          <t>S</t>
        </is>
      </c>
      <c r="H2201" s="156" t="inlineStr">
        <is>
          <t>Stetson</t>
        </is>
      </c>
      <c r="I2201" s="156" t="inlineStr">
        <is>
          <t>Camisa Stetson Legacy Taper</t>
        </is>
      </c>
      <c r="J2201" s="156" t="inlineStr">
        <is>
          <t>Ropa</t>
        </is>
      </c>
      <c r="K2201" s="156" t="inlineStr">
        <is>
          <t>Camisas</t>
        </is>
      </c>
      <c r="L2201" s="156" t="inlineStr">
        <is>
          <t>Hombre</t>
        </is>
      </c>
      <c r="M2201" s="156" t="inlineStr">
        <is>
          <t>Stetson</t>
        </is>
      </c>
      <c r="N2201" s="156" t="inlineStr">
        <is>
          <t>SS26</t>
        </is>
      </c>
      <c r="O2201" s="156" t="inlineStr">
        <is>
          <t>Seasonal</t>
        </is>
      </c>
      <c r="P2201" s="156" t="inlineStr">
        <is>
          <t>Varios</t>
        </is>
      </c>
      <c r="Q2201" s="156" t="inlineStr">
        <is>
          <t>Clásico</t>
        </is>
      </c>
      <c r="R2201" s="156" t="n"/>
      <c r="S2201" s="156" t="inlineStr">
        <is>
          <t>100% Algodón</t>
        </is>
      </c>
      <c r="T2201"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1" s="156" t="n"/>
      <c r="V2201" s="156" t="inlineStr">
        <is>
          <t>PZS</t>
        </is>
      </c>
      <c r="W2201" s="51" t="inlineStr">
        <is>
          <t>53101600</t>
        </is>
      </c>
      <c r="X2201" s="156" t="inlineStr">
        <is>
          <t>https://cdn.shopify.com/s/files/1/0888/3250/8267/files/ST-LT-001-AF-01.jpg?v=1762198093</t>
        </is>
      </c>
      <c r="Y2201" s="54" t="n">
        <v>659.4827586</v>
      </c>
      <c r="Z2201" s="54" t="n">
        <v>1465.517241</v>
      </c>
      <c r="AA2201" s="55">
        <f>IF(AND(A2201="", B2201="", E2201=""), "", IF(AB2201="", "Válido", IF((LEN(AB2201)-LEN(SUBSTITUTE(AB2201,"; ","")))/2+1&gt;(LEN(AB2201)-LEN(SUBSTITUTE(AB2201,"[Aviso]","")))/7, "Con Incidencias", "Válido")))</f>
        <v/>
      </c>
      <c r="AB2201" s="56">
        <f>IF(AND(A2201="", B2201="", E2201=""), "", TEXTJOIN("; ", TRUE, IF(OR(TRIM(A2201&amp;"")="", ISNUMBER(SEARCH("FALTA", A2201))), "UPC faltante/inválido", ""), IF(AND(A2201&lt;&gt;"", IFERROR(_xlfn.XMATCH(A2201,$A$2:$A$2509,0,1)&lt;&gt;_xlfn.XMATCH(A2201,$A$2:$A$2509,0,-1),FALSE)), "Código de barras duplicado", ""), IF(AND(E2201&lt;&gt;"", COUNTIF($E$2:$E$2509, E2201)&gt;1), "SKU duplicado", ""), IF(OR(J2201="", J2201=""), "[Aviso] División no capturada ()", IF(ISNA(MATCH(J2201, Criterios!$A$123:$A$126, 0)), "División no válida", "")), IF(OR(K2201="", K2201=""), "[Aviso] Categoría no capturada ()", IF(ISNA(MATCH(K2201, Criterios!$A$81:$A$120, 0)), "Categoría no válida", IF(AND(J2201&lt;&gt;"", J2201&lt;&gt;"", J2201&lt;&gt;VLOOKUP(K2201, Criterios!$A$81:$B$120, 2, FALSE)), "División no coincide con Categoría", ""))), IF(OR(L2201="", L2201=""), "[Aviso] Género no capturado ()", IF(ISNA(MATCH(L2201, Criterios!$B$123:$B$127, 0)), "Género no válido", "")), IF(OR(N2201="", N2201=""), "[Aviso] Temporada no capturada ()", IF(ISNA(MATCH(N2201, Criterios!$C$123:$C$128, 0)), "Temporada no válida", "")), IF(OR(O2201="", O2201=""), "[Aviso] Ciclo de vida no capturado ()", IF(ISNA(MATCH(O2201, Criterios!$D$123:$D$124, 0)), "Ciclo de vida no válido", ""))))</f>
        <v/>
      </c>
      <c r="AC2201" s="56" t="n"/>
      <c r="AD2201" s="51" t="n">
        <v>-4</v>
      </c>
      <c r="AE2201" s="156" t="n"/>
      <c r="AF2201" s="51" t="n">
        <v>0</v>
      </c>
      <c r="AG2201" s="156" t="inlineStr">
        <is>
          <t>Catálogo existente</t>
        </is>
      </c>
      <c r="AH2201"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«Cafe» — se conservó el valor de Productos | Homologación G1522 06/10/2026: WB Composición: «100% Algodon» → «100% Algodón» (Corrección aplicada)</t>
        </is>
      </c>
      <c r="AI2201" s="156" t="inlineStr">
        <is>
          <t>Sí</t>
        </is>
      </c>
      <c r="AJ2201" s="156" t="inlineStr">
        <is>
          <t>STETSON AMERICAS (-3); WB OUTLET LERMA (-1)</t>
        </is>
      </c>
      <c r="AK2201" s="155" t="inlineStr">
        <is>
          <t>Criterios: J [R]; G1522_Extraccion_Articulos_NetSuite_2026-09-30.xlsx: fila 56756 [S] | Shopify Stetson: producto 14813124526443 / variante 53350600409451 | Shopify WB: producto 8569965117625 / variante 47621334270137</t>
        </is>
      </c>
      <c r="AL2201" s="58" t="n">
        <v>659.4827586</v>
      </c>
      <c r="AM2201" s="58" t="n">
        <v>1465.517241</v>
      </c>
      <c r="AN2201" s="155" t="inlineStr">
        <is>
          <t>Shopify Stetson México | Shopify Western Brothers</t>
        </is>
      </c>
      <c r="AO2201" s="59" t="n">
        <v>1</v>
      </c>
      <c r="AP2201" s="59" t="n">
        <v>-1</v>
      </c>
      <c r="AQ2201" s="59" t="n"/>
      <c r="AR2201" s="155" t="inlineStr">
        <is>
          <t>Shopify Stetson México › Stetson Americas: 1</t>
        </is>
      </c>
    </row>
    <row r="2202">
      <c r="A2202" s="50" t="inlineStr">
        <is>
          <t>7506499569361</t>
        </is>
      </c>
      <c r="B2202" s="51" t="inlineStr">
        <is>
          <t>108598</t>
        </is>
      </c>
      <c r="C2202" s="156" t="inlineStr">
        <is>
          <t>Multimarca</t>
        </is>
      </c>
      <c r="D2202" s="156" t="inlineStr">
        <is>
          <t>ST-LT-004-FW25-TR</t>
        </is>
      </c>
      <c r="E2202" s="156" t="inlineStr">
        <is>
          <t>ST-LT-004-FW25-TR-M</t>
        </is>
      </c>
      <c r="F2202" s="156" t="inlineStr">
        <is>
          <t>M</t>
        </is>
      </c>
      <c r="G2202" s="156" t="inlineStr">
        <is>
          <t>M</t>
        </is>
      </c>
      <c r="H2202" s="156" t="inlineStr">
        <is>
          <t>Stetson</t>
        </is>
      </c>
      <c r="I2202" s="156" t="inlineStr">
        <is>
          <t>Camisa Stetson Legacy Taper</t>
        </is>
      </c>
      <c r="J2202" s="156" t="inlineStr">
        <is>
          <t>Ropa</t>
        </is>
      </c>
      <c r="K2202" s="156" t="inlineStr">
        <is>
          <t>Camisas</t>
        </is>
      </c>
      <c r="L2202" s="156" t="inlineStr">
        <is>
          <t>Hombre</t>
        </is>
      </c>
      <c r="M2202" s="156" t="inlineStr">
        <is>
          <t>Stetson</t>
        </is>
      </c>
      <c r="N2202" s="156" t="inlineStr">
        <is>
          <t>SS26</t>
        </is>
      </c>
      <c r="O2202" s="156" t="inlineStr">
        <is>
          <t>Seasonal</t>
        </is>
      </c>
      <c r="P2202" s="156" t="inlineStr">
        <is>
          <t>Varios</t>
        </is>
      </c>
      <c r="Q2202" s="156" t="inlineStr">
        <is>
          <t>Clásico</t>
        </is>
      </c>
      <c r="R2202" s="156" t="n"/>
      <c r="S2202" s="156" t="inlineStr">
        <is>
          <t>100% Algodón</t>
        </is>
      </c>
      <c r="T2202"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2" s="156" t="n"/>
      <c r="V2202" s="156" t="inlineStr">
        <is>
          <t>PZS</t>
        </is>
      </c>
      <c r="W2202" s="51" t="inlineStr">
        <is>
          <t>53101600</t>
        </is>
      </c>
      <c r="X2202" s="156" t="inlineStr">
        <is>
          <t>https://cdn.shopify.com/s/files/1/0888/3250/8267/files/ST-LT-001-AF-02.jpg?v=1762198092</t>
        </is>
      </c>
      <c r="Y2202" s="54" t="n">
        <v>659.4827586</v>
      </c>
      <c r="Z2202" s="54" t="n">
        <v>1465.517241</v>
      </c>
      <c r="AA2202" s="55">
        <f>IF(AND(A2202="", B2202="", E2202=""), "", IF(AB2202="", "Válido", IF((LEN(AB2202)-LEN(SUBSTITUTE(AB2202,"; ","")))/2+1&gt;(LEN(AB2202)-LEN(SUBSTITUTE(AB2202,"[Aviso]","")))/7, "Con Incidencias", "Válido")))</f>
        <v/>
      </c>
      <c r="AB2202" s="56">
        <f>IF(AND(A2202="", B2202="", E2202=""), "", TEXTJOIN("; ", TRUE, IF(OR(TRIM(A2202&amp;"")="", ISNUMBER(SEARCH("FALTA", A2202))), "UPC faltante/inválido", ""), IF(AND(A2202&lt;&gt;"", IFERROR(_xlfn.XMATCH(A2202,$A$2:$A$2509,0,1)&lt;&gt;_xlfn.XMATCH(A2202,$A$2:$A$2509,0,-1),FALSE)), "Código de barras duplicado", ""), IF(AND(E2202&lt;&gt;"", COUNTIF($E$2:$E$2509, E2202)&gt;1), "SKU duplicado", ""), IF(OR(J2202="", J2202=""), "[Aviso] División no capturada ()", IF(ISNA(MATCH(J2202, Criterios!$A$123:$A$126, 0)), "División no válida", "")), IF(OR(K2202="", K2202=""), "[Aviso] Categoría no capturada ()", IF(ISNA(MATCH(K2202, Criterios!$A$81:$A$120, 0)), "Categoría no válida", IF(AND(J2202&lt;&gt;"", J2202&lt;&gt;"", J2202&lt;&gt;VLOOKUP(K2202, Criterios!$A$81:$B$120, 2, FALSE)), "División no coincide con Categoría", ""))), IF(OR(L2202="", L2202=""), "[Aviso] Género no capturado ()", IF(ISNA(MATCH(L2202, Criterios!$B$123:$B$127, 0)), "Género no válido", "")), IF(OR(N2202="", N2202=""), "[Aviso] Temporada no capturada ()", IF(ISNA(MATCH(N2202, Criterios!$C$123:$C$128, 0)), "Temporada no válida", "")), IF(OR(O2202="", O2202=""), "[Aviso] Ciclo de vida no capturado ()", IF(ISNA(MATCH(O2202, Criterios!$D$123:$D$124, 0)), "Ciclo de vida no válido", ""))))</f>
        <v/>
      </c>
      <c r="AC2202" s="56" t="n"/>
      <c r="AD2202" s="51" t="n">
        <v>-4</v>
      </c>
      <c r="AE2202" s="156" t="n"/>
      <c r="AF2202" s="51" t="n">
        <v>0</v>
      </c>
      <c r="AG2202" s="156" t="inlineStr">
        <is>
          <t>Catálogo existente</t>
        </is>
      </c>
      <c r="AH220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«Cafe» — se conservó el valor de Productos | Homologación G1522 06/10/2026: WB Composición: «100% Algodon» → «100% Algodón» (Corrección aplicada)</t>
        </is>
      </c>
      <c r="AI2202" s="156" t="inlineStr">
        <is>
          <t>Sí</t>
        </is>
      </c>
      <c r="AJ2202" s="156" t="inlineStr">
        <is>
          <t>STETSON AMERICAS (-3); WB OUTLET LERMA (-1)</t>
        </is>
      </c>
      <c r="AK2202" s="155" t="inlineStr">
        <is>
          <t>Criterios: J [R]; G1522_Extraccion_Articulos_NetSuite_2026-09-30.xlsx: fila 56757 [S] | Shopify Stetson: producto 14813124526443 / variante 53350600442219 | Shopify WB: producto 8569965117625 / variante 47621334302905</t>
        </is>
      </c>
      <c r="AL2202" s="58" t="n">
        <v>659.4827586</v>
      </c>
      <c r="AM2202" s="58" t="n">
        <v>1465.517241</v>
      </c>
      <c r="AN2202" s="155" t="inlineStr">
        <is>
          <t>Shopify Stetson México | Shopify Western Brothers</t>
        </is>
      </c>
      <c r="AO2202" s="59" t="n">
        <v>0</v>
      </c>
      <c r="AP2202" s="59" t="n">
        <v>-1</v>
      </c>
      <c r="AQ2202" s="59" t="n"/>
      <c r="AR2202" s="155" t="n"/>
    </row>
    <row r="2203">
      <c r="A2203" s="50" t="inlineStr">
        <is>
          <t>7506499569378</t>
        </is>
      </c>
      <c r="B2203" s="51" t="inlineStr">
        <is>
          <t>108599</t>
        </is>
      </c>
      <c r="C2203" s="156" t="inlineStr">
        <is>
          <t>Multimarca</t>
        </is>
      </c>
      <c r="D2203" s="156" t="inlineStr">
        <is>
          <t>ST-LT-004-FW25-TR</t>
        </is>
      </c>
      <c r="E2203" s="156" t="inlineStr">
        <is>
          <t>ST-LT-004-FW25-TR-L</t>
        </is>
      </c>
      <c r="F2203" s="156" t="inlineStr">
        <is>
          <t>L</t>
        </is>
      </c>
      <c r="G2203" s="156" t="inlineStr">
        <is>
          <t>L</t>
        </is>
      </c>
      <c r="H2203" s="156" t="inlineStr">
        <is>
          <t>Stetson</t>
        </is>
      </c>
      <c r="I2203" s="156" t="inlineStr">
        <is>
          <t>Camisa Stetson Legacy Taper</t>
        </is>
      </c>
      <c r="J2203" s="156" t="inlineStr">
        <is>
          <t>Ropa</t>
        </is>
      </c>
      <c r="K2203" s="156" t="inlineStr">
        <is>
          <t>Camisas</t>
        </is>
      </c>
      <c r="L2203" s="156" t="inlineStr">
        <is>
          <t>Hombre</t>
        </is>
      </c>
      <c r="M2203" s="156" t="inlineStr">
        <is>
          <t>Stetson</t>
        </is>
      </c>
      <c r="N2203" s="156" t="inlineStr">
        <is>
          <t>SS26</t>
        </is>
      </c>
      <c r="O2203" s="156" t="inlineStr">
        <is>
          <t>Seasonal</t>
        </is>
      </c>
      <c r="P2203" s="156" t="inlineStr">
        <is>
          <t>Beige</t>
        </is>
      </c>
      <c r="Q2203" s="156" t="inlineStr">
        <is>
          <t>Moderno</t>
        </is>
      </c>
      <c r="R2203" s="156" t="n"/>
      <c r="S2203" s="156" t="inlineStr">
        <is>
          <t>100% Algodón</t>
        </is>
      </c>
      <c r="T2203"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203" s="156" t="n"/>
      <c r="V2203" s="156" t="inlineStr">
        <is>
          <t>PZS</t>
        </is>
      </c>
      <c r="W2203" s="51" t="inlineStr">
        <is>
          <t>53101600</t>
        </is>
      </c>
      <c r="X2203" s="156" t="inlineStr">
        <is>
          <t>https://cdn.shopify.com/s/files/1/0888/3250/8267/files/ST-LT-001-AF-03.jpg?v=1762198092</t>
        </is>
      </c>
      <c r="Y2203" s="54" t="n">
        <v>659.4827586</v>
      </c>
      <c r="Z2203" s="54" t="n">
        <v>1465.517241</v>
      </c>
      <c r="AA2203" s="55">
        <f>IF(AND(A2203="", B2203="", E2203=""), "", IF(AB2203="", "Válido", IF((LEN(AB2203)-LEN(SUBSTITUTE(AB2203,"; ","")))/2+1&gt;(LEN(AB2203)-LEN(SUBSTITUTE(AB2203,"[Aviso]","")))/7, "Con Incidencias", "Válido")))</f>
        <v/>
      </c>
      <c r="AB2203" s="56">
        <f>IF(AND(A2203="", B2203="", E2203=""), "", TEXTJOIN("; ", TRUE, IF(OR(TRIM(A2203&amp;"")="", ISNUMBER(SEARCH("FALTA", A2203))), "UPC faltante/inválido", ""), IF(AND(A2203&lt;&gt;"", IFERROR(_xlfn.XMATCH(A2203,$A$2:$A$2509,0,1)&lt;&gt;_xlfn.XMATCH(A2203,$A$2:$A$2509,0,-1),FALSE)), "Código de barras duplicado", ""), IF(AND(E2203&lt;&gt;"", COUNTIF($E$2:$E$2509, E2203)&gt;1), "SKU duplicado", ""), IF(OR(J2203="", J2203=""), "[Aviso] División no capturada ()", IF(ISNA(MATCH(J2203, Criterios!$A$123:$A$126, 0)), "División no válida", "")), IF(OR(K2203="", K2203=""), "[Aviso] Categoría no capturada ()", IF(ISNA(MATCH(K2203, Criterios!$A$81:$A$120, 0)), "Categoría no válida", IF(AND(J2203&lt;&gt;"", J2203&lt;&gt;"", J2203&lt;&gt;VLOOKUP(K2203, Criterios!$A$81:$B$120, 2, FALSE)), "División no coincide con Categoría", ""))), IF(OR(L2203="", L2203=""), "[Aviso] Género no capturado ()", IF(ISNA(MATCH(L2203, Criterios!$B$123:$B$127, 0)), "Género no válido", "")), IF(OR(N2203="", N2203=""), "[Aviso] Temporada no capturada ()", IF(ISNA(MATCH(N2203, Criterios!$C$123:$C$128, 0)), "Temporada no válida", "")), IF(OR(O2203="", O2203=""), "[Aviso] Ciclo de vida no capturado ()", IF(ISNA(MATCH(O2203, Criterios!$D$123:$D$124, 0)), "Ciclo de vida no válido", ""))))</f>
        <v/>
      </c>
      <c r="AC2203" s="56" t="n"/>
      <c r="AD2203" s="51" t="n">
        <v>-6</v>
      </c>
      <c r="AE2203" s="156" t="n"/>
      <c r="AF2203" s="51" t="n">
        <v>0</v>
      </c>
      <c r="AG2203" s="156" t="inlineStr">
        <is>
          <t>Catálogo existente</t>
        </is>
      </c>
      <c r="AH2203"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«Cafe» — se conservó el valor de Productos | Homologación G1522 06/10/2026: WB Composición: «100% Algodon» → «100% Algodón» (Corrección aplicada)</t>
        </is>
      </c>
      <c r="AI2203" s="156" t="inlineStr">
        <is>
          <t>Sí</t>
        </is>
      </c>
      <c r="AJ2203" s="156" t="inlineStr">
        <is>
          <t>STETSON AMERICAS (-4); WB OUTLET LERMA (-2)</t>
        </is>
      </c>
      <c r="AK2203" s="155" t="inlineStr">
        <is>
          <t>Descripción y Criterios: G/H [P] | Criterios: J [R]; G1522_Extraccion_Articulos_NetSuite_2026-09-30.xlsx: fila 56758 [S] | Shopify Stetson: producto 14813124526443 / variante 53350600474987 | Shopify WB: producto 8569965117625 / variante 47621334335673</t>
        </is>
      </c>
      <c r="AL2203" s="58" t="n">
        <v>659.4827586</v>
      </c>
      <c r="AM2203" s="58" t="n">
        <v>1465.517241</v>
      </c>
      <c r="AN2203" s="155" t="inlineStr">
        <is>
          <t>Shopify Stetson México | Shopify Western Brothers</t>
        </is>
      </c>
      <c r="AO2203" s="59" t="n">
        <v>0</v>
      </c>
      <c r="AP2203" s="59" t="n">
        <v>-2</v>
      </c>
      <c r="AQ2203" s="59" t="n"/>
      <c r="AR2203" s="155" t="n"/>
    </row>
    <row r="2204">
      <c r="A2204" s="50" t="inlineStr">
        <is>
          <t>7506499569385</t>
        </is>
      </c>
      <c r="B2204" s="51" t="inlineStr">
        <is>
          <t>108600</t>
        </is>
      </c>
      <c r="C2204" s="156" t="inlineStr">
        <is>
          <t>Multimarca</t>
        </is>
      </c>
      <c r="D2204" s="156" t="inlineStr">
        <is>
          <t>ST-LT-004-FW25-TR</t>
        </is>
      </c>
      <c r="E2204" s="156" t="inlineStr">
        <is>
          <t>ST-LT-004-FW25-TR-XL</t>
        </is>
      </c>
      <c r="F2204" s="156" t="inlineStr">
        <is>
          <t>XL</t>
        </is>
      </c>
      <c r="G2204" s="156" t="inlineStr">
        <is>
          <t>XL</t>
        </is>
      </c>
      <c r="H2204" s="156" t="inlineStr">
        <is>
          <t>Stetson</t>
        </is>
      </c>
      <c r="I2204" s="156" t="inlineStr">
        <is>
          <t>Camisa Stetson Legacy Taper</t>
        </is>
      </c>
      <c r="J2204" s="156" t="inlineStr">
        <is>
          <t>Ropa</t>
        </is>
      </c>
      <c r="K2204" s="156" t="inlineStr">
        <is>
          <t>Camisas</t>
        </is>
      </c>
      <c r="L2204" s="156" t="inlineStr">
        <is>
          <t>Hombre</t>
        </is>
      </c>
      <c r="M2204" s="156" t="inlineStr">
        <is>
          <t>Stetson</t>
        </is>
      </c>
      <c r="N2204" s="156" t="inlineStr">
        <is>
          <t>SS26</t>
        </is>
      </c>
      <c r="O2204" s="156" t="inlineStr">
        <is>
          <t>Seasonal</t>
        </is>
      </c>
      <c r="P2204" s="156" t="inlineStr">
        <is>
          <t>Varios</t>
        </is>
      </c>
      <c r="Q2204" s="156" t="inlineStr">
        <is>
          <t>Clásico</t>
        </is>
      </c>
      <c r="R2204" s="156" t="n"/>
      <c r="S2204" s="156" t="inlineStr">
        <is>
          <t>100% Algodón</t>
        </is>
      </c>
      <c r="T2204"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4" s="156" t="n"/>
      <c r="V2204" s="156" t="inlineStr">
        <is>
          <t>PZS</t>
        </is>
      </c>
      <c r="W2204" s="51" t="inlineStr">
        <is>
          <t>53101600</t>
        </is>
      </c>
      <c r="X2204" s="156" t="inlineStr">
        <is>
          <t>https://cdn.shopify.com/s/files/1/0888/3250/8267/files/ST-LT-004-TR-01.jpg?v=1762198087</t>
        </is>
      </c>
      <c r="Y2204" s="54" t="n">
        <v>659.4827586</v>
      </c>
      <c r="Z2204" s="54" t="n">
        <v>1465.517241</v>
      </c>
      <c r="AA2204" s="55">
        <f>IF(AND(A2204="", B2204="", E2204=""), "", IF(AB2204="", "Válido", IF((LEN(AB2204)-LEN(SUBSTITUTE(AB2204,"; ","")))/2+1&gt;(LEN(AB2204)-LEN(SUBSTITUTE(AB2204,"[Aviso]","")))/7, "Con Incidencias", "Válido")))</f>
        <v/>
      </c>
      <c r="AB2204" s="56">
        <f>IF(AND(A2204="", B2204="", E2204=""), "", TEXTJOIN("; ", TRUE, IF(OR(TRIM(A2204&amp;"")="", ISNUMBER(SEARCH("FALTA", A2204))), "UPC faltante/inválido", ""), IF(AND(A2204&lt;&gt;"", IFERROR(_xlfn.XMATCH(A2204,$A$2:$A$2509,0,1)&lt;&gt;_xlfn.XMATCH(A2204,$A$2:$A$2509,0,-1),FALSE)), "Código de barras duplicado", ""), IF(AND(E2204&lt;&gt;"", COUNTIF($E$2:$E$2509, E2204)&gt;1), "SKU duplicado", ""), IF(OR(J2204="", J2204=""), "[Aviso] División no capturada ()", IF(ISNA(MATCH(J2204, Criterios!$A$123:$A$126, 0)), "División no válida", "")), IF(OR(K2204="", K2204=""), "[Aviso] Categoría no capturada ()", IF(ISNA(MATCH(K2204, Criterios!$A$81:$A$120, 0)), "Categoría no válida", IF(AND(J2204&lt;&gt;"", J2204&lt;&gt;"", J2204&lt;&gt;VLOOKUP(K2204, Criterios!$A$81:$B$120, 2, FALSE)), "División no coincide con Categoría", ""))), IF(OR(L2204="", L2204=""), "[Aviso] Género no capturado ()", IF(ISNA(MATCH(L2204, Criterios!$B$123:$B$127, 0)), "Género no válido", "")), IF(OR(N2204="", N2204=""), "[Aviso] Temporada no capturada ()", IF(ISNA(MATCH(N2204, Criterios!$C$123:$C$128, 0)), "Temporada no válida", "")), IF(OR(O2204="", O2204=""), "[Aviso] Ciclo de vida no capturado ()", IF(ISNA(MATCH(O2204, Criterios!$D$123:$D$124, 0)), "Ciclo de vida no válido", ""))))</f>
        <v/>
      </c>
      <c r="AC2204" s="56" t="n"/>
      <c r="AD2204" s="51" t="n">
        <v>-2</v>
      </c>
      <c r="AE2204" s="156" t="inlineStr">
        <is>
          <t>B25 STETSON.MX (1)</t>
        </is>
      </c>
      <c r="AF2204" s="51" t="n">
        <v>1</v>
      </c>
      <c r="AG2204" s="156" t="inlineStr">
        <is>
          <t>Catálogo existente</t>
        </is>
      </c>
      <c r="AH2204"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«Cafe» — se conservó el valor de Productos | Homologación G1522 06/10/2026: WB Composición: «100% Algodon» → «100% Algodón» (Corrección aplicada)</t>
        </is>
      </c>
      <c r="AI2204" s="156" t="inlineStr">
        <is>
          <t>Sí</t>
        </is>
      </c>
      <c r="AJ2204" s="156" t="inlineStr">
        <is>
          <t>STETSON AMERICAS (-3)</t>
        </is>
      </c>
      <c r="AK2204" s="155" t="inlineStr">
        <is>
          <t>Criterios: J [R]; G1522_Extraccion_Articulos_NetSuite_2026-09-30.xlsx: fila 56759 [S] | Shopify Stetson: producto 14813124526443 / variante 53350600507755 | Shopify WB: producto 8569965117625 / variante 47621334368441</t>
        </is>
      </c>
      <c r="AL2204" s="58" t="n">
        <v>659.4827586</v>
      </c>
      <c r="AM2204" s="58" t="n">
        <v>1465.517241</v>
      </c>
      <c r="AN2204" s="155" t="inlineStr">
        <is>
          <t>Shopify Stetson México | Shopify Western Brothers</t>
        </is>
      </c>
      <c r="AO2204" s="59" t="n">
        <v>2</v>
      </c>
      <c r="AP2204" s="59" t="n">
        <v>0</v>
      </c>
      <c r="AQ2204" s="59" t="n"/>
      <c r="AR2204" s="155" t="inlineStr">
        <is>
          <t>Shopify Stetson México › Stetson México: 1 | Shopify Stetson México › Stetson Americas: 1</t>
        </is>
      </c>
    </row>
    <row r="2205">
      <c r="A2205" s="50" t="inlineStr">
        <is>
          <t>7506499569392</t>
        </is>
      </c>
      <c r="B2205" s="51" t="inlineStr">
        <is>
          <t>110246</t>
        </is>
      </c>
      <c r="C2205" s="156" t="inlineStr">
        <is>
          <t>Multimarca</t>
        </is>
      </c>
      <c r="D2205" s="156" t="inlineStr">
        <is>
          <t>ST-LT-004-FW25-TR</t>
        </is>
      </c>
      <c r="E2205" s="156" t="inlineStr">
        <is>
          <t>ST-LT-004-FW25-TR-XXL</t>
        </is>
      </c>
      <c r="F2205" s="156" t="inlineStr">
        <is>
          <t>XXL</t>
        </is>
      </c>
      <c r="G2205" s="156" t="inlineStr">
        <is>
          <t>XXL</t>
        </is>
      </c>
      <c r="H2205" s="156" t="inlineStr">
        <is>
          <t>Stetson</t>
        </is>
      </c>
      <c r="I2205" s="156" t="inlineStr">
        <is>
          <t>Camisa Stetson Legacy Taper</t>
        </is>
      </c>
      <c r="J2205" s="156" t="inlineStr">
        <is>
          <t>Ropa</t>
        </is>
      </c>
      <c r="K2205" s="156" t="inlineStr">
        <is>
          <t>Camisas</t>
        </is>
      </c>
      <c r="L2205" s="156" t="inlineStr">
        <is>
          <t>Hombre</t>
        </is>
      </c>
      <c r="M2205" s="156" t="inlineStr">
        <is>
          <t>Stetson</t>
        </is>
      </c>
      <c r="N2205" s="156" t="inlineStr">
        <is>
          <t>SS26</t>
        </is>
      </c>
      <c r="O2205" s="156" t="inlineStr">
        <is>
          <t>Seasonal</t>
        </is>
      </c>
      <c r="P2205" s="156" t="inlineStr">
        <is>
          <t>Varios</t>
        </is>
      </c>
      <c r="Q2205" s="156" t="inlineStr">
        <is>
          <t>Clásico</t>
        </is>
      </c>
      <c r="R2205" s="156" t="n"/>
      <c r="S2205" s="156" t="inlineStr">
        <is>
          <t>100% Algodón</t>
        </is>
      </c>
      <c r="T2205"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5" s="156" t="n"/>
      <c r="V2205" s="156" t="inlineStr">
        <is>
          <t>PZS</t>
        </is>
      </c>
      <c r="W2205" s="51" t="inlineStr">
        <is>
          <t>53101600</t>
        </is>
      </c>
      <c r="X2205" s="156" t="inlineStr">
        <is>
          <t>https://cdn.shopify.com/s/files/1/0888/3250/8267/files/ST-LT-004-TR-01.jpg?v=1762198087</t>
        </is>
      </c>
      <c r="Y2205" s="54" t="n">
        <v>659.4827586</v>
      </c>
      <c r="Z2205" s="54" t="n">
        <v>1465.517241</v>
      </c>
      <c r="AA2205" s="55">
        <f>IF(AND(A2205="", B2205="", E2205=""), "", IF(AB2205="", "Válido", IF((LEN(AB2205)-LEN(SUBSTITUTE(AB2205,"; ","")))/2+1&gt;(LEN(AB2205)-LEN(SUBSTITUTE(AB2205,"[Aviso]","")))/7, "Con Incidencias", "Válido")))</f>
        <v/>
      </c>
      <c r="AB2205" s="56">
        <f>IF(AND(A2205="", B2205="", E2205=""), "", TEXTJOIN("; ", TRUE, IF(OR(TRIM(A2205&amp;"")="", ISNUMBER(SEARCH("FALTA", A2205))), "UPC faltante/inválido", ""), IF(AND(A2205&lt;&gt;"", IFERROR(_xlfn.XMATCH(A2205,$A$2:$A$2509,0,1)&lt;&gt;_xlfn.XMATCH(A2205,$A$2:$A$2509,0,-1),FALSE)), "Código de barras duplicado", ""), IF(AND(E2205&lt;&gt;"", COUNTIF($E$2:$E$2509, E2205)&gt;1), "SKU duplicado", ""), IF(OR(J2205="", J2205=""), "[Aviso] División no capturada ()", IF(ISNA(MATCH(J2205, Criterios!$A$123:$A$126, 0)), "División no válida", "")), IF(OR(K2205="", K2205=""), "[Aviso] Categoría no capturada ()", IF(ISNA(MATCH(K2205, Criterios!$A$81:$A$120, 0)), "Categoría no válida", IF(AND(J2205&lt;&gt;"", J2205&lt;&gt;"", J2205&lt;&gt;VLOOKUP(K2205, Criterios!$A$81:$B$120, 2, FALSE)), "División no coincide con Categoría", ""))), IF(OR(L2205="", L2205=""), "[Aviso] Género no capturado ()", IF(ISNA(MATCH(L2205, Criterios!$B$123:$B$127, 0)), "Género no válido", "")), IF(OR(N2205="", N2205=""), "[Aviso] Temporada no capturada ()", IF(ISNA(MATCH(N2205, Criterios!$C$123:$C$128, 0)), "Temporada no válida", "")), IF(OR(O2205="", O2205=""), "[Aviso] Ciclo de vida no capturado ()", IF(ISNA(MATCH(O2205, Criterios!$D$123:$D$124, 0)), "Ciclo de vida no válido", ""))))</f>
        <v/>
      </c>
      <c r="AC2205" s="56" t="n"/>
      <c r="AD2205" s="51" t="n">
        <v>1</v>
      </c>
      <c r="AE2205" s="156" t="inlineStr">
        <is>
          <t>B25 STETSON.MX (1)</t>
        </is>
      </c>
      <c r="AF2205" s="51" t="n">
        <v>1</v>
      </c>
      <c r="AG2205" s="156" t="inlineStr">
        <is>
          <t>Catálogo existente</t>
        </is>
      </c>
      <c r="AH2205"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05" s="156" t="inlineStr">
        <is>
          <t>No</t>
        </is>
      </c>
      <c r="AJ2205" s="156" t="n"/>
      <c r="AK2205" s="155" t="inlineStr">
        <is>
          <t>Criterios: J [R]; G1522_Extraccion_Articulos_NetSuite_2026-09-30.xlsx: fila 58061 [S] | Shopify Stetson: producto 14813124526443 / variante 53350600540523</t>
        </is>
      </c>
      <c r="AL2205" s="58" t="n">
        <v>659.4827586</v>
      </c>
      <c r="AM2205" s="58" t="n">
        <v>1465.517241</v>
      </c>
      <c r="AN2205" s="155" t="inlineStr">
        <is>
          <t>Shopify Stetson México</t>
        </is>
      </c>
      <c r="AO2205" s="59" t="n">
        <v>4</v>
      </c>
      <c r="AP2205" s="59" t="n"/>
      <c r="AQ2205" s="59" t="n"/>
      <c r="AR2205" s="155" t="inlineStr">
        <is>
          <t>Shopify Stetson México › Stetson México: 1 | Shopify Stetson México › Stetson Americas: 3</t>
        </is>
      </c>
    </row>
    <row r="2206">
      <c r="A2206" s="50" t="inlineStr">
        <is>
          <t>7506499569408</t>
        </is>
      </c>
      <c r="B2206" s="51" t="inlineStr">
        <is>
          <t>108528</t>
        </is>
      </c>
      <c r="C2206" s="156" t="inlineStr">
        <is>
          <t>Multimarca</t>
        </is>
      </c>
      <c r="D2206" s="156" t="inlineStr">
        <is>
          <t>ST-TI-001-FW25-TC</t>
        </is>
      </c>
      <c r="E2206" s="156" t="inlineStr">
        <is>
          <t>ST-TI-001-FW25-TC-S</t>
        </is>
      </c>
      <c r="F2206" s="156" t="inlineStr">
        <is>
          <t>S</t>
        </is>
      </c>
      <c r="G2206" s="156" t="inlineStr">
        <is>
          <t>S</t>
        </is>
      </c>
      <c r="H2206" s="156" t="inlineStr">
        <is>
          <t>Stetson</t>
        </is>
      </c>
      <c r="I2206" s="156" t="inlineStr">
        <is>
          <t>Camisa Stetson Trailblazer Icon</t>
        </is>
      </c>
      <c r="J2206" s="156" t="inlineStr">
        <is>
          <t>Ropa</t>
        </is>
      </c>
      <c r="K2206" s="156" t="inlineStr">
        <is>
          <t>Camisas</t>
        </is>
      </c>
      <c r="L2206" s="156" t="inlineStr">
        <is>
          <t>Hombre</t>
        </is>
      </c>
      <c r="M2206" s="156" t="inlineStr">
        <is>
          <t>Stetson</t>
        </is>
      </c>
      <c r="N2206" s="156" t="inlineStr">
        <is>
          <t>SS26</t>
        </is>
      </c>
      <c r="O2206" s="156" t="inlineStr">
        <is>
          <t>Seasonal</t>
        </is>
      </c>
      <c r="P2206" s="156" t="inlineStr">
        <is>
          <t>Varios</t>
        </is>
      </c>
      <c r="Q2206" s="156" t="inlineStr">
        <is>
          <t>Clásico</t>
        </is>
      </c>
      <c r="R2206" s="156" t="n"/>
      <c r="S2206" s="156" t="inlineStr">
        <is>
          <t>100% Algodón</t>
        </is>
      </c>
      <c r="T2206"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6" s="156" t="n"/>
      <c r="V2206" s="156" t="inlineStr">
        <is>
          <t>PZS</t>
        </is>
      </c>
      <c r="W2206" s="51" t="inlineStr">
        <is>
          <t>53101600</t>
        </is>
      </c>
      <c r="X2206" s="156" t="inlineStr">
        <is>
          <t>https://cdn.shopify.com/s/files/1/0888/3250/8267/files/ST-TI-001-TC-01.jpg?v=1762453320</t>
        </is>
      </c>
      <c r="Y2206" s="54" t="n">
        <v>698.2758621</v>
      </c>
      <c r="Z2206" s="54" t="n">
        <v>1551.724138</v>
      </c>
      <c r="AA2206" s="55">
        <f>IF(AND(A2206="", B2206="", E2206=""), "", IF(AB2206="", "Válido", IF((LEN(AB2206)-LEN(SUBSTITUTE(AB2206,"; ","")))/2+1&gt;(LEN(AB2206)-LEN(SUBSTITUTE(AB2206,"[Aviso]","")))/7, "Con Incidencias", "Válido")))</f>
        <v/>
      </c>
      <c r="AB2206" s="56">
        <f>IF(AND(A2206="", B2206="", E2206=""), "", TEXTJOIN("; ", TRUE, IF(OR(TRIM(A2206&amp;"")="", ISNUMBER(SEARCH("FALTA", A2206))), "UPC faltante/inválido", ""), IF(AND(A2206&lt;&gt;"", IFERROR(_xlfn.XMATCH(A2206,$A$2:$A$2509,0,1)&lt;&gt;_xlfn.XMATCH(A2206,$A$2:$A$2509,0,-1),FALSE)), "Código de barras duplicado", ""), IF(AND(E2206&lt;&gt;"", COUNTIF($E$2:$E$2509, E2206)&gt;1), "SKU duplicado", ""), IF(OR(J2206="", J2206=""), "[Aviso] División no capturada ()", IF(ISNA(MATCH(J2206, Criterios!$A$123:$A$126, 0)), "División no válida", "")), IF(OR(K2206="", K2206=""), "[Aviso] Categoría no capturada ()", IF(ISNA(MATCH(K2206, Criterios!$A$81:$A$120, 0)), "Categoría no válida", IF(AND(J2206&lt;&gt;"", J2206&lt;&gt;"", J2206&lt;&gt;VLOOKUP(K2206, Criterios!$A$81:$B$120, 2, FALSE)), "División no coincide con Categoría", ""))), IF(OR(L2206="", L2206=""), "[Aviso] Género no capturado ()", IF(ISNA(MATCH(L2206, Criterios!$B$123:$B$127, 0)), "Género no válido", "")), IF(OR(N2206="", N2206=""), "[Aviso] Temporada no capturada ()", IF(ISNA(MATCH(N2206, Criterios!$C$123:$C$128, 0)), "Temporada no válida", "")), IF(OR(O2206="", O2206=""), "[Aviso] Ciclo de vida no capturado ()", IF(ISNA(MATCH(O2206, Criterios!$D$123:$D$124, 0)), "Ciclo de vida no válido", ""))))</f>
        <v/>
      </c>
      <c r="AC2206" s="56" t="n"/>
      <c r="AD2206" s="51" t="n">
        <v>2</v>
      </c>
      <c r="AE2206" s="156" t="inlineStr">
        <is>
          <t>B25 STETSON.MX (5)</t>
        </is>
      </c>
      <c r="AF2206" s="51" t="n">
        <v>5</v>
      </c>
      <c r="AG2206" s="156" t="inlineStr">
        <is>
          <t>Catálogo existente</t>
        </is>
      </c>
      <c r="AH2206"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6" s="156" t="inlineStr">
        <is>
          <t>Sí</t>
        </is>
      </c>
      <c r="AJ2206" s="156" t="inlineStr">
        <is>
          <t>STETSON AMERICAS (-3)</t>
        </is>
      </c>
      <c r="AK2206" s="155" t="inlineStr">
        <is>
          <t>Criterios: J [R]; G1522_Extraccion_Articulos_NetSuite_2026-09-30.xlsx: fila 56687 [S] | Shopify Stetson: producto 14813153100139 / variante 53350599917931 | Shopify WB: producto 8569965281465 / variante 47621334565049</t>
        </is>
      </c>
      <c r="AL2206" s="58" t="n">
        <v>698.2758621</v>
      </c>
      <c r="AM2206" s="58" t="n">
        <v>1551.724138</v>
      </c>
      <c r="AN2206" s="155" t="inlineStr">
        <is>
          <t>Shopify Stetson México | Shopify Western Brothers</t>
        </is>
      </c>
      <c r="AO2206" s="59" t="n">
        <v>6</v>
      </c>
      <c r="AP2206" s="59" t="n">
        <v>0</v>
      </c>
      <c r="AQ2206" s="59" t="n"/>
      <c r="AR2206" s="155" t="inlineStr">
        <is>
          <t>Shopify Stetson México › Stetson México: 5 | Shopify Stetson México › Stetson Americas: 1</t>
        </is>
      </c>
    </row>
    <row r="2207">
      <c r="A2207" s="50" t="inlineStr">
        <is>
          <t>7506499569415</t>
        </is>
      </c>
      <c r="B2207" s="51" t="inlineStr">
        <is>
          <t>108529</t>
        </is>
      </c>
      <c r="C2207" s="156" t="inlineStr">
        <is>
          <t>Multimarca</t>
        </is>
      </c>
      <c r="D2207" s="156" t="inlineStr">
        <is>
          <t>ST-TI-001-FW25-TC</t>
        </is>
      </c>
      <c r="E2207" s="156" t="inlineStr">
        <is>
          <t>ST-TI-001-FW25-TC-M</t>
        </is>
      </c>
      <c r="F2207" s="156" t="inlineStr">
        <is>
          <t>M</t>
        </is>
      </c>
      <c r="G2207" s="156" t="inlineStr">
        <is>
          <t>M</t>
        </is>
      </c>
      <c r="H2207" s="156" t="inlineStr">
        <is>
          <t>Stetson</t>
        </is>
      </c>
      <c r="I2207" s="156" t="inlineStr">
        <is>
          <t>Camisa Stetson Trailblazer Icon</t>
        </is>
      </c>
      <c r="J2207" s="156" t="inlineStr">
        <is>
          <t>Ropa</t>
        </is>
      </c>
      <c r="K2207" s="156" t="inlineStr">
        <is>
          <t>Camisas</t>
        </is>
      </c>
      <c r="L2207" s="156" t="inlineStr">
        <is>
          <t>Hombre</t>
        </is>
      </c>
      <c r="M2207" s="156" t="inlineStr">
        <is>
          <t>Stetson</t>
        </is>
      </c>
      <c r="N2207" s="156" t="inlineStr">
        <is>
          <t>SS26</t>
        </is>
      </c>
      <c r="O2207" s="156" t="inlineStr">
        <is>
          <t>Seasonal</t>
        </is>
      </c>
      <c r="P2207" s="156" t="inlineStr">
        <is>
          <t>Varios</t>
        </is>
      </c>
      <c r="Q2207" s="156" t="inlineStr">
        <is>
          <t>Clásico</t>
        </is>
      </c>
      <c r="R2207" s="156" t="n"/>
      <c r="S2207" s="156" t="inlineStr">
        <is>
          <t>100% Algodón</t>
        </is>
      </c>
      <c r="T2207"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7" s="156" t="n"/>
      <c r="V2207" s="156" t="inlineStr">
        <is>
          <t>PZS</t>
        </is>
      </c>
      <c r="W2207" s="51" t="inlineStr">
        <is>
          <t>53101600</t>
        </is>
      </c>
      <c r="X2207" s="156" t="inlineStr">
        <is>
          <t>https://cdn.shopify.com/s/files/1/0888/3250/8267/files/ST-TI-001-TC-01.jpg?v=1762453320</t>
        </is>
      </c>
      <c r="Y2207" s="54" t="n">
        <v>698.2758621</v>
      </c>
      <c r="Z2207" s="54" t="n">
        <v>1551.724138</v>
      </c>
      <c r="AA2207" s="55">
        <f>IF(AND(A2207="", B2207="", E2207=""), "", IF(AB2207="", "Válido", IF((LEN(AB2207)-LEN(SUBSTITUTE(AB2207,"; ","")))/2+1&gt;(LEN(AB2207)-LEN(SUBSTITUTE(AB2207,"[Aviso]","")))/7, "Con Incidencias", "Válido")))</f>
        <v/>
      </c>
      <c r="AB2207" s="56">
        <f>IF(AND(A2207="", B2207="", E2207=""), "", TEXTJOIN("; ", TRUE, IF(OR(TRIM(A2207&amp;"")="", ISNUMBER(SEARCH("FALTA", A2207))), "UPC faltante/inválido", ""), IF(AND(A2207&lt;&gt;"", IFERROR(_xlfn.XMATCH(A2207,$A$2:$A$2509,0,1)&lt;&gt;_xlfn.XMATCH(A2207,$A$2:$A$2509,0,-1),FALSE)), "Código de barras duplicado", ""), IF(AND(E2207&lt;&gt;"", COUNTIF($E$2:$E$2509, E2207)&gt;1), "SKU duplicado", ""), IF(OR(J2207="", J2207=""), "[Aviso] División no capturada ()", IF(ISNA(MATCH(J2207, Criterios!$A$123:$A$126, 0)), "División no válida", "")), IF(OR(K2207="", K2207=""), "[Aviso] Categoría no capturada ()", IF(ISNA(MATCH(K2207, Criterios!$A$81:$A$120, 0)), "Categoría no válida", IF(AND(J2207&lt;&gt;"", J2207&lt;&gt;"", J2207&lt;&gt;VLOOKUP(K2207, Criterios!$A$81:$B$120, 2, FALSE)), "División no coincide con Categoría", ""))), IF(OR(L2207="", L2207=""), "[Aviso] Género no capturado ()", IF(ISNA(MATCH(L2207, Criterios!$B$123:$B$127, 0)), "Género no válido", "")), IF(OR(N2207="", N2207=""), "[Aviso] Temporada no capturada ()", IF(ISNA(MATCH(N2207, Criterios!$C$123:$C$128, 0)), "Temporada no válida", "")), IF(OR(O2207="", O2207=""), "[Aviso] Ciclo de vida no capturado ()", IF(ISNA(MATCH(O2207, Criterios!$D$123:$D$124, 0)), "Ciclo de vida no válido", ""))))</f>
        <v/>
      </c>
      <c r="AC2207" s="56" t="n"/>
      <c r="AD2207" s="51" t="n">
        <v>3</v>
      </c>
      <c r="AE2207" s="156" t="inlineStr">
        <is>
          <t>B25 STETSON.MX (6)</t>
        </is>
      </c>
      <c r="AF2207" s="51" t="n">
        <v>6</v>
      </c>
      <c r="AG2207" s="156" t="inlineStr">
        <is>
          <t>Catálogo existente</t>
        </is>
      </c>
      <c r="AH2207"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7" s="156" t="inlineStr">
        <is>
          <t>Sí</t>
        </is>
      </c>
      <c r="AJ2207" s="156" t="inlineStr">
        <is>
          <t>STETSON AMERICAS (-3)</t>
        </is>
      </c>
      <c r="AK2207" s="155" t="inlineStr">
        <is>
          <t>Criterios: J [R]; G1522_Extraccion_Articulos_NetSuite_2026-09-30.xlsx: fila 56688 [S] | Shopify Stetson: producto 14813153100139 / variante 53350599950699 | Shopify WB: producto 8569965281465 / variante 47621334597817</t>
        </is>
      </c>
      <c r="AL2207" s="58" t="n">
        <v>698.2758621</v>
      </c>
      <c r="AM2207" s="58" t="n">
        <v>1551.724138</v>
      </c>
      <c r="AN2207" s="155" t="inlineStr">
        <is>
          <t>Shopify Stetson México | Shopify Western Brothers</t>
        </is>
      </c>
      <c r="AO2207" s="59" t="n">
        <v>5</v>
      </c>
      <c r="AP2207" s="59" t="n">
        <v>0</v>
      </c>
      <c r="AQ2207" s="59" t="n"/>
      <c r="AR2207" s="155" t="inlineStr">
        <is>
          <t>Shopify Stetson México › Stetson México: 6</t>
        </is>
      </c>
    </row>
    <row r="2208">
      <c r="A2208" s="50" t="inlineStr">
        <is>
          <t>7506499569422</t>
        </is>
      </c>
      <c r="B2208" s="51" t="inlineStr">
        <is>
          <t>108530</t>
        </is>
      </c>
      <c r="C2208" s="156" t="inlineStr">
        <is>
          <t>Multimarca</t>
        </is>
      </c>
      <c r="D2208" s="156" t="inlineStr">
        <is>
          <t>ST-TI-001-FW25-TC</t>
        </is>
      </c>
      <c r="E2208" s="156" t="inlineStr">
        <is>
          <t>ST-TI-001-FW25-TC-L</t>
        </is>
      </c>
      <c r="F2208" s="156" t="inlineStr">
        <is>
          <t>L</t>
        </is>
      </c>
      <c r="G2208" s="156" t="inlineStr">
        <is>
          <t>L</t>
        </is>
      </c>
      <c r="H2208" s="156" t="inlineStr">
        <is>
          <t>Stetson</t>
        </is>
      </c>
      <c r="I2208" s="156" t="inlineStr">
        <is>
          <t>Camisa Stetson Trailblazer Icon</t>
        </is>
      </c>
      <c r="J2208" s="156" t="inlineStr">
        <is>
          <t>Ropa</t>
        </is>
      </c>
      <c r="K2208" s="156" t="inlineStr">
        <is>
          <t>Camisas</t>
        </is>
      </c>
      <c r="L2208" s="156" t="inlineStr">
        <is>
          <t>Hombre</t>
        </is>
      </c>
      <c r="M2208" s="156" t="inlineStr">
        <is>
          <t>Stetson</t>
        </is>
      </c>
      <c r="N2208" s="156" t="inlineStr">
        <is>
          <t>SS26</t>
        </is>
      </c>
      <c r="O2208" s="156" t="inlineStr">
        <is>
          <t>Seasonal</t>
        </is>
      </c>
      <c r="P2208" s="156" t="inlineStr">
        <is>
          <t>Varios</t>
        </is>
      </c>
      <c r="Q2208" s="156" t="inlineStr">
        <is>
          <t>Clásico</t>
        </is>
      </c>
      <c r="R2208" s="156" t="n"/>
      <c r="S2208" s="156" t="inlineStr">
        <is>
          <t>100% Algodón</t>
        </is>
      </c>
      <c r="T2208"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8" s="156" t="n"/>
      <c r="V2208" s="156" t="inlineStr">
        <is>
          <t>PZS</t>
        </is>
      </c>
      <c r="W2208" s="51" t="inlineStr">
        <is>
          <t>53101600</t>
        </is>
      </c>
      <c r="X2208" s="156" t="inlineStr">
        <is>
          <t>https://cdn.shopify.com/s/files/1/0888/3250/8267/files/ST-TI-001-TC-01.jpg?v=1762453320</t>
        </is>
      </c>
      <c r="Y2208" s="54" t="n">
        <v>698.2758621</v>
      </c>
      <c r="Z2208" s="54" t="n">
        <v>1551.724138</v>
      </c>
      <c r="AA2208" s="55">
        <f>IF(AND(A2208="", B2208="", E2208=""), "", IF(AB2208="", "Válido", IF((LEN(AB2208)-LEN(SUBSTITUTE(AB2208,"; ","")))/2+1&gt;(LEN(AB2208)-LEN(SUBSTITUTE(AB2208,"[Aviso]","")))/7, "Con Incidencias", "Válido")))</f>
        <v/>
      </c>
      <c r="AB2208" s="56">
        <f>IF(AND(A2208="", B2208="", E2208=""), "", TEXTJOIN("; ", TRUE, IF(OR(TRIM(A2208&amp;"")="", ISNUMBER(SEARCH("FALTA", A2208))), "UPC faltante/inválido", ""), IF(AND(A2208&lt;&gt;"", IFERROR(_xlfn.XMATCH(A2208,$A$2:$A$2509,0,1)&lt;&gt;_xlfn.XMATCH(A2208,$A$2:$A$2509,0,-1),FALSE)), "Código de barras duplicado", ""), IF(AND(E2208&lt;&gt;"", COUNTIF($E$2:$E$2509, E2208)&gt;1), "SKU duplicado", ""), IF(OR(J2208="", J2208=""), "[Aviso] División no capturada ()", IF(ISNA(MATCH(J2208, Criterios!$A$123:$A$126, 0)), "División no válida", "")), IF(OR(K2208="", K2208=""), "[Aviso] Categoría no capturada ()", IF(ISNA(MATCH(K2208, Criterios!$A$81:$A$120, 0)), "Categoría no válida", IF(AND(J2208&lt;&gt;"", J2208&lt;&gt;"", J2208&lt;&gt;VLOOKUP(K2208, Criterios!$A$81:$B$120, 2, FALSE)), "División no coincide con Categoría", ""))), IF(OR(L2208="", L2208=""), "[Aviso] Género no capturado ()", IF(ISNA(MATCH(L2208, Criterios!$B$123:$B$127, 0)), "Género no válido", "")), IF(OR(N2208="", N2208=""), "[Aviso] Temporada no capturada ()", IF(ISNA(MATCH(N2208, Criterios!$C$123:$C$128, 0)), "Temporada no válida", "")), IF(OR(O2208="", O2208=""), "[Aviso] Ciclo de vida no capturado ()", IF(ISNA(MATCH(O2208, Criterios!$D$123:$D$124, 0)), "Ciclo de vida no válido", ""))))</f>
        <v/>
      </c>
      <c r="AC2208" s="56" t="n"/>
      <c r="AD2208" s="51" t="n">
        <v>3</v>
      </c>
      <c r="AE2208" s="156" t="inlineStr">
        <is>
          <t>B25 STETSON.MX (1); WB OUTLET LERMA (4)</t>
        </is>
      </c>
      <c r="AF2208" s="51" t="n">
        <v>5</v>
      </c>
      <c r="AG2208" s="156" t="inlineStr">
        <is>
          <t>Catálogo existente</t>
        </is>
      </c>
      <c r="AH2208"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8" s="156" t="inlineStr">
        <is>
          <t>Sí</t>
        </is>
      </c>
      <c r="AJ2208" s="156" t="inlineStr">
        <is>
          <t>STETSON AMERICAS (-2)</t>
        </is>
      </c>
      <c r="AK2208" s="155" t="inlineStr">
        <is>
          <t>Criterios: J [R]; G1522_Extraccion_Articulos_NetSuite_2026-09-30.xlsx: fila 56689 [S] | Shopify Stetson: producto 14813153100139 / variante 53350599983467 | Shopify WB: producto 8569965281465 / variante 47621334630585</t>
        </is>
      </c>
      <c r="AL2208" s="58" t="n">
        <v>698.2758621</v>
      </c>
      <c r="AM2208" s="58" t="n">
        <v>1551.724138</v>
      </c>
      <c r="AN2208" s="155" t="inlineStr">
        <is>
          <t>Shopify Stetson México | Shopify Western Brothers</t>
        </is>
      </c>
      <c r="AO2208" s="59" t="n">
        <v>3</v>
      </c>
      <c r="AP2208" s="59" t="n">
        <v>4</v>
      </c>
      <c r="AQ2208" s="59" t="n"/>
      <c r="AR2208" s="155" t="inlineStr">
        <is>
          <t>Shopify Stetson México › Stetson México: 1 | Shopify Stetson México › Stetson Americas: 2 | Shopify Western Brothers › Western Brothers Outlet Lerma: 4</t>
        </is>
      </c>
    </row>
    <row r="2209">
      <c r="A2209" s="50" t="inlineStr">
        <is>
          <t>7506499569439</t>
        </is>
      </c>
      <c r="B2209" s="51" t="inlineStr">
        <is>
          <t>108531</t>
        </is>
      </c>
      <c r="C2209" s="156" t="inlineStr">
        <is>
          <t>Multimarca</t>
        </is>
      </c>
      <c r="D2209" s="156" t="inlineStr">
        <is>
          <t>ST-TI-001-FW25-TC</t>
        </is>
      </c>
      <c r="E2209" s="156" t="inlineStr">
        <is>
          <t>ST-TI-001-FW25-TC-XL</t>
        </is>
      </c>
      <c r="F2209" s="156" t="inlineStr">
        <is>
          <t>XL</t>
        </is>
      </c>
      <c r="G2209" s="156" t="inlineStr">
        <is>
          <t>XL</t>
        </is>
      </c>
      <c r="H2209" s="156" t="inlineStr">
        <is>
          <t>Stetson</t>
        </is>
      </c>
      <c r="I2209" s="156" t="inlineStr">
        <is>
          <t>Camisa Stetson Trailblazer Icon</t>
        </is>
      </c>
      <c r="J2209" s="156" t="inlineStr">
        <is>
          <t>Ropa</t>
        </is>
      </c>
      <c r="K2209" s="156" t="inlineStr">
        <is>
          <t>Camisas</t>
        </is>
      </c>
      <c r="L2209" s="156" t="inlineStr">
        <is>
          <t>Hombre</t>
        </is>
      </c>
      <c r="M2209" s="156" t="inlineStr">
        <is>
          <t>Stetson</t>
        </is>
      </c>
      <c r="N2209" s="156" t="inlineStr">
        <is>
          <t>SS26</t>
        </is>
      </c>
      <c r="O2209" s="156" t="inlineStr">
        <is>
          <t>Seasonal</t>
        </is>
      </c>
      <c r="P2209" s="156" t="inlineStr">
        <is>
          <t>Varios</t>
        </is>
      </c>
      <c r="Q2209" s="156" t="inlineStr">
        <is>
          <t>Moderno</t>
        </is>
      </c>
      <c r="R2209" s="156" t="n"/>
      <c r="S2209" s="156" t="inlineStr">
        <is>
          <t>100% Algodón</t>
        </is>
      </c>
      <c r="T2209"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09" s="156" t="n"/>
      <c r="V2209" s="156" t="inlineStr">
        <is>
          <t>PZS</t>
        </is>
      </c>
      <c r="W2209" s="51" t="inlineStr">
        <is>
          <t>53101600</t>
        </is>
      </c>
      <c r="X2209" s="156" t="inlineStr">
        <is>
          <t>https://cdn.shopify.com/s/files/1/0888/3250/8267/files/ST-TI-001-TC-01.jpg?v=1762453320</t>
        </is>
      </c>
      <c r="Y2209" s="54" t="n">
        <v>698.2758621</v>
      </c>
      <c r="Z2209" s="54" t="n">
        <v>1551.724138</v>
      </c>
      <c r="AA2209" s="55">
        <f>IF(AND(A2209="", B2209="", E2209=""), "", IF(AB2209="", "Válido", IF((LEN(AB2209)-LEN(SUBSTITUTE(AB2209,"; ","")))/2+1&gt;(LEN(AB2209)-LEN(SUBSTITUTE(AB2209,"[Aviso]","")))/7, "Con Incidencias", "Válido")))</f>
        <v/>
      </c>
      <c r="AB2209" s="56">
        <f>IF(AND(A2209="", B2209="", E2209=""), "", TEXTJOIN("; ", TRUE, IF(OR(TRIM(A2209&amp;"")="", ISNUMBER(SEARCH("FALTA", A2209))), "UPC faltante/inválido", ""), IF(AND(A2209&lt;&gt;"", IFERROR(_xlfn.XMATCH(A2209,$A$2:$A$2509,0,1)&lt;&gt;_xlfn.XMATCH(A2209,$A$2:$A$2509,0,-1),FALSE)), "Código de barras duplicado", ""), IF(AND(E2209&lt;&gt;"", COUNTIF($E$2:$E$2509, E2209)&gt;1), "SKU duplicado", ""), IF(OR(J2209="", J2209=""), "[Aviso] División no capturada ()", IF(ISNA(MATCH(J2209, Criterios!$A$123:$A$126, 0)), "División no válida", "")), IF(OR(K2209="", K2209=""), "[Aviso] Categoría no capturada ()", IF(ISNA(MATCH(K2209, Criterios!$A$81:$A$120, 0)), "Categoría no válida", IF(AND(J2209&lt;&gt;"", J2209&lt;&gt;"", J2209&lt;&gt;VLOOKUP(K2209, Criterios!$A$81:$B$120, 2, FALSE)), "División no coincide con Categoría", ""))), IF(OR(L2209="", L2209=""), "[Aviso] Género no capturado ()", IF(ISNA(MATCH(L2209, Criterios!$B$123:$B$127, 0)), "Género no válido", "")), IF(OR(N2209="", N2209=""), "[Aviso] Temporada no capturada ()", IF(ISNA(MATCH(N2209, Criterios!$C$123:$C$128, 0)), "Temporada no válida", "")), IF(OR(O2209="", O2209=""), "[Aviso] Ciclo de vida no capturado ()", IF(ISNA(MATCH(O2209, Criterios!$D$123:$D$124, 0)), "Ciclo de vida no válido", ""))))</f>
        <v/>
      </c>
      <c r="AC2209" s="56" t="n"/>
      <c r="AD2209" s="51" t="n">
        <v>3</v>
      </c>
      <c r="AE2209" s="156" t="inlineStr">
        <is>
          <t>WB OUTLET LERMA (3)</t>
        </is>
      </c>
      <c r="AF2209" s="51" t="n">
        <v>3</v>
      </c>
      <c r="AG2209" s="156" t="inlineStr">
        <is>
          <t>Catálogo existente</t>
        </is>
      </c>
      <c r="AH2209"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9" s="156" t="inlineStr">
        <is>
          <t>No</t>
        </is>
      </c>
      <c r="AJ2209" s="156" t="n"/>
      <c r="AK2209" s="155" t="inlineStr">
        <is>
          <t>Criterios: J [R]; G1522_Extraccion_Articulos_NetSuite_2026-09-30.xlsx: fila 56690 [S] | Shopify Stetson: producto 14813153100139 / variante 53350600016235 | Shopify WB: producto 8569965281465 / variante 47621334663353</t>
        </is>
      </c>
      <c r="AL2209" s="58" t="n">
        <v>698.2758621</v>
      </c>
      <c r="AM2209" s="58" t="n">
        <v>1551.724138</v>
      </c>
      <c r="AN2209" s="155" t="inlineStr">
        <is>
          <t>Shopify Stetson México | Shopify Western Brothers</t>
        </is>
      </c>
      <c r="AO2209" s="59" t="n">
        <v>3</v>
      </c>
      <c r="AP2209" s="59" t="n">
        <v>3</v>
      </c>
      <c r="AQ2209" s="59" t="n"/>
      <c r="AR2209" s="155" t="inlineStr">
        <is>
          <t>Shopify Stetson México › Stetson Americas: 3 | Shopify Western Brothers › Western Brothers Outlet Lerma: 3</t>
        </is>
      </c>
    </row>
    <row r="2210">
      <c r="A2210" s="50" t="inlineStr">
        <is>
          <t>7506499569446</t>
        </is>
      </c>
      <c r="B2210" s="51" t="inlineStr">
        <is>
          <t>110285</t>
        </is>
      </c>
      <c r="C2210" s="156" t="inlineStr">
        <is>
          <t>Multimarca</t>
        </is>
      </c>
      <c r="D2210" s="156" t="inlineStr">
        <is>
          <t>ST-TI-001-FW25-TC</t>
        </is>
      </c>
      <c r="E2210" s="156" t="inlineStr">
        <is>
          <t>ST-TI-001-FW25-TC-XXL</t>
        </is>
      </c>
      <c r="F2210" s="156" t="inlineStr">
        <is>
          <t>XXL</t>
        </is>
      </c>
      <c r="G2210" s="156" t="inlineStr">
        <is>
          <t>XXL</t>
        </is>
      </c>
      <c r="H2210" s="156" t="inlineStr">
        <is>
          <t>Stetson</t>
        </is>
      </c>
      <c r="I2210" s="156" t="inlineStr">
        <is>
          <t>Camisa Stetson Trailblazer Icon</t>
        </is>
      </c>
      <c r="J2210" s="156" t="inlineStr">
        <is>
          <t>Ropa</t>
        </is>
      </c>
      <c r="K2210" s="156" t="inlineStr">
        <is>
          <t>Camisas</t>
        </is>
      </c>
      <c r="L2210" s="156" t="inlineStr">
        <is>
          <t>Hombre</t>
        </is>
      </c>
      <c r="M2210" s="156" t="inlineStr">
        <is>
          <t>Stetson</t>
        </is>
      </c>
      <c r="N2210" s="156" t="inlineStr">
        <is>
          <t>SS26</t>
        </is>
      </c>
      <c r="O2210" s="156" t="inlineStr">
        <is>
          <t>Seasonal</t>
        </is>
      </c>
      <c r="P2210" s="156" t="inlineStr">
        <is>
          <t>Varios</t>
        </is>
      </c>
      <c r="Q2210" s="156" t="inlineStr">
        <is>
          <t>Clásico</t>
        </is>
      </c>
      <c r="R2210" s="156" t="n"/>
      <c r="S2210" s="156" t="inlineStr">
        <is>
          <t>100% Algodón</t>
        </is>
      </c>
      <c r="T2210"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0" s="156" t="n"/>
      <c r="V2210" s="156" t="inlineStr">
        <is>
          <t>PZS</t>
        </is>
      </c>
      <c r="W2210" s="51" t="inlineStr">
        <is>
          <t>53101600</t>
        </is>
      </c>
      <c r="X2210" s="156" t="inlineStr">
        <is>
          <t>https://cdn.shopify.com/s/files/1/0888/3250/8267/files/ST-TI-001-TC-01.jpg?v=1762453320</t>
        </is>
      </c>
      <c r="Y2210" s="54" t="n">
        <v>698.2758621</v>
      </c>
      <c r="Z2210" s="54" t="n">
        <v>1551.724138</v>
      </c>
      <c r="AA2210" s="55">
        <f>IF(AND(A2210="", B2210="", E2210=""), "", IF(AB2210="", "Válido", IF((LEN(AB2210)-LEN(SUBSTITUTE(AB2210,"; ","")))/2+1&gt;(LEN(AB2210)-LEN(SUBSTITUTE(AB2210,"[Aviso]","")))/7, "Con Incidencias", "Válido")))</f>
        <v/>
      </c>
      <c r="AB2210" s="56">
        <f>IF(AND(A2210="", B2210="", E2210=""), "", TEXTJOIN("; ", TRUE, IF(OR(TRIM(A2210&amp;"")="", ISNUMBER(SEARCH("FALTA", A2210))), "UPC faltante/inválido", ""), IF(AND(A2210&lt;&gt;"", IFERROR(_xlfn.XMATCH(A2210,$A$2:$A$2509,0,1)&lt;&gt;_xlfn.XMATCH(A2210,$A$2:$A$2509,0,-1),FALSE)), "Código de barras duplicado", ""), IF(AND(E2210&lt;&gt;"", COUNTIF($E$2:$E$2509, E2210)&gt;1), "SKU duplicado", ""), IF(OR(J2210="", J2210=""), "[Aviso] División no capturada ()", IF(ISNA(MATCH(J2210, Criterios!$A$123:$A$126, 0)), "División no válida", "")), IF(OR(K2210="", K2210=""), "[Aviso] Categoría no capturada ()", IF(ISNA(MATCH(K2210, Criterios!$A$81:$A$120, 0)), "Categoría no válida", IF(AND(J2210&lt;&gt;"", J2210&lt;&gt;"", J2210&lt;&gt;VLOOKUP(K2210, Criterios!$A$81:$B$120, 2, FALSE)), "División no coincide con Categoría", ""))), IF(OR(L2210="", L2210=""), "[Aviso] Género no capturado ()", IF(ISNA(MATCH(L2210, Criterios!$B$123:$B$127, 0)), "Género no válido", "")), IF(OR(N2210="", N2210=""), "[Aviso] Temporada no capturada ()", IF(ISNA(MATCH(N2210, Criterios!$C$123:$C$128, 0)), "Temporada no válida", "")), IF(OR(O2210="", O2210=""), "[Aviso] Ciclo de vida no capturado ()", IF(ISNA(MATCH(O2210, Criterios!$D$123:$D$124, 0)), "Ciclo de vida no válido", ""))))</f>
        <v/>
      </c>
      <c r="AC2210" s="56" t="n"/>
      <c r="AD2210" s="51" t="n">
        <v>3</v>
      </c>
      <c r="AE2210" s="156" t="inlineStr">
        <is>
          <t>B25 STETSON.MX (3)</t>
        </is>
      </c>
      <c r="AF2210" s="51" t="n">
        <v>3</v>
      </c>
      <c r="AG2210" s="156" t="inlineStr">
        <is>
          <t>Catálogo existente</t>
        </is>
      </c>
      <c r="AH2210"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10" s="156" t="inlineStr">
        <is>
          <t>No</t>
        </is>
      </c>
      <c r="AJ2210" s="156" t="n"/>
      <c r="AK2210" s="155" t="inlineStr">
        <is>
          <t>Criterios: J [R]; G1522_Extraccion_Articulos_NetSuite_2026-09-30.xlsx: fila 58100 [S] | Shopify Stetson: producto 14813153100139 / variante 53350600049003</t>
        </is>
      </c>
      <c r="AL2210" s="58" t="n">
        <v>698.2758621</v>
      </c>
      <c r="AM2210" s="58" t="n">
        <v>1551.724138</v>
      </c>
      <c r="AN2210" s="155" t="inlineStr">
        <is>
          <t>Shopify Stetson México</t>
        </is>
      </c>
      <c r="AO2210" s="59" t="n">
        <v>6</v>
      </c>
      <c r="AP2210" s="59" t="n"/>
      <c r="AQ2210" s="59" t="n"/>
      <c r="AR2210" s="155" t="inlineStr">
        <is>
          <t>Shopify Stetson México › Stetson México: 3 | Shopify Stetson México › Stetson Americas: 3</t>
        </is>
      </c>
    </row>
    <row r="2211">
      <c r="A2211" s="50" t="inlineStr">
        <is>
          <t>7506499569453</t>
        </is>
      </c>
      <c r="B2211" s="51" t="inlineStr">
        <is>
          <t>108517</t>
        </is>
      </c>
      <c r="C2211" s="156" t="inlineStr">
        <is>
          <t>Multimarca</t>
        </is>
      </c>
      <c r="D2211" s="156" t="inlineStr">
        <is>
          <t>ST-TI-002-FW25-AF</t>
        </is>
      </c>
      <c r="E2211" s="156" t="inlineStr">
        <is>
          <t>ST-TI-002-FW25-AF-S</t>
        </is>
      </c>
      <c r="F2211" s="156" t="inlineStr">
        <is>
          <t>S</t>
        </is>
      </c>
      <c r="G2211" s="156" t="inlineStr">
        <is>
          <t>S</t>
        </is>
      </c>
      <c r="H2211" s="156" t="inlineStr">
        <is>
          <t>Stetson</t>
        </is>
      </c>
      <c r="I2211" s="156" t="inlineStr">
        <is>
          <t>Camisa Stetson Trailblazer Icon</t>
        </is>
      </c>
      <c r="J2211" s="156" t="inlineStr">
        <is>
          <t>Ropa</t>
        </is>
      </c>
      <c r="K2211" s="156" t="inlineStr">
        <is>
          <t>Camisas</t>
        </is>
      </c>
      <c r="L2211" s="156" t="inlineStr">
        <is>
          <t>Hombre</t>
        </is>
      </c>
      <c r="M2211" s="156" t="inlineStr">
        <is>
          <t>Stetson</t>
        </is>
      </c>
      <c r="N2211" s="156" t="inlineStr">
        <is>
          <t>SS26</t>
        </is>
      </c>
      <c r="O2211" s="156" t="inlineStr">
        <is>
          <t>Seasonal</t>
        </is>
      </c>
      <c r="P2211" s="156" t="inlineStr">
        <is>
          <t>Varios</t>
        </is>
      </c>
      <c r="Q2211" s="156" t="inlineStr">
        <is>
          <t>Clásico</t>
        </is>
      </c>
      <c r="R2211" s="156" t="n"/>
      <c r="S2211" s="156" t="inlineStr">
        <is>
          <t>100% Algodón</t>
        </is>
      </c>
      <c r="T2211"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1" s="156" t="n"/>
      <c r="V2211" s="156" t="inlineStr">
        <is>
          <t>PZS</t>
        </is>
      </c>
      <c r="W2211" s="51" t="inlineStr">
        <is>
          <t>53101600</t>
        </is>
      </c>
      <c r="X2211" s="156" t="inlineStr">
        <is>
          <t>https://cdn.shopify.com/s/files/1/0888/3250/8267/files/ST-TI-002-AF-03.jpg?v=1762453320</t>
        </is>
      </c>
      <c r="Y2211" s="54" t="n">
        <v>698.2758621</v>
      </c>
      <c r="Z2211" s="54" t="n">
        <v>1551.724138</v>
      </c>
      <c r="AA2211" s="55">
        <f>IF(AND(A2211="", B2211="", E2211=""), "", IF(AB2211="", "Válido", IF((LEN(AB2211)-LEN(SUBSTITUTE(AB2211,"; ","")))/2+1&gt;(LEN(AB2211)-LEN(SUBSTITUTE(AB2211,"[Aviso]","")))/7, "Con Incidencias", "Válido")))</f>
        <v/>
      </c>
      <c r="AB2211" s="56">
        <f>IF(AND(A2211="", B2211="", E2211=""), "", TEXTJOIN("; ", TRUE, IF(OR(TRIM(A2211&amp;"")="", ISNUMBER(SEARCH("FALTA", A2211))), "UPC faltante/inválido", ""), IF(AND(A2211&lt;&gt;"", IFERROR(_xlfn.XMATCH(A2211,$A$2:$A$2509,0,1)&lt;&gt;_xlfn.XMATCH(A2211,$A$2:$A$2509,0,-1),FALSE)), "Código de barras duplicado", ""), IF(AND(E2211&lt;&gt;"", COUNTIF($E$2:$E$2509, E2211)&gt;1), "SKU duplicado", ""), IF(OR(J2211="", J2211=""), "[Aviso] División no capturada ()", IF(ISNA(MATCH(J2211, Criterios!$A$123:$A$126, 0)), "División no válida", "")), IF(OR(K2211="", K2211=""), "[Aviso] Categoría no capturada ()", IF(ISNA(MATCH(K2211, Criterios!$A$81:$A$120, 0)), "Categoría no válida", IF(AND(J2211&lt;&gt;"", J2211&lt;&gt;"", J2211&lt;&gt;VLOOKUP(K2211, Criterios!$A$81:$B$120, 2, FALSE)), "División no coincide con Categoría", ""))), IF(OR(L2211="", L2211=""), "[Aviso] Género no capturado ()", IF(ISNA(MATCH(L2211, Criterios!$B$123:$B$127, 0)), "Género no válido", "")), IF(OR(N2211="", N2211=""), "[Aviso] Temporada no capturada ()", IF(ISNA(MATCH(N2211, Criterios!$C$123:$C$128, 0)), "Temporada no válida", "")), IF(OR(O2211="", O2211=""), "[Aviso] Ciclo de vida no capturado ()", IF(ISNA(MATCH(O2211, Criterios!$D$123:$D$124, 0)), "Ciclo de vida no válido", ""))))</f>
        <v/>
      </c>
      <c r="AC2211" s="56" t="n"/>
      <c r="AD2211" s="51" t="n">
        <v>1</v>
      </c>
      <c r="AE2211" s="156" t="inlineStr">
        <is>
          <t>B25 STETSON.MX (5)</t>
        </is>
      </c>
      <c r="AF2211" s="51" t="n">
        <v>5</v>
      </c>
      <c r="AG2211" s="156" t="inlineStr">
        <is>
          <t>Catálogo existente</t>
        </is>
      </c>
      <c r="AH2211" s="156" t="inlineStr">
        <is>
          <t>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1" s="156" t="inlineStr">
        <is>
          <t>Sí</t>
        </is>
      </c>
      <c r="AJ2211" s="156" t="inlineStr">
        <is>
          <t>STETSON AMERICAS (-3); WB OUTLET LERMA (-1)</t>
        </is>
      </c>
      <c r="AK2211" s="155" t="inlineStr">
        <is>
          <t>Criterios: J [R]; G1522_Extraccion_Articulos_NetSuite_2026-09-30.xlsx: fila 56676 [S] | Shopify Stetson: producto 14813153100139 / variante 53350599754091 | Shopify WB: producto 8569965412537 / variante 47621334859961</t>
        </is>
      </c>
      <c r="AL2211" s="58" t="n">
        <v>698.2758621</v>
      </c>
      <c r="AM2211" s="58" t="n">
        <v>1551.724138</v>
      </c>
      <c r="AN2211" s="155" t="inlineStr">
        <is>
          <t>Shopify Stetson México | Shopify Western Brothers</t>
        </is>
      </c>
      <c r="AO2211" s="59" t="n">
        <v>5</v>
      </c>
      <c r="AP2211" s="59" t="n">
        <v>-1</v>
      </c>
      <c r="AQ2211" s="59" t="n"/>
      <c r="AR2211" s="155" t="inlineStr">
        <is>
          <t>Shopify Stetson México › Stetson México: 5</t>
        </is>
      </c>
    </row>
    <row r="2212">
      <c r="A2212" s="50" t="inlineStr">
        <is>
          <t>7506499569460</t>
        </is>
      </c>
      <c r="B2212" s="51" t="inlineStr">
        <is>
          <t>108518</t>
        </is>
      </c>
      <c r="C2212" s="156" t="inlineStr">
        <is>
          <t>Multimarca</t>
        </is>
      </c>
      <c r="D2212" s="156" t="inlineStr">
        <is>
          <t>ST-TI-002-FW25-AF</t>
        </is>
      </c>
      <c r="E2212" s="156" t="inlineStr">
        <is>
          <t>ST-TI-002-FW25-AF-M</t>
        </is>
      </c>
      <c r="F2212" s="156" t="inlineStr">
        <is>
          <t>M</t>
        </is>
      </c>
      <c r="G2212" s="156" t="inlineStr">
        <is>
          <t>M</t>
        </is>
      </c>
      <c r="H2212" s="156" t="inlineStr">
        <is>
          <t>Stetson</t>
        </is>
      </c>
      <c r="I2212" s="156" t="inlineStr">
        <is>
          <t>Camisa Stetson Trailblazer Icon</t>
        </is>
      </c>
      <c r="J2212" s="156" t="inlineStr">
        <is>
          <t>Ropa</t>
        </is>
      </c>
      <c r="K2212" s="156" t="inlineStr">
        <is>
          <t>Camisas</t>
        </is>
      </c>
      <c r="L2212" s="156" t="inlineStr">
        <is>
          <t>Hombre</t>
        </is>
      </c>
      <c r="M2212" s="156" t="inlineStr">
        <is>
          <t>Stetson</t>
        </is>
      </c>
      <c r="N2212" s="156" t="inlineStr">
        <is>
          <t>SS26</t>
        </is>
      </c>
      <c r="O2212" s="156" t="inlineStr">
        <is>
          <t>Seasonal</t>
        </is>
      </c>
      <c r="P2212" s="156" t="inlineStr">
        <is>
          <t>Varios</t>
        </is>
      </c>
      <c r="Q2212" s="156" t="inlineStr">
        <is>
          <t>Clásico</t>
        </is>
      </c>
      <c r="R2212" s="156" t="n"/>
      <c r="S2212" s="156" t="inlineStr">
        <is>
          <t>100% Algodón</t>
        </is>
      </c>
      <c r="T2212"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2" s="156" t="n"/>
      <c r="V2212" s="156" t="inlineStr">
        <is>
          <t>PZS</t>
        </is>
      </c>
      <c r="W2212" s="51" t="inlineStr">
        <is>
          <t>53101600</t>
        </is>
      </c>
      <c r="X2212" s="156" t="inlineStr">
        <is>
          <t>https://cdn.shopify.com/s/files/1/0888/3250/8267/files/ST-TI-001-TC-01.jpg?v=1762453320</t>
        </is>
      </c>
      <c r="Y2212" s="54" t="n">
        <v>698.2758621</v>
      </c>
      <c r="Z2212" s="54" t="n">
        <v>1551.724138</v>
      </c>
      <c r="AA2212" s="55">
        <f>IF(AND(A2212="", B2212="", E2212=""), "", IF(AB2212="", "Válido", IF((LEN(AB2212)-LEN(SUBSTITUTE(AB2212,"; ","")))/2+1&gt;(LEN(AB2212)-LEN(SUBSTITUTE(AB2212,"[Aviso]","")))/7, "Con Incidencias", "Válido")))</f>
        <v/>
      </c>
      <c r="AB2212" s="56">
        <f>IF(AND(A2212="", B2212="", E2212=""), "", TEXTJOIN("; ", TRUE, IF(OR(TRIM(A2212&amp;"")="", ISNUMBER(SEARCH("FALTA", A2212))), "UPC faltante/inválido", ""), IF(AND(A2212&lt;&gt;"", IFERROR(_xlfn.XMATCH(A2212,$A$2:$A$2509,0,1)&lt;&gt;_xlfn.XMATCH(A2212,$A$2:$A$2509,0,-1),FALSE)), "Código de barras duplicado", ""), IF(AND(E2212&lt;&gt;"", COUNTIF($E$2:$E$2509, E2212)&gt;1), "SKU duplicado", ""), IF(OR(J2212="", J2212=""), "[Aviso] División no capturada ()", IF(ISNA(MATCH(J2212, Criterios!$A$123:$A$126, 0)), "División no válida", "")), IF(OR(K2212="", K2212=""), "[Aviso] Categoría no capturada ()", IF(ISNA(MATCH(K2212, Criterios!$A$81:$A$120, 0)), "Categoría no válida", IF(AND(J2212&lt;&gt;"", J2212&lt;&gt;"", J2212&lt;&gt;VLOOKUP(K2212, Criterios!$A$81:$B$120, 2, FALSE)), "División no coincide con Categoría", ""))), IF(OR(L2212="", L2212=""), "[Aviso] Género no capturado ()", IF(ISNA(MATCH(L2212, Criterios!$B$123:$B$127, 0)), "Género no válido", "")), IF(OR(N2212="", N2212=""), "[Aviso] Temporada no capturada ()", IF(ISNA(MATCH(N2212, Criterios!$C$123:$C$128, 0)), "Temporada no válida", "")), IF(OR(O2212="", O2212=""), "[Aviso] Ciclo de vida no capturado ()", IF(ISNA(MATCH(O2212, Criterios!$D$123:$D$124, 0)), "Ciclo de vida no válido", ""))))</f>
        <v/>
      </c>
      <c r="AC2212" s="56" t="n"/>
      <c r="AD2212" s="51" t="n">
        <v>-1</v>
      </c>
      <c r="AE2212" s="156" t="inlineStr">
        <is>
          <t>B25 STETSON.MX (4)</t>
        </is>
      </c>
      <c r="AF2212" s="51" t="n">
        <v>4</v>
      </c>
      <c r="AG2212" s="156" t="inlineStr">
        <is>
          <t>Catálogo existente</t>
        </is>
      </c>
      <c r="AH221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2" s="156" t="inlineStr">
        <is>
          <t>Sí</t>
        </is>
      </c>
      <c r="AJ2212" s="156" t="inlineStr">
        <is>
          <t>WB OUTLET LERMA (-2); STETSON AMERICAS (-3)</t>
        </is>
      </c>
      <c r="AK2212" s="155" t="inlineStr">
        <is>
          <t>Criterios: J [R]; G1522_Extraccion_Articulos_NetSuite_2026-09-30.xlsx: fila 56677 [S] | Shopify Stetson: producto 14813153100139 / variante 53350599786859 | Shopify WB: producto 8569965412537 / variante 47621334892729</t>
        </is>
      </c>
      <c r="AL2212" s="58" t="n">
        <v>698.2758621</v>
      </c>
      <c r="AM2212" s="58" t="n">
        <v>1551.724138</v>
      </c>
      <c r="AN2212" s="155" t="inlineStr">
        <is>
          <t>Shopify Stetson México | Shopify Western Brothers</t>
        </is>
      </c>
      <c r="AO2212" s="59" t="n">
        <v>4</v>
      </c>
      <c r="AP2212" s="59" t="n">
        <v>-2</v>
      </c>
      <c r="AQ2212" s="59" t="n"/>
      <c r="AR2212" s="155" t="inlineStr">
        <is>
          <t>Shopify Stetson México › Stetson México: 4</t>
        </is>
      </c>
    </row>
    <row r="2213">
      <c r="A2213" s="50" t="inlineStr">
        <is>
          <t>7506499569477</t>
        </is>
      </c>
      <c r="B2213" s="51" t="inlineStr">
        <is>
          <t>108519</t>
        </is>
      </c>
      <c r="C2213" s="156" t="inlineStr">
        <is>
          <t>Multimarca</t>
        </is>
      </c>
      <c r="D2213" s="156" t="inlineStr">
        <is>
          <t>ST-TI-002-FW25-AF</t>
        </is>
      </c>
      <c r="E2213" s="156" t="inlineStr">
        <is>
          <t>ST-TI-002-FW25-AF-L</t>
        </is>
      </c>
      <c r="F2213" s="156" t="inlineStr">
        <is>
          <t>L</t>
        </is>
      </c>
      <c r="G2213" s="156" t="inlineStr">
        <is>
          <t>L</t>
        </is>
      </c>
      <c r="H2213" s="156" t="inlineStr">
        <is>
          <t>Stetson</t>
        </is>
      </c>
      <c r="I2213" s="156" t="inlineStr">
        <is>
          <t>Camisa Stetson Trailblazer Icon</t>
        </is>
      </c>
      <c r="J2213" s="156" t="inlineStr">
        <is>
          <t>Ropa</t>
        </is>
      </c>
      <c r="K2213" s="156" t="inlineStr">
        <is>
          <t>Camisas</t>
        </is>
      </c>
      <c r="L2213" s="156" t="inlineStr">
        <is>
          <t>Hombre</t>
        </is>
      </c>
      <c r="M2213" s="156" t="inlineStr">
        <is>
          <t>Stetson</t>
        </is>
      </c>
      <c r="N2213" s="156" t="inlineStr">
        <is>
          <t>SS26</t>
        </is>
      </c>
      <c r="O2213" s="156" t="inlineStr">
        <is>
          <t>Seasonal</t>
        </is>
      </c>
      <c r="P2213" s="156" t="inlineStr">
        <is>
          <t>Varios</t>
        </is>
      </c>
      <c r="Q2213" s="156" t="inlineStr">
        <is>
          <t>Moderno</t>
        </is>
      </c>
      <c r="R2213" s="156" t="n"/>
      <c r="S2213" s="156" t="inlineStr">
        <is>
          <t>100% Algodón</t>
        </is>
      </c>
      <c r="T2213"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13" s="156" t="n"/>
      <c r="V2213" s="156" t="inlineStr">
        <is>
          <t>PZS</t>
        </is>
      </c>
      <c r="W2213" s="51" t="inlineStr">
        <is>
          <t>53101600</t>
        </is>
      </c>
      <c r="X2213" s="156" t="inlineStr">
        <is>
          <t>https://cdn.shopify.com/s/files/1/0888/3250/8267/files/ST-TI-001-TC-02.jpg?v=1762453320</t>
        </is>
      </c>
      <c r="Y2213" s="54" t="n">
        <v>698.2758621</v>
      </c>
      <c r="Z2213" s="54" t="n">
        <v>1551.724138</v>
      </c>
      <c r="AA2213" s="55">
        <f>IF(AND(A2213="", B2213="", E2213=""), "", IF(AB2213="", "Válido", IF((LEN(AB2213)-LEN(SUBSTITUTE(AB2213,"; ","")))/2+1&gt;(LEN(AB2213)-LEN(SUBSTITUTE(AB2213,"[Aviso]","")))/7, "Con Incidencias", "Válido")))</f>
        <v/>
      </c>
      <c r="AB2213" s="56">
        <f>IF(AND(A2213="", B2213="", E2213=""), "", TEXTJOIN("; ", TRUE, IF(OR(TRIM(A2213&amp;"")="", ISNUMBER(SEARCH("FALTA", A2213))), "UPC faltante/inválido", ""), IF(AND(A2213&lt;&gt;"", IFERROR(_xlfn.XMATCH(A2213,$A$2:$A$2509,0,1)&lt;&gt;_xlfn.XMATCH(A2213,$A$2:$A$2509,0,-1),FALSE)), "Código de barras duplicado", ""), IF(AND(E2213&lt;&gt;"", COUNTIF($E$2:$E$2509, E2213)&gt;1), "SKU duplicado", ""), IF(OR(J2213="", J2213=""), "[Aviso] División no capturada ()", IF(ISNA(MATCH(J2213, Criterios!$A$123:$A$126, 0)), "División no válida", "")), IF(OR(K2213="", K2213=""), "[Aviso] Categoría no capturada ()", IF(ISNA(MATCH(K2213, Criterios!$A$81:$A$120, 0)), "Categoría no válida", IF(AND(J2213&lt;&gt;"", J2213&lt;&gt;"", J2213&lt;&gt;VLOOKUP(K2213, Criterios!$A$81:$B$120, 2, FALSE)), "División no coincide con Categoría", ""))), IF(OR(L2213="", L2213=""), "[Aviso] Género no capturado ()", IF(ISNA(MATCH(L2213, Criterios!$B$123:$B$127, 0)), "Género no válido", "")), IF(OR(N2213="", N2213=""), "[Aviso] Temporada no capturada ()", IF(ISNA(MATCH(N2213, Criterios!$C$123:$C$128, 0)), "Temporada no válida", "")), IF(OR(O2213="", O2213=""), "[Aviso] Ciclo de vida no capturado ()", IF(ISNA(MATCH(O2213, Criterios!$D$123:$D$124, 0)), "Ciclo de vida no válido", ""))))</f>
        <v/>
      </c>
      <c r="AC2213" s="56" t="n"/>
      <c r="AD2213" s="51" t="n">
        <v>-3</v>
      </c>
      <c r="AE2213" s="156" t="inlineStr">
        <is>
          <t>WB OUTLET LERMA (1)</t>
        </is>
      </c>
      <c r="AF2213" s="51" t="n">
        <v>1</v>
      </c>
      <c r="AG2213" s="156" t="inlineStr">
        <is>
          <t>Catálogo existente</t>
        </is>
      </c>
      <c r="AH2213"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3" s="156" t="inlineStr">
        <is>
          <t>Sí</t>
        </is>
      </c>
      <c r="AJ2213" s="156" t="inlineStr">
        <is>
          <t>STETSON AMERICAS (-4)</t>
        </is>
      </c>
      <c r="AK2213" s="155" t="inlineStr">
        <is>
          <t>Criterios: J [R]; G1522_Extraccion_Articulos_NetSuite_2026-09-30.xlsx: fila 56678 [S] | Shopify Stetson: producto 14813153100139 / variante 53350599819627 | Shopify WB: producto 8569965412537 / variante 47621334925497</t>
        </is>
      </c>
      <c r="AL2213" s="58" t="n">
        <v>698.2758621</v>
      </c>
      <c r="AM2213" s="58" t="n">
        <v>1551.724138</v>
      </c>
      <c r="AN2213" s="155" t="inlineStr">
        <is>
          <t>Shopify Stetson México | Shopify Western Brothers</t>
        </is>
      </c>
      <c r="AO2213" s="59" t="n">
        <v>1</v>
      </c>
      <c r="AP2213" s="59" t="n">
        <v>1</v>
      </c>
      <c r="AQ2213" s="59" t="n"/>
      <c r="AR2213" s="155" t="inlineStr">
        <is>
          <t>Shopify Stetson México › Stetson Americas: 1 | Shopify Western Brothers › Western Brothers Outlet Lerma: 1</t>
        </is>
      </c>
    </row>
    <row r="2214">
      <c r="A2214" s="50" t="inlineStr">
        <is>
          <t>7506499569484</t>
        </is>
      </c>
      <c r="B2214" s="51" t="inlineStr">
        <is>
          <t>108520</t>
        </is>
      </c>
      <c r="C2214" s="156" t="inlineStr">
        <is>
          <t>Multimarca</t>
        </is>
      </c>
      <c r="D2214" s="156" t="inlineStr">
        <is>
          <t>ST-TI-002-FW25-AF</t>
        </is>
      </c>
      <c r="E2214" s="156" t="inlineStr">
        <is>
          <t>ST-TI-002-FW25-AF-XL</t>
        </is>
      </c>
      <c r="F2214" s="156" t="inlineStr">
        <is>
          <t>XL</t>
        </is>
      </c>
      <c r="G2214" s="156" t="inlineStr">
        <is>
          <t>XL</t>
        </is>
      </c>
      <c r="H2214" s="156" t="inlineStr">
        <is>
          <t>Stetson</t>
        </is>
      </c>
      <c r="I2214" s="156" t="inlineStr">
        <is>
          <t>Camisa Stetson Trailblazer Icon</t>
        </is>
      </c>
      <c r="J2214" s="156" t="inlineStr">
        <is>
          <t>Ropa</t>
        </is>
      </c>
      <c r="K2214" s="156" t="inlineStr">
        <is>
          <t>Camisas</t>
        </is>
      </c>
      <c r="L2214" s="156" t="inlineStr">
        <is>
          <t>Hombre</t>
        </is>
      </c>
      <c r="M2214" s="156" t="inlineStr">
        <is>
          <t>Stetson</t>
        </is>
      </c>
      <c r="N2214" s="156" t="inlineStr">
        <is>
          <t>SS26</t>
        </is>
      </c>
      <c r="O2214" s="156" t="inlineStr">
        <is>
          <t>Seasonal</t>
        </is>
      </c>
      <c r="P2214" s="156" t="inlineStr">
        <is>
          <t>Varios</t>
        </is>
      </c>
      <c r="Q2214" s="156" t="inlineStr">
        <is>
          <t>Clásico</t>
        </is>
      </c>
      <c r="R2214" s="156" t="n"/>
      <c r="S2214" s="156" t="inlineStr">
        <is>
          <t>100% Algodón</t>
        </is>
      </c>
      <c r="T2214"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4" s="156" t="n"/>
      <c r="V2214" s="156" t="inlineStr">
        <is>
          <t>PZS</t>
        </is>
      </c>
      <c r="W2214" s="51" t="inlineStr">
        <is>
          <t>53101600</t>
        </is>
      </c>
      <c r="X2214" s="156" t="inlineStr">
        <is>
          <t>https://cdn.shopify.com/s/files/1/0888/3250/8267/files/ST-TI-001-TC-03.jpg?v=1762453320</t>
        </is>
      </c>
      <c r="Y2214" s="54" t="n">
        <v>698.2758621</v>
      </c>
      <c r="Z2214" s="54" t="n">
        <v>1551.724138</v>
      </c>
      <c r="AA2214" s="55">
        <f>IF(AND(A2214="", B2214="", E2214=""), "", IF(AB2214="", "Válido", IF((LEN(AB2214)-LEN(SUBSTITUTE(AB2214,"; ","")))/2+1&gt;(LEN(AB2214)-LEN(SUBSTITUTE(AB2214,"[Aviso]","")))/7, "Con Incidencias", "Válido")))</f>
        <v/>
      </c>
      <c r="AB2214" s="56">
        <f>IF(AND(A2214="", B2214="", E2214=""), "", TEXTJOIN("; ", TRUE, IF(OR(TRIM(A2214&amp;"")="", ISNUMBER(SEARCH("FALTA", A2214))), "UPC faltante/inválido", ""), IF(AND(A2214&lt;&gt;"", IFERROR(_xlfn.XMATCH(A2214,$A$2:$A$2509,0,1)&lt;&gt;_xlfn.XMATCH(A2214,$A$2:$A$2509,0,-1),FALSE)), "Código de barras duplicado", ""), IF(AND(E2214&lt;&gt;"", COUNTIF($E$2:$E$2509, E2214)&gt;1), "SKU duplicado", ""), IF(OR(J2214="", J2214=""), "[Aviso] División no capturada ()", IF(ISNA(MATCH(J2214, Criterios!$A$123:$A$126, 0)), "División no válida", "")), IF(OR(K2214="", K2214=""), "[Aviso] Categoría no capturada ()", IF(ISNA(MATCH(K2214, Criterios!$A$81:$A$120, 0)), "Categoría no válida", IF(AND(J2214&lt;&gt;"", J2214&lt;&gt;"", J2214&lt;&gt;VLOOKUP(K2214, Criterios!$A$81:$B$120, 2, FALSE)), "División no coincide con Categoría", ""))), IF(OR(L2214="", L2214=""), "[Aviso] Género no capturado ()", IF(ISNA(MATCH(L2214, Criterios!$B$123:$B$127, 0)), "Género no válido", "")), IF(OR(N2214="", N2214=""), "[Aviso] Temporada no capturada ()", IF(ISNA(MATCH(N2214, Criterios!$C$123:$C$128, 0)), "Temporada no válida", "")), IF(OR(O2214="", O2214=""), "[Aviso] Ciclo de vida no capturado ()", IF(ISNA(MATCH(O2214, Criterios!$D$123:$D$124, 0)), "Ciclo de vida no válido", ""))))</f>
        <v/>
      </c>
      <c r="AC2214" s="56" t="n"/>
      <c r="AD2214" s="51" t="n">
        <v>3</v>
      </c>
      <c r="AE2214" s="156" t="inlineStr">
        <is>
          <t>B25 STETSON.MX (2); WB OUTLET LERMA (1)</t>
        </is>
      </c>
      <c r="AF2214" s="51" t="n">
        <v>3</v>
      </c>
      <c r="AG2214" s="156" t="inlineStr">
        <is>
          <t>Catálogo existente</t>
        </is>
      </c>
      <c r="AH2214" s="156" t="inlineStr">
        <is>
          <t>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4" s="156" t="inlineStr">
        <is>
          <t>No</t>
        </is>
      </c>
      <c r="AJ2214" s="156" t="n"/>
      <c r="AK2214" s="155" t="inlineStr">
        <is>
          <t>Criterios: J [R]; G1522_Extraccion_Articulos_NetSuite_2026-09-30.xlsx: fila 56679 [S] | Shopify Stetson: producto 14813153100139 / variante 53350599852395 | Shopify WB: producto 8569965412537 / variante 47621334958265</t>
        </is>
      </c>
      <c r="AL2214" s="58" t="n">
        <v>698.2758621</v>
      </c>
      <c r="AM2214" s="58" t="n">
        <v>1551.724138</v>
      </c>
      <c r="AN2214" s="155" t="inlineStr">
        <is>
          <t>Shopify Stetson México | Shopify Western Brothers</t>
        </is>
      </c>
      <c r="AO2214" s="59" t="n">
        <v>5</v>
      </c>
      <c r="AP2214" s="59" t="n">
        <v>1</v>
      </c>
      <c r="AQ2214" s="59" t="n"/>
      <c r="AR2214" s="155" t="inlineStr">
        <is>
          <t>Shopify Stetson México › Stetson México: 2 | Shopify Stetson México › Stetson Americas: 3 | Shopify Western Brothers › Western Brothers Outlet Lerma: 1</t>
        </is>
      </c>
    </row>
    <row r="2215">
      <c r="A2215" s="50" t="inlineStr">
        <is>
          <t>7506499569491</t>
        </is>
      </c>
      <c r="B2215" s="51" t="inlineStr">
        <is>
          <t>110286</t>
        </is>
      </c>
      <c r="C2215" s="156" t="inlineStr">
        <is>
          <t>Multimarca</t>
        </is>
      </c>
      <c r="D2215" s="156" t="inlineStr">
        <is>
          <t>ST-TI-002-FW25-AF</t>
        </is>
      </c>
      <c r="E2215" s="156" t="inlineStr">
        <is>
          <t>ST-TI-002-FW25-AF-XXL</t>
        </is>
      </c>
      <c r="F2215" s="156" t="inlineStr">
        <is>
          <t>XXL</t>
        </is>
      </c>
      <c r="G2215" s="156" t="inlineStr">
        <is>
          <t>XXL</t>
        </is>
      </c>
      <c r="H2215" s="156" t="inlineStr">
        <is>
          <t>Stetson</t>
        </is>
      </c>
      <c r="I2215" s="156" t="inlineStr">
        <is>
          <t>Camisa Stetson Trailblazer Icon</t>
        </is>
      </c>
      <c r="J2215" s="156" t="inlineStr">
        <is>
          <t>Ropa</t>
        </is>
      </c>
      <c r="K2215" s="156" t="inlineStr">
        <is>
          <t>Camisas</t>
        </is>
      </c>
      <c r="L2215" s="156" t="inlineStr">
        <is>
          <t>Hombre</t>
        </is>
      </c>
      <c r="M2215" s="156" t="inlineStr">
        <is>
          <t>Stetson</t>
        </is>
      </c>
      <c r="N2215" s="156" t="inlineStr">
        <is>
          <t>SS26</t>
        </is>
      </c>
      <c r="O2215" s="156" t="inlineStr">
        <is>
          <t>Seasonal</t>
        </is>
      </c>
      <c r="P2215" s="156" t="inlineStr">
        <is>
          <t>Varios</t>
        </is>
      </c>
      <c r="Q2215" s="156" t="inlineStr">
        <is>
          <t>Clásico</t>
        </is>
      </c>
      <c r="R2215" s="156" t="n"/>
      <c r="S2215" s="156" t="inlineStr">
        <is>
          <t>100% Algodón</t>
        </is>
      </c>
      <c r="T2215"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5" s="156" t="n"/>
      <c r="V2215" s="156" t="inlineStr">
        <is>
          <t>PZS</t>
        </is>
      </c>
      <c r="W2215" s="51" t="inlineStr">
        <is>
          <t>53101600</t>
        </is>
      </c>
      <c r="X2215" s="156" t="inlineStr">
        <is>
          <t>https://cdn.shopify.com/s/files/1/0888/3250/8267/files/ST-TI-001-TC-04.jpg?v=1762453320</t>
        </is>
      </c>
      <c r="Y2215" s="54" t="n">
        <v>698.2758621</v>
      </c>
      <c r="Z2215" s="54" t="n">
        <v>1551.724138</v>
      </c>
      <c r="AA2215" s="55">
        <f>IF(AND(A2215="", B2215="", E2215=""), "", IF(AB2215="", "Válido", IF((LEN(AB2215)-LEN(SUBSTITUTE(AB2215,"; ","")))/2+1&gt;(LEN(AB2215)-LEN(SUBSTITUTE(AB2215,"[Aviso]","")))/7, "Con Incidencias", "Válido")))</f>
        <v/>
      </c>
      <c r="AB2215" s="56">
        <f>IF(AND(A2215="", B2215="", E2215=""), "", TEXTJOIN("; ", TRUE, IF(OR(TRIM(A2215&amp;"")="", ISNUMBER(SEARCH("FALTA", A2215))), "UPC faltante/inválido", ""), IF(AND(A2215&lt;&gt;"", IFERROR(_xlfn.XMATCH(A2215,$A$2:$A$2509,0,1)&lt;&gt;_xlfn.XMATCH(A2215,$A$2:$A$2509,0,-1),FALSE)), "Código de barras duplicado", ""), IF(AND(E2215&lt;&gt;"", COUNTIF($E$2:$E$2509, E2215)&gt;1), "SKU duplicado", ""), IF(OR(J2215="", J2215=""), "[Aviso] División no capturada ()", IF(ISNA(MATCH(J2215, Criterios!$A$123:$A$126, 0)), "División no válida", "")), IF(OR(K2215="", K2215=""), "[Aviso] Categoría no capturada ()", IF(ISNA(MATCH(K2215, Criterios!$A$81:$A$120, 0)), "Categoría no válida", IF(AND(J2215&lt;&gt;"", J2215&lt;&gt;"", J2215&lt;&gt;VLOOKUP(K2215, Criterios!$A$81:$B$120, 2, FALSE)), "División no coincide con Categoría", ""))), IF(OR(L2215="", L2215=""), "[Aviso] Género no capturado ()", IF(ISNA(MATCH(L2215, Criterios!$B$123:$B$127, 0)), "Género no válido", "")), IF(OR(N2215="", N2215=""), "[Aviso] Temporada no capturada ()", IF(ISNA(MATCH(N2215, Criterios!$C$123:$C$128, 0)), "Temporada no válida", "")), IF(OR(O2215="", O2215=""), "[Aviso] Ciclo de vida no capturado ()", IF(ISNA(MATCH(O2215, Criterios!$D$123:$D$124, 0)), "Ciclo de vida no válido", ""))))</f>
        <v/>
      </c>
      <c r="AC2215" s="56" t="n"/>
      <c r="AD2215" s="51" t="n">
        <v>1</v>
      </c>
      <c r="AE2215" s="156" t="inlineStr">
        <is>
          <t>B25 STETSON.MX (2)</t>
        </is>
      </c>
      <c r="AF2215" s="51" t="n">
        <v>2</v>
      </c>
      <c r="AG2215" s="156" t="inlineStr">
        <is>
          <t>Catálogo existente</t>
        </is>
      </c>
      <c r="AH2215"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15" s="156" t="inlineStr">
        <is>
          <t>Sí</t>
        </is>
      </c>
      <c r="AJ2215" s="156" t="inlineStr">
        <is>
          <t>STETSON AMERICAS (-1)</t>
        </is>
      </c>
      <c r="AK2215" s="155" t="inlineStr">
        <is>
          <t>Criterios: J [R]; G1522_Extraccion_Articulos_NetSuite_2026-09-30.xlsx: fila 58101 [S] | Shopify Stetson: producto 14813153100139 / variante 53350599885163</t>
        </is>
      </c>
      <c r="AL2215" s="58" t="n">
        <v>698.2758621</v>
      </c>
      <c r="AM2215" s="58" t="n">
        <v>1551.724138</v>
      </c>
      <c r="AN2215" s="155" t="inlineStr">
        <is>
          <t>Shopify Stetson México</t>
        </is>
      </c>
      <c r="AO2215" s="59" t="n">
        <v>5</v>
      </c>
      <c r="AP2215" s="59" t="n"/>
      <c r="AQ2215" s="59" t="n"/>
      <c r="AR2215" s="155" t="inlineStr">
        <is>
          <t>Shopify Stetson México › Stetson México: 2 | Shopify Stetson México › Stetson Americas: 3</t>
        </is>
      </c>
    </row>
    <row r="2216">
      <c r="A2216" s="50" t="inlineStr">
        <is>
          <t>7506499569507</t>
        </is>
      </c>
      <c r="B2216" s="51" t="inlineStr">
        <is>
          <t>110287</t>
        </is>
      </c>
      <c r="C2216" s="156" t="inlineStr">
        <is>
          <t>Multimarca</t>
        </is>
      </c>
      <c r="D2216" s="156" t="inlineStr">
        <is>
          <t>ST-TI-003-FW25-OR</t>
        </is>
      </c>
      <c r="E2216" s="156" t="inlineStr">
        <is>
          <t>ST-TI-003-FW25-OR-S</t>
        </is>
      </c>
      <c r="F2216" s="156" t="inlineStr">
        <is>
          <t>S</t>
        </is>
      </c>
      <c r="G2216" s="156" t="inlineStr">
        <is>
          <t>S</t>
        </is>
      </c>
      <c r="H2216" s="156" t="inlineStr">
        <is>
          <t>Stetson</t>
        </is>
      </c>
      <c r="I2216" s="156" t="inlineStr">
        <is>
          <t>Camisa Stetson Trailblazer Icon</t>
        </is>
      </c>
      <c r="J2216" s="156" t="inlineStr">
        <is>
          <t>Ropa</t>
        </is>
      </c>
      <c r="K2216" s="156" t="inlineStr">
        <is>
          <t>Camisas</t>
        </is>
      </c>
      <c r="L2216" s="156" t="inlineStr">
        <is>
          <t>Hombre</t>
        </is>
      </c>
      <c r="M2216" s="156" t="inlineStr">
        <is>
          <t>Stetson</t>
        </is>
      </c>
      <c r="N2216" s="156" t="inlineStr">
        <is>
          <t>SS26</t>
        </is>
      </c>
      <c r="O2216" s="156" t="inlineStr">
        <is>
          <t>Seasonal</t>
        </is>
      </c>
      <c r="P2216" s="156" t="inlineStr">
        <is>
          <t>Varios</t>
        </is>
      </c>
      <c r="Q2216" s="156" t="inlineStr">
        <is>
          <t>Clásico</t>
        </is>
      </c>
      <c r="R2216" s="156" t="n"/>
      <c r="S2216" s="156" t="inlineStr">
        <is>
          <t>100% Algodón</t>
        </is>
      </c>
      <c r="T2216"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6" s="156" t="n"/>
      <c r="V2216" s="156" t="inlineStr">
        <is>
          <t>PZS</t>
        </is>
      </c>
      <c r="W2216" s="51" t="inlineStr">
        <is>
          <t>53101600</t>
        </is>
      </c>
      <c r="X2216" s="156" t="inlineStr">
        <is>
          <t>https://cdn.shopify.com/s/files/1/0888/3250/8267/files/ST-TI-003-OR-01.jpg?v=1762205332</t>
        </is>
      </c>
      <c r="Y2216" s="54" t="n">
        <v>698.2758621</v>
      </c>
      <c r="Z2216" s="54" t="n">
        <v>1551.724138</v>
      </c>
      <c r="AA2216" s="55">
        <f>IF(AND(A2216="", B2216="", E2216=""), "", IF(AB2216="", "Válido", IF((LEN(AB2216)-LEN(SUBSTITUTE(AB2216,"; ","")))/2+1&gt;(LEN(AB2216)-LEN(SUBSTITUTE(AB2216,"[Aviso]","")))/7, "Con Incidencias", "Válido")))</f>
        <v/>
      </c>
      <c r="AB2216" s="56">
        <f>IF(AND(A2216="", B2216="", E2216=""), "", TEXTJOIN("; ", TRUE, IF(OR(TRIM(A2216&amp;"")="", ISNUMBER(SEARCH("FALTA", A2216))), "UPC faltante/inválido", ""), IF(AND(A2216&lt;&gt;"", IFERROR(_xlfn.XMATCH(A2216,$A$2:$A$2509,0,1)&lt;&gt;_xlfn.XMATCH(A2216,$A$2:$A$2509,0,-1),FALSE)), "Código de barras duplicado", ""), IF(AND(E2216&lt;&gt;"", COUNTIF($E$2:$E$2509, E2216)&gt;1), "SKU duplicado", ""), IF(OR(J2216="", J2216=""), "[Aviso] División no capturada ()", IF(ISNA(MATCH(J2216, Criterios!$A$123:$A$126, 0)), "División no válida", "")), IF(OR(K2216="", K2216=""), "[Aviso] Categoría no capturada ()", IF(ISNA(MATCH(K2216, Criterios!$A$81:$A$120, 0)), "Categoría no válida", IF(AND(J2216&lt;&gt;"", J2216&lt;&gt;"", J2216&lt;&gt;VLOOKUP(K2216, Criterios!$A$81:$B$120, 2, FALSE)), "División no coincide con Categoría", ""))), IF(OR(L2216="", L2216=""), "[Aviso] Género no capturado ()", IF(ISNA(MATCH(L2216, Criterios!$B$123:$B$127, 0)), "Género no válido", "")), IF(OR(N2216="", N2216=""), "[Aviso] Temporada no capturada ()", IF(ISNA(MATCH(N2216, Criterios!$C$123:$C$128, 0)), "Temporada no válida", "")), IF(OR(O2216="", O2216=""), "[Aviso] Ciclo de vida no capturado ()", IF(ISNA(MATCH(O2216, Criterios!$D$123:$D$124, 0)), "Ciclo de vida no válido", ""))))</f>
        <v/>
      </c>
      <c r="AC2216" s="56" t="n"/>
      <c r="AD2216" s="51" t="n">
        <v>-1</v>
      </c>
      <c r="AE2216" s="156" t="inlineStr">
        <is>
          <t>B25 STETSON.MX (1)</t>
        </is>
      </c>
      <c r="AF2216" s="51" t="n">
        <v>1</v>
      </c>
      <c r="AG2216" s="156" t="inlineStr">
        <is>
          <t>Catálogo existente</t>
        </is>
      </c>
      <c r="AH2216"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16" s="156" t="inlineStr">
        <is>
          <t>Sí</t>
        </is>
      </c>
      <c r="AJ2216" s="156" t="inlineStr">
        <is>
          <t>STETSON AMERICAS (-2)</t>
        </is>
      </c>
      <c r="AK2216" s="155" t="inlineStr">
        <is>
          <t>Criterios: J [R]; G1522_Extraccion_Articulos_NetSuite_2026-09-30.xlsx: fila 58102 [S] | Shopify Stetson: producto 14813153100139 / variante 53350599590251</t>
        </is>
      </c>
      <c r="AL2216" s="58" t="n">
        <v>698.2758621</v>
      </c>
      <c r="AM2216" s="58" t="n">
        <v>1551.724138</v>
      </c>
      <c r="AN2216" s="155" t="inlineStr">
        <is>
          <t>Shopify Stetson México</t>
        </is>
      </c>
      <c r="AO2216" s="59" t="n">
        <v>1</v>
      </c>
      <c r="AP2216" s="59" t="n"/>
      <c r="AQ2216" s="59" t="n"/>
      <c r="AR2216" s="155" t="inlineStr">
        <is>
          <t>Shopify Stetson México › Stetson México: 1</t>
        </is>
      </c>
    </row>
    <row r="2217">
      <c r="A2217" s="50" t="inlineStr">
        <is>
          <t>7506499569514</t>
        </is>
      </c>
      <c r="B2217" s="51" t="inlineStr">
        <is>
          <t>108521</t>
        </is>
      </c>
      <c r="C2217" s="156" t="inlineStr">
        <is>
          <t>Multimarca</t>
        </is>
      </c>
      <c r="D2217" s="156" t="inlineStr">
        <is>
          <t>ST-TI-003-FW25-OR</t>
        </is>
      </c>
      <c r="E2217" s="156" t="inlineStr">
        <is>
          <t>ST-TI-003-FW25-OR-M</t>
        </is>
      </c>
      <c r="F2217" s="156" t="inlineStr">
        <is>
          <t>M</t>
        </is>
      </c>
      <c r="G2217" s="156" t="inlineStr">
        <is>
          <t>M</t>
        </is>
      </c>
      <c r="H2217" s="156" t="inlineStr">
        <is>
          <t>Stetson</t>
        </is>
      </c>
      <c r="I2217" s="156" t="inlineStr">
        <is>
          <t>Camisa Stetson Trailblazer Icon</t>
        </is>
      </c>
      <c r="J2217" s="156" t="inlineStr">
        <is>
          <t>Ropa</t>
        </is>
      </c>
      <c r="K2217" s="156" t="inlineStr">
        <is>
          <t>Camisas</t>
        </is>
      </c>
      <c r="L2217" s="156" t="inlineStr">
        <is>
          <t>Hombre</t>
        </is>
      </c>
      <c r="M2217" s="156" t="inlineStr">
        <is>
          <t>Stetson</t>
        </is>
      </c>
      <c r="N2217" s="156" t="inlineStr">
        <is>
          <t>SS26</t>
        </is>
      </c>
      <c r="O2217" s="156" t="inlineStr">
        <is>
          <t>Seasonal</t>
        </is>
      </c>
      <c r="P2217" s="156" t="inlineStr">
        <is>
          <t>Varios</t>
        </is>
      </c>
      <c r="Q2217" s="156" t="inlineStr">
        <is>
          <t>Clásico</t>
        </is>
      </c>
      <c r="R2217" s="156" t="n"/>
      <c r="S2217" s="156" t="inlineStr">
        <is>
          <t>100% Algodón</t>
        </is>
      </c>
      <c r="T2217"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7" s="156" t="n"/>
      <c r="V2217" s="156" t="inlineStr">
        <is>
          <t>PZS</t>
        </is>
      </c>
      <c r="W2217" s="51" t="inlineStr">
        <is>
          <t>53101600</t>
        </is>
      </c>
      <c r="X2217" s="156" t="inlineStr">
        <is>
          <t>https://cdn.shopify.com/s/files/1/0888/3250/8267/files/ST-TI-003-OR-02.jpg?v=1762453474</t>
        </is>
      </c>
      <c r="Y2217" s="54" t="n">
        <v>698.2758621</v>
      </c>
      <c r="Z2217" s="54" t="n">
        <v>1551.724138</v>
      </c>
      <c r="AA2217" s="55">
        <f>IF(AND(A2217="", B2217="", E2217=""), "", IF(AB2217="", "Válido", IF((LEN(AB2217)-LEN(SUBSTITUTE(AB2217,"; ","")))/2+1&gt;(LEN(AB2217)-LEN(SUBSTITUTE(AB2217,"[Aviso]","")))/7, "Con Incidencias", "Válido")))</f>
        <v/>
      </c>
      <c r="AB2217" s="56">
        <f>IF(AND(A2217="", B2217="", E2217=""), "", TEXTJOIN("; ", TRUE, IF(OR(TRIM(A2217&amp;"")="", ISNUMBER(SEARCH("FALTA", A2217))), "UPC faltante/inválido", ""), IF(AND(A2217&lt;&gt;"", IFERROR(_xlfn.XMATCH(A2217,$A$2:$A$2509,0,1)&lt;&gt;_xlfn.XMATCH(A2217,$A$2:$A$2509,0,-1),FALSE)), "Código de barras duplicado", ""), IF(AND(E2217&lt;&gt;"", COUNTIF($E$2:$E$2509, E2217)&gt;1), "SKU duplicado", ""), IF(OR(J2217="", J2217=""), "[Aviso] División no capturada ()", IF(ISNA(MATCH(J2217, Criterios!$A$123:$A$126, 0)), "División no válida", "")), IF(OR(K2217="", K2217=""), "[Aviso] Categoría no capturada ()", IF(ISNA(MATCH(K2217, Criterios!$A$81:$A$120, 0)), "Categoría no válida", IF(AND(J2217&lt;&gt;"", J2217&lt;&gt;"", J2217&lt;&gt;VLOOKUP(K2217, Criterios!$A$81:$B$120, 2, FALSE)), "División no coincide con Categoría", ""))), IF(OR(L2217="", L2217=""), "[Aviso] Género no capturado ()", IF(ISNA(MATCH(L2217, Criterios!$B$123:$B$127, 0)), "Género no válido", "")), IF(OR(N2217="", N2217=""), "[Aviso] Temporada no capturada ()", IF(ISNA(MATCH(N2217, Criterios!$C$123:$C$128, 0)), "Temporada no válida", "")), IF(OR(O2217="", O2217=""), "[Aviso] Ciclo de vida no capturado ()", IF(ISNA(MATCH(O2217, Criterios!$D$123:$D$124, 0)), "Ciclo de vida no válido", ""))))</f>
        <v/>
      </c>
      <c r="AC2217" s="56" t="n"/>
      <c r="AD2217" s="51" t="n">
        <v>-3</v>
      </c>
      <c r="AE2217" s="156" t="inlineStr">
        <is>
          <t>B25 STETSON.MX (3)</t>
        </is>
      </c>
      <c r="AF2217" s="51" t="n">
        <v>3</v>
      </c>
      <c r="AG2217" s="156" t="inlineStr">
        <is>
          <t>Catálogo existente</t>
        </is>
      </c>
      <c r="AH2217"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7" s="156" t="inlineStr">
        <is>
          <t>Sí</t>
        </is>
      </c>
      <c r="AJ2217" s="156" t="inlineStr">
        <is>
          <t>WB OUTLET LERMA (-2); STETSON AMERICAS (-4)</t>
        </is>
      </c>
      <c r="AK2217" s="155" t="inlineStr">
        <is>
          <t>Criterios: J [R]; G1522_Extraccion_Articulos_NetSuite_2026-09-30.xlsx: fila 56680 [S] | Shopify Stetson: producto 14813153100139 / variante 53350599623019 | Shopify WB: producto 8569965609145 / variante 47621335089337</t>
        </is>
      </c>
      <c r="AL2217" s="58" t="n">
        <v>698.2758621</v>
      </c>
      <c r="AM2217" s="58" t="n">
        <v>1551.724138</v>
      </c>
      <c r="AN2217" s="155" t="inlineStr">
        <is>
          <t>Shopify Stetson México | Shopify Western Brothers</t>
        </is>
      </c>
      <c r="AO2217" s="59" t="n">
        <v>3</v>
      </c>
      <c r="AP2217" s="59" t="n">
        <v>-2</v>
      </c>
      <c r="AQ2217" s="59" t="n"/>
      <c r="AR2217" s="155" t="inlineStr">
        <is>
          <t>Shopify Stetson México › Stetson México: 3</t>
        </is>
      </c>
    </row>
    <row r="2218">
      <c r="A2218" s="50" t="inlineStr">
        <is>
          <t>7506499569521</t>
        </is>
      </c>
      <c r="B2218" s="51" t="inlineStr">
        <is>
          <t>108522</t>
        </is>
      </c>
      <c r="C2218" s="156" t="inlineStr">
        <is>
          <t>Multimarca</t>
        </is>
      </c>
      <c r="D2218" s="156" t="inlineStr">
        <is>
          <t>ST-TI-003-FW25-OR</t>
        </is>
      </c>
      <c r="E2218" s="156" t="inlineStr">
        <is>
          <t>ST-TI-003-FW25-OR-L</t>
        </is>
      </c>
      <c r="F2218" s="156" t="inlineStr">
        <is>
          <t>L</t>
        </is>
      </c>
      <c r="G2218" s="156" t="inlineStr">
        <is>
          <t>L</t>
        </is>
      </c>
      <c r="H2218" s="156" t="inlineStr">
        <is>
          <t>Stetson</t>
        </is>
      </c>
      <c r="I2218" s="156" t="inlineStr">
        <is>
          <t>Camisa Stetson Trailblazer Icon</t>
        </is>
      </c>
      <c r="J2218" s="156" t="inlineStr">
        <is>
          <t>Ropa</t>
        </is>
      </c>
      <c r="K2218" s="156" t="inlineStr">
        <is>
          <t>Camisas</t>
        </is>
      </c>
      <c r="L2218" s="156" t="inlineStr">
        <is>
          <t>Hombre</t>
        </is>
      </c>
      <c r="M2218" s="156" t="inlineStr">
        <is>
          <t>Stetson</t>
        </is>
      </c>
      <c r="N2218" s="156" t="inlineStr">
        <is>
          <t>SS26</t>
        </is>
      </c>
      <c r="O2218" s="156" t="inlineStr">
        <is>
          <t>Seasonal</t>
        </is>
      </c>
      <c r="P2218" s="156" t="inlineStr">
        <is>
          <t>Varios</t>
        </is>
      </c>
      <c r="Q2218" s="156" t="inlineStr">
        <is>
          <t>Clásico</t>
        </is>
      </c>
      <c r="R2218" s="156" t="n"/>
      <c r="S2218" s="156" t="inlineStr">
        <is>
          <t>100% Algodón</t>
        </is>
      </c>
      <c r="T2218"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8" s="156" t="n"/>
      <c r="V2218" s="156" t="inlineStr">
        <is>
          <t>PZS</t>
        </is>
      </c>
      <c r="W2218" s="51" t="inlineStr">
        <is>
          <t>53101600</t>
        </is>
      </c>
      <c r="X2218" s="156" t="inlineStr">
        <is>
          <t>https://cdn.shopify.com/s/files/1/0888/3250/8267/files/ST-TI-003-OR-03.jpg?v=1762455427</t>
        </is>
      </c>
      <c r="Y2218" s="54" t="n">
        <v>698.2758621</v>
      </c>
      <c r="Z2218" s="54" t="n">
        <v>1551.724138</v>
      </c>
      <c r="AA2218" s="55">
        <f>IF(AND(A2218="", B2218="", E2218=""), "", IF(AB2218="", "Válido", IF((LEN(AB2218)-LEN(SUBSTITUTE(AB2218,"; ","")))/2+1&gt;(LEN(AB2218)-LEN(SUBSTITUTE(AB2218,"[Aviso]","")))/7, "Con Incidencias", "Válido")))</f>
        <v/>
      </c>
      <c r="AB2218" s="56">
        <f>IF(AND(A2218="", B2218="", E2218=""), "", TEXTJOIN("; ", TRUE, IF(OR(TRIM(A2218&amp;"")="", ISNUMBER(SEARCH("FALTA", A2218))), "UPC faltante/inválido", ""), IF(AND(A2218&lt;&gt;"", IFERROR(_xlfn.XMATCH(A2218,$A$2:$A$2509,0,1)&lt;&gt;_xlfn.XMATCH(A2218,$A$2:$A$2509,0,-1),FALSE)), "Código de barras duplicado", ""), IF(AND(E2218&lt;&gt;"", COUNTIF($E$2:$E$2509, E2218)&gt;1), "SKU duplicado", ""), IF(OR(J2218="", J2218=""), "[Aviso] División no capturada ()", IF(ISNA(MATCH(J2218, Criterios!$A$123:$A$126, 0)), "División no válida", "")), IF(OR(K2218="", K2218=""), "[Aviso] Categoría no capturada ()", IF(ISNA(MATCH(K2218, Criterios!$A$81:$A$120, 0)), "Categoría no válida", IF(AND(J2218&lt;&gt;"", J2218&lt;&gt;"", J2218&lt;&gt;VLOOKUP(K2218, Criterios!$A$81:$B$120, 2, FALSE)), "División no coincide con Categoría", ""))), IF(OR(L2218="", L2218=""), "[Aviso] Género no capturado ()", IF(ISNA(MATCH(L2218, Criterios!$B$123:$B$127, 0)), "Género no válido", "")), IF(OR(N2218="", N2218=""), "[Aviso] Temporada no capturada ()", IF(ISNA(MATCH(N2218, Criterios!$C$123:$C$128, 0)), "Temporada no válida", "")), IF(OR(O2218="", O2218=""), "[Aviso] Ciclo de vida no capturado ()", IF(ISNA(MATCH(O2218, Criterios!$D$123:$D$124, 0)), "Ciclo de vida no válido", ""))))</f>
        <v/>
      </c>
      <c r="AC2218" s="56" t="n"/>
      <c r="AD2218" s="51" t="n">
        <v>-2</v>
      </c>
      <c r="AE2218" s="156" t="inlineStr">
        <is>
          <t>B25 STETSON.MX (1)</t>
        </is>
      </c>
      <c r="AF2218" s="51" t="n">
        <v>1</v>
      </c>
      <c r="AG2218" s="156" t="inlineStr">
        <is>
          <t>Catálogo existente</t>
        </is>
      </c>
      <c r="AH2218"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8" s="156" t="inlineStr">
        <is>
          <t>Sí</t>
        </is>
      </c>
      <c r="AJ2218" s="156" t="inlineStr">
        <is>
          <t>STETSON AMERICAS (-3)</t>
        </is>
      </c>
      <c r="AK2218" s="155" t="inlineStr">
        <is>
          <t>Criterios: J [R]; G1522_Extraccion_Articulos_NetSuite_2026-09-30.xlsx: fila 56681 [S] | Shopify Stetson: producto 14813153100139 / variante 53350599655787 | Shopify WB: producto 8569965609145 / variante 47621335122105</t>
        </is>
      </c>
      <c r="AL2218" s="58" t="n">
        <v>698.2758621</v>
      </c>
      <c r="AM2218" s="58" t="n">
        <v>1551.724138</v>
      </c>
      <c r="AN2218" s="155" t="inlineStr">
        <is>
          <t>Shopify Stetson México | Shopify Western Brothers</t>
        </is>
      </c>
      <c r="AO2218" s="59" t="n">
        <v>2</v>
      </c>
      <c r="AP2218" s="59" t="n">
        <v>0</v>
      </c>
      <c r="AQ2218" s="59" t="n"/>
      <c r="AR2218" s="155" t="inlineStr">
        <is>
          <t>Shopify Stetson México › Stetson Americas: 2</t>
        </is>
      </c>
    </row>
    <row r="2219">
      <c r="A2219" s="50" t="inlineStr">
        <is>
          <t>7506499569538</t>
        </is>
      </c>
      <c r="B2219" s="51" t="inlineStr">
        <is>
          <t>108523</t>
        </is>
      </c>
      <c r="C2219" s="156" t="inlineStr">
        <is>
          <t>Multimarca</t>
        </is>
      </c>
      <c r="D2219" s="156" t="inlineStr">
        <is>
          <t>ST-TI-003-FW25-OR</t>
        </is>
      </c>
      <c r="E2219" s="156" t="inlineStr">
        <is>
          <t>ST-TI-003-FW25-OR-XL</t>
        </is>
      </c>
      <c r="F2219" s="156" t="inlineStr">
        <is>
          <t>XL</t>
        </is>
      </c>
      <c r="G2219" s="156" t="inlineStr">
        <is>
          <t>XL</t>
        </is>
      </c>
      <c r="H2219" s="156" t="inlineStr">
        <is>
          <t>Stetson</t>
        </is>
      </c>
      <c r="I2219" s="156" t="inlineStr">
        <is>
          <t>Camisa Stetson Trailblazer Icon</t>
        </is>
      </c>
      <c r="J2219" s="156" t="inlineStr">
        <is>
          <t>Ropa</t>
        </is>
      </c>
      <c r="K2219" s="156" t="inlineStr">
        <is>
          <t>Camisas</t>
        </is>
      </c>
      <c r="L2219" s="156" t="inlineStr">
        <is>
          <t>Hombre</t>
        </is>
      </c>
      <c r="M2219" s="156" t="inlineStr">
        <is>
          <t>Stetson</t>
        </is>
      </c>
      <c r="N2219" s="156" t="inlineStr">
        <is>
          <t>SS26</t>
        </is>
      </c>
      <c r="O2219" s="156" t="inlineStr">
        <is>
          <t>Seasonal</t>
        </is>
      </c>
      <c r="P2219" s="156" t="inlineStr">
        <is>
          <t>Varios</t>
        </is>
      </c>
      <c r="Q2219" s="156" t="inlineStr">
        <is>
          <t>Moderno</t>
        </is>
      </c>
      <c r="R2219" s="156" t="n"/>
      <c r="S2219" s="156" t="inlineStr">
        <is>
          <t>100% Algodón</t>
        </is>
      </c>
      <c r="T2219"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19" s="156" t="n"/>
      <c r="V2219" s="156" t="inlineStr">
        <is>
          <t>PZS</t>
        </is>
      </c>
      <c r="W2219" s="51" t="inlineStr">
        <is>
          <t>53101600</t>
        </is>
      </c>
      <c r="X2219" s="156" t="inlineStr">
        <is>
          <t>https://cdn.shopify.com/s/files/1/0888/3250/8267/files/ST-TI-002-AF-01.jpg?v=1762453320</t>
        </is>
      </c>
      <c r="Y2219" s="54" t="n">
        <v>698.2758621</v>
      </c>
      <c r="Z2219" s="54" t="n">
        <v>1551.724138</v>
      </c>
      <c r="AA2219" s="55">
        <f>IF(AND(A2219="", B2219="", E2219=""), "", IF(AB2219="", "Válido", IF((LEN(AB2219)-LEN(SUBSTITUTE(AB2219,"; ","")))/2+1&gt;(LEN(AB2219)-LEN(SUBSTITUTE(AB2219,"[Aviso]","")))/7, "Con Incidencias", "Válido")))</f>
        <v/>
      </c>
      <c r="AB2219" s="56">
        <f>IF(AND(A2219="", B2219="", E2219=""), "", TEXTJOIN("; ", TRUE, IF(OR(TRIM(A2219&amp;"")="", ISNUMBER(SEARCH("FALTA", A2219))), "UPC faltante/inválido", ""), IF(AND(A2219&lt;&gt;"", IFERROR(_xlfn.XMATCH(A2219,$A$2:$A$2509,0,1)&lt;&gt;_xlfn.XMATCH(A2219,$A$2:$A$2509,0,-1),FALSE)), "Código de barras duplicado", ""), IF(AND(E2219&lt;&gt;"", COUNTIF($E$2:$E$2509, E2219)&gt;1), "SKU duplicado", ""), IF(OR(J2219="", J2219=""), "[Aviso] División no capturada ()", IF(ISNA(MATCH(J2219, Criterios!$A$123:$A$126, 0)), "División no válida", "")), IF(OR(K2219="", K2219=""), "[Aviso] Categoría no capturada ()", IF(ISNA(MATCH(K2219, Criterios!$A$81:$A$120, 0)), "Categoría no válida", IF(AND(J2219&lt;&gt;"", J2219&lt;&gt;"", J2219&lt;&gt;VLOOKUP(K2219, Criterios!$A$81:$B$120, 2, FALSE)), "División no coincide con Categoría", ""))), IF(OR(L2219="", L2219=""), "[Aviso] Género no capturado ()", IF(ISNA(MATCH(L2219, Criterios!$B$123:$B$127, 0)), "Género no válido", "")), IF(OR(N2219="", N2219=""), "[Aviso] Temporada no capturada ()", IF(ISNA(MATCH(N2219, Criterios!$C$123:$C$128, 0)), "Temporada no válida", "")), IF(OR(O2219="", O2219=""), "[Aviso] Ciclo de vida no capturado ()", IF(ISNA(MATCH(O2219, Criterios!$D$123:$D$124, 0)), "Ciclo de vida no válido", ""))))</f>
        <v/>
      </c>
      <c r="AC2219" s="56" t="n"/>
      <c r="AD2219" s="51" t="n">
        <v>0</v>
      </c>
      <c r="AE2219" s="156" t="n"/>
      <c r="AF2219" s="51" t="n">
        <v>0</v>
      </c>
      <c r="AG2219" s="156" t="inlineStr">
        <is>
          <t>Catálogo existente</t>
        </is>
      </c>
      <c r="AH2219"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9" s="156" t="inlineStr">
        <is>
          <t>No</t>
        </is>
      </c>
      <c r="AJ2219" s="156" t="n"/>
      <c r="AK2219" s="155" t="inlineStr">
        <is>
          <t>Criterios: J [R]; G1522_Extraccion_Articulos_NetSuite_2026-09-30.xlsx: fila 56682 [S] | Shopify Stetson: producto 14813153100139 / variante 53350599688555 | Shopify WB: producto 8569965609145 / variante 47621335154873</t>
        </is>
      </c>
      <c r="AL2219" s="58" t="n">
        <v>698.2758621</v>
      </c>
      <c r="AM2219" s="58" t="n">
        <v>1551.724138</v>
      </c>
      <c r="AN2219" s="155" t="inlineStr">
        <is>
          <t>Shopify Stetson México | Shopify Western Brothers</t>
        </is>
      </c>
      <c r="AO2219" s="59" t="n">
        <v>3</v>
      </c>
      <c r="AP2219" s="59" t="n">
        <v>0</v>
      </c>
      <c r="AQ2219" s="59" t="n"/>
      <c r="AR2219" s="155" t="inlineStr">
        <is>
          <t>Shopify Stetson México › Stetson Americas: 3</t>
        </is>
      </c>
    </row>
    <row r="2220">
      <c r="A2220" s="50" t="inlineStr">
        <is>
          <t>7506499569545</t>
        </is>
      </c>
      <c r="B2220" s="51" t="inlineStr">
        <is>
          <t>110288</t>
        </is>
      </c>
      <c r="C2220" s="156" t="inlineStr">
        <is>
          <t>Multimarca</t>
        </is>
      </c>
      <c r="D2220" s="156" t="inlineStr">
        <is>
          <t>ST-TI-003-FW25-OR</t>
        </is>
      </c>
      <c r="E2220" s="156" t="inlineStr">
        <is>
          <t>ST-TI-003-FW25-OR-XXL</t>
        </is>
      </c>
      <c r="F2220" s="156" t="inlineStr">
        <is>
          <t>XXL</t>
        </is>
      </c>
      <c r="G2220" s="156" t="inlineStr">
        <is>
          <t>XXL</t>
        </is>
      </c>
      <c r="H2220" s="156" t="inlineStr">
        <is>
          <t>Stetson</t>
        </is>
      </c>
      <c r="I2220" s="156" t="inlineStr">
        <is>
          <t>Camisa Stetson Trailblazer Icon</t>
        </is>
      </c>
      <c r="J2220" s="156" t="inlineStr">
        <is>
          <t>Ropa</t>
        </is>
      </c>
      <c r="K2220" s="156" t="inlineStr">
        <is>
          <t>Camisas</t>
        </is>
      </c>
      <c r="L2220" s="156" t="inlineStr">
        <is>
          <t>Hombre</t>
        </is>
      </c>
      <c r="M2220" s="156" t="inlineStr">
        <is>
          <t>Stetson</t>
        </is>
      </c>
      <c r="N2220" s="156" t="inlineStr">
        <is>
          <t>SS26</t>
        </is>
      </c>
      <c r="O2220" s="156" t="inlineStr">
        <is>
          <t>Seasonal</t>
        </is>
      </c>
      <c r="P2220" s="156" t="inlineStr">
        <is>
          <t>Varios</t>
        </is>
      </c>
      <c r="Q2220" s="156" t="inlineStr">
        <is>
          <t>Clásico</t>
        </is>
      </c>
      <c r="R2220" s="156" t="n"/>
      <c r="S2220" s="156" t="inlineStr">
        <is>
          <t>100% Algodón</t>
        </is>
      </c>
      <c r="T2220"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20" s="156" t="n"/>
      <c r="V2220" s="156" t="inlineStr">
        <is>
          <t>PZS</t>
        </is>
      </c>
      <c r="W2220" s="51" t="inlineStr">
        <is>
          <t>53101600</t>
        </is>
      </c>
      <c r="X2220" s="156" t="inlineStr">
        <is>
          <t>https://cdn.shopify.com/s/files/1/0888/3250/8267/files/ST-TI-002-AF-02.jpg?v=1762453320</t>
        </is>
      </c>
      <c r="Y2220" s="54" t="n">
        <v>698.2758621</v>
      </c>
      <c r="Z2220" s="54" t="n">
        <v>1551.724138</v>
      </c>
      <c r="AA2220" s="55">
        <f>IF(AND(A2220="", B2220="", E2220=""), "", IF(AB2220="", "Válido", IF((LEN(AB2220)-LEN(SUBSTITUTE(AB2220,"; ","")))/2+1&gt;(LEN(AB2220)-LEN(SUBSTITUTE(AB2220,"[Aviso]","")))/7, "Con Incidencias", "Válido")))</f>
        <v/>
      </c>
      <c r="AB2220" s="56">
        <f>IF(AND(A2220="", B2220="", E2220=""), "", TEXTJOIN("; ", TRUE, IF(OR(TRIM(A2220&amp;"")="", ISNUMBER(SEARCH("FALTA", A2220))), "UPC faltante/inválido", ""), IF(AND(A2220&lt;&gt;"", IFERROR(_xlfn.XMATCH(A2220,$A$2:$A$2509,0,1)&lt;&gt;_xlfn.XMATCH(A2220,$A$2:$A$2509,0,-1),FALSE)), "Código de barras duplicado", ""), IF(AND(E2220&lt;&gt;"", COUNTIF($E$2:$E$2509, E2220)&gt;1), "SKU duplicado", ""), IF(OR(J2220="", J2220=""), "[Aviso] División no capturada ()", IF(ISNA(MATCH(J2220, Criterios!$A$123:$A$126, 0)), "División no válida", "")), IF(OR(K2220="", K2220=""), "[Aviso] Categoría no capturada ()", IF(ISNA(MATCH(K2220, Criterios!$A$81:$A$120, 0)), "Categoría no válida", IF(AND(J2220&lt;&gt;"", J2220&lt;&gt;"", J2220&lt;&gt;VLOOKUP(K2220, Criterios!$A$81:$B$120, 2, FALSE)), "División no coincide con Categoría", ""))), IF(OR(L2220="", L2220=""), "[Aviso] Género no capturado ()", IF(ISNA(MATCH(L2220, Criterios!$B$123:$B$127, 0)), "Género no válido", "")), IF(OR(N2220="", N2220=""), "[Aviso] Temporada no capturada ()", IF(ISNA(MATCH(N2220, Criterios!$C$123:$C$128, 0)), "Temporada no válida", "")), IF(OR(O2220="", O2220=""), "[Aviso] Ciclo de vida no capturado ()", IF(ISNA(MATCH(O2220, Criterios!$D$123:$D$124, 0)), "Ciclo de vida no válido", ""))))</f>
        <v/>
      </c>
      <c r="AC2220" s="56" t="n"/>
      <c r="AD2220" s="51" t="n">
        <v>0</v>
      </c>
      <c r="AE2220" s="156" t="inlineStr">
        <is>
          <t>B25 STETSON.MX (1)</t>
        </is>
      </c>
      <c r="AF2220" s="51" t="n">
        <v>1</v>
      </c>
      <c r="AG2220" s="156" t="inlineStr">
        <is>
          <t>Catálogo existente</t>
        </is>
      </c>
      <c r="AH222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0" s="156" t="inlineStr">
        <is>
          <t>Sí</t>
        </is>
      </c>
      <c r="AJ2220" s="156" t="inlineStr">
        <is>
          <t>STETSON AMERICAS (-1)</t>
        </is>
      </c>
      <c r="AK2220" s="155" t="inlineStr">
        <is>
          <t>Criterios: J [R]; G1522_Extraccion_Articulos_NetSuite_2026-09-30.xlsx: fila 58103 [S] | Shopify Stetson: producto 14813153100139 / variante 53350599721323</t>
        </is>
      </c>
      <c r="AL2220" s="58" t="n">
        <v>698.2758621</v>
      </c>
      <c r="AM2220" s="58" t="n">
        <v>1551.724138</v>
      </c>
      <c r="AN2220" s="155" t="inlineStr">
        <is>
          <t>Shopify Stetson México</t>
        </is>
      </c>
      <c r="AO2220" s="59" t="n">
        <v>4</v>
      </c>
      <c r="AP2220" s="59" t="n"/>
      <c r="AQ2220" s="59" t="n"/>
      <c r="AR2220" s="155" t="inlineStr">
        <is>
          <t>Shopify Stetson México › Stetson México: 1 | Shopify Stetson México › Stetson Americas: 3</t>
        </is>
      </c>
    </row>
    <row r="2221">
      <c r="A2221" s="50" t="inlineStr">
        <is>
          <t>7506499569606</t>
        </is>
      </c>
      <c r="B2221" s="51" t="inlineStr">
        <is>
          <t>108501</t>
        </is>
      </c>
      <c r="C2221" s="156" t="inlineStr">
        <is>
          <t>Multimarca</t>
        </is>
      </c>
      <c r="D2221" s="156" t="inlineStr">
        <is>
          <t>ST-VR-S-001-FW25-AF</t>
        </is>
      </c>
      <c r="E2221" s="156" t="inlineStr">
        <is>
          <t>ST-VR-S-001-FW25-AF-S</t>
        </is>
      </c>
      <c r="F2221" s="156" t="inlineStr">
        <is>
          <t>S</t>
        </is>
      </c>
      <c r="G2221" s="156" t="inlineStr">
        <is>
          <t>S</t>
        </is>
      </c>
      <c r="H2221" s="156" t="inlineStr">
        <is>
          <t>Stetson</t>
        </is>
      </c>
      <c r="I2221" s="156" t="inlineStr">
        <is>
          <t>Camisa Stetson Vintage Range Solid</t>
        </is>
      </c>
      <c r="J2221" s="156" t="inlineStr">
        <is>
          <t>Ropa</t>
        </is>
      </c>
      <c r="K2221" s="156" t="inlineStr">
        <is>
          <t>Camisas</t>
        </is>
      </c>
      <c r="L2221" s="156" t="inlineStr">
        <is>
          <t>Hombre</t>
        </is>
      </c>
      <c r="M2221" s="156" t="inlineStr">
        <is>
          <t>Stetson</t>
        </is>
      </c>
      <c r="N2221" s="156" t="inlineStr">
        <is>
          <t>SS26</t>
        </is>
      </c>
      <c r="O2221" s="156" t="inlineStr">
        <is>
          <t>Seasonal</t>
        </is>
      </c>
      <c r="P2221" s="156" t="inlineStr">
        <is>
          <t>Varios</t>
        </is>
      </c>
      <c r="Q2221" s="156" t="inlineStr">
        <is>
          <t>Clásico</t>
        </is>
      </c>
      <c r="R2221" s="156" t="n"/>
      <c r="S2221" s="156" t="inlineStr">
        <is>
          <t>100% Algodón</t>
        </is>
      </c>
      <c r="T2221"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1" s="156" t="n"/>
      <c r="V2221" s="156" t="inlineStr">
        <is>
          <t>PZS</t>
        </is>
      </c>
      <c r="W2221" s="51" t="inlineStr">
        <is>
          <t>53101600</t>
        </is>
      </c>
      <c r="X2221" s="156" t="inlineStr">
        <is>
          <t>https://cdn.shopify.com/s/files/1/0888/3250/8267/files/ST-VR-S-001-AF-01.jpg?v=1762207449</t>
        </is>
      </c>
      <c r="Y2221" s="54" t="n">
        <v>678.8793103</v>
      </c>
      <c r="Z2221" s="54" t="n">
        <v>1508.62069</v>
      </c>
      <c r="AA2221" s="55">
        <f>IF(AND(A2221="", B2221="", E2221=""), "", IF(AB2221="", "Válido", IF((LEN(AB2221)-LEN(SUBSTITUTE(AB2221,"; ","")))/2+1&gt;(LEN(AB2221)-LEN(SUBSTITUTE(AB2221,"[Aviso]","")))/7, "Con Incidencias", "Válido")))</f>
        <v/>
      </c>
      <c r="AB2221" s="56">
        <f>IF(AND(A2221="", B2221="", E2221=""), "", TEXTJOIN("; ", TRUE, IF(OR(TRIM(A2221&amp;"")="", ISNUMBER(SEARCH("FALTA", A2221))), "UPC faltante/inválido", ""), IF(AND(A2221&lt;&gt;"", IFERROR(_xlfn.XMATCH(A2221,$A$2:$A$2509,0,1)&lt;&gt;_xlfn.XMATCH(A2221,$A$2:$A$2509,0,-1),FALSE)), "Código de barras duplicado", ""), IF(AND(E2221&lt;&gt;"", COUNTIF($E$2:$E$2509, E2221)&gt;1), "SKU duplicado", ""), IF(OR(J2221="", J2221=""), "[Aviso] División no capturada ()", IF(ISNA(MATCH(J2221, Criterios!$A$123:$A$126, 0)), "División no válida", "")), IF(OR(K2221="", K2221=""), "[Aviso] Categoría no capturada ()", IF(ISNA(MATCH(K2221, Criterios!$A$81:$A$120, 0)), "Categoría no válida", IF(AND(J2221&lt;&gt;"", J2221&lt;&gt;"", J2221&lt;&gt;VLOOKUP(K2221, Criterios!$A$81:$B$120, 2, FALSE)), "División no coincide con Categoría", ""))), IF(OR(L2221="", L2221=""), "[Aviso] Género no capturado ()", IF(ISNA(MATCH(L2221, Criterios!$B$123:$B$127, 0)), "Género no válido", "")), IF(OR(N2221="", N2221=""), "[Aviso] Temporada no capturada ()", IF(ISNA(MATCH(N2221, Criterios!$C$123:$C$128, 0)), "Temporada no válida", "")), IF(OR(O2221="", O2221=""), "[Aviso] Ciclo de vida no capturado ()", IF(ISNA(MATCH(O2221, Criterios!$D$123:$D$124, 0)), "Ciclo de vida no válido", ""))))</f>
        <v/>
      </c>
      <c r="AC2221" s="56" t="n"/>
      <c r="AD2221" s="51" t="n">
        <v>1</v>
      </c>
      <c r="AE2221" s="156" t="inlineStr">
        <is>
          <t>B25 STETSON.MX (5)</t>
        </is>
      </c>
      <c r="AF2221" s="51" t="n">
        <v>5</v>
      </c>
      <c r="AG2221" s="156" t="inlineStr">
        <is>
          <t>Catálogo existente</t>
        </is>
      </c>
      <c r="AH2221"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1" s="156" t="inlineStr">
        <is>
          <t>Sí</t>
        </is>
      </c>
      <c r="AJ2221" s="156" t="inlineStr">
        <is>
          <t>STETSON AMERICAS (-3); WB OUTLET LERMA (-1)</t>
        </is>
      </c>
      <c r="AK2221" s="155" t="inlineStr">
        <is>
          <t>Criterios: J [R]; G1522_Extraccion_Articulos_NetSuite_2026-09-30.xlsx: fila 56660 [S] | Shopify Stetson: producto 14813155721579 / variante 53350599426411 | Shopify WB: producto 8569966657721 / variante 47621336727737</t>
        </is>
      </c>
      <c r="AL2221" s="58" t="n">
        <v>678.8793103</v>
      </c>
      <c r="AM2221" s="58" t="n">
        <v>1508.62069</v>
      </c>
      <c r="AN2221" s="155" t="inlineStr">
        <is>
          <t>Shopify Stetson México | Shopify Western Brothers</t>
        </is>
      </c>
      <c r="AO2221" s="59" t="n">
        <v>6</v>
      </c>
      <c r="AP2221" s="59" t="n">
        <v>-1</v>
      </c>
      <c r="AQ2221" s="59" t="n"/>
      <c r="AR2221" s="155" t="inlineStr">
        <is>
          <t>Shopify Stetson México › Stetson México: 5 | Shopify Stetson México › Stetson Americas: 1</t>
        </is>
      </c>
    </row>
    <row r="2222">
      <c r="A2222" s="50" t="inlineStr">
        <is>
          <t>7506499569613</t>
        </is>
      </c>
      <c r="B2222" s="51" t="inlineStr">
        <is>
          <t>108502</t>
        </is>
      </c>
      <c r="C2222" s="156" t="inlineStr">
        <is>
          <t>Multimarca</t>
        </is>
      </c>
      <c r="D2222" s="156" t="inlineStr">
        <is>
          <t>ST-VR-S-001-FW25-AF</t>
        </is>
      </c>
      <c r="E2222" s="156" t="inlineStr">
        <is>
          <t>ST-VR-S-001-FW25-AF-M</t>
        </is>
      </c>
      <c r="F2222" s="156" t="inlineStr">
        <is>
          <t>M</t>
        </is>
      </c>
      <c r="G2222" s="156" t="inlineStr">
        <is>
          <t>M</t>
        </is>
      </c>
      <c r="H2222" s="156" t="inlineStr">
        <is>
          <t>Stetson</t>
        </is>
      </c>
      <c r="I2222" s="156" t="inlineStr">
        <is>
          <t>Camisa Stetson Vintage Range Solid</t>
        </is>
      </c>
      <c r="J2222" s="156" t="inlineStr">
        <is>
          <t>Ropa</t>
        </is>
      </c>
      <c r="K2222" s="156" t="inlineStr">
        <is>
          <t>Camisas</t>
        </is>
      </c>
      <c r="L2222" s="156" t="inlineStr">
        <is>
          <t>Hombre</t>
        </is>
      </c>
      <c r="M2222" s="156" t="inlineStr">
        <is>
          <t>Stetson</t>
        </is>
      </c>
      <c r="N2222" s="156" t="inlineStr">
        <is>
          <t>SS26</t>
        </is>
      </c>
      <c r="O2222" s="156" t="inlineStr">
        <is>
          <t>Seasonal</t>
        </is>
      </c>
      <c r="P2222" s="156" t="inlineStr">
        <is>
          <t>Varios</t>
        </is>
      </c>
      <c r="Q2222" s="156" t="inlineStr">
        <is>
          <t>Clásico</t>
        </is>
      </c>
      <c r="R2222" s="156" t="n"/>
      <c r="S2222" s="156" t="inlineStr">
        <is>
          <t>100% Algodón</t>
        </is>
      </c>
      <c r="T2222"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2" s="156" t="n"/>
      <c r="V2222" s="156" t="inlineStr">
        <is>
          <t>PZS</t>
        </is>
      </c>
      <c r="W2222" s="51" t="inlineStr">
        <is>
          <t>53101600</t>
        </is>
      </c>
      <c r="X2222" s="156" t="inlineStr">
        <is>
          <t>https://cdn.shopify.com/s/files/1/0888/3250/8267/files/ST-VR-S-001-AF-01.jpg?v=1762207449</t>
        </is>
      </c>
      <c r="Y2222" s="54" t="n">
        <v>678.8793103</v>
      </c>
      <c r="Z2222" s="54" t="n">
        <v>1508.62069</v>
      </c>
      <c r="AA2222" s="55">
        <f>IF(AND(A2222="", B2222="", E2222=""), "", IF(AB2222="", "Válido", IF((LEN(AB2222)-LEN(SUBSTITUTE(AB2222,"; ","")))/2+1&gt;(LEN(AB2222)-LEN(SUBSTITUTE(AB2222,"[Aviso]","")))/7, "Con Incidencias", "Válido")))</f>
        <v/>
      </c>
      <c r="AB2222" s="56">
        <f>IF(AND(A2222="", B2222="", E2222=""), "", TEXTJOIN("; ", TRUE, IF(OR(TRIM(A2222&amp;"")="", ISNUMBER(SEARCH("FALTA", A2222))), "UPC faltante/inválido", ""), IF(AND(A2222&lt;&gt;"", IFERROR(_xlfn.XMATCH(A2222,$A$2:$A$2509,0,1)&lt;&gt;_xlfn.XMATCH(A2222,$A$2:$A$2509,0,-1),FALSE)), "Código de barras duplicado", ""), IF(AND(E2222&lt;&gt;"", COUNTIF($E$2:$E$2509, E2222)&gt;1), "SKU duplicado", ""), IF(OR(J2222="", J2222=""), "[Aviso] División no capturada ()", IF(ISNA(MATCH(J2222, Criterios!$A$123:$A$126, 0)), "División no válida", "")), IF(OR(K2222="", K2222=""), "[Aviso] Categoría no capturada ()", IF(ISNA(MATCH(K2222, Criterios!$A$81:$A$120, 0)), "Categoría no válida", IF(AND(J2222&lt;&gt;"", J2222&lt;&gt;"", J2222&lt;&gt;VLOOKUP(K2222, Criterios!$A$81:$B$120, 2, FALSE)), "División no coincide con Categoría", ""))), IF(OR(L2222="", L2222=""), "[Aviso] Género no capturado ()", IF(ISNA(MATCH(L2222, Criterios!$B$123:$B$127, 0)), "Género no válido", "")), IF(OR(N2222="", N2222=""), "[Aviso] Temporada no capturada ()", IF(ISNA(MATCH(N2222, Criterios!$C$123:$C$128, 0)), "Temporada no válida", "")), IF(OR(O2222="", O2222=""), "[Aviso] Ciclo de vida no capturado ()", IF(ISNA(MATCH(O2222, Criterios!$D$123:$D$124, 0)), "Ciclo de vida no válido", ""))))</f>
        <v/>
      </c>
      <c r="AC2222" s="56" t="n"/>
      <c r="AD2222" s="51" t="n">
        <v>-4</v>
      </c>
      <c r="AE2222" s="156" t="inlineStr">
        <is>
          <t>B25 STETSON.MX (2)</t>
        </is>
      </c>
      <c r="AF2222" s="51" t="n">
        <v>2</v>
      </c>
      <c r="AG2222" s="156" t="inlineStr">
        <is>
          <t>Catálogo existente</t>
        </is>
      </c>
      <c r="AH2222"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2" s="156" t="inlineStr">
        <is>
          <t>Sí</t>
        </is>
      </c>
      <c r="AJ2222" s="156" t="inlineStr">
        <is>
          <t>WB OUTLET LERMA (-2); STETSON AMERICAS (-4)</t>
        </is>
      </c>
      <c r="AK2222" s="155" t="inlineStr">
        <is>
          <t>Criterios: J [R]; G1522_Extraccion_Articulos_NetSuite_2026-09-30.xlsx: fila 56661 [S] | Shopify Stetson: producto 14813155721579 / variante 53350599459179 | Shopify WB: producto 8569966657721 / variante 47621336760505</t>
        </is>
      </c>
      <c r="AL2222" s="58" t="n">
        <v>678.8793103</v>
      </c>
      <c r="AM2222" s="58" t="n">
        <v>1508.62069</v>
      </c>
      <c r="AN2222" s="155" t="inlineStr">
        <is>
          <t>Shopify Stetson México | Shopify Western Brothers</t>
        </is>
      </c>
      <c r="AO2222" s="59" t="n">
        <v>2</v>
      </c>
      <c r="AP2222" s="59" t="n">
        <v>-2</v>
      </c>
      <c r="AQ2222" s="59" t="n"/>
      <c r="AR2222" s="155" t="inlineStr">
        <is>
          <t>Shopify Stetson México › Stetson México: 2</t>
        </is>
      </c>
    </row>
    <row r="2223">
      <c r="A2223" s="50" t="inlineStr">
        <is>
          <t>7506499569620</t>
        </is>
      </c>
      <c r="B2223" s="51" t="inlineStr">
        <is>
          <t>108503</t>
        </is>
      </c>
      <c r="C2223" s="156" t="inlineStr">
        <is>
          <t>Multimarca</t>
        </is>
      </c>
      <c r="D2223" s="156" t="inlineStr">
        <is>
          <t>ST-VR-S-001-FW25-AF</t>
        </is>
      </c>
      <c r="E2223" s="156" t="inlineStr">
        <is>
          <t>ST-VR-S-001-FW25-AF-L</t>
        </is>
      </c>
      <c r="F2223" s="156" t="inlineStr">
        <is>
          <t>L</t>
        </is>
      </c>
      <c r="G2223" s="156" t="inlineStr">
        <is>
          <t>L</t>
        </is>
      </c>
      <c r="H2223" s="156" t="inlineStr">
        <is>
          <t>Stetson</t>
        </is>
      </c>
      <c r="I2223" s="156" t="inlineStr">
        <is>
          <t>Camisa Stetson Vintage Range Solid</t>
        </is>
      </c>
      <c r="J2223" s="156" t="inlineStr">
        <is>
          <t>Ropa</t>
        </is>
      </c>
      <c r="K2223" s="156" t="inlineStr">
        <is>
          <t>Camisas</t>
        </is>
      </c>
      <c r="L2223" s="156" t="inlineStr">
        <is>
          <t>Hombre</t>
        </is>
      </c>
      <c r="M2223" s="156" t="inlineStr">
        <is>
          <t>Stetson</t>
        </is>
      </c>
      <c r="N2223" s="156" t="inlineStr">
        <is>
          <t>SS26</t>
        </is>
      </c>
      <c r="O2223" s="156" t="inlineStr">
        <is>
          <t>Seasonal</t>
        </is>
      </c>
      <c r="P2223" s="156" t="inlineStr">
        <is>
          <t>Varios</t>
        </is>
      </c>
      <c r="Q2223" s="156" t="inlineStr">
        <is>
          <t>Clásico</t>
        </is>
      </c>
      <c r="R2223" s="156" t="n"/>
      <c r="S2223" s="156" t="inlineStr">
        <is>
          <t>100% Algodón</t>
        </is>
      </c>
      <c r="T2223"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3" s="156" t="n"/>
      <c r="V2223" s="156" t="inlineStr">
        <is>
          <t>PZS</t>
        </is>
      </c>
      <c r="W2223" s="51" t="inlineStr">
        <is>
          <t>53101600</t>
        </is>
      </c>
      <c r="X2223" s="156" t="inlineStr">
        <is>
          <t>https://cdn.shopify.com/s/files/1/0888/3250/8267/files/ST-VR-S-001-AF-01.jpg?v=1762207449</t>
        </is>
      </c>
      <c r="Y2223" s="54" t="n">
        <v>678.8793103</v>
      </c>
      <c r="Z2223" s="54" t="n">
        <v>1508.62069</v>
      </c>
      <c r="AA2223" s="55">
        <f>IF(AND(A2223="", B2223="", E2223=""), "", IF(AB2223="", "Válido", IF((LEN(AB2223)-LEN(SUBSTITUTE(AB2223,"; ","")))/2+1&gt;(LEN(AB2223)-LEN(SUBSTITUTE(AB2223,"[Aviso]","")))/7, "Con Incidencias", "Válido")))</f>
        <v/>
      </c>
      <c r="AB2223" s="56">
        <f>IF(AND(A2223="", B2223="", E2223=""), "", TEXTJOIN("; ", TRUE, IF(OR(TRIM(A2223&amp;"")="", ISNUMBER(SEARCH("FALTA", A2223))), "UPC faltante/inválido", ""), IF(AND(A2223&lt;&gt;"", IFERROR(_xlfn.XMATCH(A2223,$A$2:$A$2509,0,1)&lt;&gt;_xlfn.XMATCH(A2223,$A$2:$A$2509,0,-1),FALSE)), "Código de barras duplicado", ""), IF(AND(E2223&lt;&gt;"", COUNTIF($E$2:$E$2509, E2223)&gt;1), "SKU duplicado", ""), IF(OR(J2223="", J2223=""), "[Aviso] División no capturada ()", IF(ISNA(MATCH(J2223, Criterios!$A$123:$A$126, 0)), "División no válida", "")), IF(OR(K2223="", K2223=""), "[Aviso] Categoría no capturada ()", IF(ISNA(MATCH(K2223, Criterios!$A$81:$A$120, 0)), "Categoría no válida", IF(AND(J2223&lt;&gt;"", J2223&lt;&gt;"", J2223&lt;&gt;VLOOKUP(K2223, Criterios!$A$81:$B$120, 2, FALSE)), "División no coincide con Categoría", ""))), IF(OR(L2223="", L2223=""), "[Aviso] Género no capturado ()", IF(ISNA(MATCH(L2223, Criterios!$B$123:$B$127, 0)), "Género no válido", "")), IF(OR(N2223="", N2223=""), "[Aviso] Temporada no capturada ()", IF(ISNA(MATCH(N2223, Criterios!$C$123:$C$128, 0)), "Temporada no válida", "")), IF(OR(O2223="", O2223=""), "[Aviso] Ciclo de vida no capturado ()", IF(ISNA(MATCH(O2223, Criterios!$D$123:$D$124, 0)), "Ciclo de vida no válido", ""))))</f>
        <v/>
      </c>
      <c r="AC2223" s="56" t="n"/>
      <c r="AD2223" s="51" t="n">
        <v>-10</v>
      </c>
      <c r="AE2223" s="156" t="n"/>
      <c r="AF2223" s="51" t="n">
        <v>0</v>
      </c>
      <c r="AG2223" s="156" t="inlineStr">
        <is>
          <t>Catálogo existente</t>
        </is>
      </c>
      <c r="AH2223"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3" s="156" t="inlineStr">
        <is>
          <t>Sí</t>
        </is>
      </c>
      <c r="AJ2223" s="156" t="inlineStr">
        <is>
          <t>WB OUTLET LERMA (-4); STETSON AMERICAS (-6)</t>
        </is>
      </c>
      <c r="AK2223" s="155" t="inlineStr">
        <is>
          <t>Criterios: J [R]; G1522_Extraccion_Articulos_NetSuite_2026-09-30.xlsx: fila 56662 [S] | Shopify Stetson: producto 14813155721579 / variante 53350599491947 | Shopify WB: producto 8569966657721 / variante 47621336793273</t>
        </is>
      </c>
      <c r="AL2223" s="58" t="n">
        <v>678.8793103</v>
      </c>
      <c r="AM2223" s="58" t="n">
        <v>1508.62069</v>
      </c>
      <c r="AN2223" s="155" t="inlineStr">
        <is>
          <t>Shopify Stetson México | Shopify Western Brothers</t>
        </is>
      </c>
      <c r="AO2223" s="59" t="n">
        <v>0</v>
      </c>
      <c r="AP2223" s="59" t="n">
        <v>-4</v>
      </c>
      <c r="AQ2223" s="59" t="n"/>
      <c r="AR2223" s="155" t="n"/>
    </row>
    <row r="2224">
      <c r="A2224" s="50" t="inlineStr">
        <is>
          <t>7506499569637</t>
        </is>
      </c>
      <c r="B2224" s="51" t="inlineStr">
        <is>
          <t>108504</t>
        </is>
      </c>
      <c r="C2224" s="156" t="inlineStr">
        <is>
          <t>Multimarca</t>
        </is>
      </c>
      <c r="D2224" s="156" t="inlineStr">
        <is>
          <t>ST-VR-S-001-FW25-AF</t>
        </is>
      </c>
      <c r="E2224" s="156" t="inlineStr">
        <is>
          <t>ST-VR-S-001-FW25-AF-XL</t>
        </is>
      </c>
      <c r="F2224" s="156" t="inlineStr">
        <is>
          <t>XL</t>
        </is>
      </c>
      <c r="G2224" s="156" t="inlineStr">
        <is>
          <t>XL</t>
        </is>
      </c>
      <c r="H2224" s="156" t="inlineStr">
        <is>
          <t>Stetson</t>
        </is>
      </c>
      <c r="I2224" s="156" t="inlineStr">
        <is>
          <t>Camisa Stetson Vintage Range Solid</t>
        </is>
      </c>
      <c r="J2224" s="156" t="inlineStr">
        <is>
          <t>Ropa</t>
        </is>
      </c>
      <c r="K2224" s="156" t="inlineStr">
        <is>
          <t>Camisas</t>
        </is>
      </c>
      <c r="L2224" s="156" t="inlineStr">
        <is>
          <t>Hombre</t>
        </is>
      </c>
      <c r="M2224" s="156" t="inlineStr">
        <is>
          <t>Stetson</t>
        </is>
      </c>
      <c r="N2224" s="156" t="inlineStr">
        <is>
          <t>SS26</t>
        </is>
      </c>
      <c r="O2224" s="156" t="inlineStr">
        <is>
          <t>Seasonal</t>
        </is>
      </c>
      <c r="P2224" s="156" t="inlineStr">
        <is>
          <t>Varios</t>
        </is>
      </c>
      <c r="Q2224" s="156" t="inlineStr">
        <is>
          <t>Clásico</t>
        </is>
      </c>
      <c r="R2224" s="156" t="n"/>
      <c r="S2224" s="156" t="inlineStr">
        <is>
          <t>100% Algodón</t>
        </is>
      </c>
      <c r="T2224"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4" s="156" t="n"/>
      <c r="V2224" s="156" t="inlineStr">
        <is>
          <t>PZS</t>
        </is>
      </c>
      <c r="W2224" s="51" t="inlineStr">
        <is>
          <t>53101600</t>
        </is>
      </c>
      <c r="X2224" s="156" t="inlineStr">
        <is>
          <t>https://cdn.shopify.com/s/files/1/0888/3250/8267/files/ST-VR-S-001-AF-01.jpg?v=1762207449</t>
        </is>
      </c>
      <c r="Y2224" s="54" t="n">
        <v>678.8793103</v>
      </c>
      <c r="Z2224" s="54" t="n">
        <v>1508.62069</v>
      </c>
      <c r="AA2224" s="55">
        <f>IF(AND(A2224="", B2224="", E2224=""), "", IF(AB2224="", "Válido", IF((LEN(AB2224)-LEN(SUBSTITUTE(AB2224,"; ","")))/2+1&gt;(LEN(AB2224)-LEN(SUBSTITUTE(AB2224,"[Aviso]","")))/7, "Con Incidencias", "Válido")))</f>
        <v/>
      </c>
      <c r="AB2224" s="56">
        <f>IF(AND(A2224="", B2224="", E2224=""), "", TEXTJOIN("; ", TRUE, IF(OR(TRIM(A2224&amp;"")="", ISNUMBER(SEARCH("FALTA", A2224))), "UPC faltante/inválido", ""), IF(AND(A2224&lt;&gt;"", IFERROR(_xlfn.XMATCH(A2224,$A$2:$A$2509,0,1)&lt;&gt;_xlfn.XMATCH(A2224,$A$2:$A$2509,0,-1),FALSE)), "Código de barras duplicado", ""), IF(AND(E2224&lt;&gt;"", COUNTIF($E$2:$E$2509, E2224)&gt;1), "SKU duplicado", ""), IF(OR(J2224="", J2224=""), "[Aviso] División no capturada ()", IF(ISNA(MATCH(J2224, Criterios!$A$123:$A$126, 0)), "División no válida", "")), IF(OR(K2224="", K2224=""), "[Aviso] Categoría no capturada ()", IF(ISNA(MATCH(K2224, Criterios!$A$81:$A$120, 0)), "Categoría no válida", IF(AND(J2224&lt;&gt;"", J2224&lt;&gt;"", J2224&lt;&gt;VLOOKUP(K2224, Criterios!$A$81:$B$120, 2, FALSE)), "División no coincide con Categoría", ""))), IF(OR(L2224="", L2224=""), "[Aviso] Género no capturado ()", IF(ISNA(MATCH(L2224, Criterios!$B$123:$B$127, 0)), "Género no válido", "")), IF(OR(N2224="", N2224=""), "[Aviso] Temporada no capturada ()", IF(ISNA(MATCH(N2224, Criterios!$C$123:$C$128, 0)), "Temporada no válida", "")), IF(OR(O2224="", O2224=""), "[Aviso] Ciclo de vida no capturado ()", IF(ISNA(MATCH(O2224, Criterios!$D$123:$D$124, 0)), "Ciclo de vida no válido", ""))))</f>
        <v/>
      </c>
      <c r="AC2224" s="56" t="n"/>
      <c r="AD2224" s="51" t="n">
        <v>-6</v>
      </c>
      <c r="AE2224" s="156" t="n"/>
      <c r="AF2224" s="51" t="n">
        <v>0</v>
      </c>
      <c r="AG2224" s="156" t="inlineStr">
        <is>
          <t>Catálogo existente</t>
        </is>
      </c>
      <c r="AH2224"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4" s="156" t="inlineStr">
        <is>
          <t>Sí</t>
        </is>
      </c>
      <c r="AJ2224" s="156" t="inlineStr">
        <is>
          <t>WB OUTLET LERMA (-3); STETSON AMERICAS (-3)</t>
        </is>
      </c>
      <c r="AK2224" s="155" t="inlineStr">
        <is>
          <t>Criterios: J [R]; G1522_Extraccion_Articulos_NetSuite_2026-09-30.xlsx: fila 56663 [S] | Shopify Stetson: producto 14813155721579 / variante 53350599524715 | Shopify WB: producto 8569966657721 / variante 47621336826041</t>
        </is>
      </c>
      <c r="AL2224" s="58" t="n">
        <v>678.8793103</v>
      </c>
      <c r="AM2224" s="58" t="n">
        <v>1508.62069</v>
      </c>
      <c r="AN2224" s="155" t="inlineStr">
        <is>
          <t>Shopify Stetson México | Shopify Western Brothers</t>
        </is>
      </c>
      <c r="AO2224" s="59" t="n">
        <v>0</v>
      </c>
      <c r="AP2224" s="59" t="n">
        <v>-3</v>
      </c>
      <c r="AQ2224" s="59" t="n"/>
      <c r="AR2224" s="155" t="n"/>
    </row>
    <row r="2225">
      <c r="A2225" s="50" t="inlineStr">
        <is>
          <t>7506499569644</t>
        </is>
      </c>
      <c r="B2225" s="51" t="inlineStr">
        <is>
          <t>110398</t>
        </is>
      </c>
      <c r="C2225" s="156" t="inlineStr">
        <is>
          <t>Multimarca</t>
        </is>
      </c>
      <c r="D2225" s="156" t="inlineStr">
        <is>
          <t>ST-VR-S-001-FW25-AF</t>
        </is>
      </c>
      <c r="E2225" s="156" t="inlineStr">
        <is>
          <t>ST-VR-S-001-FW25-AF-XXL</t>
        </is>
      </c>
      <c r="F2225" s="156" t="inlineStr">
        <is>
          <t>XXL</t>
        </is>
      </c>
      <c r="G2225" s="156" t="inlineStr">
        <is>
          <t>XXL</t>
        </is>
      </c>
      <c r="H2225" s="156" t="inlineStr">
        <is>
          <t>Stetson</t>
        </is>
      </c>
      <c r="I2225" s="156" t="inlineStr">
        <is>
          <t>Camisa Stetson Vintage Range Solid</t>
        </is>
      </c>
      <c r="J2225" s="156" t="inlineStr">
        <is>
          <t>Ropa</t>
        </is>
      </c>
      <c r="K2225" s="156" t="inlineStr">
        <is>
          <t>Camisas</t>
        </is>
      </c>
      <c r="L2225" s="156" t="inlineStr">
        <is>
          <t>Hombre</t>
        </is>
      </c>
      <c r="M2225" s="156" t="inlineStr">
        <is>
          <t>Stetson</t>
        </is>
      </c>
      <c r="N2225" s="156" t="inlineStr">
        <is>
          <t>SS26</t>
        </is>
      </c>
      <c r="O2225" s="156" t="inlineStr">
        <is>
          <t>Seasonal</t>
        </is>
      </c>
      <c r="P2225" s="156" t="inlineStr">
        <is>
          <t>Varios</t>
        </is>
      </c>
      <c r="Q2225" s="156" t="inlineStr">
        <is>
          <t>Clásico</t>
        </is>
      </c>
      <c r="R2225" s="156" t="n"/>
      <c r="S2225" s="156" t="inlineStr">
        <is>
          <t>100% Algodón</t>
        </is>
      </c>
      <c r="T2225"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5" s="156" t="n"/>
      <c r="V2225" s="156" t="inlineStr">
        <is>
          <t>PZS</t>
        </is>
      </c>
      <c r="W2225" s="51" t="inlineStr">
        <is>
          <t>53101600</t>
        </is>
      </c>
      <c r="X2225" s="156" t="inlineStr">
        <is>
          <t>https://cdn.shopify.com/s/files/1/0888/3250/8267/files/ST-VR-S-001-AF-01.jpg?v=1762207449</t>
        </is>
      </c>
      <c r="Y2225" s="54" t="n">
        <v>678.8793103</v>
      </c>
      <c r="Z2225" s="54" t="n">
        <v>1508.62069</v>
      </c>
      <c r="AA2225" s="55">
        <f>IF(AND(A2225="", B2225="", E2225=""), "", IF(AB2225="", "Válido", IF((LEN(AB2225)-LEN(SUBSTITUTE(AB2225,"; ","")))/2+1&gt;(LEN(AB2225)-LEN(SUBSTITUTE(AB2225,"[Aviso]","")))/7, "Con Incidencias", "Válido")))</f>
        <v/>
      </c>
      <c r="AB2225" s="56">
        <f>IF(AND(A2225="", B2225="", E2225=""), "", TEXTJOIN("; ", TRUE, IF(OR(TRIM(A2225&amp;"")="", ISNUMBER(SEARCH("FALTA", A2225))), "UPC faltante/inválido", ""), IF(AND(A2225&lt;&gt;"", IFERROR(_xlfn.XMATCH(A2225,$A$2:$A$2509,0,1)&lt;&gt;_xlfn.XMATCH(A2225,$A$2:$A$2509,0,-1),FALSE)), "Código de barras duplicado", ""), IF(AND(E2225&lt;&gt;"", COUNTIF($E$2:$E$2509, E2225)&gt;1), "SKU duplicado", ""), IF(OR(J2225="", J2225=""), "[Aviso] División no capturada ()", IF(ISNA(MATCH(J2225, Criterios!$A$123:$A$126, 0)), "División no válida", "")), IF(OR(K2225="", K2225=""), "[Aviso] Categoría no capturada ()", IF(ISNA(MATCH(K2225, Criterios!$A$81:$A$120, 0)), "Categoría no válida", IF(AND(J2225&lt;&gt;"", J2225&lt;&gt;"", J2225&lt;&gt;VLOOKUP(K2225, Criterios!$A$81:$B$120, 2, FALSE)), "División no coincide con Categoría", ""))), IF(OR(L2225="", L2225=""), "[Aviso] Género no capturado ()", IF(ISNA(MATCH(L2225, Criterios!$B$123:$B$127, 0)), "Género no válido", "")), IF(OR(N2225="", N2225=""), "[Aviso] Temporada no capturada ()", IF(ISNA(MATCH(N2225, Criterios!$C$123:$C$128, 0)), "Temporada no válida", "")), IF(OR(O2225="", O2225=""), "[Aviso] Ciclo de vida no capturado ()", IF(ISNA(MATCH(O2225, Criterios!$D$123:$D$124, 0)), "Ciclo de vida no válido", ""))))</f>
        <v/>
      </c>
      <c r="AC2225" s="56" t="n"/>
      <c r="AD2225" s="51" t="n">
        <v>1</v>
      </c>
      <c r="AE2225" s="156" t="inlineStr">
        <is>
          <t>B25 STETSON.MX (1)</t>
        </is>
      </c>
      <c r="AF2225" s="51" t="n">
        <v>1</v>
      </c>
      <c r="AG2225" s="156" t="inlineStr">
        <is>
          <t>Catálogo existente</t>
        </is>
      </c>
      <c r="AH2225"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25" s="156" t="inlineStr">
        <is>
          <t>No</t>
        </is>
      </c>
      <c r="AJ2225" s="156" t="n"/>
      <c r="AK2225" s="155" t="inlineStr">
        <is>
          <t>Criterios: J [R]; G1522_Extraccion_Articulos_NetSuite_2026-09-30.xlsx: fila 58213 [S] | Shopify Stetson: producto 14813155721579 / variante 53350599557483</t>
        </is>
      </c>
      <c r="AL2225" s="58" t="n">
        <v>678.8793103</v>
      </c>
      <c r="AM2225" s="58" t="n">
        <v>1508.62069</v>
      </c>
      <c r="AN2225" s="155" t="inlineStr">
        <is>
          <t>Shopify Stetson México</t>
        </is>
      </c>
      <c r="AO2225" s="59" t="n">
        <v>5</v>
      </c>
      <c r="AP2225" s="59" t="n"/>
      <c r="AQ2225" s="59" t="n"/>
      <c r="AR2225" s="155" t="inlineStr">
        <is>
          <t>Shopify Stetson México › Stetson México: 1 | Shopify Stetson México › Stetson Americas: 4</t>
        </is>
      </c>
    </row>
    <row r="2226">
      <c r="A2226" s="50" t="inlineStr">
        <is>
          <t>7506499569651</t>
        </is>
      </c>
      <c r="B2226" s="51" t="inlineStr">
        <is>
          <t>110399</t>
        </is>
      </c>
      <c r="C2226" s="156" t="inlineStr">
        <is>
          <t>Multimarca</t>
        </is>
      </c>
      <c r="D2226" s="156" t="inlineStr">
        <is>
          <t>ST-VR-S-002-FW25-OR</t>
        </is>
      </c>
      <c r="E2226" s="156" t="inlineStr">
        <is>
          <t>ST-VR-S-002-FW25-OR-S</t>
        </is>
      </c>
      <c r="F2226" s="156" t="inlineStr">
        <is>
          <t>S</t>
        </is>
      </c>
      <c r="G2226" s="156" t="inlineStr">
        <is>
          <t>S</t>
        </is>
      </c>
      <c r="H2226" s="156" t="inlineStr">
        <is>
          <t>Stetson</t>
        </is>
      </c>
      <c r="I2226" s="156" t="inlineStr">
        <is>
          <t>Camisa Stetson Vintage Range Solid</t>
        </is>
      </c>
      <c r="J2226" s="156" t="inlineStr">
        <is>
          <t>Ropa</t>
        </is>
      </c>
      <c r="K2226" s="156" t="inlineStr">
        <is>
          <t>Camisas</t>
        </is>
      </c>
      <c r="L2226" s="156" t="inlineStr">
        <is>
          <t>Hombre</t>
        </is>
      </c>
      <c r="M2226" s="156" t="inlineStr">
        <is>
          <t>Stetson</t>
        </is>
      </c>
      <c r="N2226" s="156" t="inlineStr">
        <is>
          <t>SS26</t>
        </is>
      </c>
      <c r="O2226" s="156" t="inlineStr">
        <is>
          <t>Seasonal</t>
        </is>
      </c>
      <c r="P2226" s="156" t="inlineStr">
        <is>
          <t>Varios</t>
        </is>
      </c>
      <c r="Q2226" s="156" t="inlineStr">
        <is>
          <t>Clásico</t>
        </is>
      </c>
      <c r="R2226" s="156" t="n"/>
      <c r="S2226" s="156" t="inlineStr">
        <is>
          <t>100% Algodón</t>
        </is>
      </c>
      <c r="T2226"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6" s="156" t="n"/>
      <c r="V2226" s="156" t="inlineStr">
        <is>
          <t>PZS</t>
        </is>
      </c>
      <c r="W2226" s="51" t="inlineStr">
        <is>
          <t>53101600</t>
        </is>
      </c>
      <c r="X2226" s="156" t="inlineStr">
        <is>
          <t>https://cdn.shopify.com/s/files/1/0888/3250/8267/files/ST-VR-S-004-HO-01.jpg?v=1762207410</t>
        </is>
      </c>
      <c r="Y2226" s="54" t="n">
        <v>678.8793103</v>
      </c>
      <c r="Z2226" s="54" t="n">
        <v>1508.62069</v>
      </c>
      <c r="AA2226" s="55">
        <f>IF(AND(A2226="", B2226="", E2226=""), "", IF(AB2226="", "Válido", IF((LEN(AB2226)-LEN(SUBSTITUTE(AB2226,"; ","")))/2+1&gt;(LEN(AB2226)-LEN(SUBSTITUTE(AB2226,"[Aviso]","")))/7, "Con Incidencias", "Válido")))</f>
        <v/>
      </c>
      <c r="AB2226" s="56">
        <f>IF(AND(A2226="", B2226="", E2226=""), "", TEXTJOIN("; ", TRUE, IF(OR(TRIM(A2226&amp;"")="", ISNUMBER(SEARCH("FALTA", A2226))), "UPC faltante/inválido", ""), IF(AND(A2226&lt;&gt;"", IFERROR(_xlfn.XMATCH(A2226,$A$2:$A$2509,0,1)&lt;&gt;_xlfn.XMATCH(A2226,$A$2:$A$2509,0,-1),FALSE)), "Código de barras duplicado", ""), IF(AND(E2226&lt;&gt;"", COUNTIF($E$2:$E$2509, E2226)&gt;1), "SKU duplicado", ""), IF(OR(J2226="", J2226=""), "[Aviso] División no capturada ()", IF(ISNA(MATCH(J2226, Criterios!$A$123:$A$126, 0)), "División no válida", "")), IF(OR(K2226="", K2226=""), "[Aviso] Categoría no capturada ()", IF(ISNA(MATCH(K2226, Criterios!$A$81:$A$120, 0)), "Categoría no válida", IF(AND(J2226&lt;&gt;"", J2226&lt;&gt;"", J2226&lt;&gt;VLOOKUP(K2226, Criterios!$A$81:$B$120, 2, FALSE)), "División no coincide con Categoría", ""))), IF(OR(L2226="", L2226=""), "[Aviso] Género no capturado ()", IF(ISNA(MATCH(L2226, Criterios!$B$123:$B$127, 0)), "Género no válido", "")), IF(OR(N2226="", N2226=""), "[Aviso] Temporada no capturada ()", IF(ISNA(MATCH(N2226, Criterios!$C$123:$C$128, 0)), "Temporada no válida", "")), IF(OR(O2226="", O2226=""), "[Aviso] Ciclo de vida no capturado ()", IF(ISNA(MATCH(O2226, Criterios!$D$123:$D$124, 0)), "Ciclo de vida no válido", ""))))</f>
        <v/>
      </c>
      <c r="AC2226" s="56" t="n"/>
      <c r="AD2226" s="51" t="n">
        <v>1</v>
      </c>
      <c r="AE2226" s="156" t="inlineStr">
        <is>
          <t>B25 STETSON.MX (5)</t>
        </is>
      </c>
      <c r="AF2226" s="51" t="n">
        <v>5</v>
      </c>
      <c r="AG2226" s="156" t="inlineStr">
        <is>
          <t>Catálogo existente</t>
        </is>
      </c>
      <c r="AH222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6" s="156" t="inlineStr">
        <is>
          <t>Sí</t>
        </is>
      </c>
      <c r="AJ2226" s="156" t="inlineStr">
        <is>
          <t>STETSON AMERICAS (-4)</t>
        </is>
      </c>
      <c r="AK2226" s="155" t="inlineStr">
        <is>
          <t>Criterios: J [R]; G1522_Extraccion_Articulos_NetSuite_2026-09-30.xlsx: fila 58214 [S] | Shopify Stetson: producto 14813155721579 / variante 53350599262571</t>
        </is>
      </c>
      <c r="AL2226" s="58" t="n">
        <v>678.8793103</v>
      </c>
      <c r="AM2226" s="58" t="n">
        <v>1508.62069</v>
      </c>
      <c r="AN2226" s="155" t="inlineStr">
        <is>
          <t>Shopify Stetson México</t>
        </is>
      </c>
      <c r="AO2226" s="59" t="n">
        <v>4</v>
      </c>
      <c r="AP2226" s="59" t="n"/>
      <c r="AQ2226" s="59" t="n"/>
      <c r="AR2226" s="155" t="inlineStr">
        <is>
          <t>Shopify Stetson México › Stetson México: 5</t>
        </is>
      </c>
    </row>
    <row r="2227">
      <c r="A2227" s="50" t="inlineStr">
        <is>
          <t>7506499569668</t>
        </is>
      </c>
      <c r="B2227" s="51" t="inlineStr">
        <is>
          <t>110400</t>
        </is>
      </c>
      <c r="C2227" s="156" t="inlineStr">
        <is>
          <t>Multimarca</t>
        </is>
      </c>
      <c r="D2227" s="156" t="inlineStr">
        <is>
          <t>ST-VR-S-002-FW25-OR</t>
        </is>
      </c>
      <c r="E2227" s="156" t="inlineStr">
        <is>
          <t>ST-VR-S-002-FW25-OR-M</t>
        </is>
      </c>
      <c r="F2227" s="156" t="inlineStr">
        <is>
          <t>M</t>
        </is>
      </c>
      <c r="G2227" s="156" t="inlineStr">
        <is>
          <t>M</t>
        </is>
      </c>
      <c r="H2227" s="156" t="inlineStr">
        <is>
          <t>Stetson</t>
        </is>
      </c>
      <c r="I2227" s="156" t="inlineStr">
        <is>
          <t>Camisa Stetson Vintage Range Solid</t>
        </is>
      </c>
      <c r="J2227" s="156" t="inlineStr">
        <is>
          <t>Ropa</t>
        </is>
      </c>
      <c r="K2227" s="156" t="inlineStr">
        <is>
          <t>Camisas</t>
        </is>
      </c>
      <c r="L2227" s="156" t="inlineStr">
        <is>
          <t>Hombre</t>
        </is>
      </c>
      <c r="M2227" s="156" t="inlineStr">
        <is>
          <t>Stetson</t>
        </is>
      </c>
      <c r="N2227" s="156" t="inlineStr">
        <is>
          <t>SS26</t>
        </is>
      </c>
      <c r="O2227" s="156" t="inlineStr">
        <is>
          <t>Seasonal</t>
        </is>
      </c>
      <c r="P2227" s="156" t="inlineStr">
        <is>
          <t>Varios</t>
        </is>
      </c>
      <c r="Q2227" s="156" t="inlineStr">
        <is>
          <t>Clásico</t>
        </is>
      </c>
      <c r="R2227" s="156" t="n"/>
      <c r="S2227" s="156" t="inlineStr">
        <is>
          <t>100% Algodón</t>
        </is>
      </c>
      <c r="T2227"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7" s="156" t="n"/>
      <c r="V2227" s="156" t="inlineStr">
        <is>
          <t>PZS</t>
        </is>
      </c>
      <c r="W2227" s="51" t="inlineStr">
        <is>
          <t>53101600</t>
        </is>
      </c>
      <c r="X2227" s="156" t="inlineStr">
        <is>
          <t>https://cdn.shopify.com/s/files/1/0888/3250/8267/files/ST-VR-S-004-HO-02.jpg?v=1762207410</t>
        </is>
      </c>
      <c r="Y2227" s="54" t="n">
        <v>678.8793103</v>
      </c>
      <c r="Z2227" s="54" t="n">
        <v>1508.62069</v>
      </c>
      <c r="AA2227" s="55">
        <f>IF(AND(A2227="", B2227="", E2227=""), "", IF(AB2227="", "Válido", IF((LEN(AB2227)-LEN(SUBSTITUTE(AB2227,"; ","")))/2+1&gt;(LEN(AB2227)-LEN(SUBSTITUTE(AB2227,"[Aviso]","")))/7, "Con Incidencias", "Válido")))</f>
        <v/>
      </c>
      <c r="AB2227" s="56">
        <f>IF(AND(A2227="", B2227="", E2227=""), "", TEXTJOIN("; ", TRUE, IF(OR(TRIM(A2227&amp;"")="", ISNUMBER(SEARCH("FALTA", A2227))), "UPC faltante/inválido", ""), IF(AND(A2227&lt;&gt;"", IFERROR(_xlfn.XMATCH(A2227,$A$2:$A$2509,0,1)&lt;&gt;_xlfn.XMATCH(A2227,$A$2:$A$2509,0,-1),FALSE)), "Código de barras duplicado", ""), IF(AND(E2227&lt;&gt;"", COUNTIF($E$2:$E$2509, E2227)&gt;1), "SKU duplicado", ""), IF(OR(J2227="", J2227=""), "[Aviso] División no capturada ()", IF(ISNA(MATCH(J2227, Criterios!$A$123:$A$126, 0)), "División no válida", "")), IF(OR(K2227="", K2227=""), "[Aviso] Categoría no capturada ()", IF(ISNA(MATCH(K2227, Criterios!$A$81:$A$120, 0)), "Categoría no válida", IF(AND(J2227&lt;&gt;"", J2227&lt;&gt;"", J2227&lt;&gt;VLOOKUP(K2227, Criterios!$A$81:$B$120, 2, FALSE)), "División no coincide con Categoría", ""))), IF(OR(L2227="", L2227=""), "[Aviso] Género no capturado ()", IF(ISNA(MATCH(L2227, Criterios!$B$123:$B$127, 0)), "Género no válido", "")), IF(OR(N2227="", N2227=""), "[Aviso] Temporada no capturada ()", IF(ISNA(MATCH(N2227, Criterios!$C$123:$C$128, 0)), "Temporada no válida", "")), IF(OR(O2227="", O2227=""), "[Aviso] Ciclo de vida no capturado ()", IF(ISNA(MATCH(O2227, Criterios!$D$123:$D$124, 0)), "Ciclo de vida no válido", ""))))</f>
        <v/>
      </c>
      <c r="AC2227" s="56" t="n"/>
      <c r="AD2227" s="51" t="n">
        <v>3</v>
      </c>
      <c r="AE2227" s="156" t="inlineStr">
        <is>
          <t>B25 STETSON.MX (7)</t>
        </is>
      </c>
      <c r="AF2227" s="51" t="n">
        <v>7</v>
      </c>
      <c r="AG2227" s="156" t="inlineStr">
        <is>
          <t>Catálogo existente</t>
        </is>
      </c>
      <c r="AH222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7" s="156" t="inlineStr">
        <is>
          <t>Sí</t>
        </is>
      </c>
      <c r="AJ2227" s="156" t="inlineStr">
        <is>
          <t>STETSON AMERICAS (-4)</t>
        </is>
      </c>
      <c r="AK2227" s="155" t="inlineStr">
        <is>
          <t>Criterios: J [R]; G1522_Extraccion_Articulos_NetSuite_2026-09-30.xlsx: fila 58215 [S] | Shopify Stetson: producto 14813155721579 / variante 53350599295339</t>
        </is>
      </c>
      <c r="AL2227" s="58" t="n">
        <v>678.8793103</v>
      </c>
      <c r="AM2227" s="58" t="n">
        <v>1508.62069</v>
      </c>
      <c r="AN2227" s="155" t="inlineStr">
        <is>
          <t>Shopify Stetson México</t>
        </is>
      </c>
      <c r="AO2227" s="59" t="n">
        <v>6</v>
      </c>
      <c r="AP2227" s="59" t="n"/>
      <c r="AQ2227" s="59" t="n"/>
      <c r="AR2227" s="155" t="inlineStr">
        <is>
          <t>Shopify Stetson México › Stetson México: 7</t>
        </is>
      </c>
    </row>
    <row r="2228">
      <c r="A2228" s="50" t="inlineStr">
        <is>
          <t>7506499569675</t>
        </is>
      </c>
      <c r="B2228" s="51" t="inlineStr">
        <is>
          <t>110401</t>
        </is>
      </c>
      <c r="C2228" s="156" t="inlineStr">
        <is>
          <t>Multimarca</t>
        </is>
      </c>
      <c r="D2228" s="156" t="inlineStr">
        <is>
          <t>ST-VR-S-002-FW25-OR</t>
        </is>
      </c>
      <c r="E2228" s="156" t="inlineStr">
        <is>
          <t>ST-VR-S-002-FW25-OR-L</t>
        </is>
      </c>
      <c r="F2228" s="156" t="inlineStr">
        <is>
          <t>L</t>
        </is>
      </c>
      <c r="G2228" s="156" t="inlineStr">
        <is>
          <t>L</t>
        </is>
      </c>
      <c r="H2228" s="156" t="inlineStr">
        <is>
          <t>Stetson</t>
        </is>
      </c>
      <c r="I2228" s="156" t="inlineStr">
        <is>
          <t>Camisa Stetson Vintage Range Solid</t>
        </is>
      </c>
      <c r="J2228" s="156" t="inlineStr">
        <is>
          <t>Ropa</t>
        </is>
      </c>
      <c r="K2228" s="156" t="inlineStr">
        <is>
          <t>Camisas</t>
        </is>
      </c>
      <c r="L2228" s="156" t="inlineStr">
        <is>
          <t>Hombre</t>
        </is>
      </c>
      <c r="M2228" s="156" t="inlineStr">
        <is>
          <t>Stetson</t>
        </is>
      </c>
      <c r="N2228" s="156" t="inlineStr">
        <is>
          <t>SS26</t>
        </is>
      </c>
      <c r="O2228" s="156" t="inlineStr">
        <is>
          <t>Seasonal</t>
        </is>
      </c>
      <c r="P2228" s="156" t="inlineStr">
        <is>
          <t>Varios</t>
        </is>
      </c>
      <c r="Q2228" s="156" t="inlineStr">
        <is>
          <t>Clásico</t>
        </is>
      </c>
      <c r="R2228" s="156" t="n"/>
      <c r="S2228" s="156" t="inlineStr">
        <is>
          <t>100% Algodón</t>
        </is>
      </c>
      <c r="T2228"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8" s="156" t="n"/>
      <c r="V2228" s="156" t="inlineStr">
        <is>
          <t>PZS</t>
        </is>
      </c>
      <c r="W2228" s="51" t="inlineStr">
        <is>
          <t>53101600</t>
        </is>
      </c>
      <c r="X2228" s="156" t="inlineStr">
        <is>
          <t>https://cdn.shopify.com/s/files/1/0888/3250/8267/files/ST-VR-S-004-HO-03.jpg?v=1762207410</t>
        </is>
      </c>
      <c r="Y2228" s="54" t="n">
        <v>678.8793103</v>
      </c>
      <c r="Z2228" s="54" t="n">
        <v>1508.62069</v>
      </c>
      <c r="AA2228" s="55">
        <f>IF(AND(A2228="", B2228="", E2228=""), "", IF(AB2228="", "Válido", IF((LEN(AB2228)-LEN(SUBSTITUTE(AB2228,"; ","")))/2+1&gt;(LEN(AB2228)-LEN(SUBSTITUTE(AB2228,"[Aviso]","")))/7, "Con Incidencias", "Válido")))</f>
        <v/>
      </c>
      <c r="AB2228" s="56">
        <f>IF(AND(A2228="", B2228="", E2228=""), "", TEXTJOIN("; ", TRUE, IF(OR(TRIM(A2228&amp;"")="", ISNUMBER(SEARCH("FALTA", A2228))), "UPC faltante/inválido", ""), IF(AND(A2228&lt;&gt;"", IFERROR(_xlfn.XMATCH(A2228,$A$2:$A$2509,0,1)&lt;&gt;_xlfn.XMATCH(A2228,$A$2:$A$2509,0,-1),FALSE)), "Código de barras duplicado", ""), IF(AND(E2228&lt;&gt;"", COUNTIF($E$2:$E$2509, E2228)&gt;1), "SKU duplicado", ""), IF(OR(J2228="", J2228=""), "[Aviso] División no capturada ()", IF(ISNA(MATCH(J2228, Criterios!$A$123:$A$126, 0)), "División no válida", "")), IF(OR(K2228="", K2228=""), "[Aviso] Categoría no capturada ()", IF(ISNA(MATCH(K2228, Criterios!$A$81:$A$120, 0)), "Categoría no válida", IF(AND(J2228&lt;&gt;"", J2228&lt;&gt;"", J2228&lt;&gt;VLOOKUP(K2228, Criterios!$A$81:$B$120, 2, FALSE)), "División no coincide con Categoría", ""))), IF(OR(L2228="", L2228=""), "[Aviso] Género no capturado ()", IF(ISNA(MATCH(L2228, Criterios!$B$123:$B$127, 0)), "Género no válido", "")), IF(OR(N2228="", N2228=""), "[Aviso] Temporada no capturada ()", IF(ISNA(MATCH(N2228, Criterios!$C$123:$C$128, 0)), "Temporada no válida", "")), IF(OR(O2228="", O2228=""), "[Aviso] Ciclo de vida no capturado ()", IF(ISNA(MATCH(O2228, Criterios!$D$123:$D$124, 0)), "Ciclo de vida no válido", ""))))</f>
        <v/>
      </c>
      <c r="AC2228" s="56" t="n"/>
      <c r="AD2228" s="51" t="n">
        <v>0</v>
      </c>
      <c r="AE2228" s="156" t="inlineStr">
        <is>
          <t>B25 STETSON.MX (6)</t>
        </is>
      </c>
      <c r="AF2228" s="51" t="n">
        <v>6</v>
      </c>
      <c r="AG2228" s="156" t="inlineStr">
        <is>
          <t>Catálogo existente</t>
        </is>
      </c>
      <c r="AH222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8" s="156" t="inlineStr">
        <is>
          <t>Sí</t>
        </is>
      </c>
      <c r="AJ2228" s="156" t="inlineStr">
        <is>
          <t>STETSON AMERICAS (-6)</t>
        </is>
      </c>
      <c r="AK2228" s="155" t="inlineStr">
        <is>
          <t>Criterios: J [R]; G1522_Extraccion_Articulos_NetSuite_2026-09-30.xlsx: fila 58216 [S] | Shopify Stetson: producto 14813155721579 / variante 53350599328107</t>
        </is>
      </c>
      <c r="AL2228" s="58" t="n">
        <v>678.8793103</v>
      </c>
      <c r="AM2228" s="58" t="n">
        <v>1508.62069</v>
      </c>
      <c r="AN2228" s="155" t="inlineStr">
        <is>
          <t>Shopify Stetson México</t>
        </is>
      </c>
      <c r="AO2228" s="59" t="n">
        <v>6</v>
      </c>
      <c r="AP2228" s="59" t="n"/>
      <c r="AQ2228" s="59" t="n"/>
      <c r="AR2228" s="155" t="inlineStr">
        <is>
          <t>Shopify Stetson México › Stetson México: 6</t>
        </is>
      </c>
    </row>
    <row r="2229">
      <c r="A2229" s="50" t="inlineStr">
        <is>
          <t>7506499569682</t>
        </is>
      </c>
      <c r="B2229" s="51" t="inlineStr">
        <is>
          <t>110402</t>
        </is>
      </c>
      <c r="C2229" s="156" t="inlineStr">
        <is>
          <t>Multimarca</t>
        </is>
      </c>
      <c r="D2229" s="156" t="inlineStr">
        <is>
          <t>ST-VR-S-002-FW25-OR</t>
        </is>
      </c>
      <c r="E2229" s="156" t="inlineStr">
        <is>
          <t>ST-VR-S-002-FW25-OR-XL</t>
        </is>
      </c>
      <c r="F2229" s="156" t="inlineStr">
        <is>
          <t>XL</t>
        </is>
      </c>
      <c r="G2229" s="156" t="inlineStr">
        <is>
          <t>XL</t>
        </is>
      </c>
      <c r="H2229" s="156" t="inlineStr">
        <is>
          <t>Stetson</t>
        </is>
      </c>
      <c r="I2229" s="156" t="inlineStr">
        <is>
          <t>Camisa Stetson Vintage Range Solid</t>
        </is>
      </c>
      <c r="J2229" s="156" t="inlineStr">
        <is>
          <t>Ropa</t>
        </is>
      </c>
      <c r="K2229" s="156" t="inlineStr">
        <is>
          <t>Camisas</t>
        </is>
      </c>
      <c r="L2229" s="156" t="inlineStr">
        <is>
          <t>Hombre</t>
        </is>
      </c>
      <c r="M2229" s="156" t="inlineStr">
        <is>
          <t>Stetson</t>
        </is>
      </c>
      <c r="N2229" s="156" t="inlineStr">
        <is>
          <t>SS26</t>
        </is>
      </c>
      <c r="O2229" s="156" t="inlineStr">
        <is>
          <t>Seasonal</t>
        </is>
      </c>
      <c r="P2229" s="156" t="inlineStr">
        <is>
          <t>Varios</t>
        </is>
      </c>
      <c r="Q2229" s="156" t="inlineStr">
        <is>
          <t>Clásico</t>
        </is>
      </c>
      <c r="R2229" s="156" t="n"/>
      <c r="S2229" s="156" t="inlineStr">
        <is>
          <t>100% Algodón</t>
        </is>
      </c>
      <c r="T2229"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9" s="156" t="n"/>
      <c r="V2229" s="156" t="inlineStr">
        <is>
          <t>PZS</t>
        </is>
      </c>
      <c r="W2229" s="51" t="inlineStr">
        <is>
          <t>53101600</t>
        </is>
      </c>
      <c r="X2229" s="156" t="inlineStr">
        <is>
          <t>https://cdn.shopify.com/s/files/1/0888/3250/8267/files/ST-VR-S-003-WB-01.jpg?v=1762207422</t>
        </is>
      </c>
      <c r="Y2229" s="54" t="n">
        <v>678.8793103</v>
      </c>
      <c r="Z2229" s="54" t="n">
        <v>1508.62069</v>
      </c>
      <c r="AA2229" s="55">
        <f>IF(AND(A2229="", B2229="", E2229=""), "", IF(AB2229="", "Válido", IF((LEN(AB2229)-LEN(SUBSTITUTE(AB2229,"; ","")))/2+1&gt;(LEN(AB2229)-LEN(SUBSTITUTE(AB2229,"[Aviso]","")))/7, "Con Incidencias", "Válido")))</f>
        <v/>
      </c>
      <c r="AB2229" s="56">
        <f>IF(AND(A2229="", B2229="", E2229=""), "", TEXTJOIN("; ", TRUE, IF(OR(TRIM(A2229&amp;"")="", ISNUMBER(SEARCH("FALTA", A2229))), "UPC faltante/inválido", ""), IF(AND(A2229&lt;&gt;"", IFERROR(_xlfn.XMATCH(A2229,$A$2:$A$2509,0,1)&lt;&gt;_xlfn.XMATCH(A2229,$A$2:$A$2509,0,-1),FALSE)), "Código de barras duplicado", ""), IF(AND(E2229&lt;&gt;"", COUNTIF($E$2:$E$2509, E2229)&gt;1), "SKU duplicado", ""), IF(OR(J2229="", J2229=""), "[Aviso] División no capturada ()", IF(ISNA(MATCH(J2229, Criterios!$A$123:$A$126, 0)), "División no válida", "")), IF(OR(K2229="", K2229=""), "[Aviso] Categoría no capturada ()", IF(ISNA(MATCH(K2229, Criterios!$A$81:$A$120, 0)), "Categoría no válida", IF(AND(J2229&lt;&gt;"", J2229&lt;&gt;"", J2229&lt;&gt;VLOOKUP(K2229, Criterios!$A$81:$B$120, 2, FALSE)), "División no coincide con Categoría", ""))), IF(OR(L2229="", L2229=""), "[Aviso] Género no capturado ()", IF(ISNA(MATCH(L2229, Criterios!$B$123:$B$127, 0)), "Género no válido", "")), IF(OR(N2229="", N2229=""), "[Aviso] Temporada no capturada ()", IF(ISNA(MATCH(N2229, Criterios!$C$123:$C$128, 0)), "Temporada no válida", "")), IF(OR(O2229="", O2229=""), "[Aviso] Ciclo de vida no capturado ()", IF(ISNA(MATCH(O2229, Criterios!$D$123:$D$124, 0)), "Ciclo de vida no válido", ""))))</f>
        <v/>
      </c>
      <c r="AC2229" s="56" t="n"/>
      <c r="AD2229" s="51" t="n">
        <v>-4</v>
      </c>
      <c r="AE2229" s="156" t="n"/>
      <c r="AF2229" s="51" t="n">
        <v>0</v>
      </c>
      <c r="AG2229" s="156" t="inlineStr">
        <is>
          <t>Catálogo existente</t>
        </is>
      </c>
      <c r="AH2229"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9" s="156" t="inlineStr">
        <is>
          <t>Sí</t>
        </is>
      </c>
      <c r="AJ2229" s="156" t="inlineStr">
        <is>
          <t>STETSON AMERICAS (-4)</t>
        </is>
      </c>
      <c r="AK2229" s="155" t="inlineStr">
        <is>
          <t>Criterios: J [R]; G1522_Extraccion_Articulos_NetSuite_2026-09-30.xlsx: fila 58217 [S] | Shopify Stetson: producto 14813155721579 / variante 53350599360875</t>
        </is>
      </c>
      <c r="AL2229" s="58" t="n">
        <v>678.8793103</v>
      </c>
      <c r="AM2229" s="58" t="n">
        <v>1508.62069</v>
      </c>
      <c r="AN2229" s="155" t="inlineStr">
        <is>
          <t>Shopify Stetson México</t>
        </is>
      </c>
      <c r="AO2229" s="59" t="n">
        <v>1</v>
      </c>
      <c r="AP2229" s="59" t="n"/>
      <c r="AQ2229" s="59" t="n"/>
      <c r="AR2229" s="155" t="inlineStr">
        <is>
          <t>Shopify Stetson México › Stetson Americas: 1</t>
        </is>
      </c>
    </row>
    <row r="2230">
      <c r="A2230" s="50" t="inlineStr">
        <is>
          <t>7506499569699</t>
        </is>
      </c>
      <c r="B2230" s="51" t="inlineStr">
        <is>
          <t>110403</t>
        </is>
      </c>
      <c r="C2230" s="156" t="inlineStr">
        <is>
          <t>Multimarca</t>
        </is>
      </c>
      <c r="D2230" s="156" t="inlineStr">
        <is>
          <t>ST-VR-S-002-FW25-OR</t>
        </is>
      </c>
      <c r="E2230" s="156" t="inlineStr">
        <is>
          <t>ST-VR-S-002-FW25-OR-XXL</t>
        </is>
      </c>
      <c r="F2230" s="156" t="inlineStr">
        <is>
          <t>XXL</t>
        </is>
      </c>
      <c r="G2230" s="156" t="inlineStr">
        <is>
          <t>XXL</t>
        </is>
      </c>
      <c r="H2230" s="156" t="inlineStr">
        <is>
          <t>Stetson</t>
        </is>
      </c>
      <c r="I2230" s="156" t="inlineStr">
        <is>
          <t>Camisa Stetson Vintage Range Solid</t>
        </is>
      </c>
      <c r="J2230" s="156" t="inlineStr">
        <is>
          <t>Ropa</t>
        </is>
      </c>
      <c r="K2230" s="156" t="inlineStr">
        <is>
          <t>Camisas</t>
        </is>
      </c>
      <c r="L2230" s="156" t="inlineStr">
        <is>
          <t>Hombre</t>
        </is>
      </c>
      <c r="M2230" s="156" t="inlineStr">
        <is>
          <t>Stetson</t>
        </is>
      </c>
      <c r="N2230" s="156" t="inlineStr">
        <is>
          <t>SS26</t>
        </is>
      </c>
      <c r="O2230" s="156" t="inlineStr">
        <is>
          <t>Seasonal</t>
        </is>
      </c>
      <c r="P2230" s="156" t="inlineStr">
        <is>
          <t>Varios</t>
        </is>
      </c>
      <c r="Q2230" s="156" t="inlineStr">
        <is>
          <t>Clásico</t>
        </is>
      </c>
      <c r="R2230" s="156" t="n"/>
      <c r="S2230" s="156" t="inlineStr">
        <is>
          <t>100% Algodón</t>
        </is>
      </c>
      <c r="T2230"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0" s="156" t="n"/>
      <c r="V2230" s="156" t="inlineStr">
        <is>
          <t>PZS</t>
        </is>
      </c>
      <c r="W2230" s="51" t="inlineStr">
        <is>
          <t>53101600</t>
        </is>
      </c>
      <c r="X2230" s="156" t="inlineStr">
        <is>
          <t>https://cdn.shopify.com/s/files/1/0888/3250/8267/files/ST-VR-S-003-WB-02.jpg?v=1762207422</t>
        </is>
      </c>
      <c r="Y2230" s="54" t="n">
        <v>678.8793103</v>
      </c>
      <c r="Z2230" s="54" t="n">
        <v>1508.62069</v>
      </c>
      <c r="AA2230" s="55">
        <f>IF(AND(A2230="", B2230="", E2230=""), "", IF(AB2230="", "Válido", IF((LEN(AB2230)-LEN(SUBSTITUTE(AB2230,"; ","")))/2+1&gt;(LEN(AB2230)-LEN(SUBSTITUTE(AB2230,"[Aviso]","")))/7, "Con Incidencias", "Válido")))</f>
        <v/>
      </c>
      <c r="AB2230" s="56">
        <f>IF(AND(A2230="", B2230="", E2230=""), "", TEXTJOIN("; ", TRUE, IF(OR(TRIM(A2230&amp;"")="", ISNUMBER(SEARCH("FALTA", A2230))), "UPC faltante/inválido", ""), IF(AND(A2230&lt;&gt;"", IFERROR(_xlfn.XMATCH(A2230,$A$2:$A$2509,0,1)&lt;&gt;_xlfn.XMATCH(A2230,$A$2:$A$2509,0,-1),FALSE)), "Código de barras duplicado", ""), IF(AND(E2230&lt;&gt;"", COUNTIF($E$2:$E$2509, E2230)&gt;1), "SKU duplicado", ""), IF(OR(J2230="", J2230=""), "[Aviso] División no capturada ()", IF(ISNA(MATCH(J2230, Criterios!$A$123:$A$126, 0)), "División no válida", "")), IF(OR(K2230="", K2230=""), "[Aviso] Categoría no capturada ()", IF(ISNA(MATCH(K2230, Criterios!$A$81:$A$120, 0)), "Categoría no válida", IF(AND(J2230&lt;&gt;"", J2230&lt;&gt;"", J2230&lt;&gt;VLOOKUP(K2230, Criterios!$A$81:$B$120, 2, FALSE)), "División no coincide con Categoría", ""))), IF(OR(L2230="", L2230=""), "[Aviso] Género no capturado ()", IF(ISNA(MATCH(L2230, Criterios!$B$123:$B$127, 0)), "Género no válido", "")), IF(OR(N2230="", N2230=""), "[Aviso] Temporada no capturada ()", IF(ISNA(MATCH(N2230, Criterios!$C$123:$C$128, 0)), "Temporada no válida", "")), IF(OR(O2230="", O2230=""), "[Aviso] Ciclo de vida no capturado ()", IF(ISNA(MATCH(O2230, Criterios!$D$123:$D$124, 0)), "Ciclo de vida no válido", ""))))</f>
        <v/>
      </c>
      <c r="AC2230" s="56" t="n"/>
      <c r="AD2230" s="51" t="n">
        <v>0</v>
      </c>
      <c r="AE2230" s="156" t="n"/>
      <c r="AF2230" s="51" t="n">
        <v>0</v>
      </c>
      <c r="AG2230" s="156" t="inlineStr">
        <is>
          <t>Catálogo existente</t>
        </is>
      </c>
      <c r="AH223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0" s="156" t="inlineStr">
        <is>
          <t>No</t>
        </is>
      </c>
      <c r="AJ2230" s="156" t="n"/>
      <c r="AK2230" s="155" t="inlineStr">
        <is>
          <t>Criterios: J [R]; G1522_Extraccion_Articulos_NetSuite_2026-09-30.xlsx: fila 58218 [S] | Shopify Stetson: producto 14813155721579 / variante 53350599393643</t>
        </is>
      </c>
      <c r="AL2230" s="58" t="n">
        <v>678.8793103</v>
      </c>
      <c r="AM2230" s="58" t="n">
        <v>1508.62069</v>
      </c>
      <c r="AN2230" s="155" t="inlineStr">
        <is>
          <t>Shopify Stetson México</t>
        </is>
      </c>
      <c r="AO2230" s="59" t="n">
        <v>0</v>
      </c>
      <c r="AP2230" s="59" t="n"/>
      <c r="AQ2230" s="59" t="n"/>
      <c r="AR2230" s="155" t="n"/>
    </row>
    <row r="2231">
      <c r="A2231" s="50" t="inlineStr">
        <is>
          <t>7506499569705</t>
        </is>
      </c>
      <c r="B2231" s="51" t="inlineStr">
        <is>
          <t>108532</t>
        </is>
      </c>
      <c r="C2231" s="156" t="inlineStr">
        <is>
          <t>Multimarca</t>
        </is>
      </c>
      <c r="D2231" s="156" t="inlineStr">
        <is>
          <t>ST-VR-S-003-FW25-WB</t>
        </is>
      </c>
      <c r="E2231" s="156" t="inlineStr">
        <is>
          <t>ST-VR-S-003-FW25-WB-S</t>
        </is>
      </c>
      <c r="F2231" s="156" t="inlineStr">
        <is>
          <t>S</t>
        </is>
      </c>
      <c r="G2231" s="156" t="inlineStr">
        <is>
          <t>S</t>
        </is>
      </c>
      <c r="H2231" s="156" t="inlineStr">
        <is>
          <t>Stetson</t>
        </is>
      </c>
      <c r="I2231" s="156" t="inlineStr">
        <is>
          <t>Camisa Stetson Vintage Range Solid</t>
        </is>
      </c>
      <c r="J2231" s="156" t="inlineStr">
        <is>
          <t>Ropa</t>
        </is>
      </c>
      <c r="K2231" s="156" t="inlineStr">
        <is>
          <t>Camisas</t>
        </is>
      </c>
      <c r="L2231" s="156" t="inlineStr">
        <is>
          <t>Hombre</t>
        </is>
      </c>
      <c r="M2231" s="156" t="inlineStr">
        <is>
          <t>Stetson</t>
        </is>
      </c>
      <c r="N2231" s="156" t="inlineStr">
        <is>
          <t>SS26</t>
        </is>
      </c>
      <c r="O2231" s="156" t="inlineStr">
        <is>
          <t>Seasonal</t>
        </is>
      </c>
      <c r="P2231" s="156" t="inlineStr">
        <is>
          <t>Varios</t>
        </is>
      </c>
      <c r="Q2231" s="156" t="inlineStr">
        <is>
          <t>Clásico</t>
        </is>
      </c>
      <c r="R2231" s="156" t="n"/>
      <c r="S2231" s="156" t="inlineStr">
        <is>
          <t>100% Algodón</t>
        </is>
      </c>
      <c r="T2231"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1" s="156" t="n"/>
      <c r="V2231" s="156" t="inlineStr">
        <is>
          <t>PZS</t>
        </is>
      </c>
      <c r="W2231" s="51" t="inlineStr">
        <is>
          <t>53101600</t>
        </is>
      </c>
      <c r="X2231" s="156" t="inlineStr">
        <is>
          <t>https://cdn.shopify.com/s/files/1/0888/3250/8267/files/ST-VR-S-002-OR-03.jpg?v=1762207439</t>
        </is>
      </c>
      <c r="Y2231" s="54" t="n">
        <v>678.8793103</v>
      </c>
      <c r="Z2231" s="54" t="n">
        <v>1508.62069</v>
      </c>
      <c r="AA2231" s="55">
        <f>IF(AND(A2231="", B2231="", E2231=""), "", IF(AB2231="", "Válido", IF((LEN(AB2231)-LEN(SUBSTITUTE(AB2231,"; ","")))/2+1&gt;(LEN(AB2231)-LEN(SUBSTITUTE(AB2231,"[Aviso]","")))/7, "Con Incidencias", "Válido")))</f>
        <v/>
      </c>
      <c r="AB2231" s="56">
        <f>IF(AND(A2231="", B2231="", E2231=""), "", TEXTJOIN("; ", TRUE, IF(OR(TRIM(A2231&amp;"")="", ISNUMBER(SEARCH("FALTA", A2231))), "UPC faltante/inválido", ""), IF(AND(A2231&lt;&gt;"", IFERROR(_xlfn.XMATCH(A2231,$A$2:$A$2509,0,1)&lt;&gt;_xlfn.XMATCH(A2231,$A$2:$A$2509,0,-1),FALSE)), "Código de barras duplicado", ""), IF(AND(E2231&lt;&gt;"", COUNTIF($E$2:$E$2509, E2231)&gt;1), "SKU duplicado", ""), IF(OR(J2231="", J2231=""), "[Aviso] División no capturada ()", IF(ISNA(MATCH(J2231, Criterios!$A$123:$A$126, 0)), "División no válida", "")), IF(OR(K2231="", K2231=""), "[Aviso] Categoría no capturada ()", IF(ISNA(MATCH(K2231, Criterios!$A$81:$A$120, 0)), "Categoría no válida", IF(AND(J2231&lt;&gt;"", J2231&lt;&gt;"", J2231&lt;&gt;VLOOKUP(K2231, Criterios!$A$81:$B$120, 2, FALSE)), "División no coincide con Categoría", ""))), IF(OR(L2231="", L2231=""), "[Aviso] Género no capturado ()", IF(ISNA(MATCH(L2231, Criterios!$B$123:$B$127, 0)), "Género no válido", "")), IF(OR(N2231="", N2231=""), "[Aviso] Temporada no capturada ()", IF(ISNA(MATCH(N2231, Criterios!$C$123:$C$128, 0)), "Temporada no válida", "")), IF(OR(O2231="", O2231=""), "[Aviso] Ciclo de vida no capturado ()", IF(ISNA(MATCH(O2231, Criterios!$D$123:$D$124, 0)), "Ciclo de vida no válido", ""))))</f>
        <v/>
      </c>
      <c r="AC2231" s="56" t="n"/>
      <c r="AD2231" s="51" t="n">
        <v>-1</v>
      </c>
      <c r="AE2231" s="156" t="inlineStr">
        <is>
          <t>B25 STETSON.MX (3)</t>
        </is>
      </c>
      <c r="AF2231" s="51" t="n">
        <v>3</v>
      </c>
      <c r="AG2231" s="156" t="inlineStr">
        <is>
          <t>Catálogo existente</t>
        </is>
      </c>
      <c r="AH2231"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1" s="156" t="inlineStr">
        <is>
          <t>Sí</t>
        </is>
      </c>
      <c r="AJ2231" s="156" t="inlineStr">
        <is>
          <t>WB OUTLET LERMA (-1); STETSON AMERICAS (-3)</t>
        </is>
      </c>
      <c r="AK2231" s="155" t="inlineStr">
        <is>
          <t>Criterios: J [R]; G1522_Extraccion_Articulos_NetSuite_2026-09-30.xlsx: fila 56691 [S] | Shopify Stetson: producto 14813155721579 / variante 53350599098731 | Shopify WB: producto 8569966756025 / variante 47621336924345</t>
        </is>
      </c>
      <c r="AL2231" s="58" t="n">
        <v>678.8793103</v>
      </c>
      <c r="AM2231" s="58" t="n">
        <v>1508.62069</v>
      </c>
      <c r="AN2231" s="155" t="inlineStr">
        <is>
          <t>Shopify Stetson México | Shopify Western Brothers</t>
        </is>
      </c>
      <c r="AO2231" s="59" t="n">
        <v>4</v>
      </c>
      <c r="AP2231" s="59" t="n">
        <v>-1</v>
      </c>
      <c r="AQ2231" s="59" t="n"/>
      <c r="AR2231" s="155" t="inlineStr">
        <is>
          <t>Shopify Stetson México › Stetson México: 3 | Shopify Stetson México › Stetson Americas: 1</t>
        </is>
      </c>
    </row>
    <row r="2232">
      <c r="A2232" s="50" t="inlineStr">
        <is>
          <t>7506499569712</t>
        </is>
      </c>
      <c r="B2232" s="51" t="inlineStr">
        <is>
          <t>108533</t>
        </is>
      </c>
      <c r="C2232" s="156" t="inlineStr">
        <is>
          <t>Multimarca</t>
        </is>
      </c>
      <c r="D2232" s="156" t="inlineStr">
        <is>
          <t>ST-VR-S-003-FW25-WB</t>
        </is>
      </c>
      <c r="E2232" s="156" t="inlineStr">
        <is>
          <t>ST-VR-S-003-FW25-WB-M</t>
        </is>
      </c>
      <c r="F2232" s="156" t="inlineStr">
        <is>
          <t>M</t>
        </is>
      </c>
      <c r="G2232" s="156" t="inlineStr">
        <is>
          <t>M</t>
        </is>
      </c>
      <c r="H2232" s="156" t="inlineStr">
        <is>
          <t>Stetson</t>
        </is>
      </c>
      <c r="I2232" s="156" t="inlineStr">
        <is>
          <t>Camisa Stetson Vintage Range Solid</t>
        </is>
      </c>
      <c r="J2232" s="156" t="inlineStr">
        <is>
          <t>Ropa</t>
        </is>
      </c>
      <c r="K2232" s="156" t="inlineStr">
        <is>
          <t>Camisas</t>
        </is>
      </c>
      <c r="L2232" s="156" t="inlineStr">
        <is>
          <t>Hombre</t>
        </is>
      </c>
      <c r="M2232" s="156" t="inlineStr">
        <is>
          <t>Stetson</t>
        </is>
      </c>
      <c r="N2232" s="156" t="inlineStr">
        <is>
          <t>SS26</t>
        </is>
      </c>
      <c r="O2232" s="156" t="inlineStr">
        <is>
          <t>Seasonal</t>
        </is>
      </c>
      <c r="P2232" s="156" t="inlineStr">
        <is>
          <t>Varios</t>
        </is>
      </c>
      <c r="Q2232" s="156" t="inlineStr">
        <is>
          <t>Clásico</t>
        </is>
      </c>
      <c r="R2232" s="156" t="n"/>
      <c r="S2232" s="156" t="inlineStr">
        <is>
          <t>100% Algodón</t>
        </is>
      </c>
      <c r="T2232"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2" s="156" t="n"/>
      <c r="V2232" s="156" t="inlineStr">
        <is>
          <t>PZS</t>
        </is>
      </c>
      <c r="W2232" s="51" t="inlineStr">
        <is>
          <t>53101600</t>
        </is>
      </c>
      <c r="X2232" s="156" t="inlineStr">
        <is>
          <t>https://cdn.shopify.com/s/files/1/0888/3250/8267/files/ST-VR-S-001-AF-01.jpg?v=1762207449</t>
        </is>
      </c>
      <c r="Y2232" s="54" t="n">
        <v>678.8793103</v>
      </c>
      <c r="Z2232" s="54" t="n">
        <v>1508.62069</v>
      </c>
      <c r="AA2232" s="55">
        <f>IF(AND(A2232="", B2232="", E2232=""), "", IF(AB2232="", "Válido", IF((LEN(AB2232)-LEN(SUBSTITUTE(AB2232,"; ","")))/2+1&gt;(LEN(AB2232)-LEN(SUBSTITUTE(AB2232,"[Aviso]","")))/7, "Con Incidencias", "Válido")))</f>
        <v/>
      </c>
      <c r="AB2232" s="56">
        <f>IF(AND(A2232="", B2232="", E2232=""), "", TEXTJOIN("; ", TRUE, IF(OR(TRIM(A2232&amp;"")="", ISNUMBER(SEARCH("FALTA", A2232))), "UPC faltante/inválido", ""), IF(AND(A2232&lt;&gt;"", IFERROR(_xlfn.XMATCH(A2232,$A$2:$A$2509,0,1)&lt;&gt;_xlfn.XMATCH(A2232,$A$2:$A$2509,0,-1),FALSE)), "Código de barras duplicado", ""), IF(AND(E2232&lt;&gt;"", COUNTIF($E$2:$E$2509, E2232)&gt;1), "SKU duplicado", ""), IF(OR(J2232="", J2232=""), "[Aviso] División no capturada ()", IF(ISNA(MATCH(J2232, Criterios!$A$123:$A$126, 0)), "División no válida", "")), IF(OR(K2232="", K2232=""), "[Aviso] Categoría no capturada ()", IF(ISNA(MATCH(K2232, Criterios!$A$81:$A$120, 0)), "Categoría no válida", IF(AND(J2232&lt;&gt;"", J2232&lt;&gt;"", J2232&lt;&gt;VLOOKUP(K2232, Criterios!$A$81:$B$120, 2, FALSE)), "División no coincide con Categoría", ""))), IF(OR(L2232="", L2232=""), "[Aviso] Género no capturado ()", IF(ISNA(MATCH(L2232, Criterios!$B$123:$B$127, 0)), "Género no válido", "")), IF(OR(N2232="", N2232=""), "[Aviso] Temporada no capturada ()", IF(ISNA(MATCH(N2232, Criterios!$C$123:$C$128, 0)), "Temporada no válida", "")), IF(OR(O2232="", O2232=""), "[Aviso] Ciclo de vida no capturado ()", IF(ISNA(MATCH(O2232, Criterios!$D$123:$D$124, 0)), "Ciclo de vida no válido", ""))))</f>
        <v/>
      </c>
      <c r="AC2232" s="56" t="n"/>
      <c r="AD2232" s="51" t="n">
        <v>-3</v>
      </c>
      <c r="AE2232" s="156" t="inlineStr">
        <is>
          <t>B25 STETSON.MX (3)</t>
        </is>
      </c>
      <c r="AF2232" s="51" t="n">
        <v>3</v>
      </c>
      <c r="AG2232" s="156" t="inlineStr">
        <is>
          <t>Catálogo existente</t>
        </is>
      </c>
      <c r="AH223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2" s="156" t="inlineStr">
        <is>
          <t>Sí</t>
        </is>
      </c>
      <c r="AJ2232" s="156" t="inlineStr">
        <is>
          <t>WB OUTLET LERMA (-2); STETSON AMERICAS (-4)</t>
        </is>
      </c>
      <c r="AK2232" s="155" t="inlineStr">
        <is>
          <t>Criterios: J [R]; G1522_Extraccion_Articulos_NetSuite_2026-09-30.xlsx: fila 56692 [S] | Shopify Stetson: producto 14813155721579 / variante 53350599131499 | Shopify WB: producto 8569966756025 / variante 47621336957113</t>
        </is>
      </c>
      <c r="AL2232" s="58" t="n">
        <v>678.8793103</v>
      </c>
      <c r="AM2232" s="58" t="n">
        <v>1508.62069</v>
      </c>
      <c r="AN2232" s="155" t="inlineStr">
        <is>
          <t>Shopify Stetson México | Shopify Western Brothers</t>
        </is>
      </c>
      <c r="AO2232" s="59" t="n">
        <v>3</v>
      </c>
      <c r="AP2232" s="59" t="n">
        <v>-2</v>
      </c>
      <c r="AQ2232" s="59" t="n"/>
      <c r="AR2232" s="155" t="inlineStr">
        <is>
          <t>Shopify Stetson México › Stetson México: 3</t>
        </is>
      </c>
    </row>
    <row r="2233">
      <c r="A2233" s="50" t="inlineStr">
        <is>
          <t>7506499569729</t>
        </is>
      </c>
      <c r="B2233" s="51" t="inlineStr">
        <is>
          <t>108534</t>
        </is>
      </c>
      <c r="C2233" s="156" t="inlineStr">
        <is>
          <t>Multimarca</t>
        </is>
      </c>
      <c r="D2233" s="156" t="inlineStr">
        <is>
          <t>ST-VR-S-003-FW25-WB</t>
        </is>
      </c>
      <c r="E2233" s="156" t="inlineStr">
        <is>
          <t>ST-VR-S-003-FW25-WB-L</t>
        </is>
      </c>
      <c r="F2233" s="156" t="inlineStr">
        <is>
          <t>L</t>
        </is>
      </c>
      <c r="G2233" s="156" t="inlineStr">
        <is>
          <t>L</t>
        </is>
      </c>
      <c r="H2233" s="156" t="inlineStr">
        <is>
          <t>Stetson</t>
        </is>
      </c>
      <c r="I2233" s="156" t="inlineStr">
        <is>
          <t>Camisa Stetson Vintage Range Solid</t>
        </is>
      </c>
      <c r="J2233" s="156" t="inlineStr">
        <is>
          <t>Ropa</t>
        </is>
      </c>
      <c r="K2233" s="156" t="inlineStr">
        <is>
          <t>Camisas</t>
        </is>
      </c>
      <c r="L2233" s="156" t="inlineStr">
        <is>
          <t>Hombre</t>
        </is>
      </c>
      <c r="M2233" s="156" t="inlineStr">
        <is>
          <t>Stetson</t>
        </is>
      </c>
      <c r="N2233" s="156" t="inlineStr">
        <is>
          <t>SS26</t>
        </is>
      </c>
      <c r="O2233" s="156" t="inlineStr">
        <is>
          <t>Seasonal</t>
        </is>
      </c>
      <c r="P2233" s="156" t="inlineStr">
        <is>
          <t>Varios</t>
        </is>
      </c>
      <c r="Q2233" s="156" t="inlineStr">
        <is>
          <t>Clásico</t>
        </is>
      </c>
      <c r="R2233" s="156" t="n"/>
      <c r="S2233" s="156" t="inlineStr">
        <is>
          <t>100% Algodón</t>
        </is>
      </c>
      <c r="T2233"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3" s="156" t="n"/>
      <c r="V2233" s="156" t="inlineStr">
        <is>
          <t>PZS</t>
        </is>
      </c>
      <c r="W2233" s="51" t="inlineStr">
        <is>
          <t>53101600</t>
        </is>
      </c>
      <c r="X2233" s="156" t="inlineStr">
        <is>
          <t>https://cdn.shopify.com/s/files/1/0888/3250/8267/files/ST-VR-S-001-AF-02.jpg?v=1762207449</t>
        </is>
      </c>
      <c r="Y2233" s="54" t="n">
        <v>678.8793103</v>
      </c>
      <c r="Z2233" s="54" t="n">
        <v>1508.62069</v>
      </c>
      <c r="AA2233" s="55">
        <f>IF(AND(A2233="", B2233="", E2233=""), "", IF(AB2233="", "Válido", IF((LEN(AB2233)-LEN(SUBSTITUTE(AB2233,"; ","")))/2+1&gt;(LEN(AB2233)-LEN(SUBSTITUTE(AB2233,"[Aviso]","")))/7, "Con Incidencias", "Válido")))</f>
        <v/>
      </c>
      <c r="AB2233" s="56">
        <f>IF(AND(A2233="", B2233="", E2233=""), "", TEXTJOIN("; ", TRUE, IF(OR(TRIM(A2233&amp;"")="", ISNUMBER(SEARCH("FALTA", A2233))), "UPC faltante/inválido", ""), IF(AND(A2233&lt;&gt;"", IFERROR(_xlfn.XMATCH(A2233,$A$2:$A$2509,0,1)&lt;&gt;_xlfn.XMATCH(A2233,$A$2:$A$2509,0,-1),FALSE)), "Código de barras duplicado", ""), IF(AND(E2233&lt;&gt;"", COUNTIF($E$2:$E$2509, E2233)&gt;1), "SKU duplicado", ""), IF(OR(J2233="", J2233=""), "[Aviso] División no capturada ()", IF(ISNA(MATCH(J2233, Criterios!$A$123:$A$126, 0)), "División no válida", "")), IF(OR(K2233="", K2233=""), "[Aviso] Categoría no capturada ()", IF(ISNA(MATCH(K2233, Criterios!$A$81:$A$120, 0)), "Categoría no válida", IF(AND(J2233&lt;&gt;"", J2233&lt;&gt;"", J2233&lt;&gt;VLOOKUP(K2233, Criterios!$A$81:$B$120, 2, FALSE)), "División no coincide con Categoría", ""))), IF(OR(L2233="", L2233=""), "[Aviso] Género no capturado ()", IF(ISNA(MATCH(L2233, Criterios!$B$123:$B$127, 0)), "Género no válido", "")), IF(OR(N2233="", N2233=""), "[Aviso] Temporada no capturada ()", IF(ISNA(MATCH(N2233, Criterios!$C$123:$C$128, 0)), "Temporada no válida", "")), IF(OR(O2233="", O2233=""), "[Aviso] Ciclo de vida no capturado ()", IF(ISNA(MATCH(O2233, Criterios!$D$123:$D$124, 0)), "Ciclo de vida no válido", ""))))</f>
        <v/>
      </c>
      <c r="AC2233" s="56" t="n"/>
      <c r="AD2233" s="51" t="n">
        <v>-7</v>
      </c>
      <c r="AE2233" s="156" t="n"/>
      <c r="AF2233" s="51" t="n">
        <v>0</v>
      </c>
      <c r="AG2233" s="156" t="inlineStr">
        <is>
          <t>Catálogo existente</t>
        </is>
      </c>
      <c r="AH2233"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3" s="156" t="inlineStr">
        <is>
          <t>Sí</t>
        </is>
      </c>
      <c r="AJ2233" s="156" t="inlineStr">
        <is>
          <t>WB OUTLET LERMA (-3); STETSON AMERICAS (-4)</t>
        </is>
      </c>
      <c r="AK2233" s="155" t="inlineStr">
        <is>
          <t>Criterios: J [R]; G1522_Extraccion_Articulos_NetSuite_2026-09-30.xlsx: fila 56693 [S] | Shopify Stetson: producto 14813155721579 / variante 53350599164267 | Shopify WB: producto 8569966756025 / variante 47621336989881</t>
        </is>
      </c>
      <c r="AL2233" s="58" t="n">
        <v>678.8793103</v>
      </c>
      <c r="AM2233" s="58" t="n">
        <v>1508.62069</v>
      </c>
      <c r="AN2233" s="155" t="inlineStr">
        <is>
          <t>Shopify Stetson México | Shopify Western Brothers</t>
        </is>
      </c>
      <c r="AO2233" s="59" t="n">
        <v>1</v>
      </c>
      <c r="AP2233" s="59" t="n">
        <v>-3</v>
      </c>
      <c r="AQ2233" s="59" t="n"/>
      <c r="AR2233" s="155" t="inlineStr">
        <is>
          <t>Shopify Stetson México › Stetson Americas: 1</t>
        </is>
      </c>
    </row>
    <row r="2234">
      <c r="A2234" s="50" t="inlineStr">
        <is>
          <t>7506499569736</t>
        </is>
      </c>
      <c r="B2234" s="51" t="inlineStr">
        <is>
          <t>108535</t>
        </is>
      </c>
      <c r="C2234" s="156" t="inlineStr">
        <is>
          <t>Multimarca</t>
        </is>
      </c>
      <c r="D2234" s="156" t="inlineStr">
        <is>
          <t>ST-VR-S-003-FW25-WB</t>
        </is>
      </c>
      <c r="E2234" s="156" t="inlineStr">
        <is>
          <t>ST-VR-S-003-FW25-WB-XL</t>
        </is>
      </c>
      <c r="F2234" s="156" t="inlineStr">
        <is>
          <t>XL</t>
        </is>
      </c>
      <c r="G2234" s="156" t="inlineStr">
        <is>
          <t>XL</t>
        </is>
      </c>
      <c r="H2234" s="156" t="inlineStr">
        <is>
          <t>Stetson</t>
        </is>
      </c>
      <c r="I2234" s="156" t="inlineStr">
        <is>
          <t>Camisa Stetson Vintage Range Solid</t>
        </is>
      </c>
      <c r="J2234" s="156" t="inlineStr">
        <is>
          <t>Ropa</t>
        </is>
      </c>
      <c r="K2234" s="156" t="inlineStr">
        <is>
          <t>Camisas</t>
        </is>
      </c>
      <c r="L2234" s="156" t="inlineStr">
        <is>
          <t>Hombre</t>
        </is>
      </c>
      <c r="M2234" s="156" t="inlineStr">
        <is>
          <t>Stetson</t>
        </is>
      </c>
      <c r="N2234" s="156" t="inlineStr">
        <is>
          <t>SS26</t>
        </is>
      </c>
      <c r="O2234" s="156" t="inlineStr">
        <is>
          <t>Seasonal</t>
        </is>
      </c>
      <c r="P2234" s="156" t="inlineStr">
        <is>
          <t>Varios</t>
        </is>
      </c>
      <c r="Q2234" s="156" t="inlineStr">
        <is>
          <t>Clásico</t>
        </is>
      </c>
      <c r="R2234" s="156" t="n"/>
      <c r="S2234" s="156" t="inlineStr">
        <is>
          <t>100% Algodón</t>
        </is>
      </c>
      <c r="T2234"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4" s="156" t="n"/>
      <c r="V2234" s="156" t="inlineStr">
        <is>
          <t>PZS</t>
        </is>
      </c>
      <c r="W2234" s="51" t="inlineStr">
        <is>
          <t>53101600</t>
        </is>
      </c>
      <c r="X2234" s="156" t="inlineStr">
        <is>
          <t>https://cdn.shopify.com/s/files/1/0888/3250/8267/files/ST-VR-S-001-AF-03.jpg?v=1762207449</t>
        </is>
      </c>
      <c r="Y2234" s="54" t="n">
        <v>678.8793103</v>
      </c>
      <c r="Z2234" s="54" t="n">
        <v>1508.62069</v>
      </c>
      <c r="AA2234" s="55">
        <f>IF(AND(A2234="", B2234="", E2234=""), "", IF(AB2234="", "Válido", IF((LEN(AB2234)-LEN(SUBSTITUTE(AB2234,"; ","")))/2+1&gt;(LEN(AB2234)-LEN(SUBSTITUTE(AB2234,"[Aviso]","")))/7, "Con Incidencias", "Válido")))</f>
        <v/>
      </c>
      <c r="AB2234" s="56">
        <f>IF(AND(A2234="", B2234="", E2234=""), "", TEXTJOIN("; ", TRUE, IF(OR(TRIM(A2234&amp;"")="", ISNUMBER(SEARCH("FALTA", A2234))), "UPC faltante/inválido", ""), IF(AND(A2234&lt;&gt;"", IFERROR(_xlfn.XMATCH(A2234,$A$2:$A$2509,0,1)&lt;&gt;_xlfn.XMATCH(A2234,$A$2:$A$2509,0,-1),FALSE)), "Código de barras duplicado", ""), IF(AND(E2234&lt;&gt;"", COUNTIF($E$2:$E$2509, E2234)&gt;1), "SKU duplicado", ""), IF(OR(J2234="", J2234=""), "[Aviso] División no capturada ()", IF(ISNA(MATCH(J2234, Criterios!$A$123:$A$126, 0)), "División no válida", "")), IF(OR(K2234="", K2234=""), "[Aviso] Categoría no capturada ()", IF(ISNA(MATCH(K2234, Criterios!$A$81:$A$120, 0)), "Categoría no válida", IF(AND(J2234&lt;&gt;"", J2234&lt;&gt;"", J2234&lt;&gt;VLOOKUP(K2234, Criterios!$A$81:$B$120, 2, FALSE)), "División no coincide con Categoría", ""))), IF(OR(L2234="", L2234=""), "[Aviso] Género no capturado ()", IF(ISNA(MATCH(L2234, Criterios!$B$123:$B$127, 0)), "Género no válido", "")), IF(OR(N2234="", N2234=""), "[Aviso] Temporada no capturada ()", IF(ISNA(MATCH(N2234, Criterios!$C$123:$C$128, 0)), "Temporada no válida", "")), IF(OR(O2234="", O2234=""), "[Aviso] Ciclo de vida no capturado ()", IF(ISNA(MATCH(O2234, Criterios!$D$123:$D$124, 0)), "Ciclo de vida no válido", ""))))</f>
        <v/>
      </c>
      <c r="AC2234" s="56" t="n"/>
      <c r="AD2234" s="51" t="n">
        <v>-5</v>
      </c>
      <c r="AE2234" s="156" t="n"/>
      <c r="AF2234" s="51" t="n">
        <v>0</v>
      </c>
      <c r="AG2234" s="156" t="inlineStr">
        <is>
          <t>Catálogo existente</t>
        </is>
      </c>
      <c r="AH2234"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4" s="156" t="inlineStr">
        <is>
          <t>Sí</t>
        </is>
      </c>
      <c r="AJ2234" s="156" t="inlineStr">
        <is>
          <t>WB OUTLET LERMA (-2); STETSON AMERICAS (-3)</t>
        </is>
      </c>
      <c r="AK2234" s="155" t="inlineStr">
        <is>
          <t>Criterios: J [R]; G1522_Extraccion_Articulos_NetSuite_2026-09-30.xlsx: fila 56694 [S] | Shopify Stetson: producto 14813155721579 / variante 53350599197035 | Shopify WB: producto 8569966756025 / variante 47621337022649</t>
        </is>
      </c>
      <c r="AL2234" s="58" t="n">
        <v>678.8793103</v>
      </c>
      <c r="AM2234" s="58" t="n">
        <v>1508.62069</v>
      </c>
      <c r="AN2234" s="155" t="inlineStr">
        <is>
          <t>Shopify Stetson México | Shopify Western Brothers</t>
        </is>
      </c>
      <c r="AO2234" s="59" t="n">
        <v>0</v>
      </c>
      <c r="AP2234" s="59" t="n">
        <v>-2</v>
      </c>
      <c r="AQ2234" s="59" t="n"/>
      <c r="AR2234" s="155" t="n"/>
    </row>
    <row r="2235">
      <c r="A2235" s="50" t="inlineStr">
        <is>
          <t>7506499569743</t>
        </is>
      </c>
      <c r="B2235" s="51" t="inlineStr">
        <is>
          <t>110404</t>
        </is>
      </c>
      <c r="C2235" s="156" t="inlineStr">
        <is>
          <t>Multimarca</t>
        </is>
      </c>
      <c r="D2235" s="156" t="inlineStr">
        <is>
          <t>ST-VR-S-003-FW25-WB</t>
        </is>
      </c>
      <c r="E2235" s="156" t="inlineStr">
        <is>
          <t>ST-VR-S-003-FW25-WB-XXL</t>
        </is>
      </c>
      <c r="F2235" s="156" t="inlineStr">
        <is>
          <t>XXL</t>
        </is>
      </c>
      <c r="G2235" s="156" t="inlineStr">
        <is>
          <t>XXL</t>
        </is>
      </c>
      <c r="H2235" s="156" t="inlineStr">
        <is>
          <t>Stetson</t>
        </is>
      </c>
      <c r="I2235" s="156" t="inlineStr">
        <is>
          <t>Camisa Stetson Vintage Range Solid</t>
        </is>
      </c>
      <c r="J2235" s="156" t="inlineStr">
        <is>
          <t>Ropa</t>
        </is>
      </c>
      <c r="K2235" s="156" t="inlineStr">
        <is>
          <t>Camisas</t>
        </is>
      </c>
      <c r="L2235" s="156" t="inlineStr">
        <is>
          <t>Hombre</t>
        </is>
      </c>
      <c r="M2235" s="156" t="inlineStr">
        <is>
          <t>Stetson</t>
        </is>
      </c>
      <c r="N2235" s="156" t="inlineStr">
        <is>
          <t>SS26</t>
        </is>
      </c>
      <c r="O2235" s="156" t="inlineStr">
        <is>
          <t>Seasonal</t>
        </is>
      </c>
      <c r="P2235" s="156" t="inlineStr">
        <is>
          <t>Varios</t>
        </is>
      </c>
      <c r="Q2235" s="156" t="inlineStr">
        <is>
          <t>Clásico</t>
        </is>
      </c>
      <c r="R2235" s="156" t="n"/>
      <c r="S2235" s="156" t="inlineStr">
        <is>
          <t>100% Algodón</t>
        </is>
      </c>
      <c r="T2235"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5" s="156" t="n"/>
      <c r="V2235" s="156" t="inlineStr">
        <is>
          <t>PZS</t>
        </is>
      </c>
      <c r="W2235" s="51" t="inlineStr">
        <is>
          <t>53101600</t>
        </is>
      </c>
      <c r="X2235" s="156" t="inlineStr">
        <is>
          <t>https://cdn.shopify.com/s/files/1/0888/3250/8267/files/ST-VR-S-003-WB-01.jpg?v=1762207422</t>
        </is>
      </c>
      <c r="Y2235" s="54" t="n">
        <v>678.8793103</v>
      </c>
      <c r="Z2235" s="54" t="n">
        <v>1508.62069</v>
      </c>
      <c r="AA2235" s="55">
        <f>IF(AND(A2235="", B2235="", E2235=""), "", IF(AB2235="", "Válido", IF((LEN(AB2235)-LEN(SUBSTITUTE(AB2235,"; ","")))/2+1&gt;(LEN(AB2235)-LEN(SUBSTITUTE(AB2235,"[Aviso]","")))/7, "Con Incidencias", "Válido")))</f>
        <v/>
      </c>
      <c r="AB2235" s="56">
        <f>IF(AND(A2235="", B2235="", E2235=""), "", TEXTJOIN("; ", TRUE, IF(OR(TRIM(A2235&amp;"")="", ISNUMBER(SEARCH("FALTA", A2235))), "UPC faltante/inválido", ""), IF(AND(A2235&lt;&gt;"", IFERROR(_xlfn.XMATCH(A2235,$A$2:$A$2509,0,1)&lt;&gt;_xlfn.XMATCH(A2235,$A$2:$A$2509,0,-1),FALSE)), "Código de barras duplicado", ""), IF(AND(E2235&lt;&gt;"", COUNTIF($E$2:$E$2509, E2235)&gt;1), "SKU duplicado", ""), IF(OR(J2235="", J2235=""), "[Aviso] División no capturada ()", IF(ISNA(MATCH(J2235, Criterios!$A$123:$A$126, 0)), "División no válida", "")), IF(OR(K2235="", K2235=""), "[Aviso] Categoría no capturada ()", IF(ISNA(MATCH(K2235, Criterios!$A$81:$A$120, 0)), "Categoría no válida", IF(AND(J2235&lt;&gt;"", J2235&lt;&gt;"", J2235&lt;&gt;VLOOKUP(K2235, Criterios!$A$81:$B$120, 2, FALSE)), "División no coincide con Categoría", ""))), IF(OR(L2235="", L2235=""), "[Aviso] Género no capturado ()", IF(ISNA(MATCH(L2235, Criterios!$B$123:$B$127, 0)), "Género no válido", "")), IF(OR(N2235="", N2235=""), "[Aviso] Temporada no capturada ()", IF(ISNA(MATCH(N2235, Criterios!$C$123:$C$128, 0)), "Temporada no válida", "")), IF(OR(O2235="", O2235=""), "[Aviso] Ciclo de vida no capturado ()", IF(ISNA(MATCH(O2235, Criterios!$D$123:$D$124, 0)), "Ciclo de vida no válido", ""))))</f>
        <v/>
      </c>
      <c r="AC2235" s="56" t="n"/>
      <c r="AD2235" s="51" t="n">
        <v>-4</v>
      </c>
      <c r="AE2235" s="156" t="n"/>
      <c r="AF2235" s="51" t="n">
        <v>0</v>
      </c>
      <c r="AG2235" s="156" t="inlineStr">
        <is>
          <t>Catálogo existente</t>
        </is>
      </c>
      <c r="AH2235"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35" s="156" t="inlineStr">
        <is>
          <t>Sí</t>
        </is>
      </c>
      <c r="AJ2235" s="156" t="inlineStr">
        <is>
          <t>STETSON AMERICAS (-4)</t>
        </is>
      </c>
      <c r="AK2235" s="155" t="inlineStr">
        <is>
          <t>Criterios: J [R]; G1522_Extraccion_Articulos_NetSuite_2026-09-30.xlsx: fila 58219 [S] | Shopify Stetson: producto 14813155721579 / variante 53350599229803</t>
        </is>
      </c>
      <c r="AL2235" s="58" t="n">
        <v>678.8793103</v>
      </c>
      <c r="AM2235" s="58" t="n">
        <v>1508.62069</v>
      </c>
      <c r="AN2235" s="155" t="inlineStr">
        <is>
          <t>Shopify Stetson México</t>
        </is>
      </c>
      <c r="AO2235" s="59" t="n">
        <v>1</v>
      </c>
      <c r="AP2235" s="59" t="n"/>
      <c r="AQ2235" s="59" t="n"/>
      <c r="AR2235" s="155" t="inlineStr">
        <is>
          <t>Shopify Stetson México › Stetson Americas: 1</t>
        </is>
      </c>
    </row>
    <row r="2236">
      <c r="A2236" s="50" t="inlineStr">
        <is>
          <t>7506499569750</t>
        </is>
      </c>
      <c r="B2236" s="51" t="inlineStr">
        <is>
          <t>110405</t>
        </is>
      </c>
      <c r="C2236" s="156" t="inlineStr">
        <is>
          <t>Multimarca</t>
        </is>
      </c>
      <c r="D2236" s="156" t="inlineStr">
        <is>
          <t>ST-VR-S-004-FW25-HO</t>
        </is>
      </c>
      <c r="E2236" s="156" t="inlineStr">
        <is>
          <t>ST-VR-S-004-FW25-HO-S</t>
        </is>
      </c>
      <c r="F2236" s="156" t="inlineStr">
        <is>
          <t>S</t>
        </is>
      </c>
      <c r="G2236" s="156" t="inlineStr">
        <is>
          <t>S</t>
        </is>
      </c>
      <c r="H2236" s="156" t="inlineStr">
        <is>
          <t>Stetson</t>
        </is>
      </c>
      <c r="I2236" s="156" t="inlineStr">
        <is>
          <t>Camisa Stetson Vintage Range Solid</t>
        </is>
      </c>
      <c r="J2236" s="156" t="inlineStr">
        <is>
          <t>Ropa</t>
        </is>
      </c>
      <c r="K2236" s="156" t="inlineStr">
        <is>
          <t>Camisas</t>
        </is>
      </c>
      <c r="L2236" s="156" t="inlineStr">
        <is>
          <t>Hombre</t>
        </is>
      </c>
      <c r="M2236" s="156" t="inlineStr">
        <is>
          <t>Stetson</t>
        </is>
      </c>
      <c r="N2236" s="156" t="inlineStr">
        <is>
          <t>SS26</t>
        </is>
      </c>
      <c r="O2236" s="156" t="inlineStr">
        <is>
          <t>Seasonal</t>
        </is>
      </c>
      <c r="P2236" s="156" t="inlineStr">
        <is>
          <t>Varios</t>
        </is>
      </c>
      <c r="Q2236" s="156" t="inlineStr">
        <is>
          <t>Clásico</t>
        </is>
      </c>
      <c r="R2236" s="156" t="n"/>
      <c r="S2236" s="156" t="inlineStr">
        <is>
          <t>100% Algodón</t>
        </is>
      </c>
      <c r="T2236"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6" s="156" t="n"/>
      <c r="V2236" s="156" t="inlineStr">
        <is>
          <t>PZS</t>
        </is>
      </c>
      <c r="W2236" s="51" t="inlineStr">
        <is>
          <t>53101600</t>
        </is>
      </c>
      <c r="X2236" s="156" t="inlineStr">
        <is>
          <t>https://cdn.shopify.com/s/files/1/0888/3250/8267/files/ST-VR-S-003-WB-03.jpg?v=1762207423</t>
        </is>
      </c>
      <c r="Y2236" s="54" t="n">
        <v>678.8793103</v>
      </c>
      <c r="Z2236" s="54" t="n">
        <v>1508.62069</v>
      </c>
      <c r="AA2236" s="55">
        <f>IF(AND(A2236="", B2236="", E2236=""), "", IF(AB2236="", "Válido", IF((LEN(AB2236)-LEN(SUBSTITUTE(AB2236,"; ","")))/2+1&gt;(LEN(AB2236)-LEN(SUBSTITUTE(AB2236,"[Aviso]","")))/7, "Con Incidencias", "Válido")))</f>
        <v/>
      </c>
      <c r="AB2236" s="56">
        <f>IF(AND(A2236="", B2236="", E2236=""), "", TEXTJOIN("; ", TRUE, IF(OR(TRIM(A2236&amp;"")="", ISNUMBER(SEARCH("FALTA", A2236))), "UPC faltante/inválido", ""), IF(AND(A2236&lt;&gt;"", IFERROR(_xlfn.XMATCH(A2236,$A$2:$A$2509,0,1)&lt;&gt;_xlfn.XMATCH(A2236,$A$2:$A$2509,0,-1),FALSE)), "Código de barras duplicado", ""), IF(AND(E2236&lt;&gt;"", COUNTIF($E$2:$E$2509, E2236)&gt;1), "SKU duplicado", ""), IF(OR(J2236="", J2236=""), "[Aviso] División no capturada ()", IF(ISNA(MATCH(J2236, Criterios!$A$123:$A$126, 0)), "División no válida", "")), IF(OR(K2236="", K2236=""), "[Aviso] Categoría no capturada ()", IF(ISNA(MATCH(K2236, Criterios!$A$81:$A$120, 0)), "Categoría no válida", IF(AND(J2236&lt;&gt;"", J2236&lt;&gt;"", J2236&lt;&gt;VLOOKUP(K2236, Criterios!$A$81:$B$120, 2, FALSE)), "División no coincide con Categoría", ""))), IF(OR(L2236="", L2236=""), "[Aviso] Género no capturado ()", IF(ISNA(MATCH(L2236, Criterios!$B$123:$B$127, 0)), "Género no válido", "")), IF(OR(N2236="", N2236=""), "[Aviso] Temporada no capturada ()", IF(ISNA(MATCH(N2236, Criterios!$C$123:$C$128, 0)), "Temporada no válida", "")), IF(OR(O2236="", O2236=""), "[Aviso] Ciclo de vida no capturado ()", IF(ISNA(MATCH(O2236, Criterios!$D$123:$D$124, 0)), "Ciclo de vida no válido", ""))))</f>
        <v/>
      </c>
      <c r="AC2236" s="56" t="n"/>
      <c r="AD2236" s="51" t="n">
        <v>3</v>
      </c>
      <c r="AE2236" s="156" t="inlineStr">
        <is>
          <t>B25 STETSON.MX (5)</t>
        </is>
      </c>
      <c r="AF2236" s="51" t="n">
        <v>5</v>
      </c>
      <c r="AG2236" s="156" t="inlineStr">
        <is>
          <t>Catálogo existente</t>
        </is>
      </c>
      <c r="AH223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6" s="156" t="inlineStr">
        <is>
          <t>Sí</t>
        </is>
      </c>
      <c r="AJ2236" s="156" t="inlineStr">
        <is>
          <t>STETSON AMERICAS (-2)</t>
        </is>
      </c>
      <c r="AK2236" s="155" t="inlineStr">
        <is>
          <t>Criterios: J [R]; G1522_Extraccion_Articulos_NetSuite_2026-09-30.xlsx: fila 58220 [S] | Shopify Stetson: producto 14813155721579 / variante 53350598934891</t>
        </is>
      </c>
      <c r="AL2236" s="58" t="n">
        <v>678.8793103</v>
      </c>
      <c r="AM2236" s="58" t="n">
        <v>1508.62069</v>
      </c>
      <c r="AN2236" s="155" t="inlineStr">
        <is>
          <t>Shopify Stetson México</t>
        </is>
      </c>
      <c r="AO2236" s="59" t="n">
        <v>7</v>
      </c>
      <c r="AP2236" s="59" t="n"/>
      <c r="AQ2236" s="59" t="n"/>
      <c r="AR2236" s="155" t="inlineStr">
        <is>
          <t>Shopify Stetson México › Stetson México: 5 | Shopify Stetson México › Stetson Americas: 2</t>
        </is>
      </c>
    </row>
    <row r="2237">
      <c r="A2237" s="50" t="inlineStr">
        <is>
          <t>7506499569767</t>
        </is>
      </c>
      <c r="B2237" s="51" t="inlineStr">
        <is>
          <t>110406</t>
        </is>
      </c>
      <c r="C2237" s="156" t="inlineStr">
        <is>
          <t>Multimarca</t>
        </is>
      </c>
      <c r="D2237" s="156" t="inlineStr">
        <is>
          <t>ST-VR-S-004-FW25-HO</t>
        </is>
      </c>
      <c r="E2237" s="156" t="inlineStr">
        <is>
          <t>ST-VR-S-004-FW25-HO-M</t>
        </is>
      </c>
      <c r="F2237" s="156" t="inlineStr">
        <is>
          <t>M</t>
        </is>
      </c>
      <c r="G2237" s="156" t="inlineStr">
        <is>
          <t>M</t>
        </is>
      </c>
      <c r="H2237" s="156" t="inlineStr">
        <is>
          <t>Stetson</t>
        </is>
      </c>
      <c r="I2237" s="156" t="inlineStr">
        <is>
          <t>Camisa Stetson Vintage Range Solid</t>
        </is>
      </c>
      <c r="J2237" s="156" t="inlineStr">
        <is>
          <t>Ropa</t>
        </is>
      </c>
      <c r="K2237" s="156" t="inlineStr">
        <is>
          <t>Camisas</t>
        </is>
      </c>
      <c r="L2237" s="156" t="inlineStr">
        <is>
          <t>Hombre</t>
        </is>
      </c>
      <c r="M2237" s="156" t="inlineStr">
        <is>
          <t>Stetson</t>
        </is>
      </c>
      <c r="N2237" s="156" t="inlineStr">
        <is>
          <t>SS26</t>
        </is>
      </c>
      <c r="O2237" s="156" t="inlineStr">
        <is>
          <t>Seasonal</t>
        </is>
      </c>
      <c r="P2237" s="156" t="inlineStr">
        <is>
          <t>Varios</t>
        </is>
      </c>
      <c r="Q2237" s="156" t="inlineStr">
        <is>
          <t>Clásico</t>
        </is>
      </c>
      <c r="R2237" s="156" t="n"/>
      <c r="S2237" s="156" t="inlineStr">
        <is>
          <t>100% Algodón</t>
        </is>
      </c>
      <c r="T2237"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7" s="156" t="n"/>
      <c r="V2237" s="156" t="inlineStr">
        <is>
          <t>PZS</t>
        </is>
      </c>
      <c r="W2237" s="51" t="inlineStr">
        <is>
          <t>53101600</t>
        </is>
      </c>
      <c r="X2237" s="156" t="inlineStr">
        <is>
          <t>https://cdn.shopify.com/s/files/1/0888/3250/8267/files/ST-VR-S-003-WB-04.jpg?v=1762207423</t>
        </is>
      </c>
      <c r="Y2237" s="54" t="n">
        <v>678.8793103</v>
      </c>
      <c r="Z2237" s="54" t="n">
        <v>1508.62069</v>
      </c>
      <c r="AA2237" s="55">
        <f>IF(AND(A2237="", B2237="", E2237=""), "", IF(AB2237="", "Válido", IF((LEN(AB2237)-LEN(SUBSTITUTE(AB2237,"; ","")))/2+1&gt;(LEN(AB2237)-LEN(SUBSTITUTE(AB2237,"[Aviso]","")))/7, "Con Incidencias", "Válido")))</f>
        <v/>
      </c>
      <c r="AB2237" s="56">
        <f>IF(AND(A2237="", B2237="", E2237=""), "", TEXTJOIN("; ", TRUE, IF(OR(TRIM(A2237&amp;"")="", ISNUMBER(SEARCH("FALTA", A2237))), "UPC faltante/inválido", ""), IF(AND(A2237&lt;&gt;"", IFERROR(_xlfn.XMATCH(A2237,$A$2:$A$2509,0,1)&lt;&gt;_xlfn.XMATCH(A2237,$A$2:$A$2509,0,-1),FALSE)), "Código de barras duplicado", ""), IF(AND(E2237&lt;&gt;"", COUNTIF($E$2:$E$2509, E2237)&gt;1), "SKU duplicado", ""), IF(OR(J2237="", J2237=""), "[Aviso] División no capturada ()", IF(ISNA(MATCH(J2237, Criterios!$A$123:$A$126, 0)), "División no válida", "")), IF(OR(K2237="", K2237=""), "[Aviso] Categoría no capturada ()", IF(ISNA(MATCH(K2237, Criterios!$A$81:$A$120, 0)), "Categoría no válida", IF(AND(J2237&lt;&gt;"", J2237&lt;&gt;"", J2237&lt;&gt;VLOOKUP(K2237, Criterios!$A$81:$B$120, 2, FALSE)), "División no coincide con Categoría", ""))), IF(OR(L2237="", L2237=""), "[Aviso] Género no capturado ()", IF(ISNA(MATCH(L2237, Criterios!$B$123:$B$127, 0)), "Género no válido", "")), IF(OR(N2237="", N2237=""), "[Aviso] Temporada no capturada ()", IF(ISNA(MATCH(N2237, Criterios!$C$123:$C$128, 0)), "Temporada no válida", "")), IF(OR(O2237="", O2237=""), "[Aviso] Ciclo de vida no capturado ()", IF(ISNA(MATCH(O2237, Criterios!$D$123:$D$124, 0)), "Ciclo de vida no válido", ""))))</f>
        <v/>
      </c>
      <c r="AC2237" s="56" t="n"/>
      <c r="AD2237" s="51" t="n">
        <v>1</v>
      </c>
      <c r="AE2237" s="156" t="inlineStr">
        <is>
          <t>B25 STETSON.MX (5)</t>
        </is>
      </c>
      <c r="AF2237" s="51" t="n">
        <v>5</v>
      </c>
      <c r="AG2237" s="156" t="inlineStr">
        <is>
          <t>Catálogo existente</t>
        </is>
      </c>
      <c r="AH223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7" s="156" t="inlineStr">
        <is>
          <t>Sí</t>
        </is>
      </c>
      <c r="AJ2237" s="156" t="inlineStr">
        <is>
          <t>STETSON AMERICAS (-4)</t>
        </is>
      </c>
      <c r="AK2237" s="155" t="inlineStr">
        <is>
          <t>Criterios: J [R]; G1522_Extraccion_Articulos_NetSuite_2026-09-30.xlsx: fila 58221 [S] | Shopify Stetson: producto 14813155721579 / variante 53350598967659</t>
        </is>
      </c>
      <c r="AL2237" s="58" t="n">
        <v>678.8793103</v>
      </c>
      <c r="AM2237" s="58" t="n">
        <v>1508.62069</v>
      </c>
      <c r="AN2237" s="155" t="inlineStr">
        <is>
          <t>Shopify Stetson México</t>
        </is>
      </c>
      <c r="AO2237" s="59" t="n">
        <v>5</v>
      </c>
      <c r="AP2237" s="59" t="n"/>
      <c r="AQ2237" s="59" t="n"/>
      <c r="AR2237" s="155" t="inlineStr">
        <is>
          <t>Shopify Stetson México › Stetson México: 5</t>
        </is>
      </c>
    </row>
    <row r="2238">
      <c r="A2238" s="50" t="inlineStr">
        <is>
          <t>7506499569774</t>
        </is>
      </c>
      <c r="B2238" s="51" t="inlineStr">
        <is>
          <t>110407</t>
        </is>
      </c>
      <c r="C2238" s="156" t="inlineStr">
        <is>
          <t>Multimarca</t>
        </is>
      </c>
      <c r="D2238" s="156" t="inlineStr">
        <is>
          <t>ST-VR-S-004-FW25-HO</t>
        </is>
      </c>
      <c r="E2238" s="156" t="inlineStr">
        <is>
          <t>ST-VR-S-004-FW25-HO-L</t>
        </is>
      </c>
      <c r="F2238" s="156" t="inlineStr">
        <is>
          <t>L</t>
        </is>
      </c>
      <c r="G2238" s="156" t="inlineStr">
        <is>
          <t>L</t>
        </is>
      </c>
      <c r="H2238" s="156" t="inlineStr">
        <is>
          <t>Stetson</t>
        </is>
      </c>
      <c r="I2238" s="156" t="inlineStr">
        <is>
          <t>Camisa Stetson Vintage Range Solid</t>
        </is>
      </c>
      <c r="J2238" s="156" t="inlineStr">
        <is>
          <t>Ropa</t>
        </is>
      </c>
      <c r="K2238" s="156" t="inlineStr">
        <is>
          <t>Camisas</t>
        </is>
      </c>
      <c r="L2238" s="156" t="inlineStr">
        <is>
          <t>Hombre</t>
        </is>
      </c>
      <c r="M2238" s="156" t="inlineStr">
        <is>
          <t>Stetson</t>
        </is>
      </c>
      <c r="N2238" s="156" t="inlineStr">
        <is>
          <t>SS26</t>
        </is>
      </c>
      <c r="O2238" s="156" t="inlineStr">
        <is>
          <t>Seasonal</t>
        </is>
      </c>
      <c r="P2238" s="156" t="inlineStr">
        <is>
          <t>Varios</t>
        </is>
      </c>
      <c r="Q2238" s="156" t="inlineStr">
        <is>
          <t>Clásico</t>
        </is>
      </c>
      <c r="R2238" s="156" t="n"/>
      <c r="S2238" s="156" t="inlineStr">
        <is>
          <t>100% Algodón</t>
        </is>
      </c>
      <c r="T2238"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8" s="156" t="n"/>
      <c r="V2238" s="156" t="inlineStr">
        <is>
          <t>PZS</t>
        </is>
      </c>
      <c r="W2238" s="51" t="inlineStr">
        <is>
          <t>53101600</t>
        </is>
      </c>
      <c r="X2238" s="156" t="inlineStr">
        <is>
          <t>https://cdn.shopify.com/s/files/1/0888/3250/8267/files/ST-VR-S-002-OR-01.jpg?v=1762207439</t>
        </is>
      </c>
      <c r="Y2238" s="54" t="n">
        <v>678.8793103</v>
      </c>
      <c r="Z2238" s="54" t="n">
        <v>1508.62069</v>
      </c>
      <c r="AA2238" s="55">
        <f>IF(AND(A2238="", B2238="", E2238=""), "", IF(AB2238="", "Válido", IF((LEN(AB2238)-LEN(SUBSTITUTE(AB2238,"; ","")))/2+1&gt;(LEN(AB2238)-LEN(SUBSTITUTE(AB2238,"[Aviso]","")))/7, "Con Incidencias", "Válido")))</f>
        <v/>
      </c>
      <c r="AB2238" s="56">
        <f>IF(AND(A2238="", B2238="", E2238=""), "", TEXTJOIN("; ", TRUE, IF(OR(TRIM(A2238&amp;"")="", ISNUMBER(SEARCH("FALTA", A2238))), "UPC faltante/inválido", ""), IF(AND(A2238&lt;&gt;"", IFERROR(_xlfn.XMATCH(A2238,$A$2:$A$2509,0,1)&lt;&gt;_xlfn.XMATCH(A2238,$A$2:$A$2509,0,-1),FALSE)), "Código de barras duplicado", ""), IF(AND(E2238&lt;&gt;"", COUNTIF($E$2:$E$2509, E2238)&gt;1), "SKU duplicado", ""), IF(OR(J2238="", J2238=""), "[Aviso] División no capturada ()", IF(ISNA(MATCH(J2238, Criterios!$A$123:$A$126, 0)), "División no válida", "")), IF(OR(K2238="", K2238=""), "[Aviso] Categoría no capturada ()", IF(ISNA(MATCH(K2238, Criterios!$A$81:$A$120, 0)), "Categoría no válida", IF(AND(J2238&lt;&gt;"", J2238&lt;&gt;"", J2238&lt;&gt;VLOOKUP(K2238, Criterios!$A$81:$B$120, 2, FALSE)), "División no coincide con Categoría", ""))), IF(OR(L2238="", L2238=""), "[Aviso] Género no capturado ()", IF(ISNA(MATCH(L2238, Criterios!$B$123:$B$127, 0)), "Género no válido", "")), IF(OR(N2238="", N2238=""), "[Aviso] Temporada no capturada ()", IF(ISNA(MATCH(N2238, Criterios!$C$123:$C$128, 0)), "Temporada no válida", "")), IF(OR(O2238="", O2238=""), "[Aviso] Ciclo de vida no capturado ()", IF(ISNA(MATCH(O2238, Criterios!$D$123:$D$124, 0)), "Ciclo de vida no válido", ""))))</f>
        <v/>
      </c>
      <c r="AC2238" s="56" t="n"/>
      <c r="AD2238" s="51" t="n">
        <v>1</v>
      </c>
      <c r="AE2238" s="156" t="inlineStr">
        <is>
          <t>B25 STETSON.MX (7)</t>
        </is>
      </c>
      <c r="AF2238" s="51" t="n">
        <v>7</v>
      </c>
      <c r="AG2238" s="156" t="inlineStr">
        <is>
          <t>Catálogo existente</t>
        </is>
      </c>
      <c r="AH223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8" s="156" t="inlineStr">
        <is>
          <t>Sí</t>
        </is>
      </c>
      <c r="AJ2238" s="156" t="inlineStr">
        <is>
          <t>STETSON AMERICAS (-6)</t>
        </is>
      </c>
      <c r="AK2238" s="155" t="inlineStr">
        <is>
          <t>Criterios: J [R]; G1522_Extraccion_Articulos_NetSuite_2026-09-30.xlsx: fila 58222 [S] | Shopify Stetson: producto 14813155721579 / variante 53350599000427</t>
        </is>
      </c>
      <c r="AL2238" s="58" t="n">
        <v>678.8793103</v>
      </c>
      <c r="AM2238" s="58" t="n">
        <v>1508.62069</v>
      </c>
      <c r="AN2238" s="155" t="inlineStr">
        <is>
          <t>Shopify Stetson México</t>
        </is>
      </c>
      <c r="AO2238" s="59" t="n">
        <v>7</v>
      </c>
      <c r="AP2238" s="59" t="n"/>
      <c r="AQ2238" s="59" t="n"/>
      <c r="AR2238" s="155" t="inlineStr">
        <is>
          <t>Shopify Stetson México › Stetson México: 7</t>
        </is>
      </c>
    </row>
    <row r="2239">
      <c r="A2239" s="50" t="inlineStr">
        <is>
          <t>7506499569781</t>
        </is>
      </c>
      <c r="B2239" s="51" t="inlineStr">
        <is>
          <t>110408</t>
        </is>
      </c>
      <c r="C2239" s="156" t="inlineStr">
        <is>
          <t>Multimarca</t>
        </is>
      </c>
      <c r="D2239" s="156" t="inlineStr">
        <is>
          <t>ST-VR-S-004-FW25-HO</t>
        </is>
      </c>
      <c r="E2239" s="156" t="inlineStr">
        <is>
          <t>ST-VR-S-004-FW25-HO-XL</t>
        </is>
      </c>
      <c r="F2239" s="156" t="inlineStr">
        <is>
          <t>XL</t>
        </is>
      </c>
      <c r="G2239" s="156" t="inlineStr">
        <is>
          <t>XL</t>
        </is>
      </c>
      <c r="H2239" s="156" t="inlineStr">
        <is>
          <t>Stetson</t>
        </is>
      </c>
      <c r="I2239" s="156" t="inlineStr">
        <is>
          <t>Camisa Stetson Vintage Range Solid</t>
        </is>
      </c>
      <c r="J2239" s="156" t="inlineStr">
        <is>
          <t>Ropa</t>
        </is>
      </c>
      <c r="K2239" s="156" t="inlineStr">
        <is>
          <t>Camisas</t>
        </is>
      </c>
      <c r="L2239" s="156" t="inlineStr">
        <is>
          <t>Hombre</t>
        </is>
      </c>
      <c r="M2239" s="156" t="inlineStr">
        <is>
          <t>Stetson</t>
        </is>
      </c>
      <c r="N2239" s="156" t="inlineStr">
        <is>
          <t>SS26</t>
        </is>
      </c>
      <c r="O2239" s="156" t="inlineStr">
        <is>
          <t>Seasonal</t>
        </is>
      </c>
      <c r="P2239" s="156" t="inlineStr">
        <is>
          <t>Varios</t>
        </is>
      </c>
      <c r="Q2239" s="156" t="inlineStr">
        <is>
          <t>Clásico</t>
        </is>
      </c>
      <c r="R2239" s="156" t="n"/>
      <c r="S2239" s="156" t="inlineStr">
        <is>
          <t>100% Algodón</t>
        </is>
      </c>
      <c r="T2239"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9" s="156" t="n"/>
      <c r="V2239" s="156" t="inlineStr">
        <is>
          <t>PZS</t>
        </is>
      </c>
      <c r="W2239" s="51" t="inlineStr">
        <is>
          <t>53101600</t>
        </is>
      </c>
      <c r="X2239" s="156" t="inlineStr">
        <is>
          <t>https://cdn.shopify.com/s/files/1/0888/3250/8267/files/ST-VR-S-002-OR-01_c307aabe-4dc5-4187-8e71-9d0a276a1cb6.jpg?v=1790010318</t>
        </is>
      </c>
      <c r="Y2239" s="54" t="n">
        <v>678.8793103</v>
      </c>
      <c r="Z2239" s="54" t="n">
        <v>1508.62069</v>
      </c>
      <c r="AA2239" s="55">
        <f>IF(AND(A2239="", B2239="", E2239=""), "", IF(AB2239="", "Válido", IF((LEN(AB2239)-LEN(SUBSTITUTE(AB2239,"; ","")))/2+1&gt;(LEN(AB2239)-LEN(SUBSTITUTE(AB2239,"[Aviso]","")))/7, "Con Incidencias", "Válido")))</f>
        <v/>
      </c>
      <c r="AB2239" s="56">
        <f>IF(AND(A2239="", B2239="", E2239=""), "", TEXTJOIN("; ", TRUE, IF(OR(TRIM(A2239&amp;"")="", ISNUMBER(SEARCH("FALTA", A2239))), "UPC faltante/inválido", ""), IF(AND(A2239&lt;&gt;"", IFERROR(_xlfn.XMATCH(A2239,$A$2:$A$2509,0,1)&lt;&gt;_xlfn.XMATCH(A2239,$A$2:$A$2509,0,-1),FALSE)), "Código de barras duplicado", ""), IF(AND(E2239&lt;&gt;"", COUNTIF($E$2:$E$2509, E2239)&gt;1), "SKU duplicado", ""), IF(OR(J2239="", J2239=""), "[Aviso] División no capturada ()", IF(ISNA(MATCH(J2239, Criterios!$A$123:$A$126, 0)), "División no válida", "")), IF(OR(K2239="", K2239=""), "[Aviso] Categoría no capturada ()", IF(ISNA(MATCH(K2239, Criterios!$A$81:$A$120, 0)), "Categoría no válida", IF(AND(J2239&lt;&gt;"", J2239&lt;&gt;"", J2239&lt;&gt;VLOOKUP(K2239, Criterios!$A$81:$B$120, 2, FALSE)), "División no coincide con Categoría", ""))), IF(OR(L2239="", L2239=""), "[Aviso] Género no capturado ()", IF(ISNA(MATCH(L2239, Criterios!$B$123:$B$127, 0)), "Género no válido", "")), IF(OR(N2239="", N2239=""), "[Aviso] Temporada no capturada ()", IF(ISNA(MATCH(N2239, Criterios!$C$123:$C$128, 0)), "Temporada no válida", "")), IF(OR(O2239="", O2239=""), "[Aviso] Ciclo de vida no capturado ()", IF(ISNA(MATCH(O2239, Criterios!$D$123:$D$124, 0)), "Ciclo de vida no válido", ""))))</f>
        <v/>
      </c>
      <c r="AC2239" s="56" t="n"/>
      <c r="AD2239" s="51" t="n">
        <v>-4</v>
      </c>
      <c r="AE2239" s="156" t="inlineStr">
        <is>
          <t>B25 STETSON.MX (1)</t>
        </is>
      </c>
      <c r="AF2239" s="51" t="n">
        <v>1</v>
      </c>
      <c r="AG2239" s="156" t="inlineStr">
        <is>
          <t>Catálogo existente</t>
        </is>
      </c>
      <c r="AH2239"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9" s="156" t="inlineStr">
        <is>
          <t>Sí</t>
        </is>
      </c>
      <c r="AJ2239" s="156" t="inlineStr">
        <is>
          <t>STETSON AMERICAS (-5)</t>
        </is>
      </c>
      <c r="AK2239" s="155" t="inlineStr">
        <is>
          <t>Criterios: J [R]; G1522_Extraccion_Articulos_NetSuite_2026-09-30.xlsx: fila 58223 [S] | Shopify Stetson: producto 14813155721579 / variante 53350599033195</t>
        </is>
      </c>
      <c r="AL2239" s="58" t="n">
        <v>678.8793103</v>
      </c>
      <c r="AM2239" s="58" t="n">
        <v>1508.62069</v>
      </c>
      <c r="AN2239" s="155" t="inlineStr">
        <is>
          <t>Shopify Stetson México</t>
        </is>
      </c>
      <c r="AO2239" s="59" t="n">
        <v>2</v>
      </c>
      <c r="AP2239" s="59" t="n"/>
      <c r="AQ2239" s="59" t="n"/>
      <c r="AR2239" s="155" t="inlineStr">
        <is>
          <t>Shopify Stetson México › Stetson México: 1 | Shopify Stetson México › Stetson Americas: 1</t>
        </is>
      </c>
    </row>
    <row r="2240">
      <c r="A2240" s="50" t="inlineStr">
        <is>
          <t>7506499569798</t>
        </is>
      </c>
      <c r="B2240" s="51" t="inlineStr">
        <is>
          <t>110409</t>
        </is>
      </c>
      <c r="C2240" s="156" t="inlineStr">
        <is>
          <t>Multimarca</t>
        </is>
      </c>
      <c r="D2240" s="156" t="inlineStr">
        <is>
          <t>ST-VR-S-004-FW25-HO</t>
        </is>
      </c>
      <c r="E2240" s="156" t="inlineStr">
        <is>
          <t>ST-VR-S-004-FW25-HO-XXL</t>
        </is>
      </c>
      <c r="F2240" s="156" t="inlineStr">
        <is>
          <t>XXL</t>
        </is>
      </c>
      <c r="G2240" s="156" t="inlineStr">
        <is>
          <t>XXL</t>
        </is>
      </c>
      <c r="H2240" s="156" t="inlineStr">
        <is>
          <t>Stetson</t>
        </is>
      </c>
      <c r="I2240" s="156" t="inlineStr">
        <is>
          <t>Camisa Stetson Vintage Range Solid</t>
        </is>
      </c>
      <c r="J2240" s="156" t="inlineStr">
        <is>
          <t>Ropa</t>
        </is>
      </c>
      <c r="K2240" s="156" t="inlineStr">
        <is>
          <t>Camisas</t>
        </is>
      </c>
      <c r="L2240" s="156" t="inlineStr">
        <is>
          <t>Hombre</t>
        </is>
      </c>
      <c r="M2240" s="156" t="inlineStr">
        <is>
          <t>Stetson</t>
        </is>
      </c>
      <c r="N2240" s="156" t="inlineStr">
        <is>
          <t>SS26</t>
        </is>
      </c>
      <c r="O2240" s="156" t="inlineStr">
        <is>
          <t>Seasonal</t>
        </is>
      </c>
      <c r="P2240" s="156" t="inlineStr">
        <is>
          <t>Varios</t>
        </is>
      </c>
      <c r="Q2240" s="156" t="inlineStr">
        <is>
          <t>Clásico</t>
        </is>
      </c>
      <c r="R2240" s="156" t="n"/>
      <c r="S2240" s="156" t="inlineStr">
        <is>
          <t>100% Algodón</t>
        </is>
      </c>
      <c r="T2240"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40" s="156" t="n"/>
      <c r="V2240" s="156" t="inlineStr">
        <is>
          <t>PZS</t>
        </is>
      </c>
      <c r="W2240" s="51" t="inlineStr">
        <is>
          <t>53101600</t>
        </is>
      </c>
      <c r="X2240" s="156" t="inlineStr">
        <is>
          <t>https://cdn.shopify.com/s/files/1/0888/3250/8267/files/ST-VR-S-002-OR-02.jpg?v=1762207440</t>
        </is>
      </c>
      <c r="Y2240" s="54" t="n">
        <v>678.8793103</v>
      </c>
      <c r="Z2240" s="54" t="n">
        <v>1508.62069</v>
      </c>
      <c r="AA2240" s="55">
        <f>IF(AND(A2240="", B2240="", E2240=""), "", IF(AB2240="", "Válido", IF((LEN(AB2240)-LEN(SUBSTITUTE(AB2240,"; ","")))/2+1&gt;(LEN(AB2240)-LEN(SUBSTITUTE(AB2240,"[Aviso]","")))/7, "Con Incidencias", "Válido")))</f>
        <v/>
      </c>
      <c r="AB2240" s="56">
        <f>IF(AND(A2240="", B2240="", E2240=""), "", TEXTJOIN("; ", TRUE, IF(OR(TRIM(A2240&amp;"")="", ISNUMBER(SEARCH("FALTA", A2240))), "UPC faltante/inválido", ""), IF(AND(A2240&lt;&gt;"", IFERROR(_xlfn.XMATCH(A2240,$A$2:$A$2509,0,1)&lt;&gt;_xlfn.XMATCH(A2240,$A$2:$A$2509,0,-1),FALSE)), "Código de barras duplicado", ""), IF(AND(E2240&lt;&gt;"", COUNTIF($E$2:$E$2509, E2240)&gt;1), "SKU duplicado", ""), IF(OR(J2240="", J2240=""), "[Aviso] División no capturada ()", IF(ISNA(MATCH(J2240, Criterios!$A$123:$A$126, 0)), "División no válida", "")), IF(OR(K2240="", K2240=""), "[Aviso] Categoría no capturada ()", IF(ISNA(MATCH(K2240, Criterios!$A$81:$A$120, 0)), "Categoría no válida", IF(AND(J2240&lt;&gt;"", J2240&lt;&gt;"", J2240&lt;&gt;VLOOKUP(K2240, Criterios!$A$81:$B$120, 2, FALSE)), "División no coincide con Categoría", ""))), IF(OR(L2240="", L2240=""), "[Aviso] Género no capturado ()", IF(ISNA(MATCH(L2240, Criterios!$B$123:$B$127, 0)), "Género no válido", "")), IF(OR(N2240="", N2240=""), "[Aviso] Temporada no capturada ()", IF(ISNA(MATCH(N2240, Criterios!$C$123:$C$128, 0)), "Temporada no válida", "")), IF(OR(O2240="", O2240=""), "[Aviso] Ciclo de vida no capturado ()", IF(ISNA(MATCH(O2240, Criterios!$D$123:$D$124, 0)), "Ciclo de vida no válido", ""))))</f>
        <v/>
      </c>
      <c r="AC2240" s="56" t="n"/>
      <c r="AD2240" s="51" t="n">
        <v>-1</v>
      </c>
      <c r="AE2240" s="156" t="n"/>
      <c r="AF2240" s="51" t="n">
        <v>0</v>
      </c>
      <c r="AG2240" s="156" t="inlineStr">
        <is>
          <t>Catálogo existente</t>
        </is>
      </c>
      <c r="AH2240"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0" s="156" t="inlineStr">
        <is>
          <t>Sí</t>
        </is>
      </c>
      <c r="AJ2240" s="156" t="inlineStr">
        <is>
          <t>STETSON AMERICAS (-1)</t>
        </is>
      </c>
      <c r="AK2240" s="155" t="inlineStr">
        <is>
          <t>Criterios: J [R]; G1522_Extraccion_Articulos_NetSuite_2026-09-30.xlsx: fila 58224 [S] | Shopify Stetson: producto 14813155721579 / variante 53350599065963</t>
        </is>
      </c>
      <c r="AL2240" s="58" t="n">
        <v>678.8793103</v>
      </c>
      <c r="AM2240" s="58" t="n">
        <v>1508.62069</v>
      </c>
      <c r="AN2240" s="155" t="inlineStr">
        <is>
          <t>Shopify Stetson México</t>
        </is>
      </c>
      <c r="AO2240" s="59" t="n">
        <v>0</v>
      </c>
      <c r="AP2240" s="59" t="n"/>
      <c r="AQ2240" s="59" t="n"/>
      <c r="AR2240" s="155" t="n"/>
    </row>
    <row r="2241">
      <c r="A2241" s="50" t="inlineStr">
        <is>
          <t>7506499569804</t>
        </is>
      </c>
      <c r="B2241" s="51" t="inlineStr">
        <is>
          <t>108509</t>
        </is>
      </c>
      <c r="C2241" s="156" t="inlineStr">
        <is>
          <t>Multimarca</t>
        </is>
      </c>
      <c r="D2241" s="156" t="inlineStr">
        <is>
          <t>ST-VR-P-001-FW25-HE</t>
        </is>
      </c>
      <c r="E2241" s="156" t="inlineStr">
        <is>
          <t>ST-VR-P-001-FW25-HE-S</t>
        </is>
      </c>
      <c r="F2241" s="156" t="inlineStr">
        <is>
          <t>S</t>
        </is>
      </c>
      <c r="G2241" s="156" t="inlineStr">
        <is>
          <t>S</t>
        </is>
      </c>
      <c r="H2241" s="156" t="inlineStr">
        <is>
          <t>Stetson</t>
        </is>
      </c>
      <c r="I2241" s="156" t="inlineStr">
        <is>
          <t>Camisa Stetson Vintage Range Heritage</t>
        </is>
      </c>
      <c r="J2241" s="156" t="inlineStr">
        <is>
          <t>Ropa</t>
        </is>
      </c>
      <c r="K2241" s="156" t="inlineStr">
        <is>
          <t>Camisas</t>
        </is>
      </c>
      <c r="L2241" s="156" t="inlineStr">
        <is>
          <t>Hombre</t>
        </is>
      </c>
      <c r="M2241" s="156" t="inlineStr">
        <is>
          <t>Stetson</t>
        </is>
      </c>
      <c r="N2241" s="156" t="inlineStr">
        <is>
          <t>SS26</t>
        </is>
      </c>
      <c r="O2241" s="156" t="inlineStr">
        <is>
          <t>Seasonal</t>
        </is>
      </c>
      <c r="P2241" s="156" t="inlineStr">
        <is>
          <t>Morado</t>
        </is>
      </c>
      <c r="Q2241" s="156" t="inlineStr">
        <is>
          <t>Clásico</t>
        </is>
      </c>
      <c r="R2241" s="156" t="n"/>
      <c r="S2241" s="156" t="inlineStr">
        <is>
          <t>100% Algodón</t>
        </is>
      </c>
      <c r="T224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1" s="156" t="n"/>
      <c r="V2241" s="156" t="inlineStr">
        <is>
          <t>PZS</t>
        </is>
      </c>
      <c r="W2241" s="51" t="inlineStr">
        <is>
          <t>53101600</t>
        </is>
      </c>
      <c r="X2241" s="156" t="inlineStr">
        <is>
          <t>https://cdn.shopify.com/s/files/1/0888/3250/8267/files/ST-VR-P-001-HE-01_8f8d7ada-95fb-43d8-951d-79586ca0adba.jpg?v=1762279019</t>
        </is>
      </c>
      <c r="Y2241" s="54" t="n">
        <v>678.8793103</v>
      </c>
      <c r="Z2241" s="54" t="n">
        <v>1508.62069</v>
      </c>
      <c r="AA2241" s="55">
        <f>IF(AND(A2241="", B2241="", E2241=""), "", IF(AB2241="", "Válido", IF((LEN(AB2241)-LEN(SUBSTITUTE(AB2241,"; ","")))/2+1&gt;(LEN(AB2241)-LEN(SUBSTITUTE(AB2241,"[Aviso]","")))/7, "Con Incidencias", "Válido")))</f>
        <v/>
      </c>
      <c r="AB2241" s="56">
        <f>IF(AND(A2241="", B2241="", E2241=""), "", TEXTJOIN("; ", TRUE, IF(OR(TRIM(A2241&amp;"")="", ISNUMBER(SEARCH("FALTA", A2241))), "UPC faltante/inválido", ""), IF(AND(A2241&lt;&gt;"", IFERROR(_xlfn.XMATCH(A2241,$A$2:$A$2509,0,1)&lt;&gt;_xlfn.XMATCH(A2241,$A$2:$A$2509,0,-1),FALSE)), "Código de barras duplicado", ""), IF(AND(E2241&lt;&gt;"", COUNTIF($E$2:$E$2509, E2241)&gt;1), "SKU duplicado", ""), IF(OR(J2241="", J2241=""), "[Aviso] División no capturada ()", IF(ISNA(MATCH(J2241, Criterios!$A$123:$A$126, 0)), "División no válida", "")), IF(OR(K2241="", K2241=""), "[Aviso] Categoría no capturada ()", IF(ISNA(MATCH(K2241, Criterios!$A$81:$A$120, 0)), "Categoría no válida", IF(AND(J2241&lt;&gt;"", J2241&lt;&gt;"", J2241&lt;&gt;VLOOKUP(K2241, Criterios!$A$81:$B$120, 2, FALSE)), "División no coincide con Categoría", ""))), IF(OR(L2241="", L2241=""), "[Aviso] Género no capturado ()", IF(ISNA(MATCH(L2241, Criterios!$B$123:$B$127, 0)), "Género no válido", "")), IF(OR(N2241="", N2241=""), "[Aviso] Temporada no capturada ()", IF(ISNA(MATCH(N2241, Criterios!$C$123:$C$128, 0)), "Temporada no válida", "")), IF(OR(O2241="", O2241=""), "[Aviso] Ciclo de vida no capturado ()", IF(ISNA(MATCH(O2241, Criterios!$D$123:$D$124, 0)), "Ciclo de vida no válido", ""))))</f>
        <v/>
      </c>
      <c r="AC2241" s="56" t="n"/>
      <c r="AD2241" s="51" t="n">
        <v>5</v>
      </c>
      <c r="AE2241" s="156" t="inlineStr">
        <is>
          <t>WB OUTLET LERMA (1); B25 STETSON.MX (5)</t>
        </is>
      </c>
      <c r="AF2241" s="51" t="n">
        <v>6</v>
      </c>
      <c r="AG2241" s="156" t="inlineStr">
        <is>
          <t>Catálogo existente</t>
        </is>
      </c>
      <c r="AH224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1" s="156" t="inlineStr">
        <is>
          <t>Sí</t>
        </is>
      </c>
      <c r="AJ2241" s="156" t="inlineStr">
        <is>
          <t>STETSON AMERICAS (-1)</t>
        </is>
      </c>
      <c r="AK2241" s="155" t="inlineStr">
        <is>
          <t>Criterios: J [R]; G1522_Extraccion_Articulos_NetSuite_2026-09-30.xlsx: fila 56668 [S] | Shopify Stetson: producto 14814546231659 / variante 53350598508907 | Shopify WB: producto 8569965772985 / variante 47621335253177</t>
        </is>
      </c>
      <c r="AL2241" s="58" t="n">
        <v>678.8793103</v>
      </c>
      <c r="AM2241" s="58" t="n">
        <v>1508.62069</v>
      </c>
      <c r="AN2241" s="155" t="inlineStr">
        <is>
          <t>Shopify Stetson México | Shopify Western Brothers</t>
        </is>
      </c>
      <c r="AO2241" s="59" t="n">
        <v>8</v>
      </c>
      <c r="AP2241" s="59" t="n">
        <v>1</v>
      </c>
      <c r="AQ2241" s="59" t="n"/>
      <c r="AR2241" s="155" t="inlineStr">
        <is>
          <t>Shopify Stetson México › Stetson México: 5 | Shopify Stetson México › Stetson Americas: 3 | Shopify Western Brothers › Western Brothers Outlet Lerma: 1</t>
        </is>
      </c>
    </row>
    <row r="2242">
      <c r="A2242" s="50" t="inlineStr">
        <is>
          <t>7506499569811</t>
        </is>
      </c>
      <c r="B2242" s="51" t="inlineStr">
        <is>
          <t>108510</t>
        </is>
      </c>
      <c r="C2242" s="156" t="inlineStr">
        <is>
          <t>Multimarca</t>
        </is>
      </c>
      <c r="D2242" s="156" t="inlineStr">
        <is>
          <t>ST-VR-P-001-FW25-HE</t>
        </is>
      </c>
      <c r="E2242" s="156" t="inlineStr">
        <is>
          <t>ST-VR-P-001-FW25-HE-M</t>
        </is>
      </c>
      <c r="F2242" s="156" t="inlineStr">
        <is>
          <t>M</t>
        </is>
      </c>
      <c r="G2242" s="156" t="inlineStr">
        <is>
          <t>M</t>
        </is>
      </c>
      <c r="H2242" s="156" t="inlineStr">
        <is>
          <t>Stetson</t>
        </is>
      </c>
      <c r="I2242" s="156" t="inlineStr">
        <is>
          <t>Camisa Stetson Vintage Range Heritage</t>
        </is>
      </c>
      <c r="J2242" s="156" t="inlineStr">
        <is>
          <t>Ropa</t>
        </is>
      </c>
      <c r="K2242" s="156" t="inlineStr">
        <is>
          <t>Camisas</t>
        </is>
      </c>
      <c r="L2242" s="156" t="inlineStr">
        <is>
          <t>Hombre</t>
        </is>
      </c>
      <c r="M2242" s="156" t="inlineStr">
        <is>
          <t>Stetson</t>
        </is>
      </c>
      <c r="N2242" s="156" t="inlineStr">
        <is>
          <t>SS26</t>
        </is>
      </c>
      <c r="O2242" s="156" t="inlineStr">
        <is>
          <t>Seasonal</t>
        </is>
      </c>
      <c r="P2242" s="156" t="inlineStr">
        <is>
          <t>Morado</t>
        </is>
      </c>
      <c r="Q2242" s="156" t="inlineStr">
        <is>
          <t>Clásico</t>
        </is>
      </c>
      <c r="R2242" s="156" t="n"/>
      <c r="S2242" s="156" t="inlineStr">
        <is>
          <t>100% Algodón</t>
        </is>
      </c>
      <c r="T224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2" s="156" t="n"/>
      <c r="V2242" s="156" t="inlineStr">
        <is>
          <t>PZS</t>
        </is>
      </c>
      <c r="W2242" s="51" t="inlineStr">
        <is>
          <t>53101600</t>
        </is>
      </c>
      <c r="X2242" s="156" t="inlineStr">
        <is>
          <t>https://cdn.shopify.com/s/files/1/0888/3250/8267/files/ST-VR-P-001-HE-02_a57f6e35-0104-4373-a6a9-e90ad7b7b21e.jpg?v=1762279048</t>
        </is>
      </c>
      <c r="Y2242" s="54" t="n">
        <v>678.8793103</v>
      </c>
      <c r="Z2242" s="54" t="n">
        <v>1508.62069</v>
      </c>
      <c r="AA2242" s="55">
        <f>IF(AND(A2242="", B2242="", E2242=""), "", IF(AB2242="", "Válido", IF((LEN(AB2242)-LEN(SUBSTITUTE(AB2242,"; ","")))/2+1&gt;(LEN(AB2242)-LEN(SUBSTITUTE(AB2242,"[Aviso]","")))/7, "Con Incidencias", "Válido")))</f>
        <v/>
      </c>
      <c r="AB2242" s="56">
        <f>IF(AND(A2242="", B2242="", E2242=""), "", TEXTJOIN("; ", TRUE, IF(OR(TRIM(A2242&amp;"")="", ISNUMBER(SEARCH("FALTA", A2242))), "UPC faltante/inválido", ""), IF(AND(A2242&lt;&gt;"", IFERROR(_xlfn.XMATCH(A2242,$A$2:$A$2509,0,1)&lt;&gt;_xlfn.XMATCH(A2242,$A$2:$A$2509,0,-1),FALSE)), "Código de barras duplicado", ""), IF(AND(E2242&lt;&gt;"", COUNTIF($E$2:$E$2509, E2242)&gt;1), "SKU duplicado", ""), IF(OR(J2242="", J2242=""), "[Aviso] División no capturada ()", IF(ISNA(MATCH(J2242, Criterios!$A$123:$A$126, 0)), "División no válida", "")), IF(OR(K2242="", K2242=""), "[Aviso] Categoría no capturada ()", IF(ISNA(MATCH(K2242, Criterios!$A$81:$A$120, 0)), "Categoría no válida", IF(AND(J2242&lt;&gt;"", J2242&lt;&gt;"", J2242&lt;&gt;VLOOKUP(K2242, Criterios!$A$81:$B$120, 2, FALSE)), "División no coincide con Categoría", ""))), IF(OR(L2242="", L2242=""), "[Aviso] Género no capturado ()", IF(ISNA(MATCH(L2242, Criterios!$B$123:$B$127, 0)), "Género no válido", "")), IF(OR(N2242="", N2242=""), "[Aviso] Temporada no capturada ()", IF(ISNA(MATCH(N2242, Criterios!$C$123:$C$128, 0)), "Temporada no válida", "")), IF(OR(O2242="", O2242=""), "[Aviso] Ciclo de vida no capturado ()", IF(ISNA(MATCH(O2242, Criterios!$D$123:$D$124, 0)), "Ciclo de vida no válido", ""))))</f>
        <v/>
      </c>
      <c r="AC2242" s="56" t="n"/>
      <c r="AD2242" s="51" t="n">
        <v>4</v>
      </c>
      <c r="AE2242" s="156" t="inlineStr">
        <is>
          <t>B25 STETSON.MX (5)</t>
        </is>
      </c>
      <c r="AF2242" s="51" t="n">
        <v>5</v>
      </c>
      <c r="AG2242" s="156" t="inlineStr">
        <is>
          <t>Catálogo existente</t>
        </is>
      </c>
      <c r="AH224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2" s="156" t="inlineStr">
        <is>
          <t>Sí</t>
        </is>
      </c>
      <c r="AJ2242" s="156" t="inlineStr">
        <is>
          <t>STETSON AMERICAS (-1)</t>
        </is>
      </c>
      <c r="AK2242" s="155" t="inlineStr">
        <is>
          <t>Criterios: J [R]; G1522_Extraccion_Articulos_NetSuite_2026-09-30.xlsx: fila 56669 [S] | Shopify Stetson: producto 14814546231659 / variante 53350598541675 | Shopify WB: producto 8569965772985 / variante 47621335285945</t>
        </is>
      </c>
      <c r="AL2242" s="58" t="n">
        <v>678.8793103</v>
      </c>
      <c r="AM2242" s="58" t="n">
        <v>1508.62069</v>
      </c>
      <c r="AN2242" s="155" t="inlineStr">
        <is>
          <t>Shopify Stetson México | Shopify Western Brothers</t>
        </is>
      </c>
      <c r="AO2242" s="59" t="n">
        <v>8</v>
      </c>
      <c r="AP2242" s="59" t="n">
        <v>0</v>
      </c>
      <c r="AQ2242" s="59" t="n"/>
      <c r="AR2242" s="155" t="inlineStr">
        <is>
          <t>Shopify Stetson México › Stetson México: 5 | Shopify Stetson México › Stetson Americas: 3</t>
        </is>
      </c>
    </row>
    <row r="2243">
      <c r="A2243" s="50" t="inlineStr">
        <is>
          <t>7506499569828</t>
        </is>
      </c>
      <c r="B2243" s="51" t="inlineStr">
        <is>
          <t>108511</t>
        </is>
      </c>
      <c r="C2243" s="156" t="inlineStr">
        <is>
          <t>Multimarca</t>
        </is>
      </c>
      <c r="D2243" s="156" t="inlineStr">
        <is>
          <t>ST-VR-P-001-FW25-HE</t>
        </is>
      </c>
      <c r="E2243" s="156" t="inlineStr">
        <is>
          <t>ST-VR-P-001-FW25-HE-L</t>
        </is>
      </c>
      <c r="F2243" s="156" t="inlineStr">
        <is>
          <t>L</t>
        </is>
      </c>
      <c r="G2243" s="156" t="inlineStr">
        <is>
          <t>L</t>
        </is>
      </c>
      <c r="H2243" s="156" t="inlineStr">
        <is>
          <t>Stetson</t>
        </is>
      </c>
      <c r="I2243" s="156" t="inlineStr">
        <is>
          <t>Camisa Stetson Vintage Range Heritage</t>
        </is>
      </c>
      <c r="J2243" s="156" t="inlineStr">
        <is>
          <t>Ropa</t>
        </is>
      </c>
      <c r="K2243" s="156" t="inlineStr">
        <is>
          <t>Camisas</t>
        </is>
      </c>
      <c r="L2243" s="156" t="inlineStr">
        <is>
          <t>Hombre</t>
        </is>
      </c>
      <c r="M2243" s="156" t="inlineStr">
        <is>
          <t>Stetson</t>
        </is>
      </c>
      <c r="N2243" s="156" t="inlineStr">
        <is>
          <t>SS26</t>
        </is>
      </c>
      <c r="O2243" s="156" t="inlineStr">
        <is>
          <t>Seasonal</t>
        </is>
      </c>
      <c r="P2243" s="156" t="inlineStr">
        <is>
          <t>Morado</t>
        </is>
      </c>
      <c r="Q2243" s="156" t="inlineStr">
        <is>
          <t>Clásico</t>
        </is>
      </c>
      <c r="R2243" s="156" t="n"/>
      <c r="S2243" s="156" t="inlineStr">
        <is>
          <t>100% Algodón</t>
        </is>
      </c>
      <c r="T224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3" s="156" t="n"/>
      <c r="V2243" s="156" t="inlineStr">
        <is>
          <t>PZS</t>
        </is>
      </c>
      <c r="W2243" s="51" t="inlineStr">
        <is>
          <t>53101600</t>
        </is>
      </c>
      <c r="X2243" s="156" t="inlineStr">
        <is>
          <t>https://cdn.shopify.com/s/files/1/0888/3250/8267/files/ST-VR-P-001-HE-03_7517f3d8-9ea1-4c36-86a8-d1066f39b76a.jpg?v=1762279048</t>
        </is>
      </c>
      <c r="Y2243" s="54" t="n">
        <v>678.8793103</v>
      </c>
      <c r="Z2243" s="54" t="n">
        <v>1508.62069</v>
      </c>
      <c r="AA2243" s="55">
        <f>IF(AND(A2243="", B2243="", E2243=""), "", IF(AB2243="", "Válido", IF((LEN(AB2243)-LEN(SUBSTITUTE(AB2243,"; ","")))/2+1&gt;(LEN(AB2243)-LEN(SUBSTITUTE(AB2243,"[Aviso]","")))/7, "Con Incidencias", "Válido")))</f>
        <v/>
      </c>
      <c r="AB2243" s="56">
        <f>IF(AND(A2243="", B2243="", E2243=""), "", TEXTJOIN("; ", TRUE, IF(OR(TRIM(A2243&amp;"")="", ISNUMBER(SEARCH("FALTA", A2243))), "UPC faltante/inválido", ""), IF(AND(A2243&lt;&gt;"", IFERROR(_xlfn.XMATCH(A2243,$A$2:$A$2509,0,1)&lt;&gt;_xlfn.XMATCH(A2243,$A$2:$A$2509,0,-1),FALSE)), "Código de barras duplicado", ""), IF(AND(E2243&lt;&gt;"", COUNTIF($E$2:$E$2509, E2243)&gt;1), "SKU duplicado", ""), IF(OR(J2243="", J2243=""), "[Aviso] División no capturada ()", IF(ISNA(MATCH(J2243, Criterios!$A$123:$A$126, 0)), "División no válida", "")), IF(OR(K2243="", K2243=""), "[Aviso] Categoría no capturada ()", IF(ISNA(MATCH(K2243, Criterios!$A$81:$A$120, 0)), "Categoría no válida", IF(AND(J2243&lt;&gt;"", J2243&lt;&gt;"", J2243&lt;&gt;VLOOKUP(K2243, Criterios!$A$81:$B$120, 2, FALSE)), "División no coincide con Categoría", ""))), IF(OR(L2243="", L2243=""), "[Aviso] Género no capturado ()", IF(ISNA(MATCH(L2243, Criterios!$B$123:$B$127, 0)), "Género no válido", "")), IF(OR(N2243="", N2243=""), "[Aviso] Temporada no capturada ()", IF(ISNA(MATCH(N2243, Criterios!$C$123:$C$128, 0)), "Temporada no válida", "")), IF(OR(O2243="", O2243=""), "[Aviso] Ciclo de vida no capturado ()", IF(ISNA(MATCH(O2243, Criterios!$D$123:$D$124, 0)), "Ciclo de vida no válido", ""))))</f>
        <v/>
      </c>
      <c r="AC2243" s="56" t="n"/>
      <c r="AD2243" s="51" t="n">
        <v>3</v>
      </c>
      <c r="AE2243" s="156" t="inlineStr">
        <is>
          <t>B25 STETSON.MX (1); WB OUTLET LERMA (2)</t>
        </is>
      </c>
      <c r="AF2243" s="51" t="n">
        <v>3</v>
      </c>
      <c r="AG2243" s="156" t="inlineStr">
        <is>
          <t>Catálogo existente</t>
        </is>
      </c>
      <c r="AH2243"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3" s="156" t="inlineStr">
        <is>
          <t>No</t>
        </is>
      </c>
      <c r="AJ2243" s="156" t="n"/>
      <c r="AK2243" s="155" t="inlineStr">
        <is>
          <t>Criterios: J [R]; G1522_Extraccion_Articulos_NetSuite_2026-09-30.xlsx: fila 56670 [S] | Shopify Stetson: producto 14814546231659 / variante 53350598574443 | Shopify WB: producto 8569965772985 / variante 47621335318713</t>
        </is>
      </c>
      <c r="AL2243" s="58" t="n">
        <v>678.8793103</v>
      </c>
      <c r="AM2243" s="58" t="n">
        <v>1508.62069</v>
      </c>
      <c r="AN2243" s="155" t="inlineStr">
        <is>
          <t>Shopify Stetson México | Shopify Western Brothers</t>
        </is>
      </c>
      <c r="AO2243" s="59" t="n">
        <v>7</v>
      </c>
      <c r="AP2243" s="59" t="n">
        <v>2</v>
      </c>
      <c r="AQ2243" s="59" t="n"/>
      <c r="AR2243" s="155" t="inlineStr">
        <is>
          <t>Shopify Stetson México › Stetson México: 1 | Shopify Stetson México › Stetson Americas: 6 | Shopify Western Brothers › Western Brothers Outlet Lerma: 2</t>
        </is>
      </c>
    </row>
    <row r="2244">
      <c r="A2244" s="50" t="inlineStr">
        <is>
          <t>7506499569835</t>
        </is>
      </c>
      <c r="B2244" s="51" t="inlineStr">
        <is>
          <t>108512</t>
        </is>
      </c>
      <c r="C2244" s="156" t="inlineStr">
        <is>
          <t>Multimarca</t>
        </is>
      </c>
      <c r="D2244" s="156" t="inlineStr">
        <is>
          <t>ST-VR-P-001-FW25-HE</t>
        </is>
      </c>
      <c r="E2244" s="156" t="inlineStr">
        <is>
          <t>ST-VR-P-001-FW25-HE-XL</t>
        </is>
      </c>
      <c r="F2244" s="156" t="inlineStr">
        <is>
          <t>XL</t>
        </is>
      </c>
      <c r="G2244" s="156" t="inlineStr">
        <is>
          <t>XL</t>
        </is>
      </c>
      <c r="H2244" s="156" t="inlineStr">
        <is>
          <t>Stetson</t>
        </is>
      </c>
      <c r="I2244" s="156" t="inlineStr">
        <is>
          <t>Camisa Stetson Vintage Range Heritage</t>
        </is>
      </c>
      <c r="J2244" s="156" t="inlineStr">
        <is>
          <t>Ropa</t>
        </is>
      </c>
      <c r="K2244" s="156" t="inlineStr">
        <is>
          <t>Camisas</t>
        </is>
      </c>
      <c r="L2244" s="156" t="inlineStr">
        <is>
          <t>Hombre</t>
        </is>
      </c>
      <c r="M2244" s="156" t="inlineStr">
        <is>
          <t>Stetson</t>
        </is>
      </c>
      <c r="N2244" s="156" t="inlineStr">
        <is>
          <t>SS26</t>
        </is>
      </c>
      <c r="O2244" s="156" t="inlineStr">
        <is>
          <t>Seasonal</t>
        </is>
      </c>
      <c r="P2244" s="156" t="inlineStr">
        <is>
          <t>Morado</t>
        </is>
      </c>
      <c r="Q2244" s="156" t="inlineStr">
        <is>
          <t>Clásico</t>
        </is>
      </c>
      <c r="R2244" s="156" t="n"/>
      <c r="S2244" s="156" t="inlineStr">
        <is>
          <t>100% Algodón</t>
        </is>
      </c>
      <c r="T224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4" s="156" t="n"/>
      <c r="V2244" s="156" t="inlineStr">
        <is>
          <t>PZS</t>
        </is>
      </c>
      <c r="W2244" s="51" t="inlineStr">
        <is>
          <t>53101600</t>
        </is>
      </c>
      <c r="X2244" s="156" t="inlineStr">
        <is>
          <t>https://cdn.shopify.com/s/files/1/0888/3250/8267/files/ST-VR-P-001-HE-01_8f8d7ada-95fb-43d8-951d-79586ca0adba.jpg?v=1762279019</t>
        </is>
      </c>
      <c r="Y2244" s="54" t="n">
        <v>678.8793103</v>
      </c>
      <c r="Z2244" s="54" t="n">
        <v>1508.62069</v>
      </c>
      <c r="AA2244" s="55">
        <f>IF(AND(A2244="", B2244="", E2244=""), "", IF(AB2244="", "Válido", IF((LEN(AB2244)-LEN(SUBSTITUTE(AB2244,"; ","")))/2+1&gt;(LEN(AB2244)-LEN(SUBSTITUTE(AB2244,"[Aviso]","")))/7, "Con Incidencias", "Válido")))</f>
        <v/>
      </c>
      <c r="AB2244" s="56">
        <f>IF(AND(A2244="", B2244="", E2244=""), "", TEXTJOIN("; ", TRUE, IF(OR(TRIM(A2244&amp;"")="", ISNUMBER(SEARCH("FALTA", A2244))), "UPC faltante/inválido", ""), IF(AND(A2244&lt;&gt;"", IFERROR(_xlfn.XMATCH(A2244,$A$2:$A$2509,0,1)&lt;&gt;_xlfn.XMATCH(A2244,$A$2:$A$2509,0,-1),FALSE)), "Código de barras duplicado", ""), IF(AND(E2244&lt;&gt;"", COUNTIF($E$2:$E$2509, E2244)&gt;1), "SKU duplicado", ""), IF(OR(J2244="", J2244=""), "[Aviso] División no capturada ()", IF(ISNA(MATCH(J2244, Criterios!$A$123:$A$126, 0)), "División no válida", "")), IF(OR(K2244="", K2244=""), "[Aviso] Categoría no capturada ()", IF(ISNA(MATCH(K2244, Criterios!$A$81:$A$120, 0)), "Categoría no válida", IF(AND(J2244&lt;&gt;"", J2244&lt;&gt;"", J2244&lt;&gt;VLOOKUP(K2244, Criterios!$A$81:$B$120, 2, FALSE)), "División no coincide con Categoría", ""))), IF(OR(L2244="", L2244=""), "[Aviso] Género no capturado ()", IF(ISNA(MATCH(L2244, Criterios!$B$123:$B$127, 0)), "Género no válido", "")), IF(OR(N2244="", N2244=""), "[Aviso] Temporada no capturada ()", IF(ISNA(MATCH(N2244, Criterios!$C$123:$C$128, 0)), "Temporada no válida", "")), IF(OR(O2244="", O2244=""), "[Aviso] Ciclo de vida no capturado ()", IF(ISNA(MATCH(O2244, Criterios!$D$123:$D$124, 0)), "Ciclo de vida no válido", ""))))</f>
        <v/>
      </c>
      <c r="AC2244" s="56" t="n"/>
      <c r="AD2244" s="51" t="n">
        <v>0</v>
      </c>
      <c r="AE2244" s="156" t="inlineStr">
        <is>
          <t>B25 STETSON.MX (1)</t>
        </is>
      </c>
      <c r="AF2244" s="51" t="n">
        <v>1</v>
      </c>
      <c r="AG2244" s="156" t="inlineStr">
        <is>
          <t>Catálogo existente</t>
        </is>
      </c>
      <c r="AH224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44" s="156" t="inlineStr">
        <is>
          <t>Sí</t>
        </is>
      </c>
      <c r="AJ2244" s="156" t="inlineStr">
        <is>
          <t>STETSON AMERICAS (-1)</t>
        </is>
      </c>
      <c r="AK2244" s="155" t="inlineStr">
        <is>
          <t>Criterios: J [R]; G1522_Extraccion_Articulos_NetSuite_2026-09-30.xlsx: fila 56671 [S] | Shopify Stetson: producto 14814546231659 / variante 53350598607211 | Shopify WB: producto 8569965772985 / variante 47621335351481</t>
        </is>
      </c>
      <c r="AL2244" s="58" t="n">
        <v>678.8793103</v>
      </c>
      <c r="AM2244" s="58" t="n">
        <v>1508.62069</v>
      </c>
      <c r="AN2244" s="155" t="inlineStr">
        <is>
          <t>Shopify Stetson México | Shopify Western Brothers</t>
        </is>
      </c>
      <c r="AO2244" s="59" t="n">
        <v>3</v>
      </c>
      <c r="AP2244" s="59" t="n">
        <v>0</v>
      </c>
      <c r="AQ2244" s="59" t="n"/>
      <c r="AR2244" s="155" t="inlineStr">
        <is>
          <t>Shopify Stetson México › Stetson México: 1 | Shopify Stetson México › Stetson Americas: 2</t>
        </is>
      </c>
    </row>
    <row r="2245">
      <c r="A2245" s="50" t="inlineStr">
        <is>
          <t>7506499569842</t>
        </is>
      </c>
      <c r="B2245" s="51" t="inlineStr">
        <is>
          <t>110313</t>
        </is>
      </c>
      <c r="C2245" s="156" t="inlineStr">
        <is>
          <t>Multimarca</t>
        </is>
      </c>
      <c r="D2245" s="156" t="inlineStr">
        <is>
          <t>ST-VR-P-001-FW25-HE</t>
        </is>
      </c>
      <c r="E2245" s="156" t="inlineStr">
        <is>
          <t>ST-VR-P-001-FW25-HE-XXL</t>
        </is>
      </c>
      <c r="F2245" s="156" t="inlineStr">
        <is>
          <t>XXL</t>
        </is>
      </c>
      <c r="G2245" s="156" t="inlineStr">
        <is>
          <t>XXL</t>
        </is>
      </c>
      <c r="H2245" s="156" t="inlineStr">
        <is>
          <t>Stetson</t>
        </is>
      </c>
      <c r="I2245" s="156" t="inlineStr">
        <is>
          <t>Camisa Stetson Vintage Range Heritage</t>
        </is>
      </c>
      <c r="J2245" s="156" t="inlineStr">
        <is>
          <t>Ropa</t>
        </is>
      </c>
      <c r="K2245" s="156" t="inlineStr">
        <is>
          <t>Camisas</t>
        </is>
      </c>
      <c r="L2245" s="156" t="inlineStr">
        <is>
          <t>Hombre</t>
        </is>
      </c>
      <c r="M2245" s="156" t="inlineStr">
        <is>
          <t>Stetson</t>
        </is>
      </c>
      <c r="N2245" s="156" t="inlineStr">
        <is>
          <t>SS26</t>
        </is>
      </c>
      <c r="O2245" s="156" t="inlineStr">
        <is>
          <t>Seasonal</t>
        </is>
      </c>
      <c r="P2245" s="156" t="n"/>
      <c r="Q2245" s="156" t="inlineStr">
        <is>
          <t>Clásico</t>
        </is>
      </c>
      <c r="R2245" s="156" t="n"/>
      <c r="S2245" s="156" t="inlineStr">
        <is>
          <t>100% Algodón</t>
        </is>
      </c>
      <c r="T224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5" s="156" t="n"/>
      <c r="V2245" s="156" t="inlineStr">
        <is>
          <t>PZS</t>
        </is>
      </c>
      <c r="W2245" s="51" t="inlineStr">
        <is>
          <t>53101600</t>
        </is>
      </c>
      <c r="X2245" s="156" t="inlineStr">
        <is>
          <t>https://cdn.shopify.com/s/files/1/0888/3250/8267/files/ST-VR-P-001-HE-01_8f8d7ada-95fb-43d8-951d-79586ca0adba.jpg?v=1762279019</t>
        </is>
      </c>
      <c r="Y2245" s="54" t="n">
        <v>678.8793103</v>
      </c>
      <c r="Z2245" s="54" t="n">
        <v>1508.62069</v>
      </c>
      <c r="AA2245" s="55">
        <f>IF(AND(A2245="", B2245="", E2245=""), "", IF(AB2245="", "Válido", IF((LEN(AB2245)-LEN(SUBSTITUTE(AB2245,"; ","")))/2+1&gt;(LEN(AB2245)-LEN(SUBSTITUTE(AB2245,"[Aviso]","")))/7, "Con Incidencias", "Válido")))</f>
        <v/>
      </c>
      <c r="AB2245" s="56">
        <f>IF(AND(A2245="", B2245="", E2245=""), "", TEXTJOIN("; ", TRUE, IF(OR(TRIM(A2245&amp;"")="", ISNUMBER(SEARCH("FALTA", A2245))), "UPC faltante/inválido", ""), IF(AND(A2245&lt;&gt;"", IFERROR(_xlfn.XMATCH(A2245,$A$2:$A$2509,0,1)&lt;&gt;_xlfn.XMATCH(A2245,$A$2:$A$2509,0,-1),FALSE)), "Código de barras duplicado", ""), IF(AND(E2245&lt;&gt;"", COUNTIF($E$2:$E$2509, E2245)&gt;1), "SKU duplicado", ""), IF(OR(J2245="", J2245=""), "[Aviso] División no capturada ()", IF(ISNA(MATCH(J2245, Criterios!$A$123:$A$126, 0)), "División no válida", "")), IF(OR(K2245="", K2245=""), "[Aviso] Categoría no capturada ()", IF(ISNA(MATCH(K2245, Criterios!$A$81:$A$120, 0)), "Categoría no válida", IF(AND(J2245&lt;&gt;"", J2245&lt;&gt;"", J2245&lt;&gt;VLOOKUP(K2245, Criterios!$A$81:$B$120, 2, FALSE)), "División no coincide con Categoría", ""))), IF(OR(L2245="", L2245=""), "[Aviso] Género no capturado ()", IF(ISNA(MATCH(L2245, Criterios!$B$123:$B$127, 0)), "Género no válido", "")), IF(OR(N2245="", N2245=""), "[Aviso] Temporada no capturada ()", IF(ISNA(MATCH(N2245, Criterios!$C$123:$C$128, 0)), "Temporada no válida", "")), IF(OR(O2245="", O2245=""), "[Aviso] Ciclo de vida no capturado ()", IF(ISNA(MATCH(O2245, Criterios!$D$123:$D$124, 0)), "Ciclo de vida no válido", ""))))</f>
        <v/>
      </c>
      <c r="AC2245" s="56" t="n"/>
      <c r="AD2245" s="51" t="n">
        <v>1</v>
      </c>
      <c r="AE2245" s="156" t="inlineStr">
        <is>
          <t>B25 STETSON.MX (1)</t>
        </is>
      </c>
      <c r="AF2245" s="51" t="n">
        <v>1</v>
      </c>
      <c r="AG2245" s="156" t="inlineStr">
        <is>
          <t>Catálogo existente</t>
        </is>
      </c>
      <c r="AH224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45" s="156" t="inlineStr">
        <is>
          <t>No</t>
        </is>
      </c>
      <c r="AJ2245" s="156" t="n"/>
      <c r="AK2245" s="155" t="inlineStr">
        <is>
          <t>Criterios: J [R]; G1522_Extraccion_Articulos_NetSuite_2026-09-30.xlsx: fila 58128 [S] | Shopify Stetson: producto 14814546231659 / variante 53350598639979</t>
        </is>
      </c>
      <c r="AL2245" s="58" t="n">
        <v>678.8793103</v>
      </c>
      <c r="AM2245" s="58" t="n">
        <v>1508.62069</v>
      </c>
      <c r="AN2245" s="155" t="inlineStr">
        <is>
          <t>Shopify Stetson México</t>
        </is>
      </c>
      <c r="AO2245" s="59" t="n">
        <v>5</v>
      </c>
      <c r="AP2245" s="59" t="n"/>
      <c r="AQ2245" s="59" t="n"/>
      <c r="AR2245" s="155" t="inlineStr">
        <is>
          <t>Shopify Stetson México › Stetson México: 1 | Shopify Stetson México › Stetson Americas: 4</t>
        </is>
      </c>
    </row>
    <row r="2246">
      <c r="A2246" s="50" t="inlineStr">
        <is>
          <t>7506499569859</t>
        </is>
      </c>
      <c r="B2246" s="51" t="inlineStr">
        <is>
          <t>110314</t>
        </is>
      </c>
      <c r="C2246" s="156" t="inlineStr">
        <is>
          <t>Multimarca</t>
        </is>
      </c>
      <c r="D2246" s="156" t="inlineStr">
        <is>
          <t>ST-VR-P-002-FW25-RP</t>
        </is>
      </c>
      <c r="E2246" s="156" t="inlineStr">
        <is>
          <t>ST-VR-P-002-FW25-RP-S</t>
        </is>
      </c>
      <c r="F2246" s="156" t="inlineStr">
        <is>
          <t>S</t>
        </is>
      </c>
      <c r="G2246" s="156" t="inlineStr">
        <is>
          <t>S</t>
        </is>
      </c>
      <c r="H2246" s="156" t="inlineStr">
        <is>
          <t>Stetson</t>
        </is>
      </c>
      <c r="I2246" s="156" t="inlineStr">
        <is>
          <t>Camisa Stetson Vintage Range Rustwood Plaid</t>
        </is>
      </c>
      <c r="J2246" s="156" t="inlineStr">
        <is>
          <t>Ropa</t>
        </is>
      </c>
      <c r="K2246" s="156" t="inlineStr">
        <is>
          <t>Camisas</t>
        </is>
      </c>
      <c r="L2246" s="156" t="inlineStr">
        <is>
          <t>Hombre</t>
        </is>
      </c>
      <c r="M2246" s="156" t="inlineStr">
        <is>
          <t>Stetson</t>
        </is>
      </c>
      <c r="N2246" s="156" t="inlineStr">
        <is>
          <t>SS26</t>
        </is>
      </c>
      <c r="O2246" s="156" t="inlineStr">
        <is>
          <t>Seasonal</t>
        </is>
      </c>
      <c r="P2246" s="156" t="n"/>
      <c r="Q2246" s="156" t="inlineStr">
        <is>
          <t>Clásico</t>
        </is>
      </c>
      <c r="R2246" s="156" t="n"/>
      <c r="S2246" s="156" t="inlineStr">
        <is>
          <t>100% Algodón</t>
        </is>
      </c>
      <c r="T224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6" s="156" t="n"/>
      <c r="V2246" s="156" t="inlineStr">
        <is>
          <t>PZS</t>
        </is>
      </c>
      <c r="W2246" s="51" t="inlineStr">
        <is>
          <t>53101600</t>
        </is>
      </c>
      <c r="X2246" s="156" t="inlineStr">
        <is>
          <t>https://cdn.shopify.com/s/files/1/0888/3250/8267/files/ST-VR-P-002-RP-01.jpg?v=1762279349</t>
        </is>
      </c>
      <c r="Y2246" s="54" t="n">
        <v>678.8793103</v>
      </c>
      <c r="Z2246" s="54" t="n">
        <v>1508.62069</v>
      </c>
      <c r="AA2246" s="55">
        <f>IF(AND(A2246="", B2246="", E2246=""), "", IF(AB2246="", "Válido", IF((LEN(AB2246)-LEN(SUBSTITUTE(AB2246,"; ","")))/2+1&gt;(LEN(AB2246)-LEN(SUBSTITUTE(AB2246,"[Aviso]","")))/7, "Con Incidencias", "Válido")))</f>
        <v/>
      </c>
      <c r="AB2246" s="56">
        <f>IF(AND(A2246="", B2246="", E2246=""), "", TEXTJOIN("; ", TRUE, IF(OR(TRIM(A2246&amp;"")="", ISNUMBER(SEARCH("FALTA", A2246))), "UPC faltante/inválido", ""), IF(AND(A2246&lt;&gt;"", IFERROR(_xlfn.XMATCH(A2246,$A$2:$A$2509,0,1)&lt;&gt;_xlfn.XMATCH(A2246,$A$2:$A$2509,0,-1),FALSE)), "Código de barras duplicado", ""), IF(AND(E2246&lt;&gt;"", COUNTIF($E$2:$E$2509, E2246)&gt;1), "SKU duplicado", ""), IF(OR(J2246="", J2246=""), "[Aviso] División no capturada ()", IF(ISNA(MATCH(J2246, Criterios!$A$123:$A$126, 0)), "División no válida", "")), IF(OR(K2246="", K2246=""), "[Aviso] Categoría no capturada ()", IF(ISNA(MATCH(K2246, Criterios!$A$81:$A$120, 0)), "Categoría no válida", IF(AND(J2246&lt;&gt;"", J2246&lt;&gt;"", J2246&lt;&gt;VLOOKUP(K2246, Criterios!$A$81:$B$120, 2, FALSE)), "División no coincide con Categoría", ""))), IF(OR(L2246="", L2246=""), "[Aviso] Género no capturado ()", IF(ISNA(MATCH(L2246, Criterios!$B$123:$B$127, 0)), "Género no válido", "")), IF(OR(N2246="", N2246=""), "[Aviso] Temporada no capturada ()", IF(ISNA(MATCH(N2246, Criterios!$C$123:$C$128, 0)), "Temporada no válida", "")), IF(OR(O2246="", O2246=""), "[Aviso] Ciclo de vida no capturado ()", IF(ISNA(MATCH(O2246, Criterios!$D$123:$D$124, 0)), "Ciclo de vida no válido", ""))))</f>
        <v/>
      </c>
      <c r="AC2246" s="56" t="n"/>
      <c r="AD2246" s="51" t="n">
        <v>3</v>
      </c>
      <c r="AE2246" s="156" t="inlineStr">
        <is>
          <t>B25 STETSON.MX (6)</t>
        </is>
      </c>
      <c r="AF2246" s="51" t="n">
        <v>6</v>
      </c>
      <c r="AG2246" s="156" t="inlineStr">
        <is>
          <t>Catálogo existente</t>
        </is>
      </c>
      <c r="AH224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6" s="156" t="inlineStr">
        <is>
          <t>Sí</t>
        </is>
      </c>
      <c r="AJ2246" s="156" t="inlineStr">
        <is>
          <t>STETSON AMERICAS (-3)</t>
        </is>
      </c>
      <c r="AK2246" s="155" t="inlineStr">
        <is>
          <t>Criterios: J [R]; G1522_Extraccion_Articulos_NetSuite_2026-09-30.xlsx: fila 58129 [S] | Shopify Stetson: producto 14814577820011 / variante 53350598345067</t>
        </is>
      </c>
      <c r="AL2246" s="58" t="n">
        <v>678.8793103</v>
      </c>
      <c r="AM2246" s="58" t="n">
        <v>1508.62069</v>
      </c>
      <c r="AN2246" s="155" t="inlineStr">
        <is>
          <t>Shopify Stetson México</t>
        </is>
      </c>
      <c r="AO2246" s="59" t="n">
        <v>7</v>
      </c>
      <c r="AP2246" s="59" t="n"/>
      <c r="AQ2246" s="59" t="n"/>
      <c r="AR2246" s="155" t="inlineStr">
        <is>
          <t>Shopify Stetson México › Stetson México: 6 | Shopify Stetson México › Stetson Americas: 1</t>
        </is>
      </c>
    </row>
    <row r="2247">
      <c r="A2247" s="50" t="inlineStr">
        <is>
          <t>7506499569866</t>
        </is>
      </c>
      <c r="B2247" s="51" t="inlineStr">
        <is>
          <t>110315</t>
        </is>
      </c>
      <c r="C2247" s="156" t="inlineStr">
        <is>
          <t>Multimarca</t>
        </is>
      </c>
      <c r="D2247" s="156" t="inlineStr">
        <is>
          <t>ST-VR-P-002-FW25-RP</t>
        </is>
      </c>
      <c r="E2247" s="156" t="inlineStr">
        <is>
          <t>ST-VR-P-002-FW25-RP-M</t>
        </is>
      </c>
      <c r="F2247" s="156" t="inlineStr">
        <is>
          <t>M</t>
        </is>
      </c>
      <c r="G2247" s="156" t="inlineStr">
        <is>
          <t>M</t>
        </is>
      </c>
      <c r="H2247" s="156" t="inlineStr">
        <is>
          <t>Stetson</t>
        </is>
      </c>
      <c r="I2247" s="156" t="inlineStr">
        <is>
          <t>Camisa Stetson Vintage Range Rustwood Plaid</t>
        </is>
      </c>
      <c r="J2247" s="156" t="inlineStr">
        <is>
          <t>Ropa</t>
        </is>
      </c>
      <c r="K2247" s="156" t="inlineStr">
        <is>
          <t>Camisas</t>
        </is>
      </c>
      <c r="L2247" s="156" t="inlineStr">
        <is>
          <t>Hombre</t>
        </is>
      </c>
      <c r="M2247" s="156" t="inlineStr">
        <is>
          <t>Stetson</t>
        </is>
      </c>
      <c r="N2247" s="156" t="inlineStr">
        <is>
          <t>SS26</t>
        </is>
      </c>
      <c r="O2247" s="156" t="inlineStr">
        <is>
          <t>Seasonal</t>
        </is>
      </c>
      <c r="P2247" s="156" t="n"/>
      <c r="Q2247" s="156" t="inlineStr">
        <is>
          <t>Clásico</t>
        </is>
      </c>
      <c r="R2247" s="156" t="n"/>
      <c r="S2247" s="156" t="inlineStr">
        <is>
          <t>100% Algodón</t>
        </is>
      </c>
      <c r="T224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7" s="156" t="n"/>
      <c r="V2247" s="156" t="inlineStr">
        <is>
          <t>PZS</t>
        </is>
      </c>
      <c r="W2247" s="51" t="inlineStr">
        <is>
          <t>53101600</t>
        </is>
      </c>
      <c r="X2247" s="156" t="inlineStr">
        <is>
          <t>https://cdn.shopify.com/s/files/1/0888/3250/8267/files/ST-VR-P-002-RP-01_4f6a6438-6e3e-4505-9d0d-c460586d12aa.jpg?v=1762279388</t>
        </is>
      </c>
      <c r="Y2247" s="54" t="n">
        <v>678.8793103</v>
      </c>
      <c r="Z2247" s="54" t="n">
        <v>1508.62069</v>
      </c>
      <c r="AA2247" s="55">
        <f>IF(AND(A2247="", B2247="", E2247=""), "", IF(AB2247="", "Válido", IF((LEN(AB2247)-LEN(SUBSTITUTE(AB2247,"; ","")))/2+1&gt;(LEN(AB2247)-LEN(SUBSTITUTE(AB2247,"[Aviso]","")))/7, "Con Incidencias", "Válido")))</f>
        <v/>
      </c>
      <c r="AB2247" s="56">
        <f>IF(AND(A2247="", B2247="", E2247=""), "", TEXTJOIN("; ", TRUE, IF(OR(TRIM(A2247&amp;"")="", ISNUMBER(SEARCH("FALTA", A2247))), "UPC faltante/inválido", ""), IF(AND(A2247&lt;&gt;"", IFERROR(_xlfn.XMATCH(A2247,$A$2:$A$2509,0,1)&lt;&gt;_xlfn.XMATCH(A2247,$A$2:$A$2509,0,-1),FALSE)), "Código de barras duplicado", ""), IF(AND(E2247&lt;&gt;"", COUNTIF($E$2:$E$2509, E2247)&gt;1), "SKU duplicado", ""), IF(OR(J2247="", J2247=""), "[Aviso] División no capturada ()", IF(ISNA(MATCH(J2247, Criterios!$A$123:$A$126, 0)), "División no válida", "")), IF(OR(K2247="", K2247=""), "[Aviso] Categoría no capturada ()", IF(ISNA(MATCH(K2247, Criterios!$A$81:$A$120, 0)), "Categoría no válida", IF(AND(J2247&lt;&gt;"", J2247&lt;&gt;"", J2247&lt;&gt;VLOOKUP(K2247, Criterios!$A$81:$B$120, 2, FALSE)), "División no coincide con Categoría", ""))), IF(OR(L2247="", L2247=""), "[Aviso] Género no capturado ()", IF(ISNA(MATCH(L2247, Criterios!$B$123:$B$127, 0)), "Género no válido", "")), IF(OR(N2247="", N2247=""), "[Aviso] Temporada no capturada ()", IF(ISNA(MATCH(N2247, Criterios!$C$123:$C$128, 0)), "Temporada no válida", "")), IF(OR(O2247="", O2247=""), "[Aviso] Ciclo de vida no capturado ()", IF(ISNA(MATCH(O2247, Criterios!$D$123:$D$124, 0)), "Ciclo de vida no válido", ""))))</f>
        <v/>
      </c>
      <c r="AC2247" s="56" t="n"/>
      <c r="AD2247" s="51" t="n">
        <v>2</v>
      </c>
      <c r="AE2247" s="156" t="inlineStr">
        <is>
          <t>B25 STETSON.MX (6)</t>
        </is>
      </c>
      <c r="AF2247" s="51" t="n">
        <v>6</v>
      </c>
      <c r="AG2247" s="156" t="inlineStr">
        <is>
          <t>Catálogo existente</t>
        </is>
      </c>
      <c r="AH224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7" s="156" t="inlineStr">
        <is>
          <t>Sí</t>
        </is>
      </c>
      <c r="AJ2247" s="156" t="inlineStr">
        <is>
          <t>STETSON AMERICAS (-4)</t>
        </is>
      </c>
      <c r="AK2247" s="155" t="inlineStr">
        <is>
          <t>Criterios: J [R]; G1522_Extraccion_Articulos_NetSuite_2026-09-30.xlsx: fila 58130 [S] | Shopify Stetson: producto 14814577820011 / variante 53350598377835</t>
        </is>
      </c>
      <c r="AL2247" s="58" t="n">
        <v>678.8793103</v>
      </c>
      <c r="AM2247" s="58" t="n">
        <v>1508.62069</v>
      </c>
      <c r="AN2247" s="155" t="inlineStr">
        <is>
          <t>Shopify Stetson México</t>
        </is>
      </c>
      <c r="AO2247" s="59" t="n">
        <v>6</v>
      </c>
      <c r="AP2247" s="59" t="n"/>
      <c r="AQ2247" s="59" t="n"/>
      <c r="AR2247" s="155" t="inlineStr">
        <is>
          <t>Shopify Stetson México › Stetson México: 6</t>
        </is>
      </c>
    </row>
    <row r="2248">
      <c r="A2248" s="50" t="inlineStr">
        <is>
          <t>7506499569873</t>
        </is>
      </c>
      <c r="B2248" s="51" t="inlineStr">
        <is>
          <t>110316</t>
        </is>
      </c>
      <c r="C2248" s="156" t="inlineStr">
        <is>
          <t>Multimarca</t>
        </is>
      </c>
      <c r="D2248" s="156" t="inlineStr">
        <is>
          <t>ST-VR-P-002-FW25-RP</t>
        </is>
      </c>
      <c r="E2248" s="156" t="inlineStr">
        <is>
          <t>ST-VR-P-002-FW25-RP-L</t>
        </is>
      </c>
      <c r="F2248" s="156" t="inlineStr">
        <is>
          <t>L</t>
        </is>
      </c>
      <c r="G2248" s="156" t="inlineStr">
        <is>
          <t>L</t>
        </is>
      </c>
      <c r="H2248" s="156" t="inlineStr">
        <is>
          <t>Stetson</t>
        </is>
      </c>
      <c r="I2248" s="156" t="inlineStr">
        <is>
          <t>Camisa Stetson Vintage Range Rustwood Plaid</t>
        </is>
      </c>
      <c r="J2248" s="156" t="inlineStr">
        <is>
          <t>Ropa</t>
        </is>
      </c>
      <c r="K2248" s="156" t="inlineStr">
        <is>
          <t>Camisas</t>
        </is>
      </c>
      <c r="L2248" s="156" t="inlineStr">
        <is>
          <t>Hombre</t>
        </is>
      </c>
      <c r="M2248" s="156" t="inlineStr">
        <is>
          <t>Stetson</t>
        </is>
      </c>
      <c r="N2248" s="156" t="inlineStr">
        <is>
          <t>SS26</t>
        </is>
      </c>
      <c r="O2248" s="156" t="inlineStr">
        <is>
          <t>Seasonal</t>
        </is>
      </c>
      <c r="P2248" s="156" t="n"/>
      <c r="Q2248" s="156" t="inlineStr">
        <is>
          <t>Clásico</t>
        </is>
      </c>
      <c r="R2248" s="156" t="n"/>
      <c r="S2248" s="156" t="inlineStr">
        <is>
          <t>100% Algodón</t>
        </is>
      </c>
      <c r="T224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8" s="156" t="n"/>
      <c r="V2248" s="156" t="inlineStr">
        <is>
          <t>PZS</t>
        </is>
      </c>
      <c r="W2248" s="51" t="inlineStr">
        <is>
          <t>53101600</t>
        </is>
      </c>
      <c r="X2248" s="156" t="inlineStr">
        <is>
          <t>https://cdn.shopify.com/s/files/1/0888/3250/8267/files/ST-VR-P-002-RP-03_5d48e7cf-29f7-426b-9862-a15fc7ccaff5.jpg?v=1762279388</t>
        </is>
      </c>
      <c r="Y2248" s="54" t="n">
        <v>678.8793103</v>
      </c>
      <c r="Z2248" s="54" t="n">
        <v>1508.62069</v>
      </c>
      <c r="AA2248" s="55">
        <f>IF(AND(A2248="", B2248="", E2248=""), "", IF(AB2248="", "Válido", IF((LEN(AB2248)-LEN(SUBSTITUTE(AB2248,"; ","")))/2+1&gt;(LEN(AB2248)-LEN(SUBSTITUTE(AB2248,"[Aviso]","")))/7, "Con Incidencias", "Válido")))</f>
        <v/>
      </c>
      <c r="AB2248" s="56">
        <f>IF(AND(A2248="", B2248="", E2248=""), "", TEXTJOIN("; ", TRUE, IF(OR(TRIM(A2248&amp;"")="", ISNUMBER(SEARCH("FALTA", A2248))), "UPC faltante/inválido", ""), IF(AND(A2248&lt;&gt;"", IFERROR(_xlfn.XMATCH(A2248,$A$2:$A$2509,0,1)&lt;&gt;_xlfn.XMATCH(A2248,$A$2:$A$2509,0,-1),FALSE)), "Código de barras duplicado", ""), IF(AND(E2248&lt;&gt;"", COUNTIF($E$2:$E$2509, E2248)&gt;1), "SKU duplicado", ""), IF(OR(J2248="", J2248=""), "[Aviso] División no capturada ()", IF(ISNA(MATCH(J2248, Criterios!$A$123:$A$126, 0)), "División no válida", "")), IF(OR(K2248="", K2248=""), "[Aviso] Categoría no capturada ()", IF(ISNA(MATCH(K2248, Criterios!$A$81:$A$120, 0)), "Categoría no válida", IF(AND(J2248&lt;&gt;"", J2248&lt;&gt;"", J2248&lt;&gt;VLOOKUP(K2248, Criterios!$A$81:$B$120, 2, FALSE)), "División no coincide con Categoría", ""))), IF(OR(L2248="", L2248=""), "[Aviso] Género no capturado ()", IF(ISNA(MATCH(L2248, Criterios!$B$123:$B$127, 0)), "Género no válido", "")), IF(OR(N2248="", N2248=""), "[Aviso] Temporada no capturada ()", IF(ISNA(MATCH(N2248, Criterios!$C$123:$C$128, 0)), "Temporada no válida", "")), IF(OR(O2248="", O2248=""), "[Aviso] Ciclo de vida no capturado ()", IF(ISNA(MATCH(O2248, Criterios!$D$123:$D$124, 0)), "Ciclo de vida no válido", ""))))</f>
        <v/>
      </c>
      <c r="AC2248" s="56" t="n"/>
      <c r="AD2248" s="51" t="n">
        <v>1</v>
      </c>
      <c r="AE2248" s="156" t="inlineStr">
        <is>
          <t>B25 STETSON.MX (7)</t>
        </is>
      </c>
      <c r="AF2248" s="51" t="n">
        <v>7</v>
      </c>
      <c r="AG2248" s="156" t="inlineStr">
        <is>
          <t>Catálogo existente</t>
        </is>
      </c>
      <c r="AH224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8" s="156" t="inlineStr">
        <is>
          <t>Sí</t>
        </is>
      </c>
      <c r="AJ2248" s="156" t="inlineStr">
        <is>
          <t>STETSON AMERICAS (-6)</t>
        </is>
      </c>
      <c r="AK2248" s="155" t="inlineStr">
        <is>
          <t>Criterios: J [R]; G1522_Extraccion_Articulos_NetSuite_2026-09-30.xlsx: fila 58131 [S] | Shopify Stetson: producto 14814577820011 / variante 53350598410603</t>
        </is>
      </c>
      <c r="AL2248" s="58" t="n">
        <v>678.8793103</v>
      </c>
      <c r="AM2248" s="58" t="n">
        <v>1508.62069</v>
      </c>
      <c r="AN2248" s="155" t="inlineStr">
        <is>
          <t>Shopify Stetson México</t>
        </is>
      </c>
      <c r="AO2248" s="59" t="n">
        <v>7</v>
      </c>
      <c r="AP2248" s="59" t="n"/>
      <c r="AQ2248" s="59" t="n"/>
      <c r="AR2248" s="155" t="inlineStr">
        <is>
          <t>Shopify Stetson México › Stetson México: 7</t>
        </is>
      </c>
    </row>
    <row r="2249">
      <c r="A2249" s="50" t="inlineStr">
        <is>
          <t>7506499569880</t>
        </is>
      </c>
      <c r="B2249" s="51" t="inlineStr">
        <is>
          <t>110317</t>
        </is>
      </c>
      <c r="C2249" s="156" t="inlineStr">
        <is>
          <t>Multimarca</t>
        </is>
      </c>
      <c r="D2249" s="156" t="inlineStr">
        <is>
          <t>ST-VR-P-002-FW25-RP</t>
        </is>
      </c>
      <c r="E2249" s="156" t="inlineStr">
        <is>
          <t>ST-VR-P-002-FW25-RP-XL</t>
        </is>
      </c>
      <c r="F2249" s="156" t="inlineStr">
        <is>
          <t>XL</t>
        </is>
      </c>
      <c r="G2249" s="156" t="inlineStr">
        <is>
          <t>XL</t>
        </is>
      </c>
      <c r="H2249" s="156" t="inlineStr">
        <is>
          <t>Stetson</t>
        </is>
      </c>
      <c r="I2249" s="156" t="inlineStr">
        <is>
          <t>Camisa Stetson Vintage Range Rustwood Plaid</t>
        </is>
      </c>
      <c r="J2249" s="156" t="inlineStr">
        <is>
          <t>Ropa</t>
        </is>
      </c>
      <c r="K2249" s="156" t="inlineStr">
        <is>
          <t>Camisas</t>
        </is>
      </c>
      <c r="L2249" s="156" t="inlineStr">
        <is>
          <t>Hombre</t>
        </is>
      </c>
      <c r="M2249" s="156" t="inlineStr">
        <is>
          <t>Stetson</t>
        </is>
      </c>
      <c r="N2249" s="156" t="inlineStr">
        <is>
          <t>SS26</t>
        </is>
      </c>
      <c r="O2249" s="156" t="inlineStr">
        <is>
          <t>Seasonal</t>
        </is>
      </c>
      <c r="P2249" s="156" t="n"/>
      <c r="Q2249" s="156" t="inlineStr">
        <is>
          <t>Clásico</t>
        </is>
      </c>
      <c r="R2249" s="156" t="n"/>
      <c r="S2249" s="156" t="inlineStr">
        <is>
          <t>100% Algodón</t>
        </is>
      </c>
      <c r="T224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9" s="156" t="n"/>
      <c r="V2249" s="156" t="inlineStr">
        <is>
          <t>PZS</t>
        </is>
      </c>
      <c r="W2249" s="51" t="inlineStr">
        <is>
          <t>53101600</t>
        </is>
      </c>
      <c r="X2249" s="156" t="inlineStr">
        <is>
          <t>https://cdn.shopify.com/s/files/1/0888/3250/8267/files/ST-VR-P-002-RP-02_964922a4-85b8-481e-b35b-e9eb4e77beef.jpg?v=1762279388</t>
        </is>
      </c>
      <c r="Y2249" s="54" t="n">
        <v>678.8793103</v>
      </c>
      <c r="Z2249" s="54" t="n">
        <v>1508.62069</v>
      </c>
      <c r="AA2249" s="55">
        <f>IF(AND(A2249="", B2249="", E2249=""), "", IF(AB2249="", "Válido", IF((LEN(AB2249)-LEN(SUBSTITUTE(AB2249,"; ","")))/2+1&gt;(LEN(AB2249)-LEN(SUBSTITUTE(AB2249,"[Aviso]","")))/7, "Con Incidencias", "Válido")))</f>
        <v/>
      </c>
      <c r="AB2249" s="56">
        <f>IF(AND(A2249="", B2249="", E2249=""), "", TEXTJOIN("; ", TRUE, IF(OR(TRIM(A2249&amp;"")="", ISNUMBER(SEARCH("FALTA", A2249))), "UPC faltante/inválido", ""), IF(AND(A2249&lt;&gt;"", IFERROR(_xlfn.XMATCH(A2249,$A$2:$A$2509,0,1)&lt;&gt;_xlfn.XMATCH(A2249,$A$2:$A$2509,0,-1),FALSE)), "Código de barras duplicado", ""), IF(AND(E2249&lt;&gt;"", COUNTIF($E$2:$E$2509, E2249)&gt;1), "SKU duplicado", ""), IF(OR(J2249="", J2249=""), "[Aviso] División no capturada ()", IF(ISNA(MATCH(J2249, Criterios!$A$123:$A$126, 0)), "División no válida", "")), IF(OR(K2249="", K2249=""), "[Aviso] Categoría no capturada ()", IF(ISNA(MATCH(K2249, Criterios!$A$81:$A$120, 0)), "Categoría no válida", IF(AND(J2249&lt;&gt;"", J2249&lt;&gt;"", J2249&lt;&gt;VLOOKUP(K2249, Criterios!$A$81:$B$120, 2, FALSE)), "División no coincide con Categoría", ""))), IF(OR(L2249="", L2249=""), "[Aviso] Género no capturado ()", IF(ISNA(MATCH(L2249, Criterios!$B$123:$B$127, 0)), "Género no válido", "")), IF(OR(N2249="", N2249=""), "[Aviso] Temporada no capturada ()", IF(ISNA(MATCH(N2249, Criterios!$C$123:$C$128, 0)), "Temporada no válida", "")), IF(OR(O2249="", O2249=""), "[Aviso] Ciclo de vida no capturado ()", IF(ISNA(MATCH(O2249, Criterios!$D$123:$D$124, 0)), "Ciclo de vida no válido", ""))))</f>
        <v/>
      </c>
      <c r="AC2249" s="56" t="n"/>
      <c r="AD2249" s="51" t="n">
        <v>3</v>
      </c>
      <c r="AE2249" s="156" t="inlineStr">
        <is>
          <t>B25 STETSON.MX (3)</t>
        </is>
      </c>
      <c r="AF2249" s="51" t="n">
        <v>3</v>
      </c>
      <c r="AG2249" s="156" t="inlineStr">
        <is>
          <t>Catálogo existente</t>
        </is>
      </c>
      <c r="AH224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9" s="156" t="inlineStr">
        <is>
          <t>No</t>
        </is>
      </c>
      <c r="AJ2249" s="156" t="n"/>
      <c r="AK2249" s="155" t="inlineStr">
        <is>
          <t>Criterios: J [R]; G1522_Extraccion_Articulos_NetSuite_2026-09-30.xlsx: fila 58132 [S] | Shopify Stetson: producto 14814577820011 / variante 53350598443371</t>
        </is>
      </c>
      <c r="AL2249" s="58" t="n">
        <v>678.8793103</v>
      </c>
      <c r="AM2249" s="58" t="n">
        <v>1508.62069</v>
      </c>
      <c r="AN2249" s="155" t="inlineStr">
        <is>
          <t>Shopify Stetson México</t>
        </is>
      </c>
      <c r="AO2249" s="59" t="n">
        <v>3</v>
      </c>
      <c r="AP2249" s="59" t="n"/>
      <c r="AQ2249" s="59" t="n"/>
      <c r="AR2249" s="155" t="inlineStr">
        <is>
          <t>Shopify Stetson México › Stetson México: 3</t>
        </is>
      </c>
    </row>
    <row r="2250">
      <c r="A2250" s="50" t="inlineStr">
        <is>
          <t>7506499569897</t>
        </is>
      </c>
      <c r="B2250" s="51" t="inlineStr">
        <is>
          <t>110318</t>
        </is>
      </c>
      <c r="C2250" s="156" t="inlineStr">
        <is>
          <t>Multimarca</t>
        </is>
      </c>
      <c r="D2250" s="156" t="inlineStr">
        <is>
          <t>ST-VR-P-002-FW25-RP</t>
        </is>
      </c>
      <c r="E2250" s="156" t="inlineStr">
        <is>
          <t>ST-VR-P-002-FW25-RP-XXL</t>
        </is>
      </c>
      <c r="F2250" s="156" t="inlineStr">
        <is>
          <t>XXL</t>
        </is>
      </c>
      <c r="G2250" s="156" t="inlineStr">
        <is>
          <t>XXL</t>
        </is>
      </c>
      <c r="H2250" s="156" t="inlineStr">
        <is>
          <t>Stetson</t>
        </is>
      </c>
      <c r="I2250" s="156" t="inlineStr">
        <is>
          <t>Camisa Stetson Vintage Range Rustwood Plaid</t>
        </is>
      </c>
      <c r="J2250" s="156" t="inlineStr">
        <is>
          <t>Ropa</t>
        </is>
      </c>
      <c r="K2250" s="156" t="inlineStr">
        <is>
          <t>Camisas</t>
        </is>
      </c>
      <c r="L2250" s="156" t="inlineStr">
        <is>
          <t>Hombre</t>
        </is>
      </c>
      <c r="M2250" s="156" t="inlineStr">
        <is>
          <t>Stetson</t>
        </is>
      </c>
      <c r="N2250" s="156" t="inlineStr">
        <is>
          <t>SS26</t>
        </is>
      </c>
      <c r="O2250" s="156" t="inlineStr">
        <is>
          <t>Seasonal</t>
        </is>
      </c>
      <c r="P2250" s="156" t="n"/>
      <c r="Q2250" s="156" t="inlineStr">
        <is>
          <t>Relajado</t>
        </is>
      </c>
      <c r="R2250" s="156" t="n"/>
      <c r="S2250" s="156" t="inlineStr">
        <is>
          <t>100% Algodón</t>
        </is>
      </c>
      <c r="T225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0" s="156" t="n"/>
      <c r="V2250" s="156" t="inlineStr">
        <is>
          <t>PZS</t>
        </is>
      </c>
      <c r="W2250" s="51" t="inlineStr">
        <is>
          <t>53101600</t>
        </is>
      </c>
      <c r="X2250" s="156" t="inlineStr">
        <is>
          <t>https://cdn.shopify.com/s/files/1/0888/3250/8267/files/ST-VR-P-002-RP-01.jpg?v=1762279349</t>
        </is>
      </c>
      <c r="Y2250" s="54" t="n">
        <v>678.8793103</v>
      </c>
      <c r="Z2250" s="54" t="n">
        <v>1508.62069</v>
      </c>
      <c r="AA2250" s="55">
        <f>IF(AND(A2250="", B2250="", E2250=""), "", IF(AB2250="", "Válido", IF((LEN(AB2250)-LEN(SUBSTITUTE(AB2250,"; ","")))/2+1&gt;(LEN(AB2250)-LEN(SUBSTITUTE(AB2250,"[Aviso]","")))/7, "Con Incidencias", "Válido")))</f>
        <v/>
      </c>
      <c r="AB2250" s="56">
        <f>IF(AND(A2250="", B2250="", E2250=""), "", TEXTJOIN("; ", TRUE, IF(OR(TRIM(A2250&amp;"")="", ISNUMBER(SEARCH("FALTA", A2250))), "UPC faltante/inválido", ""), IF(AND(A2250&lt;&gt;"", IFERROR(_xlfn.XMATCH(A2250,$A$2:$A$2509,0,1)&lt;&gt;_xlfn.XMATCH(A2250,$A$2:$A$2509,0,-1),FALSE)), "Código de barras duplicado", ""), IF(AND(E2250&lt;&gt;"", COUNTIF($E$2:$E$2509, E2250)&gt;1), "SKU duplicado", ""), IF(OR(J2250="", J2250=""), "[Aviso] División no capturada ()", IF(ISNA(MATCH(J2250, Criterios!$A$123:$A$126, 0)), "División no válida", "")), IF(OR(K2250="", K2250=""), "[Aviso] Categoría no capturada ()", IF(ISNA(MATCH(K2250, Criterios!$A$81:$A$120, 0)), "Categoría no válida", IF(AND(J2250&lt;&gt;"", J2250&lt;&gt;"", J2250&lt;&gt;VLOOKUP(K2250, Criterios!$A$81:$B$120, 2, FALSE)), "División no coincide con Categoría", ""))), IF(OR(L2250="", L2250=""), "[Aviso] Género no capturado ()", IF(ISNA(MATCH(L2250, Criterios!$B$123:$B$127, 0)), "Género no válido", "")), IF(OR(N2250="", N2250=""), "[Aviso] Temporada no capturada ()", IF(ISNA(MATCH(N2250, Criterios!$C$123:$C$128, 0)), "Temporada no válida", "")), IF(OR(O2250="", O2250=""), "[Aviso] Ciclo de vida no capturado ()", IF(ISNA(MATCH(O2250, Criterios!$D$123:$D$124, 0)), "Ciclo de vida no válido", ""))))</f>
        <v/>
      </c>
      <c r="AC2250" s="56" t="n"/>
      <c r="AD2250" s="51" t="n">
        <v>0</v>
      </c>
      <c r="AE2250" s="156" t="n"/>
      <c r="AF2250" s="51" t="n">
        <v>0</v>
      </c>
      <c r="AG2250" s="156" t="inlineStr">
        <is>
          <t>Catálogo existente</t>
        </is>
      </c>
      <c r="AH225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50" s="156" t="inlineStr">
        <is>
          <t>No</t>
        </is>
      </c>
      <c r="AJ2250" s="156" t="n"/>
      <c r="AK2250" s="155" t="inlineStr">
        <is>
          <t>Criterios: J [R]; G1522_Extraccion_Articulos_NetSuite_2026-09-30.xlsx: fila 58133 [S] | Shopify Stetson: producto 14814577820011 / variante 53350598476139</t>
        </is>
      </c>
      <c r="AL2250" s="58" t="n">
        <v>678.8793103</v>
      </c>
      <c r="AM2250" s="58" t="n">
        <v>1508.62069</v>
      </c>
      <c r="AN2250" s="155" t="inlineStr">
        <is>
          <t>Shopify Stetson México</t>
        </is>
      </c>
      <c r="AO2250" s="59" t="n">
        <v>0</v>
      </c>
      <c r="AP2250" s="59" t="n"/>
      <c r="AQ2250" s="59" t="n"/>
      <c r="AR2250" s="155" t="n"/>
    </row>
    <row r="2251">
      <c r="A2251" s="50" t="inlineStr">
        <is>
          <t>7506499569903</t>
        </is>
      </c>
      <c r="B2251" s="51" t="inlineStr">
        <is>
          <t>110319</t>
        </is>
      </c>
      <c r="C2251" s="156" t="inlineStr">
        <is>
          <t>Multimarca</t>
        </is>
      </c>
      <c r="D2251" s="156" t="inlineStr">
        <is>
          <t>ST-VR-P-003-FW25-QP</t>
        </is>
      </c>
      <c r="E2251" s="156" t="inlineStr">
        <is>
          <t>ST-VR-P-003-FW25-QP-S</t>
        </is>
      </c>
      <c r="F2251" s="156" t="inlineStr">
        <is>
          <t>S</t>
        </is>
      </c>
      <c r="G2251" s="156" t="inlineStr">
        <is>
          <t>S</t>
        </is>
      </c>
      <c r="H2251" s="156" t="inlineStr">
        <is>
          <t>Stetson</t>
        </is>
      </c>
      <c r="I2251" s="156" t="inlineStr">
        <is>
          <t>Camisa Stetson Vintage Range Quetzal Plume</t>
        </is>
      </c>
      <c r="J2251" s="156" t="inlineStr">
        <is>
          <t>Ropa</t>
        </is>
      </c>
      <c r="K2251" s="156" t="inlineStr">
        <is>
          <t>Camisas</t>
        </is>
      </c>
      <c r="L2251" s="156" t="inlineStr">
        <is>
          <t>Hombre</t>
        </is>
      </c>
      <c r="M2251" s="156" t="inlineStr">
        <is>
          <t>Stetson</t>
        </is>
      </c>
      <c r="N2251" s="156" t="inlineStr">
        <is>
          <t>SS26</t>
        </is>
      </c>
      <c r="O2251" s="156" t="inlineStr">
        <is>
          <t>Seasonal</t>
        </is>
      </c>
      <c r="P2251" s="156" t="n"/>
      <c r="Q2251" s="156" t="inlineStr">
        <is>
          <t>Clásico</t>
        </is>
      </c>
      <c r="R2251" s="156" t="n"/>
      <c r="S2251" s="156" t="inlineStr">
        <is>
          <t>100% Algodón</t>
        </is>
      </c>
      <c r="T225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1" s="156" t="n"/>
      <c r="V2251" s="156" t="inlineStr">
        <is>
          <t>PZS</t>
        </is>
      </c>
      <c r="W2251" s="51" t="inlineStr">
        <is>
          <t>53101600</t>
        </is>
      </c>
      <c r="X2251" s="156" t="inlineStr">
        <is>
          <t>https://cdn.shopify.com/s/files/1/0888/3250/8267/files/ST-VR-P-003-QP-01.jpg?v=1762283734</t>
        </is>
      </c>
      <c r="Y2251" s="54" t="n">
        <v>678.8793103</v>
      </c>
      <c r="Z2251" s="54" t="n">
        <v>1508.62069</v>
      </c>
      <c r="AA2251" s="55">
        <f>IF(AND(A2251="", B2251="", E2251=""), "", IF(AB2251="", "Válido", IF((LEN(AB2251)-LEN(SUBSTITUTE(AB2251,"; ","")))/2+1&gt;(LEN(AB2251)-LEN(SUBSTITUTE(AB2251,"[Aviso]","")))/7, "Con Incidencias", "Válido")))</f>
        <v/>
      </c>
      <c r="AB2251" s="56">
        <f>IF(AND(A2251="", B2251="", E2251=""), "", TEXTJOIN("; ", TRUE, IF(OR(TRIM(A2251&amp;"")="", ISNUMBER(SEARCH("FALTA", A2251))), "UPC faltante/inválido", ""), IF(AND(A2251&lt;&gt;"", IFERROR(_xlfn.XMATCH(A2251,$A$2:$A$2509,0,1)&lt;&gt;_xlfn.XMATCH(A2251,$A$2:$A$2509,0,-1),FALSE)), "Código de barras duplicado", ""), IF(AND(E2251&lt;&gt;"", COUNTIF($E$2:$E$2509, E2251)&gt;1), "SKU duplicado", ""), IF(OR(J2251="", J2251=""), "[Aviso] División no capturada ()", IF(ISNA(MATCH(J2251, Criterios!$A$123:$A$126, 0)), "División no válida", "")), IF(OR(K2251="", K2251=""), "[Aviso] Categoría no capturada ()", IF(ISNA(MATCH(K2251, Criterios!$A$81:$A$120, 0)), "Categoría no válida", IF(AND(J2251&lt;&gt;"", J2251&lt;&gt;"", J2251&lt;&gt;VLOOKUP(K2251, Criterios!$A$81:$B$120, 2, FALSE)), "División no coincide con Categoría", ""))), IF(OR(L2251="", L2251=""), "[Aviso] Género no capturado ()", IF(ISNA(MATCH(L2251, Criterios!$B$123:$B$127, 0)), "Género no válido", "")), IF(OR(N2251="", N2251=""), "[Aviso] Temporada no capturada ()", IF(ISNA(MATCH(N2251, Criterios!$C$123:$C$128, 0)), "Temporada no válida", "")), IF(OR(O2251="", O2251=""), "[Aviso] Ciclo de vida no capturado ()", IF(ISNA(MATCH(O2251, Criterios!$D$123:$D$124, 0)), "Ciclo de vida no válido", ""))))</f>
        <v/>
      </c>
      <c r="AC2251" s="56" t="n"/>
      <c r="AD2251" s="51" t="n">
        <v>7</v>
      </c>
      <c r="AE2251" s="156" t="inlineStr">
        <is>
          <t>B25 STETSON.MX (7)</t>
        </is>
      </c>
      <c r="AF2251" s="51" t="n">
        <v>7</v>
      </c>
      <c r="AG2251" s="156" t="inlineStr">
        <is>
          <t>Catálogo existente</t>
        </is>
      </c>
      <c r="AH225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1" s="156" t="inlineStr">
        <is>
          <t>No</t>
        </is>
      </c>
      <c r="AJ2251" s="156" t="n"/>
      <c r="AK2251" s="155" t="inlineStr">
        <is>
          <t>Criterios: J [R]; G1522_Extraccion_Articulos_NetSuite_2026-09-30.xlsx: fila 58134 [S] | Shopify Stetson: producto 14814650990955 / variante 53350598181227</t>
        </is>
      </c>
      <c r="AL2251" s="58" t="n">
        <v>678.8793103</v>
      </c>
      <c r="AM2251" s="58" t="n">
        <v>1508.62069</v>
      </c>
      <c r="AN2251" s="155" t="inlineStr">
        <is>
          <t>Shopify Stetson México</t>
        </is>
      </c>
      <c r="AO2251" s="59" t="n">
        <v>11</v>
      </c>
      <c r="AP2251" s="59" t="n"/>
      <c r="AQ2251" s="59" t="n"/>
      <c r="AR2251" s="155" t="inlineStr">
        <is>
          <t>Shopify Stetson México › Stetson México: 7 | Shopify Stetson México › Stetson Americas: 4</t>
        </is>
      </c>
    </row>
    <row r="2252">
      <c r="A2252" s="50" t="inlineStr">
        <is>
          <t>7506499569910</t>
        </is>
      </c>
      <c r="B2252" s="51" t="inlineStr">
        <is>
          <t>110320</t>
        </is>
      </c>
      <c r="C2252" s="156" t="inlineStr">
        <is>
          <t>Multimarca</t>
        </is>
      </c>
      <c r="D2252" s="156" t="inlineStr">
        <is>
          <t>ST-VR-P-003-FW25-QP</t>
        </is>
      </c>
      <c r="E2252" s="156" t="inlineStr">
        <is>
          <t>ST-VR-P-003-FW25-QP-M</t>
        </is>
      </c>
      <c r="F2252" s="156" t="inlineStr">
        <is>
          <t>M</t>
        </is>
      </c>
      <c r="G2252" s="156" t="inlineStr">
        <is>
          <t>M</t>
        </is>
      </c>
      <c r="H2252" s="156" t="inlineStr">
        <is>
          <t>Stetson</t>
        </is>
      </c>
      <c r="I2252" s="156" t="inlineStr">
        <is>
          <t>Camisa Stetson Vintage Range Quetzal Plume</t>
        </is>
      </c>
      <c r="J2252" s="156" t="inlineStr">
        <is>
          <t>Ropa</t>
        </is>
      </c>
      <c r="K2252" s="156" t="inlineStr">
        <is>
          <t>Camisas</t>
        </is>
      </c>
      <c r="L2252" s="156" t="inlineStr">
        <is>
          <t>Hombre</t>
        </is>
      </c>
      <c r="M2252" s="156" t="inlineStr">
        <is>
          <t>Stetson</t>
        </is>
      </c>
      <c r="N2252" s="156" t="inlineStr">
        <is>
          <t>SS26</t>
        </is>
      </c>
      <c r="O2252" s="156" t="inlineStr">
        <is>
          <t>Seasonal</t>
        </is>
      </c>
      <c r="P2252" s="156" t="n"/>
      <c r="Q2252" s="156" t="inlineStr">
        <is>
          <t>Clásico</t>
        </is>
      </c>
      <c r="R2252" s="156" t="n"/>
      <c r="S2252" s="156" t="inlineStr">
        <is>
          <t>100% Algodón</t>
        </is>
      </c>
      <c r="T225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2" s="156" t="n"/>
      <c r="V2252" s="156" t="inlineStr">
        <is>
          <t>PZS</t>
        </is>
      </c>
      <c r="W2252" s="51" t="inlineStr">
        <is>
          <t>53101600</t>
        </is>
      </c>
      <c r="X2252" s="156" t="inlineStr">
        <is>
          <t>https://cdn.shopify.com/s/files/1/0888/3250/8267/files/ST-VR-P-003-QP-03.jpg?v=1762295280</t>
        </is>
      </c>
      <c r="Y2252" s="54" t="n">
        <v>678.8793103</v>
      </c>
      <c r="Z2252" s="54" t="n">
        <v>1508.62069</v>
      </c>
      <c r="AA2252" s="55">
        <f>IF(AND(A2252="", B2252="", E2252=""), "", IF(AB2252="", "Válido", IF((LEN(AB2252)-LEN(SUBSTITUTE(AB2252,"; ","")))/2+1&gt;(LEN(AB2252)-LEN(SUBSTITUTE(AB2252,"[Aviso]","")))/7, "Con Incidencias", "Válido")))</f>
        <v/>
      </c>
      <c r="AB2252" s="56">
        <f>IF(AND(A2252="", B2252="", E2252=""), "", TEXTJOIN("; ", TRUE, IF(OR(TRIM(A2252&amp;"")="", ISNUMBER(SEARCH("FALTA", A2252))), "UPC faltante/inválido", ""), IF(AND(A2252&lt;&gt;"", IFERROR(_xlfn.XMATCH(A2252,$A$2:$A$2509,0,1)&lt;&gt;_xlfn.XMATCH(A2252,$A$2:$A$2509,0,-1),FALSE)), "Código de barras duplicado", ""), IF(AND(E2252&lt;&gt;"", COUNTIF($E$2:$E$2509, E2252)&gt;1), "SKU duplicado", ""), IF(OR(J2252="", J2252=""), "[Aviso] División no capturada ()", IF(ISNA(MATCH(J2252, Criterios!$A$123:$A$126, 0)), "División no válida", "")), IF(OR(K2252="", K2252=""), "[Aviso] Categoría no capturada ()", IF(ISNA(MATCH(K2252, Criterios!$A$81:$A$120, 0)), "Categoría no válida", IF(AND(J2252&lt;&gt;"", J2252&lt;&gt;"", J2252&lt;&gt;VLOOKUP(K2252, Criterios!$A$81:$B$120, 2, FALSE)), "División no coincide con Categoría", ""))), IF(OR(L2252="", L2252=""), "[Aviso] Género no capturado ()", IF(ISNA(MATCH(L2252, Criterios!$B$123:$B$127, 0)), "Género no válido", "")), IF(OR(N2252="", N2252=""), "[Aviso] Temporada no capturada ()", IF(ISNA(MATCH(N2252, Criterios!$C$123:$C$128, 0)), "Temporada no válida", "")), IF(OR(O2252="", O2252=""), "[Aviso] Ciclo de vida no capturado ()", IF(ISNA(MATCH(O2252, Criterios!$D$123:$D$124, 0)), "Ciclo de vida no válido", ""))))</f>
        <v/>
      </c>
      <c r="AC2252" s="56" t="n"/>
      <c r="AD2252" s="51" t="n">
        <v>7</v>
      </c>
      <c r="AE2252" s="156" t="inlineStr">
        <is>
          <t>B25 STETSON.MX (8)</t>
        </is>
      </c>
      <c r="AF2252" s="51" t="n">
        <v>8</v>
      </c>
      <c r="AG2252" s="156" t="inlineStr">
        <is>
          <t>Catálogo existente</t>
        </is>
      </c>
      <c r="AH225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2" s="156" t="inlineStr">
        <is>
          <t>Sí</t>
        </is>
      </c>
      <c r="AJ2252" s="156" t="inlineStr">
        <is>
          <t>STETSON AMERICAS (-1)</t>
        </is>
      </c>
      <c r="AK2252" s="155" t="inlineStr">
        <is>
          <t>Criterios: J [R]; G1522_Extraccion_Articulos_NetSuite_2026-09-30.xlsx: fila 58135 [S] | Shopify Stetson: producto 14814650990955 / variante 53350598213995</t>
        </is>
      </c>
      <c r="AL2252" s="58" t="n">
        <v>678.8793103</v>
      </c>
      <c r="AM2252" s="58" t="n">
        <v>1508.62069</v>
      </c>
      <c r="AN2252" s="155" t="inlineStr">
        <is>
          <t>Shopify Stetson México</t>
        </is>
      </c>
      <c r="AO2252" s="59" t="n">
        <v>11</v>
      </c>
      <c r="AP2252" s="59" t="n"/>
      <c r="AQ2252" s="59" t="n"/>
      <c r="AR2252" s="155" t="inlineStr">
        <is>
          <t>Shopify Stetson México › Stetson México: 8 | Shopify Stetson México › Stetson Americas: 3</t>
        </is>
      </c>
    </row>
    <row r="2253">
      <c r="A2253" s="50" t="inlineStr">
        <is>
          <t>7506499569927</t>
        </is>
      </c>
      <c r="B2253" s="51" t="inlineStr">
        <is>
          <t>110321</t>
        </is>
      </c>
      <c r="C2253" s="156" t="inlineStr">
        <is>
          <t>Multimarca</t>
        </is>
      </c>
      <c r="D2253" s="156" t="inlineStr">
        <is>
          <t>ST-VR-P-003-FW25-QP</t>
        </is>
      </c>
      <c r="E2253" s="156" t="inlineStr">
        <is>
          <t>ST-VR-P-003-FW25-QP-L</t>
        </is>
      </c>
      <c r="F2253" s="156" t="inlineStr">
        <is>
          <t>L</t>
        </is>
      </c>
      <c r="G2253" s="156" t="inlineStr">
        <is>
          <t>L</t>
        </is>
      </c>
      <c r="H2253" s="156" t="inlineStr">
        <is>
          <t>Stetson</t>
        </is>
      </c>
      <c r="I2253" s="156" t="inlineStr">
        <is>
          <t>Camisa Stetson Vintage Range Quetzal Plume</t>
        </is>
      </c>
      <c r="J2253" s="156" t="inlineStr">
        <is>
          <t>Ropa</t>
        </is>
      </c>
      <c r="K2253" s="156" t="inlineStr">
        <is>
          <t>Camisas</t>
        </is>
      </c>
      <c r="L2253" s="156" t="inlineStr">
        <is>
          <t>Hombre</t>
        </is>
      </c>
      <c r="M2253" s="156" t="inlineStr">
        <is>
          <t>Stetson</t>
        </is>
      </c>
      <c r="N2253" s="156" t="inlineStr">
        <is>
          <t>SS26</t>
        </is>
      </c>
      <c r="O2253" s="156" t="inlineStr">
        <is>
          <t>Seasonal</t>
        </is>
      </c>
      <c r="P2253" s="156" t="n"/>
      <c r="Q2253" s="156" t="inlineStr">
        <is>
          <t>Clásico</t>
        </is>
      </c>
      <c r="R2253" s="156" t="n"/>
      <c r="S2253" s="156" t="inlineStr">
        <is>
          <t>100% Algodón</t>
        </is>
      </c>
      <c r="T225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3" s="156" t="n"/>
      <c r="V2253" s="156" t="inlineStr">
        <is>
          <t>PZS</t>
        </is>
      </c>
      <c r="W2253" s="51" t="inlineStr">
        <is>
          <t>53101600</t>
        </is>
      </c>
      <c r="X2253" s="156" t="inlineStr">
        <is>
          <t>https://cdn.shopify.com/s/files/1/0888/3250/8267/files/ST-VR-P-003-QP-02.jpg?v=1762295280</t>
        </is>
      </c>
      <c r="Y2253" s="54" t="n">
        <v>678.8793103</v>
      </c>
      <c r="Z2253" s="54" t="n">
        <v>1508.62069</v>
      </c>
      <c r="AA2253" s="55">
        <f>IF(AND(A2253="", B2253="", E2253=""), "", IF(AB2253="", "Válido", IF((LEN(AB2253)-LEN(SUBSTITUTE(AB2253,"; ","")))/2+1&gt;(LEN(AB2253)-LEN(SUBSTITUTE(AB2253,"[Aviso]","")))/7, "Con Incidencias", "Válido")))</f>
        <v/>
      </c>
      <c r="AB2253" s="56">
        <f>IF(AND(A2253="", B2253="", E2253=""), "", TEXTJOIN("; ", TRUE, IF(OR(TRIM(A2253&amp;"")="", ISNUMBER(SEARCH("FALTA", A2253))), "UPC faltante/inválido", ""), IF(AND(A2253&lt;&gt;"", IFERROR(_xlfn.XMATCH(A2253,$A$2:$A$2509,0,1)&lt;&gt;_xlfn.XMATCH(A2253,$A$2:$A$2509,0,-1),FALSE)), "Código de barras duplicado", ""), IF(AND(E2253&lt;&gt;"", COUNTIF($E$2:$E$2509, E2253)&gt;1), "SKU duplicado", ""), IF(OR(J2253="", J2253=""), "[Aviso] División no capturada ()", IF(ISNA(MATCH(J2253, Criterios!$A$123:$A$126, 0)), "División no válida", "")), IF(OR(K2253="", K2253=""), "[Aviso] Categoría no capturada ()", IF(ISNA(MATCH(K2253, Criterios!$A$81:$A$120, 0)), "Categoría no válida", IF(AND(J2253&lt;&gt;"", J2253&lt;&gt;"", J2253&lt;&gt;VLOOKUP(K2253, Criterios!$A$81:$B$120, 2, FALSE)), "División no coincide con Categoría", ""))), IF(OR(L2253="", L2253=""), "[Aviso] Género no capturado ()", IF(ISNA(MATCH(L2253, Criterios!$B$123:$B$127, 0)), "Género no válido", "")), IF(OR(N2253="", N2253=""), "[Aviso] Temporada no capturada ()", IF(ISNA(MATCH(N2253, Criterios!$C$123:$C$128, 0)), "Temporada no válida", "")), IF(OR(O2253="", O2253=""), "[Aviso] Ciclo de vida no capturado ()", IF(ISNA(MATCH(O2253, Criterios!$D$123:$D$124, 0)), "Ciclo de vida no válido", ""))))</f>
        <v/>
      </c>
      <c r="AC2253" s="56" t="n"/>
      <c r="AD2253" s="51" t="n">
        <v>8</v>
      </c>
      <c r="AE2253" s="156" t="inlineStr">
        <is>
          <t>B25 STETSON.MX (8)</t>
        </is>
      </c>
      <c r="AF2253" s="51" t="n">
        <v>8</v>
      </c>
      <c r="AG2253" s="156" t="inlineStr">
        <is>
          <t>Catálogo existente</t>
        </is>
      </c>
      <c r="AH225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3" s="156" t="inlineStr">
        <is>
          <t>No</t>
        </is>
      </c>
      <c r="AJ2253" s="156" t="n"/>
      <c r="AK2253" s="155" t="inlineStr">
        <is>
          <t>Criterios: J [R]; G1522_Extraccion_Articulos_NetSuite_2026-09-30.xlsx: fila 58136 [S] | Shopify Stetson: producto 14814650990955 / variante 53350598246763</t>
        </is>
      </c>
      <c r="AL2253" s="58" t="n">
        <v>678.8793103</v>
      </c>
      <c r="AM2253" s="58" t="n">
        <v>1508.62069</v>
      </c>
      <c r="AN2253" s="155" t="inlineStr">
        <is>
          <t>Shopify Stetson México</t>
        </is>
      </c>
      <c r="AO2253" s="59" t="n">
        <v>14</v>
      </c>
      <c r="AP2253" s="59" t="n"/>
      <c r="AQ2253" s="59" t="n"/>
      <c r="AR2253" s="155" t="inlineStr">
        <is>
          <t>Shopify Stetson México › Stetson México: 8 | Shopify Stetson México › Stetson Americas: 6</t>
        </is>
      </c>
    </row>
    <row r="2254">
      <c r="A2254" s="50" t="inlineStr">
        <is>
          <t>7506499569934</t>
        </is>
      </c>
      <c r="B2254" s="51" t="inlineStr">
        <is>
          <t>110322</t>
        </is>
      </c>
      <c r="C2254" s="156" t="inlineStr">
        <is>
          <t>Multimarca</t>
        </is>
      </c>
      <c r="D2254" s="156" t="inlineStr">
        <is>
          <t>ST-VR-P-003-FW25-QP</t>
        </is>
      </c>
      <c r="E2254" s="156" t="inlineStr">
        <is>
          <t>ST-VR-P-003-FW25-QP-XL</t>
        </is>
      </c>
      <c r="F2254" s="156" t="inlineStr">
        <is>
          <t>XL</t>
        </is>
      </c>
      <c r="G2254" s="156" t="inlineStr">
        <is>
          <t>XL</t>
        </is>
      </c>
      <c r="H2254" s="156" t="inlineStr">
        <is>
          <t>Stetson</t>
        </is>
      </c>
      <c r="I2254" s="156" t="inlineStr">
        <is>
          <t>Camisa Stetson Vintage Range Quetzal Plume</t>
        </is>
      </c>
      <c r="J2254" s="156" t="inlineStr">
        <is>
          <t>Ropa</t>
        </is>
      </c>
      <c r="K2254" s="156" t="inlineStr">
        <is>
          <t>Camisas</t>
        </is>
      </c>
      <c r="L2254" s="156" t="inlineStr">
        <is>
          <t>Hombre</t>
        </is>
      </c>
      <c r="M2254" s="156" t="inlineStr">
        <is>
          <t>Stetson</t>
        </is>
      </c>
      <c r="N2254" s="156" t="inlineStr">
        <is>
          <t>SS26</t>
        </is>
      </c>
      <c r="O2254" s="156" t="inlineStr">
        <is>
          <t>Seasonal</t>
        </is>
      </c>
      <c r="P2254" s="156" t="n"/>
      <c r="Q2254" s="156" t="inlineStr">
        <is>
          <t>Clásico</t>
        </is>
      </c>
      <c r="R2254" s="156" t="n"/>
      <c r="S2254" s="156" t="inlineStr">
        <is>
          <t>100% Algodón</t>
        </is>
      </c>
      <c r="T225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4" s="156" t="n"/>
      <c r="V2254" s="156" t="inlineStr">
        <is>
          <t>PZS</t>
        </is>
      </c>
      <c r="W2254" s="51" t="inlineStr">
        <is>
          <t>53101600</t>
        </is>
      </c>
      <c r="X2254" s="156" t="inlineStr">
        <is>
          <t>https://cdn.shopify.com/s/files/1/0888/3250/8267/files/ST-VR-P-003-QP-04.jpg?v=1762283735</t>
        </is>
      </c>
      <c r="Y2254" s="54" t="n">
        <v>678.8793103</v>
      </c>
      <c r="Z2254" s="54" t="n">
        <v>1508.62069</v>
      </c>
      <c r="AA2254" s="55">
        <f>IF(AND(A2254="", B2254="", E2254=""), "", IF(AB2254="", "Válido", IF((LEN(AB2254)-LEN(SUBSTITUTE(AB2254,"; ","")))/2+1&gt;(LEN(AB2254)-LEN(SUBSTITUTE(AB2254,"[Aviso]","")))/7, "Con Incidencias", "Válido")))</f>
        <v/>
      </c>
      <c r="AB2254" s="56">
        <f>IF(AND(A2254="", B2254="", E2254=""), "", TEXTJOIN("; ", TRUE, IF(OR(TRIM(A2254&amp;"")="", ISNUMBER(SEARCH("FALTA", A2254))), "UPC faltante/inválido", ""), IF(AND(A2254&lt;&gt;"", IFERROR(_xlfn.XMATCH(A2254,$A$2:$A$2509,0,1)&lt;&gt;_xlfn.XMATCH(A2254,$A$2:$A$2509,0,-1),FALSE)), "Código de barras duplicado", ""), IF(AND(E2254&lt;&gt;"", COUNTIF($E$2:$E$2509, E2254)&gt;1), "SKU duplicado", ""), IF(OR(J2254="", J2254=""), "[Aviso] División no capturada ()", IF(ISNA(MATCH(J2254, Criterios!$A$123:$A$126, 0)), "División no válida", "")), IF(OR(K2254="", K2254=""), "[Aviso] Categoría no capturada ()", IF(ISNA(MATCH(K2254, Criterios!$A$81:$A$120, 0)), "Categoría no válida", IF(AND(J2254&lt;&gt;"", J2254&lt;&gt;"", J2254&lt;&gt;VLOOKUP(K2254, Criterios!$A$81:$B$120, 2, FALSE)), "División no coincide con Categoría", ""))), IF(OR(L2254="", L2254=""), "[Aviso] Género no capturado ()", IF(ISNA(MATCH(L2254, Criterios!$B$123:$B$127, 0)), "Género no válido", "")), IF(OR(N2254="", N2254=""), "[Aviso] Temporada no capturada ()", IF(ISNA(MATCH(N2254, Criterios!$C$123:$C$128, 0)), "Temporada no válida", "")), IF(OR(O2254="", O2254=""), "[Aviso] Ciclo de vida no capturado ()", IF(ISNA(MATCH(O2254, Criterios!$D$123:$D$124, 0)), "Ciclo de vida no válido", ""))))</f>
        <v/>
      </c>
      <c r="AC2254" s="56" t="n"/>
      <c r="AD2254" s="51" t="n">
        <v>0</v>
      </c>
      <c r="AE2254" s="156" t="inlineStr">
        <is>
          <t>B25 STETSON.MX (2)</t>
        </is>
      </c>
      <c r="AF2254" s="51" t="n">
        <v>2</v>
      </c>
      <c r="AG2254" s="156" t="inlineStr">
        <is>
          <t>Catálogo existente</t>
        </is>
      </c>
      <c r="AH225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4" s="156" t="inlineStr">
        <is>
          <t>Sí</t>
        </is>
      </c>
      <c r="AJ2254" s="156" t="inlineStr">
        <is>
          <t>STETSON AMERICAS (-2)</t>
        </is>
      </c>
      <c r="AK2254" s="155" t="inlineStr">
        <is>
          <t>Criterios: J [R]; G1522_Extraccion_Articulos_NetSuite_2026-09-30.xlsx: fila 58137 [S] | Shopify Stetson: producto 14814650990955 / variante 53350598279531</t>
        </is>
      </c>
      <c r="AL2254" s="58" t="n">
        <v>678.8793103</v>
      </c>
      <c r="AM2254" s="58" t="n">
        <v>1508.62069</v>
      </c>
      <c r="AN2254" s="155" t="inlineStr">
        <is>
          <t>Shopify Stetson México</t>
        </is>
      </c>
      <c r="AO2254" s="59" t="n">
        <v>6</v>
      </c>
      <c r="AP2254" s="59" t="n"/>
      <c r="AQ2254" s="59" t="n"/>
      <c r="AR2254" s="155" t="inlineStr">
        <is>
          <t>Shopify Stetson México › Stetson México: 2 | Shopify Stetson México › Stetson Americas: 4</t>
        </is>
      </c>
    </row>
    <row r="2255">
      <c r="A2255" s="50" t="inlineStr">
        <is>
          <t>7506499569941</t>
        </is>
      </c>
      <c r="B2255" s="51" t="inlineStr">
        <is>
          <t>110323</t>
        </is>
      </c>
      <c r="C2255" s="156" t="inlineStr">
        <is>
          <t>Multimarca</t>
        </is>
      </c>
      <c r="D2255" s="156" t="inlineStr">
        <is>
          <t>ST-VR-P-003-FW25-QP</t>
        </is>
      </c>
      <c r="E2255" s="156" t="inlineStr">
        <is>
          <t>ST-VR-P-003-FW25-QP-XXL</t>
        </is>
      </c>
      <c r="F2255" s="156" t="inlineStr">
        <is>
          <t>XXL</t>
        </is>
      </c>
      <c r="G2255" s="156" t="inlineStr">
        <is>
          <t>XXL</t>
        </is>
      </c>
      <c r="H2255" s="156" t="inlineStr">
        <is>
          <t>Stetson</t>
        </is>
      </c>
      <c r="I2255" s="156" t="inlineStr">
        <is>
          <t>Camisa Stetson Vintage Range Quetzal Plume</t>
        </is>
      </c>
      <c r="J2255" s="156" t="inlineStr">
        <is>
          <t>Ropa</t>
        </is>
      </c>
      <c r="K2255" s="156" t="inlineStr">
        <is>
          <t>Camisas</t>
        </is>
      </c>
      <c r="L2255" s="156" t="inlineStr">
        <is>
          <t>Hombre</t>
        </is>
      </c>
      <c r="M2255" s="156" t="inlineStr">
        <is>
          <t>Stetson</t>
        </is>
      </c>
      <c r="N2255" s="156" t="inlineStr">
        <is>
          <t>SS26</t>
        </is>
      </c>
      <c r="O2255" s="156" t="inlineStr">
        <is>
          <t>Seasonal</t>
        </is>
      </c>
      <c r="P2255" s="156" t="n"/>
      <c r="Q2255" s="156" t="inlineStr">
        <is>
          <t>Clásico</t>
        </is>
      </c>
      <c r="R2255" s="156" t="n"/>
      <c r="S2255" s="156" t="inlineStr">
        <is>
          <t>100% Algodón</t>
        </is>
      </c>
      <c r="T225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5" s="156" t="n"/>
      <c r="V2255" s="156" t="inlineStr">
        <is>
          <t>PZS</t>
        </is>
      </c>
      <c r="W2255" s="51" t="inlineStr">
        <is>
          <t>53101600</t>
        </is>
      </c>
      <c r="X2255" s="156" t="inlineStr">
        <is>
          <t>https://cdn.shopify.com/s/files/1/0888/3250/8267/files/ST-VR-P-003-QP-01.jpg?v=1762283734</t>
        </is>
      </c>
      <c r="Y2255" s="54" t="n">
        <v>678.8793103</v>
      </c>
      <c r="Z2255" s="54" t="n">
        <v>1508.62069</v>
      </c>
      <c r="AA2255" s="55">
        <f>IF(AND(A2255="", B2255="", E2255=""), "", IF(AB2255="", "Válido", IF((LEN(AB2255)-LEN(SUBSTITUTE(AB2255,"; ","")))/2+1&gt;(LEN(AB2255)-LEN(SUBSTITUTE(AB2255,"[Aviso]","")))/7, "Con Incidencias", "Válido")))</f>
        <v/>
      </c>
      <c r="AB2255" s="56">
        <f>IF(AND(A2255="", B2255="", E2255=""), "", TEXTJOIN("; ", TRUE, IF(OR(TRIM(A2255&amp;"")="", ISNUMBER(SEARCH("FALTA", A2255))), "UPC faltante/inválido", ""), IF(AND(A2255&lt;&gt;"", IFERROR(_xlfn.XMATCH(A2255,$A$2:$A$2509,0,1)&lt;&gt;_xlfn.XMATCH(A2255,$A$2:$A$2509,0,-1),FALSE)), "Código de barras duplicado", ""), IF(AND(E2255&lt;&gt;"", COUNTIF($E$2:$E$2509, E2255)&gt;1), "SKU duplicado", ""), IF(OR(J2255="", J2255=""), "[Aviso] División no capturada ()", IF(ISNA(MATCH(J2255, Criterios!$A$123:$A$126, 0)), "División no válida", "")), IF(OR(K2255="", K2255=""), "[Aviso] Categoría no capturada ()", IF(ISNA(MATCH(K2255, Criterios!$A$81:$A$120, 0)), "Categoría no válida", IF(AND(J2255&lt;&gt;"", J2255&lt;&gt;"", J2255&lt;&gt;VLOOKUP(K2255, Criterios!$A$81:$B$120, 2, FALSE)), "División no coincide con Categoría", ""))), IF(OR(L2255="", L2255=""), "[Aviso] Género no capturado ()", IF(ISNA(MATCH(L2255, Criterios!$B$123:$B$127, 0)), "Género no válido", "")), IF(OR(N2255="", N2255=""), "[Aviso] Temporada no capturada ()", IF(ISNA(MATCH(N2255, Criterios!$C$123:$C$128, 0)), "Temporada no válida", "")), IF(OR(O2255="", O2255=""), "[Aviso] Ciclo de vida no capturado ()", IF(ISNA(MATCH(O2255, Criterios!$D$123:$D$124, 0)), "Ciclo de vida no válido", ""))))</f>
        <v/>
      </c>
      <c r="AC2255" s="56" t="n"/>
      <c r="AD2255" s="51" t="n">
        <v>-2</v>
      </c>
      <c r="AE2255" s="156" t="inlineStr">
        <is>
          <t>B25 STETSON.MX (1)</t>
        </is>
      </c>
      <c r="AF2255" s="51" t="n">
        <v>1</v>
      </c>
      <c r="AG2255" s="156" t="inlineStr">
        <is>
          <t>Catálogo existente</t>
        </is>
      </c>
      <c r="AH2255"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55" s="156" t="inlineStr">
        <is>
          <t>Sí</t>
        </is>
      </c>
      <c r="AJ2255" s="156" t="inlineStr">
        <is>
          <t>STETSON AMERICAS (-3)</t>
        </is>
      </c>
      <c r="AK2255" s="155" t="inlineStr">
        <is>
          <t>Criterios: J [R]; G1522_Extraccion_Articulos_NetSuite_2026-09-30.xlsx: fila 58138 [S] | Shopify Stetson: producto 14814650990955 / variante 53350598312299</t>
        </is>
      </c>
      <c r="AL2255" s="58" t="n">
        <v>678.8793103</v>
      </c>
      <c r="AM2255" s="58" t="n">
        <v>1508.62069</v>
      </c>
      <c r="AN2255" s="155" t="inlineStr">
        <is>
          <t>Shopify Stetson México</t>
        </is>
      </c>
      <c r="AO2255" s="59" t="n">
        <v>2</v>
      </c>
      <c r="AP2255" s="59" t="n"/>
      <c r="AQ2255" s="59" t="n"/>
      <c r="AR2255" s="155" t="inlineStr">
        <is>
          <t>Shopify Stetson México › Stetson México: 1 | Shopify Stetson México › Stetson Americas: 1</t>
        </is>
      </c>
    </row>
    <row r="2256">
      <c r="A2256" s="50" t="inlineStr">
        <is>
          <t>7506499569958</t>
        </is>
      </c>
      <c r="B2256" s="51" t="inlineStr">
        <is>
          <t>110324</t>
        </is>
      </c>
      <c r="C2256" s="156" t="inlineStr">
        <is>
          <t>Multimarca</t>
        </is>
      </c>
      <c r="D2256" s="156" t="inlineStr">
        <is>
          <t>ST-VR-P-004-FW25-TD</t>
        </is>
      </c>
      <c r="E2256" s="156" t="inlineStr">
        <is>
          <t>ST-VR-P-004-FW25-TD-S</t>
        </is>
      </c>
      <c r="F2256" s="156" t="inlineStr">
        <is>
          <t>S</t>
        </is>
      </c>
      <c r="G2256" s="156" t="inlineStr">
        <is>
          <t>S</t>
        </is>
      </c>
      <c r="H2256" s="156" t="inlineStr">
        <is>
          <t>Stetson</t>
        </is>
      </c>
      <c r="I2256" s="156" t="inlineStr">
        <is>
          <t>Camisa Stetson Vintage Range Terracota Diamond</t>
        </is>
      </c>
      <c r="J2256" s="156" t="inlineStr">
        <is>
          <t>Ropa</t>
        </is>
      </c>
      <c r="K2256" s="156" t="inlineStr">
        <is>
          <t>Camisas</t>
        </is>
      </c>
      <c r="L2256" s="156" t="inlineStr">
        <is>
          <t>Hombre</t>
        </is>
      </c>
      <c r="M2256" s="156" t="inlineStr">
        <is>
          <t>Stetson</t>
        </is>
      </c>
      <c r="N2256" s="156" t="inlineStr">
        <is>
          <t>SS26</t>
        </is>
      </c>
      <c r="O2256" s="156" t="inlineStr">
        <is>
          <t>Seasonal</t>
        </is>
      </c>
      <c r="P2256" s="156" t="inlineStr">
        <is>
          <t>Cafe</t>
        </is>
      </c>
      <c r="Q2256" s="156" t="inlineStr">
        <is>
          <t>Relajado</t>
        </is>
      </c>
      <c r="R2256" s="156" t="n"/>
      <c r="S2256" s="156" t="inlineStr">
        <is>
          <t>100% Algodón</t>
        </is>
      </c>
      <c r="T225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6" s="156" t="n"/>
      <c r="V2256" s="156" t="inlineStr">
        <is>
          <t>PZS</t>
        </is>
      </c>
      <c r="W2256" s="51" t="inlineStr">
        <is>
          <t>53101600</t>
        </is>
      </c>
      <c r="X2256" s="156" t="inlineStr">
        <is>
          <t>https://cdn.shopify.com/s/files/1/0888/3250/8267/files/ST-VR-P-004-TD-01.jpg?v=1762284114</t>
        </is>
      </c>
      <c r="Y2256" s="54" t="n">
        <v>678.8793103</v>
      </c>
      <c r="Z2256" s="54" t="n">
        <v>1508.62069</v>
      </c>
      <c r="AA2256" s="55">
        <f>IF(AND(A2256="", B2256="", E2256=""), "", IF(AB2256="", "Válido", IF((LEN(AB2256)-LEN(SUBSTITUTE(AB2256,"; ","")))/2+1&gt;(LEN(AB2256)-LEN(SUBSTITUTE(AB2256,"[Aviso]","")))/7, "Con Incidencias", "Válido")))</f>
        <v/>
      </c>
      <c r="AB2256" s="56">
        <f>IF(AND(A2256="", B2256="", E2256=""), "", TEXTJOIN("; ", TRUE, IF(OR(TRIM(A2256&amp;"")="", ISNUMBER(SEARCH("FALTA", A2256))), "UPC faltante/inválido", ""), IF(AND(A2256&lt;&gt;"", IFERROR(_xlfn.XMATCH(A2256,$A$2:$A$2509,0,1)&lt;&gt;_xlfn.XMATCH(A2256,$A$2:$A$2509,0,-1),FALSE)), "Código de barras duplicado", ""), IF(AND(E2256&lt;&gt;"", COUNTIF($E$2:$E$2509, E2256)&gt;1), "SKU duplicado", ""), IF(OR(J2256="", J2256=""), "[Aviso] División no capturada ()", IF(ISNA(MATCH(J2256, Criterios!$A$123:$A$126, 0)), "División no válida", "")), IF(OR(K2256="", K2256=""), "[Aviso] Categoría no capturada ()", IF(ISNA(MATCH(K2256, Criterios!$A$81:$A$120, 0)), "Categoría no válida", IF(AND(J2256&lt;&gt;"", J2256&lt;&gt;"", J2256&lt;&gt;VLOOKUP(K2256, Criterios!$A$81:$B$120, 2, FALSE)), "División no coincide con Categoría", ""))), IF(OR(L2256="", L2256=""), "[Aviso] Género no capturado ()", IF(ISNA(MATCH(L2256, Criterios!$B$123:$B$127, 0)), "Género no válido", "")), IF(OR(N2256="", N2256=""), "[Aviso] Temporada no capturada ()", IF(ISNA(MATCH(N2256, Criterios!$C$123:$C$128, 0)), "Temporada no válida", "")), IF(OR(O2256="", O2256=""), "[Aviso] Ciclo de vida no capturado ()", IF(ISNA(MATCH(O2256, Criterios!$D$123:$D$124, 0)), "Ciclo de vida no válido", ""))))</f>
        <v/>
      </c>
      <c r="AC2256" s="56" t="n"/>
      <c r="AD2256" s="51" t="n">
        <v>-1</v>
      </c>
      <c r="AE2256" s="156" t="n"/>
      <c r="AF2256" s="51" t="n">
        <v>0</v>
      </c>
      <c r="AG2256" s="156" t="inlineStr">
        <is>
          <t>Catálogo existente</t>
        </is>
      </c>
      <c r="AH2256"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6" s="156" t="inlineStr">
        <is>
          <t>Sí</t>
        </is>
      </c>
      <c r="AJ2256" s="156" t="inlineStr">
        <is>
          <t>STETSON AMERICAS (-1)</t>
        </is>
      </c>
      <c r="AK2256" s="155" t="inlineStr">
        <is>
          <t>Criterios: J [R]; G1522_Extraccion_Articulos_NetSuite_2026-09-30.xlsx: fila 58139 [S] | Shopify Stetson: producto 14814658789739 / variante 53350598017387</t>
        </is>
      </c>
      <c r="AL2256" s="58" t="n">
        <v>678.8793103</v>
      </c>
      <c r="AM2256" s="58" t="n">
        <v>1508.62069</v>
      </c>
      <c r="AN2256" s="155" t="inlineStr">
        <is>
          <t>Shopify Stetson México</t>
        </is>
      </c>
      <c r="AO2256" s="59" t="n">
        <v>1</v>
      </c>
      <c r="AP2256" s="59" t="n"/>
      <c r="AQ2256" s="59" t="n"/>
      <c r="AR2256" s="155" t="inlineStr">
        <is>
          <t>Shopify Stetson México › Stetson Americas: 1</t>
        </is>
      </c>
    </row>
    <row r="2257">
      <c r="A2257" s="50" t="inlineStr">
        <is>
          <t>7506499569965</t>
        </is>
      </c>
      <c r="B2257" s="51" t="inlineStr">
        <is>
          <t>110325</t>
        </is>
      </c>
      <c r="C2257" s="156" t="inlineStr">
        <is>
          <t>Multimarca</t>
        </is>
      </c>
      <c r="D2257" s="156" t="inlineStr">
        <is>
          <t>ST-VR-P-004-FW25-TD</t>
        </is>
      </c>
      <c r="E2257" s="156" t="inlineStr">
        <is>
          <t>ST-VR-P-004-FW25-TD-M</t>
        </is>
      </c>
      <c r="F2257" s="156" t="inlineStr">
        <is>
          <t>M</t>
        </is>
      </c>
      <c r="G2257" s="156" t="inlineStr">
        <is>
          <t>M</t>
        </is>
      </c>
      <c r="H2257" s="156" t="inlineStr">
        <is>
          <t>Stetson</t>
        </is>
      </c>
      <c r="I2257" s="156" t="inlineStr">
        <is>
          <t>Camisa Stetson Vintage Range Terracota Diamond</t>
        </is>
      </c>
      <c r="J2257" s="156" t="inlineStr">
        <is>
          <t>Ropa</t>
        </is>
      </c>
      <c r="K2257" s="156" t="inlineStr">
        <is>
          <t>Camisas</t>
        </is>
      </c>
      <c r="L2257" s="156" t="inlineStr">
        <is>
          <t>Hombre</t>
        </is>
      </c>
      <c r="M2257" s="156" t="inlineStr">
        <is>
          <t>Stetson</t>
        </is>
      </c>
      <c r="N2257" s="156" t="inlineStr">
        <is>
          <t>SS26</t>
        </is>
      </c>
      <c r="O2257" s="156" t="inlineStr">
        <is>
          <t>Seasonal</t>
        </is>
      </c>
      <c r="P2257" s="156" t="inlineStr">
        <is>
          <t>Cafe</t>
        </is>
      </c>
      <c r="Q2257" s="156" t="inlineStr">
        <is>
          <t>Relajado</t>
        </is>
      </c>
      <c r="R2257" s="156" t="n"/>
      <c r="S2257" s="156" t="inlineStr">
        <is>
          <t>100% Algodón</t>
        </is>
      </c>
      <c r="T225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7" s="156" t="n"/>
      <c r="V2257" s="156" t="inlineStr">
        <is>
          <t>PZS</t>
        </is>
      </c>
      <c r="W2257" s="51" t="inlineStr">
        <is>
          <t>53101600</t>
        </is>
      </c>
      <c r="X2257" s="156" t="inlineStr">
        <is>
          <t>https://cdn.shopify.com/s/files/1/0888/3250/8267/files/ST-VR-P-004-TD-02.jpg?v=1762284114</t>
        </is>
      </c>
      <c r="Y2257" s="54" t="n">
        <v>678.8793103</v>
      </c>
      <c r="Z2257" s="54" t="n">
        <v>1508.62069</v>
      </c>
      <c r="AA2257" s="55">
        <f>IF(AND(A2257="", B2257="", E2257=""), "", IF(AB2257="", "Válido", IF((LEN(AB2257)-LEN(SUBSTITUTE(AB2257,"; ","")))/2+1&gt;(LEN(AB2257)-LEN(SUBSTITUTE(AB2257,"[Aviso]","")))/7, "Con Incidencias", "Válido")))</f>
        <v/>
      </c>
      <c r="AB2257" s="56">
        <f>IF(AND(A2257="", B2257="", E2257=""), "", TEXTJOIN("; ", TRUE, IF(OR(TRIM(A2257&amp;"")="", ISNUMBER(SEARCH("FALTA", A2257))), "UPC faltante/inválido", ""), IF(AND(A2257&lt;&gt;"", IFERROR(_xlfn.XMATCH(A2257,$A$2:$A$2509,0,1)&lt;&gt;_xlfn.XMATCH(A2257,$A$2:$A$2509,0,-1),FALSE)), "Código de barras duplicado", ""), IF(AND(E2257&lt;&gt;"", COUNTIF($E$2:$E$2509, E2257)&gt;1), "SKU duplicado", ""), IF(OR(J2257="", J2257=""), "[Aviso] División no capturada ()", IF(ISNA(MATCH(J2257, Criterios!$A$123:$A$126, 0)), "División no válida", "")), IF(OR(K2257="", K2257=""), "[Aviso] Categoría no capturada ()", IF(ISNA(MATCH(K2257, Criterios!$A$81:$A$120, 0)), "Categoría no válida", IF(AND(J2257&lt;&gt;"", J2257&lt;&gt;"", J2257&lt;&gt;VLOOKUP(K2257, Criterios!$A$81:$B$120, 2, FALSE)), "División no coincide con Categoría", ""))), IF(OR(L2257="", L2257=""), "[Aviso] Género no capturado ()", IF(ISNA(MATCH(L2257, Criterios!$B$123:$B$127, 0)), "Género no válido", "")), IF(OR(N2257="", N2257=""), "[Aviso] Temporada no capturada ()", IF(ISNA(MATCH(N2257, Criterios!$C$123:$C$128, 0)), "Temporada no válida", "")), IF(OR(O2257="", O2257=""), "[Aviso] Ciclo de vida no capturado ()", IF(ISNA(MATCH(O2257, Criterios!$D$123:$D$124, 0)), "Ciclo de vida no válido", ""))))</f>
        <v/>
      </c>
      <c r="AC2257" s="56" t="n"/>
      <c r="AD2257" s="51" t="n">
        <v>-1</v>
      </c>
      <c r="AE2257" s="156" t="n"/>
      <c r="AF2257" s="51" t="n">
        <v>0</v>
      </c>
      <c r="AG2257" s="156" t="inlineStr">
        <is>
          <t>Catálogo existente</t>
        </is>
      </c>
      <c r="AH2257"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7" s="156" t="inlineStr">
        <is>
          <t>Sí</t>
        </is>
      </c>
      <c r="AJ2257" s="156" t="inlineStr">
        <is>
          <t>STETSON AMERICAS (-1)</t>
        </is>
      </c>
      <c r="AK2257" s="155" t="inlineStr">
        <is>
          <t>Criterios: J [R]; G1522_Extraccion_Articulos_NetSuite_2026-09-30.xlsx: fila 58140 [S] | Shopify Stetson: producto 14814658789739 / variante 53350598050155</t>
        </is>
      </c>
      <c r="AL2257" s="58" t="n">
        <v>678.8793103</v>
      </c>
      <c r="AM2257" s="58" t="n">
        <v>1508.62069</v>
      </c>
      <c r="AN2257" s="155" t="inlineStr">
        <is>
          <t>Shopify Stetson México</t>
        </is>
      </c>
      <c r="AO2257" s="59" t="n">
        <v>1</v>
      </c>
      <c r="AP2257" s="59" t="n"/>
      <c r="AQ2257" s="59" t="n"/>
      <c r="AR2257" s="155" t="inlineStr">
        <is>
          <t>Shopify Stetson México › Stetson Americas: 1</t>
        </is>
      </c>
    </row>
    <row r="2258">
      <c r="A2258" s="50" t="inlineStr">
        <is>
          <t>7506499569972</t>
        </is>
      </c>
      <c r="B2258" s="51" t="inlineStr">
        <is>
          <t>110326</t>
        </is>
      </c>
      <c r="C2258" s="156" t="inlineStr">
        <is>
          <t>Multimarca</t>
        </is>
      </c>
      <c r="D2258" s="156" t="inlineStr">
        <is>
          <t>ST-VR-P-004-FW25-TD</t>
        </is>
      </c>
      <c r="E2258" s="156" t="inlineStr">
        <is>
          <t>ST-VR-P-004-FW25-TD-L</t>
        </is>
      </c>
      <c r="F2258" s="156" t="inlineStr">
        <is>
          <t>L</t>
        </is>
      </c>
      <c r="G2258" s="156" t="inlineStr">
        <is>
          <t>L</t>
        </is>
      </c>
      <c r="H2258" s="156" t="inlineStr">
        <is>
          <t>Stetson</t>
        </is>
      </c>
      <c r="I2258" s="156" t="inlineStr">
        <is>
          <t>Camisa Stetson Vintage Range Terracota Diamond</t>
        </is>
      </c>
      <c r="J2258" s="156" t="inlineStr">
        <is>
          <t>Ropa</t>
        </is>
      </c>
      <c r="K2258" s="156" t="inlineStr">
        <is>
          <t>Camisas</t>
        </is>
      </c>
      <c r="L2258" s="156" t="inlineStr">
        <is>
          <t>Hombre</t>
        </is>
      </c>
      <c r="M2258" s="156" t="inlineStr">
        <is>
          <t>Stetson</t>
        </is>
      </c>
      <c r="N2258" s="156" t="inlineStr">
        <is>
          <t>SS26</t>
        </is>
      </c>
      <c r="O2258" s="156" t="inlineStr">
        <is>
          <t>Seasonal</t>
        </is>
      </c>
      <c r="P2258" s="156" t="inlineStr">
        <is>
          <t>Cafe</t>
        </is>
      </c>
      <c r="Q2258" s="156" t="inlineStr">
        <is>
          <t>Relajado</t>
        </is>
      </c>
      <c r="R2258" s="156" t="n"/>
      <c r="S2258" s="156" t="inlineStr">
        <is>
          <t>100% Algodón</t>
        </is>
      </c>
      <c r="T225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8" s="156" t="n"/>
      <c r="V2258" s="156" t="inlineStr">
        <is>
          <t>PZS</t>
        </is>
      </c>
      <c r="W2258" s="51" t="inlineStr">
        <is>
          <t>53101600</t>
        </is>
      </c>
      <c r="X2258" s="156" t="inlineStr">
        <is>
          <t>https://cdn.shopify.com/s/files/1/0888/3250/8267/files/ST-VR-P-004-TD-03.jpg?v=1762284115</t>
        </is>
      </c>
      <c r="Y2258" s="54" t="n">
        <v>678.8793103</v>
      </c>
      <c r="Z2258" s="54" t="n">
        <v>1508.62069</v>
      </c>
      <c r="AA2258" s="55">
        <f>IF(AND(A2258="", B2258="", E2258=""), "", IF(AB2258="", "Válido", IF((LEN(AB2258)-LEN(SUBSTITUTE(AB2258,"; ","")))/2+1&gt;(LEN(AB2258)-LEN(SUBSTITUTE(AB2258,"[Aviso]","")))/7, "Con Incidencias", "Válido")))</f>
        <v/>
      </c>
      <c r="AB2258" s="56">
        <f>IF(AND(A2258="", B2258="", E2258=""), "", TEXTJOIN("; ", TRUE, IF(OR(TRIM(A2258&amp;"")="", ISNUMBER(SEARCH("FALTA", A2258))), "UPC faltante/inválido", ""), IF(AND(A2258&lt;&gt;"", IFERROR(_xlfn.XMATCH(A2258,$A$2:$A$2509,0,1)&lt;&gt;_xlfn.XMATCH(A2258,$A$2:$A$2509,0,-1),FALSE)), "Código de barras duplicado", ""), IF(AND(E2258&lt;&gt;"", COUNTIF($E$2:$E$2509, E2258)&gt;1), "SKU duplicado", ""), IF(OR(J2258="", J2258=""), "[Aviso] División no capturada ()", IF(ISNA(MATCH(J2258, Criterios!$A$123:$A$126, 0)), "División no válida", "")), IF(OR(K2258="", K2258=""), "[Aviso] Categoría no capturada ()", IF(ISNA(MATCH(K2258, Criterios!$A$81:$A$120, 0)), "Categoría no válida", IF(AND(J2258&lt;&gt;"", J2258&lt;&gt;"", J2258&lt;&gt;VLOOKUP(K2258, Criterios!$A$81:$B$120, 2, FALSE)), "División no coincide con Categoría", ""))), IF(OR(L2258="", L2258=""), "[Aviso] Género no capturado ()", IF(ISNA(MATCH(L2258, Criterios!$B$123:$B$127, 0)), "Género no válido", "")), IF(OR(N2258="", N2258=""), "[Aviso] Temporada no capturada ()", IF(ISNA(MATCH(N2258, Criterios!$C$123:$C$128, 0)), "Temporada no válida", "")), IF(OR(O2258="", O2258=""), "[Aviso] Ciclo de vida no capturado ()", IF(ISNA(MATCH(O2258, Criterios!$D$123:$D$124, 0)), "Ciclo de vida no válido", ""))))</f>
        <v/>
      </c>
      <c r="AC2258" s="56" t="n"/>
      <c r="AD2258" s="51" t="n">
        <v>0</v>
      </c>
      <c r="AE2258" s="156" t="n"/>
      <c r="AF2258" s="51" t="n">
        <v>0</v>
      </c>
      <c r="AG2258" s="156" t="inlineStr">
        <is>
          <t>Catálogo existente</t>
        </is>
      </c>
      <c r="AH225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8" s="156" t="inlineStr">
        <is>
          <t>No</t>
        </is>
      </c>
      <c r="AJ2258" s="156" t="n"/>
      <c r="AK2258" s="155" t="inlineStr">
        <is>
          <t>Criterios: J [R]; G1522_Extraccion_Articulos_NetSuite_2026-09-30.xlsx: fila 58141 [S] | Shopify Stetson: producto 14814658789739 / variante 53350598082923</t>
        </is>
      </c>
      <c r="AL2258" s="58" t="n">
        <v>678.8793103</v>
      </c>
      <c r="AM2258" s="58" t="n">
        <v>1508.62069</v>
      </c>
      <c r="AN2258" s="155" t="inlineStr">
        <is>
          <t>Shopify Stetson México</t>
        </is>
      </c>
      <c r="AO2258" s="59" t="n">
        <v>3</v>
      </c>
      <c r="AP2258" s="59" t="n"/>
      <c r="AQ2258" s="59" t="n"/>
      <c r="AR2258" s="155" t="inlineStr">
        <is>
          <t>Shopify Stetson México › Stetson Americas: 3</t>
        </is>
      </c>
    </row>
    <row r="2259">
      <c r="A2259" s="50" t="inlineStr">
        <is>
          <t>7506499569989</t>
        </is>
      </c>
      <c r="B2259" s="51" t="inlineStr">
        <is>
          <t>110327</t>
        </is>
      </c>
      <c r="C2259" s="156" t="inlineStr">
        <is>
          <t>Multimarca</t>
        </is>
      </c>
      <c r="D2259" s="156" t="inlineStr">
        <is>
          <t>ST-VR-P-004-FW25-TD</t>
        </is>
      </c>
      <c r="E2259" s="156" t="inlineStr">
        <is>
          <t>ST-VR-P-004-FW25-TD-XL</t>
        </is>
      </c>
      <c r="F2259" s="156" t="inlineStr">
        <is>
          <t>XL</t>
        </is>
      </c>
      <c r="G2259" s="156" t="inlineStr">
        <is>
          <t>XL</t>
        </is>
      </c>
      <c r="H2259" s="156" t="inlineStr">
        <is>
          <t>Stetson</t>
        </is>
      </c>
      <c r="I2259" s="156" t="inlineStr">
        <is>
          <t>Camisa Stetson Vintage Range Terracota Diamond</t>
        </is>
      </c>
      <c r="J2259" s="156" t="inlineStr">
        <is>
          <t>Ropa</t>
        </is>
      </c>
      <c r="K2259" s="156" t="inlineStr">
        <is>
          <t>Camisas</t>
        </is>
      </c>
      <c r="L2259" s="156" t="inlineStr">
        <is>
          <t>Hombre</t>
        </is>
      </c>
      <c r="M2259" s="156" t="inlineStr">
        <is>
          <t>Stetson</t>
        </is>
      </c>
      <c r="N2259" s="156" t="inlineStr">
        <is>
          <t>SS26</t>
        </is>
      </c>
      <c r="O2259" s="156" t="inlineStr">
        <is>
          <t>Seasonal</t>
        </is>
      </c>
      <c r="P2259" s="156" t="inlineStr">
        <is>
          <t>Cafe</t>
        </is>
      </c>
      <c r="Q2259" s="156" t="inlineStr">
        <is>
          <t>Relajado</t>
        </is>
      </c>
      <c r="R2259" s="156" t="n"/>
      <c r="S2259" s="156" t="inlineStr">
        <is>
          <t>100% Algodón</t>
        </is>
      </c>
      <c r="T225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9" s="156" t="n"/>
      <c r="V2259" s="156" t="inlineStr">
        <is>
          <t>PZS</t>
        </is>
      </c>
      <c r="W2259" s="51" t="inlineStr">
        <is>
          <t>53101600</t>
        </is>
      </c>
      <c r="X2259" s="156" t="inlineStr">
        <is>
          <t>https://cdn.shopify.com/s/files/1/0888/3250/8267/files/ST-VR-P-004-TD-01.jpg?v=1762284114</t>
        </is>
      </c>
      <c r="Y2259" s="54" t="n">
        <v>678.8793103</v>
      </c>
      <c r="Z2259" s="54" t="n">
        <v>1508.62069</v>
      </c>
      <c r="AA2259" s="55">
        <f>IF(AND(A2259="", B2259="", E2259=""), "", IF(AB2259="", "Válido", IF((LEN(AB2259)-LEN(SUBSTITUTE(AB2259,"; ","")))/2+1&gt;(LEN(AB2259)-LEN(SUBSTITUTE(AB2259,"[Aviso]","")))/7, "Con Incidencias", "Válido")))</f>
        <v/>
      </c>
      <c r="AB2259" s="56">
        <f>IF(AND(A2259="", B2259="", E2259=""), "", TEXTJOIN("; ", TRUE, IF(OR(TRIM(A2259&amp;"")="", ISNUMBER(SEARCH("FALTA", A2259))), "UPC faltante/inválido", ""), IF(AND(A2259&lt;&gt;"", IFERROR(_xlfn.XMATCH(A2259,$A$2:$A$2509,0,1)&lt;&gt;_xlfn.XMATCH(A2259,$A$2:$A$2509,0,-1),FALSE)), "Código de barras duplicado", ""), IF(AND(E2259&lt;&gt;"", COUNTIF($E$2:$E$2509, E2259)&gt;1), "SKU duplicado", ""), IF(OR(J2259="", J2259=""), "[Aviso] División no capturada ()", IF(ISNA(MATCH(J2259, Criterios!$A$123:$A$126, 0)), "División no válida", "")), IF(OR(K2259="", K2259=""), "[Aviso] Categoría no capturada ()", IF(ISNA(MATCH(K2259, Criterios!$A$81:$A$120, 0)), "Categoría no válida", IF(AND(J2259&lt;&gt;"", J2259&lt;&gt;"", J2259&lt;&gt;VLOOKUP(K2259, Criterios!$A$81:$B$120, 2, FALSE)), "División no coincide con Categoría", ""))), IF(OR(L2259="", L2259=""), "[Aviso] Género no capturado ()", IF(ISNA(MATCH(L2259, Criterios!$B$123:$B$127, 0)), "Género no válido", "")), IF(OR(N2259="", N2259=""), "[Aviso] Temporada no capturada ()", IF(ISNA(MATCH(N2259, Criterios!$C$123:$C$128, 0)), "Temporada no válida", "")), IF(OR(O2259="", O2259=""), "[Aviso] Ciclo de vida no capturado ()", IF(ISNA(MATCH(O2259, Criterios!$D$123:$D$124, 0)), "Ciclo de vida no válido", ""))))</f>
        <v/>
      </c>
      <c r="AC2259" s="56" t="n"/>
      <c r="AD2259" s="51" t="n">
        <v>-1</v>
      </c>
      <c r="AE2259" s="156" t="n"/>
      <c r="AF2259" s="51" t="n">
        <v>0</v>
      </c>
      <c r="AG2259" s="156" t="inlineStr">
        <is>
          <t>Catálogo existente</t>
        </is>
      </c>
      <c r="AH2259"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259" s="156" t="inlineStr">
        <is>
          <t>Sí</t>
        </is>
      </c>
      <c r="AJ2259" s="156" t="inlineStr">
        <is>
          <t>STETSON AMERICAS (-1)</t>
        </is>
      </c>
      <c r="AK2259" s="155" t="inlineStr">
        <is>
          <t>Criterios: J [R]; G1522_Extraccion_Articulos_NetSuite_2026-09-30.xlsx: fila 58142 [S] | Shopify Stetson: producto 14814658789739 / variante 53350598115691</t>
        </is>
      </c>
      <c r="AL2259" s="58" t="n">
        <v>678.8793103</v>
      </c>
      <c r="AM2259" s="58" t="n">
        <v>1508.62069</v>
      </c>
      <c r="AN2259" s="155" t="inlineStr">
        <is>
          <t>Shopify Stetson México</t>
        </is>
      </c>
      <c r="AO2259" s="59" t="n">
        <v>2</v>
      </c>
      <c r="AP2259" s="59" t="n"/>
      <c r="AQ2259" s="59" t="n"/>
      <c r="AR2259" s="155" t="inlineStr">
        <is>
          <t>Shopify Stetson México › Stetson Americas: 2</t>
        </is>
      </c>
    </row>
    <row r="2260">
      <c r="A2260" s="50" t="inlineStr">
        <is>
          <t>7506499569996</t>
        </is>
      </c>
      <c r="B2260" s="51" t="inlineStr">
        <is>
          <t>110328</t>
        </is>
      </c>
      <c r="C2260" s="156" t="inlineStr">
        <is>
          <t>Multimarca</t>
        </is>
      </c>
      <c r="D2260" s="156" t="inlineStr">
        <is>
          <t>ST-VR-P-004-FW25-TD</t>
        </is>
      </c>
      <c r="E2260" s="156" t="inlineStr">
        <is>
          <t>ST-VR-P-004-FW25-TD-XXL</t>
        </is>
      </c>
      <c r="F2260" s="156" t="inlineStr">
        <is>
          <t>XXL</t>
        </is>
      </c>
      <c r="G2260" s="156" t="inlineStr">
        <is>
          <t>XXL</t>
        </is>
      </c>
      <c r="H2260" s="156" t="inlineStr">
        <is>
          <t>Stetson</t>
        </is>
      </c>
      <c r="I2260" s="156" t="inlineStr">
        <is>
          <t>Camisa Stetson Vintage Range Terracota Diamond</t>
        </is>
      </c>
      <c r="J2260" s="156" t="inlineStr">
        <is>
          <t>Ropa</t>
        </is>
      </c>
      <c r="K2260" s="156" t="inlineStr">
        <is>
          <t>Camisas</t>
        </is>
      </c>
      <c r="L2260" s="156" t="inlineStr">
        <is>
          <t>Hombre</t>
        </is>
      </c>
      <c r="M2260" s="156" t="inlineStr">
        <is>
          <t>Stetson</t>
        </is>
      </c>
      <c r="N2260" s="156" t="inlineStr">
        <is>
          <t>SS26</t>
        </is>
      </c>
      <c r="O2260" s="156" t="inlineStr">
        <is>
          <t>Seasonal</t>
        </is>
      </c>
      <c r="P2260" s="156" t="inlineStr">
        <is>
          <t>Cafe</t>
        </is>
      </c>
      <c r="Q2260" s="156" t="inlineStr">
        <is>
          <t>Relajado</t>
        </is>
      </c>
      <c r="R2260" s="156" t="n"/>
      <c r="S2260" s="156" t="inlineStr">
        <is>
          <t>100% Algodón</t>
        </is>
      </c>
      <c r="T226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60" s="156" t="n"/>
      <c r="V2260" s="156" t="inlineStr">
        <is>
          <t>PZS</t>
        </is>
      </c>
      <c r="W2260" s="51" t="inlineStr">
        <is>
          <t>53101600</t>
        </is>
      </c>
      <c r="X2260" s="156" t="inlineStr">
        <is>
          <t>https://cdn.shopify.com/s/files/1/0888/3250/8267/files/ST-VR-P-004-TD-01.jpg?v=1762284114</t>
        </is>
      </c>
      <c r="Y2260" s="54" t="n">
        <v>678.8793103</v>
      </c>
      <c r="Z2260" s="54" t="n">
        <v>1508.62069</v>
      </c>
      <c r="AA2260" s="55">
        <f>IF(AND(A2260="", B2260="", E2260=""), "", IF(AB2260="", "Válido", IF((LEN(AB2260)-LEN(SUBSTITUTE(AB2260,"; ","")))/2+1&gt;(LEN(AB2260)-LEN(SUBSTITUTE(AB2260,"[Aviso]","")))/7, "Con Incidencias", "Válido")))</f>
        <v/>
      </c>
      <c r="AB2260" s="56">
        <f>IF(AND(A2260="", B2260="", E2260=""), "", TEXTJOIN("; ", TRUE, IF(OR(TRIM(A2260&amp;"")="", ISNUMBER(SEARCH("FALTA", A2260))), "UPC faltante/inválido", ""), IF(AND(A2260&lt;&gt;"", IFERROR(_xlfn.XMATCH(A2260,$A$2:$A$2509,0,1)&lt;&gt;_xlfn.XMATCH(A2260,$A$2:$A$2509,0,-1),FALSE)), "Código de barras duplicado", ""), IF(AND(E2260&lt;&gt;"", COUNTIF($E$2:$E$2509, E2260)&gt;1), "SKU duplicado", ""), IF(OR(J2260="", J2260=""), "[Aviso] División no capturada ()", IF(ISNA(MATCH(J2260, Criterios!$A$123:$A$126, 0)), "División no válida", "")), IF(OR(K2260="", K2260=""), "[Aviso] Categoría no capturada ()", IF(ISNA(MATCH(K2260, Criterios!$A$81:$A$120, 0)), "Categoría no válida", IF(AND(J2260&lt;&gt;"", J2260&lt;&gt;"", J2260&lt;&gt;VLOOKUP(K2260, Criterios!$A$81:$B$120, 2, FALSE)), "División no coincide con Categoría", ""))), IF(OR(L2260="", L2260=""), "[Aviso] Género no capturado ()", IF(ISNA(MATCH(L2260, Criterios!$B$123:$B$127, 0)), "Género no válido", "")), IF(OR(N2260="", N2260=""), "[Aviso] Temporada no capturada ()", IF(ISNA(MATCH(N2260, Criterios!$C$123:$C$128, 0)), "Temporada no válida", "")), IF(OR(O2260="", O2260=""), "[Aviso] Ciclo de vida no capturado ()", IF(ISNA(MATCH(O2260, Criterios!$D$123:$D$124, 0)), "Ciclo de vida no válido", ""))))</f>
        <v/>
      </c>
      <c r="AC2260" s="56" t="n"/>
      <c r="AD2260" s="51" t="n">
        <v>-1</v>
      </c>
      <c r="AE2260" s="156" t="n"/>
      <c r="AF2260" s="51" t="n">
        <v>0</v>
      </c>
      <c r="AG2260" s="156" t="inlineStr">
        <is>
          <t>Catálogo existente</t>
        </is>
      </c>
      <c r="AH2260"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260" s="156" t="inlineStr">
        <is>
          <t>Sí</t>
        </is>
      </c>
      <c r="AJ2260" s="156" t="inlineStr">
        <is>
          <t>STETSON AMERICAS (-1)</t>
        </is>
      </c>
      <c r="AK2260" s="155" t="inlineStr">
        <is>
          <t>Criterios: J [R]; G1522_Extraccion_Articulos_NetSuite_2026-09-30.xlsx: fila 58143 [S] | Shopify Stetson: producto 14814658789739 / variante 53350598148459</t>
        </is>
      </c>
      <c r="AL2260" s="58" t="n">
        <v>678.8793103</v>
      </c>
      <c r="AM2260" s="58" t="n">
        <v>1508.62069</v>
      </c>
      <c r="AN2260" s="155" t="inlineStr">
        <is>
          <t>Shopify Stetson México</t>
        </is>
      </c>
      <c r="AO2260" s="59" t="n">
        <v>1</v>
      </c>
      <c r="AP2260" s="59" t="n"/>
      <c r="AQ2260" s="59" t="n"/>
      <c r="AR2260" s="155" t="inlineStr">
        <is>
          <t>Shopify Stetson México › Stetson Americas: 1</t>
        </is>
      </c>
    </row>
    <row r="2261">
      <c r="A2261" s="50" t="inlineStr">
        <is>
          <t>7506499570008</t>
        </is>
      </c>
      <c r="B2261" s="51" t="inlineStr">
        <is>
          <t>110329</t>
        </is>
      </c>
      <c r="C2261" s="156" t="inlineStr">
        <is>
          <t>Multimarca</t>
        </is>
      </c>
      <c r="D2261" s="156" t="inlineStr">
        <is>
          <t>ST-VR-P-005-FW25-AZF</t>
        </is>
      </c>
      <c r="E2261" s="156" t="inlineStr">
        <is>
          <t>ST-VR-P-005-FW25-AZF-S</t>
        </is>
      </c>
      <c r="F2261" s="156" t="inlineStr">
        <is>
          <t>S</t>
        </is>
      </c>
      <c r="G2261" s="156" t="inlineStr">
        <is>
          <t>S</t>
        </is>
      </c>
      <c r="H2261" s="156" t="inlineStr">
        <is>
          <t>Stetson</t>
        </is>
      </c>
      <c r="I2261" s="156" t="inlineStr">
        <is>
          <t>Camisa Stetson Vintage Range Aztec Forge</t>
        </is>
      </c>
      <c r="J2261" s="156" t="inlineStr">
        <is>
          <t>Ropa</t>
        </is>
      </c>
      <c r="K2261" s="156" t="inlineStr">
        <is>
          <t>Camisas</t>
        </is>
      </c>
      <c r="L2261" s="156" t="inlineStr">
        <is>
          <t>Hombre</t>
        </is>
      </c>
      <c r="M2261" s="156" t="inlineStr">
        <is>
          <t>Stetson</t>
        </is>
      </c>
      <c r="N2261" s="156" t="inlineStr">
        <is>
          <t>SS26</t>
        </is>
      </c>
      <c r="O2261" s="156" t="inlineStr">
        <is>
          <t>Seasonal</t>
        </is>
      </c>
      <c r="P2261" s="156" t="n"/>
      <c r="Q2261" s="156" t="inlineStr">
        <is>
          <t>Clásico</t>
        </is>
      </c>
      <c r="R2261" s="156" t="n"/>
      <c r="S2261" s="156" t="inlineStr">
        <is>
          <t>100% Algodón</t>
        </is>
      </c>
      <c r="T226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1" s="156" t="n"/>
      <c r="V2261" s="156" t="inlineStr">
        <is>
          <t>PZS</t>
        </is>
      </c>
      <c r="W2261" s="51" t="inlineStr">
        <is>
          <t>53101600</t>
        </is>
      </c>
      <c r="X2261" s="156" t="inlineStr">
        <is>
          <t>https://cdn.shopify.com/s/files/1/0888/3250/8267/files/ST-VR-P-005-AZF-02.jpg?v=1762284666</t>
        </is>
      </c>
      <c r="Y2261" s="54" t="n">
        <v>678.8793103</v>
      </c>
      <c r="Z2261" s="54" t="n">
        <v>1508.62069</v>
      </c>
      <c r="AA2261" s="55">
        <f>IF(AND(A2261="", B2261="", E2261=""), "", IF(AB2261="", "Válido", IF((LEN(AB2261)-LEN(SUBSTITUTE(AB2261,"; ","")))/2+1&gt;(LEN(AB2261)-LEN(SUBSTITUTE(AB2261,"[Aviso]","")))/7, "Con Incidencias", "Válido")))</f>
        <v/>
      </c>
      <c r="AB2261" s="56">
        <f>IF(AND(A2261="", B2261="", E2261=""), "", TEXTJOIN("; ", TRUE, IF(OR(TRIM(A2261&amp;"")="", ISNUMBER(SEARCH("FALTA", A2261))), "UPC faltante/inválido", ""), IF(AND(A2261&lt;&gt;"", IFERROR(_xlfn.XMATCH(A2261,$A$2:$A$2509,0,1)&lt;&gt;_xlfn.XMATCH(A2261,$A$2:$A$2509,0,-1),FALSE)), "Código de barras duplicado", ""), IF(AND(E2261&lt;&gt;"", COUNTIF($E$2:$E$2509, E2261)&gt;1), "SKU duplicado", ""), IF(OR(J2261="", J2261=""), "[Aviso] División no capturada ()", IF(ISNA(MATCH(J2261, Criterios!$A$123:$A$126, 0)), "División no válida", "")), IF(OR(K2261="", K2261=""), "[Aviso] Categoría no capturada ()", IF(ISNA(MATCH(K2261, Criterios!$A$81:$A$120, 0)), "Categoría no válida", IF(AND(J2261&lt;&gt;"", J2261&lt;&gt;"", J2261&lt;&gt;VLOOKUP(K2261, Criterios!$A$81:$B$120, 2, FALSE)), "División no coincide con Categoría", ""))), IF(OR(L2261="", L2261=""), "[Aviso] Género no capturado ()", IF(ISNA(MATCH(L2261, Criterios!$B$123:$B$127, 0)), "Género no válido", "")), IF(OR(N2261="", N2261=""), "[Aviso] Temporada no capturada ()", IF(ISNA(MATCH(N2261, Criterios!$C$123:$C$128, 0)), "Temporada no válida", "")), IF(OR(O2261="", O2261=""), "[Aviso] Ciclo de vida no capturado ()", IF(ISNA(MATCH(O2261, Criterios!$D$123:$D$124, 0)), "Ciclo de vida no válido", ""))))</f>
        <v/>
      </c>
      <c r="AC2261" s="56" t="n"/>
      <c r="AD2261" s="51" t="n">
        <v>6</v>
      </c>
      <c r="AE2261" s="156" t="inlineStr">
        <is>
          <t>B25 STETSON.MX (6)</t>
        </is>
      </c>
      <c r="AF2261" s="51" t="n">
        <v>6</v>
      </c>
      <c r="AG2261" s="156" t="inlineStr">
        <is>
          <t>Catálogo existente</t>
        </is>
      </c>
      <c r="AH226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1" s="156" t="inlineStr">
        <is>
          <t>No</t>
        </is>
      </c>
      <c r="AJ2261" s="156" t="n"/>
      <c r="AK2261" s="155" t="inlineStr">
        <is>
          <t>Criterios: J [R]; G1522_Extraccion_Articulos_NetSuite_2026-09-30.xlsx: fila 58144 [S] | Shopify Stetson: producto 14814668783979 / variante 53350597853547</t>
        </is>
      </c>
      <c r="AL2261" s="58" t="n">
        <v>678.8793103</v>
      </c>
      <c r="AM2261" s="58" t="n">
        <v>1508.62069</v>
      </c>
      <c r="AN2261" s="155" t="inlineStr">
        <is>
          <t>Shopify Stetson México</t>
        </is>
      </c>
      <c r="AO2261" s="59" t="n">
        <v>10</v>
      </c>
      <c r="AP2261" s="59" t="n"/>
      <c r="AQ2261" s="59" t="n"/>
      <c r="AR2261" s="155" t="inlineStr">
        <is>
          <t>Shopify Stetson México › Stetson México: 6 | Shopify Stetson México › Stetson Americas: 4</t>
        </is>
      </c>
    </row>
    <row r="2262">
      <c r="A2262" s="50" t="inlineStr">
        <is>
          <t>7506499570015</t>
        </is>
      </c>
      <c r="B2262" s="51" t="inlineStr">
        <is>
          <t>110330</t>
        </is>
      </c>
      <c r="C2262" s="156" t="inlineStr">
        <is>
          <t>Multimarca</t>
        </is>
      </c>
      <c r="D2262" s="156" t="inlineStr">
        <is>
          <t>ST-VR-P-005-FW25-AZF</t>
        </is>
      </c>
      <c r="E2262" s="156" t="inlineStr">
        <is>
          <t>ST-VR-P-005-FW25-AZF-M</t>
        </is>
      </c>
      <c r="F2262" s="156" t="inlineStr">
        <is>
          <t>M</t>
        </is>
      </c>
      <c r="G2262" s="156" t="inlineStr">
        <is>
          <t>M</t>
        </is>
      </c>
      <c r="H2262" s="156" t="inlineStr">
        <is>
          <t>Stetson</t>
        </is>
      </c>
      <c r="I2262" s="156" t="inlineStr">
        <is>
          <t>Camisa Stetson Vintage Range Aztec Forge</t>
        </is>
      </c>
      <c r="J2262" s="156" t="inlineStr">
        <is>
          <t>Ropa</t>
        </is>
      </c>
      <c r="K2262" s="156" t="inlineStr">
        <is>
          <t>Camisas</t>
        </is>
      </c>
      <c r="L2262" s="156" t="inlineStr">
        <is>
          <t>Hombre</t>
        </is>
      </c>
      <c r="M2262" s="156" t="inlineStr">
        <is>
          <t>Stetson</t>
        </is>
      </c>
      <c r="N2262" s="156" t="inlineStr">
        <is>
          <t>SS26</t>
        </is>
      </c>
      <c r="O2262" s="156" t="inlineStr">
        <is>
          <t>Seasonal</t>
        </is>
      </c>
      <c r="P2262" s="156" t="n"/>
      <c r="Q2262" s="156" t="inlineStr">
        <is>
          <t>Clásico</t>
        </is>
      </c>
      <c r="R2262" s="156" t="n"/>
      <c r="S2262" s="156" t="inlineStr">
        <is>
          <t>100% Algodón</t>
        </is>
      </c>
      <c r="T226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2" s="156" t="n"/>
      <c r="V2262" s="156" t="inlineStr">
        <is>
          <t>PZS</t>
        </is>
      </c>
      <c r="W2262" s="51" t="inlineStr">
        <is>
          <t>53101600</t>
        </is>
      </c>
      <c r="X2262" s="156" t="inlineStr">
        <is>
          <t>https://cdn.shopify.com/s/files/1/0888/3250/8267/files/ST-VR-P-005-AZF-03.jpg?v=1762284666</t>
        </is>
      </c>
      <c r="Y2262" s="54" t="n">
        <v>678.8793103</v>
      </c>
      <c r="Z2262" s="54" t="n">
        <v>1508.62069</v>
      </c>
      <c r="AA2262" s="55">
        <f>IF(AND(A2262="", B2262="", E2262=""), "", IF(AB2262="", "Válido", IF((LEN(AB2262)-LEN(SUBSTITUTE(AB2262,"; ","")))/2+1&gt;(LEN(AB2262)-LEN(SUBSTITUTE(AB2262,"[Aviso]","")))/7, "Con Incidencias", "Válido")))</f>
        <v/>
      </c>
      <c r="AB2262" s="56">
        <f>IF(AND(A2262="", B2262="", E2262=""), "", TEXTJOIN("; ", TRUE, IF(OR(TRIM(A2262&amp;"")="", ISNUMBER(SEARCH("FALTA", A2262))), "UPC faltante/inválido", ""), IF(AND(A2262&lt;&gt;"", IFERROR(_xlfn.XMATCH(A2262,$A$2:$A$2509,0,1)&lt;&gt;_xlfn.XMATCH(A2262,$A$2:$A$2509,0,-1),FALSE)), "Código de barras duplicado", ""), IF(AND(E2262&lt;&gt;"", COUNTIF($E$2:$E$2509, E2262)&gt;1), "SKU duplicado", ""), IF(OR(J2262="", J2262=""), "[Aviso] División no capturada ()", IF(ISNA(MATCH(J2262, Criterios!$A$123:$A$126, 0)), "División no válida", "")), IF(OR(K2262="", K2262=""), "[Aviso] Categoría no capturada ()", IF(ISNA(MATCH(K2262, Criterios!$A$81:$A$120, 0)), "Categoría no válida", IF(AND(J2262&lt;&gt;"", J2262&lt;&gt;"", J2262&lt;&gt;VLOOKUP(K2262, Criterios!$A$81:$B$120, 2, FALSE)), "División no coincide con Categoría", ""))), IF(OR(L2262="", L2262=""), "[Aviso] Género no capturado ()", IF(ISNA(MATCH(L2262, Criterios!$B$123:$B$127, 0)), "Género no válido", "")), IF(OR(N2262="", N2262=""), "[Aviso] Temporada no capturada ()", IF(ISNA(MATCH(N2262, Criterios!$C$123:$C$128, 0)), "Temporada no válida", "")), IF(OR(O2262="", O2262=""), "[Aviso] Ciclo de vida no capturado ()", IF(ISNA(MATCH(O2262, Criterios!$D$123:$D$124, 0)), "Ciclo de vida no válido", ""))))</f>
        <v/>
      </c>
      <c r="AC2262" s="56" t="n"/>
      <c r="AD2262" s="51" t="n">
        <v>10</v>
      </c>
      <c r="AE2262" s="156" t="inlineStr">
        <is>
          <t>B25 STETSON.MX (10)</t>
        </is>
      </c>
      <c r="AF2262" s="51" t="n">
        <v>10</v>
      </c>
      <c r="AG2262" s="156" t="inlineStr">
        <is>
          <t>Catálogo existente</t>
        </is>
      </c>
      <c r="AH226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2" s="156" t="inlineStr">
        <is>
          <t>No</t>
        </is>
      </c>
      <c r="AJ2262" s="156" t="n"/>
      <c r="AK2262" s="155" t="inlineStr">
        <is>
          <t>Criterios: J [R]; G1522_Extraccion_Articulos_NetSuite_2026-09-30.xlsx: fila 58145 [S] | Shopify Stetson: producto 14814668783979 / variante 53350597886315</t>
        </is>
      </c>
      <c r="AL2262" s="58" t="n">
        <v>678.8793103</v>
      </c>
      <c r="AM2262" s="58" t="n">
        <v>1508.62069</v>
      </c>
      <c r="AN2262" s="155" t="inlineStr">
        <is>
          <t>Shopify Stetson México</t>
        </is>
      </c>
      <c r="AO2262" s="59" t="n">
        <v>14</v>
      </c>
      <c r="AP2262" s="59" t="n"/>
      <c r="AQ2262" s="59" t="n"/>
      <c r="AR2262" s="155" t="inlineStr">
        <is>
          <t>Shopify Stetson México › Stetson México: 10 | Shopify Stetson México › Stetson Americas: 4</t>
        </is>
      </c>
    </row>
    <row r="2263">
      <c r="A2263" s="50" t="inlineStr">
        <is>
          <t>7506499570022</t>
        </is>
      </c>
      <c r="B2263" s="51" t="inlineStr">
        <is>
          <t>110331</t>
        </is>
      </c>
      <c r="C2263" s="156" t="inlineStr">
        <is>
          <t>Multimarca</t>
        </is>
      </c>
      <c r="D2263" s="156" t="inlineStr">
        <is>
          <t>ST-VR-P-005-FW25-AZF</t>
        </is>
      </c>
      <c r="E2263" s="156" t="inlineStr">
        <is>
          <t>ST-VR-P-005-FW25-AZF-L</t>
        </is>
      </c>
      <c r="F2263" s="156" t="inlineStr">
        <is>
          <t>L</t>
        </is>
      </c>
      <c r="G2263" s="156" t="inlineStr">
        <is>
          <t>L</t>
        </is>
      </c>
      <c r="H2263" s="156" t="inlineStr">
        <is>
          <t>Stetson</t>
        </is>
      </c>
      <c r="I2263" s="156" t="inlineStr">
        <is>
          <t>Camisa Stetson Vintage Range Aztec Forge</t>
        </is>
      </c>
      <c r="J2263" s="156" t="inlineStr">
        <is>
          <t>Ropa</t>
        </is>
      </c>
      <c r="K2263" s="156" t="inlineStr">
        <is>
          <t>Camisas</t>
        </is>
      </c>
      <c r="L2263" s="156" t="inlineStr">
        <is>
          <t>Hombre</t>
        </is>
      </c>
      <c r="M2263" s="156" t="inlineStr">
        <is>
          <t>Stetson</t>
        </is>
      </c>
      <c r="N2263" s="156" t="inlineStr">
        <is>
          <t>SS26</t>
        </is>
      </c>
      <c r="O2263" s="156" t="inlineStr">
        <is>
          <t>Seasonal</t>
        </is>
      </c>
      <c r="P2263" s="156" t="n"/>
      <c r="Q2263" s="156" t="inlineStr">
        <is>
          <t>Clásico</t>
        </is>
      </c>
      <c r="R2263" s="156" t="n"/>
      <c r="S2263" s="156" t="inlineStr">
        <is>
          <t>100% Algodón</t>
        </is>
      </c>
      <c r="T226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3" s="156" t="n"/>
      <c r="V2263" s="156" t="inlineStr">
        <is>
          <t>PZS</t>
        </is>
      </c>
      <c r="W2263" s="51" t="inlineStr">
        <is>
          <t>53101600</t>
        </is>
      </c>
      <c r="X2263" s="156" t="inlineStr">
        <is>
          <t>https://cdn.shopify.com/s/files/1/0888/3250/8267/files/ST-VR-P-005-AZF-01.jpg?v=1762284665</t>
        </is>
      </c>
      <c r="Y2263" s="54" t="n">
        <v>678.8793103</v>
      </c>
      <c r="Z2263" s="54" t="n">
        <v>1508.62069</v>
      </c>
      <c r="AA2263" s="55">
        <f>IF(AND(A2263="", B2263="", E2263=""), "", IF(AB2263="", "Válido", IF((LEN(AB2263)-LEN(SUBSTITUTE(AB2263,"; ","")))/2+1&gt;(LEN(AB2263)-LEN(SUBSTITUTE(AB2263,"[Aviso]","")))/7, "Con Incidencias", "Válido")))</f>
        <v/>
      </c>
      <c r="AB2263" s="56">
        <f>IF(AND(A2263="", B2263="", E2263=""), "", TEXTJOIN("; ", TRUE, IF(OR(TRIM(A2263&amp;"")="", ISNUMBER(SEARCH("FALTA", A2263))), "UPC faltante/inválido", ""), IF(AND(A2263&lt;&gt;"", IFERROR(_xlfn.XMATCH(A2263,$A$2:$A$2509,0,1)&lt;&gt;_xlfn.XMATCH(A2263,$A$2:$A$2509,0,-1),FALSE)), "Código de barras duplicado", ""), IF(AND(E2263&lt;&gt;"", COUNTIF($E$2:$E$2509, E2263)&gt;1), "SKU duplicado", ""), IF(OR(J2263="", J2263=""), "[Aviso] División no capturada ()", IF(ISNA(MATCH(J2263, Criterios!$A$123:$A$126, 0)), "División no válida", "")), IF(OR(K2263="", K2263=""), "[Aviso] Categoría no capturada ()", IF(ISNA(MATCH(K2263, Criterios!$A$81:$A$120, 0)), "Categoría no válida", IF(AND(J2263&lt;&gt;"", J2263&lt;&gt;"", J2263&lt;&gt;VLOOKUP(K2263, Criterios!$A$81:$B$120, 2, FALSE)), "División no coincide con Categoría", ""))), IF(OR(L2263="", L2263=""), "[Aviso] Género no capturado ()", IF(ISNA(MATCH(L2263, Criterios!$B$123:$B$127, 0)), "Género no válido", "")), IF(OR(N2263="", N2263=""), "[Aviso] Temporada no capturada ()", IF(ISNA(MATCH(N2263, Criterios!$C$123:$C$128, 0)), "Temporada no válida", "")), IF(OR(O2263="", O2263=""), "[Aviso] Ciclo de vida no capturado ()", IF(ISNA(MATCH(O2263, Criterios!$D$123:$D$124, 0)), "Ciclo de vida no válido", ""))))</f>
        <v/>
      </c>
      <c r="AC2263" s="56" t="n"/>
      <c r="AD2263" s="51" t="n">
        <v>9</v>
      </c>
      <c r="AE2263" s="156" t="inlineStr">
        <is>
          <t>B25 STETSON.MX (9)</t>
        </is>
      </c>
      <c r="AF2263" s="51" t="n">
        <v>9</v>
      </c>
      <c r="AG2263" s="156" t="inlineStr">
        <is>
          <t>Catálogo existente</t>
        </is>
      </c>
      <c r="AH226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3" s="156" t="inlineStr">
        <is>
          <t>No</t>
        </is>
      </c>
      <c r="AJ2263" s="156" t="n"/>
      <c r="AK2263" s="155" t="inlineStr">
        <is>
          <t>Criterios: J [R]; G1522_Extraccion_Articulos_NetSuite_2026-09-30.xlsx: fila 58146 [S] | Shopify Stetson: producto 14814668783979 / variante 53350597919083</t>
        </is>
      </c>
      <c r="AL2263" s="58" t="n">
        <v>678.8793103</v>
      </c>
      <c r="AM2263" s="58" t="n">
        <v>1508.62069</v>
      </c>
      <c r="AN2263" s="155" t="inlineStr">
        <is>
          <t>Shopify Stetson México</t>
        </is>
      </c>
      <c r="AO2263" s="59" t="n">
        <v>15</v>
      </c>
      <c r="AP2263" s="59" t="n"/>
      <c r="AQ2263" s="59" t="n"/>
      <c r="AR2263" s="155" t="inlineStr">
        <is>
          <t>Shopify Stetson México › Stetson México: 9 | Shopify Stetson México › Stetson Americas: 6</t>
        </is>
      </c>
    </row>
    <row r="2264">
      <c r="A2264" s="50" t="inlineStr">
        <is>
          <t>7506499570039</t>
        </is>
      </c>
      <c r="B2264" s="51" t="inlineStr">
        <is>
          <t>110332</t>
        </is>
      </c>
      <c r="C2264" s="156" t="inlineStr">
        <is>
          <t>Multimarca</t>
        </is>
      </c>
      <c r="D2264" s="156" t="inlineStr">
        <is>
          <t>ST-VR-P-005-FW25-AZF</t>
        </is>
      </c>
      <c r="E2264" s="156" t="inlineStr">
        <is>
          <t>ST-VR-P-005-FW25-AZF-XL</t>
        </is>
      </c>
      <c r="F2264" s="156" t="inlineStr">
        <is>
          <t>XL</t>
        </is>
      </c>
      <c r="G2264" s="156" t="inlineStr">
        <is>
          <t>XL</t>
        </is>
      </c>
      <c r="H2264" s="156" t="inlineStr">
        <is>
          <t>Stetson</t>
        </is>
      </c>
      <c r="I2264" s="156" t="inlineStr">
        <is>
          <t>Camisa Stetson Vintage Range Aztec Forge</t>
        </is>
      </c>
      <c r="J2264" s="156" t="inlineStr">
        <is>
          <t>Ropa</t>
        </is>
      </c>
      <c r="K2264" s="156" t="inlineStr">
        <is>
          <t>Camisas</t>
        </is>
      </c>
      <c r="L2264" s="156" t="inlineStr">
        <is>
          <t>Hombre</t>
        </is>
      </c>
      <c r="M2264" s="156" t="inlineStr">
        <is>
          <t>Stetson</t>
        </is>
      </c>
      <c r="N2264" s="156" t="inlineStr">
        <is>
          <t>SS26</t>
        </is>
      </c>
      <c r="O2264" s="156" t="inlineStr">
        <is>
          <t>Seasonal</t>
        </is>
      </c>
      <c r="P2264" s="156" t="n"/>
      <c r="Q2264" s="156" t="inlineStr">
        <is>
          <t>Clásico</t>
        </is>
      </c>
      <c r="R2264" s="156" t="n"/>
      <c r="S2264" s="156" t="inlineStr">
        <is>
          <t>100% Algodón</t>
        </is>
      </c>
      <c r="T226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4" s="156" t="n"/>
      <c r="V2264" s="156" t="inlineStr">
        <is>
          <t>PZS</t>
        </is>
      </c>
      <c r="W2264" s="51" t="inlineStr">
        <is>
          <t>53101600</t>
        </is>
      </c>
      <c r="X2264" s="156" t="inlineStr">
        <is>
          <t>https://cdn.shopify.com/s/files/1/0888/3250/8267/files/ST-VR-P-005-AZF-02.jpg?v=1762284666</t>
        </is>
      </c>
      <c r="Y2264" s="54" t="n">
        <v>678.8793103</v>
      </c>
      <c r="Z2264" s="54" t="n">
        <v>1508.62069</v>
      </c>
      <c r="AA2264" s="55">
        <f>IF(AND(A2264="", B2264="", E2264=""), "", IF(AB2264="", "Válido", IF((LEN(AB2264)-LEN(SUBSTITUTE(AB2264,"; ","")))/2+1&gt;(LEN(AB2264)-LEN(SUBSTITUTE(AB2264,"[Aviso]","")))/7, "Con Incidencias", "Válido")))</f>
        <v/>
      </c>
      <c r="AB2264" s="56">
        <f>IF(AND(A2264="", B2264="", E2264=""), "", TEXTJOIN("; ", TRUE, IF(OR(TRIM(A2264&amp;"")="", ISNUMBER(SEARCH("FALTA", A2264))), "UPC faltante/inválido", ""), IF(AND(A2264&lt;&gt;"", IFERROR(_xlfn.XMATCH(A2264,$A$2:$A$2509,0,1)&lt;&gt;_xlfn.XMATCH(A2264,$A$2:$A$2509,0,-1),FALSE)), "Código de barras duplicado", ""), IF(AND(E2264&lt;&gt;"", COUNTIF($E$2:$E$2509, E2264)&gt;1), "SKU duplicado", ""), IF(OR(J2264="", J2264=""), "[Aviso] División no capturada ()", IF(ISNA(MATCH(J2264, Criterios!$A$123:$A$126, 0)), "División no válida", "")), IF(OR(K2264="", K2264=""), "[Aviso] Categoría no capturada ()", IF(ISNA(MATCH(K2264, Criterios!$A$81:$A$120, 0)), "Categoría no válida", IF(AND(J2264&lt;&gt;"", J2264&lt;&gt;"", J2264&lt;&gt;VLOOKUP(K2264, Criterios!$A$81:$B$120, 2, FALSE)), "División no coincide con Categoría", ""))), IF(OR(L2264="", L2264=""), "[Aviso] Género no capturado ()", IF(ISNA(MATCH(L2264, Criterios!$B$123:$B$127, 0)), "Género no válido", "")), IF(OR(N2264="", N2264=""), "[Aviso] Temporada no capturada ()", IF(ISNA(MATCH(N2264, Criterios!$C$123:$C$128, 0)), "Temporada no válida", "")), IF(OR(O2264="", O2264=""), "[Aviso] Ciclo de vida no capturado ()", IF(ISNA(MATCH(O2264, Criterios!$D$123:$D$124, 0)), "Ciclo de vida no válido", ""))))</f>
        <v/>
      </c>
      <c r="AC2264" s="56" t="n"/>
      <c r="AD2264" s="51" t="n">
        <v>3</v>
      </c>
      <c r="AE2264" s="156" t="inlineStr">
        <is>
          <t>B25 STETSON.MX (3)</t>
        </is>
      </c>
      <c r="AF2264" s="51" t="n">
        <v>3</v>
      </c>
      <c r="AG2264" s="156" t="inlineStr">
        <is>
          <t>Catálogo existente</t>
        </is>
      </c>
      <c r="AH226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4" s="156" t="inlineStr">
        <is>
          <t>No</t>
        </is>
      </c>
      <c r="AJ2264" s="156" t="n"/>
      <c r="AK2264" s="155" t="inlineStr">
        <is>
          <t>Criterios: J [R]; G1522_Extraccion_Articulos_NetSuite_2026-09-30.xlsx: fila 58147 [S] | Shopify Stetson: producto 14814668783979 / variante 53350597951851</t>
        </is>
      </c>
      <c r="AL2264" s="58" t="n">
        <v>678.8793103</v>
      </c>
      <c r="AM2264" s="58" t="n">
        <v>1508.62069</v>
      </c>
      <c r="AN2264" s="155" t="inlineStr">
        <is>
          <t>Shopify Stetson México</t>
        </is>
      </c>
      <c r="AO2264" s="59" t="n">
        <v>9</v>
      </c>
      <c r="AP2264" s="59" t="n"/>
      <c r="AQ2264" s="59" t="n"/>
      <c r="AR2264" s="155" t="inlineStr">
        <is>
          <t>Shopify Stetson México › Stetson México: 3 | Shopify Stetson México › Stetson Americas: 6</t>
        </is>
      </c>
    </row>
    <row r="2265">
      <c r="A2265" s="50" t="inlineStr">
        <is>
          <t>7506499570046</t>
        </is>
      </c>
      <c r="B2265" s="51" t="inlineStr">
        <is>
          <t>110333</t>
        </is>
      </c>
      <c r="C2265" s="156" t="inlineStr">
        <is>
          <t>Multimarca</t>
        </is>
      </c>
      <c r="D2265" s="156" t="inlineStr">
        <is>
          <t>ST-VR-P-005-FW25-AZF</t>
        </is>
      </c>
      <c r="E2265" s="156" t="inlineStr">
        <is>
          <t>ST-VR-P-005-FW25-AZF-XXL</t>
        </is>
      </c>
      <c r="F2265" s="156" t="inlineStr">
        <is>
          <t>XXL</t>
        </is>
      </c>
      <c r="G2265" s="156" t="inlineStr">
        <is>
          <t>XXL</t>
        </is>
      </c>
      <c r="H2265" s="156" t="inlineStr">
        <is>
          <t>Stetson</t>
        </is>
      </c>
      <c r="I2265" s="156" t="inlineStr">
        <is>
          <t>Camisa Stetson Vintage Range Aztec Forge</t>
        </is>
      </c>
      <c r="J2265" s="156" t="inlineStr">
        <is>
          <t>Ropa</t>
        </is>
      </c>
      <c r="K2265" s="156" t="inlineStr">
        <is>
          <t>Camisas</t>
        </is>
      </c>
      <c r="L2265" s="156" t="inlineStr">
        <is>
          <t>Hombre</t>
        </is>
      </c>
      <c r="M2265" s="156" t="inlineStr">
        <is>
          <t>Stetson</t>
        </is>
      </c>
      <c r="N2265" s="156" t="inlineStr">
        <is>
          <t>SS26</t>
        </is>
      </c>
      <c r="O2265" s="156" t="inlineStr">
        <is>
          <t>Seasonal</t>
        </is>
      </c>
      <c r="P2265" s="156" t="n"/>
      <c r="Q2265" s="156" t="inlineStr">
        <is>
          <t>Clásico</t>
        </is>
      </c>
      <c r="R2265" s="156" t="n"/>
      <c r="S2265" s="156" t="inlineStr">
        <is>
          <t>100% Algodón</t>
        </is>
      </c>
      <c r="T226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5" s="156" t="n"/>
      <c r="V2265" s="156" t="inlineStr">
        <is>
          <t>PZS</t>
        </is>
      </c>
      <c r="W2265" s="51" t="inlineStr">
        <is>
          <t>53101600</t>
        </is>
      </c>
      <c r="X2265" s="156" t="inlineStr">
        <is>
          <t>https://cdn.shopify.com/s/files/1/0888/3250/8267/files/ST-VR-P-005-AZF-02.jpg?v=1762284666</t>
        </is>
      </c>
      <c r="Y2265" s="54" t="n">
        <v>678.8793103</v>
      </c>
      <c r="Z2265" s="54" t="n">
        <v>1508.62069</v>
      </c>
      <c r="AA2265" s="55">
        <f>IF(AND(A2265="", B2265="", E2265=""), "", IF(AB2265="", "Válido", IF((LEN(AB2265)-LEN(SUBSTITUTE(AB2265,"; ","")))/2+1&gt;(LEN(AB2265)-LEN(SUBSTITUTE(AB2265,"[Aviso]","")))/7, "Con Incidencias", "Válido")))</f>
        <v/>
      </c>
      <c r="AB2265" s="56">
        <f>IF(AND(A2265="", B2265="", E2265=""), "", TEXTJOIN("; ", TRUE, IF(OR(TRIM(A2265&amp;"")="", ISNUMBER(SEARCH("FALTA", A2265))), "UPC faltante/inválido", ""), IF(AND(A2265&lt;&gt;"", IFERROR(_xlfn.XMATCH(A2265,$A$2:$A$2509,0,1)&lt;&gt;_xlfn.XMATCH(A2265,$A$2:$A$2509,0,-1),FALSE)), "Código de barras duplicado", ""), IF(AND(E2265&lt;&gt;"", COUNTIF($E$2:$E$2509, E2265)&gt;1), "SKU duplicado", ""), IF(OR(J2265="", J2265=""), "[Aviso] División no capturada ()", IF(ISNA(MATCH(J2265, Criterios!$A$123:$A$126, 0)), "División no válida", "")), IF(OR(K2265="", K2265=""), "[Aviso] Categoría no capturada ()", IF(ISNA(MATCH(K2265, Criterios!$A$81:$A$120, 0)), "Categoría no válida", IF(AND(J2265&lt;&gt;"", J2265&lt;&gt;"", J2265&lt;&gt;VLOOKUP(K2265, Criterios!$A$81:$B$120, 2, FALSE)), "División no coincide con Categoría", ""))), IF(OR(L2265="", L2265=""), "[Aviso] Género no capturado ()", IF(ISNA(MATCH(L2265, Criterios!$B$123:$B$127, 0)), "Género no válido", "")), IF(OR(N2265="", N2265=""), "[Aviso] Temporada no capturada ()", IF(ISNA(MATCH(N2265, Criterios!$C$123:$C$128, 0)), "Temporada no válida", "")), IF(OR(O2265="", O2265=""), "[Aviso] Ciclo de vida no capturado ()", IF(ISNA(MATCH(O2265, Criterios!$D$123:$D$124, 0)), "Ciclo de vida no válido", ""))))</f>
        <v/>
      </c>
      <c r="AC2265" s="56" t="n"/>
      <c r="AD2265" s="51" t="n">
        <v>1</v>
      </c>
      <c r="AE2265" s="156" t="inlineStr">
        <is>
          <t>B25 STETSON.MX (1)</t>
        </is>
      </c>
      <c r="AF2265" s="51" t="n">
        <v>1</v>
      </c>
      <c r="AG2265" s="156" t="inlineStr">
        <is>
          <t>Catálogo existente</t>
        </is>
      </c>
      <c r="AH226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5" s="156" t="inlineStr">
        <is>
          <t>No</t>
        </is>
      </c>
      <c r="AJ2265" s="156" t="n"/>
      <c r="AK2265" s="155" t="inlineStr">
        <is>
          <t>Criterios: J [R]; G1522_Extraccion_Articulos_NetSuite_2026-09-30.xlsx: fila 58148 [S] | Shopify Stetson: producto 14814668783979 / variante 53350597984619</t>
        </is>
      </c>
      <c r="AL2265" s="58" t="n">
        <v>678.8793103</v>
      </c>
      <c r="AM2265" s="58" t="n">
        <v>1508.62069</v>
      </c>
      <c r="AN2265" s="155" t="inlineStr">
        <is>
          <t>Shopify Stetson México</t>
        </is>
      </c>
      <c r="AO2265" s="59" t="n">
        <v>5</v>
      </c>
      <c r="AP2265" s="59" t="n"/>
      <c r="AQ2265" s="59" t="n"/>
      <c r="AR2265" s="155" t="inlineStr">
        <is>
          <t>Shopify Stetson México › Stetson México: 1 | Shopify Stetson México › Stetson Americas: 4</t>
        </is>
      </c>
    </row>
    <row r="2266">
      <c r="A2266" s="50" t="inlineStr">
        <is>
          <t>7506499570053</t>
        </is>
      </c>
      <c r="B2266" s="51" t="inlineStr">
        <is>
          <t>110334</t>
        </is>
      </c>
      <c r="C2266" s="156" t="inlineStr">
        <is>
          <t>Multimarca</t>
        </is>
      </c>
      <c r="D2266" s="156" t="inlineStr">
        <is>
          <t>ST-VR-P-006-FW25-PD</t>
        </is>
      </c>
      <c r="E2266" s="156" t="inlineStr">
        <is>
          <t>ST-VR-P-006-FW25-PD-S</t>
        </is>
      </c>
      <c r="F2266" s="156" t="inlineStr">
        <is>
          <t>S</t>
        </is>
      </c>
      <c r="G2266" s="156" t="inlineStr">
        <is>
          <t>S</t>
        </is>
      </c>
      <c r="H2266" s="156" t="inlineStr">
        <is>
          <t>Stetson</t>
        </is>
      </c>
      <c r="I2266" s="156" t="inlineStr">
        <is>
          <t>Camisa Stetson Vintage Range Palisade Diamond</t>
        </is>
      </c>
      <c r="J2266" s="156" t="inlineStr">
        <is>
          <t>Ropa</t>
        </is>
      </c>
      <c r="K2266" s="156" t="inlineStr">
        <is>
          <t>Camisas</t>
        </is>
      </c>
      <c r="L2266" s="156" t="inlineStr">
        <is>
          <t>Hombre</t>
        </is>
      </c>
      <c r="M2266" s="156" t="inlineStr">
        <is>
          <t>Stetson</t>
        </is>
      </c>
      <c r="N2266" s="156" t="inlineStr">
        <is>
          <t>SS26</t>
        </is>
      </c>
      <c r="O2266" s="156" t="inlineStr">
        <is>
          <t>Seasonal</t>
        </is>
      </c>
      <c r="P2266" s="156" t="n"/>
      <c r="Q2266" s="156" t="inlineStr">
        <is>
          <t>Clásico</t>
        </is>
      </c>
      <c r="R2266" s="156" t="n"/>
      <c r="S2266" s="156" t="inlineStr">
        <is>
          <t>100% Algodón</t>
        </is>
      </c>
      <c r="T226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6" s="156" t="n"/>
      <c r="V2266" s="156" t="inlineStr">
        <is>
          <t>PZS</t>
        </is>
      </c>
      <c r="W2266" s="51" t="inlineStr">
        <is>
          <t>53101600</t>
        </is>
      </c>
      <c r="X2266" s="156" t="inlineStr">
        <is>
          <t>https://cdn.shopify.com/s/files/1/0888/3250/8267/files/ST-VR-P-006-PD-01.jpg?v=1762285086</t>
        </is>
      </c>
      <c r="Y2266" s="54" t="n">
        <v>678.8793103</v>
      </c>
      <c r="Z2266" s="54" t="n">
        <v>1508.62069</v>
      </c>
      <c r="AA2266" s="55">
        <f>IF(AND(A2266="", B2266="", E2266=""), "", IF(AB2266="", "Válido", IF((LEN(AB2266)-LEN(SUBSTITUTE(AB2266,"; ","")))/2+1&gt;(LEN(AB2266)-LEN(SUBSTITUTE(AB2266,"[Aviso]","")))/7, "Con Incidencias", "Válido")))</f>
        <v/>
      </c>
      <c r="AB2266" s="56">
        <f>IF(AND(A2266="", B2266="", E2266=""), "", TEXTJOIN("; ", TRUE, IF(OR(TRIM(A2266&amp;"")="", ISNUMBER(SEARCH("FALTA", A2266))), "UPC faltante/inválido", ""), IF(AND(A2266&lt;&gt;"", IFERROR(_xlfn.XMATCH(A2266,$A$2:$A$2509,0,1)&lt;&gt;_xlfn.XMATCH(A2266,$A$2:$A$2509,0,-1),FALSE)), "Código de barras duplicado", ""), IF(AND(E2266&lt;&gt;"", COUNTIF($E$2:$E$2509, E2266)&gt;1), "SKU duplicado", ""), IF(OR(J2266="", J2266=""), "[Aviso] División no capturada ()", IF(ISNA(MATCH(J2266, Criterios!$A$123:$A$126, 0)), "División no válida", "")), IF(OR(K2266="", K2266=""), "[Aviso] Categoría no capturada ()", IF(ISNA(MATCH(K2266, Criterios!$A$81:$A$120, 0)), "Categoría no válida", IF(AND(J2266&lt;&gt;"", J2266&lt;&gt;"", J2266&lt;&gt;VLOOKUP(K2266, Criterios!$A$81:$B$120, 2, FALSE)), "División no coincide con Categoría", ""))), IF(OR(L2266="", L2266=""), "[Aviso] Género no capturado ()", IF(ISNA(MATCH(L2266, Criterios!$B$123:$B$127, 0)), "Género no válido", "")), IF(OR(N2266="", N2266=""), "[Aviso] Temporada no capturada ()", IF(ISNA(MATCH(N2266, Criterios!$C$123:$C$128, 0)), "Temporada no válida", "")), IF(OR(O2266="", O2266=""), "[Aviso] Ciclo de vida no capturado ()", IF(ISNA(MATCH(O2266, Criterios!$D$123:$D$124, 0)), "Ciclo de vida no válido", ""))))</f>
        <v/>
      </c>
      <c r="AC2266" s="56" t="n"/>
      <c r="AD2266" s="51" t="n">
        <v>5</v>
      </c>
      <c r="AE2266" s="156" t="inlineStr">
        <is>
          <t>B25 STETSON.MX (6)</t>
        </is>
      </c>
      <c r="AF2266" s="51" t="n">
        <v>6</v>
      </c>
      <c r="AG2266" s="156" t="inlineStr">
        <is>
          <t>Catálogo existente</t>
        </is>
      </c>
      <c r="AH226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6" s="156" t="inlineStr">
        <is>
          <t>Sí</t>
        </is>
      </c>
      <c r="AJ2266" s="156" t="inlineStr">
        <is>
          <t>STETSON AMERICAS (-1)</t>
        </is>
      </c>
      <c r="AK2266" s="155" t="inlineStr">
        <is>
          <t>Criterios: J [R]; G1522_Extraccion_Articulos_NetSuite_2026-09-30.xlsx: fila 58149 [S] | Shopify Stetson: producto 14814675992939 / variante 53350597689707</t>
        </is>
      </c>
      <c r="AL2266" s="58" t="n">
        <v>678.8793103</v>
      </c>
      <c r="AM2266" s="58" t="n">
        <v>1508.62069</v>
      </c>
      <c r="AN2266" s="155" t="inlineStr">
        <is>
          <t>Shopify Stetson México</t>
        </is>
      </c>
      <c r="AO2266" s="59" t="n">
        <v>7</v>
      </c>
      <c r="AP2266" s="59" t="n"/>
      <c r="AQ2266" s="59" t="n"/>
      <c r="AR2266" s="155" t="inlineStr">
        <is>
          <t>Shopify Stetson México › Stetson México: 6 | Shopify Stetson México › Stetson Americas: 1</t>
        </is>
      </c>
    </row>
    <row r="2267">
      <c r="A2267" s="50" t="inlineStr">
        <is>
          <t>7506499570060</t>
        </is>
      </c>
      <c r="B2267" s="51" t="inlineStr">
        <is>
          <t>110335</t>
        </is>
      </c>
      <c r="C2267" s="156" t="inlineStr">
        <is>
          <t>Multimarca</t>
        </is>
      </c>
      <c r="D2267" s="156" t="inlineStr">
        <is>
          <t>ST-VR-P-006-FW25-PD</t>
        </is>
      </c>
      <c r="E2267" s="156" t="inlineStr">
        <is>
          <t>ST-VR-P-006-FW25-PD-M</t>
        </is>
      </c>
      <c r="F2267" s="156" t="inlineStr">
        <is>
          <t>M</t>
        </is>
      </c>
      <c r="G2267" s="156" t="inlineStr">
        <is>
          <t>M</t>
        </is>
      </c>
      <c r="H2267" s="156" t="inlineStr">
        <is>
          <t>Stetson</t>
        </is>
      </c>
      <c r="I2267" s="156" t="inlineStr">
        <is>
          <t>Camisa Stetson Vintage Range Palisade Diamond</t>
        </is>
      </c>
      <c r="J2267" s="156" t="inlineStr">
        <is>
          <t>Ropa</t>
        </is>
      </c>
      <c r="K2267" s="156" t="inlineStr">
        <is>
          <t>Camisas</t>
        </is>
      </c>
      <c r="L2267" s="156" t="inlineStr">
        <is>
          <t>Hombre</t>
        </is>
      </c>
      <c r="M2267" s="156" t="inlineStr">
        <is>
          <t>Stetson</t>
        </is>
      </c>
      <c r="N2267" s="156" t="inlineStr">
        <is>
          <t>SS26</t>
        </is>
      </c>
      <c r="O2267" s="156" t="inlineStr">
        <is>
          <t>Seasonal</t>
        </is>
      </c>
      <c r="P2267" s="156" t="n"/>
      <c r="Q2267" s="156" t="inlineStr">
        <is>
          <t>Clásico</t>
        </is>
      </c>
      <c r="R2267" s="156" t="n"/>
      <c r="S2267" s="156" t="inlineStr">
        <is>
          <t>100% Algodón</t>
        </is>
      </c>
      <c r="T226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7" s="156" t="n"/>
      <c r="V2267" s="156" t="inlineStr">
        <is>
          <t>PZS</t>
        </is>
      </c>
      <c r="W2267" s="51" t="inlineStr">
        <is>
          <t>53101600</t>
        </is>
      </c>
      <c r="X2267" s="156" t="inlineStr">
        <is>
          <t>https://cdn.shopify.com/s/files/1/0888/3250/8267/files/ST-VR-P-006-PD-02.jpg?v=1762285086</t>
        </is>
      </c>
      <c r="Y2267" s="54" t="n">
        <v>678.8793103</v>
      </c>
      <c r="Z2267" s="54" t="n">
        <v>1508.62069</v>
      </c>
      <c r="AA2267" s="55">
        <f>IF(AND(A2267="", B2267="", E2267=""), "", IF(AB2267="", "Válido", IF((LEN(AB2267)-LEN(SUBSTITUTE(AB2267,"; ","")))/2+1&gt;(LEN(AB2267)-LEN(SUBSTITUTE(AB2267,"[Aviso]","")))/7, "Con Incidencias", "Válido")))</f>
        <v/>
      </c>
      <c r="AB2267" s="56">
        <f>IF(AND(A2267="", B2267="", E2267=""), "", TEXTJOIN("; ", TRUE, IF(OR(TRIM(A2267&amp;"")="", ISNUMBER(SEARCH("FALTA", A2267))), "UPC faltante/inválido", ""), IF(AND(A2267&lt;&gt;"", IFERROR(_xlfn.XMATCH(A2267,$A$2:$A$2509,0,1)&lt;&gt;_xlfn.XMATCH(A2267,$A$2:$A$2509,0,-1),FALSE)), "Código de barras duplicado", ""), IF(AND(E2267&lt;&gt;"", COUNTIF($E$2:$E$2509, E2267)&gt;1), "SKU duplicado", ""), IF(OR(J2267="", J2267=""), "[Aviso] División no capturada ()", IF(ISNA(MATCH(J2267, Criterios!$A$123:$A$126, 0)), "División no válida", "")), IF(OR(K2267="", K2267=""), "[Aviso] Categoría no capturada ()", IF(ISNA(MATCH(K2267, Criterios!$A$81:$A$120, 0)), "Categoría no válida", IF(AND(J2267&lt;&gt;"", J2267&lt;&gt;"", J2267&lt;&gt;VLOOKUP(K2267, Criterios!$A$81:$B$120, 2, FALSE)), "División no coincide con Categoría", ""))), IF(OR(L2267="", L2267=""), "[Aviso] Género no capturado ()", IF(ISNA(MATCH(L2267, Criterios!$B$123:$B$127, 0)), "Género no válido", "")), IF(OR(N2267="", N2267=""), "[Aviso] Temporada no capturada ()", IF(ISNA(MATCH(N2267, Criterios!$C$123:$C$128, 0)), "Temporada no válida", "")), IF(OR(O2267="", O2267=""), "[Aviso] Ciclo de vida no capturado ()", IF(ISNA(MATCH(O2267, Criterios!$D$123:$D$124, 0)), "Ciclo de vida no válido", ""))))</f>
        <v/>
      </c>
      <c r="AC2267" s="56" t="n"/>
      <c r="AD2267" s="51" t="n">
        <v>2</v>
      </c>
      <c r="AE2267" s="156" t="inlineStr">
        <is>
          <t>B25 STETSON.MX (3)</t>
        </is>
      </c>
      <c r="AF2267" s="51" t="n">
        <v>3</v>
      </c>
      <c r="AG2267" s="156" t="inlineStr">
        <is>
          <t>Catálogo existente</t>
        </is>
      </c>
      <c r="AH226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7" s="156" t="inlineStr">
        <is>
          <t>Sí</t>
        </is>
      </c>
      <c r="AJ2267" s="156" t="inlineStr">
        <is>
          <t>STETSON AMERICAS (-1)</t>
        </is>
      </c>
      <c r="AK2267" s="155" t="inlineStr">
        <is>
          <t>Criterios: J [R]; G1522_Extraccion_Articulos_NetSuite_2026-09-30.xlsx: fila 58150 [S] | Shopify Stetson: producto 14814675992939 / variante 53350597722475</t>
        </is>
      </c>
      <c r="AL2267" s="58" t="n">
        <v>678.8793103</v>
      </c>
      <c r="AM2267" s="58" t="n">
        <v>1508.62069</v>
      </c>
      <c r="AN2267" s="155" t="inlineStr">
        <is>
          <t>Shopify Stetson México</t>
        </is>
      </c>
      <c r="AO2267" s="59" t="n">
        <v>4</v>
      </c>
      <c r="AP2267" s="59" t="n"/>
      <c r="AQ2267" s="59" t="n"/>
      <c r="AR2267" s="155" t="inlineStr">
        <is>
          <t>Shopify Stetson México › Stetson México: 3 | Shopify Stetson México › Stetson Americas: 1</t>
        </is>
      </c>
    </row>
    <row r="2268">
      <c r="A2268" s="50" t="inlineStr">
        <is>
          <t>7506499570077</t>
        </is>
      </c>
      <c r="B2268" s="51" t="inlineStr">
        <is>
          <t>110336</t>
        </is>
      </c>
      <c r="C2268" s="156" t="inlineStr">
        <is>
          <t>Multimarca</t>
        </is>
      </c>
      <c r="D2268" s="156" t="inlineStr">
        <is>
          <t>ST-VR-P-006-FW25-PD</t>
        </is>
      </c>
      <c r="E2268" s="156" t="inlineStr">
        <is>
          <t>ST-VR-P-006-FW25-PD-L</t>
        </is>
      </c>
      <c r="F2268" s="156" t="inlineStr">
        <is>
          <t>L</t>
        </is>
      </c>
      <c r="G2268" s="156" t="inlineStr">
        <is>
          <t>L</t>
        </is>
      </c>
      <c r="H2268" s="156" t="inlineStr">
        <is>
          <t>Stetson</t>
        </is>
      </c>
      <c r="I2268" s="156" t="inlineStr">
        <is>
          <t>Camisa Stetson Vintage Range Palisade Diamond</t>
        </is>
      </c>
      <c r="J2268" s="156" t="inlineStr">
        <is>
          <t>Ropa</t>
        </is>
      </c>
      <c r="K2268" s="156" t="inlineStr">
        <is>
          <t>Camisas</t>
        </is>
      </c>
      <c r="L2268" s="156" t="inlineStr">
        <is>
          <t>Hombre</t>
        </is>
      </c>
      <c r="M2268" s="156" t="inlineStr">
        <is>
          <t>Stetson</t>
        </is>
      </c>
      <c r="N2268" s="156" t="inlineStr">
        <is>
          <t>SS26</t>
        </is>
      </c>
      <c r="O2268" s="156" t="inlineStr">
        <is>
          <t>Seasonal</t>
        </is>
      </c>
      <c r="P2268" s="156" t="n"/>
      <c r="Q2268" s="156" t="inlineStr">
        <is>
          <t>Clásico</t>
        </is>
      </c>
      <c r="R2268" s="156" t="n"/>
      <c r="S2268" s="156" t="inlineStr">
        <is>
          <t>100% Algodón</t>
        </is>
      </c>
      <c r="T226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8" s="156" t="n"/>
      <c r="V2268" s="156" t="inlineStr">
        <is>
          <t>PZS</t>
        </is>
      </c>
      <c r="W2268" s="51" t="inlineStr">
        <is>
          <t>53101600</t>
        </is>
      </c>
      <c r="X2268" s="156" t="inlineStr">
        <is>
          <t>https://cdn.shopify.com/s/files/1/0888/3250/8267/files/ST-VR-P-006-PD-03.jpg?v=1762285086</t>
        </is>
      </c>
      <c r="Y2268" s="54" t="n">
        <v>678.8793103</v>
      </c>
      <c r="Z2268" s="54" t="n">
        <v>1508.62069</v>
      </c>
      <c r="AA2268" s="55">
        <f>IF(AND(A2268="", B2268="", E2268=""), "", IF(AB2268="", "Válido", IF((LEN(AB2268)-LEN(SUBSTITUTE(AB2268,"; ","")))/2+1&gt;(LEN(AB2268)-LEN(SUBSTITUTE(AB2268,"[Aviso]","")))/7, "Con Incidencias", "Válido")))</f>
        <v/>
      </c>
      <c r="AB2268" s="56">
        <f>IF(AND(A2268="", B2268="", E2268=""), "", TEXTJOIN("; ", TRUE, IF(OR(TRIM(A2268&amp;"")="", ISNUMBER(SEARCH("FALTA", A2268))), "UPC faltante/inválido", ""), IF(AND(A2268&lt;&gt;"", IFERROR(_xlfn.XMATCH(A2268,$A$2:$A$2509,0,1)&lt;&gt;_xlfn.XMATCH(A2268,$A$2:$A$2509,0,-1),FALSE)), "Código de barras duplicado", ""), IF(AND(E2268&lt;&gt;"", COUNTIF($E$2:$E$2509, E2268)&gt;1), "SKU duplicado", ""), IF(OR(J2268="", J2268=""), "[Aviso] División no capturada ()", IF(ISNA(MATCH(J2268, Criterios!$A$123:$A$126, 0)), "División no válida", "")), IF(OR(K2268="", K2268=""), "[Aviso] Categoría no capturada ()", IF(ISNA(MATCH(K2268, Criterios!$A$81:$A$120, 0)), "Categoría no válida", IF(AND(J2268&lt;&gt;"", J2268&lt;&gt;"", J2268&lt;&gt;VLOOKUP(K2268, Criterios!$A$81:$B$120, 2, FALSE)), "División no coincide con Categoría", ""))), IF(OR(L2268="", L2268=""), "[Aviso] Género no capturado ()", IF(ISNA(MATCH(L2268, Criterios!$B$123:$B$127, 0)), "Género no válido", "")), IF(OR(N2268="", N2268=""), "[Aviso] Temporada no capturada ()", IF(ISNA(MATCH(N2268, Criterios!$C$123:$C$128, 0)), "Temporada no válida", "")), IF(OR(O2268="", O2268=""), "[Aviso] Ciclo de vida no capturado ()", IF(ISNA(MATCH(O2268, Criterios!$D$123:$D$124, 0)), "Ciclo de vida no válido", ""))))</f>
        <v/>
      </c>
      <c r="AC2268" s="56" t="n"/>
      <c r="AD2268" s="51" t="n">
        <v>3</v>
      </c>
      <c r="AE2268" s="156" t="inlineStr">
        <is>
          <t>B25 STETSON.MX (5)</t>
        </is>
      </c>
      <c r="AF2268" s="51" t="n">
        <v>5</v>
      </c>
      <c r="AG2268" s="156" t="inlineStr">
        <is>
          <t>Catálogo existente</t>
        </is>
      </c>
      <c r="AH226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8" s="156" t="inlineStr">
        <is>
          <t>Sí</t>
        </is>
      </c>
      <c r="AJ2268" s="156" t="inlineStr">
        <is>
          <t>STETSON AMERICAS (-2)</t>
        </is>
      </c>
      <c r="AK2268" s="155" t="inlineStr">
        <is>
          <t>Criterios: J [R]; G1522_Extraccion_Articulos_NetSuite_2026-09-30.xlsx: fila 58151 [S] | Shopify Stetson: producto 14814675992939 / variante 53350597755243</t>
        </is>
      </c>
      <c r="AL2268" s="58" t="n">
        <v>678.8793103</v>
      </c>
      <c r="AM2268" s="58" t="n">
        <v>1508.62069</v>
      </c>
      <c r="AN2268" s="155" t="inlineStr">
        <is>
          <t>Shopify Stetson México</t>
        </is>
      </c>
      <c r="AO2268" s="59" t="n">
        <v>6</v>
      </c>
      <c r="AP2268" s="59" t="n"/>
      <c r="AQ2268" s="59" t="n"/>
      <c r="AR2268" s="155" t="inlineStr">
        <is>
          <t>Shopify Stetson México › Stetson México: 5 | Shopify Stetson México › Stetson Americas: 1</t>
        </is>
      </c>
    </row>
    <row r="2269">
      <c r="A2269" s="50" t="inlineStr">
        <is>
          <t>7506499570084</t>
        </is>
      </c>
      <c r="B2269" s="51" t="inlineStr">
        <is>
          <t>110337</t>
        </is>
      </c>
      <c r="C2269" s="156" t="inlineStr">
        <is>
          <t>Multimarca</t>
        </is>
      </c>
      <c r="D2269" s="156" t="inlineStr">
        <is>
          <t>ST-VR-P-006-FW25-PD</t>
        </is>
      </c>
      <c r="E2269" s="156" t="inlineStr">
        <is>
          <t>ST-VR-P-006-FW25-PD-XL</t>
        </is>
      </c>
      <c r="F2269" s="156" t="inlineStr">
        <is>
          <t>XL</t>
        </is>
      </c>
      <c r="G2269" s="156" t="inlineStr">
        <is>
          <t>XL</t>
        </is>
      </c>
      <c r="H2269" s="156" t="inlineStr">
        <is>
          <t>Stetson</t>
        </is>
      </c>
      <c r="I2269" s="156" t="inlineStr">
        <is>
          <t>Camisa Stetson Vintage Range Palisade Diamond</t>
        </is>
      </c>
      <c r="J2269" s="156" t="inlineStr">
        <is>
          <t>Ropa</t>
        </is>
      </c>
      <c r="K2269" s="156" t="inlineStr">
        <is>
          <t>Camisas</t>
        </is>
      </c>
      <c r="L2269" s="156" t="inlineStr">
        <is>
          <t>Hombre</t>
        </is>
      </c>
      <c r="M2269" s="156" t="inlineStr">
        <is>
          <t>Stetson</t>
        </is>
      </c>
      <c r="N2269" s="156" t="inlineStr">
        <is>
          <t>SS26</t>
        </is>
      </c>
      <c r="O2269" s="156" t="inlineStr">
        <is>
          <t>Seasonal</t>
        </is>
      </c>
      <c r="P2269" s="156" t="n"/>
      <c r="Q2269" s="156" t="inlineStr">
        <is>
          <t>Clásico</t>
        </is>
      </c>
      <c r="R2269" s="156" t="n"/>
      <c r="S2269" s="156" t="inlineStr">
        <is>
          <t>100% Algodón</t>
        </is>
      </c>
      <c r="T226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9" s="156" t="n"/>
      <c r="V2269" s="156" t="inlineStr">
        <is>
          <t>PZS</t>
        </is>
      </c>
      <c r="W2269" s="51" t="inlineStr">
        <is>
          <t>53101600</t>
        </is>
      </c>
      <c r="X2269" s="156" t="inlineStr">
        <is>
          <t>https://cdn.shopify.com/s/files/1/0888/3250/8267/files/ST-VR-P-006-PD-01.jpg?v=1762285086</t>
        </is>
      </c>
      <c r="Y2269" s="54" t="n">
        <v>678.8793103</v>
      </c>
      <c r="Z2269" s="54" t="n">
        <v>1508.62069</v>
      </c>
      <c r="AA2269" s="55">
        <f>IF(AND(A2269="", B2269="", E2269=""), "", IF(AB2269="", "Válido", IF((LEN(AB2269)-LEN(SUBSTITUTE(AB2269,"; ","")))/2+1&gt;(LEN(AB2269)-LEN(SUBSTITUTE(AB2269,"[Aviso]","")))/7, "Con Incidencias", "Válido")))</f>
        <v/>
      </c>
      <c r="AB2269" s="56">
        <f>IF(AND(A2269="", B2269="", E2269=""), "", TEXTJOIN("; ", TRUE, IF(OR(TRIM(A2269&amp;"")="", ISNUMBER(SEARCH("FALTA", A2269))), "UPC faltante/inválido", ""), IF(AND(A2269&lt;&gt;"", IFERROR(_xlfn.XMATCH(A2269,$A$2:$A$2509,0,1)&lt;&gt;_xlfn.XMATCH(A2269,$A$2:$A$2509,0,-1),FALSE)), "Código de barras duplicado", ""), IF(AND(E2269&lt;&gt;"", COUNTIF($E$2:$E$2509, E2269)&gt;1), "SKU duplicado", ""), IF(OR(J2269="", J2269=""), "[Aviso] División no capturada ()", IF(ISNA(MATCH(J2269, Criterios!$A$123:$A$126, 0)), "División no válida", "")), IF(OR(K2269="", K2269=""), "[Aviso] Categoría no capturada ()", IF(ISNA(MATCH(K2269, Criterios!$A$81:$A$120, 0)), "Categoría no válida", IF(AND(J2269&lt;&gt;"", J2269&lt;&gt;"", J2269&lt;&gt;VLOOKUP(K2269, Criterios!$A$81:$B$120, 2, FALSE)), "División no coincide con Categoría", ""))), IF(OR(L2269="", L2269=""), "[Aviso] Género no capturado ()", IF(ISNA(MATCH(L2269, Criterios!$B$123:$B$127, 0)), "Género no válido", "")), IF(OR(N2269="", N2269=""), "[Aviso] Temporada no capturada ()", IF(ISNA(MATCH(N2269, Criterios!$C$123:$C$128, 0)), "Temporada no válida", "")), IF(OR(O2269="", O2269=""), "[Aviso] Ciclo de vida no capturado ()", IF(ISNA(MATCH(O2269, Criterios!$D$123:$D$124, 0)), "Ciclo de vida no válido", ""))))</f>
        <v/>
      </c>
      <c r="AC2269" s="56" t="n"/>
      <c r="AD2269" s="51" t="n">
        <v>1</v>
      </c>
      <c r="AE2269" s="156" t="inlineStr">
        <is>
          <t>B25 STETSON.MX (1)</t>
        </is>
      </c>
      <c r="AF2269" s="51" t="n">
        <v>1</v>
      </c>
      <c r="AG2269" s="156" t="inlineStr">
        <is>
          <t>Catálogo existente</t>
        </is>
      </c>
      <c r="AH226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9" s="156" t="inlineStr">
        <is>
          <t>No</t>
        </is>
      </c>
      <c r="AJ2269" s="156" t="n"/>
      <c r="AK2269" s="155" t="inlineStr">
        <is>
          <t>Criterios: J [R]; G1522_Extraccion_Articulos_NetSuite_2026-09-30.xlsx: fila 58152 [S] | Shopify Stetson: producto 14814675992939 / variante 53350597788011</t>
        </is>
      </c>
      <c r="AL2269" s="58" t="n">
        <v>678.8793103</v>
      </c>
      <c r="AM2269" s="58" t="n">
        <v>1508.62069</v>
      </c>
      <c r="AN2269" s="155" t="inlineStr">
        <is>
          <t>Shopify Stetson México</t>
        </is>
      </c>
      <c r="AO2269" s="59" t="n">
        <v>4</v>
      </c>
      <c r="AP2269" s="59" t="n"/>
      <c r="AQ2269" s="59" t="n"/>
      <c r="AR2269" s="155" t="inlineStr">
        <is>
          <t>Shopify Stetson México › Stetson México: 1 | Shopify Stetson México › Stetson Americas: 3</t>
        </is>
      </c>
    </row>
    <row r="2270">
      <c r="A2270" s="50" t="inlineStr">
        <is>
          <t>7506499570091</t>
        </is>
      </c>
      <c r="B2270" s="51" t="inlineStr">
        <is>
          <t>110338</t>
        </is>
      </c>
      <c r="C2270" s="156" t="inlineStr">
        <is>
          <t>Multimarca</t>
        </is>
      </c>
      <c r="D2270" s="156" t="inlineStr">
        <is>
          <t>ST-VR-P-006-FW25-PD</t>
        </is>
      </c>
      <c r="E2270" s="156" t="inlineStr">
        <is>
          <t>ST-VR-P-006-FW25-PD-XXL</t>
        </is>
      </c>
      <c r="F2270" s="156" t="inlineStr">
        <is>
          <t>XXL</t>
        </is>
      </c>
      <c r="G2270" s="156" t="inlineStr">
        <is>
          <t>XXL</t>
        </is>
      </c>
      <c r="H2270" s="156" t="inlineStr">
        <is>
          <t>Stetson</t>
        </is>
      </c>
      <c r="I2270" s="156" t="inlineStr">
        <is>
          <t>Camisa Stetson Vintage Range Palisade Diamond</t>
        </is>
      </c>
      <c r="J2270" s="156" t="inlineStr">
        <is>
          <t>Ropa</t>
        </is>
      </c>
      <c r="K2270" s="156" t="inlineStr">
        <is>
          <t>Camisas</t>
        </is>
      </c>
      <c r="L2270" s="156" t="inlineStr">
        <is>
          <t>Hombre</t>
        </is>
      </c>
      <c r="M2270" s="156" t="inlineStr">
        <is>
          <t>Stetson</t>
        </is>
      </c>
      <c r="N2270" s="156" t="inlineStr">
        <is>
          <t>SS26</t>
        </is>
      </c>
      <c r="O2270" s="156" t="inlineStr">
        <is>
          <t>Seasonal</t>
        </is>
      </c>
      <c r="P2270" s="156" t="n"/>
      <c r="Q2270" s="156" t="inlineStr">
        <is>
          <t>Relajado</t>
        </is>
      </c>
      <c r="R2270" s="156" t="n"/>
      <c r="S2270" s="156" t="inlineStr">
        <is>
          <t>100% Algodón</t>
        </is>
      </c>
      <c r="T227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0" s="156" t="n"/>
      <c r="V2270" s="156" t="inlineStr">
        <is>
          <t>PZS</t>
        </is>
      </c>
      <c r="W2270" s="51" t="inlineStr">
        <is>
          <t>53101600</t>
        </is>
      </c>
      <c r="X2270" s="156" t="inlineStr">
        <is>
          <t>https://cdn.shopify.com/s/files/1/0888/3250/8267/files/ST-VR-P-006-PD-01.jpg?v=1762285086</t>
        </is>
      </c>
      <c r="Y2270" s="54" t="n">
        <v>678.8793103</v>
      </c>
      <c r="Z2270" s="54" t="n">
        <v>1508.62069</v>
      </c>
      <c r="AA2270" s="55">
        <f>IF(AND(A2270="", B2270="", E2270=""), "", IF(AB2270="", "Válido", IF((LEN(AB2270)-LEN(SUBSTITUTE(AB2270,"; ","")))/2+1&gt;(LEN(AB2270)-LEN(SUBSTITUTE(AB2270,"[Aviso]","")))/7, "Con Incidencias", "Válido")))</f>
        <v/>
      </c>
      <c r="AB2270" s="56">
        <f>IF(AND(A2270="", B2270="", E2270=""), "", TEXTJOIN("; ", TRUE, IF(OR(TRIM(A2270&amp;"")="", ISNUMBER(SEARCH("FALTA", A2270))), "UPC faltante/inválido", ""), IF(AND(A2270&lt;&gt;"", IFERROR(_xlfn.XMATCH(A2270,$A$2:$A$2509,0,1)&lt;&gt;_xlfn.XMATCH(A2270,$A$2:$A$2509,0,-1),FALSE)), "Código de barras duplicado", ""), IF(AND(E2270&lt;&gt;"", COUNTIF($E$2:$E$2509, E2270)&gt;1), "SKU duplicado", ""), IF(OR(J2270="", J2270=""), "[Aviso] División no capturada ()", IF(ISNA(MATCH(J2270, Criterios!$A$123:$A$126, 0)), "División no válida", "")), IF(OR(K2270="", K2270=""), "[Aviso] Categoría no capturada ()", IF(ISNA(MATCH(K2270, Criterios!$A$81:$A$120, 0)), "Categoría no válida", IF(AND(J2270&lt;&gt;"", J2270&lt;&gt;"", J2270&lt;&gt;VLOOKUP(K2270, Criterios!$A$81:$B$120, 2, FALSE)), "División no coincide con Categoría", ""))), IF(OR(L2270="", L2270=""), "[Aviso] Género no capturado ()", IF(ISNA(MATCH(L2270, Criterios!$B$123:$B$127, 0)), "Género no válido", "")), IF(OR(N2270="", N2270=""), "[Aviso] Temporada no capturada ()", IF(ISNA(MATCH(N2270, Criterios!$C$123:$C$128, 0)), "Temporada no válida", "")), IF(OR(O2270="", O2270=""), "[Aviso] Ciclo de vida no capturado ()", IF(ISNA(MATCH(O2270, Criterios!$D$123:$D$124, 0)), "Ciclo de vida no válido", ""))))</f>
        <v/>
      </c>
      <c r="AC2270" s="56" t="n"/>
      <c r="AD2270" s="51" t="n">
        <v>0</v>
      </c>
      <c r="AE2270" s="156" t="n"/>
      <c r="AF2270" s="51" t="n">
        <v>0</v>
      </c>
      <c r="AG2270" s="156" t="inlineStr">
        <is>
          <t>Catálogo existente</t>
        </is>
      </c>
      <c r="AH227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70" s="156" t="inlineStr">
        <is>
          <t>No</t>
        </is>
      </c>
      <c r="AJ2270" s="156" t="n"/>
      <c r="AK2270" s="155" t="inlineStr">
        <is>
          <t>Criterios: J [R]; G1522_Extraccion_Articulos_NetSuite_2026-09-30.xlsx: fila 58153 [S] | Shopify Stetson: producto 14814675992939 / variante 53350597820779</t>
        </is>
      </c>
      <c r="AL2270" s="58" t="n">
        <v>678.8793103</v>
      </c>
      <c r="AM2270" s="58" t="n">
        <v>1508.62069</v>
      </c>
      <c r="AN2270" s="155" t="inlineStr">
        <is>
          <t>Shopify Stetson México</t>
        </is>
      </c>
      <c r="AO2270" s="59" t="n">
        <v>0</v>
      </c>
      <c r="AP2270" s="59" t="n"/>
      <c r="AQ2270" s="59" t="n"/>
      <c r="AR2270" s="155" t="n"/>
    </row>
    <row r="2271">
      <c r="A2271" s="50" t="inlineStr">
        <is>
          <t>7506499570107</t>
        </is>
      </c>
      <c r="B2271" s="51" t="inlineStr">
        <is>
          <t>108513</t>
        </is>
      </c>
      <c r="C2271" s="156" t="inlineStr">
        <is>
          <t>Multimarca</t>
        </is>
      </c>
      <c r="D2271" s="156" t="inlineStr">
        <is>
          <t>ST-VR-P-007-FW25-SB</t>
        </is>
      </c>
      <c r="E2271" s="156" t="inlineStr">
        <is>
          <t>ST-VR-P-007-FW25-SB-S</t>
        </is>
      </c>
      <c r="F2271" s="156" t="inlineStr">
        <is>
          <t>S</t>
        </is>
      </c>
      <c r="G2271" s="156" t="inlineStr">
        <is>
          <t>S</t>
        </is>
      </c>
      <c r="H2271" s="156" t="inlineStr">
        <is>
          <t>Stetson</t>
        </is>
      </c>
      <c r="I2271" s="156" t="inlineStr">
        <is>
          <t>Camisa Stetson Vintage Range Shadowburst</t>
        </is>
      </c>
      <c r="J2271" s="156" t="inlineStr">
        <is>
          <t>Ropa</t>
        </is>
      </c>
      <c r="K2271" s="156" t="inlineStr">
        <is>
          <t>Camisas</t>
        </is>
      </c>
      <c r="L2271" s="156" t="inlineStr">
        <is>
          <t>Hombre</t>
        </is>
      </c>
      <c r="M2271" s="156" t="inlineStr">
        <is>
          <t>Stetson</t>
        </is>
      </c>
      <c r="N2271" s="156" t="inlineStr">
        <is>
          <t>SS26</t>
        </is>
      </c>
      <c r="O2271" s="156" t="inlineStr">
        <is>
          <t>Seasonal</t>
        </is>
      </c>
      <c r="P2271" s="156" t="inlineStr">
        <is>
          <t>Negro</t>
        </is>
      </c>
      <c r="Q2271" s="156" t="inlineStr">
        <is>
          <t>Clásico</t>
        </is>
      </c>
      <c r="R2271" s="156" t="n"/>
      <c r="S2271" s="156" t="inlineStr">
        <is>
          <t>100% Algodón</t>
        </is>
      </c>
      <c r="T227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1" s="156" t="n"/>
      <c r="V2271" s="156" t="inlineStr">
        <is>
          <t>PZS</t>
        </is>
      </c>
      <c r="W2271" s="51" t="inlineStr">
        <is>
          <t>53101600</t>
        </is>
      </c>
      <c r="X2271" s="156" t="inlineStr">
        <is>
          <t>https://cdn.shopify.com/s/files/1/0888/3250/8267/files/ST-VR-P-007-SB-01.jpg?v=1762286734</t>
        </is>
      </c>
      <c r="Y2271" s="54" t="n">
        <v>678.8793103</v>
      </c>
      <c r="Z2271" s="54" t="n">
        <v>1508.62069</v>
      </c>
      <c r="AA2271" s="55">
        <f>IF(AND(A2271="", B2271="", E2271=""), "", IF(AB2271="", "Válido", IF((LEN(AB2271)-LEN(SUBSTITUTE(AB2271,"; ","")))/2+1&gt;(LEN(AB2271)-LEN(SUBSTITUTE(AB2271,"[Aviso]","")))/7, "Con Incidencias", "Válido")))</f>
        <v/>
      </c>
      <c r="AB2271" s="56">
        <f>IF(AND(A2271="", B2271="", E2271=""), "", TEXTJOIN("; ", TRUE, IF(OR(TRIM(A2271&amp;"")="", ISNUMBER(SEARCH("FALTA", A2271))), "UPC faltante/inválido", ""), IF(AND(A2271&lt;&gt;"", IFERROR(_xlfn.XMATCH(A2271,$A$2:$A$2509,0,1)&lt;&gt;_xlfn.XMATCH(A2271,$A$2:$A$2509,0,-1),FALSE)), "Código de barras duplicado", ""), IF(AND(E2271&lt;&gt;"", COUNTIF($E$2:$E$2509, E2271)&gt;1), "SKU duplicado", ""), IF(OR(J2271="", J2271=""), "[Aviso] División no capturada ()", IF(ISNA(MATCH(J2271, Criterios!$A$123:$A$126, 0)), "División no válida", "")), IF(OR(K2271="", K2271=""), "[Aviso] Categoría no capturada ()", IF(ISNA(MATCH(K2271, Criterios!$A$81:$A$120, 0)), "Categoría no válida", IF(AND(J2271&lt;&gt;"", J2271&lt;&gt;"", J2271&lt;&gt;VLOOKUP(K2271, Criterios!$A$81:$B$120, 2, FALSE)), "División no coincide con Categoría", ""))), IF(OR(L2271="", L2271=""), "[Aviso] Género no capturado ()", IF(ISNA(MATCH(L2271, Criterios!$B$123:$B$127, 0)), "Género no válido", "")), IF(OR(N2271="", N2271=""), "[Aviso] Temporada no capturada ()", IF(ISNA(MATCH(N2271, Criterios!$C$123:$C$128, 0)), "Temporada no válida", "")), IF(OR(O2271="", O2271=""), "[Aviso] Ciclo de vida no capturado ()", IF(ISNA(MATCH(O2271, Criterios!$D$123:$D$124, 0)), "Ciclo de vida no válido", ""))))</f>
        <v/>
      </c>
      <c r="AC2271" s="56" t="n"/>
      <c r="AD2271" s="51" t="n">
        <v>6</v>
      </c>
      <c r="AE2271" s="156" t="inlineStr">
        <is>
          <t>WB OUTLET LERMA (1); B25 STETSON.MX (5)</t>
        </is>
      </c>
      <c r="AF2271" s="51" t="n">
        <v>6</v>
      </c>
      <c r="AG2271" s="156" t="inlineStr">
        <is>
          <t>Catálogo existente</t>
        </is>
      </c>
      <c r="AH227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1" s="156" t="inlineStr">
        <is>
          <t>No</t>
        </is>
      </c>
      <c r="AJ2271" s="156" t="n"/>
      <c r="AK2271" s="155" t="inlineStr">
        <is>
          <t>Criterios: J [R]; G1522_Extraccion_Articulos_NetSuite_2026-09-30.xlsx: fila 56672 [S] | Shopify Stetson: producto 14814697357675 / variante 53350597525867 | Shopify WB: producto 8569965904057 / variante 47621335548089</t>
        </is>
      </c>
      <c r="AL2271" s="58" t="n">
        <v>678.8793103</v>
      </c>
      <c r="AM2271" s="58" t="n">
        <v>1508.62069</v>
      </c>
      <c r="AN2271" s="155" t="inlineStr">
        <is>
          <t>Shopify Stetson México | Shopify Western Brothers</t>
        </is>
      </c>
      <c r="AO2271" s="59" t="n">
        <v>9</v>
      </c>
      <c r="AP2271" s="59" t="n">
        <v>1</v>
      </c>
      <c r="AQ2271" s="59" t="n"/>
      <c r="AR2271" s="155" t="inlineStr">
        <is>
          <t>Shopify Stetson México › Stetson México: 5 | Shopify Stetson México › Stetson Americas: 4 | Shopify Western Brothers › Western Brothers Outlet Lerma: 1</t>
        </is>
      </c>
    </row>
    <row r="2272">
      <c r="A2272" s="50" t="inlineStr">
        <is>
          <t>7506499570114</t>
        </is>
      </c>
      <c r="B2272" s="51" t="inlineStr">
        <is>
          <t>108514</t>
        </is>
      </c>
      <c r="C2272" s="156" t="inlineStr">
        <is>
          <t>Multimarca</t>
        </is>
      </c>
      <c r="D2272" s="156" t="inlineStr">
        <is>
          <t>ST-VR-P-007-FW25-SB</t>
        </is>
      </c>
      <c r="E2272" s="156" t="inlineStr">
        <is>
          <t>ST-VR-P-007-FW25-SB-M</t>
        </is>
      </c>
      <c r="F2272" s="156" t="inlineStr">
        <is>
          <t>M</t>
        </is>
      </c>
      <c r="G2272" s="156" t="inlineStr">
        <is>
          <t>M</t>
        </is>
      </c>
      <c r="H2272" s="156" t="inlineStr">
        <is>
          <t>Stetson</t>
        </is>
      </c>
      <c r="I2272" s="156" t="inlineStr">
        <is>
          <t>Camisa Stetson Vintage Range Shadowburst</t>
        </is>
      </c>
      <c r="J2272" s="156" t="inlineStr">
        <is>
          <t>Ropa</t>
        </is>
      </c>
      <c r="K2272" s="156" t="inlineStr">
        <is>
          <t>Camisas</t>
        </is>
      </c>
      <c r="L2272" s="156" t="inlineStr">
        <is>
          <t>Hombre</t>
        </is>
      </c>
      <c r="M2272" s="156" t="inlineStr">
        <is>
          <t>Stetson</t>
        </is>
      </c>
      <c r="N2272" s="156" t="inlineStr">
        <is>
          <t>SS26</t>
        </is>
      </c>
      <c r="O2272" s="156" t="inlineStr">
        <is>
          <t>Seasonal</t>
        </is>
      </c>
      <c r="P2272" s="156" t="inlineStr">
        <is>
          <t>Negro</t>
        </is>
      </c>
      <c r="Q2272" s="156" t="inlineStr">
        <is>
          <t>Clásico</t>
        </is>
      </c>
      <c r="R2272" s="156" t="n"/>
      <c r="S2272" s="156" t="inlineStr">
        <is>
          <t>100% Algodón</t>
        </is>
      </c>
      <c r="T227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2" s="156" t="n"/>
      <c r="V2272" s="156" t="inlineStr">
        <is>
          <t>PZS</t>
        </is>
      </c>
      <c r="W2272" s="51" t="inlineStr">
        <is>
          <t>53101600</t>
        </is>
      </c>
      <c r="X2272" s="156" t="inlineStr">
        <is>
          <t>https://cdn.shopify.com/s/files/1/0888/3250/8267/files/ST-VR-P-007-SB-02.jpg?v=1762286734</t>
        </is>
      </c>
      <c r="Y2272" s="54" t="n">
        <v>678.8793103</v>
      </c>
      <c r="Z2272" s="54" t="n">
        <v>1508.62069</v>
      </c>
      <c r="AA2272" s="55">
        <f>IF(AND(A2272="", B2272="", E2272=""), "", IF(AB2272="", "Válido", IF((LEN(AB2272)-LEN(SUBSTITUTE(AB2272,"; ","")))/2+1&gt;(LEN(AB2272)-LEN(SUBSTITUTE(AB2272,"[Aviso]","")))/7, "Con Incidencias", "Válido")))</f>
        <v/>
      </c>
      <c r="AB2272" s="56">
        <f>IF(AND(A2272="", B2272="", E2272=""), "", TEXTJOIN("; ", TRUE, IF(OR(TRIM(A2272&amp;"")="", ISNUMBER(SEARCH("FALTA", A2272))), "UPC faltante/inválido", ""), IF(AND(A2272&lt;&gt;"", IFERROR(_xlfn.XMATCH(A2272,$A$2:$A$2509,0,1)&lt;&gt;_xlfn.XMATCH(A2272,$A$2:$A$2509,0,-1),FALSE)), "Código de barras duplicado", ""), IF(AND(E2272&lt;&gt;"", COUNTIF($E$2:$E$2509, E2272)&gt;1), "SKU duplicado", ""), IF(OR(J2272="", J2272=""), "[Aviso] División no capturada ()", IF(ISNA(MATCH(J2272, Criterios!$A$123:$A$126, 0)), "División no válida", "")), IF(OR(K2272="", K2272=""), "[Aviso] Categoría no capturada ()", IF(ISNA(MATCH(K2272, Criterios!$A$81:$A$120, 0)), "Categoría no válida", IF(AND(J2272&lt;&gt;"", J2272&lt;&gt;"", J2272&lt;&gt;VLOOKUP(K2272, Criterios!$A$81:$B$120, 2, FALSE)), "División no coincide con Categoría", ""))), IF(OR(L2272="", L2272=""), "[Aviso] Género no capturado ()", IF(ISNA(MATCH(L2272, Criterios!$B$123:$B$127, 0)), "Género no válido", "")), IF(OR(N2272="", N2272=""), "[Aviso] Temporada no capturada ()", IF(ISNA(MATCH(N2272, Criterios!$C$123:$C$128, 0)), "Temporada no válida", "")), IF(OR(O2272="", O2272=""), "[Aviso] Ciclo de vida no capturado ()", IF(ISNA(MATCH(O2272, Criterios!$D$123:$D$124, 0)), "Ciclo de vida no válido", ""))))</f>
        <v/>
      </c>
      <c r="AC2272" s="56" t="n"/>
      <c r="AD2272" s="51" t="n">
        <v>2</v>
      </c>
      <c r="AE2272" s="156" t="inlineStr">
        <is>
          <t>B25 STETSON.MX (5)</t>
        </is>
      </c>
      <c r="AF2272" s="51" t="n">
        <v>5</v>
      </c>
      <c r="AG2272" s="156" t="inlineStr">
        <is>
          <t>Catálogo existente</t>
        </is>
      </c>
      <c r="AH227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2" s="156" t="inlineStr">
        <is>
          <t>Sí</t>
        </is>
      </c>
      <c r="AJ2272" s="156" t="inlineStr">
        <is>
          <t>WB OUTLET LERMA (-1); STETSON AMERICAS (-2)</t>
        </is>
      </c>
      <c r="AK2272" s="155" t="inlineStr">
        <is>
          <t>Criterios: J [R]; G1522_Extraccion_Articulos_NetSuite_2026-09-30.xlsx: fila 56673 [S] | Shopify Stetson: producto 14814697357675 / variante 53350597558635 | Shopify WB: producto 8569965904057 / variante 47621335580857</t>
        </is>
      </c>
      <c r="AL2272" s="58" t="n">
        <v>678.8793103</v>
      </c>
      <c r="AM2272" s="58" t="n">
        <v>1508.62069</v>
      </c>
      <c r="AN2272" s="155" t="inlineStr">
        <is>
          <t>Shopify Stetson México | Shopify Western Brothers</t>
        </is>
      </c>
      <c r="AO2272" s="59" t="n">
        <v>7</v>
      </c>
      <c r="AP2272" s="59" t="n">
        <v>-1</v>
      </c>
      <c r="AQ2272" s="59" t="n"/>
      <c r="AR2272" s="155" t="inlineStr">
        <is>
          <t>Shopify Stetson México › Stetson México: 5 | Shopify Stetson México › Stetson Americas: 2</t>
        </is>
      </c>
    </row>
    <row r="2273">
      <c r="A2273" s="50" t="inlineStr">
        <is>
          <t>7506499570121</t>
        </is>
      </c>
      <c r="B2273" s="51" t="inlineStr">
        <is>
          <t>108515</t>
        </is>
      </c>
      <c r="C2273" s="156" t="inlineStr">
        <is>
          <t>Multimarca</t>
        </is>
      </c>
      <c r="D2273" s="156" t="inlineStr">
        <is>
          <t>ST-VR-P-007-FW25-SB</t>
        </is>
      </c>
      <c r="E2273" s="156" t="inlineStr">
        <is>
          <t>ST-VR-P-007-FW25-SB-L</t>
        </is>
      </c>
      <c r="F2273" s="156" t="inlineStr">
        <is>
          <t>L</t>
        </is>
      </c>
      <c r="G2273" s="156" t="inlineStr">
        <is>
          <t>L</t>
        </is>
      </c>
      <c r="H2273" s="156" t="inlineStr">
        <is>
          <t>Stetson</t>
        </is>
      </c>
      <c r="I2273" s="156" t="inlineStr">
        <is>
          <t>Camisa Stetson Vintage Range Shadowburst</t>
        </is>
      </c>
      <c r="J2273" s="156" t="inlineStr">
        <is>
          <t>Ropa</t>
        </is>
      </c>
      <c r="K2273" s="156" t="inlineStr">
        <is>
          <t>Camisas</t>
        </is>
      </c>
      <c r="L2273" s="156" t="inlineStr">
        <is>
          <t>Hombre</t>
        </is>
      </c>
      <c r="M2273" s="156" t="inlineStr">
        <is>
          <t>Stetson</t>
        </is>
      </c>
      <c r="N2273" s="156" t="inlineStr">
        <is>
          <t>SS26</t>
        </is>
      </c>
      <c r="O2273" s="156" t="inlineStr">
        <is>
          <t>Seasonal</t>
        </is>
      </c>
      <c r="P2273" s="156" t="inlineStr">
        <is>
          <t>Negro</t>
        </is>
      </c>
      <c r="Q2273" s="156" t="inlineStr">
        <is>
          <t>Relajado</t>
        </is>
      </c>
      <c r="R2273" s="156" t="n"/>
      <c r="S2273" s="156" t="inlineStr">
        <is>
          <t>100% Algodón</t>
        </is>
      </c>
      <c r="T2273"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3" s="156" t="n"/>
      <c r="V2273" s="156" t="inlineStr">
        <is>
          <t>PZS</t>
        </is>
      </c>
      <c r="W2273" s="51" t="inlineStr">
        <is>
          <t>53101600</t>
        </is>
      </c>
      <c r="X2273" s="156" t="inlineStr">
        <is>
          <t>https://cdn.shopify.com/s/files/1/0888/3250/8267/files/ST-VR-P-007-SB-03.jpg?v=1762286734</t>
        </is>
      </c>
      <c r="Y2273" s="54" t="n">
        <v>678.8793103</v>
      </c>
      <c r="Z2273" s="54" t="n">
        <v>1508.62069</v>
      </c>
      <c r="AA2273" s="55">
        <f>IF(AND(A2273="", B2273="", E2273=""), "", IF(AB2273="", "Válido", IF((LEN(AB2273)-LEN(SUBSTITUTE(AB2273,"; ","")))/2+1&gt;(LEN(AB2273)-LEN(SUBSTITUTE(AB2273,"[Aviso]","")))/7, "Con Incidencias", "Válido")))</f>
        <v/>
      </c>
      <c r="AB2273" s="56">
        <f>IF(AND(A2273="", B2273="", E2273=""), "", TEXTJOIN("; ", TRUE, IF(OR(TRIM(A2273&amp;"")="", ISNUMBER(SEARCH("FALTA", A2273))), "UPC faltante/inválido", ""), IF(AND(A2273&lt;&gt;"", IFERROR(_xlfn.XMATCH(A2273,$A$2:$A$2509,0,1)&lt;&gt;_xlfn.XMATCH(A2273,$A$2:$A$2509,0,-1),FALSE)), "Código de barras duplicado", ""), IF(AND(E2273&lt;&gt;"", COUNTIF($E$2:$E$2509, E2273)&gt;1), "SKU duplicado", ""), IF(OR(J2273="", J2273=""), "[Aviso] División no capturada ()", IF(ISNA(MATCH(J2273, Criterios!$A$123:$A$126, 0)), "División no válida", "")), IF(OR(K2273="", K2273=""), "[Aviso] Categoría no capturada ()", IF(ISNA(MATCH(K2273, Criterios!$A$81:$A$120, 0)), "Categoría no válida", IF(AND(J2273&lt;&gt;"", J2273&lt;&gt;"", J2273&lt;&gt;VLOOKUP(K2273, Criterios!$A$81:$B$120, 2, FALSE)), "División no coincide con Categoría", ""))), IF(OR(L2273="", L2273=""), "[Aviso] Género no capturado ()", IF(ISNA(MATCH(L2273, Criterios!$B$123:$B$127, 0)), "Género no válido", "")), IF(OR(N2273="", N2273=""), "[Aviso] Temporada no capturada ()", IF(ISNA(MATCH(N2273, Criterios!$C$123:$C$128, 0)), "Temporada no válida", "")), IF(OR(O2273="", O2273=""), "[Aviso] Ciclo de vida no capturado ()", IF(ISNA(MATCH(O2273, Criterios!$D$123:$D$124, 0)), "Ciclo de vida no válido", ""))))</f>
        <v/>
      </c>
      <c r="AC2273" s="56" t="n"/>
      <c r="AD2273" s="51" t="n">
        <v>-2</v>
      </c>
      <c r="AE2273" s="156" t="n"/>
      <c r="AF2273" s="51" t="n">
        <v>0</v>
      </c>
      <c r="AG2273" s="156" t="inlineStr">
        <is>
          <t>Catálogo existente</t>
        </is>
      </c>
      <c r="AH2273"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3" s="156" t="inlineStr">
        <is>
          <t>Sí</t>
        </is>
      </c>
      <c r="AJ2273" s="156" t="inlineStr">
        <is>
          <t>STETSON AMERICAS (-1); WB OUTLET LERMA (-1)</t>
        </is>
      </c>
      <c r="AK2273" s="155" t="inlineStr">
        <is>
          <t>Criterios: J [R]; G1522_Extraccion_Articulos_NetSuite_2026-09-30.xlsx: fila 56674 [S] | Shopify Stetson: producto 14814697357675 / variante 53350597591403 | Shopify WB: producto 8569965904057 / variante 47621335613625</t>
        </is>
      </c>
      <c r="AL2273" s="58" t="n">
        <v>678.8793103</v>
      </c>
      <c r="AM2273" s="58" t="n">
        <v>1508.62069</v>
      </c>
      <c r="AN2273" s="155" t="inlineStr">
        <is>
          <t>Shopify Stetson México | Shopify Western Brothers</t>
        </is>
      </c>
      <c r="AO2273" s="59" t="n">
        <v>5</v>
      </c>
      <c r="AP2273" s="59" t="n">
        <v>-1</v>
      </c>
      <c r="AQ2273" s="59" t="n"/>
      <c r="AR2273" s="155" t="inlineStr">
        <is>
          <t>Shopify Stetson México › Stetson Americas: 5</t>
        </is>
      </c>
    </row>
    <row r="2274">
      <c r="A2274" s="50" t="inlineStr">
        <is>
          <t>7506499570138</t>
        </is>
      </c>
      <c r="B2274" s="51" t="inlineStr">
        <is>
          <t>108516</t>
        </is>
      </c>
      <c r="C2274" s="156" t="inlineStr">
        <is>
          <t>Multimarca</t>
        </is>
      </c>
      <c r="D2274" s="156" t="inlineStr">
        <is>
          <t>ST-VR-P-007-FW25-SB</t>
        </is>
      </c>
      <c r="E2274" s="156" t="inlineStr">
        <is>
          <t>ST-VR-P-007-FW25-SB-XL</t>
        </is>
      </c>
      <c r="F2274" s="156" t="inlineStr">
        <is>
          <t>XL</t>
        </is>
      </c>
      <c r="G2274" s="156" t="inlineStr">
        <is>
          <t>XL</t>
        </is>
      </c>
      <c r="H2274" s="156" t="inlineStr">
        <is>
          <t>Stetson</t>
        </is>
      </c>
      <c r="I2274" s="156" t="inlineStr">
        <is>
          <t>Camisa Stetson Vintage Range Shadowburst</t>
        </is>
      </c>
      <c r="J2274" s="156" t="inlineStr">
        <is>
          <t>Ropa</t>
        </is>
      </c>
      <c r="K2274" s="156" t="inlineStr">
        <is>
          <t>Camisas</t>
        </is>
      </c>
      <c r="L2274" s="156" t="inlineStr">
        <is>
          <t>Hombre</t>
        </is>
      </c>
      <c r="M2274" s="156" t="inlineStr">
        <is>
          <t>Stetson</t>
        </is>
      </c>
      <c r="N2274" s="156" t="inlineStr">
        <is>
          <t>SS26</t>
        </is>
      </c>
      <c r="O2274" s="156" t="inlineStr">
        <is>
          <t>Seasonal</t>
        </is>
      </c>
      <c r="P2274" s="156" t="inlineStr">
        <is>
          <t>Negro</t>
        </is>
      </c>
      <c r="Q2274" s="156" t="inlineStr">
        <is>
          <t>Relajado</t>
        </is>
      </c>
      <c r="R2274" s="156" t="n"/>
      <c r="S2274" s="156" t="inlineStr">
        <is>
          <t>100% Algodón</t>
        </is>
      </c>
      <c r="T2274"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4" s="156" t="n"/>
      <c r="V2274" s="156" t="inlineStr">
        <is>
          <t>PZS</t>
        </is>
      </c>
      <c r="W2274" s="51" t="inlineStr">
        <is>
          <t>53101600</t>
        </is>
      </c>
      <c r="X2274" s="156" t="inlineStr">
        <is>
          <t>https://cdn.shopify.com/s/files/1/0888/3250/8267/files/ST-VR-P-007-SB-01.jpg?v=1762286734</t>
        </is>
      </c>
      <c r="Y2274" s="54" t="n">
        <v>678.8793103</v>
      </c>
      <c r="Z2274" s="54" t="n">
        <v>1508.62069</v>
      </c>
      <c r="AA2274" s="55">
        <f>IF(AND(A2274="", B2274="", E2274=""), "", IF(AB2274="", "Válido", IF((LEN(AB2274)-LEN(SUBSTITUTE(AB2274,"; ","")))/2+1&gt;(LEN(AB2274)-LEN(SUBSTITUTE(AB2274,"[Aviso]","")))/7, "Con Incidencias", "Válido")))</f>
        <v/>
      </c>
      <c r="AB2274" s="56">
        <f>IF(AND(A2274="", B2274="", E2274=""), "", TEXTJOIN("; ", TRUE, IF(OR(TRIM(A2274&amp;"")="", ISNUMBER(SEARCH("FALTA", A2274))), "UPC faltante/inválido", ""), IF(AND(A2274&lt;&gt;"", IFERROR(_xlfn.XMATCH(A2274,$A$2:$A$2509,0,1)&lt;&gt;_xlfn.XMATCH(A2274,$A$2:$A$2509,0,-1),FALSE)), "Código de barras duplicado", ""), IF(AND(E2274&lt;&gt;"", COUNTIF($E$2:$E$2509, E2274)&gt;1), "SKU duplicado", ""), IF(OR(J2274="", J2274=""), "[Aviso] División no capturada ()", IF(ISNA(MATCH(J2274, Criterios!$A$123:$A$126, 0)), "División no válida", "")), IF(OR(K2274="", K2274=""), "[Aviso] Categoría no capturada ()", IF(ISNA(MATCH(K2274, Criterios!$A$81:$A$120, 0)), "Categoría no válida", IF(AND(J2274&lt;&gt;"", J2274&lt;&gt;"", J2274&lt;&gt;VLOOKUP(K2274, Criterios!$A$81:$B$120, 2, FALSE)), "División no coincide con Categoría", ""))), IF(OR(L2274="", L2274=""), "[Aviso] Género no capturado ()", IF(ISNA(MATCH(L2274, Criterios!$B$123:$B$127, 0)), "Género no válido", "")), IF(OR(N2274="", N2274=""), "[Aviso] Temporada no capturada ()", IF(ISNA(MATCH(N2274, Criterios!$C$123:$C$128, 0)), "Temporada no válida", "")), IF(OR(O2274="", O2274=""), "[Aviso] Ciclo de vida no capturado ()", IF(ISNA(MATCH(O2274, Criterios!$D$123:$D$124, 0)), "Ciclo de vida no válido", ""))))</f>
        <v/>
      </c>
      <c r="AC2274" s="56" t="n"/>
      <c r="AD2274" s="51" t="n">
        <v>1</v>
      </c>
      <c r="AE2274" s="156" t="inlineStr">
        <is>
          <t>WB OUTLET LERMA (2)</t>
        </is>
      </c>
      <c r="AF2274" s="51" t="n">
        <v>2</v>
      </c>
      <c r="AG2274" s="156" t="inlineStr">
        <is>
          <t>Catálogo existente</t>
        </is>
      </c>
      <c r="AH227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74" s="156" t="inlineStr">
        <is>
          <t>Sí</t>
        </is>
      </c>
      <c r="AJ2274" s="156" t="inlineStr">
        <is>
          <t>STETSON AMERICAS (-1)</t>
        </is>
      </c>
      <c r="AK2274" s="155" t="inlineStr">
        <is>
          <t>Criterios: J [R]; G1522_Extraccion_Articulos_NetSuite_2026-09-30.xlsx: fila 56675 [S] | Shopify Stetson: producto 14814697357675 / variante 53350597624171 | Shopify WB: producto 8569965904057 / variante 47621335646393</t>
        </is>
      </c>
      <c r="AL2274" s="58" t="n">
        <v>678.8793103</v>
      </c>
      <c r="AM2274" s="58" t="n">
        <v>1508.62069</v>
      </c>
      <c r="AN2274" s="155" t="inlineStr">
        <is>
          <t>Shopify Stetson México | Shopify Western Brothers</t>
        </is>
      </c>
      <c r="AO2274" s="59" t="n">
        <v>3</v>
      </c>
      <c r="AP2274" s="59" t="n">
        <v>2</v>
      </c>
      <c r="AQ2274" s="59" t="n"/>
      <c r="AR2274" s="155" t="inlineStr">
        <is>
          <t>Shopify Stetson México › Stetson México: 1 | Shopify Stetson México › Stetson Americas: 2 | Shopify Western Brothers › Western Brothers Outlet Lerma: 2</t>
        </is>
      </c>
    </row>
    <row r="2275">
      <c r="A2275" s="50" t="inlineStr">
        <is>
          <t>7506499570145</t>
        </is>
      </c>
      <c r="B2275" s="51" t="inlineStr">
        <is>
          <t>110339</t>
        </is>
      </c>
      <c r="C2275" s="156" t="inlineStr">
        <is>
          <t>Multimarca</t>
        </is>
      </c>
      <c r="D2275" s="156" t="inlineStr">
        <is>
          <t>ST-VR-P-007-FW25-SB</t>
        </is>
      </c>
      <c r="E2275" s="156" t="inlineStr">
        <is>
          <t>ST-VR-P-007-FW25-SB-XXL</t>
        </is>
      </c>
      <c r="F2275" s="156" t="inlineStr">
        <is>
          <t>XXL</t>
        </is>
      </c>
      <c r="G2275" s="156" t="inlineStr">
        <is>
          <t>XXL</t>
        </is>
      </c>
      <c r="H2275" s="156" t="inlineStr">
        <is>
          <t>Stetson</t>
        </is>
      </c>
      <c r="I2275" s="156" t="inlineStr">
        <is>
          <t>Camisa Stetson Vintage Range Shadowburst</t>
        </is>
      </c>
      <c r="J2275" s="156" t="inlineStr">
        <is>
          <t>Ropa</t>
        </is>
      </c>
      <c r="K2275" s="156" t="inlineStr">
        <is>
          <t>Camisas</t>
        </is>
      </c>
      <c r="L2275" s="156" t="inlineStr">
        <is>
          <t>Hombre</t>
        </is>
      </c>
      <c r="M2275" s="156" t="inlineStr">
        <is>
          <t>Stetson</t>
        </is>
      </c>
      <c r="N2275" s="156" t="inlineStr">
        <is>
          <t>SS26</t>
        </is>
      </c>
      <c r="O2275" s="156" t="inlineStr">
        <is>
          <t>Seasonal</t>
        </is>
      </c>
      <c r="P2275" s="156" t="n"/>
      <c r="Q2275" s="156" t="inlineStr">
        <is>
          <t>Clásico</t>
        </is>
      </c>
      <c r="R2275" s="156" t="n"/>
      <c r="S2275" s="156" t="inlineStr">
        <is>
          <t>100% Algodón</t>
        </is>
      </c>
      <c r="T227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5" s="156" t="n"/>
      <c r="V2275" s="156" t="inlineStr">
        <is>
          <t>PZS</t>
        </is>
      </c>
      <c r="W2275" s="51" t="inlineStr">
        <is>
          <t>53101600</t>
        </is>
      </c>
      <c r="X2275" s="156" t="inlineStr">
        <is>
          <t>https://cdn.shopify.com/s/files/1/0888/3250/8267/files/ST-VR-P-007-SB-01.jpg?v=1762286734</t>
        </is>
      </c>
      <c r="Y2275" s="54" t="n">
        <v>678.8793103</v>
      </c>
      <c r="Z2275" s="54" t="n">
        <v>1508.62069</v>
      </c>
      <c r="AA2275" s="55">
        <f>IF(AND(A2275="", B2275="", E2275=""), "", IF(AB2275="", "Válido", IF((LEN(AB2275)-LEN(SUBSTITUTE(AB2275,"; ","")))/2+1&gt;(LEN(AB2275)-LEN(SUBSTITUTE(AB2275,"[Aviso]","")))/7, "Con Incidencias", "Válido")))</f>
        <v/>
      </c>
      <c r="AB2275" s="56">
        <f>IF(AND(A2275="", B2275="", E2275=""), "", TEXTJOIN("; ", TRUE, IF(OR(TRIM(A2275&amp;"")="", ISNUMBER(SEARCH("FALTA", A2275))), "UPC faltante/inválido", ""), IF(AND(A2275&lt;&gt;"", IFERROR(_xlfn.XMATCH(A2275,$A$2:$A$2509,0,1)&lt;&gt;_xlfn.XMATCH(A2275,$A$2:$A$2509,0,-1),FALSE)), "Código de barras duplicado", ""), IF(AND(E2275&lt;&gt;"", COUNTIF($E$2:$E$2509, E2275)&gt;1), "SKU duplicado", ""), IF(OR(J2275="", J2275=""), "[Aviso] División no capturada ()", IF(ISNA(MATCH(J2275, Criterios!$A$123:$A$126, 0)), "División no válida", "")), IF(OR(K2275="", K2275=""), "[Aviso] Categoría no capturada ()", IF(ISNA(MATCH(K2275, Criterios!$A$81:$A$120, 0)), "Categoría no válida", IF(AND(J2275&lt;&gt;"", J2275&lt;&gt;"", J2275&lt;&gt;VLOOKUP(K2275, Criterios!$A$81:$B$120, 2, FALSE)), "División no coincide con Categoría", ""))), IF(OR(L2275="", L2275=""), "[Aviso] Género no capturado ()", IF(ISNA(MATCH(L2275, Criterios!$B$123:$B$127, 0)), "Género no válido", "")), IF(OR(N2275="", N2275=""), "[Aviso] Temporada no capturada ()", IF(ISNA(MATCH(N2275, Criterios!$C$123:$C$128, 0)), "Temporada no válida", "")), IF(OR(O2275="", O2275=""), "[Aviso] Ciclo de vida no capturado ()", IF(ISNA(MATCH(O2275, Criterios!$D$123:$D$124, 0)), "Ciclo de vida no válido", ""))))</f>
        <v/>
      </c>
      <c r="AC2275" s="56" t="n"/>
      <c r="AD2275" s="51" t="n">
        <v>0</v>
      </c>
      <c r="AE2275" s="156" t="inlineStr">
        <is>
          <t>B25 STETSON.MX (1)</t>
        </is>
      </c>
      <c r="AF2275" s="51" t="n">
        <v>1</v>
      </c>
      <c r="AG2275" s="156" t="inlineStr">
        <is>
          <t>Catálogo existente</t>
        </is>
      </c>
      <c r="AH227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75" s="156" t="inlineStr">
        <is>
          <t>Sí</t>
        </is>
      </c>
      <c r="AJ2275" s="156" t="inlineStr">
        <is>
          <t>STETSON AMERICAS (-1)</t>
        </is>
      </c>
      <c r="AK2275" s="155" t="inlineStr">
        <is>
          <t>Criterios: J [R]; G1522_Extraccion_Articulos_NetSuite_2026-09-30.xlsx: fila 58154 [S] | Shopify Stetson: producto 14814697357675 / variante 53350597656939</t>
        </is>
      </c>
      <c r="AL2275" s="58" t="n">
        <v>678.8793103</v>
      </c>
      <c r="AM2275" s="58" t="n">
        <v>1508.62069</v>
      </c>
      <c r="AN2275" s="155" t="inlineStr">
        <is>
          <t>Shopify Stetson México</t>
        </is>
      </c>
      <c r="AO2275" s="59" t="n">
        <v>4</v>
      </c>
      <c r="AP2275" s="59" t="n"/>
      <c r="AQ2275" s="59" t="n"/>
      <c r="AR2275" s="155" t="inlineStr">
        <is>
          <t>Shopify Stetson México › Stetson México: 1 | Shopify Stetson México › Stetson Americas: 3</t>
        </is>
      </c>
    </row>
    <row r="2276">
      <c r="A2276" s="50" t="inlineStr">
        <is>
          <t>7506499570152</t>
        </is>
      </c>
      <c r="B2276" s="51" t="inlineStr">
        <is>
          <t>108505</t>
        </is>
      </c>
      <c r="C2276" s="156" t="inlineStr">
        <is>
          <t>Multimarca</t>
        </is>
      </c>
      <c r="D2276" s="156" t="inlineStr">
        <is>
          <t>ST-VR-P-008-FW25-FN</t>
        </is>
      </c>
      <c r="E2276" s="156" t="inlineStr">
        <is>
          <t>ST-VR-P-008-FW25-FN-S</t>
        </is>
      </c>
      <c r="F2276" s="156" t="inlineStr">
        <is>
          <t>S</t>
        </is>
      </c>
      <c r="G2276" s="156" t="inlineStr">
        <is>
          <t>S</t>
        </is>
      </c>
      <c r="H2276" s="156" t="inlineStr">
        <is>
          <t>Stetson</t>
        </is>
      </c>
      <c r="I2276" s="156" t="inlineStr">
        <is>
          <t>Camisa Stetson Vintage Range Forest Nomad</t>
        </is>
      </c>
      <c r="J2276" s="156" t="inlineStr">
        <is>
          <t>Ropa</t>
        </is>
      </c>
      <c r="K2276" s="156" t="inlineStr">
        <is>
          <t>Camisas</t>
        </is>
      </c>
      <c r="L2276" s="156" t="inlineStr">
        <is>
          <t>Hombre</t>
        </is>
      </c>
      <c r="M2276" s="156" t="inlineStr">
        <is>
          <t>Stetson</t>
        </is>
      </c>
      <c r="N2276" s="156" t="inlineStr">
        <is>
          <t>SS26</t>
        </is>
      </c>
      <c r="O2276" s="156" t="inlineStr">
        <is>
          <t>Seasonal</t>
        </is>
      </c>
      <c r="P2276" s="156" t="inlineStr">
        <is>
          <t>Negro</t>
        </is>
      </c>
      <c r="Q2276" s="156" t="inlineStr">
        <is>
          <t>Clásico</t>
        </is>
      </c>
      <c r="R2276" s="156" t="n"/>
      <c r="S2276" s="156" t="inlineStr">
        <is>
          <t>100% Algodón</t>
        </is>
      </c>
      <c r="T227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6" s="156" t="n"/>
      <c r="V2276" s="156" t="inlineStr">
        <is>
          <t>PZS</t>
        </is>
      </c>
      <c r="W2276" s="51" t="inlineStr">
        <is>
          <t>53101600</t>
        </is>
      </c>
      <c r="X2276" s="156" t="inlineStr">
        <is>
          <t>https://cdn.shopify.com/s/files/1/0888/3250/8267/files/ST-VR-P-008-FN-01.jpg?v=1762289561</t>
        </is>
      </c>
      <c r="Y2276" s="54" t="n">
        <v>678.8793103</v>
      </c>
      <c r="Z2276" s="54" t="n">
        <v>1508.62069</v>
      </c>
      <c r="AA2276" s="55">
        <f>IF(AND(A2276="", B2276="", E2276=""), "", IF(AB2276="", "Válido", IF((LEN(AB2276)-LEN(SUBSTITUTE(AB2276,"; ","")))/2+1&gt;(LEN(AB2276)-LEN(SUBSTITUTE(AB2276,"[Aviso]","")))/7, "Con Incidencias", "Válido")))</f>
        <v/>
      </c>
      <c r="AB2276" s="56">
        <f>IF(AND(A2276="", B2276="", E2276=""), "", TEXTJOIN("; ", TRUE, IF(OR(TRIM(A2276&amp;"")="", ISNUMBER(SEARCH("FALTA", A2276))), "UPC faltante/inválido", ""), IF(AND(A2276&lt;&gt;"", IFERROR(_xlfn.XMATCH(A2276,$A$2:$A$2509,0,1)&lt;&gt;_xlfn.XMATCH(A2276,$A$2:$A$2509,0,-1),FALSE)), "Código de barras duplicado", ""), IF(AND(E2276&lt;&gt;"", COUNTIF($E$2:$E$2509, E2276)&gt;1), "SKU duplicado", ""), IF(OR(J2276="", J2276=""), "[Aviso] División no capturada ()", IF(ISNA(MATCH(J2276, Criterios!$A$123:$A$126, 0)), "División no válida", "")), IF(OR(K2276="", K2276=""), "[Aviso] Categoría no capturada ()", IF(ISNA(MATCH(K2276, Criterios!$A$81:$A$120, 0)), "Categoría no válida", IF(AND(J2276&lt;&gt;"", J2276&lt;&gt;"", J2276&lt;&gt;VLOOKUP(K2276, Criterios!$A$81:$B$120, 2, FALSE)), "División no coincide con Categoría", ""))), IF(OR(L2276="", L2276=""), "[Aviso] Género no capturado ()", IF(ISNA(MATCH(L2276, Criterios!$B$123:$B$127, 0)), "Género no válido", "")), IF(OR(N2276="", N2276=""), "[Aviso] Temporada no capturada ()", IF(ISNA(MATCH(N2276, Criterios!$C$123:$C$128, 0)), "Temporada no válida", "")), IF(OR(O2276="", O2276=""), "[Aviso] Ciclo de vida no capturado ()", IF(ISNA(MATCH(O2276, Criterios!$D$123:$D$124, 0)), "Ciclo de vida no válido", ""))))</f>
        <v/>
      </c>
      <c r="AC2276" s="56" t="n"/>
      <c r="AD2276" s="51" t="n">
        <v>5</v>
      </c>
      <c r="AE2276" s="156" t="inlineStr">
        <is>
          <t>B25 STETSON.MX (5)</t>
        </is>
      </c>
      <c r="AF2276" s="51" t="n">
        <v>5</v>
      </c>
      <c r="AG2276" s="156" t="inlineStr">
        <is>
          <t>Catálogo existente</t>
        </is>
      </c>
      <c r="AH227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6" s="156" t="inlineStr">
        <is>
          <t>No</t>
        </is>
      </c>
      <c r="AJ2276" s="156" t="n"/>
      <c r="AK2276" s="155" t="inlineStr">
        <is>
          <t>Criterios: J [R]; G1522_Extraccion_Articulos_NetSuite_2026-09-30.xlsx: fila 56664 [S] | Shopify Stetson: producto 14814732845419 / variante 53350597362027 | Shopify WB: producto 8569966035129 / variante 47621335777465</t>
        </is>
      </c>
      <c r="AL2276" s="58" t="n">
        <v>678.8793103</v>
      </c>
      <c r="AM2276" s="58" t="n">
        <v>1508.62069</v>
      </c>
      <c r="AN2276" s="155" t="inlineStr">
        <is>
          <t>Shopify Stetson México | Shopify Western Brothers</t>
        </is>
      </c>
      <c r="AO2276" s="59" t="n">
        <v>9</v>
      </c>
      <c r="AP2276" s="59" t="n">
        <v>0</v>
      </c>
      <c r="AQ2276" s="59" t="n"/>
      <c r="AR2276" s="155" t="inlineStr">
        <is>
          <t>Shopify Stetson México › Stetson México: 5 | Shopify Stetson México › Stetson Americas: 4</t>
        </is>
      </c>
    </row>
    <row r="2277">
      <c r="A2277" s="50" t="inlineStr">
        <is>
          <t>7506499570169</t>
        </is>
      </c>
      <c r="B2277" s="51" t="inlineStr">
        <is>
          <t>108506</t>
        </is>
      </c>
      <c r="C2277" s="156" t="inlineStr">
        <is>
          <t>Multimarca</t>
        </is>
      </c>
      <c r="D2277" s="156" t="inlineStr">
        <is>
          <t>ST-VR-P-008-FW25-FN</t>
        </is>
      </c>
      <c r="E2277" s="156" t="inlineStr">
        <is>
          <t>ST-VR-P-008-FW25-FN-M</t>
        </is>
      </c>
      <c r="F2277" s="156" t="inlineStr">
        <is>
          <t>M</t>
        </is>
      </c>
      <c r="G2277" s="156" t="inlineStr">
        <is>
          <t>M</t>
        </is>
      </c>
      <c r="H2277" s="156" t="inlineStr">
        <is>
          <t>Stetson</t>
        </is>
      </c>
      <c r="I2277" s="156" t="inlineStr">
        <is>
          <t>Camisa Stetson Vintage Range Forest Nomad</t>
        </is>
      </c>
      <c r="J2277" s="156" t="inlineStr">
        <is>
          <t>Ropa</t>
        </is>
      </c>
      <c r="K2277" s="156" t="inlineStr">
        <is>
          <t>Camisas</t>
        </is>
      </c>
      <c r="L2277" s="156" t="inlineStr">
        <is>
          <t>Hombre</t>
        </is>
      </c>
      <c r="M2277" s="156" t="inlineStr">
        <is>
          <t>Stetson</t>
        </is>
      </c>
      <c r="N2277" s="156" t="inlineStr">
        <is>
          <t>SS26</t>
        </is>
      </c>
      <c r="O2277" s="156" t="inlineStr">
        <is>
          <t>Seasonal</t>
        </is>
      </c>
      <c r="P2277" s="156" t="inlineStr">
        <is>
          <t>Negro</t>
        </is>
      </c>
      <c r="Q2277" s="156" t="inlineStr">
        <is>
          <t>Clásico</t>
        </is>
      </c>
      <c r="R2277" s="156" t="n"/>
      <c r="S2277" s="156" t="inlineStr">
        <is>
          <t>100% Algodón</t>
        </is>
      </c>
      <c r="T227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7" s="156" t="n"/>
      <c r="V2277" s="156" t="inlineStr">
        <is>
          <t>PZS</t>
        </is>
      </c>
      <c r="W2277" s="51" t="inlineStr">
        <is>
          <t>53101600</t>
        </is>
      </c>
      <c r="X2277" s="156" t="inlineStr">
        <is>
          <t>https://cdn.shopify.com/s/files/1/0888/3250/8267/files/ST-VR-P-008-FN-02.jpg?v=1762289561</t>
        </is>
      </c>
      <c r="Y2277" s="54" t="n">
        <v>678.8793103</v>
      </c>
      <c r="Z2277" s="54" t="n">
        <v>1508.62069</v>
      </c>
      <c r="AA2277" s="55">
        <f>IF(AND(A2277="", B2277="", E2277=""), "", IF(AB2277="", "Válido", IF((LEN(AB2277)-LEN(SUBSTITUTE(AB2277,"; ","")))/2+1&gt;(LEN(AB2277)-LEN(SUBSTITUTE(AB2277,"[Aviso]","")))/7, "Con Incidencias", "Válido")))</f>
        <v/>
      </c>
      <c r="AB2277" s="56">
        <f>IF(AND(A2277="", B2277="", E2277=""), "", TEXTJOIN("; ", TRUE, IF(OR(TRIM(A2277&amp;"")="", ISNUMBER(SEARCH("FALTA", A2277))), "UPC faltante/inválido", ""), IF(AND(A2277&lt;&gt;"", IFERROR(_xlfn.XMATCH(A2277,$A$2:$A$2509,0,1)&lt;&gt;_xlfn.XMATCH(A2277,$A$2:$A$2509,0,-1),FALSE)), "Código de barras duplicado", ""), IF(AND(E2277&lt;&gt;"", COUNTIF($E$2:$E$2509, E2277)&gt;1), "SKU duplicado", ""), IF(OR(J2277="", J2277=""), "[Aviso] División no capturada ()", IF(ISNA(MATCH(J2277, Criterios!$A$123:$A$126, 0)), "División no válida", "")), IF(OR(K2277="", K2277=""), "[Aviso] Categoría no capturada ()", IF(ISNA(MATCH(K2277, Criterios!$A$81:$A$120, 0)), "Categoría no válida", IF(AND(J2277&lt;&gt;"", J2277&lt;&gt;"", J2277&lt;&gt;VLOOKUP(K2277, Criterios!$A$81:$B$120, 2, FALSE)), "División no coincide con Categoría", ""))), IF(OR(L2277="", L2277=""), "[Aviso] Género no capturado ()", IF(ISNA(MATCH(L2277, Criterios!$B$123:$B$127, 0)), "Género no válido", "")), IF(OR(N2277="", N2277=""), "[Aviso] Temporada no capturada ()", IF(ISNA(MATCH(N2277, Criterios!$C$123:$C$128, 0)), "Temporada no válida", "")), IF(OR(O2277="", O2277=""), "[Aviso] Ciclo de vida no capturado ()", IF(ISNA(MATCH(O2277, Criterios!$D$123:$D$124, 0)), "Ciclo de vida no válido", ""))))</f>
        <v/>
      </c>
      <c r="AC2277" s="56" t="n"/>
      <c r="AD2277" s="51" t="n">
        <v>5</v>
      </c>
      <c r="AE2277" s="156" t="inlineStr">
        <is>
          <t>B25 STETSON.MX (5)</t>
        </is>
      </c>
      <c r="AF2277" s="51" t="n">
        <v>5</v>
      </c>
      <c r="AG2277" s="156" t="inlineStr">
        <is>
          <t>Catálogo existente</t>
        </is>
      </c>
      <c r="AH227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7" s="156" t="inlineStr">
        <is>
          <t>No</t>
        </is>
      </c>
      <c r="AJ2277" s="156" t="n"/>
      <c r="AK2277" s="155" t="inlineStr">
        <is>
          <t>Criterios: J [R]; G1522_Extraccion_Articulos_NetSuite_2026-09-30.xlsx: fila 56665 [S] | Shopify Stetson: producto 14814732845419 / variante 53350597394795 | Shopify WB: producto 8569966035129 / variante 47621335810233</t>
        </is>
      </c>
      <c r="AL2277" s="58" t="n">
        <v>678.8793103</v>
      </c>
      <c r="AM2277" s="58" t="n">
        <v>1508.62069</v>
      </c>
      <c r="AN2277" s="155" t="inlineStr">
        <is>
          <t>Shopify Stetson México | Shopify Western Brothers</t>
        </is>
      </c>
      <c r="AO2277" s="59" t="n">
        <v>9</v>
      </c>
      <c r="AP2277" s="59" t="n">
        <v>0</v>
      </c>
      <c r="AQ2277" s="59" t="n"/>
      <c r="AR2277" s="155" t="inlineStr">
        <is>
          <t>Shopify Stetson México › Stetson México: 5 | Shopify Stetson México › Stetson Americas: 4</t>
        </is>
      </c>
    </row>
    <row r="2278">
      <c r="A2278" s="50" t="inlineStr">
        <is>
          <t>7506499570176</t>
        </is>
      </c>
      <c r="B2278" s="51" t="inlineStr">
        <is>
          <t>108507</t>
        </is>
      </c>
      <c r="C2278" s="156" t="inlineStr">
        <is>
          <t>Multimarca</t>
        </is>
      </c>
      <c r="D2278" s="156" t="inlineStr">
        <is>
          <t>ST-VR-P-008-FW25-FN</t>
        </is>
      </c>
      <c r="E2278" s="156" t="inlineStr">
        <is>
          <t>ST-VR-P-008-FW25-FN-L</t>
        </is>
      </c>
      <c r="F2278" s="156" t="inlineStr">
        <is>
          <t>L</t>
        </is>
      </c>
      <c r="G2278" s="156" t="inlineStr">
        <is>
          <t>L</t>
        </is>
      </c>
      <c r="H2278" s="156" t="inlineStr">
        <is>
          <t>Stetson</t>
        </is>
      </c>
      <c r="I2278" s="156" t="inlineStr">
        <is>
          <t>Camisa Stetson Vintage Range Forest Nomad</t>
        </is>
      </c>
      <c r="J2278" s="156" t="inlineStr">
        <is>
          <t>Ropa</t>
        </is>
      </c>
      <c r="K2278" s="156" t="inlineStr">
        <is>
          <t>Camisas</t>
        </is>
      </c>
      <c r="L2278" s="156" t="inlineStr">
        <is>
          <t>Hombre</t>
        </is>
      </c>
      <c r="M2278" s="156" t="inlineStr">
        <is>
          <t>Stetson</t>
        </is>
      </c>
      <c r="N2278" s="156" t="inlineStr">
        <is>
          <t>SS26</t>
        </is>
      </c>
      <c r="O2278" s="156" t="inlineStr">
        <is>
          <t>Seasonal</t>
        </is>
      </c>
      <c r="P2278" s="156" t="inlineStr">
        <is>
          <t>Negro</t>
        </is>
      </c>
      <c r="Q2278" s="156" t="inlineStr">
        <is>
          <t>Clásico</t>
        </is>
      </c>
      <c r="R2278" s="156" t="n"/>
      <c r="S2278" s="156" t="inlineStr">
        <is>
          <t>100% Algodón</t>
        </is>
      </c>
      <c r="T227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8" s="156" t="n"/>
      <c r="V2278" s="156" t="inlineStr">
        <is>
          <t>PZS</t>
        </is>
      </c>
      <c r="W2278" s="51" t="inlineStr">
        <is>
          <t>53101600</t>
        </is>
      </c>
      <c r="X2278" s="156" t="inlineStr">
        <is>
          <t>https://cdn.shopify.com/s/files/1/0888/3250/8267/files/ST-VR-P-008-FN-03.jpg?v=1762289562</t>
        </is>
      </c>
      <c r="Y2278" s="54" t="n">
        <v>678.8793103</v>
      </c>
      <c r="Z2278" s="54" t="n">
        <v>1508.62069</v>
      </c>
      <c r="AA2278" s="55">
        <f>IF(AND(A2278="", B2278="", E2278=""), "", IF(AB2278="", "Válido", IF((LEN(AB2278)-LEN(SUBSTITUTE(AB2278,"; ","")))/2+1&gt;(LEN(AB2278)-LEN(SUBSTITUTE(AB2278,"[Aviso]","")))/7, "Con Incidencias", "Válido")))</f>
        <v/>
      </c>
      <c r="AB2278" s="56">
        <f>IF(AND(A2278="", B2278="", E2278=""), "", TEXTJOIN("; ", TRUE, IF(OR(TRIM(A2278&amp;"")="", ISNUMBER(SEARCH("FALTA", A2278))), "UPC faltante/inválido", ""), IF(AND(A2278&lt;&gt;"", IFERROR(_xlfn.XMATCH(A2278,$A$2:$A$2509,0,1)&lt;&gt;_xlfn.XMATCH(A2278,$A$2:$A$2509,0,-1),FALSE)), "Código de barras duplicado", ""), IF(AND(E2278&lt;&gt;"", COUNTIF($E$2:$E$2509, E2278)&gt;1), "SKU duplicado", ""), IF(OR(J2278="", J2278=""), "[Aviso] División no capturada ()", IF(ISNA(MATCH(J2278, Criterios!$A$123:$A$126, 0)), "División no válida", "")), IF(OR(K2278="", K2278=""), "[Aviso] Categoría no capturada ()", IF(ISNA(MATCH(K2278, Criterios!$A$81:$A$120, 0)), "Categoría no válida", IF(AND(J2278&lt;&gt;"", J2278&lt;&gt;"", J2278&lt;&gt;VLOOKUP(K2278, Criterios!$A$81:$B$120, 2, FALSE)), "División no coincide con Categoría", ""))), IF(OR(L2278="", L2278=""), "[Aviso] Género no capturado ()", IF(ISNA(MATCH(L2278, Criterios!$B$123:$B$127, 0)), "Género no válido", "")), IF(OR(N2278="", N2278=""), "[Aviso] Temporada no capturada ()", IF(ISNA(MATCH(N2278, Criterios!$C$123:$C$128, 0)), "Temporada no válida", "")), IF(OR(O2278="", O2278=""), "[Aviso] Ciclo de vida no capturado ()", IF(ISNA(MATCH(O2278, Criterios!$D$123:$D$124, 0)), "Ciclo de vida no válido", ""))))</f>
        <v/>
      </c>
      <c r="AC2278" s="56" t="n"/>
      <c r="AD2278" s="51" t="n">
        <v>4</v>
      </c>
      <c r="AE2278" s="156" t="inlineStr">
        <is>
          <t>WB OUTLET LERMA (4); B25 STETSON.MX (1)</t>
        </is>
      </c>
      <c r="AF2278" s="51" t="n">
        <v>5</v>
      </c>
      <c r="AG2278" s="156" t="inlineStr">
        <is>
          <t>Catálogo existente</t>
        </is>
      </c>
      <c r="AH227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8" s="156" t="inlineStr">
        <is>
          <t>Sí</t>
        </is>
      </c>
      <c r="AJ2278" s="156" t="inlineStr">
        <is>
          <t>STETSON AMERICAS (-1)</t>
        </is>
      </c>
      <c r="AK2278" s="155" t="inlineStr">
        <is>
          <t>Criterios: J [R]; G1522_Extraccion_Articulos_NetSuite_2026-09-30.xlsx: fila 56666 [S] | Shopify Stetson: producto 14814732845419 / variante 53350597427563 | Shopify WB: producto 8569966035129 / variante 47621335843001</t>
        </is>
      </c>
      <c r="AL2278" s="58" t="n">
        <v>678.8793103</v>
      </c>
      <c r="AM2278" s="58" t="n">
        <v>1508.62069</v>
      </c>
      <c r="AN2278" s="155" t="inlineStr">
        <is>
          <t>Shopify Stetson México | Shopify Western Brothers</t>
        </is>
      </c>
      <c r="AO2278" s="59" t="n">
        <v>5</v>
      </c>
      <c r="AP2278" s="59" t="n">
        <v>4</v>
      </c>
      <c r="AQ2278" s="59" t="n"/>
      <c r="AR2278" s="155" t="inlineStr">
        <is>
          <t>Shopify Stetson México › Stetson México: 1 | Shopify Stetson México › Stetson Americas: 4 | Shopify Western Brothers › Western Brothers Outlet Lerma: 4</t>
        </is>
      </c>
    </row>
    <row r="2279">
      <c r="A2279" s="50" t="inlineStr">
        <is>
          <t>7506499570183</t>
        </is>
      </c>
      <c r="B2279" s="51" t="inlineStr">
        <is>
          <t>108508</t>
        </is>
      </c>
      <c r="C2279" s="156" t="inlineStr">
        <is>
          <t>Multimarca</t>
        </is>
      </c>
      <c r="D2279" s="156" t="inlineStr">
        <is>
          <t>ST-VR-P-008-FW25-FN</t>
        </is>
      </c>
      <c r="E2279" s="156" t="inlineStr">
        <is>
          <t>ST-VR-P-008-FW25-FN-XL</t>
        </is>
      </c>
      <c r="F2279" s="156" t="inlineStr">
        <is>
          <t>XL</t>
        </is>
      </c>
      <c r="G2279" s="156" t="inlineStr">
        <is>
          <t>XL</t>
        </is>
      </c>
      <c r="H2279" s="156" t="inlineStr">
        <is>
          <t>Stetson</t>
        </is>
      </c>
      <c r="I2279" s="156" t="inlineStr">
        <is>
          <t>Camisa Stetson Vintage Range Forest Nomad</t>
        </is>
      </c>
      <c r="J2279" s="156" t="inlineStr">
        <is>
          <t>Ropa</t>
        </is>
      </c>
      <c r="K2279" s="156" t="inlineStr">
        <is>
          <t>Camisas</t>
        </is>
      </c>
      <c r="L2279" s="156" t="inlineStr">
        <is>
          <t>Hombre</t>
        </is>
      </c>
      <c r="M2279" s="156" t="inlineStr">
        <is>
          <t>Stetson</t>
        </is>
      </c>
      <c r="N2279" s="156" t="inlineStr">
        <is>
          <t>SS26</t>
        </is>
      </c>
      <c r="O2279" s="156" t="inlineStr">
        <is>
          <t>Seasonal</t>
        </is>
      </c>
      <c r="P2279" s="156" t="inlineStr">
        <is>
          <t>Negro</t>
        </is>
      </c>
      <c r="Q2279" s="156" t="inlineStr">
        <is>
          <t>Clásico</t>
        </is>
      </c>
      <c r="R2279" s="156" t="n"/>
      <c r="S2279" s="156" t="inlineStr">
        <is>
          <t>100% Algodón</t>
        </is>
      </c>
      <c r="T227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9" s="156" t="n"/>
      <c r="V2279" s="156" t="inlineStr">
        <is>
          <t>PZS</t>
        </is>
      </c>
      <c r="W2279" s="51" t="inlineStr">
        <is>
          <t>53101600</t>
        </is>
      </c>
      <c r="X2279" s="156" t="inlineStr">
        <is>
          <t>https://cdn.shopify.com/s/files/1/0888/3250/8267/files/ST-VR-P-008-FN-01.jpg?v=1762289561</t>
        </is>
      </c>
      <c r="Y2279" s="54" t="n">
        <v>678.8793103</v>
      </c>
      <c r="Z2279" s="54" t="n">
        <v>1508.62069</v>
      </c>
      <c r="AA2279" s="55">
        <f>IF(AND(A2279="", B2279="", E2279=""), "", IF(AB2279="", "Válido", IF((LEN(AB2279)-LEN(SUBSTITUTE(AB2279,"; ","")))/2+1&gt;(LEN(AB2279)-LEN(SUBSTITUTE(AB2279,"[Aviso]","")))/7, "Con Incidencias", "Válido")))</f>
        <v/>
      </c>
      <c r="AB2279" s="56">
        <f>IF(AND(A2279="", B2279="", E2279=""), "", TEXTJOIN("; ", TRUE, IF(OR(TRIM(A2279&amp;"")="", ISNUMBER(SEARCH("FALTA", A2279))), "UPC faltante/inválido", ""), IF(AND(A2279&lt;&gt;"", IFERROR(_xlfn.XMATCH(A2279,$A$2:$A$2509,0,1)&lt;&gt;_xlfn.XMATCH(A2279,$A$2:$A$2509,0,-1),FALSE)), "Código de barras duplicado", ""), IF(AND(E2279&lt;&gt;"", COUNTIF($E$2:$E$2509, E2279)&gt;1), "SKU duplicado", ""), IF(OR(J2279="", J2279=""), "[Aviso] División no capturada ()", IF(ISNA(MATCH(J2279, Criterios!$A$123:$A$126, 0)), "División no válida", "")), IF(OR(K2279="", K2279=""), "[Aviso] Categoría no capturada ()", IF(ISNA(MATCH(K2279, Criterios!$A$81:$A$120, 0)), "Categoría no válida", IF(AND(J2279&lt;&gt;"", J2279&lt;&gt;"", J2279&lt;&gt;VLOOKUP(K2279, Criterios!$A$81:$B$120, 2, FALSE)), "División no coincide con Categoría", ""))), IF(OR(L2279="", L2279=""), "[Aviso] Género no capturado ()", IF(ISNA(MATCH(L2279, Criterios!$B$123:$B$127, 0)), "Género no válido", "")), IF(OR(N2279="", N2279=""), "[Aviso] Temporada no capturada ()", IF(ISNA(MATCH(N2279, Criterios!$C$123:$C$128, 0)), "Temporada no válida", "")), IF(OR(O2279="", O2279=""), "[Aviso] Ciclo de vida no capturado ()", IF(ISNA(MATCH(O2279, Criterios!$D$123:$D$124, 0)), "Ciclo de vida no válido", ""))))</f>
        <v/>
      </c>
      <c r="AC2279" s="56" t="n"/>
      <c r="AD2279" s="51" t="n">
        <v>-2</v>
      </c>
      <c r="AE2279" s="156" t="inlineStr">
        <is>
          <t>B25 STETSON.MX (1)</t>
        </is>
      </c>
      <c r="AF2279" s="51" t="n">
        <v>1</v>
      </c>
      <c r="AG2279" s="156" t="inlineStr">
        <is>
          <t>Catálogo existente</t>
        </is>
      </c>
      <c r="AH2279"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79" s="156" t="inlineStr">
        <is>
          <t>Sí</t>
        </is>
      </c>
      <c r="AJ2279" s="156" t="inlineStr">
        <is>
          <t>STETSON AMERICAS (-3)</t>
        </is>
      </c>
      <c r="AK2279" s="155" t="inlineStr">
        <is>
          <t>Criterios: J [R]; G1522_Extraccion_Articulos_NetSuite_2026-09-30.xlsx: fila 56667 [S] | Shopify Stetson: producto 14814732845419 / variante 53350597460331 | Shopify WB: producto 8569966035129 / variante 47621335875769</t>
        </is>
      </c>
      <c r="AL2279" s="58" t="n">
        <v>678.8793103</v>
      </c>
      <c r="AM2279" s="58" t="n">
        <v>1508.62069</v>
      </c>
      <c r="AN2279" s="155" t="inlineStr">
        <is>
          <t>Shopify Stetson México | Shopify Western Brothers</t>
        </is>
      </c>
      <c r="AO2279" s="59" t="n">
        <v>1</v>
      </c>
      <c r="AP2279" s="59" t="n">
        <v>0</v>
      </c>
      <c r="AQ2279" s="59" t="n"/>
      <c r="AR2279" s="155" t="inlineStr">
        <is>
          <t>Shopify Stetson México › Stetson México: 1</t>
        </is>
      </c>
    </row>
    <row r="2280">
      <c r="A2280" s="50" t="inlineStr">
        <is>
          <t>7506499570190</t>
        </is>
      </c>
      <c r="B2280" s="51" t="inlineStr">
        <is>
          <t>110340</t>
        </is>
      </c>
      <c r="C2280" s="156" t="inlineStr">
        <is>
          <t>Multimarca</t>
        </is>
      </c>
      <c r="D2280" s="156" t="inlineStr">
        <is>
          <t>ST-VR-P-008-FW25-FN</t>
        </is>
      </c>
      <c r="E2280" s="156" t="inlineStr">
        <is>
          <t>ST-VR-P-008-FW25-FN-XXL</t>
        </is>
      </c>
      <c r="F2280" s="156" t="inlineStr">
        <is>
          <t>XXL</t>
        </is>
      </c>
      <c r="G2280" s="156" t="inlineStr">
        <is>
          <t>XXL</t>
        </is>
      </c>
      <c r="H2280" s="156" t="inlineStr">
        <is>
          <t>Stetson</t>
        </is>
      </c>
      <c r="I2280" s="156" t="inlineStr">
        <is>
          <t>Camisa Stetson Vintage Range Forest Nomad</t>
        </is>
      </c>
      <c r="J2280" s="156" t="inlineStr">
        <is>
          <t>Ropa</t>
        </is>
      </c>
      <c r="K2280" s="156" t="inlineStr">
        <is>
          <t>Camisas</t>
        </is>
      </c>
      <c r="L2280" s="156" t="inlineStr">
        <is>
          <t>Hombre</t>
        </is>
      </c>
      <c r="M2280" s="156" t="inlineStr">
        <is>
          <t>Stetson</t>
        </is>
      </c>
      <c r="N2280" s="156" t="inlineStr">
        <is>
          <t>SS26</t>
        </is>
      </c>
      <c r="O2280" s="156" t="inlineStr">
        <is>
          <t>Seasonal</t>
        </is>
      </c>
      <c r="P2280" s="156" t="n"/>
      <c r="Q2280" s="156" t="inlineStr">
        <is>
          <t>Relajado</t>
        </is>
      </c>
      <c r="R2280" s="156" t="n"/>
      <c r="S2280" s="156" t="inlineStr">
        <is>
          <t>100% Algodón</t>
        </is>
      </c>
      <c r="T228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80" s="156" t="n"/>
      <c r="V2280" s="156" t="inlineStr">
        <is>
          <t>PZS</t>
        </is>
      </c>
      <c r="W2280" s="51" t="inlineStr">
        <is>
          <t>53101600</t>
        </is>
      </c>
      <c r="X2280" s="156" t="inlineStr">
        <is>
          <t>https://cdn.shopify.com/s/files/1/0888/3250/8267/files/ST-VR-P-008-FN-01.jpg?v=1762289561</t>
        </is>
      </c>
      <c r="Y2280" s="54" t="n">
        <v>678.8793103</v>
      </c>
      <c r="Z2280" s="54" t="n">
        <v>1508.62069</v>
      </c>
      <c r="AA2280" s="55">
        <f>IF(AND(A2280="", B2280="", E2280=""), "", IF(AB2280="", "Válido", IF((LEN(AB2280)-LEN(SUBSTITUTE(AB2280,"; ","")))/2+1&gt;(LEN(AB2280)-LEN(SUBSTITUTE(AB2280,"[Aviso]","")))/7, "Con Incidencias", "Válido")))</f>
        <v/>
      </c>
      <c r="AB2280" s="56">
        <f>IF(AND(A2280="", B2280="", E2280=""), "", TEXTJOIN("; ", TRUE, IF(OR(TRIM(A2280&amp;"")="", ISNUMBER(SEARCH("FALTA", A2280))), "UPC faltante/inválido", ""), IF(AND(A2280&lt;&gt;"", IFERROR(_xlfn.XMATCH(A2280,$A$2:$A$2509,0,1)&lt;&gt;_xlfn.XMATCH(A2280,$A$2:$A$2509,0,-1),FALSE)), "Código de barras duplicado", ""), IF(AND(E2280&lt;&gt;"", COUNTIF($E$2:$E$2509, E2280)&gt;1), "SKU duplicado", ""), IF(OR(J2280="", J2280=""), "[Aviso] División no capturada ()", IF(ISNA(MATCH(J2280, Criterios!$A$123:$A$126, 0)), "División no válida", "")), IF(OR(K2280="", K2280=""), "[Aviso] Categoría no capturada ()", IF(ISNA(MATCH(K2280, Criterios!$A$81:$A$120, 0)), "Categoría no válida", IF(AND(J2280&lt;&gt;"", J2280&lt;&gt;"", J2280&lt;&gt;VLOOKUP(K2280, Criterios!$A$81:$B$120, 2, FALSE)), "División no coincide con Categoría", ""))), IF(OR(L2280="", L2280=""), "[Aviso] Género no capturado ()", IF(ISNA(MATCH(L2280, Criterios!$B$123:$B$127, 0)), "Género no válido", "")), IF(OR(N2280="", N2280=""), "[Aviso] Temporada no capturada ()", IF(ISNA(MATCH(N2280, Criterios!$C$123:$C$128, 0)), "Temporada no válida", "")), IF(OR(O2280="", O2280=""), "[Aviso] Ciclo de vida no capturado ()", IF(ISNA(MATCH(O2280, Criterios!$D$123:$D$124, 0)), "Ciclo de vida no válido", ""))))</f>
        <v/>
      </c>
      <c r="AC2280" s="56" t="n"/>
      <c r="AD2280" s="51" t="n">
        <v>-1</v>
      </c>
      <c r="AE2280" s="156" t="n"/>
      <c r="AF2280" s="51" t="n">
        <v>0</v>
      </c>
      <c r="AG2280" s="156" t="inlineStr">
        <is>
          <t>Catálogo existente</t>
        </is>
      </c>
      <c r="AH228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0" s="156" t="inlineStr">
        <is>
          <t>Sí</t>
        </is>
      </c>
      <c r="AJ2280" s="156" t="inlineStr">
        <is>
          <t>STETSON AMERICAS (-1)</t>
        </is>
      </c>
      <c r="AK2280" s="155" t="inlineStr">
        <is>
          <t>Criterios: J [R]; G1522_Extraccion_Articulos_NetSuite_2026-09-30.xlsx: fila 58155 [S] | Shopify Stetson: producto 14814732845419 / variante 53350597493099</t>
        </is>
      </c>
      <c r="AL2280" s="58" t="n">
        <v>678.8793103</v>
      </c>
      <c r="AM2280" s="58" t="n">
        <v>1508.62069</v>
      </c>
      <c r="AN2280" s="155" t="inlineStr">
        <is>
          <t>Shopify Stetson México</t>
        </is>
      </c>
      <c r="AO2280" s="59" t="n">
        <v>1</v>
      </c>
      <c r="AP2280" s="59" t="n"/>
      <c r="AQ2280" s="59" t="n"/>
      <c r="AR2280" s="155" t="inlineStr">
        <is>
          <t>Shopify Stetson México › Stetson Americas: 1</t>
        </is>
      </c>
    </row>
    <row r="2281">
      <c r="A2281" s="50" t="inlineStr">
        <is>
          <t>7506499570206</t>
        </is>
      </c>
      <c r="B2281" s="51" t="inlineStr">
        <is>
          <t>110341</t>
        </is>
      </c>
      <c r="C2281" s="156" t="inlineStr">
        <is>
          <t>Multimarca</t>
        </is>
      </c>
      <c r="D2281" s="156" t="inlineStr">
        <is>
          <t>ST-VR-P-009-FW25-TS</t>
        </is>
      </c>
      <c r="E2281" s="156" t="inlineStr">
        <is>
          <t>ST-VR-P-009-FW25-TS-S</t>
        </is>
      </c>
      <c r="F2281" s="156" t="inlineStr">
        <is>
          <t>S</t>
        </is>
      </c>
      <c r="G2281" s="156" t="inlineStr">
        <is>
          <t>S</t>
        </is>
      </c>
      <c r="H2281" s="156" t="inlineStr">
        <is>
          <t>Stetson</t>
        </is>
      </c>
      <c r="I2281" s="156" t="inlineStr">
        <is>
          <t>Camisa Stetson Vintage Range Timberline Spirit</t>
        </is>
      </c>
      <c r="J2281" s="156" t="inlineStr">
        <is>
          <t>Ropa</t>
        </is>
      </c>
      <c r="K2281" s="156" t="inlineStr">
        <is>
          <t>Camisas</t>
        </is>
      </c>
      <c r="L2281" s="156" t="inlineStr">
        <is>
          <t>Hombre</t>
        </is>
      </c>
      <c r="M2281" s="156" t="inlineStr">
        <is>
          <t>Stetson</t>
        </is>
      </c>
      <c r="N2281" s="156" t="inlineStr">
        <is>
          <t>SS26</t>
        </is>
      </c>
      <c r="O2281" s="156" t="inlineStr">
        <is>
          <t>Seasonal</t>
        </is>
      </c>
      <c r="P2281" s="156" t="n"/>
      <c r="Q2281" s="156" t="inlineStr">
        <is>
          <t>Clásico</t>
        </is>
      </c>
      <c r="R2281" s="156" t="n"/>
      <c r="S2281" s="156" t="inlineStr">
        <is>
          <t>100% Algodón</t>
        </is>
      </c>
      <c r="T228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1" s="156" t="n"/>
      <c r="V2281" s="156" t="inlineStr">
        <is>
          <t>PZS</t>
        </is>
      </c>
      <c r="W2281" s="51" t="inlineStr">
        <is>
          <t>53101600</t>
        </is>
      </c>
      <c r="X2281" s="156" t="inlineStr">
        <is>
          <t>https://cdn.shopify.com/s/files/1/0888/3250/8267/files/ST-VR-P-009-TS-02.jpg?v=1762295226</t>
        </is>
      </c>
      <c r="Y2281" s="54" t="n">
        <v>678.8793103</v>
      </c>
      <c r="Z2281" s="54" t="n">
        <v>1508.62069</v>
      </c>
      <c r="AA2281" s="55">
        <f>IF(AND(A2281="", B2281="", E2281=""), "", IF(AB2281="", "Válido", IF((LEN(AB2281)-LEN(SUBSTITUTE(AB2281,"; ","")))/2+1&gt;(LEN(AB2281)-LEN(SUBSTITUTE(AB2281,"[Aviso]","")))/7, "Con Incidencias", "Válido")))</f>
        <v/>
      </c>
      <c r="AB2281" s="56">
        <f>IF(AND(A2281="", B2281="", E2281=""), "", TEXTJOIN("; ", TRUE, IF(OR(TRIM(A2281&amp;"")="", ISNUMBER(SEARCH("FALTA", A2281))), "UPC faltante/inválido", ""), IF(AND(A2281&lt;&gt;"", IFERROR(_xlfn.XMATCH(A2281,$A$2:$A$2509,0,1)&lt;&gt;_xlfn.XMATCH(A2281,$A$2:$A$2509,0,-1),FALSE)), "Código de barras duplicado", ""), IF(AND(E2281&lt;&gt;"", COUNTIF($E$2:$E$2509, E2281)&gt;1), "SKU duplicado", ""), IF(OR(J2281="", J2281=""), "[Aviso] División no capturada ()", IF(ISNA(MATCH(J2281, Criterios!$A$123:$A$126, 0)), "División no válida", "")), IF(OR(K2281="", K2281=""), "[Aviso] Categoría no capturada ()", IF(ISNA(MATCH(K2281, Criterios!$A$81:$A$120, 0)), "Categoría no válida", IF(AND(J2281&lt;&gt;"", J2281&lt;&gt;"", J2281&lt;&gt;VLOOKUP(K2281, Criterios!$A$81:$B$120, 2, FALSE)), "División no coincide con Categoría", ""))), IF(OR(L2281="", L2281=""), "[Aviso] Género no capturado ()", IF(ISNA(MATCH(L2281, Criterios!$B$123:$B$127, 0)), "Género no válido", "")), IF(OR(N2281="", N2281=""), "[Aviso] Temporada no capturada ()", IF(ISNA(MATCH(N2281, Criterios!$C$123:$C$128, 0)), "Temporada no válida", "")), IF(OR(O2281="", O2281=""), "[Aviso] Ciclo de vida no capturado ()", IF(ISNA(MATCH(O2281, Criterios!$D$123:$D$124, 0)), "Ciclo de vida no válido", ""))))</f>
        <v/>
      </c>
      <c r="AC2281" s="56" t="n"/>
      <c r="AD2281" s="51" t="n">
        <v>7</v>
      </c>
      <c r="AE2281" s="156" t="inlineStr">
        <is>
          <t>B25 STETSON.MX (7)</t>
        </is>
      </c>
      <c r="AF2281" s="51" t="n">
        <v>7</v>
      </c>
      <c r="AG2281" s="156" t="inlineStr">
        <is>
          <t>Catálogo existente</t>
        </is>
      </c>
      <c r="AH228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1" s="156" t="inlineStr">
        <is>
          <t>No</t>
        </is>
      </c>
      <c r="AJ2281" s="156" t="n"/>
      <c r="AK2281" s="155" t="inlineStr">
        <is>
          <t>Criterios: J [R]; G1522_Extraccion_Articulos_NetSuite_2026-09-30.xlsx: fila 58156 [S] | Shopify Stetson: producto 14814862082411 / variante 53350597198187</t>
        </is>
      </c>
      <c r="AL2281" s="58" t="n">
        <v>678.8793103</v>
      </c>
      <c r="AM2281" s="58" t="n">
        <v>1508.62069</v>
      </c>
      <c r="AN2281" s="155" t="inlineStr">
        <is>
          <t>Shopify Stetson México</t>
        </is>
      </c>
      <c r="AO2281" s="59" t="n">
        <v>11</v>
      </c>
      <c r="AP2281" s="59" t="n"/>
      <c r="AQ2281" s="59" t="n"/>
      <c r="AR2281" s="155" t="inlineStr">
        <is>
          <t>Shopify Stetson México › Stetson México: 7 | Shopify Stetson México › Stetson Americas: 4</t>
        </is>
      </c>
    </row>
    <row r="2282">
      <c r="A2282" s="50" t="inlineStr">
        <is>
          <t>7506499570213</t>
        </is>
      </c>
      <c r="B2282" s="51" t="inlineStr">
        <is>
          <t>110342</t>
        </is>
      </c>
      <c r="C2282" s="156" t="inlineStr">
        <is>
          <t>Multimarca</t>
        </is>
      </c>
      <c r="D2282" s="156" t="inlineStr">
        <is>
          <t>ST-VR-P-009-FW25-TS</t>
        </is>
      </c>
      <c r="E2282" s="156" t="inlineStr">
        <is>
          <t>ST-VR-P-009-FW25-TS-M</t>
        </is>
      </c>
      <c r="F2282" s="156" t="inlineStr">
        <is>
          <t>M</t>
        </is>
      </c>
      <c r="G2282" s="156" t="inlineStr">
        <is>
          <t>M</t>
        </is>
      </c>
      <c r="H2282" s="156" t="inlineStr">
        <is>
          <t>Stetson</t>
        </is>
      </c>
      <c r="I2282" s="156" t="inlineStr">
        <is>
          <t>Camisa Stetson Vintage Range Timberline Spirit</t>
        </is>
      </c>
      <c r="J2282" s="156" t="inlineStr">
        <is>
          <t>Ropa</t>
        </is>
      </c>
      <c r="K2282" s="156" t="inlineStr">
        <is>
          <t>Camisas</t>
        </is>
      </c>
      <c r="L2282" s="156" t="inlineStr">
        <is>
          <t>Hombre</t>
        </is>
      </c>
      <c r="M2282" s="156" t="inlineStr">
        <is>
          <t>Stetson</t>
        </is>
      </c>
      <c r="N2282" s="156" t="inlineStr">
        <is>
          <t>SS26</t>
        </is>
      </c>
      <c r="O2282" s="156" t="inlineStr">
        <is>
          <t>Seasonal</t>
        </is>
      </c>
      <c r="P2282" s="156" t="n"/>
      <c r="Q2282" s="156" t="inlineStr">
        <is>
          <t>Clásico</t>
        </is>
      </c>
      <c r="R2282" s="156" t="n"/>
      <c r="S2282" s="156" t="inlineStr">
        <is>
          <t>100% Algodón</t>
        </is>
      </c>
      <c r="T228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2" s="156" t="n"/>
      <c r="V2282" s="156" t="inlineStr">
        <is>
          <t>PZS</t>
        </is>
      </c>
      <c r="W2282" s="51" t="inlineStr">
        <is>
          <t>53101600</t>
        </is>
      </c>
      <c r="X2282" s="156" t="inlineStr">
        <is>
          <t>https://cdn.shopify.com/s/files/1/0888/3250/8267/files/ST-VR-P-009-TS-03.jpg?v=1762295227</t>
        </is>
      </c>
      <c r="Y2282" s="54" t="n">
        <v>678.8793103</v>
      </c>
      <c r="Z2282" s="54" t="n">
        <v>1508.62069</v>
      </c>
      <c r="AA2282" s="55">
        <f>IF(AND(A2282="", B2282="", E2282=""), "", IF(AB2282="", "Válido", IF((LEN(AB2282)-LEN(SUBSTITUTE(AB2282,"; ","")))/2+1&gt;(LEN(AB2282)-LEN(SUBSTITUTE(AB2282,"[Aviso]","")))/7, "Con Incidencias", "Válido")))</f>
        <v/>
      </c>
      <c r="AB2282" s="56">
        <f>IF(AND(A2282="", B2282="", E2282=""), "", TEXTJOIN("; ", TRUE, IF(OR(TRIM(A2282&amp;"")="", ISNUMBER(SEARCH("FALTA", A2282))), "UPC faltante/inválido", ""), IF(AND(A2282&lt;&gt;"", IFERROR(_xlfn.XMATCH(A2282,$A$2:$A$2509,0,1)&lt;&gt;_xlfn.XMATCH(A2282,$A$2:$A$2509,0,-1),FALSE)), "Código de barras duplicado", ""), IF(AND(E2282&lt;&gt;"", COUNTIF($E$2:$E$2509, E2282)&gt;1), "SKU duplicado", ""), IF(OR(J2282="", J2282=""), "[Aviso] División no capturada ()", IF(ISNA(MATCH(J2282, Criterios!$A$123:$A$126, 0)), "División no válida", "")), IF(OR(K2282="", K2282=""), "[Aviso] Categoría no capturada ()", IF(ISNA(MATCH(K2282, Criterios!$A$81:$A$120, 0)), "Categoría no válida", IF(AND(J2282&lt;&gt;"", J2282&lt;&gt;"", J2282&lt;&gt;VLOOKUP(K2282, Criterios!$A$81:$B$120, 2, FALSE)), "División no coincide con Categoría", ""))), IF(OR(L2282="", L2282=""), "[Aviso] Género no capturado ()", IF(ISNA(MATCH(L2282, Criterios!$B$123:$B$127, 0)), "Género no válido", "")), IF(OR(N2282="", N2282=""), "[Aviso] Temporada no capturada ()", IF(ISNA(MATCH(N2282, Criterios!$C$123:$C$128, 0)), "Temporada no válida", "")), IF(OR(O2282="", O2282=""), "[Aviso] Ciclo de vida no capturado ()", IF(ISNA(MATCH(O2282, Criterios!$D$123:$D$124, 0)), "Ciclo de vida no válido", ""))))</f>
        <v/>
      </c>
      <c r="AC2282" s="56" t="n"/>
      <c r="AD2282" s="51" t="n">
        <v>6</v>
      </c>
      <c r="AE2282" s="156" t="inlineStr">
        <is>
          <t>B25 STETSON.MX (9)</t>
        </is>
      </c>
      <c r="AF2282" s="51" t="n">
        <v>9</v>
      </c>
      <c r="AG2282" s="156" t="inlineStr">
        <is>
          <t>Catálogo existente</t>
        </is>
      </c>
      <c r="AH228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2" s="156" t="inlineStr">
        <is>
          <t>Sí</t>
        </is>
      </c>
      <c r="AJ2282" s="156" t="inlineStr">
        <is>
          <t>STETSON AMERICAS (-3)</t>
        </is>
      </c>
      <c r="AK2282" s="155" t="inlineStr">
        <is>
          <t>Criterios: J [R]; G1522_Extraccion_Articulos_NetSuite_2026-09-30.xlsx: fila 58157 [S] | Shopify Stetson: producto 14814862082411 / variante 53350597230955</t>
        </is>
      </c>
      <c r="AL2282" s="58" t="n">
        <v>678.8793103</v>
      </c>
      <c r="AM2282" s="58" t="n">
        <v>1508.62069</v>
      </c>
      <c r="AN2282" s="155" t="inlineStr">
        <is>
          <t>Shopify Stetson México</t>
        </is>
      </c>
      <c r="AO2282" s="59" t="n">
        <v>10</v>
      </c>
      <c r="AP2282" s="59" t="n"/>
      <c r="AQ2282" s="59" t="n"/>
      <c r="AR2282" s="155" t="inlineStr">
        <is>
          <t>Shopify Stetson México › Stetson México: 9 | Shopify Stetson México › Stetson Americas: 1</t>
        </is>
      </c>
    </row>
    <row r="2283">
      <c r="A2283" s="50" t="inlineStr">
        <is>
          <t>7506499570220</t>
        </is>
      </c>
      <c r="B2283" s="51" t="inlineStr">
        <is>
          <t>110343</t>
        </is>
      </c>
      <c r="C2283" s="156" t="inlineStr">
        <is>
          <t>Multimarca</t>
        </is>
      </c>
      <c r="D2283" s="156" t="inlineStr">
        <is>
          <t>ST-VR-P-009-FW25-TS</t>
        </is>
      </c>
      <c r="E2283" s="156" t="inlineStr">
        <is>
          <t>ST-VR-P-009-FW25-TS-L</t>
        </is>
      </c>
      <c r="F2283" s="156" t="inlineStr">
        <is>
          <t>L</t>
        </is>
      </c>
      <c r="G2283" s="156" t="inlineStr">
        <is>
          <t>L</t>
        </is>
      </c>
      <c r="H2283" s="156" t="inlineStr">
        <is>
          <t>Stetson</t>
        </is>
      </c>
      <c r="I2283" s="156" t="inlineStr">
        <is>
          <t>Camisa Stetson Vintage Range Timberline Spirit</t>
        </is>
      </c>
      <c r="J2283" s="156" t="inlineStr">
        <is>
          <t>Ropa</t>
        </is>
      </c>
      <c r="K2283" s="156" t="inlineStr">
        <is>
          <t>Camisas</t>
        </is>
      </c>
      <c r="L2283" s="156" t="inlineStr">
        <is>
          <t>Hombre</t>
        </is>
      </c>
      <c r="M2283" s="156" t="inlineStr">
        <is>
          <t>Stetson</t>
        </is>
      </c>
      <c r="N2283" s="156" t="inlineStr">
        <is>
          <t>SS26</t>
        </is>
      </c>
      <c r="O2283" s="156" t="inlineStr">
        <is>
          <t>Seasonal</t>
        </is>
      </c>
      <c r="P2283" s="156" t="n"/>
      <c r="Q2283" s="156" t="inlineStr">
        <is>
          <t>Clásico</t>
        </is>
      </c>
      <c r="R2283" s="156" t="n"/>
      <c r="S2283" s="156" t="inlineStr">
        <is>
          <t>100% Algodón</t>
        </is>
      </c>
      <c r="T228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3" s="156" t="n"/>
      <c r="V2283" s="156" t="inlineStr">
        <is>
          <t>PZS</t>
        </is>
      </c>
      <c r="W2283" s="51" t="inlineStr">
        <is>
          <t>53101600</t>
        </is>
      </c>
      <c r="X2283" s="156" t="inlineStr">
        <is>
          <t>https://cdn.shopify.com/s/files/1/0888/3250/8267/files/ST-VR-P-009-TS-01.jpg?v=1762295227</t>
        </is>
      </c>
      <c r="Y2283" s="54" t="n">
        <v>678.8793103</v>
      </c>
      <c r="Z2283" s="54" t="n">
        <v>1508.62069</v>
      </c>
      <c r="AA2283" s="55">
        <f>IF(AND(A2283="", B2283="", E2283=""), "", IF(AB2283="", "Válido", IF((LEN(AB2283)-LEN(SUBSTITUTE(AB2283,"; ","")))/2+1&gt;(LEN(AB2283)-LEN(SUBSTITUTE(AB2283,"[Aviso]","")))/7, "Con Incidencias", "Válido")))</f>
        <v/>
      </c>
      <c r="AB2283" s="56">
        <f>IF(AND(A2283="", B2283="", E2283=""), "", TEXTJOIN("; ", TRUE, IF(OR(TRIM(A2283&amp;"")="", ISNUMBER(SEARCH("FALTA", A2283))), "UPC faltante/inválido", ""), IF(AND(A2283&lt;&gt;"", IFERROR(_xlfn.XMATCH(A2283,$A$2:$A$2509,0,1)&lt;&gt;_xlfn.XMATCH(A2283,$A$2:$A$2509,0,-1),FALSE)), "Código de barras duplicado", ""), IF(AND(E2283&lt;&gt;"", COUNTIF($E$2:$E$2509, E2283)&gt;1), "SKU duplicado", ""), IF(OR(J2283="", J2283=""), "[Aviso] División no capturada ()", IF(ISNA(MATCH(J2283, Criterios!$A$123:$A$126, 0)), "División no válida", "")), IF(OR(K2283="", K2283=""), "[Aviso] Categoría no capturada ()", IF(ISNA(MATCH(K2283, Criterios!$A$81:$A$120, 0)), "Categoría no válida", IF(AND(J2283&lt;&gt;"", J2283&lt;&gt;"", J2283&lt;&gt;VLOOKUP(K2283, Criterios!$A$81:$B$120, 2, FALSE)), "División no coincide con Categoría", ""))), IF(OR(L2283="", L2283=""), "[Aviso] Género no capturado ()", IF(ISNA(MATCH(L2283, Criterios!$B$123:$B$127, 0)), "Género no válido", "")), IF(OR(N2283="", N2283=""), "[Aviso] Temporada no capturada ()", IF(ISNA(MATCH(N2283, Criterios!$C$123:$C$128, 0)), "Temporada no válida", "")), IF(OR(O2283="", O2283=""), "[Aviso] Ciclo de vida no capturado ()", IF(ISNA(MATCH(O2283, Criterios!$D$123:$D$124, 0)), "Ciclo de vida no válido", ""))))</f>
        <v/>
      </c>
      <c r="AC2283" s="56" t="n"/>
      <c r="AD2283" s="51" t="n">
        <v>5</v>
      </c>
      <c r="AE2283" s="156" t="inlineStr">
        <is>
          <t>B25 STETSON.MX (7)</t>
        </is>
      </c>
      <c r="AF2283" s="51" t="n">
        <v>7</v>
      </c>
      <c r="AG2283" s="156" t="inlineStr">
        <is>
          <t>Catálogo existente</t>
        </is>
      </c>
      <c r="AH228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3" s="156" t="inlineStr">
        <is>
          <t>Sí</t>
        </is>
      </c>
      <c r="AJ2283" s="156" t="inlineStr">
        <is>
          <t>STETSON AMERICAS (-2)</t>
        </is>
      </c>
      <c r="AK2283" s="155" t="inlineStr">
        <is>
          <t>Criterios: J [R]; G1522_Extraccion_Articulos_NetSuite_2026-09-30.xlsx: fila 58158 [S] | Shopify Stetson: producto 14814862082411 / variante 53350597263723</t>
        </is>
      </c>
      <c r="AL2283" s="58" t="n">
        <v>678.8793103</v>
      </c>
      <c r="AM2283" s="58" t="n">
        <v>1508.62069</v>
      </c>
      <c r="AN2283" s="155" t="inlineStr">
        <is>
          <t>Shopify Stetson México</t>
        </is>
      </c>
      <c r="AO2283" s="59" t="n">
        <v>11</v>
      </c>
      <c r="AP2283" s="59" t="n"/>
      <c r="AQ2283" s="59" t="n"/>
      <c r="AR2283" s="155" t="inlineStr">
        <is>
          <t>Shopify Stetson México › Stetson México: 7 | Shopify Stetson México › Stetson Americas: 4</t>
        </is>
      </c>
    </row>
    <row r="2284">
      <c r="A2284" s="50" t="inlineStr">
        <is>
          <t>7506499570237</t>
        </is>
      </c>
      <c r="B2284" s="51" t="inlineStr">
        <is>
          <t>110344</t>
        </is>
      </c>
      <c r="C2284" s="156" t="inlineStr">
        <is>
          <t>Multimarca</t>
        </is>
      </c>
      <c r="D2284" s="156" t="inlineStr">
        <is>
          <t>ST-VR-P-009-FW25-TS</t>
        </is>
      </c>
      <c r="E2284" s="156" t="inlineStr">
        <is>
          <t>ST-VR-P-009-FW25-TS-XL</t>
        </is>
      </c>
      <c r="F2284" s="156" t="inlineStr">
        <is>
          <t>XL</t>
        </is>
      </c>
      <c r="G2284" s="156" t="inlineStr">
        <is>
          <t>XL</t>
        </is>
      </c>
      <c r="H2284" s="156" t="inlineStr">
        <is>
          <t>Stetson</t>
        </is>
      </c>
      <c r="I2284" s="156" t="inlineStr">
        <is>
          <t>Camisa Stetson Vintage Range Timberline Spirit</t>
        </is>
      </c>
      <c r="J2284" s="156" t="inlineStr">
        <is>
          <t>Ropa</t>
        </is>
      </c>
      <c r="K2284" s="156" t="inlineStr">
        <is>
          <t>Camisas</t>
        </is>
      </c>
      <c r="L2284" s="156" t="inlineStr">
        <is>
          <t>Hombre</t>
        </is>
      </c>
      <c r="M2284" s="156" t="inlineStr">
        <is>
          <t>Stetson</t>
        </is>
      </c>
      <c r="N2284" s="156" t="inlineStr">
        <is>
          <t>SS26</t>
        </is>
      </c>
      <c r="O2284" s="156" t="inlineStr">
        <is>
          <t>Seasonal</t>
        </is>
      </c>
      <c r="P2284" s="156" t="n"/>
      <c r="Q2284" s="156" t="inlineStr">
        <is>
          <t>Clásico</t>
        </is>
      </c>
      <c r="R2284" s="156" t="n"/>
      <c r="S2284" s="156" t="inlineStr">
        <is>
          <t>100% Algodón</t>
        </is>
      </c>
      <c r="T228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4" s="156" t="n"/>
      <c r="V2284" s="156" t="inlineStr">
        <is>
          <t>PZS</t>
        </is>
      </c>
      <c r="W2284" s="51" t="inlineStr">
        <is>
          <t>53101600</t>
        </is>
      </c>
      <c r="X2284" s="156" t="inlineStr">
        <is>
          <t>https://cdn.shopify.com/s/files/1/0888/3250/8267/files/ST-VR-P-009-TS-02.jpg?v=1762295226</t>
        </is>
      </c>
      <c r="Y2284" s="54" t="n">
        <v>678.8793103</v>
      </c>
      <c r="Z2284" s="54" t="n">
        <v>1508.62069</v>
      </c>
      <c r="AA2284" s="55">
        <f>IF(AND(A2284="", B2284="", E2284=""), "", IF(AB2284="", "Válido", IF((LEN(AB2284)-LEN(SUBSTITUTE(AB2284,"; ","")))/2+1&gt;(LEN(AB2284)-LEN(SUBSTITUTE(AB2284,"[Aviso]","")))/7, "Con Incidencias", "Válido")))</f>
        <v/>
      </c>
      <c r="AB2284" s="56">
        <f>IF(AND(A2284="", B2284="", E2284=""), "", TEXTJOIN("; ", TRUE, IF(OR(TRIM(A2284&amp;"")="", ISNUMBER(SEARCH("FALTA", A2284))), "UPC faltante/inválido", ""), IF(AND(A2284&lt;&gt;"", IFERROR(_xlfn.XMATCH(A2284,$A$2:$A$2509,0,1)&lt;&gt;_xlfn.XMATCH(A2284,$A$2:$A$2509,0,-1),FALSE)), "Código de barras duplicado", ""), IF(AND(E2284&lt;&gt;"", COUNTIF($E$2:$E$2509, E2284)&gt;1), "SKU duplicado", ""), IF(OR(J2284="", J2284=""), "[Aviso] División no capturada ()", IF(ISNA(MATCH(J2284, Criterios!$A$123:$A$126, 0)), "División no válida", "")), IF(OR(K2284="", K2284=""), "[Aviso] Categoría no capturada ()", IF(ISNA(MATCH(K2284, Criterios!$A$81:$A$120, 0)), "Categoría no válida", IF(AND(J2284&lt;&gt;"", J2284&lt;&gt;"", J2284&lt;&gt;VLOOKUP(K2284, Criterios!$A$81:$B$120, 2, FALSE)), "División no coincide con Categoría", ""))), IF(OR(L2284="", L2284=""), "[Aviso] Género no capturado ()", IF(ISNA(MATCH(L2284, Criterios!$B$123:$B$127, 0)), "Género no válido", "")), IF(OR(N2284="", N2284=""), "[Aviso] Temporada no capturada ()", IF(ISNA(MATCH(N2284, Criterios!$C$123:$C$128, 0)), "Temporada no válida", "")), IF(OR(O2284="", O2284=""), "[Aviso] Ciclo de vida no capturado ()", IF(ISNA(MATCH(O2284, Criterios!$D$123:$D$124, 0)), "Ciclo de vida no válido", ""))))</f>
        <v/>
      </c>
      <c r="AC2284" s="56" t="n"/>
      <c r="AD2284" s="51" t="n">
        <v>2</v>
      </c>
      <c r="AE2284" s="156" t="inlineStr">
        <is>
          <t>B25 STETSON.MX (3)</t>
        </is>
      </c>
      <c r="AF2284" s="51" t="n">
        <v>3</v>
      </c>
      <c r="AG2284" s="156" t="inlineStr">
        <is>
          <t>Catálogo existente</t>
        </is>
      </c>
      <c r="AH228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4" s="156" t="inlineStr">
        <is>
          <t>Sí</t>
        </is>
      </c>
      <c r="AJ2284" s="156" t="inlineStr">
        <is>
          <t>STETSON AMERICAS (-1)</t>
        </is>
      </c>
      <c r="AK2284" s="155" t="inlineStr">
        <is>
          <t>Criterios: J [R]; G1522_Extraccion_Articulos_NetSuite_2026-09-30.xlsx: fila 58159 [S] | Shopify Stetson: producto 14814862082411 / variante 53350597296491</t>
        </is>
      </c>
      <c r="AL2284" s="58" t="n">
        <v>678.8793103</v>
      </c>
      <c r="AM2284" s="58" t="n">
        <v>1508.62069</v>
      </c>
      <c r="AN2284" s="155" t="inlineStr">
        <is>
          <t>Shopify Stetson México</t>
        </is>
      </c>
      <c r="AO2284" s="59" t="n">
        <v>8</v>
      </c>
      <c r="AP2284" s="59" t="n"/>
      <c r="AQ2284" s="59" t="n"/>
      <c r="AR2284" s="155" t="inlineStr">
        <is>
          <t>Shopify Stetson México › Stetson México: 3 | Shopify Stetson México › Stetson Americas: 5</t>
        </is>
      </c>
    </row>
    <row r="2285">
      <c r="A2285" s="50" t="inlineStr">
        <is>
          <t>7506499570244</t>
        </is>
      </c>
      <c r="B2285" s="51" t="inlineStr">
        <is>
          <t>110345</t>
        </is>
      </c>
      <c r="C2285" s="156" t="inlineStr">
        <is>
          <t>Multimarca</t>
        </is>
      </c>
      <c r="D2285" s="156" t="inlineStr">
        <is>
          <t>ST-VR-P-009-FW25-TS</t>
        </is>
      </c>
      <c r="E2285" s="156" t="inlineStr">
        <is>
          <t>ST-VR-P-009-FW25-TS-XXL</t>
        </is>
      </c>
      <c r="F2285" s="156" t="inlineStr">
        <is>
          <t>XXL</t>
        </is>
      </c>
      <c r="G2285" s="156" t="inlineStr">
        <is>
          <t>XXL</t>
        </is>
      </c>
      <c r="H2285" s="156" t="inlineStr">
        <is>
          <t>Stetson</t>
        </is>
      </c>
      <c r="I2285" s="156" t="inlineStr">
        <is>
          <t>Camisa Stetson Vintage Range Timberline Spirit</t>
        </is>
      </c>
      <c r="J2285" s="156" t="inlineStr">
        <is>
          <t>Ropa</t>
        </is>
      </c>
      <c r="K2285" s="156" t="inlineStr">
        <is>
          <t>Camisas</t>
        </is>
      </c>
      <c r="L2285" s="156" t="inlineStr">
        <is>
          <t>Hombre</t>
        </is>
      </c>
      <c r="M2285" s="156" t="inlineStr">
        <is>
          <t>Stetson</t>
        </is>
      </c>
      <c r="N2285" s="156" t="inlineStr">
        <is>
          <t>SS26</t>
        </is>
      </c>
      <c r="O2285" s="156" t="inlineStr">
        <is>
          <t>Seasonal</t>
        </is>
      </c>
      <c r="P2285" s="156" t="n"/>
      <c r="Q2285" s="156" t="inlineStr">
        <is>
          <t>Clásico</t>
        </is>
      </c>
      <c r="R2285" s="156" t="n"/>
      <c r="S2285" s="156" t="inlineStr">
        <is>
          <t>100% Algodón</t>
        </is>
      </c>
      <c r="T228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5" s="156" t="n"/>
      <c r="V2285" s="156" t="inlineStr">
        <is>
          <t>PZS</t>
        </is>
      </c>
      <c r="W2285" s="51" t="inlineStr">
        <is>
          <t>53101600</t>
        </is>
      </c>
      <c r="X2285" s="156" t="inlineStr">
        <is>
          <t>https://cdn.shopify.com/s/files/1/0888/3250/8267/files/ST-VR-P-009-TS-02.jpg?v=1762295226</t>
        </is>
      </c>
      <c r="Y2285" s="54" t="n">
        <v>678.8793103</v>
      </c>
      <c r="Z2285" s="54" t="n">
        <v>1508.62069</v>
      </c>
      <c r="AA2285" s="55">
        <f>IF(AND(A2285="", B2285="", E2285=""), "", IF(AB2285="", "Válido", IF((LEN(AB2285)-LEN(SUBSTITUTE(AB2285,"; ","")))/2+1&gt;(LEN(AB2285)-LEN(SUBSTITUTE(AB2285,"[Aviso]","")))/7, "Con Incidencias", "Válido")))</f>
        <v/>
      </c>
      <c r="AB2285" s="56">
        <f>IF(AND(A2285="", B2285="", E2285=""), "", TEXTJOIN("; ", TRUE, IF(OR(TRIM(A2285&amp;"")="", ISNUMBER(SEARCH("FALTA", A2285))), "UPC faltante/inválido", ""), IF(AND(A2285&lt;&gt;"", IFERROR(_xlfn.XMATCH(A2285,$A$2:$A$2509,0,1)&lt;&gt;_xlfn.XMATCH(A2285,$A$2:$A$2509,0,-1),FALSE)), "Código de barras duplicado", ""), IF(AND(E2285&lt;&gt;"", COUNTIF($E$2:$E$2509, E2285)&gt;1), "SKU duplicado", ""), IF(OR(J2285="", J2285=""), "[Aviso] División no capturada ()", IF(ISNA(MATCH(J2285, Criterios!$A$123:$A$126, 0)), "División no válida", "")), IF(OR(K2285="", K2285=""), "[Aviso] Categoría no capturada ()", IF(ISNA(MATCH(K2285, Criterios!$A$81:$A$120, 0)), "Categoría no válida", IF(AND(J2285&lt;&gt;"", J2285&lt;&gt;"", J2285&lt;&gt;VLOOKUP(K2285, Criterios!$A$81:$B$120, 2, FALSE)), "División no coincide con Categoría", ""))), IF(OR(L2285="", L2285=""), "[Aviso] Género no capturado ()", IF(ISNA(MATCH(L2285, Criterios!$B$123:$B$127, 0)), "Género no válido", "")), IF(OR(N2285="", N2285=""), "[Aviso] Temporada no capturada ()", IF(ISNA(MATCH(N2285, Criterios!$C$123:$C$128, 0)), "Temporada no válida", "")), IF(OR(O2285="", O2285=""), "[Aviso] Ciclo de vida no capturado ()", IF(ISNA(MATCH(O2285, Criterios!$D$123:$D$124, 0)), "Ciclo de vida no válido", ""))))</f>
        <v/>
      </c>
      <c r="AC2285" s="56" t="n"/>
      <c r="AD2285" s="51" t="n">
        <v>3</v>
      </c>
      <c r="AE2285" s="156" t="inlineStr">
        <is>
          <t>B25 STETSON.MX (3)</t>
        </is>
      </c>
      <c r="AF2285" s="51" t="n">
        <v>3</v>
      </c>
      <c r="AG2285" s="156" t="inlineStr">
        <is>
          <t>Catálogo existente</t>
        </is>
      </c>
      <c r="AH228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5" s="156" t="inlineStr">
        <is>
          <t>No</t>
        </is>
      </c>
      <c r="AJ2285" s="156" t="n"/>
      <c r="AK2285" s="155" t="inlineStr">
        <is>
          <t>Criterios: J [R]; G1522_Extraccion_Articulos_NetSuite_2026-09-30.xlsx: fila 58160 [S] | Shopify Stetson: producto 14814862082411 / variante 53350597329259</t>
        </is>
      </c>
      <c r="AL2285" s="58" t="n">
        <v>678.8793103</v>
      </c>
      <c r="AM2285" s="58" t="n">
        <v>1508.62069</v>
      </c>
      <c r="AN2285" s="155" t="inlineStr">
        <is>
          <t>Shopify Stetson México</t>
        </is>
      </c>
      <c r="AO2285" s="59" t="n">
        <v>3</v>
      </c>
      <c r="AP2285" s="59" t="n"/>
      <c r="AQ2285" s="59" t="n"/>
      <c r="AR2285" s="155" t="inlineStr">
        <is>
          <t>Shopify Stetson México › Stetson México: 3</t>
        </is>
      </c>
    </row>
    <row r="2286">
      <c r="A2286" s="50" t="inlineStr">
        <is>
          <t>7506499570251</t>
        </is>
      </c>
      <c r="B2286" s="51" t="inlineStr">
        <is>
          <t>110346</t>
        </is>
      </c>
      <c r="C2286" s="156" t="inlineStr">
        <is>
          <t>Multimarca</t>
        </is>
      </c>
      <c r="D2286" s="156" t="inlineStr">
        <is>
          <t>ST-VR-P-010-FW25-SA</t>
        </is>
      </c>
      <c r="E2286" s="156" t="inlineStr">
        <is>
          <t>ST-VR-P-010-FW25-SA-S</t>
        </is>
      </c>
      <c r="F2286" s="156" t="inlineStr">
        <is>
          <t>S</t>
        </is>
      </c>
      <c r="G2286" s="156" t="inlineStr">
        <is>
          <t>S</t>
        </is>
      </c>
      <c r="H2286" s="156" t="inlineStr">
        <is>
          <t>Stetson</t>
        </is>
      </c>
      <c r="I2286" s="156" t="inlineStr">
        <is>
          <t>Camisa Stetson Vintage Range Steer Apex</t>
        </is>
      </c>
      <c r="J2286" s="156" t="inlineStr">
        <is>
          <t>Ropa</t>
        </is>
      </c>
      <c r="K2286" s="156" t="inlineStr">
        <is>
          <t>Camisas</t>
        </is>
      </c>
      <c r="L2286" s="156" t="inlineStr">
        <is>
          <t>Hombre</t>
        </is>
      </c>
      <c r="M2286" s="156" t="inlineStr">
        <is>
          <t>Stetson</t>
        </is>
      </c>
      <c r="N2286" s="156" t="inlineStr">
        <is>
          <t>SS26</t>
        </is>
      </c>
      <c r="O2286" s="156" t="inlineStr">
        <is>
          <t>Seasonal</t>
        </is>
      </c>
      <c r="P2286" s="156" t="n"/>
      <c r="Q2286" s="156" t="inlineStr">
        <is>
          <t>Clásico</t>
        </is>
      </c>
      <c r="R2286" s="156" t="n"/>
      <c r="S2286" s="156" t="inlineStr">
        <is>
          <t>100% Algodón</t>
        </is>
      </c>
      <c r="T228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6" s="156" t="n"/>
      <c r="V2286" s="156" t="inlineStr">
        <is>
          <t>PZS</t>
        </is>
      </c>
      <c r="W2286" s="51" t="inlineStr">
        <is>
          <t>53101600</t>
        </is>
      </c>
      <c r="X2286" s="156" t="inlineStr">
        <is>
          <t>https://cdn.shopify.com/s/files/1/0888/3250/8267/files/ST-VR-P-010-SA-02.jpg?v=1762357085</t>
        </is>
      </c>
      <c r="Y2286" s="54" t="n">
        <v>678.8793103</v>
      </c>
      <c r="Z2286" s="54" t="n">
        <v>1508.62069</v>
      </c>
      <c r="AA2286" s="55">
        <f>IF(AND(A2286="", B2286="", E2286=""), "", IF(AB2286="", "Válido", IF((LEN(AB2286)-LEN(SUBSTITUTE(AB2286,"; ","")))/2+1&gt;(LEN(AB2286)-LEN(SUBSTITUTE(AB2286,"[Aviso]","")))/7, "Con Incidencias", "Válido")))</f>
        <v/>
      </c>
      <c r="AB2286" s="56">
        <f>IF(AND(A2286="", B2286="", E2286=""), "", TEXTJOIN("; ", TRUE, IF(OR(TRIM(A2286&amp;"")="", ISNUMBER(SEARCH("FALTA", A2286))), "UPC faltante/inválido", ""), IF(AND(A2286&lt;&gt;"", IFERROR(_xlfn.XMATCH(A2286,$A$2:$A$2509,0,1)&lt;&gt;_xlfn.XMATCH(A2286,$A$2:$A$2509,0,-1),FALSE)), "Código de barras duplicado", ""), IF(AND(E2286&lt;&gt;"", COUNTIF($E$2:$E$2509, E2286)&gt;1), "SKU duplicado", ""), IF(OR(J2286="", J2286=""), "[Aviso] División no capturada ()", IF(ISNA(MATCH(J2286, Criterios!$A$123:$A$126, 0)), "División no válida", "")), IF(OR(K2286="", K2286=""), "[Aviso] Categoría no capturada ()", IF(ISNA(MATCH(K2286, Criterios!$A$81:$A$120, 0)), "Categoría no válida", IF(AND(J2286&lt;&gt;"", J2286&lt;&gt;"", J2286&lt;&gt;VLOOKUP(K2286, Criterios!$A$81:$B$120, 2, FALSE)), "División no coincide con Categoría", ""))), IF(OR(L2286="", L2286=""), "[Aviso] Género no capturado ()", IF(ISNA(MATCH(L2286, Criterios!$B$123:$B$127, 0)), "Género no válido", "")), IF(OR(N2286="", N2286=""), "[Aviso] Temporada no capturada ()", IF(ISNA(MATCH(N2286, Criterios!$C$123:$C$128, 0)), "Temporada no válida", "")), IF(OR(O2286="", O2286=""), "[Aviso] Ciclo de vida no capturado ()", IF(ISNA(MATCH(O2286, Criterios!$D$123:$D$124, 0)), "Ciclo de vida no válido", ""))))</f>
        <v/>
      </c>
      <c r="AC2286" s="56" t="n"/>
      <c r="AD2286" s="51" t="n">
        <v>7</v>
      </c>
      <c r="AE2286" s="156" t="inlineStr">
        <is>
          <t>B25 STETSON.MX (8)</t>
        </is>
      </c>
      <c r="AF2286" s="51" t="n">
        <v>8</v>
      </c>
      <c r="AG2286" s="156" t="inlineStr">
        <is>
          <t>Catálogo existente</t>
        </is>
      </c>
      <c r="AH228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6" s="156" t="inlineStr">
        <is>
          <t>Sí</t>
        </is>
      </c>
      <c r="AJ2286" s="156" t="inlineStr">
        <is>
          <t>STETSON AMERICAS (-1)</t>
        </is>
      </c>
      <c r="AK2286" s="155" t="inlineStr">
        <is>
          <t>Criterios: J [R]; G1522_Extraccion_Articulos_NetSuite_2026-09-30.xlsx: fila 58161 [S] | Shopify Stetson: producto 14819650503019 / variante 53350597034347</t>
        </is>
      </c>
      <c r="AL2286" s="58" t="n">
        <v>678.8793103</v>
      </c>
      <c r="AM2286" s="58" t="n">
        <v>1508.62069</v>
      </c>
      <c r="AN2286" s="155" t="inlineStr">
        <is>
          <t>Shopify Stetson México</t>
        </is>
      </c>
      <c r="AO2286" s="59" t="n">
        <v>11</v>
      </c>
      <c r="AP2286" s="59" t="n"/>
      <c r="AQ2286" s="59" t="n"/>
      <c r="AR2286" s="155" t="inlineStr">
        <is>
          <t>Shopify Stetson México › Stetson México: 8 | Shopify Stetson México › Stetson Americas: 3</t>
        </is>
      </c>
    </row>
    <row r="2287">
      <c r="A2287" s="50" t="inlineStr">
        <is>
          <t>7506499570268</t>
        </is>
      </c>
      <c r="B2287" s="51" t="inlineStr">
        <is>
          <t>110347</t>
        </is>
      </c>
      <c r="C2287" s="156" t="inlineStr">
        <is>
          <t>Multimarca</t>
        </is>
      </c>
      <c r="D2287" s="156" t="inlineStr">
        <is>
          <t>ST-VR-P-010-FW25-SA</t>
        </is>
      </c>
      <c r="E2287" s="156" t="inlineStr">
        <is>
          <t>ST-VR-P-010-FW25-SA-M</t>
        </is>
      </c>
      <c r="F2287" s="156" t="inlineStr">
        <is>
          <t>M</t>
        </is>
      </c>
      <c r="G2287" s="156" t="inlineStr">
        <is>
          <t>M</t>
        </is>
      </c>
      <c r="H2287" s="156" t="inlineStr">
        <is>
          <t>Stetson</t>
        </is>
      </c>
      <c r="I2287" s="156" t="inlineStr">
        <is>
          <t>Camisa Stetson Vintage Range Steer Apex</t>
        </is>
      </c>
      <c r="J2287" s="156" t="inlineStr">
        <is>
          <t>Ropa</t>
        </is>
      </c>
      <c r="K2287" s="156" t="inlineStr">
        <is>
          <t>Camisas</t>
        </is>
      </c>
      <c r="L2287" s="156" t="inlineStr">
        <is>
          <t>Hombre</t>
        </is>
      </c>
      <c r="M2287" s="156" t="inlineStr">
        <is>
          <t>Stetson</t>
        </is>
      </c>
      <c r="N2287" s="156" t="inlineStr">
        <is>
          <t>SS26</t>
        </is>
      </c>
      <c r="O2287" s="156" t="inlineStr">
        <is>
          <t>Seasonal</t>
        </is>
      </c>
      <c r="P2287" s="156" t="n"/>
      <c r="Q2287" s="156" t="inlineStr">
        <is>
          <t>Clásico</t>
        </is>
      </c>
      <c r="R2287" s="156" t="n"/>
      <c r="S2287" s="156" t="inlineStr">
        <is>
          <t>100% Algodón</t>
        </is>
      </c>
      <c r="T228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7" s="156" t="n"/>
      <c r="V2287" s="156" t="inlineStr">
        <is>
          <t>PZS</t>
        </is>
      </c>
      <c r="W2287" s="51" t="inlineStr">
        <is>
          <t>53101600</t>
        </is>
      </c>
      <c r="X2287" s="156" t="inlineStr">
        <is>
          <t>https://cdn.shopify.com/s/files/1/0888/3250/8267/files/ST-VR-P-010-SA-03.jpg?v=1762357085</t>
        </is>
      </c>
      <c r="Y2287" s="54" t="n">
        <v>678.8793103</v>
      </c>
      <c r="Z2287" s="54" t="n">
        <v>1508.62069</v>
      </c>
      <c r="AA2287" s="55">
        <f>IF(AND(A2287="", B2287="", E2287=""), "", IF(AB2287="", "Válido", IF((LEN(AB2287)-LEN(SUBSTITUTE(AB2287,"; ","")))/2+1&gt;(LEN(AB2287)-LEN(SUBSTITUTE(AB2287,"[Aviso]","")))/7, "Con Incidencias", "Válido")))</f>
        <v/>
      </c>
      <c r="AB2287" s="56">
        <f>IF(AND(A2287="", B2287="", E2287=""), "", TEXTJOIN("; ", TRUE, IF(OR(TRIM(A2287&amp;"")="", ISNUMBER(SEARCH("FALTA", A2287))), "UPC faltante/inválido", ""), IF(AND(A2287&lt;&gt;"", IFERROR(_xlfn.XMATCH(A2287,$A$2:$A$2509,0,1)&lt;&gt;_xlfn.XMATCH(A2287,$A$2:$A$2509,0,-1),FALSE)), "Código de barras duplicado", ""), IF(AND(E2287&lt;&gt;"", COUNTIF($E$2:$E$2509, E2287)&gt;1), "SKU duplicado", ""), IF(OR(J2287="", J2287=""), "[Aviso] División no capturada ()", IF(ISNA(MATCH(J2287, Criterios!$A$123:$A$126, 0)), "División no válida", "")), IF(OR(K2287="", K2287=""), "[Aviso] Categoría no capturada ()", IF(ISNA(MATCH(K2287, Criterios!$A$81:$A$120, 0)), "Categoría no válida", IF(AND(J2287&lt;&gt;"", J2287&lt;&gt;"", J2287&lt;&gt;VLOOKUP(K2287, Criterios!$A$81:$B$120, 2, FALSE)), "División no coincide con Categoría", ""))), IF(OR(L2287="", L2287=""), "[Aviso] Género no capturado ()", IF(ISNA(MATCH(L2287, Criterios!$B$123:$B$127, 0)), "Género no válido", "")), IF(OR(N2287="", N2287=""), "[Aviso] Temporada no capturada ()", IF(ISNA(MATCH(N2287, Criterios!$C$123:$C$128, 0)), "Temporada no válida", "")), IF(OR(O2287="", O2287=""), "[Aviso] Ciclo de vida no capturado ()", IF(ISNA(MATCH(O2287, Criterios!$D$123:$D$124, 0)), "Ciclo de vida no válido", ""))))</f>
        <v/>
      </c>
      <c r="AC2287" s="56" t="n"/>
      <c r="AD2287" s="51" t="n">
        <v>5</v>
      </c>
      <c r="AE2287" s="156" t="inlineStr">
        <is>
          <t>B25 STETSON.MX (7)</t>
        </is>
      </c>
      <c r="AF2287" s="51" t="n">
        <v>7</v>
      </c>
      <c r="AG2287" s="156" t="inlineStr">
        <is>
          <t>Catálogo existente</t>
        </is>
      </c>
      <c r="AH228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7" s="156" t="inlineStr">
        <is>
          <t>Sí</t>
        </is>
      </c>
      <c r="AJ2287" s="156" t="inlineStr">
        <is>
          <t>STETSON AMERICAS (-2)</t>
        </is>
      </c>
      <c r="AK2287" s="155" t="inlineStr">
        <is>
          <t>Criterios: J [R]; G1522_Extraccion_Articulos_NetSuite_2026-09-30.xlsx: fila 58162 [S] | Shopify Stetson: producto 14819650503019 / variante 53350597067115</t>
        </is>
      </c>
      <c r="AL2287" s="58" t="n">
        <v>678.8793103</v>
      </c>
      <c r="AM2287" s="58" t="n">
        <v>1508.62069</v>
      </c>
      <c r="AN2287" s="155" t="inlineStr">
        <is>
          <t>Shopify Stetson México</t>
        </is>
      </c>
      <c r="AO2287" s="59" t="n">
        <v>9</v>
      </c>
      <c r="AP2287" s="59" t="n"/>
      <c r="AQ2287" s="59" t="n"/>
      <c r="AR2287" s="155" t="inlineStr">
        <is>
          <t>Shopify Stetson México › Stetson México: 7 | Shopify Stetson México › Stetson Americas: 2</t>
        </is>
      </c>
    </row>
    <row r="2288">
      <c r="A2288" s="50" t="inlineStr">
        <is>
          <t>7506499570275</t>
        </is>
      </c>
      <c r="B2288" s="51" t="inlineStr">
        <is>
          <t>110348</t>
        </is>
      </c>
      <c r="C2288" s="156" t="inlineStr">
        <is>
          <t>Multimarca</t>
        </is>
      </c>
      <c r="D2288" s="156" t="inlineStr">
        <is>
          <t>ST-VR-P-010-FW25-SA</t>
        </is>
      </c>
      <c r="E2288" s="156" t="inlineStr">
        <is>
          <t>ST-VR-P-010-FW25-SA-L</t>
        </is>
      </c>
      <c r="F2288" s="156" t="inlineStr">
        <is>
          <t>L</t>
        </is>
      </c>
      <c r="G2288" s="156" t="inlineStr">
        <is>
          <t>L</t>
        </is>
      </c>
      <c r="H2288" s="156" t="inlineStr">
        <is>
          <t>Stetson</t>
        </is>
      </c>
      <c r="I2288" s="156" t="inlineStr">
        <is>
          <t>Camisa Stetson Vintage Range Steer Apex</t>
        </is>
      </c>
      <c r="J2288" s="156" t="inlineStr">
        <is>
          <t>Ropa</t>
        </is>
      </c>
      <c r="K2288" s="156" t="inlineStr">
        <is>
          <t>Camisas</t>
        </is>
      </c>
      <c r="L2288" s="156" t="inlineStr">
        <is>
          <t>Hombre</t>
        </is>
      </c>
      <c r="M2288" s="156" t="inlineStr">
        <is>
          <t>Stetson</t>
        </is>
      </c>
      <c r="N2288" s="156" t="inlineStr">
        <is>
          <t>SS26</t>
        </is>
      </c>
      <c r="O2288" s="156" t="inlineStr">
        <is>
          <t>Seasonal</t>
        </is>
      </c>
      <c r="P2288" s="156" t="n"/>
      <c r="Q2288" s="156" t="inlineStr">
        <is>
          <t>Clásico</t>
        </is>
      </c>
      <c r="R2288" s="156" t="n"/>
      <c r="S2288" s="156" t="inlineStr">
        <is>
          <t>100% Algodón</t>
        </is>
      </c>
      <c r="T228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8" s="156" t="n"/>
      <c r="V2288" s="156" t="inlineStr">
        <is>
          <t>PZS</t>
        </is>
      </c>
      <c r="W2288" s="51" t="inlineStr">
        <is>
          <t>53101600</t>
        </is>
      </c>
      <c r="X2288" s="156" t="inlineStr">
        <is>
          <t>https://cdn.shopify.com/s/files/1/0888/3250/8267/files/ST-VR-P-010-SA-01.jpg?v=1762357085</t>
        </is>
      </c>
      <c r="Y2288" s="54" t="n">
        <v>678.8793103</v>
      </c>
      <c r="Z2288" s="54" t="n">
        <v>1508.62069</v>
      </c>
      <c r="AA2288" s="55">
        <f>IF(AND(A2288="", B2288="", E2288=""), "", IF(AB2288="", "Válido", IF((LEN(AB2288)-LEN(SUBSTITUTE(AB2288,"; ","")))/2+1&gt;(LEN(AB2288)-LEN(SUBSTITUTE(AB2288,"[Aviso]","")))/7, "Con Incidencias", "Válido")))</f>
        <v/>
      </c>
      <c r="AB2288" s="56">
        <f>IF(AND(A2288="", B2288="", E2288=""), "", TEXTJOIN("; ", TRUE, IF(OR(TRIM(A2288&amp;"")="", ISNUMBER(SEARCH("FALTA", A2288))), "UPC faltante/inválido", ""), IF(AND(A2288&lt;&gt;"", IFERROR(_xlfn.XMATCH(A2288,$A$2:$A$2509,0,1)&lt;&gt;_xlfn.XMATCH(A2288,$A$2:$A$2509,0,-1),FALSE)), "Código de barras duplicado", ""), IF(AND(E2288&lt;&gt;"", COUNTIF($E$2:$E$2509, E2288)&gt;1), "SKU duplicado", ""), IF(OR(J2288="", J2288=""), "[Aviso] División no capturada ()", IF(ISNA(MATCH(J2288, Criterios!$A$123:$A$126, 0)), "División no válida", "")), IF(OR(K2288="", K2288=""), "[Aviso] Categoría no capturada ()", IF(ISNA(MATCH(K2288, Criterios!$A$81:$A$120, 0)), "Categoría no válida", IF(AND(J2288&lt;&gt;"", J2288&lt;&gt;"", J2288&lt;&gt;VLOOKUP(K2288, Criterios!$A$81:$B$120, 2, FALSE)), "División no coincide con Categoría", ""))), IF(OR(L2288="", L2288=""), "[Aviso] Género no capturado ()", IF(ISNA(MATCH(L2288, Criterios!$B$123:$B$127, 0)), "Género no válido", "")), IF(OR(N2288="", N2288=""), "[Aviso] Temporada no capturada ()", IF(ISNA(MATCH(N2288, Criterios!$C$123:$C$128, 0)), "Temporada no válida", "")), IF(OR(O2288="", O2288=""), "[Aviso] Ciclo de vida no capturado ()", IF(ISNA(MATCH(O2288, Criterios!$D$123:$D$124, 0)), "Ciclo de vida no válido", ""))))</f>
        <v/>
      </c>
      <c r="AC2288" s="56" t="n"/>
      <c r="AD2288" s="51" t="n">
        <v>7</v>
      </c>
      <c r="AE2288" s="156" t="inlineStr">
        <is>
          <t>B25 STETSON.MX (9)</t>
        </is>
      </c>
      <c r="AF2288" s="51" t="n">
        <v>9</v>
      </c>
      <c r="AG2288" s="156" t="inlineStr">
        <is>
          <t>Catálogo existente</t>
        </is>
      </c>
      <c r="AH228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8" s="156" t="inlineStr">
        <is>
          <t>Sí</t>
        </is>
      </c>
      <c r="AJ2288" s="156" t="inlineStr">
        <is>
          <t>STETSON AMERICAS (-2)</t>
        </is>
      </c>
      <c r="AK2288" s="155" t="inlineStr">
        <is>
          <t>Criterios: J [R]; G1522_Extraccion_Articulos_NetSuite_2026-09-30.xlsx: fila 58163 [S] | Shopify Stetson: producto 14819650503019 / variante 53350597099883</t>
        </is>
      </c>
      <c r="AL2288" s="58" t="n">
        <v>678.8793103</v>
      </c>
      <c r="AM2288" s="58" t="n">
        <v>1508.62069</v>
      </c>
      <c r="AN2288" s="155" t="inlineStr">
        <is>
          <t>Shopify Stetson México</t>
        </is>
      </c>
      <c r="AO2288" s="59" t="n">
        <v>13</v>
      </c>
      <c r="AP2288" s="59" t="n"/>
      <c r="AQ2288" s="59" t="n"/>
      <c r="AR2288" s="155" t="inlineStr">
        <is>
          <t>Shopify Stetson México › Stetson México: 9 | Shopify Stetson México › Stetson Americas: 4</t>
        </is>
      </c>
    </row>
    <row r="2289">
      <c r="A2289" s="50" t="inlineStr">
        <is>
          <t>7506499570282</t>
        </is>
      </c>
      <c r="B2289" s="51" t="inlineStr">
        <is>
          <t>110349</t>
        </is>
      </c>
      <c r="C2289" s="156" t="inlineStr">
        <is>
          <t>Multimarca</t>
        </is>
      </c>
      <c r="D2289" s="156" t="inlineStr">
        <is>
          <t>ST-VR-P-010-FW25-SA</t>
        </is>
      </c>
      <c r="E2289" s="156" t="inlineStr">
        <is>
          <t>ST-VR-P-010-FW25-SA-XL</t>
        </is>
      </c>
      <c r="F2289" s="156" t="inlineStr">
        <is>
          <t>XL</t>
        </is>
      </c>
      <c r="G2289" s="156" t="inlineStr">
        <is>
          <t>XL</t>
        </is>
      </c>
      <c r="H2289" s="156" t="inlineStr">
        <is>
          <t>Stetson</t>
        </is>
      </c>
      <c r="I2289" s="156" t="inlineStr">
        <is>
          <t>Camisa Stetson Vintage Range Steer Apex</t>
        </is>
      </c>
      <c r="J2289" s="156" t="inlineStr">
        <is>
          <t>Ropa</t>
        </is>
      </c>
      <c r="K2289" s="156" t="inlineStr">
        <is>
          <t>Camisas</t>
        </is>
      </c>
      <c r="L2289" s="156" t="inlineStr">
        <is>
          <t>Hombre</t>
        </is>
      </c>
      <c r="M2289" s="156" t="inlineStr">
        <is>
          <t>Stetson</t>
        </is>
      </c>
      <c r="N2289" s="156" t="inlineStr">
        <is>
          <t>SS26</t>
        </is>
      </c>
      <c r="O2289" s="156" t="inlineStr">
        <is>
          <t>Seasonal</t>
        </is>
      </c>
      <c r="P2289" s="156" t="n"/>
      <c r="Q2289" s="156" t="inlineStr">
        <is>
          <t>Clásico</t>
        </is>
      </c>
      <c r="R2289" s="156" t="n"/>
      <c r="S2289" s="156" t="inlineStr">
        <is>
          <t>100% Algodón</t>
        </is>
      </c>
      <c r="T228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9" s="156" t="n"/>
      <c r="V2289" s="156" t="inlineStr">
        <is>
          <t>PZS</t>
        </is>
      </c>
      <c r="W2289" s="51" t="inlineStr">
        <is>
          <t>53101600</t>
        </is>
      </c>
      <c r="X2289" s="156" t="inlineStr">
        <is>
          <t>https://cdn.shopify.com/s/files/1/0888/3250/8267/files/ST-VR-P-010-SA-02.jpg?v=1762357085</t>
        </is>
      </c>
      <c r="Y2289" s="54" t="n">
        <v>678.8793103</v>
      </c>
      <c r="Z2289" s="54" t="n">
        <v>1508.62069</v>
      </c>
      <c r="AA2289" s="55">
        <f>IF(AND(A2289="", B2289="", E2289=""), "", IF(AB2289="", "Válido", IF((LEN(AB2289)-LEN(SUBSTITUTE(AB2289,"; ","")))/2+1&gt;(LEN(AB2289)-LEN(SUBSTITUTE(AB2289,"[Aviso]","")))/7, "Con Incidencias", "Válido")))</f>
        <v/>
      </c>
      <c r="AB2289" s="56">
        <f>IF(AND(A2289="", B2289="", E2289=""), "", TEXTJOIN("; ", TRUE, IF(OR(TRIM(A2289&amp;"")="", ISNUMBER(SEARCH("FALTA", A2289))), "UPC faltante/inválido", ""), IF(AND(A2289&lt;&gt;"", IFERROR(_xlfn.XMATCH(A2289,$A$2:$A$2509,0,1)&lt;&gt;_xlfn.XMATCH(A2289,$A$2:$A$2509,0,-1),FALSE)), "Código de barras duplicado", ""), IF(AND(E2289&lt;&gt;"", COUNTIF($E$2:$E$2509, E2289)&gt;1), "SKU duplicado", ""), IF(OR(J2289="", J2289=""), "[Aviso] División no capturada ()", IF(ISNA(MATCH(J2289, Criterios!$A$123:$A$126, 0)), "División no válida", "")), IF(OR(K2289="", K2289=""), "[Aviso] Categoría no capturada ()", IF(ISNA(MATCH(K2289, Criterios!$A$81:$A$120, 0)), "Categoría no válida", IF(AND(J2289&lt;&gt;"", J2289&lt;&gt;"", J2289&lt;&gt;VLOOKUP(K2289, Criterios!$A$81:$B$120, 2, FALSE)), "División no coincide con Categoría", ""))), IF(OR(L2289="", L2289=""), "[Aviso] Género no capturado ()", IF(ISNA(MATCH(L2289, Criterios!$B$123:$B$127, 0)), "Género no válido", "")), IF(OR(N2289="", N2289=""), "[Aviso] Temporada no capturada ()", IF(ISNA(MATCH(N2289, Criterios!$C$123:$C$128, 0)), "Temporada no válida", "")), IF(OR(O2289="", O2289=""), "[Aviso] Ciclo de vida no capturado ()", IF(ISNA(MATCH(O2289, Criterios!$D$123:$D$124, 0)), "Ciclo de vida no válido", ""))))</f>
        <v/>
      </c>
      <c r="AC2289" s="56" t="n"/>
      <c r="AD2289" s="51" t="n">
        <v>2</v>
      </c>
      <c r="AE2289" s="156" t="inlineStr">
        <is>
          <t>B25 STETSON.MX (4)</t>
        </is>
      </c>
      <c r="AF2289" s="51" t="n">
        <v>4</v>
      </c>
      <c r="AG2289" s="156" t="inlineStr">
        <is>
          <t>Catálogo existente</t>
        </is>
      </c>
      <c r="AH228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9" s="156" t="inlineStr">
        <is>
          <t>Sí</t>
        </is>
      </c>
      <c r="AJ2289" s="156" t="inlineStr">
        <is>
          <t>STETSON AMERICAS (-2)</t>
        </is>
      </c>
      <c r="AK2289" s="155" t="inlineStr">
        <is>
          <t>Criterios: J [R]; G1522_Extraccion_Articulos_NetSuite_2026-09-30.xlsx: fila 58164 [S] | Shopify Stetson: producto 14819650503019 / variante 53350597132651</t>
        </is>
      </c>
      <c r="AL2289" s="58" t="n">
        <v>678.8793103</v>
      </c>
      <c r="AM2289" s="58" t="n">
        <v>1508.62069</v>
      </c>
      <c r="AN2289" s="155" t="inlineStr">
        <is>
          <t>Shopify Stetson México</t>
        </is>
      </c>
      <c r="AO2289" s="59" t="n">
        <v>8</v>
      </c>
      <c r="AP2289" s="59" t="n"/>
      <c r="AQ2289" s="59" t="n"/>
      <c r="AR2289" s="155" t="inlineStr">
        <is>
          <t>Shopify Stetson México › Stetson México: 4 | Shopify Stetson México › Stetson Americas: 4</t>
        </is>
      </c>
    </row>
    <row r="2290">
      <c r="A2290" s="50" t="inlineStr">
        <is>
          <t>7506499570299</t>
        </is>
      </c>
      <c r="B2290" s="51" t="inlineStr">
        <is>
          <t>110350</t>
        </is>
      </c>
      <c r="C2290" s="156" t="inlineStr">
        <is>
          <t>Multimarca</t>
        </is>
      </c>
      <c r="D2290" s="156" t="inlineStr">
        <is>
          <t>ST-VR-P-010-FW25-SA</t>
        </is>
      </c>
      <c r="E2290" s="156" t="inlineStr">
        <is>
          <t>ST-VR-P-010-FW25-SA-XXL</t>
        </is>
      </c>
      <c r="F2290" s="156" t="inlineStr">
        <is>
          <t>XXL</t>
        </is>
      </c>
      <c r="G2290" s="156" t="inlineStr">
        <is>
          <t>XXL</t>
        </is>
      </c>
      <c r="H2290" s="156" t="inlineStr">
        <is>
          <t>Stetson</t>
        </is>
      </c>
      <c r="I2290" s="156" t="inlineStr">
        <is>
          <t>Camisa Stetson Vintage Range Steer Apex</t>
        </is>
      </c>
      <c r="J2290" s="156" t="inlineStr">
        <is>
          <t>Ropa</t>
        </is>
      </c>
      <c r="K2290" s="156" t="inlineStr">
        <is>
          <t>Camisas</t>
        </is>
      </c>
      <c r="L2290" s="156" t="inlineStr">
        <is>
          <t>Hombre</t>
        </is>
      </c>
      <c r="M2290" s="156" t="inlineStr">
        <is>
          <t>Stetson</t>
        </is>
      </c>
      <c r="N2290" s="156" t="inlineStr">
        <is>
          <t>SS26</t>
        </is>
      </c>
      <c r="O2290" s="156" t="inlineStr">
        <is>
          <t>Seasonal</t>
        </is>
      </c>
      <c r="P2290" s="156" t="n"/>
      <c r="Q2290" s="156" t="inlineStr">
        <is>
          <t>Clásico</t>
        </is>
      </c>
      <c r="R2290" s="156" t="n"/>
      <c r="S2290" s="156" t="inlineStr">
        <is>
          <t>100% Algodón</t>
        </is>
      </c>
      <c r="T229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0" s="156" t="n"/>
      <c r="V2290" s="156" t="inlineStr">
        <is>
          <t>PZS</t>
        </is>
      </c>
      <c r="W2290" s="51" t="inlineStr">
        <is>
          <t>53101600</t>
        </is>
      </c>
      <c r="X2290" s="156" t="inlineStr">
        <is>
          <t>https://cdn.shopify.com/s/files/1/0888/3250/8267/files/ST-VR-P-010-SA-02.jpg?v=1762357085</t>
        </is>
      </c>
      <c r="Y2290" s="54" t="n">
        <v>678.8793103</v>
      </c>
      <c r="Z2290" s="54" t="n">
        <v>1508.62069</v>
      </c>
      <c r="AA2290" s="55">
        <f>IF(AND(A2290="", B2290="", E2290=""), "", IF(AB2290="", "Válido", IF((LEN(AB2290)-LEN(SUBSTITUTE(AB2290,"; ","")))/2+1&gt;(LEN(AB2290)-LEN(SUBSTITUTE(AB2290,"[Aviso]","")))/7, "Con Incidencias", "Válido")))</f>
        <v/>
      </c>
      <c r="AB2290" s="56">
        <f>IF(AND(A2290="", B2290="", E2290=""), "", TEXTJOIN("; ", TRUE, IF(OR(TRIM(A2290&amp;"")="", ISNUMBER(SEARCH("FALTA", A2290))), "UPC faltante/inválido", ""), IF(AND(A2290&lt;&gt;"", IFERROR(_xlfn.XMATCH(A2290,$A$2:$A$2509,0,1)&lt;&gt;_xlfn.XMATCH(A2290,$A$2:$A$2509,0,-1),FALSE)), "Código de barras duplicado", ""), IF(AND(E2290&lt;&gt;"", COUNTIF($E$2:$E$2509, E2290)&gt;1), "SKU duplicado", ""), IF(OR(J2290="", J2290=""), "[Aviso] División no capturada ()", IF(ISNA(MATCH(J2290, Criterios!$A$123:$A$126, 0)), "División no válida", "")), IF(OR(K2290="", K2290=""), "[Aviso] Categoría no capturada ()", IF(ISNA(MATCH(K2290, Criterios!$A$81:$A$120, 0)), "Categoría no válida", IF(AND(J2290&lt;&gt;"", J2290&lt;&gt;"", J2290&lt;&gt;VLOOKUP(K2290, Criterios!$A$81:$B$120, 2, FALSE)), "División no coincide con Categoría", ""))), IF(OR(L2290="", L2290=""), "[Aviso] Género no capturado ()", IF(ISNA(MATCH(L2290, Criterios!$B$123:$B$127, 0)), "Género no válido", "")), IF(OR(N2290="", N2290=""), "[Aviso] Temporada no capturada ()", IF(ISNA(MATCH(N2290, Criterios!$C$123:$C$128, 0)), "Temporada no válida", "")), IF(OR(O2290="", O2290=""), "[Aviso] Ciclo de vida no capturado ()", IF(ISNA(MATCH(O2290, Criterios!$D$123:$D$124, 0)), "Ciclo de vida no válido", ""))))</f>
        <v/>
      </c>
      <c r="AC2290" s="56" t="n"/>
      <c r="AD2290" s="51" t="n">
        <v>-1</v>
      </c>
      <c r="AE2290" s="156" t="inlineStr">
        <is>
          <t>B25 STETSON.MX (1)</t>
        </is>
      </c>
      <c r="AF2290" s="51" t="n">
        <v>1</v>
      </c>
      <c r="AG2290" s="156" t="inlineStr">
        <is>
          <t>Catálogo existente</t>
        </is>
      </c>
      <c r="AH229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90" s="156" t="inlineStr">
        <is>
          <t>Sí</t>
        </is>
      </c>
      <c r="AJ2290" s="156" t="inlineStr">
        <is>
          <t>STETSON AMERICAS (-2)</t>
        </is>
      </c>
      <c r="AK2290" s="155" t="inlineStr">
        <is>
          <t>Criterios: J [R]; G1522_Extraccion_Articulos_NetSuite_2026-09-30.xlsx: fila 58165 [S] | Shopify Stetson: producto 14819650503019 / variante 53350597165419</t>
        </is>
      </c>
      <c r="AL2290" s="58" t="n">
        <v>678.8793103</v>
      </c>
      <c r="AM2290" s="58" t="n">
        <v>1508.62069</v>
      </c>
      <c r="AN2290" s="155" t="inlineStr">
        <is>
          <t>Shopify Stetson México</t>
        </is>
      </c>
      <c r="AO2290" s="59" t="n">
        <v>1</v>
      </c>
      <c r="AP2290" s="59" t="n"/>
      <c r="AQ2290" s="59" t="n"/>
      <c r="AR2290" s="155" t="inlineStr">
        <is>
          <t>Shopify Stetson México › Stetson México: 1</t>
        </is>
      </c>
    </row>
    <row r="2291">
      <c r="A2291" s="50" t="inlineStr">
        <is>
          <t>7506499570305</t>
        </is>
      </c>
      <c r="B2291" s="51" t="inlineStr">
        <is>
          <t>108536</t>
        </is>
      </c>
      <c r="C2291" s="156" t="inlineStr">
        <is>
          <t>Multimarca</t>
        </is>
      </c>
      <c r="D2291" s="156" t="inlineStr">
        <is>
          <t>ST-VR-P-011-FW25-TSAG</t>
        </is>
      </c>
      <c r="E2291" s="156" t="inlineStr">
        <is>
          <t>ST-VR-P-011-FW25-TSAG-S</t>
        </is>
      </c>
      <c r="F2291" s="156" t="inlineStr">
        <is>
          <t>S</t>
        </is>
      </c>
      <c r="G2291" s="156" t="inlineStr">
        <is>
          <t>S</t>
        </is>
      </c>
      <c r="H2291" s="156" t="inlineStr">
        <is>
          <t>Stetson</t>
        </is>
      </c>
      <c r="I2291" s="156" t="inlineStr">
        <is>
          <t>Camisa Stetson Vintage Range Tierra Sagrada</t>
        </is>
      </c>
      <c r="J2291" s="156" t="inlineStr">
        <is>
          <t>Ropa</t>
        </is>
      </c>
      <c r="K2291" s="156" t="inlineStr">
        <is>
          <t>Camisas</t>
        </is>
      </c>
      <c r="L2291" s="156" t="inlineStr">
        <is>
          <t>Hombre</t>
        </is>
      </c>
      <c r="M2291" s="156" t="inlineStr">
        <is>
          <t>Stetson</t>
        </is>
      </c>
      <c r="N2291" s="156" t="inlineStr">
        <is>
          <t>SS26</t>
        </is>
      </c>
      <c r="O2291" s="156" t="inlineStr">
        <is>
          <t>Seasonal</t>
        </is>
      </c>
      <c r="P2291" s="156" t="inlineStr">
        <is>
          <t>Rojo</t>
        </is>
      </c>
      <c r="Q2291" s="156" t="inlineStr">
        <is>
          <t>Clásico</t>
        </is>
      </c>
      <c r="R2291" s="156" t="n"/>
      <c r="S2291" s="156" t="inlineStr">
        <is>
          <t>100% Algodón</t>
        </is>
      </c>
      <c r="T229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1" s="156" t="n"/>
      <c r="V2291" s="156" t="inlineStr">
        <is>
          <t>PZS</t>
        </is>
      </c>
      <c r="W2291" s="51" t="inlineStr">
        <is>
          <t>53101600</t>
        </is>
      </c>
      <c r="X2291" s="156" t="inlineStr">
        <is>
          <t>https://cdn.shopify.com/s/files/1/0888/3250/8267/files/ST-VR-P-011-TSAG-01.jpg?v=1762357770</t>
        </is>
      </c>
      <c r="Y2291" s="54" t="n">
        <v>678.8793103</v>
      </c>
      <c r="Z2291" s="54" t="n">
        <v>1508.62069</v>
      </c>
      <c r="AA2291" s="55">
        <f>IF(AND(A2291="", B2291="", E2291=""), "", IF(AB2291="", "Válido", IF((LEN(AB2291)-LEN(SUBSTITUTE(AB2291,"; ","")))/2+1&gt;(LEN(AB2291)-LEN(SUBSTITUTE(AB2291,"[Aviso]","")))/7, "Con Incidencias", "Válido")))</f>
        <v/>
      </c>
      <c r="AB2291" s="56">
        <f>IF(AND(A2291="", B2291="", E2291=""), "", TEXTJOIN("; ", TRUE, IF(OR(TRIM(A2291&amp;"")="", ISNUMBER(SEARCH("FALTA", A2291))), "UPC faltante/inválido", ""), IF(AND(A2291&lt;&gt;"", IFERROR(_xlfn.XMATCH(A2291,$A$2:$A$2509,0,1)&lt;&gt;_xlfn.XMATCH(A2291,$A$2:$A$2509,0,-1),FALSE)), "Código de barras duplicado", ""), IF(AND(E2291&lt;&gt;"", COUNTIF($E$2:$E$2509, E2291)&gt;1), "SKU duplicado", ""), IF(OR(J2291="", J2291=""), "[Aviso] División no capturada ()", IF(ISNA(MATCH(J2291, Criterios!$A$123:$A$126, 0)), "División no válida", "")), IF(OR(K2291="", K2291=""), "[Aviso] Categoría no capturada ()", IF(ISNA(MATCH(K2291, Criterios!$A$81:$A$120, 0)), "Categoría no válida", IF(AND(J2291&lt;&gt;"", J2291&lt;&gt;"", J2291&lt;&gt;VLOOKUP(K2291, Criterios!$A$81:$B$120, 2, FALSE)), "División no coincide con Categoría", ""))), IF(OR(L2291="", L2291=""), "[Aviso] Género no capturado ()", IF(ISNA(MATCH(L2291, Criterios!$B$123:$B$127, 0)), "Género no válido", "")), IF(OR(N2291="", N2291=""), "[Aviso] Temporada no capturada ()", IF(ISNA(MATCH(N2291, Criterios!$C$123:$C$128, 0)), "Temporada no válida", "")), IF(OR(O2291="", O2291=""), "[Aviso] Ciclo de vida no capturado ()", IF(ISNA(MATCH(O2291, Criterios!$D$123:$D$124, 0)), "Ciclo de vida no válido", ""))))</f>
        <v/>
      </c>
      <c r="AC2291" s="56" t="n"/>
      <c r="AD2291" s="51" t="n">
        <v>6</v>
      </c>
      <c r="AE2291" s="156" t="inlineStr">
        <is>
          <t>B25 STETSON.MX (5); WB OUTLET LERMA (1)</t>
        </is>
      </c>
      <c r="AF2291" s="51" t="n">
        <v>6</v>
      </c>
      <c r="AG2291" s="156" t="inlineStr">
        <is>
          <t>Catálogo existente</t>
        </is>
      </c>
      <c r="AH229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1" s="156" t="inlineStr">
        <is>
          <t>No</t>
        </is>
      </c>
      <c r="AJ2291" s="156" t="n"/>
      <c r="AK2291" s="155" t="inlineStr">
        <is>
          <t>Criterios: J [R]; G1522_Extraccion_Articulos_NetSuite_2026-09-30.xlsx: fila 56695 [S] | Shopify Stetson: producto 14819651158379 / variante 53350596870507 | Shopify WB: producto 8569966133433 / variante 47621335974073</t>
        </is>
      </c>
      <c r="AL2291" s="58" t="n">
        <v>678.8793103</v>
      </c>
      <c r="AM2291" s="58" t="n">
        <v>1508.62069</v>
      </c>
      <c r="AN2291" s="155" t="inlineStr">
        <is>
          <t>Shopify Stetson México | Shopify Western Brothers</t>
        </is>
      </c>
      <c r="AO2291" s="59" t="n">
        <v>7</v>
      </c>
      <c r="AP2291" s="59" t="n">
        <v>0</v>
      </c>
      <c r="AQ2291" s="59" t="n"/>
      <c r="AR2291" s="155" t="inlineStr">
        <is>
          <t>Shopify Stetson México › Stetson México: 5 | Shopify Stetson México › Stetson Americas: 2</t>
        </is>
      </c>
    </row>
    <row r="2292">
      <c r="A2292" s="50" t="inlineStr">
        <is>
          <t>7506499570312</t>
        </is>
      </c>
      <c r="B2292" s="51" t="inlineStr">
        <is>
          <t>108537</t>
        </is>
      </c>
      <c r="C2292" s="156" t="inlineStr">
        <is>
          <t>Multimarca</t>
        </is>
      </c>
      <c r="D2292" s="156" t="inlineStr">
        <is>
          <t>ST-VR-P-011-FW25-TSAG</t>
        </is>
      </c>
      <c r="E2292" s="156" t="inlineStr">
        <is>
          <t>ST-VR-P-011-FW25-TSAG-M</t>
        </is>
      </c>
      <c r="F2292" s="156" t="inlineStr">
        <is>
          <t>M</t>
        </is>
      </c>
      <c r="G2292" s="156" t="inlineStr">
        <is>
          <t>M</t>
        </is>
      </c>
      <c r="H2292" s="156" t="inlineStr">
        <is>
          <t>Stetson</t>
        </is>
      </c>
      <c r="I2292" s="156" t="inlineStr">
        <is>
          <t>Camisa Stetson Vintage Range Tierra Sagrada</t>
        </is>
      </c>
      <c r="J2292" s="156" t="inlineStr">
        <is>
          <t>Ropa</t>
        </is>
      </c>
      <c r="K2292" s="156" t="inlineStr">
        <is>
          <t>Camisas</t>
        </is>
      </c>
      <c r="L2292" s="156" t="inlineStr">
        <is>
          <t>Hombre</t>
        </is>
      </c>
      <c r="M2292" s="156" t="inlineStr">
        <is>
          <t>Stetson</t>
        </is>
      </c>
      <c r="N2292" s="156" t="inlineStr">
        <is>
          <t>SS26</t>
        </is>
      </c>
      <c r="O2292" s="156" t="inlineStr">
        <is>
          <t>Seasonal</t>
        </is>
      </c>
      <c r="P2292" s="156" t="inlineStr">
        <is>
          <t>Rojo</t>
        </is>
      </c>
      <c r="Q2292" s="156" t="inlineStr">
        <is>
          <t>Clásico</t>
        </is>
      </c>
      <c r="R2292" s="156" t="n"/>
      <c r="S2292" s="156" t="inlineStr">
        <is>
          <t>100% Algodón</t>
        </is>
      </c>
      <c r="T229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2" s="156" t="n"/>
      <c r="V2292" s="156" t="inlineStr">
        <is>
          <t>PZS</t>
        </is>
      </c>
      <c r="W2292" s="51" t="inlineStr">
        <is>
          <t>53101600</t>
        </is>
      </c>
      <c r="X2292" s="156" t="inlineStr">
        <is>
          <t>https://cdn.shopify.com/s/files/1/0888/3250/8267/files/ST-VR-P-011-TSAG-02.jpg?v=1762357785</t>
        </is>
      </c>
      <c r="Y2292" s="54" t="n">
        <v>678.8793103</v>
      </c>
      <c r="Z2292" s="54" t="n">
        <v>1508.62069</v>
      </c>
      <c r="AA2292" s="55">
        <f>IF(AND(A2292="", B2292="", E2292=""), "", IF(AB2292="", "Válido", IF((LEN(AB2292)-LEN(SUBSTITUTE(AB2292,"; ","")))/2+1&gt;(LEN(AB2292)-LEN(SUBSTITUTE(AB2292,"[Aviso]","")))/7, "Con Incidencias", "Válido")))</f>
        <v/>
      </c>
      <c r="AB2292" s="56">
        <f>IF(AND(A2292="", B2292="", E2292=""), "", TEXTJOIN("; ", TRUE, IF(OR(TRIM(A2292&amp;"")="", ISNUMBER(SEARCH("FALTA", A2292))), "UPC faltante/inválido", ""), IF(AND(A2292&lt;&gt;"", IFERROR(_xlfn.XMATCH(A2292,$A$2:$A$2509,0,1)&lt;&gt;_xlfn.XMATCH(A2292,$A$2:$A$2509,0,-1),FALSE)), "Código de barras duplicado", ""), IF(AND(E2292&lt;&gt;"", COUNTIF($E$2:$E$2509, E2292)&gt;1), "SKU duplicado", ""), IF(OR(J2292="", J2292=""), "[Aviso] División no capturada ()", IF(ISNA(MATCH(J2292, Criterios!$A$123:$A$126, 0)), "División no válida", "")), IF(OR(K2292="", K2292=""), "[Aviso] Categoría no capturada ()", IF(ISNA(MATCH(K2292, Criterios!$A$81:$A$120, 0)), "Categoría no válida", IF(AND(J2292&lt;&gt;"", J2292&lt;&gt;"", J2292&lt;&gt;VLOOKUP(K2292, Criterios!$A$81:$B$120, 2, FALSE)), "División no coincide con Categoría", ""))), IF(OR(L2292="", L2292=""), "[Aviso] Género no capturado ()", IF(ISNA(MATCH(L2292, Criterios!$B$123:$B$127, 0)), "Género no válido", "")), IF(OR(N2292="", N2292=""), "[Aviso] Temporada no capturada ()", IF(ISNA(MATCH(N2292, Criterios!$C$123:$C$128, 0)), "Temporada no válida", "")), IF(OR(O2292="", O2292=""), "[Aviso] Ciclo de vida no capturado ()", IF(ISNA(MATCH(O2292, Criterios!$D$123:$D$124, 0)), "Ciclo de vida no válido", ""))))</f>
        <v/>
      </c>
      <c r="AC2292" s="56" t="n"/>
      <c r="AD2292" s="51" t="n">
        <v>7</v>
      </c>
      <c r="AE2292" s="156" t="inlineStr">
        <is>
          <t>WB OUTLET LERMA (1); B25 STETSON.MX (6)</t>
        </is>
      </c>
      <c r="AF2292" s="51" t="n">
        <v>7</v>
      </c>
      <c r="AG2292" s="156" t="inlineStr">
        <is>
          <t>Catálogo existente</t>
        </is>
      </c>
      <c r="AH229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2" s="156" t="inlineStr">
        <is>
          <t>No</t>
        </is>
      </c>
      <c r="AJ2292" s="156" t="n"/>
      <c r="AK2292" s="155" t="inlineStr">
        <is>
          <t>Criterios: J [R]; G1522_Extraccion_Articulos_NetSuite_2026-09-30.xlsx: fila 56696 [S] | Shopify Stetson: producto 14819651158379 / variante 53350596903275 | Shopify WB: producto 8569966133433 / variante 47621336006841</t>
        </is>
      </c>
      <c r="AL2292" s="58" t="n">
        <v>678.8793103</v>
      </c>
      <c r="AM2292" s="58" t="n">
        <v>1508.62069</v>
      </c>
      <c r="AN2292" s="155" t="inlineStr">
        <is>
          <t>Shopify Stetson México | Shopify Western Brothers</t>
        </is>
      </c>
      <c r="AO2292" s="59" t="n">
        <v>8</v>
      </c>
      <c r="AP2292" s="59" t="n">
        <v>1</v>
      </c>
      <c r="AQ2292" s="59" t="n"/>
      <c r="AR2292" s="155" t="inlineStr">
        <is>
          <t>Shopify Stetson México › Stetson México: 6 | Shopify Stetson México › Stetson Americas: 2 | Shopify Western Brothers › Western Brothers Outlet Lerma: 1</t>
        </is>
      </c>
    </row>
    <row r="2293">
      <c r="A2293" s="50" t="inlineStr">
        <is>
          <t>7506499570329</t>
        </is>
      </c>
      <c r="B2293" s="51" t="inlineStr">
        <is>
          <t>108538</t>
        </is>
      </c>
      <c r="C2293" s="156" t="inlineStr">
        <is>
          <t>Multimarca</t>
        </is>
      </c>
      <c r="D2293" s="156" t="inlineStr">
        <is>
          <t>ST-VR-P-011-FW25-TSAG</t>
        </is>
      </c>
      <c r="E2293" s="156" t="inlineStr">
        <is>
          <t>ST-VR-P-011-FW25-TSAG-L</t>
        </is>
      </c>
      <c r="F2293" s="156" t="inlineStr">
        <is>
          <t>L</t>
        </is>
      </c>
      <c r="G2293" s="156" t="inlineStr">
        <is>
          <t>L</t>
        </is>
      </c>
      <c r="H2293" s="156" t="inlineStr">
        <is>
          <t>Stetson</t>
        </is>
      </c>
      <c r="I2293" s="156" t="inlineStr">
        <is>
          <t>Camisa Stetson Vintage Range Tierra Sagrada</t>
        </is>
      </c>
      <c r="J2293" s="156" t="inlineStr">
        <is>
          <t>Ropa</t>
        </is>
      </c>
      <c r="K2293" s="156" t="inlineStr">
        <is>
          <t>Camisas</t>
        </is>
      </c>
      <c r="L2293" s="156" t="inlineStr">
        <is>
          <t>Hombre</t>
        </is>
      </c>
      <c r="M2293" s="156" t="inlineStr">
        <is>
          <t>Stetson</t>
        </is>
      </c>
      <c r="N2293" s="156" t="inlineStr">
        <is>
          <t>SS26</t>
        </is>
      </c>
      <c r="O2293" s="156" t="inlineStr">
        <is>
          <t>Seasonal</t>
        </is>
      </c>
      <c r="P2293" s="156" t="inlineStr">
        <is>
          <t>Rojo</t>
        </is>
      </c>
      <c r="Q2293" s="156" t="inlineStr">
        <is>
          <t>Clásico</t>
        </is>
      </c>
      <c r="R2293" s="156" t="n"/>
      <c r="S2293" s="156" t="inlineStr">
        <is>
          <t>100% Algodón</t>
        </is>
      </c>
      <c r="T229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3" s="156" t="n"/>
      <c r="V2293" s="156" t="inlineStr">
        <is>
          <t>PZS</t>
        </is>
      </c>
      <c r="W2293" s="51" t="inlineStr">
        <is>
          <t>53101600</t>
        </is>
      </c>
      <c r="X2293" s="156" t="inlineStr">
        <is>
          <t>https://cdn.shopify.com/s/files/1/0888/3250/8267/files/ST-VR-P-011-TSAG-03.jpg?v=1762357785</t>
        </is>
      </c>
      <c r="Y2293" s="54" t="n">
        <v>678.8793103</v>
      </c>
      <c r="Z2293" s="54" t="n">
        <v>1508.62069</v>
      </c>
      <c r="AA2293" s="55">
        <f>IF(AND(A2293="", B2293="", E2293=""), "", IF(AB2293="", "Válido", IF((LEN(AB2293)-LEN(SUBSTITUTE(AB2293,"; ","")))/2+1&gt;(LEN(AB2293)-LEN(SUBSTITUTE(AB2293,"[Aviso]","")))/7, "Con Incidencias", "Válido")))</f>
        <v/>
      </c>
      <c r="AB2293" s="56">
        <f>IF(AND(A2293="", B2293="", E2293=""), "", TEXTJOIN("; ", TRUE, IF(OR(TRIM(A2293&amp;"")="", ISNUMBER(SEARCH("FALTA", A2293))), "UPC faltante/inválido", ""), IF(AND(A2293&lt;&gt;"", IFERROR(_xlfn.XMATCH(A2293,$A$2:$A$2509,0,1)&lt;&gt;_xlfn.XMATCH(A2293,$A$2:$A$2509,0,-1),FALSE)), "Código de barras duplicado", ""), IF(AND(E2293&lt;&gt;"", COUNTIF($E$2:$E$2509, E2293)&gt;1), "SKU duplicado", ""), IF(OR(J2293="", J2293=""), "[Aviso] División no capturada ()", IF(ISNA(MATCH(J2293, Criterios!$A$123:$A$126, 0)), "División no válida", "")), IF(OR(K2293="", K2293=""), "[Aviso] Categoría no capturada ()", IF(ISNA(MATCH(K2293, Criterios!$A$81:$A$120, 0)), "Categoría no válida", IF(AND(J2293&lt;&gt;"", J2293&lt;&gt;"", J2293&lt;&gt;VLOOKUP(K2293, Criterios!$A$81:$B$120, 2, FALSE)), "División no coincide con Categoría", ""))), IF(OR(L2293="", L2293=""), "[Aviso] Género no capturado ()", IF(ISNA(MATCH(L2293, Criterios!$B$123:$B$127, 0)), "Género no válido", "")), IF(OR(N2293="", N2293=""), "[Aviso] Temporada no capturada ()", IF(ISNA(MATCH(N2293, Criterios!$C$123:$C$128, 0)), "Temporada no válida", "")), IF(OR(O2293="", O2293=""), "[Aviso] Ciclo de vida no capturado ()", IF(ISNA(MATCH(O2293, Criterios!$D$123:$D$124, 0)), "Ciclo de vida no válido", ""))))</f>
        <v/>
      </c>
      <c r="AC2293" s="56" t="n"/>
      <c r="AD2293" s="51" t="n">
        <v>5</v>
      </c>
      <c r="AE2293" s="156" t="inlineStr">
        <is>
          <t>WB OUTLET LERMA (4); B25 STETSON.MX (1)</t>
        </is>
      </c>
      <c r="AF2293" s="51" t="n">
        <v>5</v>
      </c>
      <c r="AG2293" s="156" t="inlineStr">
        <is>
          <t>Catálogo existente</t>
        </is>
      </c>
      <c r="AH2293"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3" s="156" t="inlineStr">
        <is>
          <t>No</t>
        </is>
      </c>
      <c r="AJ2293" s="156" t="n"/>
      <c r="AK2293" s="155" t="inlineStr">
        <is>
          <t>Criterios: J [R]; G1522_Extraccion_Articulos_NetSuite_2026-09-30.xlsx: fila 56697 [S] | Shopify Stetson: producto 14819651158379 / variante 53350596936043 | Shopify WB: producto 8569966133433 / variante 47621336039609</t>
        </is>
      </c>
      <c r="AL2293" s="58" t="n">
        <v>678.8793103</v>
      </c>
      <c r="AM2293" s="58" t="n">
        <v>1508.62069</v>
      </c>
      <c r="AN2293" s="155" t="inlineStr">
        <is>
          <t>Shopify Stetson México | Shopify Western Brothers</t>
        </is>
      </c>
      <c r="AO2293" s="59" t="n">
        <v>4</v>
      </c>
      <c r="AP2293" s="59" t="n">
        <v>4</v>
      </c>
      <c r="AQ2293" s="59" t="n"/>
      <c r="AR2293" s="155" t="inlineStr">
        <is>
          <t>Shopify Stetson México › Stetson México: 1 | Shopify Stetson México › Stetson Americas: 3 | Shopify Western Brothers › Western Brothers Outlet Lerma: 4</t>
        </is>
      </c>
    </row>
    <row r="2294">
      <c r="A2294" s="50" t="inlineStr">
        <is>
          <t>7506499570336</t>
        </is>
      </c>
      <c r="B2294" s="51" t="inlineStr">
        <is>
          <t>108539</t>
        </is>
      </c>
      <c r="C2294" s="156" t="inlineStr">
        <is>
          <t>Multimarca</t>
        </is>
      </c>
      <c r="D2294" s="156" t="inlineStr">
        <is>
          <t>ST-VR-P-011-FW25-TSAG</t>
        </is>
      </c>
      <c r="E2294" s="156" t="inlineStr">
        <is>
          <t>ST-VR-P-011-FW25-TSAG-XL</t>
        </is>
      </c>
      <c r="F2294" s="156" t="inlineStr">
        <is>
          <t>XL</t>
        </is>
      </c>
      <c r="G2294" s="156" t="inlineStr">
        <is>
          <t>XL</t>
        </is>
      </c>
      <c r="H2294" s="156" t="inlineStr">
        <is>
          <t>Stetson</t>
        </is>
      </c>
      <c r="I2294" s="156" t="inlineStr">
        <is>
          <t>Camisa Stetson Vintage Range Tierra Sagrada</t>
        </is>
      </c>
      <c r="J2294" s="156" t="inlineStr">
        <is>
          <t>Ropa</t>
        </is>
      </c>
      <c r="K2294" s="156" t="inlineStr">
        <is>
          <t>Camisas</t>
        </is>
      </c>
      <c r="L2294" s="156" t="inlineStr">
        <is>
          <t>Hombre</t>
        </is>
      </c>
      <c r="M2294" s="156" t="inlineStr">
        <is>
          <t>Stetson</t>
        </is>
      </c>
      <c r="N2294" s="156" t="inlineStr">
        <is>
          <t>SS26</t>
        </is>
      </c>
      <c r="O2294" s="156" t="inlineStr">
        <is>
          <t>Seasonal</t>
        </is>
      </c>
      <c r="P2294" s="156" t="inlineStr">
        <is>
          <t>Rojo</t>
        </is>
      </c>
      <c r="Q2294" s="156" t="inlineStr">
        <is>
          <t>Clásico</t>
        </is>
      </c>
      <c r="R2294" s="156" t="n"/>
      <c r="S2294" s="156" t="inlineStr">
        <is>
          <t>100% Algodón</t>
        </is>
      </c>
      <c r="T229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4" s="156" t="n"/>
      <c r="V2294" s="156" t="inlineStr">
        <is>
          <t>PZS</t>
        </is>
      </c>
      <c r="W2294" s="51" t="inlineStr">
        <is>
          <t>53101600</t>
        </is>
      </c>
      <c r="X2294" s="156" t="inlineStr">
        <is>
          <t>https://cdn.shopify.com/s/files/1/0888/3250/8267/files/ST-VR-P-011-TSAG-01.jpg?v=1762357770</t>
        </is>
      </c>
      <c r="Y2294" s="54" t="n">
        <v>678.8793103</v>
      </c>
      <c r="Z2294" s="54" t="n">
        <v>1508.62069</v>
      </c>
      <c r="AA2294" s="55">
        <f>IF(AND(A2294="", B2294="", E2294=""), "", IF(AB2294="", "Válido", IF((LEN(AB2294)-LEN(SUBSTITUTE(AB2294,"; ","")))/2+1&gt;(LEN(AB2294)-LEN(SUBSTITUTE(AB2294,"[Aviso]","")))/7, "Con Incidencias", "Válido")))</f>
        <v/>
      </c>
      <c r="AB2294" s="56">
        <f>IF(AND(A2294="", B2294="", E2294=""), "", TEXTJOIN("; ", TRUE, IF(OR(TRIM(A2294&amp;"")="", ISNUMBER(SEARCH("FALTA", A2294))), "UPC faltante/inválido", ""), IF(AND(A2294&lt;&gt;"", IFERROR(_xlfn.XMATCH(A2294,$A$2:$A$2509,0,1)&lt;&gt;_xlfn.XMATCH(A2294,$A$2:$A$2509,0,-1),FALSE)), "Código de barras duplicado", ""), IF(AND(E2294&lt;&gt;"", COUNTIF($E$2:$E$2509, E2294)&gt;1), "SKU duplicado", ""), IF(OR(J2294="", J2294=""), "[Aviso] División no capturada ()", IF(ISNA(MATCH(J2294, Criterios!$A$123:$A$126, 0)), "División no válida", "")), IF(OR(K2294="", K2294=""), "[Aviso] Categoría no capturada ()", IF(ISNA(MATCH(K2294, Criterios!$A$81:$A$120, 0)), "Categoría no válida", IF(AND(J2294&lt;&gt;"", J2294&lt;&gt;"", J2294&lt;&gt;VLOOKUP(K2294, Criterios!$A$81:$B$120, 2, FALSE)), "División no coincide con Categoría", ""))), IF(OR(L2294="", L2294=""), "[Aviso] Género no capturado ()", IF(ISNA(MATCH(L2294, Criterios!$B$123:$B$127, 0)), "Género no válido", "")), IF(OR(N2294="", N2294=""), "[Aviso] Temporada no capturada ()", IF(ISNA(MATCH(N2294, Criterios!$C$123:$C$128, 0)), "Temporada no válida", "")), IF(OR(O2294="", O2294=""), "[Aviso] Ciclo de vida no capturado ()", IF(ISNA(MATCH(O2294, Criterios!$D$123:$D$124, 0)), "Ciclo de vida no válido", ""))))</f>
        <v/>
      </c>
      <c r="AC2294" s="56" t="n"/>
      <c r="AD2294" s="51" t="n">
        <v>1</v>
      </c>
      <c r="AE2294" s="156" t="inlineStr">
        <is>
          <t>B25 STETSON.MX (1)</t>
        </is>
      </c>
      <c r="AF2294" s="51" t="n">
        <v>1</v>
      </c>
      <c r="AG2294" s="156" t="inlineStr">
        <is>
          <t>Catálogo existente</t>
        </is>
      </c>
      <c r="AH229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94" s="156" t="inlineStr">
        <is>
          <t>No</t>
        </is>
      </c>
      <c r="AJ2294" s="156" t="n"/>
      <c r="AK2294" s="155" t="inlineStr">
        <is>
          <t>Criterios: J [R]; G1522_Extraccion_Articulos_NetSuite_2026-09-30.xlsx: fila 56698 [S] | Shopify Stetson: producto 14819651158379 / variante 53350596968811 | Shopify WB: producto 8569966133433 / variante 47621336072377</t>
        </is>
      </c>
      <c r="AL2294" s="58" t="n">
        <v>678.8793103</v>
      </c>
      <c r="AM2294" s="58" t="n">
        <v>1508.62069</v>
      </c>
      <c r="AN2294" s="155" t="inlineStr">
        <is>
          <t>Shopify Stetson México | Shopify Western Brothers</t>
        </is>
      </c>
      <c r="AO2294" s="59" t="n">
        <v>1</v>
      </c>
      <c r="AP2294" s="59" t="n">
        <v>0</v>
      </c>
      <c r="AQ2294" s="59" t="n"/>
      <c r="AR2294" s="155" t="inlineStr">
        <is>
          <t>Shopify Stetson México › Stetson México: 1</t>
        </is>
      </c>
    </row>
    <row r="2295">
      <c r="A2295" s="50" t="inlineStr">
        <is>
          <t>7506499570343</t>
        </is>
      </c>
      <c r="B2295" s="51" t="inlineStr">
        <is>
          <t>110351</t>
        </is>
      </c>
      <c r="C2295" s="156" t="inlineStr">
        <is>
          <t>Multimarca</t>
        </is>
      </c>
      <c r="D2295" s="156" t="inlineStr">
        <is>
          <t>ST-VR-P-011-FW25-TSAG</t>
        </is>
      </c>
      <c r="E2295" s="156" t="inlineStr">
        <is>
          <t>ST-VR-P-011-FW25-TSAG-XXL</t>
        </is>
      </c>
      <c r="F2295" s="156" t="inlineStr">
        <is>
          <t>XXL</t>
        </is>
      </c>
      <c r="G2295" s="156" t="inlineStr">
        <is>
          <t>XXL</t>
        </is>
      </c>
      <c r="H2295" s="156" t="inlineStr">
        <is>
          <t>Stetson</t>
        </is>
      </c>
      <c r="I2295" s="156" t="inlineStr">
        <is>
          <t>Camisa Stetson Vintage Range Tierra Sagrada</t>
        </is>
      </c>
      <c r="J2295" s="156" t="inlineStr">
        <is>
          <t>Ropa</t>
        </is>
      </c>
      <c r="K2295" s="156" t="inlineStr">
        <is>
          <t>Camisas</t>
        </is>
      </c>
      <c r="L2295" s="156" t="inlineStr">
        <is>
          <t>Hombre</t>
        </is>
      </c>
      <c r="M2295" s="156" t="inlineStr">
        <is>
          <t>Stetson</t>
        </is>
      </c>
      <c r="N2295" s="156" t="inlineStr">
        <is>
          <t>SS26</t>
        </is>
      </c>
      <c r="O2295" s="156" t="inlineStr">
        <is>
          <t>Seasonal</t>
        </is>
      </c>
      <c r="P2295" s="156" t="n"/>
      <c r="Q2295" s="156" t="inlineStr">
        <is>
          <t>Clásico</t>
        </is>
      </c>
      <c r="R2295" s="156" t="n"/>
      <c r="S2295" s="156" t="inlineStr">
        <is>
          <t>100% Algodón</t>
        </is>
      </c>
      <c r="T229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5" s="156" t="n"/>
      <c r="V2295" s="156" t="inlineStr">
        <is>
          <t>PZS</t>
        </is>
      </c>
      <c r="W2295" s="51" t="inlineStr">
        <is>
          <t>53101600</t>
        </is>
      </c>
      <c r="X2295" s="156" t="inlineStr">
        <is>
          <t>https://cdn.shopify.com/s/files/1/0888/3250/8267/files/ST-VR-P-011-TSAG-01.jpg?v=1762357770</t>
        </is>
      </c>
      <c r="Y2295" s="54" t="n">
        <v>678.8793103</v>
      </c>
      <c r="Z2295" s="54" t="n">
        <v>1508.62069</v>
      </c>
      <c r="AA2295" s="55">
        <f>IF(AND(A2295="", B2295="", E2295=""), "", IF(AB2295="", "Válido", IF((LEN(AB2295)-LEN(SUBSTITUTE(AB2295,"; ","")))/2+1&gt;(LEN(AB2295)-LEN(SUBSTITUTE(AB2295,"[Aviso]","")))/7, "Con Incidencias", "Válido")))</f>
        <v/>
      </c>
      <c r="AB2295" s="56">
        <f>IF(AND(A2295="", B2295="", E2295=""), "", TEXTJOIN("; ", TRUE, IF(OR(TRIM(A2295&amp;"")="", ISNUMBER(SEARCH("FALTA", A2295))), "UPC faltante/inválido", ""), IF(AND(A2295&lt;&gt;"", IFERROR(_xlfn.XMATCH(A2295,$A$2:$A$2509,0,1)&lt;&gt;_xlfn.XMATCH(A2295,$A$2:$A$2509,0,-1),FALSE)), "Código de barras duplicado", ""), IF(AND(E2295&lt;&gt;"", COUNTIF($E$2:$E$2509, E2295)&gt;1), "SKU duplicado", ""), IF(OR(J2295="", J2295=""), "[Aviso] División no capturada ()", IF(ISNA(MATCH(J2295, Criterios!$A$123:$A$126, 0)), "División no válida", "")), IF(OR(K2295="", K2295=""), "[Aviso] Categoría no capturada ()", IF(ISNA(MATCH(K2295, Criterios!$A$81:$A$120, 0)), "Categoría no válida", IF(AND(J2295&lt;&gt;"", J2295&lt;&gt;"", J2295&lt;&gt;VLOOKUP(K2295, Criterios!$A$81:$B$120, 2, FALSE)), "División no coincide con Categoría", ""))), IF(OR(L2295="", L2295=""), "[Aviso] Género no capturado ()", IF(ISNA(MATCH(L2295, Criterios!$B$123:$B$127, 0)), "Género no válido", "")), IF(OR(N2295="", N2295=""), "[Aviso] Temporada no capturada ()", IF(ISNA(MATCH(N2295, Criterios!$C$123:$C$128, 0)), "Temporada no válida", "")), IF(OR(O2295="", O2295=""), "[Aviso] Ciclo de vida no capturado ()", IF(ISNA(MATCH(O2295, Criterios!$D$123:$D$124, 0)), "Ciclo de vida no válido", ""))))</f>
        <v/>
      </c>
      <c r="AC2295" s="56" t="n"/>
      <c r="AD2295" s="51" t="n">
        <v>1</v>
      </c>
      <c r="AE2295" s="156" t="inlineStr">
        <is>
          <t>B25 STETSON.MX (1)</t>
        </is>
      </c>
      <c r="AF2295" s="51" t="n">
        <v>1</v>
      </c>
      <c r="AG2295" s="156" t="inlineStr">
        <is>
          <t>Catálogo existente</t>
        </is>
      </c>
      <c r="AH229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95" s="156" t="inlineStr">
        <is>
          <t>No</t>
        </is>
      </c>
      <c r="AJ2295" s="156" t="n"/>
      <c r="AK2295" s="155" t="inlineStr">
        <is>
          <t>Criterios: J [R]; G1522_Extraccion_Articulos_NetSuite_2026-09-30.xlsx: fila 58166 [S] | Shopify Stetson: producto 14819651158379 / variante 53350597001579</t>
        </is>
      </c>
      <c r="AL2295" s="58" t="n">
        <v>678.8793103</v>
      </c>
      <c r="AM2295" s="58" t="n">
        <v>1508.62069</v>
      </c>
      <c r="AN2295" s="155" t="inlineStr">
        <is>
          <t>Shopify Stetson México</t>
        </is>
      </c>
      <c r="AO2295" s="59" t="n">
        <v>3</v>
      </c>
      <c r="AP2295" s="59" t="n"/>
      <c r="AQ2295" s="59" t="n"/>
      <c r="AR2295" s="155" t="inlineStr">
        <is>
          <t>Shopify Stetson México › Stetson México: 1 | Shopify Stetson México › Stetson Americas: 2</t>
        </is>
      </c>
    </row>
    <row r="2296">
      <c r="A2296" s="50" t="inlineStr">
        <is>
          <t>7506499570350</t>
        </is>
      </c>
      <c r="B2296" s="51" t="inlineStr">
        <is>
          <t>108540</t>
        </is>
      </c>
      <c r="C2296" s="156" t="inlineStr">
        <is>
          <t>Multimarca</t>
        </is>
      </c>
      <c r="D2296" s="156" t="inlineStr">
        <is>
          <t>ST-VR-P-012-FW25-IF</t>
        </is>
      </c>
      <c r="E2296" s="156" t="inlineStr">
        <is>
          <t>ST-VR-P-012-FW25-IF-S</t>
        </is>
      </c>
      <c r="F2296" s="156" t="inlineStr">
        <is>
          <t>S</t>
        </is>
      </c>
      <c r="G2296" s="156" t="inlineStr">
        <is>
          <t>S</t>
        </is>
      </c>
      <c r="H2296" s="156" t="inlineStr">
        <is>
          <t>Stetson</t>
        </is>
      </c>
      <c r="I2296" s="156" t="inlineStr">
        <is>
          <t>Camisa Stetson Vintage Range Ironframe</t>
        </is>
      </c>
      <c r="J2296" s="156" t="inlineStr">
        <is>
          <t>Ropa</t>
        </is>
      </c>
      <c r="K2296" s="156" t="inlineStr">
        <is>
          <t>Camisas</t>
        </is>
      </c>
      <c r="L2296" s="156" t="inlineStr">
        <is>
          <t>Hombre</t>
        </is>
      </c>
      <c r="M2296" s="156" t="inlineStr">
        <is>
          <t>Stetson</t>
        </is>
      </c>
      <c r="N2296" s="156" t="inlineStr">
        <is>
          <t>SS26</t>
        </is>
      </c>
      <c r="O2296" s="156" t="inlineStr">
        <is>
          <t>Seasonal</t>
        </is>
      </c>
      <c r="P2296" s="156" t="inlineStr">
        <is>
          <t>Varios</t>
        </is>
      </c>
      <c r="Q2296" s="156" t="inlineStr">
        <is>
          <t>Relajado</t>
        </is>
      </c>
      <c r="R2296" s="156" t="n"/>
      <c r="S2296" s="156" t="inlineStr">
        <is>
          <t>100% Algodón</t>
        </is>
      </c>
      <c r="T229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6" s="156" t="n"/>
      <c r="V2296" s="156" t="inlineStr">
        <is>
          <t>PZS</t>
        </is>
      </c>
      <c r="W2296" s="51" t="inlineStr">
        <is>
          <t>53101600</t>
        </is>
      </c>
      <c r="X2296" s="156" t="inlineStr">
        <is>
          <t>https://cdn.shopify.com/s/files/1/0888/3250/8267/files/ST-VR-P-012-IF-02.jpg?v=1762358286</t>
        </is>
      </c>
      <c r="Y2296" s="54" t="n">
        <v>678.8793103</v>
      </c>
      <c r="Z2296" s="54" t="n">
        <v>1508.62069</v>
      </c>
      <c r="AA2296" s="55">
        <f>IF(AND(A2296="", B2296="", E2296=""), "", IF(AB2296="", "Válido", IF((LEN(AB2296)-LEN(SUBSTITUTE(AB2296,"; ","")))/2+1&gt;(LEN(AB2296)-LEN(SUBSTITUTE(AB2296,"[Aviso]","")))/7, "Con Incidencias", "Válido")))</f>
        <v/>
      </c>
      <c r="AB2296" s="56">
        <f>IF(AND(A2296="", B2296="", E2296=""), "", TEXTJOIN("; ", TRUE, IF(OR(TRIM(A2296&amp;"")="", ISNUMBER(SEARCH("FALTA", A2296))), "UPC faltante/inválido", ""), IF(AND(A2296&lt;&gt;"", IFERROR(_xlfn.XMATCH(A2296,$A$2:$A$2509,0,1)&lt;&gt;_xlfn.XMATCH(A2296,$A$2:$A$2509,0,-1),FALSE)), "Código de barras duplicado", ""), IF(AND(E2296&lt;&gt;"", COUNTIF($E$2:$E$2509, E2296)&gt;1), "SKU duplicado", ""), IF(OR(J2296="", J2296=""), "[Aviso] División no capturada ()", IF(ISNA(MATCH(J2296, Criterios!$A$123:$A$126, 0)), "División no válida", "")), IF(OR(K2296="", K2296=""), "[Aviso] Categoría no capturada ()", IF(ISNA(MATCH(K2296, Criterios!$A$81:$A$120, 0)), "Categoría no válida", IF(AND(J2296&lt;&gt;"", J2296&lt;&gt;"", J2296&lt;&gt;VLOOKUP(K2296, Criterios!$A$81:$B$120, 2, FALSE)), "División no coincide con Categoría", ""))), IF(OR(L2296="", L2296=""), "[Aviso] Género no capturado ()", IF(ISNA(MATCH(L2296, Criterios!$B$123:$B$127, 0)), "Género no válido", "")), IF(OR(N2296="", N2296=""), "[Aviso] Temporada no capturada ()", IF(ISNA(MATCH(N2296, Criterios!$C$123:$C$128, 0)), "Temporada no válida", "")), IF(OR(O2296="", O2296=""), "[Aviso] Ciclo de vida no capturado ()", IF(ISNA(MATCH(O2296, Criterios!$D$123:$D$124, 0)), "Ciclo de vida no válido", ""))))</f>
        <v/>
      </c>
      <c r="AC2296" s="56" t="n"/>
      <c r="AD2296" s="51" t="n">
        <v>4</v>
      </c>
      <c r="AE2296" s="156" t="inlineStr">
        <is>
          <t>B25 STETSON.MX (5)</t>
        </is>
      </c>
      <c r="AF2296" s="51" t="n">
        <v>5</v>
      </c>
      <c r="AG2296" s="156" t="inlineStr">
        <is>
          <t>Catálogo existente</t>
        </is>
      </c>
      <c r="AH2296"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6" s="156" t="inlineStr">
        <is>
          <t>Sí</t>
        </is>
      </c>
      <c r="AJ2296" s="156" t="inlineStr">
        <is>
          <t>WB OUTLET LERMA (-1)</t>
        </is>
      </c>
      <c r="AK2296" s="155" t="inlineStr">
        <is>
          <t>Criterios: J [R]; G1522_Extraccion_Articulos_NetSuite_2026-09-30.xlsx: fila 56699 [S] | Shopify Stetson: producto 14819652206955 / variante 53702375014763 | Shopify WB: producto 8569966297273 / variante 47621336301753</t>
        </is>
      </c>
      <c r="AL2296" s="58" t="n">
        <v>678.8793103</v>
      </c>
      <c r="AM2296" s="58" t="n">
        <v>1508.62069</v>
      </c>
      <c r="AN2296" s="155" t="inlineStr">
        <is>
          <t>Shopify Stetson México | Shopify Western Brothers</t>
        </is>
      </c>
      <c r="AO2296" s="59" t="n">
        <v>9</v>
      </c>
      <c r="AP2296" s="59" t="n">
        <v>-1</v>
      </c>
      <c r="AQ2296" s="59" t="n"/>
      <c r="AR2296" s="155" t="inlineStr">
        <is>
          <t>Shopify Stetson México › Stetson Americas: 4 | Shopify Stetson México › Stetson México: 5</t>
        </is>
      </c>
    </row>
    <row r="2297">
      <c r="A2297" s="50" t="inlineStr">
        <is>
          <t>7506499570367</t>
        </is>
      </c>
      <c r="B2297" s="51" t="inlineStr">
        <is>
          <t>108541</t>
        </is>
      </c>
      <c r="C2297" s="156" t="inlineStr">
        <is>
          <t>Multimarca</t>
        </is>
      </c>
      <c r="D2297" s="156" t="inlineStr">
        <is>
          <t>ST-VR-P-012-FW25-IF</t>
        </is>
      </c>
      <c r="E2297" s="156" t="inlineStr">
        <is>
          <t>ST-VR-P-012-FW25-IF-M</t>
        </is>
      </c>
      <c r="F2297" s="156" t="inlineStr">
        <is>
          <t>M</t>
        </is>
      </c>
      <c r="G2297" s="156" t="inlineStr">
        <is>
          <t>M</t>
        </is>
      </c>
      <c r="H2297" s="156" t="inlineStr">
        <is>
          <t>Stetson</t>
        </is>
      </c>
      <c r="I2297" s="156" t="inlineStr">
        <is>
          <t>Camisa Stetson Vintage Range Ironframe</t>
        </is>
      </c>
      <c r="J2297" s="156" t="inlineStr">
        <is>
          <t>Ropa</t>
        </is>
      </c>
      <c r="K2297" s="156" t="inlineStr">
        <is>
          <t>Camisas</t>
        </is>
      </c>
      <c r="L2297" s="156" t="inlineStr">
        <is>
          <t>Hombre</t>
        </is>
      </c>
      <c r="M2297" s="156" t="inlineStr">
        <is>
          <t>Stetson</t>
        </is>
      </c>
      <c r="N2297" s="156" t="inlineStr">
        <is>
          <t>SS26</t>
        </is>
      </c>
      <c r="O2297" s="156" t="inlineStr">
        <is>
          <t>Seasonal</t>
        </is>
      </c>
      <c r="P2297" s="156" t="inlineStr">
        <is>
          <t>Varios</t>
        </is>
      </c>
      <c r="Q2297" s="156" t="inlineStr">
        <is>
          <t>Relajado</t>
        </is>
      </c>
      <c r="R2297" s="156" t="n"/>
      <c r="S2297" s="156" t="inlineStr">
        <is>
          <t>100% Algodón</t>
        </is>
      </c>
      <c r="T229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7" s="156" t="n"/>
      <c r="V2297" s="156" t="inlineStr">
        <is>
          <t>PZS</t>
        </is>
      </c>
      <c r="W2297" s="51" t="inlineStr">
        <is>
          <t>53101600</t>
        </is>
      </c>
      <c r="X2297" s="156" t="inlineStr">
        <is>
          <t>https://cdn.shopify.com/s/files/1/0888/3250/8267/files/ST-VR-P-012-IF-03.jpg?v=1762358287</t>
        </is>
      </c>
      <c r="Y2297" s="54" t="n">
        <v>678.8793103</v>
      </c>
      <c r="Z2297" s="54" t="n">
        <v>1508.62069</v>
      </c>
      <c r="AA2297" s="55">
        <f>IF(AND(A2297="", B2297="", E2297=""), "", IF(AB2297="", "Válido", IF((LEN(AB2297)-LEN(SUBSTITUTE(AB2297,"; ","")))/2+1&gt;(LEN(AB2297)-LEN(SUBSTITUTE(AB2297,"[Aviso]","")))/7, "Con Incidencias", "Válido")))</f>
        <v/>
      </c>
      <c r="AB2297" s="56">
        <f>IF(AND(A2297="", B2297="", E2297=""), "", TEXTJOIN("; ", TRUE, IF(OR(TRIM(A2297&amp;"")="", ISNUMBER(SEARCH("FALTA", A2297))), "UPC faltante/inválido", ""), IF(AND(A2297&lt;&gt;"", IFERROR(_xlfn.XMATCH(A2297,$A$2:$A$2509,0,1)&lt;&gt;_xlfn.XMATCH(A2297,$A$2:$A$2509,0,-1),FALSE)), "Código de barras duplicado", ""), IF(AND(E2297&lt;&gt;"", COUNTIF($E$2:$E$2509, E2297)&gt;1), "SKU duplicado", ""), IF(OR(J2297="", J2297=""), "[Aviso] División no capturada ()", IF(ISNA(MATCH(J2297, Criterios!$A$123:$A$126, 0)), "División no válida", "")), IF(OR(K2297="", K2297=""), "[Aviso] Categoría no capturada ()", IF(ISNA(MATCH(K2297, Criterios!$A$81:$A$120, 0)), "Categoría no válida", IF(AND(J2297&lt;&gt;"", J2297&lt;&gt;"", J2297&lt;&gt;VLOOKUP(K2297, Criterios!$A$81:$B$120, 2, FALSE)), "División no coincide con Categoría", ""))), IF(OR(L2297="", L2297=""), "[Aviso] Género no capturado ()", IF(ISNA(MATCH(L2297, Criterios!$B$123:$B$127, 0)), "Género no válido", "")), IF(OR(N2297="", N2297=""), "[Aviso] Temporada no capturada ()", IF(ISNA(MATCH(N2297, Criterios!$C$123:$C$128, 0)), "Temporada no válida", "")), IF(OR(O2297="", O2297=""), "[Aviso] Ciclo de vida no capturado ()", IF(ISNA(MATCH(O2297, Criterios!$D$123:$D$124, 0)), "Ciclo de vida no válido", ""))))</f>
        <v/>
      </c>
      <c r="AC2297" s="56" t="n"/>
      <c r="AD2297" s="51" t="n">
        <v>1</v>
      </c>
      <c r="AE2297" s="156" t="inlineStr">
        <is>
          <t>B25 STETSON.MX (4)</t>
        </is>
      </c>
      <c r="AF2297" s="51" t="n">
        <v>4</v>
      </c>
      <c r="AG2297" s="156" t="inlineStr">
        <is>
          <t>Catálogo existente</t>
        </is>
      </c>
      <c r="AH2297"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7" s="156" t="inlineStr">
        <is>
          <t>Sí</t>
        </is>
      </c>
      <c r="AJ2297" s="156" t="inlineStr">
        <is>
          <t>STETSON AMERICAS (-1); WB OUTLET LERMA (-2)</t>
        </is>
      </c>
      <c r="AK2297" s="155" t="inlineStr">
        <is>
          <t>Criterios: J [R]; G1522_Extraccion_Articulos_NetSuite_2026-09-30.xlsx: fila 56700 [S] | Shopify Stetson: producto 14819652206955 / variante 53702375047531 | Shopify WB: producto 8569966297273 / variante 47621336334521</t>
        </is>
      </c>
      <c r="AL2297" s="58" t="n">
        <v>678.8793103</v>
      </c>
      <c r="AM2297" s="58" t="n">
        <v>1508.62069</v>
      </c>
      <c r="AN2297" s="155" t="inlineStr">
        <is>
          <t>Shopify Stetson México | Shopify Western Brothers</t>
        </is>
      </c>
      <c r="AO2297" s="59" t="n">
        <v>8</v>
      </c>
      <c r="AP2297" s="59" t="n">
        <v>-2</v>
      </c>
      <c r="AQ2297" s="59" t="n"/>
      <c r="AR2297" s="155" t="inlineStr">
        <is>
          <t>Shopify Stetson México › Stetson Americas: 3 | Shopify Stetson México › Stetson México: 5</t>
        </is>
      </c>
    </row>
    <row r="2298">
      <c r="A2298" s="50" t="inlineStr">
        <is>
          <t>7506499570374</t>
        </is>
      </c>
      <c r="B2298" s="51" t="inlineStr">
        <is>
          <t>108542</t>
        </is>
      </c>
      <c r="C2298" s="156" t="inlineStr">
        <is>
          <t>Multimarca</t>
        </is>
      </c>
      <c r="D2298" s="156" t="inlineStr">
        <is>
          <t>ST-VR-P-012-FW25-IF</t>
        </is>
      </c>
      <c r="E2298" s="156" t="inlineStr">
        <is>
          <t>ST-VR-P-012-FW25-IF-L</t>
        </is>
      </c>
      <c r="F2298" s="156" t="inlineStr">
        <is>
          <t>L</t>
        </is>
      </c>
      <c r="G2298" s="156" t="inlineStr">
        <is>
          <t>L</t>
        </is>
      </c>
      <c r="H2298" s="156" t="inlineStr">
        <is>
          <t>Stetson</t>
        </is>
      </c>
      <c r="I2298" s="156" t="inlineStr">
        <is>
          <t>Camisa Stetson Vintage Range Ironframe</t>
        </is>
      </c>
      <c r="J2298" s="156" t="inlineStr">
        <is>
          <t>Ropa</t>
        </is>
      </c>
      <c r="K2298" s="156" t="inlineStr">
        <is>
          <t>Camisas</t>
        </is>
      </c>
      <c r="L2298" s="156" t="inlineStr">
        <is>
          <t>Hombre</t>
        </is>
      </c>
      <c r="M2298" s="156" t="inlineStr">
        <is>
          <t>Stetson</t>
        </is>
      </c>
      <c r="N2298" s="156" t="inlineStr">
        <is>
          <t>SS26</t>
        </is>
      </c>
      <c r="O2298" s="156" t="inlineStr">
        <is>
          <t>Seasonal</t>
        </is>
      </c>
      <c r="P2298" s="156" t="inlineStr">
        <is>
          <t>Varios</t>
        </is>
      </c>
      <c r="Q2298" s="156" t="inlineStr">
        <is>
          <t>Relajado</t>
        </is>
      </c>
      <c r="R2298" s="156" t="n"/>
      <c r="S2298" s="156" t="inlineStr">
        <is>
          <t>100% Algodón</t>
        </is>
      </c>
      <c r="T229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8" s="156" t="n"/>
      <c r="V2298" s="156" t="inlineStr">
        <is>
          <t>PZS</t>
        </is>
      </c>
      <c r="W2298" s="51" t="inlineStr">
        <is>
          <t>53101600</t>
        </is>
      </c>
      <c r="X2298" s="156" t="inlineStr">
        <is>
          <t>https://cdn.shopify.com/s/files/1/0888/3250/8267/files/ST-VR-P-012-IF-01.jpg?v=1762358286</t>
        </is>
      </c>
      <c r="Y2298" s="54" t="n">
        <v>678.8793103</v>
      </c>
      <c r="Z2298" s="54" t="n">
        <v>1508.62069</v>
      </c>
      <c r="AA2298" s="55">
        <f>IF(AND(A2298="", B2298="", E2298=""), "", IF(AB2298="", "Válido", IF((LEN(AB2298)-LEN(SUBSTITUTE(AB2298,"; ","")))/2+1&gt;(LEN(AB2298)-LEN(SUBSTITUTE(AB2298,"[Aviso]","")))/7, "Con Incidencias", "Válido")))</f>
        <v/>
      </c>
      <c r="AB2298" s="56">
        <f>IF(AND(A2298="", B2298="", E2298=""), "", TEXTJOIN("; ", TRUE, IF(OR(TRIM(A2298&amp;"")="", ISNUMBER(SEARCH("FALTA", A2298))), "UPC faltante/inválido", ""), IF(AND(A2298&lt;&gt;"", IFERROR(_xlfn.XMATCH(A2298,$A$2:$A$2509,0,1)&lt;&gt;_xlfn.XMATCH(A2298,$A$2:$A$2509,0,-1),FALSE)), "Código de barras duplicado", ""), IF(AND(E2298&lt;&gt;"", COUNTIF($E$2:$E$2509, E2298)&gt;1), "SKU duplicado", ""), IF(OR(J2298="", J2298=""), "[Aviso] División no capturada ()", IF(ISNA(MATCH(J2298, Criterios!$A$123:$A$126, 0)), "División no válida", "")), IF(OR(K2298="", K2298=""), "[Aviso] Categoría no capturada ()", IF(ISNA(MATCH(K2298, Criterios!$A$81:$A$120, 0)), "Categoría no válida", IF(AND(J2298&lt;&gt;"", J2298&lt;&gt;"", J2298&lt;&gt;VLOOKUP(K2298, Criterios!$A$81:$B$120, 2, FALSE)), "División no coincide con Categoría", ""))), IF(OR(L2298="", L2298=""), "[Aviso] Género no capturado ()", IF(ISNA(MATCH(L2298, Criterios!$B$123:$B$127, 0)), "Género no válido", "")), IF(OR(N2298="", N2298=""), "[Aviso] Temporada no capturada ()", IF(ISNA(MATCH(N2298, Criterios!$C$123:$C$128, 0)), "Temporada no válida", "")), IF(OR(O2298="", O2298=""), "[Aviso] Ciclo de vida no capturado ()", IF(ISNA(MATCH(O2298, Criterios!$D$123:$D$124, 0)), "Ciclo de vida no válido", ""))))</f>
        <v/>
      </c>
      <c r="AC2298" s="56" t="n"/>
      <c r="AD2298" s="51" t="n">
        <v>1</v>
      </c>
      <c r="AE2298" s="156" t="inlineStr">
        <is>
          <t>B25 STETSON.MX (1); WB OUTLET LERMA (1)</t>
        </is>
      </c>
      <c r="AF2298" s="51" t="n">
        <v>2</v>
      </c>
      <c r="AG2298" s="156" t="inlineStr">
        <is>
          <t>Catálogo existente</t>
        </is>
      </c>
      <c r="AH2298"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8" s="156" t="inlineStr">
        <is>
          <t>Sí</t>
        </is>
      </c>
      <c r="AJ2298" s="156" t="inlineStr">
        <is>
          <t>STETSON AMERICAS (-1)</t>
        </is>
      </c>
      <c r="AK2298" s="155" t="inlineStr">
        <is>
          <t>Criterios: J [R]; G1522_Extraccion_Articulos_NetSuite_2026-09-30.xlsx: fila 56701 [S] | Shopify Stetson: producto 14819652206955 / variante 53702375080299 | Shopify WB: producto 8569966297273 / variante 47621336367289</t>
        </is>
      </c>
      <c r="AL2298" s="58" t="n">
        <v>678.8793103</v>
      </c>
      <c r="AM2298" s="58" t="n">
        <v>1508.62069</v>
      </c>
      <c r="AN2298" s="155" t="inlineStr">
        <is>
          <t>Shopify Stetson México | Shopify Western Brothers</t>
        </is>
      </c>
      <c r="AO2298" s="59" t="n">
        <v>8</v>
      </c>
      <c r="AP2298" s="59" t="n">
        <v>1</v>
      </c>
      <c r="AQ2298" s="59" t="n"/>
      <c r="AR2298" s="155" t="inlineStr">
        <is>
          <t>Shopify Stetson México › Stetson Americas: 3 | Shopify Stetson México › Stetson México: 5 | Shopify Western Brothers › Western Brothers Outlet Lerma: 1</t>
        </is>
      </c>
    </row>
    <row r="2299">
      <c r="A2299" s="50" t="inlineStr">
        <is>
          <t>7506499570381</t>
        </is>
      </c>
      <c r="B2299" s="51" t="inlineStr">
        <is>
          <t>108543</t>
        </is>
      </c>
      <c r="C2299" s="156" t="inlineStr">
        <is>
          <t>Multimarca</t>
        </is>
      </c>
      <c r="D2299" s="156" t="inlineStr">
        <is>
          <t>ST-VR-P-012-FW25-IF</t>
        </is>
      </c>
      <c r="E2299" s="156" t="inlineStr">
        <is>
          <t>ST-VR-P-012-FW25-IF-XL</t>
        </is>
      </c>
      <c r="F2299" s="156" t="inlineStr">
        <is>
          <t>XL</t>
        </is>
      </c>
      <c r="G2299" s="156" t="inlineStr">
        <is>
          <t>XL</t>
        </is>
      </c>
      <c r="H2299" s="156" t="inlineStr">
        <is>
          <t>Stetson</t>
        </is>
      </c>
      <c r="I2299" s="156" t="inlineStr">
        <is>
          <t>Camisa Stetson Vintage Range Ironframe</t>
        </is>
      </c>
      <c r="J2299" s="156" t="inlineStr">
        <is>
          <t>Ropa</t>
        </is>
      </c>
      <c r="K2299" s="156" t="inlineStr">
        <is>
          <t>Camisas</t>
        </is>
      </c>
      <c r="L2299" s="156" t="inlineStr">
        <is>
          <t>Hombre</t>
        </is>
      </c>
      <c r="M2299" s="156" t="inlineStr">
        <is>
          <t>Stetson</t>
        </is>
      </c>
      <c r="N2299" s="156" t="inlineStr">
        <is>
          <t>SS26</t>
        </is>
      </c>
      <c r="O2299" s="156" t="inlineStr">
        <is>
          <t>Seasonal</t>
        </is>
      </c>
      <c r="P2299" s="156" t="inlineStr">
        <is>
          <t>Varios</t>
        </is>
      </c>
      <c r="Q2299" s="156" t="inlineStr">
        <is>
          <t>Relajado</t>
        </is>
      </c>
      <c r="R2299" s="156" t="n"/>
      <c r="S2299" s="156" t="inlineStr">
        <is>
          <t>100% Algodón</t>
        </is>
      </c>
      <c r="T229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9" s="156" t="n"/>
      <c r="V2299" s="156" t="inlineStr">
        <is>
          <t>PZS</t>
        </is>
      </c>
      <c r="W2299" s="51" t="inlineStr">
        <is>
          <t>53101600</t>
        </is>
      </c>
      <c r="X2299" s="156" t="inlineStr">
        <is>
          <t>https://cdn.shopify.com/s/files/1/0888/3250/8267/files/ST-VR-P-012-IF-01_d6438988-fb43-454f-88aa-8fafa83a505a.jpg?v=1764616735</t>
        </is>
      </c>
      <c r="Y2299" s="54" t="n">
        <v>678.8793103</v>
      </c>
      <c r="Z2299" s="54" t="n">
        <v>1508.62069</v>
      </c>
      <c r="AA2299" s="55">
        <f>IF(AND(A2299="", B2299="", E2299=""), "", IF(AB2299="", "Válido", IF((LEN(AB2299)-LEN(SUBSTITUTE(AB2299,"; ","")))/2+1&gt;(LEN(AB2299)-LEN(SUBSTITUTE(AB2299,"[Aviso]","")))/7, "Con Incidencias", "Válido")))</f>
        <v/>
      </c>
      <c r="AB2299" s="56">
        <f>IF(AND(A2299="", B2299="", E2299=""), "", TEXTJOIN("; ", TRUE, IF(OR(TRIM(A2299&amp;"")="", ISNUMBER(SEARCH("FALTA", A2299))), "UPC faltante/inválido", ""), IF(AND(A2299&lt;&gt;"", IFERROR(_xlfn.XMATCH(A2299,$A$2:$A$2509,0,1)&lt;&gt;_xlfn.XMATCH(A2299,$A$2:$A$2509,0,-1),FALSE)), "Código de barras duplicado", ""), IF(AND(E2299&lt;&gt;"", COUNTIF($E$2:$E$2509, E2299)&gt;1), "SKU duplicado", ""), IF(OR(J2299="", J2299=""), "[Aviso] División no capturada ()", IF(ISNA(MATCH(J2299, Criterios!$A$123:$A$126, 0)), "División no válida", "")), IF(OR(K2299="", K2299=""), "[Aviso] Categoría no capturada ()", IF(ISNA(MATCH(K2299, Criterios!$A$81:$A$120, 0)), "Categoría no válida", IF(AND(J2299&lt;&gt;"", J2299&lt;&gt;"", J2299&lt;&gt;VLOOKUP(K2299, Criterios!$A$81:$B$120, 2, FALSE)), "División no coincide con Categoría", ""))), IF(OR(L2299="", L2299=""), "[Aviso] Género no capturado ()", IF(ISNA(MATCH(L2299, Criterios!$B$123:$B$127, 0)), "Género no válido", "")), IF(OR(N2299="", N2299=""), "[Aviso] Temporada no capturada ()", IF(ISNA(MATCH(N2299, Criterios!$C$123:$C$128, 0)), "Temporada no válida", "")), IF(OR(O2299="", O2299=""), "[Aviso] Ciclo de vida no capturado ()", IF(ISNA(MATCH(O2299, Criterios!$D$123:$D$124, 0)), "Ciclo de vida no válido", ""))))</f>
        <v/>
      </c>
      <c r="AC2299" s="56" t="n"/>
      <c r="AD2299" s="51" t="n">
        <v>2</v>
      </c>
      <c r="AE2299" s="156" t="inlineStr">
        <is>
          <t>WB OUTLET LERMA (3)</t>
        </is>
      </c>
      <c r="AF2299" s="51" t="n">
        <v>3</v>
      </c>
      <c r="AG2299" s="156" t="inlineStr">
        <is>
          <t>Catálogo existente</t>
        </is>
      </c>
      <c r="AH2299"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9" s="156" t="inlineStr">
        <is>
          <t>Sí</t>
        </is>
      </c>
      <c r="AJ2299" s="156" t="inlineStr">
        <is>
          <t>STETSON AMERICAS (-1)</t>
        </is>
      </c>
      <c r="AK2299" s="155" t="inlineStr">
        <is>
          <t>Criterios: J [R]; G1522_Extraccion_Articulos_NetSuite_2026-09-30.xlsx: fila 56702 [S] | Shopify Stetson: producto 14819652206955 / variante 53702375113067 | Shopify WB: producto 8569966297273 / variante 47621336400057</t>
        </is>
      </c>
      <c r="AL2299" s="58" t="n">
        <v>678.8793103</v>
      </c>
      <c r="AM2299" s="58" t="n">
        <v>1508.62069</v>
      </c>
      <c r="AN2299" s="155" t="inlineStr">
        <is>
          <t>Shopify Stetson México | Shopify Western Brothers</t>
        </is>
      </c>
      <c r="AO2299" s="59" t="n">
        <v>4</v>
      </c>
      <c r="AP2299" s="59" t="n">
        <v>3</v>
      </c>
      <c r="AQ2299" s="59" t="n"/>
      <c r="AR2299" s="155" t="inlineStr">
        <is>
          <t>Shopify Stetson México › Stetson Americas: 4 | Shopify Western Brothers › Western Brothers Outlet Lerma: 3</t>
        </is>
      </c>
    </row>
    <row r="2300">
      <c r="A2300" s="50" t="inlineStr">
        <is>
          <t>7506499570398</t>
        </is>
      </c>
      <c r="B2300" s="51" t="inlineStr">
        <is>
          <t>110352</t>
        </is>
      </c>
      <c r="C2300" s="156" t="inlineStr">
        <is>
          <t>Multimarca</t>
        </is>
      </c>
      <c r="D2300" s="156" t="inlineStr">
        <is>
          <t>ST-VR-P-012-FW25-IF</t>
        </is>
      </c>
      <c r="E2300" s="156" t="inlineStr">
        <is>
          <t>ST-VR-P-012-FW25-IF-XXL</t>
        </is>
      </c>
      <c r="F2300" s="156" t="inlineStr">
        <is>
          <t>XXL</t>
        </is>
      </c>
      <c r="G2300" s="156" t="inlineStr">
        <is>
          <t>XXL</t>
        </is>
      </c>
      <c r="H2300" s="156" t="inlineStr">
        <is>
          <t>Stetson</t>
        </is>
      </c>
      <c r="I2300" s="156" t="inlineStr">
        <is>
          <t>Camisa Stetson Vintage Range Ironframe</t>
        </is>
      </c>
      <c r="J2300" s="156" t="inlineStr">
        <is>
          <t>Ropa</t>
        </is>
      </c>
      <c r="K2300" s="156" t="inlineStr">
        <is>
          <t>Camisas</t>
        </is>
      </c>
      <c r="L2300" s="156" t="inlineStr">
        <is>
          <t>Hombre</t>
        </is>
      </c>
      <c r="M2300" s="156" t="inlineStr">
        <is>
          <t>Stetson</t>
        </is>
      </c>
      <c r="N2300" s="156" t="inlineStr">
        <is>
          <t>SS26</t>
        </is>
      </c>
      <c r="O2300" s="156" t="inlineStr">
        <is>
          <t>Seasonal</t>
        </is>
      </c>
      <c r="P2300" s="156" t="inlineStr">
        <is>
          <t>Varios</t>
        </is>
      </c>
      <c r="Q2300" s="156" t="inlineStr">
        <is>
          <t>Relajado</t>
        </is>
      </c>
      <c r="R2300" s="156" t="n"/>
      <c r="S2300" s="156" t="inlineStr">
        <is>
          <t>100% Algodón</t>
        </is>
      </c>
      <c r="T230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00" s="156" t="n"/>
      <c r="V2300" s="156" t="inlineStr">
        <is>
          <t>PZS</t>
        </is>
      </c>
      <c r="W2300" s="51" t="inlineStr">
        <is>
          <t>53101600</t>
        </is>
      </c>
      <c r="X2300" s="156" t="inlineStr">
        <is>
          <t>https://cdn.shopify.com/s/files/1/0888/3250/8267/files/ST-VR-P-012-IF-02_a3f09f51-24f1-4099-a849-4f4e65527e5f.jpg?v=1764613657</t>
        </is>
      </c>
      <c r="Y2300" s="54" t="n">
        <v>678.8793103</v>
      </c>
      <c r="Z2300" s="54" t="n">
        <v>1508.62069</v>
      </c>
      <c r="AA2300" s="55">
        <f>IF(AND(A2300="", B2300="", E2300=""), "", IF(AB2300="", "Válido", IF((LEN(AB2300)-LEN(SUBSTITUTE(AB2300,"; ","")))/2+1&gt;(LEN(AB2300)-LEN(SUBSTITUTE(AB2300,"[Aviso]","")))/7, "Con Incidencias", "Válido")))</f>
        <v/>
      </c>
      <c r="AB2300" s="56">
        <f>IF(AND(A2300="", B2300="", E2300=""), "", TEXTJOIN("; ", TRUE, IF(OR(TRIM(A2300&amp;"")="", ISNUMBER(SEARCH("FALTA", A2300))), "UPC faltante/inválido", ""), IF(AND(A2300&lt;&gt;"", IFERROR(_xlfn.XMATCH(A2300,$A$2:$A$2509,0,1)&lt;&gt;_xlfn.XMATCH(A2300,$A$2:$A$2509,0,-1),FALSE)), "Código de barras duplicado", ""), IF(AND(E2300&lt;&gt;"", COUNTIF($E$2:$E$2509, E2300)&gt;1), "SKU duplicado", ""), IF(OR(J2300="", J2300=""), "[Aviso] División no capturada ()", IF(ISNA(MATCH(J2300, Criterios!$A$123:$A$126, 0)), "División no válida", "")), IF(OR(K2300="", K2300=""), "[Aviso] Categoría no capturada ()", IF(ISNA(MATCH(K2300, Criterios!$A$81:$A$120, 0)), "Categoría no válida", IF(AND(J2300&lt;&gt;"", J2300&lt;&gt;"", J2300&lt;&gt;VLOOKUP(K2300, Criterios!$A$81:$B$120, 2, FALSE)), "División no coincide con Categoría", ""))), IF(OR(L2300="", L2300=""), "[Aviso] Género no capturado ()", IF(ISNA(MATCH(L2300, Criterios!$B$123:$B$127, 0)), "Género no válido", "")), IF(OR(N2300="", N2300=""), "[Aviso] Temporada no capturada ()", IF(ISNA(MATCH(N2300, Criterios!$C$123:$C$128, 0)), "Temporada no válida", "")), IF(OR(O2300="", O2300=""), "[Aviso] Ciclo de vida no capturado ()", IF(ISNA(MATCH(O2300, Criterios!$D$123:$D$124, 0)), "Ciclo de vida no válido", ""))))</f>
        <v/>
      </c>
      <c r="AC2300" s="56" t="n"/>
      <c r="AD2300" s="51" t="n">
        <v>1</v>
      </c>
      <c r="AE2300" s="156" t="inlineStr">
        <is>
          <t>B25 STETSON.MX (1)</t>
        </is>
      </c>
      <c r="AF2300" s="51" t="n">
        <v>1</v>
      </c>
      <c r="AG2300" s="156" t="inlineStr">
        <is>
          <t>Catálogo existente</t>
        </is>
      </c>
      <c r="AH230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00" s="156" t="inlineStr">
        <is>
          <t>No</t>
        </is>
      </c>
      <c r="AJ2300" s="156" t="n"/>
      <c r="AK2300" s="155" t="inlineStr">
        <is>
          <t>Criterios: J [R]; G1522_Extraccion_Articulos_NetSuite_2026-09-30.xlsx: fila 58167 [S] | Shopify Stetson: producto 14819652206955 / variante 53702375145835</t>
        </is>
      </c>
      <c r="AL2300" s="58" t="n">
        <v>678.8793103</v>
      </c>
      <c r="AM2300" s="58" t="n">
        <v>1508.62069</v>
      </c>
      <c r="AN2300" s="155" t="inlineStr">
        <is>
          <t>Shopify Stetson México</t>
        </is>
      </c>
      <c r="AO2300" s="59" t="n">
        <v>9</v>
      </c>
      <c r="AP2300" s="59" t="n"/>
      <c r="AQ2300" s="59" t="n"/>
      <c r="AR2300" s="155" t="inlineStr">
        <is>
          <t>Shopify Stetson México › Stetson Americas: 4 | Shopify Stetson México › Stetson México: 5</t>
        </is>
      </c>
    </row>
    <row r="2301">
      <c r="A2301" s="50" t="inlineStr">
        <is>
          <t>7506499570404</t>
        </is>
      </c>
      <c r="B2301" s="51" t="inlineStr">
        <is>
          <t>110353</t>
        </is>
      </c>
      <c r="C2301" s="156" t="inlineStr">
        <is>
          <t>Multimarca</t>
        </is>
      </c>
      <c r="D2301" s="156" t="inlineStr">
        <is>
          <t>ST-VR-P-013-FW25-SF</t>
        </is>
      </c>
      <c r="E2301" s="156" t="inlineStr">
        <is>
          <t>ST-VR-P-013-FW25-SF-S</t>
        </is>
      </c>
      <c r="F2301" s="156" t="inlineStr">
        <is>
          <t>S</t>
        </is>
      </c>
      <c r="G2301" s="156" t="inlineStr">
        <is>
          <t>S</t>
        </is>
      </c>
      <c r="H2301" s="156" t="inlineStr">
        <is>
          <t>Stetson</t>
        </is>
      </c>
      <c r="I2301" s="156" t="inlineStr">
        <is>
          <t>Camisa Stetson Vintage Range Skull Forge</t>
        </is>
      </c>
      <c r="J2301" s="156" t="inlineStr">
        <is>
          <t>Ropa</t>
        </is>
      </c>
      <c r="K2301" s="156" t="inlineStr">
        <is>
          <t>Camisas</t>
        </is>
      </c>
      <c r="L2301" s="156" t="inlineStr">
        <is>
          <t>Hombre</t>
        </is>
      </c>
      <c r="M2301" s="156" t="inlineStr">
        <is>
          <t>Stetson</t>
        </is>
      </c>
      <c r="N2301" s="156" t="inlineStr">
        <is>
          <t>SS26</t>
        </is>
      </c>
      <c r="O2301" s="156" t="inlineStr">
        <is>
          <t>Seasonal</t>
        </is>
      </c>
      <c r="P2301" s="156" t="n"/>
      <c r="Q2301" s="156" t="inlineStr">
        <is>
          <t>Clásico</t>
        </is>
      </c>
      <c r="R2301" s="156" t="n"/>
      <c r="S2301" s="156" t="inlineStr">
        <is>
          <t>100% Algodón</t>
        </is>
      </c>
      <c r="T230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1" s="156" t="n"/>
      <c r="V2301" s="156" t="inlineStr">
        <is>
          <t>PZS</t>
        </is>
      </c>
      <c r="W2301" s="51" t="inlineStr">
        <is>
          <t>53101600</t>
        </is>
      </c>
      <c r="X2301" s="156" t="inlineStr">
        <is>
          <t>https://cdn.shopify.com/s/files/1/0888/3250/8267/files/ST-VR-P-013-SF-02.jpg?v=1762359004</t>
        </is>
      </c>
      <c r="Y2301" s="54" t="n">
        <v>678.8793103</v>
      </c>
      <c r="Z2301" s="54" t="n">
        <v>1508.62069</v>
      </c>
      <c r="AA2301" s="55">
        <f>IF(AND(A2301="", B2301="", E2301=""), "", IF(AB2301="", "Válido", IF((LEN(AB2301)-LEN(SUBSTITUTE(AB2301,"; ","")))/2+1&gt;(LEN(AB2301)-LEN(SUBSTITUTE(AB2301,"[Aviso]","")))/7, "Con Incidencias", "Válido")))</f>
        <v/>
      </c>
      <c r="AB2301" s="56">
        <f>IF(AND(A2301="", B2301="", E2301=""), "", TEXTJOIN("; ", TRUE, IF(OR(TRIM(A2301&amp;"")="", ISNUMBER(SEARCH("FALTA", A2301))), "UPC faltante/inválido", ""), IF(AND(A2301&lt;&gt;"", IFERROR(_xlfn.XMATCH(A2301,$A$2:$A$2509,0,1)&lt;&gt;_xlfn.XMATCH(A2301,$A$2:$A$2509,0,-1),FALSE)), "Código de barras duplicado", ""), IF(AND(E2301&lt;&gt;"", COUNTIF($E$2:$E$2509, E2301)&gt;1), "SKU duplicado", ""), IF(OR(J2301="", J2301=""), "[Aviso] División no capturada ()", IF(ISNA(MATCH(J2301, Criterios!$A$123:$A$126, 0)), "División no válida", "")), IF(OR(K2301="", K2301=""), "[Aviso] Categoría no capturada ()", IF(ISNA(MATCH(K2301, Criterios!$A$81:$A$120, 0)), "Categoría no válida", IF(AND(J2301&lt;&gt;"", J2301&lt;&gt;"", J2301&lt;&gt;VLOOKUP(K2301, Criterios!$A$81:$B$120, 2, FALSE)), "División no coincide con Categoría", ""))), IF(OR(L2301="", L2301=""), "[Aviso] Género no capturado ()", IF(ISNA(MATCH(L2301, Criterios!$B$123:$B$127, 0)), "Género no válido", "")), IF(OR(N2301="", N2301=""), "[Aviso] Temporada no capturada ()", IF(ISNA(MATCH(N2301, Criterios!$C$123:$C$128, 0)), "Temporada no válida", "")), IF(OR(O2301="", O2301=""), "[Aviso] Ciclo de vida no capturado ()", IF(ISNA(MATCH(O2301, Criterios!$D$123:$D$124, 0)), "Ciclo de vida no válido", ""))))</f>
        <v/>
      </c>
      <c r="AC2301" s="56" t="n"/>
      <c r="AD2301" s="51" t="n">
        <v>7</v>
      </c>
      <c r="AE2301" s="156" t="inlineStr">
        <is>
          <t>B25 STETSON.MX (8)</t>
        </is>
      </c>
      <c r="AF2301" s="51" t="n">
        <v>8</v>
      </c>
      <c r="AG2301" s="156" t="inlineStr">
        <is>
          <t>Catálogo existente</t>
        </is>
      </c>
      <c r="AH230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1" s="156" t="inlineStr">
        <is>
          <t>Sí</t>
        </is>
      </c>
      <c r="AJ2301" s="156" t="inlineStr">
        <is>
          <t>STETSON AMERICAS (-1)</t>
        </is>
      </c>
      <c r="AK2301" s="155" t="inlineStr">
        <is>
          <t>Criterios: J [R]; G1522_Extraccion_Articulos_NetSuite_2026-09-30.xlsx: fila 58168 [S] | Shopify Stetson: producto 14819653026155 / variante 53350596542827</t>
        </is>
      </c>
      <c r="AL2301" s="58" t="n">
        <v>678.8793103</v>
      </c>
      <c r="AM2301" s="58" t="n">
        <v>1508.62069</v>
      </c>
      <c r="AN2301" s="155" t="inlineStr">
        <is>
          <t>Shopify Stetson México</t>
        </is>
      </c>
      <c r="AO2301" s="59" t="n">
        <v>11</v>
      </c>
      <c r="AP2301" s="59" t="n"/>
      <c r="AQ2301" s="59" t="n"/>
      <c r="AR2301" s="155" t="inlineStr">
        <is>
          <t>Shopify Stetson México › Stetson México: 8 | Shopify Stetson México › Stetson Americas: 3</t>
        </is>
      </c>
    </row>
    <row r="2302">
      <c r="A2302" s="50" t="inlineStr">
        <is>
          <t>7506499570411</t>
        </is>
      </c>
      <c r="B2302" s="51" t="inlineStr">
        <is>
          <t>110354</t>
        </is>
      </c>
      <c r="C2302" s="156" t="inlineStr">
        <is>
          <t>Multimarca</t>
        </is>
      </c>
      <c r="D2302" s="156" t="inlineStr">
        <is>
          <t>ST-VR-P-013-FW25-SF</t>
        </is>
      </c>
      <c r="E2302" s="156" t="inlineStr">
        <is>
          <t>ST-VR-P-013-FW25-SF-M</t>
        </is>
      </c>
      <c r="F2302" s="156" t="inlineStr">
        <is>
          <t>M</t>
        </is>
      </c>
      <c r="G2302" s="156" t="inlineStr">
        <is>
          <t>M</t>
        </is>
      </c>
      <c r="H2302" s="156" t="inlineStr">
        <is>
          <t>Stetson</t>
        </is>
      </c>
      <c r="I2302" s="156" t="inlineStr">
        <is>
          <t>Camisa Stetson Vintage Range Skull Forge</t>
        </is>
      </c>
      <c r="J2302" s="156" t="inlineStr">
        <is>
          <t>Ropa</t>
        </is>
      </c>
      <c r="K2302" s="156" t="inlineStr">
        <is>
          <t>Camisas</t>
        </is>
      </c>
      <c r="L2302" s="156" t="inlineStr">
        <is>
          <t>Hombre</t>
        </is>
      </c>
      <c r="M2302" s="156" t="inlineStr">
        <is>
          <t>Stetson</t>
        </is>
      </c>
      <c r="N2302" s="156" t="inlineStr">
        <is>
          <t>SS26</t>
        </is>
      </c>
      <c r="O2302" s="156" t="inlineStr">
        <is>
          <t>Seasonal</t>
        </is>
      </c>
      <c r="P2302" s="156" t="n"/>
      <c r="Q2302" s="156" t="inlineStr">
        <is>
          <t>Clásico</t>
        </is>
      </c>
      <c r="R2302" s="156" t="n"/>
      <c r="S2302" s="156" t="inlineStr">
        <is>
          <t>100% Algodón</t>
        </is>
      </c>
      <c r="T230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2" s="156" t="n"/>
      <c r="V2302" s="156" t="inlineStr">
        <is>
          <t>PZS</t>
        </is>
      </c>
      <c r="W2302" s="51" t="inlineStr">
        <is>
          <t>53101600</t>
        </is>
      </c>
      <c r="X2302" s="156" t="inlineStr">
        <is>
          <t>https://cdn.shopify.com/s/files/1/0888/3250/8267/files/ST-VR-P-013-SF-03.jpg?v=1762359004</t>
        </is>
      </c>
      <c r="Y2302" s="54" t="n">
        <v>678.8793103</v>
      </c>
      <c r="Z2302" s="54" t="n">
        <v>1508.62069</v>
      </c>
      <c r="AA2302" s="55">
        <f>IF(AND(A2302="", B2302="", E2302=""), "", IF(AB2302="", "Válido", IF((LEN(AB2302)-LEN(SUBSTITUTE(AB2302,"; ","")))/2+1&gt;(LEN(AB2302)-LEN(SUBSTITUTE(AB2302,"[Aviso]","")))/7, "Con Incidencias", "Válido")))</f>
        <v/>
      </c>
      <c r="AB2302" s="56">
        <f>IF(AND(A2302="", B2302="", E2302=""), "", TEXTJOIN("; ", TRUE, IF(OR(TRIM(A2302&amp;"")="", ISNUMBER(SEARCH("FALTA", A2302))), "UPC faltante/inválido", ""), IF(AND(A2302&lt;&gt;"", IFERROR(_xlfn.XMATCH(A2302,$A$2:$A$2509,0,1)&lt;&gt;_xlfn.XMATCH(A2302,$A$2:$A$2509,0,-1),FALSE)), "Código de barras duplicado", ""), IF(AND(E2302&lt;&gt;"", COUNTIF($E$2:$E$2509, E2302)&gt;1), "SKU duplicado", ""), IF(OR(J2302="", J2302=""), "[Aviso] División no capturada ()", IF(ISNA(MATCH(J2302, Criterios!$A$123:$A$126, 0)), "División no válida", "")), IF(OR(K2302="", K2302=""), "[Aviso] Categoría no capturada ()", IF(ISNA(MATCH(K2302, Criterios!$A$81:$A$120, 0)), "Categoría no válida", IF(AND(J2302&lt;&gt;"", J2302&lt;&gt;"", J2302&lt;&gt;VLOOKUP(K2302, Criterios!$A$81:$B$120, 2, FALSE)), "División no coincide con Categoría", ""))), IF(OR(L2302="", L2302=""), "[Aviso] Género no capturado ()", IF(ISNA(MATCH(L2302, Criterios!$B$123:$B$127, 0)), "Género no válido", "")), IF(OR(N2302="", N2302=""), "[Aviso] Temporada no capturada ()", IF(ISNA(MATCH(N2302, Criterios!$C$123:$C$128, 0)), "Temporada no válida", "")), IF(OR(O2302="", O2302=""), "[Aviso] Ciclo de vida no capturado ()", IF(ISNA(MATCH(O2302, Criterios!$D$123:$D$124, 0)), "Ciclo de vida no válido", ""))))</f>
        <v/>
      </c>
      <c r="AC2302" s="56" t="n"/>
      <c r="AD2302" s="51" t="n">
        <v>7</v>
      </c>
      <c r="AE2302" s="156" t="inlineStr">
        <is>
          <t>B25 STETSON.MX (9)</t>
        </is>
      </c>
      <c r="AF2302" s="51" t="n">
        <v>9</v>
      </c>
      <c r="AG2302" s="156" t="inlineStr">
        <is>
          <t>Catálogo existente</t>
        </is>
      </c>
      <c r="AH230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2" s="156" t="inlineStr">
        <is>
          <t>Sí</t>
        </is>
      </c>
      <c r="AJ2302" s="156" t="inlineStr">
        <is>
          <t>STETSON AMERICAS (-2)</t>
        </is>
      </c>
      <c r="AK2302" s="155" t="inlineStr">
        <is>
          <t>Criterios: J [R]; G1522_Extraccion_Articulos_NetSuite_2026-09-30.xlsx: fila 58169 [S] | Shopify Stetson: producto 14819653026155 / variante 53350596575595</t>
        </is>
      </c>
      <c r="AL2302" s="58" t="n">
        <v>678.8793103</v>
      </c>
      <c r="AM2302" s="58" t="n">
        <v>1508.62069</v>
      </c>
      <c r="AN2302" s="155" t="inlineStr">
        <is>
          <t>Shopify Stetson México</t>
        </is>
      </c>
      <c r="AO2302" s="59" t="n">
        <v>11</v>
      </c>
      <c r="AP2302" s="59" t="n"/>
      <c r="AQ2302" s="59" t="n"/>
      <c r="AR2302" s="155" t="inlineStr">
        <is>
          <t>Shopify Stetson México › Stetson México: 9 | Shopify Stetson México › Stetson Americas: 2</t>
        </is>
      </c>
    </row>
    <row r="2303">
      <c r="A2303" s="50" t="inlineStr">
        <is>
          <t>7506499570428</t>
        </is>
      </c>
      <c r="B2303" s="51" t="inlineStr">
        <is>
          <t>110355</t>
        </is>
      </c>
      <c r="C2303" s="156" t="inlineStr">
        <is>
          <t>Multimarca</t>
        </is>
      </c>
      <c r="D2303" s="156" t="inlineStr">
        <is>
          <t>ST-VR-P-013-FW25-SF</t>
        </is>
      </c>
      <c r="E2303" s="156" t="inlineStr">
        <is>
          <t>ST-VR-P-013-FW25-SF-L</t>
        </is>
      </c>
      <c r="F2303" s="156" t="inlineStr">
        <is>
          <t>L</t>
        </is>
      </c>
      <c r="G2303" s="156" t="inlineStr">
        <is>
          <t>L</t>
        </is>
      </c>
      <c r="H2303" s="156" t="inlineStr">
        <is>
          <t>Stetson</t>
        </is>
      </c>
      <c r="I2303" s="156" t="inlineStr">
        <is>
          <t>Camisa Stetson Vintage Range Skull Forge</t>
        </is>
      </c>
      <c r="J2303" s="156" t="inlineStr">
        <is>
          <t>Ropa</t>
        </is>
      </c>
      <c r="K2303" s="156" t="inlineStr">
        <is>
          <t>Camisas</t>
        </is>
      </c>
      <c r="L2303" s="156" t="inlineStr">
        <is>
          <t>Hombre</t>
        </is>
      </c>
      <c r="M2303" s="156" t="inlineStr">
        <is>
          <t>Stetson</t>
        </is>
      </c>
      <c r="N2303" s="156" t="inlineStr">
        <is>
          <t>SS26</t>
        </is>
      </c>
      <c r="O2303" s="156" t="inlineStr">
        <is>
          <t>Seasonal</t>
        </is>
      </c>
      <c r="P2303" s="156" t="n"/>
      <c r="Q2303" s="156" t="inlineStr">
        <is>
          <t>Clásico</t>
        </is>
      </c>
      <c r="R2303" s="156" t="n"/>
      <c r="S2303" s="156" t="inlineStr">
        <is>
          <t>100% Algodón</t>
        </is>
      </c>
      <c r="T230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3" s="156" t="n"/>
      <c r="V2303" s="156" t="inlineStr">
        <is>
          <t>PZS</t>
        </is>
      </c>
      <c r="W2303" s="51" t="inlineStr">
        <is>
          <t>53101600</t>
        </is>
      </c>
      <c r="X2303" s="156" t="inlineStr">
        <is>
          <t>https://cdn.shopify.com/s/files/1/0888/3250/8267/files/ST-VR-P-013-SF-01.jpg?v=1762359004</t>
        </is>
      </c>
      <c r="Y2303" s="54" t="n">
        <v>678.8793103</v>
      </c>
      <c r="Z2303" s="54" t="n">
        <v>1508.62069</v>
      </c>
      <c r="AA2303" s="55">
        <f>IF(AND(A2303="", B2303="", E2303=""), "", IF(AB2303="", "Válido", IF((LEN(AB2303)-LEN(SUBSTITUTE(AB2303,"; ","")))/2+1&gt;(LEN(AB2303)-LEN(SUBSTITUTE(AB2303,"[Aviso]","")))/7, "Con Incidencias", "Válido")))</f>
        <v/>
      </c>
      <c r="AB2303" s="56">
        <f>IF(AND(A2303="", B2303="", E2303=""), "", TEXTJOIN("; ", TRUE, IF(OR(TRIM(A2303&amp;"")="", ISNUMBER(SEARCH("FALTA", A2303))), "UPC faltante/inválido", ""), IF(AND(A2303&lt;&gt;"", IFERROR(_xlfn.XMATCH(A2303,$A$2:$A$2509,0,1)&lt;&gt;_xlfn.XMATCH(A2303,$A$2:$A$2509,0,-1),FALSE)), "Código de barras duplicado", ""), IF(AND(E2303&lt;&gt;"", COUNTIF($E$2:$E$2509, E2303)&gt;1), "SKU duplicado", ""), IF(OR(J2303="", J2303=""), "[Aviso] División no capturada ()", IF(ISNA(MATCH(J2303, Criterios!$A$123:$A$126, 0)), "División no válida", "")), IF(OR(K2303="", K2303=""), "[Aviso] Categoría no capturada ()", IF(ISNA(MATCH(K2303, Criterios!$A$81:$A$120, 0)), "Categoría no válida", IF(AND(J2303&lt;&gt;"", J2303&lt;&gt;"", J2303&lt;&gt;VLOOKUP(K2303, Criterios!$A$81:$B$120, 2, FALSE)), "División no coincide con Categoría", ""))), IF(OR(L2303="", L2303=""), "[Aviso] Género no capturado ()", IF(ISNA(MATCH(L2303, Criterios!$B$123:$B$127, 0)), "Género no válido", "")), IF(OR(N2303="", N2303=""), "[Aviso] Temporada no capturada ()", IF(ISNA(MATCH(N2303, Criterios!$C$123:$C$128, 0)), "Temporada no válida", "")), IF(OR(O2303="", O2303=""), "[Aviso] Ciclo de vida no capturado ()", IF(ISNA(MATCH(O2303, Criterios!$D$123:$D$124, 0)), "Ciclo de vida no válido", ""))))</f>
        <v/>
      </c>
      <c r="AC2303" s="56" t="n"/>
      <c r="AD2303" s="51" t="n">
        <v>9</v>
      </c>
      <c r="AE2303" s="156" t="inlineStr">
        <is>
          <t>B25 STETSON.MX (10)</t>
        </is>
      </c>
      <c r="AF2303" s="51" t="n">
        <v>10</v>
      </c>
      <c r="AG2303" s="156" t="inlineStr">
        <is>
          <t>Catálogo existente</t>
        </is>
      </c>
      <c r="AH230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3" s="156" t="inlineStr">
        <is>
          <t>Sí</t>
        </is>
      </c>
      <c r="AJ2303" s="156" t="inlineStr">
        <is>
          <t>STETSON AMERICAS (-1)</t>
        </is>
      </c>
      <c r="AK2303" s="155" t="inlineStr">
        <is>
          <t>Criterios: J [R]; G1522_Extraccion_Articulos_NetSuite_2026-09-30.xlsx: fila 58170 [S] | Shopify Stetson: producto 14819653026155 / variante 53350596608363</t>
        </is>
      </c>
      <c r="AL2303" s="58" t="n">
        <v>678.8793103</v>
      </c>
      <c r="AM2303" s="58" t="n">
        <v>1508.62069</v>
      </c>
      <c r="AN2303" s="155" t="inlineStr">
        <is>
          <t>Shopify Stetson México</t>
        </is>
      </c>
      <c r="AO2303" s="59" t="n">
        <v>15</v>
      </c>
      <c r="AP2303" s="59" t="n"/>
      <c r="AQ2303" s="59" t="n"/>
      <c r="AR2303" s="155" t="inlineStr">
        <is>
          <t>Shopify Stetson México › Stetson México: 10 | Shopify Stetson México › Stetson Americas: 5</t>
        </is>
      </c>
    </row>
    <row r="2304">
      <c r="A2304" s="50" t="inlineStr">
        <is>
          <t>7506499570435</t>
        </is>
      </c>
      <c r="B2304" s="51" t="inlineStr">
        <is>
          <t>110356</t>
        </is>
      </c>
      <c r="C2304" s="156" t="inlineStr">
        <is>
          <t>Multimarca</t>
        </is>
      </c>
      <c r="D2304" s="156" t="inlineStr">
        <is>
          <t>ST-VR-P-013-FW25-SF</t>
        </is>
      </c>
      <c r="E2304" s="156" t="inlineStr">
        <is>
          <t>ST-VR-P-013-FW25-SF-XL</t>
        </is>
      </c>
      <c r="F2304" s="156" t="inlineStr">
        <is>
          <t>XL</t>
        </is>
      </c>
      <c r="G2304" s="156" t="inlineStr">
        <is>
          <t>XL</t>
        </is>
      </c>
      <c r="H2304" s="156" t="inlineStr">
        <is>
          <t>Stetson</t>
        </is>
      </c>
      <c r="I2304" s="156" t="inlineStr">
        <is>
          <t>Camisa Stetson Vintage Range Skull Forge</t>
        </is>
      </c>
      <c r="J2304" s="156" t="inlineStr">
        <is>
          <t>Ropa</t>
        </is>
      </c>
      <c r="K2304" s="156" t="inlineStr">
        <is>
          <t>Camisas</t>
        </is>
      </c>
      <c r="L2304" s="156" t="inlineStr">
        <is>
          <t>Hombre</t>
        </is>
      </c>
      <c r="M2304" s="156" t="inlineStr">
        <is>
          <t>Stetson</t>
        </is>
      </c>
      <c r="N2304" s="156" t="inlineStr">
        <is>
          <t>SS26</t>
        </is>
      </c>
      <c r="O2304" s="156" t="inlineStr">
        <is>
          <t>Seasonal</t>
        </is>
      </c>
      <c r="P2304" s="156" t="n"/>
      <c r="Q2304" s="156" t="inlineStr">
        <is>
          <t>Clásico</t>
        </is>
      </c>
      <c r="R2304" s="156" t="n"/>
      <c r="S2304" s="156" t="inlineStr">
        <is>
          <t>100% Algodón</t>
        </is>
      </c>
      <c r="T230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4" s="156" t="n"/>
      <c r="V2304" s="156" t="inlineStr">
        <is>
          <t>PZS</t>
        </is>
      </c>
      <c r="W2304" s="51" t="inlineStr">
        <is>
          <t>53101600</t>
        </is>
      </c>
      <c r="X2304" s="156" t="inlineStr">
        <is>
          <t>https://cdn.shopify.com/s/files/1/0888/3250/8267/files/ST-VR-P-013-SF-02.jpg?v=1762359004</t>
        </is>
      </c>
      <c r="Y2304" s="54" t="n">
        <v>678.8793103</v>
      </c>
      <c r="Z2304" s="54" t="n">
        <v>1508.62069</v>
      </c>
      <c r="AA2304" s="55">
        <f>IF(AND(A2304="", B2304="", E2304=""), "", IF(AB2304="", "Válido", IF((LEN(AB2304)-LEN(SUBSTITUTE(AB2304,"; ","")))/2+1&gt;(LEN(AB2304)-LEN(SUBSTITUTE(AB2304,"[Aviso]","")))/7, "Con Incidencias", "Válido")))</f>
        <v/>
      </c>
      <c r="AB2304" s="56">
        <f>IF(AND(A2304="", B2304="", E2304=""), "", TEXTJOIN("; ", TRUE, IF(OR(TRIM(A2304&amp;"")="", ISNUMBER(SEARCH("FALTA", A2304))), "UPC faltante/inválido", ""), IF(AND(A2304&lt;&gt;"", IFERROR(_xlfn.XMATCH(A2304,$A$2:$A$2509,0,1)&lt;&gt;_xlfn.XMATCH(A2304,$A$2:$A$2509,0,-1),FALSE)), "Código de barras duplicado", ""), IF(AND(E2304&lt;&gt;"", COUNTIF($E$2:$E$2509, E2304)&gt;1), "SKU duplicado", ""), IF(OR(J2304="", J2304=""), "[Aviso] División no capturada ()", IF(ISNA(MATCH(J2304, Criterios!$A$123:$A$126, 0)), "División no válida", "")), IF(OR(K2304="", K2304=""), "[Aviso] Categoría no capturada ()", IF(ISNA(MATCH(K2304, Criterios!$A$81:$A$120, 0)), "Categoría no válida", IF(AND(J2304&lt;&gt;"", J2304&lt;&gt;"", J2304&lt;&gt;VLOOKUP(K2304, Criterios!$A$81:$B$120, 2, FALSE)), "División no coincide con Categoría", ""))), IF(OR(L2304="", L2304=""), "[Aviso] Género no capturado ()", IF(ISNA(MATCH(L2304, Criterios!$B$123:$B$127, 0)), "Género no válido", "")), IF(OR(N2304="", N2304=""), "[Aviso] Temporada no capturada ()", IF(ISNA(MATCH(N2304, Criterios!$C$123:$C$128, 0)), "Temporada no válida", "")), IF(OR(O2304="", O2304=""), "[Aviso] Ciclo de vida no capturado ()", IF(ISNA(MATCH(O2304, Criterios!$D$123:$D$124, 0)), "Ciclo de vida no válido", ""))))</f>
        <v/>
      </c>
      <c r="AC2304" s="56" t="n"/>
      <c r="AD2304" s="51" t="n">
        <v>0</v>
      </c>
      <c r="AE2304" s="156" t="inlineStr">
        <is>
          <t>B25 STETSON.MX (4)</t>
        </is>
      </c>
      <c r="AF2304" s="51" t="n">
        <v>4</v>
      </c>
      <c r="AG2304" s="156" t="inlineStr">
        <is>
          <t>Catálogo existente</t>
        </is>
      </c>
      <c r="AH230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04" s="156" t="inlineStr">
        <is>
          <t>Sí</t>
        </is>
      </c>
      <c r="AJ2304" s="156" t="inlineStr">
        <is>
          <t>STETSON AMERICAS (-4)</t>
        </is>
      </c>
      <c r="AK2304" s="155" t="inlineStr">
        <is>
          <t>Criterios: J [R]; G1522_Extraccion_Articulos_NetSuite_2026-09-30.xlsx: fila 58171 [S] | Shopify Stetson: producto 14819653026155 / variante 53350596641131</t>
        </is>
      </c>
      <c r="AL2304" s="58" t="n">
        <v>678.8793103</v>
      </c>
      <c r="AM2304" s="58" t="n">
        <v>1508.62069</v>
      </c>
      <c r="AN2304" s="155" t="inlineStr">
        <is>
          <t>Shopify Stetson México</t>
        </is>
      </c>
      <c r="AO2304" s="59" t="n">
        <v>3</v>
      </c>
      <c r="AP2304" s="59" t="n"/>
      <c r="AQ2304" s="59" t="n"/>
      <c r="AR2304" s="155" t="inlineStr">
        <is>
          <t>Shopify Stetson México › Stetson México: 4</t>
        </is>
      </c>
    </row>
    <row r="2305">
      <c r="A2305" s="50" t="inlineStr">
        <is>
          <t>7506499570442</t>
        </is>
      </c>
      <c r="B2305" s="51" t="inlineStr">
        <is>
          <t>110357</t>
        </is>
      </c>
      <c r="C2305" s="156" t="inlineStr">
        <is>
          <t>Multimarca</t>
        </is>
      </c>
      <c r="D2305" s="156" t="inlineStr">
        <is>
          <t>ST-VR-P-013-FW25-SF</t>
        </is>
      </c>
      <c r="E2305" s="156" t="inlineStr">
        <is>
          <t>ST-VR-P-013-FW25-SF-XXL</t>
        </is>
      </c>
      <c r="F2305" s="156" t="inlineStr">
        <is>
          <t>XXL</t>
        </is>
      </c>
      <c r="G2305" s="156" t="inlineStr">
        <is>
          <t>XXL</t>
        </is>
      </c>
      <c r="H2305" s="156" t="inlineStr">
        <is>
          <t>Stetson</t>
        </is>
      </c>
      <c r="I2305" s="156" t="inlineStr">
        <is>
          <t>Camisa Stetson Vintage Range Skull Forge</t>
        </is>
      </c>
      <c r="J2305" s="156" t="inlineStr">
        <is>
          <t>Ropa</t>
        </is>
      </c>
      <c r="K2305" s="156" t="inlineStr">
        <is>
          <t>Camisas</t>
        </is>
      </c>
      <c r="L2305" s="156" t="inlineStr">
        <is>
          <t>Hombre</t>
        </is>
      </c>
      <c r="M2305" s="156" t="inlineStr">
        <is>
          <t>Stetson</t>
        </is>
      </c>
      <c r="N2305" s="156" t="inlineStr">
        <is>
          <t>SS26</t>
        </is>
      </c>
      <c r="O2305" s="156" t="inlineStr">
        <is>
          <t>Seasonal</t>
        </is>
      </c>
      <c r="P2305" s="156" t="n"/>
      <c r="Q2305" s="156" t="inlineStr">
        <is>
          <t>Clásico</t>
        </is>
      </c>
      <c r="R2305" s="156" t="n"/>
      <c r="S2305" s="156" t="inlineStr">
        <is>
          <t>100% Algodón</t>
        </is>
      </c>
      <c r="T230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5" s="156" t="n"/>
      <c r="V2305" s="156" t="inlineStr">
        <is>
          <t>PZS</t>
        </is>
      </c>
      <c r="W2305" s="51" t="inlineStr">
        <is>
          <t>53101600</t>
        </is>
      </c>
      <c r="X2305" s="156" t="inlineStr">
        <is>
          <t>https://cdn.shopify.com/s/files/1/0888/3250/8267/files/ST-VR-P-013-SF-02.jpg?v=1762359004</t>
        </is>
      </c>
      <c r="Y2305" s="54" t="n">
        <v>678.8793103</v>
      </c>
      <c r="Z2305" s="54" t="n">
        <v>1508.62069</v>
      </c>
      <c r="AA2305" s="55">
        <f>IF(AND(A2305="", B2305="", E2305=""), "", IF(AB2305="", "Válido", IF((LEN(AB2305)-LEN(SUBSTITUTE(AB2305,"; ","")))/2+1&gt;(LEN(AB2305)-LEN(SUBSTITUTE(AB2305,"[Aviso]","")))/7, "Con Incidencias", "Válido")))</f>
        <v/>
      </c>
      <c r="AB2305" s="56">
        <f>IF(AND(A2305="", B2305="", E2305=""), "", TEXTJOIN("; ", TRUE, IF(OR(TRIM(A2305&amp;"")="", ISNUMBER(SEARCH("FALTA", A2305))), "UPC faltante/inválido", ""), IF(AND(A2305&lt;&gt;"", IFERROR(_xlfn.XMATCH(A2305,$A$2:$A$2509,0,1)&lt;&gt;_xlfn.XMATCH(A2305,$A$2:$A$2509,0,-1),FALSE)), "Código de barras duplicado", ""), IF(AND(E2305&lt;&gt;"", COUNTIF($E$2:$E$2509, E2305)&gt;1), "SKU duplicado", ""), IF(OR(J2305="", J2305=""), "[Aviso] División no capturada ()", IF(ISNA(MATCH(J2305, Criterios!$A$123:$A$126, 0)), "División no válida", "")), IF(OR(K2305="", K2305=""), "[Aviso] Categoría no capturada ()", IF(ISNA(MATCH(K2305, Criterios!$A$81:$A$120, 0)), "Categoría no válida", IF(AND(J2305&lt;&gt;"", J2305&lt;&gt;"", J2305&lt;&gt;VLOOKUP(K2305, Criterios!$A$81:$B$120, 2, FALSE)), "División no coincide con Categoría", ""))), IF(OR(L2305="", L2305=""), "[Aviso] Género no capturado ()", IF(ISNA(MATCH(L2305, Criterios!$B$123:$B$127, 0)), "Género no válido", "")), IF(OR(N2305="", N2305=""), "[Aviso] Temporada no capturada ()", IF(ISNA(MATCH(N2305, Criterios!$C$123:$C$128, 0)), "Temporada no válida", "")), IF(OR(O2305="", O2305=""), "[Aviso] Ciclo de vida no capturado ()", IF(ISNA(MATCH(O2305, Criterios!$D$123:$D$124, 0)), "Ciclo de vida no válido", ""))))</f>
        <v/>
      </c>
      <c r="AC2305" s="56" t="n"/>
      <c r="AD2305" s="51" t="n">
        <v>1</v>
      </c>
      <c r="AE2305" s="156" t="inlineStr">
        <is>
          <t>B25 STETSON.MX (1)</t>
        </is>
      </c>
      <c r="AF2305" s="51" t="n">
        <v>1</v>
      </c>
      <c r="AG2305" s="156" t="inlineStr">
        <is>
          <t>Catálogo existente</t>
        </is>
      </c>
      <c r="AH230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05" s="156" t="inlineStr">
        <is>
          <t>No</t>
        </is>
      </c>
      <c r="AJ2305" s="156" t="n"/>
      <c r="AK2305" s="155" t="inlineStr">
        <is>
          <t>Criterios: J [R]; G1522_Extraccion_Articulos_NetSuite_2026-09-30.xlsx: fila 58172 [S] | Shopify Stetson: producto 14819653026155 / variante 53350596673899</t>
        </is>
      </c>
      <c r="AL2305" s="58" t="n">
        <v>678.8793103</v>
      </c>
      <c r="AM2305" s="58" t="n">
        <v>1508.62069</v>
      </c>
      <c r="AN2305" s="155" t="inlineStr">
        <is>
          <t>Shopify Stetson México</t>
        </is>
      </c>
      <c r="AO2305" s="59" t="n">
        <v>3</v>
      </c>
      <c r="AP2305" s="59" t="n"/>
      <c r="AQ2305" s="59" t="n"/>
      <c r="AR2305" s="155" t="inlineStr">
        <is>
          <t>Shopify Stetson México › Stetson México: 1 | Shopify Stetson México › Stetson Americas: 2</t>
        </is>
      </c>
    </row>
    <row r="2306">
      <c r="A2306" s="50" t="inlineStr">
        <is>
          <t>7506499570459</t>
        </is>
      </c>
      <c r="B2306" s="51" t="inlineStr">
        <is>
          <t>110373</t>
        </is>
      </c>
      <c r="C2306" s="156" t="inlineStr">
        <is>
          <t>Multimarca</t>
        </is>
      </c>
      <c r="D2306" s="156" t="inlineStr">
        <is>
          <t>ST-VR-P-018-FW25-CS</t>
        </is>
      </c>
      <c r="E2306" s="156" t="inlineStr">
        <is>
          <t>ST-VR-P-018-FW25-CS-S</t>
        </is>
      </c>
      <c r="F2306" s="156" t="inlineStr">
        <is>
          <t>S</t>
        </is>
      </c>
      <c r="G2306" s="156" t="inlineStr">
        <is>
          <t>S</t>
        </is>
      </c>
      <c r="H2306" s="156" t="inlineStr">
        <is>
          <t>Stetson</t>
        </is>
      </c>
      <c r="I2306" s="156" t="inlineStr">
        <is>
          <t>Camisa Stetson Vintage Range Chainstorm</t>
        </is>
      </c>
      <c r="J2306" s="156" t="inlineStr">
        <is>
          <t>Ropa</t>
        </is>
      </c>
      <c r="K2306" s="156" t="inlineStr">
        <is>
          <t>Camisas</t>
        </is>
      </c>
      <c r="L2306" s="156" t="inlineStr">
        <is>
          <t>Hombre</t>
        </is>
      </c>
      <c r="M2306" s="156" t="inlineStr">
        <is>
          <t>Stetson</t>
        </is>
      </c>
      <c r="N2306" s="156" t="inlineStr">
        <is>
          <t>SS26</t>
        </is>
      </c>
      <c r="O2306" s="156" t="inlineStr">
        <is>
          <t>Seasonal</t>
        </is>
      </c>
      <c r="P2306" s="156" t="n"/>
      <c r="Q2306" s="156" t="inlineStr">
        <is>
          <t>Clásico</t>
        </is>
      </c>
      <c r="R2306" s="156" t="n"/>
      <c r="S2306" s="156" t="inlineStr">
        <is>
          <t>100% Algodón</t>
        </is>
      </c>
      <c r="T230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6" s="156" t="n"/>
      <c r="V2306" s="156" t="inlineStr">
        <is>
          <t>PZS</t>
        </is>
      </c>
      <c r="W2306" s="51" t="inlineStr">
        <is>
          <t>53101600</t>
        </is>
      </c>
      <c r="X2306" s="156" t="inlineStr">
        <is>
          <t>https://cdn.shopify.com/s/files/1/0888/3250/8267/files/ST-VR-P-018-CS-01.jpg?v=1762367973</t>
        </is>
      </c>
      <c r="Y2306" s="54" t="n">
        <v>678.8793103</v>
      </c>
      <c r="Z2306" s="54" t="n">
        <v>1508.62069</v>
      </c>
      <c r="AA2306" s="55">
        <f>IF(AND(A2306="", B2306="", E2306=""), "", IF(AB2306="", "Válido", IF((LEN(AB2306)-LEN(SUBSTITUTE(AB2306,"; ","")))/2+1&gt;(LEN(AB2306)-LEN(SUBSTITUTE(AB2306,"[Aviso]","")))/7, "Con Incidencias", "Válido")))</f>
        <v/>
      </c>
      <c r="AB2306" s="56">
        <f>IF(AND(A2306="", B2306="", E2306=""), "", TEXTJOIN("; ", TRUE, IF(OR(TRIM(A2306&amp;"")="", ISNUMBER(SEARCH("FALTA", A2306))), "UPC faltante/inválido", ""), IF(AND(A2306&lt;&gt;"", IFERROR(_xlfn.XMATCH(A2306,$A$2:$A$2509,0,1)&lt;&gt;_xlfn.XMATCH(A2306,$A$2:$A$2509,0,-1),FALSE)), "Código de barras duplicado", ""), IF(AND(E2306&lt;&gt;"", COUNTIF($E$2:$E$2509, E2306)&gt;1), "SKU duplicado", ""), IF(OR(J2306="", J2306=""), "[Aviso] División no capturada ()", IF(ISNA(MATCH(J2306, Criterios!$A$123:$A$126, 0)), "División no válida", "")), IF(OR(K2306="", K2306=""), "[Aviso] Categoría no capturada ()", IF(ISNA(MATCH(K2306, Criterios!$A$81:$A$120, 0)), "Categoría no válida", IF(AND(J2306&lt;&gt;"", J2306&lt;&gt;"", J2306&lt;&gt;VLOOKUP(K2306, Criterios!$A$81:$B$120, 2, FALSE)), "División no coincide con Categoría", ""))), IF(OR(L2306="", L2306=""), "[Aviso] Género no capturado ()", IF(ISNA(MATCH(L2306, Criterios!$B$123:$B$127, 0)), "Género no válido", "")), IF(OR(N2306="", N2306=""), "[Aviso] Temporada no capturada ()", IF(ISNA(MATCH(N2306, Criterios!$C$123:$C$128, 0)), "Temporada no válida", "")), IF(OR(O2306="", O2306=""), "[Aviso] Ciclo de vida no capturado ()", IF(ISNA(MATCH(O2306, Criterios!$D$123:$D$124, 0)), "Ciclo de vida no válido", ""))))</f>
        <v/>
      </c>
      <c r="AC2306" s="56" t="n"/>
      <c r="AD2306" s="51" t="n">
        <v>-1</v>
      </c>
      <c r="AE2306" s="156" t="inlineStr">
        <is>
          <t>B25 STETSON.MX (1)</t>
        </is>
      </c>
      <c r="AF2306" s="51" t="n">
        <v>1</v>
      </c>
      <c r="AG2306" s="156" t="inlineStr">
        <is>
          <t>Catálogo existente</t>
        </is>
      </c>
      <c r="AH2306"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6" s="156" t="inlineStr">
        <is>
          <t>Sí</t>
        </is>
      </c>
      <c r="AJ2306" s="156" t="inlineStr">
        <is>
          <t>STETSON AMERICAS (-2)</t>
        </is>
      </c>
      <c r="AK2306" s="155" t="inlineStr">
        <is>
          <t>Criterios: J [R]; G1522_Extraccion_Articulos_NetSuite_2026-09-30.xlsx: fila 58188 [S] | Shopify Stetson: producto 14819774562667 / variante 53350595723627</t>
        </is>
      </c>
      <c r="AL2306" s="58" t="n">
        <v>678.8793103</v>
      </c>
      <c r="AM2306" s="58" t="n">
        <v>1508.62069</v>
      </c>
      <c r="AN2306" s="155" t="inlineStr">
        <is>
          <t>Shopify Stetson México</t>
        </is>
      </c>
      <c r="AO2306" s="59" t="n">
        <v>1</v>
      </c>
      <c r="AP2306" s="59" t="n"/>
      <c r="AQ2306" s="59" t="n"/>
      <c r="AR2306" s="155" t="inlineStr">
        <is>
          <t>Shopify Stetson México › Stetson México: 1</t>
        </is>
      </c>
    </row>
    <row r="2307">
      <c r="A2307" s="50" t="inlineStr">
        <is>
          <t>7506499570466</t>
        </is>
      </c>
      <c r="B2307" s="51" t="inlineStr">
        <is>
          <t>110374</t>
        </is>
      </c>
      <c r="C2307" s="156" t="inlineStr">
        <is>
          <t>Multimarca</t>
        </is>
      </c>
      <c r="D2307" s="156" t="inlineStr">
        <is>
          <t>ST-VR-P-018-FW25-CS</t>
        </is>
      </c>
      <c r="E2307" s="156" t="inlineStr">
        <is>
          <t>ST-VR-P-018-FW25-CS-M</t>
        </is>
      </c>
      <c r="F2307" s="156" t="inlineStr">
        <is>
          <t>M</t>
        </is>
      </c>
      <c r="G2307" s="156" t="inlineStr">
        <is>
          <t>M</t>
        </is>
      </c>
      <c r="H2307" s="156" t="inlineStr">
        <is>
          <t>Stetson</t>
        </is>
      </c>
      <c r="I2307" s="156" t="inlineStr">
        <is>
          <t>Camisa Stetson Vintage Range Chainstorm</t>
        </is>
      </c>
      <c r="J2307" s="156" t="inlineStr">
        <is>
          <t>Ropa</t>
        </is>
      </c>
      <c r="K2307" s="156" t="inlineStr">
        <is>
          <t>Camisas</t>
        </is>
      </c>
      <c r="L2307" s="156" t="inlineStr">
        <is>
          <t>Hombre</t>
        </is>
      </c>
      <c r="M2307" s="156" t="inlineStr">
        <is>
          <t>Stetson</t>
        </is>
      </c>
      <c r="N2307" s="156" t="inlineStr">
        <is>
          <t>SS26</t>
        </is>
      </c>
      <c r="O2307" s="156" t="inlineStr">
        <is>
          <t>Seasonal</t>
        </is>
      </c>
      <c r="P2307" s="156" t="n"/>
      <c r="Q2307" s="156" t="inlineStr">
        <is>
          <t>Clásico</t>
        </is>
      </c>
      <c r="R2307" s="156" t="n"/>
      <c r="S2307" s="156" t="inlineStr">
        <is>
          <t>100% Algodón</t>
        </is>
      </c>
      <c r="T230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7" s="156" t="n"/>
      <c r="V2307" s="156" t="inlineStr">
        <is>
          <t>PZS</t>
        </is>
      </c>
      <c r="W2307" s="51" t="inlineStr">
        <is>
          <t>53101600</t>
        </is>
      </c>
      <c r="X2307" s="156" t="inlineStr">
        <is>
          <t>https://cdn.shopify.com/s/files/1/0888/3250/8267/files/ST-VR-P-018-CS-03.jpg?v=1762367978</t>
        </is>
      </c>
      <c r="Y2307" s="54" t="n">
        <v>678.8793103</v>
      </c>
      <c r="Z2307" s="54" t="n">
        <v>1508.62069</v>
      </c>
      <c r="AA2307" s="55">
        <f>IF(AND(A2307="", B2307="", E2307=""), "", IF(AB2307="", "Válido", IF((LEN(AB2307)-LEN(SUBSTITUTE(AB2307,"; ","")))/2+1&gt;(LEN(AB2307)-LEN(SUBSTITUTE(AB2307,"[Aviso]","")))/7, "Con Incidencias", "Válido")))</f>
        <v/>
      </c>
      <c r="AB2307" s="56">
        <f>IF(AND(A2307="", B2307="", E2307=""), "", TEXTJOIN("; ", TRUE, IF(OR(TRIM(A2307&amp;"")="", ISNUMBER(SEARCH("FALTA", A2307))), "UPC faltante/inválido", ""), IF(AND(A2307&lt;&gt;"", IFERROR(_xlfn.XMATCH(A2307,$A$2:$A$2509,0,1)&lt;&gt;_xlfn.XMATCH(A2307,$A$2:$A$2509,0,-1),FALSE)), "Código de barras duplicado", ""), IF(AND(E2307&lt;&gt;"", COUNTIF($E$2:$E$2509, E2307)&gt;1), "SKU duplicado", ""), IF(OR(J2307="", J2307=""), "[Aviso] División no capturada ()", IF(ISNA(MATCH(J2307, Criterios!$A$123:$A$126, 0)), "División no válida", "")), IF(OR(K2307="", K2307=""), "[Aviso] Categoría no capturada ()", IF(ISNA(MATCH(K2307, Criterios!$A$81:$A$120, 0)), "Categoría no válida", IF(AND(J2307&lt;&gt;"", J2307&lt;&gt;"", J2307&lt;&gt;VLOOKUP(K2307, Criterios!$A$81:$B$120, 2, FALSE)), "División no coincide con Categoría", ""))), IF(OR(L2307="", L2307=""), "[Aviso] Género no capturado ()", IF(ISNA(MATCH(L2307, Criterios!$B$123:$B$127, 0)), "Género no válido", "")), IF(OR(N2307="", N2307=""), "[Aviso] Temporada no capturada ()", IF(ISNA(MATCH(N2307, Criterios!$C$123:$C$128, 0)), "Temporada no válida", "")), IF(OR(O2307="", O2307=""), "[Aviso] Ciclo de vida no capturado ()", IF(ISNA(MATCH(O2307, Criterios!$D$123:$D$124, 0)), "Ciclo de vida no válido", ""))))</f>
        <v/>
      </c>
      <c r="AC2307" s="56" t="n"/>
      <c r="AD2307" s="51" t="n">
        <v>-1</v>
      </c>
      <c r="AE2307" s="156" t="inlineStr">
        <is>
          <t>B25 STETSON.MX (1)</t>
        </is>
      </c>
      <c r="AF2307" s="51" t="n">
        <v>1</v>
      </c>
      <c r="AG2307" s="156" t="inlineStr">
        <is>
          <t>Catálogo existente</t>
        </is>
      </c>
      <c r="AH2307"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7" s="156" t="inlineStr">
        <is>
          <t>Sí</t>
        </is>
      </c>
      <c r="AJ2307" s="156" t="inlineStr">
        <is>
          <t>STETSON AMERICAS (-2)</t>
        </is>
      </c>
      <c r="AK2307" s="155" t="inlineStr">
        <is>
          <t>Criterios: J [R]; G1522_Extraccion_Articulos_NetSuite_2026-09-30.xlsx: fila 58189 [S] | Shopify Stetson: producto 14819774562667 / variante 53350595756395</t>
        </is>
      </c>
      <c r="AL2307" s="58" t="n">
        <v>678.8793103</v>
      </c>
      <c r="AM2307" s="58" t="n">
        <v>1508.62069</v>
      </c>
      <c r="AN2307" s="155" t="inlineStr">
        <is>
          <t>Shopify Stetson México</t>
        </is>
      </c>
      <c r="AO2307" s="59" t="n">
        <v>1</v>
      </c>
      <c r="AP2307" s="59" t="n"/>
      <c r="AQ2307" s="59" t="n"/>
      <c r="AR2307" s="155" t="inlineStr">
        <is>
          <t>Shopify Stetson México › Stetson México: 1</t>
        </is>
      </c>
    </row>
    <row r="2308">
      <c r="A2308" s="50" t="inlineStr">
        <is>
          <t>7506499570473</t>
        </is>
      </c>
      <c r="B2308" s="51" t="inlineStr">
        <is>
          <t>110375</t>
        </is>
      </c>
      <c r="C2308" s="156" t="inlineStr">
        <is>
          <t>Multimarca</t>
        </is>
      </c>
      <c r="D2308" s="156" t="inlineStr">
        <is>
          <t>ST-VR-P-018-FW25-CS</t>
        </is>
      </c>
      <c r="E2308" s="156" t="inlineStr">
        <is>
          <t>ST-VR-P-018-FW25-CS-L</t>
        </is>
      </c>
      <c r="F2308" s="156" t="inlineStr">
        <is>
          <t>L</t>
        </is>
      </c>
      <c r="G2308" s="156" t="inlineStr">
        <is>
          <t>L</t>
        </is>
      </c>
      <c r="H2308" s="156" t="inlineStr">
        <is>
          <t>Stetson</t>
        </is>
      </c>
      <c r="I2308" s="156" t="inlineStr">
        <is>
          <t>Camisa Stetson Vintage Range Chainstorm</t>
        </is>
      </c>
      <c r="J2308" s="156" t="inlineStr">
        <is>
          <t>Ropa</t>
        </is>
      </c>
      <c r="K2308" s="156" t="inlineStr">
        <is>
          <t>Camisas</t>
        </is>
      </c>
      <c r="L2308" s="156" t="inlineStr">
        <is>
          <t>Hombre</t>
        </is>
      </c>
      <c r="M2308" s="156" t="inlineStr">
        <is>
          <t>Stetson</t>
        </is>
      </c>
      <c r="N2308" s="156" t="inlineStr">
        <is>
          <t>SS26</t>
        </is>
      </c>
      <c r="O2308" s="156" t="inlineStr">
        <is>
          <t>Seasonal</t>
        </is>
      </c>
      <c r="P2308" s="156" t="n"/>
      <c r="Q2308" s="156" t="inlineStr">
        <is>
          <t>Clásico</t>
        </is>
      </c>
      <c r="R2308" s="156" t="n"/>
      <c r="S2308" s="156" t="inlineStr">
        <is>
          <t>100% Algodón</t>
        </is>
      </c>
      <c r="T230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8" s="156" t="n"/>
      <c r="V2308" s="156" t="inlineStr">
        <is>
          <t>PZS</t>
        </is>
      </c>
      <c r="W2308" s="51" t="inlineStr">
        <is>
          <t>53101600</t>
        </is>
      </c>
      <c r="X2308" s="156" t="inlineStr">
        <is>
          <t>https://cdn.shopify.com/s/files/1/0888/3250/8267/files/ST-VR-P-018-CS-04.jpg?v=1762368301</t>
        </is>
      </c>
      <c r="Y2308" s="54" t="n">
        <v>678.8793103</v>
      </c>
      <c r="Z2308" s="54" t="n">
        <v>1508.62069</v>
      </c>
      <c r="AA2308" s="55">
        <f>IF(AND(A2308="", B2308="", E2308=""), "", IF(AB2308="", "Válido", IF((LEN(AB2308)-LEN(SUBSTITUTE(AB2308,"; ","")))/2+1&gt;(LEN(AB2308)-LEN(SUBSTITUTE(AB2308,"[Aviso]","")))/7, "Con Incidencias", "Válido")))</f>
        <v/>
      </c>
      <c r="AB2308" s="56">
        <f>IF(AND(A2308="", B2308="", E2308=""), "", TEXTJOIN("; ", TRUE, IF(OR(TRIM(A2308&amp;"")="", ISNUMBER(SEARCH("FALTA", A2308))), "UPC faltante/inválido", ""), IF(AND(A2308&lt;&gt;"", IFERROR(_xlfn.XMATCH(A2308,$A$2:$A$2509,0,1)&lt;&gt;_xlfn.XMATCH(A2308,$A$2:$A$2509,0,-1),FALSE)), "Código de barras duplicado", ""), IF(AND(E2308&lt;&gt;"", COUNTIF($E$2:$E$2509, E2308)&gt;1), "SKU duplicado", ""), IF(OR(J2308="", J2308=""), "[Aviso] División no capturada ()", IF(ISNA(MATCH(J2308, Criterios!$A$123:$A$126, 0)), "División no válida", "")), IF(OR(K2308="", K2308=""), "[Aviso] Categoría no capturada ()", IF(ISNA(MATCH(K2308, Criterios!$A$81:$A$120, 0)), "Categoría no válida", IF(AND(J2308&lt;&gt;"", J2308&lt;&gt;"", J2308&lt;&gt;VLOOKUP(K2308, Criterios!$A$81:$B$120, 2, FALSE)), "División no coincide con Categoría", ""))), IF(OR(L2308="", L2308=""), "[Aviso] Género no capturado ()", IF(ISNA(MATCH(L2308, Criterios!$B$123:$B$127, 0)), "Género no válido", "")), IF(OR(N2308="", N2308=""), "[Aviso] Temporada no capturada ()", IF(ISNA(MATCH(N2308, Criterios!$C$123:$C$128, 0)), "Temporada no válida", "")), IF(OR(O2308="", O2308=""), "[Aviso] Ciclo de vida no capturado ()", IF(ISNA(MATCH(O2308, Criterios!$D$123:$D$124, 0)), "Ciclo de vida no válido", ""))))</f>
        <v/>
      </c>
      <c r="AC2308" s="56" t="n"/>
      <c r="AD2308" s="51" t="n">
        <v>7</v>
      </c>
      <c r="AE2308" s="156" t="inlineStr">
        <is>
          <t>B25 STETSON.MX (10)</t>
        </is>
      </c>
      <c r="AF2308" s="51" t="n">
        <v>10</v>
      </c>
      <c r="AG2308" s="156" t="inlineStr">
        <is>
          <t>Catálogo existente</t>
        </is>
      </c>
      <c r="AH230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8" s="156" t="inlineStr">
        <is>
          <t>Sí</t>
        </is>
      </c>
      <c r="AJ2308" s="156" t="inlineStr">
        <is>
          <t>STETSON AMERICAS (-3)</t>
        </is>
      </c>
      <c r="AK2308" s="155" t="inlineStr">
        <is>
          <t>Criterios: J [R]; G1522_Extraccion_Articulos_NetSuite_2026-09-30.xlsx: fila 58190 [S] | Shopify Stetson: producto 14819774562667 / variante 53350595789163</t>
        </is>
      </c>
      <c r="AL2308" s="58" t="n">
        <v>678.8793103</v>
      </c>
      <c r="AM2308" s="58" t="n">
        <v>1508.62069</v>
      </c>
      <c r="AN2308" s="155" t="inlineStr">
        <is>
          <t>Shopify Stetson México</t>
        </is>
      </c>
      <c r="AO2308" s="59" t="n">
        <v>13</v>
      </c>
      <c r="AP2308" s="59" t="n"/>
      <c r="AQ2308" s="59" t="n"/>
      <c r="AR2308" s="155" t="inlineStr">
        <is>
          <t>Shopify Stetson México › Stetson México: 10 | Shopify Stetson México › Stetson Americas: 3</t>
        </is>
      </c>
    </row>
    <row r="2309">
      <c r="A2309" s="50" t="inlineStr">
        <is>
          <t>7506499570480</t>
        </is>
      </c>
      <c r="B2309" s="51" t="inlineStr">
        <is>
          <t>110376</t>
        </is>
      </c>
      <c r="C2309" s="156" t="inlineStr">
        <is>
          <t>Multimarca</t>
        </is>
      </c>
      <c r="D2309" s="156" t="inlineStr">
        <is>
          <t>ST-VR-P-018-FW25-CS</t>
        </is>
      </c>
      <c r="E2309" s="156" t="inlineStr">
        <is>
          <t>ST-VR-P-018-FW25-CS-XL</t>
        </is>
      </c>
      <c r="F2309" s="156" t="inlineStr">
        <is>
          <t>XL</t>
        </is>
      </c>
      <c r="G2309" s="156" t="inlineStr">
        <is>
          <t>XL</t>
        </is>
      </c>
      <c r="H2309" s="156" t="inlineStr">
        <is>
          <t>Stetson</t>
        </is>
      </c>
      <c r="I2309" s="156" t="inlineStr">
        <is>
          <t>Camisa Stetson Vintage Range Chainstorm</t>
        </is>
      </c>
      <c r="J2309" s="156" t="inlineStr">
        <is>
          <t>Ropa</t>
        </is>
      </c>
      <c r="K2309" s="156" t="inlineStr">
        <is>
          <t>Camisas</t>
        </is>
      </c>
      <c r="L2309" s="156" t="inlineStr">
        <is>
          <t>Hombre</t>
        </is>
      </c>
      <c r="M2309" s="156" t="inlineStr">
        <is>
          <t>Stetson</t>
        </is>
      </c>
      <c r="N2309" s="156" t="inlineStr">
        <is>
          <t>SS26</t>
        </is>
      </c>
      <c r="O2309" s="156" t="inlineStr">
        <is>
          <t>Seasonal</t>
        </is>
      </c>
      <c r="P2309" s="156" t="n"/>
      <c r="Q2309" s="156" t="inlineStr">
        <is>
          <t>Relajado</t>
        </is>
      </c>
      <c r="R2309" s="156" t="n"/>
      <c r="S2309" s="156" t="inlineStr">
        <is>
          <t>100% Algodón</t>
        </is>
      </c>
      <c r="T230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09" s="156" t="n"/>
      <c r="V2309" s="156" t="inlineStr">
        <is>
          <t>PZS</t>
        </is>
      </c>
      <c r="W2309" s="51" t="inlineStr">
        <is>
          <t>53101600</t>
        </is>
      </c>
      <c r="X2309" s="156" t="inlineStr">
        <is>
          <t>https://cdn.shopify.com/s/files/1/0888/3250/8267/files/ST-VR-P-018-CS-02.jpg?v=1762368301</t>
        </is>
      </c>
      <c r="Y2309" s="54" t="n">
        <v>678.8793103</v>
      </c>
      <c r="Z2309" s="54" t="n">
        <v>1508.62069</v>
      </c>
      <c r="AA2309" s="55">
        <f>IF(AND(A2309="", B2309="", E2309=""), "", IF(AB2309="", "Válido", IF((LEN(AB2309)-LEN(SUBSTITUTE(AB2309,"; ","")))/2+1&gt;(LEN(AB2309)-LEN(SUBSTITUTE(AB2309,"[Aviso]","")))/7, "Con Incidencias", "Válido")))</f>
        <v/>
      </c>
      <c r="AB2309" s="56">
        <f>IF(AND(A2309="", B2309="", E2309=""), "", TEXTJOIN("; ", TRUE, IF(OR(TRIM(A2309&amp;"")="", ISNUMBER(SEARCH("FALTA", A2309))), "UPC faltante/inválido", ""), IF(AND(A2309&lt;&gt;"", IFERROR(_xlfn.XMATCH(A2309,$A$2:$A$2509,0,1)&lt;&gt;_xlfn.XMATCH(A2309,$A$2:$A$2509,0,-1),FALSE)), "Código de barras duplicado", ""), IF(AND(E2309&lt;&gt;"", COUNTIF($E$2:$E$2509, E2309)&gt;1), "SKU duplicado", ""), IF(OR(J2309="", J2309=""), "[Aviso] División no capturada ()", IF(ISNA(MATCH(J2309, Criterios!$A$123:$A$126, 0)), "División no válida", "")), IF(OR(K2309="", K2309=""), "[Aviso] Categoría no capturada ()", IF(ISNA(MATCH(K2309, Criterios!$A$81:$A$120, 0)), "Categoría no válida", IF(AND(J2309&lt;&gt;"", J2309&lt;&gt;"", J2309&lt;&gt;VLOOKUP(K2309, Criterios!$A$81:$B$120, 2, FALSE)), "División no coincide con Categoría", ""))), IF(OR(L2309="", L2309=""), "[Aviso] Género no capturado ()", IF(ISNA(MATCH(L2309, Criterios!$B$123:$B$127, 0)), "Género no válido", "")), IF(OR(N2309="", N2309=""), "[Aviso] Temporada no capturada ()", IF(ISNA(MATCH(N2309, Criterios!$C$123:$C$128, 0)), "Temporada no válida", "")), IF(OR(O2309="", O2309=""), "[Aviso] Ciclo de vida no capturado ()", IF(ISNA(MATCH(O2309, Criterios!$D$123:$D$124, 0)), "Ciclo de vida no válido", ""))))</f>
        <v/>
      </c>
      <c r="AC2309" s="56" t="n"/>
      <c r="AD2309" s="51" t="n">
        <v>0</v>
      </c>
      <c r="AE2309" s="156" t="n"/>
      <c r="AF2309" s="51" t="n">
        <v>0</v>
      </c>
      <c r="AG2309" s="156" t="inlineStr">
        <is>
          <t>Catálogo existente</t>
        </is>
      </c>
      <c r="AH230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9" s="156" t="inlineStr">
        <is>
          <t>No</t>
        </is>
      </c>
      <c r="AJ2309" s="156" t="n"/>
      <c r="AK2309" s="155" t="inlineStr">
        <is>
          <t>Criterios: J [R]; G1522_Extraccion_Articulos_NetSuite_2026-09-30.xlsx: fila 58191 [S] | Shopify Stetson: producto 14819774562667 / variante 53350595821931</t>
        </is>
      </c>
      <c r="AL2309" s="58" t="n">
        <v>678.8793103</v>
      </c>
      <c r="AM2309" s="58" t="n">
        <v>1508.62069</v>
      </c>
      <c r="AN2309" s="155" t="inlineStr">
        <is>
          <t>Shopify Stetson México</t>
        </is>
      </c>
      <c r="AO2309" s="59" t="n">
        <v>3</v>
      </c>
      <c r="AP2309" s="59" t="n"/>
      <c r="AQ2309" s="59" t="n"/>
      <c r="AR2309" s="155" t="inlineStr">
        <is>
          <t>Shopify Stetson México › Stetson Americas: 3</t>
        </is>
      </c>
    </row>
    <row r="2310">
      <c r="A2310" s="50" t="inlineStr">
        <is>
          <t>7506499570497</t>
        </is>
      </c>
      <c r="B2310" s="51" t="inlineStr">
        <is>
          <t>110377</t>
        </is>
      </c>
      <c r="C2310" s="156" t="inlineStr">
        <is>
          <t>Multimarca</t>
        </is>
      </c>
      <c r="D2310" s="156" t="inlineStr">
        <is>
          <t>ST-VR-P-018-FW25-CS</t>
        </is>
      </c>
      <c r="E2310" s="156" t="inlineStr">
        <is>
          <t>ST-VR-P-018-FW25-CS-XXL</t>
        </is>
      </c>
      <c r="F2310" s="156" t="inlineStr">
        <is>
          <t>XXL</t>
        </is>
      </c>
      <c r="G2310" s="156" t="inlineStr">
        <is>
          <t>XXL</t>
        </is>
      </c>
      <c r="H2310" s="156" t="inlineStr">
        <is>
          <t>Stetson</t>
        </is>
      </c>
      <c r="I2310" s="156" t="inlineStr">
        <is>
          <t>Camisa Stetson Vintage Range Chainstorm</t>
        </is>
      </c>
      <c r="J2310" s="156" t="inlineStr">
        <is>
          <t>Ropa</t>
        </is>
      </c>
      <c r="K2310" s="156" t="inlineStr">
        <is>
          <t>Camisas</t>
        </is>
      </c>
      <c r="L2310" s="156" t="inlineStr">
        <is>
          <t>Hombre</t>
        </is>
      </c>
      <c r="M2310" s="156" t="inlineStr">
        <is>
          <t>Stetson</t>
        </is>
      </c>
      <c r="N2310" s="156" t="inlineStr">
        <is>
          <t>SS26</t>
        </is>
      </c>
      <c r="O2310" s="156" t="inlineStr">
        <is>
          <t>Seasonal</t>
        </is>
      </c>
      <c r="P2310" s="156" t="n"/>
      <c r="Q2310" s="156" t="inlineStr">
        <is>
          <t>Clásico</t>
        </is>
      </c>
      <c r="R2310" s="156" t="n"/>
      <c r="S2310" s="156" t="inlineStr">
        <is>
          <t>100% Algodón</t>
        </is>
      </c>
      <c r="T231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0" s="156" t="n"/>
      <c r="V2310" s="156" t="inlineStr">
        <is>
          <t>PZS</t>
        </is>
      </c>
      <c r="W2310" s="51" t="inlineStr">
        <is>
          <t>53101600</t>
        </is>
      </c>
      <c r="X2310" s="156" t="inlineStr">
        <is>
          <t>https://cdn.shopify.com/s/files/1/0888/3250/8267/files/ST-VR-P-018-CS-01.jpg?v=1762367973</t>
        </is>
      </c>
      <c r="Y2310" s="54" t="n">
        <v>678.8793103</v>
      </c>
      <c r="Z2310" s="54" t="n">
        <v>1508.62069</v>
      </c>
      <c r="AA2310" s="55">
        <f>IF(AND(A2310="", B2310="", E2310=""), "", IF(AB2310="", "Válido", IF((LEN(AB2310)-LEN(SUBSTITUTE(AB2310,"; ","")))/2+1&gt;(LEN(AB2310)-LEN(SUBSTITUTE(AB2310,"[Aviso]","")))/7, "Con Incidencias", "Válido")))</f>
        <v/>
      </c>
      <c r="AB2310" s="56">
        <f>IF(AND(A2310="", B2310="", E2310=""), "", TEXTJOIN("; ", TRUE, IF(OR(TRIM(A2310&amp;"")="", ISNUMBER(SEARCH("FALTA", A2310))), "UPC faltante/inválido", ""), IF(AND(A2310&lt;&gt;"", IFERROR(_xlfn.XMATCH(A2310,$A$2:$A$2509,0,1)&lt;&gt;_xlfn.XMATCH(A2310,$A$2:$A$2509,0,-1),FALSE)), "Código de barras duplicado", ""), IF(AND(E2310&lt;&gt;"", COUNTIF($E$2:$E$2509, E2310)&gt;1), "SKU duplicado", ""), IF(OR(J2310="", J2310=""), "[Aviso] División no capturada ()", IF(ISNA(MATCH(J2310, Criterios!$A$123:$A$126, 0)), "División no válida", "")), IF(OR(K2310="", K2310=""), "[Aviso] Categoría no capturada ()", IF(ISNA(MATCH(K2310, Criterios!$A$81:$A$120, 0)), "Categoría no válida", IF(AND(J2310&lt;&gt;"", J2310&lt;&gt;"", J2310&lt;&gt;VLOOKUP(K2310, Criterios!$A$81:$B$120, 2, FALSE)), "División no coincide con Categoría", ""))), IF(OR(L2310="", L2310=""), "[Aviso] Género no capturado ()", IF(ISNA(MATCH(L2310, Criterios!$B$123:$B$127, 0)), "Género no válido", "")), IF(OR(N2310="", N2310=""), "[Aviso] Temporada no capturada ()", IF(ISNA(MATCH(N2310, Criterios!$C$123:$C$128, 0)), "Temporada no válida", "")), IF(OR(O2310="", O2310=""), "[Aviso] Ciclo de vida no capturado ()", IF(ISNA(MATCH(O2310, Criterios!$D$123:$D$124, 0)), "Ciclo de vida no válido", ""))))</f>
        <v/>
      </c>
      <c r="AC2310" s="56" t="n"/>
      <c r="AD2310" s="51" t="n">
        <v>-1</v>
      </c>
      <c r="AE2310" s="156" t="inlineStr">
        <is>
          <t>B25 STETSON.MX (1)</t>
        </is>
      </c>
      <c r="AF2310" s="51" t="n">
        <v>1</v>
      </c>
      <c r="AG2310" s="156" t="inlineStr">
        <is>
          <t>Catálogo existente</t>
        </is>
      </c>
      <c r="AH231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0" s="156" t="inlineStr">
        <is>
          <t>Sí</t>
        </is>
      </c>
      <c r="AJ2310" s="156" t="inlineStr">
        <is>
          <t>STETSON AMERICAS (-2)</t>
        </is>
      </c>
      <c r="AK2310" s="155" t="inlineStr">
        <is>
          <t>Criterios: J [R]; G1522_Extraccion_Articulos_NetSuite_2026-09-30.xlsx: fila 58192 [S] | Shopify Stetson: producto 14819774562667 / variante 53350595854699</t>
        </is>
      </c>
      <c r="AL2310" s="58" t="n">
        <v>678.8793103</v>
      </c>
      <c r="AM2310" s="58" t="n">
        <v>1508.62069</v>
      </c>
      <c r="AN2310" s="155" t="inlineStr">
        <is>
          <t>Shopify Stetson México</t>
        </is>
      </c>
      <c r="AO2310" s="59" t="n">
        <v>1</v>
      </c>
      <c r="AP2310" s="59" t="n"/>
      <c r="AQ2310" s="59" t="n"/>
      <c r="AR2310" s="155" t="inlineStr">
        <is>
          <t>Shopify Stetson México › Stetson México: 1</t>
        </is>
      </c>
    </row>
    <row r="2311">
      <c r="A2311" s="50" t="inlineStr">
        <is>
          <t>7506499570503</t>
        </is>
      </c>
      <c r="B2311" s="51" t="inlineStr">
        <is>
          <t>110378</t>
        </is>
      </c>
      <c r="C2311" s="156" t="inlineStr">
        <is>
          <t>Multimarca</t>
        </is>
      </c>
      <c r="D2311" s="156" t="inlineStr">
        <is>
          <t>ST-VR-P-019-FW25-CM</t>
        </is>
      </c>
      <c r="E2311" s="156" t="inlineStr">
        <is>
          <t>ST-VR-P-019-FW25-CM-S</t>
        </is>
      </c>
      <c r="F2311" s="156" t="inlineStr">
        <is>
          <t>S</t>
        </is>
      </c>
      <c r="G2311" s="156" t="inlineStr">
        <is>
          <t>S</t>
        </is>
      </c>
      <c r="H2311" s="156" t="inlineStr">
        <is>
          <t>Stetson</t>
        </is>
      </c>
      <c r="I2311" s="156" t="inlineStr">
        <is>
          <t>Camisa Stetson Vintage Range Cenote Maze</t>
        </is>
      </c>
      <c r="J2311" s="156" t="inlineStr">
        <is>
          <t>Ropa</t>
        </is>
      </c>
      <c r="K2311" s="156" t="inlineStr">
        <is>
          <t>Camisas</t>
        </is>
      </c>
      <c r="L2311" s="156" t="inlineStr">
        <is>
          <t>Hombre</t>
        </is>
      </c>
      <c r="M2311" s="156" t="inlineStr">
        <is>
          <t>Stetson</t>
        </is>
      </c>
      <c r="N2311" s="156" t="inlineStr">
        <is>
          <t>SS26</t>
        </is>
      </c>
      <c r="O2311" s="156" t="inlineStr">
        <is>
          <t>Seasonal</t>
        </is>
      </c>
      <c r="P2311" s="156" t="n"/>
      <c r="Q2311" s="156" t="inlineStr">
        <is>
          <t>Clásico</t>
        </is>
      </c>
      <c r="R2311" s="156" t="n"/>
      <c r="S2311" s="156" t="inlineStr">
        <is>
          <t>100% Algodón</t>
        </is>
      </c>
      <c r="T231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1" s="156" t="n"/>
      <c r="V2311" s="156" t="inlineStr">
        <is>
          <t>PZS</t>
        </is>
      </c>
      <c r="W2311" s="51" t="inlineStr">
        <is>
          <t>53101600</t>
        </is>
      </c>
      <c r="X2311" s="156" t="inlineStr">
        <is>
          <t>https://cdn.shopify.com/s/files/1/0888/3250/8267/files/ST-VR-P-019-CM-01.jpg?v=1762368538</t>
        </is>
      </c>
      <c r="Y2311" s="54" t="n">
        <v>678.8793103</v>
      </c>
      <c r="Z2311" s="54" t="n">
        <v>1508.62069</v>
      </c>
      <c r="AA2311" s="55">
        <f>IF(AND(A2311="", B2311="", E2311=""), "", IF(AB2311="", "Válido", IF((LEN(AB2311)-LEN(SUBSTITUTE(AB2311,"; ","")))/2+1&gt;(LEN(AB2311)-LEN(SUBSTITUTE(AB2311,"[Aviso]","")))/7, "Con Incidencias", "Válido")))</f>
        <v/>
      </c>
      <c r="AB2311" s="56">
        <f>IF(AND(A2311="", B2311="", E2311=""), "", TEXTJOIN("; ", TRUE, IF(OR(TRIM(A2311&amp;"")="", ISNUMBER(SEARCH("FALTA", A2311))), "UPC faltante/inválido", ""), IF(AND(A2311&lt;&gt;"", IFERROR(_xlfn.XMATCH(A2311,$A$2:$A$2509,0,1)&lt;&gt;_xlfn.XMATCH(A2311,$A$2:$A$2509,0,-1),FALSE)), "Código de barras duplicado", ""), IF(AND(E2311&lt;&gt;"", COUNTIF($E$2:$E$2509, E2311)&gt;1), "SKU duplicado", ""), IF(OR(J2311="", J2311=""), "[Aviso] División no capturada ()", IF(ISNA(MATCH(J2311, Criterios!$A$123:$A$126, 0)), "División no válida", "")), IF(OR(K2311="", K2311=""), "[Aviso] Categoría no capturada ()", IF(ISNA(MATCH(K2311, Criterios!$A$81:$A$120, 0)), "Categoría no válida", IF(AND(J2311&lt;&gt;"", J2311&lt;&gt;"", J2311&lt;&gt;VLOOKUP(K2311, Criterios!$A$81:$B$120, 2, FALSE)), "División no coincide con Categoría", ""))), IF(OR(L2311="", L2311=""), "[Aviso] Género no capturado ()", IF(ISNA(MATCH(L2311, Criterios!$B$123:$B$127, 0)), "Género no válido", "")), IF(OR(N2311="", N2311=""), "[Aviso] Temporada no capturada ()", IF(ISNA(MATCH(N2311, Criterios!$C$123:$C$128, 0)), "Temporada no válida", "")), IF(OR(O2311="", O2311=""), "[Aviso] Ciclo de vida no capturado ()", IF(ISNA(MATCH(O2311, Criterios!$D$123:$D$124, 0)), "Ciclo de vida no válido", ""))))</f>
        <v/>
      </c>
      <c r="AC2311" s="56" t="n"/>
      <c r="AD2311" s="51" t="n">
        <v>6</v>
      </c>
      <c r="AE2311" s="156" t="inlineStr">
        <is>
          <t>B25 STETSON.MX (7)</t>
        </is>
      </c>
      <c r="AF2311" s="51" t="n">
        <v>7</v>
      </c>
      <c r="AG2311" s="156" t="inlineStr">
        <is>
          <t>Catálogo existente</t>
        </is>
      </c>
      <c r="AH231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1" s="156" t="inlineStr">
        <is>
          <t>Sí</t>
        </is>
      </c>
      <c r="AJ2311" s="156" t="inlineStr">
        <is>
          <t>STETSON AMERICAS (-1)</t>
        </is>
      </c>
      <c r="AK2311" s="155" t="inlineStr">
        <is>
          <t>Criterios: J [R]; G1522_Extraccion_Articulos_NetSuite_2026-09-30.xlsx: fila 58193 [S] | Shopify Stetson: producto 14819775185259 / variante 53350595559787</t>
        </is>
      </c>
      <c r="AL2311" s="58" t="n">
        <v>678.8793103</v>
      </c>
      <c r="AM2311" s="58" t="n">
        <v>1508.62069</v>
      </c>
      <c r="AN2311" s="155" t="inlineStr">
        <is>
          <t>Shopify Stetson México</t>
        </is>
      </c>
      <c r="AO2311" s="59" t="n">
        <v>10</v>
      </c>
      <c r="AP2311" s="59" t="n"/>
      <c r="AQ2311" s="59" t="n"/>
      <c r="AR2311" s="155" t="inlineStr">
        <is>
          <t>Shopify Stetson México › Stetson México: 7 | Shopify Stetson México › Stetson Americas: 3</t>
        </is>
      </c>
    </row>
    <row r="2312">
      <c r="A2312" s="50" t="inlineStr">
        <is>
          <t>7506499570510</t>
        </is>
      </c>
      <c r="B2312" s="51" t="inlineStr">
        <is>
          <t>110379</t>
        </is>
      </c>
      <c r="C2312" s="156" t="inlineStr">
        <is>
          <t>Multimarca</t>
        </is>
      </c>
      <c r="D2312" s="156" t="inlineStr">
        <is>
          <t>ST-VR-P-019-FW25-CM</t>
        </is>
      </c>
      <c r="E2312" s="156" t="inlineStr">
        <is>
          <t>ST-VR-P-019-FW25-CM-M</t>
        </is>
      </c>
      <c r="F2312" s="156" t="inlineStr">
        <is>
          <t>M</t>
        </is>
      </c>
      <c r="G2312" s="156" t="inlineStr">
        <is>
          <t>M</t>
        </is>
      </c>
      <c r="H2312" s="156" t="inlineStr">
        <is>
          <t>Stetson</t>
        </is>
      </c>
      <c r="I2312" s="156" t="inlineStr">
        <is>
          <t>Camisa Stetson Vintage Range Cenote Maze</t>
        </is>
      </c>
      <c r="J2312" s="156" t="inlineStr">
        <is>
          <t>Ropa</t>
        </is>
      </c>
      <c r="K2312" s="156" t="inlineStr">
        <is>
          <t>Camisas</t>
        </is>
      </c>
      <c r="L2312" s="156" t="inlineStr">
        <is>
          <t>Hombre</t>
        </is>
      </c>
      <c r="M2312" s="156" t="inlineStr">
        <is>
          <t>Stetson</t>
        </is>
      </c>
      <c r="N2312" s="156" t="inlineStr">
        <is>
          <t>SS26</t>
        </is>
      </c>
      <c r="O2312" s="156" t="inlineStr">
        <is>
          <t>Seasonal</t>
        </is>
      </c>
      <c r="P2312" s="156" t="n"/>
      <c r="Q2312" s="156" t="inlineStr">
        <is>
          <t>Clásico</t>
        </is>
      </c>
      <c r="R2312" s="156" t="n"/>
      <c r="S2312" s="156" t="inlineStr">
        <is>
          <t>100% Algodón</t>
        </is>
      </c>
      <c r="T231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2" s="156" t="n"/>
      <c r="V2312" s="156" t="inlineStr">
        <is>
          <t>PZS</t>
        </is>
      </c>
      <c r="W2312" s="51" t="inlineStr">
        <is>
          <t>53101600</t>
        </is>
      </c>
      <c r="X2312" s="156" t="inlineStr">
        <is>
          <t>https://cdn.shopify.com/s/files/1/0888/3250/8267/files/ST-VR-P-019-CM-02.jpg?v=1762368538</t>
        </is>
      </c>
      <c r="Y2312" s="54" t="n">
        <v>678.8793103</v>
      </c>
      <c r="Z2312" s="54" t="n">
        <v>1508.62069</v>
      </c>
      <c r="AA2312" s="55">
        <f>IF(AND(A2312="", B2312="", E2312=""), "", IF(AB2312="", "Válido", IF((LEN(AB2312)-LEN(SUBSTITUTE(AB2312,"; ","")))/2+1&gt;(LEN(AB2312)-LEN(SUBSTITUTE(AB2312,"[Aviso]","")))/7, "Con Incidencias", "Válido")))</f>
        <v/>
      </c>
      <c r="AB2312" s="56">
        <f>IF(AND(A2312="", B2312="", E2312=""), "", TEXTJOIN("; ", TRUE, IF(OR(TRIM(A2312&amp;"")="", ISNUMBER(SEARCH("FALTA", A2312))), "UPC faltante/inválido", ""), IF(AND(A2312&lt;&gt;"", IFERROR(_xlfn.XMATCH(A2312,$A$2:$A$2509,0,1)&lt;&gt;_xlfn.XMATCH(A2312,$A$2:$A$2509,0,-1),FALSE)), "Código de barras duplicado", ""), IF(AND(E2312&lt;&gt;"", COUNTIF($E$2:$E$2509, E2312)&gt;1), "SKU duplicado", ""), IF(OR(J2312="", J2312=""), "[Aviso] División no capturada ()", IF(ISNA(MATCH(J2312, Criterios!$A$123:$A$126, 0)), "División no válida", "")), IF(OR(K2312="", K2312=""), "[Aviso] Categoría no capturada ()", IF(ISNA(MATCH(K2312, Criterios!$A$81:$A$120, 0)), "Categoría no válida", IF(AND(J2312&lt;&gt;"", J2312&lt;&gt;"", J2312&lt;&gt;VLOOKUP(K2312, Criterios!$A$81:$B$120, 2, FALSE)), "División no coincide con Categoría", ""))), IF(OR(L2312="", L2312=""), "[Aviso] Género no capturado ()", IF(ISNA(MATCH(L2312, Criterios!$B$123:$B$127, 0)), "Género no válido", "")), IF(OR(N2312="", N2312=""), "[Aviso] Temporada no capturada ()", IF(ISNA(MATCH(N2312, Criterios!$C$123:$C$128, 0)), "Temporada no válida", "")), IF(OR(O2312="", O2312=""), "[Aviso] Ciclo de vida no capturado ()", IF(ISNA(MATCH(O2312, Criterios!$D$123:$D$124, 0)), "Ciclo de vida no válido", ""))))</f>
        <v/>
      </c>
      <c r="AC2312" s="56" t="n"/>
      <c r="AD2312" s="51" t="n">
        <v>7</v>
      </c>
      <c r="AE2312" s="156" t="inlineStr">
        <is>
          <t>B25 STETSON.MX (10)</t>
        </is>
      </c>
      <c r="AF2312" s="51" t="n">
        <v>10</v>
      </c>
      <c r="AG2312" s="156" t="inlineStr">
        <is>
          <t>Catálogo existente</t>
        </is>
      </c>
      <c r="AH231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2" s="156" t="inlineStr">
        <is>
          <t>Sí</t>
        </is>
      </c>
      <c r="AJ2312" s="156" t="inlineStr">
        <is>
          <t>STETSON AMERICAS (-3)</t>
        </is>
      </c>
      <c r="AK2312" s="155" t="inlineStr">
        <is>
          <t>Criterios: J [R]; G1522_Extraccion_Articulos_NetSuite_2026-09-30.xlsx: fila 58194 [S] | Shopify Stetson: producto 14819775185259 / variante 53350595592555</t>
        </is>
      </c>
      <c r="AL2312" s="58" t="n">
        <v>678.8793103</v>
      </c>
      <c r="AM2312" s="58" t="n">
        <v>1508.62069</v>
      </c>
      <c r="AN2312" s="155" t="inlineStr">
        <is>
          <t>Shopify Stetson México</t>
        </is>
      </c>
      <c r="AO2312" s="59" t="n">
        <v>11</v>
      </c>
      <c r="AP2312" s="59" t="n"/>
      <c r="AQ2312" s="59" t="n"/>
      <c r="AR2312" s="155" t="inlineStr">
        <is>
          <t>Shopify Stetson México › Stetson México: 10 | Shopify Stetson México › Stetson Americas: 1</t>
        </is>
      </c>
    </row>
    <row r="2313">
      <c r="A2313" s="50" t="inlineStr">
        <is>
          <t>7506499570527</t>
        </is>
      </c>
      <c r="B2313" s="51" t="inlineStr">
        <is>
          <t>110380</t>
        </is>
      </c>
      <c r="C2313" s="156" t="inlineStr">
        <is>
          <t>Multimarca</t>
        </is>
      </c>
      <c r="D2313" s="156" t="inlineStr">
        <is>
          <t>ST-VR-P-019-FW25-CM</t>
        </is>
      </c>
      <c r="E2313" s="156" t="inlineStr">
        <is>
          <t>ST-VR-P-019-FW25-CM-L</t>
        </is>
      </c>
      <c r="F2313" s="156" t="inlineStr">
        <is>
          <t>L</t>
        </is>
      </c>
      <c r="G2313" s="156" t="inlineStr">
        <is>
          <t>L</t>
        </is>
      </c>
      <c r="H2313" s="156" t="inlineStr">
        <is>
          <t>Stetson</t>
        </is>
      </c>
      <c r="I2313" s="156" t="inlineStr">
        <is>
          <t>Camisa Stetson Vintage Range Cenote Maze</t>
        </is>
      </c>
      <c r="J2313" s="156" t="inlineStr">
        <is>
          <t>Ropa</t>
        </is>
      </c>
      <c r="K2313" s="156" t="inlineStr">
        <is>
          <t>Camisas</t>
        </is>
      </c>
      <c r="L2313" s="156" t="inlineStr">
        <is>
          <t>Hombre</t>
        </is>
      </c>
      <c r="M2313" s="156" t="inlineStr">
        <is>
          <t>Stetson</t>
        </is>
      </c>
      <c r="N2313" s="156" t="inlineStr">
        <is>
          <t>SS26</t>
        </is>
      </c>
      <c r="O2313" s="156" t="inlineStr">
        <is>
          <t>Seasonal</t>
        </is>
      </c>
      <c r="P2313" s="156" t="n"/>
      <c r="Q2313" s="156" t="inlineStr">
        <is>
          <t>Clásico</t>
        </is>
      </c>
      <c r="R2313" s="156" t="n"/>
      <c r="S2313" s="156" t="inlineStr">
        <is>
          <t>100% Algodón</t>
        </is>
      </c>
      <c r="T231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3" s="156" t="n"/>
      <c r="V2313" s="156" t="inlineStr">
        <is>
          <t>PZS</t>
        </is>
      </c>
      <c r="W2313" s="51" t="inlineStr">
        <is>
          <t>53101600</t>
        </is>
      </c>
      <c r="X2313" s="156" t="inlineStr">
        <is>
          <t>https://cdn.shopify.com/s/files/1/0888/3250/8267/files/ST-VR-P-019-CM-03.jpg?v=1762368538</t>
        </is>
      </c>
      <c r="Y2313" s="54" t="n">
        <v>678.8793103</v>
      </c>
      <c r="Z2313" s="54" t="n">
        <v>1508.62069</v>
      </c>
      <c r="AA2313" s="55">
        <f>IF(AND(A2313="", B2313="", E2313=""), "", IF(AB2313="", "Válido", IF((LEN(AB2313)-LEN(SUBSTITUTE(AB2313,"; ","")))/2+1&gt;(LEN(AB2313)-LEN(SUBSTITUTE(AB2313,"[Aviso]","")))/7, "Con Incidencias", "Válido")))</f>
        <v/>
      </c>
      <c r="AB2313" s="56">
        <f>IF(AND(A2313="", B2313="", E2313=""), "", TEXTJOIN("; ", TRUE, IF(OR(TRIM(A2313&amp;"")="", ISNUMBER(SEARCH("FALTA", A2313))), "UPC faltante/inválido", ""), IF(AND(A2313&lt;&gt;"", IFERROR(_xlfn.XMATCH(A2313,$A$2:$A$2509,0,1)&lt;&gt;_xlfn.XMATCH(A2313,$A$2:$A$2509,0,-1),FALSE)), "Código de barras duplicado", ""), IF(AND(E2313&lt;&gt;"", COUNTIF($E$2:$E$2509, E2313)&gt;1), "SKU duplicado", ""), IF(OR(J2313="", J2313=""), "[Aviso] División no capturada ()", IF(ISNA(MATCH(J2313, Criterios!$A$123:$A$126, 0)), "División no válida", "")), IF(OR(K2313="", K2313=""), "[Aviso] Categoría no capturada ()", IF(ISNA(MATCH(K2313, Criterios!$A$81:$A$120, 0)), "Categoría no válida", IF(AND(J2313&lt;&gt;"", J2313&lt;&gt;"", J2313&lt;&gt;VLOOKUP(K2313, Criterios!$A$81:$B$120, 2, FALSE)), "División no coincide con Categoría", ""))), IF(OR(L2313="", L2313=""), "[Aviso] Género no capturado ()", IF(ISNA(MATCH(L2313, Criterios!$B$123:$B$127, 0)), "Género no válido", "")), IF(OR(N2313="", N2313=""), "[Aviso] Temporada no capturada ()", IF(ISNA(MATCH(N2313, Criterios!$C$123:$C$128, 0)), "Temporada no válida", "")), IF(OR(O2313="", O2313=""), "[Aviso] Ciclo de vida no capturado ()", IF(ISNA(MATCH(O2313, Criterios!$D$123:$D$124, 0)), "Ciclo de vida no válido", ""))))</f>
        <v/>
      </c>
      <c r="AC2313" s="56" t="n"/>
      <c r="AD2313" s="51" t="n">
        <v>7</v>
      </c>
      <c r="AE2313" s="156" t="inlineStr">
        <is>
          <t>B25 STETSON.MX (9)</t>
        </is>
      </c>
      <c r="AF2313" s="51" t="n">
        <v>9</v>
      </c>
      <c r="AG2313" s="156" t="inlineStr">
        <is>
          <t>Catálogo existente</t>
        </is>
      </c>
      <c r="AH231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3" s="156" t="inlineStr">
        <is>
          <t>Sí</t>
        </is>
      </c>
      <c r="AJ2313" s="156" t="inlineStr">
        <is>
          <t>STETSON AMERICAS (-2)</t>
        </is>
      </c>
      <c r="AK2313" s="155" t="inlineStr">
        <is>
          <t>Criterios: J [R]; G1522_Extraccion_Articulos_NetSuite_2026-09-30.xlsx: fila 58195 [S] | Shopify Stetson: producto 14819775185259 / variante 53350595625323</t>
        </is>
      </c>
      <c r="AL2313" s="58" t="n">
        <v>678.8793103</v>
      </c>
      <c r="AM2313" s="58" t="n">
        <v>1508.62069</v>
      </c>
      <c r="AN2313" s="155" t="inlineStr">
        <is>
          <t>Shopify Stetson México</t>
        </is>
      </c>
      <c r="AO2313" s="59" t="n">
        <v>13</v>
      </c>
      <c r="AP2313" s="59" t="n"/>
      <c r="AQ2313" s="59" t="n"/>
      <c r="AR2313" s="155" t="inlineStr">
        <is>
          <t>Shopify Stetson México › Stetson México: 9 | Shopify Stetson México › Stetson Americas: 4</t>
        </is>
      </c>
    </row>
    <row r="2314">
      <c r="A2314" s="50" t="inlineStr">
        <is>
          <t>7506499570534</t>
        </is>
      </c>
      <c r="B2314" s="51" t="inlineStr">
        <is>
          <t>110381</t>
        </is>
      </c>
      <c r="C2314" s="156" t="inlineStr">
        <is>
          <t>Multimarca</t>
        </is>
      </c>
      <c r="D2314" s="156" t="inlineStr">
        <is>
          <t>ST-VR-P-019-FW25-CM</t>
        </is>
      </c>
      <c r="E2314" s="156" t="inlineStr">
        <is>
          <t>ST-VR-P-019-FW25-CM-XL</t>
        </is>
      </c>
      <c r="F2314" s="156" t="inlineStr">
        <is>
          <t>XL</t>
        </is>
      </c>
      <c r="G2314" s="156" t="inlineStr">
        <is>
          <t>XL</t>
        </is>
      </c>
      <c r="H2314" s="156" t="inlineStr">
        <is>
          <t>Stetson</t>
        </is>
      </c>
      <c r="I2314" s="156" t="inlineStr">
        <is>
          <t>Camisa Stetson Vintage Range Cenote Maze</t>
        </is>
      </c>
      <c r="J2314" s="156" t="inlineStr">
        <is>
          <t>Ropa</t>
        </is>
      </c>
      <c r="K2314" s="156" t="inlineStr">
        <is>
          <t>Camisas</t>
        </is>
      </c>
      <c r="L2314" s="156" t="inlineStr">
        <is>
          <t>Hombre</t>
        </is>
      </c>
      <c r="M2314" s="156" t="inlineStr">
        <is>
          <t>Stetson</t>
        </is>
      </c>
      <c r="N2314" s="156" t="inlineStr">
        <is>
          <t>SS26</t>
        </is>
      </c>
      <c r="O2314" s="156" t="inlineStr">
        <is>
          <t>Seasonal</t>
        </is>
      </c>
      <c r="P2314" s="156" t="n"/>
      <c r="Q2314" s="156" t="inlineStr">
        <is>
          <t>Clásico</t>
        </is>
      </c>
      <c r="R2314" s="156" t="n"/>
      <c r="S2314" s="156" t="inlineStr">
        <is>
          <t>100% Algodón</t>
        </is>
      </c>
      <c r="T231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4" s="156" t="n"/>
      <c r="V2314" s="156" t="inlineStr">
        <is>
          <t>PZS</t>
        </is>
      </c>
      <c r="W2314" s="51" t="inlineStr">
        <is>
          <t>53101600</t>
        </is>
      </c>
      <c r="X2314" s="156" t="inlineStr">
        <is>
          <t>https://cdn.shopify.com/s/files/1/0888/3250/8267/files/ST-VR-P-019-CM-01.jpg?v=1762368538</t>
        </is>
      </c>
      <c r="Y2314" s="54" t="n">
        <v>678.8793103</v>
      </c>
      <c r="Z2314" s="54" t="n">
        <v>1508.62069</v>
      </c>
      <c r="AA2314" s="55">
        <f>IF(AND(A2314="", B2314="", E2314=""), "", IF(AB2314="", "Válido", IF((LEN(AB2314)-LEN(SUBSTITUTE(AB2314,"; ","")))/2+1&gt;(LEN(AB2314)-LEN(SUBSTITUTE(AB2314,"[Aviso]","")))/7, "Con Incidencias", "Válido")))</f>
        <v/>
      </c>
      <c r="AB2314" s="56">
        <f>IF(AND(A2314="", B2314="", E2314=""), "", TEXTJOIN("; ", TRUE, IF(OR(TRIM(A2314&amp;"")="", ISNUMBER(SEARCH("FALTA", A2314))), "UPC faltante/inválido", ""), IF(AND(A2314&lt;&gt;"", IFERROR(_xlfn.XMATCH(A2314,$A$2:$A$2509,0,1)&lt;&gt;_xlfn.XMATCH(A2314,$A$2:$A$2509,0,-1),FALSE)), "Código de barras duplicado", ""), IF(AND(E2314&lt;&gt;"", COUNTIF($E$2:$E$2509, E2314)&gt;1), "SKU duplicado", ""), IF(OR(J2314="", J2314=""), "[Aviso] División no capturada ()", IF(ISNA(MATCH(J2314, Criterios!$A$123:$A$126, 0)), "División no válida", "")), IF(OR(K2314="", K2314=""), "[Aviso] Categoría no capturada ()", IF(ISNA(MATCH(K2314, Criterios!$A$81:$A$120, 0)), "Categoría no válida", IF(AND(J2314&lt;&gt;"", J2314&lt;&gt;"", J2314&lt;&gt;VLOOKUP(K2314, Criterios!$A$81:$B$120, 2, FALSE)), "División no coincide con Categoría", ""))), IF(OR(L2314="", L2314=""), "[Aviso] Género no capturado ()", IF(ISNA(MATCH(L2314, Criterios!$B$123:$B$127, 0)), "Género no válido", "")), IF(OR(N2314="", N2314=""), "[Aviso] Temporada no capturada ()", IF(ISNA(MATCH(N2314, Criterios!$C$123:$C$128, 0)), "Temporada no válida", "")), IF(OR(O2314="", O2314=""), "[Aviso] Ciclo de vida no capturado ()", IF(ISNA(MATCH(O2314, Criterios!$D$123:$D$124, 0)), "Ciclo de vida no válido", ""))))</f>
        <v/>
      </c>
      <c r="AC2314" s="56" t="n"/>
      <c r="AD2314" s="51" t="n">
        <v>-2</v>
      </c>
      <c r="AE2314" s="156" t="inlineStr">
        <is>
          <t>B25 STETSON.MX (2)</t>
        </is>
      </c>
      <c r="AF2314" s="51" t="n">
        <v>2</v>
      </c>
      <c r="AG2314" s="156" t="inlineStr">
        <is>
          <t>Catálogo existente</t>
        </is>
      </c>
      <c r="AH2314"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4" s="156" t="inlineStr">
        <is>
          <t>Sí</t>
        </is>
      </c>
      <c r="AJ2314" s="156" t="inlineStr">
        <is>
          <t>STETSON AMERICAS (-4)</t>
        </is>
      </c>
      <c r="AK2314" s="155" t="inlineStr">
        <is>
          <t>Criterios: J [R]; G1522_Extraccion_Articulos_NetSuite_2026-09-30.xlsx: fila 58196 [S] | Shopify Stetson: producto 14819775185259 / variante 53350595658091</t>
        </is>
      </c>
      <c r="AL2314" s="58" t="n">
        <v>678.8793103</v>
      </c>
      <c r="AM2314" s="58" t="n">
        <v>1508.62069</v>
      </c>
      <c r="AN2314" s="155" t="inlineStr">
        <is>
          <t>Shopify Stetson México</t>
        </is>
      </c>
      <c r="AO2314" s="59" t="n">
        <v>4</v>
      </c>
      <c r="AP2314" s="59" t="n"/>
      <c r="AQ2314" s="59" t="n"/>
      <c r="AR2314" s="155" t="inlineStr">
        <is>
          <t>Shopify Stetson México › Stetson México: 2 | Shopify Stetson México › Stetson Americas: 2</t>
        </is>
      </c>
    </row>
    <row r="2315">
      <c r="A2315" s="50" t="inlineStr">
        <is>
          <t>7506499570541</t>
        </is>
      </c>
      <c r="B2315" s="51" t="inlineStr">
        <is>
          <t>110382</t>
        </is>
      </c>
      <c r="C2315" s="156" t="inlineStr">
        <is>
          <t>Multimarca</t>
        </is>
      </c>
      <c r="D2315" s="156" t="inlineStr">
        <is>
          <t>ST-VR-P-019-FW25-CM</t>
        </is>
      </c>
      <c r="E2315" s="156" t="inlineStr">
        <is>
          <t>ST-VR-P-019-FW25-CM-XXL</t>
        </is>
      </c>
      <c r="F2315" s="156" t="inlineStr">
        <is>
          <t>XXL</t>
        </is>
      </c>
      <c r="G2315" s="156" t="inlineStr">
        <is>
          <t>XXL</t>
        </is>
      </c>
      <c r="H2315" s="156" t="inlineStr">
        <is>
          <t>Stetson</t>
        </is>
      </c>
      <c r="I2315" s="156" t="inlineStr">
        <is>
          <t>Camisa Stetson Vintage Range Cenote Maze</t>
        </is>
      </c>
      <c r="J2315" s="156" t="inlineStr">
        <is>
          <t>Ropa</t>
        </is>
      </c>
      <c r="K2315" s="156" t="inlineStr">
        <is>
          <t>Camisas</t>
        </is>
      </c>
      <c r="L2315" s="156" t="inlineStr">
        <is>
          <t>Hombre</t>
        </is>
      </c>
      <c r="M2315" s="156" t="inlineStr">
        <is>
          <t>Stetson</t>
        </is>
      </c>
      <c r="N2315" s="156" t="inlineStr">
        <is>
          <t>SS26</t>
        </is>
      </c>
      <c r="O2315" s="156" t="inlineStr">
        <is>
          <t>Seasonal</t>
        </is>
      </c>
      <c r="P2315" s="156" t="n"/>
      <c r="Q2315" s="156" t="inlineStr">
        <is>
          <t>Clásico</t>
        </is>
      </c>
      <c r="R2315" s="156" t="n"/>
      <c r="S2315" s="156" t="inlineStr">
        <is>
          <t>100% Algodón</t>
        </is>
      </c>
      <c r="T231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5" s="156" t="n"/>
      <c r="V2315" s="156" t="inlineStr">
        <is>
          <t>PZS</t>
        </is>
      </c>
      <c r="W2315" s="51" t="inlineStr">
        <is>
          <t>53101600</t>
        </is>
      </c>
      <c r="X2315" s="156" t="inlineStr">
        <is>
          <t>https://cdn.shopify.com/s/files/1/0888/3250/8267/files/ST-VR-P-019-CM-01.jpg?v=1762368538</t>
        </is>
      </c>
      <c r="Y2315" s="54" t="n">
        <v>678.8793103</v>
      </c>
      <c r="Z2315" s="54" t="n">
        <v>1508.62069</v>
      </c>
      <c r="AA2315" s="55">
        <f>IF(AND(A2315="", B2315="", E2315=""), "", IF(AB2315="", "Válido", IF((LEN(AB2315)-LEN(SUBSTITUTE(AB2315,"; ","")))/2+1&gt;(LEN(AB2315)-LEN(SUBSTITUTE(AB2315,"[Aviso]","")))/7, "Con Incidencias", "Válido")))</f>
        <v/>
      </c>
      <c r="AB2315" s="56">
        <f>IF(AND(A2315="", B2315="", E2315=""), "", TEXTJOIN("; ", TRUE, IF(OR(TRIM(A2315&amp;"")="", ISNUMBER(SEARCH("FALTA", A2315))), "UPC faltante/inválido", ""), IF(AND(A2315&lt;&gt;"", IFERROR(_xlfn.XMATCH(A2315,$A$2:$A$2509,0,1)&lt;&gt;_xlfn.XMATCH(A2315,$A$2:$A$2509,0,-1),FALSE)), "Código de barras duplicado", ""), IF(AND(E2315&lt;&gt;"", COUNTIF($E$2:$E$2509, E2315)&gt;1), "SKU duplicado", ""), IF(OR(J2315="", J2315=""), "[Aviso] División no capturada ()", IF(ISNA(MATCH(J2315, Criterios!$A$123:$A$126, 0)), "División no válida", "")), IF(OR(K2315="", K2315=""), "[Aviso] Categoría no capturada ()", IF(ISNA(MATCH(K2315, Criterios!$A$81:$A$120, 0)), "Categoría no válida", IF(AND(J2315&lt;&gt;"", J2315&lt;&gt;"", J2315&lt;&gt;VLOOKUP(K2315, Criterios!$A$81:$B$120, 2, FALSE)), "División no coincide con Categoría", ""))), IF(OR(L2315="", L2315=""), "[Aviso] Género no capturado ()", IF(ISNA(MATCH(L2315, Criterios!$B$123:$B$127, 0)), "Género no válido", "")), IF(OR(N2315="", N2315=""), "[Aviso] Temporada no capturada ()", IF(ISNA(MATCH(N2315, Criterios!$C$123:$C$128, 0)), "Temporada no válida", "")), IF(OR(O2315="", O2315=""), "[Aviso] Ciclo de vida no capturado ()", IF(ISNA(MATCH(O2315, Criterios!$D$123:$D$124, 0)), "Ciclo de vida no válido", ""))))</f>
        <v/>
      </c>
      <c r="AC2315" s="56" t="n"/>
      <c r="AD2315" s="51" t="n">
        <v>0</v>
      </c>
      <c r="AE2315" s="156" t="inlineStr">
        <is>
          <t>B25 STETSON.MX (1)</t>
        </is>
      </c>
      <c r="AF2315" s="51" t="n">
        <v>1</v>
      </c>
      <c r="AG2315" s="156" t="inlineStr">
        <is>
          <t>Catálogo existente</t>
        </is>
      </c>
      <c r="AH231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5" s="156" t="inlineStr">
        <is>
          <t>Sí</t>
        </is>
      </c>
      <c r="AJ2315" s="156" t="inlineStr">
        <is>
          <t>STETSON AMERICAS (-1)</t>
        </is>
      </c>
      <c r="AK2315" s="155" t="inlineStr">
        <is>
          <t>Criterios: J [R]; G1522_Extraccion_Articulos_NetSuite_2026-09-30.xlsx: fila 58197 [S] | Shopify Stetson: producto 14819775185259 / variante 53350595690859</t>
        </is>
      </c>
      <c r="AL2315" s="58" t="n">
        <v>678.8793103</v>
      </c>
      <c r="AM2315" s="58" t="n">
        <v>1508.62069</v>
      </c>
      <c r="AN2315" s="155" t="inlineStr">
        <is>
          <t>Shopify Stetson México</t>
        </is>
      </c>
      <c r="AO2315" s="59" t="n">
        <v>4</v>
      </c>
      <c r="AP2315" s="59" t="n"/>
      <c r="AQ2315" s="59" t="n"/>
      <c r="AR2315" s="155" t="inlineStr">
        <is>
          <t>Shopify Stetson México › Stetson México: 1 | Shopify Stetson México › Stetson Americas: 3</t>
        </is>
      </c>
    </row>
    <row r="2316">
      <c r="A2316" s="50" t="inlineStr">
        <is>
          <t>7506499570558</t>
        </is>
      </c>
      <c r="B2316" s="51" t="inlineStr">
        <is>
          <t>110383</t>
        </is>
      </c>
      <c r="C2316" s="156" t="inlineStr">
        <is>
          <t>Multimarca</t>
        </is>
      </c>
      <c r="D2316" s="156" t="inlineStr">
        <is>
          <t>ST-VR-P-020-FW25-MT</t>
        </is>
      </c>
      <c r="E2316" s="156" t="inlineStr">
        <is>
          <t>ST-VR-P-020-FW25-MT-S</t>
        </is>
      </c>
      <c r="F2316" s="156" t="inlineStr">
        <is>
          <t>S</t>
        </is>
      </c>
      <c r="G2316" s="156" t="inlineStr">
        <is>
          <t>S</t>
        </is>
      </c>
      <c r="H2316" s="156" t="inlineStr">
        <is>
          <t>Stetson</t>
        </is>
      </c>
      <c r="I2316" s="156" t="inlineStr">
        <is>
          <t>Camisa Stetson Vintage Range Midnight Tapestry</t>
        </is>
      </c>
      <c r="J2316" s="156" t="inlineStr">
        <is>
          <t>Ropa</t>
        </is>
      </c>
      <c r="K2316" s="156" t="inlineStr">
        <is>
          <t>Camisas</t>
        </is>
      </c>
      <c r="L2316" s="156" t="inlineStr">
        <is>
          <t>Hombre</t>
        </is>
      </c>
      <c r="M2316" s="156" t="inlineStr">
        <is>
          <t>Stetson</t>
        </is>
      </c>
      <c r="N2316" s="156" t="inlineStr">
        <is>
          <t>SS26</t>
        </is>
      </c>
      <c r="O2316" s="156" t="inlineStr">
        <is>
          <t>Seasonal</t>
        </is>
      </c>
      <c r="P2316" s="156" t="n"/>
      <c r="Q2316" s="156" t="inlineStr">
        <is>
          <t>Relajado</t>
        </is>
      </c>
      <c r="R2316" s="156" t="n"/>
      <c r="S2316" s="156" t="inlineStr">
        <is>
          <t>100% Algodón</t>
        </is>
      </c>
      <c r="T231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6" s="156" t="n"/>
      <c r="V2316" s="156" t="inlineStr">
        <is>
          <t>PZS</t>
        </is>
      </c>
      <c r="W2316" s="51" t="inlineStr">
        <is>
          <t>53101600</t>
        </is>
      </c>
      <c r="X2316" s="156" t="inlineStr">
        <is>
          <t>https://cdn.shopify.com/s/files/1/0888/3250/8267/files/ST-VR-P-020-MT-01.jpg?v=1762369093</t>
        </is>
      </c>
      <c r="Y2316" s="54" t="n">
        <v>678.8793103</v>
      </c>
      <c r="Z2316" s="54" t="n">
        <v>1508.62069</v>
      </c>
      <c r="AA2316" s="55">
        <f>IF(AND(A2316="", B2316="", E2316=""), "", IF(AB2316="", "Válido", IF((LEN(AB2316)-LEN(SUBSTITUTE(AB2316,"; ","")))/2+1&gt;(LEN(AB2316)-LEN(SUBSTITUTE(AB2316,"[Aviso]","")))/7, "Con Incidencias", "Válido")))</f>
        <v/>
      </c>
      <c r="AB2316" s="56">
        <f>IF(AND(A2316="", B2316="", E2316=""), "", TEXTJOIN("; ", TRUE, IF(OR(TRIM(A2316&amp;"")="", ISNUMBER(SEARCH("FALTA", A2316))), "UPC faltante/inválido", ""), IF(AND(A2316&lt;&gt;"", IFERROR(_xlfn.XMATCH(A2316,$A$2:$A$2509,0,1)&lt;&gt;_xlfn.XMATCH(A2316,$A$2:$A$2509,0,-1),FALSE)), "Código de barras duplicado", ""), IF(AND(E2316&lt;&gt;"", COUNTIF($E$2:$E$2509, E2316)&gt;1), "SKU duplicado", ""), IF(OR(J2316="", J2316=""), "[Aviso] División no capturada ()", IF(ISNA(MATCH(J2316, Criterios!$A$123:$A$126, 0)), "División no válida", "")), IF(OR(K2316="", K2316=""), "[Aviso] Categoría no capturada ()", IF(ISNA(MATCH(K2316, Criterios!$A$81:$A$120, 0)), "Categoría no válida", IF(AND(J2316&lt;&gt;"", J2316&lt;&gt;"", J2316&lt;&gt;VLOOKUP(K2316, Criterios!$A$81:$B$120, 2, FALSE)), "División no coincide con Categoría", ""))), IF(OR(L2316="", L2316=""), "[Aviso] Género no capturado ()", IF(ISNA(MATCH(L2316, Criterios!$B$123:$B$127, 0)), "Género no válido", "")), IF(OR(N2316="", N2316=""), "[Aviso] Temporada no capturada ()", IF(ISNA(MATCH(N2316, Criterios!$C$123:$C$128, 0)), "Temporada no válida", "")), IF(OR(O2316="", O2316=""), "[Aviso] Ciclo de vida no capturado ()", IF(ISNA(MATCH(O2316, Criterios!$D$123:$D$124, 0)), "Ciclo de vida no válido", ""))))</f>
        <v/>
      </c>
      <c r="AC2316" s="56" t="n"/>
      <c r="AD2316" s="51" t="n">
        <v>0</v>
      </c>
      <c r="AE2316" s="156" t="n"/>
      <c r="AF2316" s="51" t="n">
        <v>0</v>
      </c>
      <c r="AG2316" s="156" t="inlineStr">
        <is>
          <t>Catálogo existente</t>
        </is>
      </c>
      <c r="AH231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6" s="156" t="inlineStr">
        <is>
          <t>No</t>
        </is>
      </c>
      <c r="AJ2316" s="156" t="n"/>
      <c r="AK2316" s="155" t="inlineStr">
        <is>
          <t>Criterios: J [R]; G1522_Extraccion_Articulos_NetSuite_2026-09-30.xlsx: fila 58198 [S] | Shopify Stetson: producto 14819775938923 / variante 53350595363179</t>
        </is>
      </c>
      <c r="AL2316" s="58" t="n">
        <v>678.8793103</v>
      </c>
      <c r="AM2316" s="58" t="n">
        <v>1508.62069</v>
      </c>
      <c r="AN2316" s="155" t="inlineStr">
        <is>
          <t>Shopify Stetson México</t>
        </is>
      </c>
      <c r="AO2316" s="59" t="n">
        <v>1</v>
      </c>
      <c r="AP2316" s="59" t="n"/>
      <c r="AQ2316" s="59" t="n"/>
      <c r="AR2316" s="155" t="inlineStr">
        <is>
          <t>Shopify Stetson México › Stetson Americas: 1</t>
        </is>
      </c>
    </row>
    <row r="2317">
      <c r="A2317" s="50" t="inlineStr">
        <is>
          <t>7506499570565</t>
        </is>
      </c>
      <c r="B2317" s="51" t="inlineStr">
        <is>
          <t>110384</t>
        </is>
      </c>
      <c r="C2317" s="156" t="inlineStr">
        <is>
          <t>Multimarca</t>
        </is>
      </c>
      <c r="D2317" s="156" t="inlineStr">
        <is>
          <t>ST-VR-P-020-FW25-MT</t>
        </is>
      </c>
      <c r="E2317" s="156" t="inlineStr">
        <is>
          <t>ST-VR-P-020-FW25-MT-M</t>
        </is>
      </c>
      <c r="F2317" s="156" t="inlineStr">
        <is>
          <t>M</t>
        </is>
      </c>
      <c r="G2317" s="156" t="inlineStr">
        <is>
          <t>M</t>
        </is>
      </c>
      <c r="H2317" s="156" t="inlineStr">
        <is>
          <t>Stetson</t>
        </is>
      </c>
      <c r="I2317" s="156" t="inlineStr">
        <is>
          <t>Camisa Stetson Vintage Range Midnight Tapestry</t>
        </is>
      </c>
      <c r="J2317" s="156" t="inlineStr">
        <is>
          <t>Ropa</t>
        </is>
      </c>
      <c r="K2317" s="156" t="inlineStr">
        <is>
          <t>Camisas</t>
        </is>
      </c>
      <c r="L2317" s="156" t="inlineStr">
        <is>
          <t>Hombre</t>
        </is>
      </c>
      <c r="M2317" s="156" t="inlineStr">
        <is>
          <t>Stetson</t>
        </is>
      </c>
      <c r="N2317" s="156" t="inlineStr">
        <is>
          <t>SS26</t>
        </is>
      </c>
      <c r="O2317" s="156" t="inlineStr">
        <is>
          <t>Seasonal</t>
        </is>
      </c>
      <c r="P2317" s="156" t="n"/>
      <c r="Q2317" s="156" t="inlineStr">
        <is>
          <t>Relajado</t>
        </is>
      </c>
      <c r="R2317" s="156" t="n"/>
      <c r="S2317" s="156" t="inlineStr">
        <is>
          <t>100% Algodón</t>
        </is>
      </c>
      <c r="T231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7" s="156" t="n"/>
      <c r="V2317" s="156" t="inlineStr">
        <is>
          <t>PZS</t>
        </is>
      </c>
      <c r="W2317" s="51" t="inlineStr">
        <is>
          <t>53101600</t>
        </is>
      </c>
      <c r="X2317" s="156" t="inlineStr">
        <is>
          <t>https://cdn.shopify.com/s/files/1/0888/3250/8267/files/ST-VR-P-020-MT-02.jpg?v=1762369093</t>
        </is>
      </c>
      <c r="Y2317" s="54" t="n">
        <v>678.8793103</v>
      </c>
      <c r="Z2317" s="54" t="n">
        <v>1508.62069</v>
      </c>
      <c r="AA2317" s="55">
        <f>IF(AND(A2317="", B2317="", E2317=""), "", IF(AB2317="", "Válido", IF((LEN(AB2317)-LEN(SUBSTITUTE(AB2317,"; ","")))/2+1&gt;(LEN(AB2317)-LEN(SUBSTITUTE(AB2317,"[Aviso]","")))/7, "Con Incidencias", "Válido")))</f>
        <v/>
      </c>
      <c r="AB2317" s="56">
        <f>IF(AND(A2317="", B2317="", E2317=""), "", TEXTJOIN("; ", TRUE, IF(OR(TRIM(A2317&amp;"")="", ISNUMBER(SEARCH("FALTA", A2317))), "UPC faltante/inválido", ""), IF(AND(A2317&lt;&gt;"", IFERROR(_xlfn.XMATCH(A2317,$A$2:$A$2509,0,1)&lt;&gt;_xlfn.XMATCH(A2317,$A$2:$A$2509,0,-1),FALSE)), "Código de barras duplicado", ""), IF(AND(E2317&lt;&gt;"", COUNTIF($E$2:$E$2509, E2317)&gt;1), "SKU duplicado", ""), IF(OR(J2317="", J2317=""), "[Aviso] División no capturada ()", IF(ISNA(MATCH(J2317, Criterios!$A$123:$A$126, 0)), "División no válida", "")), IF(OR(K2317="", K2317=""), "[Aviso] Categoría no capturada ()", IF(ISNA(MATCH(K2317, Criterios!$A$81:$A$120, 0)), "Categoría no válida", IF(AND(J2317&lt;&gt;"", J2317&lt;&gt;"", J2317&lt;&gt;VLOOKUP(K2317, Criterios!$A$81:$B$120, 2, FALSE)), "División no coincide con Categoría", ""))), IF(OR(L2317="", L2317=""), "[Aviso] Género no capturado ()", IF(ISNA(MATCH(L2317, Criterios!$B$123:$B$127, 0)), "Género no válido", "")), IF(OR(N2317="", N2317=""), "[Aviso] Temporada no capturada ()", IF(ISNA(MATCH(N2317, Criterios!$C$123:$C$128, 0)), "Temporada no válida", "")), IF(OR(O2317="", O2317=""), "[Aviso] Ciclo de vida no capturado ()", IF(ISNA(MATCH(O2317, Criterios!$D$123:$D$124, 0)), "Ciclo de vida no válido", ""))))</f>
        <v/>
      </c>
      <c r="AC2317" s="56" t="n"/>
      <c r="AD2317" s="51" t="n">
        <v>-1</v>
      </c>
      <c r="AE2317" s="156" t="n"/>
      <c r="AF2317" s="51" t="n">
        <v>0</v>
      </c>
      <c r="AG2317" s="156" t="inlineStr">
        <is>
          <t>Catálogo existente</t>
        </is>
      </c>
      <c r="AH2317"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7" s="156" t="inlineStr">
        <is>
          <t>Sí</t>
        </is>
      </c>
      <c r="AJ2317" s="156" t="inlineStr">
        <is>
          <t>STETSON AMERICAS (-1)</t>
        </is>
      </c>
      <c r="AK2317" s="155" t="inlineStr">
        <is>
          <t>Criterios: J [R]; G1522_Extraccion_Articulos_NetSuite_2026-09-30.xlsx: fila 58199 [S] | Shopify Stetson: producto 14819775938923 / variante 53350595395947</t>
        </is>
      </c>
      <c r="AL2317" s="58" t="n">
        <v>678.8793103</v>
      </c>
      <c r="AM2317" s="58" t="n">
        <v>1508.62069</v>
      </c>
      <c r="AN2317" s="155" t="inlineStr">
        <is>
          <t>Shopify Stetson México</t>
        </is>
      </c>
      <c r="AO2317" s="59" t="n">
        <v>1</v>
      </c>
      <c r="AP2317" s="59" t="n"/>
      <c r="AQ2317" s="59" t="n"/>
      <c r="AR2317" s="155" t="inlineStr">
        <is>
          <t>Shopify Stetson México › Stetson Americas: 1</t>
        </is>
      </c>
    </row>
    <row r="2318">
      <c r="A2318" s="50" t="inlineStr">
        <is>
          <t>7506499570572</t>
        </is>
      </c>
      <c r="B2318" s="51" t="inlineStr">
        <is>
          <t>110385</t>
        </is>
      </c>
      <c r="C2318" s="156" t="inlineStr">
        <is>
          <t>Multimarca</t>
        </is>
      </c>
      <c r="D2318" s="156" t="inlineStr">
        <is>
          <t>ST-VR-P-020-FW25-MT</t>
        </is>
      </c>
      <c r="E2318" s="156" t="inlineStr">
        <is>
          <t>ST-VR-P-020-FW25-MT-L</t>
        </is>
      </c>
      <c r="F2318" s="156" t="inlineStr">
        <is>
          <t>L</t>
        </is>
      </c>
      <c r="G2318" s="156" t="inlineStr">
        <is>
          <t>L</t>
        </is>
      </c>
      <c r="H2318" s="156" t="inlineStr">
        <is>
          <t>Stetson</t>
        </is>
      </c>
      <c r="I2318" s="156" t="inlineStr">
        <is>
          <t>Camisa Stetson Vintage Range Midnight Tapestry</t>
        </is>
      </c>
      <c r="J2318" s="156" t="inlineStr">
        <is>
          <t>Ropa</t>
        </is>
      </c>
      <c r="K2318" s="156" t="inlineStr">
        <is>
          <t>Camisas</t>
        </is>
      </c>
      <c r="L2318" s="156" t="inlineStr">
        <is>
          <t>Hombre</t>
        </is>
      </c>
      <c r="M2318" s="156" t="inlineStr">
        <is>
          <t>Stetson</t>
        </is>
      </c>
      <c r="N2318" s="156" t="inlineStr">
        <is>
          <t>SS26</t>
        </is>
      </c>
      <c r="O2318" s="156" t="inlineStr">
        <is>
          <t>Seasonal</t>
        </is>
      </c>
      <c r="P2318" s="156" t="inlineStr">
        <is>
          <t>Azul</t>
        </is>
      </c>
      <c r="Q2318" s="156" t="inlineStr">
        <is>
          <t>Clásico</t>
        </is>
      </c>
      <c r="R2318" s="156" t="n"/>
      <c r="S2318" s="156" t="inlineStr">
        <is>
          <t>100% Algodón</t>
        </is>
      </c>
      <c r="T231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8" s="156" t="n"/>
      <c r="V2318" s="156" t="inlineStr">
        <is>
          <t>PZS</t>
        </is>
      </c>
      <c r="W2318" s="51" t="inlineStr">
        <is>
          <t>53101600</t>
        </is>
      </c>
      <c r="X2318" s="156" t="inlineStr">
        <is>
          <t>https://cdn.shopify.com/s/files/1/0888/3250/8267/files/ST-VR-P-020-MT-03.jpg?v=1762369093</t>
        </is>
      </c>
      <c r="Y2318" s="54" t="n">
        <v>678.8793103</v>
      </c>
      <c r="Z2318" s="54" t="n">
        <v>1508.62069</v>
      </c>
      <c r="AA2318" s="55">
        <f>IF(AND(A2318="", B2318="", E2318=""), "", IF(AB2318="", "Válido", IF((LEN(AB2318)-LEN(SUBSTITUTE(AB2318,"; ","")))/2+1&gt;(LEN(AB2318)-LEN(SUBSTITUTE(AB2318,"[Aviso]","")))/7, "Con Incidencias", "Válido")))</f>
        <v/>
      </c>
      <c r="AB2318" s="56">
        <f>IF(AND(A2318="", B2318="", E2318=""), "", TEXTJOIN("; ", TRUE, IF(OR(TRIM(A2318&amp;"")="", ISNUMBER(SEARCH("FALTA", A2318))), "UPC faltante/inválido", ""), IF(AND(A2318&lt;&gt;"", IFERROR(_xlfn.XMATCH(A2318,$A$2:$A$2509,0,1)&lt;&gt;_xlfn.XMATCH(A2318,$A$2:$A$2509,0,-1),FALSE)), "Código de barras duplicado", ""), IF(AND(E2318&lt;&gt;"", COUNTIF($E$2:$E$2509, E2318)&gt;1), "SKU duplicado", ""), IF(OR(J2318="", J2318=""), "[Aviso] División no capturada ()", IF(ISNA(MATCH(J2318, Criterios!$A$123:$A$126, 0)), "División no válida", "")), IF(OR(K2318="", K2318=""), "[Aviso] Categoría no capturada ()", IF(ISNA(MATCH(K2318, Criterios!$A$81:$A$120, 0)), "Categoría no válida", IF(AND(J2318&lt;&gt;"", J2318&lt;&gt;"", J2318&lt;&gt;VLOOKUP(K2318, Criterios!$A$81:$B$120, 2, FALSE)), "División no coincide con Categoría", ""))), IF(OR(L2318="", L2318=""), "[Aviso] Género no capturado ()", IF(ISNA(MATCH(L2318, Criterios!$B$123:$B$127, 0)), "Género no válido", "")), IF(OR(N2318="", N2318=""), "[Aviso] Temporada no capturada ()", IF(ISNA(MATCH(N2318, Criterios!$C$123:$C$128, 0)), "Temporada no válida", "")), IF(OR(O2318="", O2318=""), "[Aviso] Ciclo de vida no capturado ()", IF(ISNA(MATCH(O2318, Criterios!$D$123:$D$124, 0)), "Ciclo de vida no válido", ""))))</f>
        <v/>
      </c>
      <c r="AC2318" s="56" t="n"/>
      <c r="AD2318" s="51" t="n">
        <v>7</v>
      </c>
      <c r="AE2318" s="156" t="inlineStr">
        <is>
          <t>WB OUTLET LERMA (3); B25 STETSON.MX (4)</t>
        </is>
      </c>
      <c r="AF2318" s="51" t="n">
        <v>7</v>
      </c>
      <c r="AG2318" s="156" t="inlineStr">
        <is>
          <t>Catálogo existente</t>
        </is>
      </c>
      <c r="AH231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18" s="156" t="inlineStr">
        <is>
          <t>No</t>
        </is>
      </c>
      <c r="AJ2318" s="156" t="n"/>
      <c r="AK2318" s="155" t="inlineStr">
        <is>
          <t>Criterios: J [R]; G1522_Extraccion_Articulos_NetSuite_2026-09-30.xlsx: fila 58200 [S] | Shopify Stetson: producto 14819775938923 / variante 53350595428715 | Shopify WB: producto 8598682075321 / variante 48068424040633</t>
        </is>
      </c>
      <c r="AL2318" s="58" t="n">
        <v>678.8793103</v>
      </c>
      <c r="AM2318" s="58" t="n">
        <v>1508.62069</v>
      </c>
      <c r="AN2318" s="155" t="inlineStr">
        <is>
          <t>Shopify Stetson México | Shopify Western Brothers</t>
        </is>
      </c>
      <c r="AO2318" s="59" t="n">
        <v>10</v>
      </c>
      <c r="AP2318" s="59" t="n">
        <v>2</v>
      </c>
      <c r="AQ2318" s="59" t="n"/>
      <c r="AR2318" s="155" t="inlineStr">
        <is>
          <t>Shopify Stetson México › Stetson México: 4 | Shopify Stetson México › Stetson Americas: 6 | Shopify Western Brothers › Western Brothers Outlet Lerma: 2</t>
        </is>
      </c>
    </row>
    <row r="2319">
      <c r="A2319" s="50" t="inlineStr">
        <is>
          <t>7506499570589</t>
        </is>
      </c>
      <c r="B2319" s="51" t="inlineStr">
        <is>
          <t>110386</t>
        </is>
      </c>
      <c r="C2319" s="156" t="inlineStr">
        <is>
          <t>Multimarca</t>
        </is>
      </c>
      <c r="D2319" s="156" t="inlineStr">
        <is>
          <t>ST-VR-P-020-FW25-MT</t>
        </is>
      </c>
      <c r="E2319" s="156" t="inlineStr">
        <is>
          <t>ST-VR-P-020-FW25-MT-XL</t>
        </is>
      </c>
      <c r="F2319" s="156" t="inlineStr">
        <is>
          <t>XL</t>
        </is>
      </c>
      <c r="G2319" s="156" t="inlineStr">
        <is>
          <t>XL</t>
        </is>
      </c>
      <c r="H2319" s="156" t="inlineStr">
        <is>
          <t>Stetson</t>
        </is>
      </c>
      <c r="I2319" s="156" t="inlineStr">
        <is>
          <t>Camisa Stetson Vintage Range Midnight Tapestry</t>
        </is>
      </c>
      <c r="J2319" s="156" t="inlineStr">
        <is>
          <t>Ropa</t>
        </is>
      </c>
      <c r="K2319" s="156" t="inlineStr">
        <is>
          <t>Camisas</t>
        </is>
      </c>
      <c r="L2319" s="156" t="inlineStr">
        <is>
          <t>Hombre</t>
        </is>
      </c>
      <c r="M2319" s="156" t="inlineStr">
        <is>
          <t>Stetson</t>
        </is>
      </c>
      <c r="N2319" s="156" t="inlineStr">
        <is>
          <t>SS26</t>
        </is>
      </c>
      <c r="O2319" s="156" t="inlineStr">
        <is>
          <t>Seasonal</t>
        </is>
      </c>
      <c r="P2319" s="156" t="n"/>
      <c r="Q2319" s="156" t="inlineStr">
        <is>
          <t>Relajado</t>
        </is>
      </c>
      <c r="R2319" s="156" t="n"/>
      <c r="S2319" s="156" t="inlineStr">
        <is>
          <t>100% Algodón</t>
        </is>
      </c>
      <c r="T231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9" s="156" t="n"/>
      <c r="V2319" s="156" t="inlineStr">
        <is>
          <t>PZS</t>
        </is>
      </c>
      <c r="W2319" s="51" t="inlineStr">
        <is>
          <t>53101600</t>
        </is>
      </c>
      <c r="X2319" s="156" t="inlineStr">
        <is>
          <t>https://cdn.shopify.com/s/files/1/0888/3250/8267/files/ST-VR-P-020-MT-01.jpg?v=1762369093</t>
        </is>
      </c>
      <c r="Y2319" s="54" t="n">
        <v>678.8793103</v>
      </c>
      <c r="Z2319" s="54" t="n">
        <v>1508.62069</v>
      </c>
      <c r="AA2319" s="55">
        <f>IF(AND(A2319="", B2319="", E2319=""), "", IF(AB2319="", "Válido", IF((LEN(AB2319)-LEN(SUBSTITUTE(AB2319,"; ","")))/2+1&gt;(LEN(AB2319)-LEN(SUBSTITUTE(AB2319,"[Aviso]","")))/7, "Con Incidencias", "Válido")))</f>
        <v/>
      </c>
      <c r="AB2319" s="56">
        <f>IF(AND(A2319="", B2319="", E2319=""), "", TEXTJOIN("; ", TRUE, IF(OR(TRIM(A2319&amp;"")="", ISNUMBER(SEARCH("FALTA", A2319))), "UPC faltante/inválido", ""), IF(AND(A2319&lt;&gt;"", IFERROR(_xlfn.XMATCH(A2319,$A$2:$A$2509,0,1)&lt;&gt;_xlfn.XMATCH(A2319,$A$2:$A$2509,0,-1),FALSE)), "Código de barras duplicado", ""), IF(AND(E2319&lt;&gt;"", COUNTIF($E$2:$E$2509, E2319)&gt;1), "SKU duplicado", ""), IF(OR(J2319="", J2319=""), "[Aviso] División no capturada ()", IF(ISNA(MATCH(J2319, Criterios!$A$123:$A$126, 0)), "División no válida", "")), IF(OR(K2319="", K2319=""), "[Aviso] Categoría no capturada ()", IF(ISNA(MATCH(K2319, Criterios!$A$81:$A$120, 0)), "Categoría no válida", IF(AND(J2319&lt;&gt;"", J2319&lt;&gt;"", J2319&lt;&gt;VLOOKUP(K2319, Criterios!$A$81:$B$120, 2, FALSE)), "División no coincide con Categoría", ""))), IF(OR(L2319="", L2319=""), "[Aviso] Género no capturado ()", IF(ISNA(MATCH(L2319, Criterios!$B$123:$B$127, 0)), "Género no válido", "")), IF(OR(N2319="", N2319=""), "[Aviso] Temporada no capturada ()", IF(ISNA(MATCH(N2319, Criterios!$C$123:$C$128, 0)), "Temporada no válida", "")), IF(OR(O2319="", O2319=""), "[Aviso] Ciclo de vida no capturado ()", IF(ISNA(MATCH(O2319, Criterios!$D$123:$D$124, 0)), "Ciclo de vida no válido", ""))))</f>
        <v/>
      </c>
      <c r="AC2319" s="56" t="n"/>
      <c r="AD2319" s="51" t="n">
        <v>0</v>
      </c>
      <c r="AE2319" s="156" t="n"/>
      <c r="AF2319" s="51" t="n">
        <v>0</v>
      </c>
      <c r="AG2319" s="156" t="inlineStr">
        <is>
          <t>Catálogo existente</t>
        </is>
      </c>
      <c r="AH231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9" s="156" t="inlineStr">
        <is>
          <t>No</t>
        </is>
      </c>
      <c r="AJ2319" s="156" t="n"/>
      <c r="AK2319" s="155" t="inlineStr">
        <is>
          <t>Criterios: J [R]; G1522_Extraccion_Articulos_NetSuite_2026-09-30.xlsx: fila 58201 [S] | Shopify Stetson: producto 14819775938923 / variante 53350595461483</t>
        </is>
      </c>
      <c r="AL2319" s="58" t="n">
        <v>678.8793103</v>
      </c>
      <c r="AM2319" s="58" t="n">
        <v>1508.62069</v>
      </c>
      <c r="AN2319" s="155" t="inlineStr">
        <is>
          <t>Shopify Stetson México</t>
        </is>
      </c>
      <c r="AO2319" s="59" t="n">
        <v>3</v>
      </c>
      <c r="AP2319" s="59" t="n"/>
      <c r="AQ2319" s="59" t="n"/>
      <c r="AR2319" s="155" t="inlineStr">
        <is>
          <t>Shopify Stetson México › Stetson Americas: 3</t>
        </is>
      </c>
    </row>
    <row r="2320">
      <c r="A2320" s="50" t="inlineStr">
        <is>
          <t>7506499570596</t>
        </is>
      </c>
      <c r="B2320" s="51" t="inlineStr">
        <is>
          <t>110387</t>
        </is>
      </c>
      <c r="C2320" s="156" t="inlineStr">
        <is>
          <t>Multimarca</t>
        </is>
      </c>
      <c r="D2320" s="156" t="inlineStr">
        <is>
          <t>ST-VR-P-020-FW25-MT</t>
        </is>
      </c>
      <c r="E2320" s="156" t="inlineStr">
        <is>
          <t>ST-VR-P-020-FW25-MT-XXL</t>
        </is>
      </c>
      <c r="F2320" s="156" t="inlineStr">
        <is>
          <t>XXL</t>
        </is>
      </c>
      <c r="G2320" s="156" t="inlineStr">
        <is>
          <t>XXL</t>
        </is>
      </c>
      <c r="H2320" s="156" t="inlineStr">
        <is>
          <t>Stetson</t>
        </is>
      </c>
      <c r="I2320" s="156" t="inlineStr">
        <is>
          <t>Camisa Stetson Vintage Range Midnight Tapestry</t>
        </is>
      </c>
      <c r="J2320" s="156" t="inlineStr">
        <is>
          <t>Ropa</t>
        </is>
      </c>
      <c r="K2320" s="156" t="inlineStr">
        <is>
          <t>Camisas</t>
        </is>
      </c>
      <c r="L2320" s="156" t="inlineStr">
        <is>
          <t>Hombre</t>
        </is>
      </c>
      <c r="M2320" s="156" t="inlineStr">
        <is>
          <t>Stetson</t>
        </is>
      </c>
      <c r="N2320" s="156" t="inlineStr">
        <is>
          <t>SS26</t>
        </is>
      </c>
      <c r="O2320" s="156" t="inlineStr">
        <is>
          <t>Seasonal</t>
        </is>
      </c>
      <c r="P2320" s="156" t="n"/>
      <c r="Q2320" s="156" t="inlineStr">
        <is>
          <t>Relajado</t>
        </is>
      </c>
      <c r="R2320" s="156" t="n"/>
      <c r="S2320" s="156" t="inlineStr">
        <is>
          <t>100% Algodón</t>
        </is>
      </c>
      <c r="T232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20" s="156" t="n"/>
      <c r="V2320" s="156" t="inlineStr">
        <is>
          <t>PZS</t>
        </is>
      </c>
      <c r="W2320" s="51" t="inlineStr">
        <is>
          <t>53101600</t>
        </is>
      </c>
      <c r="X2320" s="156" t="inlineStr">
        <is>
          <t>https://cdn.shopify.com/s/files/1/0888/3250/8267/files/ST-VR-P-020-MT-01.jpg?v=1762369093</t>
        </is>
      </c>
      <c r="Y2320" s="54" t="n">
        <v>678.8793103</v>
      </c>
      <c r="Z2320" s="54" t="n">
        <v>1508.62069</v>
      </c>
      <c r="AA2320" s="55">
        <f>IF(AND(A2320="", B2320="", E2320=""), "", IF(AB2320="", "Válido", IF((LEN(AB2320)-LEN(SUBSTITUTE(AB2320,"; ","")))/2+1&gt;(LEN(AB2320)-LEN(SUBSTITUTE(AB2320,"[Aviso]","")))/7, "Con Incidencias", "Válido")))</f>
        <v/>
      </c>
      <c r="AB2320" s="56">
        <f>IF(AND(A2320="", B2320="", E2320=""), "", TEXTJOIN("; ", TRUE, IF(OR(TRIM(A2320&amp;"")="", ISNUMBER(SEARCH("FALTA", A2320))), "UPC faltante/inválido", ""), IF(AND(A2320&lt;&gt;"", IFERROR(_xlfn.XMATCH(A2320,$A$2:$A$2509,0,1)&lt;&gt;_xlfn.XMATCH(A2320,$A$2:$A$2509,0,-1),FALSE)), "Código de barras duplicado", ""), IF(AND(E2320&lt;&gt;"", COUNTIF($E$2:$E$2509, E2320)&gt;1), "SKU duplicado", ""), IF(OR(J2320="", J2320=""), "[Aviso] División no capturada ()", IF(ISNA(MATCH(J2320, Criterios!$A$123:$A$126, 0)), "División no válida", "")), IF(OR(K2320="", K2320=""), "[Aviso] Categoría no capturada ()", IF(ISNA(MATCH(K2320, Criterios!$A$81:$A$120, 0)), "Categoría no válida", IF(AND(J2320&lt;&gt;"", J2320&lt;&gt;"", J2320&lt;&gt;VLOOKUP(K2320, Criterios!$A$81:$B$120, 2, FALSE)), "División no coincide con Categoría", ""))), IF(OR(L2320="", L2320=""), "[Aviso] Género no capturado ()", IF(ISNA(MATCH(L2320, Criterios!$B$123:$B$127, 0)), "Género no válido", "")), IF(OR(N2320="", N2320=""), "[Aviso] Temporada no capturada ()", IF(ISNA(MATCH(N2320, Criterios!$C$123:$C$128, 0)), "Temporada no válida", "")), IF(OR(O2320="", O2320=""), "[Aviso] Ciclo de vida no capturado ()", IF(ISNA(MATCH(O2320, Criterios!$D$123:$D$124, 0)), "Ciclo de vida no válido", ""))))</f>
        <v/>
      </c>
      <c r="AC2320" s="56" t="n"/>
      <c r="AD2320" s="51" t="n">
        <v>0</v>
      </c>
      <c r="AE2320" s="156" t="n"/>
      <c r="AF2320" s="51" t="n">
        <v>0</v>
      </c>
      <c r="AG2320" s="156" t="inlineStr">
        <is>
          <t>Catálogo existente</t>
        </is>
      </c>
      <c r="AH232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0" s="156" t="inlineStr">
        <is>
          <t>No</t>
        </is>
      </c>
      <c r="AJ2320" s="156" t="n"/>
      <c r="AK2320" s="155" t="inlineStr">
        <is>
          <t>Criterios: J [R]; G1522_Extraccion_Articulos_NetSuite_2026-09-30.xlsx: fila 58202 [S] | Shopify Stetson: producto 14819775938923 / variante 53350595494251</t>
        </is>
      </c>
      <c r="AL2320" s="58" t="n">
        <v>678.8793103</v>
      </c>
      <c r="AM2320" s="58" t="n">
        <v>1508.62069</v>
      </c>
      <c r="AN2320" s="155" t="inlineStr">
        <is>
          <t>Shopify Stetson México</t>
        </is>
      </c>
      <c r="AO2320" s="59" t="n">
        <v>2</v>
      </c>
      <c r="AP2320" s="59" t="n"/>
      <c r="AQ2320" s="59" t="n"/>
      <c r="AR2320" s="155" t="inlineStr">
        <is>
          <t>Shopify Stetson México › Stetson Americas: 2</t>
        </is>
      </c>
    </row>
    <row r="2321">
      <c r="A2321" s="50" t="inlineStr">
        <is>
          <t>7506499570602</t>
        </is>
      </c>
      <c r="B2321" s="51" t="inlineStr">
        <is>
          <t>110388</t>
        </is>
      </c>
      <c r="C2321" s="156" t="inlineStr">
        <is>
          <t>Multimarca</t>
        </is>
      </c>
      <c r="D2321" s="156" t="inlineStr">
        <is>
          <t>ST-VR-P-021-FW25-DQ</t>
        </is>
      </c>
      <c r="E2321" s="156" t="inlineStr">
        <is>
          <t>ST-VR-P-021-FW25-DQ-S</t>
        </is>
      </c>
      <c r="F2321" s="156" t="inlineStr">
        <is>
          <t>S</t>
        </is>
      </c>
      <c r="G2321" s="156" t="inlineStr">
        <is>
          <t>S</t>
        </is>
      </c>
      <c r="H2321" s="156" t="inlineStr">
        <is>
          <t>Stetson</t>
        </is>
      </c>
      <c r="I2321" s="156" t="inlineStr">
        <is>
          <t>Camisa Stetson Vintage Range Desert Quartz</t>
        </is>
      </c>
      <c r="J2321" s="156" t="inlineStr">
        <is>
          <t>Ropa</t>
        </is>
      </c>
      <c r="K2321" s="156" t="inlineStr">
        <is>
          <t>Camisas</t>
        </is>
      </c>
      <c r="L2321" s="156" t="inlineStr">
        <is>
          <t>Hombre</t>
        </is>
      </c>
      <c r="M2321" s="156" t="inlineStr">
        <is>
          <t>Stetson</t>
        </is>
      </c>
      <c r="N2321" s="156" t="inlineStr">
        <is>
          <t>SS26</t>
        </is>
      </c>
      <c r="O2321" s="156" t="inlineStr">
        <is>
          <t>Seasonal</t>
        </is>
      </c>
      <c r="P2321" s="156" t="n"/>
      <c r="Q2321" s="156" t="inlineStr">
        <is>
          <t>Clásico</t>
        </is>
      </c>
      <c r="R2321" s="156" t="n"/>
      <c r="S2321" s="156" t="inlineStr">
        <is>
          <t>100% Algodón</t>
        </is>
      </c>
      <c r="T232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1" s="156" t="n"/>
      <c r="V2321" s="156" t="inlineStr">
        <is>
          <t>PZS</t>
        </is>
      </c>
      <c r="W2321" s="51" t="inlineStr">
        <is>
          <t>53101600</t>
        </is>
      </c>
      <c r="X2321" s="156" t="inlineStr">
        <is>
          <t>https://cdn.shopify.com/s/files/1/0888/3250/8267/files/ST-VR-P-021-DQ-01.jpg?v=1762369408</t>
        </is>
      </c>
      <c r="Y2321" s="54" t="n">
        <v>678.8793103</v>
      </c>
      <c r="Z2321" s="54" t="n">
        <v>1508.62069</v>
      </c>
      <c r="AA2321" s="55">
        <f>IF(AND(A2321="", B2321="", E2321=""), "", IF(AB2321="", "Válido", IF((LEN(AB2321)-LEN(SUBSTITUTE(AB2321,"; ","")))/2+1&gt;(LEN(AB2321)-LEN(SUBSTITUTE(AB2321,"[Aviso]","")))/7, "Con Incidencias", "Válido")))</f>
        <v/>
      </c>
      <c r="AB2321" s="56">
        <f>IF(AND(A2321="", B2321="", E2321=""), "", TEXTJOIN("; ", TRUE, IF(OR(TRIM(A2321&amp;"")="", ISNUMBER(SEARCH("FALTA", A2321))), "UPC faltante/inválido", ""), IF(AND(A2321&lt;&gt;"", IFERROR(_xlfn.XMATCH(A2321,$A$2:$A$2509,0,1)&lt;&gt;_xlfn.XMATCH(A2321,$A$2:$A$2509,0,-1),FALSE)), "Código de barras duplicado", ""), IF(AND(E2321&lt;&gt;"", COUNTIF($E$2:$E$2509, E2321)&gt;1), "SKU duplicado", ""), IF(OR(J2321="", J2321=""), "[Aviso] División no capturada ()", IF(ISNA(MATCH(J2321, Criterios!$A$123:$A$126, 0)), "División no válida", "")), IF(OR(K2321="", K2321=""), "[Aviso] Categoría no capturada ()", IF(ISNA(MATCH(K2321, Criterios!$A$81:$A$120, 0)), "Categoría no válida", IF(AND(J2321&lt;&gt;"", J2321&lt;&gt;"", J2321&lt;&gt;VLOOKUP(K2321, Criterios!$A$81:$B$120, 2, FALSE)), "División no coincide con Categoría", ""))), IF(OR(L2321="", L2321=""), "[Aviso] Género no capturado ()", IF(ISNA(MATCH(L2321, Criterios!$B$123:$B$127, 0)), "Género no válido", "")), IF(OR(N2321="", N2321=""), "[Aviso] Temporada no capturada ()", IF(ISNA(MATCH(N2321, Criterios!$C$123:$C$128, 0)), "Temporada no válida", "")), IF(OR(O2321="", O2321=""), "[Aviso] Ciclo de vida no capturado ()", IF(ISNA(MATCH(O2321, Criterios!$D$123:$D$124, 0)), "Ciclo de vida no válido", ""))))</f>
        <v/>
      </c>
      <c r="AC2321" s="56" t="n"/>
      <c r="AD2321" s="51" t="n">
        <v>6</v>
      </c>
      <c r="AE2321" s="156" t="inlineStr">
        <is>
          <t>B25 STETSON.MX (7)</t>
        </is>
      </c>
      <c r="AF2321" s="51" t="n">
        <v>7</v>
      </c>
      <c r="AG2321" s="156" t="inlineStr">
        <is>
          <t>Catálogo existente</t>
        </is>
      </c>
      <c r="AH232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1" s="156" t="inlineStr">
        <is>
          <t>Sí</t>
        </is>
      </c>
      <c r="AJ2321" s="156" t="inlineStr">
        <is>
          <t>STETSON AMERICAS (-1)</t>
        </is>
      </c>
      <c r="AK2321" s="155" t="inlineStr">
        <is>
          <t>Criterios: J [R]; G1522_Extraccion_Articulos_NetSuite_2026-09-30.xlsx: fila 58203 [S] | Shopify Stetson: producto 14819776495979 / variante 53350595199339</t>
        </is>
      </c>
      <c r="AL2321" s="58" t="n">
        <v>678.8793103</v>
      </c>
      <c r="AM2321" s="58" t="n">
        <v>1508.62069</v>
      </c>
      <c r="AN2321" s="155" t="inlineStr">
        <is>
          <t>Shopify Stetson México</t>
        </is>
      </c>
      <c r="AO2321" s="59" t="n">
        <v>10</v>
      </c>
      <c r="AP2321" s="59" t="n"/>
      <c r="AQ2321" s="59" t="n"/>
      <c r="AR2321" s="155" t="inlineStr">
        <is>
          <t>Shopify Stetson México › Stetson México: 7 | Shopify Stetson México › Stetson Americas: 3</t>
        </is>
      </c>
    </row>
    <row r="2322">
      <c r="A2322" s="50" t="inlineStr">
        <is>
          <t>7506499570619</t>
        </is>
      </c>
      <c r="B2322" s="51" t="inlineStr">
        <is>
          <t>110389</t>
        </is>
      </c>
      <c r="C2322" s="156" t="inlineStr">
        <is>
          <t>Multimarca</t>
        </is>
      </c>
      <c r="D2322" s="156" t="inlineStr">
        <is>
          <t>ST-VR-P-021-FW25-DQ</t>
        </is>
      </c>
      <c r="E2322" s="156" t="inlineStr">
        <is>
          <t>ST-VR-P-021-FW25-DQ-M</t>
        </is>
      </c>
      <c r="F2322" s="156" t="inlineStr">
        <is>
          <t>M</t>
        </is>
      </c>
      <c r="G2322" s="156" t="inlineStr">
        <is>
          <t>M</t>
        </is>
      </c>
      <c r="H2322" s="156" t="inlineStr">
        <is>
          <t>Stetson</t>
        </is>
      </c>
      <c r="I2322" s="156" t="inlineStr">
        <is>
          <t>Camisa Stetson Vintage Range Desert Quartz</t>
        </is>
      </c>
      <c r="J2322" s="156" t="inlineStr">
        <is>
          <t>Ropa</t>
        </is>
      </c>
      <c r="K2322" s="156" t="inlineStr">
        <is>
          <t>Camisas</t>
        </is>
      </c>
      <c r="L2322" s="156" t="inlineStr">
        <is>
          <t>Hombre</t>
        </is>
      </c>
      <c r="M2322" s="156" t="inlineStr">
        <is>
          <t>Stetson</t>
        </is>
      </c>
      <c r="N2322" s="156" t="inlineStr">
        <is>
          <t>SS26</t>
        </is>
      </c>
      <c r="O2322" s="156" t="inlineStr">
        <is>
          <t>Seasonal</t>
        </is>
      </c>
      <c r="P2322" s="156" t="n"/>
      <c r="Q2322" s="156" t="inlineStr">
        <is>
          <t>Clásico</t>
        </is>
      </c>
      <c r="R2322" s="156" t="n"/>
      <c r="S2322" s="156" t="inlineStr">
        <is>
          <t>100% Algodón</t>
        </is>
      </c>
      <c r="T232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2" s="156" t="n"/>
      <c r="V2322" s="156" t="inlineStr">
        <is>
          <t>PZS</t>
        </is>
      </c>
      <c r="W2322" s="51" t="inlineStr">
        <is>
          <t>53101600</t>
        </is>
      </c>
      <c r="X2322" s="156" t="inlineStr">
        <is>
          <t>https://cdn.shopify.com/s/files/1/0888/3250/8267/files/ST-VR-P-021-DQ-02.jpg?v=1762369407</t>
        </is>
      </c>
      <c r="Y2322" s="54" t="n">
        <v>678.8793103</v>
      </c>
      <c r="Z2322" s="54" t="n">
        <v>1508.62069</v>
      </c>
      <c r="AA2322" s="55">
        <f>IF(AND(A2322="", B2322="", E2322=""), "", IF(AB2322="", "Válido", IF((LEN(AB2322)-LEN(SUBSTITUTE(AB2322,"; ","")))/2+1&gt;(LEN(AB2322)-LEN(SUBSTITUTE(AB2322,"[Aviso]","")))/7, "Con Incidencias", "Válido")))</f>
        <v/>
      </c>
      <c r="AB2322" s="56">
        <f>IF(AND(A2322="", B2322="", E2322=""), "", TEXTJOIN("; ", TRUE, IF(OR(TRIM(A2322&amp;"")="", ISNUMBER(SEARCH("FALTA", A2322))), "UPC faltante/inválido", ""), IF(AND(A2322&lt;&gt;"", IFERROR(_xlfn.XMATCH(A2322,$A$2:$A$2509,0,1)&lt;&gt;_xlfn.XMATCH(A2322,$A$2:$A$2509,0,-1),FALSE)), "Código de barras duplicado", ""), IF(AND(E2322&lt;&gt;"", COUNTIF($E$2:$E$2509, E2322)&gt;1), "SKU duplicado", ""), IF(OR(J2322="", J2322=""), "[Aviso] División no capturada ()", IF(ISNA(MATCH(J2322, Criterios!$A$123:$A$126, 0)), "División no válida", "")), IF(OR(K2322="", K2322=""), "[Aviso] Categoría no capturada ()", IF(ISNA(MATCH(K2322, Criterios!$A$81:$A$120, 0)), "Categoría no válida", IF(AND(J2322&lt;&gt;"", J2322&lt;&gt;"", J2322&lt;&gt;VLOOKUP(K2322, Criterios!$A$81:$B$120, 2, FALSE)), "División no coincide con Categoría", ""))), IF(OR(L2322="", L2322=""), "[Aviso] Género no capturado ()", IF(ISNA(MATCH(L2322, Criterios!$B$123:$B$127, 0)), "Género no válido", "")), IF(OR(N2322="", N2322=""), "[Aviso] Temporada no capturada ()", IF(ISNA(MATCH(N2322, Criterios!$C$123:$C$128, 0)), "Temporada no válida", "")), IF(OR(O2322="", O2322=""), "[Aviso] Ciclo de vida no capturado ()", IF(ISNA(MATCH(O2322, Criterios!$D$123:$D$124, 0)), "Ciclo de vida no válido", ""))))</f>
        <v/>
      </c>
      <c r="AC2322" s="56" t="n"/>
      <c r="AD2322" s="51" t="n">
        <v>7</v>
      </c>
      <c r="AE2322" s="156" t="inlineStr">
        <is>
          <t>B25 STETSON.MX (10)</t>
        </is>
      </c>
      <c r="AF2322" s="51" t="n">
        <v>10</v>
      </c>
      <c r="AG2322" s="156" t="inlineStr">
        <is>
          <t>Catálogo existente</t>
        </is>
      </c>
      <c r="AH232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2" s="156" t="inlineStr">
        <is>
          <t>Sí</t>
        </is>
      </c>
      <c r="AJ2322" s="156" t="inlineStr">
        <is>
          <t>STETSON AMERICAS (-3)</t>
        </is>
      </c>
      <c r="AK2322" s="155" t="inlineStr">
        <is>
          <t>Criterios: J [R]; G1522_Extraccion_Articulos_NetSuite_2026-09-30.xlsx: fila 58204 [S] | Shopify Stetson: producto 14819776495979 / variante 53350595232107</t>
        </is>
      </c>
      <c r="AL2322" s="58" t="n">
        <v>678.8793103</v>
      </c>
      <c r="AM2322" s="58" t="n">
        <v>1508.62069</v>
      </c>
      <c r="AN2322" s="155" t="inlineStr">
        <is>
          <t>Shopify Stetson México</t>
        </is>
      </c>
      <c r="AO2322" s="59" t="n">
        <v>11</v>
      </c>
      <c r="AP2322" s="59" t="n"/>
      <c r="AQ2322" s="59" t="n"/>
      <c r="AR2322" s="155" t="inlineStr">
        <is>
          <t>Shopify Stetson México › Stetson México: 10 | Shopify Stetson México › Stetson Americas: 1</t>
        </is>
      </c>
    </row>
    <row r="2323">
      <c r="A2323" s="50" t="inlineStr">
        <is>
          <t>7506499570626</t>
        </is>
      </c>
      <c r="B2323" s="51" t="inlineStr">
        <is>
          <t>110390</t>
        </is>
      </c>
      <c r="C2323" s="156" t="inlineStr">
        <is>
          <t>Multimarca</t>
        </is>
      </c>
      <c r="D2323" s="156" t="inlineStr">
        <is>
          <t>ST-VR-P-021-FW25-DQ</t>
        </is>
      </c>
      <c r="E2323" s="156" t="inlineStr">
        <is>
          <t>ST-VR-P-021-FW25-DQ-L</t>
        </is>
      </c>
      <c r="F2323" s="156" t="inlineStr">
        <is>
          <t>L</t>
        </is>
      </c>
      <c r="G2323" s="156" t="inlineStr">
        <is>
          <t>L</t>
        </is>
      </c>
      <c r="H2323" s="156" t="inlineStr">
        <is>
          <t>Stetson</t>
        </is>
      </c>
      <c r="I2323" s="156" t="inlineStr">
        <is>
          <t>Camisa Stetson Vintage Range Desert Quartz</t>
        </is>
      </c>
      <c r="J2323" s="156" t="inlineStr">
        <is>
          <t>Ropa</t>
        </is>
      </c>
      <c r="K2323" s="156" t="inlineStr">
        <is>
          <t>Camisas</t>
        </is>
      </c>
      <c r="L2323" s="156" t="inlineStr">
        <is>
          <t>Hombre</t>
        </is>
      </c>
      <c r="M2323" s="156" t="inlineStr">
        <is>
          <t>Stetson</t>
        </is>
      </c>
      <c r="N2323" s="156" t="inlineStr">
        <is>
          <t>SS26</t>
        </is>
      </c>
      <c r="O2323" s="156" t="inlineStr">
        <is>
          <t>Seasonal</t>
        </is>
      </c>
      <c r="P2323" s="156" t="n"/>
      <c r="Q2323" s="156" t="inlineStr">
        <is>
          <t>Clásico</t>
        </is>
      </c>
      <c r="R2323" s="156" t="n"/>
      <c r="S2323" s="156" t="inlineStr">
        <is>
          <t>100% Algodón</t>
        </is>
      </c>
      <c r="T232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3" s="156" t="n"/>
      <c r="V2323" s="156" t="inlineStr">
        <is>
          <t>PZS</t>
        </is>
      </c>
      <c r="W2323" s="51" t="inlineStr">
        <is>
          <t>53101600</t>
        </is>
      </c>
      <c r="X2323" s="156" t="inlineStr">
        <is>
          <t>https://cdn.shopify.com/s/files/1/0888/3250/8267/files/ST-VR-P-021-DQ-03.jpg?v=1762369408</t>
        </is>
      </c>
      <c r="Y2323" s="54" t="n">
        <v>678.8793103</v>
      </c>
      <c r="Z2323" s="54" t="n">
        <v>1508.62069</v>
      </c>
      <c r="AA2323" s="55">
        <f>IF(AND(A2323="", B2323="", E2323=""), "", IF(AB2323="", "Válido", IF((LEN(AB2323)-LEN(SUBSTITUTE(AB2323,"; ","")))/2+1&gt;(LEN(AB2323)-LEN(SUBSTITUTE(AB2323,"[Aviso]","")))/7, "Con Incidencias", "Válido")))</f>
        <v/>
      </c>
      <c r="AB2323" s="56">
        <f>IF(AND(A2323="", B2323="", E2323=""), "", TEXTJOIN("; ", TRUE, IF(OR(TRIM(A2323&amp;"")="", ISNUMBER(SEARCH("FALTA", A2323))), "UPC faltante/inválido", ""), IF(AND(A2323&lt;&gt;"", IFERROR(_xlfn.XMATCH(A2323,$A$2:$A$2509,0,1)&lt;&gt;_xlfn.XMATCH(A2323,$A$2:$A$2509,0,-1),FALSE)), "Código de barras duplicado", ""), IF(AND(E2323&lt;&gt;"", COUNTIF($E$2:$E$2509, E2323)&gt;1), "SKU duplicado", ""), IF(OR(J2323="", J2323=""), "[Aviso] División no capturada ()", IF(ISNA(MATCH(J2323, Criterios!$A$123:$A$126, 0)), "División no válida", "")), IF(OR(K2323="", K2323=""), "[Aviso] Categoría no capturada ()", IF(ISNA(MATCH(K2323, Criterios!$A$81:$A$120, 0)), "Categoría no válida", IF(AND(J2323&lt;&gt;"", J2323&lt;&gt;"", J2323&lt;&gt;VLOOKUP(K2323, Criterios!$A$81:$B$120, 2, FALSE)), "División no coincide con Categoría", ""))), IF(OR(L2323="", L2323=""), "[Aviso] Género no capturado ()", IF(ISNA(MATCH(L2323, Criterios!$B$123:$B$127, 0)), "Género no válido", "")), IF(OR(N2323="", N2323=""), "[Aviso] Temporada no capturada ()", IF(ISNA(MATCH(N2323, Criterios!$C$123:$C$128, 0)), "Temporada no válida", "")), IF(OR(O2323="", O2323=""), "[Aviso] Ciclo de vida no capturado ()", IF(ISNA(MATCH(O2323, Criterios!$D$123:$D$124, 0)), "Ciclo de vida no válido", ""))))</f>
        <v/>
      </c>
      <c r="AC2323" s="56" t="n"/>
      <c r="AD2323" s="51" t="n">
        <v>8</v>
      </c>
      <c r="AE2323" s="156" t="inlineStr">
        <is>
          <t>B25 STETSON.MX (9)</t>
        </is>
      </c>
      <c r="AF2323" s="51" t="n">
        <v>9</v>
      </c>
      <c r="AG2323" s="156" t="inlineStr">
        <is>
          <t>Catálogo existente</t>
        </is>
      </c>
      <c r="AH232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3" s="156" t="inlineStr">
        <is>
          <t>Sí</t>
        </is>
      </c>
      <c r="AJ2323" s="156" t="inlineStr">
        <is>
          <t>STETSON AMERICAS (-1)</t>
        </is>
      </c>
      <c r="AK2323" s="155" t="inlineStr">
        <is>
          <t>Criterios: J [R]; G1522_Extraccion_Articulos_NetSuite_2026-09-30.xlsx: fila 58205 [S] | Shopify Stetson: producto 14819776495979 / variante 53350595264875</t>
        </is>
      </c>
      <c r="AL2323" s="58" t="n">
        <v>678.8793103</v>
      </c>
      <c r="AM2323" s="58" t="n">
        <v>1508.62069</v>
      </c>
      <c r="AN2323" s="155" t="inlineStr">
        <is>
          <t>Shopify Stetson México</t>
        </is>
      </c>
      <c r="AO2323" s="59" t="n">
        <v>14</v>
      </c>
      <c r="AP2323" s="59" t="n"/>
      <c r="AQ2323" s="59" t="n"/>
      <c r="AR2323" s="155" t="inlineStr">
        <is>
          <t>Shopify Stetson México › Stetson México: 9 | Shopify Stetson México › Stetson Americas: 5</t>
        </is>
      </c>
    </row>
    <row r="2324">
      <c r="A2324" s="50" t="inlineStr">
        <is>
          <t>7506499570633</t>
        </is>
      </c>
      <c r="B2324" s="51" t="inlineStr">
        <is>
          <t>110391</t>
        </is>
      </c>
      <c r="C2324" s="156" t="inlineStr">
        <is>
          <t>Multimarca</t>
        </is>
      </c>
      <c r="D2324" s="156" t="inlineStr">
        <is>
          <t>ST-VR-P-021-FW25-DQ</t>
        </is>
      </c>
      <c r="E2324" s="156" t="inlineStr">
        <is>
          <t>ST-VR-P-021-FW25-DQ-XL</t>
        </is>
      </c>
      <c r="F2324" s="156" t="inlineStr">
        <is>
          <t>XL</t>
        </is>
      </c>
      <c r="G2324" s="156" t="inlineStr">
        <is>
          <t>XL</t>
        </is>
      </c>
      <c r="H2324" s="156" t="inlineStr">
        <is>
          <t>Stetson</t>
        </is>
      </c>
      <c r="I2324" s="156" t="inlineStr">
        <is>
          <t>Camisa Stetson Vintage Range Desert Quartz</t>
        </is>
      </c>
      <c r="J2324" s="156" t="inlineStr">
        <is>
          <t>Ropa</t>
        </is>
      </c>
      <c r="K2324" s="156" t="inlineStr">
        <is>
          <t>Camisas</t>
        </is>
      </c>
      <c r="L2324" s="156" t="inlineStr">
        <is>
          <t>Hombre</t>
        </is>
      </c>
      <c r="M2324" s="156" t="inlineStr">
        <is>
          <t>Stetson</t>
        </is>
      </c>
      <c r="N2324" s="156" t="inlineStr">
        <is>
          <t>SS26</t>
        </is>
      </c>
      <c r="O2324" s="156" t="inlineStr">
        <is>
          <t>Seasonal</t>
        </is>
      </c>
      <c r="P2324" s="156" t="n"/>
      <c r="Q2324" s="156" t="inlineStr">
        <is>
          <t>Clásico</t>
        </is>
      </c>
      <c r="R2324" s="156" t="n"/>
      <c r="S2324" s="156" t="inlineStr">
        <is>
          <t>100% Algodón</t>
        </is>
      </c>
      <c r="T232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4" s="156" t="n"/>
      <c r="V2324" s="156" t="inlineStr">
        <is>
          <t>PZS</t>
        </is>
      </c>
      <c r="W2324" s="51" t="inlineStr">
        <is>
          <t>53101600</t>
        </is>
      </c>
      <c r="X2324" s="156" t="inlineStr">
        <is>
          <t>https://cdn.shopify.com/s/files/1/0888/3250/8267/files/ST-VR-P-021-DQ-01.jpg?v=1762369408</t>
        </is>
      </c>
      <c r="Y2324" s="54" t="n">
        <v>678.8793103</v>
      </c>
      <c r="Z2324" s="54" t="n">
        <v>1508.62069</v>
      </c>
      <c r="AA2324" s="55">
        <f>IF(AND(A2324="", B2324="", E2324=""), "", IF(AB2324="", "Válido", IF((LEN(AB2324)-LEN(SUBSTITUTE(AB2324,"; ","")))/2+1&gt;(LEN(AB2324)-LEN(SUBSTITUTE(AB2324,"[Aviso]","")))/7, "Con Incidencias", "Válido")))</f>
        <v/>
      </c>
      <c r="AB2324" s="56">
        <f>IF(AND(A2324="", B2324="", E2324=""), "", TEXTJOIN("; ", TRUE, IF(OR(TRIM(A2324&amp;"")="", ISNUMBER(SEARCH("FALTA", A2324))), "UPC faltante/inválido", ""), IF(AND(A2324&lt;&gt;"", IFERROR(_xlfn.XMATCH(A2324,$A$2:$A$2509,0,1)&lt;&gt;_xlfn.XMATCH(A2324,$A$2:$A$2509,0,-1),FALSE)), "Código de barras duplicado", ""), IF(AND(E2324&lt;&gt;"", COUNTIF($E$2:$E$2509, E2324)&gt;1), "SKU duplicado", ""), IF(OR(J2324="", J2324=""), "[Aviso] División no capturada ()", IF(ISNA(MATCH(J2324, Criterios!$A$123:$A$126, 0)), "División no válida", "")), IF(OR(K2324="", K2324=""), "[Aviso] Categoría no capturada ()", IF(ISNA(MATCH(K2324, Criterios!$A$81:$A$120, 0)), "Categoría no válida", IF(AND(J2324&lt;&gt;"", J2324&lt;&gt;"", J2324&lt;&gt;VLOOKUP(K2324, Criterios!$A$81:$B$120, 2, FALSE)), "División no coincide con Categoría", ""))), IF(OR(L2324="", L2324=""), "[Aviso] Género no capturado ()", IF(ISNA(MATCH(L2324, Criterios!$B$123:$B$127, 0)), "Género no válido", "")), IF(OR(N2324="", N2324=""), "[Aviso] Temporada no capturada ()", IF(ISNA(MATCH(N2324, Criterios!$C$123:$C$128, 0)), "Temporada no válida", "")), IF(OR(O2324="", O2324=""), "[Aviso] Ciclo de vida no capturado ()", IF(ISNA(MATCH(O2324, Criterios!$D$123:$D$124, 0)), "Ciclo de vida no válido", ""))))</f>
        <v/>
      </c>
      <c r="AC2324" s="56" t="n"/>
      <c r="AD2324" s="51" t="n">
        <v>1</v>
      </c>
      <c r="AE2324" s="156" t="inlineStr">
        <is>
          <t>B25 STETSON.MX (2)</t>
        </is>
      </c>
      <c r="AF2324" s="51" t="n">
        <v>2</v>
      </c>
      <c r="AG2324" s="156" t="inlineStr">
        <is>
          <t>Catálogo existente</t>
        </is>
      </c>
      <c r="AH232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4" s="156" t="inlineStr">
        <is>
          <t>Sí</t>
        </is>
      </c>
      <c r="AJ2324" s="156" t="inlineStr">
        <is>
          <t>STETSON AMERICAS (-1)</t>
        </is>
      </c>
      <c r="AK2324" s="155" t="inlineStr">
        <is>
          <t>Criterios: J [R]; G1522_Extraccion_Articulos_NetSuite_2026-09-30.xlsx: fila 58206 [S] | Shopify Stetson: producto 14819776495979 / variante 53350595297643</t>
        </is>
      </c>
      <c r="AL2324" s="58" t="n">
        <v>678.8793103</v>
      </c>
      <c r="AM2324" s="58" t="n">
        <v>1508.62069</v>
      </c>
      <c r="AN2324" s="155" t="inlineStr">
        <is>
          <t>Shopify Stetson México</t>
        </is>
      </c>
      <c r="AO2324" s="59" t="n">
        <v>7</v>
      </c>
      <c r="AP2324" s="59" t="n"/>
      <c r="AQ2324" s="59" t="n"/>
      <c r="AR2324" s="155" t="inlineStr">
        <is>
          <t>Shopify Stetson México › Stetson México: 2 | Shopify Stetson México › Stetson Americas: 5</t>
        </is>
      </c>
    </row>
    <row r="2325">
      <c r="A2325" s="50" t="inlineStr">
        <is>
          <t>7506499570640</t>
        </is>
      </c>
      <c r="B2325" s="51" t="inlineStr">
        <is>
          <t>110392</t>
        </is>
      </c>
      <c r="C2325" s="156" t="inlineStr">
        <is>
          <t>Multimarca</t>
        </is>
      </c>
      <c r="D2325" s="156" t="inlineStr">
        <is>
          <t>ST-VR-P-021-FW25-DQ</t>
        </is>
      </c>
      <c r="E2325" s="156" t="inlineStr">
        <is>
          <t>ST-VR-P-021-FW25-DQ-XXL</t>
        </is>
      </c>
      <c r="F2325" s="156" t="inlineStr">
        <is>
          <t>XXL</t>
        </is>
      </c>
      <c r="G2325" s="156" t="inlineStr">
        <is>
          <t>XXL</t>
        </is>
      </c>
      <c r="H2325" s="156" t="inlineStr">
        <is>
          <t>Stetson</t>
        </is>
      </c>
      <c r="I2325" s="156" t="inlineStr">
        <is>
          <t>Camisa Stetson Vintage Range Desert Quartz</t>
        </is>
      </c>
      <c r="J2325" s="156" t="inlineStr">
        <is>
          <t>Ropa</t>
        </is>
      </c>
      <c r="K2325" s="156" t="inlineStr">
        <is>
          <t>Camisas</t>
        </is>
      </c>
      <c r="L2325" s="156" t="inlineStr">
        <is>
          <t>Hombre</t>
        </is>
      </c>
      <c r="M2325" s="156" t="inlineStr">
        <is>
          <t>Stetson</t>
        </is>
      </c>
      <c r="N2325" s="156" t="inlineStr">
        <is>
          <t>SS26</t>
        </is>
      </c>
      <c r="O2325" s="156" t="inlineStr">
        <is>
          <t>Seasonal</t>
        </is>
      </c>
      <c r="P2325" s="156" t="n"/>
      <c r="Q2325" s="156" t="inlineStr">
        <is>
          <t>Clásico</t>
        </is>
      </c>
      <c r="R2325" s="156" t="n"/>
      <c r="S2325" s="156" t="inlineStr">
        <is>
          <t>100% Algodón</t>
        </is>
      </c>
      <c r="T232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5" s="156" t="n"/>
      <c r="V2325" s="156" t="inlineStr">
        <is>
          <t>PZS</t>
        </is>
      </c>
      <c r="W2325" s="51" t="inlineStr">
        <is>
          <t>53101600</t>
        </is>
      </c>
      <c r="X2325" s="156" t="inlineStr">
        <is>
          <t>https://cdn.shopify.com/s/files/1/0888/3250/8267/files/ST-VR-P-021-DQ-01.jpg?v=1762369408</t>
        </is>
      </c>
      <c r="Y2325" s="54" t="n">
        <v>678.8793103</v>
      </c>
      <c r="Z2325" s="54" t="n">
        <v>1508.62069</v>
      </c>
      <c r="AA2325" s="55">
        <f>IF(AND(A2325="", B2325="", E2325=""), "", IF(AB2325="", "Válido", IF((LEN(AB2325)-LEN(SUBSTITUTE(AB2325,"; ","")))/2+1&gt;(LEN(AB2325)-LEN(SUBSTITUTE(AB2325,"[Aviso]","")))/7, "Con Incidencias", "Válido")))</f>
        <v/>
      </c>
      <c r="AB2325" s="56">
        <f>IF(AND(A2325="", B2325="", E2325=""), "", TEXTJOIN("; ", TRUE, IF(OR(TRIM(A2325&amp;"")="", ISNUMBER(SEARCH("FALTA", A2325))), "UPC faltante/inválido", ""), IF(AND(A2325&lt;&gt;"", IFERROR(_xlfn.XMATCH(A2325,$A$2:$A$2509,0,1)&lt;&gt;_xlfn.XMATCH(A2325,$A$2:$A$2509,0,-1),FALSE)), "Código de barras duplicado", ""), IF(AND(E2325&lt;&gt;"", COUNTIF($E$2:$E$2509, E2325)&gt;1), "SKU duplicado", ""), IF(OR(J2325="", J2325=""), "[Aviso] División no capturada ()", IF(ISNA(MATCH(J2325, Criterios!$A$123:$A$126, 0)), "División no válida", "")), IF(OR(K2325="", K2325=""), "[Aviso] Categoría no capturada ()", IF(ISNA(MATCH(K2325, Criterios!$A$81:$A$120, 0)), "Categoría no válida", IF(AND(J2325&lt;&gt;"", J2325&lt;&gt;"", J2325&lt;&gt;VLOOKUP(K2325, Criterios!$A$81:$B$120, 2, FALSE)), "División no coincide con Categoría", ""))), IF(OR(L2325="", L2325=""), "[Aviso] Género no capturado ()", IF(ISNA(MATCH(L2325, Criterios!$B$123:$B$127, 0)), "Género no válido", "")), IF(OR(N2325="", N2325=""), "[Aviso] Temporada no capturada ()", IF(ISNA(MATCH(N2325, Criterios!$C$123:$C$128, 0)), "Temporada no válida", "")), IF(OR(O2325="", O2325=""), "[Aviso] Ciclo de vida no capturado ()", IF(ISNA(MATCH(O2325, Criterios!$D$123:$D$124, 0)), "Ciclo de vida no válido", ""))))</f>
        <v/>
      </c>
      <c r="AC2325" s="56" t="n"/>
      <c r="AD2325" s="51" t="n">
        <v>1</v>
      </c>
      <c r="AE2325" s="156" t="inlineStr">
        <is>
          <t>B25 STETSON.MX (1)</t>
        </is>
      </c>
      <c r="AF2325" s="51" t="n">
        <v>1</v>
      </c>
      <c r="AG2325" s="156" t="inlineStr">
        <is>
          <t>Catálogo existente</t>
        </is>
      </c>
      <c r="AH232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5" s="156" t="inlineStr">
        <is>
          <t>No</t>
        </is>
      </c>
      <c r="AJ2325" s="156" t="n"/>
      <c r="AK2325" s="155" t="inlineStr">
        <is>
          <t>Criterios: J [R]; G1522_Extraccion_Articulos_NetSuite_2026-09-30.xlsx: fila 58207 [S] | Shopify Stetson: producto 14819776495979 / variante 53350595330411</t>
        </is>
      </c>
      <c r="AL2325" s="58" t="n">
        <v>678.8793103</v>
      </c>
      <c r="AM2325" s="58" t="n">
        <v>1508.62069</v>
      </c>
      <c r="AN2325" s="155" t="inlineStr">
        <is>
          <t>Shopify Stetson México</t>
        </is>
      </c>
      <c r="AO2325" s="59" t="n">
        <v>5</v>
      </c>
      <c r="AP2325" s="59" t="n"/>
      <c r="AQ2325" s="59" t="n"/>
      <c r="AR2325" s="155" t="inlineStr">
        <is>
          <t>Shopify Stetson México › Stetson México: 1 | Shopify Stetson México › Stetson Americas: 4</t>
        </is>
      </c>
    </row>
    <row r="2326">
      <c r="A2326" s="50" t="inlineStr">
        <is>
          <t>7506499570657</t>
        </is>
      </c>
      <c r="B2326" s="51" t="inlineStr">
        <is>
          <t>110358</t>
        </is>
      </c>
      <c r="C2326" s="156" t="inlineStr">
        <is>
          <t>Multimarca</t>
        </is>
      </c>
      <c r="D2326" s="156" t="inlineStr">
        <is>
          <t>ST-VR-P-014-FW25-BL</t>
        </is>
      </c>
      <c r="E2326" s="156" t="inlineStr">
        <is>
          <t>ST-VR-P-014-FW25-BL-S</t>
        </is>
      </c>
      <c r="F2326" s="156" t="inlineStr">
        <is>
          <t>S</t>
        </is>
      </c>
      <c r="G2326" s="156" t="inlineStr">
        <is>
          <t>S</t>
        </is>
      </c>
      <c r="H2326" s="156" t="inlineStr">
        <is>
          <t>Stetson</t>
        </is>
      </c>
      <c r="I2326" s="156" t="inlineStr">
        <is>
          <t>Camisa Stetson Vintage Range Bravado Lines</t>
        </is>
      </c>
      <c r="J2326" s="156" t="inlineStr">
        <is>
          <t>Ropa</t>
        </is>
      </c>
      <c r="K2326" s="156" t="inlineStr">
        <is>
          <t>Camisas</t>
        </is>
      </c>
      <c r="L2326" s="156" t="inlineStr">
        <is>
          <t>Hombre</t>
        </is>
      </c>
      <c r="M2326" s="156" t="inlineStr">
        <is>
          <t>Stetson</t>
        </is>
      </c>
      <c r="N2326" s="156" t="inlineStr">
        <is>
          <t>SS26</t>
        </is>
      </c>
      <c r="O2326" s="156" t="inlineStr">
        <is>
          <t>Seasonal</t>
        </is>
      </c>
      <c r="P2326" s="156" t="n"/>
      <c r="Q2326" s="156" t="inlineStr">
        <is>
          <t>Clásico</t>
        </is>
      </c>
      <c r="R2326" s="156" t="n"/>
      <c r="S2326" s="156" t="inlineStr">
        <is>
          <t>100% Algodón</t>
        </is>
      </c>
      <c r="T232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6" s="156" t="n"/>
      <c r="V2326" s="156" t="inlineStr">
        <is>
          <t>PZS</t>
        </is>
      </c>
      <c r="W2326" s="51" t="inlineStr">
        <is>
          <t>53101600</t>
        </is>
      </c>
      <c r="X2326" s="156" t="inlineStr">
        <is>
          <t>https://cdn.shopify.com/s/files/1/0888/3250/8267/files/ST-VR-P-014-BL-01_ed3e45d6-237f-4040-90fc-656632fec3b6.jpg?v=1787600997</t>
        </is>
      </c>
      <c r="Y2326" s="54" t="n">
        <v>678.8793103</v>
      </c>
      <c r="Z2326" s="54" t="n">
        <v>1508.62069</v>
      </c>
      <c r="AA2326" s="55">
        <f>IF(AND(A2326="", B2326="", E2326=""), "", IF(AB2326="", "Válido", IF((LEN(AB2326)-LEN(SUBSTITUTE(AB2326,"; ","")))/2+1&gt;(LEN(AB2326)-LEN(SUBSTITUTE(AB2326,"[Aviso]","")))/7, "Con Incidencias", "Válido")))</f>
        <v/>
      </c>
      <c r="AB2326" s="56">
        <f>IF(AND(A2326="", B2326="", E2326=""), "", TEXTJOIN("; ", TRUE, IF(OR(TRIM(A2326&amp;"")="", ISNUMBER(SEARCH("FALTA", A2326))), "UPC faltante/inválido", ""), IF(AND(A2326&lt;&gt;"", IFERROR(_xlfn.XMATCH(A2326,$A$2:$A$2509,0,1)&lt;&gt;_xlfn.XMATCH(A2326,$A$2:$A$2509,0,-1),FALSE)), "Código de barras duplicado", ""), IF(AND(E2326&lt;&gt;"", COUNTIF($E$2:$E$2509, E2326)&gt;1), "SKU duplicado", ""), IF(OR(J2326="", J2326=""), "[Aviso] División no capturada ()", IF(ISNA(MATCH(J2326, Criterios!$A$123:$A$126, 0)), "División no válida", "")), IF(OR(K2326="", K2326=""), "[Aviso] Categoría no capturada ()", IF(ISNA(MATCH(K2326, Criterios!$A$81:$A$120, 0)), "Categoría no válida", IF(AND(J2326&lt;&gt;"", J2326&lt;&gt;"", J2326&lt;&gt;VLOOKUP(K2326, Criterios!$A$81:$B$120, 2, FALSE)), "División no coincide con Categoría", ""))), IF(OR(L2326="", L2326=""), "[Aviso] Género no capturado ()", IF(ISNA(MATCH(L2326, Criterios!$B$123:$B$127, 0)), "Género no válido", "")), IF(OR(N2326="", N2326=""), "[Aviso] Temporada no capturada ()", IF(ISNA(MATCH(N2326, Criterios!$C$123:$C$128, 0)), "Temporada no válida", "")), IF(OR(O2326="", O2326=""), "[Aviso] Ciclo de vida no capturado ()", IF(ISNA(MATCH(O2326, Criterios!$D$123:$D$124, 0)), "Ciclo de vida no válido", ""))))</f>
        <v/>
      </c>
      <c r="AC2326" s="56" t="n"/>
      <c r="AD2326" s="51" t="n">
        <v>4</v>
      </c>
      <c r="AE2326" s="156" t="inlineStr">
        <is>
          <t>B25 STETSON.MX (6)</t>
        </is>
      </c>
      <c r="AF2326" s="51" t="n">
        <v>6</v>
      </c>
      <c r="AG2326" s="156" t="inlineStr">
        <is>
          <t>Catálogo existente</t>
        </is>
      </c>
      <c r="AH232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6" s="156" t="inlineStr">
        <is>
          <t>Sí</t>
        </is>
      </c>
      <c r="AJ2326" s="156" t="inlineStr">
        <is>
          <t>STETSON AMERICAS (-2)</t>
        </is>
      </c>
      <c r="AK2326" s="155" t="inlineStr">
        <is>
          <t>Criterios: J [R]; G1522_Extraccion_Articulos_NetSuite_2026-09-30.xlsx: fila 58173 [S] | Shopify Stetson: producto 14819658432875 / variante 53350596378987</t>
        </is>
      </c>
      <c r="AL2326" s="58" t="n">
        <v>678.8793103</v>
      </c>
      <c r="AM2326" s="58" t="n">
        <v>1508.62069</v>
      </c>
      <c r="AN2326" s="155" t="inlineStr">
        <is>
          <t>Shopify Stetson México</t>
        </is>
      </c>
      <c r="AO2326" s="59" t="n">
        <v>6</v>
      </c>
      <c r="AP2326" s="59" t="n"/>
      <c r="AQ2326" s="59" t="n"/>
      <c r="AR2326" s="155" t="inlineStr">
        <is>
          <t>Shopify Stetson México › Stetson México: 6</t>
        </is>
      </c>
    </row>
    <row r="2327">
      <c r="A2327" s="50" t="inlineStr">
        <is>
          <t>7506499570664</t>
        </is>
      </c>
      <c r="B2327" s="51" t="inlineStr">
        <is>
          <t>110359</t>
        </is>
      </c>
      <c r="C2327" s="156" t="inlineStr">
        <is>
          <t>Multimarca</t>
        </is>
      </c>
      <c r="D2327" s="156" t="inlineStr">
        <is>
          <t>ST-VR-P-014-FW25-BL</t>
        </is>
      </c>
      <c r="E2327" s="156" t="inlineStr">
        <is>
          <t>ST-VR-P-014-FW25-BL-M</t>
        </is>
      </c>
      <c r="F2327" s="156" t="inlineStr">
        <is>
          <t>M</t>
        </is>
      </c>
      <c r="G2327" s="156" t="inlineStr">
        <is>
          <t>M</t>
        </is>
      </c>
      <c r="H2327" s="156" t="inlineStr">
        <is>
          <t>Stetson</t>
        </is>
      </c>
      <c r="I2327" s="156" t="inlineStr">
        <is>
          <t>Camisa Stetson Vintage Range Bravado Lines</t>
        </is>
      </c>
      <c r="J2327" s="156" t="inlineStr">
        <is>
          <t>Ropa</t>
        </is>
      </c>
      <c r="K2327" s="156" t="inlineStr">
        <is>
          <t>Camisas</t>
        </is>
      </c>
      <c r="L2327" s="156" t="inlineStr">
        <is>
          <t>Hombre</t>
        </is>
      </c>
      <c r="M2327" s="156" t="inlineStr">
        <is>
          <t>Stetson</t>
        </is>
      </c>
      <c r="N2327" s="156" t="inlineStr">
        <is>
          <t>SS26</t>
        </is>
      </c>
      <c r="O2327" s="156" t="inlineStr">
        <is>
          <t>Seasonal</t>
        </is>
      </c>
      <c r="P2327" s="156" t="n"/>
      <c r="Q2327" s="156" t="inlineStr">
        <is>
          <t>Clásico</t>
        </is>
      </c>
      <c r="R2327" s="156" t="n"/>
      <c r="S2327" s="156" t="inlineStr">
        <is>
          <t>100% Algodón</t>
        </is>
      </c>
      <c r="T232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7" s="156" t="n"/>
      <c r="V2327" s="156" t="inlineStr">
        <is>
          <t>PZS</t>
        </is>
      </c>
      <c r="W2327" s="51" t="inlineStr">
        <is>
          <t>53101600</t>
        </is>
      </c>
      <c r="X2327" s="156" t="inlineStr">
        <is>
          <t>https://cdn.shopify.com/s/files/1/0888/3250/8267/files/ST-VR-P-014-BL-02.jpg?v=1762359832</t>
        </is>
      </c>
      <c r="Y2327" s="54" t="n">
        <v>678.8793103</v>
      </c>
      <c r="Z2327" s="54" t="n">
        <v>1508.62069</v>
      </c>
      <c r="AA2327" s="55">
        <f>IF(AND(A2327="", B2327="", E2327=""), "", IF(AB2327="", "Válido", IF((LEN(AB2327)-LEN(SUBSTITUTE(AB2327,"; ","")))/2+1&gt;(LEN(AB2327)-LEN(SUBSTITUTE(AB2327,"[Aviso]","")))/7, "Con Incidencias", "Válido")))</f>
        <v/>
      </c>
      <c r="AB2327" s="56">
        <f>IF(AND(A2327="", B2327="", E2327=""), "", TEXTJOIN("; ", TRUE, IF(OR(TRIM(A2327&amp;"")="", ISNUMBER(SEARCH("FALTA", A2327))), "UPC faltante/inválido", ""), IF(AND(A2327&lt;&gt;"", IFERROR(_xlfn.XMATCH(A2327,$A$2:$A$2509,0,1)&lt;&gt;_xlfn.XMATCH(A2327,$A$2:$A$2509,0,-1),FALSE)), "Código de barras duplicado", ""), IF(AND(E2327&lt;&gt;"", COUNTIF($E$2:$E$2509, E2327)&gt;1), "SKU duplicado", ""), IF(OR(J2327="", J2327=""), "[Aviso] División no capturada ()", IF(ISNA(MATCH(J2327, Criterios!$A$123:$A$126, 0)), "División no válida", "")), IF(OR(K2327="", K2327=""), "[Aviso] Categoría no capturada ()", IF(ISNA(MATCH(K2327, Criterios!$A$81:$A$120, 0)), "Categoría no válida", IF(AND(J2327&lt;&gt;"", J2327&lt;&gt;"", J2327&lt;&gt;VLOOKUP(K2327, Criterios!$A$81:$B$120, 2, FALSE)), "División no coincide con Categoría", ""))), IF(OR(L2327="", L2327=""), "[Aviso] Género no capturado ()", IF(ISNA(MATCH(L2327, Criterios!$B$123:$B$127, 0)), "Género no válido", "")), IF(OR(N2327="", N2327=""), "[Aviso] Temporada no capturada ()", IF(ISNA(MATCH(N2327, Criterios!$C$123:$C$128, 0)), "Temporada no válida", "")), IF(OR(O2327="", O2327=""), "[Aviso] Ciclo de vida no capturado ()", IF(ISNA(MATCH(O2327, Criterios!$D$123:$D$124, 0)), "Ciclo de vida no válido", ""))))</f>
        <v/>
      </c>
      <c r="AC2327" s="56" t="n"/>
      <c r="AD2327" s="51" t="n">
        <v>9</v>
      </c>
      <c r="AE2327" s="156" t="inlineStr">
        <is>
          <t>B25 STETSON.MX (10)</t>
        </is>
      </c>
      <c r="AF2327" s="51" t="n">
        <v>10</v>
      </c>
      <c r="AG2327" s="156" t="inlineStr">
        <is>
          <t>Catálogo existente</t>
        </is>
      </c>
      <c r="AH232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7" s="156" t="inlineStr">
        <is>
          <t>Sí</t>
        </is>
      </c>
      <c r="AJ2327" s="156" t="inlineStr">
        <is>
          <t>STETSON AMERICAS (-1)</t>
        </is>
      </c>
      <c r="AK2327" s="155" t="inlineStr">
        <is>
          <t>Criterios: J [R]; G1522_Extraccion_Articulos_NetSuite_2026-09-30.xlsx: fila 58174 [S] | Shopify Stetson: producto 14819658432875 / variante 53350596411755</t>
        </is>
      </c>
      <c r="AL2327" s="58" t="n">
        <v>678.8793103</v>
      </c>
      <c r="AM2327" s="58" t="n">
        <v>1508.62069</v>
      </c>
      <c r="AN2327" s="155" t="inlineStr">
        <is>
          <t>Shopify Stetson México</t>
        </is>
      </c>
      <c r="AO2327" s="59" t="n">
        <v>12</v>
      </c>
      <c r="AP2327" s="59" t="n"/>
      <c r="AQ2327" s="59" t="n"/>
      <c r="AR2327" s="155" t="inlineStr">
        <is>
          <t>Shopify Stetson México › Stetson México: 10 | Shopify Stetson México › Stetson Americas: 2</t>
        </is>
      </c>
    </row>
    <row r="2328">
      <c r="A2328" s="50" t="inlineStr">
        <is>
          <t>7506499570671</t>
        </is>
      </c>
      <c r="B2328" s="51" t="inlineStr">
        <is>
          <t>110360</t>
        </is>
      </c>
      <c r="C2328" s="156" t="inlineStr">
        <is>
          <t>Multimarca</t>
        </is>
      </c>
      <c r="D2328" s="156" t="inlineStr">
        <is>
          <t>ST-VR-P-014-FW25-BL</t>
        </is>
      </c>
      <c r="E2328" s="156" t="inlineStr">
        <is>
          <t>ST-VR-P-014-FW25-BL-L</t>
        </is>
      </c>
      <c r="F2328" s="156" t="inlineStr">
        <is>
          <t>L</t>
        </is>
      </c>
      <c r="G2328" s="156" t="inlineStr">
        <is>
          <t>L</t>
        </is>
      </c>
      <c r="H2328" s="156" t="inlineStr">
        <is>
          <t>Stetson</t>
        </is>
      </c>
      <c r="I2328" s="156" t="inlineStr">
        <is>
          <t>Camisa Stetson Vintage Range Bravado Lines</t>
        </is>
      </c>
      <c r="J2328" s="156" t="inlineStr">
        <is>
          <t>Ropa</t>
        </is>
      </c>
      <c r="K2328" s="156" t="inlineStr">
        <is>
          <t>Camisas</t>
        </is>
      </c>
      <c r="L2328" s="156" t="inlineStr">
        <is>
          <t>Hombre</t>
        </is>
      </c>
      <c r="M2328" s="156" t="inlineStr">
        <is>
          <t>Stetson</t>
        </is>
      </c>
      <c r="N2328" s="156" t="inlineStr">
        <is>
          <t>SS26</t>
        </is>
      </c>
      <c r="O2328" s="156" t="inlineStr">
        <is>
          <t>Seasonal</t>
        </is>
      </c>
      <c r="P2328" s="156" t="n"/>
      <c r="Q2328" s="156" t="inlineStr">
        <is>
          <t>Clásico</t>
        </is>
      </c>
      <c r="R2328" s="156" t="n"/>
      <c r="S2328" s="156" t="inlineStr">
        <is>
          <t>100% Algodón</t>
        </is>
      </c>
      <c r="T232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8" s="156" t="n"/>
      <c r="V2328" s="156" t="inlineStr">
        <is>
          <t>PZS</t>
        </is>
      </c>
      <c r="W2328" s="51" t="inlineStr">
        <is>
          <t>53101600</t>
        </is>
      </c>
      <c r="X2328" s="156" t="inlineStr">
        <is>
          <t>https://cdn.shopify.com/s/files/1/0888/3250/8267/files/ST-VR-P-014-BL-01.jpg?v=1762359832</t>
        </is>
      </c>
      <c r="Y2328" s="54" t="n">
        <v>678.8793103</v>
      </c>
      <c r="Z2328" s="54" t="n">
        <v>1508.62069</v>
      </c>
      <c r="AA2328" s="55">
        <f>IF(AND(A2328="", B2328="", E2328=""), "", IF(AB2328="", "Válido", IF((LEN(AB2328)-LEN(SUBSTITUTE(AB2328,"; ","")))/2+1&gt;(LEN(AB2328)-LEN(SUBSTITUTE(AB2328,"[Aviso]","")))/7, "Con Incidencias", "Válido")))</f>
        <v/>
      </c>
      <c r="AB2328" s="56">
        <f>IF(AND(A2328="", B2328="", E2328=""), "", TEXTJOIN("; ", TRUE, IF(OR(TRIM(A2328&amp;"")="", ISNUMBER(SEARCH("FALTA", A2328))), "UPC faltante/inválido", ""), IF(AND(A2328&lt;&gt;"", IFERROR(_xlfn.XMATCH(A2328,$A$2:$A$2509,0,1)&lt;&gt;_xlfn.XMATCH(A2328,$A$2:$A$2509,0,-1),FALSE)), "Código de barras duplicado", ""), IF(AND(E2328&lt;&gt;"", COUNTIF($E$2:$E$2509, E2328)&gt;1), "SKU duplicado", ""), IF(OR(J2328="", J2328=""), "[Aviso] División no capturada ()", IF(ISNA(MATCH(J2328, Criterios!$A$123:$A$126, 0)), "División no válida", "")), IF(OR(K2328="", K2328=""), "[Aviso] Categoría no capturada ()", IF(ISNA(MATCH(K2328, Criterios!$A$81:$A$120, 0)), "Categoría no válida", IF(AND(J2328&lt;&gt;"", J2328&lt;&gt;"", J2328&lt;&gt;VLOOKUP(K2328, Criterios!$A$81:$B$120, 2, FALSE)), "División no coincide con Categoría", ""))), IF(OR(L2328="", L2328=""), "[Aviso] Género no capturado ()", IF(ISNA(MATCH(L2328, Criterios!$B$123:$B$127, 0)), "Género no válido", "")), IF(OR(N2328="", N2328=""), "[Aviso] Temporada no capturada ()", IF(ISNA(MATCH(N2328, Criterios!$C$123:$C$128, 0)), "Temporada no válida", "")), IF(OR(O2328="", O2328=""), "[Aviso] Ciclo de vida no capturado ()", IF(ISNA(MATCH(O2328, Criterios!$D$123:$D$124, 0)), "Ciclo de vida no válido", ""))))</f>
        <v/>
      </c>
      <c r="AC2328" s="56" t="n"/>
      <c r="AD2328" s="51" t="n">
        <v>6</v>
      </c>
      <c r="AE2328" s="156" t="inlineStr">
        <is>
          <t>B25 STETSON.MX (8)</t>
        </is>
      </c>
      <c r="AF2328" s="51" t="n">
        <v>8</v>
      </c>
      <c r="AG2328" s="156" t="inlineStr">
        <is>
          <t>Catálogo existente</t>
        </is>
      </c>
      <c r="AH232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8" s="156" t="inlineStr">
        <is>
          <t>Sí</t>
        </is>
      </c>
      <c r="AJ2328" s="156" t="inlineStr">
        <is>
          <t>STETSON AMERICAS (-2)</t>
        </is>
      </c>
      <c r="AK2328" s="155" t="inlineStr">
        <is>
          <t>Criterios: J [R]; G1522_Extraccion_Articulos_NetSuite_2026-09-30.xlsx: fila 58175 [S] | Shopify Stetson: producto 14819658432875 / variante 53350596444523</t>
        </is>
      </c>
      <c r="AL2328" s="58" t="n">
        <v>678.8793103</v>
      </c>
      <c r="AM2328" s="58" t="n">
        <v>1508.62069</v>
      </c>
      <c r="AN2328" s="155" t="inlineStr">
        <is>
          <t>Shopify Stetson México</t>
        </is>
      </c>
      <c r="AO2328" s="59" t="n">
        <v>11</v>
      </c>
      <c r="AP2328" s="59" t="n"/>
      <c r="AQ2328" s="59" t="n"/>
      <c r="AR2328" s="155" t="inlineStr">
        <is>
          <t>Shopify Stetson México › Stetson México: 8 | Shopify Stetson México › Stetson Americas: 3</t>
        </is>
      </c>
    </row>
    <row r="2329">
      <c r="A2329" s="50" t="inlineStr">
        <is>
          <t>7506499570688</t>
        </is>
      </c>
      <c r="B2329" s="51" t="inlineStr">
        <is>
          <t>110361</t>
        </is>
      </c>
      <c r="C2329" s="156" t="inlineStr">
        <is>
          <t>Multimarca</t>
        </is>
      </c>
      <c r="D2329" s="156" t="inlineStr">
        <is>
          <t>ST-VR-P-014-FW25-BL</t>
        </is>
      </c>
      <c r="E2329" s="156" t="inlineStr">
        <is>
          <t>ST-VR-P-014-FW25-BL-XL</t>
        </is>
      </c>
      <c r="F2329" s="156" t="inlineStr">
        <is>
          <t>XL</t>
        </is>
      </c>
      <c r="G2329" s="156" t="inlineStr">
        <is>
          <t>XL</t>
        </is>
      </c>
      <c r="H2329" s="156" t="inlineStr">
        <is>
          <t>Stetson</t>
        </is>
      </c>
      <c r="I2329" s="156" t="inlineStr">
        <is>
          <t>Camisa Stetson Vintage Range Bravado Lines</t>
        </is>
      </c>
      <c r="J2329" s="156" t="inlineStr">
        <is>
          <t>Ropa</t>
        </is>
      </c>
      <c r="K2329" s="156" t="inlineStr">
        <is>
          <t>Camisas</t>
        </is>
      </c>
      <c r="L2329" s="156" t="inlineStr">
        <is>
          <t>Hombre</t>
        </is>
      </c>
      <c r="M2329" s="156" t="inlineStr">
        <is>
          <t>Stetson</t>
        </is>
      </c>
      <c r="N2329" s="156" t="inlineStr">
        <is>
          <t>SS26</t>
        </is>
      </c>
      <c r="O2329" s="156" t="inlineStr">
        <is>
          <t>Seasonal</t>
        </is>
      </c>
      <c r="P2329" s="156" t="n"/>
      <c r="Q2329" s="156" t="inlineStr">
        <is>
          <t>Clásico</t>
        </is>
      </c>
      <c r="R2329" s="156" t="n"/>
      <c r="S2329" s="156" t="inlineStr">
        <is>
          <t>100% Algodón</t>
        </is>
      </c>
      <c r="T232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9" s="156" t="n"/>
      <c r="V2329" s="156" t="inlineStr">
        <is>
          <t>PZS</t>
        </is>
      </c>
      <c r="W2329" s="51" t="inlineStr">
        <is>
          <t>53101600</t>
        </is>
      </c>
      <c r="X2329" s="156" t="inlineStr">
        <is>
          <t>https://cdn.shopify.com/s/files/1/0888/3250/8267/files/ST-VR-P-014-BL-03.jpg?v=1762359832</t>
        </is>
      </c>
      <c r="Y2329" s="54" t="n">
        <v>678.8793103</v>
      </c>
      <c r="Z2329" s="54" t="n">
        <v>1508.62069</v>
      </c>
      <c r="AA2329" s="55">
        <f>IF(AND(A2329="", B2329="", E2329=""), "", IF(AB2329="", "Válido", IF((LEN(AB2329)-LEN(SUBSTITUTE(AB2329,"; ","")))/2+1&gt;(LEN(AB2329)-LEN(SUBSTITUTE(AB2329,"[Aviso]","")))/7, "Con Incidencias", "Válido")))</f>
        <v/>
      </c>
      <c r="AB2329" s="56">
        <f>IF(AND(A2329="", B2329="", E2329=""), "", TEXTJOIN("; ", TRUE, IF(OR(TRIM(A2329&amp;"")="", ISNUMBER(SEARCH("FALTA", A2329))), "UPC faltante/inválido", ""), IF(AND(A2329&lt;&gt;"", IFERROR(_xlfn.XMATCH(A2329,$A$2:$A$2509,0,1)&lt;&gt;_xlfn.XMATCH(A2329,$A$2:$A$2509,0,-1),FALSE)), "Código de barras duplicado", ""), IF(AND(E2329&lt;&gt;"", COUNTIF($E$2:$E$2509, E2329)&gt;1), "SKU duplicado", ""), IF(OR(J2329="", J2329=""), "[Aviso] División no capturada ()", IF(ISNA(MATCH(J2329, Criterios!$A$123:$A$126, 0)), "División no válida", "")), IF(OR(K2329="", K2329=""), "[Aviso] Categoría no capturada ()", IF(ISNA(MATCH(K2329, Criterios!$A$81:$A$120, 0)), "Categoría no válida", IF(AND(J2329&lt;&gt;"", J2329&lt;&gt;"", J2329&lt;&gt;VLOOKUP(K2329, Criterios!$A$81:$B$120, 2, FALSE)), "División no coincide con Categoría", ""))), IF(OR(L2329="", L2329=""), "[Aviso] Género no capturado ()", IF(ISNA(MATCH(L2329, Criterios!$B$123:$B$127, 0)), "Género no válido", "")), IF(OR(N2329="", N2329=""), "[Aviso] Temporada no capturada ()", IF(ISNA(MATCH(N2329, Criterios!$C$123:$C$128, 0)), "Temporada no válida", "")), IF(OR(O2329="", O2329=""), "[Aviso] Ciclo de vida no capturado ()", IF(ISNA(MATCH(O2329, Criterios!$D$123:$D$124, 0)), "Ciclo de vida no válido", ""))))</f>
        <v/>
      </c>
      <c r="AC2329" s="56" t="n"/>
      <c r="AD2329" s="51" t="n">
        <v>2</v>
      </c>
      <c r="AE2329" s="156" t="inlineStr">
        <is>
          <t>B25 STETSON.MX (3)</t>
        </is>
      </c>
      <c r="AF2329" s="51" t="n">
        <v>3</v>
      </c>
      <c r="AG2329" s="156" t="inlineStr">
        <is>
          <t>Catálogo existente</t>
        </is>
      </c>
      <c r="AH232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9" s="156" t="inlineStr">
        <is>
          <t>Sí</t>
        </is>
      </c>
      <c r="AJ2329" s="156" t="inlineStr">
        <is>
          <t>STETSON AMERICAS (-1)</t>
        </is>
      </c>
      <c r="AK2329" s="155" t="inlineStr">
        <is>
          <t>Criterios: J [R]; G1522_Extraccion_Articulos_NetSuite_2026-09-30.xlsx: fila 58176 [S] | Shopify Stetson: producto 14819658432875 / variante 53350596477291</t>
        </is>
      </c>
      <c r="AL2329" s="58" t="n">
        <v>678.8793103</v>
      </c>
      <c r="AM2329" s="58" t="n">
        <v>1508.62069</v>
      </c>
      <c r="AN2329" s="155" t="inlineStr">
        <is>
          <t>Shopify Stetson México</t>
        </is>
      </c>
      <c r="AO2329" s="59" t="n">
        <v>5</v>
      </c>
      <c r="AP2329" s="59" t="n"/>
      <c r="AQ2329" s="59" t="n"/>
      <c r="AR2329" s="155" t="inlineStr">
        <is>
          <t>Shopify Stetson México › Stetson México: 3 | Shopify Stetson México › Stetson Americas: 2</t>
        </is>
      </c>
    </row>
    <row r="2330">
      <c r="A2330" s="50" t="inlineStr">
        <is>
          <t>7506499570695</t>
        </is>
      </c>
      <c r="B2330" s="51" t="inlineStr">
        <is>
          <t>110362</t>
        </is>
      </c>
      <c r="C2330" s="156" t="inlineStr">
        <is>
          <t>Multimarca</t>
        </is>
      </c>
      <c r="D2330" s="156" t="inlineStr">
        <is>
          <t>ST-VR-P-014-FW25-BL</t>
        </is>
      </c>
      <c r="E2330" s="156" t="inlineStr">
        <is>
          <t>ST-VR-P-014-FW25-BL-XXL</t>
        </is>
      </c>
      <c r="F2330" s="156" t="inlineStr">
        <is>
          <t>XXL</t>
        </is>
      </c>
      <c r="G2330" s="156" t="inlineStr">
        <is>
          <t>XXL</t>
        </is>
      </c>
      <c r="H2330" s="156" t="inlineStr">
        <is>
          <t>Stetson</t>
        </is>
      </c>
      <c r="I2330" s="156" t="inlineStr">
        <is>
          <t>Camisa Stetson Vintage Range Bravado Lines</t>
        </is>
      </c>
      <c r="J2330" s="156" t="inlineStr">
        <is>
          <t>Ropa</t>
        </is>
      </c>
      <c r="K2330" s="156" t="inlineStr">
        <is>
          <t>Camisas</t>
        </is>
      </c>
      <c r="L2330" s="156" t="inlineStr">
        <is>
          <t>Hombre</t>
        </is>
      </c>
      <c r="M2330" s="156" t="inlineStr">
        <is>
          <t>Stetson</t>
        </is>
      </c>
      <c r="N2330" s="156" t="inlineStr">
        <is>
          <t>SS26</t>
        </is>
      </c>
      <c r="O2330" s="156" t="inlineStr">
        <is>
          <t>Seasonal</t>
        </is>
      </c>
      <c r="P2330" s="156" t="n"/>
      <c r="Q2330" s="156" t="inlineStr">
        <is>
          <t>Clásico</t>
        </is>
      </c>
      <c r="R2330" s="156" t="n"/>
      <c r="S2330" s="156" t="inlineStr">
        <is>
          <t>100% Algodón</t>
        </is>
      </c>
      <c r="T233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0" s="156" t="n"/>
      <c r="V2330" s="156" t="inlineStr">
        <is>
          <t>PZS</t>
        </is>
      </c>
      <c r="W2330" s="51" t="inlineStr">
        <is>
          <t>53101600</t>
        </is>
      </c>
      <c r="X2330" s="156" t="inlineStr">
        <is>
          <t>https://cdn.shopify.com/s/files/1/0888/3250/8267/files/ST-VR-P-014-BL-02_70dcbc11-d412-40e0-8982-dda62558737c.jpg?v=1787601010</t>
        </is>
      </c>
      <c r="Y2330" s="54" t="n">
        <v>678.8793103</v>
      </c>
      <c r="Z2330" s="54" t="n">
        <v>1508.62069</v>
      </c>
      <c r="AA2330" s="55">
        <f>IF(AND(A2330="", B2330="", E2330=""), "", IF(AB2330="", "Válido", IF((LEN(AB2330)-LEN(SUBSTITUTE(AB2330,"; ","")))/2+1&gt;(LEN(AB2330)-LEN(SUBSTITUTE(AB2330,"[Aviso]","")))/7, "Con Incidencias", "Válido")))</f>
        <v/>
      </c>
      <c r="AB2330" s="56">
        <f>IF(AND(A2330="", B2330="", E2330=""), "", TEXTJOIN("; ", TRUE, IF(OR(TRIM(A2330&amp;"")="", ISNUMBER(SEARCH("FALTA", A2330))), "UPC faltante/inválido", ""), IF(AND(A2330&lt;&gt;"", IFERROR(_xlfn.XMATCH(A2330,$A$2:$A$2509,0,1)&lt;&gt;_xlfn.XMATCH(A2330,$A$2:$A$2509,0,-1),FALSE)), "Código de barras duplicado", ""), IF(AND(E2330&lt;&gt;"", COUNTIF($E$2:$E$2509, E2330)&gt;1), "SKU duplicado", ""), IF(OR(J2330="", J2330=""), "[Aviso] División no capturada ()", IF(ISNA(MATCH(J2330, Criterios!$A$123:$A$126, 0)), "División no válida", "")), IF(OR(K2330="", K2330=""), "[Aviso] Categoría no capturada ()", IF(ISNA(MATCH(K2330, Criterios!$A$81:$A$120, 0)), "Categoría no válida", IF(AND(J2330&lt;&gt;"", J2330&lt;&gt;"", J2330&lt;&gt;VLOOKUP(K2330, Criterios!$A$81:$B$120, 2, FALSE)), "División no coincide con Categoría", ""))), IF(OR(L2330="", L2330=""), "[Aviso] Género no capturado ()", IF(ISNA(MATCH(L2330, Criterios!$B$123:$B$127, 0)), "Género no válido", "")), IF(OR(N2330="", N2330=""), "[Aviso] Temporada no capturada ()", IF(ISNA(MATCH(N2330, Criterios!$C$123:$C$128, 0)), "Temporada no válida", "")), IF(OR(O2330="", O2330=""), "[Aviso] Ciclo de vida no capturado ()", IF(ISNA(MATCH(O2330, Criterios!$D$123:$D$124, 0)), "Ciclo de vida no válido", ""))))</f>
        <v/>
      </c>
      <c r="AC2330" s="56" t="n"/>
      <c r="AD2330" s="51" t="n">
        <v>-1</v>
      </c>
      <c r="AE2330" s="156" t="inlineStr">
        <is>
          <t>B25 STETSON.MX (1)</t>
        </is>
      </c>
      <c r="AF2330" s="51" t="n">
        <v>1</v>
      </c>
      <c r="AG2330" s="156" t="inlineStr">
        <is>
          <t>Catálogo existente</t>
        </is>
      </c>
      <c r="AH2330"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0" s="156" t="inlineStr">
        <is>
          <t>Sí</t>
        </is>
      </c>
      <c r="AJ2330" s="156" t="inlineStr">
        <is>
          <t>STETSON AMERICAS (-2)</t>
        </is>
      </c>
      <c r="AK2330" s="155" t="inlineStr">
        <is>
          <t>Criterios: J [R]; G1522_Extraccion_Articulos_NetSuite_2026-09-30.xlsx: fila 58177 [S] | Shopify Stetson: producto 14819658432875 / variante 53350596510059</t>
        </is>
      </c>
      <c r="AL2330" s="58" t="n">
        <v>678.8793103</v>
      </c>
      <c r="AM2330" s="58" t="n">
        <v>1508.62069</v>
      </c>
      <c r="AN2330" s="155" t="inlineStr">
        <is>
          <t>Shopify Stetson México</t>
        </is>
      </c>
      <c r="AO2330" s="59" t="n">
        <v>3</v>
      </c>
      <c r="AP2330" s="59" t="n"/>
      <c r="AQ2330" s="59" t="n"/>
      <c r="AR2330" s="155" t="inlineStr">
        <is>
          <t>Shopify Stetson México › Stetson México: 1 | Shopify Stetson México › Stetson Americas: 2</t>
        </is>
      </c>
    </row>
    <row r="2331">
      <c r="A2331" s="50" t="inlineStr">
        <is>
          <t>7506499570701</t>
        </is>
      </c>
      <c r="B2331" s="51" t="inlineStr">
        <is>
          <t>110363</t>
        </is>
      </c>
      <c r="C2331" s="156" t="inlineStr">
        <is>
          <t>Multimarca</t>
        </is>
      </c>
      <c r="D2331" s="156" t="inlineStr">
        <is>
          <t>ST-VR-P-015-FW25-SOB</t>
        </is>
      </c>
      <c r="E2331" s="156" t="inlineStr">
        <is>
          <t>ST-VR-P-015-FW25-SOB-S</t>
        </is>
      </c>
      <c r="F2331" s="156" t="inlineStr">
        <is>
          <t>S</t>
        </is>
      </c>
      <c r="G2331" s="156" t="inlineStr">
        <is>
          <t>S</t>
        </is>
      </c>
      <c r="H2331" s="156" t="inlineStr">
        <is>
          <t>Stetson</t>
        </is>
      </c>
      <c r="I2331" s="156" t="inlineStr">
        <is>
          <t>Camisa Stetson Vintage Range Sonora Bloom</t>
        </is>
      </c>
      <c r="J2331" s="156" t="inlineStr">
        <is>
          <t>Ropa</t>
        </is>
      </c>
      <c r="K2331" s="156" t="inlineStr">
        <is>
          <t>Camisas</t>
        </is>
      </c>
      <c r="L2331" s="156" t="inlineStr">
        <is>
          <t>Hombre</t>
        </is>
      </c>
      <c r="M2331" s="156" t="inlineStr">
        <is>
          <t>Stetson</t>
        </is>
      </c>
      <c r="N2331" s="156" t="inlineStr">
        <is>
          <t>SS26</t>
        </is>
      </c>
      <c r="O2331" s="156" t="inlineStr">
        <is>
          <t>Seasonal</t>
        </is>
      </c>
      <c r="P2331" s="156" t="n"/>
      <c r="Q2331" s="156" t="inlineStr">
        <is>
          <t>Clásico</t>
        </is>
      </c>
      <c r="R2331" s="156" t="n"/>
      <c r="S2331" s="156" t="inlineStr">
        <is>
          <t>100% Algodón</t>
        </is>
      </c>
      <c r="T233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1" s="156" t="n"/>
      <c r="V2331" s="156" t="inlineStr">
        <is>
          <t>PZS</t>
        </is>
      </c>
      <c r="W2331" s="51" t="inlineStr">
        <is>
          <t>53101600</t>
        </is>
      </c>
      <c r="X2331" s="156" t="inlineStr">
        <is>
          <t>https://cdn.shopify.com/s/files/1/0888/3250/8267/files/ST-VR-P-015-SOB-02.jpg?v=1762364346</t>
        </is>
      </c>
      <c r="Y2331" s="54" t="n">
        <v>678.8793103</v>
      </c>
      <c r="Z2331" s="54" t="n">
        <v>1508.62069</v>
      </c>
      <c r="AA2331" s="55">
        <f>IF(AND(A2331="", B2331="", E2331=""), "", IF(AB2331="", "Válido", IF((LEN(AB2331)-LEN(SUBSTITUTE(AB2331,"; ","")))/2+1&gt;(LEN(AB2331)-LEN(SUBSTITUTE(AB2331,"[Aviso]","")))/7, "Con Incidencias", "Válido")))</f>
        <v/>
      </c>
      <c r="AB2331" s="56">
        <f>IF(AND(A2331="", B2331="", E2331=""), "", TEXTJOIN("; ", TRUE, IF(OR(TRIM(A2331&amp;"")="", ISNUMBER(SEARCH("FALTA", A2331))), "UPC faltante/inválido", ""), IF(AND(A2331&lt;&gt;"", IFERROR(_xlfn.XMATCH(A2331,$A$2:$A$2509,0,1)&lt;&gt;_xlfn.XMATCH(A2331,$A$2:$A$2509,0,-1),FALSE)), "Código de barras duplicado", ""), IF(AND(E2331&lt;&gt;"", COUNTIF($E$2:$E$2509, E2331)&gt;1), "SKU duplicado", ""), IF(OR(J2331="", J2331=""), "[Aviso] División no capturada ()", IF(ISNA(MATCH(J2331, Criterios!$A$123:$A$126, 0)), "División no válida", "")), IF(OR(K2331="", K2331=""), "[Aviso] Categoría no capturada ()", IF(ISNA(MATCH(K2331, Criterios!$A$81:$A$120, 0)), "Categoría no válida", IF(AND(J2331&lt;&gt;"", J2331&lt;&gt;"", J2331&lt;&gt;VLOOKUP(K2331, Criterios!$A$81:$B$120, 2, FALSE)), "División no coincide con Categoría", ""))), IF(OR(L2331="", L2331=""), "[Aviso] Género no capturado ()", IF(ISNA(MATCH(L2331, Criterios!$B$123:$B$127, 0)), "Género no válido", "")), IF(OR(N2331="", N2331=""), "[Aviso] Temporada no capturada ()", IF(ISNA(MATCH(N2331, Criterios!$C$123:$C$128, 0)), "Temporada no válida", "")), IF(OR(O2331="", O2331=""), "[Aviso] Ciclo de vida no capturado ()", IF(ISNA(MATCH(O2331, Criterios!$D$123:$D$124, 0)), "Ciclo de vida no válido", ""))))</f>
        <v/>
      </c>
      <c r="AC2331" s="56" t="n"/>
      <c r="AD2331" s="51" t="n">
        <v>6</v>
      </c>
      <c r="AE2331" s="156" t="inlineStr">
        <is>
          <t>B25 STETSON.MX (7)</t>
        </is>
      </c>
      <c r="AF2331" s="51" t="n">
        <v>7</v>
      </c>
      <c r="AG2331" s="156" t="inlineStr">
        <is>
          <t>Catálogo existente</t>
        </is>
      </c>
      <c r="AH23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1" s="156" t="inlineStr">
        <is>
          <t>Sí</t>
        </is>
      </c>
      <c r="AJ2331" s="156" t="inlineStr">
        <is>
          <t>STETSON AMERICAS (-1)</t>
        </is>
      </c>
      <c r="AK2331" s="155" t="inlineStr">
        <is>
          <t>Criterios: J [R]; G1522_Extraccion_Articulos_NetSuite_2026-09-30.xlsx: fila 58178 [S] | Shopify Stetson: producto 14819761881451 / variante 53350596215147</t>
        </is>
      </c>
      <c r="AL2331" s="58" t="n">
        <v>678.8793103</v>
      </c>
      <c r="AM2331" s="58" t="n">
        <v>1508.62069</v>
      </c>
      <c r="AN2331" s="155" t="inlineStr">
        <is>
          <t>Shopify Stetson México</t>
        </is>
      </c>
      <c r="AO2331" s="59" t="n">
        <v>10</v>
      </c>
      <c r="AP2331" s="59" t="n"/>
      <c r="AQ2331" s="59" t="n"/>
      <c r="AR2331" s="155" t="inlineStr">
        <is>
          <t>Shopify Stetson México › Stetson México: 7 | Shopify Stetson México › Stetson Americas: 3</t>
        </is>
      </c>
    </row>
    <row r="2332">
      <c r="A2332" s="50" t="inlineStr">
        <is>
          <t>7506499570718</t>
        </is>
      </c>
      <c r="B2332" s="51" t="inlineStr">
        <is>
          <t>110364</t>
        </is>
      </c>
      <c r="C2332" s="156" t="inlineStr">
        <is>
          <t>Multimarca</t>
        </is>
      </c>
      <c r="D2332" s="156" t="inlineStr">
        <is>
          <t>ST-VR-P-015-FW25-SOB</t>
        </is>
      </c>
      <c r="E2332" s="156" t="inlineStr">
        <is>
          <t>ST-VR-P-015-FW25-SOB-M</t>
        </is>
      </c>
      <c r="F2332" s="156" t="inlineStr">
        <is>
          <t>M</t>
        </is>
      </c>
      <c r="G2332" s="156" t="inlineStr">
        <is>
          <t>M</t>
        </is>
      </c>
      <c r="H2332" s="156" t="inlineStr">
        <is>
          <t>Stetson</t>
        </is>
      </c>
      <c r="I2332" s="156" t="inlineStr">
        <is>
          <t>Camisa Stetson Vintage Range Sonora Bloom</t>
        </is>
      </c>
      <c r="J2332" s="156" t="inlineStr">
        <is>
          <t>Ropa</t>
        </is>
      </c>
      <c r="K2332" s="156" t="inlineStr">
        <is>
          <t>Camisas</t>
        </is>
      </c>
      <c r="L2332" s="156" t="inlineStr">
        <is>
          <t>Hombre</t>
        </is>
      </c>
      <c r="M2332" s="156" t="inlineStr">
        <is>
          <t>Stetson</t>
        </is>
      </c>
      <c r="N2332" s="156" t="inlineStr">
        <is>
          <t>SS26</t>
        </is>
      </c>
      <c r="O2332" s="156" t="inlineStr">
        <is>
          <t>Seasonal</t>
        </is>
      </c>
      <c r="P2332" s="156" t="n"/>
      <c r="Q2332" s="156" t="inlineStr">
        <is>
          <t>Clásico</t>
        </is>
      </c>
      <c r="R2332" s="156" t="n"/>
      <c r="S2332" s="156" t="inlineStr">
        <is>
          <t>100% Algodón</t>
        </is>
      </c>
      <c r="T233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2" s="156" t="n"/>
      <c r="V2332" s="156" t="inlineStr">
        <is>
          <t>PZS</t>
        </is>
      </c>
      <c r="W2332" s="51" t="inlineStr">
        <is>
          <t>53101600</t>
        </is>
      </c>
      <c r="X2332" s="156" t="inlineStr">
        <is>
          <t>https://cdn.shopify.com/s/files/1/0888/3250/8267/files/ST-VR-P-015-SOB-04.jpg?v=1762364346</t>
        </is>
      </c>
      <c r="Y2332" s="54" t="n">
        <v>678.8793103</v>
      </c>
      <c r="Z2332" s="54" t="n">
        <v>1508.62069</v>
      </c>
      <c r="AA2332" s="55">
        <f>IF(AND(A2332="", B2332="", E2332=""), "", IF(AB2332="", "Válido", IF((LEN(AB2332)-LEN(SUBSTITUTE(AB2332,"; ","")))/2+1&gt;(LEN(AB2332)-LEN(SUBSTITUTE(AB2332,"[Aviso]","")))/7, "Con Incidencias", "Válido")))</f>
        <v/>
      </c>
      <c r="AB2332" s="56">
        <f>IF(AND(A2332="", B2332="", E2332=""), "", TEXTJOIN("; ", TRUE, IF(OR(TRIM(A2332&amp;"")="", ISNUMBER(SEARCH("FALTA", A2332))), "UPC faltante/inválido", ""), IF(AND(A2332&lt;&gt;"", IFERROR(_xlfn.XMATCH(A2332,$A$2:$A$2509,0,1)&lt;&gt;_xlfn.XMATCH(A2332,$A$2:$A$2509,0,-1),FALSE)), "Código de barras duplicado", ""), IF(AND(E2332&lt;&gt;"", COUNTIF($E$2:$E$2509, E2332)&gt;1), "SKU duplicado", ""), IF(OR(J2332="", J2332=""), "[Aviso] División no capturada ()", IF(ISNA(MATCH(J2332, Criterios!$A$123:$A$126, 0)), "División no válida", "")), IF(OR(K2332="", K2332=""), "[Aviso] Categoría no capturada ()", IF(ISNA(MATCH(K2332, Criterios!$A$81:$A$120, 0)), "Categoría no válida", IF(AND(J2332&lt;&gt;"", J2332&lt;&gt;"", J2332&lt;&gt;VLOOKUP(K2332, Criterios!$A$81:$B$120, 2, FALSE)), "División no coincide con Categoría", ""))), IF(OR(L2332="", L2332=""), "[Aviso] Género no capturado ()", IF(ISNA(MATCH(L2332, Criterios!$B$123:$B$127, 0)), "Género no válido", "")), IF(OR(N2332="", N2332=""), "[Aviso] Temporada no capturada ()", IF(ISNA(MATCH(N2332, Criterios!$C$123:$C$128, 0)), "Temporada no válida", "")), IF(OR(O2332="", O2332=""), "[Aviso] Ciclo de vida no capturado ()", IF(ISNA(MATCH(O2332, Criterios!$D$123:$D$124, 0)), "Ciclo de vida no válido", ""))))</f>
        <v/>
      </c>
      <c r="AC2332" s="56" t="n"/>
      <c r="AD2332" s="51" t="n">
        <v>7</v>
      </c>
      <c r="AE2332" s="156" t="inlineStr">
        <is>
          <t>B25 STETSON.MX (9)</t>
        </is>
      </c>
      <c r="AF2332" s="51" t="n">
        <v>9</v>
      </c>
      <c r="AG2332" s="156" t="inlineStr">
        <is>
          <t>Catálogo existente</t>
        </is>
      </c>
      <c r="AH23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2" s="156" t="inlineStr">
        <is>
          <t>Sí</t>
        </is>
      </c>
      <c r="AJ2332" s="156" t="inlineStr">
        <is>
          <t>STETSON AMERICAS (-2)</t>
        </is>
      </c>
      <c r="AK2332" s="155" t="inlineStr">
        <is>
          <t>Criterios: J [R]; G1522_Extraccion_Articulos_NetSuite_2026-09-30.xlsx: fila 58179 [S] | Shopify Stetson: producto 14819761881451 / variante 53350596247915</t>
        </is>
      </c>
      <c r="AL2332" s="58" t="n">
        <v>678.8793103</v>
      </c>
      <c r="AM2332" s="58" t="n">
        <v>1508.62069</v>
      </c>
      <c r="AN2332" s="155" t="inlineStr">
        <is>
          <t>Shopify Stetson México</t>
        </is>
      </c>
      <c r="AO2332" s="59" t="n">
        <v>11</v>
      </c>
      <c r="AP2332" s="59" t="n"/>
      <c r="AQ2332" s="59" t="n"/>
      <c r="AR2332" s="155" t="inlineStr">
        <is>
          <t>Shopify Stetson México › Stetson México: 9 | Shopify Stetson México › Stetson Americas: 2</t>
        </is>
      </c>
    </row>
    <row r="2333">
      <c r="A2333" s="50" t="inlineStr">
        <is>
          <t>7506499570725</t>
        </is>
      </c>
      <c r="B2333" s="51" t="inlineStr">
        <is>
          <t>110365</t>
        </is>
      </c>
      <c r="C2333" s="156" t="inlineStr">
        <is>
          <t>Multimarca</t>
        </is>
      </c>
      <c r="D2333" s="156" t="inlineStr">
        <is>
          <t>ST-VR-P-015-FW25-SOB</t>
        </is>
      </c>
      <c r="E2333" s="156" t="inlineStr">
        <is>
          <t>ST-VR-P-015-FW25-SOB-L</t>
        </is>
      </c>
      <c r="F2333" s="156" t="inlineStr">
        <is>
          <t>L</t>
        </is>
      </c>
      <c r="G2333" s="156" t="inlineStr">
        <is>
          <t>L</t>
        </is>
      </c>
      <c r="H2333" s="156" t="inlineStr">
        <is>
          <t>Stetson</t>
        </is>
      </c>
      <c r="I2333" s="156" t="inlineStr">
        <is>
          <t>Camisa Stetson Vintage Range Sonora Bloom</t>
        </is>
      </c>
      <c r="J2333" s="156" t="inlineStr">
        <is>
          <t>Ropa</t>
        </is>
      </c>
      <c r="K2333" s="156" t="inlineStr">
        <is>
          <t>Camisas</t>
        </is>
      </c>
      <c r="L2333" s="156" t="inlineStr">
        <is>
          <t>Hombre</t>
        </is>
      </c>
      <c r="M2333" s="156" t="inlineStr">
        <is>
          <t>Stetson</t>
        </is>
      </c>
      <c r="N2333" s="156" t="inlineStr">
        <is>
          <t>SS26</t>
        </is>
      </c>
      <c r="O2333" s="156" t="inlineStr">
        <is>
          <t>Seasonal</t>
        </is>
      </c>
      <c r="P2333" s="156" t="n"/>
      <c r="Q2333" s="156" t="inlineStr">
        <is>
          <t>Clásico</t>
        </is>
      </c>
      <c r="R2333" s="156" t="n"/>
      <c r="S2333" s="156" t="inlineStr">
        <is>
          <t>100% Algodón</t>
        </is>
      </c>
      <c r="T233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3" s="156" t="n"/>
      <c r="V2333" s="156" t="inlineStr">
        <is>
          <t>PZS</t>
        </is>
      </c>
      <c r="W2333" s="51" t="inlineStr">
        <is>
          <t>53101600</t>
        </is>
      </c>
      <c r="X2333" s="156" t="inlineStr">
        <is>
          <t>https://cdn.shopify.com/s/files/1/0888/3250/8267/files/ST-VR-P-015-SOB-01.jpg?v=1762364338</t>
        </is>
      </c>
      <c r="Y2333" s="54" t="n">
        <v>678.8793103</v>
      </c>
      <c r="Z2333" s="54" t="n">
        <v>1508.62069</v>
      </c>
      <c r="AA2333" s="55">
        <f>IF(AND(A2333="", B2333="", E2333=""), "", IF(AB2333="", "Válido", IF((LEN(AB2333)-LEN(SUBSTITUTE(AB2333,"; ","")))/2+1&gt;(LEN(AB2333)-LEN(SUBSTITUTE(AB2333,"[Aviso]","")))/7, "Con Incidencias", "Válido")))</f>
        <v/>
      </c>
      <c r="AB2333" s="56">
        <f>IF(AND(A2333="", B2333="", E2333=""), "", TEXTJOIN("; ", TRUE, IF(OR(TRIM(A2333&amp;"")="", ISNUMBER(SEARCH("FALTA", A2333))), "UPC faltante/inválido", ""), IF(AND(A2333&lt;&gt;"", IFERROR(_xlfn.XMATCH(A2333,$A$2:$A$2509,0,1)&lt;&gt;_xlfn.XMATCH(A2333,$A$2:$A$2509,0,-1),FALSE)), "Código de barras duplicado", ""), IF(AND(E2333&lt;&gt;"", COUNTIF($E$2:$E$2509, E2333)&gt;1), "SKU duplicado", ""), IF(OR(J2333="", J2333=""), "[Aviso] División no capturada ()", IF(ISNA(MATCH(J2333, Criterios!$A$123:$A$126, 0)), "División no válida", "")), IF(OR(K2333="", K2333=""), "[Aviso] Categoría no capturada ()", IF(ISNA(MATCH(K2333, Criterios!$A$81:$A$120, 0)), "Categoría no válida", IF(AND(J2333&lt;&gt;"", J2333&lt;&gt;"", J2333&lt;&gt;VLOOKUP(K2333, Criterios!$A$81:$B$120, 2, FALSE)), "División no coincide con Categoría", ""))), IF(OR(L2333="", L2333=""), "[Aviso] Género no capturado ()", IF(ISNA(MATCH(L2333, Criterios!$B$123:$B$127, 0)), "Género no válido", "")), IF(OR(N2333="", N2333=""), "[Aviso] Temporada no capturada ()", IF(ISNA(MATCH(N2333, Criterios!$C$123:$C$128, 0)), "Temporada no válida", "")), IF(OR(O2333="", O2333=""), "[Aviso] Ciclo de vida no capturado ()", IF(ISNA(MATCH(O2333, Criterios!$D$123:$D$124, 0)), "Ciclo de vida no válido", ""))))</f>
        <v/>
      </c>
      <c r="AC2333" s="56" t="n"/>
      <c r="AD2333" s="51" t="n">
        <v>9</v>
      </c>
      <c r="AE2333" s="156" t="inlineStr">
        <is>
          <t>B25 STETSON.MX (9)</t>
        </is>
      </c>
      <c r="AF2333" s="51" t="n">
        <v>9</v>
      </c>
      <c r="AG2333" s="156" t="inlineStr">
        <is>
          <t>Catálogo existente</t>
        </is>
      </c>
      <c r="AH233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3" s="156" t="inlineStr">
        <is>
          <t>No</t>
        </is>
      </c>
      <c r="AJ2333" s="156" t="n"/>
      <c r="AK2333" s="155" t="inlineStr">
        <is>
          <t>Criterios: J [R]; G1522_Extraccion_Articulos_NetSuite_2026-09-30.xlsx: fila 58180 [S] | Shopify Stetson: producto 14819761881451 / variante 53350596280683</t>
        </is>
      </c>
      <c r="AL2333" s="58" t="n">
        <v>678.8793103</v>
      </c>
      <c r="AM2333" s="58" t="n">
        <v>1508.62069</v>
      </c>
      <c r="AN2333" s="155" t="inlineStr">
        <is>
          <t>Shopify Stetson México</t>
        </is>
      </c>
      <c r="AO2333" s="59" t="n">
        <v>15</v>
      </c>
      <c r="AP2333" s="59" t="n"/>
      <c r="AQ2333" s="59" t="n"/>
      <c r="AR2333" s="155" t="inlineStr">
        <is>
          <t>Shopify Stetson México › Stetson México: 9 | Shopify Stetson México › Stetson Americas: 6</t>
        </is>
      </c>
    </row>
    <row r="2334">
      <c r="A2334" s="50" t="inlineStr">
        <is>
          <t>7506499570732</t>
        </is>
      </c>
      <c r="B2334" s="51" t="inlineStr">
        <is>
          <t>110366</t>
        </is>
      </c>
      <c r="C2334" s="156" t="inlineStr">
        <is>
          <t>Multimarca</t>
        </is>
      </c>
      <c r="D2334" s="156" t="inlineStr">
        <is>
          <t>ST-VR-P-015-FW25-SOB</t>
        </is>
      </c>
      <c r="E2334" s="156" t="inlineStr">
        <is>
          <t>ST-VR-P-015-FW25-SOB-XL</t>
        </is>
      </c>
      <c r="F2334" s="156" t="inlineStr">
        <is>
          <t>XL</t>
        </is>
      </c>
      <c r="G2334" s="156" t="inlineStr">
        <is>
          <t>XL</t>
        </is>
      </c>
      <c r="H2334" s="156" t="inlineStr">
        <is>
          <t>Stetson</t>
        </is>
      </c>
      <c r="I2334" s="156" t="inlineStr">
        <is>
          <t>Camisa Stetson Vintage Range Sonora Bloom</t>
        </is>
      </c>
      <c r="J2334" s="156" t="inlineStr">
        <is>
          <t>Ropa</t>
        </is>
      </c>
      <c r="K2334" s="156" t="inlineStr">
        <is>
          <t>Camisas</t>
        </is>
      </c>
      <c r="L2334" s="156" t="inlineStr">
        <is>
          <t>Hombre</t>
        </is>
      </c>
      <c r="M2334" s="156" t="inlineStr">
        <is>
          <t>Stetson</t>
        </is>
      </c>
      <c r="N2334" s="156" t="inlineStr">
        <is>
          <t>SS26</t>
        </is>
      </c>
      <c r="O2334" s="156" t="inlineStr">
        <is>
          <t>Seasonal</t>
        </is>
      </c>
      <c r="P2334" s="156" t="n"/>
      <c r="Q2334" s="156" t="inlineStr">
        <is>
          <t>Clásico</t>
        </is>
      </c>
      <c r="R2334" s="156" t="n"/>
      <c r="S2334" s="156" t="inlineStr">
        <is>
          <t>100% Algodón</t>
        </is>
      </c>
      <c r="T233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4" s="156" t="n"/>
      <c r="V2334" s="156" t="inlineStr">
        <is>
          <t>PZS</t>
        </is>
      </c>
      <c r="W2334" s="51" t="inlineStr">
        <is>
          <t>53101600</t>
        </is>
      </c>
      <c r="X2334" s="156" t="inlineStr">
        <is>
          <t>https://cdn.shopify.com/s/files/1/0888/3250/8267/files/ST-VR-P-015-SOB-03.jpg?v=1762364346</t>
        </is>
      </c>
      <c r="Y2334" s="54" t="n">
        <v>678.8793103</v>
      </c>
      <c r="Z2334" s="54" t="n">
        <v>1508.62069</v>
      </c>
      <c r="AA2334" s="55">
        <f>IF(AND(A2334="", B2334="", E2334=""), "", IF(AB2334="", "Válido", IF((LEN(AB2334)-LEN(SUBSTITUTE(AB2334,"; ","")))/2+1&gt;(LEN(AB2334)-LEN(SUBSTITUTE(AB2334,"[Aviso]","")))/7, "Con Incidencias", "Válido")))</f>
        <v/>
      </c>
      <c r="AB2334" s="56">
        <f>IF(AND(A2334="", B2334="", E2334=""), "", TEXTJOIN("; ", TRUE, IF(OR(TRIM(A2334&amp;"")="", ISNUMBER(SEARCH("FALTA", A2334))), "UPC faltante/inválido", ""), IF(AND(A2334&lt;&gt;"", IFERROR(_xlfn.XMATCH(A2334,$A$2:$A$2509,0,1)&lt;&gt;_xlfn.XMATCH(A2334,$A$2:$A$2509,0,-1),FALSE)), "Código de barras duplicado", ""), IF(AND(E2334&lt;&gt;"", COUNTIF($E$2:$E$2509, E2334)&gt;1), "SKU duplicado", ""), IF(OR(J2334="", J2334=""), "[Aviso] División no capturada ()", IF(ISNA(MATCH(J2334, Criterios!$A$123:$A$126, 0)), "División no válida", "")), IF(OR(K2334="", K2334=""), "[Aviso] Categoría no capturada ()", IF(ISNA(MATCH(K2334, Criterios!$A$81:$A$120, 0)), "Categoría no válida", IF(AND(J2334&lt;&gt;"", J2334&lt;&gt;"", J2334&lt;&gt;VLOOKUP(K2334, Criterios!$A$81:$B$120, 2, FALSE)), "División no coincide con Categoría", ""))), IF(OR(L2334="", L2334=""), "[Aviso] Género no capturado ()", IF(ISNA(MATCH(L2334, Criterios!$B$123:$B$127, 0)), "Género no válido", "")), IF(OR(N2334="", N2334=""), "[Aviso] Temporada no capturada ()", IF(ISNA(MATCH(N2334, Criterios!$C$123:$C$128, 0)), "Temporada no válida", "")), IF(OR(O2334="", O2334=""), "[Aviso] Ciclo de vida no capturado ()", IF(ISNA(MATCH(O2334, Criterios!$D$123:$D$124, 0)), "Ciclo de vida no válido", ""))))</f>
        <v/>
      </c>
      <c r="AC2334" s="56" t="n"/>
      <c r="AD2334" s="51" t="n">
        <v>0</v>
      </c>
      <c r="AE2334" s="156" t="inlineStr">
        <is>
          <t>B25 STETSON.MX (3)</t>
        </is>
      </c>
      <c r="AF2334" s="51" t="n">
        <v>3</v>
      </c>
      <c r="AG2334" s="156" t="inlineStr">
        <is>
          <t>Catálogo existente</t>
        </is>
      </c>
      <c r="AH233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4" s="156" t="inlineStr">
        <is>
          <t>Sí</t>
        </is>
      </c>
      <c r="AJ2334" s="156" t="inlineStr">
        <is>
          <t>STETSON AMERICAS (-3)</t>
        </is>
      </c>
      <c r="AK2334" s="155" t="inlineStr">
        <is>
          <t>Criterios: J [R]; G1522_Extraccion_Articulos_NetSuite_2026-09-30.xlsx: fila 58181 [S] | Shopify Stetson: producto 14819761881451 / variante 53350596313451</t>
        </is>
      </c>
      <c r="AL2334" s="58" t="n">
        <v>678.8793103</v>
      </c>
      <c r="AM2334" s="58" t="n">
        <v>1508.62069</v>
      </c>
      <c r="AN2334" s="155" t="inlineStr">
        <is>
          <t>Shopify Stetson México</t>
        </is>
      </c>
      <c r="AO2334" s="59" t="n">
        <v>6</v>
      </c>
      <c r="AP2334" s="59" t="n"/>
      <c r="AQ2334" s="59" t="n"/>
      <c r="AR2334" s="155" t="inlineStr">
        <is>
          <t>Shopify Stetson México › Stetson México: 3 | Shopify Stetson México › Stetson Americas: 3</t>
        </is>
      </c>
    </row>
    <row r="2335">
      <c r="A2335" s="50" t="inlineStr">
        <is>
          <t>7506499570749</t>
        </is>
      </c>
      <c r="B2335" s="51" t="inlineStr">
        <is>
          <t>110367</t>
        </is>
      </c>
      <c r="C2335" s="156" t="inlineStr">
        <is>
          <t>Multimarca</t>
        </is>
      </c>
      <c r="D2335" s="156" t="inlineStr">
        <is>
          <t>ST-VR-P-015-FW25-SOB</t>
        </is>
      </c>
      <c r="E2335" s="156" t="inlineStr">
        <is>
          <t>ST-VR-P-015-FW25-SOB-XXL</t>
        </is>
      </c>
      <c r="F2335" s="156" t="inlineStr">
        <is>
          <t>XXL</t>
        </is>
      </c>
      <c r="G2335" s="156" t="inlineStr">
        <is>
          <t>XXL</t>
        </is>
      </c>
      <c r="H2335" s="156" t="inlineStr">
        <is>
          <t>Stetson</t>
        </is>
      </c>
      <c r="I2335" s="156" t="inlineStr">
        <is>
          <t>Camisa Stetson Vintage Range Sonora Bloom</t>
        </is>
      </c>
      <c r="J2335" s="156" t="inlineStr">
        <is>
          <t>Ropa</t>
        </is>
      </c>
      <c r="K2335" s="156" t="inlineStr">
        <is>
          <t>Camisas</t>
        </is>
      </c>
      <c r="L2335" s="156" t="inlineStr">
        <is>
          <t>Hombre</t>
        </is>
      </c>
      <c r="M2335" s="156" t="inlineStr">
        <is>
          <t>Stetson</t>
        </is>
      </c>
      <c r="N2335" s="156" t="inlineStr">
        <is>
          <t>SS26</t>
        </is>
      </c>
      <c r="O2335" s="156" t="inlineStr">
        <is>
          <t>Seasonal</t>
        </is>
      </c>
      <c r="P2335" s="156" t="n"/>
      <c r="Q2335" s="156" t="inlineStr">
        <is>
          <t>Clásico</t>
        </is>
      </c>
      <c r="R2335" s="156" t="n"/>
      <c r="S2335" s="156" t="inlineStr">
        <is>
          <t>100% Algodón</t>
        </is>
      </c>
      <c r="T233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5" s="156" t="n"/>
      <c r="V2335" s="156" t="inlineStr">
        <is>
          <t>PZS</t>
        </is>
      </c>
      <c r="W2335" s="51" t="inlineStr">
        <is>
          <t>53101600</t>
        </is>
      </c>
      <c r="X2335" s="156" t="inlineStr">
        <is>
          <t>https://cdn.shopify.com/s/files/1/0888/3250/8267/files/ST-VR-P-015-SOB-02.jpg?v=1762364346</t>
        </is>
      </c>
      <c r="Y2335" s="54" t="n">
        <v>678.8793103</v>
      </c>
      <c r="Z2335" s="54" t="n">
        <v>1508.62069</v>
      </c>
      <c r="AA2335" s="55">
        <f>IF(AND(A2335="", B2335="", E2335=""), "", IF(AB2335="", "Válido", IF((LEN(AB2335)-LEN(SUBSTITUTE(AB2335,"; ","")))/2+1&gt;(LEN(AB2335)-LEN(SUBSTITUTE(AB2335,"[Aviso]","")))/7, "Con Incidencias", "Válido")))</f>
        <v/>
      </c>
      <c r="AB2335" s="56">
        <f>IF(AND(A2335="", B2335="", E2335=""), "", TEXTJOIN("; ", TRUE, IF(OR(TRIM(A2335&amp;"")="", ISNUMBER(SEARCH("FALTA", A2335))), "UPC faltante/inválido", ""), IF(AND(A2335&lt;&gt;"", IFERROR(_xlfn.XMATCH(A2335,$A$2:$A$2509,0,1)&lt;&gt;_xlfn.XMATCH(A2335,$A$2:$A$2509,0,-1),FALSE)), "Código de barras duplicado", ""), IF(AND(E2335&lt;&gt;"", COUNTIF($E$2:$E$2509, E2335)&gt;1), "SKU duplicado", ""), IF(OR(J2335="", J2335=""), "[Aviso] División no capturada ()", IF(ISNA(MATCH(J2335, Criterios!$A$123:$A$126, 0)), "División no válida", "")), IF(OR(K2335="", K2335=""), "[Aviso] Categoría no capturada ()", IF(ISNA(MATCH(K2335, Criterios!$A$81:$A$120, 0)), "Categoría no válida", IF(AND(J2335&lt;&gt;"", J2335&lt;&gt;"", J2335&lt;&gt;VLOOKUP(K2335, Criterios!$A$81:$B$120, 2, FALSE)), "División no coincide con Categoría", ""))), IF(OR(L2335="", L2335=""), "[Aviso] Género no capturado ()", IF(ISNA(MATCH(L2335, Criterios!$B$123:$B$127, 0)), "Género no válido", "")), IF(OR(N2335="", N2335=""), "[Aviso] Temporada no capturada ()", IF(ISNA(MATCH(N2335, Criterios!$C$123:$C$128, 0)), "Temporada no válida", "")), IF(OR(O2335="", O2335=""), "[Aviso] Ciclo de vida no capturado ()", IF(ISNA(MATCH(O2335, Criterios!$D$123:$D$124, 0)), "Ciclo de vida no válido", ""))))</f>
        <v/>
      </c>
      <c r="AC2335" s="56" t="n"/>
      <c r="AD2335" s="51" t="n">
        <v>0</v>
      </c>
      <c r="AE2335" s="156" t="inlineStr">
        <is>
          <t>B25 STETSON.MX (2)</t>
        </is>
      </c>
      <c r="AF2335" s="51" t="n">
        <v>2</v>
      </c>
      <c r="AG2335" s="156" t="inlineStr">
        <is>
          <t>Catálogo existente</t>
        </is>
      </c>
      <c r="AH233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35" s="156" t="inlineStr">
        <is>
          <t>Sí</t>
        </is>
      </c>
      <c r="AJ2335" s="156" t="inlineStr">
        <is>
          <t>STETSON AMERICAS (-2)</t>
        </is>
      </c>
      <c r="AK2335" s="155" t="inlineStr">
        <is>
          <t>Criterios: J [R]; G1522_Extraccion_Articulos_NetSuite_2026-09-30.xlsx: fila 58182 [S] | Shopify Stetson: producto 14819761881451 / variante 53350596346219</t>
        </is>
      </c>
      <c r="AL2335" s="58" t="n">
        <v>678.8793103</v>
      </c>
      <c r="AM2335" s="58" t="n">
        <v>1508.62069</v>
      </c>
      <c r="AN2335" s="155" t="inlineStr">
        <is>
          <t>Shopify Stetson México</t>
        </is>
      </c>
      <c r="AO2335" s="59" t="n">
        <v>4</v>
      </c>
      <c r="AP2335" s="59" t="n"/>
      <c r="AQ2335" s="59" t="n"/>
      <c r="AR2335" s="155" t="inlineStr">
        <is>
          <t>Shopify Stetson México › Stetson México: 2 | Shopify Stetson México › Stetson Americas: 2</t>
        </is>
      </c>
    </row>
    <row r="2336">
      <c r="A2336" s="50" t="inlineStr">
        <is>
          <t>7506499570800</t>
        </is>
      </c>
      <c r="B2336" s="51" t="inlineStr">
        <is>
          <t>108544</t>
        </is>
      </c>
      <c r="C2336" s="156" t="inlineStr">
        <is>
          <t>Multimarca</t>
        </is>
      </c>
      <c r="D2336" s="156" t="inlineStr">
        <is>
          <t>ST-VR-P-017-FW25-SC</t>
        </is>
      </c>
      <c r="E2336" s="156" t="inlineStr">
        <is>
          <t>ST-VR-P-017-FW25-SC-S</t>
        </is>
      </c>
      <c r="F2336" s="156" t="inlineStr">
        <is>
          <t>S</t>
        </is>
      </c>
      <c r="G2336" s="156" t="inlineStr">
        <is>
          <t>S</t>
        </is>
      </c>
      <c r="H2336" s="156" t="inlineStr">
        <is>
          <t>Stetson</t>
        </is>
      </c>
      <c r="I2336" s="156" t="inlineStr">
        <is>
          <t>Camisa Stetson Vintage Range Sable Crest</t>
        </is>
      </c>
      <c r="J2336" s="156" t="inlineStr">
        <is>
          <t>Ropa</t>
        </is>
      </c>
      <c r="K2336" s="156" t="inlineStr">
        <is>
          <t>Camisas</t>
        </is>
      </c>
      <c r="L2336" s="156" t="inlineStr">
        <is>
          <t>Hombre</t>
        </is>
      </c>
      <c r="M2336" s="156" t="inlineStr">
        <is>
          <t>Stetson</t>
        </is>
      </c>
      <c r="N2336" s="156" t="inlineStr">
        <is>
          <t>SS26</t>
        </is>
      </c>
      <c r="O2336" s="156" t="inlineStr">
        <is>
          <t>Seasonal</t>
        </is>
      </c>
      <c r="P2336" s="156" t="inlineStr">
        <is>
          <t>Azul</t>
        </is>
      </c>
      <c r="Q2336" s="156" t="inlineStr">
        <is>
          <t>Clásico</t>
        </is>
      </c>
      <c r="R2336" s="156" t="n"/>
      <c r="S2336" s="156" t="inlineStr">
        <is>
          <t>100% Algodón</t>
        </is>
      </c>
      <c r="T233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6" s="156" t="n"/>
      <c r="V2336" s="156" t="inlineStr">
        <is>
          <t>PZS</t>
        </is>
      </c>
      <c r="W2336" s="51" t="inlineStr">
        <is>
          <t>53101600</t>
        </is>
      </c>
      <c r="X2336" s="156" t="inlineStr">
        <is>
          <t>https://cdn.shopify.com/s/files/1/0888/3250/8267/files/ST-VR-P-017-SC-01.jpg?v=1762366868</t>
        </is>
      </c>
      <c r="Y2336" s="54" t="n">
        <v>678.8793103</v>
      </c>
      <c r="Z2336" s="54" t="n">
        <v>1508.62069</v>
      </c>
      <c r="AA2336" s="55">
        <f>IF(AND(A2336="", B2336="", E2336=""), "", IF(AB2336="", "Válido", IF((LEN(AB2336)-LEN(SUBSTITUTE(AB2336,"; ","")))/2+1&gt;(LEN(AB2336)-LEN(SUBSTITUTE(AB2336,"[Aviso]","")))/7, "Con Incidencias", "Válido")))</f>
        <v/>
      </c>
      <c r="AB2336" s="56">
        <f>IF(AND(A2336="", B2336="", E2336=""), "", TEXTJOIN("; ", TRUE, IF(OR(TRIM(A2336&amp;"")="", ISNUMBER(SEARCH("FALTA", A2336))), "UPC faltante/inválido", ""), IF(AND(A2336&lt;&gt;"", IFERROR(_xlfn.XMATCH(A2336,$A$2:$A$2509,0,1)&lt;&gt;_xlfn.XMATCH(A2336,$A$2:$A$2509,0,-1),FALSE)), "Código de barras duplicado", ""), IF(AND(E2336&lt;&gt;"", COUNTIF($E$2:$E$2509, E2336)&gt;1), "SKU duplicado", ""), IF(OR(J2336="", J2336=""), "[Aviso] División no capturada ()", IF(ISNA(MATCH(J2336, Criterios!$A$123:$A$126, 0)), "División no válida", "")), IF(OR(K2336="", K2336=""), "[Aviso] Categoría no capturada ()", IF(ISNA(MATCH(K2336, Criterios!$A$81:$A$120, 0)), "Categoría no válida", IF(AND(J2336&lt;&gt;"", J2336&lt;&gt;"", J2336&lt;&gt;VLOOKUP(K2336, Criterios!$A$81:$B$120, 2, FALSE)), "División no coincide con Categoría", ""))), IF(OR(L2336="", L2336=""), "[Aviso] Género no capturado ()", IF(ISNA(MATCH(L2336, Criterios!$B$123:$B$127, 0)), "Género no válido", "")), IF(OR(N2336="", N2336=""), "[Aviso] Temporada no capturada ()", IF(ISNA(MATCH(N2336, Criterios!$C$123:$C$128, 0)), "Temporada no válida", "")), IF(OR(O2336="", O2336=""), "[Aviso] Ciclo de vida no capturado ()", IF(ISNA(MATCH(O2336, Criterios!$D$123:$D$124, 0)), "Ciclo de vida no válido", ""))))</f>
        <v/>
      </c>
      <c r="AC2336" s="56" t="n"/>
      <c r="AD2336" s="51" t="n">
        <v>6</v>
      </c>
      <c r="AE2336" s="156" t="inlineStr">
        <is>
          <t>B25 STETSON.MX (6)</t>
        </is>
      </c>
      <c r="AF2336" s="51" t="n">
        <v>6</v>
      </c>
      <c r="AG2336" s="156" t="inlineStr">
        <is>
          <t>Catálogo existente</t>
        </is>
      </c>
      <c r="AH233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6" s="156" t="inlineStr">
        <is>
          <t>No</t>
        </is>
      </c>
      <c r="AJ2336" s="156" t="n"/>
      <c r="AK2336" s="155" t="inlineStr">
        <is>
          <t>Criterios: J [R]; G1522_Extraccion_Articulos_NetSuite_2026-09-30.xlsx: fila 56703 [S] | Shopify Stetson: producto 14819773317483 / variante 53350595887467 | Shopify WB: producto 8569966493881 / variante 47621336498361</t>
        </is>
      </c>
      <c r="AL2336" s="58" t="n">
        <v>678.8793103</v>
      </c>
      <c r="AM2336" s="58" t="n">
        <v>1508.62069</v>
      </c>
      <c r="AN2336" s="155" t="inlineStr">
        <is>
          <t>Shopify Stetson México | Shopify Western Brothers</t>
        </is>
      </c>
      <c r="AO2336" s="59" t="n">
        <v>9</v>
      </c>
      <c r="AP2336" s="59" t="n">
        <v>0</v>
      </c>
      <c r="AQ2336" s="59" t="n"/>
      <c r="AR2336" s="155" t="inlineStr">
        <is>
          <t>Shopify Stetson México › Stetson México: 6 | Shopify Stetson México › Stetson Americas: 3</t>
        </is>
      </c>
    </row>
    <row r="2337">
      <c r="A2337" s="50" t="inlineStr">
        <is>
          <t>7506499570817</t>
        </is>
      </c>
      <c r="B2337" s="51" t="inlineStr">
        <is>
          <t>108545</t>
        </is>
      </c>
      <c r="C2337" s="156" t="inlineStr">
        <is>
          <t>Multimarca</t>
        </is>
      </c>
      <c r="D2337" s="156" t="inlineStr">
        <is>
          <t>ST-VR-P-017-FW25-SC</t>
        </is>
      </c>
      <c r="E2337" s="156" t="inlineStr">
        <is>
          <t>ST-VR-P-017-FW25-SC-M</t>
        </is>
      </c>
      <c r="F2337" s="156" t="inlineStr">
        <is>
          <t>M</t>
        </is>
      </c>
      <c r="G2337" s="156" t="inlineStr">
        <is>
          <t>M</t>
        </is>
      </c>
      <c r="H2337" s="156" t="inlineStr">
        <is>
          <t>Stetson</t>
        </is>
      </c>
      <c r="I2337" s="156" t="inlineStr">
        <is>
          <t>Camisa Stetson Vintage Range Sable Crest</t>
        </is>
      </c>
      <c r="J2337" s="156" t="inlineStr">
        <is>
          <t>Ropa</t>
        </is>
      </c>
      <c r="K2337" s="156" t="inlineStr">
        <is>
          <t>Camisas</t>
        </is>
      </c>
      <c r="L2337" s="156" t="inlineStr">
        <is>
          <t>Hombre</t>
        </is>
      </c>
      <c r="M2337" s="156" t="inlineStr">
        <is>
          <t>Stetson</t>
        </is>
      </c>
      <c r="N2337" s="156" t="inlineStr">
        <is>
          <t>SS26</t>
        </is>
      </c>
      <c r="O2337" s="156" t="inlineStr">
        <is>
          <t>Seasonal</t>
        </is>
      </c>
      <c r="P2337" s="156" t="inlineStr">
        <is>
          <t>Azul</t>
        </is>
      </c>
      <c r="Q2337" s="156" t="inlineStr">
        <is>
          <t>Clásico</t>
        </is>
      </c>
      <c r="R2337" s="156" t="n"/>
      <c r="S2337" s="156" t="inlineStr">
        <is>
          <t>100% Algodón</t>
        </is>
      </c>
      <c r="T233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7" s="156" t="n"/>
      <c r="V2337" s="156" t="inlineStr">
        <is>
          <t>PZS</t>
        </is>
      </c>
      <c r="W2337" s="51" t="inlineStr">
        <is>
          <t>53101600</t>
        </is>
      </c>
      <c r="X2337" s="156" t="inlineStr">
        <is>
          <t>https://cdn.shopify.com/s/files/1/0888/3250/8267/files/ST-VR-P-017-SC-02.jpg?v=1762366868</t>
        </is>
      </c>
      <c r="Y2337" s="54" t="n">
        <v>678.8793103</v>
      </c>
      <c r="Z2337" s="54" t="n">
        <v>1508.62069</v>
      </c>
      <c r="AA2337" s="55">
        <f>IF(AND(A2337="", B2337="", E2337=""), "", IF(AB2337="", "Válido", IF((LEN(AB2337)-LEN(SUBSTITUTE(AB2337,"; ","")))/2+1&gt;(LEN(AB2337)-LEN(SUBSTITUTE(AB2337,"[Aviso]","")))/7, "Con Incidencias", "Válido")))</f>
        <v/>
      </c>
      <c r="AB2337" s="56">
        <f>IF(AND(A2337="", B2337="", E2337=""), "", TEXTJOIN("; ", TRUE, IF(OR(TRIM(A2337&amp;"")="", ISNUMBER(SEARCH("FALTA", A2337))), "UPC faltante/inválido", ""), IF(AND(A2337&lt;&gt;"", IFERROR(_xlfn.XMATCH(A2337,$A$2:$A$2509,0,1)&lt;&gt;_xlfn.XMATCH(A2337,$A$2:$A$2509,0,-1),FALSE)), "Código de barras duplicado", ""), IF(AND(E2337&lt;&gt;"", COUNTIF($E$2:$E$2509, E2337)&gt;1), "SKU duplicado", ""), IF(OR(J2337="", J2337=""), "[Aviso] División no capturada ()", IF(ISNA(MATCH(J2337, Criterios!$A$123:$A$126, 0)), "División no válida", "")), IF(OR(K2337="", K2337=""), "[Aviso] Categoría no capturada ()", IF(ISNA(MATCH(K2337, Criterios!$A$81:$A$120, 0)), "Categoría no válida", IF(AND(J2337&lt;&gt;"", J2337&lt;&gt;"", J2337&lt;&gt;VLOOKUP(K2337, Criterios!$A$81:$B$120, 2, FALSE)), "División no coincide con Categoría", ""))), IF(OR(L2337="", L2337=""), "[Aviso] Género no capturado ()", IF(ISNA(MATCH(L2337, Criterios!$B$123:$B$127, 0)), "Género no válido", "")), IF(OR(N2337="", N2337=""), "[Aviso] Temporada no capturada ()", IF(ISNA(MATCH(N2337, Criterios!$C$123:$C$128, 0)), "Temporada no válida", "")), IF(OR(O2337="", O2337=""), "[Aviso] Ciclo de vida no capturado ()", IF(ISNA(MATCH(O2337, Criterios!$D$123:$D$124, 0)), "Ciclo de vida no válido", ""))))</f>
        <v/>
      </c>
      <c r="AC2337" s="56" t="n"/>
      <c r="AD2337" s="51" t="n">
        <v>4</v>
      </c>
      <c r="AE2337" s="156" t="inlineStr">
        <is>
          <t>B25 STETSON.MX (7)</t>
        </is>
      </c>
      <c r="AF2337" s="51" t="n">
        <v>7</v>
      </c>
      <c r="AG2337" s="156" t="inlineStr">
        <is>
          <t>Catálogo existente</t>
        </is>
      </c>
      <c r="AH233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7" s="156" t="inlineStr">
        <is>
          <t>Sí</t>
        </is>
      </c>
      <c r="AJ2337" s="156" t="inlineStr">
        <is>
          <t>WB OUTLET LERMA (-2); STETSON AMERICAS (-1)</t>
        </is>
      </c>
      <c r="AK2337" s="155" t="inlineStr">
        <is>
          <t>Criterios: J [R]; G1522_Extraccion_Articulos_NetSuite_2026-09-30.xlsx: fila 56704 [S] | Shopify Stetson: producto 14819773317483 / variante 53350595920235 | Shopify WB: producto 8569966493881 / variante 47621336531129</t>
        </is>
      </c>
      <c r="AL2337" s="58" t="n">
        <v>678.8793103</v>
      </c>
      <c r="AM2337" s="58" t="n">
        <v>1508.62069</v>
      </c>
      <c r="AN2337" s="155" t="inlineStr">
        <is>
          <t>Shopify Stetson México | Shopify Western Brothers</t>
        </is>
      </c>
      <c r="AO2337" s="59" t="n">
        <v>10</v>
      </c>
      <c r="AP2337" s="59" t="n">
        <v>-2</v>
      </c>
      <c r="AQ2337" s="59" t="n"/>
      <c r="AR2337" s="155" t="inlineStr">
        <is>
          <t>Shopify Stetson México › Stetson México: 7 | Shopify Stetson México › Stetson Americas: 3</t>
        </is>
      </c>
    </row>
    <row r="2338">
      <c r="A2338" s="50" t="inlineStr">
        <is>
          <t>7506499570824</t>
        </is>
      </c>
      <c r="B2338" s="51" t="inlineStr">
        <is>
          <t>108546</t>
        </is>
      </c>
      <c r="C2338" s="156" t="inlineStr">
        <is>
          <t>Multimarca</t>
        </is>
      </c>
      <c r="D2338" s="156" t="inlineStr">
        <is>
          <t>ST-VR-P-017-FW25-SC</t>
        </is>
      </c>
      <c r="E2338" s="156" t="inlineStr">
        <is>
          <t>ST-VR-P-017-FW25-SC-L</t>
        </is>
      </c>
      <c r="F2338" s="156" t="inlineStr">
        <is>
          <t>L</t>
        </is>
      </c>
      <c r="G2338" s="156" t="inlineStr">
        <is>
          <t>L</t>
        </is>
      </c>
      <c r="H2338" s="156" t="inlineStr">
        <is>
          <t>Stetson</t>
        </is>
      </c>
      <c r="I2338" s="156" t="inlineStr">
        <is>
          <t>Camisa Stetson Vintage Range Sable Crest</t>
        </is>
      </c>
      <c r="J2338" s="156" t="inlineStr">
        <is>
          <t>Ropa</t>
        </is>
      </c>
      <c r="K2338" s="156" t="inlineStr">
        <is>
          <t>Camisas</t>
        </is>
      </c>
      <c r="L2338" s="156" t="inlineStr">
        <is>
          <t>Hombre</t>
        </is>
      </c>
      <c r="M2338" s="156" t="inlineStr">
        <is>
          <t>Stetson</t>
        </is>
      </c>
      <c r="N2338" s="156" t="inlineStr">
        <is>
          <t>SS26</t>
        </is>
      </c>
      <c r="O2338" s="156" t="inlineStr">
        <is>
          <t>Seasonal</t>
        </is>
      </c>
      <c r="P2338" s="156" t="inlineStr">
        <is>
          <t>Azul</t>
        </is>
      </c>
      <c r="Q2338" s="156" t="inlineStr">
        <is>
          <t>Relajado</t>
        </is>
      </c>
      <c r="R2338" s="156" t="n"/>
      <c r="S2338" s="156" t="inlineStr">
        <is>
          <t>100% Algodón</t>
        </is>
      </c>
      <c r="T233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38" s="156" t="n"/>
      <c r="V2338" s="156" t="inlineStr">
        <is>
          <t>PZS</t>
        </is>
      </c>
      <c r="W2338" s="51" t="inlineStr">
        <is>
          <t>53101600</t>
        </is>
      </c>
      <c r="X2338" s="156" t="inlineStr">
        <is>
          <t>https://cdn.shopify.com/s/files/1/0888/3250/8267/files/ST-VR-P-017-SC-03.jpg?v=1762366868</t>
        </is>
      </c>
      <c r="Y2338" s="54" t="n">
        <v>678.8793103</v>
      </c>
      <c r="Z2338" s="54" t="n">
        <v>1508.62069</v>
      </c>
      <c r="AA2338" s="55">
        <f>IF(AND(A2338="", B2338="", E2338=""), "", IF(AB2338="", "Válido", IF((LEN(AB2338)-LEN(SUBSTITUTE(AB2338,"; ","")))/2+1&gt;(LEN(AB2338)-LEN(SUBSTITUTE(AB2338,"[Aviso]","")))/7, "Con Incidencias", "Válido")))</f>
        <v/>
      </c>
      <c r="AB2338" s="56">
        <f>IF(AND(A2338="", B2338="", E2338=""), "", TEXTJOIN("; ", TRUE, IF(OR(TRIM(A2338&amp;"")="", ISNUMBER(SEARCH("FALTA", A2338))), "UPC faltante/inválido", ""), IF(AND(A2338&lt;&gt;"", IFERROR(_xlfn.XMATCH(A2338,$A$2:$A$2509,0,1)&lt;&gt;_xlfn.XMATCH(A2338,$A$2:$A$2509,0,-1),FALSE)), "Código de barras duplicado", ""), IF(AND(E2338&lt;&gt;"", COUNTIF($E$2:$E$2509, E2338)&gt;1), "SKU duplicado", ""), IF(OR(J2338="", J2338=""), "[Aviso] División no capturada ()", IF(ISNA(MATCH(J2338, Criterios!$A$123:$A$126, 0)), "División no válida", "")), IF(OR(K2338="", K2338=""), "[Aviso] Categoría no capturada ()", IF(ISNA(MATCH(K2338, Criterios!$A$81:$A$120, 0)), "Categoría no válida", IF(AND(J2338&lt;&gt;"", J2338&lt;&gt;"", J2338&lt;&gt;VLOOKUP(K2338, Criterios!$A$81:$B$120, 2, FALSE)), "División no coincide con Categoría", ""))), IF(OR(L2338="", L2338=""), "[Aviso] Género no capturado ()", IF(ISNA(MATCH(L2338, Criterios!$B$123:$B$127, 0)), "Género no válido", "")), IF(OR(N2338="", N2338=""), "[Aviso] Temporada no capturada ()", IF(ISNA(MATCH(N2338, Criterios!$C$123:$C$128, 0)), "Temporada no válida", "")), IF(OR(O2338="", O2338=""), "[Aviso] Ciclo de vida no capturado ()", IF(ISNA(MATCH(O2338, Criterios!$D$123:$D$124, 0)), "Ciclo de vida no válido", ""))))</f>
        <v/>
      </c>
      <c r="AC2338" s="56" t="n"/>
      <c r="AD2338" s="51" t="n">
        <v>-5</v>
      </c>
      <c r="AE2338" s="156" t="n"/>
      <c r="AF2338" s="51" t="n">
        <v>0</v>
      </c>
      <c r="AG2338" s="156" t="inlineStr">
        <is>
          <t>Catálogo existente</t>
        </is>
      </c>
      <c r="AH2338"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8" s="156" t="inlineStr">
        <is>
          <t>Sí</t>
        </is>
      </c>
      <c r="AJ2338" s="156" t="inlineStr">
        <is>
          <t>STETSON AMERICAS (-1); WB OUTLET LERMA (-4)</t>
        </is>
      </c>
      <c r="AK2338" s="155" t="inlineStr">
        <is>
          <t>Criterios: J [R]; G1522_Extraccion_Articulos_NetSuite_2026-09-30.xlsx: fila 56705 [S] | Shopify Stetson: producto 14819773317483 / variante 53350595953003 | Shopify WB: producto 8569966493881 / variante 47621336563897</t>
        </is>
      </c>
      <c r="AL2338" s="58" t="n">
        <v>678.8793103</v>
      </c>
      <c r="AM2338" s="58" t="n">
        <v>1508.62069</v>
      </c>
      <c r="AN2338" s="155" t="inlineStr">
        <is>
          <t>Shopify Stetson México | Shopify Western Brothers</t>
        </is>
      </c>
      <c r="AO2338" s="59" t="n">
        <v>6</v>
      </c>
      <c r="AP2338" s="59" t="n">
        <v>-4</v>
      </c>
      <c r="AQ2338" s="59" t="n"/>
      <c r="AR2338" s="155" t="inlineStr">
        <is>
          <t>Shopify Stetson México › Stetson Americas: 6</t>
        </is>
      </c>
    </row>
    <row r="2339">
      <c r="A2339" s="50" t="inlineStr">
        <is>
          <t>7506499570831</t>
        </is>
      </c>
      <c r="B2339" s="51" t="inlineStr">
        <is>
          <t>108547</t>
        </is>
      </c>
      <c r="C2339" s="156" t="inlineStr">
        <is>
          <t>Multimarca</t>
        </is>
      </c>
      <c r="D2339" s="156" t="inlineStr">
        <is>
          <t>ST-VR-P-017-FW25-SC</t>
        </is>
      </c>
      <c r="E2339" s="156" t="inlineStr">
        <is>
          <t>ST-VR-P-017-FW25-SC-XL</t>
        </is>
      </c>
      <c r="F2339" s="156" t="inlineStr">
        <is>
          <t>XL</t>
        </is>
      </c>
      <c r="G2339" s="156" t="inlineStr">
        <is>
          <t>XL</t>
        </is>
      </c>
      <c r="H2339" s="156" t="inlineStr">
        <is>
          <t>Stetson</t>
        </is>
      </c>
      <c r="I2339" s="156" t="inlineStr">
        <is>
          <t>Camisa Stetson Vintage Range Sable Crest</t>
        </is>
      </c>
      <c r="J2339" s="156" t="inlineStr">
        <is>
          <t>Ropa</t>
        </is>
      </c>
      <c r="K2339" s="156" t="inlineStr">
        <is>
          <t>Camisas</t>
        </is>
      </c>
      <c r="L2339" s="156" t="inlineStr">
        <is>
          <t>Hombre</t>
        </is>
      </c>
      <c r="M2339" s="156" t="inlineStr">
        <is>
          <t>Stetson</t>
        </is>
      </c>
      <c r="N2339" s="156" t="inlineStr">
        <is>
          <t>SS26</t>
        </is>
      </c>
      <c r="O2339" s="156" t="inlineStr">
        <is>
          <t>Seasonal</t>
        </is>
      </c>
      <c r="P2339" s="156" t="inlineStr">
        <is>
          <t>Azul</t>
        </is>
      </c>
      <c r="Q2339" s="156" t="inlineStr">
        <is>
          <t>Clásico</t>
        </is>
      </c>
      <c r="R2339" s="156" t="n"/>
      <c r="S2339" s="156" t="inlineStr">
        <is>
          <t>100% Algodón</t>
        </is>
      </c>
      <c r="T233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9" s="156" t="n"/>
      <c r="V2339" s="156" t="inlineStr">
        <is>
          <t>PZS</t>
        </is>
      </c>
      <c r="W2339" s="51" t="inlineStr">
        <is>
          <t>53101600</t>
        </is>
      </c>
      <c r="X2339" s="156" t="inlineStr">
        <is>
          <t>https://cdn.shopify.com/s/files/1/0888/3250/8267/files/ST-VR-P-017-SC-01.jpg?v=1762366868</t>
        </is>
      </c>
      <c r="Y2339" s="54" t="n">
        <v>678.8793103</v>
      </c>
      <c r="Z2339" s="54" t="n">
        <v>1508.62069</v>
      </c>
      <c r="AA2339" s="55">
        <f>IF(AND(A2339="", B2339="", E2339=""), "", IF(AB2339="", "Válido", IF((LEN(AB2339)-LEN(SUBSTITUTE(AB2339,"; ","")))/2+1&gt;(LEN(AB2339)-LEN(SUBSTITUTE(AB2339,"[Aviso]","")))/7, "Con Incidencias", "Válido")))</f>
        <v/>
      </c>
      <c r="AB2339" s="56">
        <f>IF(AND(A2339="", B2339="", E2339=""), "", TEXTJOIN("; ", TRUE, IF(OR(TRIM(A2339&amp;"")="", ISNUMBER(SEARCH("FALTA", A2339))), "UPC faltante/inválido", ""), IF(AND(A2339&lt;&gt;"", IFERROR(_xlfn.XMATCH(A2339,$A$2:$A$2509,0,1)&lt;&gt;_xlfn.XMATCH(A2339,$A$2:$A$2509,0,-1),FALSE)), "Código de barras duplicado", ""), IF(AND(E2339&lt;&gt;"", COUNTIF($E$2:$E$2509, E2339)&gt;1), "SKU duplicado", ""), IF(OR(J2339="", J2339=""), "[Aviso] División no capturada ()", IF(ISNA(MATCH(J2339, Criterios!$A$123:$A$126, 0)), "División no válida", "")), IF(OR(K2339="", K2339=""), "[Aviso] Categoría no capturada ()", IF(ISNA(MATCH(K2339, Criterios!$A$81:$A$120, 0)), "Categoría no válida", IF(AND(J2339&lt;&gt;"", J2339&lt;&gt;"", J2339&lt;&gt;VLOOKUP(K2339, Criterios!$A$81:$B$120, 2, FALSE)), "División no coincide con Categoría", ""))), IF(OR(L2339="", L2339=""), "[Aviso] Género no capturado ()", IF(ISNA(MATCH(L2339, Criterios!$B$123:$B$127, 0)), "Género no válido", "")), IF(OR(N2339="", N2339=""), "[Aviso] Temporada no capturada ()", IF(ISNA(MATCH(N2339, Criterios!$C$123:$C$128, 0)), "Temporada no válida", "")), IF(OR(O2339="", O2339=""), "[Aviso] Ciclo de vida no capturado ()", IF(ISNA(MATCH(O2339, Criterios!$D$123:$D$124, 0)), "Ciclo de vida no válido", ""))))</f>
        <v/>
      </c>
      <c r="AC2339" s="56" t="n"/>
      <c r="AD2339" s="51" t="n">
        <v>0</v>
      </c>
      <c r="AE2339" s="156" t="inlineStr">
        <is>
          <t>B25 STETSON.MX (2)</t>
        </is>
      </c>
      <c r="AF2339" s="51" t="n">
        <v>2</v>
      </c>
      <c r="AG2339" s="156" t="inlineStr">
        <is>
          <t>Catálogo existente</t>
        </is>
      </c>
      <c r="AH2339"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339" s="156" t="inlineStr">
        <is>
          <t>Sí</t>
        </is>
      </c>
      <c r="AJ2339" s="156" t="inlineStr">
        <is>
          <t>STETSON AMERICAS (-1); WB OUTLET LERMA (-1)</t>
        </is>
      </c>
      <c r="AK2339" s="155" t="inlineStr">
        <is>
          <t>Criterios: J [R]; G1522_Extraccion_Articulos_NetSuite_2026-09-30.xlsx: fila 56706 [S] | Shopify Stetson: producto 14819773317483 / variante 53350595985771 | Shopify WB: producto 8569966493881 / variante 47621336596665</t>
        </is>
      </c>
      <c r="AL2339" s="58" t="n">
        <v>678.8793103</v>
      </c>
      <c r="AM2339" s="58" t="n">
        <v>1508.62069</v>
      </c>
      <c r="AN2339" s="155" t="inlineStr">
        <is>
          <t>Shopify Stetson México | Shopify Western Brothers</t>
        </is>
      </c>
      <c r="AO2339" s="59" t="n">
        <v>4</v>
      </c>
      <c r="AP2339" s="59" t="n">
        <v>-1</v>
      </c>
      <c r="AQ2339" s="59" t="n"/>
      <c r="AR2339" s="155" t="inlineStr">
        <is>
          <t>Shopify Stetson México › Stetson México: 2 | Shopify Stetson México › Stetson Americas: 2</t>
        </is>
      </c>
    </row>
    <row r="2340">
      <c r="A2340" s="50" t="inlineStr">
        <is>
          <t>7506552410050</t>
        </is>
      </c>
      <c r="B2340" s="51" t="inlineStr">
        <is>
          <t>110259</t>
        </is>
      </c>
      <c r="C2340" s="156" t="inlineStr">
        <is>
          <t>Multimarca</t>
        </is>
      </c>
      <c r="D2340" s="156" t="inlineStr">
        <is>
          <t>STS29</t>
        </is>
      </c>
      <c r="E2340" s="156" t="inlineStr">
        <is>
          <t>STS29</t>
        </is>
      </c>
      <c r="F2340" s="156" t="inlineStr">
        <is>
          <t>Talla única</t>
        </is>
      </c>
      <c r="G2340" s="156" t="inlineStr">
        <is>
          <t>One Size</t>
        </is>
      </c>
      <c r="H2340" s="156" t="inlineStr">
        <is>
          <t>Stetson</t>
        </is>
      </c>
      <c r="I2340" s="156" t="inlineStr">
        <is>
          <t>Gorra Stetson Trucker Negra</t>
        </is>
      </c>
      <c r="J2340" s="156" t="inlineStr">
        <is>
          <t>Accesorios</t>
        </is>
      </c>
      <c r="K2340" s="156" t="inlineStr">
        <is>
          <t>Gorras</t>
        </is>
      </c>
      <c r="L2340" s="156" t="inlineStr">
        <is>
          <t>Hombre</t>
        </is>
      </c>
      <c r="M2340" s="156" t="inlineStr">
        <is>
          <t>Stetson</t>
        </is>
      </c>
      <c r="N2340" s="156" t="inlineStr">
        <is>
          <t>SS26</t>
        </is>
      </c>
      <c r="O2340" s="156" t="inlineStr">
        <is>
          <t>Seasonal</t>
        </is>
      </c>
      <c r="P2340" s="156" t="inlineStr">
        <is>
          <t>Negro</t>
        </is>
      </c>
      <c r="Q2340" s="156" t="n"/>
      <c r="R2340" s="156" t="n"/>
      <c r="S2340" s="156" t="inlineStr">
        <is>
          <t>50% Algod</t>
        </is>
      </c>
      <c r="T2340"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340" s="156" t="n"/>
      <c r="V2340" s="156" t="inlineStr">
        <is>
          <t>PZS</t>
        </is>
      </c>
      <c r="W2340" s="51" t="inlineStr">
        <is>
          <t>53102516</t>
        </is>
      </c>
      <c r="X2340" s="156" t="inlineStr">
        <is>
          <t>https://cdn.shopify.com/s/files/1/0888/3250/8267/files/STS29-01.jpg?v=1758734201</t>
        </is>
      </c>
      <c r="Y2340" s="54" t="n">
        <v>310.3448276</v>
      </c>
      <c r="Z2340" s="54" t="n">
        <v>689.6551724</v>
      </c>
      <c r="AA2340" s="55">
        <f>IF(AND(A2340="", B2340="", E2340=""), "", IF(AB2340="", "Válido", IF((LEN(AB2340)-LEN(SUBSTITUTE(AB2340,"; ","")))/2+1&gt;(LEN(AB2340)-LEN(SUBSTITUTE(AB2340,"[Aviso]","")))/7, "Con Incidencias", "Válido")))</f>
        <v/>
      </c>
      <c r="AB2340" s="56">
        <f>IF(AND(A2340="", B2340="", E2340=""), "", TEXTJOIN("; ", TRUE, IF(OR(TRIM(A2340&amp;"")="", ISNUMBER(SEARCH("FALTA", A2340))), "UPC faltante/inválido", ""), IF(AND(A2340&lt;&gt;"", IFERROR(_xlfn.XMATCH(A2340,$A$2:$A$2509,0,1)&lt;&gt;_xlfn.XMATCH(A2340,$A$2:$A$2509,0,-1),FALSE)), "Código de barras duplicado", ""), IF(AND(E2340&lt;&gt;"", COUNTIF($E$2:$E$2509, E2340)&gt;1), "SKU duplicado", ""), IF(OR(J2340="", J2340=""), "[Aviso] División no capturada ()", IF(ISNA(MATCH(J2340, Criterios!$A$123:$A$126, 0)), "División no válida", "")), IF(OR(K2340="", K2340=""), "[Aviso] Categoría no capturada ()", IF(ISNA(MATCH(K2340, Criterios!$A$81:$A$120, 0)), "Categoría no válida", IF(AND(J2340&lt;&gt;"", J2340&lt;&gt;"", J2340&lt;&gt;VLOOKUP(K2340, Criterios!$A$81:$B$120, 2, FALSE)), "División no coincide con Categoría", ""))), IF(OR(L2340="", L2340=""), "[Aviso] Género no capturado ()", IF(ISNA(MATCH(L2340, Criterios!$B$123:$B$127, 0)), "Género no válido", "")), IF(OR(N2340="", N2340=""), "[Aviso] Temporada no capturada ()", IF(ISNA(MATCH(N2340, Criterios!$C$123:$C$128, 0)), "Temporada no válida", "")), IF(OR(O2340="", O2340=""), "[Aviso] Ciclo de vida no capturado ()", IF(ISNA(MATCH(O2340, Criterios!$D$123:$D$124, 0)), "Ciclo de vida no válido", ""))))</f>
        <v/>
      </c>
      <c r="AC2340" s="56" t="n"/>
      <c r="AD2340" s="51" t="n">
        <v>-2</v>
      </c>
      <c r="AE2340" s="156" t="n"/>
      <c r="AF2340" s="51" t="n">
        <v>0</v>
      </c>
      <c r="AG2340" s="156" t="inlineStr">
        <is>
          <t>Catálogo existente</t>
        </is>
      </c>
      <c r="AH2340"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2340" s="156" t="inlineStr">
        <is>
          <t>Sí</t>
        </is>
      </c>
      <c r="AJ2340" s="156" t="inlineStr">
        <is>
          <t>STETSON AMERICAS (-2)</t>
        </is>
      </c>
      <c r="AK2340" s="155" t="inlineStr">
        <is>
          <t>Criterios: I [Q] | Criterios: J [R]; G1522_Extraccion_Articulos_NetSuite_2026-09-30.xlsx: fila 58074 [S] | Shopify Stetson: producto 14782316675435 / variante 52418958950763</t>
        </is>
      </c>
      <c r="AL2340" s="58" t="n">
        <v>310.3448276</v>
      </c>
      <c r="AM2340" s="58" t="n">
        <v>689.6551724</v>
      </c>
      <c r="AN2340" s="155" t="inlineStr">
        <is>
          <t>Shopify Stetson México</t>
        </is>
      </c>
      <c r="AO2340" s="59" t="n">
        <v>0</v>
      </c>
      <c r="AP2340" s="59" t="n"/>
      <c r="AQ2340" s="59" t="n"/>
      <c r="AR2340" s="155" t="n"/>
    </row>
    <row r="2341">
      <c r="A2341" s="50" t="inlineStr">
        <is>
          <t>7506552410197</t>
        </is>
      </c>
      <c r="B2341" s="51" t="inlineStr">
        <is>
          <t>110267</t>
        </is>
      </c>
      <c r="C2341" s="156" t="inlineStr">
        <is>
          <t>Multimarca</t>
        </is>
      </c>
      <c r="D2341" s="156" t="inlineStr">
        <is>
          <t>STS43</t>
        </is>
      </c>
      <c r="E2341" s="156" t="inlineStr">
        <is>
          <t>STS43</t>
        </is>
      </c>
      <c r="F2341" s="156" t="inlineStr">
        <is>
          <t>Talla única</t>
        </is>
      </c>
      <c r="G2341" s="156" t="inlineStr">
        <is>
          <t>One Size</t>
        </is>
      </c>
      <c r="H2341" s="156" t="inlineStr">
        <is>
          <t>Stetson</t>
        </is>
      </c>
      <c r="I2341" s="156" t="inlineStr">
        <is>
          <t>Gorra Stetson Trucker Paja Poker</t>
        </is>
      </c>
      <c r="J2341" s="156" t="inlineStr">
        <is>
          <t>Accesorios</t>
        </is>
      </c>
      <c r="K2341" s="156" t="inlineStr">
        <is>
          <t>Gorras</t>
        </is>
      </c>
      <c r="L2341" s="156" t="inlineStr">
        <is>
          <t>Hombre</t>
        </is>
      </c>
      <c r="M2341" s="156" t="inlineStr">
        <is>
          <t>Stetson</t>
        </is>
      </c>
      <c r="N2341" s="156" t="inlineStr">
        <is>
          <t>SS26</t>
        </is>
      </c>
      <c r="O2341" s="156" t="inlineStr">
        <is>
          <t>Seasonal</t>
        </is>
      </c>
      <c r="P2341" s="156" t="n"/>
      <c r="Q2341" s="156" t="n"/>
      <c r="R2341" s="156" t="n"/>
      <c r="S2341" s="156" t="inlineStr">
        <is>
          <t>50% Algod</t>
        </is>
      </c>
      <c r="T234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2341" s="156" t="n"/>
      <c r="V2341" s="156" t="inlineStr">
        <is>
          <t>PZS</t>
        </is>
      </c>
      <c r="W2341" s="51" t="inlineStr">
        <is>
          <t>53102516</t>
        </is>
      </c>
      <c r="X2341" s="156" t="inlineStr">
        <is>
          <t>https://cdn.shopify.com/s/files/1/0888/3250/8267/files/STS43-01.jpg?v=1758735511</t>
        </is>
      </c>
      <c r="Y2341" s="54" t="n">
        <v>310.3448276</v>
      </c>
      <c r="Z2341" s="54" t="n">
        <v>689.6551724</v>
      </c>
      <c r="AA2341" s="55">
        <f>IF(AND(A2341="", B2341="", E2341=""), "", IF(AB2341="", "Válido", IF((LEN(AB2341)-LEN(SUBSTITUTE(AB2341,"; ","")))/2+1&gt;(LEN(AB2341)-LEN(SUBSTITUTE(AB2341,"[Aviso]","")))/7, "Con Incidencias", "Válido")))</f>
        <v/>
      </c>
      <c r="AB2341" s="56">
        <f>IF(AND(A2341="", B2341="", E2341=""), "", TEXTJOIN("; ", TRUE, IF(OR(TRIM(A2341&amp;"")="", ISNUMBER(SEARCH("FALTA", A2341))), "UPC faltante/inválido", ""), IF(AND(A2341&lt;&gt;"", IFERROR(_xlfn.XMATCH(A2341,$A$2:$A$2509,0,1)&lt;&gt;_xlfn.XMATCH(A2341,$A$2:$A$2509,0,-1),FALSE)), "Código de barras duplicado", ""), IF(AND(E2341&lt;&gt;"", COUNTIF($E$2:$E$2509, E2341)&gt;1), "SKU duplicado", ""), IF(OR(J2341="", J2341=""), "[Aviso] División no capturada ()", IF(ISNA(MATCH(J2341, Criterios!$A$123:$A$126, 0)), "División no válida", "")), IF(OR(K2341="", K2341=""), "[Aviso] Categoría no capturada ()", IF(ISNA(MATCH(K2341, Criterios!$A$81:$A$120, 0)), "Categoría no válida", IF(AND(J2341&lt;&gt;"", J2341&lt;&gt;"", J2341&lt;&gt;VLOOKUP(K2341, Criterios!$A$81:$B$120, 2, FALSE)), "División no coincide con Categoría", ""))), IF(OR(L2341="", L2341=""), "[Aviso] Género no capturado ()", IF(ISNA(MATCH(L2341, Criterios!$B$123:$B$127, 0)), "Género no válido", "")), IF(OR(N2341="", N2341=""), "[Aviso] Temporada no capturada ()", IF(ISNA(MATCH(N2341, Criterios!$C$123:$C$128, 0)), "Temporada no válida", "")), IF(OR(O2341="", O2341=""), "[Aviso] Ciclo de vida no capturado ()", IF(ISNA(MATCH(O2341, Criterios!$D$123:$D$124, 0)), "Ciclo de vida no válido", ""))))</f>
        <v/>
      </c>
      <c r="AC2341" s="56" t="n"/>
      <c r="AD2341" s="51" t="n">
        <v>-2</v>
      </c>
      <c r="AE2341" s="156" t="n"/>
      <c r="AF2341" s="51" t="n">
        <v>0</v>
      </c>
      <c r="AG2341" s="156" t="inlineStr">
        <is>
          <t>Catálogo existente</t>
        </is>
      </c>
      <c r="AH2341" s="156" t="inlineStr">
        <is>
          <t>Stock negativo en sistema: revisar en conteo | Revisión 29/09/2026: Campos sin respaldo: P, U | 01/10/2026: complementado desde Shopify Stetson México (match por código de barras): WB Fit, WB Silueta | Homologación G1522 06/10/2026: WB Composición: Los porcentajes no suman 100 % o el texto está truncado; confirmar con la etiqueta (Requiere revisión)</t>
        </is>
      </c>
      <c r="AI2341" s="156" t="inlineStr">
        <is>
          <t>Sí</t>
        </is>
      </c>
      <c r="AJ2341" s="156" t="inlineStr">
        <is>
          <t>STETSON AMERICAS (-2)</t>
        </is>
      </c>
      <c r="AK2341" s="155" t="inlineStr">
        <is>
          <t>Criterios: I [Q] | Criterios: J [R] | Shopify Stetson: producto 14782318248299 / variante 52418977726827</t>
        </is>
      </c>
      <c r="AL2341" s="58" t="n">
        <v>310.3448276</v>
      </c>
      <c r="AM2341" s="58" t="n">
        <v>689.6551724</v>
      </c>
      <c r="AN2341" s="155" t="inlineStr">
        <is>
          <t>Shopify Stetson México</t>
        </is>
      </c>
      <c r="AO2341" s="59" t="n">
        <v>0</v>
      </c>
      <c r="AP2341" s="59" t="n"/>
      <c r="AQ2341" s="59" t="n"/>
      <c r="AR2341" s="155" t="n"/>
    </row>
    <row r="2342">
      <c r="A2342" s="50" t="inlineStr">
        <is>
          <t>7506552410203</t>
        </is>
      </c>
      <c r="B2342" s="51" t="inlineStr">
        <is>
          <t>110268</t>
        </is>
      </c>
      <c r="C2342" s="156" t="inlineStr">
        <is>
          <t>Multimarca</t>
        </is>
      </c>
      <c r="D2342" s="156" t="inlineStr">
        <is>
          <t>STS44</t>
        </is>
      </c>
      <c r="E2342" s="156" t="inlineStr">
        <is>
          <t>STS44</t>
        </is>
      </c>
      <c r="F2342" s="156" t="inlineStr">
        <is>
          <t>Talla única</t>
        </is>
      </c>
      <c r="G2342" s="156" t="inlineStr">
        <is>
          <t>One Size</t>
        </is>
      </c>
      <c r="H2342" s="156" t="inlineStr">
        <is>
          <t>Stetson</t>
        </is>
      </c>
      <c r="I2342" s="156" t="inlineStr">
        <is>
          <t>Gorra Stetson Trucker Paja Camión</t>
        </is>
      </c>
      <c r="J2342" s="156" t="inlineStr">
        <is>
          <t>Accesorios</t>
        </is>
      </c>
      <c r="K2342" s="156" t="inlineStr">
        <is>
          <t>Gorras</t>
        </is>
      </c>
      <c r="L2342" s="156" t="inlineStr">
        <is>
          <t>Hombre</t>
        </is>
      </c>
      <c r="M2342" s="156" t="inlineStr">
        <is>
          <t>Stetson</t>
        </is>
      </c>
      <c r="N2342" s="156" t="inlineStr">
        <is>
          <t>SS26</t>
        </is>
      </c>
      <c r="O2342" s="156" t="inlineStr">
        <is>
          <t>Seasonal</t>
        </is>
      </c>
      <c r="P2342" s="156" t="n"/>
      <c r="Q2342" s="156" t="n"/>
      <c r="R2342" s="156" t="n"/>
      <c r="S2342" s="156" t="inlineStr">
        <is>
          <t>50% Algod</t>
        </is>
      </c>
      <c r="T2342"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2342" s="156" t="n"/>
      <c r="V2342" s="156" t="inlineStr">
        <is>
          <t>PZS</t>
        </is>
      </c>
      <c r="W2342" s="51" t="inlineStr">
        <is>
          <t>53102516</t>
        </is>
      </c>
      <c r="X2342" s="156" t="inlineStr">
        <is>
          <t>https://cdn.shopify.com/s/files/1/0888/3250/8267/files/STS44-01.jpg?v=1758735594</t>
        </is>
      </c>
      <c r="Y2342" s="54" t="n">
        <v>310.3448276</v>
      </c>
      <c r="Z2342" s="54" t="n">
        <v>689.6551724</v>
      </c>
      <c r="AA2342" s="55">
        <f>IF(AND(A2342="", B2342="", E2342=""), "", IF(AB2342="", "Válido", IF((LEN(AB2342)-LEN(SUBSTITUTE(AB2342,"; ","")))/2+1&gt;(LEN(AB2342)-LEN(SUBSTITUTE(AB2342,"[Aviso]","")))/7, "Con Incidencias", "Válido")))</f>
        <v/>
      </c>
      <c r="AB2342" s="56">
        <f>IF(AND(A2342="", B2342="", E2342=""), "", TEXTJOIN("; ", TRUE, IF(OR(TRIM(A2342&amp;"")="", ISNUMBER(SEARCH("FALTA", A2342))), "UPC faltante/inválido", ""), IF(AND(A2342&lt;&gt;"", IFERROR(_xlfn.XMATCH(A2342,$A$2:$A$2509,0,1)&lt;&gt;_xlfn.XMATCH(A2342,$A$2:$A$2509,0,-1),FALSE)), "Código de barras duplicado", ""), IF(AND(E2342&lt;&gt;"", COUNTIF($E$2:$E$2509, E2342)&gt;1), "SKU duplicado", ""), IF(OR(J2342="", J2342=""), "[Aviso] División no capturada ()", IF(ISNA(MATCH(J2342, Criterios!$A$123:$A$126, 0)), "División no válida", "")), IF(OR(K2342="", K2342=""), "[Aviso] Categoría no capturada ()", IF(ISNA(MATCH(K2342, Criterios!$A$81:$A$120, 0)), "Categoría no válida", IF(AND(J2342&lt;&gt;"", J2342&lt;&gt;"", J2342&lt;&gt;VLOOKUP(K2342, Criterios!$A$81:$B$120, 2, FALSE)), "División no coincide con Categoría", ""))), IF(OR(L2342="", L2342=""), "[Aviso] Género no capturado ()", IF(ISNA(MATCH(L2342, Criterios!$B$123:$B$127, 0)), "Género no válido", "")), IF(OR(N2342="", N2342=""), "[Aviso] Temporada no capturada ()", IF(ISNA(MATCH(N2342, Criterios!$C$123:$C$128, 0)), "Temporada no válida", "")), IF(OR(O2342="", O2342=""), "[Aviso] Ciclo de vida no capturado ()", IF(ISNA(MATCH(O2342, Criterios!$D$123:$D$124, 0)), "Ciclo de vida no válido", ""))))</f>
        <v/>
      </c>
      <c r="AC2342" s="56" t="n"/>
      <c r="AD2342" s="51" t="n">
        <v>-3</v>
      </c>
      <c r="AE2342" s="156" t="n"/>
      <c r="AF2342" s="51" t="n">
        <v>0</v>
      </c>
      <c r="AG2342" s="156" t="inlineStr">
        <is>
          <t>Catálogo existente</t>
        </is>
      </c>
      <c r="AH2342" s="156" t="inlineStr">
        <is>
          <t>Stock negativo en sistema: revisar en conteo | Revisión 29/09/2026: Campos sin respaldo: P, U | 01/10/2026: complementado desde Shopify Stetson México (match por código de barras): WB Fit, WB Silueta | Homologación G1522 06/10/2026: WB Composición: Los porcentajes no suman 100 % o el texto está truncado; confirmar con la etiqueta (Requiere revisión)</t>
        </is>
      </c>
      <c r="AI2342" s="156" t="inlineStr">
        <is>
          <t>Sí</t>
        </is>
      </c>
      <c r="AJ2342" s="156" t="inlineStr">
        <is>
          <t>STETSON AMERICAS (-3)</t>
        </is>
      </c>
      <c r="AK2342" s="155" t="inlineStr">
        <is>
          <t>Criterios: I [Q] | Criterios: J [R] | Shopify Stetson: producto 14782318379371 / variante 52418977923435</t>
        </is>
      </c>
      <c r="AL2342" s="58" t="n">
        <v>310.3448276</v>
      </c>
      <c r="AM2342" s="58" t="n">
        <v>689.6551724</v>
      </c>
      <c r="AN2342" s="155" t="inlineStr">
        <is>
          <t>Shopify Stetson México</t>
        </is>
      </c>
      <c r="AO2342" s="59" t="n">
        <v>-1</v>
      </c>
      <c r="AP2342" s="59" t="n"/>
      <c r="AQ2342" s="59" t="n"/>
      <c r="AR2342" s="155" t="n"/>
    </row>
    <row r="2343">
      <c r="A2343" s="50" t="inlineStr">
        <is>
          <t>7506552411798</t>
        </is>
      </c>
      <c r="B2343" s="51" t="inlineStr">
        <is>
          <t>110297</t>
        </is>
      </c>
      <c r="C2343" s="156" t="inlineStr">
        <is>
          <t>Multimarca</t>
        </is>
      </c>
      <c r="D2343" s="156" t="inlineStr">
        <is>
          <t>STTS09</t>
        </is>
      </c>
      <c r="E2343" s="156" t="inlineStr">
        <is>
          <t>STTS09-CH</t>
        </is>
      </c>
      <c r="F2343" s="156" t="inlineStr">
        <is>
          <t>S</t>
        </is>
      </c>
      <c r="G2343" s="156" t="inlineStr">
        <is>
          <t>S</t>
        </is>
      </c>
      <c r="H2343" s="156" t="inlineStr">
        <is>
          <t>Stetson</t>
        </is>
      </c>
      <c r="I2343" s="156" t="inlineStr">
        <is>
          <t>Playera Legend Negra</t>
        </is>
      </c>
      <c r="J2343" s="156" t="inlineStr">
        <is>
          <t>Ropa</t>
        </is>
      </c>
      <c r="K2343" s="156" t="inlineStr">
        <is>
          <t>Playeras</t>
        </is>
      </c>
      <c r="L2343" s="156" t="inlineStr">
        <is>
          <t>Hombre</t>
        </is>
      </c>
      <c r="M2343" s="156" t="inlineStr">
        <is>
          <t>Stetson</t>
        </is>
      </c>
      <c r="N2343" s="156" t="inlineStr">
        <is>
          <t>SS26</t>
        </is>
      </c>
      <c r="O2343" s="156" t="inlineStr">
        <is>
          <t>Seasonal</t>
        </is>
      </c>
      <c r="P2343" s="156" t="inlineStr">
        <is>
          <t>Negro</t>
        </is>
      </c>
      <c r="Q2343" s="156" t="inlineStr">
        <is>
          <t>Regular</t>
        </is>
      </c>
      <c r="R2343" s="156" t="n"/>
      <c r="S2343" s="156" t="inlineStr">
        <is>
          <t>100% Algodón</t>
        </is>
      </c>
      <c r="T234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3" s="156" t="n"/>
      <c r="V2343" s="156" t="inlineStr">
        <is>
          <t>PZS</t>
        </is>
      </c>
      <c r="W2343" s="51" t="inlineStr">
        <is>
          <t>53103000</t>
        </is>
      </c>
      <c r="X2343" s="156" t="inlineStr">
        <is>
          <t>https://cdn.shopify.com/s/files/1/0888/3250/8267/files/STTS09-02.jpg?v=1759167213</t>
        </is>
      </c>
      <c r="Y2343" s="54" t="n">
        <v>252.1551724</v>
      </c>
      <c r="Z2343" s="54" t="n">
        <v>560.3448276</v>
      </c>
      <c r="AA2343" s="55">
        <f>IF(AND(A2343="", B2343="", E2343=""), "", IF(AB2343="", "Válido", IF((LEN(AB2343)-LEN(SUBSTITUTE(AB2343,"; ","")))/2+1&gt;(LEN(AB2343)-LEN(SUBSTITUTE(AB2343,"[Aviso]","")))/7, "Con Incidencias", "Válido")))</f>
        <v/>
      </c>
      <c r="AB2343" s="56">
        <f>IF(AND(A2343="", B2343="", E2343=""), "", TEXTJOIN("; ", TRUE, IF(OR(TRIM(A2343&amp;"")="", ISNUMBER(SEARCH("FALTA", A2343))), "UPC faltante/inválido", ""), IF(AND(A2343&lt;&gt;"", IFERROR(_xlfn.XMATCH(A2343,$A$2:$A$2509,0,1)&lt;&gt;_xlfn.XMATCH(A2343,$A$2:$A$2509,0,-1),FALSE)), "Código de barras duplicado", ""), IF(AND(E2343&lt;&gt;"", COUNTIF($E$2:$E$2509, E2343)&gt;1), "SKU duplicado", ""), IF(OR(J2343="", J2343=""), "[Aviso] División no capturada ()", IF(ISNA(MATCH(J2343, Criterios!$A$123:$A$126, 0)), "División no válida", "")), IF(OR(K2343="", K2343=""), "[Aviso] Categoría no capturada ()", IF(ISNA(MATCH(K2343, Criterios!$A$81:$A$120, 0)), "Categoría no válida", IF(AND(J2343&lt;&gt;"", J2343&lt;&gt;"", J2343&lt;&gt;VLOOKUP(K2343, Criterios!$A$81:$B$120, 2, FALSE)), "División no coincide con Categoría", ""))), IF(OR(L2343="", L2343=""), "[Aviso] Género no capturado ()", IF(ISNA(MATCH(L2343, Criterios!$B$123:$B$127, 0)), "Género no válido", "")), IF(OR(N2343="", N2343=""), "[Aviso] Temporada no capturada ()", IF(ISNA(MATCH(N2343, Criterios!$C$123:$C$128, 0)), "Temporada no válida", "")), IF(OR(O2343="", O2343=""), "[Aviso] Ciclo de vida no capturado ()", IF(ISNA(MATCH(O2343, Criterios!$D$123:$D$124, 0)), "Ciclo de vida no válido", ""))))</f>
        <v/>
      </c>
      <c r="AC2343" s="56" t="n"/>
      <c r="AD2343" s="51" t="n">
        <v>0</v>
      </c>
      <c r="AE2343" s="156" t="n"/>
      <c r="AF2343" s="51" t="n">
        <v>0</v>
      </c>
      <c r="AG2343" s="156" t="inlineStr">
        <is>
          <t>Catálogo existente</t>
        </is>
      </c>
      <c r="AH234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3" s="156" t="inlineStr">
        <is>
          <t>No</t>
        </is>
      </c>
      <c r="AJ2343" s="156" t="n"/>
      <c r="AK2343" s="155" t="inlineStr">
        <is>
          <t>Criterios: J [R]; G1522_Extraccion_Articulos_NetSuite_2026-09-30.xlsx: fila 58112 [S] | Shopify Stetson: producto 14783989055851 / variante 52426170106219</t>
        </is>
      </c>
      <c r="AL2343" s="58" t="n">
        <v>252.1551724</v>
      </c>
      <c r="AM2343" s="58" t="n">
        <v>560.3448276</v>
      </c>
      <c r="AN2343" s="155" t="inlineStr">
        <is>
          <t>Shopify Stetson México</t>
        </is>
      </c>
      <c r="AO2343" s="59" t="n">
        <v>0</v>
      </c>
      <c r="AP2343" s="59" t="n"/>
      <c r="AQ2343" s="59" t="n"/>
      <c r="AR2343" s="155" t="n"/>
    </row>
    <row r="2344">
      <c r="A2344" s="50" t="inlineStr">
        <is>
          <t>7506552411804</t>
        </is>
      </c>
      <c r="B2344" s="51" t="inlineStr">
        <is>
          <t>110289</t>
        </is>
      </c>
      <c r="C2344" s="156" t="inlineStr">
        <is>
          <t>Multimarca</t>
        </is>
      </c>
      <c r="D2344" s="156" t="inlineStr">
        <is>
          <t>STTS07</t>
        </is>
      </c>
      <c r="E2344" s="156" t="inlineStr">
        <is>
          <t>STTS07-CH</t>
        </is>
      </c>
      <c r="F2344" s="156" t="inlineStr">
        <is>
          <t>S</t>
        </is>
      </c>
      <c r="G2344" s="156" t="inlineStr">
        <is>
          <t>S</t>
        </is>
      </c>
      <c r="H2344" s="156" t="inlineStr">
        <is>
          <t>Stetson</t>
        </is>
      </c>
      <c r="I2344" s="156" t="inlineStr">
        <is>
          <t>Playera Authentic Blanca</t>
        </is>
      </c>
      <c r="J2344" s="156" t="inlineStr">
        <is>
          <t>Ropa</t>
        </is>
      </c>
      <c r="K2344" s="156" t="inlineStr">
        <is>
          <t>Playeras</t>
        </is>
      </c>
      <c r="L2344" s="156" t="inlineStr">
        <is>
          <t>Hombre</t>
        </is>
      </c>
      <c r="M2344" s="156" t="inlineStr">
        <is>
          <t>Stetson</t>
        </is>
      </c>
      <c r="N2344" s="156" t="inlineStr">
        <is>
          <t>SS26</t>
        </is>
      </c>
      <c r="O2344" s="156" t="inlineStr">
        <is>
          <t>Seasonal</t>
        </is>
      </c>
      <c r="P2344" s="156" t="inlineStr">
        <is>
          <t>Blanco</t>
        </is>
      </c>
      <c r="Q2344" s="156" t="inlineStr">
        <is>
          <t>Regular</t>
        </is>
      </c>
      <c r="R2344" s="156" t="n"/>
      <c r="S2344" s="156" t="inlineStr">
        <is>
          <t>100% Algodón</t>
        </is>
      </c>
      <c r="T234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4" s="156" t="n"/>
      <c r="V2344" s="156" t="inlineStr">
        <is>
          <t>PZS</t>
        </is>
      </c>
      <c r="W2344" s="51" t="inlineStr">
        <is>
          <t>53103000</t>
        </is>
      </c>
      <c r="X2344" s="156" t="inlineStr">
        <is>
          <t>https://cdn.shopify.com/s/files/1/0888/3250/8267/files/STTS07-02.jpg?v=1759167205</t>
        </is>
      </c>
      <c r="Y2344" s="54" t="n">
        <v>252.1551724</v>
      </c>
      <c r="Z2344" s="54" t="n">
        <v>560.3448276</v>
      </c>
      <c r="AA2344" s="55">
        <f>IF(AND(A2344="", B2344="", E2344=""), "", IF(AB2344="", "Válido", IF((LEN(AB2344)-LEN(SUBSTITUTE(AB2344,"; ","")))/2+1&gt;(LEN(AB2344)-LEN(SUBSTITUTE(AB2344,"[Aviso]","")))/7, "Con Incidencias", "Válido")))</f>
        <v/>
      </c>
      <c r="AB2344" s="56">
        <f>IF(AND(A2344="", B2344="", E2344=""), "", TEXTJOIN("; ", TRUE, IF(OR(TRIM(A2344&amp;"")="", ISNUMBER(SEARCH("FALTA", A2344))), "UPC faltante/inválido", ""), IF(AND(A2344&lt;&gt;"", IFERROR(_xlfn.XMATCH(A2344,$A$2:$A$2509,0,1)&lt;&gt;_xlfn.XMATCH(A2344,$A$2:$A$2509,0,-1),FALSE)), "Código de barras duplicado", ""), IF(AND(E2344&lt;&gt;"", COUNTIF($E$2:$E$2509, E2344)&gt;1), "SKU duplicado", ""), IF(OR(J2344="", J2344=""), "[Aviso] División no capturada ()", IF(ISNA(MATCH(J2344, Criterios!$A$123:$A$126, 0)), "División no válida", "")), IF(OR(K2344="", K2344=""), "[Aviso] Categoría no capturada ()", IF(ISNA(MATCH(K2344, Criterios!$A$81:$A$120, 0)), "Categoría no válida", IF(AND(J2344&lt;&gt;"", J2344&lt;&gt;"", J2344&lt;&gt;VLOOKUP(K2344, Criterios!$A$81:$B$120, 2, FALSE)), "División no coincide con Categoría", ""))), IF(OR(L2344="", L2344=""), "[Aviso] Género no capturado ()", IF(ISNA(MATCH(L2344, Criterios!$B$123:$B$127, 0)), "Género no válido", "")), IF(OR(N2344="", N2344=""), "[Aviso] Temporada no capturada ()", IF(ISNA(MATCH(N2344, Criterios!$C$123:$C$128, 0)), "Temporada no válida", "")), IF(OR(O2344="", O2344=""), "[Aviso] Ciclo de vida no capturado ()", IF(ISNA(MATCH(O2344, Criterios!$D$123:$D$124, 0)), "Ciclo de vida no válido", ""))))</f>
        <v/>
      </c>
      <c r="AC2344" s="56" t="n"/>
      <c r="AD2344" s="51" t="n">
        <v>0</v>
      </c>
      <c r="AE2344" s="156" t="n"/>
      <c r="AF2344" s="51" t="n">
        <v>0</v>
      </c>
      <c r="AG2344" s="156" t="inlineStr">
        <is>
          <t>Catálogo existente</t>
        </is>
      </c>
      <c r="AH234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4" s="156" t="inlineStr">
        <is>
          <t>No</t>
        </is>
      </c>
      <c r="AJ2344" s="156" t="n"/>
      <c r="AK2344" s="155" t="inlineStr">
        <is>
          <t>Criterios: J [R]; G1522_Extraccion_Articulos_NetSuite_2026-09-30.xlsx: fila 58104 [S] | Shopify Stetson: producto 14783353291115 / variante 52422848872811</t>
        </is>
      </c>
      <c r="AL2344" s="58" t="n">
        <v>252.1551724</v>
      </c>
      <c r="AM2344" s="58" t="n">
        <v>560.3448276</v>
      </c>
      <c r="AN2344" s="155" t="inlineStr">
        <is>
          <t>Shopify Stetson México</t>
        </is>
      </c>
      <c r="AO2344" s="59" t="n">
        <v>0</v>
      </c>
      <c r="AP2344" s="59" t="n"/>
      <c r="AQ2344" s="59" t="n"/>
      <c r="AR2344" s="155" t="n"/>
    </row>
    <row r="2345">
      <c r="A2345" s="50" t="inlineStr">
        <is>
          <t>7506552411873</t>
        </is>
      </c>
      <c r="B2345" s="51" t="inlineStr">
        <is>
          <t>110298</t>
        </is>
      </c>
      <c r="C2345" s="156" t="inlineStr">
        <is>
          <t>Multimarca</t>
        </is>
      </c>
      <c r="D2345" s="156" t="inlineStr">
        <is>
          <t>STTS09</t>
        </is>
      </c>
      <c r="E2345" s="156" t="inlineStr">
        <is>
          <t>STTS09-M</t>
        </is>
      </c>
      <c r="F2345" s="156" t="inlineStr">
        <is>
          <t>M</t>
        </is>
      </c>
      <c r="G2345" s="156" t="inlineStr">
        <is>
          <t>M</t>
        </is>
      </c>
      <c r="H2345" s="156" t="inlineStr">
        <is>
          <t>Stetson</t>
        </is>
      </c>
      <c r="I2345" s="156" t="inlineStr">
        <is>
          <t>Playera Legend Negra</t>
        </is>
      </c>
      <c r="J2345" s="156" t="inlineStr">
        <is>
          <t>Ropa</t>
        </is>
      </c>
      <c r="K2345" s="156" t="inlineStr">
        <is>
          <t>Playeras</t>
        </is>
      </c>
      <c r="L2345" s="156" t="inlineStr">
        <is>
          <t>Hombre</t>
        </is>
      </c>
      <c r="M2345" s="156" t="inlineStr">
        <is>
          <t>Stetson</t>
        </is>
      </c>
      <c r="N2345" s="156" t="inlineStr">
        <is>
          <t>SS26</t>
        </is>
      </c>
      <c r="O2345" s="156" t="inlineStr">
        <is>
          <t>Seasonal</t>
        </is>
      </c>
      <c r="P2345" s="156" t="inlineStr">
        <is>
          <t>Negro</t>
        </is>
      </c>
      <c r="Q2345" s="156" t="inlineStr">
        <is>
          <t>Regular</t>
        </is>
      </c>
      <c r="R2345" s="156" t="n"/>
      <c r="S2345" s="156" t="inlineStr">
        <is>
          <t>100% Algodón</t>
        </is>
      </c>
      <c r="T234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5" s="156" t="n"/>
      <c r="V2345" s="156" t="inlineStr">
        <is>
          <t>PZS</t>
        </is>
      </c>
      <c r="W2345" s="51" t="inlineStr">
        <is>
          <t>53103000</t>
        </is>
      </c>
      <c r="X2345" s="156" t="inlineStr">
        <is>
          <t>https://cdn.shopify.com/s/files/1/0888/3250/8267/files/STTS09-01.jpg?v=1759167213</t>
        </is>
      </c>
      <c r="Y2345" s="54" t="n">
        <v>252.1551724</v>
      </c>
      <c r="Z2345" s="54" t="n">
        <v>560.3448276</v>
      </c>
      <c r="AA2345" s="55">
        <f>IF(AND(A2345="", B2345="", E2345=""), "", IF(AB2345="", "Válido", IF((LEN(AB2345)-LEN(SUBSTITUTE(AB2345,"; ","")))/2+1&gt;(LEN(AB2345)-LEN(SUBSTITUTE(AB2345,"[Aviso]","")))/7, "Con Incidencias", "Válido")))</f>
        <v/>
      </c>
      <c r="AB2345" s="56">
        <f>IF(AND(A2345="", B2345="", E2345=""), "", TEXTJOIN("; ", TRUE, IF(OR(TRIM(A2345&amp;"")="", ISNUMBER(SEARCH("FALTA", A2345))), "UPC faltante/inválido", ""), IF(AND(A2345&lt;&gt;"", IFERROR(_xlfn.XMATCH(A2345,$A$2:$A$2509,0,1)&lt;&gt;_xlfn.XMATCH(A2345,$A$2:$A$2509,0,-1),FALSE)), "Código de barras duplicado", ""), IF(AND(E2345&lt;&gt;"", COUNTIF($E$2:$E$2509, E2345)&gt;1), "SKU duplicado", ""), IF(OR(J2345="", J2345=""), "[Aviso] División no capturada ()", IF(ISNA(MATCH(J2345, Criterios!$A$123:$A$126, 0)), "División no válida", "")), IF(OR(K2345="", K2345=""), "[Aviso] Categoría no capturada ()", IF(ISNA(MATCH(K2345, Criterios!$A$81:$A$120, 0)), "Categoría no válida", IF(AND(J2345&lt;&gt;"", J2345&lt;&gt;"", J2345&lt;&gt;VLOOKUP(K2345, Criterios!$A$81:$B$120, 2, FALSE)), "División no coincide con Categoría", ""))), IF(OR(L2345="", L2345=""), "[Aviso] Género no capturado ()", IF(ISNA(MATCH(L2345, Criterios!$B$123:$B$127, 0)), "Género no válido", "")), IF(OR(N2345="", N2345=""), "[Aviso] Temporada no capturada ()", IF(ISNA(MATCH(N2345, Criterios!$C$123:$C$128, 0)), "Temporada no válida", "")), IF(OR(O2345="", O2345=""), "[Aviso] Ciclo de vida no capturado ()", IF(ISNA(MATCH(O2345, Criterios!$D$123:$D$124, 0)), "Ciclo de vida no válido", ""))))</f>
        <v/>
      </c>
      <c r="AC2345" s="56" t="n"/>
      <c r="AD2345" s="51" t="n">
        <v>0</v>
      </c>
      <c r="AE2345" s="156" t="n"/>
      <c r="AF2345" s="51" t="n">
        <v>0</v>
      </c>
      <c r="AG2345" s="156" t="inlineStr">
        <is>
          <t>Catálogo existente</t>
        </is>
      </c>
      <c r="AH234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5" s="156" t="inlineStr">
        <is>
          <t>No</t>
        </is>
      </c>
      <c r="AJ2345" s="156" t="n"/>
      <c r="AK2345" s="155" t="inlineStr">
        <is>
          <t>Criterios: J [R]; G1522_Extraccion_Articulos_NetSuite_2026-09-30.xlsx: fila 58113 [S] | Shopify Stetson: producto 14783989055851 / variante 52426170138987</t>
        </is>
      </c>
      <c r="AL2345" s="58" t="n">
        <v>252.1551724</v>
      </c>
      <c r="AM2345" s="58" t="n">
        <v>560.3448276</v>
      </c>
      <c r="AN2345" s="155" t="inlineStr">
        <is>
          <t>Shopify Stetson México</t>
        </is>
      </c>
      <c r="AO2345" s="59" t="n">
        <v>0</v>
      </c>
      <c r="AP2345" s="59" t="n"/>
      <c r="AQ2345" s="59" t="n"/>
      <c r="AR2345" s="155" t="n"/>
    </row>
    <row r="2346">
      <c r="A2346" s="50" t="inlineStr">
        <is>
          <t>7506552411880</t>
        </is>
      </c>
      <c r="B2346" s="51" t="inlineStr">
        <is>
          <t>110299</t>
        </is>
      </c>
      <c r="C2346" s="156" t="inlineStr">
        <is>
          <t>Multimarca</t>
        </is>
      </c>
      <c r="D2346" s="156" t="inlineStr">
        <is>
          <t>STTS09</t>
        </is>
      </c>
      <c r="E2346" s="156" t="inlineStr">
        <is>
          <t>STTS09-G</t>
        </is>
      </c>
      <c r="F2346" s="156" t="inlineStr">
        <is>
          <t>L</t>
        </is>
      </c>
      <c r="G2346" s="156" t="inlineStr">
        <is>
          <t>L</t>
        </is>
      </c>
      <c r="H2346" s="156" t="inlineStr">
        <is>
          <t>Stetson</t>
        </is>
      </c>
      <c r="I2346" s="156" t="inlineStr">
        <is>
          <t>Playera Legend Negra</t>
        </is>
      </c>
      <c r="J2346" s="156" t="inlineStr">
        <is>
          <t>Ropa</t>
        </is>
      </c>
      <c r="K2346" s="156" t="inlineStr">
        <is>
          <t>Playeras</t>
        </is>
      </c>
      <c r="L2346" s="156" t="inlineStr">
        <is>
          <t>Hombre</t>
        </is>
      </c>
      <c r="M2346" s="156" t="inlineStr">
        <is>
          <t>Stetson</t>
        </is>
      </c>
      <c r="N2346" s="156" t="inlineStr">
        <is>
          <t>SS26</t>
        </is>
      </c>
      <c r="O2346" s="156" t="inlineStr">
        <is>
          <t>Seasonal</t>
        </is>
      </c>
      <c r="P2346" s="156" t="inlineStr">
        <is>
          <t>Negro</t>
        </is>
      </c>
      <c r="Q2346" s="156" t="inlineStr">
        <is>
          <t>Regular</t>
        </is>
      </c>
      <c r="R2346" s="156" t="n"/>
      <c r="S2346" s="156" t="inlineStr">
        <is>
          <t>100% Algodón</t>
        </is>
      </c>
      <c r="T234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6" s="156" t="n"/>
      <c r="V2346" s="156" t="inlineStr">
        <is>
          <t>PZS</t>
        </is>
      </c>
      <c r="W2346" s="51" t="inlineStr">
        <is>
          <t>53103000</t>
        </is>
      </c>
      <c r="X2346" s="156" t="inlineStr">
        <is>
          <t>https://cdn.shopify.com/s/files/1/0888/3250/8267/files/STTS09-03.jpg?v=1759161242</t>
        </is>
      </c>
      <c r="Y2346" s="54" t="n">
        <v>252.1551724</v>
      </c>
      <c r="Z2346" s="54" t="n">
        <v>560.3448276</v>
      </c>
      <c r="AA2346" s="55">
        <f>IF(AND(A2346="", B2346="", E2346=""), "", IF(AB2346="", "Válido", IF((LEN(AB2346)-LEN(SUBSTITUTE(AB2346,"; ","")))/2+1&gt;(LEN(AB2346)-LEN(SUBSTITUTE(AB2346,"[Aviso]","")))/7, "Con Incidencias", "Válido")))</f>
        <v/>
      </c>
      <c r="AB2346" s="56">
        <f>IF(AND(A2346="", B2346="", E2346=""), "", TEXTJOIN("; ", TRUE, IF(OR(TRIM(A2346&amp;"")="", ISNUMBER(SEARCH("FALTA", A2346))), "UPC faltante/inválido", ""), IF(AND(A2346&lt;&gt;"", IFERROR(_xlfn.XMATCH(A2346,$A$2:$A$2509,0,1)&lt;&gt;_xlfn.XMATCH(A2346,$A$2:$A$2509,0,-1),FALSE)), "Código de barras duplicado", ""), IF(AND(E2346&lt;&gt;"", COUNTIF($E$2:$E$2509, E2346)&gt;1), "SKU duplicado", ""), IF(OR(J2346="", J2346=""), "[Aviso] División no capturada ()", IF(ISNA(MATCH(J2346, Criterios!$A$123:$A$126, 0)), "División no válida", "")), IF(OR(K2346="", K2346=""), "[Aviso] Categoría no capturada ()", IF(ISNA(MATCH(K2346, Criterios!$A$81:$A$120, 0)), "Categoría no válida", IF(AND(J2346&lt;&gt;"", J2346&lt;&gt;"", J2346&lt;&gt;VLOOKUP(K2346, Criterios!$A$81:$B$120, 2, FALSE)), "División no coincide con Categoría", ""))), IF(OR(L2346="", L2346=""), "[Aviso] Género no capturado ()", IF(ISNA(MATCH(L2346, Criterios!$B$123:$B$127, 0)), "Género no válido", "")), IF(OR(N2346="", N2346=""), "[Aviso] Temporada no capturada ()", IF(ISNA(MATCH(N2346, Criterios!$C$123:$C$128, 0)), "Temporada no válida", "")), IF(OR(O2346="", O2346=""), "[Aviso] Ciclo de vida no capturado ()", IF(ISNA(MATCH(O2346, Criterios!$D$123:$D$124, 0)), "Ciclo de vida no válido", ""))))</f>
        <v/>
      </c>
      <c r="AC2346" s="56" t="n"/>
      <c r="AD2346" s="51" t="n">
        <v>-1</v>
      </c>
      <c r="AE2346" s="156" t="n"/>
      <c r="AF2346" s="51" t="n">
        <v>0</v>
      </c>
      <c r="AG2346" s="156" t="inlineStr">
        <is>
          <t>Catálogo existente</t>
        </is>
      </c>
      <c r="AH2346"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6" s="156" t="inlineStr">
        <is>
          <t>Sí</t>
        </is>
      </c>
      <c r="AJ2346" s="156" t="inlineStr">
        <is>
          <t>STETSON AMERICAS (-1)</t>
        </is>
      </c>
      <c r="AK2346" s="155" t="inlineStr">
        <is>
          <t>Criterios: J [R]; G1522_Extraccion_Articulos_NetSuite_2026-09-30.xlsx: fila 58114 [S] | Shopify Stetson: producto 14783989055851 / variante 52426170171755</t>
        </is>
      </c>
      <c r="AL2346" s="58" t="n">
        <v>252.1551724</v>
      </c>
      <c r="AM2346" s="58" t="n">
        <v>560.3448276</v>
      </c>
      <c r="AN2346" s="155" t="inlineStr">
        <is>
          <t>Shopify Stetson México</t>
        </is>
      </c>
      <c r="AO2346" s="59" t="n">
        <v>0</v>
      </c>
      <c r="AP2346" s="59" t="n"/>
      <c r="AQ2346" s="59" t="n"/>
      <c r="AR2346" s="155" t="n"/>
    </row>
    <row r="2347">
      <c r="A2347" s="50" t="inlineStr">
        <is>
          <t>7506552411897</t>
        </is>
      </c>
      <c r="B2347" s="51" t="inlineStr">
        <is>
          <t>110300</t>
        </is>
      </c>
      <c r="C2347" s="156" t="inlineStr">
        <is>
          <t>Multimarca</t>
        </is>
      </c>
      <c r="D2347" s="156" t="inlineStr">
        <is>
          <t>STTS09</t>
        </is>
      </c>
      <c r="E2347" s="156" t="inlineStr">
        <is>
          <t>STTS09-XG</t>
        </is>
      </c>
      <c r="F2347" s="156" t="inlineStr">
        <is>
          <t>XL</t>
        </is>
      </c>
      <c r="G2347" s="156" t="inlineStr">
        <is>
          <t>XL</t>
        </is>
      </c>
      <c r="H2347" s="156" t="inlineStr">
        <is>
          <t>Stetson</t>
        </is>
      </c>
      <c r="I2347" s="156" t="inlineStr">
        <is>
          <t>Playera Legend Negra</t>
        </is>
      </c>
      <c r="J2347" s="156" t="inlineStr">
        <is>
          <t>Ropa</t>
        </is>
      </c>
      <c r="K2347" s="156" t="inlineStr">
        <is>
          <t>Playeras</t>
        </is>
      </c>
      <c r="L2347" s="156" t="inlineStr">
        <is>
          <t>Hombre</t>
        </is>
      </c>
      <c r="M2347" s="156" t="inlineStr">
        <is>
          <t>Stetson</t>
        </is>
      </c>
      <c r="N2347" s="156" t="inlineStr">
        <is>
          <t>SS26</t>
        </is>
      </c>
      <c r="O2347" s="156" t="inlineStr">
        <is>
          <t>Seasonal</t>
        </is>
      </c>
      <c r="P2347" s="156" t="inlineStr">
        <is>
          <t>Negro</t>
        </is>
      </c>
      <c r="Q2347" s="156" t="inlineStr">
        <is>
          <t>Regular</t>
        </is>
      </c>
      <c r="R2347" s="156" t="n"/>
      <c r="S2347" s="156" t="inlineStr">
        <is>
          <t>100% Algodón</t>
        </is>
      </c>
      <c r="T234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7" s="156" t="n"/>
      <c r="V2347" s="156" t="inlineStr">
        <is>
          <t>PZS</t>
        </is>
      </c>
      <c r="W2347" s="51" t="inlineStr">
        <is>
          <t>53103000</t>
        </is>
      </c>
      <c r="X2347" s="156" t="inlineStr">
        <is>
          <t>https://cdn.shopify.com/s/files/1/0888/3250/8267/files/STTS09-02.jpg?v=1759167213</t>
        </is>
      </c>
      <c r="Y2347" s="54" t="n">
        <v>252.1551724</v>
      </c>
      <c r="Z2347" s="54" t="n">
        <v>560.3448276</v>
      </c>
      <c r="AA2347" s="55">
        <f>IF(AND(A2347="", B2347="", E2347=""), "", IF(AB2347="", "Válido", IF((LEN(AB2347)-LEN(SUBSTITUTE(AB2347,"; ","")))/2+1&gt;(LEN(AB2347)-LEN(SUBSTITUTE(AB2347,"[Aviso]","")))/7, "Con Incidencias", "Válido")))</f>
        <v/>
      </c>
      <c r="AB2347" s="56">
        <f>IF(AND(A2347="", B2347="", E2347=""), "", TEXTJOIN("; ", TRUE, IF(OR(TRIM(A2347&amp;"")="", ISNUMBER(SEARCH("FALTA", A2347))), "UPC faltante/inválido", ""), IF(AND(A2347&lt;&gt;"", IFERROR(_xlfn.XMATCH(A2347,$A$2:$A$2509,0,1)&lt;&gt;_xlfn.XMATCH(A2347,$A$2:$A$2509,0,-1),FALSE)), "Código de barras duplicado", ""), IF(AND(E2347&lt;&gt;"", COUNTIF($E$2:$E$2509, E2347)&gt;1), "SKU duplicado", ""), IF(OR(J2347="", J2347=""), "[Aviso] División no capturada ()", IF(ISNA(MATCH(J2347, Criterios!$A$123:$A$126, 0)), "División no válida", "")), IF(OR(K2347="", K2347=""), "[Aviso] Categoría no capturada ()", IF(ISNA(MATCH(K2347, Criterios!$A$81:$A$120, 0)), "Categoría no válida", IF(AND(J2347&lt;&gt;"", J2347&lt;&gt;"", J2347&lt;&gt;VLOOKUP(K2347, Criterios!$A$81:$B$120, 2, FALSE)), "División no coincide con Categoría", ""))), IF(OR(L2347="", L2347=""), "[Aviso] Género no capturado ()", IF(ISNA(MATCH(L2347, Criterios!$B$123:$B$127, 0)), "Género no válido", "")), IF(OR(N2347="", N2347=""), "[Aviso] Temporada no capturada ()", IF(ISNA(MATCH(N2347, Criterios!$C$123:$C$128, 0)), "Temporada no válida", "")), IF(OR(O2347="", O2347=""), "[Aviso] Ciclo de vida no capturado ()", IF(ISNA(MATCH(O2347, Criterios!$D$123:$D$124, 0)), "Ciclo de vida no válido", ""))))</f>
        <v/>
      </c>
      <c r="AC2347" s="56" t="n"/>
      <c r="AD2347" s="51" t="n">
        <v>0</v>
      </c>
      <c r="AE2347" s="156" t="n"/>
      <c r="AF2347" s="51" t="n">
        <v>0</v>
      </c>
      <c r="AG2347" s="156" t="inlineStr">
        <is>
          <t>Catálogo existente</t>
        </is>
      </c>
      <c r="AH234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47" s="156" t="inlineStr">
        <is>
          <t>No</t>
        </is>
      </c>
      <c r="AJ2347" s="156" t="n"/>
      <c r="AK2347" s="155" t="inlineStr">
        <is>
          <t>Criterios: J [R]; G1522_Extraccion_Articulos_NetSuite_2026-09-30.xlsx: fila 58115 [S] | Shopify Stetson: producto 14783989055851 / variante 52426170204523</t>
        </is>
      </c>
      <c r="AL2347" s="58" t="n">
        <v>252.1551724</v>
      </c>
      <c r="AM2347" s="58" t="n">
        <v>560.3448276</v>
      </c>
      <c r="AN2347" s="155" t="inlineStr">
        <is>
          <t>Shopify Stetson México</t>
        </is>
      </c>
      <c r="AO2347" s="59" t="n">
        <v>0</v>
      </c>
      <c r="AP2347" s="59" t="n"/>
      <c r="AQ2347" s="59" t="n"/>
      <c r="AR2347" s="155" t="n"/>
    </row>
    <row r="2348">
      <c r="A2348" s="50" t="inlineStr">
        <is>
          <t>7506552411903</t>
        </is>
      </c>
      <c r="B2348" s="51" t="inlineStr">
        <is>
          <t>110290</t>
        </is>
      </c>
      <c r="C2348" s="156" t="inlineStr">
        <is>
          <t>Multimarca</t>
        </is>
      </c>
      <c r="D2348" s="156" t="inlineStr">
        <is>
          <t>STTS07</t>
        </is>
      </c>
      <c r="E2348" s="156" t="inlineStr">
        <is>
          <t>STTS07-M</t>
        </is>
      </c>
      <c r="F2348" s="156" t="inlineStr">
        <is>
          <t>M</t>
        </is>
      </c>
      <c r="G2348" s="156" t="inlineStr">
        <is>
          <t>M</t>
        </is>
      </c>
      <c r="H2348" s="156" t="inlineStr">
        <is>
          <t>Stetson</t>
        </is>
      </c>
      <c r="I2348" s="156" t="inlineStr">
        <is>
          <t>Playera Authentic Blanca</t>
        </is>
      </c>
      <c r="J2348" s="156" t="inlineStr">
        <is>
          <t>Ropa</t>
        </is>
      </c>
      <c r="K2348" s="156" t="inlineStr">
        <is>
          <t>Playeras</t>
        </is>
      </c>
      <c r="L2348" s="156" t="inlineStr">
        <is>
          <t>Hombre</t>
        </is>
      </c>
      <c r="M2348" s="156" t="inlineStr">
        <is>
          <t>Stetson</t>
        </is>
      </c>
      <c r="N2348" s="156" t="inlineStr">
        <is>
          <t>SS26</t>
        </is>
      </c>
      <c r="O2348" s="156" t="inlineStr">
        <is>
          <t>Seasonal</t>
        </is>
      </c>
      <c r="P2348" s="156" t="inlineStr">
        <is>
          <t>Blanco</t>
        </is>
      </c>
      <c r="Q2348" s="156" t="inlineStr">
        <is>
          <t>Regular</t>
        </is>
      </c>
      <c r="R2348" s="156" t="n"/>
      <c r="S2348" s="156" t="inlineStr">
        <is>
          <t>100% Algodón</t>
        </is>
      </c>
      <c r="T234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8" s="156" t="n"/>
      <c r="V2348" s="156" t="inlineStr">
        <is>
          <t>PZS</t>
        </is>
      </c>
      <c r="W2348" s="51" t="inlineStr">
        <is>
          <t>53103000</t>
        </is>
      </c>
      <c r="X2348" s="156" t="inlineStr">
        <is>
          <t>https://cdn.shopify.com/s/files/1/0888/3250/8267/files/STTS07-01.jpg?v=1759167205</t>
        </is>
      </c>
      <c r="Y2348" s="54" t="n">
        <v>252.1551724</v>
      </c>
      <c r="Z2348" s="54" t="n">
        <v>560.3448276</v>
      </c>
      <c r="AA2348" s="55">
        <f>IF(AND(A2348="", B2348="", E2348=""), "", IF(AB2348="", "Válido", IF((LEN(AB2348)-LEN(SUBSTITUTE(AB2348,"; ","")))/2+1&gt;(LEN(AB2348)-LEN(SUBSTITUTE(AB2348,"[Aviso]","")))/7, "Con Incidencias", "Válido")))</f>
        <v/>
      </c>
      <c r="AB2348" s="56">
        <f>IF(AND(A2348="", B2348="", E2348=""), "", TEXTJOIN("; ", TRUE, IF(OR(TRIM(A2348&amp;"")="", ISNUMBER(SEARCH("FALTA", A2348))), "UPC faltante/inválido", ""), IF(AND(A2348&lt;&gt;"", IFERROR(_xlfn.XMATCH(A2348,$A$2:$A$2509,0,1)&lt;&gt;_xlfn.XMATCH(A2348,$A$2:$A$2509,0,-1),FALSE)), "Código de barras duplicado", ""), IF(AND(E2348&lt;&gt;"", COUNTIF($E$2:$E$2509, E2348)&gt;1), "SKU duplicado", ""), IF(OR(J2348="", J2348=""), "[Aviso] División no capturada ()", IF(ISNA(MATCH(J2348, Criterios!$A$123:$A$126, 0)), "División no válida", "")), IF(OR(K2348="", K2348=""), "[Aviso] Categoría no capturada ()", IF(ISNA(MATCH(K2348, Criterios!$A$81:$A$120, 0)), "Categoría no válida", IF(AND(J2348&lt;&gt;"", J2348&lt;&gt;"", J2348&lt;&gt;VLOOKUP(K2348, Criterios!$A$81:$B$120, 2, FALSE)), "División no coincide con Categoría", ""))), IF(OR(L2348="", L2348=""), "[Aviso] Género no capturado ()", IF(ISNA(MATCH(L2348, Criterios!$B$123:$B$127, 0)), "Género no válido", "")), IF(OR(N2348="", N2348=""), "[Aviso] Temporada no capturada ()", IF(ISNA(MATCH(N2348, Criterios!$C$123:$C$128, 0)), "Temporada no válida", "")), IF(OR(O2348="", O2348=""), "[Aviso] Ciclo de vida no capturado ()", IF(ISNA(MATCH(O2348, Criterios!$D$123:$D$124, 0)), "Ciclo de vida no válido", ""))))</f>
        <v/>
      </c>
      <c r="AC2348" s="56" t="n"/>
      <c r="AD2348" s="51" t="n">
        <v>0</v>
      </c>
      <c r="AE2348" s="156" t="n"/>
      <c r="AF2348" s="51" t="n">
        <v>0</v>
      </c>
      <c r="AG2348" s="156" t="inlineStr">
        <is>
          <t>Catálogo existente</t>
        </is>
      </c>
      <c r="AH234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8" s="156" t="inlineStr">
        <is>
          <t>No</t>
        </is>
      </c>
      <c r="AJ2348" s="156" t="n"/>
      <c r="AK2348" s="155" t="inlineStr">
        <is>
          <t>Criterios: J [R]; G1522_Extraccion_Articulos_NetSuite_2026-09-30.xlsx: fila 58105 [S] | Shopify Stetson: producto 14783353291115 / variante 52422848905579</t>
        </is>
      </c>
      <c r="AL2348" s="58" t="n">
        <v>252.1551724</v>
      </c>
      <c r="AM2348" s="58" t="n">
        <v>560.3448276</v>
      </c>
      <c r="AN2348" s="155" t="inlineStr">
        <is>
          <t>Shopify Stetson México</t>
        </is>
      </c>
      <c r="AO2348" s="59" t="n">
        <v>0</v>
      </c>
      <c r="AP2348" s="59" t="n"/>
      <c r="AQ2348" s="59" t="n"/>
      <c r="AR2348" s="155" t="n"/>
    </row>
    <row r="2349">
      <c r="A2349" s="50" t="inlineStr">
        <is>
          <t>7506552411910</t>
        </is>
      </c>
      <c r="B2349" s="51" t="inlineStr">
        <is>
          <t>110291</t>
        </is>
      </c>
      <c r="C2349" s="156" t="inlineStr">
        <is>
          <t>Multimarca</t>
        </is>
      </c>
      <c r="D2349" s="156" t="inlineStr">
        <is>
          <t>STTS07</t>
        </is>
      </c>
      <c r="E2349" s="156" t="inlineStr">
        <is>
          <t>STTS07-G</t>
        </is>
      </c>
      <c r="F2349" s="156" t="inlineStr">
        <is>
          <t>L</t>
        </is>
      </c>
      <c r="G2349" s="156" t="inlineStr">
        <is>
          <t>L</t>
        </is>
      </c>
      <c r="H2349" s="156" t="inlineStr">
        <is>
          <t>Stetson</t>
        </is>
      </c>
      <c r="I2349" s="156" t="inlineStr">
        <is>
          <t>Playera Authentic Blanca</t>
        </is>
      </c>
      <c r="J2349" s="156" t="inlineStr">
        <is>
          <t>Ropa</t>
        </is>
      </c>
      <c r="K2349" s="156" t="inlineStr">
        <is>
          <t>Playeras</t>
        </is>
      </c>
      <c r="L2349" s="156" t="inlineStr">
        <is>
          <t>Hombre</t>
        </is>
      </c>
      <c r="M2349" s="156" t="inlineStr">
        <is>
          <t>Stetson</t>
        </is>
      </c>
      <c r="N2349" s="156" t="inlineStr">
        <is>
          <t>SS26</t>
        </is>
      </c>
      <c r="O2349" s="156" t="inlineStr">
        <is>
          <t>Seasonal</t>
        </is>
      </c>
      <c r="P2349" s="156" t="inlineStr">
        <is>
          <t>Blanco</t>
        </is>
      </c>
      <c r="Q2349" s="156" t="inlineStr">
        <is>
          <t>Regular</t>
        </is>
      </c>
      <c r="R2349" s="156" t="n"/>
      <c r="S2349" s="156" t="inlineStr">
        <is>
          <t>100% Algodón</t>
        </is>
      </c>
      <c r="T2349"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9" s="156" t="n"/>
      <c r="V2349" s="156" t="inlineStr">
        <is>
          <t>PZS</t>
        </is>
      </c>
      <c r="W2349" s="51" t="inlineStr">
        <is>
          <t>53103000</t>
        </is>
      </c>
      <c r="X2349" s="156" t="inlineStr">
        <is>
          <t>https://cdn.shopify.com/s/files/1/0888/3250/8267/files/STTS07-03.jpg?v=1758926017</t>
        </is>
      </c>
      <c r="Y2349" s="54" t="n">
        <v>252.1551724</v>
      </c>
      <c r="Z2349" s="54" t="n">
        <v>560.3448276</v>
      </c>
      <c r="AA2349" s="55">
        <f>IF(AND(A2349="", B2349="", E2349=""), "", IF(AB2349="", "Válido", IF((LEN(AB2349)-LEN(SUBSTITUTE(AB2349,"; ","")))/2+1&gt;(LEN(AB2349)-LEN(SUBSTITUTE(AB2349,"[Aviso]","")))/7, "Con Incidencias", "Válido")))</f>
        <v/>
      </c>
      <c r="AB2349" s="56">
        <f>IF(AND(A2349="", B2349="", E2349=""), "", TEXTJOIN("; ", TRUE, IF(OR(TRIM(A2349&amp;"")="", ISNUMBER(SEARCH("FALTA", A2349))), "UPC faltante/inválido", ""), IF(AND(A2349&lt;&gt;"", IFERROR(_xlfn.XMATCH(A2349,$A$2:$A$2509,0,1)&lt;&gt;_xlfn.XMATCH(A2349,$A$2:$A$2509,0,-1),FALSE)), "Código de barras duplicado", ""), IF(AND(E2349&lt;&gt;"", COUNTIF($E$2:$E$2509, E2349)&gt;1), "SKU duplicado", ""), IF(OR(J2349="", J2349=""), "[Aviso] División no capturada ()", IF(ISNA(MATCH(J2349, Criterios!$A$123:$A$126, 0)), "División no válida", "")), IF(OR(K2349="", K2349=""), "[Aviso] Categoría no capturada ()", IF(ISNA(MATCH(K2349, Criterios!$A$81:$A$120, 0)), "Categoría no válida", IF(AND(J2349&lt;&gt;"", J2349&lt;&gt;"", J2349&lt;&gt;VLOOKUP(K2349, Criterios!$A$81:$B$120, 2, FALSE)), "División no coincide con Categoría", ""))), IF(OR(L2349="", L2349=""), "[Aviso] Género no capturado ()", IF(ISNA(MATCH(L2349, Criterios!$B$123:$B$127, 0)), "Género no válido", "")), IF(OR(N2349="", N2349=""), "[Aviso] Temporada no capturada ()", IF(ISNA(MATCH(N2349, Criterios!$C$123:$C$128, 0)), "Temporada no válida", "")), IF(OR(O2349="", O2349=""), "[Aviso] Ciclo de vida no capturado ()", IF(ISNA(MATCH(O2349, Criterios!$D$123:$D$124, 0)), "Ciclo de vida no válido", ""))))</f>
        <v/>
      </c>
      <c r="AC2349" s="56" t="n"/>
      <c r="AD2349" s="51" t="n">
        <v>-1</v>
      </c>
      <c r="AE2349" s="156" t="n"/>
      <c r="AF2349" s="51" t="n">
        <v>0</v>
      </c>
      <c r="AG2349" s="156" t="inlineStr">
        <is>
          <t>Catálogo existente</t>
        </is>
      </c>
      <c r="AH2349"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9" s="156" t="inlineStr">
        <is>
          <t>Sí</t>
        </is>
      </c>
      <c r="AJ2349" s="156" t="inlineStr">
        <is>
          <t>STETSON AMERICAS (-1)</t>
        </is>
      </c>
      <c r="AK2349" s="155" t="inlineStr">
        <is>
          <t>Criterios: J [R]; G1522_Extraccion_Articulos_NetSuite_2026-09-30.xlsx: fila 58106 [S] | Shopify Stetson: producto 14783353291115 / variante 52422848938347</t>
        </is>
      </c>
      <c r="AL2349" s="58" t="n">
        <v>252.1551724</v>
      </c>
      <c r="AM2349" s="58" t="n">
        <v>560.3448276</v>
      </c>
      <c r="AN2349" s="155" t="inlineStr">
        <is>
          <t>Shopify Stetson México</t>
        </is>
      </c>
      <c r="AO2349" s="59" t="n">
        <v>0</v>
      </c>
      <c r="AP2349" s="59" t="n"/>
      <c r="AQ2349" s="59" t="n"/>
      <c r="AR2349" s="155" t="n"/>
    </row>
    <row r="2350">
      <c r="A2350" s="50" t="inlineStr">
        <is>
          <t>7506552411927</t>
        </is>
      </c>
      <c r="B2350" s="51" t="inlineStr">
        <is>
          <t>110292</t>
        </is>
      </c>
      <c r="C2350" s="156" t="inlineStr">
        <is>
          <t>Multimarca</t>
        </is>
      </c>
      <c r="D2350" s="156" t="inlineStr">
        <is>
          <t>STTS07</t>
        </is>
      </c>
      <c r="E2350" s="156" t="inlineStr">
        <is>
          <t>STTS07-XG</t>
        </is>
      </c>
      <c r="F2350" s="156" t="inlineStr">
        <is>
          <t>XL</t>
        </is>
      </c>
      <c r="G2350" s="156" t="inlineStr">
        <is>
          <t>XL</t>
        </is>
      </c>
      <c r="H2350" s="156" t="inlineStr">
        <is>
          <t>Stetson</t>
        </is>
      </c>
      <c r="I2350" s="156" t="inlineStr">
        <is>
          <t>Playera Authentic Blanca</t>
        </is>
      </c>
      <c r="J2350" s="156" t="inlineStr">
        <is>
          <t>Ropa</t>
        </is>
      </c>
      <c r="K2350" s="156" t="inlineStr">
        <is>
          <t>Playeras</t>
        </is>
      </c>
      <c r="L2350" s="156" t="inlineStr">
        <is>
          <t>Hombre</t>
        </is>
      </c>
      <c r="M2350" s="156" t="inlineStr">
        <is>
          <t>Stetson</t>
        </is>
      </c>
      <c r="N2350" s="156" t="inlineStr">
        <is>
          <t>SS26</t>
        </is>
      </c>
      <c r="O2350" s="156" t="inlineStr">
        <is>
          <t>Seasonal</t>
        </is>
      </c>
      <c r="P2350" s="156" t="inlineStr">
        <is>
          <t>Blanco</t>
        </is>
      </c>
      <c r="Q2350" s="156" t="inlineStr">
        <is>
          <t>Regular</t>
        </is>
      </c>
      <c r="R2350" s="156" t="n"/>
      <c r="S2350" s="156" t="inlineStr">
        <is>
          <t>100% Algodón</t>
        </is>
      </c>
      <c r="T2350"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50" s="156" t="n"/>
      <c r="V2350" s="156" t="inlineStr">
        <is>
          <t>PZS</t>
        </is>
      </c>
      <c r="W2350" s="51" t="inlineStr">
        <is>
          <t>53103000</t>
        </is>
      </c>
      <c r="X2350" s="156" t="inlineStr">
        <is>
          <t>https://cdn.shopify.com/s/files/1/0888/3250/8267/files/STTS07-02.jpg?v=1759167205</t>
        </is>
      </c>
      <c r="Y2350" s="54" t="n">
        <v>252.1551724</v>
      </c>
      <c r="Z2350" s="54" t="n">
        <v>560.3448276</v>
      </c>
      <c r="AA2350" s="55">
        <f>IF(AND(A2350="", B2350="", E2350=""), "", IF(AB2350="", "Válido", IF((LEN(AB2350)-LEN(SUBSTITUTE(AB2350,"; ","")))/2+1&gt;(LEN(AB2350)-LEN(SUBSTITUTE(AB2350,"[Aviso]","")))/7, "Con Incidencias", "Válido")))</f>
        <v/>
      </c>
      <c r="AB2350" s="56">
        <f>IF(AND(A2350="", B2350="", E2350=""), "", TEXTJOIN("; ", TRUE, IF(OR(TRIM(A2350&amp;"")="", ISNUMBER(SEARCH("FALTA", A2350))), "UPC faltante/inválido", ""), IF(AND(A2350&lt;&gt;"", IFERROR(_xlfn.XMATCH(A2350,$A$2:$A$2509,0,1)&lt;&gt;_xlfn.XMATCH(A2350,$A$2:$A$2509,0,-1),FALSE)), "Código de barras duplicado", ""), IF(AND(E2350&lt;&gt;"", COUNTIF($E$2:$E$2509, E2350)&gt;1), "SKU duplicado", ""), IF(OR(J2350="", J2350=""), "[Aviso] División no capturada ()", IF(ISNA(MATCH(J2350, Criterios!$A$123:$A$126, 0)), "División no válida", "")), IF(OR(K2350="", K2350=""), "[Aviso] Categoría no capturada ()", IF(ISNA(MATCH(K2350, Criterios!$A$81:$A$120, 0)), "Categoría no válida", IF(AND(J2350&lt;&gt;"", J2350&lt;&gt;"", J2350&lt;&gt;VLOOKUP(K2350, Criterios!$A$81:$B$120, 2, FALSE)), "División no coincide con Categoría", ""))), IF(OR(L2350="", L2350=""), "[Aviso] Género no capturado ()", IF(ISNA(MATCH(L2350, Criterios!$B$123:$B$127, 0)), "Género no válido", "")), IF(OR(N2350="", N2350=""), "[Aviso] Temporada no capturada ()", IF(ISNA(MATCH(N2350, Criterios!$C$123:$C$128, 0)), "Temporada no válida", "")), IF(OR(O2350="", O2350=""), "[Aviso] Ciclo de vida no capturado ()", IF(ISNA(MATCH(O2350, Criterios!$D$123:$D$124, 0)), "Ciclo de vida no válido", ""))))</f>
        <v/>
      </c>
      <c r="AC2350" s="56" t="n"/>
      <c r="AD2350" s="51" t="n">
        <v>0</v>
      </c>
      <c r="AE2350" s="156" t="n"/>
      <c r="AF2350" s="51" t="n">
        <v>0</v>
      </c>
      <c r="AG2350" s="156" t="inlineStr">
        <is>
          <t>Catálogo existente</t>
        </is>
      </c>
      <c r="AH2350"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50" s="156" t="inlineStr">
        <is>
          <t>No</t>
        </is>
      </c>
      <c r="AJ2350" s="156" t="n"/>
      <c r="AK2350" s="155" t="inlineStr">
        <is>
          <t>Criterios: J [R]; G1522_Extraccion_Articulos_NetSuite_2026-09-30.xlsx: fila 58107 [S] | Shopify Stetson: producto 14783353291115 / variante 52422848971115</t>
        </is>
      </c>
      <c r="AL2350" s="58" t="n">
        <v>252.1551724</v>
      </c>
      <c r="AM2350" s="58" t="n">
        <v>560.3448276</v>
      </c>
      <c r="AN2350" s="155" t="inlineStr">
        <is>
          <t>Shopify Stetson México</t>
        </is>
      </c>
      <c r="AO2350" s="59" t="n">
        <v>0</v>
      </c>
      <c r="AP2350" s="59" t="n"/>
      <c r="AQ2350" s="59" t="n"/>
      <c r="AR2350" s="155" t="n"/>
    </row>
    <row r="2351">
      <c r="A2351" s="50" t="inlineStr">
        <is>
          <t>7506552412696</t>
        </is>
      </c>
      <c r="B2351" s="51" t="inlineStr">
        <is>
          <t>110273</t>
        </is>
      </c>
      <c r="C2351" s="156" t="inlineStr">
        <is>
          <t>Multimarca</t>
        </is>
      </c>
      <c r="D2351" s="156" t="inlineStr">
        <is>
          <t>STS50</t>
        </is>
      </c>
      <c r="E2351" s="156" t="inlineStr">
        <is>
          <t>STS50</t>
        </is>
      </c>
      <c r="F2351" s="156" t="inlineStr">
        <is>
          <t>Talla única</t>
        </is>
      </c>
      <c r="G2351" s="156" t="inlineStr">
        <is>
          <t>One Size</t>
        </is>
      </c>
      <c r="H2351" s="156" t="inlineStr">
        <is>
          <t>Stetson</t>
        </is>
      </c>
      <c r="I2351" s="156" t="inlineStr">
        <is>
          <t>Gorra Stetson 50</t>
        </is>
      </c>
      <c r="J2351" s="156" t="inlineStr">
        <is>
          <t>Accesorios</t>
        </is>
      </c>
      <c r="K2351" s="156" t="inlineStr">
        <is>
          <t>Gorras</t>
        </is>
      </c>
      <c r="L2351" s="156" t="inlineStr">
        <is>
          <t>Hombre</t>
        </is>
      </c>
      <c r="M2351" s="156" t="inlineStr">
        <is>
          <t>Stetson</t>
        </is>
      </c>
      <c r="N2351" s="156" t="inlineStr">
        <is>
          <t>SS26</t>
        </is>
      </c>
      <c r="O2351" s="156" t="inlineStr">
        <is>
          <t>Seasonal</t>
        </is>
      </c>
      <c r="P2351" s="156" t="n"/>
      <c r="Q2351" s="156" t="n"/>
      <c r="R2351" s="156" t="n"/>
      <c r="S2351" s="156" t="n"/>
      <c r="T2351" s="156" t="inlineStr">
        <is>
          <t>Gorra Stetson 50.</t>
        </is>
      </c>
      <c r="U2351" s="156" t="n"/>
      <c r="V2351" s="156" t="inlineStr">
        <is>
          <t>PZS</t>
        </is>
      </c>
      <c r="W2351" s="51" t="inlineStr">
        <is>
          <t>53102516</t>
        </is>
      </c>
      <c r="X2351" s="156" t="n"/>
      <c r="Y2351" s="54" t="n">
        <v>310.3448276</v>
      </c>
      <c r="Z2351" s="54" t="n">
        <v>689.6551724</v>
      </c>
      <c r="AA2351" s="55">
        <f>IF(AND(A2351="", B2351="", E2351=""), "", IF(AB2351="", "Válido", IF((LEN(AB2351)-LEN(SUBSTITUTE(AB2351,"; ","")))/2+1&gt;(LEN(AB2351)-LEN(SUBSTITUTE(AB2351,"[Aviso]","")))/7, "Con Incidencias", "Válido")))</f>
        <v/>
      </c>
      <c r="AB2351" s="56">
        <f>IF(AND(A2351="", B2351="", E2351=""), "", TEXTJOIN("; ", TRUE, IF(OR(TRIM(A2351&amp;"")="", ISNUMBER(SEARCH("FALTA", A2351))), "UPC faltante/inválido", ""), IF(AND(A2351&lt;&gt;"", IFERROR(_xlfn.XMATCH(A2351,$A$2:$A$2509,0,1)&lt;&gt;_xlfn.XMATCH(A2351,$A$2:$A$2509,0,-1),FALSE)), "Código de barras duplicado", ""), IF(AND(E2351&lt;&gt;"", COUNTIF($E$2:$E$2509, E2351)&gt;1), "SKU duplicado", ""), IF(OR(J2351="", J2351=""), "[Aviso] División no capturada ()", IF(ISNA(MATCH(J2351, Criterios!$A$123:$A$126, 0)), "División no válida", "")), IF(OR(K2351="", K2351=""), "[Aviso] Categoría no capturada ()", IF(ISNA(MATCH(K2351, Criterios!$A$81:$A$120, 0)), "Categoría no válida", IF(AND(J2351&lt;&gt;"", J2351&lt;&gt;"", J2351&lt;&gt;VLOOKUP(K2351, Criterios!$A$81:$B$120, 2, FALSE)), "División no coincide con Categoría", ""))), IF(OR(L2351="", L2351=""), "[Aviso] Género no capturado ()", IF(ISNA(MATCH(L2351, Criterios!$B$123:$B$127, 0)), "Género no válido", "")), IF(OR(N2351="", N2351=""), "[Aviso] Temporada no capturada ()", IF(ISNA(MATCH(N2351, Criterios!$C$123:$C$128, 0)), "Temporada no válida", "")), IF(OR(O2351="", O2351=""), "[Aviso] Ciclo de vida no capturado ()", IF(ISNA(MATCH(O2351, Criterios!$D$123:$D$124, 0)), "Ciclo de vida no válido", ""))))</f>
        <v/>
      </c>
      <c r="AC2351" s="56" t="n"/>
      <c r="AD2351" s="51" t="n">
        <v>-2</v>
      </c>
      <c r="AE2351" s="156" t="n"/>
      <c r="AF2351" s="51" t="n">
        <v>0</v>
      </c>
      <c r="AG2351" s="156" t="inlineStr">
        <is>
          <t>Catálogo existente</t>
        </is>
      </c>
      <c r="AH2351"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1" s="156" t="inlineStr">
        <is>
          <t>Sí</t>
        </is>
      </c>
      <c r="AJ2351" s="156" t="inlineStr">
        <is>
          <t>STETSON AMERICAS (-2)</t>
        </is>
      </c>
      <c r="AK2351" s="155" t="inlineStr">
        <is>
          <t>Criterios: I [Q] | Criterios: J [R] | Shopify Stetson: producto 15056329179499 / variante 53357913112939</t>
        </is>
      </c>
      <c r="AL2351" s="58" t="n">
        <v>310.3448276</v>
      </c>
      <c r="AM2351" s="58" t="n">
        <v>689.6551724</v>
      </c>
      <c r="AN2351" s="155" t="inlineStr">
        <is>
          <t>Shopify Stetson México</t>
        </is>
      </c>
      <c r="AO2351" s="59" t="n">
        <v>1</v>
      </c>
      <c r="AP2351" s="59" t="n"/>
      <c r="AQ2351" s="59" t="n"/>
      <c r="AR2351" s="155" t="inlineStr">
        <is>
          <t>Shopify Stetson México › Stetson Americas: 1</t>
        </is>
      </c>
    </row>
    <row r="2352">
      <c r="A2352" s="50" t="inlineStr">
        <is>
          <t>7506552412702</t>
        </is>
      </c>
      <c r="B2352" s="51" t="inlineStr">
        <is>
          <t>110274</t>
        </is>
      </c>
      <c r="C2352" s="156" t="inlineStr">
        <is>
          <t>Multimarca</t>
        </is>
      </c>
      <c r="D2352" s="156" t="inlineStr">
        <is>
          <t>STS51</t>
        </is>
      </c>
      <c r="E2352" s="156" t="inlineStr">
        <is>
          <t>STS51</t>
        </is>
      </c>
      <c r="F2352" s="156" t="inlineStr">
        <is>
          <t>Talla única</t>
        </is>
      </c>
      <c r="G2352" s="156" t="inlineStr">
        <is>
          <t>One Size</t>
        </is>
      </c>
      <c r="H2352" s="156" t="inlineStr">
        <is>
          <t>Stetson</t>
        </is>
      </c>
      <c r="I2352" s="156" t="inlineStr">
        <is>
          <t>Gorra Stetson 51</t>
        </is>
      </c>
      <c r="J2352" s="156" t="inlineStr">
        <is>
          <t>Accesorios</t>
        </is>
      </c>
      <c r="K2352" s="156" t="inlineStr">
        <is>
          <t>Gorras</t>
        </is>
      </c>
      <c r="L2352" s="156" t="inlineStr">
        <is>
          <t>Hombre</t>
        </is>
      </c>
      <c r="M2352" s="156" t="inlineStr">
        <is>
          <t>Stetson</t>
        </is>
      </c>
      <c r="N2352" s="156" t="inlineStr">
        <is>
          <t>SS26</t>
        </is>
      </c>
      <c r="O2352" s="156" t="inlineStr">
        <is>
          <t>Seasonal</t>
        </is>
      </c>
      <c r="P2352" s="156" t="n"/>
      <c r="Q2352" s="156" t="n"/>
      <c r="R2352" s="156" t="n"/>
      <c r="S2352" s="156" t="n"/>
      <c r="T2352" s="156" t="inlineStr">
        <is>
          <t>Gorra Stetson 51.</t>
        </is>
      </c>
      <c r="U2352" s="156" t="n"/>
      <c r="V2352" s="156" t="inlineStr">
        <is>
          <t>PZS</t>
        </is>
      </c>
      <c r="W2352" s="51" t="inlineStr">
        <is>
          <t>53102516</t>
        </is>
      </c>
      <c r="X2352" s="156" t="n"/>
      <c r="Y2352" s="54" t="n">
        <v>310.3448276</v>
      </c>
      <c r="Z2352" s="54" t="n">
        <v>689.6551724</v>
      </c>
      <c r="AA2352" s="55">
        <f>IF(AND(A2352="", B2352="", E2352=""), "", IF(AB2352="", "Válido", IF((LEN(AB2352)-LEN(SUBSTITUTE(AB2352,"; ","")))/2+1&gt;(LEN(AB2352)-LEN(SUBSTITUTE(AB2352,"[Aviso]","")))/7, "Con Incidencias", "Válido")))</f>
        <v/>
      </c>
      <c r="AB2352" s="56">
        <f>IF(AND(A2352="", B2352="", E2352=""), "", TEXTJOIN("; ", TRUE, IF(OR(TRIM(A2352&amp;"")="", ISNUMBER(SEARCH("FALTA", A2352))), "UPC faltante/inválido", ""), IF(AND(A2352&lt;&gt;"", IFERROR(_xlfn.XMATCH(A2352,$A$2:$A$2509,0,1)&lt;&gt;_xlfn.XMATCH(A2352,$A$2:$A$2509,0,-1),FALSE)), "Código de barras duplicado", ""), IF(AND(E2352&lt;&gt;"", COUNTIF($E$2:$E$2509, E2352)&gt;1), "SKU duplicado", ""), IF(OR(J2352="", J2352=""), "[Aviso] División no capturada ()", IF(ISNA(MATCH(J2352, Criterios!$A$123:$A$126, 0)), "División no válida", "")), IF(OR(K2352="", K2352=""), "[Aviso] Categoría no capturada ()", IF(ISNA(MATCH(K2352, Criterios!$A$81:$A$120, 0)), "Categoría no válida", IF(AND(J2352&lt;&gt;"", J2352&lt;&gt;"", J2352&lt;&gt;VLOOKUP(K2352, Criterios!$A$81:$B$120, 2, FALSE)), "División no coincide con Categoría", ""))), IF(OR(L2352="", L2352=""), "[Aviso] Género no capturado ()", IF(ISNA(MATCH(L2352, Criterios!$B$123:$B$127, 0)), "Género no válido", "")), IF(OR(N2352="", N2352=""), "[Aviso] Temporada no capturada ()", IF(ISNA(MATCH(N2352, Criterios!$C$123:$C$128, 0)), "Temporada no válida", "")), IF(OR(O2352="", O2352=""), "[Aviso] Ciclo de vida no capturado ()", IF(ISNA(MATCH(O2352, Criterios!$D$123:$D$124, 0)), "Ciclo de vida no válido", ""))))</f>
        <v/>
      </c>
      <c r="AC2352" s="56" t="n"/>
      <c r="AD2352" s="51" t="n">
        <v>0</v>
      </c>
      <c r="AE2352" s="156" t="inlineStr">
        <is>
          <t>B25 STETSON.MX (1)</t>
        </is>
      </c>
      <c r="AF2352" s="51" t="n">
        <v>1</v>
      </c>
      <c r="AG2352" s="156" t="inlineStr">
        <is>
          <t>Catálogo existente</t>
        </is>
      </c>
      <c r="AH2352" s="156" t="inlineStr">
        <is>
          <t>Revisión 29/09/2026: Campos sin respaldo: P, S, U, X | 01/10/2026: complementado desde Shopify Stetson México (match por código de barras): WB Fit, WB Silueta | 01/10/2026: Shopify Stetson México trae Género «Unisex» — se conservó el valor de Productos</t>
        </is>
      </c>
      <c r="AI2352" s="156" t="inlineStr">
        <is>
          <t>Sí</t>
        </is>
      </c>
      <c r="AJ2352" s="156" t="inlineStr">
        <is>
          <t>STETSON AMERICAS (-1)</t>
        </is>
      </c>
      <c r="AK2352" s="155" t="inlineStr">
        <is>
          <t>Criterios: I [Q] | Criterios: J [R] | Shopify Stetson: producto 15056329212267 / variante 53357913145707</t>
        </is>
      </c>
      <c r="AL2352" s="58" t="n">
        <v>310.3448276</v>
      </c>
      <c r="AM2352" s="58" t="n">
        <v>689.6551724</v>
      </c>
      <c r="AN2352" s="155" t="inlineStr">
        <is>
          <t>Shopify Stetson México</t>
        </is>
      </c>
      <c r="AO2352" s="59" t="n">
        <v>3</v>
      </c>
      <c r="AP2352" s="59" t="n"/>
      <c r="AQ2352" s="59" t="n"/>
      <c r="AR2352" s="155" t="inlineStr">
        <is>
          <t>Shopify Stetson México › Stetson México: 1 | Shopify Stetson México › Stetson Americas: 2</t>
        </is>
      </c>
    </row>
    <row r="2353">
      <c r="A2353" s="50" t="inlineStr">
        <is>
          <t>7506552412719</t>
        </is>
      </c>
      <c r="B2353" s="51" t="inlineStr">
        <is>
          <t>110275</t>
        </is>
      </c>
      <c r="C2353" s="156" t="inlineStr">
        <is>
          <t>Multimarca</t>
        </is>
      </c>
      <c r="D2353" s="156" t="inlineStr">
        <is>
          <t>STS52</t>
        </is>
      </c>
      <c r="E2353" s="156" t="inlineStr">
        <is>
          <t>STS52</t>
        </is>
      </c>
      <c r="F2353" s="156" t="inlineStr">
        <is>
          <t>Talla única</t>
        </is>
      </c>
      <c r="G2353" s="156" t="inlineStr">
        <is>
          <t>One Size</t>
        </is>
      </c>
      <c r="H2353" s="156" t="inlineStr">
        <is>
          <t>Stetson</t>
        </is>
      </c>
      <c r="I2353" s="156" t="inlineStr">
        <is>
          <t>Gorra Stetson 52</t>
        </is>
      </c>
      <c r="J2353" s="156" t="inlineStr">
        <is>
          <t>Accesorios</t>
        </is>
      </c>
      <c r="K2353" s="156" t="inlineStr">
        <is>
          <t>Gorras</t>
        </is>
      </c>
      <c r="L2353" s="156" t="inlineStr">
        <is>
          <t>Hombre</t>
        </is>
      </c>
      <c r="M2353" s="156" t="inlineStr">
        <is>
          <t>Stetson</t>
        </is>
      </c>
      <c r="N2353" s="156" t="inlineStr">
        <is>
          <t>SS26</t>
        </is>
      </c>
      <c r="O2353" s="156" t="inlineStr">
        <is>
          <t>Seasonal</t>
        </is>
      </c>
      <c r="P2353" s="156" t="n"/>
      <c r="Q2353" s="156" t="n"/>
      <c r="R2353" s="156" t="n"/>
      <c r="S2353" s="156" t="n"/>
      <c r="T2353" s="156" t="inlineStr">
        <is>
          <t>Gorra Stetson 52.</t>
        </is>
      </c>
      <c r="U2353" s="156" t="n"/>
      <c r="V2353" s="156" t="inlineStr">
        <is>
          <t>PZS</t>
        </is>
      </c>
      <c r="W2353" s="51" t="inlineStr">
        <is>
          <t>53102516</t>
        </is>
      </c>
      <c r="X2353" s="156" t="n"/>
      <c r="Y2353" s="54" t="n">
        <v>310.3448276</v>
      </c>
      <c r="Z2353" s="54" t="n">
        <v>689.6551724</v>
      </c>
      <c r="AA2353" s="55">
        <f>IF(AND(A2353="", B2353="", E2353=""), "", IF(AB2353="", "Válido", IF((LEN(AB2353)-LEN(SUBSTITUTE(AB2353,"; ","")))/2+1&gt;(LEN(AB2353)-LEN(SUBSTITUTE(AB2353,"[Aviso]","")))/7, "Con Incidencias", "Válido")))</f>
        <v/>
      </c>
      <c r="AB2353" s="56">
        <f>IF(AND(A2353="", B2353="", E2353=""), "", TEXTJOIN("; ", TRUE, IF(OR(TRIM(A2353&amp;"")="", ISNUMBER(SEARCH("FALTA", A2353))), "UPC faltante/inválido", ""), IF(AND(A2353&lt;&gt;"", IFERROR(_xlfn.XMATCH(A2353,$A$2:$A$2509,0,1)&lt;&gt;_xlfn.XMATCH(A2353,$A$2:$A$2509,0,-1),FALSE)), "Código de barras duplicado", ""), IF(AND(E2353&lt;&gt;"", COUNTIF($E$2:$E$2509, E2353)&gt;1), "SKU duplicado", ""), IF(OR(J2353="", J2353=""), "[Aviso] División no capturada ()", IF(ISNA(MATCH(J2353, Criterios!$A$123:$A$126, 0)), "División no válida", "")), IF(OR(K2353="", K2353=""), "[Aviso] Categoría no capturada ()", IF(ISNA(MATCH(K2353, Criterios!$A$81:$A$120, 0)), "Categoría no válida", IF(AND(J2353&lt;&gt;"", J2353&lt;&gt;"", J2353&lt;&gt;VLOOKUP(K2353, Criterios!$A$81:$B$120, 2, FALSE)), "División no coincide con Categoría", ""))), IF(OR(L2353="", L2353=""), "[Aviso] Género no capturado ()", IF(ISNA(MATCH(L2353, Criterios!$B$123:$B$127, 0)), "Género no válido", "")), IF(OR(N2353="", N2353=""), "[Aviso] Temporada no capturada ()", IF(ISNA(MATCH(N2353, Criterios!$C$123:$C$128, 0)), "Temporada no válida", "")), IF(OR(O2353="", O2353=""), "[Aviso] Ciclo de vida no capturado ()", IF(ISNA(MATCH(O2353, Criterios!$D$123:$D$124, 0)), "Ciclo de vida no válido", ""))))</f>
        <v/>
      </c>
      <c r="AC2353" s="56" t="n"/>
      <c r="AD2353" s="51" t="n">
        <v>-1</v>
      </c>
      <c r="AE2353" s="156" t="n"/>
      <c r="AF2353" s="51" t="n">
        <v>0</v>
      </c>
      <c r="AG2353" s="156" t="inlineStr">
        <is>
          <t>Catálogo existente</t>
        </is>
      </c>
      <c r="AH2353"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3" s="156" t="inlineStr">
        <is>
          <t>Sí</t>
        </is>
      </c>
      <c r="AJ2353" s="156" t="inlineStr">
        <is>
          <t>STETSON AMERICAS (-1)</t>
        </is>
      </c>
      <c r="AK2353" s="155" t="inlineStr">
        <is>
          <t>Criterios: I [Q] | Criterios: J [R] | Shopify Stetson: producto 15056329245035 / variante 53357913178475</t>
        </is>
      </c>
      <c r="AL2353" s="58" t="n">
        <v>310.3448276</v>
      </c>
      <c r="AM2353" s="58" t="n">
        <v>689.6551724</v>
      </c>
      <c r="AN2353" s="155" t="inlineStr">
        <is>
          <t>Shopify Stetson México</t>
        </is>
      </c>
      <c r="AO2353" s="59" t="n">
        <v>1</v>
      </c>
      <c r="AP2353" s="59" t="n"/>
      <c r="AQ2353" s="59" t="n"/>
      <c r="AR2353" s="155" t="inlineStr">
        <is>
          <t>Shopify Stetson México › Stetson Americas: 1</t>
        </is>
      </c>
    </row>
    <row r="2354">
      <c r="A2354" s="50" t="inlineStr">
        <is>
          <t>7506552412726</t>
        </is>
      </c>
      <c r="B2354" s="51" t="inlineStr">
        <is>
          <t>110276</t>
        </is>
      </c>
      <c r="C2354" s="156" t="inlineStr">
        <is>
          <t>Multimarca</t>
        </is>
      </c>
      <c r="D2354" s="156" t="inlineStr">
        <is>
          <t>STS53</t>
        </is>
      </c>
      <c r="E2354" s="156" t="inlineStr">
        <is>
          <t>STS53</t>
        </is>
      </c>
      <c r="F2354" s="156" t="inlineStr">
        <is>
          <t>Talla única</t>
        </is>
      </c>
      <c r="G2354" s="156" t="inlineStr">
        <is>
          <t>One Size</t>
        </is>
      </c>
      <c r="H2354" s="156" t="inlineStr">
        <is>
          <t>Stetson</t>
        </is>
      </c>
      <c r="I2354" s="156" t="inlineStr">
        <is>
          <t>Gorra Stetson 53</t>
        </is>
      </c>
      <c r="J2354" s="156" t="inlineStr">
        <is>
          <t>Accesorios</t>
        </is>
      </c>
      <c r="K2354" s="156" t="inlineStr">
        <is>
          <t>Gorras</t>
        </is>
      </c>
      <c r="L2354" s="156" t="inlineStr">
        <is>
          <t>Hombre</t>
        </is>
      </c>
      <c r="M2354" s="156" t="inlineStr">
        <is>
          <t>Stetson</t>
        </is>
      </c>
      <c r="N2354" s="156" t="inlineStr">
        <is>
          <t>SS26</t>
        </is>
      </c>
      <c r="O2354" s="156" t="inlineStr">
        <is>
          <t>Seasonal</t>
        </is>
      </c>
      <c r="P2354" s="156" t="n"/>
      <c r="Q2354" s="156" t="n"/>
      <c r="R2354" s="156" t="n"/>
      <c r="S2354" s="156" t="n"/>
      <c r="T2354" s="156" t="n"/>
      <c r="U2354" s="156" t="n"/>
      <c r="V2354" s="156" t="inlineStr">
        <is>
          <t>PZS</t>
        </is>
      </c>
      <c r="W2354" s="51" t="inlineStr">
        <is>
          <t>53102516</t>
        </is>
      </c>
      <c r="X2354" s="156" t="n"/>
      <c r="Y2354" s="54" t="n">
        <v>310.3448276</v>
      </c>
      <c r="Z2354" s="54" t="n">
        <v>689.6551724</v>
      </c>
      <c r="AA2354" s="55">
        <f>IF(AND(A2354="", B2354="", E2354=""), "", IF(AB2354="", "Válido", IF((LEN(AB2354)-LEN(SUBSTITUTE(AB2354,"; ","")))/2+1&gt;(LEN(AB2354)-LEN(SUBSTITUTE(AB2354,"[Aviso]","")))/7, "Con Incidencias", "Válido")))</f>
        <v/>
      </c>
      <c r="AB2354" s="56">
        <f>IF(AND(A2354="", B2354="", E2354=""), "", TEXTJOIN("; ", TRUE, IF(OR(TRIM(A2354&amp;"")="", ISNUMBER(SEARCH("FALTA", A2354))), "UPC faltante/inválido", ""), IF(AND(A2354&lt;&gt;"", IFERROR(_xlfn.XMATCH(A2354,$A$2:$A$2509,0,1)&lt;&gt;_xlfn.XMATCH(A2354,$A$2:$A$2509,0,-1),FALSE)), "Código de barras duplicado", ""), IF(AND(E2354&lt;&gt;"", COUNTIF($E$2:$E$2509, E2354)&gt;1), "SKU duplicado", ""), IF(OR(J2354="", J2354=""), "[Aviso] División no capturada ()", IF(ISNA(MATCH(J2354, Criterios!$A$123:$A$126, 0)), "División no válida", "")), IF(OR(K2354="", K2354=""), "[Aviso] Categoría no capturada ()", IF(ISNA(MATCH(K2354, Criterios!$A$81:$A$120, 0)), "Categoría no válida", IF(AND(J2354&lt;&gt;"", J2354&lt;&gt;"", J2354&lt;&gt;VLOOKUP(K2354, Criterios!$A$81:$B$120, 2, FALSE)), "División no coincide con Categoría", ""))), IF(OR(L2354="", L2354=""), "[Aviso] Género no capturado ()", IF(ISNA(MATCH(L2354, Criterios!$B$123:$B$127, 0)), "Género no válido", "")), IF(OR(N2354="", N2354=""), "[Aviso] Temporada no capturada ()", IF(ISNA(MATCH(N2354, Criterios!$C$123:$C$128, 0)), "Temporada no válida", "")), IF(OR(O2354="", O2354=""), "[Aviso] Ciclo de vida no capturado ()", IF(ISNA(MATCH(O2354, Criterios!$D$123:$D$124, 0)), "Ciclo de vida no válido", ""))))</f>
        <v/>
      </c>
      <c r="AC2354" s="56" t="n"/>
      <c r="AD2354" s="51" t="n">
        <v>0</v>
      </c>
      <c r="AE2354" s="156" t="n"/>
      <c r="AF2354" s="51" t="n">
        <v>0</v>
      </c>
      <c r="AG2354" s="156" t="inlineStr">
        <is>
          <t>Catálogo existente</t>
        </is>
      </c>
      <c r="AH2354" s="156" t="inlineStr">
        <is>
          <t>Revisión 29/09/2026: Campos sin respaldo: P, S, U, X | 01/10/2026: complementado desde Shopify Stetson México (match por código de barras): WB Fit, WB Silueta | 01/10/2026: Shopify Stetson México trae Género «Unisex» — se conservó el valor de Productos</t>
        </is>
      </c>
      <c r="AI2354" s="156" t="inlineStr">
        <is>
          <t>No</t>
        </is>
      </c>
      <c r="AJ2354" s="156" t="n"/>
      <c r="AK2354" s="155" t="inlineStr">
        <is>
          <t>Criterios: I [Q] | Criterios: J [R] | Descripción del registro fuente [T] | Shopify Stetson: producto 15069733192043 / variante 53413006967147</t>
        </is>
      </c>
      <c r="AL2354" s="58" t="n">
        <v>310.3448276</v>
      </c>
      <c r="AM2354" s="58" t="n">
        <v>689.6551724</v>
      </c>
      <c r="AN2354" s="155" t="inlineStr">
        <is>
          <t>Shopify Stetson México</t>
        </is>
      </c>
      <c r="AO2354" s="59" t="n">
        <v>0</v>
      </c>
      <c r="AP2354" s="59" t="n"/>
      <c r="AQ2354" s="59" t="n"/>
      <c r="AR2354" s="155" t="n"/>
    </row>
    <row r="2355">
      <c r="A2355" s="50" t="inlineStr">
        <is>
          <t>7506552412733</t>
        </is>
      </c>
      <c r="B2355" s="51" t="inlineStr">
        <is>
          <t>110277</t>
        </is>
      </c>
      <c r="C2355" s="156" t="inlineStr">
        <is>
          <t>Multimarca</t>
        </is>
      </c>
      <c r="D2355" s="156" t="inlineStr">
        <is>
          <t>STS54</t>
        </is>
      </c>
      <c r="E2355" s="156" t="inlineStr">
        <is>
          <t>STS54</t>
        </is>
      </c>
      <c r="F2355" s="156" t="inlineStr">
        <is>
          <t>Talla única</t>
        </is>
      </c>
      <c r="G2355" s="156" t="inlineStr">
        <is>
          <t>One Size</t>
        </is>
      </c>
      <c r="H2355" s="156" t="inlineStr">
        <is>
          <t>Stetson</t>
        </is>
      </c>
      <c r="I2355" s="156" t="inlineStr">
        <is>
          <t>Gorra Stetson 54</t>
        </is>
      </c>
      <c r="J2355" s="156" t="inlineStr">
        <is>
          <t>Accesorios</t>
        </is>
      </c>
      <c r="K2355" s="156" t="inlineStr">
        <is>
          <t>Gorras</t>
        </is>
      </c>
      <c r="L2355" s="156" t="inlineStr">
        <is>
          <t>Hombre</t>
        </is>
      </c>
      <c r="M2355" s="156" t="inlineStr">
        <is>
          <t>Stetson</t>
        </is>
      </c>
      <c r="N2355" s="156" t="inlineStr">
        <is>
          <t>SS26</t>
        </is>
      </c>
      <c r="O2355" s="156" t="inlineStr">
        <is>
          <t>Seasonal</t>
        </is>
      </c>
      <c r="P2355" s="156" t="n"/>
      <c r="Q2355" s="156" t="n"/>
      <c r="R2355" s="156" t="n"/>
      <c r="S2355" s="156" t="n"/>
      <c r="T2355" s="156" t="n"/>
      <c r="U2355" s="156" t="n"/>
      <c r="V2355" s="156" t="inlineStr">
        <is>
          <t>PZS</t>
        </is>
      </c>
      <c r="W2355" s="51" t="inlineStr">
        <is>
          <t>53102516</t>
        </is>
      </c>
      <c r="X2355" s="156" t="n"/>
      <c r="Y2355" s="54" t="n">
        <v>310.3448276</v>
      </c>
      <c r="Z2355" s="54" t="n">
        <v>689.6551724</v>
      </c>
      <c r="AA2355" s="55">
        <f>IF(AND(A2355="", B2355="", E2355=""), "", IF(AB2355="", "Válido", IF((LEN(AB2355)-LEN(SUBSTITUTE(AB2355,"; ","")))/2+1&gt;(LEN(AB2355)-LEN(SUBSTITUTE(AB2355,"[Aviso]","")))/7, "Con Incidencias", "Válido")))</f>
        <v/>
      </c>
      <c r="AB2355" s="56">
        <f>IF(AND(A2355="", B2355="", E2355=""), "", TEXTJOIN("; ", TRUE, IF(OR(TRIM(A2355&amp;"")="", ISNUMBER(SEARCH("FALTA", A2355))), "UPC faltante/inválido", ""), IF(AND(A2355&lt;&gt;"", IFERROR(_xlfn.XMATCH(A2355,$A$2:$A$2509,0,1)&lt;&gt;_xlfn.XMATCH(A2355,$A$2:$A$2509,0,-1),FALSE)), "Código de barras duplicado", ""), IF(AND(E2355&lt;&gt;"", COUNTIF($E$2:$E$2509, E2355)&gt;1), "SKU duplicado", ""), IF(OR(J2355="", J2355=""), "[Aviso] División no capturada ()", IF(ISNA(MATCH(J2355, Criterios!$A$123:$A$126, 0)), "División no válida", "")), IF(OR(K2355="", K2355=""), "[Aviso] Categoría no capturada ()", IF(ISNA(MATCH(K2355, Criterios!$A$81:$A$120, 0)), "Categoría no válida", IF(AND(J2355&lt;&gt;"", J2355&lt;&gt;"", J2355&lt;&gt;VLOOKUP(K2355, Criterios!$A$81:$B$120, 2, FALSE)), "División no coincide con Categoría", ""))), IF(OR(L2355="", L2355=""), "[Aviso] Género no capturado ()", IF(ISNA(MATCH(L2355, Criterios!$B$123:$B$127, 0)), "Género no válido", "")), IF(OR(N2355="", N2355=""), "[Aviso] Temporada no capturada ()", IF(ISNA(MATCH(N2355, Criterios!$C$123:$C$128, 0)), "Temporada no válida", "")), IF(OR(O2355="", O2355=""), "[Aviso] Ciclo de vida no capturado ()", IF(ISNA(MATCH(O2355, Criterios!$D$123:$D$124, 0)), "Ciclo de vida no válido", ""))))</f>
        <v/>
      </c>
      <c r="AC2355" s="56" t="n"/>
      <c r="AD2355" s="51" t="n">
        <v>-1</v>
      </c>
      <c r="AE2355" s="156" t="n"/>
      <c r="AF2355" s="51" t="n">
        <v>0</v>
      </c>
      <c r="AG2355" s="156" t="inlineStr">
        <is>
          <t>Catálogo existente</t>
        </is>
      </c>
      <c r="AH2355"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5" s="156" t="inlineStr">
        <is>
          <t>Sí</t>
        </is>
      </c>
      <c r="AJ2355" s="156" t="inlineStr">
        <is>
          <t>STETSON AMERICAS (-1)</t>
        </is>
      </c>
      <c r="AK2355" s="155" t="inlineStr">
        <is>
          <t>Criterios: I [Q] | Criterios: J [R] | Descripción del registro fuente [T] | Shopify Stetson: producto 15069733552491 / variante 53413007425899</t>
        </is>
      </c>
      <c r="AL2355" s="58" t="n">
        <v>310.3448276</v>
      </c>
      <c r="AM2355" s="58" t="n">
        <v>689.6551724</v>
      </c>
      <c r="AN2355" s="155" t="inlineStr">
        <is>
          <t>Shopify Stetson México</t>
        </is>
      </c>
      <c r="AO2355" s="59" t="n">
        <v>0</v>
      </c>
      <c r="AP2355" s="59" t="n"/>
      <c r="AQ2355" s="59" t="n"/>
      <c r="AR2355" s="155" t="n"/>
    </row>
    <row r="2356">
      <c r="A2356" s="50" t="inlineStr">
        <is>
          <t>7506552412740</t>
        </is>
      </c>
      <c r="B2356" s="51" t="inlineStr">
        <is>
          <t>110278</t>
        </is>
      </c>
      <c r="C2356" s="156" t="inlineStr">
        <is>
          <t>Multimarca</t>
        </is>
      </c>
      <c r="D2356" s="156" t="inlineStr">
        <is>
          <t>STS55</t>
        </is>
      </c>
      <c r="E2356" s="156" t="inlineStr">
        <is>
          <t>STS55</t>
        </is>
      </c>
      <c r="F2356" s="156" t="inlineStr">
        <is>
          <t>Talla única</t>
        </is>
      </c>
      <c r="G2356" s="156" t="inlineStr">
        <is>
          <t>One Size</t>
        </is>
      </c>
      <c r="H2356" s="156" t="inlineStr">
        <is>
          <t>Stetson</t>
        </is>
      </c>
      <c r="I2356" s="156" t="inlineStr">
        <is>
          <t>Gorra Stetson 55</t>
        </is>
      </c>
      <c r="J2356" s="156" t="inlineStr">
        <is>
          <t>Accesorios</t>
        </is>
      </c>
      <c r="K2356" s="156" t="inlineStr">
        <is>
          <t>Gorras</t>
        </is>
      </c>
      <c r="L2356" s="156" t="inlineStr">
        <is>
          <t>Hombre</t>
        </is>
      </c>
      <c r="M2356" s="156" t="inlineStr">
        <is>
          <t>Stetson</t>
        </is>
      </c>
      <c r="N2356" s="156" t="inlineStr">
        <is>
          <t>SS26</t>
        </is>
      </c>
      <c r="O2356" s="156" t="inlineStr">
        <is>
          <t>Seasonal</t>
        </is>
      </c>
      <c r="P2356" s="156" t="n"/>
      <c r="Q2356" s="156" t="n"/>
      <c r="R2356" s="156" t="n"/>
      <c r="S2356" s="156" t="n"/>
      <c r="T2356" s="156" t="inlineStr">
        <is>
          <t>Gorra Stetson 55.</t>
        </is>
      </c>
      <c r="U2356" s="156" t="n"/>
      <c r="V2356" s="156" t="inlineStr">
        <is>
          <t>PZS</t>
        </is>
      </c>
      <c r="W2356" s="51" t="inlineStr">
        <is>
          <t>53102516</t>
        </is>
      </c>
      <c r="X2356" s="156" t="n"/>
      <c r="Y2356" s="54" t="n">
        <v>310.3448276</v>
      </c>
      <c r="Z2356" s="54" t="n">
        <v>689.6551724</v>
      </c>
      <c r="AA2356" s="55">
        <f>IF(AND(A2356="", B2356="", E2356=""), "", IF(AB2356="", "Válido", IF((LEN(AB2356)-LEN(SUBSTITUTE(AB2356,"; ","")))/2+1&gt;(LEN(AB2356)-LEN(SUBSTITUTE(AB2356,"[Aviso]","")))/7, "Con Incidencias", "Válido")))</f>
        <v/>
      </c>
      <c r="AB2356" s="56">
        <f>IF(AND(A2356="", B2356="", E2356=""), "", TEXTJOIN("; ", TRUE, IF(OR(TRIM(A2356&amp;"")="", ISNUMBER(SEARCH("FALTA", A2356))), "UPC faltante/inválido", ""), IF(AND(A2356&lt;&gt;"", IFERROR(_xlfn.XMATCH(A2356,$A$2:$A$2509,0,1)&lt;&gt;_xlfn.XMATCH(A2356,$A$2:$A$2509,0,-1),FALSE)), "Código de barras duplicado", ""), IF(AND(E2356&lt;&gt;"", COUNTIF($E$2:$E$2509, E2356)&gt;1), "SKU duplicado", ""), IF(OR(J2356="", J2356=""), "[Aviso] División no capturada ()", IF(ISNA(MATCH(J2356, Criterios!$A$123:$A$126, 0)), "División no válida", "")), IF(OR(K2356="", K2356=""), "[Aviso] Categoría no capturada ()", IF(ISNA(MATCH(K2356, Criterios!$A$81:$A$120, 0)), "Categoría no válida", IF(AND(J2356&lt;&gt;"", J2356&lt;&gt;"", J2356&lt;&gt;VLOOKUP(K2356, Criterios!$A$81:$B$120, 2, FALSE)), "División no coincide con Categoría", ""))), IF(OR(L2356="", L2356=""), "[Aviso] Género no capturado ()", IF(ISNA(MATCH(L2356, Criterios!$B$123:$B$127, 0)), "Género no válido", "")), IF(OR(N2356="", N2356=""), "[Aviso] Temporada no capturada ()", IF(ISNA(MATCH(N2356, Criterios!$C$123:$C$128, 0)), "Temporada no válida", "")), IF(OR(O2356="", O2356=""), "[Aviso] Ciclo de vida no capturado ()", IF(ISNA(MATCH(O2356, Criterios!$D$123:$D$124, 0)), "Ciclo de vida no válido", ""))))</f>
        <v/>
      </c>
      <c r="AC2356" s="56" t="n"/>
      <c r="AD2356" s="51" t="n">
        <v>0</v>
      </c>
      <c r="AE2356" s="156" t="n"/>
      <c r="AF2356" s="51" t="n">
        <v>0</v>
      </c>
      <c r="AG2356" s="156" t="inlineStr">
        <is>
          <t>Catálogo existente</t>
        </is>
      </c>
      <c r="AH2356" s="156" t="inlineStr">
        <is>
          <t>Revisión 29/09/2026: Campos sin respaldo: P, S, U, X | 01/10/2026: complementado desde Shopify Stetson México (match por código de barras): WB Fit, WB Silueta | 01/10/2026: Shopify Stetson México trae Género «Unisex» — se conservó el valor de Productos</t>
        </is>
      </c>
      <c r="AI2356" s="156" t="inlineStr">
        <is>
          <t>No</t>
        </is>
      </c>
      <c r="AJ2356" s="156" t="n"/>
      <c r="AK2356" s="155" t="inlineStr">
        <is>
          <t>Criterios: I [Q] | Criterios: J [R] | Shopify Stetson: producto 15056329277803 / variante 53357913211243</t>
        </is>
      </c>
      <c r="AL2356" s="58" t="n">
        <v>310.3448276</v>
      </c>
      <c r="AM2356" s="58" t="n">
        <v>689.6551724</v>
      </c>
      <c r="AN2356" s="155" t="inlineStr">
        <is>
          <t>Shopify Stetson México</t>
        </is>
      </c>
      <c r="AO2356" s="59" t="n">
        <v>1</v>
      </c>
      <c r="AP2356" s="59" t="n"/>
      <c r="AQ2356" s="59" t="n"/>
      <c r="AR2356" s="155" t="inlineStr">
        <is>
          <t>Shopify Stetson México › Stetson Americas: 1</t>
        </is>
      </c>
    </row>
    <row r="2357">
      <c r="A2357" s="50" t="inlineStr">
        <is>
          <t>7506552412757</t>
        </is>
      </c>
      <c r="B2357" s="51" t="inlineStr">
        <is>
          <t>110279</t>
        </is>
      </c>
      <c r="C2357" s="156" t="inlineStr">
        <is>
          <t>Multimarca</t>
        </is>
      </c>
      <c r="D2357" s="156" t="inlineStr">
        <is>
          <t>STS56</t>
        </is>
      </c>
      <c r="E2357" s="156" t="inlineStr">
        <is>
          <t>STS56</t>
        </is>
      </c>
      <c r="F2357" s="156" t="inlineStr">
        <is>
          <t>Talla única</t>
        </is>
      </c>
      <c r="G2357" s="156" t="inlineStr">
        <is>
          <t>One Size</t>
        </is>
      </c>
      <c r="H2357" s="156" t="inlineStr">
        <is>
          <t>Stetson</t>
        </is>
      </c>
      <c r="I2357" s="156" t="inlineStr">
        <is>
          <t>Gorra Stetson 56</t>
        </is>
      </c>
      <c r="J2357" s="156" t="inlineStr">
        <is>
          <t>Accesorios</t>
        </is>
      </c>
      <c r="K2357" s="156" t="inlineStr">
        <is>
          <t>Gorras</t>
        </is>
      </c>
      <c r="L2357" s="156" t="inlineStr">
        <is>
          <t>Hombre</t>
        </is>
      </c>
      <c r="M2357" s="156" t="inlineStr">
        <is>
          <t>Stetson</t>
        </is>
      </c>
      <c r="N2357" s="156" t="inlineStr">
        <is>
          <t>SS26</t>
        </is>
      </c>
      <c r="O2357" s="156" t="inlineStr">
        <is>
          <t>Seasonal</t>
        </is>
      </c>
      <c r="P2357" s="156" t="n"/>
      <c r="Q2357" s="156" t="n"/>
      <c r="R2357" s="156" t="n"/>
      <c r="S2357" s="156" t="n"/>
      <c r="T2357" s="156" t="inlineStr">
        <is>
          <t>Gorra Stetson 56.</t>
        </is>
      </c>
      <c r="U2357" s="156" t="n"/>
      <c r="V2357" s="156" t="inlineStr">
        <is>
          <t>PZS</t>
        </is>
      </c>
      <c r="W2357" s="51" t="inlineStr">
        <is>
          <t>53102516</t>
        </is>
      </c>
      <c r="X2357" s="156" t="n"/>
      <c r="Y2357" s="54" t="n">
        <v>310.3448276</v>
      </c>
      <c r="Z2357" s="54" t="n">
        <v>689.6551724</v>
      </c>
      <c r="AA2357" s="55">
        <f>IF(AND(A2357="", B2357="", E2357=""), "", IF(AB2357="", "Válido", IF((LEN(AB2357)-LEN(SUBSTITUTE(AB2357,"; ","")))/2+1&gt;(LEN(AB2357)-LEN(SUBSTITUTE(AB2357,"[Aviso]","")))/7, "Con Incidencias", "Válido")))</f>
        <v/>
      </c>
      <c r="AB2357" s="56">
        <f>IF(AND(A2357="", B2357="", E2357=""), "", TEXTJOIN("; ", TRUE, IF(OR(TRIM(A2357&amp;"")="", ISNUMBER(SEARCH("FALTA", A2357))), "UPC faltante/inválido", ""), IF(AND(A2357&lt;&gt;"", IFERROR(_xlfn.XMATCH(A2357,$A$2:$A$2509,0,1)&lt;&gt;_xlfn.XMATCH(A2357,$A$2:$A$2509,0,-1),FALSE)), "Código de barras duplicado", ""), IF(AND(E2357&lt;&gt;"", COUNTIF($E$2:$E$2509, E2357)&gt;1), "SKU duplicado", ""), IF(OR(J2357="", J2357=""), "[Aviso] División no capturada ()", IF(ISNA(MATCH(J2357, Criterios!$A$123:$A$126, 0)), "División no válida", "")), IF(OR(K2357="", K2357=""), "[Aviso] Categoría no capturada ()", IF(ISNA(MATCH(K2357, Criterios!$A$81:$A$120, 0)), "Categoría no válida", IF(AND(J2357&lt;&gt;"", J2357&lt;&gt;"", J2357&lt;&gt;VLOOKUP(K2357, Criterios!$A$81:$B$120, 2, FALSE)), "División no coincide con Categoría", ""))), IF(OR(L2357="", L2357=""), "[Aviso] Género no capturado ()", IF(ISNA(MATCH(L2357, Criterios!$B$123:$B$127, 0)), "Género no válido", "")), IF(OR(N2357="", N2357=""), "[Aviso] Temporada no capturada ()", IF(ISNA(MATCH(N2357, Criterios!$C$123:$C$128, 0)), "Temporada no válida", "")), IF(OR(O2357="", O2357=""), "[Aviso] Ciclo de vida no capturado ()", IF(ISNA(MATCH(O2357, Criterios!$D$123:$D$124, 0)), "Ciclo de vida no válido", ""))))</f>
        <v/>
      </c>
      <c r="AC2357" s="56" t="n"/>
      <c r="AD2357" s="51" t="n">
        <v>0</v>
      </c>
      <c r="AE2357" s="156" t="n"/>
      <c r="AF2357" s="51" t="n">
        <v>0</v>
      </c>
      <c r="AG2357" s="156" t="inlineStr">
        <is>
          <t>Catálogo existente</t>
        </is>
      </c>
      <c r="AH2357" s="156" t="inlineStr">
        <is>
          <t>Revisión 29/09/2026: Campos sin respaldo: P, S, U, X | 01/10/2026: complementado desde Shopify Stetson México (match por código de barras): WB Fit, WB Silueta | 01/10/2026: Shopify Stetson México trae Género «Unisex» — se conservó el valor de Productos</t>
        </is>
      </c>
      <c r="AI2357" s="156" t="inlineStr">
        <is>
          <t>No</t>
        </is>
      </c>
      <c r="AJ2357" s="156" t="n"/>
      <c r="AK2357" s="155" t="inlineStr">
        <is>
          <t>Criterios: I [Q] | Criterios: J [R] | Shopify Stetson: producto 15056329343339 / variante 53357913276779</t>
        </is>
      </c>
      <c r="AL2357" s="58" t="n">
        <v>310.3448276</v>
      </c>
      <c r="AM2357" s="58" t="n">
        <v>689.6551724</v>
      </c>
      <c r="AN2357" s="155" t="inlineStr">
        <is>
          <t>Shopify Stetson México</t>
        </is>
      </c>
      <c r="AO2357" s="59" t="n">
        <v>0</v>
      </c>
      <c r="AP2357" s="59" t="n"/>
      <c r="AQ2357" s="59" t="n"/>
      <c r="AR2357" s="155" t="n"/>
    </row>
    <row r="2358">
      <c r="A2358" s="50" t="inlineStr">
        <is>
          <t>7506552412764</t>
        </is>
      </c>
      <c r="B2358" s="51" t="inlineStr">
        <is>
          <t>110280</t>
        </is>
      </c>
      <c r="C2358" s="156" t="inlineStr">
        <is>
          <t>Multimarca</t>
        </is>
      </c>
      <c r="D2358" s="156" t="inlineStr">
        <is>
          <t>STS57</t>
        </is>
      </c>
      <c r="E2358" s="156" t="inlineStr">
        <is>
          <t>STS57</t>
        </is>
      </c>
      <c r="F2358" s="156" t="inlineStr">
        <is>
          <t>Talla única</t>
        </is>
      </c>
      <c r="G2358" s="156" t="inlineStr">
        <is>
          <t>One Size</t>
        </is>
      </c>
      <c r="H2358" s="156" t="inlineStr">
        <is>
          <t>Stetson</t>
        </is>
      </c>
      <c r="I2358" s="156" t="inlineStr">
        <is>
          <t>Gorra Stetson 57</t>
        </is>
      </c>
      <c r="J2358" s="156" t="inlineStr">
        <is>
          <t>Accesorios</t>
        </is>
      </c>
      <c r="K2358" s="156" t="inlineStr">
        <is>
          <t>Gorras</t>
        </is>
      </c>
      <c r="L2358" s="156" t="inlineStr">
        <is>
          <t>Hombre</t>
        </is>
      </c>
      <c r="M2358" s="156" t="inlineStr">
        <is>
          <t>Stetson</t>
        </is>
      </c>
      <c r="N2358" s="156" t="inlineStr">
        <is>
          <t>SS26</t>
        </is>
      </c>
      <c r="O2358" s="156" t="inlineStr">
        <is>
          <t>Seasonal</t>
        </is>
      </c>
      <c r="P2358" s="156" t="n"/>
      <c r="Q2358" s="156" t="n"/>
      <c r="R2358" s="156" t="n"/>
      <c r="S2358" s="156" t="n"/>
      <c r="T2358" s="156" t="inlineStr">
        <is>
          <t>Gorra Stetson 57.</t>
        </is>
      </c>
      <c r="U2358" s="156" t="n"/>
      <c r="V2358" s="156" t="inlineStr">
        <is>
          <t>PZS</t>
        </is>
      </c>
      <c r="W2358" s="51" t="inlineStr">
        <is>
          <t>53102516</t>
        </is>
      </c>
      <c r="X2358" s="156" t="n"/>
      <c r="Y2358" s="54" t="n">
        <v>310.3448276</v>
      </c>
      <c r="Z2358" s="54" t="n">
        <v>689.6551724</v>
      </c>
      <c r="AA2358" s="55">
        <f>IF(AND(A2358="", B2358="", E2358=""), "", IF(AB2358="", "Válido", IF((LEN(AB2358)-LEN(SUBSTITUTE(AB2358,"; ","")))/2+1&gt;(LEN(AB2358)-LEN(SUBSTITUTE(AB2358,"[Aviso]","")))/7, "Con Incidencias", "Válido")))</f>
        <v/>
      </c>
      <c r="AB2358" s="56">
        <f>IF(AND(A2358="", B2358="", E2358=""), "", TEXTJOIN("; ", TRUE, IF(OR(TRIM(A2358&amp;"")="", ISNUMBER(SEARCH("FALTA", A2358))), "UPC faltante/inválido", ""), IF(AND(A2358&lt;&gt;"", IFERROR(_xlfn.XMATCH(A2358,$A$2:$A$2509,0,1)&lt;&gt;_xlfn.XMATCH(A2358,$A$2:$A$2509,0,-1),FALSE)), "Código de barras duplicado", ""), IF(AND(E2358&lt;&gt;"", COUNTIF($E$2:$E$2509, E2358)&gt;1), "SKU duplicado", ""), IF(OR(J2358="", J2358=""), "[Aviso] División no capturada ()", IF(ISNA(MATCH(J2358, Criterios!$A$123:$A$126, 0)), "División no válida", "")), IF(OR(K2358="", K2358=""), "[Aviso] Categoría no capturada ()", IF(ISNA(MATCH(K2358, Criterios!$A$81:$A$120, 0)), "Categoría no válida", IF(AND(J2358&lt;&gt;"", J2358&lt;&gt;"", J2358&lt;&gt;VLOOKUP(K2358, Criterios!$A$81:$B$120, 2, FALSE)), "División no coincide con Categoría", ""))), IF(OR(L2358="", L2358=""), "[Aviso] Género no capturado ()", IF(ISNA(MATCH(L2358, Criterios!$B$123:$B$127, 0)), "Género no válido", "")), IF(OR(N2358="", N2358=""), "[Aviso] Temporada no capturada ()", IF(ISNA(MATCH(N2358, Criterios!$C$123:$C$128, 0)), "Temporada no válida", "")), IF(OR(O2358="", O2358=""), "[Aviso] Ciclo de vida no capturado ()", IF(ISNA(MATCH(O2358, Criterios!$D$123:$D$124, 0)), "Ciclo de vida no válido", ""))))</f>
        <v/>
      </c>
      <c r="AC2358" s="56" t="n"/>
      <c r="AD2358" s="51" t="n">
        <v>0</v>
      </c>
      <c r="AE2358" s="156" t="n"/>
      <c r="AF2358" s="51" t="n">
        <v>0</v>
      </c>
      <c r="AG2358" s="156" t="inlineStr">
        <is>
          <t>Catálogo existente</t>
        </is>
      </c>
      <c r="AH2358" s="156" t="inlineStr">
        <is>
          <t>Revisión 29/09/2026: Campos sin respaldo: P, S, U, X | 01/10/2026: complementado desde Shopify Stetson México (match por código de barras): WB Fit, WB Silueta | 01/10/2026: Shopify Stetson México trae Género «Unisex» — se conservó el valor de Productos</t>
        </is>
      </c>
      <c r="AI2358" s="156" t="inlineStr">
        <is>
          <t>No</t>
        </is>
      </c>
      <c r="AJ2358" s="156" t="n"/>
      <c r="AK2358" s="155" t="inlineStr">
        <is>
          <t>Criterios: I [Q] | Criterios: J [R] | Shopify Stetson: producto 15056329376107 / variante 53357913309547</t>
        </is>
      </c>
      <c r="AL2358" s="58" t="n">
        <v>310.3448276</v>
      </c>
      <c r="AM2358" s="58" t="n">
        <v>689.6551724</v>
      </c>
      <c r="AN2358" s="155" t="inlineStr">
        <is>
          <t>Shopify Stetson México</t>
        </is>
      </c>
      <c r="AO2358" s="59" t="n">
        <v>1</v>
      </c>
      <c r="AP2358" s="59" t="n"/>
      <c r="AQ2358" s="59" t="n"/>
      <c r="AR2358" s="155" t="inlineStr">
        <is>
          <t>Shopify Stetson México › Stetson Americas: 1</t>
        </is>
      </c>
    </row>
    <row r="2359">
      <c r="A2359" s="50" t="inlineStr">
        <is>
          <t>7506552412771</t>
        </is>
      </c>
      <c r="B2359" s="51" t="inlineStr">
        <is>
          <t>110281</t>
        </is>
      </c>
      <c r="C2359" s="156" t="inlineStr">
        <is>
          <t>Multimarca</t>
        </is>
      </c>
      <c r="D2359" s="156" t="inlineStr">
        <is>
          <t>STS58</t>
        </is>
      </c>
      <c r="E2359" s="156" t="inlineStr">
        <is>
          <t>STS58</t>
        </is>
      </c>
      <c r="F2359" s="156" t="inlineStr">
        <is>
          <t>Talla única</t>
        </is>
      </c>
      <c r="G2359" s="156" t="inlineStr">
        <is>
          <t>One Size</t>
        </is>
      </c>
      <c r="H2359" s="156" t="inlineStr">
        <is>
          <t>Stetson</t>
        </is>
      </c>
      <c r="I2359" s="156" t="inlineStr">
        <is>
          <t>Gorra Stetson 58</t>
        </is>
      </c>
      <c r="J2359" s="156" t="inlineStr">
        <is>
          <t>Accesorios</t>
        </is>
      </c>
      <c r="K2359" s="156" t="inlineStr">
        <is>
          <t>Gorras</t>
        </is>
      </c>
      <c r="L2359" s="156" t="inlineStr">
        <is>
          <t>Hombre</t>
        </is>
      </c>
      <c r="M2359" s="156" t="inlineStr">
        <is>
          <t>Stetson</t>
        </is>
      </c>
      <c r="N2359" s="156" t="inlineStr">
        <is>
          <t>SS26</t>
        </is>
      </c>
      <c r="O2359" s="156" t="inlineStr">
        <is>
          <t>Seasonal</t>
        </is>
      </c>
      <c r="P2359" s="156" t="n"/>
      <c r="Q2359" s="156" t="n"/>
      <c r="R2359" s="156" t="n"/>
      <c r="S2359" s="156" t="n"/>
      <c r="T2359" s="156" t="inlineStr">
        <is>
          <t>Gorra Stetson 58.</t>
        </is>
      </c>
      <c r="U2359" s="156" t="n"/>
      <c r="V2359" s="156" t="inlineStr">
        <is>
          <t>PZS</t>
        </is>
      </c>
      <c r="W2359" s="51" t="inlineStr">
        <is>
          <t>53102516</t>
        </is>
      </c>
      <c r="X2359" s="156" t="n"/>
      <c r="Y2359" s="54" t="n">
        <v>310.3448276</v>
      </c>
      <c r="Z2359" s="54" t="n">
        <v>689.6551724</v>
      </c>
      <c r="AA2359" s="55">
        <f>IF(AND(A2359="", B2359="", E2359=""), "", IF(AB2359="", "Válido", IF((LEN(AB2359)-LEN(SUBSTITUTE(AB2359,"; ","")))/2+1&gt;(LEN(AB2359)-LEN(SUBSTITUTE(AB2359,"[Aviso]","")))/7, "Con Incidencias", "Válido")))</f>
        <v/>
      </c>
      <c r="AB2359" s="56">
        <f>IF(AND(A2359="", B2359="", E2359=""), "", TEXTJOIN("; ", TRUE, IF(OR(TRIM(A2359&amp;"")="", ISNUMBER(SEARCH("FALTA", A2359))), "UPC faltante/inválido", ""), IF(AND(A2359&lt;&gt;"", IFERROR(_xlfn.XMATCH(A2359,$A$2:$A$2509,0,1)&lt;&gt;_xlfn.XMATCH(A2359,$A$2:$A$2509,0,-1),FALSE)), "Código de barras duplicado", ""), IF(AND(E2359&lt;&gt;"", COUNTIF($E$2:$E$2509, E2359)&gt;1), "SKU duplicado", ""), IF(OR(J2359="", J2359=""), "[Aviso] División no capturada ()", IF(ISNA(MATCH(J2359, Criterios!$A$123:$A$126, 0)), "División no válida", "")), IF(OR(K2359="", K2359=""), "[Aviso] Categoría no capturada ()", IF(ISNA(MATCH(K2359, Criterios!$A$81:$A$120, 0)), "Categoría no válida", IF(AND(J2359&lt;&gt;"", J2359&lt;&gt;"", J2359&lt;&gt;VLOOKUP(K2359, Criterios!$A$81:$B$120, 2, FALSE)), "División no coincide con Categoría", ""))), IF(OR(L2359="", L2359=""), "[Aviso] Género no capturado ()", IF(ISNA(MATCH(L2359, Criterios!$B$123:$B$127, 0)), "Género no válido", "")), IF(OR(N2359="", N2359=""), "[Aviso] Temporada no capturada ()", IF(ISNA(MATCH(N2359, Criterios!$C$123:$C$128, 0)), "Temporada no válida", "")), IF(OR(O2359="", O2359=""), "[Aviso] Ciclo de vida no capturado ()", IF(ISNA(MATCH(O2359, Criterios!$D$123:$D$124, 0)), "Ciclo de vida no válido", ""))))</f>
        <v/>
      </c>
      <c r="AC2359" s="56" t="n"/>
      <c r="AD2359" s="51" t="n">
        <v>0</v>
      </c>
      <c r="AE2359" s="156" t="n"/>
      <c r="AF2359" s="51" t="n">
        <v>0</v>
      </c>
      <c r="AG2359" s="156" t="inlineStr">
        <is>
          <t>Catálogo existente</t>
        </is>
      </c>
      <c r="AH2359" s="156" t="inlineStr">
        <is>
          <t>Revisión 29/09/2026: Campos sin respaldo: P, S, U, X | 01/10/2026: complementado desde Shopify Stetson México (match por código de barras): WB Fit, WB Silueta | 01/10/2026: Shopify Stetson México trae Género «Unisex» — se conservó el valor de Productos</t>
        </is>
      </c>
      <c r="AI2359" s="156" t="inlineStr">
        <is>
          <t>No</t>
        </is>
      </c>
      <c r="AJ2359" s="156" t="n"/>
      <c r="AK2359" s="155" t="inlineStr">
        <is>
          <t>Criterios: I [Q] | Criterios: J [R] | Shopify Stetson: producto 15056329408875 / variante 53357913342315</t>
        </is>
      </c>
      <c r="AL2359" s="58" t="n">
        <v>310.3448276</v>
      </c>
      <c r="AM2359" s="58" t="n">
        <v>689.6551724</v>
      </c>
      <c r="AN2359" s="155" t="inlineStr">
        <is>
          <t>Shopify Stetson México</t>
        </is>
      </c>
      <c r="AO2359" s="59" t="n">
        <v>0</v>
      </c>
      <c r="AP2359" s="59" t="n"/>
      <c r="AQ2359" s="59" t="n"/>
      <c r="AR2359" s="155" t="n"/>
    </row>
    <row r="2360">
      <c r="A2360" s="50" t="inlineStr">
        <is>
          <t>7506552412788</t>
        </is>
      </c>
      <c r="B2360" s="51" t="inlineStr">
        <is>
          <t>110282</t>
        </is>
      </c>
      <c r="C2360" s="156" t="inlineStr">
        <is>
          <t>Multimarca</t>
        </is>
      </c>
      <c r="D2360" s="156" t="inlineStr">
        <is>
          <t>STS59</t>
        </is>
      </c>
      <c r="E2360" s="156" t="inlineStr">
        <is>
          <t>STS59</t>
        </is>
      </c>
      <c r="F2360" s="156" t="inlineStr">
        <is>
          <t>Talla única</t>
        </is>
      </c>
      <c r="G2360" s="156" t="inlineStr">
        <is>
          <t>One Size</t>
        </is>
      </c>
      <c r="H2360" s="156" t="inlineStr">
        <is>
          <t>Stetson</t>
        </is>
      </c>
      <c r="I2360" s="156" t="inlineStr">
        <is>
          <t>Gorra Stetson 59</t>
        </is>
      </c>
      <c r="J2360" s="156" t="inlineStr">
        <is>
          <t>Accesorios</t>
        </is>
      </c>
      <c r="K2360" s="156" t="inlineStr">
        <is>
          <t>Gorras</t>
        </is>
      </c>
      <c r="L2360" s="156" t="inlineStr">
        <is>
          <t>Hombre</t>
        </is>
      </c>
      <c r="M2360" s="156" t="inlineStr">
        <is>
          <t>Stetson</t>
        </is>
      </c>
      <c r="N2360" s="156" t="inlineStr">
        <is>
          <t>SS26</t>
        </is>
      </c>
      <c r="O2360" s="156" t="inlineStr">
        <is>
          <t>Seasonal</t>
        </is>
      </c>
      <c r="P2360" s="156" t="n"/>
      <c r="Q2360" s="156" t="n"/>
      <c r="R2360" s="156" t="n"/>
      <c r="S2360" s="156" t="n"/>
      <c r="T2360" s="156" t="n"/>
      <c r="U2360" s="156" t="n"/>
      <c r="V2360" s="156" t="inlineStr">
        <is>
          <t>PZS</t>
        </is>
      </c>
      <c r="W2360" s="51" t="inlineStr">
        <is>
          <t>53102516</t>
        </is>
      </c>
      <c r="X2360" s="156" t="n"/>
      <c r="Y2360" s="54" t="n">
        <v>310.3448276</v>
      </c>
      <c r="Z2360" s="54" t="n">
        <v>689.6551724</v>
      </c>
      <c r="AA2360" s="55">
        <f>IF(AND(A2360="", B2360="", E2360=""), "", IF(AB2360="", "Válido", IF((LEN(AB2360)-LEN(SUBSTITUTE(AB2360,"; ","")))/2+1&gt;(LEN(AB2360)-LEN(SUBSTITUTE(AB2360,"[Aviso]","")))/7, "Con Incidencias", "Válido")))</f>
        <v/>
      </c>
      <c r="AB2360" s="56">
        <f>IF(AND(A2360="", B2360="", E2360=""), "", TEXTJOIN("; ", TRUE, IF(OR(TRIM(A2360&amp;"")="", ISNUMBER(SEARCH("FALTA", A2360))), "UPC faltante/inválido", ""), IF(AND(A2360&lt;&gt;"", IFERROR(_xlfn.XMATCH(A2360,$A$2:$A$2509,0,1)&lt;&gt;_xlfn.XMATCH(A2360,$A$2:$A$2509,0,-1),FALSE)), "Código de barras duplicado", ""), IF(AND(E2360&lt;&gt;"", COUNTIF($E$2:$E$2509, E2360)&gt;1), "SKU duplicado", ""), IF(OR(J2360="", J2360=""), "[Aviso] División no capturada ()", IF(ISNA(MATCH(J2360, Criterios!$A$123:$A$126, 0)), "División no válida", "")), IF(OR(K2360="", K2360=""), "[Aviso] Categoría no capturada ()", IF(ISNA(MATCH(K2360, Criterios!$A$81:$A$120, 0)), "Categoría no válida", IF(AND(J2360&lt;&gt;"", J2360&lt;&gt;"", J2360&lt;&gt;VLOOKUP(K2360, Criterios!$A$81:$B$120, 2, FALSE)), "División no coincide con Categoría", ""))), IF(OR(L2360="", L2360=""), "[Aviso] Género no capturado ()", IF(ISNA(MATCH(L2360, Criterios!$B$123:$B$127, 0)), "Género no válido", "")), IF(OR(N2360="", N2360=""), "[Aviso] Temporada no capturada ()", IF(ISNA(MATCH(N2360, Criterios!$C$123:$C$128, 0)), "Temporada no válida", "")), IF(OR(O2360="", O2360=""), "[Aviso] Ciclo de vida no capturado ()", IF(ISNA(MATCH(O2360, Criterios!$D$123:$D$124, 0)), "Ciclo de vida no válido", ""))))</f>
        <v/>
      </c>
      <c r="AC2360" s="56" t="n"/>
      <c r="AD2360" s="51" t="n">
        <v>2</v>
      </c>
      <c r="AE2360" s="156" t="inlineStr">
        <is>
          <t>B25 STETSON.MX (1); STETSON AMERICAS (1)</t>
        </is>
      </c>
      <c r="AF2360" s="51" t="n">
        <v>2</v>
      </c>
      <c r="AG2360" s="156" t="inlineStr">
        <is>
          <t>Catálogo existente</t>
        </is>
      </c>
      <c r="AH2360" s="156" t="inlineStr">
        <is>
          <t>Revisión 29/09/2026: Campos sin respaldo: P, S, U, X | 01/10/2026: complementado desde Shopify Stetson México (match por código de barras): WB Fit, WB Silueta | 01/10/2026: Shopify Stetson México trae Género «Unisex» — se conservó el valor de Productos</t>
        </is>
      </c>
      <c r="AI2360" s="156" t="inlineStr">
        <is>
          <t>No</t>
        </is>
      </c>
      <c r="AJ2360" s="156" t="n"/>
      <c r="AK2360" s="155" t="inlineStr">
        <is>
          <t>Criterios: I [Q] | Criterios: J [R] | Descripción del registro fuente [T] | Shopify Stetson: producto 15069733683563 / variante 53413007589739</t>
        </is>
      </c>
      <c r="AL2360" s="58" t="n">
        <v>310.3448276</v>
      </c>
      <c r="AM2360" s="58" t="n">
        <v>689.6551724</v>
      </c>
      <c r="AN2360" s="155" t="inlineStr">
        <is>
          <t>Shopify Stetson México</t>
        </is>
      </c>
      <c r="AO2360" s="59" t="n">
        <v>2</v>
      </c>
      <c r="AP2360" s="59" t="n"/>
      <c r="AQ2360" s="59" t="n"/>
      <c r="AR2360" s="155" t="inlineStr">
        <is>
          <t>Shopify Stetson México › Stetson México: 1 | Shopify Stetson México › Stetson Americas: 1</t>
        </is>
      </c>
    </row>
    <row r="2361">
      <c r="A2361" s="50" t="inlineStr">
        <is>
          <t>7506552412795</t>
        </is>
      </c>
      <c r="B2361" s="51" t="inlineStr">
        <is>
          <t>110283</t>
        </is>
      </c>
      <c r="C2361" s="156" t="inlineStr">
        <is>
          <t>Multimarca</t>
        </is>
      </c>
      <c r="D2361" s="156" t="inlineStr">
        <is>
          <t>STS60</t>
        </is>
      </c>
      <c r="E2361" s="156" t="inlineStr">
        <is>
          <t>STS60</t>
        </is>
      </c>
      <c r="F2361" s="156" t="inlineStr">
        <is>
          <t>Talla única</t>
        </is>
      </c>
      <c r="G2361" s="156" t="inlineStr">
        <is>
          <t>One Size</t>
        </is>
      </c>
      <c r="H2361" s="156" t="inlineStr">
        <is>
          <t>Stetson</t>
        </is>
      </c>
      <c r="I2361" s="156" t="inlineStr">
        <is>
          <t>Gorra Stetson 60</t>
        </is>
      </c>
      <c r="J2361" s="156" t="inlineStr">
        <is>
          <t>Accesorios</t>
        </is>
      </c>
      <c r="K2361" s="156" t="inlineStr">
        <is>
          <t>Gorras</t>
        </is>
      </c>
      <c r="L2361" s="156" t="inlineStr">
        <is>
          <t>Hombre</t>
        </is>
      </c>
      <c r="M2361" s="156" t="inlineStr">
        <is>
          <t>Stetson</t>
        </is>
      </c>
      <c r="N2361" s="156" t="inlineStr">
        <is>
          <t>SS26</t>
        </is>
      </c>
      <c r="O2361" s="156" t="inlineStr">
        <is>
          <t>Seasonal</t>
        </is>
      </c>
      <c r="P2361" s="156" t="n"/>
      <c r="Q2361" s="156" t="n"/>
      <c r="R2361" s="156" t="n"/>
      <c r="S2361" s="156" t="n"/>
      <c r="T2361" s="156" t="inlineStr">
        <is>
          <t>Gorra Stetson 60.</t>
        </is>
      </c>
      <c r="U2361" s="156" t="n"/>
      <c r="V2361" s="156" t="inlineStr">
        <is>
          <t>PZS</t>
        </is>
      </c>
      <c r="W2361" s="51" t="inlineStr">
        <is>
          <t>53102516</t>
        </is>
      </c>
      <c r="X2361" s="156" t="n"/>
      <c r="Y2361" s="54" t="n">
        <v>310.3448276</v>
      </c>
      <c r="Z2361" s="54" t="n">
        <v>689.6551724</v>
      </c>
      <c r="AA2361" s="55">
        <f>IF(AND(A2361="", B2361="", E2361=""), "", IF(AB2361="", "Válido", IF((LEN(AB2361)-LEN(SUBSTITUTE(AB2361,"; ","")))/2+1&gt;(LEN(AB2361)-LEN(SUBSTITUTE(AB2361,"[Aviso]","")))/7, "Con Incidencias", "Válido")))</f>
        <v/>
      </c>
      <c r="AB2361" s="56">
        <f>IF(AND(A2361="", B2361="", E2361=""), "", TEXTJOIN("; ", TRUE, IF(OR(TRIM(A2361&amp;"")="", ISNUMBER(SEARCH("FALTA", A2361))), "UPC faltante/inválido", ""), IF(AND(A2361&lt;&gt;"", IFERROR(_xlfn.XMATCH(A2361,$A$2:$A$2509,0,1)&lt;&gt;_xlfn.XMATCH(A2361,$A$2:$A$2509,0,-1),FALSE)), "Código de barras duplicado", ""), IF(AND(E2361&lt;&gt;"", COUNTIF($E$2:$E$2509, E2361)&gt;1), "SKU duplicado", ""), IF(OR(J2361="", J2361=""), "[Aviso] División no capturada ()", IF(ISNA(MATCH(J2361, Criterios!$A$123:$A$126, 0)), "División no válida", "")), IF(OR(K2361="", K2361=""), "[Aviso] Categoría no capturada ()", IF(ISNA(MATCH(K2361, Criterios!$A$81:$A$120, 0)), "Categoría no válida", IF(AND(J2361&lt;&gt;"", J2361&lt;&gt;"", J2361&lt;&gt;VLOOKUP(K2361, Criterios!$A$81:$B$120, 2, FALSE)), "División no coincide con Categoría", ""))), IF(OR(L2361="", L2361=""), "[Aviso] Género no capturado ()", IF(ISNA(MATCH(L2361, Criterios!$B$123:$B$127, 0)), "Género no válido", "")), IF(OR(N2361="", N2361=""), "[Aviso] Temporada no capturada ()", IF(ISNA(MATCH(N2361, Criterios!$C$123:$C$128, 0)), "Temporada no válida", "")), IF(OR(O2361="", O2361=""), "[Aviso] Ciclo de vida no capturado ()", IF(ISNA(MATCH(O2361, Criterios!$D$123:$D$124, 0)), "Ciclo de vida no válido", ""))))</f>
        <v/>
      </c>
      <c r="AC2361" s="56" t="n"/>
      <c r="AD2361" s="51" t="n">
        <v>-3</v>
      </c>
      <c r="AE2361" s="156" t="n"/>
      <c r="AF2361" s="51" t="n">
        <v>0</v>
      </c>
      <c r="AG2361" s="156" t="inlineStr">
        <is>
          <t>Catálogo existente</t>
        </is>
      </c>
      <c r="AH2361"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61" s="156" t="inlineStr">
        <is>
          <t>Sí</t>
        </is>
      </c>
      <c r="AJ2361" s="156" t="inlineStr">
        <is>
          <t>STETSON AMERICAS (-3)</t>
        </is>
      </c>
      <c r="AK2361" s="155" t="inlineStr">
        <is>
          <t>Criterios: I [Q] | Criterios: J [R] | Shopify Stetson: producto 15056329441643 / variante 53357913375083</t>
        </is>
      </c>
      <c r="AL2361" s="58" t="n">
        <v>310.3448276</v>
      </c>
      <c r="AM2361" s="58" t="n">
        <v>689.6551724</v>
      </c>
      <c r="AN2361" s="155" t="inlineStr">
        <is>
          <t>Shopify Stetson México</t>
        </is>
      </c>
      <c r="AO2361" s="59" t="n">
        <v>0</v>
      </c>
      <c r="AP2361" s="59" t="n"/>
      <c r="AQ2361" s="59" t="n"/>
      <c r="AR2361" s="155" t="n"/>
    </row>
    <row r="2362">
      <c r="A2362" s="50" t="inlineStr">
        <is>
          <t>7506552412801</t>
        </is>
      </c>
      <c r="B2362" s="51" t="inlineStr">
        <is>
          <t>110284</t>
        </is>
      </c>
      <c r="C2362" s="156" t="inlineStr">
        <is>
          <t>Multimarca</t>
        </is>
      </c>
      <c r="D2362" s="156" t="inlineStr">
        <is>
          <t>STS61</t>
        </is>
      </c>
      <c r="E2362" s="156" t="inlineStr">
        <is>
          <t>STS61</t>
        </is>
      </c>
      <c r="F2362" s="156" t="inlineStr">
        <is>
          <t>Talla única</t>
        </is>
      </c>
      <c r="G2362" s="156" t="inlineStr">
        <is>
          <t>One Size</t>
        </is>
      </c>
      <c r="H2362" s="156" t="inlineStr">
        <is>
          <t>Stetson</t>
        </is>
      </c>
      <c r="I2362" s="156" t="inlineStr">
        <is>
          <t>Gorra Stetson 61</t>
        </is>
      </c>
      <c r="J2362" s="156" t="inlineStr">
        <is>
          <t>Accesorios</t>
        </is>
      </c>
      <c r="K2362" s="156" t="inlineStr">
        <is>
          <t>Gorras</t>
        </is>
      </c>
      <c r="L2362" s="156" t="inlineStr">
        <is>
          <t>Hombre</t>
        </is>
      </c>
      <c r="M2362" s="156" t="inlineStr">
        <is>
          <t>Stetson</t>
        </is>
      </c>
      <c r="N2362" s="156" t="inlineStr">
        <is>
          <t>SS26</t>
        </is>
      </c>
      <c r="O2362" s="156" t="inlineStr">
        <is>
          <t>Seasonal</t>
        </is>
      </c>
      <c r="P2362" s="156" t="n"/>
      <c r="Q2362" s="156" t="n"/>
      <c r="R2362" s="156" t="n"/>
      <c r="S2362" s="156" t="n"/>
      <c r="T2362" s="156" t="inlineStr">
        <is>
          <t>Gorra Stetson 61.</t>
        </is>
      </c>
      <c r="U2362" s="156" t="n"/>
      <c r="V2362" s="156" t="inlineStr">
        <is>
          <t>PZS</t>
        </is>
      </c>
      <c r="W2362" s="51" t="inlineStr">
        <is>
          <t>53102516</t>
        </is>
      </c>
      <c r="X2362" s="156" t="n"/>
      <c r="Y2362" s="54" t="n">
        <v>310.3448276</v>
      </c>
      <c r="Z2362" s="54" t="n">
        <v>689.6551724</v>
      </c>
      <c r="AA2362" s="55">
        <f>IF(AND(A2362="", B2362="", E2362=""), "", IF(AB2362="", "Válido", IF((LEN(AB2362)-LEN(SUBSTITUTE(AB2362,"; ","")))/2+1&gt;(LEN(AB2362)-LEN(SUBSTITUTE(AB2362,"[Aviso]","")))/7, "Con Incidencias", "Válido")))</f>
        <v/>
      </c>
      <c r="AB2362" s="56">
        <f>IF(AND(A2362="", B2362="", E2362=""), "", TEXTJOIN("; ", TRUE, IF(OR(TRIM(A2362&amp;"")="", ISNUMBER(SEARCH("FALTA", A2362))), "UPC faltante/inválido", ""), IF(AND(A2362&lt;&gt;"", IFERROR(_xlfn.XMATCH(A2362,$A$2:$A$2509,0,1)&lt;&gt;_xlfn.XMATCH(A2362,$A$2:$A$2509,0,-1),FALSE)), "Código de barras duplicado", ""), IF(AND(E2362&lt;&gt;"", COUNTIF($E$2:$E$2509, E2362)&gt;1), "SKU duplicado", ""), IF(OR(J2362="", J2362=""), "[Aviso] División no capturada ()", IF(ISNA(MATCH(J2362, Criterios!$A$123:$A$126, 0)), "División no válida", "")), IF(OR(K2362="", K2362=""), "[Aviso] Categoría no capturada ()", IF(ISNA(MATCH(K2362, Criterios!$A$81:$A$120, 0)), "Categoría no válida", IF(AND(J2362&lt;&gt;"", J2362&lt;&gt;"", J2362&lt;&gt;VLOOKUP(K2362, Criterios!$A$81:$B$120, 2, FALSE)), "División no coincide con Categoría", ""))), IF(OR(L2362="", L2362=""), "[Aviso] Género no capturado ()", IF(ISNA(MATCH(L2362, Criterios!$B$123:$B$127, 0)), "Género no válido", "")), IF(OR(N2362="", N2362=""), "[Aviso] Temporada no capturada ()", IF(ISNA(MATCH(N2362, Criterios!$C$123:$C$128, 0)), "Temporada no válida", "")), IF(OR(O2362="", O2362=""), "[Aviso] Ciclo de vida no capturado ()", IF(ISNA(MATCH(O2362, Criterios!$D$123:$D$124, 0)), "Ciclo de vida no válido", ""))))</f>
        <v/>
      </c>
      <c r="AC2362" s="56" t="n"/>
      <c r="AD2362" s="51" t="n">
        <v>-3</v>
      </c>
      <c r="AE2362" s="156" t="n"/>
      <c r="AF2362" s="51" t="n">
        <v>0</v>
      </c>
      <c r="AG2362" s="156" t="inlineStr">
        <is>
          <t>Catálogo existente</t>
        </is>
      </c>
      <c r="AH2362"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62" s="156" t="inlineStr">
        <is>
          <t>Sí</t>
        </is>
      </c>
      <c r="AJ2362" s="156" t="inlineStr">
        <is>
          <t>STETSON AMERICAS (-3)</t>
        </is>
      </c>
      <c r="AK2362" s="155" t="inlineStr">
        <is>
          <t>Criterios: I [Q] | Criterios: J [R] | Shopify Stetson: producto 15056329474411 / variante 53357913407851</t>
        </is>
      </c>
      <c r="AL2362" s="58" t="n">
        <v>310.3448276</v>
      </c>
      <c r="AM2362" s="58" t="n">
        <v>689.6551724</v>
      </c>
      <c r="AN2362" s="155" t="inlineStr">
        <is>
          <t>Shopify Stetson México</t>
        </is>
      </c>
      <c r="AO2362" s="59" t="n">
        <v>0</v>
      </c>
      <c r="AP2362" s="59" t="n"/>
      <c r="AQ2362" s="59" t="n"/>
      <c r="AR2362" s="155" t="n"/>
    </row>
    <row r="2363">
      <c r="A2363" s="50" t="inlineStr">
        <is>
          <t>810023672821</t>
        </is>
      </c>
      <c r="B2363" s="51" t="inlineStr">
        <is>
          <t>112098</t>
        </is>
      </c>
      <c r="C2363" s="156" t="inlineStr">
        <is>
          <t>Multimarca</t>
        </is>
      </c>
      <c r="D2363" s="156" t="inlineStr">
        <is>
          <t>202071</t>
        </is>
      </c>
      <c r="E2363" s="156" t="inlineStr">
        <is>
          <t>202071</t>
        </is>
      </c>
      <c r="F2363" s="156" t="inlineStr">
        <is>
          <t>44 ml</t>
        </is>
      </c>
      <c r="G2363" s="156" t="inlineStr">
        <is>
          <t>1.5 fl oz</t>
        </is>
      </c>
      <c r="H2363" s="156" t="inlineStr">
        <is>
          <t>Stetson</t>
        </is>
      </c>
      <c r="I2363" s="156" t="inlineStr">
        <is>
          <t>Fragancia Stetson Black Cologne para hombre 44ml</t>
        </is>
      </c>
      <c r="J2363" s="156" t="inlineStr">
        <is>
          <t>Accesorios</t>
        </is>
      </c>
      <c r="K2363" s="156" t="inlineStr">
        <is>
          <t>Fragancias</t>
        </is>
      </c>
      <c r="L2363" s="156" t="inlineStr">
        <is>
          <t>Hombre</t>
        </is>
      </c>
      <c r="M2363" s="156" t="inlineStr">
        <is>
          <t>Stetson</t>
        </is>
      </c>
      <c r="N2363" s="156" t="inlineStr">
        <is>
          <t>SS26</t>
        </is>
      </c>
      <c r="O2363" s="156" t="inlineStr">
        <is>
          <t>Core</t>
        </is>
      </c>
      <c r="P2363" s="156" t="inlineStr">
        <is>
          <t>Negro</t>
        </is>
      </c>
      <c r="Q2363" s="156" t="n"/>
      <c r="R2363" s="156" t="n"/>
      <c r="S2363" s="156" t="inlineStr">
        <is>
          <t>Alcohol 92% Agua 5% Fragancia 3%</t>
        </is>
      </c>
      <c r="T2363" s="156" t="inlineStr">
        <is>
          <t>Fragancia Stetson Black Cologne para hombre.</t>
        </is>
      </c>
      <c r="U2363" s="156" t="inlineStr">
        <is>
          <t>Estados Unidos</t>
        </is>
      </c>
      <c r="V2363" s="156" t="inlineStr">
        <is>
          <t>PZS</t>
        </is>
      </c>
      <c r="W2363" s="51" t="inlineStr">
        <is>
          <t>53131620</t>
        </is>
      </c>
      <c r="X2363" s="156" t="inlineStr">
        <is>
          <t>https://cdn.shopify.com/s/files/1/0357/2432/9005/products/Stetson_Black_1.5_Bottle_WarmGreyBG_1x1_abdb4b26-7403-449a-8d71-e60a60a3e4c9.jpg?v=1614286123</t>
        </is>
      </c>
      <c r="Y2363" s="54" t="n">
        <v>116.375</v>
      </c>
      <c r="Z2363" s="54" t="n">
        <v>474.137931</v>
      </c>
      <c r="AA2363" s="55">
        <f>IF(AND(A2363="", B2363="", E2363=""), "", IF(AB2363="", "Válido", IF((LEN(AB2363)-LEN(SUBSTITUTE(AB2363,"; ","")))/2+1&gt;(LEN(AB2363)-LEN(SUBSTITUTE(AB2363,"[Aviso]","")))/7, "Con Incidencias", "Válido")))</f>
        <v/>
      </c>
      <c r="AB2363" s="56">
        <f>IF(AND(A2363="", B2363="", E2363=""), "", TEXTJOIN("; ", TRUE, IF(OR(TRIM(A2363&amp;"")="", ISNUMBER(SEARCH("FALTA", A2363))), "UPC faltante/inválido", ""), IF(AND(A2363&lt;&gt;"", IFERROR(_xlfn.XMATCH(A2363,$A$2:$A$2509,0,1)&lt;&gt;_xlfn.XMATCH(A2363,$A$2:$A$2509,0,-1),FALSE)), "Código de barras duplicado", ""), IF(AND(E2363&lt;&gt;"", COUNTIF($E$2:$E$2509, E2363)&gt;1), "SKU duplicado", ""), IF(OR(J2363="", J2363=""), "[Aviso] División no capturada ()", IF(ISNA(MATCH(J2363, Criterios!$A$123:$A$126, 0)), "División no válida", "")), IF(OR(K2363="", K2363=""), "[Aviso] Categoría no capturada ()", IF(ISNA(MATCH(K2363, Criterios!$A$81:$A$120, 0)), "Categoría no válida", IF(AND(J2363&lt;&gt;"", J2363&lt;&gt;"", J2363&lt;&gt;VLOOKUP(K2363, Criterios!$A$81:$B$120, 2, FALSE)), "División no coincide con Categoría", ""))), IF(OR(L2363="", L2363=""), "[Aviso] Género no capturado ()", IF(ISNA(MATCH(L2363, Criterios!$B$123:$B$127, 0)), "Género no válido", "")), IF(OR(N2363="", N2363=""), "[Aviso] Temporada no capturada ()", IF(ISNA(MATCH(N2363, Criterios!$C$123:$C$128, 0)), "Temporada no válida", "")), IF(OR(O2363="", O2363=""), "[Aviso] Ciclo de vida no capturado ()", IF(ISNA(MATCH(O2363, Criterios!$D$123:$D$124, 0)), "Ciclo de vida no válido", ""))))</f>
        <v/>
      </c>
      <c r="AC2363" s="56" t="n"/>
      <c r="AD2363" s="51" t="n">
        <v>0</v>
      </c>
      <c r="AE2363" s="156" t="n"/>
      <c r="AF2363" s="51" t="n">
        <v>0</v>
      </c>
      <c r="AG2363" s="156" t="inlineStr">
        <is>
          <t>Catálogo existente</t>
        </is>
      </c>
      <c r="AH2363" s="156" t="inlineStr">
        <is>
          <t>Revisión 29/09/2026: Campos sin respaldo: X; Auditoría NetSuite 30/09/2026: llenado desde NetSuite [S] | 01/10/2026: complementado desde Shopify Stetson México (match por código de barras): WB Fit, WB Silueta | Homologación G1522 06/10/2026: Enlace de imagen: «» → «https://cdn.shopify.com/s/files/1/0357/2432/9005/products/Stetson_Black_1.5_Bottle_WarmGreyBG_1x1_abdb4b26-7403-449a-8d71-e60a60a3e4c9.jpg?v=1614286123» (Completado por investigación en línea)</t>
        </is>
      </c>
      <c r="AI2363" s="156" t="inlineStr">
        <is>
          <t>No</t>
        </is>
      </c>
      <c r="AJ2363" s="156" t="n"/>
      <c r="AK2363" s="155" t="inlineStr">
        <is>
          <t>Descripción y Criterios: G/H [P] | Criterios: I [Q] | Criterios: J [R]; G1522_Extraccion_Articulos_NetSuite_2026-09-30.xlsx: fila 59422 [S] | Shopify Stetson: producto 15079524401515 / variante 53443129114987 | Investigación en línea 06/10/2026: https://www.stetson.com/products/stetson-black-cologne</t>
        </is>
      </c>
      <c r="AL2363" s="58" t="n">
        <v>116.375</v>
      </c>
      <c r="AM2363" s="58" t="n">
        <v>474.137931</v>
      </c>
      <c r="AN2363" s="155" t="inlineStr">
        <is>
          <t>Shopify Stetson México</t>
        </is>
      </c>
      <c r="AO2363" s="59" t="n">
        <v>1</v>
      </c>
      <c r="AP2363" s="59" t="n"/>
      <c r="AQ2363" s="59" t="n"/>
      <c r="AR2363" s="155" t="inlineStr">
        <is>
          <t>Shopify Stetson México › Stetson Americas: 1</t>
        </is>
      </c>
    </row>
    <row r="2364">
      <c r="A2364" s="50" t="inlineStr">
        <is>
          <t>810023672838</t>
        </is>
      </c>
      <c r="B2364" s="51" t="inlineStr">
        <is>
          <t>112099</t>
        </is>
      </c>
      <c r="C2364" s="156" t="inlineStr">
        <is>
          <t>Multimarca</t>
        </is>
      </c>
      <c r="D2364" s="156" t="inlineStr">
        <is>
          <t>107942</t>
        </is>
      </c>
      <c r="E2364" s="156" t="inlineStr">
        <is>
          <t>107942</t>
        </is>
      </c>
      <c r="F2364" s="156" t="inlineStr">
        <is>
          <t>30 ml</t>
        </is>
      </c>
      <c r="G2364" s="156" t="inlineStr">
        <is>
          <t>1.0 fl oz</t>
        </is>
      </c>
      <c r="H2364" s="156" t="inlineStr">
        <is>
          <t>Stetson</t>
        </is>
      </c>
      <c r="I2364" s="156" t="inlineStr">
        <is>
          <t>Fragancia Lady Stetson Cologne para mujer 30ml</t>
        </is>
      </c>
      <c r="J2364" s="156" t="inlineStr">
        <is>
          <t>Accesorios</t>
        </is>
      </c>
      <c r="K2364" s="156" t="inlineStr">
        <is>
          <t>Fragancias</t>
        </is>
      </c>
      <c r="L2364" s="156" t="inlineStr">
        <is>
          <t>Mujer</t>
        </is>
      </c>
      <c r="M2364" s="156" t="inlineStr">
        <is>
          <t>Stetson</t>
        </is>
      </c>
      <c r="N2364" s="156" t="inlineStr">
        <is>
          <t>SS26</t>
        </is>
      </c>
      <c r="O2364" s="156" t="inlineStr">
        <is>
          <t>Core</t>
        </is>
      </c>
      <c r="P2364" s="156" t="n"/>
      <c r="Q2364" s="156" t="n"/>
      <c r="R2364" s="156" t="n"/>
      <c r="S2364" s="156" t="inlineStr">
        <is>
          <t>Alcohol 92% Agua 5% Fragancia 3%</t>
        </is>
      </c>
      <c r="T2364" s="156" t="inlineStr">
        <is>
          <t>Fragancia Lady Stetson Cologne para mujer.</t>
        </is>
      </c>
      <c r="U2364" s="156" t="inlineStr">
        <is>
          <t>Estados Unidos</t>
        </is>
      </c>
      <c r="V2364" s="156" t="inlineStr">
        <is>
          <t>PZS</t>
        </is>
      </c>
      <c r="W2364" s="51" t="inlineStr">
        <is>
          <t>53131620</t>
        </is>
      </c>
      <c r="X2364" s="156" t="inlineStr">
        <is>
          <t>https://cdn.shopify.com/s/files/1/0357/2432/9005/products/Lady_Stetson_Bottle_WarmGreyBG_1x1_858fc28b-5c7e-4f1c-b25b-f8c78aed8e47.jpg?v=1614285624</t>
        </is>
      </c>
      <c r="Y2364" s="54" t="n">
        <v>165.375</v>
      </c>
      <c r="Z2364" s="54" t="n">
        <v>646.5517241</v>
      </c>
      <c r="AA2364" s="55">
        <f>IF(AND(A2364="", B2364="", E2364=""), "", IF(AB2364="", "Válido", IF((LEN(AB2364)-LEN(SUBSTITUTE(AB2364,"; ","")))/2+1&gt;(LEN(AB2364)-LEN(SUBSTITUTE(AB2364,"[Aviso]","")))/7, "Con Incidencias", "Válido")))</f>
        <v/>
      </c>
      <c r="AB2364" s="56">
        <f>IF(AND(A2364="", B2364="", E2364=""), "", TEXTJOIN("; ", TRUE, IF(OR(TRIM(A2364&amp;"")="", ISNUMBER(SEARCH("FALTA", A2364))), "UPC faltante/inválido", ""), IF(AND(A2364&lt;&gt;"", IFERROR(_xlfn.XMATCH(A2364,$A$2:$A$2509,0,1)&lt;&gt;_xlfn.XMATCH(A2364,$A$2:$A$2509,0,-1),FALSE)), "Código de barras duplicado", ""), IF(AND(E2364&lt;&gt;"", COUNTIF($E$2:$E$2509, E2364)&gt;1), "SKU duplicado", ""), IF(OR(J2364="", J2364=""), "[Aviso] División no capturada ()", IF(ISNA(MATCH(J2364, Criterios!$A$123:$A$126, 0)), "División no válida", "")), IF(OR(K2364="", K2364=""), "[Aviso] Categoría no capturada ()", IF(ISNA(MATCH(K2364, Criterios!$A$81:$A$120, 0)), "Categoría no válida", IF(AND(J2364&lt;&gt;"", J2364&lt;&gt;"", J2364&lt;&gt;VLOOKUP(K2364, Criterios!$A$81:$B$120, 2, FALSE)), "División no coincide con Categoría", ""))), IF(OR(L2364="", L2364=""), "[Aviso] Género no capturado ()", IF(ISNA(MATCH(L2364, Criterios!$B$123:$B$127, 0)), "Género no válido", "")), IF(OR(N2364="", N2364=""), "[Aviso] Temporada no capturada ()", IF(ISNA(MATCH(N2364, Criterios!$C$123:$C$128, 0)), "Temporada no válida", "")), IF(OR(O2364="", O2364=""), "[Aviso] Ciclo de vida no capturado ()", IF(ISNA(MATCH(O2364, Criterios!$D$123:$D$124, 0)), "Ciclo de vida no válido", ""))))</f>
        <v/>
      </c>
      <c r="AC2364" s="56" t="n"/>
      <c r="AD2364" s="51" t="n">
        <v>10</v>
      </c>
      <c r="AE2364" s="156" t="inlineStr">
        <is>
          <t>STETSON AMERICAS (10)</t>
        </is>
      </c>
      <c r="AF2364" s="51" t="n">
        <v>10</v>
      </c>
      <c r="AG2364" s="156" t="inlineStr">
        <is>
          <t>Catálogo existente</t>
        </is>
      </c>
      <c r="AH2364" s="156" t="inlineStr">
        <is>
          <t>Revisión 29/09/2026: Campos sin respaldo: P, X | 01/10/2026: complementado desde Shopify Stetson México (match por código de barras): WB Fit, WB Silueta | Homologación G1522 06/10/2026: Enlace de imagen: «» → «https://cdn.shopify.com/s/files/1/0357/2432/9005/products/Lady_Stetson_Bottle_WarmGreyBG_1x1_858fc28b-5c7e-4f1c-b25b-f8c78aed8e47.jpg?v=1614285624» (Completado por investigación en línea)</t>
        </is>
      </c>
      <c r="AI2364" s="156" t="inlineStr">
        <is>
          <t>No</t>
        </is>
      </c>
      <c r="AJ2364" s="156" t="n"/>
      <c r="AK2364" s="155" t="inlineStr">
        <is>
          <t>Criterios: I [Q] | Criterios: J [R] | Shopify Stetson: producto 15079524434283 / variante 53443129147755 | Investigación en línea 06/10/2026: https://www.stetson.com/products/lady-stetson-cologne</t>
        </is>
      </c>
      <c r="AL2364" s="58" t="n">
        <v>165.375</v>
      </c>
      <c r="AM2364" s="58" t="n">
        <v>646.5517241</v>
      </c>
      <c r="AN2364" s="155" t="inlineStr">
        <is>
          <t>Shopify Stetson México</t>
        </is>
      </c>
      <c r="AO2364" s="59" t="n">
        <v>11</v>
      </c>
      <c r="AP2364" s="59" t="n"/>
      <c r="AQ2364" s="59" t="n"/>
      <c r="AR2364" s="155" t="inlineStr">
        <is>
          <t>Shopify Stetson México › Stetson Americas: 11</t>
        </is>
      </c>
    </row>
    <row r="2365">
      <c r="A2365" s="50" t="inlineStr">
        <is>
          <t>810023672845</t>
        </is>
      </c>
      <c r="B2365" s="51" t="inlineStr">
        <is>
          <t>112092</t>
        </is>
      </c>
      <c r="C2365" s="156" t="inlineStr">
        <is>
          <t>Multimarca</t>
        </is>
      </c>
      <c r="D2365" s="156" t="inlineStr">
        <is>
          <t>206012</t>
        </is>
      </c>
      <c r="E2365" s="156" t="inlineStr">
        <is>
          <t>206012</t>
        </is>
      </c>
      <c r="F2365" s="156" t="inlineStr">
        <is>
          <t>100 ml</t>
        </is>
      </c>
      <c r="G2365" s="156" t="inlineStr">
        <is>
          <t>3.5 fl oz</t>
        </is>
      </c>
      <c r="H2365" s="156" t="inlineStr">
        <is>
          <t>Stetson</t>
        </is>
      </c>
      <c r="I2365" s="156" t="inlineStr">
        <is>
          <t>Fragancia Stetson Original Cologne para hombre 100ml</t>
        </is>
      </c>
      <c r="J2365" s="156" t="inlineStr">
        <is>
          <t>Accesorios</t>
        </is>
      </c>
      <c r="K2365" s="156" t="inlineStr">
        <is>
          <t>Fragancias</t>
        </is>
      </c>
      <c r="L2365" s="156" t="inlineStr">
        <is>
          <t>Hombre</t>
        </is>
      </c>
      <c r="M2365" s="156" t="inlineStr">
        <is>
          <t>Stetson</t>
        </is>
      </c>
      <c r="N2365" s="156" t="inlineStr">
        <is>
          <t>SS26</t>
        </is>
      </c>
      <c r="O2365" s="156" t="inlineStr">
        <is>
          <t>Core</t>
        </is>
      </c>
      <c r="P2365" s="156" t="n"/>
      <c r="Q2365" s="156" t="n"/>
      <c r="R2365" s="156" t="n"/>
      <c r="S2365" s="156" t="inlineStr">
        <is>
          <t>Alcohol 92% Agua 5% Fragancia 3%</t>
        </is>
      </c>
      <c r="T2365" s="156" t="inlineStr">
        <is>
          <t>Fragancia Stetson Original Cologne para hombre.</t>
        </is>
      </c>
      <c r="U2365" s="156" t="inlineStr">
        <is>
          <t>Estados Unidos</t>
        </is>
      </c>
      <c r="V2365" s="156" t="inlineStr">
        <is>
          <t>PZS</t>
        </is>
      </c>
      <c r="W2365" s="51" t="inlineStr">
        <is>
          <t>53131620</t>
        </is>
      </c>
      <c r="X2365" s="156" t="inlineStr">
        <is>
          <t>https://cdn.shopify.com/s/files/1/0357/2432/9005/products/205921_alt1.jpg?v=1666644292</t>
        </is>
      </c>
      <c r="Y2365" s="54" t="n">
        <v>202.125</v>
      </c>
      <c r="Z2365" s="54" t="n">
        <v>818.9655172</v>
      </c>
      <c r="AA2365" s="55">
        <f>IF(AND(A2365="", B2365="", E2365=""), "", IF(AB2365="", "Válido", IF((LEN(AB2365)-LEN(SUBSTITUTE(AB2365,"; ","")))/2+1&gt;(LEN(AB2365)-LEN(SUBSTITUTE(AB2365,"[Aviso]","")))/7, "Con Incidencias", "Válido")))</f>
        <v/>
      </c>
      <c r="AB2365" s="56">
        <f>IF(AND(A2365="", B2365="", E2365=""), "", TEXTJOIN("; ", TRUE, IF(OR(TRIM(A2365&amp;"")="", ISNUMBER(SEARCH("FALTA", A2365))), "UPC faltante/inválido", ""), IF(AND(A2365&lt;&gt;"", IFERROR(_xlfn.XMATCH(A2365,$A$2:$A$2509,0,1)&lt;&gt;_xlfn.XMATCH(A2365,$A$2:$A$2509,0,-1),FALSE)), "Código de barras duplicado", ""), IF(AND(E2365&lt;&gt;"", COUNTIF($E$2:$E$2509, E2365)&gt;1), "SKU duplicado", ""), IF(OR(J2365="", J2365=""), "[Aviso] División no capturada ()", IF(ISNA(MATCH(J2365, Criterios!$A$123:$A$126, 0)), "División no válida", "")), IF(OR(K2365="", K2365=""), "[Aviso] Categoría no capturada ()", IF(ISNA(MATCH(K2365, Criterios!$A$81:$A$120, 0)), "Categoría no válida", IF(AND(J2365&lt;&gt;"", J2365&lt;&gt;"", J2365&lt;&gt;VLOOKUP(K2365, Criterios!$A$81:$B$120, 2, FALSE)), "División no coincide con Categoría", ""))), IF(OR(L2365="", L2365=""), "[Aviso] Género no capturado ()", IF(ISNA(MATCH(L2365, Criterios!$B$123:$B$127, 0)), "Género no válido", "")), IF(OR(N2365="", N2365=""), "[Aviso] Temporada no capturada ()", IF(ISNA(MATCH(N2365, Criterios!$C$123:$C$128, 0)), "Temporada no válida", "")), IF(OR(O2365="", O2365=""), "[Aviso] Ciclo de vida no capturado ()", IF(ISNA(MATCH(O2365, Criterios!$D$123:$D$124, 0)), "Ciclo de vida no válido", ""))))</f>
        <v/>
      </c>
      <c r="AC2365" s="56" t="n"/>
      <c r="AD2365" s="51" t="n">
        <v>6</v>
      </c>
      <c r="AE2365" s="156" t="inlineStr">
        <is>
          <t>STETSON AMERICAS (6)</t>
        </is>
      </c>
      <c r="AF2365" s="51" t="n">
        <v>6</v>
      </c>
      <c r="AG2365" s="156" t="inlineStr">
        <is>
          <t>Catálogo existente</t>
        </is>
      </c>
      <c r="AH2365"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5" s="156" t="inlineStr">
        <is>
          <t>No</t>
        </is>
      </c>
      <c r="AJ2365" s="156" t="n"/>
      <c r="AK2365" s="155" t="inlineStr">
        <is>
          <t>Criterios: I [Q] | Criterios: J [R] | Shopify Stetson: producto 15079524073835 / variante 53443128754539 | Investigación en línea 06/10/2026: https://www.stetson.com/products/stetson-original-cologne</t>
        </is>
      </c>
      <c r="AL2365" s="58" t="n">
        <v>202.125</v>
      </c>
      <c r="AM2365" s="58" t="n">
        <v>818.9655172</v>
      </c>
      <c r="AN2365" s="155" t="inlineStr">
        <is>
          <t>Shopify Stetson México</t>
        </is>
      </c>
      <c r="AO2365" s="59" t="n">
        <v>6</v>
      </c>
      <c r="AP2365" s="59" t="n"/>
      <c r="AQ2365" s="59" t="n"/>
      <c r="AR2365" s="155" t="inlineStr">
        <is>
          <t>Shopify Stetson México › Stetson Americas: 6</t>
        </is>
      </c>
    </row>
    <row r="2366">
      <c r="A2366" s="50" t="inlineStr">
        <is>
          <t>810023672869</t>
        </is>
      </c>
      <c r="B2366" s="51" t="inlineStr">
        <is>
          <t>112093</t>
        </is>
      </c>
      <c r="C2366" s="156" t="inlineStr">
        <is>
          <t>Multimarca</t>
        </is>
      </c>
      <c r="D2366" s="156" t="inlineStr">
        <is>
          <t>205922</t>
        </is>
      </c>
      <c r="E2366" s="156" t="inlineStr">
        <is>
          <t>205922</t>
        </is>
      </c>
      <c r="F2366" s="156" t="inlineStr">
        <is>
          <t>22 ml</t>
        </is>
      </c>
      <c r="G2366" s="156" t="inlineStr">
        <is>
          <t>0.75 fl oz</t>
        </is>
      </c>
      <c r="H2366" s="156" t="inlineStr">
        <is>
          <t>Stetson</t>
        </is>
      </c>
      <c r="I2366" s="156" t="inlineStr">
        <is>
          <t>Fragancia Stetson Original Cologne para hombre 22ml</t>
        </is>
      </c>
      <c r="J2366" s="156" t="inlineStr">
        <is>
          <t>Accesorios</t>
        </is>
      </c>
      <c r="K2366" s="156" t="inlineStr">
        <is>
          <t>Fragancias</t>
        </is>
      </c>
      <c r="L2366" s="156" t="inlineStr">
        <is>
          <t>Hombre</t>
        </is>
      </c>
      <c r="M2366" s="156" t="inlineStr">
        <is>
          <t>Stetson</t>
        </is>
      </c>
      <c r="N2366" s="156" t="inlineStr">
        <is>
          <t>SS26</t>
        </is>
      </c>
      <c r="O2366" s="156" t="inlineStr">
        <is>
          <t>Core</t>
        </is>
      </c>
      <c r="P2366" s="156" t="n"/>
      <c r="Q2366" s="156" t="n"/>
      <c r="R2366" s="156" t="n"/>
      <c r="S2366" s="156" t="inlineStr">
        <is>
          <t>Alcohol 92% Agua 5% Fragancia 3%</t>
        </is>
      </c>
      <c r="T2366" s="156" t="inlineStr">
        <is>
          <t>Fragancia Stetson Original Cologne para hombre.</t>
        </is>
      </c>
      <c r="U2366" s="156" t="inlineStr">
        <is>
          <t>Estados Unidos</t>
        </is>
      </c>
      <c r="V2366" s="156" t="inlineStr">
        <is>
          <t>PZS</t>
        </is>
      </c>
      <c r="W2366" s="51" t="inlineStr">
        <is>
          <t>53131620</t>
        </is>
      </c>
      <c r="X2366" s="156" t="inlineStr">
        <is>
          <t>https://cdn.shopify.com/s/files/1/0357/2432/9005/products/205921_alt1.jpg?v=1666644292</t>
        </is>
      </c>
      <c r="Y2366" s="54" t="n">
        <v>79.625</v>
      </c>
      <c r="Z2366" s="54" t="n">
        <v>344.8275862</v>
      </c>
      <c r="AA2366" s="55">
        <f>IF(AND(A2366="", B2366="", E2366=""), "", IF(AB2366="", "Válido", IF((LEN(AB2366)-LEN(SUBSTITUTE(AB2366,"; ","")))/2+1&gt;(LEN(AB2366)-LEN(SUBSTITUTE(AB2366,"[Aviso]","")))/7, "Con Incidencias", "Válido")))</f>
        <v/>
      </c>
      <c r="AB2366" s="56">
        <f>IF(AND(A2366="", B2366="", E2366=""), "", TEXTJOIN("; ", TRUE, IF(OR(TRIM(A2366&amp;"")="", ISNUMBER(SEARCH("FALTA", A2366))), "UPC faltante/inválido", ""), IF(AND(A2366&lt;&gt;"", IFERROR(_xlfn.XMATCH(A2366,$A$2:$A$2509,0,1)&lt;&gt;_xlfn.XMATCH(A2366,$A$2:$A$2509,0,-1),FALSE)), "Código de barras duplicado", ""), IF(AND(E2366&lt;&gt;"", COUNTIF($E$2:$E$2509, E2366)&gt;1), "SKU duplicado", ""), IF(OR(J2366="", J2366=""), "[Aviso] División no capturada ()", IF(ISNA(MATCH(J2366, Criterios!$A$123:$A$126, 0)), "División no válida", "")), IF(OR(K2366="", K2366=""), "[Aviso] Categoría no capturada ()", IF(ISNA(MATCH(K2366, Criterios!$A$81:$A$120, 0)), "Categoría no válida", IF(AND(J2366&lt;&gt;"", J2366&lt;&gt;"", J2366&lt;&gt;VLOOKUP(K2366, Criterios!$A$81:$B$120, 2, FALSE)), "División no coincide con Categoría", ""))), IF(OR(L2366="", L2366=""), "[Aviso] Género no capturado ()", IF(ISNA(MATCH(L2366, Criterios!$B$123:$B$127, 0)), "Género no válido", "")), IF(OR(N2366="", N2366=""), "[Aviso] Temporada no capturada ()", IF(ISNA(MATCH(N2366, Criterios!$C$123:$C$128, 0)), "Temporada no válida", "")), IF(OR(O2366="", O2366=""), "[Aviso] Ciclo de vida no capturado ()", IF(ISNA(MATCH(O2366, Criterios!$D$123:$D$124, 0)), "Ciclo de vida no válido", ""))))</f>
        <v/>
      </c>
      <c r="AC2366" s="56" t="n"/>
      <c r="AD2366" s="51" t="n">
        <v>12</v>
      </c>
      <c r="AE2366" s="156" t="inlineStr">
        <is>
          <t>STETSON AMERICAS (12)</t>
        </is>
      </c>
      <c r="AF2366" s="51" t="n">
        <v>12</v>
      </c>
      <c r="AG2366" s="156" t="inlineStr">
        <is>
          <t>Catálogo existente</t>
        </is>
      </c>
      <c r="AH2366"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6" s="156" t="inlineStr">
        <is>
          <t>No</t>
        </is>
      </c>
      <c r="AJ2366" s="156" t="n"/>
      <c r="AK2366" s="155" t="inlineStr">
        <is>
          <t>Criterios: I [Q] | Criterios: J [R] | Shopify Stetson: producto 15079524073835 / variante 53443128656235 | Investigación en línea 06/10/2026: https://www.stetson.com/products/stetson-original-cologne</t>
        </is>
      </c>
      <c r="AL2366" s="58" t="n">
        <v>79.625</v>
      </c>
      <c r="AM2366" s="58" t="n">
        <v>344.8275862</v>
      </c>
      <c r="AN2366" s="155" t="inlineStr">
        <is>
          <t>Shopify Stetson México</t>
        </is>
      </c>
      <c r="AO2366" s="59" t="n">
        <v>12</v>
      </c>
      <c r="AP2366" s="59" t="n"/>
      <c r="AQ2366" s="59" t="n"/>
      <c r="AR2366" s="155" t="inlineStr">
        <is>
          <t>Shopify Stetson México › Stetson Americas: 12</t>
        </is>
      </c>
    </row>
    <row r="2367">
      <c r="A2367" s="50" t="inlineStr">
        <is>
          <t>810023672876</t>
        </is>
      </c>
      <c r="B2367" s="51" t="inlineStr">
        <is>
          <t>112094</t>
        </is>
      </c>
      <c r="C2367" s="156" t="inlineStr">
        <is>
          <t>Multimarca</t>
        </is>
      </c>
      <c r="D2367" s="156" t="inlineStr">
        <is>
          <t>200885</t>
        </is>
      </c>
      <c r="E2367" s="156" t="inlineStr">
        <is>
          <t>200885</t>
        </is>
      </c>
      <c r="F2367" s="156" t="inlineStr">
        <is>
          <t>44 ml</t>
        </is>
      </c>
      <c r="G2367" s="156" t="inlineStr">
        <is>
          <t>1.5 fl oz</t>
        </is>
      </c>
      <c r="H2367" s="156" t="inlineStr">
        <is>
          <t>Stetson</t>
        </is>
      </c>
      <c r="I2367" s="156" t="inlineStr">
        <is>
          <t>Fragancia Stetson Original Cologne para hombre 44ml</t>
        </is>
      </c>
      <c r="J2367" s="156" t="inlineStr">
        <is>
          <t>Accesorios</t>
        </is>
      </c>
      <c r="K2367" s="156" t="inlineStr">
        <is>
          <t>Fragancias</t>
        </is>
      </c>
      <c r="L2367" s="156" t="inlineStr">
        <is>
          <t>Hombre</t>
        </is>
      </c>
      <c r="M2367" s="156" t="inlineStr">
        <is>
          <t>Stetson</t>
        </is>
      </c>
      <c r="N2367" s="156" t="inlineStr">
        <is>
          <t>SS26</t>
        </is>
      </c>
      <c r="O2367" s="156" t="inlineStr">
        <is>
          <t>Core</t>
        </is>
      </c>
      <c r="P2367" s="156" t="n"/>
      <c r="Q2367" s="156" t="n"/>
      <c r="R2367" s="156" t="n"/>
      <c r="S2367" s="156" t="inlineStr">
        <is>
          <t>Alcohol 92% Agua 5% Fragancia 3%</t>
        </is>
      </c>
      <c r="T2367" s="156" t="inlineStr">
        <is>
          <t>Fragancia Stetson Original Cologne para hombre.</t>
        </is>
      </c>
      <c r="U2367" s="156" t="inlineStr">
        <is>
          <t>Estados Unidos</t>
        </is>
      </c>
      <c r="V2367" s="156" t="inlineStr">
        <is>
          <t>PZS</t>
        </is>
      </c>
      <c r="W2367" s="51" t="inlineStr">
        <is>
          <t>53131620</t>
        </is>
      </c>
      <c r="X2367" s="156" t="inlineStr">
        <is>
          <t>https://cdn.shopify.com/s/files/1/0357/2432/9005/products/205921_alt1.jpg?v=1666644292</t>
        </is>
      </c>
      <c r="Y2367" s="54" t="n">
        <v>116.375</v>
      </c>
      <c r="Z2367" s="54" t="n">
        <v>474.137931</v>
      </c>
      <c r="AA2367" s="55">
        <f>IF(AND(A2367="", B2367="", E2367=""), "", IF(AB2367="", "Válido", IF((LEN(AB2367)-LEN(SUBSTITUTE(AB2367,"; ","")))/2+1&gt;(LEN(AB2367)-LEN(SUBSTITUTE(AB2367,"[Aviso]","")))/7, "Con Incidencias", "Válido")))</f>
        <v/>
      </c>
      <c r="AB2367" s="56">
        <f>IF(AND(A2367="", B2367="", E2367=""), "", TEXTJOIN("; ", TRUE, IF(OR(TRIM(A2367&amp;"")="", ISNUMBER(SEARCH("FALTA", A2367))), "UPC faltante/inválido", ""), IF(AND(A2367&lt;&gt;"", IFERROR(_xlfn.XMATCH(A2367,$A$2:$A$2509,0,1)&lt;&gt;_xlfn.XMATCH(A2367,$A$2:$A$2509,0,-1),FALSE)), "Código de barras duplicado", ""), IF(AND(E2367&lt;&gt;"", COUNTIF($E$2:$E$2509, E2367)&gt;1), "SKU duplicado", ""), IF(OR(J2367="", J2367=""), "[Aviso] División no capturada ()", IF(ISNA(MATCH(J2367, Criterios!$A$123:$A$126, 0)), "División no válida", "")), IF(OR(K2367="", K2367=""), "[Aviso] Categoría no capturada ()", IF(ISNA(MATCH(K2367, Criterios!$A$81:$A$120, 0)), "Categoría no válida", IF(AND(J2367&lt;&gt;"", J2367&lt;&gt;"", J2367&lt;&gt;VLOOKUP(K2367, Criterios!$A$81:$B$120, 2, FALSE)), "División no coincide con Categoría", ""))), IF(OR(L2367="", L2367=""), "[Aviso] Género no capturado ()", IF(ISNA(MATCH(L2367, Criterios!$B$123:$B$127, 0)), "Género no válido", "")), IF(OR(N2367="", N2367=""), "[Aviso] Temporada no capturada ()", IF(ISNA(MATCH(N2367, Criterios!$C$123:$C$128, 0)), "Temporada no válida", "")), IF(OR(O2367="", O2367=""), "[Aviso] Ciclo de vida no capturado ()", IF(ISNA(MATCH(O2367, Criterios!$D$123:$D$124, 0)), "Ciclo de vida no válido", ""))))</f>
        <v/>
      </c>
      <c r="AC2367" s="56" t="n"/>
      <c r="AD2367" s="51" t="n">
        <v>10</v>
      </c>
      <c r="AE2367" s="156" t="inlineStr">
        <is>
          <t>STETSON AMERICAS (10)</t>
        </is>
      </c>
      <c r="AF2367" s="51" t="n">
        <v>10</v>
      </c>
      <c r="AG2367" s="156" t="inlineStr">
        <is>
          <t>Catálogo existente</t>
        </is>
      </c>
      <c r="AH2367"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7" s="156" t="inlineStr">
        <is>
          <t>No</t>
        </is>
      </c>
      <c r="AJ2367" s="156" t="n"/>
      <c r="AK2367" s="155" t="inlineStr">
        <is>
          <t>Criterios: I [Q] | Criterios: J [R] | Shopify Stetson: producto 15079524073835 / variante 53443128689003 | Investigación en línea 06/10/2026: https://www.stetson.com/products/stetson-original-cologne</t>
        </is>
      </c>
      <c r="AL2367" s="58" t="n">
        <v>116.375</v>
      </c>
      <c r="AM2367" s="58" t="n">
        <v>474.137931</v>
      </c>
      <c r="AN2367" s="155" t="inlineStr">
        <is>
          <t>Shopify Stetson México</t>
        </is>
      </c>
      <c r="AO2367" s="59" t="n">
        <v>10</v>
      </c>
      <c r="AP2367" s="59" t="n"/>
      <c r="AQ2367" s="59" t="n"/>
      <c r="AR2367" s="155" t="inlineStr">
        <is>
          <t>Shopify Stetson México › Stetson Americas: 10</t>
        </is>
      </c>
    </row>
    <row r="2368">
      <c r="A2368" s="50" t="inlineStr">
        <is>
          <t>810023672883</t>
        </is>
      </c>
      <c r="B2368" s="51" t="inlineStr">
        <is>
          <t>112095</t>
        </is>
      </c>
      <c r="C2368" s="156" t="inlineStr">
        <is>
          <t>Multimarca</t>
        </is>
      </c>
      <c r="D2368" s="156" t="inlineStr">
        <is>
          <t>202197</t>
        </is>
      </c>
      <c r="E2368" s="156" t="inlineStr">
        <is>
          <t>202197</t>
        </is>
      </c>
      <c r="F2368" s="156" t="inlineStr">
        <is>
          <t>67 ml</t>
        </is>
      </c>
      <c r="G2368" s="156" t="inlineStr">
        <is>
          <t>2.25 fl oz</t>
        </is>
      </c>
      <c r="H2368" s="156" t="inlineStr">
        <is>
          <t>Stetson</t>
        </is>
      </c>
      <c r="I2368" s="156" t="inlineStr">
        <is>
          <t>Fragancia Stetson Original Cologne para hombre 66ml</t>
        </is>
      </c>
      <c r="J2368" s="156" t="inlineStr">
        <is>
          <t>Accesorios</t>
        </is>
      </c>
      <c r="K2368" s="156" t="inlineStr">
        <is>
          <t>Fragancias</t>
        </is>
      </c>
      <c r="L2368" s="156" t="inlineStr">
        <is>
          <t>Hombre</t>
        </is>
      </c>
      <c r="M2368" s="156" t="inlineStr">
        <is>
          <t>Stetson</t>
        </is>
      </c>
      <c r="N2368" s="156" t="inlineStr">
        <is>
          <t>SS26</t>
        </is>
      </c>
      <c r="O2368" s="156" t="inlineStr">
        <is>
          <t>Core</t>
        </is>
      </c>
      <c r="P2368" s="156" t="n"/>
      <c r="Q2368" s="156" t="n"/>
      <c r="R2368" s="156" t="n"/>
      <c r="S2368" s="156" t="inlineStr">
        <is>
          <t>Alcohol 92% Agua 5% Fragancia 3%</t>
        </is>
      </c>
      <c r="T2368" s="156" t="inlineStr">
        <is>
          <t>Fragancia Stetson Original Cologne para hombre.</t>
        </is>
      </c>
      <c r="U2368" s="156" t="inlineStr">
        <is>
          <t>Estados Unidos</t>
        </is>
      </c>
      <c r="V2368" s="156" t="inlineStr">
        <is>
          <t>PZS</t>
        </is>
      </c>
      <c r="W2368" s="51" t="inlineStr">
        <is>
          <t>53131620</t>
        </is>
      </c>
      <c r="X2368" s="156" t="inlineStr">
        <is>
          <t>https://cdn.shopify.com/s/files/1/0357/2432/9005/products/205921_alt1.jpg?v=1666644292</t>
        </is>
      </c>
      <c r="Y2368" s="54" t="n">
        <v>159.25</v>
      </c>
      <c r="Z2368" s="54" t="n">
        <v>646.5517241</v>
      </c>
      <c r="AA2368" s="55">
        <f>IF(AND(A2368="", B2368="", E2368=""), "", IF(AB2368="", "Válido", IF((LEN(AB2368)-LEN(SUBSTITUTE(AB2368,"; ","")))/2+1&gt;(LEN(AB2368)-LEN(SUBSTITUTE(AB2368,"[Aviso]","")))/7, "Con Incidencias", "Válido")))</f>
        <v/>
      </c>
      <c r="AB2368" s="56">
        <f>IF(AND(A2368="", B2368="", E2368=""), "", TEXTJOIN("; ", TRUE, IF(OR(TRIM(A2368&amp;"")="", ISNUMBER(SEARCH("FALTA", A2368))), "UPC faltante/inválido", ""), IF(AND(A2368&lt;&gt;"", IFERROR(_xlfn.XMATCH(A2368,$A$2:$A$2509,0,1)&lt;&gt;_xlfn.XMATCH(A2368,$A$2:$A$2509,0,-1),FALSE)), "Código de barras duplicado", ""), IF(AND(E2368&lt;&gt;"", COUNTIF($E$2:$E$2509, E2368)&gt;1), "SKU duplicado", ""), IF(OR(J2368="", J2368=""), "[Aviso] División no capturada ()", IF(ISNA(MATCH(J2368, Criterios!$A$123:$A$126, 0)), "División no válida", "")), IF(OR(K2368="", K2368=""), "[Aviso] Categoría no capturada ()", IF(ISNA(MATCH(K2368, Criterios!$A$81:$A$120, 0)), "Categoría no válida", IF(AND(J2368&lt;&gt;"", J2368&lt;&gt;"", J2368&lt;&gt;VLOOKUP(K2368, Criterios!$A$81:$B$120, 2, FALSE)), "División no coincide con Categoría", ""))), IF(OR(L2368="", L2368=""), "[Aviso] Género no capturado ()", IF(ISNA(MATCH(L2368, Criterios!$B$123:$B$127, 0)), "Género no válido", "")), IF(OR(N2368="", N2368=""), "[Aviso] Temporada no capturada ()", IF(ISNA(MATCH(N2368, Criterios!$C$123:$C$128, 0)), "Temporada no válida", "")), IF(OR(O2368="", O2368=""), "[Aviso] Ciclo de vida no capturado ()", IF(ISNA(MATCH(O2368, Criterios!$D$123:$D$124, 0)), "Ciclo de vida no válido", ""))))</f>
        <v/>
      </c>
      <c r="AC2368" s="56" t="n"/>
      <c r="AD2368" s="51" t="n">
        <v>10</v>
      </c>
      <c r="AE2368" s="156" t="inlineStr">
        <is>
          <t>STETSON AMERICAS (10)</t>
        </is>
      </c>
      <c r="AF2368" s="51" t="n">
        <v>10</v>
      </c>
      <c r="AG2368" s="156" t="inlineStr">
        <is>
          <t>Catálogo existente</t>
        </is>
      </c>
      <c r="AH2368"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8" s="156" t="inlineStr">
        <is>
          <t>No</t>
        </is>
      </c>
      <c r="AJ2368" s="156" t="n"/>
      <c r="AK2368" s="155" t="inlineStr">
        <is>
          <t>Criterios: I [Q] | Criterios: J [R] | Shopify Stetson: producto 15079524073835 / variante 53443128721771 | Investigación en línea 06/10/2026: https://www.stetson.com/products/stetson-original-cologne</t>
        </is>
      </c>
      <c r="AL2368" s="58" t="n">
        <v>159.25</v>
      </c>
      <c r="AM2368" s="58" t="n">
        <v>646.5517241</v>
      </c>
      <c r="AN2368" s="155" t="inlineStr">
        <is>
          <t>Shopify Stetson México</t>
        </is>
      </c>
      <c r="AO2368" s="59" t="n">
        <v>10</v>
      </c>
      <c r="AP2368" s="59" t="n"/>
      <c r="AQ2368" s="59" t="n"/>
      <c r="AR2368" s="155" t="inlineStr">
        <is>
          <t>Shopify Stetson México › Stetson Americas: 10</t>
        </is>
      </c>
    </row>
    <row r="2369">
      <c r="A2369" s="50" t="inlineStr">
        <is>
          <t>810023672890</t>
        </is>
      </c>
      <c r="B2369" s="51" t="inlineStr">
        <is>
          <t>112096</t>
        </is>
      </c>
      <c r="C2369" s="156" t="inlineStr">
        <is>
          <t>Multimarca</t>
        </is>
      </c>
      <c r="D2369" s="156" t="inlineStr">
        <is>
          <t>200738</t>
        </is>
      </c>
      <c r="E2369" s="156" t="inlineStr">
        <is>
          <t>200738</t>
        </is>
      </c>
      <c r="F2369" s="156" t="inlineStr">
        <is>
          <t>50 ml</t>
        </is>
      </c>
      <c r="G2369" s="156" t="inlineStr">
        <is>
          <t>1.7 fl oz</t>
        </is>
      </c>
      <c r="H2369" s="156" t="inlineStr">
        <is>
          <t>Stetson</t>
        </is>
      </c>
      <c r="I2369" s="156" t="inlineStr">
        <is>
          <t>Fragancia Stetson Preferred Stock Cologne para hombre 50ml</t>
        </is>
      </c>
      <c r="J2369" s="156" t="inlineStr">
        <is>
          <t>Accesorios</t>
        </is>
      </c>
      <c r="K2369" s="156" t="inlineStr">
        <is>
          <t>Fragancias</t>
        </is>
      </c>
      <c r="L2369" s="156" t="inlineStr">
        <is>
          <t>Hombre</t>
        </is>
      </c>
      <c r="M2369" s="156" t="inlineStr">
        <is>
          <t>Stetson</t>
        </is>
      </c>
      <c r="N2369" s="156" t="inlineStr">
        <is>
          <t>SS26</t>
        </is>
      </c>
      <c r="O2369" s="156" t="inlineStr">
        <is>
          <t>Core</t>
        </is>
      </c>
      <c r="P2369" s="156" t="n"/>
      <c r="Q2369" s="156" t="n"/>
      <c r="R2369" s="156" t="n"/>
      <c r="S2369" s="156" t="inlineStr">
        <is>
          <t>Alcohol 92% Agua 5% Fragancia 3%</t>
        </is>
      </c>
      <c r="T2369" s="156" t="inlineStr">
        <is>
          <t>Fragancia Stetson Preferred Stock Cologne para hombre.</t>
        </is>
      </c>
      <c r="U2369" s="156" t="inlineStr">
        <is>
          <t>Estados Unidos</t>
        </is>
      </c>
      <c r="V2369" s="156" t="inlineStr">
        <is>
          <t>PZS</t>
        </is>
      </c>
      <c r="W2369" s="51" t="inlineStr">
        <is>
          <t>53131620</t>
        </is>
      </c>
      <c r="X2369" s="156" t="inlineStr">
        <is>
          <t>https://cdn.shopify.com/s/files/1/0357/2432/9005/products/Preferred_Stock_1.7_Bottle_WarmGreyBG_1x1_0416ab33-c34f-4741-998f-748619132e42.jpg?v=1614285907</t>
        </is>
      </c>
      <c r="Y2369" s="54" t="n">
        <v>147</v>
      </c>
      <c r="Z2369" s="54" t="n">
        <v>603.4482759</v>
      </c>
      <c r="AA2369" s="55">
        <f>IF(AND(A2369="", B2369="", E2369=""), "", IF(AB2369="", "Válido", IF((LEN(AB2369)-LEN(SUBSTITUTE(AB2369,"; ","")))/2+1&gt;(LEN(AB2369)-LEN(SUBSTITUTE(AB2369,"[Aviso]","")))/7, "Con Incidencias", "Válido")))</f>
        <v/>
      </c>
      <c r="AB2369" s="56">
        <f>IF(AND(A2369="", B2369="", E2369=""), "", TEXTJOIN("; ", TRUE, IF(OR(TRIM(A2369&amp;"")="", ISNUMBER(SEARCH("FALTA", A2369))), "UPC faltante/inválido", ""), IF(AND(A2369&lt;&gt;"", IFERROR(_xlfn.XMATCH(A2369,$A$2:$A$2509,0,1)&lt;&gt;_xlfn.XMATCH(A2369,$A$2:$A$2509,0,-1),FALSE)), "Código de barras duplicado", ""), IF(AND(E2369&lt;&gt;"", COUNTIF($E$2:$E$2509, E2369)&gt;1), "SKU duplicado", ""), IF(OR(J2369="", J2369=""), "[Aviso] División no capturada ()", IF(ISNA(MATCH(J2369, Criterios!$A$123:$A$126, 0)), "División no válida", "")), IF(OR(K2369="", K2369=""), "[Aviso] Categoría no capturada ()", IF(ISNA(MATCH(K2369, Criterios!$A$81:$A$120, 0)), "Categoría no válida", IF(AND(J2369&lt;&gt;"", J2369&lt;&gt;"", J2369&lt;&gt;VLOOKUP(K2369, Criterios!$A$81:$B$120, 2, FALSE)), "División no coincide con Categoría", ""))), IF(OR(L2369="", L2369=""), "[Aviso] Género no capturado ()", IF(ISNA(MATCH(L2369, Criterios!$B$123:$B$127, 0)), "Género no válido", "")), IF(OR(N2369="", N2369=""), "[Aviso] Temporada no capturada ()", IF(ISNA(MATCH(N2369, Criterios!$C$123:$C$128, 0)), "Temporada no válida", "")), IF(OR(O2369="", O2369=""), "[Aviso] Ciclo de vida no capturado ()", IF(ISNA(MATCH(O2369, Criterios!$D$123:$D$124, 0)), "Ciclo de vida no válido", ""))))</f>
        <v/>
      </c>
      <c r="AC2369" s="56" t="n"/>
      <c r="AD2369" s="51" t="n">
        <v>12</v>
      </c>
      <c r="AE2369" s="156" t="inlineStr">
        <is>
          <t>STETSON AMERICAS (12)</t>
        </is>
      </c>
      <c r="AF2369" s="51" t="n">
        <v>12</v>
      </c>
      <c r="AG2369" s="156" t="inlineStr">
        <is>
          <t>Catálogo existente</t>
        </is>
      </c>
      <c r="AH2369" s="156" t="inlineStr">
        <is>
          <t>Revisión 29/09/2026: Campos sin respaldo: P, X | 01/10/2026: complementado desde Shopify Stetson México (match por código de barras): WB Fit, WB Silueta | Homologación G1522 06/10/2026: Enlace de imagen: «» → «https://cdn.shopify.com/s/files/1/0357/2432/9005/products/Preferred_Stock_1.7_Bottle_WarmGreyBG_1x1_0416ab33-c34f-4741-998f-748619132e42.jpg?v=1614285907» (Completado por investigación en línea)</t>
        </is>
      </c>
      <c r="AI2369" s="156" t="inlineStr">
        <is>
          <t>No</t>
        </is>
      </c>
      <c r="AJ2369" s="156" t="n"/>
      <c r="AK2369" s="155" t="inlineStr">
        <is>
          <t>Criterios: I [Q] | Criterios: J [R] | Shopify Stetson: producto 15079524172139 / variante 53443128852843 | Investigación en línea 06/10/2026: https://www.stetson.com/products/stetson-preferred-stock-cologne</t>
        </is>
      </c>
      <c r="AL2369" s="58" t="n">
        <v>147</v>
      </c>
      <c r="AM2369" s="58" t="n">
        <v>603.4482759</v>
      </c>
      <c r="AN2369" s="155" t="inlineStr">
        <is>
          <t>Shopify Stetson México</t>
        </is>
      </c>
      <c r="AO2369" s="59" t="n">
        <v>12</v>
      </c>
      <c r="AP2369" s="59" t="n"/>
      <c r="AQ2369" s="59" t="n"/>
      <c r="AR2369" s="155" t="inlineStr">
        <is>
          <t>Shopify Stetson México › Stetson Americas: 12</t>
        </is>
      </c>
    </row>
    <row r="2370">
      <c r="A2370" s="50" t="inlineStr">
        <is>
          <t>810023672906</t>
        </is>
      </c>
      <c r="B2370" s="51" t="inlineStr">
        <is>
          <t>112097</t>
        </is>
      </c>
      <c r="C2370" s="156" t="inlineStr">
        <is>
          <t>Multimarca</t>
        </is>
      </c>
      <c r="D2370" s="156" t="inlineStr">
        <is>
          <t>206556</t>
        </is>
      </c>
      <c r="E2370" s="156" t="inlineStr">
        <is>
          <t>206556</t>
        </is>
      </c>
      <c r="F2370" s="156" t="inlineStr">
        <is>
          <t>75 ml</t>
        </is>
      </c>
      <c r="G2370" s="156" t="inlineStr">
        <is>
          <t>2.5 fl oz</t>
        </is>
      </c>
      <c r="H2370" s="156" t="inlineStr">
        <is>
          <t>Stetson</t>
        </is>
      </c>
      <c r="I2370" s="156" t="inlineStr">
        <is>
          <t>Fragancia Stetson Preferred Stock Cologne para hombre 75ml</t>
        </is>
      </c>
      <c r="J2370" s="156" t="inlineStr">
        <is>
          <t>Accesorios</t>
        </is>
      </c>
      <c r="K2370" s="156" t="inlineStr">
        <is>
          <t>Fragancias</t>
        </is>
      </c>
      <c r="L2370" s="156" t="inlineStr">
        <is>
          <t>Hombre</t>
        </is>
      </c>
      <c r="M2370" s="156" t="inlineStr">
        <is>
          <t>Stetson</t>
        </is>
      </c>
      <c r="N2370" s="156" t="inlineStr">
        <is>
          <t>SS26</t>
        </is>
      </c>
      <c r="O2370" s="156" t="inlineStr">
        <is>
          <t>Core</t>
        </is>
      </c>
      <c r="P2370" s="156" t="n"/>
      <c r="Q2370" s="156" t="n"/>
      <c r="R2370" s="156" t="n"/>
      <c r="S2370" s="156" t="inlineStr">
        <is>
          <t>Alcohol 92% Agua 5% Fragancia 3%</t>
        </is>
      </c>
      <c r="T2370" s="156" t="inlineStr">
        <is>
          <t>Fragancia Stetson Preferred Stock Cologne para hombre.</t>
        </is>
      </c>
      <c r="U2370" s="156" t="inlineStr">
        <is>
          <t>Estados Unidos</t>
        </is>
      </c>
      <c r="V2370" s="156" t="inlineStr">
        <is>
          <t>PZS</t>
        </is>
      </c>
      <c r="W2370" s="51" t="inlineStr">
        <is>
          <t>53131620</t>
        </is>
      </c>
      <c r="X2370" s="156" t="inlineStr">
        <is>
          <t>https://cdn.shopify.com/s/files/1/0357/2432/9005/products/Preferred_Stock_1.7_Bottle_WarmGreyBG_1x1_0416ab33-c34f-4741-998f-748619132e42.jpg?v=1614285907</t>
        </is>
      </c>
      <c r="Y2370" s="54" t="n">
        <v>214.375</v>
      </c>
      <c r="Z2370" s="54" t="n">
        <v>862.0689655</v>
      </c>
      <c r="AA2370" s="55">
        <f>IF(AND(A2370="", B2370="", E2370=""), "", IF(AB2370="", "Válido", IF((LEN(AB2370)-LEN(SUBSTITUTE(AB2370,"; ","")))/2+1&gt;(LEN(AB2370)-LEN(SUBSTITUTE(AB2370,"[Aviso]","")))/7, "Con Incidencias", "Válido")))</f>
        <v/>
      </c>
      <c r="AB2370" s="56">
        <f>IF(AND(A2370="", B2370="", E2370=""), "", TEXTJOIN("; ", TRUE, IF(OR(TRIM(A2370&amp;"")="", ISNUMBER(SEARCH("FALTA", A2370))), "UPC faltante/inválido", ""), IF(AND(A2370&lt;&gt;"", IFERROR(_xlfn.XMATCH(A2370,$A$2:$A$2509,0,1)&lt;&gt;_xlfn.XMATCH(A2370,$A$2:$A$2509,0,-1),FALSE)), "Código de barras duplicado", ""), IF(AND(E2370&lt;&gt;"", COUNTIF($E$2:$E$2509, E2370)&gt;1), "SKU duplicado", ""), IF(OR(J2370="", J2370=""), "[Aviso] División no capturada ()", IF(ISNA(MATCH(J2370, Criterios!$A$123:$A$126, 0)), "División no válida", "")), IF(OR(K2370="", K2370=""), "[Aviso] Categoría no capturada ()", IF(ISNA(MATCH(K2370, Criterios!$A$81:$A$120, 0)), "Categoría no válida", IF(AND(J2370&lt;&gt;"", J2370&lt;&gt;"", J2370&lt;&gt;VLOOKUP(K2370, Criterios!$A$81:$B$120, 2, FALSE)), "División no coincide con Categoría", ""))), IF(OR(L2370="", L2370=""), "[Aviso] Género no capturado ()", IF(ISNA(MATCH(L2370, Criterios!$B$123:$B$127, 0)), "Género no válido", "")), IF(OR(N2370="", N2370=""), "[Aviso] Temporada no capturada ()", IF(ISNA(MATCH(N2370, Criterios!$C$123:$C$128, 0)), "Temporada no válida", "")), IF(OR(O2370="", O2370=""), "[Aviso] Ciclo de vida no capturado ()", IF(ISNA(MATCH(O2370, Criterios!$D$123:$D$124, 0)), "Ciclo de vida no válido", ""))))</f>
        <v/>
      </c>
      <c r="AC2370" s="56" t="n"/>
      <c r="AD2370" s="51" t="n">
        <v>12</v>
      </c>
      <c r="AE2370" s="156" t="inlineStr">
        <is>
          <t>STETSON AMERICAS (12)</t>
        </is>
      </c>
      <c r="AF2370" s="51" t="n">
        <v>12</v>
      </c>
      <c r="AG2370" s="156" t="inlineStr">
        <is>
          <t>Catálogo existente</t>
        </is>
      </c>
      <c r="AH2370" s="156" t="inlineStr">
        <is>
          <t>Revisión 29/09/2026: Campos sin respaldo: P, X | 01/10/2026: complementado desde Shopify Stetson México (match por código de barras): WB Fit, WB Silueta | Homologación G1522 06/10/2026: Enlace de imagen: «» → «https://cdn.shopify.com/s/files/1/0357/2432/9005/products/Preferred_Stock_1.7_Bottle_WarmGreyBG_1x1_0416ab33-c34f-4741-998f-748619132e42.jpg?v=1614285907» (Completado por investigación en línea)</t>
        </is>
      </c>
      <c r="AI2370" s="156" t="inlineStr">
        <is>
          <t>No</t>
        </is>
      </c>
      <c r="AJ2370" s="156" t="n"/>
      <c r="AK2370" s="155" t="inlineStr">
        <is>
          <t>Criterios: I [Q] | Criterios: J [R] | Shopify Stetson: producto 15079524172139 / variante 53443128885611 | Investigación en línea 06/10/2026: https://www.stetson.com/products/stetson-preferred-stock-cologne</t>
        </is>
      </c>
      <c r="AL2370" s="58" t="n">
        <v>214.375</v>
      </c>
      <c r="AM2370" s="58" t="n">
        <v>862.0689655</v>
      </c>
      <c r="AN2370" s="155" t="inlineStr">
        <is>
          <t>Shopify Stetson México</t>
        </is>
      </c>
      <c r="AO2370" s="59" t="n">
        <v>13</v>
      </c>
      <c r="AP2370" s="59" t="n"/>
      <c r="AQ2370" s="59" t="n"/>
      <c r="AR2370" s="155" t="inlineStr">
        <is>
          <t>Shopify Stetson México › Stetson Americas: 13</t>
        </is>
      </c>
    </row>
    <row r="2371">
      <c r="A2371" s="50" t="inlineStr">
        <is>
          <t>810023675693</t>
        </is>
      </c>
      <c r="B2371" s="51" t="inlineStr">
        <is>
          <t>112090</t>
        </is>
      </c>
      <c r="C2371" s="156" t="inlineStr">
        <is>
          <t>Multimarca</t>
        </is>
      </c>
      <c r="D2371" s="156" t="inlineStr">
        <is>
          <t>207000</t>
        </is>
      </c>
      <c r="E2371" s="156" t="inlineStr">
        <is>
          <t>207000</t>
        </is>
      </c>
      <c r="F2371" s="156" t="inlineStr">
        <is>
          <t>100 ml</t>
        </is>
      </c>
      <c r="G2371" s="156" t="inlineStr">
        <is>
          <t>3.4 fl oz</t>
        </is>
      </c>
      <c r="H2371" s="156" t="inlineStr">
        <is>
          <t>Stetson</t>
        </is>
      </c>
      <c r="I2371" s="156" t="inlineStr">
        <is>
          <t>Fragancia Stetson Legend Eau de Toilette para hombre 100ml</t>
        </is>
      </c>
      <c r="J2371" s="156" t="inlineStr">
        <is>
          <t>Accesorios</t>
        </is>
      </c>
      <c r="K2371" s="156" t="inlineStr">
        <is>
          <t>Fragancias</t>
        </is>
      </c>
      <c r="L2371" s="156" t="inlineStr">
        <is>
          <t>Hombre</t>
        </is>
      </c>
      <c r="M2371" s="156" t="inlineStr">
        <is>
          <t>Stetson</t>
        </is>
      </c>
      <c r="N2371" s="156" t="inlineStr">
        <is>
          <t>SS26</t>
        </is>
      </c>
      <c r="O2371" s="156" t="inlineStr">
        <is>
          <t>Core</t>
        </is>
      </c>
      <c r="P2371" s="156" t="n"/>
      <c r="Q2371" s="156" t="n"/>
      <c r="R2371" s="156" t="n"/>
      <c r="S2371" s="156" t="inlineStr">
        <is>
          <t>Alcohol 85% Agua 5% Fragancia 10%</t>
        </is>
      </c>
      <c r="T2371" s="156" t="inlineStr">
        <is>
          <t>Fragancia Stetson Legend Eau de Toilette para hombre.</t>
        </is>
      </c>
      <c r="U2371" s="156" t="inlineStr">
        <is>
          <t>Estados Unidos</t>
        </is>
      </c>
      <c r="V2371" s="156" t="inlineStr">
        <is>
          <t>PZS</t>
        </is>
      </c>
      <c r="W2371" s="51" t="inlineStr">
        <is>
          <t>53131620</t>
        </is>
      </c>
      <c r="X2371" s="156" t="inlineStr">
        <is>
          <t>https://cdn.shopify.com/s/files/1/0357/2432/9005/files/207000_alt1.jpg?v=1697468603</t>
        </is>
      </c>
      <c r="Y2371" s="54" t="n">
        <v>245</v>
      </c>
      <c r="Z2371" s="54" t="n">
        <v>948.2758621</v>
      </c>
      <c r="AA2371" s="55">
        <f>IF(AND(A2371="", B2371="", E2371=""), "", IF(AB2371="", "Válido", IF((LEN(AB2371)-LEN(SUBSTITUTE(AB2371,"; ","")))/2+1&gt;(LEN(AB2371)-LEN(SUBSTITUTE(AB2371,"[Aviso]","")))/7, "Con Incidencias", "Válido")))</f>
        <v/>
      </c>
      <c r="AB2371" s="56">
        <f>IF(AND(A2371="", B2371="", E2371=""), "", TEXTJOIN("; ", TRUE, IF(OR(TRIM(A2371&amp;"")="", ISNUMBER(SEARCH("FALTA", A2371))), "UPC faltante/inválido", ""), IF(AND(A2371&lt;&gt;"", IFERROR(_xlfn.XMATCH(A2371,$A$2:$A$2509,0,1)&lt;&gt;_xlfn.XMATCH(A2371,$A$2:$A$2509,0,-1),FALSE)), "Código de barras duplicado", ""), IF(AND(E2371&lt;&gt;"", COUNTIF($E$2:$E$2509, E2371)&gt;1), "SKU duplicado", ""), IF(OR(J2371="", J2371=""), "[Aviso] División no capturada ()", IF(ISNA(MATCH(J2371, Criterios!$A$123:$A$126, 0)), "División no válida", "")), IF(OR(K2371="", K2371=""), "[Aviso] Categoría no capturada ()", IF(ISNA(MATCH(K2371, Criterios!$A$81:$A$120, 0)), "Categoría no válida", IF(AND(J2371&lt;&gt;"", J2371&lt;&gt;"", J2371&lt;&gt;VLOOKUP(K2371, Criterios!$A$81:$B$120, 2, FALSE)), "División no coincide con Categoría", ""))), IF(OR(L2371="", L2371=""), "[Aviso] Género no capturado ()", IF(ISNA(MATCH(L2371, Criterios!$B$123:$B$127, 0)), "Género no válido", "")), IF(OR(N2371="", N2371=""), "[Aviso] Temporada no capturada ()", IF(ISNA(MATCH(N2371, Criterios!$C$123:$C$128, 0)), "Temporada no válida", "")), IF(OR(O2371="", O2371=""), "[Aviso] Ciclo de vida no capturado ()", IF(ISNA(MATCH(O2371, Criterios!$D$123:$D$124, 0)), "Ciclo de vida no válido", ""))))</f>
        <v/>
      </c>
      <c r="AC2371" s="56" t="n"/>
      <c r="AD2371" s="51" t="n">
        <v>0</v>
      </c>
      <c r="AE2371" s="156" t="n"/>
      <c r="AF2371" s="51" t="n">
        <v>0</v>
      </c>
      <c r="AG2371" s="156" t="inlineStr">
        <is>
          <t>Catálogo existente</t>
        </is>
      </c>
      <c r="AH2371" s="156" t="inlineStr">
        <is>
          <t>Revisión 29/09/2026: Campos sin respaldo: P, X | 01/10/2026: complementado desde Shopify Stetson México (match por código de barras): WB Fit, WB Silueta | Homologación G1522 06/10/2026: Enlace de imagen: «» → «https://cdn.shopify.com/s/files/1/0357/2432/9005/files/207000_alt1.jpg?v=1697468603» (Completado por investigación en línea)</t>
        </is>
      </c>
      <c r="AI2371" s="156" t="inlineStr">
        <is>
          <t>No</t>
        </is>
      </c>
      <c r="AJ2371" s="156" t="n"/>
      <c r="AK2371" s="155" t="inlineStr">
        <is>
          <t>Criterios: I [Q] | Criterios: J [R] | Shopify Stetson: producto 15079524270443 / variante 53443128983915 | Investigación en línea 06/10/2026: https://www.stetson.com/products/stetson-legend</t>
        </is>
      </c>
      <c r="AL2371" s="58" t="n">
        <v>245</v>
      </c>
      <c r="AM2371" s="58" t="n">
        <v>948.2758621</v>
      </c>
      <c r="AN2371" s="155" t="inlineStr">
        <is>
          <t>Shopify Stetson México</t>
        </is>
      </c>
      <c r="AO2371" s="59" t="n">
        <v>0</v>
      </c>
      <c r="AP2371" s="59" t="n"/>
      <c r="AQ2371" s="59" t="n"/>
      <c r="AR2371" s="155" t="n"/>
    </row>
    <row r="2372">
      <c r="A2372" s="50" t="inlineStr">
        <is>
          <t>810023679110</t>
        </is>
      </c>
      <c r="B2372" s="51" t="inlineStr">
        <is>
          <t>112091</t>
        </is>
      </c>
      <c r="C2372" s="156" t="inlineStr">
        <is>
          <t>Multimarca</t>
        </is>
      </c>
      <c r="D2372" s="156" t="inlineStr">
        <is>
          <t>206004-100</t>
        </is>
      </c>
      <c r="E2372" s="156" t="inlineStr">
        <is>
          <t>206004-100</t>
        </is>
      </c>
      <c r="F2372" s="156" t="inlineStr">
        <is>
          <t>50 ml</t>
        </is>
      </c>
      <c r="G2372" s="156" t="inlineStr">
        <is>
          <t>1.7 fl oz</t>
        </is>
      </c>
      <c r="H2372" s="156" t="inlineStr">
        <is>
          <t>Stetson</t>
        </is>
      </c>
      <c r="I2372" s="156" t="inlineStr">
        <is>
          <t>Set Stetson Spirit Cologne 50ml + Vial Legend 1.5ml para hombre</t>
        </is>
      </c>
      <c r="J2372" s="156" t="inlineStr">
        <is>
          <t>Accesorios</t>
        </is>
      </c>
      <c r="K2372" s="156" t="inlineStr">
        <is>
          <t>Fragancias</t>
        </is>
      </c>
      <c r="L2372" s="156" t="inlineStr">
        <is>
          <t>Hombre</t>
        </is>
      </c>
      <c r="M2372" s="156" t="inlineStr">
        <is>
          <t>Stetson</t>
        </is>
      </c>
      <c r="N2372" s="156" t="inlineStr">
        <is>
          <t>SS26</t>
        </is>
      </c>
      <c r="O2372" s="156" t="inlineStr">
        <is>
          <t>Core</t>
        </is>
      </c>
      <c r="P2372" s="156" t="n"/>
      <c r="Q2372" s="156" t="n"/>
      <c r="R2372" s="156" t="n"/>
      <c r="S2372" s="156" t="inlineStr">
        <is>
          <t>Alcohol 92% Agua 5% Fragancia 3%</t>
        </is>
      </c>
      <c r="T2372" s="156" t="inlineStr">
        <is>
          <t>Set Stetson Spirit Cologne 50 ml + Vial Legend 1.5 ml para hombre.</t>
        </is>
      </c>
      <c r="U2372" s="156" t="inlineStr">
        <is>
          <t>Estados Unidos</t>
        </is>
      </c>
      <c r="V2372" s="156" t="inlineStr">
        <is>
          <t>PZS</t>
        </is>
      </c>
      <c r="W2372" s="51" t="inlineStr">
        <is>
          <t>53131620</t>
        </is>
      </c>
      <c r="X2372" s="156" t="inlineStr">
        <is>
          <t>https://cdn.shopify.com/s/files/1/0357/2432/9005/products/StetsonSpirit_Primary.jpg?v=1635519694</t>
        </is>
      </c>
      <c r="Y2372" s="54" t="n">
        <v>165.2</v>
      </c>
      <c r="Z2372" s="54" t="n">
        <v>646.5517241</v>
      </c>
      <c r="AA2372" s="55">
        <f>IF(AND(A2372="", B2372="", E2372=""), "", IF(AB2372="", "Válido", IF((LEN(AB2372)-LEN(SUBSTITUTE(AB2372,"; ","")))/2+1&gt;(LEN(AB2372)-LEN(SUBSTITUTE(AB2372,"[Aviso]","")))/7, "Con Incidencias", "Válido")))</f>
        <v/>
      </c>
      <c r="AB2372" s="56">
        <f>IF(AND(A2372="", B2372="", E2372=""), "", TEXTJOIN("; ", TRUE, IF(OR(TRIM(A2372&amp;"")="", ISNUMBER(SEARCH("FALTA", A2372))), "UPC faltante/inválido", ""), IF(AND(A2372&lt;&gt;"", IFERROR(_xlfn.XMATCH(A2372,$A$2:$A$2509,0,1)&lt;&gt;_xlfn.XMATCH(A2372,$A$2:$A$2509,0,-1),FALSE)), "Código de barras duplicado", ""), IF(AND(E2372&lt;&gt;"", COUNTIF($E$2:$E$2509, E2372)&gt;1), "SKU duplicado", ""), IF(OR(J2372="", J2372=""), "[Aviso] División no capturada ()", IF(ISNA(MATCH(J2372, Criterios!$A$123:$A$126, 0)), "División no válida", "")), IF(OR(K2372="", K2372=""), "[Aviso] Categoría no capturada ()", IF(ISNA(MATCH(K2372, Criterios!$A$81:$A$120, 0)), "Categoría no válida", IF(AND(J2372&lt;&gt;"", J2372&lt;&gt;"", J2372&lt;&gt;VLOOKUP(K2372, Criterios!$A$81:$B$120, 2, FALSE)), "División no coincide con Categoría", ""))), IF(OR(L2372="", L2372=""), "[Aviso] Género no capturado ()", IF(ISNA(MATCH(L2372, Criterios!$B$123:$B$127, 0)), "Género no válido", "")), IF(OR(N2372="", N2372=""), "[Aviso] Temporada no capturada ()", IF(ISNA(MATCH(N2372, Criterios!$C$123:$C$128, 0)), "Temporada no válida", "")), IF(OR(O2372="", O2372=""), "[Aviso] Ciclo de vida no capturado ()", IF(ISNA(MATCH(O2372, Criterios!$D$123:$D$124, 0)), "Ciclo de vida no válido", ""))))</f>
        <v/>
      </c>
      <c r="AC2372" s="56" t="n"/>
      <c r="AD2372" s="51" t="n">
        <v>0</v>
      </c>
      <c r="AE2372" s="156" t="n"/>
      <c r="AF2372" s="51" t="n">
        <v>0</v>
      </c>
      <c r="AG2372" s="156" t="inlineStr">
        <is>
          <t>Catálogo existente</t>
        </is>
      </c>
      <c r="AH2372" s="156" t="inlineStr">
        <is>
          <t>Revisión 29/09/2026: Campos sin respaldo: P, X | 01/10/2026: complementado desde Shopify Stetson México (match por código de barras): WB Fit, WB Silueta | Homologación G1522 06/10/2026: Enlace de imagen: «» → «https://cdn.shopify.com/s/files/1/0357/2432/9005/products/StetsonSpirit_Primary.jpg?v=1635519694» (Completado por investigación en línea)</t>
        </is>
      </c>
      <c r="AI2372" s="156" t="inlineStr">
        <is>
          <t>No</t>
        </is>
      </c>
      <c r="AJ2372" s="156" t="n"/>
      <c r="AK2372" s="155" t="inlineStr">
        <is>
          <t>Criterios: I [Q] | Criterios: J [R] | Shopify Stetson: producto 15079524335979 / variante 53443129049451 | Investigación en línea 06/10/2026: https://www.stetson.com/products/stetson-spirit-cologne</t>
        </is>
      </c>
      <c r="AL2372" s="58" t="n">
        <v>165.2</v>
      </c>
      <c r="AM2372" s="58" t="n">
        <v>646.5517241</v>
      </c>
      <c r="AN2372" s="155" t="inlineStr">
        <is>
          <t>Shopify Stetson México</t>
        </is>
      </c>
      <c r="AO2372" s="59" t="n">
        <v>1</v>
      </c>
      <c r="AP2372" s="59" t="n"/>
      <c r="AQ2372" s="59" t="n"/>
      <c r="AR2372" s="155" t="inlineStr">
        <is>
          <t>Shopify Stetson México › Stetson Americas: 1</t>
        </is>
      </c>
    </row>
    <row r="2373">
      <c r="A2373" s="50" t="inlineStr">
        <is>
          <t>884426264723</t>
        </is>
      </c>
      <c r="B2373" s="51" t="inlineStr">
        <is>
          <t>109555</t>
        </is>
      </c>
      <c r="C2373" s="156" t="inlineStr">
        <is>
          <t>Multimarca</t>
        </is>
      </c>
      <c r="D2373" s="156" t="inlineStr">
        <is>
          <t>11-001-0465-9356</t>
        </is>
      </c>
      <c r="E2373" s="156" t="inlineStr">
        <is>
          <t>11-001-0465-9356-L</t>
        </is>
      </c>
      <c r="F2373" s="156" t="inlineStr">
        <is>
          <t>L</t>
        </is>
      </c>
      <c r="G2373" s="156" t="inlineStr">
        <is>
          <t>L</t>
        </is>
      </c>
      <c r="H2373" s="156" t="inlineStr">
        <is>
          <t>Stetson</t>
        </is>
      </c>
      <c r="I2373" s="156" t="inlineStr">
        <is>
          <t>Camisa Manga Larga Popelina Negra</t>
        </is>
      </c>
      <c r="J2373" s="156" t="inlineStr">
        <is>
          <t>Ropa</t>
        </is>
      </c>
      <c r="K2373" s="156" t="inlineStr">
        <is>
          <t>Camisas</t>
        </is>
      </c>
      <c r="L2373" s="156" t="inlineStr">
        <is>
          <t>Hombre</t>
        </is>
      </c>
      <c r="M2373" s="156" t="inlineStr">
        <is>
          <t>Stetson</t>
        </is>
      </c>
      <c r="N2373" s="156" t="inlineStr">
        <is>
          <t>SS26</t>
        </is>
      </c>
      <c r="O2373" s="156" t="inlineStr">
        <is>
          <t>Seasonal</t>
        </is>
      </c>
      <c r="P2373" s="156" t="inlineStr">
        <is>
          <t>Negro</t>
        </is>
      </c>
      <c r="Q2373" s="156" t="inlineStr">
        <is>
          <t>Regular</t>
        </is>
      </c>
      <c r="R2373" s="156" t="n"/>
      <c r="S2373" s="156" t="inlineStr">
        <is>
          <t>100% Algodón</t>
        </is>
      </c>
      <c r="T2373"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3" s="156" t="n"/>
      <c r="V2373" s="156" t="inlineStr">
        <is>
          <t>PZS</t>
        </is>
      </c>
      <c r="W2373" s="51" t="inlineStr">
        <is>
          <t>53101600</t>
        </is>
      </c>
      <c r="X2373" s="156" t="inlineStr">
        <is>
          <t>https://cdn.shopify.com/s/files/1/0888/3250/8267/files/1100104659356c.jpg?v=1744382208</t>
        </is>
      </c>
      <c r="Y2373" s="54" t="n">
        <v>717.6724138</v>
      </c>
      <c r="Z2373" s="54" t="n">
        <v>1594.827586</v>
      </c>
      <c r="AA2373" s="55">
        <f>IF(AND(A2373="", B2373="", E2373=""), "", IF(AB2373="", "Válido", IF((LEN(AB2373)-LEN(SUBSTITUTE(AB2373,"; ","")))/2+1&gt;(LEN(AB2373)-LEN(SUBSTITUTE(AB2373,"[Aviso]","")))/7, "Con Incidencias", "Válido")))</f>
        <v/>
      </c>
      <c r="AB2373" s="56">
        <f>IF(AND(A2373="", B2373="", E2373=""), "", TEXTJOIN("; ", TRUE, IF(OR(TRIM(A2373&amp;"")="", ISNUMBER(SEARCH("FALTA", A2373))), "UPC faltante/inválido", ""), IF(AND(A2373&lt;&gt;"", IFERROR(_xlfn.XMATCH(A2373,$A$2:$A$2509,0,1)&lt;&gt;_xlfn.XMATCH(A2373,$A$2:$A$2509,0,-1),FALSE)), "Código de barras duplicado", ""), IF(AND(E2373&lt;&gt;"", COUNTIF($E$2:$E$2509, E2373)&gt;1), "SKU duplicado", ""), IF(OR(J2373="", J2373=""), "[Aviso] División no capturada ()", IF(ISNA(MATCH(J2373, Criterios!$A$123:$A$126, 0)), "División no válida", "")), IF(OR(K2373="", K2373=""), "[Aviso] Categoría no capturada ()", IF(ISNA(MATCH(K2373, Criterios!$A$81:$A$120, 0)), "Categoría no válida", IF(AND(J2373&lt;&gt;"", J2373&lt;&gt;"", J2373&lt;&gt;VLOOKUP(K2373, Criterios!$A$81:$B$120, 2, FALSE)), "División no coincide con Categoría", ""))), IF(OR(L2373="", L2373=""), "[Aviso] Género no capturado ()", IF(ISNA(MATCH(L2373, Criterios!$B$123:$B$127, 0)), "Género no válido", "")), IF(OR(N2373="", N2373=""), "[Aviso] Temporada no capturada ()", IF(ISNA(MATCH(N2373, Criterios!$C$123:$C$128, 0)), "Temporada no válida", "")), IF(OR(O2373="", O2373=""), "[Aviso] Ciclo de vida no capturado ()", IF(ISNA(MATCH(O2373, Criterios!$D$123:$D$124, 0)), "Ciclo de vida no válido", ""))))</f>
        <v/>
      </c>
      <c r="AC2373" s="56" t="n"/>
      <c r="AD2373" s="51" t="n">
        <v>0</v>
      </c>
      <c r="AE2373" s="156" t="n"/>
      <c r="AF2373" s="51" t="n">
        <v>0</v>
      </c>
      <c r="AG2373" s="156" t="inlineStr">
        <is>
          <t>Catálogo existente</t>
        </is>
      </c>
      <c r="AH237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3" s="156" t="inlineStr">
        <is>
          <t>No</t>
        </is>
      </c>
      <c r="AJ2373" s="156" t="n"/>
      <c r="AK2373" s="155" t="inlineStr">
        <is>
          <t>Criterios: J [R]; G1522_Extraccion_Articulos_NetSuite_2026-09-30.xlsx: fila 57370 [S] | Shopify Stetson: producto 14694438207851 / variante 51997170139499</t>
        </is>
      </c>
      <c r="AL2373" s="58" t="n">
        <v>717.6724138</v>
      </c>
      <c r="AM2373" s="58" t="n">
        <v>1594.827586</v>
      </c>
      <c r="AN2373" s="155" t="inlineStr">
        <is>
          <t>Shopify Stetson México</t>
        </is>
      </c>
      <c r="AO2373" s="59" t="n">
        <v>0</v>
      </c>
      <c r="AP2373" s="59" t="n"/>
      <c r="AQ2373" s="59" t="n"/>
      <c r="AR2373" s="155" t="n"/>
    </row>
    <row r="2374">
      <c r="A2374" s="50" t="inlineStr">
        <is>
          <t>884426264730</t>
        </is>
      </c>
      <c r="B2374" s="51" t="inlineStr">
        <is>
          <t>109556</t>
        </is>
      </c>
      <c r="C2374" s="156" t="inlineStr">
        <is>
          <t>Multimarca</t>
        </is>
      </c>
      <c r="D2374" s="156" t="inlineStr">
        <is>
          <t>11-001-0465-9356</t>
        </is>
      </c>
      <c r="E2374" s="156" t="inlineStr">
        <is>
          <t>11-001-0465-9356-M</t>
        </is>
      </c>
      <c r="F2374" s="156" t="inlineStr">
        <is>
          <t>M</t>
        </is>
      </c>
      <c r="G2374" s="156" t="inlineStr">
        <is>
          <t>M</t>
        </is>
      </c>
      <c r="H2374" s="156" t="inlineStr">
        <is>
          <t>Stetson</t>
        </is>
      </c>
      <c r="I2374" s="156" t="inlineStr">
        <is>
          <t>Camisa Manga Larga Popelina Negra</t>
        </is>
      </c>
      <c r="J2374" s="156" t="inlineStr">
        <is>
          <t>Ropa</t>
        </is>
      </c>
      <c r="K2374" s="156" t="inlineStr">
        <is>
          <t>Camisas</t>
        </is>
      </c>
      <c r="L2374" s="156" t="inlineStr">
        <is>
          <t>Hombre</t>
        </is>
      </c>
      <c r="M2374" s="156" t="inlineStr">
        <is>
          <t>Stetson</t>
        </is>
      </c>
      <c r="N2374" s="156" t="inlineStr">
        <is>
          <t>SS26</t>
        </is>
      </c>
      <c r="O2374" s="156" t="inlineStr">
        <is>
          <t>Seasonal</t>
        </is>
      </c>
      <c r="P2374" s="156" t="inlineStr">
        <is>
          <t>Negro</t>
        </is>
      </c>
      <c r="Q2374" s="156" t="inlineStr">
        <is>
          <t>Regular</t>
        </is>
      </c>
      <c r="R2374" s="156" t="n"/>
      <c r="S2374" s="156" t="inlineStr">
        <is>
          <t>100% Algodón</t>
        </is>
      </c>
      <c r="T2374"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4" s="156" t="n"/>
      <c r="V2374" s="156" t="inlineStr">
        <is>
          <t>PZS</t>
        </is>
      </c>
      <c r="W2374" s="51" t="inlineStr">
        <is>
          <t>53101600</t>
        </is>
      </c>
      <c r="X2374" s="156" t="inlineStr">
        <is>
          <t>https://cdn.shopify.com/s/files/1/0888/3250/8267/files/1100104659356b.jpg?v=1744382208</t>
        </is>
      </c>
      <c r="Y2374" s="54" t="n">
        <v>717.6724138</v>
      </c>
      <c r="Z2374" s="54" t="n">
        <v>1594.827586</v>
      </c>
      <c r="AA2374" s="55">
        <f>IF(AND(A2374="", B2374="", E2374=""), "", IF(AB2374="", "Válido", IF((LEN(AB2374)-LEN(SUBSTITUTE(AB2374,"; ","")))/2+1&gt;(LEN(AB2374)-LEN(SUBSTITUTE(AB2374,"[Aviso]","")))/7, "Con Incidencias", "Válido")))</f>
        <v/>
      </c>
      <c r="AB2374" s="56">
        <f>IF(AND(A2374="", B2374="", E2374=""), "", TEXTJOIN("; ", TRUE, IF(OR(TRIM(A2374&amp;"")="", ISNUMBER(SEARCH("FALTA", A2374))), "UPC faltante/inválido", ""), IF(AND(A2374&lt;&gt;"", IFERROR(_xlfn.XMATCH(A2374,$A$2:$A$2509,0,1)&lt;&gt;_xlfn.XMATCH(A2374,$A$2:$A$2509,0,-1),FALSE)), "Código de barras duplicado", ""), IF(AND(E2374&lt;&gt;"", COUNTIF($E$2:$E$2509, E2374)&gt;1), "SKU duplicado", ""), IF(OR(J2374="", J2374=""), "[Aviso] División no capturada ()", IF(ISNA(MATCH(J2374, Criterios!$A$123:$A$126, 0)), "División no válida", "")), IF(OR(K2374="", K2374=""), "[Aviso] Categoría no capturada ()", IF(ISNA(MATCH(K2374, Criterios!$A$81:$A$120, 0)), "Categoría no válida", IF(AND(J2374&lt;&gt;"", J2374&lt;&gt;"", J2374&lt;&gt;VLOOKUP(K2374, Criterios!$A$81:$B$120, 2, FALSE)), "División no coincide con Categoría", ""))), IF(OR(L2374="", L2374=""), "[Aviso] Género no capturado ()", IF(ISNA(MATCH(L2374, Criterios!$B$123:$B$127, 0)), "Género no válido", "")), IF(OR(N2374="", N2374=""), "[Aviso] Temporada no capturada ()", IF(ISNA(MATCH(N2374, Criterios!$C$123:$C$128, 0)), "Temporada no válida", "")), IF(OR(O2374="", O2374=""), "[Aviso] Ciclo de vida no capturado ()", IF(ISNA(MATCH(O2374, Criterios!$D$123:$D$124, 0)), "Ciclo de vida no válido", ""))))</f>
        <v/>
      </c>
      <c r="AC2374" s="56" t="n"/>
      <c r="AD2374" s="51" t="n">
        <v>0</v>
      </c>
      <c r="AE2374" s="156" t="n"/>
      <c r="AF2374" s="51" t="n">
        <v>0</v>
      </c>
      <c r="AG2374" s="156" t="inlineStr">
        <is>
          <t>Catálogo existente</t>
        </is>
      </c>
      <c r="AH237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4" s="156" t="inlineStr">
        <is>
          <t>No</t>
        </is>
      </c>
      <c r="AJ2374" s="156" t="n"/>
      <c r="AK2374" s="155" t="inlineStr">
        <is>
          <t>Criterios: J [R]; G1522_Extraccion_Articulos_NetSuite_2026-09-30.xlsx: fila 57371 [S] | Shopify Stetson: producto 14694438207851 / variante 51997170106731</t>
        </is>
      </c>
      <c r="AL2374" s="58" t="n">
        <v>717.6724138</v>
      </c>
      <c r="AM2374" s="58" t="n">
        <v>1594.827586</v>
      </c>
      <c r="AN2374" s="155" t="inlineStr">
        <is>
          <t>Shopify Stetson México</t>
        </is>
      </c>
      <c r="AO2374" s="59" t="n">
        <v>0</v>
      </c>
      <c r="AP2374" s="59" t="n"/>
      <c r="AQ2374" s="59" t="n"/>
      <c r="AR2374" s="155" t="n"/>
    </row>
    <row r="2375">
      <c r="A2375" s="50" t="inlineStr">
        <is>
          <t>884426264747</t>
        </is>
      </c>
      <c r="B2375" s="51" t="inlineStr">
        <is>
          <t>109557</t>
        </is>
      </c>
      <c r="C2375" s="156" t="inlineStr">
        <is>
          <t>Multimarca</t>
        </is>
      </c>
      <c r="D2375" s="156" t="inlineStr">
        <is>
          <t>11-001-0465-9356</t>
        </is>
      </c>
      <c r="E2375" s="156" t="inlineStr">
        <is>
          <t>11-001-0465-9356-S</t>
        </is>
      </c>
      <c r="F2375" s="156" t="inlineStr">
        <is>
          <t>S</t>
        </is>
      </c>
      <c r="G2375" s="156" t="inlineStr">
        <is>
          <t>S</t>
        </is>
      </c>
      <c r="H2375" s="156" t="inlineStr">
        <is>
          <t>Stetson</t>
        </is>
      </c>
      <c r="I2375" s="156" t="inlineStr">
        <is>
          <t>Camisa Manga Larga Popelina Negra</t>
        </is>
      </c>
      <c r="J2375" s="156" t="inlineStr">
        <is>
          <t>Ropa</t>
        </is>
      </c>
      <c r="K2375" s="156" t="inlineStr">
        <is>
          <t>Camisas</t>
        </is>
      </c>
      <c r="L2375" s="156" t="inlineStr">
        <is>
          <t>Hombre</t>
        </is>
      </c>
      <c r="M2375" s="156" t="inlineStr">
        <is>
          <t>Stetson</t>
        </is>
      </c>
      <c r="N2375" s="156" t="inlineStr">
        <is>
          <t>SS26</t>
        </is>
      </c>
      <c r="O2375" s="156" t="inlineStr">
        <is>
          <t>Seasonal</t>
        </is>
      </c>
      <c r="P2375" s="156" t="inlineStr">
        <is>
          <t>Negro</t>
        </is>
      </c>
      <c r="Q2375" s="156" t="inlineStr">
        <is>
          <t>Regular</t>
        </is>
      </c>
      <c r="R2375" s="156" t="n"/>
      <c r="S2375" s="156" t="inlineStr">
        <is>
          <t>100% Algodón</t>
        </is>
      </c>
      <c r="T2375"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5" s="156" t="n"/>
      <c r="V2375" s="156" t="inlineStr">
        <is>
          <t>PZS</t>
        </is>
      </c>
      <c r="W2375" s="51" t="inlineStr">
        <is>
          <t>53101600</t>
        </is>
      </c>
      <c r="X2375" s="156" t="inlineStr">
        <is>
          <t>https://cdn.shopify.com/s/files/1/0888/3250/8267/files/1100104659356a.jpg?v=1744382175</t>
        </is>
      </c>
      <c r="Y2375" s="54" t="n">
        <v>717.6724138</v>
      </c>
      <c r="Z2375" s="54" t="n">
        <v>1594.827586</v>
      </c>
      <c r="AA2375" s="55">
        <f>IF(AND(A2375="", B2375="", E2375=""), "", IF(AB2375="", "Válido", IF((LEN(AB2375)-LEN(SUBSTITUTE(AB2375,"; ","")))/2+1&gt;(LEN(AB2375)-LEN(SUBSTITUTE(AB2375,"[Aviso]","")))/7, "Con Incidencias", "Válido")))</f>
        <v/>
      </c>
      <c r="AB2375" s="56">
        <f>IF(AND(A2375="", B2375="", E2375=""), "", TEXTJOIN("; ", TRUE, IF(OR(TRIM(A2375&amp;"")="", ISNUMBER(SEARCH("FALTA", A2375))), "UPC faltante/inválido", ""), IF(AND(A2375&lt;&gt;"", IFERROR(_xlfn.XMATCH(A2375,$A$2:$A$2509,0,1)&lt;&gt;_xlfn.XMATCH(A2375,$A$2:$A$2509,0,-1),FALSE)), "Código de barras duplicado", ""), IF(AND(E2375&lt;&gt;"", COUNTIF($E$2:$E$2509, E2375)&gt;1), "SKU duplicado", ""), IF(OR(J2375="", J2375=""), "[Aviso] División no capturada ()", IF(ISNA(MATCH(J2375, Criterios!$A$123:$A$126, 0)), "División no válida", "")), IF(OR(K2375="", K2375=""), "[Aviso] Categoría no capturada ()", IF(ISNA(MATCH(K2375, Criterios!$A$81:$A$120, 0)), "Categoría no válida", IF(AND(J2375&lt;&gt;"", J2375&lt;&gt;"", J2375&lt;&gt;VLOOKUP(K2375, Criterios!$A$81:$B$120, 2, FALSE)), "División no coincide con Categoría", ""))), IF(OR(L2375="", L2375=""), "[Aviso] Género no capturado ()", IF(ISNA(MATCH(L2375, Criterios!$B$123:$B$127, 0)), "Género no válido", "")), IF(OR(N2375="", N2375=""), "[Aviso] Temporada no capturada ()", IF(ISNA(MATCH(N2375, Criterios!$C$123:$C$128, 0)), "Temporada no válida", "")), IF(OR(O2375="", O2375=""), "[Aviso] Ciclo de vida no capturado ()", IF(ISNA(MATCH(O2375, Criterios!$D$123:$D$124, 0)), "Ciclo de vida no válido", ""))))</f>
        <v/>
      </c>
      <c r="AC2375" s="56" t="n"/>
      <c r="AD2375" s="51" t="n">
        <v>0</v>
      </c>
      <c r="AE2375" s="156" t="n"/>
      <c r="AF2375" s="51" t="n">
        <v>0</v>
      </c>
      <c r="AG2375" s="156" t="inlineStr">
        <is>
          <t>Catálogo existente</t>
        </is>
      </c>
      <c r="AH23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5" s="156" t="inlineStr">
        <is>
          <t>No</t>
        </is>
      </c>
      <c r="AJ2375" s="156" t="n"/>
      <c r="AK2375" s="155" t="inlineStr">
        <is>
          <t>Criterios: J [R]; G1522_Extraccion_Articulos_NetSuite_2026-09-30.xlsx: fila 57372 [S] | Shopify Stetson: producto 14694438207851 / variante 51997170073963</t>
        </is>
      </c>
      <c r="AL2375" s="58" t="n">
        <v>717.6724138</v>
      </c>
      <c r="AM2375" s="58" t="n">
        <v>1594.827586</v>
      </c>
      <c r="AN2375" s="155" t="inlineStr">
        <is>
          <t>Shopify Stetson México</t>
        </is>
      </c>
      <c r="AO2375" s="59" t="n">
        <v>0</v>
      </c>
      <c r="AP2375" s="59" t="n"/>
      <c r="AQ2375" s="59" t="n"/>
      <c r="AR2375" s="155" t="n"/>
    </row>
    <row r="2376">
      <c r="A2376" s="50" t="inlineStr">
        <is>
          <t>884426264754</t>
        </is>
      </c>
      <c r="B2376" s="51" t="inlineStr">
        <is>
          <t>109558</t>
        </is>
      </c>
      <c r="C2376" s="156" t="inlineStr">
        <is>
          <t>Multimarca</t>
        </is>
      </c>
      <c r="D2376" s="156" t="inlineStr">
        <is>
          <t>11-001-0465-9356</t>
        </is>
      </c>
      <c r="E2376" s="156" t="inlineStr">
        <is>
          <t>11-001-0465-9356-XL</t>
        </is>
      </c>
      <c r="F2376" s="156" t="inlineStr">
        <is>
          <t>XL</t>
        </is>
      </c>
      <c r="G2376" s="156" t="inlineStr">
        <is>
          <t>XL</t>
        </is>
      </c>
      <c r="H2376" s="156" t="inlineStr">
        <is>
          <t>Stetson</t>
        </is>
      </c>
      <c r="I2376" s="156" t="inlineStr">
        <is>
          <t>Camisa Manga Larga Popelina Negra</t>
        </is>
      </c>
      <c r="J2376" s="156" t="inlineStr">
        <is>
          <t>Ropa</t>
        </is>
      </c>
      <c r="K2376" s="156" t="inlineStr">
        <is>
          <t>Camisas</t>
        </is>
      </c>
      <c r="L2376" s="156" t="inlineStr">
        <is>
          <t>Hombre</t>
        </is>
      </c>
      <c r="M2376" s="156" t="inlineStr">
        <is>
          <t>Stetson</t>
        </is>
      </c>
      <c r="N2376" s="156" t="inlineStr">
        <is>
          <t>SS26</t>
        </is>
      </c>
      <c r="O2376" s="156" t="inlineStr">
        <is>
          <t>Seasonal</t>
        </is>
      </c>
      <c r="P2376" s="156" t="inlineStr">
        <is>
          <t>Negro</t>
        </is>
      </c>
      <c r="Q2376" s="156" t="inlineStr">
        <is>
          <t>Regular</t>
        </is>
      </c>
      <c r="R2376" s="156" t="n"/>
      <c r="S2376" s="156" t="inlineStr">
        <is>
          <t>100% Algodón</t>
        </is>
      </c>
      <c r="T2376"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6" s="156" t="n"/>
      <c r="V2376" s="156" t="inlineStr">
        <is>
          <t>PZS</t>
        </is>
      </c>
      <c r="W2376" s="51" t="inlineStr">
        <is>
          <t>53101600</t>
        </is>
      </c>
      <c r="X2376" s="156" t="inlineStr">
        <is>
          <t>https://cdn.shopify.com/s/files/1/0888/3250/8267/files/1100104659356a.jpg?v=1744382175</t>
        </is>
      </c>
      <c r="Y2376" s="54" t="n">
        <v>717.6724138</v>
      </c>
      <c r="Z2376" s="54" t="n">
        <v>1594.827586</v>
      </c>
      <c r="AA2376" s="55">
        <f>IF(AND(A2376="", B2376="", E2376=""), "", IF(AB2376="", "Válido", IF((LEN(AB2376)-LEN(SUBSTITUTE(AB2376,"; ","")))/2+1&gt;(LEN(AB2376)-LEN(SUBSTITUTE(AB2376,"[Aviso]","")))/7, "Con Incidencias", "Válido")))</f>
        <v/>
      </c>
      <c r="AB2376" s="56">
        <f>IF(AND(A2376="", B2376="", E2376=""), "", TEXTJOIN("; ", TRUE, IF(OR(TRIM(A2376&amp;"")="", ISNUMBER(SEARCH("FALTA", A2376))), "UPC faltante/inválido", ""), IF(AND(A2376&lt;&gt;"", IFERROR(_xlfn.XMATCH(A2376,$A$2:$A$2509,0,1)&lt;&gt;_xlfn.XMATCH(A2376,$A$2:$A$2509,0,-1),FALSE)), "Código de barras duplicado", ""), IF(AND(E2376&lt;&gt;"", COUNTIF($E$2:$E$2509, E2376)&gt;1), "SKU duplicado", ""), IF(OR(J2376="", J2376=""), "[Aviso] División no capturada ()", IF(ISNA(MATCH(J2376, Criterios!$A$123:$A$126, 0)), "División no válida", "")), IF(OR(K2376="", K2376=""), "[Aviso] Categoría no capturada ()", IF(ISNA(MATCH(K2376, Criterios!$A$81:$A$120, 0)), "Categoría no válida", IF(AND(J2376&lt;&gt;"", J2376&lt;&gt;"", J2376&lt;&gt;VLOOKUP(K2376, Criterios!$A$81:$B$120, 2, FALSE)), "División no coincide con Categoría", ""))), IF(OR(L2376="", L2376=""), "[Aviso] Género no capturado ()", IF(ISNA(MATCH(L2376, Criterios!$B$123:$B$127, 0)), "Género no válido", "")), IF(OR(N2376="", N2376=""), "[Aviso] Temporada no capturada ()", IF(ISNA(MATCH(N2376, Criterios!$C$123:$C$128, 0)), "Temporada no válida", "")), IF(OR(O2376="", O2376=""), "[Aviso] Ciclo de vida no capturado ()", IF(ISNA(MATCH(O2376, Criterios!$D$123:$D$124, 0)), "Ciclo de vida no válido", ""))))</f>
        <v/>
      </c>
      <c r="AC2376" s="56" t="n"/>
      <c r="AD2376" s="51" t="n">
        <v>0</v>
      </c>
      <c r="AE2376" s="156" t="n"/>
      <c r="AF2376" s="51" t="n">
        <v>0</v>
      </c>
      <c r="AG2376" s="156" t="inlineStr">
        <is>
          <t>Catálogo existente</t>
        </is>
      </c>
      <c r="AH2376"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6" s="156" t="inlineStr">
        <is>
          <t>No</t>
        </is>
      </c>
      <c r="AJ2376" s="156" t="n"/>
      <c r="AK2376" s="155" t="inlineStr">
        <is>
          <t>Criterios: J [R]; G1522_Extraccion_Articulos_NetSuite_2026-09-30.xlsx: fila 57373 [S] | Shopify Stetson: producto 14694438207851 / variante 51997170172267</t>
        </is>
      </c>
      <c r="AL2376" s="58" t="n">
        <v>717.6724138</v>
      </c>
      <c r="AM2376" s="58" t="n">
        <v>1594.827586</v>
      </c>
      <c r="AN2376" s="155" t="inlineStr">
        <is>
          <t>Shopify Stetson México</t>
        </is>
      </c>
      <c r="AO2376" s="59" t="n">
        <v>0</v>
      </c>
      <c r="AP2376" s="59" t="n"/>
      <c r="AQ2376" s="59" t="n"/>
      <c r="AR2376" s="155" t="n"/>
    </row>
    <row r="2377">
      <c r="A2377" s="50" t="inlineStr">
        <is>
          <t>884426264761</t>
        </is>
      </c>
      <c r="B2377" s="51" t="inlineStr">
        <is>
          <t>109559</t>
        </is>
      </c>
      <c r="C2377" s="156" t="inlineStr">
        <is>
          <t>Multimarca</t>
        </is>
      </c>
      <c r="D2377" s="156" t="inlineStr">
        <is>
          <t>11-001-0465-9356</t>
        </is>
      </c>
      <c r="E2377" s="156" t="inlineStr">
        <is>
          <t>11-001-0465-9356-XXL</t>
        </is>
      </c>
      <c r="F2377" s="156" t="inlineStr">
        <is>
          <t>XXL</t>
        </is>
      </c>
      <c r="G2377" s="156" t="inlineStr">
        <is>
          <t>XXL</t>
        </is>
      </c>
      <c r="H2377" s="156" t="inlineStr">
        <is>
          <t>Stetson</t>
        </is>
      </c>
      <c r="I2377" s="156" t="inlineStr">
        <is>
          <t>Camisa Manga Larga Popelina Negra</t>
        </is>
      </c>
      <c r="J2377" s="156" t="inlineStr">
        <is>
          <t>Ropa</t>
        </is>
      </c>
      <c r="K2377" s="156" t="inlineStr">
        <is>
          <t>Camisas</t>
        </is>
      </c>
      <c r="L2377" s="156" t="inlineStr">
        <is>
          <t>Hombre</t>
        </is>
      </c>
      <c r="M2377" s="156" t="inlineStr">
        <is>
          <t>Stetson</t>
        </is>
      </c>
      <c r="N2377" s="156" t="inlineStr">
        <is>
          <t>SS26</t>
        </is>
      </c>
      <c r="O2377" s="156" t="inlineStr">
        <is>
          <t>Seasonal</t>
        </is>
      </c>
      <c r="P2377" s="156" t="inlineStr">
        <is>
          <t>Negro</t>
        </is>
      </c>
      <c r="Q2377" s="156" t="inlineStr">
        <is>
          <t>Regular</t>
        </is>
      </c>
      <c r="R2377" s="156" t="n"/>
      <c r="S2377" s="156" t="inlineStr">
        <is>
          <t>100% Algodón</t>
        </is>
      </c>
      <c r="T2377"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7" s="156" t="n"/>
      <c r="V2377" s="156" t="inlineStr">
        <is>
          <t>PZS</t>
        </is>
      </c>
      <c r="W2377" s="51" t="inlineStr">
        <is>
          <t>53101600</t>
        </is>
      </c>
      <c r="X2377" s="156" t="inlineStr">
        <is>
          <t>https://cdn.shopify.com/s/files/1/0888/3250/8267/files/1100104659356a.jpg?v=1744382175</t>
        </is>
      </c>
      <c r="Y2377" s="54" t="n">
        <v>717.6724138</v>
      </c>
      <c r="Z2377" s="54" t="n">
        <v>1594.827586</v>
      </c>
      <c r="AA2377" s="55">
        <f>IF(AND(A2377="", B2377="", E2377=""), "", IF(AB2377="", "Válido", IF((LEN(AB2377)-LEN(SUBSTITUTE(AB2377,"; ","")))/2+1&gt;(LEN(AB2377)-LEN(SUBSTITUTE(AB2377,"[Aviso]","")))/7, "Con Incidencias", "Válido")))</f>
        <v/>
      </c>
      <c r="AB2377" s="56">
        <f>IF(AND(A2377="", B2377="", E2377=""), "", TEXTJOIN("; ", TRUE, IF(OR(TRIM(A2377&amp;"")="", ISNUMBER(SEARCH("FALTA", A2377))), "UPC faltante/inválido", ""), IF(AND(A2377&lt;&gt;"", IFERROR(_xlfn.XMATCH(A2377,$A$2:$A$2509,0,1)&lt;&gt;_xlfn.XMATCH(A2377,$A$2:$A$2509,0,-1),FALSE)), "Código de barras duplicado", ""), IF(AND(E2377&lt;&gt;"", COUNTIF($E$2:$E$2509, E2377)&gt;1), "SKU duplicado", ""), IF(OR(J2377="", J2377=""), "[Aviso] División no capturada ()", IF(ISNA(MATCH(J2377, Criterios!$A$123:$A$126, 0)), "División no válida", "")), IF(OR(K2377="", K2377=""), "[Aviso] Categoría no capturada ()", IF(ISNA(MATCH(K2377, Criterios!$A$81:$A$120, 0)), "Categoría no válida", IF(AND(J2377&lt;&gt;"", J2377&lt;&gt;"", J2377&lt;&gt;VLOOKUP(K2377, Criterios!$A$81:$B$120, 2, FALSE)), "División no coincide con Categoría", ""))), IF(OR(L2377="", L2377=""), "[Aviso] Género no capturado ()", IF(ISNA(MATCH(L2377, Criterios!$B$123:$B$127, 0)), "Género no válido", "")), IF(OR(N2377="", N2377=""), "[Aviso] Temporada no capturada ()", IF(ISNA(MATCH(N2377, Criterios!$C$123:$C$128, 0)), "Temporada no válida", "")), IF(OR(O2377="", O2377=""), "[Aviso] Ciclo de vida no capturado ()", IF(ISNA(MATCH(O2377, Criterios!$D$123:$D$124, 0)), "Ciclo de vida no válido", ""))))</f>
        <v/>
      </c>
      <c r="AC2377" s="56" t="n"/>
      <c r="AD2377" s="51" t="n">
        <v>0</v>
      </c>
      <c r="AE2377" s="156" t="n"/>
      <c r="AF2377" s="51" t="n">
        <v>0</v>
      </c>
      <c r="AG2377" s="156" t="inlineStr">
        <is>
          <t>Catálogo existente</t>
        </is>
      </c>
      <c r="AH237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7" s="156" t="inlineStr">
        <is>
          <t>No</t>
        </is>
      </c>
      <c r="AJ2377" s="156" t="n"/>
      <c r="AK2377" s="155" t="inlineStr">
        <is>
          <t>Criterios: J [R]; G1522_Extraccion_Articulos_NetSuite_2026-09-30.xlsx: fila 57374 [S] | Shopify Stetson: producto 14694438207851 / variante 51997173023083</t>
        </is>
      </c>
      <c r="AL2377" s="58" t="n">
        <v>717.6724138</v>
      </c>
      <c r="AM2377" s="58" t="n">
        <v>1594.827586</v>
      </c>
      <c r="AN2377" s="155" t="inlineStr">
        <is>
          <t>Shopify Stetson México</t>
        </is>
      </c>
      <c r="AO2377" s="59" t="n">
        <v>0</v>
      </c>
      <c r="AP2377" s="59" t="n"/>
      <c r="AQ2377" s="59" t="n"/>
      <c r="AR2377" s="155" t="n"/>
    </row>
    <row r="2378">
      <c r="A2378" s="50" t="inlineStr">
        <is>
          <t>884426264785</t>
        </is>
      </c>
      <c r="B2378" s="51" t="inlineStr">
        <is>
          <t>109595</t>
        </is>
      </c>
      <c r="C2378" s="156" t="inlineStr">
        <is>
          <t>Multimarca</t>
        </is>
      </c>
      <c r="D2378" s="156" t="inlineStr">
        <is>
          <t>11-001-0489-0025</t>
        </is>
      </c>
      <c r="E2378" s="156" t="inlineStr">
        <is>
          <t>11-001-0489-0025-L</t>
        </is>
      </c>
      <c r="F2378" s="156" t="inlineStr">
        <is>
          <t>L</t>
        </is>
      </c>
      <c r="G2378" s="156" t="inlineStr">
        <is>
          <t>L</t>
        </is>
      </c>
      <c r="H2378" s="156" t="inlineStr">
        <is>
          <t>Stetson</t>
        </is>
      </c>
      <c r="I2378" s="156" t="inlineStr">
        <is>
          <t>Camisa Logo Stetson Blanca</t>
        </is>
      </c>
      <c r="J2378" s="156" t="inlineStr">
        <is>
          <t>Ropa</t>
        </is>
      </c>
      <c r="K2378" s="156" t="inlineStr">
        <is>
          <t>Camisas</t>
        </is>
      </c>
      <c r="L2378" s="156" t="inlineStr">
        <is>
          <t>Hombre</t>
        </is>
      </c>
      <c r="M2378" s="156" t="inlineStr">
        <is>
          <t>Stetson</t>
        </is>
      </c>
      <c r="N2378" s="156" t="inlineStr">
        <is>
          <t>SS26</t>
        </is>
      </c>
      <c r="O2378" s="156" t="inlineStr">
        <is>
          <t>Seasonal</t>
        </is>
      </c>
      <c r="P2378" s="156" t="inlineStr">
        <is>
          <t>Blanco</t>
        </is>
      </c>
      <c r="Q2378" s="156" t="inlineStr">
        <is>
          <t>Regular</t>
        </is>
      </c>
      <c r="R2378" s="156" t="n"/>
      <c r="S2378" s="156" t="inlineStr">
        <is>
          <t>100% Algodón</t>
        </is>
      </c>
      <c r="T2378"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78" s="156" t="n"/>
      <c r="V2378" s="156" t="inlineStr">
        <is>
          <t>PZS</t>
        </is>
      </c>
      <c r="W2378" s="51" t="inlineStr">
        <is>
          <t>53101600</t>
        </is>
      </c>
      <c r="X2378" s="156" t="inlineStr">
        <is>
          <t>https://cdn.shopify.com/s/files/1/0888/3250/8267/files/1100104890025a.jpg?v=1744647408</t>
        </is>
      </c>
      <c r="Y2378" s="54" t="n">
        <v>717.6724138</v>
      </c>
      <c r="Z2378" s="54" t="n">
        <v>1594.827586</v>
      </c>
      <c r="AA2378" s="55">
        <f>IF(AND(A2378="", B2378="", E2378=""), "", IF(AB2378="", "Válido", IF((LEN(AB2378)-LEN(SUBSTITUTE(AB2378,"; ","")))/2+1&gt;(LEN(AB2378)-LEN(SUBSTITUTE(AB2378,"[Aviso]","")))/7, "Con Incidencias", "Válido")))</f>
        <v/>
      </c>
      <c r="AB2378" s="56">
        <f>IF(AND(A2378="", B2378="", E2378=""), "", TEXTJOIN("; ", TRUE, IF(OR(TRIM(A2378&amp;"")="", ISNUMBER(SEARCH("FALTA", A2378))), "UPC faltante/inválido", ""), IF(AND(A2378&lt;&gt;"", IFERROR(_xlfn.XMATCH(A2378,$A$2:$A$2509,0,1)&lt;&gt;_xlfn.XMATCH(A2378,$A$2:$A$2509,0,-1),FALSE)), "Código de barras duplicado", ""), IF(AND(E2378&lt;&gt;"", COUNTIF($E$2:$E$2509, E2378)&gt;1), "SKU duplicado", ""), IF(OR(J2378="", J2378=""), "[Aviso] División no capturada ()", IF(ISNA(MATCH(J2378, Criterios!$A$123:$A$126, 0)), "División no válida", "")), IF(OR(K2378="", K2378=""), "[Aviso] Categoría no capturada ()", IF(ISNA(MATCH(K2378, Criterios!$A$81:$A$120, 0)), "Categoría no válida", IF(AND(J2378&lt;&gt;"", J2378&lt;&gt;"", J2378&lt;&gt;VLOOKUP(K2378, Criterios!$A$81:$B$120, 2, FALSE)), "División no coincide con Categoría", ""))), IF(OR(L2378="", L2378=""), "[Aviso] Género no capturado ()", IF(ISNA(MATCH(L2378, Criterios!$B$123:$B$127, 0)), "Género no válido", "")), IF(OR(N2378="", N2378=""), "[Aviso] Temporada no capturada ()", IF(ISNA(MATCH(N2378, Criterios!$C$123:$C$128, 0)), "Temporada no válida", "")), IF(OR(O2378="", O2378=""), "[Aviso] Ciclo de vida no capturado ()", IF(ISNA(MATCH(O2378, Criterios!$D$123:$D$124, 0)), "Ciclo de vida no válido", ""))))</f>
        <v/>
      </c>
      <c r="AC2378" s="56" t="n"/>
      <c r="AD2378" s="51" t="n">
        <v>0</v>
      </c>
      <c r="AE2378" s="156" t="n"/>
      <c r="AF2378" s="51" t="n">
        <v>0</v>
      </c>
      <c r="AG2378" s="156" t="inlineStr">
        <is>
          <t>Catálogo existente</t>
        </is>
      </c>
      <c r="AH237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8" s="156" t="inlineStr">
        <is>
          <t>No</t>
        </is>
      </c>
      <c r="AJ2378" s="156" t="n"/>
      <c r="AK2378" s="155" t="inlineStr">
        <is>
          <t>Criterios: J [R]; G1522_Extraccion_Articulos_NetSuite_2026-09-30.xlsx: fila 57410 [S] | Shopify Stetson: producto 14695103267179 / variante 52001995358571</t>
        </is>
      </c>
      <c r="AL2378" s="58" t="n">
        <v>717.6724138</v>
      </c>
      <c r="AM2378" s="58" t="n">
        <v>1594.827586</v>
      </c>
      <c r="AN2378" s="155" t="inlineStr">
        <is>
          <t>Shopify Stetson México</t>
        </is>
      </c>
      <c r="AO2378" s="59" t="n">
        <v>0</v>
      </c>
      <c r="AP2378" s="59" t="n"/>
      <c r="AQ2378" s="59" t="n"/>
      <c r="AR2378" s="155" t="n"/>
    </row>
    <row r="2379">
      <c r="A2379" s="50" t="inlineStr">
        <is>
          <t>884426264792</t>
        </is>
      </c>
      <c r="B2379" s="51" t="inlineStr">
        <is>
          <t>109596</t>
        </is>
      </c>
      <c r="C2379" s="156" t="inlineStr">
        <is>
          <t>Multimarca</t>
        </is>
      </c>
      <c r="D2379" s="156" t="inlineStr">
        <is>
          <t>11-001-0489-0025</t>
        </is>
      </c>
      <c r="E2379" s="156" t="inlineStr">
        <is>
          <t>11-001-0489-0025-M</t>
        </is>
      </c>
      <c r="F2379" s="156" t="inlineStr">
        <is>
          <t>M</t>
        </is>
      </c>
      <c r="G2379" s="156" t="inlineStr">
        <is>
          <t>M</t>
        </is>
      </c>
      <c r="H2379" s="156" t="inlineStr">
        <is>
          <t>Stetson</t>
        </is>
      </c>
      <c r="I2379" s="156" t="inlineStr">
        <is>
          <t>Camisa Logo Stetson Blanca</t>
        </is>
      </c>
      <c r="J2379" s="156" t="inlineStr">
        <is>
          <t>Ropa</t>
        </is>
      </c>
      <c r="K2379" s="156" t="inlineStr">
        <is>
          <t>Camisas</t>
        </is>
      </c>
      <c r="L2379" s="156" t="inlineStr">
        <is>
          <t>Hombre</t>
        </is>
      </c>
      <c r="M2379" s="156" t="inlineStr">
        <is>
          <t>Stetson</t>
        </is>
      </c>
      <c r="N2379" s="156" t="inlineStr">
        <is>
          <t>SS26</t>
        </is>
      </c>
      <c r="O2379" s="156" t="inlineStr">
        <is>
          <t>Seasonal</t>
        </is>
      </c>
      <c r="P2379" s="156" t="inlineStr">
        <is>
          <t>Blanco</t>
        </is>
      </c>
      <c r="Q2379" s="156" t="inlineStr">
        <is>
          <t>Regular</t>
        </is>
      </c>
      <c r="R2379" s="156" t="n"/>
      <c r="S2379" s="156" t="inlineStr">
        <is>
          <t>100% Algodón</t>
        </is>
      </c>
      <c r="T2379"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79" s="156" t="n"/>
      <c r="V2379" s="156" t="inlineStr">
        <is>
          <t>PZS</t>
        </is>
      </c>
      <c r="W2379" s="51" t="inlineStr">
        <is>
          <t>53101600</t>
        </is>
      </c>
      <c r="X2379" s="156" t="inlineStr">
        <is>
          <t>https://cdn.shopify.com/s/files/1/0888/3250/8267/files/1100104890025b.jpg?v=1744650866</t>
        </is>
      </c>
      <c r="Y2379" s="54" t="n">
        <v>717.6724138</v>
      </c>
      <c r="Z2379" s="54" t="n">
        <v>1594.827586</v>
      </c>
      <c r="AA2379" s="55">
        <f>IF(AND(A2379="", B2379="", E2379=""), "", IF(AB2379="", "Válido", IF((LEN(AB2379)-LEN(SUBSTITUTE(AB2379,"; ","")))/2+1&gt;(LEN(AB2379)-LEN(SUBSTITUTE(AB2379,"[Aviso]","")))/7, "Con Incidencias", "Válido")))</f>
        <v/>
      </c>
      <c r="AB2379" s="56">
        <f>IF(AND(A2379="", B2379="", E2379=""), "", TEXTJOIN("; ", TRUE, IF(OR(TRIM(A2379&amp;"")="", ISNUMBER(SEARCH("FALTA", A2379))), "UPC faltante/inválido", ""), IF(AND(A2379&lt;&gt;"", IFERROR(_xlfn.XMATCH(A2379,$A$2:$A$2509,0,1)&lt;&gt;_xlfn.XMATCH(A2379,$A$2:$A$2509,0,-1),FALSE)), "Código de barras duplicado", ""), IF(AND(E2379&lt;&gt;"", COUNTIF($E$2:$E$2509, E2379)&gt;1), "SKU duplicado", ""), IF(OR(J2379="", J2379=""), "[Aviso] División no capturada ()", IF(ISNA(MATCH(J2379, Criterios!$A$123:$A$126, 0)), "División no válida", "")), IF(OR(K2379="", K2379=""), "[Aviso] Categoría no capturada ()", IF(ISNA(MATCH(K2379, Criterios!$A$81:$A$120, 0)), "Categoría no válida", IF(AND(J2379&lt;&gt;"", J2379&lt;&gt;"", J2379&lt;&gt;VLOOKUP(K2379, Criterios!$A$81:$B$120, 2, FALSE)), "División no coincide con Categoría", ""))), IF(OR(L2379="", L2379=""), "[Aviso] Género no capturado ()", IF(ISNA(MATCH(L2379, Criterios!$B$123:$B$127, 0)), "Género no válido", "")), IF(OR(N2379="", N2379=""), "[Aviso] Temporada no capturada ()", IF(ISNA(MATCH(N2379, Criterios!$C$123:$C$128, 0)), "Temporada no válida", "")), IF(OR(O2379="", O2379=""), "[Aviso] Ciclo de vida no capturado ()", IF(ISNA(MATCH(O2379, Criterios!$D$123:$D$124, 0)), "Ciclo de vida no válido", ""))))</f>
        <v/>
      </c>
      <c r="AC2379" s="56" t="n"/>
      <c r="AD2379" s="51" t="n">
        <v>0</v>
      </c>
      <c r="AE2379" s="156" t="n"/>
      <c r="AF2379" s="51" t="n">
        <v>0</v>
      </c>
      <c r="AG2379" s="156" t="inlineStr">
        <is>
          <t>Catálogo existente</t>
        </is>
      </c>
      <c r="AH237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9" s="156" t="inlineStr">
        <is>
          <t>No</t>
        </is>
      </c>
      <c r="AJ2379" s="156" t="n"/>
      <c r="AK2379" s="155" t="inlineStr">
        <is>
          <t>Criterios: J [R]; G1522_Extraccion_Articulos_NetSuite_2026-09-30.xlsx: fila 57411 [S] | Shopify Stetson: producto 14695103267179 / variante 52001995325803</t>
        </is>
      </c>
      <c r="AL2379" s="58" t="n">
        <v>717.6724138</v>
      </c>
      <c r="AM2379" s="58" t="n">
        <v>1594.827586</v>
      </c>
      <c r="AN2379" s="155" t="inlineStr">
        <is>
          <t>Shopify Stetson México</t>
        </is>
      </c>
      <c r="AO2379" s="59" t="n">
        <v>0</v>
      </c>
      <c r="AP2379" s="59" t="n"/>
      <c r="AQ2379" s="59" t="n"/>
      <c r="AR2379" s="155" t="n"/>
    </row>
    <row r="2380">
      <c r="A2380" s="50" t="inlineStr">
        <is>
          <t>884426264808</t>
        </is>
      </c>
      <c r="B2380" s="51" t="inlineStr">
        <is>
          <t>109597</t>
        </is>
      </c>
      <c r="C2380" s="156" t="inlineStr">
        <is>
          <t>Multimarca</t>
        </is>
      </c>
      <c r="D2380" s="156" t="inlineStr">
        <is>
          <t>11-001-0489-0025</t>
        </is>
      </c>
      <c r="E2380" s="156" t="inlineStr">
        <is>
          <t>11-001-0489-0025-S</t>
        </is>
      </c>
      <c r="F2380" s="156" t="inlineStr">
        <is>
          <t>S</t>
        </is>
      </c>
      <c r="G2380" s="156" t="inlineStr">
        <is>
          <t>S</t>
        </is>
      </c>
      <c r="H2380" s="156" t="inlineStr">
        <is>
          <t>Stetson</t>
        </is>
      </c>
      <c r="I2380" s="156" t="inlineStr">
        <is>
          <t>Camisa Logo Stetson Blanca</t>
        </is>
      </c>
      <c r="J2380" s="156" t="inlineStr">
        <is>
          <t>Ropa</t>
        </is>
      </c>
      <c r="K2380" s="156" t="inlineStr">
        <is>
          <t>Camisas</t>
        </is>
      </c>
      <c r="L2380" s="156" t="inlineStr">
        <is>
          <t>Hombre</t>
        </is>
      </c>
      <c r="M2380" s="156" t="inlineStr">
        <is>
          <t>Stetson</t>
        </is>
      </c>
      <c r="N2380" s="156" t="inlineStr">
        <is>
          <t>SS26</t>
        </is>
      </c>
      <c r="O2380" s="156" t="inlineStr">
        <is>
          <t>Seasonal</t>
        </is>
      </c>
      <c r="P2380" s="156" t="inlineStr">
        <is>
          <t>Blanco</t>
        </is>
      </c>
      <c r="Q2380" s="156" t="inlineStr">
        <is>
          <t>Regular</t>
        </is>
      </c>
      <c r="R2380" s="156" t="n"/>
      <c r="S2380" s="156" t="inlineStr">
        <is>
          <t>100% Algodón</t>
        </is>
      </c>
      <c r="T2380"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0" s="156" t="n"/>
      <c r="V2380" s="156" t="inlineStr">
        <is>
          <t>PZS</t>
        </is>
      </c>
      <c r="W2380" s="51" t="inlineStr">
        <is>
          <t>53101600</t>
        </is>
      </c>
      <c r="X2380" s="156" t="inlineStr">
        <is>
          <t>https://cdn.shopify.com/s/files/1/0888/3250/8267/files/1100104890025a.jpg?v=1744647408</t>
        </is>
      </c>
      <c r="Y2380" s="54" t="n">
        <v>717.6724138</v>
      </c>
      <c r="Z2380" s="54" t="n">
        <v>1594.827586</v>
      </c>
      <c r="AA2380" s="55">
        <f>IF(AND(A2380="", B2380="", E2380=""), "", IF(AB2380="", "Válido", IF((LEN(AB2380)-LEN(SUBSTITUTE(AB2380,"; ","")))/2+1&gt;(LEN(AB2380)-LEN(SUBSTITUTE(AB2380,"[Aviso]","")))/7, "Con Incidencias", "Válido")))</f>
        <v/>
      </c>
      <c r="AB2380" s="56">
        <f>IF(AND(A2380="", B2380="", E2380=""), "", TEXTJOIN("; ", TRUE, IF(OR(TRIM(A2380&amp;"")="", ISNUMBER(SEARCH("FALTA", A2380))), "UPC faltante/inválido", ""), IF(AND(A2380&lt;&gt;"", IFERROR(_xlfn.XMATCH(A2380,$A$2:$A$2509,0,1)&lt;&gt;_xlfn.XMATCH(A2380,$A$2:$A$2509,0,-1),FALSE)), "Código de barras duplicado", ""), IF(AND(E2380&lt;&gt;"", COUNTIF($E$2:$E$2509, E2380)&gt;1), "SKU duplicado", ""), IF(OR(J2380="", J2380=""), "[Aviso] División no capturada ()", IF(ISNA(MATCH(J2380, Criterios!$A$123:$A$126, 0)), "División no válida", "")), IF(OR(K2380="", K2380=""), "[Aviso] Categoría no capturada ()", IF(ISNA(MATCH(K2380, Criterios!$A$81:$A$120, 0)), "Categoría no válida", IF(AND(J2380&lt;&gt;"", J2380&lt;&gt;"", J2380&lt;&gt;VLOOKUP(K2380, Criterios!$A$81:$B$120, 2, FALSE)), "División no coincide con Categoría", ""))), IF(OR(L2380="", L2380=""), "[Aviso] Género no capturado ()", IF(ISNA(MATCH(L2380, Criterios!$B$123:$B$127, 0)), "Género no válido", "")), IF(OR(N2380="", N2380=""), "[Aviso] Temporada no capturada ()", IF(ISNA(MATCH(N2380, Criterios!$C$123:$C$128, 0)), "Temporada no válida", "")), IF(OR(O2380="", O2380=""), "[Aviso] Ciclo de vida no capturado ()", IF(ISNA(MATCH(O2380, Criterios!$D$123:$D$124, 0)), "Ciclo de vida no válido", ""))))</f>
        <v/>
      </c>
      <c r="AC2380" s="56" t="n"/>
      <c r="AD2380" s="51" t="n">
        <v>0</v>
      </c>
      <c r="AE2380" s="156" t="n"/>
      <c r="AF2380" s="51" t="n">
        <v>0</v>
      </c>
      <c r="AG2380" s="156" t="inlineStr">
        <is>
          <t>Catálogo existente</t>
        </is>
      </c>
      <c r="AH238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0" s="156" t="inlineStr">
        <is>
          <t>No</t>
        </is>
      </c>
      <c r="AJ2380" s="156" t="n"/>
      <c r="AK2380" s="155" t="inlineStr">
        <is>
          <t>Criterios: J [R]; G1522_Extraccion_Articulos_NetSuite_2026-09-30.xlsx: fila 57412 [S] | Shopify Stetson: producto 14695103267179 / variante 52001995293035</t>
        </is>
      </c>
      <c r="AL2380" s="58" t="n">
        <v>717.6724138</v>
      </c>
      <c r="AM2380" s="58" t="n">
        <v>1594.827586</v>
      </c>
      <c r="AN2380" s="155" t="inlineStr">
        <is>
          <t>Shopify Stetson México</t>
        </is>
      </c>
      <c r="AO2380" s="59" t="n">
        <v>0</v>
      </c>
      <c r="AP2380" s="59" t="n"/>
      <c r="AQ2380" s="59" t="n"/>
      <c r="AR2380" s="155" t="n"/>
    </row>
    <row r="2381">
      <c r="A2381" s="50" t="inlineStr">
        <is>
          <t>884426264815</t>
        </is>
      </c>
      <c r="B2381" s="51" t="inlineStr">
        <is>
          <t>109598</t>
        </is>
      </c>
      <c r="C2381" s="156" t="inlineStr">
        <is>
          <t>Multimarca</t>
        </is>
      </c>
      <c r="D2381" s="156" t="inlineStr">
        <is>
          <t>11-001-0489-0025</t>
        </is>
      </c>
      <c r="E2381" s="156" t="inlineStr">
        <is>
          <t>11-001-0489-0025-XL</t>
        </is>
      </c>
      <c r="F2381" s="156" t="inlineStr">
        <is>
          <t>XL</t>
        </is>
      </c>
      <c r="G2381" s="156" t="inlineStr">
        <is>
          <t>XL</t>
        </is>
      </c>
      <c r="H2381" s="156" t="inlineStr">
        <is>
          <t>Stetson</t>
        </is>
      </c>
      <c r="I2381" s="156" t="inlineStr">
        <is>
          <t>Camisa Logo Stetson Blanca</t>
        </is>
      </c>
      <c r="J2381" s="156" t="inlineStr">
        <is>
          <t>Ropa</t>
        </is>
      </c>
      <c r="K2381" s="156" t="inlineStr">
        <is>
          <t>Camisas</t>
        </is>
      </c>
      <c r="L2381" s="156" t="inlineStr">
        <is>
          <t>Hombre</t>
        </is>
      </c>
      <c r="M2381" s="156" t="inlineStr">
        <is>
          <t>Stetson</t>
        </is>
      </c>
      <c r="N2381" s="156" t="inlineStr">
        <is>
          <t>SS26</t>
        </is>
      </c>
      <c r="O2381" s="156" t="inlineStr">
        <is>
          <t>Seasonal</t>
        </is>
      </c>
      <c r="P2381" s="156" t="inlineStr">
        <is>
          <t>Blanco</t>
        </is>
      </c>
      <c r="Q2381" s="156" t="inlineStr">
        <is>
          <t>Regular</t>
        </is>
      </c>
      <c r="R2381" s="156" t="n"/>
      <c r="S2381" s="156" t="inlineStr">
        <is>
          <t>100% Algodón</t>
        </is>
      </c>
      <c r="T2381"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1" s="156" t="n"/>
      <c r="V2381" s="156" t="inlineStr">
        <is>
          <t>PZS</t>
        </is>
      </c>
      <c r="W2381" s="51" t="inlineStr">
        <is>
          <t>53101600</t>
        </is>
      </c>
      <c r="X2381" s="156" t="inlineStr">
        <is>
          <t>https://cdn.shopify.com/s/files/1/0888/3250/8267/files/1100104890025a.jpg?v=1744647408</t>
        </is>
      </c>
      <c r="Y2381" s="54" t="n">
        <v>717.6724138</v>
      </c>
      <c r="Z2381" s="54" t="n">
        <v>1594.827586</v>
      </c>
      <c r="AA2381" s="55">
        <f>IF(AND(A2381="", B2381="", E2381=""), "", IF(AB2381="", "Válido", IF((LEN(AB2381)-LEN(SUBSTITUTE(AB2381,"; ","")))/2+1&gt;(LEN(AB2381)-LEN(SUBSTITUTE(AB2381,"[Aviso]","")))/7, "Con Incidencias", "Válido")))</f>
        <v/>
      </c>
      <c r="AB2381" s="56">
        <f>IF(AND(A2381="", B2381="", E2381=""), "", TEXTJOIN("; ", TRUE, IF(OR(TRIM(A2381&amp;"")="", ISNUMBER(SEARCH("FALTA", A2381))), "UPC faltante/inválido", ""), IF(AND(A2381&lt;&gt;"", IFERROR(_xlfn.XMATCH(A2381,$A$2:$A$2509,0,1)&lt;&gt;_xlfn.XMATCH(A2381,$A$2:$A$2509,0,-1),FALSE)), "Código de barras duplicado", ""), IF(AND(E2381&lt;&gt;"", COUNTIF($E$2:$E$2509, E2381)&gt;1), "SKU duplicado", ""), IF(OR(J2381="", J2381=""), "[Aviso] División no capturada ()", IF(ISNA(MATCH(J2381, Criterios!$A$123:$A$126, 0)), "División no válida", "")), IF(OR(K2381="", K2381=""), "[Aviso] Categoría no capturada ()", IF(ISNA(MATCH(K2381, Criterios!$A$81:$A$120, 0)), "Categoría no válida", IF(AND(J2381&lt;&gt;"", J2381&lt;&gt;"", J2381&lt;&gt;VLOOKUP(K2381, Criterios!$A$81:$B$120, 2, FALSE)), "División no coincide con Categoría", ""))), IF(OR(L2381="", L2381=""), "[Aviso] Género no capturado ()", IF(ISNA(MATCH(L2381, Criterios!$B$123:$B$127, 0)), "Género no válido", "")), IF(OR(N2381="", N2381=""), "[Aviso] Temporada no capturada ()", IF(ISNA(MATCH(N2381, Criterios!$C$123:$C$128, 0)), "Temporada no válida", "")), IF(OR(O2381="", O2381=""), "[Aviso] Ciclo de vida no capturado ()", IF(ISNA(MATCH(O2381, Criterios!$D$123:$D$124, 0)), "Ciclo de vida no válido", ""))))</f>
        <v/>
      </c>
      <c r="AC2381" s="56" t="n"/>
      <c r="AD2381" s="51" t="n">
        <v>0</v>
      </c>
      <c r="AE2381" s="156" t="n"/>
      <c r="AF2381" s="51" t="n">
        <v>0</v>
      </c>
      <c r="AG2381" s="156" t="inlineStr">
        <is>
          <t>Catálogo existente</t>
        </is>
      </c>
      <c r="AH2381"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1" s="156" t="inlineStr">
        <is>
          <t>No</t>
        </is>
      </c>
      <c r="AJ2381" s="156" t="n"/>
      <c r="AK2381" s="155" t="inlineStr">
        <is>
          <t>Criterios: J [R]; G1522_Extraccion_Articulos_NetSuite_2026-09-30.xlsx: fila 57413 [S] | Shopify Stetson: producto 14695103267179 / variante 52001995391339</t>
        </is>
      </c>
      <c r="AL2381" s="58" t="n">
        <v>717.6724138</v>
      </c>
      <c r="AM2381" s="58" t="n">
        <v>1594.827586</v>
      </c>
      <c r="AN2381" s="155" t="inlineStr">
        <is>
          <t>Shopify Stetson México</t>
        </is>
      </c>
      <c r="AO2381" s="59" t="n">
        <v>0</v>
      </c>
      <c r="AP2381" s="59" t="n"/>
      <c r="AQ2381" s="59" t="n"/>
      <c r="AR2381" s="155" t="n"/>
    </row>
    <row r="2382">
      <c r="A2382" s="50" t="inlineStr">
        <is>
          <t>884426264822</t>
        </is>
      </c>
      <c r="B2382" s="51" t="inlineStr">
        <is>
          <t>109599</t>
        </is>
      </c>
      <c r="C2382" s="156" t="inlineStr">
        <is>
          <t>Multimarca</t>
        </is>
      </c>
      <c r="D2382" s="156" t="inlineStr">
        <is>
          <t>11-001-0489-0025</t>
        </is>
      </c>
      <c r="E2382" s="156" t="inlineStr">
        <is>
          <t>11-001-0489-0025-XXL</t>
        </is>
      </c>
      <c r="F2382" s="156" t="inlineStr">
        <is>
          <t>XXL</t>
        </is>
      </c>
      <c r="G2382" s="156" t="inlineStr">
        <is>
          <t>XXL</t>
        </is>
      </c>
      <c r="H2382" s="156" t="inlineStr">
        <is>
          <t>Stetson</t>
        </is>
      </c>
      <c r="I2382" s="156" t="inlineStr">
        <is>
          <t>Camisa Logo Stetson Blanca</t>
        </is>
      </c>
      <c r="J2382" s="156" t="inlineStr">
        <is>
          <t>Ropa</t>
        </is>
      </c>
      <c r="K2382" s="156" t="inlineStr">
        <is>
          <t>Camisas</t>
        </is>
      </c>
      <c r="L2382" s="156" t="inlineStr">
        <is>
          <t>Hombre</t>
        </is>
      </c>
      <c r="M2382" s="156" t="inlineStr">
        <is>
          <t>Stetson</t>
        </is>
      </c>
      <c r="N2382" s="156" t="inlineStr">
        <is>
          <t>SS26</t>
        </is>
      </c>
      <c r="O2382" s="156" t="inlineStr">
        <is>
          <t>Seasonal</t>
        </is>
      </c>
      <c r="P2382" s="156" t="inlineStr">
        <is>
          <t>Blanco</t>
        </is>
      </c>
      <c r="Q2382" s="156" t="inlineStr">
        <is>
          <t>Regular</t>
        </is>
      </c>
      <c r="R2382" s="156" t="n"/>
      <c r="S2382" s="156" t="inlineStr">
        <is>
          <t>100% Algodón</t>
        </is>
      </c>
      <c r="T2382"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2" s="156" t="n"/>
      <c r="V2382" s="156" t="inlineStr">
        <is>
          <t>PZS</t>
        </is>
      </c>
      <c r="W2382" s="51" t="inlineStr">
        <is>
          <t>53101600</t>
        </is>
      </c>
      <c r="X2382" s="156" t="inlineStr">
        <is>
          <t>https://cdn.shopify.com/s/files/1/0888/3250/8267/files/1100104890025a.jpg?v=1744647408</t>
        </is>
      </c>
      <c r="Y2382" s="54" t="n">
        <v>717.6724138</v>
      </c>
      <c r="Z2382" s="54" t="n">
        <v>1594.827586</v>
      </c>
      <c r="AA2382" s="55">
        <f>IF(AND(A2382="", B2382="", E2382=""), "", IF(AB2382="", "Válido", IF((LEN(AB2382)-LEN(SUBSTITUTE(AB2382,"; ","")))/2+1&gt;(LEN(AB2382)-LEN(SUBSTITUTE(AB2382,"[Aviso]","")))/7, "Con Incidencias", "Válido")))</f>
        <v/>
      </c>
      <c r="AB2382" s="56">
        <f>IF(AND(A2382="", B2382="", E2382=""), "", TEXTJOIN("; ", TRUE, IF(OR(TRIM(A2382&amp;"")="", ISNUMBER(SEARCH("FALTA", A2382))), "UPC faltante/inválido", ""), IF(AND(A2382&lt;&gt;"", IFERROR(_xlfn.XMATCH(A2382,$A$2:$A$2509,0,1)&lt;&gt;_xlfn.XMATCH(A2382,$A$2:$A$2509,0,-1),FALSE)), "Código de barras duplicado", ""), IF(AND(E2382&lt;&gt;"", COUNTIF($E$2:$E$2509, E2382)&gt;1), "SKU duplicado", ""), IF(OR(J2382="", J2382=""), "[Aviso] División no capturada ()", IF(ISNA(MATCH(J2382, Criterios!$A$123:$A$126, 0)), "División no válida", "")), IF(OR(K2382="", K2382=""), "[Aviso] Categoría no capturada ()", IF(ISNA(MATCH(K2382, Criterios!$A$81:$A$120, 0)), "Categoría no válida", IF(AND(J2382&lt;&gt;"", J2382&lt;&gt;"", J2382&lt;&gt;VLOOKUP(K2382, Criterios!$A$81:$B$120, 2, FALSE)), "División no coincide con Categoría", ""))), IF(OR(L2382="", L2382=""), "[Aviso] Género no capturado ()", IF(ISNA(MATCH(L2382, Criterios!$B$123:$B$127, 0)), "Género no válido", "")), IF(OR(N2382="", N2382=""), "[Aviso] Temporada no capturada ()", IF(ISNA(MATCH(N2382, Criterios!$C$123:$C$128, 0)), "Temporada no válida", "")), IF(OR(O2382="", O2382=""), "[Aviso] Ciclo de vida no capturado ()", IF(ISNA(MATCH(O2382, Criterios!$D$123:$D$124, 0)), "Ciclo de vida no válido", ""))))</f>
        <v/>
      </c>
      <c r="AC2382" s="56" t="n"/>
      <c r="AD2382" s="51" t="n">
        <v>0</v>
      </c>
      <c r="AE2382" s="156" t="n"/>
      <c r="AF2382" s="51" t="n">
        <v>0</v>
      </c>
      <c r="AG2382" s="156" t="inlineStr">
        <is>
          <t>Catálogo existente</t>
        </is>
      </c>
      <c r="AH23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2" s="156" t="inlineStr">
        <is>
          <t>No</t>
        </is>
      </c>
      <c r="AJ2382" s="156" t="n"/>
      <c r="AK2382" s="155" t="inlineStr">
        <is>
          <t>Criterios: J [R]; G1522_Extraccion_Articulos_NetSuite_2026-09-30.xlsx: fila 57414 [S] | Shopify Stetson: producto 14695103267179 / variante 52001995424107</t>
        </is>
      </c>
      <c r="AL2382" s="58" t="n">
        <v>717.6724138</v>
      </c>
      <c r="AM2382" s="58" t="n">
        <v>1594.827586</v>
      </c>
      <c r="AN2382" s="155" t="inlineStr">
        <is>
          <t>Shopify Stetson México</t>
        </is>
      </c>
      <c r="AO2382" s="59" t="n">
        <v>0</v>
      </c>
      <c r="AP2382" s="59" t="n"/>
      <c r="AQ2382" s="59" t="n"/>
      <c r="AR2382" s="155" t="n"/>
    </row>
    <row r="2383">
      <c r="A2383" s="50" t="inlineStr">
        <is>
          <t>884426265508</t>
        </is>
      </c>
      <c r="B2383" s="51" t="inlineStr">
        <is>
          <t>109630</t>
        </is>
      </c>
      <c r="C2383" s="156" t="inlineStr">
        <is>
          <t>Multimarca</t>
        </is>
      </c>
      <c r="D2383" s="156" t="inlineStr">
        <is>
          <t>11-030-0489-0025</t>
        </is>
      </c>
      <c r="E2383" s="156" t="inlineStr">
        <is>
          <t>11-030-0489-0025-L</t>
        </is>
      </c>
      <c r="F2383" s="156" t="inlineStr">
        <is>
          <t>10-12</t>
        </is>
      </c>
      <c r="G2383" s="156" t="inlineStr">
        <is>
          <t>L</t>
        </is>
      </c>
      <c r="H2383" s="156" t="inlineStr">
        <is>
          <t>Stetson</t>
        </is>
      </c>
      <c r="I2383" s="156" t="inlineStr">
        <is>
          <t>Camisa Stetson Manga Larga Niños Blanca</t>
        </is>
      </c>
      <c r="J2383" s="156" t="inlineStr">
        <is>
          <t>Ropa</t>
        </is>
      </c>
      <c r="K2383" s="156" t="inlineStr">
        <is>
          <t>Camisas</t>
        </is>
      </c>
      <c r="L2383" s="156" t="inlineStr">
        <is>
          <t>Niño</t>
        </is>
      </c>
      <c r="M2383" s="156" t="inlineStr">
        <is>
          <t>Stetson</t>
        </is>
      </c>
      <c r="N2383" s="156" t="inlineStr">
        <is>
          <t>SS26</t>
        </is>
      </c>
      <c r="O2383" s="156" t="inlineStr">
        <is>
          <t>Seasonal</t>
        </is>
      </c>
      <c r="P2383" s="156" t="inlineStr">
        <is>
          <t>Blanco</t>
        </is>
      </c>
      <c r="Q2383" s="156" t="inlineStr">
        <is>
          <t>Clásico</t>
        </is>
      </c>
      <c r="R2383" s="156" t="n"/>
      <c r="S2383" s="156" t="inlineStr">
        <is>
          <t>100% Algodón</t>
        </is>
      </c>
      <c r="T2383"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3" s="156" t="n"/>
      <c r="V2383" s="156" t="inlineStr">
        <is>
          <t>PZS</t>
        </is>
      </c>
      <c r="W2383" s="51" t="inlineStr">
        <is>
          <t>53101600</t>
        </is>
      </c>
      <c r="X2383" s="156" t="inlineStr">
        <is>
          <t>https://cdn.shopify.com/s/files/1/0888/3250/8267/files/1103004890025b.jpg?v=1751050939</t>
        </is>
      </c>
      <c r="Y2383" s="54" t="n">
        <v>659.4827586</v>
      </c>
      <c r="Z2383" s="54" t="n">
        <v>1465.517241</v>
      </c>
      <c r="AA2383" s="55">
        <f>IF(AND(A2383="", B2383="", E2383=""), "", IF(AB2383="", "Válido", IF((LEN(AB2383)-LEN(SUBSTITUTE(AB2383,"; ","")))/2+1&gt;(LEN(AB2383)-LEN(SUBSTITUTE(AB2383,"[Aviso]","")))/7, "Con Incidencias", "Válido")))</f>
        <v/>
      </c>
      <c r="AB2383" s="56">
        <f>IF(AND(A2383="", B2383="", E2383=""), "", TEXTJOIN("; ", TRUE, IF(OR(TRIM(A2383&amp;"")="", ISNUMBER(SEARCH("FALTA", A2383))), "UPC faltante/inválido", ""), IF(AND(A2383&lt;&gt;"", IFERROR(_xlfn.XMATCH(A2383,$A$2:$A$2509,0,1)&lt;&gt;_xlfn.XMATCH(A2383,$A$2:$A$2509,0,-1),FALSE)), "Código de barras duplicado", ""), IF(AND(E2383&lt;&gt;"", COUNTIF($E$2:$E$2509, E2383)&gt;1), "SKU duplicado", ""), IF(OR(J2383="", J2383=""), "[Aviso] División no capturada ()", IF(ISNA(MATCH(J2383, Criterios!$A$123:$A$126, 0)), "División no válida", "")), IF(OR(K2383="", K2383=""), "[Aviso] Categoría no capturada ()", IF(ISNA(MATCH(K2383, Criterios!$A$81:$A$120, 0)), "Categoría no válida", IF(AND(J2383&lt;&gt;"", J2383&lt;&gt;"", J2383&lt;&gt;VLOOKUP(K2383, Criterios!$A$81:$B$120, 2, FALSE)), "División no coincide con Categoría", ""))), IF(OR(L2383="", L2383=""), "[Aviso] Género no capturado ()", IF(ISNA(MATCH(L2383, Criterios!$B$123:$B$127, 0)), "Género no válido", "")), IF(OR(N2383="", N2383=""), "[Aviso] Temporada no capturada ()", IF(ISNA(MATCH(N2383, Criterios!$C$123:$C$128, 0)), "Temporada no válida", "")), IF(OR(O2383="", O2383=""), "[Aviso] Ciclo de vida no capturado ()", IF(ISNA(MATCH(O2383, Criterios!$D$123:$D$124, 0)), "Ciclo de vida no válido", ""))))</f>
        <v/>
      </c>
      <c r="AC2383" s="56" t="n"/>
      <c r="AD2383" s="51" t="n">
        <v>2</v>
      </c>
      <c r="AE2383" s="156" t="inlineStr">
        <is>
          <t>B25 STETSON.MX (2)</t>
        </is>
      </c>
      <c r="AF2383" s="51" t="n">
        <v>2</v>
      </c>
      <c r="AG2383" s="156" t="inlineStr">
        <is>
          <t>Catálogo existente</t>
        </is>
      </c>
      <c r="AH2383" s="156" t="inlineStr">
        <is>
          <t>Revisión 29/09/2026: Talla fuente 46366 sin equivalencia exacta en Criterios para Talla Niño (numérica); Campos sin respaldo: U; Auditoría NetSuite 30/09/2026: llenado desde NetSuite [S] | 01/10/2026: complementado desde Shopify Stetson México (match por código de barras): WB Silueta | Homologación G1522 06/10/2026: WB Composición: «100% Algodon» → «100% Algodón» (Corrección aplicada)</t>
        </is>
      </c>
      <c r="AI2383" s="156" t="inlineStr">
        <is>
          <t>No</t>
        </is>
      </c>
      <c r="AJ2383" s="156" t="n"/>
      <c r="AK2383" s="155" t="inlineStr">
        <is>
          <t>Criterios: J [R]; G1522_Extraccion_Articulos_NetSuite_2026-09-30.xlsx: fila 57445 [S] | Shopify Stetson: producto 14727119077739 / variante 53350614172011</t>
        </is>
      </c>
      <c r="AL2383" s="58" t="n">
        <v>659.4827586</v>
      </c>
      <c r="AM2383" s="58" t="n">
        <v>1465.517241</v>
      </c>
      <c r="AN2383" s="155" t="inlineStr">
        <is>
          <t>Shopify Stetson México</t>
        </is>
      </c>
      <c r="AO2383" s="59" t="n">
        <v>2</v>
      </c>
      <c r="AP2383" s="59" t="n"/>
      <c r="AQ2383" s="59" t="n"/>
      <c r="AR2383" s="155" t="inlineStr">
        <is>
          <t>Shopify Stetson México › Stetson México: 2</t>
        </is>
      </c>
    </row>
    <row r="2384">
      <c r="A2384" s="50" t="inlineStr">
        <is>
          <t>884426265515</t>
        </is>
      </c>
      <c r="B2384" s="51" t="inlineStr">
        <is>
          <t>109631</t>
        </is>
      </c>
      <c r="C2384" s="156" t="inlineStr">
        <is>
          <t>Multimarca</t>
        </is>
      </c>
      <c r="D2384" s="156" t="inlineStr">
        <is>
          <t>11-030-0489-0025</t>
        </is>
      </c>
      <c r="E2384" s="156" t="inlineStr">
        <is>
          <t>11-030-0489-0025-M</t>
        </is>
      </c>
      <c r="F2384" s="156" t="inlineStr">
        <is>
          <t>8</t>
        </is>
      </c>
      <c r="G2384" s="156" t="inlineStr">
        <is>
          <t>M</t>
        </is>
      </c>
      <c r="H2384" s="156" t="inlineStr">
        <is>
          <t>Stetson</t>
        </is>
      </c>
      <c r="I2384" s="156" t="inlineStr">
        <is>
          <t>Camisa Stetson Manga Larga Niños Blanca</t>
        </is>
      </c>
      <c r="J2384" s="156" t="inlineStr">
        <is>
          <t>Ropa</t>
        </is>
      </c>
      <c r="K2384" s="156" t="inlineStr">
        <is>
          <t>Camisas</t>
        </is>
      </c>
      <c r="L2384" s="156" t="inlineStr">
        <is>
          <t>Niño</t>
        </is>
      </c>
      <c r="M2384" s="156" t="inlineStr">
        <is>
          <t>Stetson</t>
        </is>
      </c>
      <c r="N2384" s="156" t="inlineStr">
        <is>
          <t>SS26</t>
        </is>
      </c>
      <c r="O2384" s="156" t="inlineStr">
        <is>
          <t>Seasonal</t>
        </is>
      </c>
      <c r="P2384" s="156" t="inlineStr">
        <is>
          <t>Blanco</t>
        </is>
      </c>
      <c r="Q2384" s="156" t="inlineStr">
        <is>
          <t>Regular</t>
        </is>
      </c>
      <c r="R2384" s="156" t="n"/>
      <c r="S2384" s="156" t="inlineStr">
        <is>
          <t>100% Algodón</t>
        </is>
      </c>
      <c r="T2384" s="156" t="inlineStr">
        <is>
          <t>Camisa Stetson para Niño – Manga Larga Blanca con Bordados de Logo
 Parte de la colección Stetson Boys, esta camisa de manga larga está confeccionada en tejido plano de algodón teñido en hilo, color blanco, ideal para ocasiones formales o looks western con identidad de marca.
 El diseño incluye canesú curvado de una sola punta al frente y en la espalda, dos bolsillos con solapa curva y broches a presión, y puños con un solo broche.
 Destacan los bordados en color marrón con el nombre “Stetson” en el brazo derecho, el cuello izquierdo y el canesú trasero, además del distintivo bordado de la “S” en el pecho.
 El cierre frontal se compone de broches tipo perla en blanco con el logotipo de Stetson.
 Modelo:
 • Camisa Stetson Boys Logo Wear – Manga Larga Blanca
 Material:
 • Tejido plano (woven) de algodón teñido en hilo (yarn-dye), color blanco
 Diseño:
 • Color sólido con estructura clásica y bordados distintivos
 Corte y Ajuste:
 • Corte regular
 • Canesú frontal y trasero curvado de una sola punta
 Detalles Decorativos:
 • Bordado “Stetson” en brazo derecho, cuello izquierdo y canesú trasero
 • Bordado de la “S” de Stetson en el pecho
 Cierre y Acabados:
 • Cierre frontal con broches tipo perla blancos con logotipo
 • Puños con un broche de cierre
 Bolsillos:
 • Dos bolsillos frontales con solapa curva y broche a presión
 Estilo:
 • Western clásico infantil con fuerte identidad de marca
 Aplicaciones:
 • Perfecta para eventos, rodeos infantiles o vestimenta diaria con carácter y tradición</t>
        </is>
      </c>
      <c r="U2384" s="156" t="n"/>
      <c r="V2384" s="156" t="inlineStr">
        <is>
          <t>PZS</t>
        </is>
      </c>
      <c r="W2384" s="51" t="inlineStr">
        <is>
          <t>53101600</t>
        </is>
      </c>
      <c r="X2384" s="156" t="inlineStr">
        <is>
          <t>https://cdn.shopify.com/s/files/1/0888/3250/8267/files/1103004890025c.jpg?v=1751050933</t>
        </is>
      </c>
      <c r="Y2384" s="54" t="n">
        <v>659.4827586</v>
      </c>
      <c r="Z2384" s="54" t="n">
        <v>1465.517241</v>
      </c>
      <c r="AA2384" s="55">
        <f>IF(AND(A2384="", B2384="", E2384=""), "", IF(AB2384="", "Válido", IF((LEN(AB2384)-LEN(SUBSTITUTE(AB2384,"; ","")))/2+1&gt;(LEN(AB2384)-LEN(SUBSTITUTE(AB2384,"[Aviso]","")))/7, "Con Incidencias", "Válido")))</f>
        <v/>
      </c>
      <c r="AB2384" s="56">
        <f>IF(AND(A2384="", B2384="", E2384=""), "", TEXTJOIN("; ", TRUE, IF(OR(TRIM(A2384&amp;"")="", ISNUMBER(SEARCH("FALTA", A2384))), "UPC faltante/inválido", ""), IF(AND(A2384&lt;&gt;"", IFERROR(_xlfn.XMATCH(A2384,$A$2:$A$2509,0,1)&lt;&gt;_xlfn.XMATCH(A2384,$A$2:$A$2509,0,-1),FALSE)), "Código de barras duplicado", ""), IF(AND(E2384&lt;&gt;"", COUNTIF($E$2:$E$2509, E2384)&gt;1), "SKU duplicado", ""), IF(OR(J2384="", J2384=""), "[Aviso] División no capturada ()", IF(ISNA(MATCH(J2384, Criterios!$A$123:$A$126, 0)), "División no válida", "")), IF(OR(K2384="", K2384=""), "[Aviso] Categoría no capturada ()", IF(ISNA(MATCH(K2384, Criterios!$A$81:$A$120, 0)), "Categoría no válida", IF(AND(J2384&lt;&gt;"", J2384&lt;&gt;"", J2384&lt;&gt;VLOOKUP(K2384, Criterios!$A$81:$B$120, 2, FALSE)), "División no coincide con Categoría", ""))), IF(OR(L2384="", L2384=""), "[Aviso] Género no capturado ()", IF(ISNA(MATCH(L2384, Criterios!$B$123:$B$127, 0)), "Género no válido", "")), IF(OR(N2384="", N2384=""), "[Aviso] Temporada no capturada ()", IF(ISNA(MATCH(N2384, Criterios!$C$123:$C$128, 0)), "Temporada no válida", "")), IF(OR(O2384="", O2384=""), "[Aviso] Ciclo de vida no capturado ()", IF(ISNA(MATCH(O2384, Criterios!$D$123:$D$124, 0)), "Ciclo de vida no válido", ""))))</f>
        <v/>
      </c>
      <c r="AC2384" s="56" t="n"/>
      <c r="AD2384" s="51" t="n">
        <v>0</v>
      </c>
      <c r="AE2384" s="156" t="n"/>
      <c r="AF2384" s="51" t="n">
        <v>0</v>
      </c>
      <c r="AG2384" s="156" t="inlineStr">
        <is>
          <t>Catálogo existente</t>
        </is>
      </c>
      <c r="AH238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4" s="156" t="inlineStr">
        <is>
          <t>No</t>
        </is>
      </c>
      <c r="AJ2384" s="156" t="n"/>
      <c r="AK2384" s="155" t="inlineStr">
        <is>
          <t>Criterios: J [R]; G1522_Extraccion_Articulos_NetSuite_2026-09-30.xlsx: fila 57446 [S] | Shopify Stetson: producto 14727119077739 / variante 53350614139243</t>
        </is>
      </c>
      <c r="AL2384" s="58" t="n">
        <v>659.4827586</v>
      </c>
      <c r="AM2384" s="58" t="n">
        <v>1465.517241</v>
      </c>
      <c r="AN2384" s="155" t="inlineStr">
        <is>
          <t>Shopify Stetson México</t>
        </is>
      </c>
      <c r="AO2384" s="59" t="n">
        <v>0</v>
      </c>
      <c r="AP2384" s="59" t="n"/>
      <c r="AQ2384" s="59" t="n"/>
      <c r="AR2384" s="155" t="n"/>
    </row>
    <row r="2385">
      <c r="A2385" s="50" t="inlineStr">
        <is>
          <t>884426265522</t>
        </is>
      </c>
      <c r="B2385" s="51" t="inlineStr">
        <is>
          <t>109632</t>
        </is>
      </c>
      <c r="C2385" s="156" t="inlineStr">
        <is>
          <t>Multimarca</t>
        </is>
      </c>
      <c r="D2385" s="156" t="inlineStr">
        <is>
          <t>11-030-0489-0025</t>
        </is>
      </c>
      <c r="E2385" s="156" t="inlineStr">
        <is>
          <t>11-030-0489-0025-S</t>
        </is>
      </c>
      <c r="F2385" s="156" t="inlineStr">
        <is>
          <t>6</t>
        </is>
      </c>
      <c r="G2385" s="156" t="inlineStr">
        <is>
          <t>S</t>
        </is>
      </c>
      <c r="H2385" s="156" t="inlineStr">
        <is>
          <t>Stetson</t>
        </is>
      </c>
      <c r="I2385" s="156" t="inlineStr">
        <is>
          <t>Camisa Stetson Manga Larga Niños Blanca</t>
        </is>
      </c>
      <c r="J2385" s="156" t="inlineStr">
        <is>
          <t>Ropa</t>
        </is>
      </c>
      <c r="K2385" s="156" t="inlineStr">
        <is>
          <t>Camisas</t>
        </is>
      </c>
      <c r="L2385" s="156" t="inlineStr">
        <is>
          <t>Niño</t>
        </is>
      </c>
      <c r="M2385" s="156" t="inlineStr">
        <is>
          <t>Stetson</t>
        </is>
      </c>
      <c r="N2385" s="156" t="inlineStr">
        <is>
          <t>SS26</t>
        </is>
      </c>
      <c r="O2385" s="156" t="inlineStr">
        <is>
          <t>Seasonal</t>
        </is>
      </c>
      <c r="P2385" s="156" t="inlineStr">
        <is>
          <t>Blanco</t>
        </is>
      </c>
      <c r="Q2385" s="156" t="inlineStr">
        <is>
          <t>Clásico</t>
        </is>
      </c>
      <c r="R2385" s="156" t="n"/>
      <c r="S2385" s="156" t="inlineStr">
        <is>
          <t>100% Algodón</t>
        </is>
      </c>
      <c r="T2385"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5" s="156" t="n"/>
      <c r="V2385" s="156" t="inlineStr">
        <is>
          <t>PZS</t>
        </is>
      </c>
      <c r="W2385" s="51" t="inlineStr">
        <is>
          <t>53101600</t>
        </is>
      </c>
      <c r="X2385" s="156" t="inlineStr">
        <is>
          <t>https://cdn.shopify.com/s/files/1/0888/3250/8267/files/1103004890025a.jpg?v=1751050925</t>
        </is>
      </c>
      <c r="Y2385" s="54" t="n">
        <v>659.4827586</v>
      </c>
      <c r="Z2385" s="54" t="n">
        <v>1465.517241</v>
      </c>
      <c r="AA2385" s="55">
        <f>IF(AND(A2385="", B2385="", E2385=""), "", IF(AB2385="", "Válido", IF((LEN(AB2385)-LEN(SUBSTITUTE(AB2385,"; ","")))/2+1&gt;(LEN(AB2385)-LEN(SUBSTITUTE(AB2385,"[Aviso]","")))/7, "Con Incidencias", "Válido")))</f>
        <v/>
      </c>
      <c r="AB2385" s="56">
        <f>IF(AND(A2385="", B2385="", E2385=""), "", TEXTJOIN("; ", TRUE, IF(OR(TRIM(A2385&amp;"")="", ISNUMBER(SEARCH("FALTA", A2385))), "UPC faltante/inválido", ""), IF(AND(A2385&lt;&gt;"", IFERROR(_xlfn.XMATCH(A2385,$A$2:$A$2509,0,1)&lt;&gt;_xlfn.XMATCH(A2385,$A$2:$A$2509,0,-1),FALSE)), "Código de barras duplicado", ""), IF(AND(E2385&lt;&gt;"", COUNTIF($E$2:$E$2509, E2385)&gt;1), "SKU duplicado", ""), IF(OR(J2385="", J2385=""), "[Aviso] División no capturada ()", IF(ISNA(MATCH(J2385, Criterios!$A$123:$A$126, 0)), "División no válida", "")), IF(OR(K2385="", K2385=""), "[Aviso] Categoría no capturada ()", IF(ISNA(MATCH(K2385, Criterios!$A$81:$A$120, 0)), "Categoría no válida", IF(AND(J2385&lt;&gt;"", J2385&lt;&gt;"", J2385&lt;&gt;VLOOKUP(K2385, Criterios!$A$81:$B$120, 2, FALSE)), "División no coincide con Categoría", ""))), IF(OR(L2385="", L2385=""), "[Aviso] Género no capturado ()", IF(ISNA(MATCH(L2385, Criterios!$B$123:$B$127, 0)), "Género no válido", "")), IF(OR(N2385="", N2385=""), "[Aviso] Temporada no capturada ()", IF(ISNA(MATCH(N2385, Criterios!$C$123:$C$128, 0)), "Temporada no válida", "")), IF(OR(O2385="", O2385=""), "[Aviso] Ciclo de vida no capturado ()", IF(ISNA(MATCH(O2385, Criterios!$D$123:$D$124, 0)), "Ciclo de vida no válido", ""))))</f>
        <v/>
      </c>
      <c r="AC2385" s="56" t="n"/>
      <c r="AD2385" s="51" t="n">
        <v>2</v>
      </c>
      <c r="AE2385" s="156" t="inlineStr">
        <is>
          <t>B25 STETSON.MX (2)</t>
        </is>
      </c>
      <c r="AF2385" s="51" t="n">
        <v>2</v>
      </c>
      <c r="AG2385" s="156" t="inlineStr">
        <is>
          <t>Catálogo existente</t>
        </is>
      </c>
      <c r="AH238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5" s="156" t="inlineStr">
        <is>
          <t>No</t>
        </is>
      </c>
      <c r="AJ2385" s="156" t="n"/>
      <c r="AK2385" s="155" t="inlineStr">
        <is>
          <t>Criterios: J [R]; G1522_Extraccion_Articulos_NetSuite_2026-09-30.xlsx: fila 57447 [S] | Shopify Stetson: producto 14727119077739 / variante 53350614106475</t>
        </is>
      </c>
      <c r="AL2385" s="58" t="n">
        <v>659.4827586</v>
      </c>
      <c r="AM2385" s="58" t="n">
        <v>1465.517241</v>
      </c>
      <c r="AN2385" s="155" t="inlineStr">
        <is>
          <t>Shopify Stetson México</t>
        </is>
      </c>
      <c r="AO2385" s="59" t="n">
        <v>2</v>
      </c>
      <c r="AP2385" s="59" t="n"/>
      <c r="AQ2385" s="59" t="n"/>
      <c r="AR2385" s="155" t="inlineStr">
        <is>
          <t>Shopify Stetson México › Stetson México: 2</t>
        </is>
      </c>
    </row>
    <row r="2386">
      <c r="A2386" s="50" t="inlineStr">
        <is>
          <t>884426265539</t>
        </is>
      </c>
      <c r="B2386" s="51" t="inlineStr">
        <is>
          <t>109633</t>
        </is>
      </c>
      <c r="C2386" s="156" t="inlineStr">
        <is>
          <t>Multimarca</t>
        </is>
      </c>
      <c r="D2386" s="156" t="inlineStr">
        <is>
          <t>11-030-0489-0025</t>
        </is>
      </c>
      <c r="E2386" s="156" t="inlineStr">
        <is>
          <t>11-030-0489-0025-XL</t>
        </is>
      </c>
      <c r="F2386" s="156" t="inlineStr">
        <is>
          <t>14-16</t>
        </is>
      </c>
      <c r="G2386" s="156" t="inlineStr">
        <is>
          <t>XL</t>
        </is>
      </c>
      <c r="H2386" s="156" t="inlineStr">
        <is>
          <t>Stetson</t>
        </is>
      </c>
      <c r="I2386" s="156" t="inlineStr">
        <is>
          <t>Camisa Stetson Manga Larga Niños Blanca</t>
        </is>
      </c>
      <c r="J2386" s="156" t="inlineStr">
        <is>
          <t>Ropa</t>
        </is>
      </c>
      <c r="K2386" s="156" t="inlineStr">
        <is>
          <t>Camisas</t>
        </is>
      </c>
      <c r="L2386" s="156" t="inlineStr">
        <is>
          <t>Niño</t>
        </is>
      </c>
      <c r="M2386" s="156" t="inlineStr">
        <is>
          <t>Stetson</t>
        </is>
      </c>
      <c r="N2386" s="156" t="inlineStr">
        <is>
          <t>SS26</t>
        </is>
      </c>
      <c r="O2386" s="156" t="inlineStr">
        <is>
          <t>Seasonal</t>
        </is>
      </c>
      <c r="P2386" s="156" t="inlineStr">
        <is>
          <t>Blanco</t>
        </is>
      </c>
      <c r="Q2386" s="156" t="inlineStr">
        <is>
          <t>Clásico</t>
        </is>
      </c>
      <c r="R2386" s="156" t="n"/>
      <c r="S2386" s="156" t="inlineStr">
        <is>
          <t>100% Algodón</t>
        </is>
      </c>
      <c r="T2386"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6" s="156" t="n"/>
      <c r="V2386" s="156" t="inlineStr">
        <is>
          <t>PZS</t>
        </is>
      </c>
      <c r="W2386" s="51" t="inlineStr">
        <is>
          <t>53101600</t>
        </is>
      </c>
      <c r="X2386" s="156" t="inlineStr">
        <is>
          <t>https://cdn.shopify.com/s/files/1/0888/3250/8267/files/1103004890025a.jpg?v=1751050925</t>
        </is>
      </c>
      <c r="Y2386" s="54" t="n">
        <v>659.4827586</v>
      </c>
      <c r="Z2386" s="54" t="n">
        <v>1465.517241</v>
      </c>
      <c r="AA2386" s="55">
        <f>IF(AND(A2386="", B2386="", E2386=""), "", IF(AB2386="", "Válido", IF((LEN(AB2386)-LEN(SUBSTITUTE(AB2386,"; ","")))/2+1&gt;(LEN(AB2386)-LEN(SUBSTITUTE(AB2386,"[Aviso]","")))/7, "Con Incidencias", "Válido")))</f>
        <v/>
      </c>
      <c r="AB2386" s="56">
        <f>IF(AND(A2386="", B2386="", E2386=""), "", TEXTJOIN("; ", TRUE, IF(OR(TRIM(A2386&amp;"")="", ISNUMBER(SEARCH("FALTA", A2386))), "UPC faltante/inválido", ""), IF(AND(A2386&lt;&gt;"", IFERROR(_xlfn.XMATCH(A2386,$A$2:$A$2509,0,1)&lt;&gt;_xlfn.XMATCH(A2386,$A$2:$A$2509,0,-1),FALSE)), "Código de barras duplicado", ""), IF(AND(E2386&lt;&gt;"", COUNTIF($E$2:$E$2509, E2386)&gt;1), "SKU duplicado", ""), IF(OR(J2386="", J2386=""), "[Aviso] División no capturada ()", IF(ISNA(MATCH(J2386, Criterios!$A$123:$A$126, 0)), "División no válida", "")), IF(OR(K2386="", K2386=""), "[Aviso] Categoría no capturada ()", IF(ISNA(MATCH(K2386, Criterios!$A$81:$A$120, 0)), "Categoría no válida", IF(AND(J2386&lt;&gt;"", J2386&lt;&gt;"", J2386&lt;&gt;VLOOKUP(K2386, Criterios!$A$81:$B$120, 2, FALSE)), "División no coincide con Categoría", ""))), IF(OR(L2386="", L2386=""), "[Aviso] Género no capturado ()", IF(ISNA(MATCH(L2386, Criterios!$B$123:$B$127, 0)), "Género no válido", "")), IF(OR(N2386="", N2386=""), "[Aviso] Temporada no capturada ()", IF(ISNA(MATCH(N2386, Criterios!$C$123:$C$128, 0)), "Temporada no válida", "")), IF(OR(O2386="", O2386=""), "[Aviso] Ciclo de vida no capturado ()", IF(ISNA(MATCH(O2386, Criterios!$D$123:$D$124, 0)), "Ciclo de vida no válido", ""))))</f>
        <v/>
      </c>
      <c r="AC2386" s="56" t="n"/>
      <c r="AD2386" s="51" t="n">
        <v>2</v>
      </c>
      <c r="AE2386" s="156" t="inlineStr">
        <is>
          <t>B25 STETSON.MX (2)</t>
        </is>
      </c>
      <c r="AF2386" s="51" t="n">
        <v>2</v>
      </c>
      <c r="AG2386" s="156" t="inlineStr">
        <is>
          <t>Catálogo existente</t>
        </is>
      </c>
      <c r="AH2386" s="156" t="inlineStr">
        <is>
          <t>Revisión 29/09/2026: Talla fuente 14-16 sin equivalencia exacta en Criterios para Talla Niño (numérica);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6" s="156" t="inlineStr">
        <is>
          <t>No</t>
        </is>
      </c>
      <c r="AJ2386" s="156" t="n"/>
      <c r="AK2386" s="155" t="inlineStr">
        <is>
          <t>Criterios: J [R]; G1522_Extraccion_Articulos_NetSuite_2026-09-30.xlsx: fila 57448 [S] | Shopify Stetson: producto 14727119077739 / variante 53350614204779</t>
        </is>
      </c>
      <c r="AL2386" s="58" t="n">
        <v>659.4827586</v>
      </c>
      <c r="AM2386" s="58" t="n">
        <v>1465.517241</v>
      </c>
      <c r="AN2386" s="155" t="inlineStr">
        <is>
          <t>Shopify Stetson México</t>
        </is>
      </c>
      <c r="AO2386" s="59" t="n">
        <v>2</v>
      </c>
      <c r="AP2386" s="59" t="n"/>
      <c r="AQ2386" s="59" t="n"/>
      <c r="AR2386" s="155" t="inlineStr">
        <is>
          <t>Shopify Stetson México › Stetson México: 2</t>
        </is>
      </c>
    </row>
    <row r="2387">
      <c r="A2387" s="50" t="inlineStr">
        <is>
          <t>884426265553</t>
        </is>
      </c>
      <c r="B2387" s="51" t="inlineStr">
        <is>
          <t>109634</t>
        </is>
      </c>
      <c r="C2387" s="156" t="inlineStr">
        <is>
          <t>Multimarca</t>
        </is>
      </c>
      <c r="D2387" s="156" t="inlineStr">
        <is>
          <t>11-030-0489-1022</t>
        </is>
      </c>
      <c r="E2387" s="156" t="inlineStr">
        <is>
          <t>11-030-0489-1022-L</t>
        </is>
      </c>
      <c r="F2387" s="156" t="inlineStr">
        <is>
          <t>10-12</t>
        </is>
      </c>
      <c r="G2387" s="156" t="inlineStr">
        <is>
          <t>L</t>
        </is>
      </c>
      <c r="H2387" s="156" t="inlineStr">
        <is>
          <t>Stetson</t>
        </is>
      </c>
      <c r="I2387" s="156" t="inlineStr">
        <is>
          <t>Camisa Manga Larga Niños Negra</t>
        </is>
      </c>
      <c r="J2387" s="156" t="inlineStr">
        <is>
          <t>Ropa</t>
        </is>
      </c>
      <c r="K2387" s="156" t="inlineStr">
        <is>
          <t>Camisas</t>
        </is>
      </c>
      <c r="L2387" s="156" t="inlineStr">
        <is>
          <t>Niño</t>
        </is>
      </c>
      <c r="M2387" s="156" t="inlineStr">
        <is>
          <t>Stetson</t>
        </is>
      </c>
      <c r="N2387" s="156" t="inlineStr">
        <is>
          <t>SS26</t>
        </is>
      </c>
      <c r="O2387" s="156" t="inlineStr">
        <is>
          <t>Seasonal</t>
        </is>
      </c>
      <c r="P2387" s="156" t="inlineStr">
        <is>
          <t>Negro</t>
        </is>
      </c>
      <c r="Q2387" s="156" t="inlineStr">
        <is>
          <t>Clásico</t>
        </is>
      </c>
      <c r="R2387" s="156" t="n"/>
      <c r="S2387" s="156" t="inlineStr">
        <is>
          <t>100% Algodón</t>
        </is>
      </c>
      <c r="T2387"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7" s="156" t="n"/>
      <c r="V2387" s="156" t="inlineStr">
        <is>
          <t>PZS</t>
        </is>
      </c>
      <c r="W2387" s="51" t="inlineStr">
        <is>
          <t>53101600</t>
        </is>
      </c>
      <c r="X2387" s="156" t="inlineStr">
        <is>
          <t>https://cdn.shopify.com/s/files/1/0888/3250/8267/files/1103004891022b.jpg?v=1751051210</t>
        </is>
      </c>
      <c r="Y2387" s="54" t="n">
        <v>659.4827586</v>
      </c>
      <c r="Z2387" s="54" t="n">
        <v>1465.517241</v>
      </c>
      <c r="AA2387" s="55">
        <f>IF(AND(A2387="", B2387="", E2387=""), "", IF(AB2387="", "Válido", IF((LEN(AB2387)-LEN(SUBSTITUTE(AB2387,"; ","")))/2+1&gt;(LEN(AB2387)-LEN(SUBSTITUTE(AB2387,"[Aviso]","")))/7, "Con Incidencias", "Válido")))</f>
        <v/>
      </c>
      <c r="AB2387" s="56">
        <f>IF(AND(A2387="", B2387="", E2387=""), "", TEXTJOIN("; ", TRUE, IF(OR(TRIM(A2387&amp;"")="", ISNUMBER(SEARCH("FALTA", A2387))), "UPC faltante/inválido", ""), IF(AND(A2387&lt;&gt;"", IFERROR(_xlfn.XMATCH(A2387,$A$2:$A$2509,0,1)&lt;&gt;_xlfn.XMATCH(A2387,$A$2:$A$2509,0,-1),FALSE)), "Código de barras duplicado", ""), IF(AND(E2387&lt;&gt;"", COUNTIF($E$2:$E$2509, E2387)&gt;1), "SKU duplicado", ""), IF(OR(J2387="", J2387=""), "[Aviso] División no capturada ()", IF(ISNA(MATCH(J2387, Criterios!$A$123:$A$126, 0)), "División no válida", "")), IF(OR(K2387="", K2387=""), "[Aviso] Categoría no capturada ()", IF(ISNA(MATCH(K2387, Criterios!$A$81:$A$120, 0)), "Categoría no válida", IF(AND(J2387&lt;&gt;"", J2387&lt;&gt;"", J2387&lt;&gt;VLOOKUP(K2387, Criterios!$A$81:$B$120, 2, FALSE)), "División no coincide con Categoría", ""))), IF(OR(L2387="", L2387=""), "[Aviso] Género no capturado ()", IF(ISNA(MATCH(L2387, Criterios!$B$123:$B$127, 0)), "Género no válido", "")), IF(OR(N2387="", N2387=""), "[Aviso] Temporada no capturada ()", IF(ISNA(MATCH(N2387, Criterios!$C$123:$C$128, 0)), "Temporada no válida", "")), IF(OR(O2387="", O2387=""), "[Aviso] Ciclo de vida no capturado ()", IF(ISNA(MATCH(O2387, Criterios!$D$123:$D$124, 0)), "Ciclo de vida no válido", ""))))</f>
        <v/>
      </c>
      <c r="AC2387" s="56" t="n"/>
      <c r="AD2387" s="51" t="n">
        <v>2</v>
      </c>
      <c r="AE2387" s="156" t="inlineStr">
        <is>
          <t>B25 STETSON.MX (2)</t>
        </is>
      </c>
      <c r="AF2387" s="51" t="n">
        <v>2</v>
      </c>
      <c r="AG2387" s="156" t="inlineStr">
        <is>
          <t>Catálogo existente</t>
        </is>
      </c>
      <c r="AH2387" s="156" t="inlineStr">
        <is>
          <t>Revisión 29/09/2026: Talla fuente 46366 sin equivalencia exacta en Criterios para Talla Niño (numérica); Campos sin respaldo: U; Auditoría NetSuite 30/09/2026: llenado desde NetSuite [S] | 01/10/2026: complementado desde Shopify Stetson México (match por código de barras): WB Silueta | Homologación G1522 06/10/2026: WB Composición: «100% Algodon» → «100% Algodón» (Corrección aplicada)</t>
        </is>
      </c>
      <c r="AI2387" s="156" t="inlineStr">
        <is>
          <t>No</t>
        </is>
      </c>
      <c r="AJ2387" s="156" t="n"/>
      <c r="AK2387" s="155" t="inlineStr">
        <is>
          <t>Criterios: J [R]; G1522_Extraccion_Articulos_NetSuite_2026-09-30.xlsx: fila 57449 [S] | Shopify Stetson: producto 14727121994091 / variante 53350614040939</t>
        </is>
      </c>
      <c r="AL2387" s="58" t="n">
        <v>659.4827586</v>
      </c>
      <c r="AM2387" s="58" t="n">
        <v>1465.517241</v>
      </c>
      <c r="AN2387" s="155" t="inlineStr">
        <is>
          <t>Shopify Stetson México</t>
        </is>
      </c>
      <c r="AO2387" s="59" t="n">
        <v>2</v>
      </c>
      <c r="AP2387" s="59" t="n"/>
      <c r="AQ2387" s="59" t="n"/>
      <c r="AR2387" s="155" t="inlineStr">
        <is>
          <t>Shopify Stetson México › Stetson México: 2</t>
        </is>
      </c>
    </row>
    <row r="2388">
      <c r="A2388" s="50" t="inlineStr">
        <is>
          <t>884426265560</t>
        </is>
      </c>
      <c r="B2388" s="51" t="inlineStr">
        <is>
          <t>109635</t>
        </is>
      </c>
      <c r="C2388" s="156" t="inlineStr">
        <is>
          <t>Multimarca</t>
        </is>
      </c>
      <c r="D2388" s="156" t="inlineStr">
        <is>
          <t>11-030-0489-1022</t>
        </is>
      </c>
      <c r="E2388" s="156" t="inlineStr">
        <is>
          <t>11-030-0489-1022-M</t>
        </is>
      </c>
      <c r="F2388" s="156" t="inlineStr">
        <is>
          <t>8</t>
        </is>
      </c>
      <c r="G2388" s="156" t="inlineStr">
        <is>
          <t>M</t>
        </is>
      </c>
      <c r="H2388" s="156" t="inlineStr">
        <is>
          <t>Stetson</t>
        </is>
      </c>
      <c r="I2388" s="156" t="inlineStr">
        <is>
          <t>Camisa Manga Larga Niños Negra</t>
        </is>
      </c>
      <c r="J2388" s="156" t="inlineStr">
        <is>
          <t>Ropa</t>
        </is>
      </c>
      <c r="K2388" s="156" t="inlineStr">
        <is>
          <t>Camisas</t>
        </is>
      </c>
      <c r="L2388" s="156" t="inlineStr">
        <is>
          <t>Niño</t>
        </is>
      </c>
      <c r="M2388" s="156" t="inlineStr">
        <is>
          <t>Stetson</t>
        </is>
      </c>
      <c r="N2388" s="156" t="inlineStr">
        <is>
          <t>SS26</t>
        </is>
      </c>
      <c r="O2388" s="156" t="inlineStr">
        <is>
          <t>Seasonal</t>
        </is>
      </c>
      <c r="P2388" s="156" t="inlineStr">
        <is>
          <t>Negro</t>
        </is>
      </c>
      <c r="Q2388" s="156" t="inlineStr">
        <is>
          <t>Clásico</t>
        </is>
      </c>
      <c r="R2388" s="156" t="n"/>
      <c r="S2388" s="156" t="inlineStr">
        <is>
          <t>100% Algodón</t>
        </is>
      </c>
      <c r="T2388"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8" s="156" t="n"/>
      <c r="V2388" s="156" t="inlineStr">
        <is>
          <t>PZS</t>
        </is>
      </c>
      <c r="W2388" s="51" t="inlineStr">
        <is>
          <t>53101600</t>
        </is>
      </c>
      <c r="X2388" s="156" t="inlineStr">
        <is>
          <t>https://cdn.shopify.com/s/files/1/0888/3250/8267/files/1103004891022c.jpg?v=1751051202</t>
        </is>
      </c>
      <c r="Y2388" s="54" t="n">
        <v>659.4827586</v>
      </c>
      <c r="Z2388" s="54" t="n">
        <v>1465.517241</v>
      </c>
      <c r="AA2388" s="55">
        <f>IF(AND(A2388="", B2388="", E2388=""), "", IF(AB2388="", "Válido", IF((LEN(AB2388)-LEN(SUBSTITUTE(AB2388,"; ","")))/2+1&gt;(LEN(AB2388)-LEN(SUBSTITUTE(AB2388,"[Aviso]","")))/7, "Con Incidencias", "Válido")))</f>
        <v/>
      </c>
      <c r="AB2388" s="56">
        <f>IF(AND(A2388="", B2388="", E2388=""), "", TEXTJOIN("; ", TRUE, IF(OR(TRIM(A2388&amp;"")="", ISNUMBER(SEARCH("FALTA", A2388))), "UPC faltante/inválido", ""), IF(AND(A2388&lt;&gt;"", IFERROR(_xlfn.XMATCH(A2388,$A$2:$A$2509,0,1)&lt;&gt;_xlfn.XMATCH(A2388,$A$2:$A$2509,0,-1),FALSE)), "Código de barras duplicado", ""), IF(AND(E2388&lt;&gt;"", COUNTIF($E$2:$E$2509, E2388)&gt;1), "SKU duplicado", ""), IF(OR(J2388="", J2388=""), "[Aviso] División no capturada ()", IF(ISNA(MATCH(J2388, Criterios!$A$123:$A$126, 0)), "División no válida", "")), IF(OR(K2388="", K2388=""), "[Aviso] Categoría no capturada ()", IF(ISNA(MATCH(K2388, Criterios!$A$81:$A$120, 0)), "Categoría no válida", IF(AND(J2388&lt;&gt;"", J2388&lt;&gt;"", J2388&lt;&gt;VLOOKUP(K2388, Criterios!$A$81:$B$120, 2, FALSE)), "División no coincide con Categoría", ""))), IF(OR(L2388="", L2388=""), "[Aviso] Género no capturado ()", IF(ISNA(MATCH(L2388, Criterios!$B$123:$B$127, 0)), "Género no válido", "")), IF(OR(N2388="", N2388=""), "[Aviso] Temporada no capturada ()", IF(ISNA(MATCH(N2388, Criterios!$C$123:$C$128, 0)), "Temporada no válida", "")), IF(OR(O2388="", O2388=""), "[Aviso] Ciclo de vida no capturado ()", IF(ISNA(MATCH(O2388, Criterios!$D$123:$D$124, 0)), "Ciclo de vida no válido", ""))))</f>
        <v/>
      </c>
      <c r="AC2388" s="56" t="n"/>
      <c r="AD2388" s="51" t="n">
        <v>2</v>
      </c>
      <c r="AE2388" s="156" t="inlineStr">
        <is>
          <t>B25 STETSON.MX (2)</t>
        </is>
      </c>
      <c r="AF2388" s="51" t="n">
        <v>2</v>
      </c>
      <c r="AG2388" s="156" t="inlineStr">
        <is>
          <t>Catálogo existente</t>
        </is>
      </c>
      <c r="AH238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8" s="156" t="inlineStr">
        <is>
          <t>No</t>
        </is>
      </c>
      <c r="AJ2388" s="156" t="n"/>
      <c r="AK2388" s="155" t="inlineStr">
        <is>
          <t>Criterios: J [R]; G1522_Extraccion_Articulos_NetSuite_2026-09-30.xlsx: fila 57450 [S] | Shopify Stetson: producto 14727121994091 / variante 53350614008171</t>
        </is>
      </c>
      <c r="AL2388" s="58" t="n">
        <v>659.4827586</v>
      </c>
      <c r="AM2388" s="58" t="n">
        <v>1465.517241</v>
      </c>
      <c r="AN2388" s="155" t="inlineStr">
        <is>
          <t>Shopify Stetson México</t>
        </is>
      </c>
      <c r="AO2388" s="59" t="n">
        <v>2</v>
      </c>
      <c r="AP2388" s="59" t="n"/>
      <c r="AQ2388" s="59" t="n"/>
      <c r="AR2388" s="155" t="inlineStr">
        <is>
          <t>Shopify Stetson México › Stetson México: 2</t>
        </is>
      </c>
    </row>
    <row r="2389">
      <c r="A2389" s="50" t="inlineStr">
        <is>
          <t>884426265577</t>
        </is>
      </c>
      <c r="B2389" s="51" t="inlineStr">
        <is>
          <t>109636</t>
        </is>
      </c>
      <c r="C2389" s="156" t="inlineStr">
        <is>
          <t>Multimarca</t>
        </is>
      </c>
      <c r="D2389" s="156" t="inlineStr">
        <is>
          <t>11-030-0489-1022</t>
        </is>
      </c>
      <c r="E2389" s="156" t="inlineStr">
        <is>
          <t>11-030-0489-1022-S</t>
        </is>
      </c>
      <c r="F2389" s="156" t="inlineStr">
        <is>
          <t>6</t>
        </is>
      </c>
      <c r="G2389" s="156" t="inlineStr">
        <is>
          <t>S</t>
        </is>
      </c>
      <c r="H2389" s="156" t="inlineStr">
        <is>
          <t>Stetson</t>
        </is>
      </c>
      <c r="I2389" s="156" t="inlineStr">
        <is>
          <t>Camisa Manga Larga Niños Negra</t>
        </is>
      </c>
      <c r="J2389" s="156" t="inlineStr">
        <is>
          <t>Ropa</t>
        </is>
      </c>
      <c r="K2389" s="156" t="inlineStr">
        <is>
          <t>Camisas</t>
        </is>
      </c>
      <c r="L2389" s="156" t="inlineStr">
        <is>
          <t>Niño</t>
        </is>
      </c>
      <c r="M2389" s="156" t="inlineStr">
        <is>
          <t>Stetson</t>
        </is>
      </c>
      <c r="N2389" s="156" t="inlineStr">
        <is>
          <t>SS26</t>
        </is>
      </c>
      <c r="O2389" s="156" t="inlineStr">
        <is>
          <t>Seasonal</t>
        </is>
      </c>
      <c r="P2389" s="156" t="inlineStr">
        <is>
          <t>Negro</t>
        </is>
      </c>
      <c r="Q2389" s="156" t="inlineStr">
        <is>
          <t>Clásico</t>
        </is>
      </c>
      <c r="R2389" s="156" t="n"/>
      <c r="S2389" s="156" t="inlineStr">
        <is>
          <t>100% Algodón</t>
        </is>
      </c>
      <c r="T2389"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9" s="156" t="n"/>
      <c r="V2389" s="156" t="inlineStr">
        <is>
          <t>PZS</t>
        </is>
      </c>
      <c r="W2389" s="51" t="inlineStr">
        <is>
          <t>53101600</t>
        </is>
      </c>
      <c r="X2389" s="156" t="inlineStr">
        <is>
          <t>https://cdn.shopify.com/s/files/1/0888/3250/8267/files/1103004891022a.jpg?v=1751051195</t>
        </is>
      </c>
      <c r="Y2389" s="54" t="n">
        <v>659.4827586</v>
      </c>
      <c r="Z2389" s="54" t="n">
        <v>1465.517241</v>
      </c>
      <c r="AA2389" s="55">
        <f>IF(AND(A2389="", B2389="", E2389=""), "", IF(AB2389="", "Válido", IF((LEN(AB2389)-LEN(SUBSTITUTE(AB2389,"; ","")))/2+1&gt;(LEN(AB2389)-LEN(SUBSTITUTE(AB2389,"[Aviso]","")))/7, "Con Incidencias", "Válido")))</f>
        <v/>
      </c>
      <c r="AB2389" s="56">
        <f>IF(AND(A2389="", B2389="", E2389=""), "", TEXTJOIN("; ", TRUE, IF(OR(TRIM(A2389&amp;"")="", ISNUMBER(SEARCH("FALTA", A2389))), "UPC faltante/inválido", ""), IF(AND(A2389&lt;&gt;"", IFERROR(_xlfn.XMATCH(A2389,$A$2:$A$2509,0,1)&lt;&gt;_xlfn.XMATCH(A2389,$A$2:$A$2509,0,-1),FALSE)), "Código de barras duplicado", ""), IF(AND(E2389&lt;&gt;"", COUNTIF($E$2:$E$2509, E2389)&gt;1), "SKU duplicado", ""), IF(OR(J2389="", J2389=""), "[Aviso] División no capturada ()", IF(ISNA(MATCH(J2389, Criterios!$A$123:$A$126, 0)), "División no válida", "")), IF(OR(K2389="", K2389=""), "[Aviso] Categoría no capturada ()", IF(ISNA(MATCH(K2389, Criterios!$A$81:$A$120, 0)), "Categoría no válida", IF(AND(J2389&lt;&gt;"", J2389&lt;&gt;"", J2389&lt;&gt;VLOOKUP(K2389, Criterios!$A$81:$B$120, 2, FALSE)), "División no coincide con Categoría", ""))), IF(OR(L2389="", L2389=""), "[Aviso] Género no capturado ()", IF(ISNA(MATCH(L2389, Criterios!$B$123:$B$127, 0)), "Género no válido", "")), IF(OR(N2389="", N2389=""), "[Aviso] Temporada no capturada ()", IF(ISNA(MATCH(N2389, Criterios!$C$123:$C$128, 0)), "Temporada no válida", "")), IF(OR(O2389="", O2389=""), "[Aviso] Ciclo de vida no capturado ()", IF(ISNA(MATCH(O2389, Criterios!$D$123:$D$124, 0)), "Ciclo de vida no válido", ""))))</f>
        <v/>
      </c>
      <c r="AC2389" s="56" t="n"/>
      <c r="AD2389" s="51" t="n">
        <v>2</v>
      </c>
      <c r="AE2389" s="156" t="inlineStr">
        <is>
          <t>B25 STETSON.MX (2)</t>
        </is>
      </c>
      <c r="AF2389" s="51" t="n">
        <v>2</v>
      </c>
      <c r="AG2389" s="156" t="inlineStr">
        <is>
          <t>Catálogo existente</t>
        </is>
      </c>
      <c r="AH238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9" s="156" t="inlineStr">
        <is>
          <t>No</t>
        </is>
      </c>
      <c r="AJ2389" s="156" t="n"/>
      <c r="AK2389" s="155" t="inlineStr">
        <is>
          <t>Criterios: J [R]; G1522_Extraccion_Articulos_NetSuite_2026-09-30.xlsx: fila 57451 [S] | Shopify Stetson: producto 14727121994091 / variante 53350613975403</t>
        </is>
      </c>
      <c r="AL2389" s="58" t="n">
        <v>659.4827586</v>
      </c>
      <c r="AM2389" s="58" t="n">
        <v>1465.517241</v>
      </c>
      <c r="AN2389" s="155" t="inlineStr">
        <is>
          <t>Shopify Stetson México</t>
        </is>
      </c>
      <c r="AO2389" s="59" t="n">
        <v>2</v>
      </c>
      <c r="AP2389" s="59" t="n"/>
      <c r="AQ2389" s="59" t="n"/>
      <c r="AR2389" s="155" t="inlineStr">
        <is>
          <t>Shopify Stetson México › Stetson México: 2</t>
        </is>
      </c>
    </row>
    <row r="2390">
      <c r="A2390" s="50" t="inlineStr">
        <is>
          <t>884426265584</t>
        </is>
      </c>
      <c r="B2390" s="51" t="inlineStr">
        <is>
          <t>109637</t>
        </is>
      </c>
      <c r="C2390" s="156" t="inlineStr">
        <is>
          <t>Multimarca</t>
        </is>
      </c>
      <c r="D2390" s="156" t="inlineStr">
        <is>
          <t>11-030-0489-1022</t>
        </is>
      </c>
      <c r="E2390" s="156" t="inlineStr">
        <is>
          <t>11-030-0489-1022-XL</t>
        </is>
      </c>
      <c r="F2390" s="156" t="inlineStr">
        <is>
          <t>14-16</t>
        </is>
      </c>
      <c r="G2390" s="156" t="inlineStr">
        <is>
          <t>XL</t>
        </is>
      </c>
      <c r="H2390" s="156" t="inlineStr">
        <is>
          <t>Stetson</t>
        </is>
      </c>
      <c r="I2390" s="156" t="inlineStr">
        <is>
          <t>Camisa Manga Larga Niños Negra</t>
        </is>
      </c>
      <c r="J2390" s="156" t="inlineStr">
        <is>
          <t>Ropa</t>
        </is>
      </c>
      <c r="K2390" s="156" t="inlineStr">
        <is>
          <t>Camisas</t>
        </is>
      </c>
      <c r="L2390" s="156" t="inlineStr">
        <is>
          <t>Niño</t>
        </is>
      </c>
      <c r="M2390" s="156" t="inlineStr">
        <is>
          <t>Stetson</t>
        </is>
      </c>
      <c r="N2390" s="156" t="inlineStr">
        <is>
          <t>SS26</t>
        </is>
      </c>
      <c r="O2390" s="156" t="inlineStr">
        <is>
          <t>Seasonal</t>
        </is>
      </c>
      <c r="P2390" s="156" t="inlineStr">
        <is>
          <t>Negro</t>
        </is>
      </c>
      <c r="Q2390" s="156" t="inlineStr">
        <is>
          <t>Clásico</t>
        </is>
      </c>
      <c r="R2390" s="156" t="n"/>
      <c r="S2390" s="156" t="inlineStr">
        <is>
          <t>100% Algodón</t>
        </is>
      </c>
      <c r="T2390"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90" s="156" t="n"/>
      <c r="V2390" s="156" t="inlineStr">
        <is>
          <t>PZS</t>
        </is>
      </c>
      <c r="W2390" s="51" t="inlineStr">
        <is>
          <t>53101600</t>
        </is>
      </c>
      <c r="X2390" s="156" t="inlineStr">
        <is>
          <t>https://cdn.shopify.com/s/files/1/0888/3250/8267/files/1103004891022a.jpg?v=1751051195</t>
        </is>
      </c>
      <c r="Y2390" s="54" t="n">
        <v>659.4827586</v>
      </c>
      <c r="Z2390" s="54" t="n">
        <v>1465.517241</v>
      </c>
      <c r="AA2390" s="55">
        <f>IF(AND(A2390="", B2390="", E2390=""), "", IF(AB2390="", "Válido", IF((LEN(AB2390)-LEN(SUBSTITUTE(AB2390,"; ","")))/2+1&gt;(LEN(AB2390)-LEN(SUBSTITUTE(AB2390,"[Aviso]","")))/7, "Con Incidencias", "Válido")))</f>
        <v/>
      </c>
      <c r="AB2390" s="56">
        <f>IF(AND(A2390="", B2390="", E2390=""), "", TEXTJOIN("; ", TRUE, IF(OR(TRIM(A2390&amp;"")="", ISNUMBER(SEARCH("FALTA", A2390))), "UPC faltante/inválido", ""), IF(AND(A2390&lt;&gt;"", IFERROR(_xlfn.XMATCH(A2390,$A$2:$A$2509,0,1)&lt;&gt;_xlfn.XMATCH(A2390,$A$2:$A$2509,0,-1),FALSE)), "Código de barras duplicado", ""), IF(AND(E2390&lt;&gt;"", COUNTIF($E$2:$E$2509, E2390)&gt;1), "SKU duplicado", ""), IF(OR(J2390="", J2390=""), "[Aviso] División no capturada ()", IF(ISNA(MATCH(J2390, Criterios!$A$123:$A$126, 0)), "División no válida", "")), IF(OR(K2390="", K2390=""), "[Aviso] Categoría no capturada ()", IF(ISNA(MATCH(K2390, Criterios!$A$81:$A$120, 0)), "Categoría no válida", IF(AND(J2390&lt;&gt;"", J2390&lt;&gt;"", J2390&lt;&gt;VLOOKUP(K2390, Criterios!$A$81:$B$120, 2, FALSE)), "División no coincide con Categoría", ""))), IF(OR(L2390="", L2390=""), "[Aviso] Género no capturado ()", IF(ISNA(MATCH(L2390, Criterios!$B$123:$B$127, 0)), "Género no válido", "")), IF(OR(N2390="", N2390=""), "[Aviso] Temporada no capturada ()", IF(ISNA(MATCH(N2390, Criterios!$C$123:$C$128, 0)), "Temporada no válida", "")), IF(OR(O2390="", O2390=""), "[Aviso] Ciclo de vida no capturado ()", IF(ISNA(MATCH(O2390, Criterios!$D$123:$D$124, 0)), "Ciclo de vida no válido", ""))))</f>
        <v/>
      </c>
      <c r="AC2390" s="56" t="n"/>
      <c r="AD2390" s="51" t="n">
        <v>1</v>
      </c>
      <c r="AE2390" s="156" t="inlineStr">
        <is>
          <t>B25 STETSON.MX (1)</t>
        </is>
      </c>
      <c r="AF2390" s="51" t="n">
        <v>1</v>
      </c>
      <c r="AG2390" s="156" t="inlineStr">
        <is>
          <t>Catálogo existente</t>
        </is>
      </c>
      <c r="AH2390" s="156" t="inlineStr">
        <is>
          <t>Revisión 29/09/2026: Talla fuente 14-16 sin equivalencia exacta en Criterios para Talla Niño (numérica);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90" s="156" t="inlineStr">
        <is>
          <t>No</t>
        </is>
      </c>
      <c r="AJ2390" s="156" t="n"/>
      <c r="AK2390" s="155" t="inlineStr">
        <is>
          <t>Criterios: J [R]; G1522_Extraccion_Articulos_NetSuite_2026-09-30.xlsx: fila 57452 [S] | Shopify Stetson: producto 14727121994091 / variante 53350614073707</t>
        </is>
      </c>
      <c r="AL2390" s="58" t="n">
        <v>659.4827586</v>
      </c>
      <c r="AM2390" s="58" t="n">
        <v>1465.517241</v>
      </c>
      <c r="AN2390" s="155" t="inlineStr">
        <is>
          <t>Shopify Stetson México</t>
        </is>
      </c>
      <c r="AO2390" s="59" t="n">
        <v>1</v>
      </c>
      <c r="AP2390" s="59" t="n"/>
      <c r="AQ2390" s="59" t="n"/>
      <c r="AR2390" s="155" t="inlineStr">
        <is>
          <t>Shopify Stetson México › Stetson México: 1</t>
        </is>
      </c>
    </row>
    <row r="2391">
      <c r="A2391" s="50" t="inlineStr">
        <is>
          <t>884426480574</t>
        </is>
      </c>
      <c r="B2391" s="51" t="inlineStr">
        <is>
          <t>109653</t>
        </is>
      </c>
      <c r="C2391" s="156" t="inlineStr">
        <is>
          <t>Multimarca</t>
        </is>
      </c>
      <c r="D2391" s="156" t="inlineStr">
        <is>
          <t>11-097-0562-0883</t>
        </is>
      </c>
      <c r="E2391" s="156" t="inlineStr">
        <is>
          <t>11-097-0562-0883-L</t>
        </is>
      </c>
      <c r="F2391" s="156" t="inlineStr">
        <is>
          <t>L</t>
        </is>
      </c>
      <c r="G2391" s="156" t="inlineStr">
        <is>
          <t>L</t>
        </is>
      </c>
      <c r="H2391" s="156" t="inlineStr">
        <is>
          <t>Stetson</t>
        </is>
      </c>
      <c r="I2391" s="156" t="inlineStr">
        <is>
          <t>Sudadera Stetson Gorro W/ribbon</t>
        </is>
      </c>
      <c r="J2391" s="156" t="inlineStr">
        <is>
          <t>Ropa</t>
        </is>
      </c>
      <c r="K2391" s="156" t="inlineStr">
        <is>
          <t>Sudaderas</t>
        </is>
      </c>
      <c r="L2391" s="156" t="inlineStr">
        <is>
          <t>Hombre</t>
        </is>
      </c>
      <c r="M2391" s="156" t="inlineStr">
        <is>
          <t>Stetson</t>
        </is>
      </c>
      <c r="N2391" s="156" t="inlineStr">
        <is>
          <t>SS26</t>
        </is>
      </c>
      <c r="O2391" s="156" t="inlineStr">
        <is>
          <t>Seasonal</t>
        </is>
      </c>
      <c r="P2391" s="156" t="n"/>
      <c r="Q2391" s="156" t="inlineStr">
        <is>
          <t>Regular</t>
        </is>
      </c>
      <c r="R2391" s="156" t="n"/>
      <c r="S2391" s="156" t="inlineStr">
        <is>
          <t>100% Algodón</t>
        </is>
      </c>
      <c r="T2391"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1" s="156" t="n"/>
      <c r="V2391" s="156" t="inlineStr">
        <is>
          <t>PZS</t>
        </is>
      </c>
      <c r="W2391" s="51" t="inlineStr">
        <is>
          <t>53101700</t>
        </is>
      </c>
      <c r="X2391" s="156" t="inlineStr">
        <is>
          <t>https://cdn.shopify.com/s/files/1/0888/3250/8267/files/1109705620883a.jpg?v=1751043393</t>
        </is>
      </c>
      <c r="Y2391" s="54" t="n">
        <v>717.6724138</v>
      </c>
      <c r="Z2391" s="54" t="n">
        <v>1594.827586</v>
      </c>
      <c r="AA2391" s="55">
        <f>IF(AND(A2391="", B2391="", E2391=""), "", IF(AB2391="", "Válido", IF((LEN(AB2391)-LEN(SUBSTITUTE(AB2391,"; ","")))/2+1&gt;(LEN(AB2391)-LEN(SUBSTITUTE(AB2391,"[Aviso]","")))/7, "Con Incidencias", "Válido")))</f>
        <v/>
      </c>
      <c r="AB2391" s="56">
        <f>IF(AND(A2391="", B2391="", E2391=""), "", TEXTJOIN("; ", TRUE, IF(OR(TRIM(A2391&amp;"")="", ISNUMBER(SEARCH("FALTA", A2391))), "UPC faltante/inválido", ""), IF(AND(A2391&lt;&gt;"", IFERROR(_xlfn.XMATCH(A2391,$A$2:$A$2509,0,1)&lt;&gt;_xlfn.XMATCH(A2391,$A$2:$A$2509,0,-1),FALSE)), "Código de barras duplicado", ""), IF(AND(E2391&lt;&gt;"", COUNTIF($E$2:$E$2509, E2391)&gt;1), "SKU duplicado", ""), IF(OR(J2391="", J2391=""), "[Aviso] División no capturada ()", IF(ISNA(MATCH(J2391, Criterios!$A$123:$A$126, 0)), "División no válida", "")), IF(OR(K2391="", K2391=""), "[Aviso] Categoría no capturada ()", IF(ISNA(MATCH(K2391, Criterios!$A$81:$A$120, 0)), "Categoría no válida", IF(AND(J2391&lt;&gt;"", J2391&lt;&gt;"", J2391&lt;&gt;VLOOKUP(K2391, Criterios!$A$81:$B$120, 2, FALSE)), "División no coincide con Categoría", ""))), IF(OR(L2391="", L2391=""), "[Aviso] Género no capturado ()", IF(ISNA(MATCH(L2391, Criterios!$B$123:$B$127, 0)), "Género no válido", "")), IF(OR(N2391="", N2391=""), "[Aviso] Temporada no capturada ()", IF(ISNA(MATCH(N2391, Criterios!$C$123:$C$128, 0)), "Temporada no válida", "")), IF(OR(O2391="", O2391=""), "[Aviso] Ciclo de vida no capturado ()", IF(ISNA(MATCH(O2391, Criterios!$D$123:$D$124, 0)), "Ciclo de vida no válido", ""))))</f>
        <v/>
      </c>
      <c r="AC2391" s="56" t="n"/>
      <c r="AD2391" s="51" t="n">
        <v>2</v>
      </c>
      <c r="AE2391" s="156" t="inlineStr">
        <is>
          <t>B25 STETSON.MX (2)</t>
        </is>
      </c>
      <c r="AF2391" s="51" t="n">
        <v>2</v>
      </c>
      <c r="AG2391" s="156" t="inlineStr">
        <is>
          <t>Catálogo existente</t>
        </is>
      </c>
      <c r="AH2391"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1" s="156" t="inlineStr">
        <is>
          <t>No</t>
        </is>
      </c>
      <c r="AJ2391" s="156" t="n"/>
      <c r="AK2391" s="155" t="inlineStr">
        <is>
          <t>Criterios: J [R]; G1522_Extraccion_Articulos_NetSuite_2026-09-30.xlsx: fila 57468 [S] | Shopify Stetson: producto 14727075234155 / variante 53350615286123</t>
        </is>
      </c>
      <c r="AL2391" s="58" t="n">
        <v>717.6724138</v>
      </c>
      <c r="AM2391" s="58" t="n">
        <v>1594.827586</v>
      </c>
      <c r="AN2391" s="155" t="inlineStr">
        <is>
          <t>Shopify Stetson México</t>
        </is>
      </c>
      <c r="AO2391" s="59" t="n">
        <v>2</v>
      </c>
      <c r="AP2391" s="59" t="n"/>
      <c r="AQ2391" s="59" t="n"/>
      <c r="AR2391" s="155" t="inlineStr">
        <is>
          <t>Shopify Stetson México › Stetson México: 2</t>
        </is>
      </c>
    </row>
    <row r="2392">
      <c r="A2392" s="50" t="inlineStr">
        <is>
          <t>884426480581</t>
        </is>
      </c>
      <c r="B2392" s="51" t="inlineStr">
        <is>
          <t>109654</t>
        </is>
      </c>
      <c r="C2392" s="156" t="inlineStr">
        <is>
          <t>Multimarca</t>
        </is>
      </c>
      <c r="D2392" s="156" t="inlineStr">
        <is>
          <t>11-097-0562-0883</t>
        </is>
      </c>
      <c r="E2392" s="156" t="inlineStr">
        <is>
          <t>11-097-0562-0883-M</t>
        </is>
      </c>
      <c r="F2392" s="156" t="inlineStr">
        <is>
          <t>M</t>
        </is>
      </c>
      <c r="G2392" s="156" t="inlineStr">
        <is>
          <t>M</t>
        </is>
      </c>
      <c r="H2392" s="156" t="inlineStr">
        <is>
          <t>Stetson</t>
        </is>
      </c>
      <c r="I2392" s="156" t="inlineStr">
        <is>
          <t>Sudadera Stetson Gorro W/ribbon</t>
        </is>
      </c>
      <c r="J2392" s="156" t="inlineStr">
        <is>
          <t>Ropa</t>
        </is>
      </c>
      <c r="K2392" s="156" t="inlineStr">
        <is>
          <t>Sudaderas</t>
        </is>
      </c>
      <c r="L2392" s="156" t="inlineStr">
        <is>
          <t>Hombre</t>
        </is>
      </c>
      <c r="M2392" s="156" t="inlineStr">
        <is>
          <t>Stetson</t>
        </is>
      </c>
      <c r="N2392" s="156" t="inlineStr">
        <is>
          <t>SS26</t>
        </is>
      </c>
      <c r="O2392" s="156" t="inlineStr">
        <is>
          <t>Seasonal</t>
        </is>
      </c>
      <c r="P2392" s="156" t="n"/>
      <c r="Q2392" s="156" t="inlineStr">
        <is>
          <t>Regular</t>
        </is>
      </c>
      <c r="R2392" s="156" t="n"/>
      <c r="S2392" s="156" t="inlineStr">
        <is>
          <t>100% Algodón</t>
        </is>
      </c>
      <c r="T2392"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2" s="156" t="n"/>
      <c r="V2392" s="156" t="inlineStr">
        <is>
          <t>PZS</t>
        </is>
      </c>
      <c r="W2392" s="51" t="inlineStr">
        <is>
          <t>53101700</t>
        </is>
      </c>
      <c r="X2392" s="156" t="inlineStr">
        <is>
          <t>https://cdn.shopify.com/s/files/1/0888/3250/8267/files/1109705620883b.jpg?v=1751043398</t>
        </is>
      </c>
      <c r="Y2392" s="54" t="n">
        <v>717.6724138</v>
      </c>
      <c r="Z2392" s="54" t="n">
        <v>1594.827586</v>
      </c>
      <c r="AA2392" s="55">
        <f>IF(AND(A2392="", B2392="", E2392=""), "", IF(AB2392="", "Válido", IF((LEN(AB2392)-LEN(SUBSTITUTE(AB2392,"; ","")))/2+1&gt;(LEN(AB2392)-LEN(SUBSTITUTE(AB2392,"[Aviso]","")))/7, "Con Incidencias", "Válido")))</f>
        <v/>
      </c>
      <c r="AB2392" s="56">
        <f>IF(AND(A2392="", B2392="", E2392=""), "", TEXTJOIN("; ", TRUE, IF(OR(TRIM(A2392&amp;"")="", ISNUMBER(SEARCH("FALTA", A2392))), "UPC faltante/inválido", ""), IF(AND(A2392&lt;&gt;"", IFERROR(_xlfn.XMATCH(A2392,$A$2:$A$2509,0,1)&lt;&gt;_xlfn.XMATCH(A2392,$A$2:$A$2509,0,-1),FALSE)), "Código de barras duplicado", ""), IF(AND(E2392&lt;&gt;"", COUNTIF($E$2:$E$2509, E2392)&gt;1), "SKU duplicado", ""), IF(OR(J2392="", J2392=""), "[Aviso] División no capturada ()", IF(ISNA(MATCH(J2392, Criterios!$A$123:$A$126, 0)), "División no válida", "")), IF(OR(K2392="", K2392=""), "[Aviso] Categoría no capturada ()", IF(ISNA(MATCH(K2392, Criterios!$A$81:$A$120, 0)), "Categoría no válida", IF(AND(J2392&lt;&gt;"", J2392&lt;&gt;"", J2392&lt;&gt;VLOOKUP(K2392, Criterios!$A$81:$B$120, 2, FALSE)), "División no coincide con Categoría", ""))), IF(OR(L2392="", L2392=""), "[Aviso] Género no capturado ()", IF(ISNA(MATCH(L2392, Criterios!$B$123:$B$127, 0)), "Género no válido", "")), IF(OR(N2392="", N2392=""), "[Aviso] Temporada no capturada ()", IF(ISNA(MATCH(N2392, Criterios!$C$123:$C$128, 0)), "Temporada no válida", "")), IF(OR(O2392="", O2392=""), "[Aviso] Ciclo de vida no capturado ()", IF(ISNA(MATCH(O2392, Criterios!$D$123:$D$124, 0)), "Ciclo de vida no válido", ""))))</f>
        <v/>
      </c>
      <c r="AC2392" s="56" t="n"/>
      <c r="AD2392" s="51" t="n">
        <v>2</v>
      </c>
      <c r="AE2392" s="156" t="inlineStr">
        <is>
          <t>B25 STETSON.MX (2)</t>
        </is>
      </c>
      <c r="AF2392" s="51" t="n">
        <v>2</v>
      </c>
      <c r="AG2392" s="156" t="inlineStr">
        <is>
          <t>Catálogo existente</t>
        </is>
      </c>
      <c r="AH239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92" s="156" t="inlineStr">
        <is>
          <t>No</t>
        </is>
      </c>
      <c r="AJ2392" s="156" t="n"/>
      <c r="AK2392" s="155" t="inlineStr">
        <is>
          <t>Criterios: J [R]; G1522_Extraccion_Articulos_NetSuite_2026-09-30.xlsx: fila 57469 [S] | Shopify Stetson: producto 14727075234155 / variante 53350615253355</t>
        </is>
      </c>
      <c r="AL2392" s="58" t="n">
        <v>717.6724138</v>
      </c>
      <c r="AM2392" s="58" t="n">
        <v>1594.827586</v>
      </c>
      <c r="AN2392" s="155" t="inlineStr">
        <is>
          <t>Shopify Stetson México</t>
        </is>
      </c>
      <c r="AO2392" s="59" t="n">
        <v>2</v>
      </c>
      <c r="AP2392" s="59" t="n"/>
      <c r="AQ2392" s="59" t="n"/>
      <c r="AR2392" s="155" t="inlineStr">
        <is>
          <t>Shopify Stetson México › Stetson México: 2</t>
        </is>
      </c>
    </row>
    <row r="2393">
      <c r="A2393" s="50" t="inlineStr">
        <is>
          <t>884426480598</t>
        </is>
      </c>
      <c r="B2393" s="51" t="inlineStr">
        <is>
          <t>109655</t>
        </is>
      </c>
      <c r="C2393" s="156" t="inlineStr">
        <is>
          <t>Multimarca</t>
        </is>
      </c>
      <c r="D2393" s="156" t="inlineStr">
        <is>
          <t>11-097-0562-0883</t>
        </is>
      </c>
      <c r="E2393" s="156" t="inlineStr">
        <is>
          <t>11-097-0562-0883-S</t>
        </is>
      </c>
      <c r="F2393" s="156" t="inlineStr">
        <is>
          <t>S</t>
        </is>
      </c>
      <c r="G2393" s="156" t="inlineStr">
        <is>
          <t>S</t>
        </is>
      </c>
      <c r="H2393" s="156" t="inlineStr">
        <is>
          <t>Stetson</t>
        </is>
      </c>
      <c r="I2393" s="156" t="inlineStr">
        <is>
          <t>Sudadera Stetson Gorro W/ribbon</t>
        </is>
      </c>
      <c r="J2393" s="156" t="inlineStr">
        <is>
          <t>Ropa</t>
        </is>
      </c>
      <c r="K2393" s="156" t="inlineStr">
        <is>
          <t>Sudaderas</t>
        </is>
      </c>
      <c r="L2393" s="156" t="inlineStr">
        <is>
          <t>Hombre</t>
        </is>
      </c>
      <c r="M2393" s="156" t="inlineStr">
        <is>
          <t>Stetson</t>
        </is>
      </c>
      <c r="N2393" s="156" t="inlineStr">
        <is>
          <t>SS26</t>
        </is>
      </c>
      <c r="O2393" s="156" t="inlineStr">
        <is>
          <t>Seasonal</t>
        </is>
      </c>
      <c r="P2393" s="156" t="n"/>
      <c r="Q2393" s="156" t="inlineStr">
        <is>
          <t>Regular</t>
        </is>
      </c>
      <c r="R2393" s="156" t="n"/>
      <c r="S2393" s="156" t="inlineStr">
        <is>
          <t>100% Algodón</t>
        </is>
      </c>
      <c r="T2393"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3" s="156" t="n"/>
      <c r="V2393" s="156" t="inlineStr">
        <is>
          <t>PZS</t>
        </is>
      </c>
      <c r="W2393" s="51" t="inlineStr">
        <is>
          <t>53101700</t>
        </is>
      </c>
      <c r="X2393" s="156" t="inlineStr">
        <is>
          <t>https://cdn.shopify.com/s/files/1/0888/3250/8267/files/1109705620883a.jpg?v=1751043393</t>
        </is>
      </c>
      <c r="Y2393" s="54" t="n">
        <v>717.6724138</v>
      </c>
      <c r="Z2393" s="54" t="n">
        <v>1594.827586</v>
      </c>
      <c r="AA2393" s="55">
        <f>IF(AND(A2393="", B2393="", E2393=""), "", IF(AB2393="", "Válido", IF((LEN(AB2393)-LEN(SUBSTITUTE(AB2393,"; ","")))/2+1&gt;(LEN(AB2393)-LEN(SUBSTITUTE(AB2393,"[Aviso]","")))/7, "Con Incidencias", "Válido")))</f>
        <v/>
      </c>
      <c r="AB2393" s="56">
        <f>IF(AND(A2393="", B2393="", E2393=""), "", TEXTJOIN("; ", TRUE, IF(OR(TRIM(A2393&amp;"")="", ISNUMBER(SEARCH("FALTA", A2393))), "UPC faltante/inválido", ""), IF(AND(A2393&lt;&gt;"", IFERROR(_xlfn.XMATCH(A2393,$A$2:$A$2509,0,1)&lt;&gt;_xlfn.XMATCH(A2393,$A$2:$A$2509,0,-1),FALSE)), "Código de barras duplicado", ""), IF(AND(E2393&lt;&gt;"", COUNTIF($E$2:$E$2509, E2393)&gt;1), "SKU duplicado", ""), IF(OR(J2393="", J2393=""), "[Aviso] División no capturada ()", IF(ISNA(MATCH(J2393, Criterios!$A$123:$A$126, 0)), "División no válida", "")), IF(OR(K2393="", K2393=""), "[Aviso] Categoría no capturada ()", IF(ISNA(MATCH(K2393, Criterios!$A$81:$A$120, 0)), "Categoría no válida", IF(AND(J2393&lt;&gt;"", J2393&lt;&gt;"", J2393&lt;&gt;VLOOKUP(K2393, Criterios!$A$81:$B$120, 2, FALSE)), "División no coincide con Categoría", ""))), IF(OR(L2393="", L2393=""), "[Aviso] Género no capturado ()", IF(ISNA(MATCH(L2393, Criterios!$B$123:$B$127, 0)), "Género no válido", "")), IF(OR(N2393="", N2393=""), "[Aviso] Temporada no capturada ()", IF(ISNA(MATCH(N2393, Criterios!$C$123:$C$128, 0)), "Temporada no válida", "")), IF(OR(O2393="", O2393=""), "[Aviso] Ciclo de vida no capturado ()", IF(ISNA(MATCH(O2393, Criterios!$D$123:$D$124, 0)), "Ciclo de vida no válido", ""))))</f>
        <v/>
      </c>
      <c r="AC2393" s="56" t="n"/>
      <c r="AD2393" s="51" t="n">
        <v>2</v>
      </c>
      <c r="AE2393" s="156" t="inlineStr">
        <is>
          <t>B25 STETSON.MX (2)</t>
        </is>
      </c>
      <c r="AF2393" s="51" t="n">
        <v>2</v>
      </c>
      <c r="AG2393" s="156" t="inlineStr">
        <is>
          <t>Catálogo existente</t>
        </is>
      </c>
      <c r="AH239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93" s="156" t="inlineStr">
        <is>
          <t>No</t>
        </is>
      </c>
      <c r="AJ2393" s="156" t="n"/>
      <c r="AK2393" s="155" t="inlineStr">
        <is>
          <t>Criterios: J [R]; G1522_Extraccion_Articulos_NetSuite_2026-09-30.xlsx: fila 57470 [S] | Shopify Stetson: producto 14727075234155 / variante 53350615220587</t>
        </is>
      </c>
      <c r="AL2393" s="58" t="n">
        <v>717.6724138</v>
      </c>
      <c r="AM2393" s="58" t="n">
        <v>1594.827586</v>
      </c>
      <c r="AN2393" s="155" t="inlineStr">
        <is>
          <t>Shopify Stetson México</t>
        </is>
      </c>
      <c r="AO2393" s="59" t="n">
        <v>2</v>
      </c>
      <c r="AP2393" s="59" t="n"/>
      <c r="AQ2393" s="59" t="n"/>
      <c r="AR2393" s="155" t="inlineStr">
        <is>
          <t>Shopify Stetson México › Stetson México: 2</t>
        </is>
      </c>
    </row>
    <row r="2394">
      <c r="A2394" s="50" t="inlineStr">
        <is>
          <t>884426480604</t>
        </is>
      </c>
      <c r="B2394" s="51" t="inlineStr">
        <is>
          <t>109656</t>
        </is>
      </c>
      <c r="C2394" s="156" t="inlineStr">
        <is>
          <t>Multimarca</t>
        </is>
      </c>
      <c r="D2394" s="156" t="inlineStr">
        <is>
          <t>11-097-0562-0883</t>
        </is>
      </c>
      <c r="E2394" s="156" t="inlineStr">
        <is>
          <t>11-097-0562-0883-XL</t>
        </is>
      </c>
      <c r="F2394" s="156" t="inlineStr">
        <is>
          <t>XL</t>
        </is>
      </c>
      <c r="G2394" s="156" t="inlineStr">
        <is>
          <t>XL</t>
        </is>
      </c>
      <c r="H2394" s="156" t="inlineStr">
        <is>
          <t>Stetson</t>
        </is>
      </c>
      <c r="I2394" s="156" t="inlineStr">
        <is>
          <t>Sudadera Stetson Gorro W/ribbon</t>
        </is>
      </c>
      <c r="J2394" s="156" t="inlineStr">
        <is>
          <t>Ropa</t>
        </is>
      </c>
      <c r="K2394" s="156" t="inlineStr">
        <is>
          <t>Sudaderas</t>
        </is>
      </c>
      <c r="L2394" s="156" t="inlineStr">
        <is>
          <t>Hombre</t>
        </is>
      </c>
      <c r="M2394" s="156" t="inlineStr">
        <is>
          <t>Stetson</t>
        </is>
      </c>
      <c r="N2394" s="156" t="inlineStr">
        <is>
          <t>SS26</t>
        </is>
      </c>
      <c r="O2394" s="156" t="inlineStr">
        <is>
          <t>Seasonal</t>
        </is>
      </c>
      <c r="P2394" s="156" t="n"/>
      <c r="Q2394" s="156" t="inlineStr">
        <is>
          <t>Regular</t>
        </is>
      </c>
      <c r="R2394" s="156" t="n"/>
      <c r="S2394" s="156" t="inlineStr">
        <is>
          <t>100% Algodón</t>
        </is>
      </c>
      <c r="T2394"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4" s="156" t="n"/>
      <c r="V2394" s="156" t="inlineStr">
        <is>
          <t>PZS</t>
        </is>
      </c>
      <c r="W2394" s="51" t="inlineStr">
        <is>
          <t>53101700</t>
        </is>
      </c>
      <c r="X2394" s="156" t="inlineStr">
        <is>
          <t>https://cdn.shopify.com/s/files/1/0888/3250/8267/files/1109705620883a.jpg?v=1751043393</t>
        </is>
      </c>
      <c r="Y2394" s="54" t="n">
        <v>717.6724138</v>
      </c>
      <c r="Z2394" s="54" t="n">
        <v>1594.827586</v>
      </c>
      <c r="AA2394" s="55">
        <f>IF(AND(A2394="", B2394="", E2394=""), "", IF(AB2394="", "Válido", IF((LEN(AB2394)-LEN(SUBSTITUTE(AB2394,"; ","")))/2+1&gt;(LEN(AB2394)-LEN(SUBSTITUTE(AB2394,"[Aviso]","")))/7, "Con Incidencias", "Válido")))</f>
        <v/>
      </c>
      <c r="AB2394" s="56">
        <f>IF(AND(A2394="", B2394="", E2394=""), "", TEXTJOIN("; ", TRUE, IF(OR(TRIM(A2394&amp;"")="", ISNUMBER(SEARCH("FALTA", A2394))), "UPC faltante/inválido", ""), IF(AND(A2394&lt;&gt;"", IFERROR(_xlfn.XMATCH(A2394,$A$2:$A$2509,0,1)&lt;&gt;_xlfn.XMATCH(A2394,$A$2:$A$2509,0,-1),FALSE)), "Código de barras duplicado", ""), IF(AND(E2394&lt;&gt;"", COUNTIF($E$2:$E$2509, E2394)&gt;1), "SKU duplicado", ""), IF(OR(J2394="", J2394=""), "[Aviso] División no capturada ()", IF(ISNA(MATCH(J2394, Criterios!$A$123:$A$126, 0)), "División no válida", "")), IF(OR(K2394="", K2394=""), "[Aviso] Categoría no capturada ()", IF(ISNA(MATCH(K2394, Criterios!$A$81:$A$120, 0)), "Categoría no válida", IF(AND(J2394&lt;&gt;"", J2394&lt;&gt;"", J2394&lt;&gt;VLOOKUP(K2394, Criterios!$A$81:$B$120, 2, FALSE)), "División no coincide con Categoría", ""))), IF(OR(L2394="", L2394=""), "[Aviso] Género no capturado ()", IF(ISNA(MATCH(L2394, Criterios!$B$123:$B$127, 0)), "Género no válido", "")), IF(OR(N2394="", N2394=""), "[Aviso] Temporada no capturada ()", IF(ISNA(MATCH(N2394, Criterios!$C$123:$C$128, 0)), "Temporada no válida", "")), IF(OR(O2394="", O2394=""), "[Aviso] Ciclo de vida no capturado ()", IF(ISNA(MATCH(O2394, Criterios!$D$123:$D$124, 0)), "Ciclo de vida no válido", ""))))</f>
        <v/>
      </c>
      <c r="AC2394" s="56" t="n"/>
      <c r="AD2394" s="51" t="n">
        <v>2</v>
      </c>
      <c r="AE2394" s="156" t="inlineStr">
        <is>
          <t>B25 STETSON.MX (2)</t>
        </is>
      </c>
      <c r="AF2394" s="51" t="n">
        <v>2</v>
      </c>
      <c r="AG2394" s="156" t="inlineStr">
        <is>
          <t>Catálogo existente</t>
        </is>
      </c>
      <c r="AH239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4" s="156" t="inlineStr">
        <is>
          <t>No</t>
        </is>
      </c>
      <c r="AJ2394" s="156" t="n"/>
      <c r="AK2394" s="155" t="inlineStr">
        <is>
          <t>Criterios: J [R]; G1522_Extraccion_Articulos_NetSuite_2026-09-30.xlsx: fila 57471 [S] | Shopify Stetson: producto 14727075234155 / variante 53350615318891</t>
        </is>
      </c>
      <c r="AL2394" s="58" t="n">
        <v>717.6724138</v>
      </c>
      <c r="AM2394" s="58" t="n">
        <v>1594.827586</v>
      </c>
      <c r="AN2394" s="155" t="inlineStr">
        <is>
          <t>Shopify Stetson México</t>
        </is>
      </c>
      <c r="AO2394" s="59" t="n">
        <v>2</v>
      </c>
      <c r="AP2394" s="59" t="n"/>
      <c r="AQ2394" s="59" t="n"/>
      <c r="AR2394" s="155" t="inlineStr">
        <is>
          <t>Shopify Stetson México › Stetson México: 2</t>
        </is>
      </c>
    </row>
    <row r="2395">
      <c r="A2395" s="50" t="inlineStr">
        <is>
          <t>884426480611</t>
        </is>
      </c>
      <c r="B2395" s="51" t="inlineStr">
        <is>
          <t>109657</t>
        </is>
      </c>
      <c r="C2395" s="156" t="inlineStr">
        <is>
          <t>Multimarca</t>
        </is>
      </c>
      <c r="D2395" s="156" t="inlineStr">
        <is>
          <t>11-097-0562-0883</t>
        </is>
      </c>
      <c r="E2395" s="156" t="inlineStr">
        <is>
          <t>11-097-0562-0883-XXL</t>
        </is>
      </c>
      <c r="F2395" s="156" t="inlineStr">
        <is>
          <t>XXL</t>
        </is>
      </c>
      <c r="G2395" s="156" t="inlineStr">
        <is>
          <t>XXL</t>
        </is>
      </c>
      <c r="H2395" s="156" t="inlineStr">
        <is>
          <t>Stetson</t>
        </is>
      </c>
      <c r="I2395" s="156" t="inlineStr">
        <is>
          <t>Sudadera Stetson Gorro W/ribbon</t>
        </is>
      </c>
      <c r="J2395" s="156" t="inlineStr">
        <is>
          <t>Ropa</t>
        </is>
      </c>
      <c r="K2395" s="156" t="inlineStr">
        <is>
          <t>Sudaderas</t>
        </is>
      </c>
      <c r="L2395" s="156" t="inlineStr">
        <is>
          <t>Hombre</t>
        </is>
      </c>
      <c r="M2395" s="156" t="inlineStr">
        <is>
          <t>Stetson</t>
        </is>
      </c>
      <c r="N2395" s="156" t="inlineStr">
        <is>
          <t>SS26</t>
        </is>
      </c>
      <c r="O2395" s="156" t="inlineStr">
        <is>
          <t>Seasonal</t>
        </is>
      </c>
      <c r="P2395" s="156" t="n"/>
      <c r="Q2395" s="156" t="inlineStr">
        <is>
          <t>Regular</t>
        </is>
      </c>
      <c r="R2395" s="156" t="n"/>
      <c r="S2395" s="156" t="inlineStr">
        <is>
          <t>100% Algodón</t>
        </is>
      </c>
      <c r="T2395"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5" s="156" t="n"/>
      <c r="V2395" s="156" t="inlineStr">
        <is>
          <t>PZS</t>
        </is>
      </c>
      <c r="W2395" s="51" t="inlineStr">
        <is>
          <t>53101700</t>
        </is>
      </c>
      <c r="X2395" s="156" t="inlineStr">
        <is>
          <t>https://cdn.shopify.com/s/files/1/0888/3250/8267/files/1109705620883a.jpg?v=1751043393</t>
        </is>
      </c>
      <c r="Y2395" s="54" t="n">
        <v>717.6724138</v>
      </c>
      <c r="Z2395" s="54" t="n">
        <v>1594.827586</v>
      </c>
      <c r="AA2395" s="55">
        <f>IF(AND(A2395="", B2395="", E2395=""), "", IF(AB2395="", "Válido", IF((LEN(AB2395)-LEN(SUBSTITUTE(AB2395,"; ","")))/2+1&gt;(LEN(AB2395)-LEN(SUBSTITUTE(AB2395,"[Aviso]","")))/7, "Con Incidencias", "Válido")))</f>
        <v/>
      </c>
      <c r="AB2395" s="56">
        <f>IF(AND(A2395="", B2395="", E2395=""), "", TEXTJOIN("; ", TRUE, IF(OR(TRIM(A2395&amp;"")="", ISNUMBER(SEARCH("FALTA", A2395))), "UPC faltante/inválido", ""), IF(AND(A2395&lt;&gt;"", IFERROR(_xlfn.XMATCH(A2395,$A$2:$A$2509,0,1)&lt;&gt;_xlfn.XMATCH(A2395,$A$2:$A$2509,0,-1),FALSE)), "Código de barras duplicado", ""), IF(AND(E2395&lt;&gt;"", COUNTIF($E$2:$E$2509, E2395)&gt;1), "SKU duplicado", ""), IF(OR(J2395="", J2395=""), "[Aviso] División no capturada ()", IF(ISNA(MATCH(J2395, Criterios!$A$123:$A$126, 0)), "División no válida", "")), IF(OR(K2395="", K2395=""), "[Aviso] Categoría no capturada ()", IF(ISNA(MATCH(K2395, Criterios!$A$81:$A$120, 0)), "Categoría no válida", IF(AND(J2395&lt;&gt;"", J2395&lt;&gt;"", J2395&lt;&gt;VLOOKUP(K2395, Criterios!$A$81:$B$120, 2, FALSE)), "División no coincide con Categoría", ""))), IF(OR(L2395="", L2395=""), "[Aviso] Género no capturado ()", IF(ISNA(MATCH(L2395, Criterios!$B$123:$B$127, 0)), "Género no válido", "")), IF(OR(N2395="", N2395=""), "[Aviso] Temporada no capturada ()", IF(ISNA(MATCH(N2395, Criterios!$C$123:$C$128, 0)), "Temporada no válida", "")), IF(OR(O2395="", O2395=""), "[Aviso] Ciclo de vida no capturado ()", IF(ISNA(MATCH(O2395, Criterios!$D$123:$D$124, 0)), "Ciclo de vida no válido", ""))))</f>
        <v/>
      </c>
      <c r="AC2395" s="56" t="n"/>
      <c r="AD2395" s="51" t="n">
        <v>2</v>
      </c>
      <c r="AE2395" s="156" t="inlineStr">
        <is>
          <t>B25 STETSON.MX (2)</t>
        </is>
      </c>
      <c r="AF2395" s="51" t="n">
        <v>2</v>
      </c>
      <c r="AG2395" s="156" t="inlineStr">
        <is>
          <t>Catálogo existente</t>
        </is>
      </c>
      <c r="AH239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5" s="156" t="inlineStr">
        <is>
          <t>No</t>
        </is>
      </c>
      <c r="AJ2395" s="156" t="n"/>
      <c r="AK2395" s="155" t="inlineStr">
        <is>
          <t>Criterios: J [R]; G1522_Extraccion_Articulos_NetSuite_2026-09-30.xlsx: fila 57472 [S] | Shopify Stetson: producto 14727075234155 / variante 53350615351659</t>
        </is>
      </c>
      <c r="AL2395" s="58" t="n">
        <v>717.6724138</v>
      </c>
      <c r="AM2395" s="58" t="n">
        <v>1594.827586</v>
      </c>
      <c r="AN2395" s="155" t="inlineStr">
        <is>
          <t>Shopify Stetson México</t>
        </is>
      </c>
      <c r="AO2395" s="59" t="n">
        <v>2</v>
      </c>
      <c r="AP2395" s="59" t="n"/>
      <c r="AQ2395" s="59" t="n"/>
      <c r="AR2395" s="155" t="inlineStr">
        <is>
          <t>Shopify Stetson México › Stetson México: 2</t>
        </is>
      </c>
    </row>
    <row r="2396">
      <c r="A2396" s="50" t="inlineStr">
        <is>
          <t>884426480727</t>
        </is>
      </c>
      <c r="B2396" s="51" t="inlineStr">
        <is>
          <t>109658</t>
        </is>
      </c>
      <c r="C2396" s="156" t="inlineStr">
        <is>
          <t>Multimarca</t>
        </is>
      </c>
      <c r="D2396" s="156" t="inlineStr">
        <is>
          <t>11-097-0562-0886</t>
        </is>
      </c>
      <c r="E2396" s="156" t="inlineStr">
        <is>
          <t>11-097-0562-0886-L</t>
        </is>
      </c>
      <c r="F2396" s="156" t="inlineStr">
        <is>
          <t>L</t>
        </is>
      </c>
      <c r="G2396" s="156" t="inlineStr">
        <is>
          <t>L</t>
        </is>
      </c>
      <c r="H2396" s="156" t="inlineStr">
        <is>
          <t>Stetson</t>
        </is>
      </c>
      <c r="I2396" s="156" t="inlineStr">
        <is>
          <t>Sudadera Stetson Águila "john B. Stetson"</t>
        </is>
      </c>
      <c r="J2396" s="156" t="inlineStr">
        <is>
          <t>Ropa</t>
        </is>
      </c>
      <c r="K2396" s="156" t="inlineStr">
        <is>
          <t>Sudaderas</t>
        </is>
      </c>
      <c r="L2396" s="156" t="inlineStr">
        <is>
          <t>Hombre</t>
        </is>
      </c>
      <c r="M2396" s="156" t="inlineStr">
        <is>
          <t>Stetson</t>
        </is>
      </c>
      <c r="N2396" s="156" t="inlineStr">
        <is>
          <t>SS26</t>
        </is>
      </c>
      <c r="O2396" s="156" t="inlineStr">
        <is>
          <t>Seasonal</t>
        </is>
      </c>
      <c r="P2396" s="156" t="n"/>
      <c r="Q2396" s="156" t="inlineStr">
        <is>
          <t>Regular</t>
        </is>
      </c>
      <c r="R2396" s="156" t="n"/>
      <c r="S2396" s="156" t="n"/>
      <c r="T2396"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6" s="156" t="n"/>
      <c r="V2396" s="156" t="inlineStr">
        <is>
          <t>PZS</t>
        </is>
      </c>
      <c r="W2396" s="51" t="inlineStr">
        <is>
          <t>53101700</t>
        </is>
      </c>
      <c r="X2396" s="156" t="inlineStr">
        <is>
          <t>https://cdn.shopify.com/s/files/1/0888/3250/8267/files/1109705620886a.jpg?v=1751044131</t>
        </is>
      </c>
      <c r="Y2396" s="54" t="n">
        <v>717.6724138</v>
      </c>
      <c r="Z2396" s="54" t="n">
        <v>1594.827586</v>
      </c>
      <c r="AA2396" s="55">
        <f>IF(AND(A2396="", B2396="", E2396=""), "", IF(AB2396="", "Válido", IF((LEN(AB2396)-LEN(SUBSTITUTE(AB2396,"; ","")))/2+1&gt;(LEN(AB2396)-LEN(SUBSTITUTE(AB2396,"[Aviso]","")))/7, "Con Incidencias", "Válido")))</f>
        <v/>
      </c>
      <c r="AB2396" s="56">
        <f>IF(AND(A2396="", B2396="", E2396=""), "", TEXTJOIN("; ", TRUE, IF(OR(TRIM(A2396&amp;"")="", ISNUMBER(SEARCH("FALTA", A2396))), "UPC faltante/inválido", ""), IF(AND(A2396&lt;&gt;"", IFERROR(_xlfn.XMATCH(A2396,$A$2:$A$2509,0,1)&lt;&gt;_xlfn.XMATCH(A2396,$A$2:$A$2509,0,-1),FALSE)), "Código de barras duplicado", ""), IF(AND(E2396&lt;&gt;"", COUNTIF($E$2:$E$2509, E2396)&gt;1), "SKU duplicado", ""), IF(OR(J2396="", J2396=""), "[Aviso] División no capturada ()", IF(ISNA(MATCH(J2396, Criterios!$A$123:$A$126, 0)), "División no válida", "")), IF(OR(K2396="", K2396=""), "[Aviso] Categoría no capturada ()", IF(ISNA(MATCH(K2396, Criterios!$A$81:$A$120, 0)), "Categoría no válida", IF(AND(J2396&lt;&gt;"", J2396&lt;&gt;"", J2396&lt;&gt;VLOOKUP(K2396, Criterios!$A$81:$B$120, 2, FALSE)), "División no coincide con Categoría", ""))), IF(OR(L2396="", L2396=""), "[Aviso] Género no capturado ()", IF(ISNA(MATCH(L2396, Criterios!$B$123:$B$127, 0)), "Género no válido", "")), IF(OR(N2396="", N2396=""), "[Aviso] Temporada no capturada ()", IF(ISNA(MATCH(N2396, Criterios!$C$123:$C$128, 0)), "Temporada no válida", "")), IF(OR(O2396="", O2396=""), "[Aviso] Ciclo de vida no capturado ()", IF(ISNA(MATCH(O2396, Criterios!$D$123:$D$124, 0)), "Ciclo de vida no válido", ""))))</f>
        <v/>
      </c>
      <c r="AC2396" s="56" t="n"/>
      <c r="AD2396" s="51" t="n">
        <v>2</v>
      </c>
      <c r="AE2396" s="156" t="inlineStr">
        <is>
          <t>B25 STETSON.MX (2)</t>
        </is>
      </c>
      <c r="AF2396" s="51" t="n">
        <v>2</v>
      </c>
      <c r="AG2396" s="156" t="inlineStr">
        <is>
          <t>Catálogo existente</t>
        </is>
      </c>
      <c r="AH2396" s="156" t="inlineStr">
        <is>
          <t>Revisión 29/09/2026: Campos sin respaldo: P, S, U, X; Auditoría NetSuite 30/09/2026: llenado desde NetSuite [T] | 01/10/2026: complementado desde Shopify Stetson México (match por código de barras): WB Silueta, Enlace de imagen</t>
        </is>
      </c>
      <c r="AI2396" s="156" t="inlineStr">
        <is>
          <t>No</t>
        </is>
      </c>
      <c r="AJ2396" s="156" t="n"/>
      <c r="AK2396" s="155" t="inlineStr">
        <is>
          <t>Criterios: J [R]; G1522_Extraccion_Articulos_NetSuite_2026-09-30.xlsx: fila 57473 [T] | Shopify Stetson: producto 14727077364075 / variante 53350615122283</t>
        </is>
      </c>
      <c r="AL2396" s="58" t="n">
        <v>717.6724138</v>
      </c>
      <c r="AM2396" s="58" t="n">
        <v>1594.827586</v>
      </c>
      <c r="AN2396" s="155" t="inlineStr">
        <is>
          <t>Shopify Stetson México</t>
        </is>
      </c>
      <c r="AO2396" s="59" t="n">
        <v>2</v>
      </c>
      <c r="AP2396" s="59" t="n"/>
      <c r="AQ2396" s="59" t="n"/>
      <c r="AR2396" s="155" t="inlineStr">
        <is>
          <t>Shopify Stetson México › Stetson México: 2</t>
        </is>
      </c>
    </row>
    <row r="2397">
      <c r="A2397" s="50" t="inlineStr">
        <is>
          <t>884426480734</t>
        </is>
      </c>
      <c r="B2397" s="51" t="inlineStr">
        <is>
          <t>109659</t>
        </is>
      </c>
      <c r="C2397" s="156" t="inlineStr">
        <is>
          <t>Multimarca</t>
        </is>
      </c>
      <c r="D2397" s="156" t="inlineStr">
        <is>
          <t>11-097-0562-0886</t>
        </is>
      </c>
      <c r="E2397" s="156" t="inlineStr">
        <is>
          <t>11-097-0562-0886-M</t>
        </is>
      </c>
      <c r="F2397" s="156" t="inlineStr">
        <is>
          <t>M</t>
        </is>
      </c>
      <c r="G2397" s="156" t="inlineStr">
        <is>
          <t>M</t>
        </is>
      </c>
      <c r="H2397" s="156" t="inlineStr">
        <is>
          <t>Stetson</t>
        </is>
      </c>
      <c r="I2397" s="156" t="inlineStr">
        <is>
          <t>Sudadera Stetson Águila "john B. Stetson"</t>
        </is>
      </c>
      <c r="J2397" s="156" t="inlineStr">
        <is>
          <t>Ropa</t>
        </is>
      </c>
      <c r="K2397" s="156" t="inlineStr">
        <is>
          <t>Sudaderas</t>
        </is>
      </c>
      <c r="L2397" s="156" t="inlineStr">
        <is>
          <t>Hombre</t>
        </is>
      </c>
      <c r="M2397" s="156" t="inlineStr">
        <is>
          <t>Stetson</t>
        </is>
      </c>
      <c r="N2397" s="156" t="inlineStr">
        <is>
          <t>SS26</t>
        </is>
      </c>
      <c r="O2397" s="156" t="inlineStr">
        <is>
          <t>Seasonal</t>
        </is>
      </c>
      <c r="P2397" s="156" t="n"/>
      <c r="Q2397" s="156" t="inlineStr">
        <is>
          <t>Regular</t>
        </is>
      </c>
      <c r="R2397" s="156" t="n"/>
      <c r="S2397" s="156" t="n"/>
      <c r="T2397"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7" s="156" t="n"/>
      <c r="V2397" s="156" t="inlineStr">
        <is>
          <t>PZS</t>
        </is>
      </c>
      <c r="W2397" s="51" t="inlineStr">
        <is>
          <t>53101700</t>
        </is>
      </c>
      <c r="X2397" s="156" t="inlineStr">
        <is>
          <t>https://cdn.shopify.com/s/files/1/0888/3250/8267/files/1109705620886b.jpg?v=1751044142</t>
        </is>
      </c>
      <c r="Y2397" s="54" t="n">
        <v>717.6724138</v>
      </c>
      <c r="Z2397" s="54" t="n">
        <v>1594.827586</v>
      </c>
      <c r="AA2397" s="55">
        <f>IF(AND(A2397="", B2397="", E2397=""), "", IF(AB2397="", "Válido", IF((LEN(AB2397)-LEN(SUBSTITUTE(AB2397,"; ","")))/2+1&gt;(LEN(AB2397)-LEN(SUBSTITUTE(AB2397,"[Aviso]","")))/7, "Con Incidencias", "Válido")))</f>
        <v/>
      </c>
      <c r="AB2397" s="56">
        <f>IF(AND(A2397="", B2397="", E2397=""), "", TEXTJOIN("; ", TRUE, IF(OR(TRIM(A2397&amp;"")="", ISNUMBER(SEARCH("FALTA", A2397))), "UPC faltante/inválido", ""), IF(AND(A2397&lt;&gt;"", IFERROR(_xlfn.XMATCH(A2397,$A$2:$A$2509,0,1)&lt;&gt;_xlfn.XMATCH(A2397,$A$2:$A$2509,0,-1),FALSE)), "Código de barras duplicado", ""), IF(AND(E2397&lt;&gt;"", COUNTIF($E$2:$E$2509, E2397)&gt;1), "SKU duplicado", ""), IF(OR(J2397="", J2397=""), "[Aviso] División no capturada ()", IF(ISNA(MATCH(J2397, Criterios!$A$123:$A$126, 0)), "División no válida", "")), IF(OR(K2397="", K2397=""), "[Aviso] Categoría no capturada ()", IF(ISNA(MATCH(K2397, Criterios!$A$81:$A$120, 0)), "Categoría no válida", IF(AND(J2397&lt;&gt;"", J2397&lt;&gt;"", J2397&lt;&gt;VLOOKUP(K2397, Criterios!$A$81:$B$120, 2, FALSE)), "División no coincide con Categoría", ""))), IF(OR(L2397="", L2397=""), "[Aviso] Género no capturado ()", IF(ISNA(MATCH(L2397, Criterios!$B$123:$B$127, 0)), "Género no válido", "")), IF(OR(N2397="", N2397=""), "[Aviso] Temporada no capturada ()", IF(ISNA(MATCH(N2397, Criterios!$C$123:$C$128, 0)), "Temporada no válida", "")), IF(OR(O2397="", O2397=""), "[Aviso] Ciclo de vida no capturado ()", IF(ISNA(MATCH(O2397, Criterios!$D$123:$D$124, 0)), "Ciclo de vida no válido", ""))))</f>
        <v/>
      </c>
      <c r="AC2397" s="56" t="n"/>
      <c r="AD2397" s="51" t="n">
        <v>2</v>
      </c>
      <c r="AE2397" s="156" t="inlineStr">
        <is>
          <t>B25 STETSON.MX (2)</t>
        </is>
      </c>
      <c r="AF2397" s="51" t="n">
        <v>2</v>
      </c>
      <c r="AG2397" s="156" t="inlineStr">
        <is>
          <t>Catálogo existente</t>
        </is>
      </c>
      <c r="AH2397" s="156" t="inlineStr">
        <is>
          <t>Revisión 29/09/2026: Campos sin respaldo: P, S, U; Auditoría NetSuite 30/09/2026: llenado desde NetSuite [T] | 01/10/2026: complementado desde Shopify Stetson México (match por código de barras): WB Silueta</t>
        </is>
      </c>
      <c r="AI2397" s="156" t="inlineStr">
        <is>
          <t>No</t>
        </is>
      </c>
      <c r="AJ2397" s="156" t="n"/>
      <c r="AK2397" s="155" t="inlineStr">
        <is>
          <t>Criterios: J [R]; G1522_Extraccion_Articulos_NetSuite_2026-09-30.xlsx: fila 57474 [T] | Shopify Stetson: producto 14727077364075 / variante 53350615089515</t>
        </is>
      </c>
      <c r="AL2397" s="58" t="n">
        <v>717.6724138</v>
      </c>
      <c r="AM2397" s="58" t="n">
        <v>1594.827586</v>
      </c>
      <c r="AN2397" s="155" t="inlineStr">
        <is>
          <t>Shopify Stetson México</t>
        </is>
      </c>
      <c r="AO2397" s="59" t="n">
        <v>2</v>
      </c>
      <c r="AP2397" s="59" t="n"/>
      <c r="AQ2397" s="59" t="n"/>
      <c r="AR2397" s="155" t="inlineStr">
        <is>
          <t>Shopify Stetson México › Stetson México: 2</t>
        </is>
      </c>
    </row>
    <row r="2398">
      <c r="A2398" s="50" t="inlineStr">
        <is>
          <t>884426480741</t>
        </is>
      </c>
      <c r="B2398" s="51" t="inlineStr">
        <is>
          <t>109660</t>
        </is>
      </c>
      <c r="C2398" s="156" t="inlineStr">
        <is>
          <t>Multimarca</t>
        </is>
      </c>
      <c r="D2398" s="156" t="inlineStr">
        <is>
          <t>11-097-0562-0886</t>
        </is>
      </c>
      <c r="E2398" s="156" t="inlineStr">
        <is>
          <t>11-097-0562-0886-S</t>
        </is>
      </c>
      <c r="F2398" s="156" t="inlineStr">
        <is>
          <t>S</t>
        </is>
      </c>
      <c r="G2398" s="156" t="inlineStr">
        <is>
          <t>S</t>
        </is>
      </c>
      <c r="H2398" s="156" t="inlineStr">
        <is>
          <t>Stetson</t>
        </is>
      </c>
      <c r="I2398" s="156" t="inlineStr">
        <is>
          <t>Sudadera Stetson Águila "john B. Stetson"</t>
        </is>
      </c>
      <c r="J2398" s="156" t="inlineStr">
        <is>
          <t>Ropa</t>
        </is>
      </c>
      <c r="K2398" s="156" t="inlineStr">
        <is>
          <t>Sudaderas</t>
        </is>
      </c>
      <c r="L2398" s="156" t="inlineStr">
        <is>
          <t>Hombre</t>
        </is>
      </c>
      <c r="M2398" s="156" t="inlineStr">
        <is>
          <t>Stetson</t>
        </is>
      </c>
      <c r="N2398" s="156" t="inlineStr">
        <is>
          <t>SS26</t>
        </is>
      </c>
      <c r="O2398" s="156" t="inlineStr">
        <is>
          <t>Seasonal</t>
        </is>
      </c>
      <c r="P2398" s="156" t="n"/>
      <c r="Q2398" s="156" t="inlineStr">
        <is>
          <t>Regular</t>
        </is>
      </c>
      <c r="R2398" s="156" t="n"/>
      <c r="S2398" s="156" t="n"/>
      <c r="T2398"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8" s="156" t="n"/>
      <c r="V2398" s="156" t="inlineStr">
        <is>
          <t>PZS</t>
        </is>
      </c>
      <c r="W2398" s="51" t="inlineStr">
        <is>
          <t>53101700</t>
        </is>
      </c>
      <c r="X2398" s="156" t="inlineStr">
        <is>
          <t>https://cdn.shopify.com/s/files/1/0888/3250/8267/files/1109705620886a.jpg?v=1751044131</t>
        </is>
      </c>
      <c r="Y2398" s="54" t="n">
        <v>717.6724138</v>
      </c>
      <c r="Z2398" s="54" t="n">
        <v>1594.827586</v>
      </c>
      <c r="AA2398" s="55">
        <f>IF(AND(A2398="", B2398="", E2398=""), "", IF(AB2398="", "Válido", IF((LEN(AB2398)-LEN(SUBSTITUTE(AB2398,"; ","")))/2+1&gt;(LEN(AB2398)-LEN(SUBSTITUTE(AB2398,"[Aviso]","")))/7, "Con Incidencias", "Válido")))</f>
        <v/>
      </c>
      <c r="AB2398" s="56">
        <f>IF(AND(A2398="", B2398="", E2398=""), "", TEXTJOIN("; ", TRUE, IF(OR(TRIM(A2398&amp;"")="", ISNUMBER(SEARCH("FALTA", A2398))), "UPC faltante/inválido", ""), IF(AND(A2398&lt;&gt;"", IFERROR(_xlfn.XMATCH(A2398,$A$2:$A$2509,0,1)&lt;&gt;_xlfn.XMATCH(A2398,$A$2:$A$2509,0,-1),FALSE)), "Código de barras duplicado", ""), IF(AND(E2398&lt;&gt;"", COUNTIF($E$2:$E$2509, E2398)&gt;1), "SKU duplicado", ""), IF(OR(J2398="", J2398=""), "[Aviso] División no capturada ()", IF(ISNA(MATCH(J2398, Criterios!$A$123:$A$126, 0)), "División no válida", "")), IF(OR(K2398="", K2398=""), "[Aviso] Categoría no capturada ()", IF(ISNA(MATCH(K2398, Criterios!$A$81:$A$120, 0)), "Categoría no válida", IF(AND(J2398&lt;&gt;"", J2398&lt;&gt;"", J2398&lt;&gt;VLOOKUP(K2398, Criterios!$A$81:$B$120, 2, FALSE)), "División no coincide con Categoría", ""))), IF(OR(L2398="", L2398=""), "[Aviso] Género no capturado ()", IF(ISNA(MATCH(L2398, Criterios!$B$123:$B$127, 0)), "Género no válido", "")), IF(OR(N2398="", N2398=""), "[Aviso] Temporada no capturada ()", IF(ISNA(MATCH(N2398, Criterios!$C$123:$C$128, 0)), "Temporada no válida", "")), IF(OR(O2398="", O2398=""), "[Aviso] Ciclo de vida no capturado ()", IF(ISNA(MATCH(O2398, Criterios!$D$123:$D$124, 0)), "Ciclo de vida no válido", ""))))</f>
        <v/>
      </c>
      <c r="AC2398" s="56" t="n"/>
      <c r="AD2398" s="51" t="n">
        <v>2</v>
      </c>
      <c r="AE2398" s="156" t="inlineStr">
        <is>
          <t>B25 STETSON.MX (2)</t>
        </is>
      </c>
      <c r="AF2398" s="51" t="n">
        <v>2</v>
      </c>
      <c r="AG2398" s="156" t="inlineStr">
        <is>
          <t>Catálogo existente</t>
        </is>
      </c>
      <c r="AH2398" s="156" t="inlineStr">
        <is>
          <t>Revisión 29/09/2026: Campos sin respaldo: P, S, U; Auditoría NetSuite 30/09/2026: llenado desde NetSuite [T] | 01/10/2026: complementado desde Shopify Stetson México (match por código de barras): WB Silueta</t>
        </is>
      </c>
      <c r="AI2398" s="156" t="inlineStr">
        <is>
          <t>No</t>
        </is>
      </c>
      <c r="AJ2398" s="156" t="n"/>
      <c r="AK2398" s="155" t="inlineStr">
        <is>
          <t>Criterios: J [R]; G1522_Extraccion_Articulos_NetSuite_2026-09-30.xlsx: fila 57475 [T] | Shopify Stetson: producto 14727077364075 / variante 53350615056747</t>
        </is>
      </c>
      <c r="AL2398" s="58" t="n">
        <v>717.6724138</v>
      </c>
      <c r="AM2398" s="58" t="n">
        <v>1594.827586</v>
      </c>
      <c r="AN2398" s="155" t="inlineStr">
        <is>
          <t>Shopify Stetson México</t>
        </is>
      </c>
      <c r="AO2398" s="59" t="n">
        <v>2</v>
      </c>
      <c r="AP2398" s="59" t="n"/>
      <c r="AQ2398" s="59" t="n"/>
      <c r="AR2398" s="155" t="inlineStr">
        <is>
          <t>Shopify Stetson México › Stetson México: 2</t>
        </is>
      </c>
    </row>
    <row r="2399">
      <c r="A2399" s="50" t="inlineStr">
        <is>
          <t>884426480758</t>
        </is>
      </c>
      <c r="B2399" s="51" t="inlineStr">
        <is>
          <t>109661</t>
        </is>
      </c>
      <c r="C2399" s="156" t="inlineStr">
        <is>
          <t>Multimarca</t>
        </is>
      </c>
      <c r="D2399" s="156" t="inlineStr">
        <is>
          <t>11-097-0562-0886</t>
        </is>
      </c>
      <c r="E2399" s="156" t="inlineStr">
        <is>
          <t>11-097-0562-0886-XL</t>
        </is>
      </c>
      <c r="F2399" s="156" t="inlineStr">
        <is>
          <t>XL</t>
        </is>
      </c>
      <c r="G2399" s="156" t="inlineStr">
        <is>
          <t>XL</t>
        </is>
      </c>
      <c r="H2399" s="156" t="inlineStr">
        <is>
          <t>Stetson</t>
        </is>
      </c>
      <c r="I2399" s="156" t="inlineStr">
        <is>
          <t>Sudadera Stetson Águila "john B. Stetson"</t>
        </is>
      </c>
      <c r="J2399" s="156" t="inlineStr">
        <is>
          <t>Ropa</t>
        </is>
      </c>
      <c r="K2399" s="156" t="inlineStr">
        <is>
          <t>Sudaderas</t>
        </is>
      </c>
      <c r="L2399" s="156" t="inlineStr">
        <is>
          <t>Hombre</t>
        </is>
      </c>
      <c r="M2399" s="156" t="inlineStr">
        <is>
          <t>Stetson</t>
        </is>
      </c>
      <c r="N2399" s="156" t="inlineStr">
        <is>
          <t>SS26</t>
        </is>
      </c>
      <c r="O2399" s="156" t="inlineStr">
        <is>
          <t>Seasonal</t>
        </is>
      </c>
      <c r="P2399" s="156" t="n"/>
      <c r="Q2399" s="156" t="inlineStr">
        <is>
          <t>Regular</t>
        </is>
      </c>
      <c r="R2399" s="156" t="n"/>
      <c r="S2399" s="156" t="n"/>
      <c r="T2399"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9" s="156" t="n"/>
      <c r="V2399" s="156" t="inlineStr">
        <is>
          <t>PZS</t>
        </is>
      </c>
      <c r="W2399" s="51" t="inlineStr">
        <is>
          <t>53101700</t>
        </is>
      </c>
      <c r="X2399" s="156" t="inlineStr">
        <is>
          <t>https://cdn.shopify.com/s/files/1/0888/3250/8267/files/1109705620886a.jpg?v=1751044131</t>
        </is>
      </c>
      <c r="Y2399" s="54" t="n">
        <v>717.6724138</v>
      </c>
      <c r="Z2399" s="54" t="n">
        <v>1594.827586</v>
      </c>
      <c r="AA2399" s="55">
        <f>IF(AND(A2399="", B2399="", E2399=""), "", IF(AB2399="", "Válido", IF((LEN(AB2399)-LEN(SUBSTITUTE(AB2399,"; ","")))/2+1&gt;(LEN(AB2399)-LEN(SUBSTITUTE(AB2399,"[Aviso]","")))/7, "Con Incidencias", "Válido")))</f>
        <v/>
      </c>
      <c r="AB2399" s="56">
        <f>IF(AND(A2399="", B2399="", E2399=""), "", TEXTJOIN("; ", TRUE, IF(OR(TRIM(A2399&amp;"")="", ISNUMBER(SEARCH("FALTA", A2399))), "UPC faltante/inválido", ""), IF(AND(A2399&lt;&gt;"", IFERROR(_xlfn.XMATCH(A2399,$A$2:$A$2509,0,1)&lt;&gt;_xlfn.XMATCH(A2399,$A$2:$A$2509,0,-1),FALSE)), "Código de barras duplicado", ""), IF(AND(E2399&lt;&gt;"", COUNTIF($E$2:$E$2509, E2399)&gt;1), "SKU duplicado", ""), IF(OR(J2399="", J2399=""), "[Aviso] División no capturada ()", IF(ISNA(MATCH(J2399, Criterios!$A$123:$A$126, 0)), "División no válida", "")), IF(OR(K2399="", K2399=""), "[Aviso] Categoría no capturada ()", IF(ISNA(MATCH(K2399, Criterios!$A$81:$A$120, 0)), "Categoría no válida", IF(AND(J2399&lt;&gt;"", J2399&lt;&gt;"", J2399&lt;&gt;VLOOKUP(K2399, Criterios!$A$81:$B$120, 2, FALSE)), "División no coincide con Categoría", ""))), IF(OR(L2399="", L2399=""), "[Aviso] Género no capturado ()", IF(ISNA(MATCH(L2399, Criterios!$B$123:$B$127, 0)), "Género no válido", "")), IF(OR(N2399="", N2399=""), "[Aviso] Temporada no capturada ()", IF(ISNA(MATCH(N2399, Criterios!$C$123:$C$128, 0)), "Temporada no válida", "")), IF(OR(O2399="", O2399=""), "[Aviso] Ciclo de vida no capturado ()", IF(ISNA(MATCH(O2399, Criterios!$D$123:$D$124, 0)), "Ciclo de vida no válido", ""))))</f>
        <v/>
      </c>
      <c r="AC2399" s="56" t="n"/>
      <c r="AD2399" s="51" t="n">
        <v>2</v>
      </c>
      <c r="AE2399" s="156" t="inlineStr">
        <is>
          <t>B25 STETSON.MX (2)</t>
        </is>
      </c>
      <c r="AF2399" s="51" t="n">
        <v>2</v>
      </c>
      <c r="AG2399" s="156" t="inlineStr">
        <is>
          <t>Catálogo existente</t>
        </is>
      </c>
      <c r="AH2399" s="156" t="inlineStr">
        <is>
          <t>Revisión 29/09/2026: Campos sin respaldo: P, S, U, X; Auditoría NetSuite 30/09/2026: llenado desde NetSuite [T] | 01/10/2026: complementado desde Shopify Stetson México (match por código de barras): WB Silueta, Enlace de imagen</t>
        </is>
      </c>
      <c r="AI2399" s="156" t="inlineStr">
        <is>
          <t>No</t>
        </is>
      </c>
      <c r="AJ2399" s="156" t="n"/>
      <c r="AK2399" s="155" t="inlineStr">
        <is>
          <t>Criterios: J [R]; G1522_Extraccion_Articulos_NetSuite_2026-09-30.xlsx: fila 57476 [T] | Shopify Stetson: producto 14727077364075 / variante 53350615155051</t>
        </is>
      </c>
      <c r="AL2399" s="58" t="n">
        <v>717.6724138</v>
      </c>
      <c r="AM2399" s="58" t="n">
        <v>1594.827586</v>
      </c>
      <c r="AN2399" s="155" t="inlineStr">
        <is>
          <t>Shopify Stetson México</t>
        </is>
      </c>
      <c r="AO2399" s="59" t="n">
        <v>2</v>
      </c>
      <c r="AP2399" s="59" t="n"/>
      <c r="AQ2399" s="59" t="n"/>
      <c r="AR2399" s="155" t="inlineStr">
        <is>
          <t>Shopify Stetson México › Stetson México: 2</t>
        </is>
      </c>
    </row>
    <row r="2400">
      <c r="A2400" s="50" t="inlineStr">
        <is>
          <t>884426480765</t>
        </is>
      </c>
      <c r="B2400" s="51" t="inlineStr">
        <is>
          <t>109662</t>
        </is>
      </c>
      <c r="C2400" s="156" t="inlineStr">
        <is>
          <t>Multimarca</t>
        </is>
      </c>
      <c r="D2400" s="156" t="inlineStr">
        <is>
          <t>11-097-0562-0886</t>
        </is>
      </c>
      <c r="E2400" s="156" t="inlineStr">
        <is>
          <t>11-097-0562-0886-XXL</t>
        </is>
      </c>
      <c r="F2400" s="156" t="inlineStr">
        <is>
          <t>XXL</t>
        </is>
      </c>
      <c r="G2400" s="156" t="inlineStr">
        <is>
          <t>XXL</t>
        </is>
      </c>
      <c r="H2400" s="156" t="inlineStr">
        <is>
          <t>Stetson</t>
        </is>
      </c>
      <c r="I2400" s="156" t="inlineStr">
        <is>
          <t>Sudadera Stetson Águila "john B. Stetson"</t>
        </is>
      </c>
      <c r="J2400" s="156" t="inlineStr">
        <is>
          <t>Ropa</t>
        </is>
      </c>
      <c r="K2400" s="156" t="inlineStr">
        <is>
          <t>Sudaderas</t>
        </is>
      </c>
      <c r="L2400" s="156" t="inlineStr">
        <is>
          <t>Hombre</t>
        </is>
      </c>
      <c r="M2400" s="156" t="inlineStr">
        <is>
          <t>Stetson</t>
        </is>
      </c>
      <c r="N2400" s="156" t="inlineStr">
        <is>
          <t>SS26</t>
        </is>
      </c>
      <c r="O2400" s="156" t="inlineStr">
        <is>
          <t>Seasonal</t>
        </is>
      </c>
      <c r="P2400" s="156" t="n"/>
      <c r="Q2400" s="156" t="inlineStr">
        <is>
          <t>Regular</t>
        </is>
      </c>
      <c r="R2400" s="156" t="n"/>
      <c r="S2400" s="156" t="n"/>
      <c r="T2400"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400" s="156" t="n"/>
      <c r="V2400" s="156" t="inlineStr">
        <is>
          <t>PZS</t>
        </is>
      </c>
      <c r="W2400" s="51" t="inlineStr">
        <is>
          <t>53101700</t>
        </is>
      </c>
      <c r="X2400" s="156" t="inlineStr">
        <is>
          <t>https://cdn.shopify.com/s/files/1/0888/3250/8267/files/1109705620886a.jpg?v=1751044131</t>
        </is>
      </c>
      <c r="Y2400" s="54" t="n">
        <v>717.6724138</v>
      </c>
      <c r="Z2400" s="54" t="n">
        <v>1594.827586</v>
      </c>
      <c r="AA2400" s="55">
        <f>IF(AND(A2400="", B2400="", E2400=""), "", IF(AB2400="", "Válido", IF((LEN(AB2400)-LEN(SUBSTITUTE(AB2400,"; ","")))/2+1&gt;(LEN(AB2400)-LEN(SUBSTITUTE(AB2400,"[Aviso]","")))/7, "Con Incidencias", "Válido")))</f>
        <v/>
      </c>
      <c r="AB2400" s="56">
        <f>IF(AND(A2400="", B2400="", E2400=""), "", TEXTJOIN("; ", TRUE, IF(OR(TRIM(A2400&amp;"")="", ISNUMBER(SEARCH("FALTA", A2400))), "UPC faltante/inválido", ""), IF(AND(A2400&lt;&gt;"", IFERROR(_xlfn.XMATCH(A2400,$A$2:$A$2509,0,1)&lt;&gt;_xlfn.XMATCH(A2400,$A$2:$A$2509,0,-1),FALSE)), "Código de barras duplicado", ""), IF(AND(E2400&lt;&gt;"", COUNTIF($E$2:$E$2509, E2400)&gt;1), "SKU duplicado", ""), IF(OR(J2400="", J2400=""), "[Aviso] División no capturada ()", IF(ISNA(MATCH(J2400, Criterios!$A$123:$A$126, 0)), "División no válida", "")), IF(OR(K2400="", K2400=""), "[Aviso] Categoría no capturada ()", IF(ISNA(MATCH(K2400, Criterios!$A$81:$A$120, 0)), "Categoría no válida", IF(AND(J2400&lt;&gt;"", J2400&lt;&gt;"", J2400&lt;&gt;VLOOKUP(K2400, Criterios!$A$81:$B$120, 2, FALSE)), "División no coincide con Categoría", ""))), IF(OR(L2400="", L2400=""), "[Aviso] Género no capturado ()", IF(ISNA(MATCH(L2400, Criterios!$B$123:$B$127, 0)), "Género no válido", "")), IF(OR(N2400="", N2400=""), "[Aviso] Temporada no capturada ()", IF(ISNA(MATCH(N2400, Criterios!$C$123:$C$128, 0)), "Temporada no válida", "")), IF(OR(O2400="", O2400=""), "[Aviso] Ciclo de vida no capturado ()", IF(ISNA(MATCH(O2400, Criterios!$D$123:$D$124, 0)), "Ciclo de vida no válido", ""))))</f>
        <v/>
      </c>
      <c r="AC2400" s="56" t="n"/>
      <c r="AD2400" s="51" t="n">
        <v>2</v>
      </c>
      <c r="AE2400" s="156" t="inlineStr">
        <is>
          <t>B25 STETSON.MX (2)</t>
        </is>
      </c>
      <c r="AF2400" s="51" t="n">
        <v>2</v>
      </c>
      <c r="AG2400" s="156" t="inlineStr">
        <is>
          <t>Catálogo existente</t>
        </is>
      </c>
      <c r="AH2400" s="156" t="inlineStr">
        <is>
          <t>Revisión 29/09/2026: Campos sin respaldo: P, S, U, X; Auditoría NetSuite 30/09/2026: llenado desde NetSuite [T] | 01/10/2026: complementado desde Shopify Stetson México (match por código de barras): WB Silueta, Enlace de imagen</t>
        </is>
      </c>
      <c r="AI2400" s="156" t="inlineStr">
        <is>
          <t>No</t>
        </is>
      </c>
      <c r="AJ2400" s="156" t="n"/>
      <c r="AK2400" s="155" t="inlineStr">
        <is>
          <t>Criterios: J [R]; G1522_Extraccion_Articulos_NetSuite_2026-09-30.xlsx: fila 57477 [T] | Shopify Stetson: producto 14727077364075 / variante 53350615187819</t>
        </is>
      </c>
      <c r="AL2400" s="58" t="n">
        <v>717.6724138</v>
      </c>
      <c r="AM2400" s="58" t="n">
        <v>1594.827586</v>
      </c>
      <c r="AN2400" s="155" t="inlineStr">
        <is>
          <t>Shopify Stetson México</t>
        </is>
      </c>
      <c r="AO2400" s="59" t="n">
        <v>2</v>
      </c>
      <c r="AP2400" s="59" t="n"/>
      <c r="AQ2400" s="59" t="n"/>
      <c r="AR2400" s="155" t="inlineStr">
        <is>
          <t>Shopify Stetson México › Stetson México: 2</t>
        </is>
      </c>
    </row>
    <row r="2401">
      <c r="A2401" s="50" t="inlineStr">
        <is>
          <t>884426489515</t>
        </is>
      </c>
      <c r="B2401" s="51" t="inlineStr">
        <is>
          <t>109560</t>
        </is>
      </c>
      <c r="C2401" s="156" t="inlineStr">
        <is>
          <t>Multimarca</t>
        </is>
      </c>
      <c r="D2401" s="156" t="inlineStr">
        <is>
          <t>11-001-0478-0037</t>
        </is>
      </c>
      <c r="E2401" s="156" t="inlineStr">
        <is>
          <t>11-001-0478-0037-S</t>
        </is>
      </c>
      <c r="F2401" s="156" t="inlineStr">
        <is>
          <t>S</t>
        </is>
      </c>
      <c r="G2401" s="156" t="inlineStr">
        <is>
          <t>S</t>
        </is>
      </c>
      <c r="H2401" s="156" t="inlineStr">
        <is>
          <t>Stetson</t>
        </is>
      </c>
      <c r="I2401" s="156" t="inlineStr">
        <is>
          <t>Camisa Manga Larga Cuadros</t>
        </is>
      </c>
      <c r="J2401" s="156" t="inlineStr">
        <is>
          <t>Ropa</t>
        </is>
      </c>
      <c r="K2401" s="156" t="inlineStr">
        <is>
          <t>Camisas</t>
        </is>
      </c>
      <c r="L2401" s="156" t="inlineStr">
        <is>
          <t>Hombre</t>
        </is>
      </c>
      <c r="M2401" s="156" t="inlineStr">
        <is>
          <t>Stetson</t>
        </is>
      </c>
      <c r="N2401" s="156" t="inlineStr">
        <is>
          <t>SS26</t>
        </is>
      </c>
      <c r="O2401" s="156" t="inlineStr">
        <is>
          <t>Seasonal</t>
        </is>
      </c>
      <c r="P2401" s="156" t="inlineStr">
        <is>
          <t>Negro</t>
        </is>
      </c>
      <c r="Q2401" s="156" t="inlineStr">
        <is>
          <t>Regular</t>
        </is>
      </c>
      <c r="R2401" s="156" t="n"/>
      <c r="S2401" s="156" t="inlineStr">
        <is>
          <t>100% Algodón</t>
        </is>
      </c>
      <c r="T2401" s="156" t="inlineStr">
        <is>
          <t>Esta camisa combina la tradición del estilo western con detalles refinados y materiales de alta calidad. Confeccionada en algodón teñido en hilo (yarn-dye plaid), presenta un diseño a cuadros en tonos rojo y negro, que aporta profundidad y carácter a la prenda.
 El diseño incluye canesús western decorativos en pecho y espalda, con costuras de triple aguja para un acabado resistente y elegante. El bordado con la “S” de Stetson en el pecho y el nombre de la marca en la tapeta de la manga derecha refuerzan su autenticidad.
 Los detalles interiores en contraste, el cierre frontal clásico tipo snap con broches opacos con logotipo, y los puños con triple broche completan un look robusto y sofisticado, ideal para quienes buscan un estilo masculino y atemporal.
 • Modelo:
 Stetson Men's Check Mate Brushed 00461
 • Material:
 100% algodón
 Tejido: Algodón teñido en hilo (Yarn-dye Plaid)
 • Color:
 Cuadros Rojo y Negro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401" s="156" t="n"/>
      <c r="V2401" s="156" t="inlineStr">
        <is>
          <t>PZS</t>
        </is>
      </c>
      <c r="W2401" s="51" t="inlineStr">
        <is>
          <t>53101600</t>
        </is>
      </c>
      <c r="X2401" s="156" t="inlineStr">
        <is>
          <t>https://cdn.shopify.com/s/files/1/0888/3250/8267/files/1100104780037a.jpg?v=1744390149</t>
        </is>
      </c>
      <c r="Y2401" s="54" t="n">
        <v>717.6724138</v>
      </c>
      <c r="Z2401" s="54" t="n">
        <v>1594.827586</v>
      </c>
      <c r="AA2401" s="55">
        <f>IF(AND(A2401="", B2401="", E2401=""), "", IF(AB2401="", "Válido", IF((LEN(AB2401)-LEN(SUBSTITUTE(AB2401,"; ","")))/2+1&gt;(LEN(AB2401)-LEN(SUBSTITUTE(AB2401,"[Aviso]","")))/7, "Con Incidencias", "Válido")))</f>
        <v/>
      </c>
      <c r="AB2401" s="56">
        <f>IF(AND(A2401="", B2401="", E2401=""), "", TEXTJOIN("; ", TRUE, IF(OR(TRIM(A2401&amp;"")="", ISNUMBER(SEARCH("FALTA", A2401))), "UPC faltante/inválido", ""), IF(AND(A2401&lt;&gt;"", IFERROR(_xlfn.XMATCH(A2401,$A$2:$A$2509,0,1)&lt;&gt;_xlfn.XMATCH(A2401,$A$2:$A$2509,0,-1),FALSE)), "Código de barras duplicado", ""), IF(AND(E2401&lt;&gt;"", COUNTIF($E$2:$E$2509, E2401)&gt;1), "SKU duplicado", ""), IF(OR(J2401="", J2401=""), "[Aviso] División no capturada ()", IF(ISNA(MATCH(J2401, Criterios!$A$123:$A$126, 0)), "División no válida", "")), IF(OR(K2401="", K2401=""), "[Aviso] Categoría no capturada ()", IF(ISNA(MATCH(K2401, Criterios!$A$81:$A$120, 0)), "Categoría no válida", IF(AND(J2401&lt;&gt;"", J2401&lt;&gt;"", J2401&lt;&gt;VLOOKUP(K2401, Criterios!$A$81:$B$120, 2, FALSE)), "División no coincide con Categoría", ""))), IF(OR(L2401="", L2401=""), "[Aviso] Género no capturado ()", IF(ISNA(MATCH(L2401, Criterios!$B$123:$B$127, 0)), "Género no válido", "")), IF(OR(N2401="", N2401=""), "[Aviso] Temporada no capturada ()", IF(ISNA(MATCH(N2401, Criterios!$C$123:$C$128, 0)), "Temporada no válida", "")), IF(OR(O2401="", O2401=""), "[Aviso] Ciclo de vida no capturado ()", IF(ISNA(MATCH(O2401, Criterios!$D$123:$D$124, 0)), "Ciclo de vida no válido", ""))))</f>
        <v/>
      </c>
      <c r="AC2401" s="56" t="n"/>
      <c r="AD2401" s="51" t="n">
        <v>0</v>
      </c>
      <c r="AE2401" s="156" t="n"/>
      <c r="AF2401" s="51" t="n">
        <v>0</v>
      </c>
      <c r="AG2401" s="156" t="inlineStr">
        <is>
          <t>Catálogo existente</t>
        </is>
      </c>
      <c r="AH240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401" s="156" t="inlineStr">
        <is>
          <t>No</t>
        </is>
      </c>
      <c r="AJ2401" s="156" t="n"/>
      <c r="AK2401" s="155" t="inlineStr">
        <is>
          <t>Descripción y Criterios: G/H [P] | Criterios: J [R]; G1522_Extraccion_Articulos_NetSuite_2026-09-30.xlsx: fila 57375 [S] | Shopify Stetson: producto 14694474547563 / variante 51997302129003</t>
        </is>
      </c>
      <c r="AL2401" s="58" t="n">
        <v>717.6724138</v>
      </c>
      <c r="AM2401" s="58" t="n">
        <v>1594.827586</v>
      </c>
      <c r="AN2401" s="155" t="inlineStr">
        <is>
          <t>Shopify Stetson México</t>
        </is>
      </c>
      <c r="AO2401" s="59" t="n">
        <v>0</v>
      </c>
      <c r="AP2401" s="59" t="n"/>
      <c r="AQ2401" s="59" t="n"/>
      <c r="AR2401" s="155" t="n"/>
    </row>
    <row r="2402">
      <c r="A2402" s="50" t="inlineStr">
        <is>
          <t>9780847875726</t>
        </is>
      </c>
      <c r="B2402" s="51" t="inlineStr">
        <is>
          <t>110805</t>
        </is>
      </c>
      <c r="C2402" s="156" t="inlineStr">
        <is>
          <t>Multimarca</t>
        </is>
      </c>
      <c r="D2402" s="156" t="inlineStr">
        <is>
          <t>ST160CTBDE</t>
        </is>
      </c>
      <c r="E2402" s="156" t="inlineStr">
        <is>
          <t>ST160CTBDE</t>
        </is>
      </c>
      <c r="F2402" s="156" t="inlineStr">
        <is>
          <t>Talla única</t>
        </is>
      </c>
      <c r="G2402" s="156" t="inlineStr">
        <is>
          <t>One Size</t>
        </is>
      </c>
      <c r="H2402" s="156" t="inlineStr">
        <is>
          <t>Stetson</t>
        </is>
      </c>
      <c r="I2402" s="156" t="inlineStr">
        <is>
          <t>Libro de Colección Stetson: 160 Años de Historia</t>
        </is>
      </c>
      <c r="J2402" s="156" t="inlineStr">
        <is>
          <t>Accesorios</t>
        </is>
      </c>
      <c r="K2402" s="156" t="inlineStr">
        <is>
          <t>Libros</t>
        </is>
      </c>
      <c r="L2402" s="156" t="inlineStr">
        <is>
          <t>Unisex</t>
        </is>
      </c>
      <c r="M2402" s="156" t="inlineStr">
        <is>
          <t>Stetson</t>
        </is>
      </c>
      <c r="N2402" s="156" t="inlineStr">
        <is>
          <t>SS26</t>
        </is>
      </c>
      <c r="O2402" s="156" t="inlineStr">
        <is>
          <t>Seasonal</t>
        </is>
      </c>
      <c r="P2402" s="156" t="n"/>
      <c r="Q2402" s="156" t="n"/>
      <c r="R2402" s="156" t="n"/>
      <c r="S2402" s="156" t="n"/>
      <c r="T2402" s="156" t="inlineStr">
        <is>
          <t>Te presentamos nuestro primer libro de colección. A lo largo de 320 páginas, este volumen reúne 160 años de historia, innovación, maestría artesanal y cultura en una pieza que no puede faltar en tu colección. Con aportaciones de destacadas personalidades y fieles seguidores de Stetson, esta es la historia definitiva de nuestra marca: de Occidente a Oriente, y de Estados Unidos para el mundo.
 El interior del libro destaca por:
 • La historia de la marca: Una introducción del galardonado historiador Douglas Brinkley, quien relata la evolución de Stetson desde los primeros días de John B. Stetson hasta nuestro alcance global actual.
 • Voces icónicas: Un ensayo personal del legendario músico Lyle Lovett sobre el poder de llevar el sombrero correcto.
 • Stetson en la cultura pop: Una mirada a nuestra presencia en el cine escrita por el crítico cinematográfico del New York Times, Glenn Kenny, y una exploración del encanto atemporal del sombrero vaquero por Laird Borrelli-Persson, editora senior del archivo de Vogue.
 • Detrás de la artesanía: Un recorrido por nuestra fábrica en Texas, donde el escritor de estilo Jay Fielden experimenta de primera mano cómo se confeccionan los Stetson hoy en día.
 Más contenido exclusivo: Descubre perfiles de una mezcla ecléctica de coleccionistas de todo el mundo, la historia militar de Stetson en los uniformes, un archivo de nuestros anuncios más icónicos a través de las décadas, y mucho más.
 Especificaciones:
 • Formato: Pasta dura
 • Extensión: 320 páginas
 • Editorial: Publicado por Rizzoli, 2025</t>
        </is>
      </c>
      <c r="U2402" s="156" t="n"/>
      <c r="V2402" s="156" t="inlineStr">
        <is>
          <t>PZS</t>
        </is>
      </c>
      <c r="W2402" s="51" t="inlineStr">
        <is>
          <t>55101500</t>
        </is>
      </c>
      <c r="X2402" s="156" t="inlineStr">
        <is>
          <t>https://cdn.shopify.com/s/files/1/0888/3250/8267/files/816r5fU6RdL._SL1500.jpg?v=1781570911</t>
        </is>
      </c>
      <c r="Y2402" s="54" t="n">
        <v>1000</v>
      </c>
      <c r="Z2402" s="54" t="n">
        <v>1896.551724</v>
      </c>
      <c r="AA2402" s="55">
        <f>IF(AND(A2402="", B2402="", E2402=""), "", IF(AB2402="", "Válido", IF((LEN(AB2402)-LEN(SUBSTITUTE(AB2402,"; ","")))/2+1&gt;(LEN(AB2402)-LEN(SUBSTITUTE(AB2402,"[Aviso]","")))/7, "Con Incidencias", "Válido")))</f>
        <v/>
      </c>
      <c r="AB2402" s="56">
        <f>IF(AND(A2402="", B2402="", E2402=""), "", TEXTJOIN("; ", TRUE, IF(OR(TRIM(A2402&amp;"")="", ISNUMBER(SEARCH("FALTA", A2402))), "UPC faltante/inválido", ""), IF(AND(A2402&lt;&gt;"", IFERROR(_xlfn.XMATCH(A2402,$A$2:$A$2509,0,1)&lt;&gt;_xlfn.XMATCH(A2402,$A$2:$A$2509,0,-1),FALSE)), "Código de barras duplicado", ""), IF(AND(E2402&lt;&gt;"", COUNTIF($E$2:$E$2509, E2402)&gt;1), "SKU duplicado", ""), IF(OR(J2402="", J2402=""), "[Aviso] División no capturada ()", IF(ISNA(MATCH(J2402, Criterios!$A$123:$A$126, 0)), "División no válida", "")), IF(OR(K2402="", K2402=""), "[Aviso] Categoría no capturada ()", IF(ISNA(MATCH(K2402, Criterios!$A$81:$A$120, 0)), "Categoría no válida", IF(AND(J2402&lt;&gt;"", J2402&lt;&gt;"", J2402&lt;&gt;VLOOKUP(K2402, Criterios!$A$81:$B$120, 2, FALSE)), "División no coincide con Categoría", ""))), IF(OR(L2402="", L2402=""), "[Aviso] Género no capturado ()", IF(ISNA(MATCH(L2402, Criterios!$B$123:$B$127, 0)), "Género no válido", "")), IF(OR(N2402="", N2402=""), "[Aviso] Temporada no capturada ()", IF(ISNA(MATCH(N2402, Criterios!$C$123:$C$128, 0)), "Temporada no válida", "")), IF(OR(O2402="", O2402=""), "[Aviso] Ciclo de vida no capturado ()", IF(ISNA(MATCH(O2402, Criterios!$D$123:$D$124, 0)), "Ciclo de vida no válido", ""))))</f>
        <v/>
      </c>
      <c r="AC2402" s="56" t="n"/>
      <c r="AD2402" s="51" t="n">
        <v>-10</v>
      </c>
      <c r="AE2402" s="156" t="n"/>
      <c r="AF2402" s="51" t="n">
        <v>0</v>
      </c>
      <c r="AG2402" s="156" t="inlineStr">
        <is>
          <t>Catálogo existente</t>
        </is>
      </c>
      <c r="AH2402" s="156" t="inlineStr">
        <is>
          <t>Stock negativo en sistema: revisar en conteo | Revisión 29/09/2026: Campos sin respaldo: P, S, U | 01/10/2026: complementado desde Shopify Stetson México (match por código de barras): WB Fit, WB Silueta</t>
        </is>
      </c>
      <c r="AI2402" s="156" t="inlineStr">
        <is>
          <t>Sí</t>
        </is>
      </c>
      <c r="AJ2402" s="156" t="inlineStr">
        <is>
          <t>STETSON AMERICAS (-10)</t>
        </is>
      </c>
      <c r="AK2402" s="155" t="inlineStr">
        <is>
          <t>Criterios: I [Q] | Criterios: J [R] | Shopify Stetson: producto 15063487086955 / variante 53396550123883</t>
        </is>
      </c>
      <c r="AL2402" s="58" t="n">
        <v>1000</v>
      </c>
      <c r="AM2402" s="58" t="n">
        <v>1896.551724</v>
      </c>
      <c r="AN2402" s="155" t="inlineStr">
        <is>
          <t>Shopify Stetson México</t>
        </is>
      </c>
      <c r="AO2402" s="59" t="n">
        <v>6</v>
      </c>
      <c r="AP2402" s="59" t="n"/>
      <c r="AQ2402" s="59" t="n"/>
      <c r="AR2402" s="155" t="inlineStr">
        <is>
          <t>Shopify Stetson México › Stetson Americas: 6</t>
        </is>
      </c>
    </row>
    <row r="2403">
      <c r="A2403" s="50" t="inlineStr">
        <is>
          <t>110970562</t>
        </is>
      </c>
      <c r="B2403" s="51" t="n"/>
      <c r="C2403" s="156" t="inlineStr">
        <is>
          <t>Stetson</t>
        </is>
      </c>
      <c r="D2403" s="156" t="n"/>
      <c r="E2403" s="156" t="inlineStr">
        <is>
          <t>0920GY</t>
        </is>
      </c>
      <c r="F2403" s="156" t="inlineStr">
        <is>
          <t>S</t>
        </is>
      </c>
      <c r="G2403" s="156" t="inlineStr">
        <is>
          <t>S</t>
        </is>
      </c>
      <c r="H2403" s="156" t="inlineStr">
        <is>
          <t>Stetson</t>
        </is>
      </c>
      <c r="I2403" s="156" t="inlineStr">
        <is>
          <t>Sudadera Stetson gris con estampado morado</t>
        </is>
      </c>
      <c r="J2403" s="156" t="inlineStr">
        <is>
          <t>Ropa</t>
        </is>
      </c>
      <c r="K2403" s="156" t="inlineStr">
        <is>
          <t>Sudaderas</t>
        </is>
      </c>
      <c r="L2403" s="156" t="inlineStr">
        <is>
          <t>Unisex</t>
        </is>
      </c>
      <c r="M2403" s="156" t="inlineStr">
        <is>
          <t>Stetson</t>
        </is>
      </c>
      <c r="N2403" s="156" t="inlineStr">
        <is>
          <t>SS26</t>
        </is>
      </c>
      <c r="O2403" s="156" t="inlineStr">
        <is>
          <t>Seasonal</t>
        </is>
      </c>
      <c r="P2403" s="156" t="inlineStr">
        <is>
          <t>Gris</t>
        </is>
      </c>
      <c r="Q2403" s="156" t="n"/>
      <c r="R2403" s="156" t="n"/>
      <c r="S2403" s="156" t="n"/>
      <c r="T2403" s="156" t="inlineStr">
        <is>
          <t>Sudadera Stetson gris con estampado morado.</t>
        </is>
      </c>
      <c r="U2403" s="156" t="n"/>
      <c r="V2403" s="156" t="inlineStr">
        <is>
          <t>PZS</t>
        </is>
      </c>
      <c r="W2403" s="51" t="n"/>
      <c r="X2403" s="156" t="n"/>
      <c r="Y2403" s="54" t="n"/>
      <c r="Z2403" s="54" t="n"/>
      <c r="AA2403" s="55">
        <f>IF(AND(A2403="", B2403="", E2403=""), "", IF(AB2403="", "Válido", IF((LEN(AB2403)-LEN(SUBSTITUTE(AB2403,"; ","")))/2+1&gt;(LEN(AB2403)-LEN(SUBSTITUTE(AB2403,"[Aviso]","")))/7, "Con Incidencias", "Válido")))</f>
        <v/>
      </c>
      <c r="AB2403" s="56">
        <f>IF(AND(A2403="", B2403="", E2403=""), "", TEXTJOIN("; ", TRUE, IF(OR(TRIM(A2403&amp;"")="", ISNUMBER(SEARCH("FALTA", A2403))), "UPC faltante/inválido", ""), IF(AND(A2403&lt;&gt;"", IFERROR(_xlfn.XMATCH(A2403,$A$2:$A$2509,0,1)&lt;&gt;_xlfn.XMATCH(A2403,$A$2:$A$2509,0,-1),FALSE)), "Código de barras duplicado", ""), IF(AND(E2403&lt;&gt;"", COUNTIF($E$2:$E$2509, E2403)&gt;1), "SKU duplicado", ""), IF(OR(J2403="", J2403=""), "[Aviso] División no capturada ()", IF(ISNA(MATCH(J2403, Criterios!$A$123:$A$126, 0)), "División no válida", "")), IF(OR(K2403="", K2403=""), "[Aviso] Categoría no capturada ()", IF(ISNA(MATCH(K2403, Criterios!$A$81:$A$120, 0)), "Categoría no válida", IF(AND(J2403&lt;&gt;"", J2403&lt;&gt;"", J2403&lt;&gt;VLOOKUP(K2403, Criterios!$A$81:$B$120, 2, FALSE)), "División no coincide con Categoría", ""))), IF(OR(L2403="", L2403=""), "[Aviso] Género no capturado ()", IF(ISNA(MATCH(L2403, Criterios!$B$123:$B$127, 0)), "Género no válido", "")), IF(OR(N2403="", N2403=""), "[Aviso] Temporada no capturada ()", IF(ISNA(MATCH(N2403, Criterios!$C$123:$C$128, 0)), "Temporada no válida", "")), IF(OR(O2403="", O2403=""), "[Aviso] Ciclo de vida no capturado ()", IF(ISNA(MATCH(O2403, Criterios!$D$123:$D$124, 0)), "Ciclo de vida no válido", ""))))</f>
        <v/>
      </c>
      <c r="AC2403" s="56" t="n"/>
      <c r="AD2403" s="51" t="n">
        <v>0</v>
      </c>
      <c r="AE2403" s="156" t="inlineStr">
        <is>
          <t>Sin coincidencia en NetSuite</t>
        </is>
      </c>
      <c r="AF2403" s="51" t="n"/>
      <c r="AG2403" s="156" t="inlineStr">
        <is>
          <t>Catálogo existente</t>
        </is>
      </c>
      <c r="AH2403" s="156" t="inlineStr">
        <is>
          <t>No se encontró en Hoja a Revisar por ID interno ni por código de barras | 30/09/2026: código de 9 dígitos (110970562) incompleto; probable truncamiento de un código 1109705620xxx como el de la fila siguiente. VALIDAR contra etiqueta | Homologación G1522 06/10/2026: Validación G1522: Código de barras fuera de 12 a 14 dígitos; Falta estilo · Validador NetSuite / Odoo: V1: UPC debe tener 12-14 dígitos; V6: falta estilo · Validador Shopify: V1: UPC debe tener 12-14 dígitos; V6: falta estilo</t>
        </is>
      </c>
      <c r="AI2403" s="156" t="n"/>
      <c r="AJ2403" s="156" t="n"/>
      <c r="AK2403" s="155" t="n"/>
      <c r="AL2403" s="58" t="n"/>
      <c r="AM2403" s="58" t="n"/>
      <c r="AN2403" s="155" t="n"/>
      <c r="AO2403" s="59" t="n"/>
      <c r="AP2403" s="59" t="n"/>
      <c r="AQ2403" s="59" t="n"/>
      <c r="AR2403" s="155" t="n"/>
    </row>
    <row r="2404">
      <c r="A2404" s="50" t="inlineStr">
        <is>
          <t>1109705620932</t>
        </is>
      </c>
      <c r="B2404" s="51" t="n"/>
      <c r="C2404" s="156" t="inlineStr">
        <is>
          <t>Stetson</t>
        </is>
      </c>
      <c r="D2404" s="156" t="n"/>
      <c r="E2404" s="156" t="inlineStr">
        <is>
          <t>9035003</t>
        </is>
      </c>
      <c r="F2404" s="156" t="inlineStr">
        <is>
          <t>L</t>
        </is>
      </c>
      <c r="G2404" s="156" t="inlineStr">
        <is>
          <t>L</t>
        </is>
      </c>
      <c r="H2404" s="156" t="inlineStr">
        <is>
          <t>Stetson</t>
        </is>
      </c>
      <c r="I2404" s="156" t="inlineStr">
        <is>
          <t>Sudadera Stetson gris con estampado gris</t>
        </is>
      </c>
      <c r="J2404" s="156" t="inlineStr">
        <is>
          <t>Ropa</t>
        </is>
      </c>
      <c r="K2404" s="156" t="inlineStr">
        <is>
          <t>Sudaderas</t>
        </is>
      </c>
      <c r="L2404" s="156" t="n"/>
      <c r="M2404" s="156" t="inlineStr">
        <is>
          <t>Stetson</t>
        </is>
      </c>
      <c r="N2404" s="156" t="n"/>
      <c r="O2404" s="156" t="n"/>
      <c r="P2404" s="156" t="inlineStr">
        <is>
          <t>Gris</t>
        </is>
      </c>
      <c r="Q2404" s="156" t="n"/>
      <c r="R2404" s="156" t="n"/>
      <c r="S2404" s="156" t="n"/>
      <c r="T2404" s="156" t="inlineStr">
        <is>
          <t>Sudadera Stetson gris con estampado gris.</t>
        </is>
      </c>
      <c r="U2404" s="156" t="n"/>
      <c r="V2404" s="156" t="inlineStr">
        <is>
          <t>PZS</t>
        </is>
      </c>
      <c r="W2404" s="51" t="n"/>
      <c r="X2404" s="156" t="n"/>
      <c r="Y2404" s="54" t="n"/>
      <c r="Z2404" s="54" t="n"/>
      <c r="AA2404" s="55">
        <f>IF(AND(A2404="", B2404="", E2404=""), "", IF(AB2404="", "Válido", IF((LEN(AB2404)-LEN(SUBSTITUTE(AB2404,"; ","")))/2+1&gt;(LEN(AB2404)-LEN(SUBSTITUTE(AB2404,"[Aviso]","")))/7, "Con Incidencias", "Válido")))</f>
        <v/>
      </c>
      <c r="AB2404" s="56">
        <f>IF(AND(A2404="", B2404="", E2404=""), "", TEXTJOIN("; ", TRUE, IF(OR(TRIM(A2404&amp;"")="", ISNUMBER(SEARCH("FALTA", A2404))), "UPC faltante/inválido", ""), IF(AND(A2404&lt;&gt;"", IFERROR(_xlfn.XMATCH(A2404,$A$2:$A$2509,0,1)&lt;&gt;_xlfn.XMATCH(A2404,$A$2:$A$2509,0,-1),FALSE)), "Código de barras duplicado", ""), IF(AND(E2404&lt;&gt;"", COUNTIF($E$2:$E$2509, E2404)&gt;1), "SKU duplicado", ""), IF(OR(J2404="", J2404=""), "[Aviso] División no capturada ()", IF(ISNA(MATCH(J2404, Criterios!$A$123:$A$126, 0)), "División no válida", "")), IF(OR(K2404="", K2404=""), "[Aviso] Categoría no capturada ()", IF(ISNA(MATCH(K2404, Criterios!$A$81:$A$120, 0)), "Categoría no válida", IF(AND(J2404&lt;&gt;"", J2404&lt;&gt;"", J2404&lt;&gt;VLOOKUP(K2404, Criterios!$A$81:$B$120, 2, FALSE)), "División no coincide con Categoría", ""))), IF(OR(L2404="", L2404=""), "[Aviso] Género no capturado ()", IF(ISNA(MATCH(L2404, Criterios!$B$123:$B$127, 0)), "Género no válido", "")), IF(OR(N2404="", N2404=""), "[Aviso] Temporada no capturada ()", IF(ISNA(MATCH(N2404, Criterios!$C$123:$C$128, 0)), "Temporada no válida", "")), IF(OR(O2404="", O2404=""), "[Aviso] Ciclo de vida no capturado ()", IF(ISNA(MATCH(O2404, Criterios!$D$123:$D$124, 0)), "Ciclo de vida no válido", ""))))</f>
        <v/>
      </c>
      <c r="AC2404" s="56" t="n"/>
      <c r="AD2404" s="51" t="n">
        <v>0</v>
      </c>
      <c r="AE2404" s="156" t="inlineStr">
        <is>
          <t>Sin coincidencia en NetSuite</t>
        </is>
      </c>
      <c r="AF2404" s="51" t="n"/>
      <c r="AG2404" s="156" t="inlineStr">
        <is>
          <t>Catálogo existente</t>
        </is>
      </c>
      <c r="AH2404" s="156" t="inlineStr">
        <is>
          <t>No se encontró en Hoja a Revisar por ID interno ni por código de barras | Homologación G1522 06/10/2026: Unidad: «Pieza» → «PZS» (Corrección aplicada) · Validación G1522: Dígito de control del código de barras inválido; Falta estilo · Validador NetSuite / Odoo: V6: falta estilo · Validador Shopify: V6: falta estilo</t>
        </is>
      </c>
      <c r="AI2404" s="156" t="n"/>
      <c r="AJ2404" s="156" t="n"/>
      <c r="AK2404" s="155" t="n"/>
      <c r="AL2404" s="58" t="n"/>
      <c r="AM2404" s="58" t="n"/>
      <c r="AN2404" s="155" t="n"/>
      <c r="AO2404" s="59" t="n"/>
      <c r="AP2404" s="59" t="n"/>
      <c r="AQ2404" s="59" t="n"/>
      <c r="AR2404" s="155" t="n"/>
    </row>
    <row r="2405">
      <c r="A2405" s="50" t="inlineStr">
        <is>
          <t>884426496001</t>
        </is>
      </c>
      <c r="B2405" s="51" t="n"/>
      <c r="C2405" s="156" t="inlineStr">
        <is>
          <t>Stetson</t>
        </is>
      </c>
      <c r="D2405" s="156" t="inlineStr">
        <is>
          <t>11-050-0590-7031</t>
        </is>
      </c>
      <c r="E2405" s="156" t="inlineStr">
        <is>
          <t>11-50-590-7031WH-M</t>
        </is>
      </c>
      <c r="F2405" s="156" t="inlineStr">
        <is>
          <t>M</t>
        </is>
      </c>
      <c r="G2405" s="156" t="inlineStr">
        <is>
          <t>M</t>
        </is>
      </c>
      <c r="H2405" s="156" t="inlineStr">
        <is>
          <t>Stetson</t>
        </is>
      </c>
      <c r="I2405" s="156" t="inlineStr">
        <is>
          <t>Blusa Stetson con estampado tipo piel de serpiente</t>
        </is>
      </c>
      <c r="J2405" s="156" t="inlineStr">
        <is>
          <t>Ropa</t>
        </is>
      </c>
      <c r="K2405" s="156" t="inlineStr">
        <is>
          <t>Camisas</t>
        </is>
      </c>
      <c r="L2405" s="156" t="inlineStr">
        <is>
          <t>Mujer</t>
        </is>
      </c>
      <c r="M2405" s="156" t="inlineStr">
        <is>
          <t>Stetson</t>
        </is>
      </c>
      <c r="N2405" s="156" t="inlineStr">
        <is>
          <t>SS26</t>
        </is>
      </c>
      <c r="O2405" s="156" t="inlineStr">
        <is>
          <t>Seasonal</t>
        </is>
      </c>
      <c r="P2405" s="156" t="inlineStr">
        <is>
          <t>Beige</t>
        </is>
      </c>
      <c r="Q2405" s="156" t="n"/>
      <c r="R2405" s="156" t="n"/>
      <c r="S2405" s="156" t="inlineStr">
        <is>
          <t>100% rayón</t>
        </is>
      </c>
      <c r="T2405" s="156" t="inlineStr">
        <is>
          <t>Blusa Stetson con estampado tipo piel de serpiente; manga larga ligeramente acampanada; cuello v; 100% rayón.</t>
        </is>
      </c>
      <c r="U2405" s="156" t="n"/>
      <c r="V2405" s="156" t="inlineStr">
        <is>
          <t>PZS</t>
        </is>
      </c>
      <c r="W2405" s="51" t="inlineStr">
        <is>
          <t>53101604</t>
        </is>
      </c>
      <c r="X2405" s="156" t="inlineStr">
        <is>
          <t>https://westernbootsales.com/prodimages/karman/stetson_apparel/1105005907031a_lg.jpg</t>
        </is>
      </c>
      <c r="Y2405" s="54" t="n"/>
      <c r="Z2405" s="54" t="n"/>
      <c r="AA2405" s="55">
        <f>IF(AND(A2405="", B2405="", E2405=""), "", IF(AB2405="", "Válido", IF((LEN(AB2405)-LEN(SUBSTITUTE(AB2405,"; ","")))/2+1&gt;(LEN(AB2405)-LEN(SUBSTITUTE(AB2405,"[Aviso]","")))/7, "Con Incidencias", "Válido")))</f>
        <v/>
      </c>
      <c r="AB2405" s="56">
        <f>IF(AND(A2405="", B2405="", E2405=""), "", TEXTJOIN("; ", TRUE, IF(OR(TRIM(A2405&amp;"")="", ISNUMBER(SEARCH("FALTA", A2405))), "UPC faltante/inválido", ""), IF(AND(A2405&lt;&gt;"", IFERROR(_xlfn.XMATCH(A2405,$A$2:$A$2509,0,1)&lt;&gt;_xlfn.XMATCH(A2405,$A$2:$A$2509,0,-1),FALSE)), "Código de barras duplicado", ""), IF(AND(E2405&lt;&gt;"", COUNTIF($E$2:$E$2509, E2405)&gt;1), "SKU duplicado", ""), IF(OR(J2405="", J2405=""), "[Aviso] División no capturada ()", IF(ISNA(MATCH(J2405, Criterios!$A$123:$A$126, 0)), "División no válida", "")), IF(OR(K2405="", K2405=""), "[Aviso] Categoría no capturada ()", IF(ISNA(MATCH(K2405, Criterios!$A$81:$A$120, 0)), "Categoría no válida", IF(AND(J2405&lt;&gt;"", J2405&lt;&gt;"", J2405&lt;&gt;VLOOKUP(K2405, Criterios!$A$81:$B$120, 2, FALSE)), "División no coincide con Categoría", ""))), IF(OR(L2405="", L2405=""), "[Aviso] Género no capturado ()", IF(ISNA(MATCH(L2405, Criterios!$B$123:$B$127, 0)), "Género no válido", "")), IF(OR(N2405="", N2405=""), "[Aviso] Temporada no capturada ()", IF(ISNA(MATCH(N2405, Criterios!$C$123:$C$128, 0)), "Temporada no válida", "")), IF(OR(O2405="", O2405=""), "[Aviso] Ciclo de vida no capturado ()", IF(ISNA(MATCH(O2405, Criterios!$D$123:$D$124, 0)), "Ciclo de vida no válido", ""))))</f>
        <v/>
      </c>
      <c r="AC2405" s="56" t="n"/>
      <c r="AD2405" s="51" t="n">
        <v>0</v>
      </c>
      <c r="AE2405" s="156" t="inlineStr">
        <is>
          <t>Sin coincidencia en NetSuite</t>
        </is>
      </c>
      <c r="AF2405" s="51" t="n"/>
      <c r="AG2405" s="156" t="inlineStr">
        <is>
          <t>Catálogo existente</t>
        </is>
      </c>
      <c r="AH2405" s="156" t="inlineStr">
        <is>
          <t>No se encontró en Hoja a Revisar por ID interno ni por código de barras | Homologación G1522 06/10/2026: WB Silueta: «Manga larga ligeramente acampanada; cuello V» → «» (Corrección aplicada)</t>
        </is>
      </c>
      <c r="AI2405" s="156" t="n"/>
      <c r="AJ2405" s="156" t="n"/>
      <c r="AK2405" s="155" t="n"/>
      <c r="AL2405" s="58" t="n"/>
      <c r="AM2405" s="58" t="n"/>
      <c r="AN2405" s="155" t="n"/>
      <c r="AO2405" s="59" t="n"/>
      <c r="AP2405" s="59" t="n"/>
      <c r="AQ2405" s="59" t="n"/>
      <c r="AR2405" s="155" t="n"/>
    </row>
    <row r="2406">
      <c r="A2406" s="50" t="inlineStr">
        <is>
          <t>196070570878</t>
        </is>
      </c>
      <c r="B2406" s="51" t="n"/>
      <c r="C2406" s="156" t="inlineStr">
        <is>
          <t>Multimarca</t>
        </is>
      </c>
      <c r="D2406" s="156" t="inlineStr">
        <is>
          <t>11-001-0425-2057 BU</t>
        </is>
      </c>
      <c r="E2406" s="156" t="inlineStr">
        <is>
          <t>11-001-0425-2057 BU-XXL</t>
        </is>
      </c>
      <c r="F2406" s="156" t="inlineStr">
        <is>
          <t>XXL</t>
        </is>
      </c>
      <c r="G2406" s="156" t="inlineStr">
        <is>
          <t>XXL</t>
        </is>
      </c>
      <c r="H2406" s="156" t="inlineStr">
        <is>
          <t>Stetson</t>
        </is>
      </c>
      <c r="I2406" s="156" t="inlineStr">
        <is>
          <t>Camisa Stetson con estampado de medallones</t>
        </is>
      </c>
      <c r="J2406" s="156" t="inlineStr">
        <is>
          <t>Ropa</t>
        </is>
      </c>
      <c r="K2406" s="156" t="inlineStr">
        <is>
          <t>Camisas</t>
        </is>
      </c>
      <c r="L2406" s="156" t="inlineStr">
        <is>
          <t>Hombre</t>
        </is>
      </c>
      <c r="M2406" s="156" t="inlineStr">
        <is>
          <t>Stetson</t>
        </is>
      </c>
      <c r="N2406" s="156" t="inlineStr">
        <is>
          <t>SS26</t>
        </is>
      </c>
      <c r="O2406" s="156" t="inlineStr">
        <is>
          <t>Seasonal</t>
        </is>
      </c>
      <c r="P2406" s="156" t="inlineStr">
        <is>
          <t>Azul</t>
        </is>
      </c>
      <c r="Q2406" s="156" t="inlineStr">
        <is>
          <t>Clásico</t>
        </is>
      </c>
      <c r="R2406" s="156" t="n"/>
      <c r="S2406" s="156" t="inlineStr">
        <is>
          <t>100% algodón</t>
        </is>
      </c>
      <c r="T2406"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6" s="156" t="n"/>
      <c r="V2406" s="156" t="inlineStr">
        <is>
          <t>PZS</t>
        </is>
      </c>
      <c r="W2406" s="51" t="inlineStr">
        <is>
          <t>53101602</t>
        </is>
      </c>
      <c r="X2406" s="156" t="inlineStr">
        <is>
          <t>https://cdn.shopify.com/s/files/1/0644/4715/2361/files/CAMISA-STETSON-MOD-11-001-0425-2057-BU.jpg?v=1721754652</t>
        </is>
      </c>
      <c r="Y2406" s="54" t="n"/>
      <c r="Z2406" s="54" t="n">
        <v>2200</v>
      </c>
      <c r="AA2406" s="55">
        <f>IF(AND(A2406="", B2406="", E2406=""), "", IF(AB2406="", "Válido", IF((LEN(AB2406)-LEN(SUBSTITUTE(AB2406,"; ","")))/2+1&gt;(LEN(AB2406)-LEN(SUBSTITUTE(AB2406,"[Aviso]","")))/7, "Con Incidencias", "Válido")))</f>
        <v/>
      </c>
      <c r="AB2406" s="56">
        <f>IF(AND(A2406="", B2406="", E2406=""), "", TEXTJOIN("; ", TRUE, IF(OR(TRIM(A2406&amp;"")="", ISNUMBER(SEARCH("FALTA", A2406))), "UPC faltante/inválido", ""), IF(AND(A2406&lt;&gt;"", IFERROR(_xlfn.XMATCH(A2406,$A$2:$A$2509,0,1)&lt;&gt;_xlfn.XMATCH(A2406,$A$2:$A$2509,0,-1),FALSE)), "Código de barras duplicado", ""), IF(AND(E2406&lt;&gt;"", COUNTIF($E$2:$E$2509, E2406)&gt;1), "SKU duplicado", ""), IF(OR(J2406="", J2406=""), "[Aviso] División no capturada ()", IF(ISNA(MATCH(J2406, Criterios!$A$123:$A$126, 0)), "División no válida", "")), IF(OR(K2406="", K2406=""), "[Aviso] Categoría no capturada ()", IF(ISNA(MATCH(K2406, Criterios!$A$81:$A$120, 0)), "Categoría no válida", IF(AND(J2406&lt;&gt;"", J2406&lt;&gt;"", J2406&lt;&gt;VLOOKUP(K2406, Criterios!$A$81:$B$120, 2, FALSE)), "División no coincide con Categoría", ""))), IF(OR(L2406="", L2406=""), "[Aviso] Género no capturado ()", IF(ISNA(MATCH(L2406, Criterios!$B$123:$B$127, 0)), "Género no válido", "")), IF(OR(N2406="", N2406=""), "[Aviso] Temporada no capturada ()", IF(ISNA(MATCH(N2406, Criterios!$C$123:$C$128, 0)), "Temporada no válida", "")), IF(OR(O2406="", O2406=""), "[Aviso] Ciclo de vida no capturado ()", IF(ISNA(MATCH(O2406, Criterios!$D$123:$D$124, 0)), "Ciclo de vida no válido", ""))))</f>
        <v/>
      </c>
      <c r="AC2406" s="56" t="n"/>
      <c r="AD2406" s="51" t="n">
        <v>0</v>
      </c>
      <c r="AE2406" s="156" t="inlineStr">
        <is>
          <t>Sin coincidencia en NetSuite</t>
        </is>
      </c>
      <c r="AF2406" s="51" t="n"/>
      <c r="AG2406" s="156" t="inlineStr">
        <is>
          <t>Catálogo existente</t>
        </is>
      </c>
      <c r="AH2406"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Silueta (antes «Manga larga», no válido en Criterios), WB Descripción larga (más completa) | 01/10/2026: Shopify Stetson México trae SKU 11-001-0425-2057 BU_2XL — se conservó el valor de Productos | Homologación G1522 06/10/2026: Validador Shopify: ST: precio con IVA no es múltiplo de 50</t>
        </is>
      </c>
      <c r="AI2406" s="156" t="n"/>
      <c r="AJ2406" s="156" t="n"/>
      <c r="AK2406" s="155" t="inlineStr">
        <is>
          <t>Shopify Stetson: producto 14693886099819 / variante 51994098434411</t>
        </is>
      </c>
      <c r="AL2406" s="58" t="n"/>
      <c r="AM2406" s="58" t="n">
        <v>2200</v>
      </c>
      <c r="AN2406" s="155" t="inlineStr">
        <is>
          <t>Shopify Stetson México</t>
        </is>
      </c>
      <c r="AO2406" s="59" t="n">
        <v>0</v>
      </c>
      <c r="AP2406" s="59" t="n"/>
      <c r="AQ2406" s="59" t="n"/>
      <c r="AR2406" s="155" t="n"/>
    </row>
    <row r="2407">
      <c r="A2407" s="50" t="inlineStr">
        <is>
          <t>196070570830</t>
        </is>
      </c>
      <c r="B2407" s="51" t="n"/>
      <c r="C2407" s="156" t="inlineStr">
        <is>
          <t>Multimarca</t>
        </is>
      </c>
      <c r="D2407" s="156" t="inlineStr">
        <is>
          <t>11-001-0425-2057 BU</t>
        </is>
      </c>
      <c r="E2407" s="156" t="inlineStr">
        <is>
          <t>11-001-0425-2057 BU-L</t>
        </is>
      </c>
      <c r="F2407" s="156" t="inlineStr">
        <is>
          <t>L</t>
        </is>
      </c>
      <c r="G2407" s="156" t="inlineStr">
        <is>
          <t>L</t>
        </is>
      </c>
      <c r="H2407" s="156" t="inlineStr">
        <is>
          <t>Stetson</t>
        </is>
      </c>
      <c r="I2407" s="156" t="inlineStr">
        <is>
          <t>Camisa Stetson con estampado de medallones</t>
        </is>
      </c>
      <c r="J2407" s="156" t="inlineStr">
        <is>
          <t>Ropa</t>
        </is>
      </c>
      <c r="K2407" s="156" t="inlineStr">
        <is>
          <t>Camisas</t>
        </is>
      </c>
      <c r="L2407" s="156" t="inlineStr">
        <is>
          <t>Hombre</t>
        </is>
      </c>
      <c r="M2407" s="156" t="inlineStr">
        <is>
          <t>Stetson</t>
        </is>
      </c>
      <c r="N2407" s="156" t="inlineStr">
        <is>
          <t>SS26</t>
        </is>
      </c>
      <c r="O2407" s="156" t="inlineStr">
        <is>
          <t>Seasonal</t>
        </is>
      </c>
      <c r="P2407" s="156" t="inlineStr">
        <is>
          <t>Azul</t>
        </is>
      </c>
      <c r="Q2407" s="156" t="inlineStr">
        <is>
          <t>Clásico</t>
        </is>
      </c>
      <c r="R2407" s="156" t="n"/>
      <c r="S2407" s="156" t="inlineStr">
        <is>
          <t>100% algodón</t>
        </is>
      </c>
      <c r="T2407"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7" s="156" t="n"/>
      <c r="V2407" s="156" t="inlineStr">
        <is>
          <t>PZS</t>
        </is>
      </c>
      <c r="W2407" s="51" t="inlineStr">
        <is>
          <t>53101602</t>
        </is>
      </c>
      <c r="X2407" s="156" t="inlineStr">
        <is>
          <t>https://cdn.shopify.com/s/files/1/0644/4715/2361/files/CAMISA-STETSON-MOD-11-001-0425-2057-BU.jpg?v=1721754652</t>
        </is>
      </c>
      <c r="Y2407" s="54" t="n"/>
      <c r="Z2407" s="54" t="n">
        <v>2200</v>
      </c>
      <c r="AA2407" s="55">
        <f>IF(AND(A2407="", B2407="", E2407=""), "", IF(AB2407="", "Válido", IF((LEN(AB2407)-LEN(SUBSTITUTE(AB2407,"; ","")))/2+1&gt;(LEN(AB2407)-LEN(SUBSTITUTE(AB2407,"[Aviso]","")))/7, "Con Incidencias", "Válido")))</f>
        <v/>
      </c>
      <c r="AB2407" s="56">
        <f>IF(AND(A2407="", B2407="", E2407=""), "", TEXTJOIN("; ", TRUE, IF(OR(TRIM(A2407&amp;"")="", ISNUMBER(SEARCH("FALTA", A2407))), "UPC faltante/inválido", ""), IF(AND(A2407&lt;&gt;"", IFERROR(_xlfn.XMATCH(A2407,$A$2:$A$2509,0,1)&lt;&gt;_xlfn.XMATCH(A2407,$A$2:$A$2509,0,-1),FALSE)), "Código de barras duplicado", ""), IF(AND(E2407&lt;&gt;"", COUNTIF($E$2:$E$2509, E2407)&gt;1), "SKU duplicado", ""), IF(OR(J2407="", J2407=""), "[Aviso] División no capturada ()", IF(ISNA(MATCH(J2407, Criterios!$A$123:$A$126, 0)), "División no válida", "")), IF(OR(K2407="", K2407=""), "[Aviso] Categoría no capturada ()", IF(ISNA(MATCH(K2407, Criterios!$A$81:$A$120, 0)), "Categoría no válida", IF(AND(J2407&lt;&gt;"", J2407&lt;&gt;"", J2407&lt;&gt;VLOOKUP(K2407, Criterios!$A$81:$B$120, 2, FALSE)), "División no coincide con Categoría", ""))), IF(OR(L2407="", L2407=""), "[Aviso] Género no capturado ()", IF(ISNA(MATCH(L2407, Criterios!$B$123:$B$127, 0)), "Género no válido", "")), IF(OR(N2407="", N2407=""), "[Aviso] Temporada no capturada ()", IF(ISNA(MATCH(N2407, Criterios!$C$123:$C$128, 0)), "Temporada no válida", "")), IF(OR(O2407="", O2407=""), "[Aviso] Ciclo de vida no capturado ()", IF(ISNA(MATCH(O2407, Criterios!$D$123:$D$124, 0)), "Ciclo de vida no válido", ""))))</f>
        <v/>
      </c>
      <c r="AC2407" s="56" t="n"/>
      <c r="AD2407" s="51" t="n">
        <v>0</v>
      </c>
      <c r="AE2407" s="156" t="inlineStr">
        <is>
          <t>Sin coincidencia en NetSuite</t>
        </is>
      </c>
      <c r="AF2407" s="51" t="n"/>
      <c r="AG2407" s="156" t="inlineStr">
        <is>
          <t>Catálogo existente</t>
        </is>
      </c>
      <c r="AH2407"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Silueta (antes «Manga larga», no válido en Criterios), WB Descripción larga (más completa) | 01/10/2026: Shopify Stetson México trae SKU 11-001-0425-2057 BU_GDE — se conservó el valor de Productos | Homologación G1522 06/10/2026: Validador Shopify: ST: precio con IVA no es múltiplo de 50</t>
        </is>
      </c>
      <c r="AI2407" s="156" t="n"/>
      <c r="AJ2407" s="156" t="n"/>
      <c r="AK2407" s="155" t="inlineStr">
        <is>
          <t>Shopify Stetson: producto 14693886099819 / variante 51994098368875</t>
        </is>
      </c>
      <c r="AL2407" s="58" t="n"/>
      <c r="AM2407" s="58" t="n">
        <v>2200</v>
      </c>
      <c r="AN2407" s="155" t="inlineStr">
        <is>
          <t>Shopify Stetson México</t>
        </is>
      </c>
      <c r="AO2407" s="59" t="n">
        <v>0</v>
      </c>
      <c r="AP2407" s="59" t="n"/>
      <c r="AQ2407" s="59" t="n"/>
      <c r="AR2407" s="155" t="n"/>
    </row>
    <row r="2408">
      <c r="A2408" s="50" t="inlineStr">
        <is>
          <t>196070570861</t>
        </is>
      </c>
      <c r="B2408" s="51" t="n"/>
      <c r="C2408" s="156" t="inlineStr">
        <is>
          <t>Multimarca</t>
        </is>
      </c>
      <c r="D2408" s="156" t="inlineStr">
        <is>
          <t>11-001-0425-2057 BU</t>
        </is>
      </c>
      <c r="E2408" s="156" t="inlineStr">
        <is>
          <t>11-001-0425-2057 BU-XL</t>
        </is>
      </c>
      <c r="F2408" s="156" t="inlineStr">
        <is>
          <t>XL</t>
        </is>
      </c>
      <c r="G2408" s="156" t="inlineStr">
        <is>
          <t>XL</t>
        </is>
      </c>
      <c r="H2408" s="156" t="inlineStr">
        <is>
          <t>Stetson</t>
        </is>
      </c>
      <c r="I2408" s="156" t="inlineStr">
        <is>
          <t>Camisa Stetson con estampado de medallones</t>
        </is>
      </c>
      <c r="J2408" s="156" t="inlineStr">
        <is>
          <t>Ropa</t>
        </is>
      </c>
      <c r="K2408" s="156" t="inlineStr">
        <is>
          <t>Camisas</t>
        </is>
      </c>
      <c r="L2408" s="156" t="inlineStr">
        <is>
          <t>Hombre</t>
        </is>
      </c>
      <c r="M2408" s="156" t="inlineStr">
        <is>
          <t>Stetson</t>
        </is>
      </c>
      <c r="N2408" s="156" t="inlineStr">
        <is>
          <t>SS26</t>
        </is>
      </c>
      <c r="O2408" s="156" t="inlineStr">
        <is>
          <t>Seasonal</t>
        </is>
      </c>
      <c r="P2408" s="156" t="inlineStr">
        <is>
          <t>Azul</t>
        </is>
      </c>
      <c r="Q2408" s="156" t="inlineStr">
        <is>
          <t>Clásico</t>
        </is>
      </c>
      <c r="R2408" s="156" t="n"/>
      <c r="S2408" s="156" t="inlineStr">
        <is>
          <t>100% algodón</t>
        </is>
      </c>
      <c r="T2408"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8" s="156" t="n"/>
      <c r="V2408" s="156" t="inlineStr">
        <is>
          <t>PZS</t>
        </is>
      </c>
      <c r="W2408" s="51" t="inlineStr">
        <is>
          <t>53101602</t>
        </is>
      </c>
      <c r="X2408" s="156" t="inlineStr">
        <is>
          <t>https://cdn.shopify.com/s/files/1/0644/4715/2361/files/CAMISA-STETSON-MOD-11-001-0425-2057-BU.jpg?v=1721754652</t>
        </is>
      </c>
      <c r="Y2408" s="54" t="n"/>
      <c r="Z2408" s="54" t="n">
        <v>2200</v>
      </c>
      <c r="AA2408" s="55">
        <f>IF(AND(A2408="", B2408="", E2408=""), "", IF(AB2408="", "Válido", IF((LEN(AB2408)-LEN(SUBSTITUTE(AB2408,"; ","")))/2+1&gt;(LEN(AB2408)-LEN(SUBSTITUTE(AB2408,"[Aviso]","")))/7, "Con Incidencias", "Válido")))</f>
        <v/>
      </c>
      <c r="AB2408" s="56">
        <f>IF(AND(A2408="", B2408="", E2408=""), "", TEXTJOIN("; ", TRUE, IF(OR(TRIM(A2408&amp;"")="", ISNUMBER(SEARCH("FALTA", A2408))), "UPC faltante/inválido", ""), IF(AND(A2408&lt;&gt;"", IFERROR(_xlfn.XMATCH(A2408,$A$2:$A$2509,0,1)&lt;&gt;_xlfn.XMATCH(A2408,$A$2:$A$2509,0,-1),FALSE)), "Código de barras duplicado", ""), IF(AND(E2408&lt;&gt;"", COUNTIF($E$2:$E$2509, E2408)&gt;1), "SKU duplicado", ""), IF(OR(J2408="", J2408=""), "[Aviso] División no capturada ()", IF(ISNA(MATCH(J2408, Criterios!$A$123:$A$126, 0)), "División no válida", "")), IF(OR(K2408="", K2408=""), "[Aviso] Categoría no capturada ()", IF(ISNA(MATCH(K2408, Criterios!$A$81:$A$120, 0)), "Categoría no válida", IF(AND(J2408&lt;&gt;"", J2408&lt;&gt;"", J2408&lt;&gt;VLOOKUP(K2408, Criterios!$A$81:$B$120, 2, FALSE)), "División no coincide con Categoría", ""))), IF(OR(L2408="", L2408=""), "[Aviso] Género no capturado ()", IF(ISNA(MATCH(L2408, Criterios!$B$123:$B$127, 0)), "Género no válido", "")), IF(OR(N2408="", N2408=""), "[Aviso] Temporada no capturada ()", IF(ISNA(MATCH(N2408, Criterios!$C$123:$C$128, 0)), "Temporada no válida", "")), IF(OR(O2408="", O2408=""), "[Aviso] Ciclo de vida no capturado ()", IF(ISNA(MATCH(O2408, Criterios!$D$123:$D$124, 0)), "Ciclo de vida no válido", ""))))</f>
        <v/>
      </c>
      <c r="AC2408" s="56" t="n"/>
      <c r="AD2408" s="51" t="n">
        <v>0</v>
      </c>
      <c r="AE2408" s="156" t="inlineStr">
        <is>
          <t>Sin coincidencia en NetSuite</t>
        </is>
      </c>
      <c r="AF2408" s="51" t="n"/>
      <c r="AG2408" s="156" t="inlineStr">
        <is>
          <t>Catálogo existente</t>
        </is>
      </c>
      <c r="AH2408"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Color (antes «Azul claro / gris», no válido en Criterios), WB Silueta (antes «Manga larga», no válido en Criterios), WB Descripción larga (más completa) | 01/10/2026: Shopify Stetson México trae SKU 11-001-0425-2057 BU_XL — se conservó el valor de Productos | Homologación G1522 06/10/2026: Validador Shopify: ST: precio con IVA no es múltiplo de 50</t>
        </is>
      </c>
      <c r="AI2408" s="156" t="n"/>
      <c r="AJ2408" s="156" t="n"/>
      <c r="AK2408" s="155" t="inlineStr">
        <is>
          <t>Shopify Stetson: producto 14693886099819 / variante 51994098401643</t>
        </is>
      </c>
      <c r="AL2408" s="58" t="n"/>
      <c r="AM2408" s="58" t="n">
        <v>2200</v>
      </c>
      <c r="AN2408" s="155" t="inlineStr">
        <is>
          <t>Shopify Stetson México</t>
        </is>
      </c>
      <c r="AO2408" s="59" t="n">
        <v>0</v>
      </c>
      <c r="AP2408" s="59" t="n"/>
      <c r="AQ2408" s="59" t="n"/>
      <c r="AR2408" s="155" t="n"/>
    </row>
    <row r="2409">
      <c r="A2409" s="50" t="inlineStr">
        <is>
          <t>884426496032</t>
        </is>
      </c>
      <c r="B2409" s="51" t="n"/>
      <c r="C2409" s="156" t="inlineStr">
        <is>
          <t>Stetson</t>
        </is>
      </c>
      <c r="D2409" s="156" t="inlineStr">
        <is>
          <t>11-050-0590-7031</t>
        </is>
      </c>
      <c r="E2409" s="156" t="inlineStr">
        <is>
          <t>11-50-590-7031WH-XS</t>
        </is>
      </c>
      <c r="F2409" s="156" t="inlineStr">
        <is>
          <t>XS</t>
        </is>
      </c>
      <c r="G2409" s="156" t="inlineStr">
        <is>
          <t>XS</t>
        </is>
      </c>
      <c r="H2409" s="156" t="inlineStr">
        <is>
          <t>Stetson</t>
        </is>
      </c>
      <c r="I2409" s="156" t="inlineStr">
        <is>
          <t>Blusa Stetson con estampado tipo piel de serpiente</t>
        </is>
      </c>
      <c r="J2409" s="156" t="inlineStr">
        <is>
          <t>Ropa</t>
        </is>
      </c>
      <c r="K2409" s="156" t="inlineStr">
        <is>
          <t>Camisas</t>
        </is>
      </c>
      <c r="L2409" s="156" t="inlineStr">
        <is>
          <t>Mujer</t>
        </is>
      </c>
      <c r="M2409" s="156" t="inlineStr">
        <is>
          <t>Stetson</t>
        </is>
      </c>
      <c r="N2409" s="156" t="inlineStr">
        <is>
          <t>SS26</t>
        </is>
      </c>
      <c r="O2409" s="156" t="inlineStr">
        <is>
          <t>Seasonal</t>
        </is>
      </c>
      <c r="P2409" s="156" t="inlineStr">
        <is>
          <t>Beige</t>
        </is>
      </c>
      <c r="Q2409" s="156" t="n"/>
      <c r="R2409" s="156" t="n"/>
      <c r="S2409" s="156" t="inlineStr">
        <is>
          <t>100% rayón</t>
        </is>
      </c>
      <c r="T2409" s="156" t="inlineStr">
        <is>
          <t>Blusa Stetson con estampado tipo piel de serpiente; manga larga ligeramente acampanada; cuello v; 100% rayón.</t>
        </is>
      </c>
      <c r="U2409" s="156" t="n"/>
      <c r="V2409" s="156" t="inlineStr">
        <is>
          <t>PZS</t>
        </is>
      </c>
      <c r="W2409" s="51" t="inlineStr">
        <is>
          <t>53101604</t>
        </is>
      </c>
      <c r="X2409" s="156" t="inlineStr">
        <is>
          <t>https://westernbootsales.com/prodimages/karman/stetson_apparel/1105005907031a_lg.jpg</t>
        </is>
      </c>
      <c r="Y2409" s="54" t="n"/>
      <c r="Z2409" s="54" t="n"/>
      <c r="AA2409" s="55">
        <f>IF(AND(A2409="", B2409="", E2409=""), "", IF(AB2409="", "Válido", IF((LEN(AB2409)-LEN(SUBSTITUTE(AB2409,"; ","")))/2+1&gt;(LEN(AB2409)-LEN(SUBSTITUTE(AB2409,"[Aviso]","")))/7, "Con Incidencias", "Válido")))</f>
        <v/>
      </c>
      <c r="AB2409" s="56">
        <f>IF(AND(A2409="", B2409="", E2409=""), "", TEXTJOIN("; ", TRUE, IF(OR(TRIM(A2409&amp;"")="", ISNUMBER(SEARCH("FALTA", A2409))), "UPC faltante/inválido", ""), IF(AND(A2409&lt;&gt;"", IFERROR(_xlfn.XMATCH(A2409,$A$2:$A$2509,0,1)&lt;&gt;_xlfn.XMATCH(A2409,$A$2:$A$2509,0,-1),FALSE)), "Código de barras duplicado", ""), IF(AND(E2409&lt;&gt;"", COUNTIF($E$2:$E$2509, E2409)&gt;1), "SKU duplicado", ""), IF(OR(J2409="", J2409=""), "[Aviso] División no capturada ()", IF(ISNA(MATCH(J2409, Criterios!$A$123:$A$126, 0)), "División no válida", "")), IF(OR(K2409="", K2409=""), "[Aviso] Categoría no capturada ()", IF(ISNA(MATCH(K2409, Criterios!$A$81:$A$120, 0)), "Categoría no válida", IF(AND(J2409&lt;&gt;"", J2409&lt;&gt;"", J2409&lt;&gt;VLOOKUP(K2409, Criterios!$A$81:$B$120, 2, FALSE)), "División no coincide con Categoría", ""))), IF(OR(L2409="", L2409=""), "[Aviso] Género no capturado ()", IF(ISNA(MATCH(L2409, Criterios!$B$123:$B$127, 0)), "Género no válido", "")), IF(OR(N2409="", N2409=""), "[Aviso] Temporada no capturada ()", IF(ISNA(MATCH(N2409, Criterios!$C$123:$C$128, 0)), "Temporada no válida", "")), IF(OR(O2409="", O2409=""), "[Aviso] Ciclo de vida no capturado ()", IF(ISNA(MATCH(O2409, Criterios!$D$123:$D$124, 0)), "Ciclo de vida no válido", ""))))</f>
        <v/>
      </c>
      <c r="AC2409" s="56" t="n"/>
      <c r="AD2409" s="51" t="n">
        <v>0</v>
      </c>
      <c r="AE2409" s="156" t="inlineStr">
        <is>
          <t>Sin coincidencia en NetSuite</t>
        </is>
      </c>
      <c r="AF2409" s="51" t="n"/>
      <c r="AG2409" s="156" t="inlineStr">
        <is>
          <t>Catálogo existente</t>
        </is>
      </c>
      <c r="AH2409" s="156" t="inlineStr">
        <is>
          <t>No se encontró en Hoja a Revisar por ID interno ni por código de barras | Homologación G1522 06/10/2026: WB Silueta: «Manga larga ligeramente acampanada; cuello V» → «» (Corrección aplicada)</t>
        </is>
      </c>
      <c r="AI2409" s="156" t="n"/>
      <c r="AJ2409" s="156" t="n"/>
      <c r="AK2409" s="155" t="n"/>
      <c r="AL2409" s="58" t="n"/>
      <c r="AM2409" s="58" t="n"/>
      <c r="AN2409" s="155" t="n"/>
      <c r="AO2409" s="59" t="n"/>
      <c r="AP2409" s="59" t="n"/>
      <c r="AQ2409" s="59" t="n"/>
      <c r="AR2409" s="155" t="n"/>
    </row>
    <row r="2410">
      <c r="A2410" s="50" t="inlineStr">
        <is>
          <t>8844426495998</t>
        </is>
      </c>
      <c r="B2410" s="51" t="n"/>
      <c r="C2410" s="156" t="inlineStr">
        <is>
          <t>Stetson</t>
        </is>
      </c>
      <c r="D2410" s="156" t="inlineStr">
        <is>
          <t>11-050-0590-7031</t>
        </is>
      </c>
      <c r="E2410" s="156" t="inlineStr">
        <is>
          <t>11-50-590-7031WH-L</t>
        </is>
      </c>
      <c r="F2410" s="156" t="inlineStr">
        <is>
          <t>L</t>
        </is>
      </c>
      <c r="G2410" s="156" t="inlineStr">
        <is>
          <t>L</t>
        </is>
      </c>
      <c r="H2410" s="156" t="inlineStr">
        <is>
          <t>Stetson</t>
        </is>
      </c>
      <c r="I2410" s="156" t="inlineStr">
        <is>
          <t>Blusa Stetson con estampado tipo piel de serpiente</t>
        </is>
      </c>
      <c r="J2410" s="156" t="inlineStr">
        <is>
          <t>Ropa</t>
        </is>
      </c>
      <c r="K2410" s="156" t="inlineStr">
        <is>
          <t>Camisas</t>
        </is>
      </c>
      <c r="L2410" s="156" t="inlineStr">
        <is>
          <t>Mujer</t>
        </is>
      </c>
      <c r="M2410" s="156" t="inlineStr">
        <is>
          <t>Stetson</t>
        </is>
      </c>
      <c r="N2410" s="156" t="inlineStr">
        <is>
          <t>SS26</t>
        </is>
      </c>
      <c r="O2410" s="156" t="inlineStr">
        <is>
          <t>Seasonal</t>
        </is>
      </c>
      <c r="P2410" s="156" t="inlineStr">
        <is>
          <t>Beige</t>
        </is>
      </c>
      <c r="Q2410" s="156" t="n"/>
      <c r="R2410" s="156" t="n"/>
      <c r="S2410" s="156" t="inlineStr">
        <is>
          <t>100% rayón</t>
        </is>
      </c>
      <c r="T2410" s="156" t="inlineStr">
        <is>
          <t>Blusa Stetson con estampado tipo piel de serpiente; manga larga ligeramente acampanada; cuello v; 100% rayón.</t>
        </is>
      </c>
      <c r="U2410" s="156" t="n"/>
      <c r="V2410" s="156" t="inlineStr">
        <is>
          <t>PZS</t>
        </is>
      </c>
      <c r="W2410" s="51" t="inlineStr">
        <is>
          <t>53101604</t>
        </is>
      </c>
      <c r="X2410" s="156" t="inlineStr">
        <is>
          <t>https://westernbootsales.com/prodimages/karman/stetson_apparel/1105005907031a_lg.jpg</t>
        </is>
      </c>
      <c r="Y2410" s="54" t="n"/>
      <c r="Z2410" s="54" t="n"/>
      <c r="AA2410" s="55">
        <f>IF(AND(A2410="", B2410="", E2410=""), "", IF(AB2410="", "Válido", IF((LEN(AB2410)-LEN(SUBSTITUTE(AB2410,"; ","")))/2+1&gt;(LEN(AB2410)-LEN(SUBSTITUTE(AB2410,"[Aviso]","")))/7, "Con Incidencias", "Válido")))</f>
        <v/>
      </c>
      <c r="AB2410" s="56">
        <f>IF(AND(A2410="", B2410="", E2410=""), "", TEXTJOIN("; ", TRUE, IF(OR(TRIM(A2410&amp;"")="", ISNUMBER(SEARCH("FALTA", A2410))), "UPC faltante/inválido", ""), IF(AND(A2410&lt;&gt;"", IFERROR(_xlfn.XMATCH(A2410,$A$2:$A$2509,0,1)&lt;&gt;_xlfn.XMATCH(A2410,$A$2:$A$2509,0,-1),FALSE)), "Código de barras duplicado", ""), IF(AND(E2410&lt;&gt;"", COUNTIF($E$2:$E$2509, E2410)&gt;1), "SKU duplicado", ""), IF(OR(J2410="", J2410=""), "[Aviso] División no capturada ()", IF(ISNA(MATCH(J2410, Criterios!$A$123:$A$126, 0)), "División no válida", "")), IF(OR(K2410="", K2410=""), "[Aviso] Categoría no capturada ()", IF(ISNA(MATCH(K2410, Criterios!$A$81:$A$120, 0)), "Categoría no válida", IF(AND(J2410&lt;&gt;"", J2410&lt;&gt;"", J2410&lt;&gt;VLOOKUP(K2410, Criterios!$A$81:$B$120, 2, FALSE)), "División no coincide con Categoría", ""))), IF(OR(L2410="", L2410=""), "[Aviso] Género no capturado ()", IF(ISNA(MATCH(L2410, Criterios!$B$123:$B$127, 0)), "Género no válido", "")), IF(OR(N2410="", N2410=""), "[Aviso] Temporada no capturada ()", IF(ISNA(MATCH(N2410, Criterios!$C$123:$C$128, 0)), "Temporada no válida", "")), IF(OR(O2410="", O2410=""), "[Aviso] Ciclo de vida no capturado ()", IF(ISNA(MATCH(O2410, Criterios!$D$123:$D$124, 0)), "Ciclo de vida no válido", ""))))</f>
        <v/>
      </c>
      <c r="AC2410" s="56" t="n"/>
      <c r="AD2410" s="51" t="n">
        <v>0</v>
      </c>
      <c r="AE2410" s="156" t="inlineStr">
        <is>
          <t>Sin coincidencia en NetSuite</t>
        </is>
      </c>
      <c r="AF2410" s="51" t="n"/>
      <c r="AG2410" s="156" t="inlineStr">
        <is>
          <t>Catálogo existente</t>
        </is>
      </c>
      <c r="AH2410" s="156" t="inlineStr">
        <is>
          <t>No se encontró en Hoja a Revisar por ID interno ni por código de barras | Homologación G1522 06/10/2026: WB Silueta: «Manga larga ligeramente acampanada; cuello V» → «» (Corrección aplicada) · Validación G1522: Dígito de control del código de barras inválido</t>
        </is>
      </c>
      <c r="AI2410" s="156" t="n"/>
      <c r="AJ2410" s="156" t="n"/>
      <c r="AK2410" s="155" t="n"/>
      <c r="AL2410" s="58" t="n"/>
      <c r="AM2410" s="58" t="n"/>
      <c r="AN2410" s="155" t="n"/>
      <c r="AO2410" s="59" t="n"/>
      <c r="AP2410" s="59" t="n"/>
      <c r="AQ2410" s="59" t="n"/>
      <c r="AR2410" s="155" t="n"/>
    </row>
    <row r="2411">
      <c r="A2411" s="50" t="inlineStr">
        <is>
          <t>884426496018</t>
        </is>
      </c>
      <c r="B2411" s="51" t="n"/>
      <c r="C2411" s="156" t="inlineStr">
        <is>
          <t>Stetson</t>
        </is>
      </c>
      <c r="D2411" s="156" t="inlineStr">
        <is>
          <t>11-050-0590-7031</t>
        </is>
      </c>
      <c r="E2411" s="156" t="inlineStr">
        <is>
          <t>11-50-590-7031WH-S</t>
        </is>
      </c>
      <c r="F2411" s="156" t="inlineStr">
        <is>
          <t>S</t>
        </is>
      </c>
      <c r="G2411" s="156" t="inlineStr">
        <is>
          <t>S</t>
        </is>
      </c>
      <c r="H2411" s="156" t="inlineStr">
        <is>
          <t>Stetson</t>
        </is>
      </c>
      <c r="I2411" s="156" t="inlineStr">
        <is>
          <t>Blusa Stetson con estampado tipo piel de serpiente</t>
        </is>
      </c>
      <c r="J2411" s="156" t="inlineStr">
        <is>
          <t>Ropa</t>
        </is>
      </c>
      <c r="K2411" s="156" t="inlineStr">
        <is>
          <t>Camisas</t>
        </is>
      </c>
      <c r="L2411" s="156" t="inlineStr">
        <is>
          <t>Mujer</t>
        </is>
      </c>
      <c r="M2411" s="156" t="inlineStr">
        <is>
          <t>Stetson</t>
        </is>
      </c>
      <c r="N2411" s="156" t="inlineStr">
        <is>
          <t>SS26</t>
        </is>
      </c>
      <c r="O2411" s="156" t="inlineStr">
        <is>
          <t>Seasonal</t>
        </is>
      </c>
      <c r="P2411" s="156" t="inlineStr">
        <is>
          <t>Beige</t>
        </is>
      </c>
      <c r="Q2411" s="156" t="n"/>
      <c r="R2411" s="156" t="n"/>
      <c r="S2411" s="156" t="inlineStr">
        <is>
          <t>100% rayón</t>
        </is>
      </c>
      <c r="T2411" s="156" t="inlineStr">
        <is>
          <t>Blusa Stetson con estampado tipo piel de serpiente; manga larga ligeramente acampanada; cuello v; 100% rayón.</t>
        </is>
      </c>
      <c r="U2411" s="156" t="n"/>
      <c r="V2411" s="156" t="inlineStr">
        <is>
          <t>PZS</t>
        </is>
      </c>
      <c r="W2411" s="51" t="inlineStr">
        <is>
          <t>53101604</t>
        </is>
      </c>
      <c r="X2411" s="156" t="inlineStr">
        <is>
          <t>https://westernbootsales.com/prodimages/karman/stetson_apparel/1105005907031a_lg.jpg</t>
        </is>
      </c>
      <c r="Y2411" s="54" t="n"/>
      <c r="Z2411" s="54" t="n"/>
      <c r="AA2411" s="55">
        <f>IF(AND(A2411="", B2411="", E2411=""), "", IF(AB2411="", "Válido", IF((LEN(AB2411)-LEN(SUBSTITUTE(AB2411,"; ","")))/2+1&gt;(LEN(AB2411)-LEN(SUBSTITUTE(AB2411,"[Aviso]","")))/7, "Con Incidencias", "Válido")))</f>
        <v/>
      </c>
      <c r="AB2411" s="56">
        <f>IF(AND(A2411="", B2411="", E2411=""), "", TEXTJOIN("; ", TRUE, IF(OR(TRIM(A2411&amp;"")="", ISNUMBER(SEARCH("FALTA", A2411))), "UPC faltante/inválido", ""), IF(AND(A2411&lt;&gt;"", IFERROR(_xlfn.XMATCH(A2411,$A$2:$A$2509,0,1)&lt;&gt;_xlfn.XMATCH(A2411,$A$2:$A$2509,0,-1),FALSE)), "Código de barras duplicado", ""), IF(AND(E2411&lt;&gt;"", COUNTIF($E$2:$E$2509, E2411)&gt;1), "SKU duplicado", ""), IF(OR(J2411="", J2411=""), "[Aviso] División no capturada ()", IF(ISNA(MATCH(J2411, Criterios!$A$123:$A$126, 0)), "División no válida", "")), IF(OR(K2411="", K2411=""), "[Aviso] Categoría no capturada ()", IF(ISNA(MATCH(K2411, Criterios!$A$81:$A$120, 0)), "Categoría no válida", IF(AND(J2411&lt;&gt;"", J2411&lt;&gt;"", J2411&lt;&gt;VLOOKUP(K2411, Criterios!$A$81:$B$120, 2, FALSE)), "División no coincide con Categoría", ""))), IF(OR(L2411="", L2411=""), "[Aviso] Género no capturado ()", IF(ISNA(MATCH(L2411, Criterios!$B$123:$B$127, 0)), "Género no válido", "")), IF(OR(N2411="", N2411=""), "[Aviso] Temporada no capturada ()", IF(ISNA(MATCH(N2411, Criterios!$C$123:$C$128, 0)), "Temporada no válida", "")), IF(OR(O2411="", O2411=""), "[Aviso] Ciclo de vida no capturado ()", IF(ISNA(MATCH(O2411, Criterios!$D$123:$D$124, 0)), "Ciclo de vida no válido", ""))))</f>
        <v/>
      </c>
      <c r="AC2411" s="56" t="n"/>
      <c r="AD2411" s="51" t="n">
        <v>0</v>
      </c>
      <c r="AE2411" s="156" t="inlineStr">
        <is>
          <t>Sin coincidencia en NetSuite</t>
        </is>
      </c>
      <c r="AF2411" s="51" t="n"/>
      <c r="AG2411" s="156" t="inlineStr">
        <is>
          <t>Catálogo existente</t>
        </is>
      </c>
      <c r="AH2411" s="156" t="inlineStr">
        <is>
          <t>No se encontró en Hoja a Revisar por ID interno ni por código de barras | Homologación G1522 06/10/2026: WB Silueta: «Manga larga ligeramente acampanada; cuello V» → «» (Corrección aplicada)</t>
        </is>
      </c>
      <c r="AI2411" s="156" t="n"/>
      <c r="AJ2411" s="156" t="n"/>
      <c r="AK2411" s="155" t="n"/>
      <c r="AL2411" s="58" t="n"/>
      <c r="AM2411" s="58" t="n"/>
      <c r="AN2411" s="155" t="n"/>
      <c r="AO2411" s="59" t="n"/>
      <c r="AP2411" s="59" t="n"/>
      <c r="AQ2411" s="59" t="n"/>
      <c r="AR2411" s="155" t="n"/>
    </row>
    <row r="2412">
      <c r="A2412" s="50" t="n"/>
      <c r="B2412" s="51" t="n"/>
      <c r="C2412" s="156" t="inlineStr">
        <is>
          <t>Stetson</t>
        </is>
      </c>
      <c r="D2412" s="156" t="inlineStr">
        <is>
          <t>11-004-1015-6000</t>
        </is>
      </c>
      <c r="E2412" s="156" t="inlineStr">
        <is>
          <t>11-004-1015-6000-28 34</t>
        </is>
      </c>
      <c r="F2412" s="156" t="inlineStr">
        <is>
          <t>28 x 34</t>
        </is>
      </c>
      <c r="G2412" s="156" t="inlineStr">
        <is>
          <t>28W / 34L</t>
        </is>
      </c>
      <c r="H2412" s="156" t="inlineStr">
        <is>
          <t>Stetson</t>
        </is>
      </c>
      <c r="I2412" s="156" t="inlineStr">
        <is>
          <t>Jeans Stetson 1015 Rocker Bootcut</t>
        </is>
      </c>
      <c r="J2412" s="156" t="inlineStr">
        <is>
          <t>Denim</t>
        </is>
      </c>
      <c r="K2412" s="156" t="inlineStr">
        <is>
          <t>Jeans</t>
        </is>
      </c>
      <c r="L2412" s="156" t="inlineStr">
        <is>
          <t>Hombre</t>
        </is>
      </c>
      <c r="M2412" s="156" t="inlineStr">
        <is>
          <t>Stetson</t>
        </is>
      </c>
      <c r="N2412" s="156" t="inlineStr">
        <is>
          <t>SS26</t>
        </is>
      </c>
      <c r="O2412" s="156" t="inlineStr">
        <is>
          <t>Seasonal</t>
        </is>
      </c>
      <c r="P2412" s="156" t="inlineStr">
        <is>
          <t>Azul</t>
        </is>
      </c>
      <c r="Q2412" s="156" t="inlineStr">
        <is>
          <t>Slim</t>
        </is>
      </c>
      <c r="R2412" s="156" t="inlineStr">
        <is>
          <t>Bootcut</t>
        </is>
      </c>
      <c r="S2412" s="156" t="inlineStr">
        <is>
          <t>99% algodón; 1% elastano</t>
        </is>
      </c>
      <c r="T2412" s="156" t="inlineStr">
        <is>
          <t>Jeans Stetson 1015 Rocker Bootcut; bootcut; 99% algodón; 1% elastano.</t>
        </is>
      </c>
      <c r="U2412" s="156" t="n"/>
      <c r="V2412" s="156" t="inlineStr">
        <is>
          <t>PZS</t>
        </is>
      </c>
      <c r="W2412" s="51" t="inlineStr">
        <is>
          <t>53101502</t>
        </is>
      </c>
      <c r="X2412" s="156" t="n"/>
      <c r="Y2412" s="54" t="n"/>
      <c r="Z2412" s="54" t="n"/>
      <c r="AA2412" s="55">
        <f>IF(AND(A2412="", B2412="", E2412=""), "", IF(AB2412="", "Válido", IF((LEN(AB2412)-LEN(SUBSTITUTE(AB2412,"; ","")))/2+1&gt;(LEN(AB2412)-LEN(SUBSTITUTE(AB2412,"[Aviso]","")))/7, "Con Incidencias", "Válido")))</f>
        <v/>
      </c>
      <c r="AB2412" s="56">
        <f>IF(AND(A2412="", B2412="", E2412=""), "", TEXTJOIN("; ", TRUE, IF(OR(TRIM(A2412&amp;"")="", ISNUMBER(SEARCH("FALTA", A2412))), "UPC faltante/inválido", ""), IF(AND(A2412&lt;&gt;"", IFERROR(_xlfn.XMATCH(A2412,$A$2:$A$2509,0,1)&lt;&gt;_xlfn.XMATCH(A2412,$A$2:$A$2509,0,-1),FALSE)), "Código de barras duplicado", ""), IF(AND(E2412&lt;&gt;"", COUNTIF($E$2:$E$2509, E2412)&gt;1), "SKU duplicado", ""), IF(OR(J2412="", J2412=""), "[Aviso] División no capturada ()", IF(ISNA(MATCH(J2412, Criterios!$A$123:$A$126, 0)), "División no válida", "")), IF(OR(K2412="", K2412=""), "[Aviso] Categoría no capturada ()", IF(ISNA(MATCH(K2412, Criterios!$A$81:$A$120, 0)), "Categoría no válida", IF(AND(J2412&lt;&gt;"", J2412&lt;&gt;"", J2412&lt;&gt;VLOOKUP(K2412, Criterios!$A$81:$B$120, 2, FALSE)), "División no coincide con Categoría", ""))), IF(OR(L2412="", L2412=""), "[Aviso] Género no capturado ()", IF(ISNA(MATCH(L2412, Criterios!$B$123:$B$127, 0)), "Género no válido", "")), IF(OR(N2412="", N2412=""), "[Aviso] Temporada no capturada ()", IF(ISNA(MATCH(N2412, Criterios!$C$123:$C$128, 0)), "Temporada no válida", "")), IF(OR(O2412="", O2412=""), "[Aviso] Ciclo de vida no capturado ()", IF(ISNA(MATCH(O2412, Criterios!$D$123:$D$124, 0)), "Ciclo de vida no válido", ""))))</f>
        <v/>
      </c>
      <c r="AC2412" s="56" t="n"/>
      <c r="AD2412" s="51" t="n">
        <v>0</v>
      </c>
      <c r="AE2412" s="156" t="inlineStr">
        <is>
          <t>Sin coincidencia en NetSuite</t>
        </is>
      </c>
      <c r="AF2412" s="51" t="n"/>
      <c r="AG2412" s="156" t="inlineStr">
        <is>
          <t>Catálogo existente</t>
        </is>
      </c>
      <c r="AH2412"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2" s="156" t="n"/>
      <c r="AJ2412" s="156" t="n"/>
      <c r="AK2412" s="155" t="n"/>
      <c r="AL2412" s="58" t="n"/>
      <c r="AM2412" s="58" t="n"/>
      <c r="AN2412" s="155" t="n"/>
      <c r="AO2412" s="59" t="n"/>
      <c r="AP2412" s="59" t="n"/>
      <c r="AQ2412" s="59" t="n"/>
      <c r="AR2412" s="155" t="n"/>
    </row>
    <row r="2413">
      <c r="A2413" s="50" t="n"/>
      <c r="B2413" s="51" t="n"/>
      <c r="C2413" s="156" t="inlineStr">
        <is>
          <t>Stetson</t>
        </is>
      </c>
      <c r="D2413" s="156" t="inlineStr">
        <is>
          <t>11-004-1120-0024</t>
        </is>
      </c>
      <c r="E2413" s="156" t="inlineStr">
        <is>
          <t>11-004-1120-0024-34 34</t>
        </is>
      </c>
      <c r="F2413" s="156" t="inlineStr">
        <is>
          <t>34 x 34</t>
        </is>
      </c>
      <c r="G2413" s="156" t="inlineStr">
        <is>
          <t>34W / 34L</t>
        </is>
      </c>
      <c r="H2413" s="156" t="inlineStr">
        <is>
          <t>Stetson</t>
        </is>
      </c>
      <c r="I2413" s="156" t="inlineStr">
        <is>
          <t>Jeans Stetson 1120 Slim Fit negros</t>
        </is>
      </c>
      <c r="J2413" s="156" t="inlineStr">
        <is>
          <t>Denim</t>
        </is>
      </c>
      <c r="K2413" s="156" t="inlineStr">
        <is>
          <t>Jeans</t>
        </is>
      </c>
      <c r="L2413" s="156" t="inlineStr">
        <is>
          <t>Hombre</t>
        </is>
      </c>
      <c r="M2413" s="156" t="inlineStr">
        <is>
          <t>Stetson</t>
        </is>
      </c>
      <c r="N2413" s="156" t="inlineStr">
        <is>
          <t>SS26</t>
        </is>
      </c>
      <c r="O2413" s="156" t="inlineStr">
        <is>
          <t>Seasonal</t>
        </is>
      </c>
      <c r="P2413" s="156" t="inlineStr">
        <is>
          <t>Negro</t>
        </is>
      </c>
      <c r="Q2413" s="156" t="inlineStr">
        <is>
          <t>Slim</t>
        </is>
      </c>
      <c r="R2413" s="156" t="inlineStr">
        <is>
          <t>Recto</t>
        </is>
      </c>
      <c r="S2413" s="156" t="inlineStr">
        <is>
          <t>100% algodón</t>
        </is>
      </c>
      <c r="T2413" s="156" t="inlineStr">
        <is>
          <t>Jeans Stetson 1120 Slim Fit negros; pierna recta; abertura para bota; 100% algodón.</t>
        </is>
      </c>
      <c r="U2413" s="156" t="n"/>
      <c r="V2413" s="156" t="inlineStr">
        <is>
          <t>PZS</t>
        </is>
      </c>
      <c r="W2413" s="51" t="inlineStr">
        <is>
          <t>53101502</t>
        </is>
      </c>
      <c r="X2413" s="156" t="inlineStr">
        <is>
          <t>https://cdn.shopify.com/s/files/1/0357/2432/9005/products/11-004-1120-0024-BL_Black_1.jpg?v=1674598681</t>
        </is>
      </c>
      <c r="Y2413" s="54" t="n"/>
      <c r="Z2413" s="54" t="n"/>
      <c r="AA2413" s="55">
        <f>IF(AND(A2413="", B2413="", E2413=""), "", IF(AB2413="", "Válido", IF((LEN(AB2413)-LEN(SUBSTITUTE(AB2413,"; ","")))/2+1&gt;(LEN(AB2413)-LEN(SUBSTITUTE(AB2413,"[Aviso]","")))/7, "Con Incidencias", "Válido")))</f>
        <v/>
      </c>
      <c r="AB2413" s="56">
        <f>IF(AND(A2413="", B2413="", E2413=""), "", TEXTJOIN("; ", TRUE, IF(OR(TRIM(A2413&amp;"")="", ISNUMBER(SEARCH("FALTA", A2413))), "UPC faltante/inválido", ""), IF(AND(A2413&lt;&gt;"", IFERROR(_xlfn.XMATCH(A2413,$A$2:$A$2509,0,1)&lt;&gt;_xlfn.XMATCH(A2413,$A$2:$A$2509,0,-1),FALSE)), "Código de barras duplicado", ""), IF(AND(E2413&lt;&gt;"", COUNTIF($E$2:$E$2509, E2413)&gt;1), "SKU duplicado", ""), IF(OR(J2413="", J2413=""), "[Aviso] División no capturada ()", IF(ISNA(MATCH(J2413, Criterios!$A$123:$A$126, 0)), "División no válida", "")), IF(OR(K2413="", K2413=""), "[Aviso] Categoría no capturada ()", IF(ISNA(MATCH(K2413, Criterios!$A$81:$A$120, 0)), "Categoría no válida", IF(AND(J2413&lt;&gt;"", J2413&lt;&gt;"", J2413&lt;&gt;VLOOKUP(K2413, Criterios!$A$81:$B$120, 2, FALSE)), "División no coincide con Categoría", ""))), IF(OR(L2413="", L2413=""), "[Aviso] Género no capturado ()", IF(ISNA(MATCH(L2413, Criterios!$B$123:$B$127, 0)), "Género no válido", "")), IF(OR(N2413="", N2413=""), "[Aviso] Temporada no capturada ()", IF(ISNA(MATCH(N2413, Criterios!$C$123:$C$128, 0)), "Temporada no válida", "")), IF(OR(O2413="", O2413=""), "[Aviso] Ciclo de vida no capturado ()", IF(ISNA(MATCH(O2413, Criterios!$D$123:$D$124, 0)), "Ciclo de vida no válido", ""))))</f>
        <v/>
      </c>
      <c r="AC2413" s="56" t="n"/>
      <c r="AD2413" s="51" t="n">
        <v>0</v>
      </c>
      <c r="AE2413" s="156" t="inlineStr">
        <is>
          <t>Sin coincidencia en NetSuite</t>
        </is>
      </c>
      <c r="AF2413" s="51" t="n"/>
      <c r="AG2413" s="156" t="inlineStr">
        <is>
          <t>Catálogo existente</t>
        </is>
      </c>
      <c r="AH2413"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3" s="156" t="n"/>
      <c r="AJ2413" s="156" t="n"/>
      <c r="AK2413" s="155" t="n"/>
      <c r="AL2413" s="58" t="n"/>
      <c r="AM2413" s="58" t="n"/>
      <c r="AN2413" s="155" t="n"/>
      <c r="AO2413" s="59" t="n"/>
      <c r="AP2413" s="59" t="n"/>
      <c r="AQ2413" s="59" t="n"/>
      <c r="AR2413" s="155" t="n"/>
    </row>
    <row r="2414">
      <c r="A2414" s="50" t="n"/>
      <c r="B2414" s="51" t="n"/>
      <c r="C2414" s="156" t="inlineStr">
        <is>
          <t>Stetson</t>
        </is>
      </c>
      <c r="D2414" s="156" t="inlineStr">
        <is>
          <t>11-004-1312-4095</t>
        </is>
      </c>
      <c r="E2414" s="156" t="inlineStr">
        <is>
          <t>11-004-1312-4095-38 34</t>
        </is>
      </c>
      <c r="F2414" s="156" t="inlineStr">
        <is>
          <t>38 x 34</t>
        </is>
      </c>
      <c r="G2414" s="156" t="inlineStr">
        <is>
          <t>38W / 34L</t>
        </is>
      </c>
      <c r="H2414" s="156" t="inlineStr">
        <is>
          <t>Stetson</t>
        </is>
      </c>
      <c r="I2414" s="156" t="inlineStr">
        <is>
          <t>Jeans Stetson 1312 Modern Fit</t>
        </is>
      </c>
      <c r="J2414" s="156" t="inlineStr">
        <is>
          <t>Denim</t>
        </is>
      </c>
      <c r="K2414" s="156" t="inlineStr">
        <is>
          <t>Jeans</t>
        </is>
      </c>
      <c r="L2414" s="156" t="inlineStr">
        <is>
          <t>Hombre</t>
        </is>
      </c>
      <c r="M2414" s="156" t="inlineStr">
        <is>
          <t>Stetson</t>
        </is>
      </c>
      <c r="N2414" s="156" t="inlineStr">
        <is>
          <t>SS26</t>
        </is>
      </c>
      <c r="O2414" s="156" t="inlineStr">
        <is>
          <t>Seasonal</t>
        </is>
      </c>
      <c r="P2414" s="156" t="inlineStr">
        <is>
          <t>Azul</t>
        </is>
      </c>
      <c r="Q2414" s="156" t="inlineStr">
        <is>
          <t>Relajado</t>
        </is>
      </c>
      <c r="R2414" s="156" t="inlineStr">
        <is>
          <t>Bootcut</t>
        </is>
      </c>
      <c r="S2414" s="156" t="inlineStr">
        <is>
          <t>100% algodón</t>
        </is>
      </c>
      <c r="T2414" s="156" t="inlineStr">
        <is>
          <t>Jeans Stetson 1312 Modern Fit; bootcut; 100% algodón.</t>
        </is>
      </c>
      <c r="U2414" s="156" t="n"/>
      <c r="V2414" s="156" t="inlineStr">
        <is>
          <t>PZS</t>
        </is>
      </c>
      <c r="W2414" s="51" t="inlineStr">
        <is>
          <t>53101502</t>
        </is>
      </c>
      <c r="X2414" s="156" t="n"/>
      <c r="Y2414" s="54" t="n"/>
      <c r="Z2414" s="54" t="n"/>
      <c r="AA2414" s="55">
        <f>IF(AND(A2414="", B2414="", E2414=""), "", IF(AB2414="", "Válido", IF((LEN(AB2414)-LEN(SUBSTITUTE(AB2414,"; ","")))/2+1&gt;(LEN(AB2414)-LEN(SUBSTITUTE(AB2414,"[Aviso]","")))/7, "Con Incidencias", "Válido")))</f>
        <v/>
      </c>
      <c r="AB2414" s="56">
        <f>IF(AND(A2414="", B2414="", E2414=""), "", TEXTJOIN("; ", TRUE, IF(OR(TRIM(A2414&amp;"")="", ISNUMBER(SEARCH("FALTA", A2414))), "UPC faltante/inválido", ""), IF(AND(A2414&lt;&gt;"", IFERROR(_xlfn.XMATCH(A2414,$A$2:$A$2509,0,1)&lt;&gt;_xlfn.XMATCH(A2414,$A$2:$A$2509,0,-1),FALSE)), "Código de barras duplicado", ""), IF(AND(E2414&lt;&gt;"", COUNTIF($E$2:$E$2509, E2414)&gt;1), "SKU duplicado", ""), IF(OR(J2414="", J2414=""), "[Aviso] División no capturada ()", IF(ISNA(MATCH(J2414, Criterios!$A$123:$A$126, 0)), "División no válida", "")), IF(OR(K2414="", K2414=""), "[Aviso] Categoría no capturada ()", IF(ISNA(MATCH(K2414, Criterios!$A$81:$A$120, 0)), "Categoría no válida", IF(AND(J2414&lt;&gt;"", J2414&lt;&gt;"", J2414&lt;&gt;VLOOKUP(K2414, Criterios!$A$81:$B$120, 2, FALSE)), "División no coincide con Categoría", ""))), IF(OR(L2414="", L2414=""), "[Aviso] Género no capturado ()", IF(ISNA(MATCH(L2414, Criterios!$B$123:$B$127, 0)), "Género no válido", "")), IF(OR(N2414="", N2414=""), "[Aviso] Temporada no capturada ()", IF(ISNA(MATCH(N2414, Criterios!$C$123:$C$128, 0)), "Temporada no válida", "")), IF(OR(O2414="", O2414=""), "[Aviso] Ciclo de vida no capturado ()", IF(ISNA(MATCH(O2414, Criterios!$D$123:$D$124, 0)), "Ciclo de vida no válido", ""))))</f>
        <v/>
      </c>
      <c r="AC2414" s="56" t="n"/>
      <c r="AD2414" s="51" t="n">
        <v>0</v>
      </c>
      <c r="AE2414" s="156" t="inlineStr">
        <is>
          <t>Sin coincidencia en NetSuite</t>
        </is>
      </c>
      <c r="AF2414" s="51" t="n"/>
      <c r="AG2414" s="156" t="inlineStr">
        <is>
          <t>Catálogo existente</t>
        </is>
      </c>
      <c r="AH2414"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4" s="156" t="n"/>
      <c r="AJ2414" s="156" t="n"/>
      <c r="AK2414" s="155" t="n"/>
      <c r="AL2414" s="58" t="n"/>
      <c r="AM2414" s="58" t="n"/>
      <c r="AN2414" s="155" t="n"/>
      <c r="AO2414" s="59" t="n"/>
      <c r="AP2414" s="59" t="n"/>
      <c r="AQ2414" s="59" t="n"/>
      <c r="AR2414" s="155" t="n"/>
    </row>
    <row r="2415">
      <c r="A2415" s="50" t="n"/>
      <c r="B2415" s="51" t="n"/>
      <c r="C2415" s="156" t="inlineStr">
        <is>
          <t>Stetson</t>
        </is>
      </c>
      <c r="D2415" s="156" t="inlineStr">
        <is>
          <t>11-004-1312-4095</t>
        </is>
      </c>
      <c r="E2415" s="156" t="inlineStr">
        <is>
          <t>11-004-1312-4095-30 32</t>
        </is>
      </c>
      <c r="F2415" s="156" t="inlineStr">
        <is>
          <t>30 x 32</t>
        </is>
      </c>
      <c r="G2415" s="156" t="inlineStr">
        <is>
          <t>30W / 32L</t>
        </is>
      </c>
      <c r="H2415" s="156" t="inlineStr">
        <is>
          <t>Stetson</t>
        </is>
      </c>
      <c r="I2415" s="156" t="inlineStr">
        <is>
          <t>Jeans Stetson 1312 Modern Fit</t>
        </is>
      </c>
      <c r="J2415" s="156" t="inlineStr">
        <is>
          <t>Denim</t>
        </is>
      </c>
      <c r="K2415" s="156" t="inlineStr">
        <is>
          <t>Jeans</t>
        </is>
      </c>
      <c r="L2415" s="156" t="inlineStr">
        <is>
          <t>Hombre</t>
        </is>
      </c>
      <c r="M2415" s="156" t="inlineStr">
        <is>
          <t>Stetson</t>
        </is>
      </c>
      <c r="N2415" s="156" t="inlineStr">
        <is>
          <t>SS26</t>
        </is>
      </c>
      <c r="O2415" s="156" t="inlineStr">
        <is>
          <t>Seasonal</t>
        </is>
      </c>
      <c r="P2415" s="156" t="inlineStr">
        <is>
          <t>Azul</t>
        </is>
      </c>
      <c r="Q2415" s="156" t="inlineStr">
        <is>
          <t>Relajado</t>
        </is>
      </c>
      <c r="R2415" s="156" t="inlineStr">
        <is>
          <t>Bootcut</t>
        </is>
      </c>
      <c r="S2415" s="156" t="inlineStr">
        <is>
          <t>100% algodón</t>
        </is>
      </c>
      <c r="T2415" s="156" t="inlineStr">
        <is>
          <t>Jeans Stetson 1312 Modern Fit; bootcut; 100% algodón.</t>
        </is>
      </c>
      <c r="U2415" s="156" t="n"/>
      <c r="V2415" s="156" t="inlineStr">
        <is>
          <t>PZS</t>
        </is>
      </c>
      <c r="W2415" s="51" t="inlineStr">
        <is>
          <t>53101502</t>
        </is>
      </c>
      <c r="X2415" s="156" t="n"/>
      <c r="Y2415" s="54" t="n"/>
      <c r="Z2415" s="54" t="n"/>
      <c r="AA2415" s="55">
        <f>IF(AND(A2415="", B2415="", E2415=""), "", IF(AB2415="", "Válido", IF((LEN(AB2415)-LEN(SUBSTITUTE(AB2415,"; ","")))/2+1&gt;(LEN(AB2415)-LEN(SUBSTITUTE(AB2415,"[Aviso]","")))/7, "Con Incidencias", "Válido")))</f>
        <v/>
      </c>
      <c r="AB2415" s="56">
        <f>IF(AND(A2415="", B2415="", E2415=""), "", TEXTJOIN("; ", TRUE, IF(OR(TRIM(A2415&amp;"")="", ISNUMBER(SEARCH("FALTA", A2415))), "UPC faltante/inválido", ""), IF(AND(A2415&lt;&gt;"", IFERROR(_xlfn.XMATCH(A2415,$A$2:$A$2509,0,1)&lt;&gt;_xlfn.XMATCH(A2415,$A$2:$A$2509,0,-1),FALSE)), "Código de barras duplicado", ""), IF(AND(E2415&lt;&gt;"", COUNTIF($E$2:$E$2509, E2415)&gt;1), "SKU duplicado", ""), IF(OR(J2415="", J2415=""), "[Aviso] División no capturada ()", IF(ISNA(MATCH(J2415, Criterios!$A$123:$A$126, 0)), "División no válida", "")), IF(OR(K2415="", K2415=""), "[Aviso] Categoría no capturada ()", IF(ISNA(MATCH(K2415, Criterios!$A$81:$A$120, 0)), "Categoría no válida", IF(AND(J2415&lt;&gt;"", J2415&lt;&gt;"", J2415&lt;&gt;VLOOKUP(K2415, Criterios!$A$81:$B$120, 2, FALSE)), "División no coincide con Categoría", ""))), IF(OR(L2415="", L2415=""), "[Aviso] Género no capturado ()", IF(ISNA(MATCH(L2415, Criterios!$B$123:$B$127, 0)), "Género no válido", "")), IF(OR(N2415="", N2415=""), "[Aviso] Temporada no capturada ()", IF(ISNA(MATCH(N2415, Criterios!$C$123:$C$128, 0)), "Temporada no válida", "")), IF(OR(O2415="", O2415=""), "[Aviso] Ciclo de vida no capturado ()", IF(ISNA(MATCH(O2415, Criterios!$D$123:$D$124, 0)), "Ciclo de vida no válido", ""))))</f>
        <v/>
      </c>
      <c r="AC2415" s="56" t="n"/>
      <c r="AD2415" s="51" t="n">
        <v>0</v>
      </c>
      <c r="AE2415" s="156" t="inlineStr">
        <is>
          <t>Sin coincidencia en NetSuite</t>
        </is>
      </c>
      <c r="AF2415" s="51" t="n"/>
      <c r="AG2415" s="156" t="inlineStr">
        <is>
          <t>Catálogo existente</t>
        </is>
      </c>
      <c r="AH2415"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5" s="156" t="n"/>
      <c r="AJ2415" s="156" t="n"/>
      <c r="AK2415" s="155" t="n"/>
      <c r="AL2415" s="58" t="n"/>
      <c r="AM2415" s="58" t="n"/>
      <c r="AN2415" s="155" t="n"/>
      <c r="AO2415" s="59" t="n"/>
      <c r="AP2415" s="59" t="n"/>
      <c r="AQ2415" s="59" t="n"/>
      <c r="AR2415" s="155" t="n"/>
    </row>
    <row r="2416">
      <c r="A2416" s="50" t="inlineStr">
        <is>
          <t>196070377439</t>
        </is>
      </c>
      <c r="B2416" s="51" t="n"/>
      <c r="C2416" s="156" t="inlineStr">
        <is>
          <t>Stetson</t>
        </is>
      </c>
      <c r="D2416" s="156" t="inlineStr">
        <is>
          <t>11-050-0590-0516</t>
        </is>
      </c>
      <c r="E2416" s="156" t="inlineStr">
        <is>
          <t>11-50-590-516 GR-XS</t>
        </is>
      </c>
      <c r="F2416" s="156" t="inlineStr">
        <is>
          <t>XS</t>
        </is>
      </c>
      <c r="G2416" s="156" t="inlineStr">
        <is>
          <t>XS</t>
        </is>
      </c>
      <c r="H2416" s="156" t="inlineStr">
        <is>
          <t>Stetson</t>
        </is>
      </c>
      <c r="I2416" s="156" t="inlineStr">
        <is>
          <t>Blusa Stetson Jade Floral</t>
        </is>
      </c>
      <c r="J2416" s="156" t="inlineStr">
        <is>
          <t>Ropa</t>
        </is>
      </c>
      <c r="K2416" s="156" t="inlineStr">
        <is>
          <t>Camisas</t>
        </is>
      </c>
      <c r="L2416" s="156" t="inlineStr">
        <is>
          <t>Mujer</t>
        </is>
      </c>
      <c r="M2416" s="156" t="inlineStr">
        <is>
          <t>Stetson</t>
        </is>
      </c>
      <c r="N2416" s="156" t="inlineStr">
        <is>
          <t>SS26</t>
        </is>
      </c>
      <c r="O2416" s="156" t="inlineStr">
        <is>
          <t>Seasonal</t>
        </is>
      </c>
      <c r="P2416" s="156" t="inlineStr">
        <is>
          <t>Verde</t>
        </is>
      </c>
      <c r="Q2416" s="156" t="n"/>
      <c r="R2416" s="156" t="n"/>
      <c r="S2416" s="156" t="inlineStr">
        <is>
          <t>100% rayón</t>
        </is>
      </c>
      <c r="T2416" s="156" t="inlineStr">
        <is>
          <t>Blusa Stetson Jade Floral; manga larga; frente con broches; 100% rayón.</t>
        </is>
      </c>
      <c r="U2416" s="156" t="n"/>
      <c r="V2416" s="156" t="inlineStr">
        <is>
          <t>PZS</t>
        </is>
      </c>
      <c r="W2416" s="51" t="inlineStr">
        <is>
          <t>53101604</t>
        </is>
      </c>
      <c r="X2416" s="156" t="n"/>
      <c r="Y2416" s="54" t="n"/>
      <c r="Z2416" s="54" t="n"/>
      <c r="AA2416" s="55">
        <f>IF(AND(A2416="", B2416="", E2416=""), "", IF(AB2416="", "Válido", IF((LEN(AB2416)-LEN(SUBSTITUTE(AB2416,"; ","")))/2+1&gt;(LEN(AB2416)-LEN(SUBSTITUTE(AB2416,"[Aviso]","")))/7, "Con Incidencias", "Válido")))</f>
        <v/>
      </c>
      <c r="AB2416" s="56">
        <f>IF(AND(A2416="", B2416="", E2416=""), "", TEXTJOIN("; ", TRUE, IF(OR(TRIM(A2416&amp;"")="", ISNUMBER(SEARCH("FALTA", A2416))), "UPC faltante/inválido", ""), IF(AND(A2416&lt;&gt;"", IFERROR(_xlfn.XMATCH(A2416,$A$2:$A$2509,0,1)&lt;&gt;_xlfn.XMATCH(A2416,$A$2:$A$2509,0,-1),FALSE)), "Código de barras duplicado", ""), IF(AND(E2416&lt;&gt;"", COUNTIF($E$2:$E$2509, E2416)&gt;1), "SKU duplicado", ""), IF(OR(J2416="", J2416=""), "[Aviso] División no capturada ()", IF(ISNA(MATCH(J2416, Criterios!$A$123:$A$126, 0)), "División no válida", "")), IF(OR(K2416="", K2416=""), "[Aviso] Categoría no capturada ()", IF(ISNA(MATCH(K2416, Criterios!$A$81:$A$120, 0)), "Categoría no válida", IF(AND(J2416&lt;&gt;"", J2416&lt;&gt;"", J2416&lt;&gt;VLOOKUP(K2416, Criterios!$A$81:$B$120, 2, FALSE)), "División no coincide con Categoría", ""))), IF(OR(L2416="", L2416=""), "[Aviso] Género no capturado ()", IF(ISNA(MATCH(L2416, Criterios!$B$123:$B$127, 0)), "Género no válido", "")), IF(OR(N2416="", N2416=""), "[Aviso] Temporada no capturada ()", IF(ISNA(MATCH(N2416, Criterios!$C$123:$C$128, 0)), "Temporada no válida", "")), IF(OR(O2416="", O2416=""), "[Aviso] Ciclo de vida no capturado ()", IF(ISNA(MATCH(O2416, Criterios!$D$123:$D$124, 0)), "Ciclo de vida no válido", ""))))</f>
        <v/>
      </c>
      <c r="AC2416" s="56" t="n"/>
      <c r="AD2416" s="51" t="n">
        <v>0</v>
      </c>
      <c r="AE2416" s="156" t="inlineStr">
        <is>
          <t>Sin coincidencia en NetSuite</t>
        </is>
      </c>
      <c r="AF2416" s="51" t="n"/>
      <c r="AG2416" s="156" t="inlineStr">
        <is>
          <t>Catálogo existente</t>
        </is>
      </c>
      <c r="AH2416" s="156" t="inlineStr">
        <is>
          <t>No se encontró en Hoja a Revisar por ID interno ni por código de barras | Homologación G1522 06/10/2026: WB Silueta: «Manga larga; frente con broches» → «» (Corrección aplicada)</t>
        </is>
      </c>
      <c r="AI2416" s="156" t="n"/>
      <c r="AJ2416" s="156" t="n"/>
      <c r="AK2416" s="155" t="n"/>
      <c r="AL2416" s="58" t="n"/>
      <c r="AM2416" s="58" t="n"/>
      <c r="AN2416" s="155" t="n"/>
      <c r="AO2416" s="59" t="n"/>
      <c r="AP2416" s="59" t="n"/>
      <c r="AQ2416" s="59" t="n"/>
      <c r="AR2416" s="155" t="n"/>
    </row>
    <row r="2417">
      <c r="A2417" s="50" t="inlineStr">
        <is>
          <t>196070377415</t>
        </is>
      </c>
      <c r="B2417" s="51" t="n"/>
      <c r="C2417" s="156" t="inlineStr">
        <is>
          <t>Stetson</t>
        </is>
      </c>
      <c r="D2417" s="156" t="inlineStr">
        <is>
          <t>11-050-0590-0516</t>
        </is>
      </c>
      <c r="E2417" s="156" t="inlineStr">
        <is>
          <t>11-50-590-516 GR-S</t>
        </is>
      </c>
      <c r="F2417" s="156" t="inlineStr">
        <is>
          <t>S</t>
        </is>
      </c>
      <c r="G2417" s="156" t="inlineStr">
        <is>
          <t>S</t>
        </is>
      </c>
      <c r="H2417" s="156" t="inlineStr">
        <is>
          <t>Stetson</t>
        </is>
      </c>
      <c r="I2417" s="156" t="inlineStr">
        <is>
          <t>Blusa Stetson Jade Floral</t>
        </is>
      </c>
      <c r="J2417" s="156" t="inlineStr">
        <is>
          <t>Ropa</t>
        </is>
      </c>
      <c r="K2417" s="156" t="inlineStr">
        <is>
          <t>Camisas</t>
        </is>
      </c>
      <c r="L2417" s="156" t="inlineStr">
        <is>
          <t>Mujer</t>
        </is>
      </c>
      <c r="M2417" s="156" t="inlineStr">
        <is>
          <t>Stetson</t>
        </is>
      </c>
      <c r="N2417" s="156" t="inlineStr">
        <is>
          <t>SS26</t>
        </is>
      </c>
      <c r="O2417" s="156" t="inlineStr">
        <is>
          <t>Seasonal</t>
        </is>
      </c>
      <c r="P2417" s="156" t="inlineStr">
        <is>
          <t>Verde</t>
        </is>
      </c>
      <c r="Q2417" s="156" t="n"/>
      <c r="R2417" s="156" t="n"/>
      <c r="S2417" s="156" t="inlineStr">
        <is>
          <t>100% rayón</t>
        </is>
      </c>
      <c r="T2417" s="156" t="inlineStr">
        <is>
          <t>Blusa Stetson Jade Floral; manga larga; frente con broches; 100% rayón.</t>
        </is>
      </c>
      <c r="U2417" s="156" t="n"/>
      <c r="V2417" s="156" t="inlineStr">
        <is>
          <t>PZS</t>
        </is>
      </c>
      <c r="W2417" s="51" t="inlineStr">
        <is>
          <t>53101604</t>
        </is>
      </c>
      <c r="X2417" s="156" t="n"/>
      <c r="Y2417" s="54" t="n"/>
      <c r="Z2417" s="54" t="n"/>
      <c r="AA2417" s="55">
        <f>IF(AND(A2417="", B2417="", E2417=""), "", IF(AB2417="", "Válido", IF((LEN(AB2417)-LEN(SUBSTITUTE(AB2417,"; ","")))/2+1&gt;(LEN(AB2417)-LEN(SUBSTITUTE(AB2417,"[Aviso]","")))/7, "Con Incidencias", "Válido")))</f>
        <v/>
      </c>
      <c r="AB2417" s="56">
        <f>IF(AND(A2417="", B2417="", E2417=""), "", TEXTJOIN("; ", TRUE, IF(OR(TRIM(A2417&amp;"")="", ISNUMBER(SEARCH("FALTA", A2417))), "UPC faltante/inválido", ""), IF(AND(A2417&lt;&gt;"", IFERROR(_xlfn.XMATCH(A2417,$A$2:$A$2509,0,1)&lt;&gt;_xlfn.XMATCH(A2417,$A$2:$A$2509,0,-1),FALSE)), "Código de barras duplicado", ""), IF(AND(E2417&lt;&gt;"", COUNTIF($E$2:$E$2509, E2417)&gt;1), "SKU duplicado", ""), IF(OR(J2417="", J2417=""), "[Aviso] División no capturada ()", IF(ISNA(MATCH(J2417, Criterios!$A$123:$A$126, 0)), "División no válida", "")), IF(OR(K2417="", K2417=""), "[Aviso] Categoría no capturada ()", IF(ISNA(MATCH(K2417, Criterios!$A$81:$A$120, 0)), "Categoría no válida", IF(AND(J2417&lt;&gt;"", J2417&lt;&gt;"", J2417&lt;&gt;VLOOKUP(K2417, Criterios!$A$81:$B$120, 2, FALSE)), "División no coincide con Categoría", ""))), IF(OR(L2417="", L2417=""), "[Aviso] Género no capturado ()", IF(ISNA(MATCH(L2417, Criterios!$B$123:$B$127, 0)), "Género no válido", "")), IF(OR(N2417="", N2417=""), "[Aviso] Temporada no capturada ()", IF(ISNA(MATCH(N2417, Criterios!$C$123:$C$128, 0)), "Temporada no válida", "")), IF(OR(O2417="", O2417=""), "[Aviso] Ciclo de vida no capturado ()", IF(ISNA(MATCH(O2417, Criterios!$D$123:$D$124, 0)), "Ciclo de vida no válido", ""))))</f>
        <v/>
      </c>
      <c r="AC2417" s="56" t="n"/>
      <c r="AD2417" s="51" t="n">
        <v>0</v>
      </c>
      <c r="AE2417" s="156" t="inlineStr">
        <is>
          <t>Sin coincidencia en NetSuite</t>
        </is>
      </c>
      <c r="AF2417" s="51" t="n"/>
      <c r="AG2417" s="156" t="inlineStr">
        <is>
          <t>Catálogo existente</t>
        </is>
      </c>
      <c r="AH2417" s="156" t="inlineStr">
        <is>
          <t>No se encontró en Hoja a Revisar por ID interno ni por código de barras | Homologación G1522 06/10/2026: WB Silueta: «Manga larga; frente con broches» → «» (Corrección aplicada)</t>
        </is>
      </c>
      <c r="AI2417" s="156" t="n"/>
      <c r="AJ2417" s="156" t="n"/>
      <c r="AK2417" s="155" t="n"/>
      <c r="AL2417" s="58" t="n"/>
      <c r="AM2417" s="58" t="n"/>
      <c r="AN2417" s="155" t="n"/>
      <c r="AO2417" s="59" t="n"/>
      <c r="AP2417" s="59" t="n"/>
      <c r="AQ2417" s="59" t="n"/>
      <c r="AR2417" s="155" t="n"/>
    </row>
    <row r="2418">
      <c r="A2418" s="50" t="inlineStr">
        <is>
          <t>196070377408</t>
        </is>
      </c>
      <c r="B2418" s="51" t="n"/>
      <c r="C2418" s="156" t="inlineStr">
        <is>
          <t>Stetson</t>
        </is>
      </c>
      <c r="D2418" s="156" t="inlineStr">
        <is>
          <t>11-050-0590-0516</t>
        </is>
      </c>
      <c r="E2418" s="156" t="inlineStr">
        <is>
          <t>11-50-590-516 GR-M</t>
        </is>
      </c>
      <c r="F2418" s="156" t="inlineStr">
        <is>
          <t>M</t>
        </is>
      </c>
      <c r="G2418" s="156" t="inlineStr">
        <is>
          <t>M</t>
        </is>
      </c>
      <c r="H2418" s="156" t="inlineStr">
        <is>
          <t>Stetson</t>
        </is>
      </c>
      <c r="I2418" s="156" t="inlineStr">
        <is>
          <t>Blusa Stetson Jade Floral</t>
        </is>
      </c>
      <c r="J2418" s="156" t="inlineStr">
        <is>
          <t>Ropa</t>
        </is>
      </c>
      <c r="K2418" s="156" t="inlineStr">
        <is>
          <t>Camisas</t>
        </is>
      </c>
      <c r="L2418" s="156" t="inlineStr">
        <is>
          <t>Mujer</t>
        </is>
      </c>
      <c r="M2418" s="156" t="inlineStr">
        <is>
          <t>Stetson</t>
        </is>
      </c>
      <c r="N2418" s="156" t="inlineStr">
        <is>
          <t>SS26</t>
        </is>
      </c>
      <c r="O2418" s="156" t="inlineStr">
        <is>
          <t>Seasonal</t>
        </is>
      </c>
      <c r="P2418" s="156" t="inlineStr">
        <is>
          <t>Verde</t>
        </is>
      </c>
      <c r="Q2418" s="156" t="n"/>
      <c r="R2418" s="156" t="n"/>
      <c r="S2418" s="156" t="inlineStr">
        <is>
          <t>100% rayón</t>
        </is>
      </c>
      <c r="T2418" s="156" t="inlineStr">
        <is>
          <t>Blusa Stetson Jade Floral; manga larga; frente con broches; 100% rayón.</t>
        </is>
      </c>
      <c r="U2418" s="156" t="n"/>
      <c r="V2418" s="156" t="inlineStr">
        <is>
          <t>PZS</t>
        </is>
      </c>
      <c r="W2418" s="51" t="inlineStr">
        <is>
          <t>53101604</t>
        </is>
      </c>
      <c r="X2418" s="156" t="n"/>
      <c r="Y2418" s="54" t="n"/>
      <c r="Z2418" s="54" t="n"/>
      <c r="AA2418" s="55">
        <f>IF(AND(A2418="", B2418="", E2418=""), "", IF(AB2418="", "Válido", IF((LEN(AB2418)-LEN(SUBSTITUTE(AB2418,"; ","")))/2+1&gt;(LEN(AB2418)-LEN(SUBSTITUTE(AB2418,"[Aviso]","")))/7, "Con Incidencias", "Válido")))</f>
        <v/>
      </c>
      <c r="AB2418" s="56">
        <f>IF(AND(A2418="", B2418="", E2418=""), "", TEXTJOIN("; ", TRUE, IF(OR(TRIM(A2418&amp;"")="", ISNUMBER(SEARCH("FALTA", A2418))), "UPC faltante/inválido", ""), IF(AND(A2418&lt;&gt;"", IFERROR(_xlfn.XMATCH(A2418,$A$2:$A$2509,0,1)&lt;&gt;_xlfn.XMATCH(A2418,$A$2:$A$2509,0,-1),FALSE)), "Código de barras duplicado", ""), IF(AND(E2418&lt;&gt;"", COUNTIF($E$2:$E$2509, E2418)&gt;1), "SKU duplicado", ""), IF(OR(J2418="", J2418=""), "[Aviso] División no capturada ()", IF(ISNA(MATCH(J2418, Criterios!$A$123:$A$126, 0)), "División no válida", "")), IF(OR(K2418="", K2418=""), "[Aviso] Categoría no capturada ()", IF(ISNA(MATCH(K2418, Criterios!$A$81:$A$120, 0)), "Categoría no válida", IF(AND(J2418&lt;&gt;"", J2418&lt;&gt;"", J2418&lt;&gt;VLOOKUP(K2418, Criterios!$A$81:$B$120, 2, FALSE)), "División no coincide con Categoría", ""))), IF(OR(L2418="", L2418=""), "[Aviso] Género no capturado ()", IF(ISNA(MATCH(L2418, Criterios!$B$123:$B$127, 0)), "Género no válido", "")), IF(OR(N2418="", N2418=""), "[Aviso] Temporada no capturada ()", IF(ISNA(MATCH(N2418, Criterios!$C$123:$C$128, 0)), "Temporada no válida", "")), IF(OR(O2418="", O2418=""), "[Aviso] Ciclo de vida no capturado ()", IF(ISNA(MATCH(O2418, Criterios!$D$123:$D$124, 0)), "Ciclo de vida no válido", ""))))</f>
        <v/>
      </c>
      <c r="AC2418" s="56" t="n"/>
      <c r="AD2418" s="51" t="n">
        <v>0</v>
      </c>
      <c r="AE2418" s="156" t="inlineStr">
        <is>
          <t>Sin coincidencia en NetSuite</t>
        </is>
      </c>
      <c r="AF2418" s="51" t="n"/>
      <c r="AG2418" s="156" t="inlineStr">
        <is>
          <t>Catálogo existente</t>
        </is>
      </c>
      <c r="AH2418" s="156" t="inlineStr">
        <is>
          <t>No se encontró en Hoja a Revisar por ID interno ni por código de barras | Homologación G1522 06/10/2026: WB Silueta: «Manga larga; frente con broches» → «» (Corrección aplicada)</t>
        </is>
      </c>
      <c r="AI2418" s="156" t="n"/>
      <c r="AJ2418" s="156" t="n"/>
      <c r="AK2418" s="155" t="n"/>
      <c r="AL2418" s="58" t="n"/>
      <c r="AM2418" s="58" t="n"/>
      <c r="AN2418" s="155" t="n"/>
      <c r="AO2418" s="59" t="n"/>
      <c r="AP2418" s="59" t="n"/>
      <c r="AQ2418" s="59" t="n"/>
      <c r="AR2418" s="155" t="n"/>
    </row>
    <row r="2419">
      <c r="A2419" s="50" t="inlineStr">
        <is>
          <t>196070377392</t>
        </is>
      </c>
      <c r="B2419" s="51" t="n"/>
      <c r="C2419" s="156" t="inlineStr">
        <is>
          <t>Stetson</t>
        </is>
      </c>
      <c r="D2419" s="156" t="inlineStr">
        <is>
          <t>11-050-0590-0516</t>
        </is>
      </c>
      <c r="E2419" s="156" t="inlineStr">
        <is>
          <t>11-50-590-516 GR-L</t>
        </is>
      </c>
      <c r="F2419" s="156" t="inlineStr">
        <is>
          <t>L</t>
        </is>
      </c>
      <c r="G2419" s="156" t="inlineStr">
        <is>
          <t>L</t>
        </is>
      </c>
      <c r="H2419" s="156" t="inlineStr">
        <is>
          <t>Stetson</t>
        </is>
      </c>
      <c r="I2419" s="156" t="inlineStr">
        <is>
          <t>Blusa Stetson Jade Floral</t>
        </is>
      </c>
      <c r="J2419" s="156" t="inlineStr">
        <is>
          <t>Ropa</t>
        </is>
      </c>
      <c r="K2419" s="156" t="inlineStr">
        <is>
          <t>Camisas</t>
        </is>
      </c>
      <c r="L2419" s="156" t="inlineStr">
        <is>
          <t>Mujer</t>
        </is>
      </c>
      <c r="M2419" s="156" t="inlineStr">
        <is>
          <t>Stetson</t>
        </is>
      </c>
      <c r="N2419" s="156" t="inlineStr">
        <is>
          <t>SS26</t>
        </is>
      </c>
      <c r="O2419" s="156" t="inlineStr">
        <is>
          <t>Seasonal</t>
        </is>
      </c>
      <c r="P2419" s="156" t="inlineStr">
        <is>
          <t>Verde</t>
        </is>
      </c>
      <c r="Q2419" s="156" t="n"/>
      <c r="R2419" s="156" t="n"/>
      <c r="S2419" s="156" t="inlineStr">
        <is>
          <t>100% rayón</t>
        </is>
      </c>
      <c r="T2419" s="156" t="inlineStr">
        <is>
          <t>Blusa Stetson Jade Floral; manga larga; frente con broches; 100% rayón.</t>
        </is>
      </c>
      <c r="U2419" s="156" t="n"/>
      <c r="V2419" s="156" t="inlineStr">
        <is>
          <t>PZS</t>
        </is>
      </c>
      <c r="W2419" s="51" t="inlineStr">
        <is>
          <t>53101604</t>
        </is>
      </c>
      <c r="X2419" s="156" t="n"/>
      <c r="Y2419" s="54" t="n"/>
      <c r="Z2419" s="54" t="n"/>
      <c r="AA2419" s="55">
        <f>IF(AND(A2419="", B2419="", E2419=""), "", IF(AB2419="", "Válido", IF((LEN(AB2419)-LEN(SUBSTITUTE(AB2419,"; ","")))/2+1&gt;(LEN(AB2419)-LEN(SUBSTITUTE(AB2419,"[Aviso]","")))/7, "Con Incidencias", "Válido")))</f>
        <v/>
      </c>
      <c r="AB2419" s="56">
        <f>IF(AND(A2419="", B2419="", E2419=""), "", TEXTJOIN("; ", TRUE, IF(OR(TRIM(A2419&amp;"")="", ISNUMBER(SEARCH("FALTA", A2419))), "UPC faltante/inválido", ""), IF(AND(A2419&lt;&gt;"", IFERROR(_xlfn.XMATCH(A2419,$A$2:$A$2509,0,1)&lt;&gt;_xlfn.XMATCH(A2419,$A$2:$A$2509,0,-1),FALSE)), "Código de barras duplicado", ""), IF(AND(E2419&lt;&gt;"", COUNTIF($E$2:$E$2509, E2419)&gt;1), "SKU duplicado", ""), IF(OR(J2419="", J2419=""), "[Aviso] División no capturada ()", IF(ISNA(MATCH(J2419, Criterios!$A$123:$A$126, 0)), "División no válida", "")), IF(OR(K2419="", K2419=""), "[Aviso] Categoría no capturada ()", IF(ISNA(MATCH(K2419, Criterios!$A$81:$A$120, 0)), "Categoría no válida", IF(AND(J2419&lt;&gt;"", J2419&lt;&gt;"", J2419&lt;&gt;VLOOKUP(K2419, Criterios!$A$81:$B$120, 2, FALSE)), "División no coincide con Categoría", ""))), IF(OR(L2419="", L2419=""), "[Aviso] Género no capturado ()", IF(ISNA(MATCH(L2419, Criterios!$B$123:$B$127, 0)), "Género no válido", "")), IF(OR(N2419="", N2419=""), "[Aviso] Temporada no capturada ()", IF(ISNA(MATCH(N2419, Criterios!$C$123:$C$128, 0)), "Temporada no válida", "")), IF(OR(O2419="", O2419=""), "[Aviso] Ciclo de vida no capturado ()", IF(ISNA(MATCH(O2419, Criterios!$D$123:$D$124, 0)), "Ciclo de vida no válido", ""))))</f>
        <v/>
      </c>
      <c r="AC2419" s="56" t="n"/>
      <c r="AD2419" s="51" t="n">
        <v>0</v>
      </c>
      <c r="AE2419" s="156" t="inlineStr">
        <is>
          <t>Sin coincidencia en NetSuite</t>
        </is>
      </c>
      <c r="AF2419" s="51" t="n"/>
      <c r="AG2419" s="156" t="inlineStr">
        <is>
          <t>Catálogo existente</t>
        </is>
      </c>
      <c r="AH2419" s="156" t="inlineStr">
        <is>
          <t>No se encontró en Hoja a Revisar por ID interno ni por código de barras | Homologación G1522 06/10/2026: WB Silueta: «Manga larga; frente con broches» → «» (Corrección aplicada)</t>
        </is>
      </c>
      <c r="AI2419" s="156" t="n"/>
      <c r="AJ2419" s="156" t="n"/>
      <c r="AK2419" s="155" t="n"/>
      <c r="AL2419" s="58" t="n"/>
      <c r="AM2419" s="58" t="n"/>
      <c r="AN2419" s="155" t="n"/>
      <c r="AO2419" s="59" t="n"/>
      <c r="AP2419" s="59" t="n"/>
      <c r="AQ2419" s="59" t="n"/>
      <c r="AR2419" s="155" t="n"/>
    </row>
    <row r="2420">
      <c r="A2420" s="50" t="inlineStr">
        <is>
          <t>884426339018</t>
        </is>
      </c>
      <c r="B2420" s="51" t="n"/>
      <c r="C2420" s="156" t="inlineStr">
        <is>
          <t>Stetson</t>
        </is>
      </c>
      <c r="D2420" s="156" t="inlineStr">
        <is>
          <t>11-057-0565-6061</t>
        </is>
      </c>
      <c r="E2420" s="156" t="inlineStr">
        <is>
          <t>11-057-0565-6061 BU-XS</t>
        </is>
      </c>
      <c r="F2420" s="156" t="inlineStr">
        <is>
          <t>XS</t>
        </is>
      </c>
      <c r="G2420" s="156" t="inlineStr">
        <is>
          <t>XS</t>
        </is>
      </c>
      <c r="H2420" s="156" t="inlineStr">
        <is>
          <t>Stetson</t>
        </is>
      </c>
      <c r="I2420" s="156" t="inlineStr">
        <is>
          <t>Vestido Stetson de mezclilla</t>
        </is>
      </c>
      <c r="J2420" s="156" t="inlineStr">
        <is>
          <t>Ropa</t>
        </is>
      </c>
      <c r="K2420" s="156" t="inlineStr">
        <is>
          <t>Vestidos</t>
        </is>
      </c>
      <c r="L2420" s="156" t="inlineStr">
        <is>
          <t>Mujer</t>
        </is>
      </c>
      <c r="M2420" s="156" t="inlineStr">
        <is>
          <t>Stetson</t>
        </is>
      </c>
      <c r="N2420" s="156" t="inlineStr">
        <is>
          <t>SS26</t>
        </is>
      </c>
      <c r="O2420" s="156" t="inlineStr">
        <is>
          <t>Seasonal</t>
        </is>
      </c>
      <c r="P2420" s="156" t="inlineStr">
        <is>
          <t>Azul</t>
        </is>
      </c>
      <c r="Q2420" s="156" t="n"/>
      <c r="R2420" s="156" t="n"/>
      <c r="S2420" s="156" t="n"/>
      <c r="T2420" s="156" t="inlineStr">
        <is>
          <t>Vestido Stetson de mezclilla.</t>
        </is>
      </c>
      <c r="U2420" s="156" t="n"/>
      <c r="V2420" s="156" t="inlineStr">
        <is>
          <t>PZS</t>
        </is>
      </c>
      <c r="W2420" s="51" t="inlineStr">
        <is>
          <t>53102000</t>
        </is>
      </c>
      <c r="X2420" s="156" t="n"/>
      <c r="Y2420" s="54" t="n"/>
      <c r="Z2420" s="54" t="n"/>
      <c r="AA2420" s="55">
        <f>IF(AND(A2420="", B2420="", E2420=""), "", IF(AB2420="", "Válido", IF((LEN(AB2420)-LEN(SUBSTITUTE(AB2420,"; ","")))/2+1&gt;(LEN(AB2420)-LEN(SUBSTITUTE(AB2420,"[Aviso]","")))/7, "Con Incidencias", "Válido")))</f>
        <v/>
      </c>
      <c r="AB2420" s="56">
        <f>IF(AND(A2420="", B2420="", E2420=""), "", TEXTJOIN("; ", TRUE, IF(OR(TRIM(A2420&amp;"")="", ISNUMBER(SEARCH("FALTA", A2420))), "UPC faltante/inválido", ""), IF(AND(A2420&lt;&gt;"", IFERROR(_xlfn.XMATCH(A2420,$A$2:$A$2509,0,1)&lt;&gt;_xlfn.XMATCH(A2420,$A$2:$A$2509,0,-1),FALSE)), "Código de barras duplicado", ""), IF(AND(E2420&lt;&gt;"", COUNTIF($E$2:$E$2509, E2420)&gt;1), "SKU duplicado", ""), IF(OR(J2420="", J2420=""), "[Aviso] División no capturada ()", IF(ISNA(MATCH(J2420, Criterios!$A$123:$A$126, 0)), "División no válida", "")), IF(OR(K2420="", K2420=""), "[Aviso] Categoría no capturada ()", IF(ISNA(MATCH(K2420, Criterios!$A$81:$A$120, 0)), "Categoría no válida", IF(AND(J2420&lt;&gt;"", J2420&lt;&gt;"", J2420&lt;&gt;VLOOKUP(K2420, Criterios!$A$81:$B$120, 2, FALSE)), "División no coincide con Categoría", ""))), IF(OR(L2420="", L2420=""), "[Aviso] Género no capturado ()", IF(ISNA(MATCH(L2420, Criterios!$B$123:$B$127, 0)), "Género no válido", "")), IF(OR(N2420="", N2420=""), "[Aviso] Temporada no capturada ()", IF(ISNA(MATCH(N2420, Criterios!$C$123:$C$128, 0)), "Temporada no válida", "")), IF(OR(O2420="", O2420=""), "[Aviso] Ciclo de vida no capturado ()", IF(ISNA(MATCH(O2420, Criterios!$D$123:$D$124, 0)), "Ciclo de vida no válido", ""))))</f>
        <v/>
      </c>
      <c r="AC2420" s="56" t="n"/>
      <c r="AD2420" s="51" t="n">
        <v>0</v>
      </c>
      <c r="AE2420" s="156" t="inlineStr">
        <is>
          <t>Sin coincidencia en NetSuite</t>
        </is>
      </c>
      <c r="AF2420" s="51" t="n"/>
      <c r="AG2420" s="156" t="inlineStr">
        <is>
          <t>Catálogo existente</t>
        </is>
      </c>
      <c r="AH2420" s="156" t="inlineStr">
        <is>
          <t>No se encontró en Hoja a Revisar por ID interno ni por código de barras</t>
        </is>
      </c>
      <c r="AI2420" s="156" t="n"/>
      <c r="AJ2420" s="156" t="n"/>
      <c r="AK2420" s="155" t="n"/>
      <c r="AL2420" s="58" t="n"/>
      <c r="AM2420" s="58" t="n"/>
      <c r="AN2420" s="155" t="n"/>
      <c r="AO2420" s="59" t="n"/>
      <c r="AP2420" s="59" t="n"/>
      <c r="AQ2420" s="59" t="n"/>
      <c r="AR2420" s="155" t="n"/>
    </row>
    <row r="2421">
      <c r="A2421" s="50" t="inlineStr">
        <is>
          <t>196070616989</t>
        </is>
      </c>
      <c r="B2421" s="51" t="n"/>
      <c r="C2421" s="156" t="inlineStr">
        <is>
          <t>Stetson</t>
        </is>
      </c>
      <c r="D2421" s="156" t="inlineStr">
        <is>
          <t>11-002-0526-5019</t>
        </is>
      </c>
      <c r="E2421" s="156" t="inlineStr">
        <is>
          <t>11-002-0526-5019 BU-S</t>
        </is>
      </c>
      <c r="F2421" s="156" t="inlineStr">
        <is>
          <t>S</t>
        </is>
      </c>
      <c r="G2421" s="156" t="inlineStr">
        <is>
          <t>S</t>
        </is>
      </c>
      <c r="H2421" s="156" t="inlineStr">
        <is>
          <t>Stetson</t>
        </is>
      </c>
      <c r="I2421" s="156" t="inlineStr">
        <is>
          <t>Camisa Stetson Diamond Neat de manga corta</t>
        </is>
      </c>
      <c r="J2421" s="156" t="inlineStr">
        <is>
          <t>Ropa</t>
        </is>
      </c>
      <c r="K2421" s="156" t="inlineStr">
        <is>
          <t>Camisas</t>
        </is>
      </c>
      <c r="L2421" s="156" t="inlineStr">
        <is>
          <t>Hombre</t>
        </is>
      </c>
      <c r="M2421" s="156" t="inlineStr">
        <is>
          <t>Stetson</t>
        </is>
      </c>
      <c r="N2421" s="156" t="inlineStr">
        <is>
          <t>SS26</t>
        </is>
      </c>
      <c r="O2421" s="156" t="inlineStr">
        <is>
          <t>Seasonal</t>
        </is>
      </c>
      <c r="P2421" s="156" t="inlineStr">
        <is>
          <t>Azul</t>
        </is>
      </c>
      <c r="Q2421" s="156" t="n"/>
      <c r="R2421" s="156" t="n"/>
      <c r="S2421" s="156" t="inlineStr">
        <is>
          <t>100% algodón</t>
        </is>
      </c>
      <c r="T2421" s="156" t="inlineStr">
        <is>
          <t>Camisa Stetson Diamond Neat de manga corta; manga corta; frente con botones; 100% algodón.</t>
        </is>
      </c>
      <c r="U2421" s="156" t="n"/>
      <c r="V2421" s="156" t="inlineStr">
        <is>
          <t>PZS</t>
        </is>
      </c>
      <c r="W2421" s="51" t="inlineStr">
        <is>
          <t>53101602</t>
        </is>
      </c>
      <c r="X2421" s="156" t="n"/>
      <c r="Y2421" s="54" t="n"/>
      <c r="Z2421" s="54" t="n"/>
      <c r="AA2421" s="55">
        <f>IF(AND(A2421="", B2421="", E2421=""), "", IF(AB2421="", "Válido", IF((LEN(AB2421)-LEN(SUBSTITUTE(AB2421,"; ","")))/2+1&gt;(LEN(AB2421)-LEN(SUBSTITUTE(AB2421,"[Aviso]","")))/7, "Con Incidencias", "Válido")))</f>
        <v/>
      </c>
      <c r="AB2421" s="56">
        <f>IF(AND(A2421="", B2421="", E2421=""), "", TEXTJOIN("; ", TRUE, IF(OR(TRIM(A2421&amp;"")="", ISNUMBER(SEARCH("FALTA", A2421))), "UPC faltante/inválido", ""), IF(AND(A2421&lt;&gt;"", IFERROR(_xlfn.XMATCH(A2421,$A$2:$A$2509,0,1)&lt;&gt;_xlfn.XMATCH(A2421,$A$2:$A$2509,0,-1),FALSE)), "Código de barras duplicado", ""), IF(AND(E2421&lt;&gt;"", COUNTIF($E$2:$E$2509, E2421)&gt;1), "SKU duplicado", ""), IF(OR(J2421="", J2421=""), "[Aviso] División no capturada ()", IF(ISNA(MATCH(J2421, Criterios!$A$123:$A$126, 0)), "División no válida", "")), IF(OR(K2421="", K2421=""), "[Aviso] Categoría no capturada ()", IF(ISNA(MATCH(K2421, Criterios!$A$81:$A$120, 0)), "Categoría no válida", IF(AND(J2421&lt;&gt;"", J2421&lt;&gt;"", J2421&lt;&gt;VLOOKUP(K2421, Criterios!$A$81:$B$120, 2, FALSE)), "División no coincide con Categoría", ""))), IF(OR(L2421="", L2421=""), "[Aviso] Género no capturado ()", IF(ISNA(MATCH(L2421, Criterios!$B$123:$B$127, 0)), "Género no válido", "")), IF(OR(N2421="", N2421=""), "[Aviso] Temporada no capturada ()", IF(ISNA(MATCH(N2421, Criterios!$C$123:$C$128, 0)), "Temporada no válida", "")), IF(OR(O2421="", O2421=""), "[Aviso] Ciclo de vida no capturado ()", IF(ISNA(MATCH(O2421, Criterios!$D$123:$D$124, 0)), "Ciclo de vida no válido", ""))))</f>
        <v/>
      </c>
      <c r="AC2421" s="56" t="n"/>
      <c r="AD2421" s="51" t="n">
        <v>0</v>
      </c>
      <c r="AE2421" s="156" t="inlineStr">
        <is>
          <t>Sin coincidencia en NetSuite</t>
        </is>
      </c>
      <c r="AF2421" s="51" t="n"/>
      <c r="AG2421" s="156" t="inlineStr">
        <is>
          <t>Catálogo existente</t>
        </is>
      </c>
      <c r="AH2421" s="156" t="inlineStr">
        <is>
          <t>No se encontró en Hoja a Revisar por ID interno ni por código de barras | Homologación G1522 06/10/2026: WB Silueta: «Manga corta; frente con botones» → «» (Corrección aplicada)</t>
        </is>
      </c>
      <c r="AI2421" s="156" t="n"/>
      <c r="AJ2421" s="156" t="n"/>
      <c r="AK2421" s="155" t="n"/>
      <c r="AL2421" s="58" t="n"/>
      <c r="AM2421" s="58" t="n"/>
      <c r="AN2421" s="155" t="n"/>
      <c r="AO2421" s="59" t="n"/>
      <c r="AP2421" s="59" t="n"/>
      <c r="AQ2421" s="59" t="n"/>
      <c r="AR2421" s="155" t="n"/>
    </row>
    <row r="2422">
      <c r="A2422" s="50" t="inlineStr">
        <is>
          <t>724303742640</t>
        </is>
      </c>
      <c r="B2422" s="51" t="n"/>
      <c r="C2422" s="156" t="inlineStr">
        <is>
          <t>Stetson</t>
        </is>
      </c>
      <c r="D2422" s="156" t="inlineStr">
        <is>
          <t>9915500</t>
        </is>
      </c>
      <c r="E2422" s="156" t="inlineStr">
        <is>
          <t>9915500-BK-38</t>
        </is>
      </c>
      <c r="F2422" s="156" t="inlineStr">
        <is>
          <t>38</t>
        </is>
      </c>
      <c r="G2422" s="156" t="inlineStr">
        <is>
          <t>38</t>
        </is>
      </c>
      <c r="H2422" s="156" t="inlineStr">
        <is>
          <t>Stetson</t>
        </is>
      </c>
      <c r="I2422" s="156" t="inlineStr">
        <is>
          <t>Cinturón Stetson de bisonte con conchos</t>
        </is>
      </c>
      <c r="J2422" s="156" t="inlineStr">
        <is>
          <t>Accesorios</t>
        </is>
      </c>
      <c r="K2422" s="156" t="inlineStr">
        <is>
          <t>Cinturones</t>
        </is>
      </c>
      <c r="L2422" s="156" t="inlineStr">
        <is>
          <t>Hombre</t>
        </is>
      </c>
      <c r="M2422" s="156" t="inlineStr">
        <is>
          <t>Stetson</t>
        </is>
      </c>
      <c r="N2422" s="156" t="n"/>
      <c r="O2422" s="156" t="n"/>
      <c r="P2422" s="156" t="inlineStr">
        <is>
          <t>Negro</t>
        </is>
      </c>
      <c r="Q2422" s="156" t="n"/>
      <c r="R2422" s="156" t="n"/>
      <c r="S2422" s="156" t="inlineStr">
        <is>
          <t>Piel genuina de bisonte americano</t>
        </is>
      </c>
      <c r="T2422" s="156" t="inlineStr">
        <is>
          <t>Cinturón Stetson de bisonte con conchos; correa de 38 mm; piel genuina de bisonte americano.</t>
        </is>
      </c>
      <c r="U2422" s="156" t="n"/>
      <c r="V2422" s="156" t="inlineStr">
        <is>
          <t>PZS</t>
        </is>
      </c>
      <c r="W2422" s="51" t="inlineStr">
        <is>
          <t>53102501</t>
        </is>
      </c>
      <c r="X2422" s="156" t="inlineStr">
        <is>
          <t>https://cdn.shopify.com/s/files/1/0357/2432/9005/files/9915500-001_Black_1.jpg?v=1743573266</t>
        </is>
      </c>
      <c r="Y2422" s="54" t="n"/>
      <c r="Z2422" s="54" t="n"/>
      <c r="AA2422" s="55">
        <f>IF(AND(A2422="", B2422="", E2422=""), "", IF(AB2422="", "Válido", IF((LEN(AB2422)-LEN(SUBSTITUTE(AB2422,"; ","")))/2+1&gt;(LEN(AB2422)-LEN(SUBSTITUTE(AB2422,"[Aviso]","")))/7, "Con Incidencias", "Válido")))</f>
        <v/>
      </c>
      <c r="AB2422" s="56">
        <f>IF(AND(A2422="", B2422="", E2422=""), "", TEXTJOIN("; ", TRUE, IF(OR(TRIM(A2422&amp;"")="", ISNUMBER(SEARCH("FALTA", A2422))), "UPC faltante/inválido", ""), IF(AND(A2422&lt;&gt;"", IFERROR(_xlfn.XMATCH(A2422,$A$2:$A$2509,0,1)&lt;&gt;_xlfn.XMATCH(A2422,$A$2:$A$2509,0,-1),FALSE)), "Código de barras duplicado", ""), IF(AND(E2422&lt;&gt;"", COUNTIF($E$2:$E$2509, E2422)&gt;1), "SKU duplicado", ""), IF(OR(J2422="", J2422=""), "[Aviso] División no capturada ()", IF(ISNA(MATCH(J2422, Criterios!$A$123:$A$126, 0)), "División no válida", "")), IF(OR(K2422="", K2422=""), "[Aviso] Categoría no capturada ()", IF(ISNA(MATCH(K2422, Criterios!$A$81:$A$120, 0)), "Categoría no válida", IF(AND(J2422&lt;&gt;"", J2422&lt;&gt;"", J2422&lt;&gt;VLOOKUP(K2422, Criterios!$A$81:$B$120, 2, FALSE)), "División no coincide con Categoría", ""))), IF(OR(L2422="", L2422=""), "[Aviso] Género no capturado ()", IF(ISNA(MATCH(L2422, Criterios!$B$123:$B$127, 0)), "Género no válido", "")), IF(OR(N2422="", N2422=""), "[Aviso] Temporada no capturada ()", IF(ISNA(MATCH(N2422, Criterios!$C$123:$C$128, 0)), "Temporada no válida", "")), IF(OR(O2422="", O2422=""), "[Aviso] Ciclo de vida no capturado ()", IF(ISNA(MATCH(O2422, Criterios!$D$123:$D$124, 0)), "Ciclo de vida no válido", ""))))</f>
        <v/>
      </c>
      <c r="AC2422" s="56" t="n"/>
      <c r="AD2422" s="51" t="n">
        <v>0</v>
      </c>
      <c r="AE2422" s="156" t="inlineStr">
        <is>
          <t>Sin coincidencia en NetSuite</t>
        </is>
      </c>
      <c r="AF2422" s="51" t="n"/>
      <c r="AG2422" s="156" t="inlineStr">
        <is>
          <t>Catálogo existente</t>
        </is>
      </c>
      <c r="AH2422" s="156" t="inlineStr">
        <is>
          <t>No se encontró en Hoja a Revisar por ID interno ni por código de barras | Homologación G1522 06/10/2026: Unidad: «Pieza» → «PZS» (Corrección aplicada) · WB Silueta: «Correa de 38 mm» → «» (Corrección aplicada)</t>
        </is>
      </c>
      <c r="AI2422" s="156" t="n"/>
      <c r="AJ2422" s="156" t="n"/>
      <c r="AK2422" s="155" t="n"/>
      <c r="AL2422" s="58" t="n"/>
      <c r="AM2422" s="58" t="n"/>
      <c r="AN2422" s="155" t="n"/>
      <c r="AO2422" s="59" t="n"/>
      <c r="AP2422" s="59" t="n"/>
      <c r="AQ2422" s="59" t="n"/>
      <c r="AR2422" s="155" t="n"/>
    </row>
    <row r="2423">
      <c r="A2423" s="50" t="inlineStr">
        <is>
          <t>724303742657</t>
        </is>
      </c>
      <c r="B2423" s="51" t="n"/>
      <c r="C2423" s="156" t="inlineStr">
        <is>
          <t>Stetson</t>
        </is>
      </c>
      <c r="D2423" s="156" t="inlineStr">
        <is>
          <t>9915500</t>
        </is>
      </c>
      <c r="E2423" s="156" t="inlineStr">
        <is>
          <t>9915500-BK-40</t>
        </is>
      </c>
      <c r="F2423" s="156" t="inlineStr">
        <is>
          <t>40</t>
        </is>
      </c>
      <c r="G2423" s="156" t="inlineStr">
        <is>
          <t>40</t>
        </is>
      </c>
      <c r="H2423" s="156" t="inlineStr">
        <is>
          <t>Stetson</t>
        </is>
      </c>
      <c r="I2423" s="156" t="inlineStr">
        <is>
          <t>Cinturón Stetson de bisonte con conchos</t>
        </is>
      </c>
      <c r="J2423" s="156" t="inlineStr">
        <is>
          <t>Accesorios</t>
        </is>
      </c>
      <c r="K2423" s="156" t="inlineStr">
        <is>
          <t>Cinturones</t>
        </is>
      </c>
      <c r="L2423" s="156" t="inlineStr">
        <is>
          <t>Hombre</t>
        </is>
      </c>
      <c r="M2423" s="156" t="inlineStr">
        <is>
          <t>Stetson</t>
        </is>
      </c>
      <c r="N2423" s="156" t="n"/>
      <c r="O2423" s="156" t="n"/>
      <c r="P2423" s="156" t="inlineStr">
        <is>
          <t>Negro</t>
        </is>
      </c>
      <c r="Q2423" s="156" t="n"/>
      <c r="R2423" s="156" t="n"/>
      <c r="S2423" s="156" t="inlineStr">
        <is>
          <t>Piel genuina de bisonte americano</t>
        </is>
      </c>
      <c r="T2423" s="156" t="inlineStr">
        <is>
          <t>Cinturón Stetson de bisonte con conchos; correa de 38 mm; piel genuina de bisonte americano.</t>
        </is>
      </c>
      <c r="U2423" s="156" t="n"/>
      <c r="V2423" s="156" t="inlineStr">
        <is>
          <t>PZS</t>
        </is>
      </c>
      <c r="W2423" s="51" t="inlineStr">
        <is>
          <t>53102501</t>
        </is>
      </c>
      <c r="X2423" s="156" t="inlineStr">
        <is>
          <t>https://cdn.shopify.com/s/files/1/0357/2432/9005/files/9915500-001_Black_1.jpg?v=1743573266</t>
        </is>
      </c>
      <c r="Y2423" s="54" t="n"/>
      <c r="Z2423" s="54" t="n"/>
      <c r="AA2423" s="55">
        <f>IF(AND(A2423="", B2423="", E2423=""), "", IF(AB2423="", "Válido", IF((LEN(AB2423)-LEN(SUBSTITUTE(AB2423,"; ","")))/2+1&gt;(LEN(AB2423)-LEN(SUBSTITUTE(AB2423,"[Aviso]","")))/7, "Con Incidencias", "Válido")))</f>
        <v/>
      </c>
      <c r="AB2423" s="56">
        <f>IF(AND(A2423="", B2423="", E2423=""), "", TEXTJOIN("; ", TRUE, IF(OR(TRIM(A2423&amp;"")="", ISNUMBER(SEARCH("FALTA", A2423))), "UPC faltante/inválido", ""), IF(AND(A2423&lt;&gt;"", IFERROR(_xlfn.XMATCH(A2423,$A$2:$A$2509,0,1)&lt;&gt;_xlfn.XMATCH(A2423,$A$2:$A$2509,0,-1),FALSE)), "Código de barras duplicado", ""), IF(AND(E2423&lt;&gt;"", COUNTIF($E$2:$E$2509, E2423)&gt;1), "SKU duplicado", ""), IF(OR(J2423="", J2423=""), "[Aviso] División no capturada ()", IF(ISNA(MATCH(J2423, Criterios!$A$123:$A$126, 0)), "División no válida", "")), IF(OR(K2423="", K2423=""), "[Aviso] Categoría no capturada ()", IF(ISNA(MATCH(K2423, Criterios!$A$81:$A$120, 0)), "Categoría no válida", IF(AND(J2423&lt;&gt;"", J2423&lt;&gt;"", J2423&lt;&gt;VLOOKUP(K2423, Criterios!$A$81:$B$120, 2, FALSE)), "División no coincide con Categoría", ""))), IF(OR(L2423="", L2423=""), "[Aviso] Género no capturado ()", IF(ISNA(MATCH(L2423, Criterios!$B$123:$B$127, 0)), "Género no válido", "")), IF(OR(N2423="", N2423=""), "[Aviso] Temporada no capturada ()", IF(ISNA(MATCH(N2423, Criterios!$C$123:$C$128, 0)), "Temporada no válida", "")), IF(OR(O2423="", O2423=""), "[Aviso] Ciclo de vida no capturado ()", IF(ISNA(MATCH(O2423, Criterios!$D$123:$D$124, 0)), "Ciclo de vida no válido", ""))))</f>
        <v/>
      </c>
      <c r="AC2423" s="56" t="n"/>
      <c r="AD2423" s="51" t="n">
        <v>0</v>
      </c>
      <c r="AE2423" s="156" t="inlineStr">
        <is>
          <t>Sin coincidencia en NetSuite</t>
        </is>
      </c>
      <c r="AF2423" s="51" t="n"/>
      <c r="AG2423" s="156" t="inlineStr">
        <is>
          <t>Catálogo existente</t>
        </is>
      </c>
      <c r="AH2423" s="156" t="inlineStr">
        <is>
          <t>No se encontró en Hoja a Revisar por ID interno ni por código de barras | Homologación G1522 06/10/2026: Unidad: «Pieza» → «PZS» (Corrección aplicada) · WB Silueta: «Correa de 38 mm» → «» (Corrección aplicada)</t>
        </is>
      </c>
      <c r="AI2423" s="156" t="n"/>
      <c r="AJ2423" s="156" t="n"/>
      <c r="AK2423" s="155" t="n"/>
      <c r="AL2423" s="58" t="n"/>
      <c r="AM2423" s="58" t="n"/>
      <c r="AN2423" s="155" t="n"/>
      <c r="AO2423" s="59" t="n"/>
      <c r="AP2423" s="59" t="n"/>
      <c r="AQ2423" s="59" t="n"/>
      <c r="AR2423" s="155" t="n"/>
    </row>
    <row r="2424">
      <c r="A2424" s="50" t="inlineStr">
        <is>
          <t>072430374266</t>
        </is>
      </c>
      <c r="B2424" s="51" t="n"/>
      <c r="C2424" s="156" t="inlineStr">
        <is>
          <t>Stetson</t>
        </is>
      </c>
      <c r="D2424" s="156" t="inlineStr">
        <is>
          <t>9915500</t>
        </is>
      </c>
      <c r="E2424" s="156" t="inlineStr">
        <is>
          <t>9915500-BK-42</t>
        </is>
      </c>
      <c r="F2424" s="156" t="inlineStr">
        <is>
          <t>42</t>
        </is>
      </c>
      <c r="G2424" s="156" t="inlineStr">
        <is>
          <t>42</t>
        </is>
      </c>
      <c r="H2424" s="156" t="inlineStr">
        <is>
          <t>Stetson</t>
        </is>
      </c>
      <c r="I2424" s="156" t="inlineStr">
        <is>
          <t>Cinturón Stetson de bisonte con conchos</t>
        </is>
      </c>
      <c r="J2424" s="156" t="inlineStr">
        <is>
          <t>Accesorios</t>
        </is>
      </c>
      <c r="K2424" s="156" t="inlineStr">
        <is>
          <t>Cinturones</t>
        </is>
      </c>
      <c r="L2424" s="156" t="inlineStr">
        <is>
          <t>Hombre</t>
        </is>
      </c>
      <c r="M2424" s="156" t="inlineStr">
        <is>
          <t>Stetson</t>
        </is>
      </c>
      <c r="N2424" s="156" t="n"/>
      <c r="O2424" s="156" t="n"/>
      <c r="P2424" s="156" t="inlineStr">
        <is>
          <t>Negro</t>
        </is>
      </c>
      <c r="Q2424" s="156" t="n"/>
      <c r="R2424" s="156" t="n"/>
      <c r="S2424" s="156" t="inlineStr">
        <is>
          <t>Piel genuina de bisonte americano</t>
        </is>
      </c>
      <c r="T2424" s="156" t="inlineStr">
        <is>
          <t>Cinturón Stetson de bisonte con conchos; correa de 38 mm; piel genuina de bisonte americano.</t>
        </is>
      </c>
      <c r="U2424" s="156" t="n"/>
      <c r="V2424" s="156" t="inlineStr">
        <is>
          <t>PZS</t>
        </is>
      </c>
      <c r="W2424" s="51" t="inlineStr">
        <is>
          <t>53102501</t>
        </is>
      </c>
      <c r="X2424" s="156" t="inlineStr">
        <is>
          <t>https://cdn.shopify.com/s/files/1/0357/2432/9005/files/9915500-001_Black_1.jpg?v=1743573266</t>
        </is>
      </c>
      <c r="Y2424" s="54" t="n"/>
      <c r="Z2424" s="54" t="n"/>
      <c r="AA2424" s="55">
        <f>IF(AND(A2424="", B2424="", E2424=""), "", IF(AB2424="", "Válido", IF((LEN(AB2424)-LEN(SUBSTITUTE(AB2424,"; ","")))/2+1&gt;(LEN(AB2424)-LEN(SUBSTITUTE(AB2424,"[Aviso]","")))/7, "Con Incidencias", "Válido")))</f>
        <v/>
      </c>
      <c r="AB2424" s="56">
        <f>IF(AND(A2424="", B2424="", E2424=""), "", TEXTJOIN("; ", TRUE, IF(OR(TRIM(A2424&amp;"")="", ISNUMBER(SEARCH("FALTA", A2424))), "UPC faltante/inválido", ""), IF(AND(A2424&lt;&gt;"", IFERROR(_xlfn.XMATCH(A2424,$A$2:$A$2509,0,1)&lt;&gt;_xlfn.XMATCH(A2424,$A$2:$A$2509,0,-1),FALSE)), "Código de barras duplicado", ""), IF(AND(E2424&lt;&gt;"", COUNTIF($E$2:$E$2509, E2424)&gt;1), "SKU duplicado", ""), IF(OR(J2424="", J2424=""), "[Aviso] División no capturada ()", IF(ISNA(MATCH(J2424, Criterios!$A$123:$A$126, 0)), "División no válida", "")), IF(OR(K2424="", K2424=""), "[Aviso] Categoría no capturada ()", IF(ISNA(MATCH(K2424, Criterios!$A$81:$A$120, 0)), "Categoría no válida", IF(AND(J2424&lt;&gt;"", J2424&lt;&gt;"", J2424&lt;&gt;VLOOKUP(K2424, Criterios!$A$81:$B$120, 2, FALSE)), "División no coincide con Categoría", ""))), IF(OR(L2424="", L2424=""), "[Aviso] Género no capturado ()", IF(ISNA(MATCH(L2424, Criterios!$B$123:$B$127, 0)), "Género no válido", "")), IF(OR(N2424="", N2424=""), "[Aviso] Temporada no capturada ()", IF(ISNA(MATCH(N2424, Criterios!$C$123:$C$128, 0)), "Temporada no válida", "")), IF(OR(O2424="", O2424=""), "[Aviso] Ciclo de vida no capturado ()", IF(ISNA(MATCH(O2424, Criterios!$D$123:$D$124, 0)), "Ciclo de vida no válido", ""))))</f>
        <v/>
      </c>
      <c r="AC2424" s="56" t="n"/>
      <c r="AD2424" s="51" t="n">
        <v>0</v>
      </c>
      <c r="AE2424" s="156" t="inlineStr">
        <is>
          <t>Sin coincidencia en NetSuite</t>
        </is>
      </c>
      <c r="AF2424" s="51" t="n"/>
      <c r="AG2424" s="156" t="inlineStr">
        <is>
          <t>Catálogo existente</t>
        </is>
      </c>
      <c r="AH2424" s="156" t="inlineStr">
        <is>
          <t>No se encontró en Hoja a Revisar por ID interno ni por código de barras | Homologación G1522 06/10/2026: Código de barras: «72430374266» → «072430374266» (Corrección aplicada) · Unidad: «Pieza» → «PZS» (Corrección aplicada) · WB Silueta: «Correa de 38 mm» → «» (Corrección aplicada)</t>
        </is>
      </c>
      <c r="AI2424" s="156" t="n"/>
      <c r="AJ2424" s="156" t="n"/>
      <c r="AK2424" s="155" t="n"/>
      <c r="AL2424" s="58" t="n"/>
      <c r="AM2424" s="58" t="n"/>
      <c r="AN2424" s="155" t="n"/>
      <c r="AO2424" s="59" t="n"/>
      <c r="AP2424" s="59" t="n"/>
      <c r="AQ2424" s="59" t="n"/>
      <c r="AR2424" s="155" t="n"/>
    </row>
    <row r="2425">
      <c r="A2425" s="50" t="inlineStr">
        <is>
          <t>724303742671</t>
        </is>
      </c>
      <c r="B2425" s="51" t="n"/>
      <c r="C2425" s="156" t="inlineStr">
        <is>
          <t>Stetson</t>
        </is>
      </c>
      <c r="D2425" s="156" t="inlineStr">
        <is>
          <t>9915500</t>
        </is>
      </c>
      <c r="E2425" s="156" t="inlineStr">
        <is>
          <t>9915500-BK-44</t>
        </is>
      </c>
      <c r="F2425" s="156" t="inlineStr">
        <is>
          <t>44</t>
        </is>
      </c>
      <c r="G2425" s="156" t="inlineStr">
        <is>
          <t>44</t>
        </is>
      </c>
      <c r="H2425" s="156" t="inlineStr">
        <is>
          <t>Stetson</t>
        </is>
      </c>
      <c r="I2425" s="156" t="inlineStr">
        <is>
          <t>Cinturón Stetson de bisonte con conchos</t>
        </is>
      </c>
      <c r="J2425" s="156" t="inlineStr">
        <is>
          <t>Accesorios</t>
        </is>
      </c>
      <c r="K2425" s="156" t="inlineStr">
        <is>
          <t>Cinturones</t>
        </is>
      </c>
      <c r="L2425" s="156" t="inlineStr">
        <is>
          <t>Hombre</t>
        </is>
      </c>
      <c r="M2425" s="156" t="inlineStr">
        <is>
          <t>Stetson</t>
        </is>
      </c>
      <c r="N2425" s="156" t="n"/>
      <c r="O2425" s="156" t="n"/>
      <c r="P2425" s="156" t="inlineStr">
        <is>
          <t>Negro</t>
        </is>
      </c>
      <c r="Q2425" s="156" t="n"/>
      <c r="R2425" s="156" t="n"/>
      <c r="S2425" s="156" t="inlineStr">
        <is>
          <t>Piel genuina de bisonte americano</t>
        </is>
      </c>
      <c r="T2425" s="156" t="inlineStr">
        <is>
          <t>Cinturón Stetson de bisonte con conchos; correa de 38 mm; piel genuina de bisonte americano.</t>
        </is>
      </c>
      <c r="U2425" s="156" t="n"/>
      <c r="V2425" s="156" t="inlineStr">
        <is>
          <t>PZS</t>
        </is>
      </c>
      <c r="W2425" s="51" t="inlineStr">
        <is>
          <t>53102501</t>
        </is>
      </c>
      <c r="X2425" s="156" t="inlineStr">
        <is>
          <t>https://cdn.shopify.com/s/files/1/0357/2432/9005/files/9915500-001_Black_1.jpg?v=1743573266</t>
        </is>
      </c>
      <c r="Y2425" s="54" t="n"/>
      <c r="Z2425" s="54" t="n"/>
      <c r="AA2425" s="55">
        <f>IF(AND(A2425="", B2425="", E2425=""), "", IF(AB2425="", "Válido", IF((LEN(AB2425)-LEN(SUBSTITUTE(AB2425,"; ","")))/2+1&gt;(LEN(AB2425)-LEN(SUBSTITUTE(AB2425,"[Aviso]","")))/7, "Con Incidencias", "Válido")))</f>
        <v/>
      </c>
      <c r="AB2425" s="56">
        <f>IF(AND(A2425="", B2425="", E2425=""), "", TEXTJOIN("; ", TRUE, IF(OR(TRIM(A2425&amp;"")="", ISNUMBER(SEARCH("FALTA", A2425))), "UPC faltante/inválido", ""), IF(AND(A2425&lt;&gt;"", IFERROR(_xlfn.XMATCH(A2425,$A$2:$A$2509,0,1)&lt;&gt;_xlfn.XMATCH(A2425,$A$2:$A$2509,0,-1),FALSE)), "Código de barras duplicado", ""), IF(AND(E2425&lt;&gt;"", COUNTIF($E$2:$E$2509, E2425)&gt;1), "SKU duplicado", ""), IF(OR(J2425="", J2425=""), "[Aviso] División no capturada ()", IF(ISNA(MATCH(J2425, Criterios!$A$123:$A$126, 0)), "División no válida", "")), IF(OR(K2425="", K2425=""), "[Aviso] Categoría no capturada ()", IF(ISNA(MATCH(K2425, Criterios!$A$81:$A$120, 0)), "Categoría no válida", IF(AND(J2425&lt;&gt;"", J2425&lt;&gt;"", J2425&lt;&gt;VLOOKUP(K2425, Criterios!$A$81:$B$120, 2, FALSE)), "División no coincide con Categoría", ""))), IF(OR(L2425="", L2425=""), "[Aviso] Género no capturado ()", IF(ISNA(MATCH(L2425, Criterios!$B$123:$B$127, 0)), "Género no válido", "")), IF(OR(N2425="", N2425=""), "[Aviso] Temporada no capturada ()", IF(ISNA(MATCH(N2425, Criterios!$C$123:$C$128, 0)), "Temporada no válida", "")), IF(OR(O2425="", O2425=""), "[Aviso] Ciclo de vida no capturado ()", IF(ISNA(MATCH(O2425, Criterios!$D$123:$D$124, 0)), "Ciclo de vida no válido", ""))))</f>
        <v/>
      </c>
      <c r="AC2425" s="56" t="n"/>
      <c r="AD2425" s="51" t="n">
        <v>0</v>
      </c>
      <c r="AE2425" s="156" t="inlineStr">
        <is>
          <t>Sin coincidencia en NetSuite</t>
        </is>
      </c>
      <c r="AF2425" s="51" t="n"/>
      <c r="AG2425" s="156" t="inlineStr">
        <is>
          <t>Catálogo existente</t>
        </is>
      </c>
      <c r="AH2425" s="156" t="inlineStr">
        <is>
          <t>No se encontró en Hoja a Revisar por ID interno ni por código de barras | Homologación G1522 06/10/2026: Unidad: «Pieza» → «PZS» (Corrección aplicada) · WB Silueta: «Correa de 38 mm» → «» (Corrección aplicada)</t>
        </is>
      </c>
      <c r="AI2425" s="156" t="n"/>
      <c r="AJ2425" s="156" t="n"/>
      <c r="AK2425" s="155" t="n"/>
      <c r="AL2425" s="58" t="n"/>
      <c r="AM2425" s="58" t="n"/>
      <c r="AN2425" s="155" t="n"/>
      <c r="AO2425" s="59" t="n"/>
      <c r="AP2425" s="59" t="n"/>
      <c r="AQ2425" s="59" t="n"/>
      <c r="AR2425" s="155" t="n"/>
    </row>
    <row r="2426">
      <c r="A2426" s="50" t="inlineStr">
        <is>
          <t>724303742688</t>
        </is>
      </c>
      <c r="B2426" s="51" t="n"/>
      <c r="C2426" s="156" t="inlineStr">
        <is>
          <t>Stetson</t>
        </is>
      </c>
      <c r="D2426" s="156" t="inlineStr">
        <is>
          <t>9915500</t>
        </is>
      </c>
      <c r="E2426" s="156" t="inlineStr">
        <is>
          <t>9915500-BK-46</t>
        </is>
      </c>
      <c r="F2426" s="156" t="inlineStr">
        <is>
          <t>46</t>
        </is>
      </c>
      <c r="G2426" s="156" t="inlineStr">
        <is>
          <t>46</t>
        </is>
      </c>
      <c r="H2426" s="156" t="inlineStr">
        <is>
          <t>Stetson</t>
        </is>
      </c>
      <c r="I2426" s="156" t="inlineStr">
        <is>
          <t>Cinturón Stetson de bisonte con conchos</t>
        </is>
      </c>
      <c r="J2426" s="156" t="inlineStr">
        <is>
          <t>Accesorios</t>
        </is>
      </c>
      <c r="K2426" s="156" t="inlineStr">
        <is>
          <t>Cinturones</t>
        </is>
      </c>
      <c r="L2426" s="156" t="inlineStr">
        <is>
          <t>Hombre</t>
        </is>
      </c>
      <c r="M2426" s="156" t="inlineStr">
        <is>
          <t>Stetson</t>
        </is>
      </c>
      <c r="N2426" s="156" t="n"/>
      <c r="O2426" s="156" t="n"/>
      <c r="P2426" s="156" t="inlineStr">
        <is>
          <t>Negro</t>
        </is>
      </c>
      <c r="Q2426" s="156" t="n"/>
      <c r="R2426" s="156" t="n"/>
      <c r="S2426" s="156" t="inlineStr">
        <is>
          <t>Piel genuina de bisonte americano</t>
        </is>
      </c>
      <c r="T2426" s="156" t="inlineStr">
        <is>
          <t>Cinturón Stetson de bisonte con conchos; correa de 38 mm; piel genuina de bisonte americano.</t>
        </is>
      </c>
      <c r="U2426" s="156" t="n"/>
      <c r="V2426" s="156" t="inlineStr">
        <is>
          <t>PZS</t>
        </is>
      </c>
      <c r="W2426" s="51" t="inlineStr">
        <is>
          <t>53102501</t>
        </is>
      </c>
      <c r="X2426" s="156" t="inlineStr">
        <is>
          <t>https://cdn.shopify.com/s/files/1/0357/2432/9005/files/9915500-001_Black_1.jpg?v=1743573266</t>
        </is>
      </c>
      <c r="Y2426" s="54" t="n"/>
      <c r="Z2426" s="54" t="n"/>
      <c r="AA2426" s="55">
        <f>IF(AND(A2426="", B2426="", E2426=""), "", IF(AB2426="", "Válido", IF((LEN(AB2426)-LEN(SUBSTITUTE(AB2426,"; ","")))/2+1&gt;(LEN(AB2426)-LEN(SUBSTITUTE(AB2426,"[Aviso]","")))/7, "Con Incidencias", "Válido")))</f>
        <v/>
      </c>
      <c r="AB2426" s="56">
        <f>IF(AND(A2426="", B2426="", E2426=""), "", TEXTJOIN("; ", TRUE, IF(OR(TRIM(A2426&amp;"")="", ISNUMBER(SEARCH("FALTA", A2426))), "UPC faltante/inválido", ""), IF(AND(A2426&lt;&gt;"", IFERROR(_xlfn.XMATCH(A2426,$A$2:$A$2509,0,1)&lt;&gt;_xlfn.XMATCH(A2426,$A$2:$A$2509,0,-1),FALSE)), "Código de barras duplicado", ""), IF(AND(E2426&lt;&gt;"", COUNTIF($E$2:$E$2509, E2426)&gt;1), "SKU duplicado", ""), IF(OR(J2426="", J2426=""), "[Aviso] División no capturada ()", IF(ISNA(MATCH(J2426, Criterios!$A$123:$A$126, 0)), "División no válida", "")), IF(OR(K2426="", K2426=""), "[Aviso] Categoría no capturada ()", IF(ISNA(MATCH(K2426, Criterios!$A$81:$A$120, 0)), "Categoría no válida", IF(AND(J2426&lt;&gt;"", J2426&lt;&gt;"", J2426&lt;&gt;VLOOKUP(K2426, Criterios!$A$81:$B$120, 2, FALSE)), "División no coincide con Categoría", ""))), IF(OR(L2426="", L2426=""), "[Aviso] Género no capturado ()", IF(ISNA(MATCH(L2426, Criterios!$B$123:$B$127, 0)), "Género no válido", "")), IF(OR(N2426="", N2426=""), "[Aviso] Temporada no capturada ()", IF(ISNA(MATCH(N2426, Criterios!$C$123:$C$128, 0)), "Temporada no válida", "")), IF(OR(O2426="", O2426=""), "[Aviso] Ciclo de vida no capturado ()", IF(ISNA(MATCH(O2426, Criterios!$D$123:$D$124, 0)), "Ciclo de vida no válido", ""))))</f>
        <v/>
      </c>
      <c r="AC2426" s="56" t="n"/>
      <c r="AD2426" s="51" t="n">
        <v>0</v>
      </c>
      <c r="AE2426" s="156" t="inlineStr">
        <is>
          <t>Sin coincidencia en NetSuite</t>
        </is>
      </c>
      <c r="AF2426" s="51" t="n"/>
      <c r="AG2426" s="156" t="inlineStr">
        <is>
          <t>Catálogo existente</t>
        </is>
      </c>
      <c r="AH2426" s="156" t="inlineStr">
        <is>
          <t>No se encontró en Hoja a Revisar por ID interno ni por código de barras | Homologación G1522 06/10/2026: Unidad: «Pieza» → «PZS» (Corrección aplicada) · WB Silueta: «Correa de 38 mm» → «» (Corrección aplicada)</t>
        </is>
      </c>
      <c r="AI2426" s="156" t="n"/>
      <c r="AJ2426" s="156" t="n"/>
      <c r="AK2426" s="155" t="n"/>
      <c r="AL2426" s="58" t="n"/>
      <c r="AM2426" s="58" t="n"/>
      <c r="AN2426" s="155" t="n"/>
      <c r="AO2426" s="59" t="n"/>
      <c r="AP2426" s="59" t="n"/>
      <c r="AQ2426" s="59" t="n"/>
      <c r="AR2426" s="155" t="n"/>
    </row>
    <row r="2427">
      <c r="A2427" s="50" t="inlineStr">
        <is>
          <t>724303725841</t>
        </is>
      </c>
      <c r="B2427" s="51" t="n"/>
      <c r="C2427" s="156" t="inlineStr">
        <is>
          <t>Stetson</t>
        </is>
      </c>
      <c r="D2427" s="156" t="inlineStr">
        <is>
          <t>9808002</t>
        </is>
      </c>
      <c r="E2427" s="156" t="inlineStr">
        <is>
          <t>9808002</t>
        </is>
      </c>
      <c r="F2427" s="156" t="inlineStr">
        <is>
          <t>Talla única</t>
        </is>
      </c>
      <c r="G2427" s="156" t="inlineStr">
        <is>
          <t>One Size</t>
        </is>
      </c>
      <c r="H2427" s="156" t="inlineStr">
        <is>
          <t>Stetson</t>
        </is>
      </c>
      <c r="I2427" s="156" t="inlineStr">
        <is>
          <t>Cartera Stetson de avestruz Black Cowboy Classic</t>
        </is>
      </c>
      <c r="J2427" s="156" t="inlineStr">
        <is>
          <t>Accesorios</t>
        </is>
      </c>
      <c r="K2427" s="156" t="inlineStr">
        <is>
          <t>Carteras</t>
        </is>
      </c>
      <c r="L2427" s="156" t="inlineStr">
        <is>
          <t>Hombre</t>
        </is>
      </c>
      <c r="M2427" s="156" t="inlineStr">
        <is>
          <t>Stetson</t>
        </is>
      </c>
      <c r="N2427" s="156" t="inlineStr">
        <is>
          <t>SS26</t>
        </is>
      </c>
      <c r="O2427" s="156" t="inlineStr">
        <is>
          <t>Seasonal</t>
        </is>
      </c>
      <c r="P2427" s="156" t="inlineStr">
        <is>
          <t>Negro</t>
        </is>
      </c>
      <c r="Q2427" s="156" t="n"/>
      <c r="R2427" s="156" t="n"/>
      <c r="S2427" s="156" t="inlineStr">
        <is>
          <t>Piel genuina de avestruz</t>
        </is>
      </c>
      <c r="T2427" s="156" t="inlineStr">
        <is>
          <t>Cartera Stetson de avestruz Black Cowboy Classic; bifold; piel genuina de avestruz.</t>
        </is>
      </c>
      <c r="U2427" s="156" t="n"/>
      <c r="V2427" s="156" t="inlineStr">
        <is>
          <t>PZS</t>
        </is>
      </c>
      <c r="W2427" s="51" t="inlineStr">
        <is>
          <t>53102501</t>
        </is>
      </c>
      <c r="X2427" s="156" t="inlineStr">
        <is>
          <t>https://cdn.shopify.com/s/files/1/0357/2432/9005/files/9808002-019_Black_Cowboy_Classic_1.jpg?v=1722453411</t>
        </is>
      </c>
      <c r="Y2427" s="54" t="n"/>
      <c r="Z2427" s="54" t="n"/>
      <c r="AA2427" s="55">
        <f>IF(AND(A2427="", B2427="", E2427=""), "", IF(AB2427="", "Válido", IF((LEN(AB2427)-LEN(SUBSTITUTE(AB2427,"; ","")))/2+1&gt;(LEN(AB2427)-LEN(SUBSTITUTE(AB2427,"[Aviso]","")))/7, "Con Incidencias", "Válido")))</f>
        <v/>
      </c>
      <c r="AB2427" s="56">
        <f>IF(AND(A2427="", B2427="", E2427=""), "", TEXTJOIN("; ", TRUE, IF(OR(TRIM(A2427&amp;"")="", ISNUMBER(SEARCH("FALTA", A2427))), "UPC faltante/inválido", ""), IF(AND(A2427&lt;&gt;"", IFERROR(_xlfn.XMATCH(A2427,$A$2:$A$2509,0,1)&lt;&gt;_xlfn.XMATCH(A2427,$A$2:$A$2509,0,-1),FALSE)), "Código de barras duplicado", ""), IF(AND(E2427&lt;&gt;"", COUNTIF($E$2:$E$2509, E2427)&gt;1), "SKU duplicado", ""), IF(OR(J2427="", J2427=""), "[Aviso] División no capturada ()", IF(ISNA(MATCH(J2427, Criterios!$A$123:$A$126, 0)), "División no válida", "")), IF(OR(K2427="", K2427=""), "[Aviso] Categoría no capturada ()", IF(ISNA(MATCH(K2427, Criterios!$A$81:$A$120, 0)), "Categoría no válida", IF(AND(J2427&lt;&gt;"", J2427&lt;&gt;"", J2427&lt;&gt;VLOOKUP(K2427, Criterios!$A$81:$B$120, 2, FALSE)), "División no coincide con Categoría", ""))), IF(OR(L2427="", L2427=""), "[Aviso] Género no capturado ()", IF(ISNA(MATCH(L2427, Criterios!$B$123:$B$127, 0)), "Género no válido", "")), IF(OR(N2427="", N2427=""), "[Aviso] Temporada no capturada ()", IF(ISNA(MATCH(N2427, Criterios!$C$123:$C$128, 0)), "Temporada no válida", "")), IF(OR(O2427="", O2427=""), "[Aviso] Ciclo de vida no capturado ()", IF(ISNA(MATCH(O2427, Criterios!$D$123:$D$124, 0)), "Ciclo de vida no válido", ""))))</f>
        <v/>
      </c>
      <c r="AC2427" s="56" t="n"/>
      <c r="AD2427" s="51" t="n">
        <v>0</v>
      </c>
      <c r="AE2427" s="156" t="inlineStr">
        <is>
          <t>Sin coincidencia en NetSuite</t>
        </is>
      </c>
      <c r="AF2427" s="51" t="n"/>
      <c r="AG2427" s="156" t="inlineStr">
        <is>
          <t>Catálogo existente</t>
        </is>
      </c>
      <c r="AH2427" s="156" t="inlineStr">
        <is>
          <t>No se encontró en Hoja a Revisar por ID interno ni por código de barras | Homologación G1522 06/10/2026: WB Silueta: «Bifold» → «» (Corrección aplicada)</t>
        </is>
      </c>
      <c r="AI2427" s="156" t="n"/>
      <c r="AJ2427" s="156" t="n"/>
      <c r="AK2427" s="155" t="n"/>
      <c r="AL2427" s="58" t="n"/>
      <c r="AM2427" s="58" t="n"/>
      <c r="AN2427" s="155" t="n"/>
      <c r="AO2427" s="59" t="n"/>
      <c r="AP2427" s="59" t="n"/>
      <c r="AQ2427" s="59" t="n"/>
      <c r="AR2427" s="155" t="n"/>
    </row>
    <row r="2428">
      <c r="A2428" s="50" t="inlineStr">
        <is>
          <t>724303725797</t>
        </is>
      </c>
      <c r="B2428" s="51" t="n"/>
      <c r="C2428" s="156" t="inlineStr">
        <is>
          <t>Stetson</t>
        </is>
      </c>
      <c r="D2428" s="156" t="inlineStr">
        <is>
          <t>9808001</t>
        </is>
      </c>
      <c r="E2428" s="156" t="inlineStr">
        <is>
          <t>9808001</t>
        </is>
      </c>
      <c r="F2428" s="156" t="inlineStr">
        <is>
          <t>Talla única</t>
        </is>
      </c>
      <c r="G2428" s="156" t="inlineStr">
        <is>
          <t>One Size</t>
        </is>
      </c>
      <c r="H2428" s="156" t="inlineStr">
        <is>
          <t>Stetson</t>
        </is>
      </c>
      <c r="I2428" s="156" t="inlineStr">
        <is>
          <t>Cartera Stetson de avestruz Black Cowboy Classic</t>
        </is>
      </c>
      <c r="J2428" s="156" t="inlineStr">
        <is>
          <t>Accesorios</t>
        </is>
      </c>
      <c r="K2428" s="156" t="inlineStr">
        <is>
          <t>Carteras</t>
        </is>
      </c>
      <c r="L2428" s="156" t="inlineStr">
        <is>
          <t>Hombre</t>
        </is>
      </c>
      <c r="M2428" s="156" t="inlineStr">
        <is>
          <t>Stetson</t>
        </is>
      </c>
      <c r="N2428" s="156" t="inlineStr">
        <is>
          <t>SS26</t>
        </is>
      </c>
      <c r="O2428" s="156" t="inlineStr">
        <is>
          <t>Seasonal</t>
        </is>
      </c>
      <c r="P2428" s="156" t="inlineStr">
        <is>
          <t>Negro</t>
        </is>
      </c>
      <c r="Q2428" s="156" t="n"/>
      <c r="R2428" s="156" t="n"/>
      <c r="S2428" s="156" t="inlineStr">
        <is>
          <t>Piel genuina de avestruz</t>
        </is>
      </c>
      <c r="T2428" s="156" t="inlineStr">
        <is>
          <t>Cartera Stetson de avestruz Black Cowboy Classic; trifold; piel genuina de avestruz.</t>
        </is>
      </c>
      <c r="U2428" s="156" t="n"/>
      <c r="V2428" s="156" t="inlineStr">
        <is>
          <t>PZS</t>
        </is>
      </c>
      <c r="W2428" s="51" t="inlineStr">
        <is>
          <t>53102501</t>
        </is>
      </c>
      <c r="X2428" s="156" t="n"/>
      <c r="Y2428" s="54" t="n"/>
      <c r="Z2428" s="54" t="n"/>
      <c r="AA2428" s="55">
        <f>IF(AND(A2428="", B2428="", E2428=""), "", IF(AB2428="", "Válido", IF((LEN(AB2428)-LEN(SUBSTITUTE(AB2428,"; ","")))/2+1&gt;(LEN(AB2428)-LEN(SUBSTITUTE(AB2428,"[Aviso]","")))/7, "Con Incidencias", "Válido")))</f>
        <v/>
      </c>
      <c r="AB2428" s="56">
        <f>IF(AND(A2428="", B2428="", E2428=""), "", TEXTJOIN("; ", TRUE, IF(OR(TRIM(A2428&amp;"")="", ISNUMBER(SEARCH("FALTA", A2428))), "UPC faltante/inválido", ""), IF(AND(A2428&lt;&gt;"", IFERROR(_xlfn.XMATCH(A2428,$A$2:$A$2509,0,1)&lt;&gt;_xlfn.XMATCH(A2428,$A$2:$A$2509,0,-1),FALSE)), "Código de barras duplicado", ""), IF(AND(E2428&lt;&gt;"", COUNTIF($E$2:$E$2509, E2428)&gt;1), "SKU duplicado", ""), IF(OR(J2428="", J2428=""), "[Aviso] División no capturada ()", IF(ISNA(MATCH(J2428, Criterios!$A$123:$A$126, 0)), "División no válida", "")), IF(OR(K2428="", K2428=""), "[Aviso] Categoría no capturada ()", IF(ISNA(MATCH(K2428, Criterios!$A$81:$A$120, 0)), "Categoría no válida", IF(AND(J2428&lt;&gt;"", J2428&lt;&gt;"", J2428&lt;&gt;VLOOKUP(K2428, Criterios!$A$81:$B$120, 2, FALSE)), "División no coincide con Categoría", ""))), IF(OR(L2428="", L2428=""), "[Aviso] Género no capturado ()", IF(ISNA(MATCH(L2428, Criterios!$B$123:$B$127, 0)), "Género no válido", "")), IF(OR(N2428="", N2428=""), "[Aviso] Temporada no capturada ()", IF(ISNA(MATCH(N2428, Criterios!$C$123:$C$128, 0)), "Temporada no válida", "")), IF(OR(O2428="", O2428=""), "[Aviso] Ciclo de vida no capturado ()", IF(ISNA(MATCH(O2428, Criterios!$D$123:$D$124, 0)), "Ciclo de vida no válido", ""))))</f>
        <v/>
      </c>
      <c r="AC2428" s="56" t="n"/>
      <c r="AD2428" s="51" t="n">
        <v>0</v>
      </c>
      <c r="AE2428" s="156" t="inlineStr">
        <is>
          <t>Sin coincidencia en NetSuite</t>
        </is>
      </c>
      <c r="AF2428" s="51" t="n"/>
      <c r="AG2428" s="156" t="inlineStr">
        <is>
          <t>Catálogo existente</t>
        </is>
      </c>
      <c r="AH2428" s="156" t="inlineStr">
        <is>
          <t>No se encontró en Hoja a Revisar por ID interno ni por código de barras | Homologación G1522 06/10/2026: WB Silueta: «Trifold» → «» (Corrección aplicada)</t>
        </is>
      </c>
      <c r="AI2428" s="156" t="n"/>
      <c r="AJ2428" s="156" t="n"/>
      <c r="AK2428" s="155" t="n"/>
      <c r="AL2428" s="58" t="n"/>
      <c r="AM2428" s="58" t="n"/>
      <c r="AN2428" s="155" t="n"/>
      <c r="AO2428" s="59" t="n"/>
      <c r="AP2428" s="59" t="n"/>
      <c r="AQ2428" s="59" t="n"/>
      <c r="AR2428" s="155" t="n"/>
    </row>
    <row r="2429">
      <c r="A2429" s="50" t="inlineStr">
        <is>
          <t>724303723533</t>
        </is>
      </c>
      <c r="B2429" s="51" t="n"/>
      <c r="C2429" s="156" t="inlineStr">
        <is>
          <t>Stetson</t>
        </is>
      </c>
      <c r="D2429" s="156" t="inlineStr">
        <is>
          <t>9804001</t>
        </is>
      </c>
      <c r="E2429" s="156" t="inlineStr">
        <is>
          <t>9804001</t>
        </is>
      </c>
      <c r="F2429" s="156" t="inlineStr">
        <is>
          <t>Talla única</t>
        </is>
      </c>
      <c r="G2429" s="156" t="inlineStr">
        <is>
          <t>One Size</t>
        </is>
      </c>
      <c r="H2429" s="156" t="inlineStr">
        <is>
          <t>Stetson</t>
        </is>
      </c>
      <c r="I2429" s="156" t="inlineStr">
        <is>
          <t>Cartera Stetson Vintage con incrustación de piel con pelo</t>
        </is>
      </c>
      <c r="J2429" s="156" t="inlineStr">
        <is>
          <t>Accesorios</t>
        </is>
      </c>
      <c r="K2429" s="156" t="inlineStr">
        <is>
          <t>Carteras</t>
        </is>
      </c>
      <c r="L2429" s="156" t="inlineStr">
        <is>
          <t>Hombre</t>
        </is>
      </c>
      <c r="M2429" s="156" t="inlineStr">
        <is>
          <t>Stetson</t>
        </is>
      </c>
      <c r="N2429" s="156" t="inlineStr">
        <is>
          <t>SS26</t>
        </is>
      </c>
      <c r="O2429" s="156" t="inlineStr">
        <is>
          <t>Seasonal</t>
        </is>
      </c>
      <c r="P2429" s="156" t="inlineStr">
        <is>
          <t>Cafe</t>
        </is>
      </c>
      <c r="Q2429" s="156" t="n"/>
      <c r="R2429" s="156" t="n"/>
      <c r="S2429" s="156" t="inlineStr">
        <is>
          <t>Cuero de grano superior; incrustación de piel con pelo</t>
        </is>
      </c>
      <c r="T2429" s="156" t="inlineStr">
        <is>
          <t>Cartera Stetson Vintage con incrustación de piel con pelo; trifold; cuero de grano superior; incrustación de piel con pelo.</t>
        </is>
      </c>
      <c r="U2429" s="156" t="n"/>
      <c r="V2429" s="156" t="inlineStr">
        <is>
          <t>PZS</t>
        </is>
      </c>
      <c r="W2429" s="51" t="inlineStr">
        <is>
          <t>53102501</t>
        </is>
      </c>
      <c r="X2429" s="156" t="inlineStr">
        <is>
          <t>https://cdn.shopify.com/s/files/1/0888/3250/8267/files/9804001-203.jpg?v=1744828409</t>
        </is>
      </c>
      <c r="Y2429" s="54" t="n"/>
      <c r="Z2429" s="54" t="n"/>
      <c r="AA2429" s="55">
        <f>IF(AND(A2429="", B2429="", E2429=""), "", IF(AB2429="", "Válido", IF((LEN(AB2429)-LEN(SUBSTITUTE(AB2429,"; ","")))/2+1&gt;(LEN(AB2429)-LEN(SUBSTITUTE(AB2429,"[Aviso]","")))/7, "Con Incidencias", "Válido")))</f>
        <v/>
      </c>
      <c r="AB2429" s="56">
        <f>IF(AND(A2429="", B2429="", E2429=""), "", TEXTJOIN("; ", TRUE, IF(OR(TRIM(A2429&amp;"")="", ISNUMBER(SEARCH("FALTA", A2429))), "UPC faltante/inválido", ""), IF(AND(A2429&lt;&gt;"", IFERROR(_xlfn.XMATCH(A2429,$A$2:$A$2509,0,1)&lt;&gt;_xlfn.XMATCH(A2429,$A$2:$A$2509,0,-1),FALSE)), "Código de barras duplicado", ""), IF(AND(E2429&lt;&gt;"", COUNTIF($E$2:$E$2509, E2429)&gt;1), "SKU duplicado", ""), IF(OR(J2429="", J2429=""), "[Aviso] División no capturada ()", IF(ISNA(MATCH(J2429, Criterios!$A$123:$A$126, 0)), "División no válida", "")), IF(OR(K2429="", K2429=""), "[Aviso] Categoría no capturada ()", IF(ISNA(MATCH(K2429, Criterios!$A$81:$A$120, 0)), "Categoría no válida", IF(AND(J2429&lt;&gt;"", J2429&lt;&gt;"", J2429&lt;&gt;VLOOKUP(K2429, Criterios!$A$81:$B$120, 2, FALSE)), "División no coincide con Categoría", ""))), IF(OR(L2429="", L2429=""), "[Aviso] Género no capturado ()", IF(ISNA(MATCH(L2429, Criterios!$B$123:$B$127, 0)), "Género no válido", "")), IF(OR(N2429="", N2429=""), "[Aviso] Temporada no capturada ()", IF(ISNA(MATCH(N2429, Criterios!$C$123:$C$128, 0)), "Temporada no válida", "")), IF(OR(O2429="", O2429=""), "[Aviso] Ciclo de vida no capturado ()", IF(ISNA(MATCH(O2429, Criterios!$D$123:$D$124, 0)), "Ciclo de vida no válido", ""))))</f>
        <v/>
      </c>
      <c r="AC2429" s="56" t="n"/>
      <c r="AD2429" s="51" t="n">
        <v>0</v>
      </c>
      <c r="AE2429" s="156" t="inlineStr">
        <is>
          <t>Sin coincidencia en NetSuite</t>
        </is>
      </c>
      <c r="AF2429" s="51" t="n"/>
      <c r="AG2429" s="156" t="inlineStr">
        <is>
          <t>Catálogo existente</t>
        </is>
      </c>
      <c r="AH2429" s="156" t="inlineStr">
        <is>
          <t>No se encontró en Hoja a Revisar por ID interno ni por código de barras | Homologación G1522 06/10/2026: WB Silueta: «Trifold» → «» (Corrección aplicada)</t>
        </is>
      </c>
      <c r="AI2429" s="156" t="n"/>
      <c r="AJ2429" s="156" t="n"/>
      <c r="AK2429" s="155" t="n"/>
      <c r="AL2429" s="58" t="n"/>
      <c r="AM2429" s="58" t="n"/>
      <c r="AN2429" s="155" t="n"/>
      <c r="AO2429" s="59" t="n"/>
      <c r="AP2429" s="59" t="n"/>
      <c r="AQ2429" s="59" t="n"/>
      <c r="AR2429" s="155" t="n"/>
    </row>
    <row r="2430">
      <c r="A2430" s="50" t="inlineStr">
        <is>
          <t>724303749700</t>
        </is>
      </c>
      <c r="B2430" s="51" t="n"/>
      <c r="C2430" s="156" t="inlineStr">
        <is>
          <t>Stetson</t>
        </is>
      </c>
      <c r="D2430" s="156" t="inlineStr">
        <is>
          <t>9811001</t>
        </is>
      </c>
      <c r="E2430" s="156" t="inlineStr">
        <is>
          <t>9811001</t>
        </is>
      </c>
      <c r="F2430" s="156" t="inlineStr">
        <is>
          <t>Talla única</t>
        </is>
      </c>
      <c r="G2430" s="156" t="inlineStr">
        <is>
          <t>One Size</t>
        </is>
      </c>
      <c r="H2430" s="156" t="inlineStr">
        <is>
          <t>Stetson</t>
        </is>
      </c>
      <c r="I2430" s="156" t="inlineStr">
        <is>
          <t>Cartera Stetson con relieve de tejido de canasta</t>
        </is>
      </c>
      <c r="J2430" s="156" t="inlineStr">
        <is>
          <t>Accesorios</t>
        </is>
      </c>
      <c r="K2430" s="156" t="inlineStr">
        <is>
          <t>Carteras</t>
        </is>
      </c>
      <c r="L2430" s="156" t="inlineStr">
        <is>
          <t>Hombre</t>
        </is>
      </c>
      <c r="M2430" s="156" t="inlineStr">
        <is>
          <t>Stetson</t>
        </is>
      </c>
      <c r="N2430" s="156" t="inlineStr">
        <is>
          <t>SS26</t>
        </is>
      </c>
      <c r="O2430" s="156" t="inlineStr">
        <is>
          <t>Seasonal</t>
        </is>
      </c>
      <c r="P2430" s="156" t="inlineStr">
        <is>
          <t>Cafe</t>
        </is>
      </c>
      <c r="Q2430" s="156" t="n"/>
      <c r="R2430" s="156" t="n"/>
      <c r="S2430" s="156" t="inlineStr">
        <is>
          <t>Cuero de grano superior</t>
        </is>
      </c>
      <c r="T2430" s="156" t="inlineStr">
        <is>
          <t>Cartera Stetson con relieve de tejido de canasta; trifold; cuero de grano superior.</t>
        </is>
      </c>
      <c r="U2430" s="156" t="n"/>
      <c r="V2430" s="156" t="inlineStr">
        <is>
          <t>PZS</t>
        </is>
      </c>
      <c r="W2430" s="51" t="inlineStr">
        <is>
          <t>53102501</t>
        </is>
      </c>
      <c r="X2430" s="156" t="n"/>
      <c r="Y2430" s="54" t="n"/>
      <c r="Z2430" s="54" t="n"/>
      <c r="AA2430" s="55">
        <f>IF(AND(A2430="", B2430="", E2430=""), "", IF(AB2430="", "Válido", IF((LEN(AB2430)-LEN(SUBSTITUTE(AB2430,"; ","")))/2+1&gt;(LEN(AB2430)-LEN(SUBSTITUTE(AB2430,"[Aviso]","")))/7, "Con Incidencias", "Válido")))</f>
        <v/>
      </c>
      <c r="AB2430" s="56">
        <f>IF(AND(A2430="", B2430="", E2430=""), "", TEXTJOIN("; ", TRUE, IF(OR(TRIM(A2430&amp;"")="", ISNUMBER(SEARCH("FALTA", A2430))), "UPC faltante/inválido", ""), IF(AND(A2430&lt;&gt;"", IFERROR(_xlfn.XMATCH(A2430,$A$2:$A$2509,0,1)&lt;&gt;_xlfn.XMATCH(A2430,$A$2:$A$2509,0,-1),FALSE)), "Código de barras duplicado", ""), IF(AND(E2430&lt;&gt;"", COUNTIF($E$2:$E$2509, E2430)&gt;1), "SKU duplicado", ""), IF(OR(J2430="", J2430=""), "[Aviso] División no capturada ()", IF(ISNA(MATCH(J2430, Criterios!$A$123:$A$126, 0)), "División no válida", "")), IF(OR(K2430="", K2430=""), "[Aviso] Categoría no capturada ()", IF(ISNA(MATCH(K2430, Criterios!$A$81:$A$120, 0)), "Categoría no válida", IF(AND(J2430&lt;&gt;"", J2430&lt;&gt;"", J2430&lt;&gt;VLOOKUP(K2430, Criterios!$A$81:$B$120, 2, FALSE)), "División no coincide con Categoría", ""))), IF(OR(L2430="", L2430=""), "[Aviso] Género no capturado ()", IF(ISNA(MATCH(L2430, Criterios!$B$123:$B$127, 0)), "Género no válido", "")), IF(OR(N2430="", N2430=""), "[Aviso] Temporada no capturada ()", IF(ISNA(MATCH(N2430, Criterios!$C$123:$C$128, 0)), "Temporada no válida", "")), IF(OR(O2430="", O2430=""), "[Aviso] Ciclo de vida no capturado ()", IF(ISNA(MATCH(O2430, Criterios!$D$123:$D$124, 0)), "Ciclo de vida no válido", ""))))</f>
        <v/>
      </c>
      <c r="AC2430" s="56" t="n"/>
      <c r="AD2430" s="51" t="n">
        <v>0</v>
      </c>
      <c r="AE2430" s="156" t="inlineStr">
        <is>
          <t>Sin coincidencia en NetSuite</t>
        </is>
      </c>
      <c r="AF2430" s="51" t="n"/>
      <c r="AG2430" s="156" t="inlineStr">
        <is>
          <t>Catálogo existente</t>
        </is>
      </c>
      <c r="AH2430" s="156" t="inlineStr">
        <is>
          <t>No se encontró en Hoja a Revisar por ID interno ni por código de barras | Homologación G1522 06/10/2026: WB Silueta: «Trifold» → «» (Corrección aplicada)</t>
        </is>
      </c>
      <c r="AI2430" s="156" t="n"/>
      <c r="AJ2430" s="156" t="n"/>
      <c r="AK2430" s="155" t="n"/>
      <c r="AL2430" s="58" t="n"/>
      <c r="AM2430" s="58" t="n"/>
      <c r="AN2430" s="155" t="n"/>
      <c r="AO2430" s="59" t="n"/>
      <c r="AP2430" s="59" t="n"/>
      <c r="AQ2430" s="59" t="n"/>
      <c r="AR2430" s="155" t="n"/>
    </row>
    <row r="2431">
      <c r="A2431" s="50" t="inlineStr">
        <is>
          <t>724303749717</t>
        </is>
      </c>
      <c r="B2431" s="51" t="n"/>
      <c r="C2431" s="156" t="inlineStr">
        <is>
          <t>Stetson</t>
        </is>
      </c>
      <c r="D2431" s="156" t="inlineStr">
        <is>
          <t>9811002</t>
        </is>
      </c>
      <c r="E2431" s="156" t="inlineStr">
        <is>
          <t>9811002</t>
        </is>
      </c>
      <c r="F2431" s="156" t="inlineStr">
        <is>
          <t>Talla única</t>
        </is>
      </c>
      <c r="G2431" s="156" t="inlineStr">
        <is>
          <t>One Size</t>
        </is>
      </c>
      <c r="H2431" s="156" t="inlineStr">
        <is>
          <t>Stetson</t>
        </is>
      </c>
      <c r="I2431" s="156" t="inlineStr">
        <is>
          <t>Cartera Stetson con relieve de tejido de canasta</t>
        </is>
      </c>
      <c r="J2431" s="156" t="inlineStr">
        <is>
          <t>Accesorios</t>
        </is>
      </c>
      <c r="K2431" s="156" t="inlineStr">
        <is>
          <t>Carteras</t>
        </is>
      </c>
      <c r="L2431" s="156" t="inlineStr">
        <is>
          <t>Hombre</t>
        </is>
      </c>
      <c r="M2431" s="156" t="inlineStr">
        <is>
          <t>Stetson</t>
        </is>
      </c>
      <c r="N2431" s="156" t="inlineStr">
        <is>
          <t>SS26</t>
        </is>
      </c>
      <c r="O2431" s="156" t="inlineStr">
        <is>
          <t>Seasonal</t>
        </is>
      </c>
      <c r="P2431" s="156" t="inlineStr">
        <is>
          <t>Cafe</t>
        </is>
      </c>
      <c r="Q2431" s="156" t="n"/>
      <c r="R2431" s="156" t="n"/>
      <c r="S2431" s="156" t="inlineStr">
        <is>
          <t>Cuero de grano superior</t>
        </is>
      </c>
      <c r="T2431" s="156" t="inlineStr">
        <is>
          <t>Cartera Stetson con relieve de tejido de canasta; bifold; cuero de grano superior.</t>
        </is>
      </c>
      <c r="U2431" s="156" t="n"/>
      <c r="V2431" s="156" t="inlineStr">
        <is>
          <t>PZS</t>
        </is>
      </c>
      <c r="W2431" s="51" t="inlineStr">
        <is>
          <t>53102501</t>
        </is>
      </c>
      <c r="X2431" s="156" t="inlineStr">
        <is>
          <t>https://cdn.shopify.com/s/files/1/0357/2432/9005/files/9811002-200_Brown_1.jpg?v=1787563361</t>
        </is>
      </c>
      <c r="Y2431" s="54" t="n"/>
      <c r="Z2431" s="54" t="n"/>
      <c r="AA2431" s="55">
        <f>IF(AND(A2431="", B2431="", E2431=""), "", IF(AB2431="", "Válido", IF((LEN(AB2431)-LEN(SUBSTITUTE(AB2431,"; ","")))/2+1&gt;(LEN(AB2431)-LEN(SUBSTITUTE(AB2431,"[Aviso]","")))/7, "Con Incidencias", "Válido")))</f>
        <v/>
      </c>
      <c r="AB2431" s="56">
        <f>IF(AND(A2431="", B2431="", E2431=""), "", TEXTJOIN("; ", TRUE, IF(OR(TRIM(A2431&amp;"")="", ISNUMBER(SEARCH("FALTA", A2431))), "UPC faltante/inválido", ""), IF(AND(A2431&lt;&gt;"", IFERROR(_xlfn.XMATCH(A2431,$A$2:$A$2509,0,1)&lt;&gt;_xlfn.XMATCH(A2431,$A$2:$A$2509,0,-1),FALSE)), "Código de barras duplicado", ""), IF(AND(E2431&lt;&gt;"", COUNTIF($E$2:$E$2509, E2431)&gt;1), "SKU duplicado", ""), IF(OR(J2431="", J2431=""), "[Aviso] División no capturada ()", IF(ISNA(MATCH(J2431, Criterios!$A$123:$A$126, 0)), "División no válida", "")), IF(OR(K2431="", K2431=""), "[Aviso] Categoría no capturada ()", IF(ISNA(MATCH(K2431, Criterios!$A$81:$A$120, 0)), "Categoría no válida", IF(AND(J2431&lt;&gt;"", J2431&lt;&gt;"", J2431&lt;&gt;VLOOKUP(K2431, Criterios!$A$81:$B$120, 2, FALSE)), "División no coincide con Categoría", ""))), IF(OR(L2431="", L2431=""), "[Aviso] Género no capturado ()", IF(ISNA(MATCH(L2431, Criterios!$B$123:$B$127, 0)), "Género no válido", "")), IF(OR(N2431="", N2431=""), "[Aviso] Temporada no capturada ()", IF(ISNA(MATCH(N2431, Criterios!$C$123:$C$128, 0)), "Temporada no válida", "")), IF(OR(O2431="", O2431=""), "[Aviso] Ciclo de vida no capturado ()", IF(ISNA(MATCH(O2431, Criterios!$D$123:$D$124, 0)), "Ciclo de vida no válido", ""))))</f>
        <v/>
      </c>
      <c r="AC2431" s="56" t="n"/>
      <c r="AD2431" s="51" t="n">
        <v>0</v>
      </c>
      <c r="AE2431" s="156" t="inlineStr">
        <is>
          <t>Sin coincidencia en NetSuite</t>
        </is>
      </c>
      <c r="AF2431" s="51" t="n"/>
      <c r="AG2431" s="156" t="inlineStr">
        <is>
          <t>Catálogo existente</t>
        </is>
      </c>
      <c r="AH2431" s="156" t="inlineStr">
        <is>
          <t>No se encontró en Hoja a Revisar por ID interno ni por código de barras | Homologación G1522 06/10/2026: WB Silueta: «Bifold» → «» (Corrección aplicada)</t>
        </is>
      </c>
      <c r="AI2431" s="156" t="n"/>
      <c r="AJ2431" s="156" t="n"/>
      <c r="AK2431" s="155" t="n"/>
      <c r="AL2431" s="58" t="n"/>
      <c r="AM2431" s="58" t="n"/>
      <c r="AN2431" s="155" t="n"/>
      <c r="AO2431" s="59" t="n"/>
      <c r="AP2431" s="59" t="n"/>
      <c r="AQ2431" s="59" t="n"/>
      <c r="AR2431" s="155" t="n"/>
    </row>
    <row r="2432">
      <c r="A2432" s="50" t="inlineStr">
        <is>
          <t>724303749731</t>
        </is>
      </c>
      <c r="B2432" s="51" t="n"/>
      <c r="C2432" s="156" t="inlineStr">
        <is>
          <t>Stetson</t>
        </is>
      </c>
      <c r="D2432" s="156" t="inlineStr">
        <is>
          <t>9810001</t>
        </is>
      </c>
      <c r="E2432" s="156" t="inlineStr">
        <is>
          <t>9810001</t>
        </is>
      </c>
      <c r="F2432" s="156" t="inlineStr">
        <is>
          <t>Talla única</t>
        </is>
      </c>
      <c r="G2432" s="156" t="inlineStr">
        <is>
          <t>One Size</t>
        </is>
      </c>
      <c r="H2432" s="156" t="inlineStr">
        <is>
          <t>Stetson</t>
        </is>
      </c>
      <c r="I2432" s="156" t="inlineStr">
        <is>
          <t>Cartera Stetson con relieves tipo cocodrilo y avestruz</t>
        </is>
      </c>
      <c r="J2432" s="156" t="inlineStr">
        <is>
          <t>Accesorios</t>
        </is>
      </c>
      <c r="K2432" s="156" t="inlineStr">
        <is>
          <t>Carteras</t>
        </is>
      </c>
      <c r="L2432" s="156" t="inlineStr">
        <is>
          <t>Hombre</t>
        </is>
      </c>
      <c r="M2432" s="156" t="inlineStr">
        <is>
          <t>Stetson</t>
        </is>
      </c>
      <c r="N2432" s="156" t="inlineStr">
        <is>
          <t>SS26</t>
        </is>
      </c>
      <c r="O2432" s="156" t="inlineStr">
        <is>
          <t>Seasonal</t>
        </is>
      </c>
      <c r="P2432" s="156" t="inlineStr">
        <is>
          <t>Cafe</t>
        </is>
      </c>
      <c r="Q2432" s="156" t="n"/>
      <c r="R2432" s="156" t="n"/>
      <c r="S2432" s="156" t="inlineStr">
        <is>
          <t>Cuero de grano superior con relieves tipo cocodrilo y avestruz</t>
        </is>
      </c>
      <c r="T2432" s="156" t="inlineStr">
        <is>
          <t>Cartera Stetson con relieves tipo cocodrilo y avestruz; trifold; cuero de grano superior con relieves tipo cocodrilo y avestruz.</t>
        </is>
      </c>
      <c r="U2432" s="156" t="n"/>
      <c r="V2432" s="156" t="inlineStr">
        <is>
          <t>PZS</t>
        </is>
      </c>
      <c r="W2432" s="51" t="inlineStr">
        <is>
          <t>53102501</t>
        </is>
      </c>
      <c r="X2432" s="156" t="n"/>
      <c r="Y2432" s="54" t="n"/>
      <c r="Z2432" s="54" t="n"/>
      <c r="AA2432" s="55">
        <f>IF(AND(A2432="", B2432="", E2432=""), "", IF(AB2432="", "Válido", IF((LEN(AB2432)-LEN(SUBSTITUTE(AB2432,"; ","")))/2+1&gt;(LEN(AB2432)-LEN(SUBSTITUTE(AB2432,"[Aviso]","")))/7, "Con Incidencias", "Válido")))</f>
        <v/>
      </c>
      <c r="AB2432" s="56">
        <f>IF(AND(A2432="", B2432="", E2432=""), "", TEXTJOIN("; ", TRUE, IF(OR(TRIM(A2432&amp;"")="", ISNUMBER(SEARCH("FALTA", A2432))), "UPC faltante/inválido", ""), IF(AND(A2432&lt;&gt;"", IFERROR(_xlfn.XMATCH(A2432,$A$2:$A$2509,0,1)&lt;&gt;_xlfn.XMATCH(A2432,$A$2:$A$2509,0,-1),FALSE)), "Código de barras duplicado", ""), IF(AND(E2432&lt;&gt;"", COUNTIF($E$2:$E$2509, E2432)&gt;1), "SKU duplicado", ""), IF(OR(J2432="", J2432=""), "[Aviso] División no capturada ()", IF(ISNA(MATCH(J2432, Criterios!$A$123:$A$126, 0)), "División no válida", "")), IF(OR(K2432="", K2432=""), "[Aviso] Categoría no capturada ()", IF(ISNA(MATCH(K2432, Criterios!$A$81:$A$120, 0)), "Categoría no válida", IF(AND(J2432&lt;&gt;"", J2432&lt;&gt;"", J2432&lt;&gt;VLOOKUP(K2432, Criterios!$A$81:$B$120, 2, FALSE)), "División no coincide con Categoría", ""))), IF(OR(L2432="", L2432=""), "[Aviso] Género no capturado ()", IF(ISNA(MATCH(L2432, Criterios!$B$123:$B$127, 0)), "Género no válido", "")), IF(OR(N2432="", N2432=""), "[Aviso] Temporada no capturada ()", IF(ISNA(MATCH(N2432, Criterios!$C$123:$C$128, 0)), "Temporada no válida", "")), IF(OR(O2432="", O2432=""), "[Aviso] Ciclo de vida no capturado ()", IF(ISNA(MATCH(O2432, Criterios!$D$123:$D$124, 0)), "Ciclo de vida no válido", ""))))</f>
        <v/>
      </c>
      <c r="AC2432" s="56" t="n"/>
      <c r="AD2432" s="51" t="n">
        <v>0</v>
      </c>
      <c r="AE2432" s="156" t="inlineStr">
        <is>
          <t>Sin coincidencia en NetSuite</t>
        </is>
      </c>
      <c r="AF2432" s="51" t="n"/>
      <c r="AG2432" s="156" t="inlineStr">
        <is>
          <t>Catálogo existente</t>
        </is>
      </c>
      <c r="AH2432" s="156" t="inlineStr">
        <is>
          <t>No se encontró en Hoja a Revisar por ID interno ni por código de barras | Homologación G1522 06/10/2026: WB Silueta: «Trifold» → «» (Corrección aplicada)</t>
        </is>
      </c>
      <c r="AI2432" s="156" t="n"/>
      <c r="AJ2432" s="156" t="n"/>
      <c r="AK2432" s="155" t="n"/>
      <c r="AL2432" s="58" t="n"/>
      <c r="AM2432" s="58" t="n"/>
      <c r="AN2432" s="155" t="n"/>
      <c r="AO2432" s="59" t="n"/>
      <c r="AP2432" s="59" t="n"/>
      <c r="AQ2432" s="59" t="n"/>
      <c r="AR2432" s="155" t="n"/>
    </row>
    <row r="2433">
      <c r="A2433" s="50" t="inlineStr">
        <is>
          <t>724303749748</t>
        </is>
      </c>
      <c r="B2433" s="51" t="n"/>
      <c r="C2433" s="156" t="inlineStr">
        <is>
          <t>Stetson</t>
        </is>
      </c>
      <c r="D2433" s="156" t="inlineStr">
        <is>
          <t>9810002</t>
        </is>
      </c>
      <c r="E2433" s="156" t="inlineStr">
        <is>
          <t>9810002</t>
        </is>
      </c>
      <c r="F2433" s="156" t="inlineStr">
        <is>
          <t>Talla única</t>
        </is>
      </c>
      <c r="G2433" s="156" t="inlineStr">
        <is>
          <t>One Size</t>
        </is>
      </c>
      <c r="H2433" s="156" t="inlineStr">
        <is>
          <t>Stetson</t>
        </is>
      </c>
      <c r="I2433" s="156" t="inlineStr">
        <is>
          <t>Cartera Stetson con relieves tipo cocodrilo y avestruz</t>
        </is>
      </c>
      <c r="J2433" s="156" t="inlineStr">
        <is>
          <t>Accesorios</t>
        </is>
      </c>
      <c r="K2433" s="156" t="inlineStr">
        <is>
          <t>Carteras</t>
        </is>
      </c>
      <c r="L2433" s="156" t="inlineStr">
        <is>
          <t>Hombre</t>
        </is>
      </c>
      <c r="M2433" s="156" t="inlineStr">
        <is>
          <t>Stetson</t>
        </is>
      </c>
      <c r="N2433" s="156" t="inlineStr">
        <is>
          <t>SS26</t>
        </is>
      </c>
      <c r="O2433" s="156" t="inlineStr">
        <is>
          <t>Seasonal</t>
        </is>
      </c>
      <c r="P2433" s="156" t="inlineStr">
        <is>
          <t>Cafe</t>
        </is>
      </c>
      <c r="Q2433" s="156" t="n"/>
      <c r="R2433" s="156" t="n"/>
      <c r="S2433" s="156" t="inlineStr">
        <is>
          <t>Cuero de grano superior con relieves tipo cocodrilo y avestruz</t>
        </is>
      </c>
      <c r="T2433" s="156" t="inlineStr">
        <is>
          <t>Cartera Stetson con relieves tipo cocodrilo y avestruz; bifold; cuero de grano superior con relieves tipo cocodrilo y avestruz.</t>
        </is>
      </c>
      <c r="U2433" s="156" t="n"/>
      <c r="V2433" s="156" t="inlineStr">
        <is>
          <t>PZS</t>
        </is>
      </c>
      <c r="W2433" s="51" t="inlineStr">
        <is>
          <t>53102501</t>
        </is>
      </c>
      <c r="X2433" s="156" t="n"/>
      <c r="Y2433" s="54" t="n"/>
      <c r="Z2433" s="54" t="n"/>
      <c r="AA2433" s="55">
        <f>IF(AND(A2433="", B2433="", E2433=""), "", IF(AB2433="", "Válido", IF((LEN(AB2433)-LEN(SUBSTITUTE(AB2433,"; ","")))/2+1&gt;(LEN(AB2433)-LEN(SUBSTITUTE(AB2433,"[Aviso]","")))/7, "Con Incidencias", "Válido")))</f>
        <v/>
      </c>
      <c r="AB2433" s="56">
        <f>IF(AND(A2433="", B2433="", E2433=""), "", TEXTJOIN("; ", TRUE, IF(OR(TRIM(A2433&amp;"")="", ISNUMBER(SEARCH("FALTA", A2433))), "UPC faltante/inválido", ""), IF(AND(A2433&lt;&gt;"", IFERROR(_xlfn.XMATCH(A2433,$A$2:$A$2509,0,1)&lt;&gt;_xlfn.XMATCH(A2433,$A$2:$A$2509,0,-1),FALSE)), "Código de barras duplicado", ""), IF(AND(E2433&lt;&gt;"", COUNTIF($E$2:$E$2509, E2433)&gt;1), "SKU duplicado", ""), IF(OR(J2433="", J2433=""), "[Aviso] División no capturada ()", IF(ISNA(MATCH(J2433, Criterios!$A$123:$A$126, 0)), "División no válida", "")), IF(OR(K2433="", K2433=""), "[Aviso] Categoría no capturada ()", IF(ISNA(MATCH(K2433, Criterios!$A$81:$A$120, 0)), "Categoría no válida", IF(AND(J2433&lt;&gt;"", J2433&lt;&gt;"", J2433&lt;&gt;VLOOKUP(K2433, Criterios!$A$81:$B$120, 2, FALSE)), "División no coincide con Categoría", ""))), IF(OR(L2433="", L2433=""), "[Aviso] Género no capturado ()", IF(ISNA(MATCH(L2433, Criterios!$B$123:$B$127, 0)), "Género no válido", "")), IF(OR(N2433="", N2433=""), "[Aviso] Temporada no capturada ()", IF(ISNA(MATCH(N2433, Criterios!$C$123:$C$128, 0)), "Temporada no válida", "")), IF(OR(O2433="", O2433=""), "[Aviso] Ciclo de vida no capturado ()", IF(ISNA(MATCH(O2433, Criterios!$D$123:$D$124, 0)), "Ciclo de vida no válido", ""))))</f>
        <v/>
      </c>
      <c r="AC2433" s="56" t="n"/>
      <c r="AD2433" s="51" t="n">
        <v>0</v>
      </c>
      <c r="AE2433" s="156" t="inlineStr">
        <is>
          <t>Sin coincidencia en NetSuite</t>
        </is>
      </c>
      <c r="AF2433" s="51" t="n"/>
      <c r="AG2433" s="156" t="inlineStr">
        <is>
          <t>Catálogo existente</t>
        </is>
      </c>
      <c r="AH2433" s="156" t="inlineStr">
        <is>
          <t>No se encontró en Hoja a Revisar por ID interno ni por código de barras | Homologación G1522 06/10/2026: WB Silueta: «Bifold» → «» (Corrección aplicada)</t>
        </is>
      </c>
      <c r="AI2433" s="156" t="n"/>
      <c r="AJ2433" s="156" t="n"/>
      <c r="AK2433" s="155" t="n"/>
      <c r="AL2433" s="58" t="n"/>
      <c r="AM2433" s="58" t="n"/>
      <c r="AN2433" s="155" t="n"/>
      <c r="AO2433" s="59" t="n"/>
      <c r="AP2433" s="59" t="n"/>
      <c r="AQ2433" s="59" t="n"/>
      <c r="AR2433" s="155" t="n"/>
    </row>
    <row r="2434">
      <c r="A2434" s="50" t="inlineStr">
        <is>
          <t>724303749724</t>
        </is>
      </c>
      <c r="B2434" s="51" t="n"/>
      <c r="C2434" s="156" t="inlineStr">
        <is>
          <t>Stetson</t>
        </is>
      </c>
      <c r="D2434" s="156" t="inlineStr">
        <is>
          <t>9811003</t>
        </is>
      </c>
      <c r="E2434" s="156" t="inlineStr">
        <is>
          <t>9811003</t>
        </is>
      </c>
      <c r="F2434" s="156" t="inlineStr">
        <is>
          <t>Talla única</t>
        </is>
      </c>
      <c r="G2434" s="156" t="inlineStr">
        <is>
          <t>One Size</t>
        </is>
      </c>
      <c r="H2434" s="156" t="inlineStr">
        <is>
          <t>Stetson</t>
        </is>
      </c>
      <c r="I2434" s="156" t="inlineStr">
        <is>
          <t>Cartera chequera Stetson con relieve de tejido de canasta</t>
        </is>
      </c>
      <c r="J2434" s="156" t="inlineStr">
        <is>
          <t>Accesorios</t>
        </is>
      </c>
      <c r="K2434" s="156" t="inlineStr">
        <is>
          <t>Carteras</t>
        </is>
      </c>
      <c r="L2434" s="156" t="inlineStr">
        <is>
          <t>Unisex</t>
        </is>
      </c>
      <c r="M2434" s="156" t="inlineStr">
        <is>
          <t>Stetson</t>
        </is>
      </c>
      <c r="N2434" s="156" t="inlineStr">
        <is>
          <t>SS26</t>
        </is>
      </c>
      <c r="O2434" s="156" t="inlineStr">
        <is>
          <t>Seasonal</t>
        </is>
      </c>
      <c r="P2434" s="156" t="inlineStr">
        <is>
          <t>Cafe</t>
        </is>
      </c>
      <c r="Q2434" s="156" t="n"/>
      <c r="R2434" s="156" t="n"/>
      <c r="S2434" s="156" t="inlineStr">
        <is>
          <t>Cuero de grano superior</t>
        </is>
      </c>
      <c r="T2434" s="156" t="inlineStr">
        <is>
          <t>Cartera chequera Stetson con relieve de tejido de canasta; chequera; cuero de grano superior.</t>
        </is>
      </c>
      <c r="U2434" s="156" t="n"/>
      <c r="V2434" s="156" t="inlineStr">
        <is>
          <t>PZS</t>
        </is>
      </c>
      <c r="W2434" s="51" t="inlineStr">
        <is>
          <t>53102501</t>
        </is>
      </c>
      <c r="X2434" s="156" t="inlineStr">
        <is>
          <t>https://cdn.shopify.com/s/files/1/0357/2432/9005/files/9811003-200_Brown_1.jpg?v=1787563693</t>
        </is>
      </c>
      <c r="Y2434" s="54" t="n"/>
      <c r="Z2434" s="54" t="n"/>
      <c r="AA2434" s="55">
        <f>IF(AND(A2434="", B2434="", E2434=""), "", IF(AB2434="", "Válido", IF((LEN(AB2434)-LEN(SUBSTITUTE(AB2434,"; ","")))/2+1&gt;(LEN(AB2434)-LEN(SUBSTITUTE(AB2434,"[Aviso]","")))/7, "Con Incidencias", "Válido")))</f>
        <v/>
      </c>
      <c r="AB2434" s="56">
        <f>IF(AND(A2434="", B2434="", E2434=""), "", TEXTJOIN("; ", TRUE, IF(OR(TRIM(A2434&amp;"")="", ISNUMBER(SEARCH("FALTA", A2434))), "UPC faltante/inválido", ""), IF(AND(A2434&lt;&gt;"", IFERROR(_xlfn.XMATCH(A2434,$A$2:$A$2509,0,1)&lt;&gt;_xlfn.XMATCH(A2434,$A$2:$A$2509,0,-1),FALSE)), "Código de barras duplicado", ""), IF(AND(E2434&lt;&gt;"", COUNTIF($E$2:$E$2509, E2434)&gt;1), "SKU duplicado", ""), IF(OR(J2434="", J2434=""), "[Aviso] División no capturada ()", IF(ISNA(MATCH(J2434, Criterios!$A$123:$A$126, 0)), "División no válida", "")), IF(OR(K2434="", K2434=""), "[Aviso] Categoría no capturada ()", IF(ISNA(MATCH(K2434, Criterios!$A$81:$A$120, 0)), "Categoría no válida", IF(AND(J2434&lt;&gt;"", J2434&lt;&gt;"", J2434&lt;&gt;VLOOKUP(K2434, Criterios!$A$81:$B$120, 2, FALSE)), "División no coincide con Categoría", ""))), IF(OR(L2434="", L2434=""), "[Aviso] Género no capturado ()", IF(ISNA(MATCH(L2434, Criterios!$B$123:$B$127, 0)), "Género no válido", "")), IF(OR(N2434="", N2434=""), "[Aviso] Temporada no capturada ()", IF(ISNA(MATCH(N2434, Criterios!$C$123:$C$128, 0)), "Temporada no válida", "")), IF(OR(O2434="", O2434=""), "[Aviso] Ciclo de vida no capturado ()", IF(ISNA(MATCH(O2434, Criterios!$D$123:$D$124, 0)), "Ciclo de vida no válido", ""))))</f>
        <v/>
      </c>
      <c r="AC2434" s="56" t="n"/>
      <c r="AD2434" s="51" t="n">
        <v>0</v>
      </c>
      <c r="AE2434" s="156" t="inlineStr">
        <is>
          <t>Sin coincidencia en NetSuite</t>
        </is>
      </c>
      <c r="AF2434" s="51" t="n"/>
      <c r="AG2434" s="156" t="inlineStr">
        <is>
          <t>Catálogo existente</t>
        </is>
      </c>
      <c r="AH2434" s="156" t="inlineStr">
        <is>
          <t>No se encontró en Hoja a Revisar por ID interno ni por código de barras | Homologación G1522 06/10/2026: WB Silueta: «Chequera» → «» (Corrección aplicada)</t>
        </is>
      </c>
      <c r="AI2434" s="156" t="n"/>
      <c r="AJ2434" s="156" t="n"/>
      <c r="AK2434" s="155" t="n"/>
      <c r="AL2434" s="58" t="n"/>
      <c r="AM2434" s="58" t="n"/>
      <c r="AN2434" s="155" t="n"/>
      <c r="AO2434" s="59" t="n"/>
      <c r="AP2434" s="59" t="n"/>
      <c r="AQ2434" s="59" t="n"/>
      <c r="AR2434" s="155" t="n"/>
    </row>
    <row r="2435">
      <c r="A2435" s="50" t="inlineStr">
        <is>
          <t>724303749755</t>
        </is>
      </c>
      <c r="B2435" s="51" t="n"/>
      <c r="C2435" s="156" t="inlineStr">
        <is>
          <t>Stetson</t>
        </is>
      </c>
      <c r="D2435" s="156" t="inlineStr">
        <is>
          <t>9810003</t>
        </is>
      </c>
      <c r="E2435" s="156" t="inlineStr">
        <is>
          <t>9810003</t>
        </is>
      </c>
      <c r="F2435" s="156" t="inlineStr">
        <is>
          <t>Talla única</t>
        </is>
      </c>
      <c r="G2435" s="156" t="inlineStr">
        <is>
          <t>One Size</t>
        </is>
      </c>
      <c r="H2435" s="156" t="inlineStr">
        <is>
          <t>Stetson</t>
        </is>
      </c>
      <c r="I2435" s="156" t="inlineStr">
        <is>
          <t>Cartera Stetson con relieves tipo cocodrilo y avestruz</t>
        </is>
      </c>
      <c r="J2435" s="156" t="inlineStr">
        <is>
          <t>Accesorios</t>
        </is>
      </c>
      <c r="K2435" s="156" t="inlineStr">
        <is>
          <t>Carteras</t>
        </is>
      </c>
      <c r="L2435" s="156" t="inlineStr">
        <is>
          <t>Unisex</t>
        </is>
      </c>
      <c r="M2435" s="156" t="inlineStr">
        <is>
          <t>Stetson</t>
        </is>
      </c>
      <c r="N2435" s="156" t="inlineStr">
        <is>
          <t>SS26</t>
        </is>
      </c>
      <c r="O2435" s="156" t="inlineStr">
        <is>
          <t>Seasonal</t>
        </is>
      </c>
      <c r="P2435" s="156" t="inlineStr">
        <is>
          <t>Cafe</t>
        </is>
      </c>
      <c r="Q2435" s="156" t="n"/>
      <c r="R2435" s="156" t="n"/>
      <c r="S2435" s="156" t="inlineStr">
        <is>
          <t>Cuero de grano superior con relieves tipo cocodrilo y avestruz</t>
        </is>
      </c>
      <c r="T2435" s="156" t="inlineStr">
        <is>
          <t>Cartera Stetson con relieves tipo cocodrilo y avestruz; chequera; cuero de grano superior con relieves tipo cocodrilo y avestruz.</t>
        </is>
      </c>
      <c r="U2435" s="156" t="n"/>
      <c r="V2435" s="156" t="inlineStr">
        <is>
          <t>PZS</t>
        </is>
      </c>
      <c r="W2435" s="51" t="inlineStr">
        <is>
          <t>53102501</t>
        </is>
      </c>
      <c r="X2435" s="156" t="n"/>
      <c r="Y2435" s="54" t="n"/>
      <c r="Z2435" s="54" t="n"/>
      <c r="AA2435" s="55">
        <f>IF(AND(A2435="", B2435="", E2435=""), "", IF(AB2435="", "Válido", IF((LEN(AB2435)-LEN(SUBSTITUTE(AB2435,"; ","")))/2+1&gt;(LEN(AB2435)-LEN(SUBSTITUTE(AB2435,"[Aviso]","")))/7, "Con Incidencias", "Válido")))</f>
        <v/>
      </c>
      <c r="AB2435" s="56">
        <f>IF(AND(A2435="", B2435="", E2435=""), "", TEXTJOIN("; ", TRUE, IF(OR(TRIM(A2435&amp;"")="", ISNUMBER(SEARCH("FALTA", A2435))), "UPC faltante/inválido", ""), IF(AND(A2435&lt;&gt;"", IFERROR(_xlfn.XMATCH(A2435,$A$2:$A$2509,0,1)&lt;&gt;_xlfn.XMATCH(A2435,$A$2:$A$2509,0,-1),FALSE)), "Código de barras duplicado", ""), IF(AND(E2435&lt;&gt;"", COUNTIF($E$2:$E$2509, E2435)&gt;1), "SKU duplicado", ""), IF(OR(J2435="", J2435=""), "[Aviso] División no capturada ()", IF(ISNA(MATCH(J2435, Criterios!$A$123:$A$126, 0)), "División no válida", "")), IF(OR(K2435="", K2435=""), "[Aviso] Categoría no capturada ()", IF(ISNA(MATCH(K2435, Criterios!$A$81:$A$120, 0)), "Categoría no válida", IF(AND(J2435&lt;&gt;"", J2435&lt;&gt;"", J2435&lt;&gt;VLOOKUP(K2435, Criterios!$A$81:$B$120, 2, FALSE)), "División no coincide con Categoría", ""))), IF(OR(L2435="", L2435=""), "[Aviso] Género no capturado ()", IF(ISNA(MATCH(L2435, Criterios!$B$123:$B$127, 0)), "Género no válido", "")), IF(OR(N2435="", N2435=""), "[Aviso] Temporada no capturada ()", IF(ISNA(MATCH(N2435, Criterios!$C$123:$C$128, 0)), "Temporada no válida", "")), IF(OR(O2435="", O2435=""), "[Aviso] Ciclo de vida no capturado ()", IF(ISNA(MATCH(O2435, Criterios!$D$123:$D$124, 0)), "Ciclo de vida no válido", ""))))</f>
        <v/>
      </c>
      <c r="AC2435" s="56" t="n"/>
      <c r="AD2435" s="51" t="n">
        <v>0</v>
      </c>
      <c r="AE2435" s="156" t="inlineStr">
        <is>
          <t>Sin coincidencia en NetSuite</t>
        </is>
      </c>
      <c r="AF2435" s="51" t="n"/>
      <c r="AG2435" s="156" t="inlineStr">
        <is>
          <t>Catálogo existente</t>
        </is>
      </c>
      <c r="AH2435" s="156" t="inlineStr">
        <is>
          <t>No se encontró en Hoja a Revisar por ID interno ni por código de barras | Homologación G1522 06/10/2026: WB Silueta: «Chequera» → «» (Corrección aplicada)</t>
        </is>
      </c>
      <c r="AI2435" s="156" t="n"/>
      <c r="AJ2435" s="156" t="n"/>
      <c r="AK2435" s="155" t="n"/>
      <c r="AL2435" s="58" t="n"/>
      <c r="AM2435" s="58" t="n"/>
      <c r="AN2435" s="155" t="n"/>
      <c r="AO2435" s="59" t="n"/>
      <c r="AP2435" s="59" t="n"/>
      <c r="AQ2435" s="59" t="n"/>
      <c r="AR2435" s="155" t="n"/>
    </row>
    <row r="2436">
      <c r="A2436" s="50" t="inlineStr">
        <is>
          <t>724303724622</t>
        </is>
      </c>
      <c r="B2436" s="51" t="n"/>
      <c r="C2436" s="156" t="inlineStr">
        <is>
          <t>Stetson</t>
        </is>
      </c>
      <c r="D2436" s="156" t="inlineStr">
        <is>
          <t>9809002</t>
        </is>
      </c>
      <c r="E2436" s="156" t="inlineStr">
        <is>
          <t>9809002</t>
        </is>
      </c>
      <c r="F2436" s="156" t="inlineStr">
        <is>
          <t>Talla única</t>
        </is>
      </c>
      <c r="G2436" s="156" t="inlineStr">
        <is>
          <t>One Size</t>
        </is>
      </c>
      <c r="H2436" s="156" t="inlineStr">
        <is>
          <t>Stetson</t>
        </is>
      </c>
      <c r="I2436" s="156" t="inlineStr">
        <is>
          <t>Cartera Stetson de piel repujada</t>
        </is>
      </c>
      <c r="J2436" s="156" t="inlineStr">
        <is>
          <t>Accesorios</t>
        </is>
      </c>
      <c r="K2436" s="156" t="inlineStr">
        <is>
          <t>Carteras</t>
        </is>
      </c>
      <c r="L2436" s="156" t="inlineStr">
        <is>
          <t>Unisex</t>
        </is>
      </c>
      <c r="M2436" s="156" t="inlineStr">
        <is>
          <t>Stetson</t>
        </is>
      </c>
      <c r="N2436" s="156" t="inlineStr">
        <is>
          <t>SS26</t>
        </is>
      </c>
      <c r="O2436" s="156" t="inlineStr">
        <is>
          <t>Seasonal</t>
        </is>
      </c>
      <c r="P2436" s="156" t="inlineStr">
        <is>
          <t>Cafe</t>
        </is>
      </c>
      <c r="Q2436" s="156" t="n"/>
      <c r="R2436" s="156" t="n"/>
      <c r="S2436" s="156" t="inlineStr">
        <is>
          <t>Cuero de grano superior curtido vegetal</t>
        </is>
      </c>
      <c r="T2436" s="156" t="inlineStr">
        <is>
          <t>Cartera Stetson de piel repujada; bifold; cuero de grano superior curtido vegetal.</t>
        </is>
      </c>
      <c r="U2436" s="156" t="n"/>
      <c r="V2436" s="156" t="inlineStr">
        <is>
          <t>PZS</t>
        </is>
      </c>
      <c r="W2436" s="51" t="inlineStr">
        <is>
          <t>53102501</t>
        </is>
      </c>
      <c r="X2436" s="156" t="inlineStr">
        <is>
          <t>https://cdn.shopify.com/s/files/1/0357/2432/9005/files/9809002-200_Brown_1.jpg?v=1713386719</t>
        </is>
      </c>
      <c r="Y2436" s="54" t="n"/>
      <c r="Z2436" s="54" t="n"/>
      <c r="AA2436" s="55">
        <f>IF(AND(A2436="", B2436="", E2436=""), "", IF(AB2436="", "Válido", IF((LEN(AB2436)-LEN(SUBSTITUTE(AB2436,"; ","")))/2+1&gt;(LEN(AB2436)-LEN(SUBSTITUTE(AB2436,"[Aviso]","")))/7, "Con Incidencias", "Válido")))</f>
        <v/>
      </c>
      <c r="AB2436" s="56">
        <f>IF(AND(A2436="", B2436="", E2436=""), "", TEXTJOIN("; ", TRUE, IF(OR(TRIM(A2436&amp;"")="", ISNUMBER(SEARCH("FALTA", A2436))), "UPC faltante/inválido", ""), IF(AND(A2436&lt;&gt;"", IFERROR(_xlfn.XMATCH(A2436,$A$2:$A$2509,0,1)&lt;&gt;_xlfn.XMATCH(A2436,$A$2:$A$2509,0,-1),FALSE)), "Código de barras duplicado", ""), IF(AND(E2436&lt;&gt;"", COUNTIF($E$2:$E$2509, E2436)&gt;1), "SKU duplicado", ""), IF(OR(J2436="", J2436=""), "[Aviso] División no capturada ()", IF(ISNA(MATCH(J2436, Criterios!$A$123:$A$126, 0)), "División no válida", "")), IF(OR(K2436="", K2436=""), "[Aviso] Categoría no capturada ()", IF(ISNA(MATCH(K2436, Criterios!$A$81:$A$120, 0)), "Categoría no válida", IF(AND(J2436&lt;&gt;"", J2436&lt;&gt;"", J2436&lt;&gt;VLOOKUP(K2436, Criterios!$A$81:$B$120, 2, FALSE)), "División no coincide con Categoría", ""))), IF(OR(L2436="", L2436=""), "[Aviso] Género no capturado ()", IF(ISNA(MATCH(L2436, Criterios!$B$123:$B$127, 0)), "Género no válido", "")), IF(OR(N2436="", N2436=""), "[Aviso] Temporada no capturada ()", IF(ISNA(MATCH(N2436, Criterios!$C$123:$C$128, 0)), "Temporada no válida", "")), IF(OR(O2436="", O2436=""), "[Aviso] Ciclo de vida no capturado ()", IF(ISNA(MATCH(O2436, Criterios!$D$123:$D$124, 0)), "Ciclo de vida no válido", ""))))</f>
        <v/>
      </c>
      <c r="AC2436" s="56" t="n"/>
      <c r="AD2436" s="51" t="n">
        <v>0</v>
      </c>
      <c r="AE2436" s="156" t="inlineStr">
        <is>
          <t>Sin coincidencia en NetSuite</t>
        </is>
      </c>
      <c r="AF2436" s="51" t="n"/>
      <c r="AG2436" s="156" t="inlineStr">
        <is>
          <t>Catálogo existente</t>
        </is>
      </c>
      <c r="AH2436" s="156" t="inlineStr">
        <is>
          <t>No se encontró en Hoja a Revisar por ID interno ni por código de barras | Homologación G1522 06/10/2026: WB Silueta: «Bifold» → «» (Corrección aplicada)</t>
        </is>
      </c>
      <c r="AI2436" s="156" t="n"/>
      <c r="AJ2436" s="156" t="n"/>
      <c r="AK2436" s="155" t="n"/>
      <c r="AL2436" s="58" t="n"/>
      <c r="AM2436" s="58" t="n"/>
      <c r="AN2436" s="155" t="n"/>
      <c r="AO2436" s="59" t="n"/>
      <c r="AP2436" s="59" t="n"/>
      <c r="AQ2436" s="59" t="n"/>
      <c r="AR2436" s="155" t="n"/>
    </row>
    <row r="2437">
      <c r="A2437" s="50" t="inlineStr">
        <is>
          <t>724303747645</t>
        </is>
      </c>
      <c r="B2437" s="51" t="n"/>
      <c r="C2437" s="156" t="inlineStr">
        <is>
          <t>Stetson</t>
        </is>
      </c>
      <c r="D2437" s="156" t="inlineStr">
        <is>
          <t>9416790</t>
        </is>
      </c>
      <c r="E2437" s="156" t="inlineStr">
        <is>
          <t>9416790-S</t>
        </is>
      </c>
      <c r="F2437" s="156" t="inlineStr">
        <is>
          <t>S</t>
        </is>
      </c>
      <c r="G2437" s="156" t="inlineStr">
        <is>
          <t>S</t>
        </is>
      </c>
      <c r="H2437" s="156" t="inlineStr">
        <is>
          <t>Stetson</t>
        </is>
      </c>
      <c r="I2437" s="156" t="inlineStr">
        <is>
          <t>Cinturón Stetson con flores repujadas</t>
        </is>
      </c>
      <c r="J2437" s="156" t="inlineStr">
        <is>
          <t>Accesorios</t>
        </is>
      </c>
      <c r="K2437" s="156" t="inlineStr">
        <is>
          <t>Cinturones</t>
        </is>
      </c>
      <c r="L2437" s="156" t="inlineStr">
        <is>
          <t>Mujer</t>
        </is>
      </c>
      <c r="M2437" s="156" t="inlineStr">
        <is>
          <t>Stetson</t>
        </is>
      </c>
      <c r="N2437" s="156" t="inlineStr">
        <is>
          <t>SS26</t>
        </is>
      </c>
      <c r="O2437" s="156" t="inlineStr">
        <is>
          <t>Seasonal</t>
        </is>
      </c>
      <c r="P2437" s="156" t="inlineStr">
        <is>
          <t>Cafe</t>
        </is>
      </c>
      <c r="Q2437" s="156" t="n"/>
      <c r="R2437" s="156" t="n"/>
      <c r="S2437" s="156" t="inlineStr">
        <is>
          <t>Piel genuina</t>
        </is>
      </c>
      <c r="T2437" s="156" t="inlineStr">
        <is>
          <t>Cinturón Stetson con flores repujadas; correa ancha con flores; piel genuina.</t>
        </is>
      </c>
      <c r="U2437" s="156" t="n"/>
      <c r="V2437" s="156" t="inlineStr">
        <is>
          <t>PZS</t>
        </is>
      </c>
      <c r="W2437" s="51" t="inlineStr">
        <is>
          <t>53102501</t>
        </is>
      </c>
      <c r="X2437" s="156" t="inlineStr">
        <is>
          <t>https://cdn11.bigcommerce.com/s-suohc1v4iw/products/31809/images/91205/tmdh9osyqtd6cducatfx__76326.1761767757.386.513.jpg?c=2</t>
        </is>
      </c>
      <c r="Y2437" s="54" t="n"/>
      <c r="Z2437" s="54" t="n"/>
      <c r="AA2437" s="55">
        <f>IF(AND(A2437="", B2437="", E2437=""), "", IF(AB2437="", "Válido", IF((LEN(AB2437)-LEN(SUBSTITUTE(AB2437,"; ","")))/2+1&gt;(LEN(AB2437)-LEN(SUBSTITUTE(AB2437,"[Aviso]","")))/7, "Con Incidencias", "Válido")))</f>
        <v/>
      </c>
      <c r="AB2437" s="56">
        <f>IF(AND(A2437="", B2437="", E2437=""), "", TEXTJOIN("; ", TRUE, IF(OR(TRIM(A2437&amp;"")="", ISNUMBER(SEARCH("FALTA", A2437))), "UPC faltante/inválido", ""), IF(AND(A2437&lt;&gt;"", IFERROR(_xlfn.XMATCH(A2437,$A$2:$A$2509,0,1)&lt;&gt;_xlfn.XMATCH(A2437,$A$2:$A$2509,0,-1),FALSE)), "Código de barras duplicado", ""), IF(AND(E2437&lt;&gt;"", COUNTIF($E$2:$E$2509, E2437)&gt;1), "SKU duplicado", ""), IF(OR(J2437="", J2437=""), "[Aviso] División no capturada ()", IF(ISNA(MATCH(J2437, Criterios!$A$123:$A$126, 0)), "División no válida", "")), IF(OR(K2437="", K2437=""), "[Aviso] Categoría no capturada ()", IF(ISNA(MATCH(K2437, Criterios!$A$81:$A$120, 0)), "Categoría no válida", IF(AND(J2437&lt;&gt;"", J2437&lt;&gt;"", J2437&lt;&gt;VLOOKUP(K2437, Criterios!$A$81:$B$120, 2, FALSE)), "División no coincide con Categoría", ""))), IF(OR(L2437="", L2437=""), "[Aviso] Género no capturado ()", IF(ISNA(MATCH(L2437, Criterios!$B$123:$B$127, 0)), "Género no válido", "")), IF(OR(N2437="", N2437=""), "[Aviso] Temporada no capturada ()", IF(ISNA(MATCH(N2437, Criterios!$C$123:$C$128, 0)), "Temporada no válida", "")), IF(OR(O2437="", O2437=""), "[Aviso] Ciclo de vida no capturado ()", IF(ISNA(MATCH(O2437, Criterios!$D$123:$D$124, 0)), "Ciclo de vida no válido", ""))))</f>
        <v/>
      </c>
      <c r="AC2437" s="56" t="n"/>
      <c r="AD2437" s="51" t="n">
        <v>0</v>
      </c>
      <c r="AE2437" s="156" t="inlineStr">
        <is>
          <t>Sin coincidencia en NetSuite</t>
        </is>
      </c>
      <c r="AF2437" s="51" t="n"/>
      <c r="AG2437" s="156" t="inlineStr">
        <is>
          <t>Catálogo existente</t>
        </is>
      </c>
      <c r="AH2437" s="156" t="inlineStr">
        <is>
          <t>No se encontró en Hoja a Revisar por ID interno ni por código de barras | Homologación G1522 06/10/2026: WB Silueta: «Correa ancha con flores» → «» (Corrección aplicada)</t>
        </is>
      </c>
      <c r="AI2437" s="156" t="n"/>
      <c r="AJ2437" s="156" t="n"/>
      <c r="AK2437" s="155" t="n"/>
      <c r="AL2437" s="58" t="n"/>
      <c r="AM2437" s="58" t="n"/>
      <c r="AN2437" s="155" t="n"/>
      <c r="AO2437" s="59" t="n"/>
      <c r="AP2437" s="59" t="n"/>
      <c r="AQ2437" s="59" t="n"/>
      <c r="AR2437" s="155" t="n"/>
    </row>
    <row r="2438">
      <c r="A2438" s="50" t="inlineStr">
        <is>
          <t>724303747652</t>
        </is>
      </c>
      <c r="B2438" s="51" t="n"/>
      <c r="C2438" s="156" t="inlineStr">
        <is>
          <t>Stetson</t>
        </is>
      </c>
      <c r="D2438" s="156" t="inlineStr">
        <is>
          <t>9416790</t>
        </is>
      </c>
      <c r="E2438" s="156" t="inlineStr">
        <is>
          <t>9416790-M</t>
        </is>
      </c>
      <c r="F2438" s="156" t="inlineStr">
        <is>
          <t>M</t>
        </is>
      </c>
      <c r="G2438" s="156" t="inlineStr">
        <is>
          <t>M</t>
        </is>
      </c>
      <c r="H2438" s="156" t="inlineStr">
        <is>
          <t>Stetson</t>
        </is>
      </c>
      <c r="I2438" s="156" t="inlineStr">
        <is>
          <t>Cinturón Stetson con flores repujadas</t>
        </is>
      </c>
      <c r="J2438" s="156" t="inlineStr">
        <is>
          <t>Accesorios</t>
        </is>
      </c>
      <c r="K2438" s="156" t="inlineStr">
        <is>
          <t>Cinturones</t>
        </is>
      </c>
      <c r="L2438" s="156" t="inlineStr">
        <is>
          <t>Mujer</t>
        </is>
      </c>
      <c r="M2438" s="156" t="inlineStr">
        <is>
          <t>Stetson</t>
        </is>
      </c>
      <c r="N2438" s="156" t="inlineStr">
        <is>
          <t>SS26</t>
        </is>
      </c>
      <c r="O2438" s="156" t="inlineStr">
        <is>
          <t>Seasonal</t>
        </is>
      </c>
      <c r="P2438" s="156" t="inlineStr">
        <is>
          <t>Cafe</t>
        </is>
      </c>
      <c r="Q2438" s="156" t="n"/>
      <c r="R2438" s="156" t="n"/>
      <c r="S2438" s="156" t="inlineStr">
        <is>
          <t>Piel genuina</t>
        </is>
      </c>
      <c r="T2438" s="156" t="inlineStr">
        <is>
          <t>Cinturón Stetson con flores repujadas; correa ancha con flores; piel genuina.</t>
        </is>
      </c>
      <c r="U2438" s="156" t="n"/>
      <c r="V2438" s="156" t="inlineStr">
        <is>
          <t>PZS</t>
        </is>
      </c>
      <c r="W2438" s="51" t="inlineStr">
        <is>
          <t>53102501</t>
        </is>
      </c>
      <c r="X2438" s="156" t="inlineStr">
        <is>
          <t>https://cdn11.bigcommerce.com/s-suohc1v4iw/products/31809/images/91205/tmdh9osyqtd6cducatfx__76326.1761767757.386.513.jpg?c=2</t>
        </is>
      </c>
      <c r="Y2438" s="54" t="n"/>
      <c r="Z2438" s="54" t="n"/>
      <c r="AA2438" s="55">
        <f>IF(AND(A2438="", B2438="", E2438=""), "", IF(AB2438="", "Válido", IF((LEN(AB2438)-LEN(SUBSTITUTE(AB2438,"; ","")))/2+1&gt;(LEN(AB2438)-LEN(SUBSTITUTE(AB2438,"[Aviso]","")))/7, "Con Incidencias", "Válido")))</f>
        <v/>
      </c>
      <c r="AB2438" s="56">
        <f>IF(AND(A2438="", B2438="", E2438=""), "", TEXTJOIN("; ", TRUE, IF(OR(TRIM(A2438&amp;"")="", ISNUMBER(SEARCH("FALTA", A2438))), "UPC faltante/inválido", ""), IF(AND(A2438&lt;&gt;"", IFERROR(_xlfn.XMATCH(A2438,$A$2:$A$2509,0,1)&lt;&gt;_xlfn.XMATCH(A2438,$A$2:$A$2509,0,-1),FALSE)), "Código de barras duplicado", ""), IF(AND(E2438&lt;&gt;"", COUNTIF($E$2:$E$2509, E2438)&gt;1), "SKU duplicado", ""), IF(OR(J2438="", J2438=""), "[Aviso] División no capturada ()", IF(ISNA(MATCH(J2438, Criterios!$A$123:$A$126, 0)), "División no válida", "")), IF(OR(K2438="", K2438=""), "[Aviso] Categoría no capturada ()", IF(ISNA(MATCH(K2438, Criterios!$A$81:$A$120, 0)), "Categoría no válida", IF(AND(J2438&lt;&gt;"", J2438&lt;&gt;"", J2438&lt;&gt;VLOOKUP(K2438, Criterios!$A$81:$B$120, 2, FALSE)), "División no coincide con Categoría", ""))), IF(OR(L2438="", L2438=""), "[Aviso] Género no capturado ()", IF(ISNA(MATCH(L2438, Criterios!$B$123:$B$127, 0)), "Género no válido", "")), IF(OR(N2438="", N2438=""), "[Aviso] Temporada no capturada ()", IF(ISNA(MATCH(N2438, Criterios!$C$123:$C$128, 0)), "Temporada no válida", "")), IF(OR(O2438="", O2438=""), "[Aviso] Ciclo de vida no capturado ()", IF(ISNA(MATCH(O2438, Criterios!$D$123:$D$124, 0)), "Ciclo de vida no válido", ""))))</f>
        <v/>
      </c>
      <c r="AC2438" s="56" t="n"/>
      <c r="AD2438" s="51" t="n">
        <v>0</v>
      </c>
      <c r="AE2438" s="156" t="inlineStr">
        <is>
          <t>Sin coincidencia en NetSuite</t>
        </is>
      </c>
      <c r="AF2438" s="51" t="n"/>
      <c r="AG2438" s="156" t="inlineStr">
        <is>
          <t>Catálogo existente</t>
        </is>
      </c>
      <c r="AH2438" s="156" t="inlineStr">
        <is>
          <t>No se encontró en Hoja a Revisar por ID interno ni por código de barras | Homologación G1522 06/10/2026: WB Silueta: «Correa ancha con flores» → «» (Corrección aplicada)</t>
        </is>
      </c>
      <c r="AI2438" s="156" t="n"/>
      <c r="AJ2438" s="156" t="n"/>
      <c r="AK2438" s="155" t="n"/>
      <c r="AL2438" s="58" t="n"/>
      <c r="AM2438" s="58" t="n"/>
      <c r="AN2438" s="155" t="n"/>
      <c r="AO2438" s="59" t="n"/>
      <c r="AP2438" s="59" t="n"/>
      <c r="AQ2438" s="59" t="n"/>
      <c r="AR2438" s="155" t="n"/>
    </row>
    <row r="2439">
      <c r="A2439" s="50" t="inlineStr">
        <is>
          <t>724303747669</t>
        </is>
      </c>
      <c r="B2439" s="51" t="n"/>
      <c r="C2439" s="156" t="inlineStr">
        <is>
          <t>Stetson</t>
        </is>
      </c>
      <c r="D2439" s="156" t="inlineStr">
        <is>
          <t>9416790</t>
        </is>
      </c>
      <c r="E2439" s="156" t="inlineStr">
        <is>
          <t>9416790-L</t>
        </is>
      </c>
      <c r="F2439" s="156" t="inlineStr">
        <is>
          <t>L</t>
        </is>
      </c>
      <c r="G2439" s="156" t="inlineStr">
        <is>
          <t>L</t>
        </is>
      </c>
      <c r="H2439" s="156" t="inlineStr">
        <is>
          <t>Stetson</t>
        </is>
      </c>
      <c r="I2439" s="156" t="inlineStr">
        <is>
          <t>Cinturón Stetson con flores repujadas</t>
        </is>
      </c>
      <c r="J2439" s="156" t="inlineStr">
        <is>
          <t>Accesorios</t>
        </is>
      </c>
      <c r="K2439" s="156" t="inlineStr">
        <is>
          <t>Cinturones</t>
        </is>
      </c>
      <c r="L2439" s="156" t="inlineStr">
        <is>
          <t>Mujer</t>
        </is>
      </c>
      <c r="M2439" s="156" t="inlineStr">
        <is>
          <t>Stetson</t>
        </is>
      </c>
      <c r="N2439" s="156" t="inlineStr">
        <is>
          <t>SS26</t>
        </is>
      </c>
      <c r="O2439" s="156" t="inlineStr">
        <is>
          <t>Seasonal</t>
        </is>
      </c>
      <c r="P2439" s="156" t="inlineStr">
        <is>
          <t>Cafe</t>
        </is>
      </c>
      <c r="Q2439" s="156" t="n"/>
      <c r="R2439" s="156" t="n"/>
      <c r="S2439" s="156" t="inlineStr">
        <is>
          <t>Piel genuina</t>
        </is>
      </c>
      <c r="T2439" s="156" t="inlineStr">
        <is>
          <t>Cinturón Stetson con flores repujadas; correa ancha con flores; piel genuina.</t>
        </is>
      </c>
      <c r="U2439" s="156" t="n"/>
      <c r="V2439" s="156" t="inlineStr">
        <is>
          <t>PZS</t>
        </is>
      </c>
      <c r="W2439" s="51" t="inlineStr">
        <is>
          <t>53102501</t>
        </is>
      </c>
      <c r="X2439" s="156" t="inlineStr">
        <is>
          <t>https://cdn11.bigcommerce.com/s-suohc1v4iw/products/31809/images/91205/tmdh9osyqtd6cducatfx__76326.1761767757.386.513.jpg?c=2</t>
        </is>
      </c>
      <c r="Y2439" s="54" t="n"/>
      <c r="Z2439" s="54" t="n"/>
      <c r="AA2439" s="55">
        <f>IF(AND(A2439="", B2439="", E2439=""), "", IF(AB2439="", "Válido", IF((LEN(AB2439)-LEN(SUBSTITUTE(AB2439,"; ","")))/2+1&gt;(LEN(AB2439)-LEN(SUBSTITUTE(AB2439,"[Aviso]","")))/7, "Con Incidencias", "Válido")))</f>
        <v/>
      </c>
      <c r="AB2439" s="56">
        <f>IF(AND(A2439="", B2439="", E2439=""), "", TEXTJOIN("; ", TRUE, IF(OR(TRIM(A2439&amp;"")="", ISNUMBER(SEARCH("FALTA", A2439))), "UPC faltante/inválido", ""), IF(AND(A2439&lt;&gt;"", IFERROR(_xlfn.XMATCH(A2439,$A$2:$A$2509,0,1)&lt;&gt;_xlfn.XMATCH(A2439,$A$2:$A$2509,0,-1),FALSE)), "Código de barras duplicado", ""), IF(AND(E2439&lt;&gt;"", COUNTIF($E$2:$E$2509, E2439)&gt;1), "SKU duplicado", ""), IF(OR(J2439="", J2439=""), "[Aviso] División no capturada ()", IF(ISNA(MATCH(J2439, Criterios!$A$123:$A$126, 0)), "División no válida", "")), IF(OR(K2439="", K2439=""), "[Aviso] Categoría no capturada ()", IF(ISNA(MATCH(K2439, Criterios!$A$81:$A$120, 0)), "Categoría no válida", IF(AND(J2439&lt;&gt;"", J2439&lt;&gt;"", J2439&lt;&gt;VLOOKUP(K2439, Criterios!$A$81:$B$120, 2, FALSE)), "División no coincide con Categoría", ""))), IF(OR(L2439="", L2439=""), "[Aviso] Género no capturado ()", IF(ISNA(MATCH(L2439, Criterios!$B$123:$B$127, 0)), "Género no válido", "")), IF(OR(N2439="", N2439=""), "[Aviso] Temporada no capturada ()", IF(ISNA(MATCH(N2439, Criterios!$C$123:$C$128, 0)), "Temporada no válida", "")), IF(OR(O2439="", O2439=""), "[Aviso] Ciclo de vida no capturado ()", IF(ISNA(MATCH(O2439, Criterios!$D$123:$D$124, 0)), "Ciclo de vida no válido", ""))))</f>
        <v/>
      </c>
      <c r="AC2439" s="56" t="n"/>
      <c r="AD2439" s="51" t="n">
        <v>0</v>
      </c>
      <c r="AE2439" s="156" t="inlineStr">
        <is>
          <t>Sin coincidencia en NetSuite</t>
        </is>
      </c>
      <c r="AF2439" s="51" t="n"/>
      <c r="AG2439" s="156" t="inlineStr">
        <is>
          <t>Catálogo existente</t>
        </is>
      </c>
      <c r="AH2439" s="156" t="inlineStr">
        <is>
          <t>No se encontró en Hoja a Revisar por ID interno ni por código de barras | Homologación G1522 06/10/2026: WB Silueta: «Correa ancha con flores» → «» (Corrección aplicada)</t>
        </is>
      </c>
      <c r="AI2439" s="156" t="n"/>
      <c r="AJ2439" s="156" t="n"/>
      <c r="AK2439" s="155" t="n"/>
      <c r="AL2439" s="58" t="n"/>
      <c r="AM2439" s="58" t="n"/>
      <c r="AN2439" s="155" t="n"/>
      <c r="AO2439" s="59" t="n"/>
      <c r="AP2439" s="59" t="n"/>
      <c r="AQ2439" s="59" t="n"/>
      <c r="AR2439" s="155" t="n"/>
    </row>
    <row r="2440">
      <c r="A2440" s="50" t="inlineStr">
        <is>
          <t>724303747676</t>
        </is>
      </c>
      <c r="B2440" s="51" t="n"/>
      <c r="C2440" s="156" t="inlineStr">
        <is>
          <t>Stetson</t>
        </is>
      </c>
      <c r="D2440" s="156" t="inlineStr">
        <is>
          <t>9416790</t>
        </is>
      </c>
      <c r="E2440" s="156" t="inlineStr">
        <is>
          <t>9416790-XL</t>
        </is>
      </c>
      <c r="F2440" s="156" t="inlineStr">
        <is>
          <t>XL</t>
        </is>
      </c>
      <c r="G2440" s="156" t="inlineStr">
        <is>
          <t>XL</t>
        </is>
      </c>
      <c r="H2440" s="156" t="inlineStr">
        <is>
          <t>Stetson</t>
        </is>
      </c>
      <c r="I2440" s="156" t="inlineStr">
        <is>
          <t>Cinturón Stetson con flores repujadas</t>
        </is>
      </c>
      <c r="J2440" s="156" t="inlineStr">
        <is>
          <t>Accesorios</t>
        </is>
      </c>
      <c r="K2440" s="156" t="inlineStr">
        <is>
          <t>Cinturones</t>
        </is>
      </c>
      <c r="L2440" s="156" t="inlineStr">
        <is>
          <t>Mujer</t>
        </is>
      </c>
      <c r="M2440" s="156" t="inlineStr">
        <is>
          <t>Stetson</t>
        </is>
      </c>
      <c r="N2440" s="156" t="inlineStr">
        <is>
          <t>SS26</t>
        </is>
      </c>
      <c r="O2440" s="156" t="inlineStr">
        <is>
          <t>Seasonal</t>
        </is>
      </c>
      <c r="P2440" s="156" t="inlineStr">
        <is>
          <t>Cafe</t>
        </is>
      </c>
      <c r="Q2440" s="156" t="n"/>
      <c r="R2440" s="156" t="n"/>
      <c r="S2440" s="156" t="inlineStr">
        <is>
          <t>Piel genuina</t>
        </is>
      </c>
      <c r="T2440" s="156" t="inlineStr">
        <is>
          <t>Cinturón Stetson con flores repujadas; correa ancha con flores; piel genuina.</t>
        </is>
      </c>
      <c r="U2440" s="156" t="n"/>
      <c r="V2440" s="156" t="inlineStr">
        <is>
          <t>PZS</t>
        </is>
      </c>
      <c r="W2440" s="51" t="inlineStr">
        <is>
          <t>53102501</t>
        </is>
      </c>
      <c r="X2440" s="156" t="inlineStr">
        <is>
          <t>https://cdn11.bigcommerce.com/s-suohc1v4iw/products/31809/images/91205/tmdh9osyqtd6cducatfx__76326.1761767757.386.513.jpg?c=2</t>
        </is>
      </c>
      <c r="Y2440" s="54" t="n"/>
      <c r="Z2440" s="54" t="n"/>
      <c r="AA2440" s="55">
        <f>IF(AND(A2440="", B2440="", E2440=""), "", IF(AB2440="", "Válido", IF((LEN(AB2440)-LEN(SUBSTITUTE(AB2440,"; ","")))/2+1&gt;(LEN(AB2440)-LEN(SUBSTITUTE(AB2440,"[Aviso]","")))/7, "Con Incidencias", "Válido")))</f>
        <v/>
      </c>
      <c r="AB2440" s="56">
        <f>IF(AND(A2440="", B2440="", E2440=""), "", TEXTJOIN("; ", TRUE, IF(OR(TRIM(A2440&amp;"")="", ISNUMBER(SEARCH("FALTA", A2440))), "UPC faltante/inválido", ""), IF(AND(A2440&lt;&gt;"", IFERROR(_xlfn.XMATCH(A2440,$A$2:$A$2509,0,1)&lt;&gt;_xlfn.XMATCH(A2440,$A$2:$A$2509,0,-1),FALSE)), "Código de barras duplicado", ""), IF(AND(E2440&lt;&gt;"", COUNTIF($E$2:$E$2509, E2440)&gt;1), "SKU duplicado", ""), IF(OR(J2440="", J2440=""), "[Aviso] División no capturada ()", IF(ISNA(MATCH(J2440, Criterios!$A$123:$A$126, 0)), "División no válida", "")), IF(OR(K2440="", K2440=""), "[Aviso] Categoría no capturada ()", IF(ISNA(MATCH(K2440, Criterios!$A$81:$A$120, 0)), "Categoría no válida", IF(AND(J2440&lt;&gt;"", J2440&lt;&gt;"", J2440&lt;&gt;VLOOKUP(K2440, Criterios!$A$81:$B$120, 2, FALSE)), "División no coincide con Categoría", ""))), IF(OR(L2440="", L2440=""), "[Aviso] Género no capturado ()", IF(ISNA(MATCH(L2440, Criterios!$B$123:$B$127, 0)), "Género no válido", "")), IF(OR(N2440="", N2440=""), "[Aviso] Temporada no capturada ()", IF(ISNA(MATCH(N2440, Criterios!$C$123:$C$128, 0)), "Temporada no válida", "")), IF(OR(O2440="", O2440=""), "[Aviso] Ciclo de vida no capturado ()", IF(ISNA(MATCH(O2440, Criterios!$D$123:$D$124, 0)), "Ciclo de vida no válido", ""))))</f>
        <v/>
      </c>
      <c r="AC2440" s="56" t="n"/>
      <c r="AD2440" s="51" t="n">
        <v>0</v>
      </c>
      <c r="AE2440" s="156" t="inlineStr">
        <is>
          <t>Sin coincidencia en NetSuite</t>
        </is>
      </c>
      <c r="AF2440" s="51" t="n"/>
      <c r="AG2440" s="156" t="inlineStr">
        <is>
          <t>Catálogo existente</t>
        </is>
      </c>
      <c r="AH2440" s="156" t="inlineStr">
        <is>
          <t>No se encontró en Hoja a Revisar por ID interno ni por código de barras | Homologación G1522 06/10/2026: WB Silueta: «Correa ancha con flores» → «» (Corrección aplicada)</t>
        </is>
      </c>
      <c r="AI2440" s="156" t="n"/>
      <c r="AJ2440" s="156" t="n"/>
      <c r="AK2440" s="155" t="n"/>
      <c r="AL2440" s="58" t="n"/>
      <c r="AM2440" s="58" t="n"/>
      <c r="AN2440" s="155" t="n"/>
      <c r="AO2440" s="59" t="n"/>
      <c r="AP2440" s="59" t="n"/>
      <c r="AQ2440" s="59" t="n"/>
      <c r="AR2440" s="155" t="n"/>
    </row>
    <row r="2441">
      <c r="A2441" s="50" t="inlineStr">
        <is>
          <t>724303747560</t>
        </is>
      </c>
      <c r="B2441" s="51" t="n"/>
      <c r="C2441" s="156" t="inlineStr">
        <is>
          <t>Stetson</t>
        </is>
      </c>
      <c r="D2441" s="156" t="inlineStr">
        <is>
          <t>9916500</t>
        </is>
      </c>
      <c r="E2441" s="156" t="inlineStr">
        <is>
          <t>9916500-36</t>
        </is>
      </c>
      <c r="F2441" s="156" t="inlineStr">
        <is>
          <t>36</t>
        </is>
      </c>
      <c r="G2441" s="156" t="inlineStr">
        <is>
          <t>36</t>
        </is>
      </c>
      <c r="H2441" s="156" t="inlineStr">
        <is>
          <t>Stetson</t>
        </is>
      </c>
      <c r="I2441" s="156" t="inlineStr">
        <is>
          <t>Cinturón Stetson de avestruz Kango Cognac</t>
        </is>
      </c>
      <c r="J2441" s="156" t="inlineStr">
        <is>
          <t>Accesorios</t>
        </is>
      </c>
      <c r="K2441" s="156" t="inlineStr">
        <is>
          <t>Cinturones</t>
        </is>
      </c>
      <c r="L2441" s="156" t="inlineStr">
        <is>
          <t>Hombre</t>
        </is>
      </c>
      <c r="M2441" s="156" t="inlineStr">
        <is>
          <t>Stetson</t>
        </is>
      </c>
      <c r="N2441" s="156" t="inlineStr">
        <is>
          <t>SS26</t>
        </is>
      </c>
      <c r="O2441" s="156" t="inlineStr">
        <is>
          <t>Seasonal</t>
        </is>
      </c>
      <c r="P2441" s="156" t="inlineStr">
        <is>
          <t>Cafe</t>
        </is>
      </c>
      <c r="Q2441" s="156" t="n"/>
      <c r="R2441" s="156" t="n"/>
      <c r="S2441" s="156" t="inlineStr">
        <is>
          <t>Piel genuina de avestruz</t>
        </is>
      </c>
      <c r="T2441" s="156" t="inlineStr">
        <is>
          <t>Cinturón Stetson de avestruz Kango Cognac; correa de 38 mm; piel genuina de avestruz.</t>
        </is>
      </c>
      <c r="U2441" s="156" t="n"/>
      <c r="V2441" s="156" t="inlineStr">
        <is>
          <t>PZS</t>
        </is>
      </c>
      <c r="W2441" s="51" t="inlineStr">
        <is>
          <t>53102501</t>
        </is>
      </c>
      <c r="X2441" s="156" t="inlineStr">
        <is>
          <t>https://cdn.shopify.com/s/files/1/0357/2432/9005/files/9916500-989_KangoCognac_1.jpg?v=1776178632</t>
        </is>
      </c>
      <c r="Y2441" s="54" t="n"/>
      <c r="Z2441" s="54" t="n"/>
      <c r="AA2441" s="55">
        <f>IF(AND(A2441="", B2441="", E2441=""), "", IF(AB2441="", "Válido", IF((LEN(AB2441)-LEN(SUBSTITUTE(AB2441,"; ","")))/2+1&gt;(LEN(AB2441)-LEN(SUBSTITUTE(AB2441,"[Aviso]","")))/7, "Con Incidencias", "Válido")))</f>
        <v/>
      </c>
      <c r="AB2441" s="56">
        <f>IF(AND(A2441="", B2441="", E2441=""), "", TEXTJOIN("; ", TRUE, IF(OR(TRIM(A2441&amp;"")="", ISNUMBER(SEARCH("FALTA", A2441))), "UPC faltante/inválido", ""), IF(AND(A2441&lt;&gt;"", IFERROR(_xlfn.XMATCH(A2441,$A$2:$A$2509,0,1)&lt;&gt;_xlfn.XMATCH(A2441,$A$2:$A$2509,0,-1),FALSE)), "Código de barras duplicado", ""), IF(AND(E2441&lt;&gt;"", COUNTIF($E$2:$E$2509, E2441)&gt;1), "SKU duplicado", ""), IF(OR(J2441="", J2441=""), "[Aviso] División no capturada ()", IF(ISNA(MATCH(J2441, Criterios!$A$123:$A$126, 0)), "División no válida", "")), IF(OR(K2441="", K2441=""), "[Aviso] Categoría no capturada ()", IF(ISNA(MATCH(K2441, Criterios!$A$81:$A$120, 0)), "Categoría no válida", IF(AND(J2441&lt;&gt;"", J2441&lt;&gt;"", J2441&lt;&gt;VLOOKUP(K2441, Criterios!$A$81:$B$120, 2, FALSE)), "División no coincide con Categoría", ""))), IF(OR(L2441="", L2441=""), "[Aviso] Género no capturado ()", IF(ISNA(MATCH(L2441, Criterios!$B$123:$B$127, 0)), "Género no válido", "")), IF(OR(N2441="", N2441=""), "[Aviso] Temporada no capturada ()", IF(ISNA(MATCH(N2441, Criterios!$C$123:$C$128, 0)), "Temporada no válida", "")), IF(OR(O2441="", O2441=""), "[Aviso] Ciclo de vida no capturado ()", IF(ISNA(MATCH(O2441, Criterios!$D$123:$D$124, 0)), "Ciclo de vida no válido", ""))))</f>
        <v/>
      </c>
      <c r="AC2441" s="56" t="n"/>
      <c r="AD2441" s="51" t="n">
        <v>0</v>
      </c>
      <c r="AE2441" s="156" t="inlineStr">
        <is>
          <t>Sin coincidencia en NetSuite</t>
        </is>
      </c>
      <c r="AF2441" s="51" t="n"/>
      <c r="AG2441" s="156" t="inlineStr">
        <is>
          <t>Catálogo existente</t>
        </is>
      </c>
      <c r="AH2441" s="156" t="inlineStr">
        <is>
          <t>No se encontró en Hoja a Revisar por ID interno ni por código de barras | Homologación G1522 06/10/2026: WB Silueta: «Correa de 38 mm» → «» (Corrección aplicada)</t>
        </is>
      </c>
      <c r="AI2441" s="156" t="n"/>
      <c r="AJ2441" s="156" t="n"/>
      <c r="AK2441" s="155" t="n"/>
      <c r="AL2441" s="58" t="n"/>
      <c r="AM2441" s="58" t="n"/>
      <c r="AN2441" s="155" t="n"/>
      <c r="AO2441" s="59" t="n"/>
      <c r="AP2441" s="59" t="n"/>
      <c r="AQ2441" s="59" t="n"/>
      <c r="AR2441" s="155" t="n"/>
    </row>
    <row r="2442">
      <c r="A2442" s="50" t="inlineStr">
        <is>
          <t>724303747577</t>
        </is>
      </c>
      <c r="B2442" s="51" t="n"/>
      <c r="C2442" s="156" t="inlineStr">
        <is>
          <t>Stetson</t>
        </is>
      </c>
      <c r="D2442" s="156" t="inlineStr">
        <is>
          <t>9916500</t>
        </is>
      </c>
      <c r="E2442" s="156" t="inlineStr">
        <is>
          <t>9916500-38</t>
        </is>
      </c>
      <c r="F2442" s="156" t="inlineStr">
        <is>
          <t>38</t>
        </is>
      </c>
      <c r="G2442" s="156" t="inlineStr">
        <is>
          <t>38</t>
        </is>
      </c>
      <c r="H2442" s="156" t="inlineStr">
        <is>
          <t>Stetson</t>
        </is>
      </c>
      <c r="I2442" s="156" t="inlineStr">
        <is>
          <t>Cinturón Stetson de avestruz Kango Cognac</t>
        </is>
      </c>
      <c r="J2442" s="156" t="inlineStr">
        <is>
          <t>Accesorios</t>
        </is>
      </c>
      <c r="K2442" s="156" t="inlineStr">
        <is>
          <t>Cinturones</t>
        </is>
      </c>
      <c r="L2442" s="156" t="inlineStr">
        <is>
          <t>Hombre</t>
        </is>
      </c>
      <c r="M2442" s="156" t="inlineStr">
        <is>
          <t>Stetson</t>
        </is>
      </c>
      <c r="N2442" s="156" t="inlineStr">
        <is>
          <t>SS26</t>
        </is>
      </c>
      <c r="O2442" s="156" t="inlineStr">
        <is>
          <t>Seasonal</t>
        </is>
      </c>
      <c r="P2442" s="156" t="inlineStr">
        <is>
          <t>Cafe</t>
        </is>
      </c>
      <c r="Q2442" s="156" t="n"/>
      <c r="R2442" s="156" t="n"/>
      <c r="S2442" s="156" t="inlineStr">
        <is>
          <t>Piel genuina de avestruz</t>
        </is>
      </c>
      <c r="T2442" s="156" t="inlineStr">
        <is>
          <t>Cinturón Stetson de avestruz Kango Cognac; correa de 38 mm; piel genuina de avestruz.</t>
        </is>
      </c>
      <c r="U2442" s="156" t="n"/>
      <c r="V2442" s="156" t="inlineStr">
        <is>
          <t>PZS</t>
        </is>
      </c>
      <c r="W2442" s="51" t="inlineStr">
        <is>
          <t>53102501</t>
        </is>
      </c>
      <c r="X2442" s="156" t="inlineStr">
        <is>
          <t>https://cdn.shopify.com/s/files/1/0357/2432/9005/files/9916500-989_KangoCognac_1.jpg?v=1776178632</t>
        </is>
      </c>
      <c r="Y2442" s="54" t="n"/>
      <c r="Z2442" s="54" t="n"/>
      <c r="AA2442" s="55">
        <f>IF(AND(A2442="", B2442="", E2442=""), "", IF(AB2442="", "Válido", IF((LEN(AB2442)-LEN(SUBSTITUTE(AB2442,"; ","")))/2+1&gt;(LEN(AB2442)-LEN(SUBSTITUTE(AB2442,"[Aviso]","")))/7, "Con Incidencias", "Válido")))</f>
        <v/>
      </c>
      <c r="AB2442" s="56">
        <f>IF(AND(A2442="", B2442="", E2442=""), "", TEXTJOIN("; ", TRUE, IF(OR(TRIM(A2442&amp;"")="", ISNUMBER(SEARCH("FALTA", A2442))), "UPC faltante/inválido", ""), IF(AND(A2442&lt;&gt;"", IFERROR(_xlfn.XMATCH(A2442,$A$2:$A$2509,0,1)&lt;&gt;_xlfn.XMATCH(A2442,$A$2:$A$2509,0,-1),FALSE)), "Código de barras duplicado", ""), IF(AND(E2442&lt;&gt;"", COUNTIF($E$2:$E$2509, E2442)&gt;1), "SKU duplicado", ""), IF(OR(J2442="", J2442=""), "[Aviso] División no capturada ()", IF(ISNA(MATCH(J2442, Criterios!$A$123:$A$126, 0)), "División no válida", "")), IF(OR(K2442="", K2442=""), "[Aviso] Categoría no capturada ()", IF(ISNA(MATCH(K2442, Criterios!$A$81:$A$120, 0)), "Categoría no válida", IF(AND(J2442&lt;&gt;"", J2442&lt;&gt;"", J2442&lt;&gt;VLOOKUP(K2442, Criterios!$A$81:$B$120, 2, FALSE)), "División no coincide con Categoría", ""))), IF(OR(L2442="", L2442=""), "[Aviso] Género no capturado ()", IF(ISNA(MATCH(L2442, Criterios!$B$123:$B$127, 0)), "Género no válido", "")), IF(OR(N2442="", N2442=""), "[Aviso] Temporada no capturada ()", IF(ISNA(MATCH(N2442, Criterios!$C$123:$C$128, 0)), "Temporada no válida", "")), IF(OR(O2442="", O2442=""), "[Aviso] Ciclo de vida no capturado ()", IF(ISNA(MATCH(O2442, Criterios!$D$123:$D$124, 0)), "Ciclo de vida no válido", ""))))</f>
        <v/>
      </c>
      <c r="AC2442" s="56" t="n"/>
      <c r="AD2442" s="51" t="n">
        <v>0</v>
      </c>
      <c r="AE2442" s="156" t="inlineStr">
        <is>
          <t>Sin coincidencia en NetSuite</t>
        </is>
      </c>
      <c r="AF2442" s="51" t="n"/>
      <c r="AG2442" s="156" t="inlineStr">
        <is>
          <t>Catálogo existente</t>
        </is>
      </c>
      <c r="AH2442" s="156" t="inlineStr">
        <is>
          <t>No se encontró en Hoja a Revisar por ID interno ni por código de barras | Homologación G1522 06/10/2026: WB Silueta: «Correa de 38 mm» → «» (Corrección aplicada)</t>
        </is>
      </c>
      <c r="AI2442" s="156" t="n"/>
      <c r="AJ2442" s="156" t="n"/>
      <c r="AK2442" s="155" t="n"/>
      <c r="AL2442" s="58" t="n"/>
      <c r="AM2442" s="58" t="n"/>
      <c r="AN2442" s="155" t="n"/>
      <c r="AO2442" s="59" t="n"/>
      <c r="AP2442" s="59" t="n"/>
      <c r="AQ2442" s="59" t="n"/>
      <c r="AR2442" s="155" t="n"/>
    </row>
    <row r="2443">
      <c r="A2443" s="50" t="inlineStr">
        <is>
          <t>724303747584</t>
        </is>
      </c>
      <c r="B2443" s="51" t="n"/>
      <c r="C2443" s="156" t="inlineStr">
        <is>
          <t>Stetson</t>
        </is>
      </c>
      <c r="D2443" s="156" t="inlineStr">
        <is>
          <t>9916500</t>
        </is>
      </c>
      <c r="E2443" s="156" t="inlineStr">
        <is>
          <t>9916500-40</t>
        </is>
      </c>
      <c r="F2443" s="156" t="inlineStr">
        <is>
          <t>40</t>
        </is>
      </c>
      <c r="G2443" s="156" t="inlineStr">
        <is>
          <t>40</t>
        </is>
      </c>
      <c r="H2443" s="156" t="inlineStr">
        <is>
          <t>Stetson</t>
        </is>
      </c>
      <c r="I2443" s="156" t="inlineStr">
        <is>
          <t>Cinturón Stetson de avestruz Kango Cognac</t>
        </is>
      </c>
      <c r="J2443" s="156" t="inlineStr">
        <is>
          <t>Accesorios</t>
        </is>
      </c>
      <c r="K2443" s="156" t="inlineStr">
        <is>
          <t>Cinturones</t>
        </is>
      </c>
      <c r="L2443" s="156" t="inlineStr">
        <is>
          <t>Hombre</t>
        </is>
      </c>
      <c r="M2443" s="156" t="inlineStr">
        <is>
          <t>Stetson</t>
        </is>
      </c>
      <c r="N2443" s="156" t="inlineStr">
        <is>
          <t>SS26</t>
        </is>
      </c>
      <c r="O2443" s="156" t="inlineStr">
        <is>
          <t>Seasonal</t>
        </is>
      </c>
      <c r="P2443" s="156" t="inlineStr">
        <is>
          <t>Cafe</t>
        </is>
      </c>
      <c r="Q2443" s="156" t="n"/>
      <c r="R2443" s="156" t="n"/>
      <c r="S2443" s="156" t="inlineStr">
        <is>
          <t>Piel genuina de avestruz</t>
        </is>
      </c>
      <c r="T2443" s="156" t="inlineStr">
        <is>
          <t>Cinturón Stetson de avestruz Kango Cognac; correa de 38 mm; piel genuina de avestruz.</t>
        </is>
      </c>
      <c r="U2443" s="156" t="n"/>
      <c r="V2443" s="156" t="inlineStr">
        <is>
          <t>PZS</t>
        </is>
      </c>
      <c r="W2443" s="51" t="inlineStr">
        <is>
          <t>53102501</t>
        </is>
      </c>
      <c r="X2443" s="156" t="inlineStr">
        <is>
          <t>https://cdn.shopify.com/s/files/1/0357/2432/9005/files/9916500-989_KangoCognac_1.jpg?v=1776178632</t>
        </is>
      </c>
      <c r="Y2443" s="54" t="n"/>
      <c r="Z2443" s="54" t="n"/>
      <c r="AA2443" s="55">
        <f>IF(AND(A2443="", B2443="", E2443=""), "", IF(AB2443="", "Válido", IF((LEN(AB2443)-LEN(SUBSTITUTE(AB2443,"; ","")))/2+1&gt;(LEN(AB2443)-LEN(SUBSTITUTE(AB2443,"[Aviso]","")))/7, "Con Incidencias", "Válido")))</f>
        <v/>
      </c>
      <c r="AB2443" s="56">
        <f>IF(AND(A2443="", B2443="", E2443=""), "", TEXTJOIN("; ", TRUE, IF(OR(TRIM(A2443&amp;"")="", ISNUMBER(SEARCH("FALTA", A2443))), "UPC faltante/inválido", ""), IF(AND(A2443&lt;&gt;"", IFERROR(_xlfn.XMATCH(A2443,$A$2:$A$2509,0,1)&lt;&gt;_xlfn.XMATCH(A2443,$A$2:$A$2509,0,-1),FALSE)), "Código de barras duplicado", ""), IF(AND(E2443&lt;&gt;"", COUNTIF($E$2:$E$2509, E2443)&gt;1), "SKU duplicado", ""), IF(OR(J2443="", J2443=""), "[Aviso] División no capturada ()", IF(ISNA(MATCH(J2443, Criterios!$A$123:$A$126, 0)), "División no válida", "")), IF(OR(K2443="", K2443=""), "[Aviso] Categoría no capturada ()", IF(ISNA(MATCH(K2443, Criterios!$A$81:$A$120, 0)), "Categoría no válida", IF(AND(J2443&lt;&gt;"", J2443&lt;&gt;"", J2443&lt;&gt;VLOOKUP(K2443, Criterios!$A$81:$B$120, 2, FALSE)), "División no coincide con Categoría", ""))), IF(OR(L2443="", L2443=""), "[Aviso] Género no capturado ()", IF(ISNA(MATCH(L2443, Criterios!$B$123:$B$127, 0)), "Género no válido", "")), IF(OR(N2443="", N2443=""), "[Aviso] Temporada no capturada ()", IF(ISNA(MATCH(N2443, Criterios!$C$123:$C$128, 0)), "Temporada no válida", "")), IF(OR(O2443="", O2443=""), "[Aviso] Ciclo de vida no capturado ()", IF(ISNA(MATCH(O2443, Criterios!$D$123:$D$124, 0)), "Ciclo de vida no válido", ""))))</f>
        <v/>
      </c>
      <c r="AC2443" s="56" t="n"/>
      <c r="AD2443" s="51" t="n">
        <v>0</v>
      </c>
      <c r="AE2443" s="156" t="inlineStr">
        <is>
          <t>Sin coincidencia en NetSuite</t>
        </is>
      </c>
      <c r="AF2443" s="51" t="n"/>
      <c r="AG2443" s="156" t="inlineStr">
        <is>
          <t>Catálogo existente</t>
        </is>
      </c>
      <c r="AH2443" s="156" t="inlineStr">
        <is>
          <t>No se encontró en Hoja a Revisar por ID interno ni por código de barras | Homologación G1522 06/10/2026: WB Silueta: «Correa de 38 mm» → «» (Corrección aplicada)</t>
        </is>
      </c>
      <c r="AI2443" s="156" t="n"/>
      <c r="AJ2443" s="156" t="n"/>
      <c r="AK2443" s="155" t="n"/>
      <c r="AL2443" s="58" t="n"/>
      <c r="AM2443" s="58" t="n"/>
      <c r="AN2443" s="155" t="n"/>
      <c r="AO2443" s="59" t="n"/>
      <c r="AP2443" s="59" t="n"/>
      <c r="AQ2443" s="59" t="n"/>
      <c r="AR2443" s="155" t="n"/>
    </row>
    <row r="2444">
      <c r="A2444" s="50" t="inlineStr">
        <is>
          <t>724303747591</t>
        </is>
      </c>
      <c r="B2444" s="51" t="n"/>
      <c r="C2444" s="156" t="inlineStr">
        <is>
          <t>Stetson</t>
        </is>
      </c>
      <c r="D2444" s="156" t="inlineStr">
        <is>
          <t>9916500</t>
        </is>
      </c>
      <c r="E2444" s="156" t="inlineStr">
        <is>
          <t>9916500-42</t>
        </is>
      </c>
      <c r="F2444" s="156" t="inlineStr">
        <is>
          <t>42</t>
        </is>
      </c>
      <c r="G2444" s="156" t="inlineStr">
        <is>
          <t>42</t>
        </is>
      </c>
      <c r="H2444" s="156" t="inlineStr">
        <is>
          <t>Stetson</t>
        </is>
      </c>
      <c r="I2444" s="156" t="inlineStr">
        <is>
          <t>Cinturón Stetson de avestruz Kango Cognac</t>
        </is>
      </c>
      <c r="J2444" s="156" t="inlineStr">
        <is>
          <t>Accesorios</t>
        </is>
      </c>
      <c r="K2444" s="156" t="inlineStr">
        <is>
          <t>Cinturones</t>
        </is>
      </c>
      <c r="L2444" s="156" t="inlineStr">
        <is>
          <t>Hombre</t>
        </is>
      </c>
      <c r="M2444" s="156" t="inlineStr">
        <is>
          <t>Stetson</t>
        </is>
      </c>
      <c r="N2444" s="156" t="inlineStr">
        <is>
          <t>SS26</t>
        </is>
      </c>
      <c r="O2444" s="156" t="inlineStr">
        <is>
          <t>Seasonal</t>
        </is>
      </c>
      <c r="P2444" s="156" t="inlineStr">
        <is>
          <t>Cafe</t>
        </is>
      </c>
      <c r="Q2444" s="156" t="n"/>
      <c r="R2444" s="156" t="n"/>
      <c r="S2444" s="156" t="inlineStr">
        <is>
          <t>Piel genuina de avestruz</t>
        </is>
      </c>
      <c r="T2444" s="156" t="inlineStr">
        <is>
          <t>Cinturón Stetson de avestruz Kango Cognac; correa de 38 mm; piel genuina de avestruz.</t>
        </is>
      </c>
      <c r="U2444" s="156" t="n"/>
      <c r="V2444" s="156" t="inlineStr">
        <is>
          <t>PZS</t>
        </is>
      </c>
      <c r="W2444" s="51" t="inlineStr">
        <is>
          <t>53102501</t>
        </is>
      </c>
      <c r="X2444" s="156" t="inlineStr">
        <is>
          <t>https://cdn.shopify.com/s/files/1/0357/2432/9005/files/9916500-989_KangoCognac_1.jpg?v=1776178632</t>
        </is>
      </c>
      <c r="Y2444" s="54" t="n"/>
      <c r="Z2444" s="54" t="n"/>
      <c r="AA2444" s="55">
        <f>IF(AND(A2444="", B2444="", E2444=""), "", IF(AB2444="", "Válido", IF((LEN(AB2444)-LEN(SUBSTITUTE(AB2444,"; ","")))/2+1&gt;(LEN(AB2444)-LEN(SUBSTITUTE(AB2444,"[Aviso]","")))/7, "Con Incidencias", "Válido")))</f>
        <v/>
      </c>
      <c r="AB2444" s="56">
        <f>IF(AND(A2444="", B2444="", E2444=""), "", TEXTJOIN("; ", TRUE, IF(OR(TRIM(A2444&amp;"")="", ISNUMBER(SEARCH("FALTA", A2444))), "UPC faltante/inválido", ""), IF(AND(A2444&lt;&gt;"", IFERROR(_xlfn.XMATCH(A2444,$A$2:$A$2509,0,1)&lt;&gt;_xlfn.XMATCH(A2444,$A$2:$A$2509,0,-1),FALSE)), "Código de barras duplicado", ""), IF(AND(E2444&lt;&gt;"", COUNTIF($E$2:$E$2509, E2444)&gt;1), "SKU duplicado", ""), IF(OR(J2444="", J2444=""), "[Aviso] División no capturada ()", IF(ISNA(MATCH(J2444, Criterios!$A$123:$A$126, 0)), "División no válida", "")), IF(OR(K2444="", K2444=""), "[Aviso] Categoría no capturada ()", IF(ISNA(MATCH(K2444, Criterios!$A$81:$A$120, 0)), "Categoría no válida", IF(AND(J2444&lt;&gt;"", J2444&lt;&gt;"", J2444&lt;&gt;VLOOKUP(K2444, Criterios!$A$81:$B$120, 2, FALSE)), "División no coincide con Categoría", ""))), IF(OR(L2444="", L2444=""), "[Aviso] Género no capturado ()", IF(ISNA(MATCH(L2444, Criterios!$B$123:$B$127, 0)), "Género no válido", "")), IF(OR(N2444="", N2444=""), "[Aviso] Temporada no capturada ()", IF(ISNA(MATCH(N2444, Criterios!$C$123:$C$128, 0)), "Temporada no válida", "")), IF(OR(O2444="", O2444=""), "[Aviso] Ciclo de vida no capturado ()", IF(ISNA(MATCH(O2444, Criterios!$D$123:$D$124, 0)), "Ciclo de vida no válido", ""))))</f>
        <v/>
      </c>
      <c r="AC2444" s="56" t="n"/>
      <c r="AD2444" s="51" t="n">
        <v>0</v>
      </c>
      <c r="AE2444" s="156" t="inlineStr">
        <is>
          <t>Sin coincidencia en NetSuite</t>
        </is>
      </c>
      <c r="AF2444" s="51" t="n"/>
      <c r="AG2444" s="156" t="inlineStr">
        <is>
          <t>Catálogo existente</t>
        </is>
      </c>
      <c r="AH2444" s="156" t="inlineStr">
        <is>
          <t>No se encontró en Hoja a Revisar por ID interno ni por código de barras | Homologación G1522 06/10/2026: WB Silueta: «Correa de 38 mm» → «» (Corrección aplicada)</t>
        </is>
      </c>
      <c r="AI2444" s="156" t="n"/>
      <c r="AJ2444" s="156" t="n"/>
      <c r="AK2444" s="155" t="n"/>
      <c r="AL2444" s="58" t="n"/>
      <c r="AM2444" s="58" t="n"/>
      <c r="AN2444" s="155" t="n"/>
      <c r="AO2444" s="59" t="n"/>
      <c r="AP2444" s="59" t="n"/>
      <c r="AQ2444" s="59" t="n"/>
      <c r="AR2444" s="155" t="n"/>
    </row>
    <row r="2445">
      <c r="A2445" s="50" t="inlineStr">
        <is>
          <t>724303747607</t>
        </is>
      </c>
      <c r="B2445" s="51" t="n"/>
      <c r="C2445" s="156" t="inlineStr">
        <is>
          <t>Stetson</t>
        </is>
      </c>
      <c r="D2445" s="156" t="inlineStr">
        <is>
          <t>9916500</t>
        </is>
      </c>
      <c r="E2445" s="156" t="inlineStr">
        <is>
          <t>9916500-44</t>
        </is>
      </c>
      <c r="F2445" s="156" t="inlineStr">
        <is>
          <t>44</t>
        </is>
      </c>
      <c r="G2445" s="156" t="inlineStr">
        <is>
          <t>44</t>
        </is>
      </c>
      <c r="H2445" s="156" t="inlineStr">
        <is>
          <t>Stetson</t>
        </is>
      </c>
      <c r="I2445" s="156" t="inlineStr">
        <is>
          <t>Cinturón Stetson de avestruz Kango Cognac</t>
        </is>
      </c>
      <c r="J2445" s="156" t="inlineStr">
        <is>
          <t>Accesorios</t>
        </is>
      </c>
      <c r="K2445" s="156" t="inlineStr">
        <is>
          <t>Cinturones</t>
        </is>
      </c>
      <c r="L2445" s="156" t="inlineStr">
        <is>
          <t>Hombre</t>
        </is>
      </c>
      <c r="M2445" s="156" t="inlineStr">
        <is>
          <t>Stetson</t>
        </is>
      </c>
      <c r="N2445" s="156" t="inlineStr">
        <is>
          <t>SS26</t>
        </is>
      </c>
      <c r="O2445" s="156" t="inlineStr">
        <is>
          <t>Seasonal</t>
        </is>
      </c>
      <c r="P2445" s="156" t="inlineStr">
        <is>
          <t>Cafe</t>
        </is>
      </c>
      <c r="Q2445" s="156" t="n"/>
      <c r="R2445" s="156" t="n"/>
      <c r="S2445" s="156" t="inlineStr">
        <is>
          <t>Piel genuina de avestruz</t>
        </is>
      </c>
      <c r="T2445" s="156" t="inlineStr">
        <is>
          <t>Cinturón Stetson de avestruz Kango Cognac; correa de 38 mm; piel genuina de avestruz.</t>
        </is>
      </c>
      <c r="U2445" s="156" t="n"/>
      <c r="V2445" s="156" t="inlineStr">
        <is>
          <t>PZS</t>
        </is>
      </c>
      <c r="W2445" s="51" t="inlineStr">
        <is>
          <t>53102501</t>
        </is>
      </c>
      <c r="X2445" s="156" t="inlineStr">
        <is>
          <t>https://cdn.shopify.com/s/files/1/0357/2432/9005/files/9916500-989_KangoCognac_1.jpg?v=1776178632</t>
        </is>
      </c>
      <c r="Y2445" s="54" t="n"/>
      <c r="Z2445" s="54" t="n"/>
      <c r="AA2445" s="55">
        <f>IF(AND(A2445="", B2445="", E2445=""), "", IF(AB2445="", "Válido", IF((LEN(AB2445)-LEN(SUBSTITUTE(AB2445,"; ","")))/2+1&gt;(LEN(AB2445)-LEN(SUBSTITUTE(AB2445,"[Aviso]","")))/7, "Con Incidencias", "Válido")))</f>
        <v/>
      </c>
      <c r="AB2445" s="56">
        <f>IF(AND(A2445="", B2445="", E2445=""), "", TEXTJOIN("; ", TRUE, IF(OR(TRIM(A2445&amp;"")="", ISNUMBER(SEARCH("FALTA", A2445))), "UPC faltante/inválido", ""), IF(AND(A2445&lt;&gt;"", IFERROR(_xlfn.XMATCH(A2445,$A$2:$A$2509,0,1)&lt;&gt;_xlfn.XMATCH(A2445,$A$2:$A$2509,0,-1),FALSE)), "Código de barras duplicado", ""), IF(AND(E2445&lt;&gt;"", COUNTIF($E$2:$E$2509, E2445)&gt;1), "SKU duplicado", ""), IF(OR(J2445="", J2445=""), "[Aviso] División no capturada ()", IF(ISNA(MATCH(J2445, Criterios!$A$123:$A$126, 0)), "División no válida", "")), IF(OR(K2445="", K2445=""), "[Aviso] Categoría no capturada ()", IF(ISNA(MATCH(K2445, Criterios!$A$81:$A$120, 0)), "Categoría no válida", IF(AND(J2445&lt;&gt;"", J2445&lt;&gt;"", J2445&lt;&gt;VLOOKUP(K2445, Criterios!$A$81:$B$120, 2, FALSE)), "División no coincide con Categoría", ""))), IF(OR(L2445="", L2445=""), "[Aviso] Género no capturado ()", IF(ISNA(MATCH(L2445, Criterios!$B$123:$B$127, 0)), "Género no válido", "")), IF(OR(N2445="", N2445=""), "[Aviso] Temporada no capturada ()", IF(ISNA(MATCH(N2445, Criterios!$C$123:$C$128, 0)), "Temporada no válida", "")), IF(OR(O2445="", O2445=""), "[Aviso] Ciclo de vida no capturado ()", IF(ISNA(MATCH(O2445, Criterios!$D$123:$D$124, 0)), "Ciclo de vida no válido", ""))))</f>
        <v/>
      </c>
      <c r="AC2445" s="56" t="n"/>
      <c r="AD2445" s="51" t="n">
        <v>0</v>
      </c>
      <c r="AE2445" s="156" t="inlineStr">
        <is>
          <t>Sin coincidencia en NetSuite</t>
        </is>
      </c>
      <c r="AF2445" s="51" t="n"/>
      <c r="AG2445" s="156" t="inlineStr">
        <is>
          <t>Catálogo existente</t>
        </is>
      </c>
      <c r="AH2445" s="156" t="inlineStr">
        <is>
          <t>No se encontró en Hoja a Revisar por ID interno ni por código de barras | Homologación G1522 06/10/2026: WB Silueta: «Correa de 38 mm» → «» (Corrección aplicada)</t>
        </is>
      </c>
      <c r="AI2445" s="156" t="n"/>
      <c r="AJ2445" s="156" t="n"/>
      <c r="AK2445" s="155" t="n"/>
      <c r="AL2445" s="58" t="n"/>
      <c r="AM2445" s="58" t="n"/>
      <c r="AN2445" s="155" t="n"/>
      <c r="AO2445" s="59" t="n"/>
      <c r="AP2445" s="59" t="n"/>
      <c r="AQ2445" s="59" t="n"/>
      <c r="AR2445" s="155" t="n"/>
    </row>
    <row r="2446">
      <c r="A2446" s="50" t="inlineStr">
        <is>
          <t>724303747614</t>
        </is>
      </c>
      <c r="B2446" s="51" t="n"/>
      <c r="C2446" s="156" t="inlineStr">
        <is>
          <t>Stetson</t>
        </is>
      </c>
      <c r="D2446" s="156" t="inlineStr">
        <is>
          <t>9916500</t>
        </is>
      </c>
      <c r="E2446" s="156" t="inlineStr">
        <is>
          <t>9916500-46</t>
        </is>
      </c>
      <c r="F2446" s="156" t="inlineStr">
        <is>
          <t>46</t>
        </is>
      </c>
      <c r="G2446" s="156" t="inlineStr">
        <is>
          <t>46</t>
        </is>
      </c>
      <c r="H2446" s="156" t="inlineStr">
        <is>
          <t>Stetson</t>
        </is>
      </c>
      <c r="I2446" s="156" t="inlineStr">
        <is>
          <t>Cinturón Stetson de avestruz Kango Cognac</t>
        </is>
      </c>
      <c r="J2446" s="156" t="inlineStr">
        <is>
          <t>Accesorios</t>
        </is>
      </c>
      <c r="K2446" s="156" t="inlineStr">
        <is>
          <t>Cinturones</t>
        </is>
      </c>
      <c r="L2446" s="156" t="inlineStr">
        <is>
          <t>Hombre</t>
        </is>
      </c>
      <c r="M2446" s="156" t="inlineStr">
        <is>
          <t>Stetson</t>
        </is>
      </c>
      <c r="N2446" s="156" t="inlineStr">
        <is>
          <t>SS26</t>
        </is>
      </c>
      <c r="O2446" s="156" t="inlineStr">
        <is>
          <t>Seasonal</t>
        </is>
      </c>
      <c r="P2446" s="156" t="inlineStr">
        <is>
          <t>Cafe</t>
        </is>
      </c>
      <c r="Q2446" s="156" t="n"/>
      <c r="R2446" s="156" t="n"/>
      <c r="S2446" s="156" t="inlineStr">
        <is>
          <t>Piel genuina de avestruz</t>
        </is>
      </c>
      <c r="T2446" s="156" t="inlineStr">
        <is>
          <t>Cinturón Stetson de avestruz Kango Cognac; correa de 38 mm; piel genuina de avestruz.</t>
        </is>
      </c>
      <c r="U2446" s="156" t="n"/>
      <c r="V2446" s="156" t="inlineStr">
        <is>
          <t>PZS</t>
        </is>
      </c>
      <c r="W2446" s="51" t="inlineStr">
        <is>
          <t>53102501</t>
        </is>
      </c>
      <c r="X2446" s="156" t="inlineStr">
        <is>
          <t>https://cdn.shopify.com/s/files/1/0357/2432/9005/files/9916500-989_KangoCognac_1.jpg?v=1776178632</t>
        </is>
      </c>
      <c r="Y2446" s="54" t="n"/>
      <c r="Z2446" s="54" t="n"/>
      <c r="AA2446" s="55">
        <f>IF(AND(A2446="", B2446="", E2446=""), "", IF(AB2446="", "Válido", IF((LEN(AB2446)-LEN(SUBSTITUTE(AB2446,"; ","")))/2+1&gt;(LEN(AB2446)-LEN(SUBSTITUTE(AB2446,"[Aviso]","")))/7, "Con Incidencias", "Válido")))</f>
        <v/>
      </c>
      <c r="AB2446" s="56">
        <f>IF(AND(A2446="", B2446="", E2446=""), "", TEXTJOIN("; ", TRUE, IF(OR(TRIM(A2446&amp;"")="", ISNUMBER(SEARCH("FALTA", A2446))), "UPC faltante/inválido", ""), IF(AND(A2446&lt;&gt;"", IFERROR(_xlfn.XMATCH(A2446,$A$2:$A$2509,0,1)&lt;&gt;_xlfn.XMATCH(A2446,$A$2:$A$2509,0,-1),FALSE)), "Código de barras duplicado", ""), IF(AND(E2446&lt;&gt;"", COUNTIF($E$2:$E$2509, E2446)&gt;1), "SKU duplicado", ""), IF(OR(J2446="", J2446=""), "[Aviso] División no capturada ()", IF(ISNA(MATCH(J2446, Criterios!$A$123:$A$126, 0)), "División no válida", "")), IF(OR(K2446="", K2446=""), "[Aviso] Categoría no capturada ()", IF(ISNA(MATCH(K2446, Criterios!$A$81:$A$120, 0)), "Categoría no válida", IF(AND(J2446&lt;&gt;"", J2446&lt;&gt;"", J2446&lt;&gt;VLOOKUP(K2446, Criterios!$A$81:$B$120, 2, FALSE)), "División no coincide con Categoría", ""))), IF(OR(L2446="", L2446=""), "[Aviso] Género no capturado ()", IF(ISNA(MATCH(L2446, Criterios!$B$123:$B$127, 0)), "Género no válido", "")), IF(OR(N2446="", N2446=""), "[Aviso] Temporada no capturada ()", IF(ISNA(MATCH(N2446, Criterios!$C$123:$C$128, 0)), "Temporada no válida", "")), IF(OR(O2446="", O2446=""), "[Aviso] Ciclo de vida no capturado ()", IF(ISNA(MATCH(O2446, Criterios!$D$123:$D$124, 0)), "Ciclo de vida no válido", ""))))</f>
        <v/>
      </c>
      <c r="AC2446" s="56" t="n"/>
      <c r="AD2446" s="51" t="n">
        <v>0</v>
      </c>
      <c r="AE2446" s="156" t="inlineStr">
        <is>
          <t>Sin coincidencia en NetSuite</t>
        </is>
      </c>
      <c r="AF2446" s="51" t="n"/>
      <c r="AG2446" s="156" t="inlineStr">
        <is>
          <t>Catálogo existente</t>
        </is>
      </c>
      <c r="AH2446" s="156" t="inlineStr">
        <is>
          <t>No se encontró en Hoja a Revisar por ID interno ni por código de barras | Homologación G1522 06/10/2026: WB Silueta: «Correa de 38 mm» → «» (Corrección aplicada)</t>
        </is>
      </c>
      <c r="AI2446" s="156" t="n"/>
      <c r="AJ2446" s="156" t="n"/>
      <c r="AK2446" s="155" t="n"/>
      <c r="AL2446" s="58" t="n"/>
      <c r="AM2446" s="58" t="n"/>
      <c r="AN2446" s="155" t="n"/>
      <c r="AO2446" s="59" t="n"/>
      <c r="AP2446" s="59" t="n"/>
      <c r="AQ2446" s="59" t="n"/>
      <c r="AR2446" s="155" t="n"/>
    </row>
    <row r="2447">
      <c r="A2447" s="50" t="inlineStr">
        <is>
          <t>724303747782</t>
        </is>
      </c>
      <c r="B2447" s="51" t="n"/>
      <c r="C2447" s="156" t="inlineStr">
        <is>
          <t>Stetson</t>
        </is>
      </c>
      <c r="D2447" s="156" t="inlineStr">
        <is>
          <t>9415790</t>
        </is>
      </c>
      <c r="E2447" s="156" t="inlineStr">
        <is>
          <t>9415790-S</t>
        </is>
      </c>
      <c r="F2447" s="156" t="inlineStr">
        <is>
          <t>S</t>
        </is>
      </c>
      <c r="G2447" s="156" t="inlineStr">
        <is>
          <t>S</t>
        </is>
      </c>
      <c r="H2447" s="156" t="inlineStr">
        <is>
          <t>Stetson</t>
        </is>
      </c>
      <c r="I2447" s="156" t="inlineStr">
        <is>
          <t>Cinturón Stetson Wheat/Grey</t>
        </is>
      </c>
      <c r="J2447" s="156" t="inlineStr">
        <is>
          <t>Accesorios</t>
        </is>
      </c>
      <c r="K2447" s="156" t="inlineStr">
        <is>
          <t>Cinturones</t>
        </is>
      </c>
      <c r="L2447" s="156" t="inlineStr">
        <is>
          <t>Mujer</t>
        </is>
      </c>
      <c r="M2447" s="156" t="inlineStr">
        <is>
          <t>Stetson</t>
        </is>
      </c>
      <c r="N2447" s="156" t="inlineStr">
        <is>
          <t>SS26</t>
        </is>
      </c>
      <c r="O2447" s="156" t="inlineStr">
        <is>
          <t>Seasonal</t>
        </is>
      </c>
      <c r="P2447" s="156" t="inlineStr">
        <is>
          <t>Beige</t>
        </is>
      </c>
      <c r="Q2447" s="156" t="n"/>
      <c r="R2447" s="156" t="n"/>
      <c r="S2447" s="156" t="n"/>
      <c r="T2447" s="156" t="inlineStr">
        <is>
          <t>Cinturón Stetson Wheat/Grey.</t>
        </is>
      </c>
      <c r="U2447" s="156" t="n"/>
      <c r="V2447" s="156" t="inlineStr">
        <is>
          <t>PZS</t>
        </is>
      </c>
      <c r="W2447" s="51" t="inlineStr">
        <is>
          <t>53102501</t>
        </is>
      </c>
      <c r="X2447" s="156" t="n"/>
      <c r="Y2447" s="54" t="n"/>
      <c r="Z2447" s="54" t="n"/>
      <c r="AA2447" s="55">
        <f>IF(AND(A2447="", B2447="", E2447=""), "", IF(AB2447="", "Válido", IF((LEN(AB2447)-LEN(SUBSTITUTE(AB2447,"; ","")))/2+1&gt;(LEN(AB2447)-LEN(SUBSTITUTE(AB2447,"[Aviso]","")))/7, "Con Incidencias", "Válido")))</f>
        <v/>
      </c>
      <c r="AB2447" s="56">
        <f>IF(AND(A2447="", B2447="", E2447=""), "", TEXTJOIN("; ", TRUE, IF(OR(TRIM(A2447&amp;"")="", ISNUMBER(SEARCH("FALTA", A2447))), "UPC faltante/inválido", ""), IF(AND(A2447&lt;&gt;"", IFERROR(_xlfn.XMATCH(A2447,$A$2:$A$2509,0,1)&lt;&gt;_xlfn.XMATCH(A2447,$A$2:$A$2509,0,-1),FALSE)), "Código de barras duplicado", ""), IF(AND(E2447&lt;&gt;"", COUNTIF($E$2:$E$2509, E2447)&gt;1), "SKU duplicado", ""), IF(OR(J2447="", J2447=""), "[Aviso] División no capturada ()", IF(ISNA(MATCH(J2447, Criterios!$A$123:$A$126, 0)), "División no válida", "")), IF(OR(K2447="", K2447=""), "[Aviso] Categoría no capturada ()", IF(ISNA(MATCH(K2447, Criterios!$A$81:$A$120, 0)), "Categoría no válida", IF(AND(J2447&lt;&gt;"", J2447&lt;&gt;"", J2447&lt;&gt;VLOOKUP(K2447, Criterios!$A$81:$B$120, 2, FALSE)), "División no coincide con Categoría", ""))), IF(OR(L2447="", L2447=""), "[Aviso] Género no capturado ()", IF(ISNA(MATCH(L2447, Criterios!$B$123:$B$127, 0)), "Género no válido", "")), IF(OR(N2447="", N2447=""), "[Aviso] Temporada no capturada ()", IF(ISNA(MATCH(N2447, Criterios!$C$123:$C$128, 0)), "Temporada no válida", "")), IF(OR(O2447="", O2447=""), "[Aviso] Ciclo de vida no capturado ()", IF(ISNA(MATCH(O2447, Criterios!$D$123:$D$124, 0)), "Ciclo de vida no válido", ""))))</f>
        <v/>
      </c>
      <c r="AC2447" s="56" t="n"/>
      <c r="AD2447" s="51" t="n">
        <v>0</v>
      </c>
      <c r="AE2447" s="156" t="inlineStr">
        <is>
          <t>Sin coincidencia en NetSuite</t>
        </is>
      </c>
      <c r="AF2447" s="51" t="n"/>
      <c r="AG2447" s="156" t="inlineStr">
        <is>
          <t>Catálogo existente</t>
        </is>
      </c>
      <c r="AH2447" s="156" t="inlineStr">
        <is>
          <t>No se encontró en Hoja a Revisar por ID interno ni por código de barras</t>
        </is>
      </c>
      <c r="AI2447" s="156" t="n"/>
      <c r="AJ2447" s="156" t="n"/>
      <c r="AK2447" s="155" t="n"/>
      <c r="AL2447" s="58" t="n"/>
      <c r="AM2447" s="58" t="n"/>
      <c r="AN2447" s="155" t="n"/>
      <c r="AO2447" s="59" t="n"/>
      <c r="AP2447" s="59" t="n"/>
      <c r="AQ2447" s="59" t="n"/>
      <c r="AR2447" s="155" t="n"/>
    </row>
    <row r="2448">
      <c r="A2448" s="50" t="inlineStr">
        <is>
          <t>724303747799</t>
        </is>
      </c>
      <c r="B2448" s="51" t="n"/>
      <c r="C2448" s="156" t="inlineStr">
        <is>
          <t>Stetson</t>
        </is>
      </c>
      <c r="D2448" s="156" t="inlineStr">
        <is>
          <t>9415790</t>
        </is>
      </c>
      <c r="E2448" s="156" t="inlineStr">
        <is>
          <t>9415790-M</t>
        </is>
      </c>
      <c r="F2448" s="156" t="inlineStr">
        <is>
          <t>M</t>
        </is>
      </c>
      <c r="G2448" s="156" t="inlineStr">
        <is>
          <t>M</t>
        </is>
      </c>
      <c r="H2448" s="156" t="inlineStr">
        <is>
          <t>Stetson</t>
        </is>
      </c>
      <c r="I2448" s="156" t="inlineStr">
        <is>
          <t>Cinturón Stetson Wheat/Grey</t>
        </is>
      </c>
      <c r="J2448" s="156" t="inlineStr">
        <is>
          <t>Accesorios</t>
        </is>
      </c>
      <c r="K2448" s="156" t="inlineStr">
        <is>
          <t>Cinturones</t>
        </is>
      </c>
      <c r="L2448" s="156" t="inlineStr">
        <is>
          <t>Mujer</t>
        </is>
      </c>
      <c r="M2448" s="156" t="inlineStr">
        <is>
          <t>Stetson</t>
        </is>
      </c>
      <c r="N2448" s="156" t="inlineStr">
        <is>
          <t>SS26</t>
        </is>
      </c>
      <c r="O2448" s="156" t="inlineStr">
        <is>
          <t>Seasonal</t>
        </is>
      </c>
      <c r="P2448" s="156" t="inlineStr">
        <is>
          <t>Beige</t>
        </is>
      </c>
      <c r="Q2448" s="156" t="n"/>
      <c r="R2448" s="156" t="n"/>
      <c r="S2448" s="156" t="n"/>
      <c r="T2448" s="156" t="inlineStr">
        <is>
          <t>Cinturón Stetson Wheat/Grey.</t>
        </is>
      </c>
      <c r="U2448" s="156" t="n"/>
      <c r="V2448" s="156" t="inlineStr">
        <is>
          <t>PZS</t>
        </is>
      </c>
      <c r="W2448" s="51" t="inlineStr">
        <is>
          <t>53102501</t>
        </is>
      </c>
      <c r="X2448" s="156" t="n"/>
      <c r="Y2448" s="54" t="n"/>
      <c r="Z2448" s="54" t="n"/>
      <c r="AA2448" s="55">
        <f>IF(AND(A2448="", B2448="", E2448=""), "", IF(AB2448="", "Válido", IF((LEN(AB2448)-LEN(SUBSTITUTE(AB2448,"; ","")))/2+1&gt;(LEN(AB2448)-LEN(SUBSTITUTE(AB2448,"[Aviso]","")))/7, "Con Incidencias", "Válido")))</f>
        <v/>
      </c>
      <c r="AB2448" s="56">
        <f>IF(AND(A2448="", B2448="", E2448=""), "", TEXTJOIN("; ", TRUE, IF(OR(TRIM(A2448&amp;"")="", ISNUMBER(SEARCH("FALTA", A2448))), "UPC faltante/inválido", ""), IF(AND(A2448&lt;&gt;"", IFERROR(_xlfn.XMATCH(A2448,$A$2:$A$2509,0,1)&lt;&gt;_xlfn.XMATCH(A2448,$A$2:$A$2509,0,-1),FALSE)), "Código de barras duplicado", ""), IF(AND(E2448&lt;&gt;"", COUNTIF($E$2:$E$2509, E2448)&gt;1), "SKU duplicado", ""), IF(OR(J2448="", J2448=""), "[Aviso] División no capturada ()", IF(ISNA(MATCH(J2448, Criterios!$A$123:$A$126, 0)), "División no válida", "")), IF(OR(K2448="", K2448=""), "[Aviso] Categoría no capturada ()", IF(ISNA(MATCH(K2448, Criterios!$A$81:$A$120, 0)), "Categoría no válida", IF(AND(J2448&lt;&gt;"", J2448&lt;&gt;"", J2448&lt;&gt;VLOOKUP(K2448, Criterios!$A$81:$B$120, 2, FALSE)), "División no coincide con Categoría", ""))), IF(OR(L2448="", L2448=""), "[Aviso] Género no capturado ()", IF(ISNA(MATCH(L2448, Criterios!$B$123:$B$127, 0)), "Género no válido", "")), IF(OR(N2448="", N2448=""), "[Aviso] Temporada no capturada ()", IF(ISNA(MATCH(N2448, Criterios!$C$123:$C$128, 0)), "Temporada no válida", "")), IF(OR(O2448="", O2448=""), "[Aviso] Ciclo de vida no capturado ()", IF(ISNA(MATCH(O2448, Criterios!$D$123:$D$124, 0)), "Ciclo de vida no válido", ""))))</f>
        <v/>
      </c>
      <c r="AC2448" s="56" t="n"/>
      <c r="AD2448" s="51" t="n">
        <v>0</v>
      </c>
      <c r="AE2448" s="156" t="inlineStr">
        <is>
          <t>Sin coincidencia en NetSuite</t>
        </is>
      </c>
      <c r="AF2448" s="51" t="n"/>
      <c r="AG2448" s="156" t="inlineStr">
        <is>
          <t>Catálogo existente</t>
        </is>
      </c>
      <c r="AH2448" s="156" t="inlineStr">
        <is>
          <t>No se encontró en Hoja a Revisar por ID interno ni por código de barras</t>
        </is>
      </c>
      <c r="AI2448" s="156" t="n"/>
      <c r="AJ2448" s="156" t="n"/>
      <c r="AK2448" s="155" t="n"/>
      <c r="AL2448" s="58" t="n"/>
      <c r="AM2448" s="58" t="n"/>
      <c r="AN2448" s="155" t="n"/>
      <c r="AO2448" s="59" t="n"/>
      <c r="AP2448" s="59" t="n"/>
      <c r="AQ2448" s="59" t="n"/>
      <c r="AR2448" s="155" t="n"/>
    </row>
    <row r="2449">
      <c r="A2449" s="50" t="inlineStr">
        <is>
          <t>724303747805</t>
        </is>
      </c>
      <c r="B2449" s="51" t="n"/>
      <c r="C2449" s="156" t="inlineStr">
        <is>
          <t>Stetson</t>
        </is>
      </c>
      <c r="D2449" s="156" t="inlineStr">
        <is>
          <t>9415790</t>
        </is>
      </c>
      <c r="E2449" s="156" t="inlineStr">
        <is>
          <t>9415790-L</t>
        </is>
      </c>
      <c r="F2449" s="156" t="inlineStr">
        <is>
          <t>L</t>
        </is>
      </c>
      <c r="G2449" s="156" t="inlineStr">
        <is>
          <t>L</t>
        </is>
      </c>
      <c r="H2449" s="156" t="inlineStr">
        <is>
          <t>Stetson</t>
        </is>
      </c>
      <c r="I2449" s="156" t="inlineStr">
        <is>
          <t>Cinturón Stetson Wheat/Grey</t>
        </is>
      </c>
      <c r="J2449" s="156" t="inlineStr">
        <is>
          <t>Accesorios</t>
        </is>
      </c>
      <c r="K2449" s="156" t="inlineStr">
        <is>
          <t>Cinturones</t>
        </is>
      </c>
      <c r="L2449" s="156" t="inlineStr">
        <is>
          <t>Mujer</t>
        </is>
      </c>
      <c r="M2449" s="156" t="inlineStr">
        <is>
          <t>Stetson</t>
        </is>
      </c>
      <c r="N2449" s="156" t="inlineStr">
        <is>
          <t>SS26</t>
        </is>
      </c>
      <c r="O2449" s="156" t="inlineStr">
        <is>
          <t>Seasonal</t>
        </is>
      </c>
      <c r="P2449" s="156" t="inlineStr">
        <is>
          <t>Beige</t>
        </is>
      </c>
      <c r="Q2449" s="156" t="n"/>
      <c r="R2449" s="156" t="n"/>
      <c r="S2449" s="156" t="n"/>
      <c r="T2449" s="156" t="inlineStr">
        <is>
          <t>Cinturón Stetson Wheat/Grey.</t>
        </is>
      </c>
      <c r="U2449" s="156" t="n"/>
      <c r="V2449" s="156" t="inlineStr">
        <is>
          <t>PZS</t>
        </is>
      </c>
      <c r="W2449" s="51" t="inlineStr">
        <is>
          <t>53102501</t>
        </is>
      </c>
      <c r="X2449" s="156" t="n"/>
      <c r="Y2449" s="54" t="n"/>
      <c r="Z2449" s="54" t="n"/>
      <c r="AA2449" s="55">
        <f>IF(AND(A2449="", B2449="", E2449=""), "", IF(AB2449="", "Válido", IF((LEN(AB2449)-LEN(SUBSTITUTE(AB2449,"; ","")))/2+1&gt;(LEN(AB2449)-LEN(SUBSTITUTE(AB2449,"[Aviso]","")))/7, "Con Incidencias", "Válido")))</f>
        <v/>
      </c>
      <c r="AB2449" s="56">
        <f>IF(AND(A2449="", B2449="", E2449=""), "", TEXTJOIN("; ", TRUE, IF(OR(TRIM(A2449&amp;"")="", ISNUMBER(SEARCH("FALTA", A2449))), "UPC faltante/inválido", ""), IF(AND(A2449&lt;&gt;"", IFERROR(_xlfn.XMATCH(A2449,$A$2:$A$2509,0,1)&lt;&gt;_xlfn.XMATCH(A2449,$A$2:$A$2509,0,-1),FALSE)), "Código de barras duplicado", ""), IF(AND(E2449&lt;&gt;"", COUNTIF($E$2:$E$2509, E2449)&gt;1), "SKU duplicado", ""), IF(OR(J2449="", J2449=""), "[Aviso] División no capturada ()", IF(ISNA(MATCH(J2449, Criterios!$A$123:$A$126, 0)), "División no válida", "")), IF(OR(K2449="", K2449=""), "[Aviso] Categoría no capturada ()", IF(ISNA(MATCH(K2449, Criterios!$A$81:$A$120, 0)), "Categoría no válida", IF(AND(J2449&lt;&gt;"", J2449&lt;&gt;"", J2449&lt;&gt;VLOOKUP(K2449, Criterios!$A$81:$B$120, 2, FALSE)), "División no coincide con Categoría", ""))), IF(OR(L2449="", L2449=""), "[Aviso] Género no capturado ()", IF(ISNA(MATCH(L2449, Criterios!$B$123:$B$127, 0)), "Género no válido", "")), IF(OR(N2449="", N2449=""), "[Aviso] Temporada no capturada ()", IF(ISNA(MATCH(N2449, Criterios!$C$123:$C$128, 0)), "Temporada no válida", "")), IF(OR(O2449="", O2449=""), "[Aviso] Ciclo de vida no capturado ()", IF(ISNA(MATCH(O2449, Criterios!$D$123:$D$124, 0)), "Ciclo de vida no válido", ""))))</f>
        <v/>
      </c>
      <c r="AC2449" s="56" t="n"/>
      <c r="AD2449" s="51" t="n">
        <v>0</v>
      </c>
      <c r="AE2449" s="156" t="inlineStr">
        <is>
          <t>Sin coincidencia en NetSuite</t>
        </is>
      </c>
      <c r="AF2449" s="51" t="n"/>
      <c r="AG2449" s="156" t="inlineStr">
        <is>
          <t>Catálogo existente</t>
        </is>
      </c>
      <c r="AH2449" s="156" t="inlineStr">
        <is>
          <t>No se encontró en Hoja a Revisar por ID interno ni por código de barras</t>
        </is>
      </c>
      <c r="AI2449" s="156" t="n"/>
      <c r="AJ2449" s="156" t="n"/>
      <c r="AK2449" s="155" t="n"/>
      <c r="AL2449" s="58" t="n"/>
      <c r="AM2449" s="58" t="n"/>
      <c r="AN2449" s="155" t="n"/>
      <c r="AO2449" s="59" t="n"/>
      <c r="AP2449" s="59" t="n"/>
      <c r="AQ2449" s="59" t="n"/>
      <c r="AR2449" s="155" t="n"/>
    </row>
    <row r="2450">
      <c r="A2450" s="50" t="inlineStr">
        <is>
          <t>724303747812</t>
        </is>
      </c>
      <c r="B2450" s="51" t="n"/>
      <c r="C2450" s="156" t="inlineStr">
        <is>
          <t>Stetson</t>
        </is>
      </c>
      <c r="D2450" s="156" t="inlineStr">
        <is>
          <t>9415790</t>
        </is>
      </c>
      <c r="E2450" s="156" t="inlineStr">
        <is>
          <t>9415790-XL</t>
        </is>
      </c>
      <c r="F2450" s="156" t="inlineStr">
        <is>
          <t>XL</t>
        </is>
      </c>
      <c r="G2450" s="156" t="inlineStr">
        <is>
          <t>XL</t>
        </is>
      </c>
      <c r="H2450" s="156" t="inlineStr">
        <is>
          <t>Stetson</t>
        </is>
      </c>
      <c r="I2450" s="156" t="inlineStr">
        <is>
          <t>Cinturón Stetson Wheat/Grey</t>
        </is>
      </c>
      <c r="J2450" s="156" t="inlineStr">
        <is>
          <t>Accesorios</t>
        </is>
      </c>
      <c r="K2450" s="156" t="inlineStr">
        <is>
          <t>Cinturones</t>
        </is>
      </c>
      <c r="L2450" s="156" t="inlineStr">
        <is>
          <t>Mujer</t>
        </is>
      </c>
      <c r="M2450" s="156" t="inlineStr">
        <is>
          <t>Stetson</t>
        </is>
      </c>
      <c r="N2450" s="156" t="inlineStr">
        <is>
          <t>SS26</t>
        </is>
      </c>
      <c r="O2450" s="156" t="inlineStr">
        <is>
          <t>Seasonal</t>
        </is>
      </c>
      <c r="P2450" s="156" t="inlineStr">
        <is>
          <t>Beige</t>
        </is>
      </c>
      <c r="Q2450" s="156" t="n"/>
      <c r="R2450" s="156" t="n"/>
      <c r="S2450" s="156" t="n"/>
      <c r="T2450" s="156" t="inlineStr">
        <is>
          <t>Cinturón Stetson Wheat/Grey.</t>
        </is>
      </c>
      <c r="U2450" s="156" t="n"/>
      <c r="V2450" s="156" t="inlineStr">
        <is>
          <t>PZS</t>
        </is>
      </c>
      <c r="W2450" s="51" t="inlineStr">
        <is>
          <t>53102501</t>
        </is>
      </c>
      <c r="X2450" s="156" t="n"/>
      <c r="Y2450" s="54" t="n"/>
      <c r="Z2450" s="54" t="n"/>
      <c r="AA2450" s="55">
        <f>IF(AND(A2450="", B2450="", E2450=""), "", IF(AB2450="", "Válido", IF((LEN(AB2450)-LEN(SUBSTITUTE(AB2450,"; ","")))/2+1&gt;(LEN(AB2450)-LEN(SUBSTITUTE(AB2450,"[Aviso]","")))/7, "Con Incidencias", "Válido")))</f>
        <v/>
      </c>
      <c r="AB2450" s="56">
        <f>IF(AND(A2450="", B2450="", E2450=""), "", TEXTJOIN("; ", TRUE, IF(OR(TRIM(A2450&amp;"")="", ISNUMBER(SEARCH("FALTA", A2450))), "UPC faltante/inválido", ""), IF(AND(A2450&lt;&gt;"", IFERROR(_xlfn.XMATCH(A2450,$A$2:$A$2509,0,1)&lt;&gt;_xlfn.XMATCH(A2450,$A$2:$A$2509,0,-1),FALSE)), "Código de barras duplicado", ""), IF(AND(E2450&lt;&gt;"", COUNTIF($E$2:$E$2509, E2450)&gt;1), "SKU duplicado", ""), IF(OR(J2450="", J2450=""), "[Aviso] División no capturada ()", IF(ISNA(MATCH(J2450, Criterios!$A$123:$A$126, 0)), "División no válida", "")), IF(OR(K2450="", K2450=""), "[Aviso] Categoría no capturada ()", IF(ISNA(MATCH(K2450, Criterios!$A$81:$A$120, 0)), "Categoría no válida", IF(AND(J2450&lt;&gt;"", J2450&lt;&gt;"", J2450&lt;&gt;VLOOKUP(K2450, Criterios!$A$81:$B$120, 2, FALSE)), "División no coincide con Categoría", ""))), IF(OR(L2450="", L2450=""), "[Aviso] Género no capturado ()", IF(ISNA(MATCH(L2450, Criterios!$B$123:$B$127, 0)), "Género no válido", "")), IF(OR(N2450="", N2450=""), "[Aviso] Temporada no capturada ()", IF(ISNA(MATCH(N2450, Criterios!$C$123:$C$128, 0)), "Temporada no válida", "")), IF(OR(O2450="", O2450=""), "[Aviso] Ciclo de vida no capturado ()", IF(ISNA(MATCH(O2450, Criterios!$D$123:$D$124, 0)), "Ciclo de vida no válido", ""))))</f>
        <v/>
      </c>
      <c r="AC2450" s="56" t="n"/>
      <c r="AD2450" s="51" t="n">
        <v>0</v>
      </c>
      <c r="AE2450" s="156" t="inlineStr">
        <is>
          <t>Sin coincidencia en NetSuite</t>
        </is>
      </c>
      <c r="AF2450" s="51" t="n"/>
      <c r="AG2450" s="156" t="inlineStr">
        <is>
          <t>Catálogo existente</t>
        </is>
      </c>
      <c r="AH2450" s="156" t="inlineStr">
        <is>
          <t>No se encontró en Hoja a Revisar por ID interno ni por código de barras</t>
        </is>
      </c>
      <c r="AI2450" s="156" t="n"/>
      <c r="AJ2450" s="156" t="n"/>
      <c r="AK2450" s="155" t="n"/>
      <c r="AL2450" s="58" t="n"/>
      <c r="AM2450" s="58" t="n"/>
      <c r="AN2450" s="155" t="n"/>
      <c r="AO2450" s="59" t="n"/>
      <c r="AP2450" s="59" t="n"/>
      <c r="AQ2450" s="59" t="n"/>
      <c r="AR2450" s="155" t="n"/>
    </row>
    <row r="2451">
      <c r="A2451" s="50" t="inlineStr">
        <is>
          <t>884426346306</t>
        </is>
      </c>
      <c r="B2451" s="51" t="n"/>
      <c r="C2451" s="156" t="inlineStr">
        <is>
          <t>Stetson</t>
        </is>
      </c>
      <c r="D2451" s="156" t="inlineStr">
        <is>
          <t>11-060-0594-6012</t>
        </is>
      </c>
      <c r="E2451" s="156" t="inlineStr">
        <is>
          <t>11-060-0594-6012 BU-4</t>
        </is>
      </c>
      <c r="F2451" s="156" t="inlineStr">
        <is>
          <t>4</t>
        </is>
      </c>
      <c r="G2451" s="156" t="inlineStr">
        <is>
          <t>4</t>
        </is>
      </c>
      <c r="H2451" s="156" t="inlineStr">
        <is>
          <t>Stetson</t>
        </is>
      </c>
      <c r="I2451" s="156" t="inlineStr">
        <is>
          <t>Falda Stetson midi de mezclilla con abertura frontal</t>
        </is>
      </c>
      <c r="J2451" s="156" t="inlineStr">
        <is>
          <t>Ropa</t>
        </is>
      </c>
      <c r="K2451" s="156" t="inlineStr">
        <is>
          <t>Faldas</t>
        </is>
      </c>
      <c r="L2451" s="156" t="inlineStr">
        <is>
          <t>Mujer</t>
        </is>
      </c>
      <c r="M2451" s="156" t="inlineStr">
        <is>
          <t>Stetson</t>
        </is>
      </c>
      <c r="N2451" s="156" t="inlineStr">
        <is>
          <t>SS26</t>
        </is>
      </c>
      <c r="O2451" s="156" t="inlineStr">
        <is>
          <t>Seasonal</t>
        </is>
      </c>
      <c r="P2451" s="156" t="inlineStr">
        <is>
          <t>Azul</t>
        </is>
      </c>
      <c r="Q2451" s="156" t="n"/>
      <c r="R2451" s="156" t="n"/>
      <c r="S2451" s="156" t="n"/>
      <c r="T2451" s="156" t="inlineStr">
        <is>
          <t>Falda Stetson midi de mezclilla con abertura frontal; midi con abertura frontal.</t>
        </is>
      </c>
      <c r="U2451" s="156" t="n"/>
      <c r="V2451" s="156" t="inlineStr">
        <is>
          <t>PZS</t>
        </is>
      </c>
      <c r="W2451" s="51" t="inlineStr">
        <is>
          <t>53102000</t>
        </is>
      </c>
      <c r="X2451" s="156" t="inlineStr">
        <is>
          <t>https://cdn.shopify.com/s/files/1/1062/8212/files/11-060-0594-6012_0000_1106005946012a_large_710877a8-1d94-4310-8ae7-670d0d49b2e6.jpg?v=1773254375</t>
        </is>
      </c>
      <c r="Y2451" s="54" t="n"/>
      <c r="Z2451" s="54" t="n"/>
      <c r="AA2451" s="55">
        <f>IF(AND(A2451="", B2451="", E2451=""), "", IF(AB2451="", "Válido", IF((LEN(AB2451)-LEN(SUBSTITUTE(AB2451,"; ","")))/2+1&gt;(LEN(AB2451)-LEN(SUBSTITUTE(AB2451,"[Aviso]","")))/7, "Con Incidencias", "Válido")))</f>
        <v/>
      </c>
      <c r="AB2451" s="56">
        <f>IF(AND(A2451="", B2451="", E2451=""), "", TEXTJOIN("; ", TRUE, IF(OR(TRIM(A2451&amp;"")="", ISNUMBER(SEARCH("FALTA", A2451))), "UPC faltante/inválido", ""), IF(AND(A2451&lt;&gt;"", IFERROR(_xlfn.XMATCH(A2451,$A$2:$A$2509,0,1)&lt;&gt;_xlfn.XMATCH(A2451,$A$2:$A$2509,0,-1),FALSE)), "Código de barras duplicado", ""), IF(AND(E2451&lt;&gt;"", COUNTIF($E$2:$E$2509, E2451)&gt;1), "SKU duplicado", ""), IF(OR(J2451="", J2451=""), "[Aviso] División no capturada ()", IF(ISNA(MATCH(J2451, Criterios!$A$123:$A$126, 0)), "División no válida", "")), IF(OR(K2451="", K2451=""), "[Aviso] Categoría no capturada ()", IF(ISNA(MATCH(K2451, Criterios!$A$81:$A$120, 0)), "Categoría no válida", IF(AND(J2451&lt;&gt;"", J2451&lt;&gt;"", J2451&lt;&gt;VLOOKUP(K2451, Criterios!$A$81:$B$120, 2, FALSE)), "División no coincide con Categoría", ""))), IF(OR(L2451="", L2451=""), "[Aviso] Género no capturado ()", IF(ISNA(MATCH(L2451, Criterios!$B$123:$B$127, 0)), "Género no válido", "")), IF(OR(N2451="", N2451=""), "[Aviso] Temporada no capturada ()", IF(ISNA(MATCH(N2451, Criterios!$C$123:$C$128, 0)), "Temporada no válida", "")), IF(OR(O2451="", O2451=""), "[Aviso] Ciclo de vida no capturado ()", IF(ISNA(MATCH(O2451, Criterios!$D$123:$D$124, 0)), "Ciclo de vida no válido", ""))))</f>
        <v/>
      </c>
      <c r="AC2451" s="56" t="n"/>
      <c r="AD2451" s="51" t="n">
        <v>0</v>
      </c>
      <c r="AE2451" s="156" t="inlineStr">
        <is>
          <t>Sin coincidencia en NetSuite</t>
        </is>
      </c>
      <c r="AF2451" s="51" t="n"/>
      <c r="AG2451" s="156" t="inlineStr">
        <is>
          <t>Catálogo existente</t>
        </is>
      </c>
      <c r="AH2451" s="156" t="inlineStr">
        <is>
          <t>No se encontró en Hoja a Revisar por ID interno ni por código de barras | Homologación G1522 06/10/2026: WB Silueta: «Midi con abertura frontal» → «» (Corrección aplicada)</t>
        </is>
      </c>
      <c r="AI2451" s="156" t="n"/>
      <c r="AJ2451" s="156" t="n"/>
      <c r="AK2451" s="155" t="n"/>
      <c r="AL2451" s="58" t="n"/>
      <c r="AM2451" s="58" t="n"/>
      <c r="AN2451" s="155" t="n"/>
      <c r="AO2451" s="59" t="n"/>
      <c r="AP2451" s="59" t="n"/>
      <c r="AQ2451" s="59" t="n"/>
      <c r="AR2451" s="155" t="n"/>
    </row>
    <row r="2452">
      <c r="A2452" s="50" t="inlineStr">
        <is>
          <t>884426346320</t>
        </is>
      </c>
      <c r="B2452" s="51" t="n"/>
      <c r="C2452" s="156" t="inlineStr">
        <is>
          <t>Stetson</t>
        </is>
      </c>
      <c r="D2452" s="156" t="inlineStr">
        <is>
          <t>11-060-0594-6012</t>
        </is>
      </c>
      <c r="E2452" s="156" t="inlineStr">
        <is>
          <t>11-060-0594-6012 BU-8</t>
        </is>
      </c>
      <c r="F2452" s="156" t="inlineStr">
        <is>
          <t>8</t>
        </is>
      </c>
      <c r="G2452" s="156" t="inlineStr">
        <is>
          <t>8</t>
        </is>
      </c>
      <c r="H2452" s="156" t="inlineStr">
        <is>
          <t>Stetson</t>
        </is>
      </c>
      <c r="I2452" s="156" t="inlineStr">
        <is>
          <t>Falda Stetson midi de mezclilla con abertura frontal</t>
        </is>
      </c>
      <c r="J2452" s="156" t="inlineStr">
        <is>
          <t>Ropa</t>
        </is>
      </c>
      <c r="K2452" s="156" t="inlineStr">
        <is>
          <t>Faldas</t>
        </is>
      </c>
      <c r="L2452" s="156" t="inlineStr">
        <is>
          <t>Mujer</t>
        </is>
      </c>
      <c r="M2452" s="156" t="inlineStr">
        <is>
          <t>Stetson</t>
        </is>
      </c>
      <c r="N2452" s="156" t="inlineStr">
        <is>
          <t>SS26</t>
        </is>
      </c>
      <c r="O2452" s="156" t="inlineStr">
        <is>
          <t>Seasonal</t>
        </is>
      </c>
      <c r="P2452" s="156" t="inlineStr">
        <is>
          <t>Azul</t>
        </is>
      </c>
      <c r="Q2452" s="156" t="n"/>
      <c r="R2452" s="156" t="n"/>
      <c r="S2452" s="156" t="n"/>
      <c r="T2452" s="156" t="inlineStr">
        <is>
          <t>Falda Stetson midi de mezclilla con abertura frontal; midi con abertura frontal.</t>
        </is>
      </c>
      <c r="U2452" s="156" t="n"/>
      <c r="V2452" s="156" t="inlineStr">
        <is>
          <t>PZS</t>
        </is>
      </c>
      <c r="W2452" s="51" t="inlineStr">
        <is>
          <t>53102000</t>
        </is>
      </c>
      <c r="X2452" s="156" t="inlineStr">
        <is>
          <t>https://cdn.shopify.com/s/files/1/1062/8212/files/11-060-0594-6012_0000_1106005946012a_large_710877a8-1d94-4310-8ae7-670d0d49b2e6.jpg?v=1773254375</t>
        </is>
      </c>
      <c r="Y2452" s="54" t="n"/>
      <c r="Z2452" s="54" t="n"/>
      <c r="AA2452" s="55">
        <f>IF(AND(A2452="", B2452="", E2452=""), "", IF(AB2452="", "Válido", IF((LEN(AB2452)-LEN(SUBSTITUTE(AB2452,"; ","")))/2+1&gt;(LEN(AB2452)-LEN(SUBSTITUTE(AB2452,"[Aviso]","")))/7, "Con Incidencias", "Válido")))</f>
        <v/>
      </c>
      <c r="AB2452" s="56">
        <f>IF(AND(A2452="", B2452="", E2452=""), "", TEXTJOIN("; ", TRUE, IF(OR(TRIM(A2452&amp;"")="", ISNUMBER(SEARCH("FALTA", A2452))), "UPC faltante/inválido", ""), IF(AND(A2452&lt;&gt;"", IFERROR(_xlfn.XMATCH(A2452,$A$2:$A$2509,0,1)&lt;&gt;_xlfn.XMATCH(A2452,$A$2:$A$2509,0,-1),FALSE)), "Código de barras duplicado", ""), IF(AND(E2452&lt;&gt;"", COUNTIF($E$2:$E$2509, E2452)&gt;1), "SKU duplicado", ""), IF(OR(J2452="", J2452=""), "[Aviso] División no capturada ()", IF(ISNA(MATCH(J2452, Criterios!$A$123:$A$126, 0)), "División no válida", "")), IF(OR(K2452="", K2452=""), "[Aviso] Categoría no capturada ()", IF(ISNA(MATCH(K2452, Criterios!$A$81:$A$120, 0)), "Categoría no válida", IF(AND(J2452&lt;&gt;"", J2452&lt;&gt;"", J2452&lt;&gt;VLOOKUP(K2452, Criterios!$A$81:$B$120, 2, FALSE)), "División no coincide con Categoría", ""))), IF(OR(L2452="", L2452=""), "[Aviso] Género no capturado ()", IF(ISNA(MATCH(L2452, Criterios!$B$123:$B$127, 0)), "Género no válido", "")), IF(OR(N2452="", N2452=""), "[Aviso] Temporada no capturada ()", IF(ISNA(MATCH(N2452, Criterios!$C$123:$C$128, 0)), "Temporada no válida", "")), IF(OR(O2452="", O2452=""), "[Aviso] Ciclo de vida no capturado ()", IF(ISNA(MATCH(O2452, Criterios!$D$123:$D$124, 0)), "Ciclo de vida no válido", ""))))</f>
        <v/>
      </c>
      <c r="AC2452" s="56" t="n"/>
      <c r="AD2452" s="51" t="n">
        <v>0</v>
      </c>
      <c r="AE2452" s="156" t="inlineStr">
        <is>
          <t>Sin coincidencia en NetSuite</t>
        </is>
      </c>
      <c r="AF2452" s="51" t="n"/>
      <c r="AG2452" s="156" t="inlineStr">
        <is>
          <t>Catálogo existente</t>
        </is>
      </c>
      <c r="AH2452" s="156" t="inlineStr">
        <is>
          <t>No se encontró en Hoja a Revisar por ID interno ni por código de barras | Homologación G1522 06/10/2026: WB Silueta: «Midi con abertura frontal» → «» (Corrección aplicada)</t>
        </is>
      </c>
      <c r="AI2452" s="156" t="n"/>
      <c r="AJ2452" s="156" t="n"/>
      <c r="AK2452" s="155" t="n"/>
      <c r="AL2452" s="58" t="n"/>
      <c r="AM2452" s="58" t="n"/>
      <c r="AN2452" s="155" t="n"/>
      <c r="AO2452" s="59" t="n"/>
      <c r="AP2452" s="59" t="n"/>
      <c r="AQ2452" s="59" t="n"/>
      <c r="AR2452" s="155" t="n"/>
    </row>
    <row r="2453">
      <c r="A2453" s="50" t="inlineStr">
        <is>
          <t>884426339339</t>
        </is>
      </c>
      <c r="B2453" s="51" t="n"/>
      <c r="C2453" s="156" t="inlineStr">
        <is>
          <t>Stetson</t>
        </is>
      </c>
      <c r="D2453" s="156" t="inlineStr">
        <is>
          <t>11-060-0594-6012</t>
        </is>
      </c>
      <c r="E2453" s="156" t="inlineStr">
        <is>
          <t>11-060-0594-6012 BU-10</t>
        </is>
      </c>
      <c r="F2453" s="156" t="inlineStr">
        <is>
          <t>10</t>
        </is>
      </c>
      <c r="G2453" s="156" t="inlineStr">
        <is>
          <t>10</t>
        </is>
      </c>
      <c r="H2453" s="156" t="inlineStr">
        <is>
          <t>Stetson</t>
        </is>
      </c>
      <c r="I2453" s="156" t="inlineStr">
        <is>
          <t>Falda Stetson midi de mezclilla con abertura frontal</t>
        </is>
      </c>
      <c r="J2453" s="156" t="inlineStr">
        <is>
          <t>Ropa</t>
        </is>
      </c>
      <c r="K2453" s="156" t="inlineStr">
        <is>
          <t>Faldas</t>
        </is>
      </c>
      <c r="L2453" s="156" t="inlineStr">
        <is>
          <t>Mujer</t>
        </is>
      </c>
      <c r="M2453" s="156" t="inlineStr">
        <is>
          <t>Stetson</t>
        </is>
      </c>
      <c r="N2453" s="156" t="inlineStr">
        <is>
          <t>SS26</t>
        </is>
      </c>
      <c r="O2453" s="156" t="inlineStr">
        <is>
          <t>Seasonal</t>
        </is>
      </c>
      <c r="P2453" s="156" t="inlineStr">
        <is>
          <t>Azul</t>
        </is>
      </c>
      <c r="Q2453" s="156" t="n"/>
      <c r="R2453" s="156" t="n"/>
      <c r="S2453" s="156" t="n"/>
      <c r="T2453" s="156" t="inlineStr">
        <is>
          <t>Falda Stetson midi de mezclilla con abertura frontal; midi con abertura frontal.</t>
        </is>
      </c>
      <c r="U2453" s="156" t="n"/>
      <c r="V2453" s="156" t="inlineStr">
        <is>
          <t>PZS</t>
        </is>
      </c>
      <c r="W2453" s="51" t="inlineStr">
        <is>
          <t>53102000</t>
        </is>
      </c>
      <c r="X2453" s="156" t="inlineStr">
        <is>
          <t>https://cdn.shopify.com/s/files/1/1062/8212/files/11-060-0594-6012_0000_1106005946012a_large_710877a8-1d94-4310-8ae7-670d0d49b2e6.jpg?v=1773254375</t>
        </is>
      </c>
      <c r="Y2453" s="54" t="n"/>
      <c r="Z2453" s="54" t="n"/>
      <c r="AA2453" s="55">
        <f>IF(AND(A2453="", B2453="", E2453=""), "", IF(AB2453="", "Válido", IF((LEN(AB2453)-LEN(SUBSTITUTE(AB2453,"; ","")))/2+1&gt;(LEN(AB2453)-LEN(SUBSTITUTE(AB2453,"[Aviso]","")))/7, "Con Incidencias", "Válido")))</f>
        <v/>
      </c>
      <c r="AB2453" s="56">
        <f>IF(AND(A2453="", B2453="", E2453=""), "", TEXTJOIN("; ", TRUE, IF(OR(TRIM(A2453&amp;"")="", ISNUMBER(SEARCH("FALTA", A2453))), "UPC faltante/inválido", ""), IF(AND(A2453&lt;&gt;"", IFERROR(_xlfn.XMATCH(A2453,$A$2:$A$2509,0,1)&lt;&gt;_xlfn.XMATCH(A2453,$A$2:$A$2509,0,-1),FALSE)), "Código de barras duplicado", ""), IF(AND(E2453&lt;&gt;"", COUNTIF($E$2:$E$2509, E2453)&gt;1), "SKU duplicado", ""), IF(OR(J2453="", J2453=""), "[Aviso] División no capturada ()", IF(ISNA(MATCH(J2453, Criterios!$A$123:$A$126, 0)), "División no válida", "")), IF(OR(K2453="", K2453=""), "[Aviso] Categoría no capturada ()", IF(ISNA(MATCH(K2453, Criterios!$A$81:$A$120, 0)), "Categoría no válida", IF(AND(J2453&lt;&gt;"", J2453&lt;&gt;"", J2453&lt;&gt;VLOOKUP(K2453, Criterios!$A$81:$B$120, 2, FALSE)), "División no coincide con Categoría", ""))), IF(OR(L2453="", L2453=""), "[Aviso] Género no capturado ()", IF(ISNA(MATCH(L2453, Criterios!$B$123:$B$127, 0)), "Género no válido", "")), IF(OR(N2453="", N2453=""), "[Aviso] Temporada no capturada ()", IF(ISNA(MATCH(N2453, Criterios!$C$123:$C$128, 0)), "Temporada no válida", "")), IF(OR(O2453="", O2453=""), "[Aviso] Ciclo de vida no capturado ()", IF(ISNA(MATCH(O2453, Criterios!$D$123:$D$124, 0)), "Ciclo de vida no válido", ""))))</f>
        <v/>
      </c>
      <c r="AC2453" s="56" t="n"/>
      <c r="AD2453" s="51" t="n">
        <v>0</v>
      </c>
      <c r="AE2453" s="156" t="inlineStr">
        <is>
          <t>Sin coincidencia en NetSuite</t>
        </is>
      </c>
      <c r="AF2453" s="51" t="n"/>
      <c r="AG2453" s="156" t="inlineStr">
        <is>
          <t>Catálogo existente</t>
        </is>
      </c>
      <c r="AH2453" s="156" t="inlineStr">
        <is>
          <t>No se encontró en Hoja a Revisar por ID interno ni por código de barras | Homologación G1522 06/10/2026: WB Silueta: «Midi con abertura frontal» → «» (Corrección aplicada)</t>
        </is>
      </c>
      <c r="AI2453" s="156" t="n"/>
      <c r="AJ2453" s="156" t="n"/>
      <c r="AK2453" s="155" t="n"/>
      <c r="AL2453" s="58" t="n"/>
      <c r="AM2453" s="58" t="n"/>
      <c r="AN2453" s="155" t="n"/>
      <c r="AO2453" s="59" t="n"/>
      <c r="AP2453" s="59" t="n"/>
      <c r="AQ2453" s="59" t="n"/>
      <c r="AR2453" s="155" t="n"/>
    </row>
    <row r="2454">
      <c r="A2454" s="50" t="inlineStr">
        <is>
          <t>196070516456</t>
        </is>
      </c>
      <c r="B2454" s="51" t="n"/>
      <c r="C2454" s="156" t="inlineStr">
        <is>
          <t>Stetson</t>
        </is>
      </c>
      <c r="D2454" s="156" t="inlineStr">
        <is>
          <t>11-001-0478-0190</t>
        </is>
      </c>
      <c r="E2454" s="156" t="inlineStr">
        <is>
          <t>11-001-0478-0190WI</t>
        </is>
      </c>
      <c r="F2454" s="156" t="inlineStr">
        <is>
          <t>M</t>
        </is>
      </c>
      <c r="G2454" s="156" t="inlineStr">
        <is>
          <t>M</t>
        </is>
      </c>
      <c r="H2454" s="156" t="inlineStr">
        <is>
          <t>Stetson</t>
        </is>
      </c>
      <c r="I2454" s="156" t="inlineStr">
        <is>
          <t>Camisa Stetson con franjas</t>
        </is>
      </c>
      <c r="J2454" s="156" t="inlineStr">
        <is>
          <t>Ropa</t>
        </is>
      </c>
      <c r="K2454" s="156" t="inlineStr">
        <is>
          <t>Camisas</t>
        </is>
      </c>
      <c r="L2454" s="156" t="inlineStr">
        <is>
          <t>Hombre</t>
        </is>
      </c>
      <c r="M2454" s="156" t="inlineStr">
        <is>
          <t>Stetson</t>
        </is>
      </c>
      <c r="N2454" s="156" t="inlineStr">
        <is>
          <t>SS26</t>
        </is>
      </c>
      <c r="O2454" s="156" t="inlineStr">
        <is>
          <t>Seasonal</t>
        </is>
      </c>
      <c r="P2454" s="156" t="inlineStr">
        <is>
          <t>Rojo</t>
        </is>
      </c>
      <c r="Q2454" s="156" t="n"/>
      <c r="R2454" s="156" t="n"/>
      <c r="S2454" s="156" t="inlineStr">
        <is>
          <t>100% algodón</t>
        </is>
      </c>
      <c r="T2454" s="156" t="inlineStr">
        <is>
          <t>Camisa Stetson con franjas; 100% algodón.</t>
        </is>
      </c>
      <c r="U2454" s="156" t="n"/>
      <c r="V2454" s="156" t="inlineStr">
        <is>
          <t>PZS</t>
        </is>
      </c>
      <c r="W2454" s="51" t="inlineStr">
        <is>
          <t>53101602</t>
        </is>
      </c>
      <c r="X2454" s="156" t="inlineStr">
        <is>
          <t>https://cdn.shopify.com/s/files/1/0644/4715/2361/products/CAMISA-STETSON-MOD-11-001-0478-0190-WI.jpg?v=1706027135</t>
        </is>
      </c>
      <c r="Y2454" s="54" t="n"/>
      <c r="Z2454" s="54" t="n"/>
      <c r="AA2454" s="55">
        <f>IF(AND(A2454="", B2454="", E2454=""), "", IF(AB2454="", "Válido", IF((LEN(AB2454)-LEN(SUBSTITUTE(AB2454,"; ","")))/2+1&gt;(LEN(AB2454)-LEN(SUBSTITUTE(AB2454,"[Aviso]","")))/7, "Con Incidencias", "Válido")))</f>
        <v/>
      </c>
      <c r="AB2454" s="56">
        <f>IF(AND(A2454="", B2454="", E2454=""), "", TEXTJOIN("; ", TRUE, IF(OR(TRIM(A2454&amp;"")="", ISNUMBER(SEARCH("FALTA", A2454))), "UPC faltante/inválido", ""), IF(AND(A2454&lt;&gt;"", IFERROR(_xlfn.XMATCH(A2454,$A$2:$A$2509,0,1)&lt;&gt;_xlfn.XMATCH(A2454,$A$2:$A$2509,0,-1),FALSE)), "Código de barras duplicado", ""), IF(AND(E2454&lt;&gt;"", COUNTIF($E$2:$E$2509, E2454)&gt;1), "SKU duplicado", ""), IF(OR(J2454="", J2454=""), "[Aviso] División no capturada ()", IF(ISNA(MATCH(J2454, Criterios!$A$123:$A$126, 0)), "División no válida", "")), IF(OR(K2454="", K2454=""), "[Aviso] Categoría no capturada ()", IF(ISNA(MATCH(K2454, Criterios!$A$81:$A$120, 0)), "Categoría no válida", IF(AND(J2454&lt;&gt;"", J2454&lt;&gt;"", J2454&lt;&gt;VLOOKUP(K2454, Criterios!$A$81:$B$120, 2, FALSE)), "División no coincide con Categoría", ""))), IF(OR(L2454="", L2454=""), "[Aviso] Género no capturado ()", IF(ISNA(MATCH(L2454, Criterios!$B$123:$B$127, 0)), "Género no válido", "")), IF(OR(N2454="", N2454=""), "[Aviso] Temporada no capturada ()", IF(ISNA(MATCH(N2454, Criterios!$C$123:$C$128, 0)), "Temporada no válida", "")), IF(OR(O2454="", O2454=""), "[Aviso] Ciclo de vida no capturado ()", IF(ISNA(MATCH(O2454, Criterios!$D$123:$D$124, 0)), "Ciclo de vida no válido", ""))))</f>
        <v/>
      </c>
      <c r="AC2454" s="56" t="n"/>
      <c r="AD2454" s="51" t="n">
        <v>0</v>
      </c>
      <c r="AE2454" s="156" t="inlineStr">
        <is>
          <t>Sin coincidencia en NetSuite</t>
        </is>
      </c>
      <c r="AF2454" s="51" t="n"/>
      <c r="AG2454" s="156" t="inlineStr">
        <is>
          <t>Catálogo existente</t>
        </is>
      </c>
      <c r="AH2454" s="156" t="inlineStr">
        <is>
          <t>No se encontró en Hoja a Revisar por ID interno ni por código de barras</t>
        </is>
      </c>
      <c r="AI2454" s="156" t="n"/>
      <c r="AJ2454" s="156" t="n"/>
      <c r="AK2454" s="155" t="n"/>
      <c r="AL2454" s="58" t="n"/>
      <c r="AM2454" s="58" t="n"/>
      <c r="AN2454" s="155" t="n"/>
      <c r="AO2454" s="59" t="n"/>
      <c r="AP2454" s="59" t="n"/>
      <c r="AQ2454" s="59" t="n"/>
      <c r="AR2454" s="155" t="n"/>
    </row>
    <row r="2455">
      <c r="A2455" s="50" t="inlineStr">
        <is>
          <t>884426532211</t>
        </is>
      </c>
      <c r="B2455" s="51" t="n"/>
      <c r="C2455" s="156" t="inlineStr">
        <is>
          <t>Stetson</t>
        </is>
      </c>
      <c r="D2455" s="156" t="inlineStr">
        <is>
          <t>11-001-0526-1042</t>
        </is>
      </c>
      <c r="E2455" s="156" t="inlineStr">
        <is>
          <t>11-001-0526-1042 BU-M</t>
        </is>
      </c>
      <c r="F2455" s="156" t="inlineStr">
        <is>
          <t>M</t>
        </is>
      </c>
      <c r="G2455" s="156" t="inlineStr">
        <is>
          <t>M</t>
        </is>
      </c>
      <c r="H2455" s="156" t="inlineStr">
        <is>
          <t>Stetson</t>
        </is>
      </c>
      <c r="I2455" s="156" t="inlineStr">
        <is>
          <t>Camisa Stetson Frontier Floral</t>
        </is>
      </c>
      <c r="J2455" s="156" t="inlineStr">
        <is>
          <t>Ropa</t>
        </is>
      </c>
      <c r="K2455" s="156" t="inlineStr">
        <is>
          <t>Camisas</t>
        </is>
      </c>
      <c r="L2455" s="156" t="inlineStr">
        <is>
          <t>Hombre</t>
        </is>
      </c>
      <c r="M2455" s="156" t="inlineStr">
        <is>
          <t>Stetson</t>
        </is>
      </c>
      <c r="N2455" s="156" t="inlineStr">
        <is>
          <t>SS26</t>
        </is>
      </c>
      <c r="O2455" s="156" t="inlineStr">
        <is>
          <t>Seasonal</t>
        </is>
      </c>
      <c r="P2455" s="156" t="inlineStr">
        <is>
          <t>Azul</t>
        </is>
      </c>
      <c r="Q2455" s="156" t="n"/>
      <c r="R2455" s="156" t="n"/>
      <c r="S2455" s="156" t="inlineStr">
        <is>
          <t>100% algodón</t>
        </is>
      </c>
      <c r="T2455" s="156" t="inlineStr">
        <is>
          <t>Camisa Stetson Frontier Floral; manga larga; frente con botones; 100% algodón.</t>
        </is>
      </c>
      <c r="U2455" s="156" t="n"/>
      <c r="V2455" s="156" t="inlineStr">
        <is>
          <t>PZS</t>
        </is>
      </c>
      <c r="W2455" s="51" t="inlineStr">
        <is>
          <t>53101602</t>
        </is>
      </c>
      <c r="X2455" s="156" t="n"/>
      <c r="Y2455" s="54" t="n"/>
      <c r="Z2455" s="54" t="n"/>
      <c r="AA2455" s="55">
        <f>IF(AND(A2455="", B2455="", E2455=""), "", IF(AB2455="", "Válido", IF((LEN(AB2455)-LEN(SUBSTITUTE(AB2455,"; ","")))/2+1&gt;(LEN(AB2455)-LEN(SUBSTITUTE(AB2455,"[Aviso]","")))/7, "Con Incidencias", "Válido")))</f>
        <v/>
      </c>
      <c r="AB2455" s="56">
        <f>IF(AND(A2455="", B2455="", E2455=""), "", TEXTJOIN("; ", TRUE, IF(OR(TRIM(A2455&amp;"")="", ISNUMBER(SEARCH("FALTA", A2455))), "UPC faltante/inválido", ""), IF(AND(A2455&lt;&gt;"", IFERROR(_xlfn.XMATCH(A2455,$A$2:$A$2509,0,1)&lt;&gt;_xlfn.XMATCH(A2455,$A$2:$A$2509,0,-1),FALSE)), "Código de barras duplicado", ""), IF(AND(E2455&lt;&gt;"", COUNTIF($E$2:$E$2509, E2455)&gt;1), "SKU duplicado", ""), IF(OR(J2455="", J2455=""), "[Aviso] División no capturada ()", IF(ISNA(MATCH(J2455, Criterios!$A$123:$A$126, 0)), "División no válida", "")), IF(OR(K2455="", K2455=""), "[Aviso] Categoría no capturada ()", IF(ISNA(MATCH(K2455, Criterios!$A$81:$A$120, 0)), "Categoría no válida", IF(AND(J2455&lt;&gt;"", J2455&lt;&gt;"", J2455&lt;&gt;VLOOKUP(K2455, Criterios!$A$81:$B$120, 2, FALSE)), "División no coincide con Categoría", ""))), IF(OR(L2455="", L2455=""), "[Aviso] Género no capturado ()", IF(ISNA(MATCH(L2455, Criterios!$B$123:$B$127, 0)), "Género no válido", "")), IF(OR(N2455="", N2455=""), "[Aviso] Temporada no capturada ()", IF(ISNA(MATCH(N2455, Criterios!$C$123:$C$128, 0)), "Temporada no válida", "")), IF(OR(O2455="", O2455=""), "[Aviso] Ciclo de vida no capturado ()", IF(ISNA(MATCH(O2455, Criterios!$D$123:$D$124, 0)), "Ciclo de vida no válido", ""))))</f>
        <v/>
      </c>
      <c r="AC2455" s="56" t="n"/>
      <c r="AD2455" s="51" t="n">
        <v>0</v>
      </c>
      <c r="AE2455" s="156" t="inlineStr">
        <is>
          <t>Sin coincidencia en NetSuite</t>
        </is>
      </c>
      <c r="AF2455" s="51" t="n"/>
      <c r="AG2455" s="156" t="inlineStr">
        <is>
          <t>Catálogo existente</t>
        </is>
      </c>
      <c r="AH2455" s="156" t="inlineStr">
        <is>
          <t>No se encontró en Hoja a Revisar por ID interno ni por código de barras | Homologación G1522 06/10/2026: WB Silueta: «Manga larga; frente con botones» → «» (Corrección aplicada)</t>
        </is>
      </c>
      <c r="AI2455" s="156" t="n"/>
      <c r="AJ2455" s="156" t="n"/>
      <c r="AK2455" s="155" t="n"/>
      <c r="AL2455" s="58" t="n"/>
      <c r="AM2455" s="58" t="n"/>
      <c r="AN2455" s="155" t="n"/>
      <c r="AO2455" s="59" t="n"/>
      <c r="AP2455" s="59" t="n"/>
      <c r="AQ2455" s="59" t="n"/>
      <c r="AR2455" s="155" t="n"/>
    </row>
    <row r="2456">
      <c r="A2456" s="50" t="inlineStr">
        <is>
          <t>884426532204</t>
        </is>
      </c>
      <c r="B2456" s="51" t="n"/>
      <c r="C2456" s="156" t="inlineStr">
        <is>
          <t>Stetson</t>
        </is>
      </c>
      <c r="D2456" s="156" t="inlineStr">
        <is>
          <t>11-001-0526-1042</t>
        </is>
      </c>
      <c r="E2456" s="156" t="inlineStr">
        <is>
          <t>11-001-0526-1042 BU-L</t>
        </is>
      </c>
      <c r="F2456" s="156" t="inlineStr">
        <is>
          <t>L</t>
        </is>
      </c>
      <c r="G2456" s="156" t="inlineStr">
        <is>
          <t>L</t>
        </is>
      </c>
      <c r="H2456" s="156" t="inlineStr">
        <is>
          <t>Stetson</t>
        </is>
      </c>
      <c r="I2456" s="156" t="inlineStr">
        <is>
          <t>Camisa Stetson Frontier Floral</t>
        </is>
      </c>
      <c r="J2456" s="156" t="inlineStr">
        <is>
          <t>Ropa</t>
        </is>
      </c>
      <c r="K2456" s="156" t="inlineStr">
        <is>
          <t>Camisas</t>
        </is>
      </c>
      <c r="L2456" s="156" t="inlineStr">
        <is>
          <t>Hombre</t>
        </is>
      </c>
      <c r="M2456" s="156" t="inlineStr">
        <is>
          <t>Stetson</t>
        </is>
      </c>
      <c r="N2456" s="156" t="inlineStr">
        <is>
          <t>SS26</t>
        </is>
      </c>
      <c r="O2456" s="156" t="inlineStr">
        <is>
          <t>Seasonal</t>
        </is>
      </c>
      <c r="P2456" s="156" t="inlineStr">
        <is>
          <t>Azul</t>
        </is>
      </c>
      <c r="Q2456" s="156" t="n"/>
      <c r="R2456" s="156" t="n"/>
      <c r="S2456" s="156" t="inlineStr">
        <is>
          <t>100% algodón</t>
        </is>
      </c>
      <c r="T2456" s="156" t="inlineStr">
        <is>
          <t>Camisa Stetson Frontier Floral; manga larga; frente con botones; 100% algodón.</t>
        </is>
      </c>
      <c r="U2456" s="156" t="n"/>
      <c r="V2456" s="156" t="inlineStr">
        <is>
          <t>PZS</t>
        </is>
      </c>
      <c r="W2456" s="51" t="inlineStr">
        <is>
          <t>53101602</t>
        </is>
      </c>
      <c r="X2456" s="156" t="n"/>
      <c r="Y2456" s="54" t="n"/>
      <c r="Z2456" s="54" t="n"/>
      <c r="AA2456" s="55">
        <f>IF(AND(A2456="", B2456="", E2456=""), "", IF(AB2456="", "Válido", IF((LEN(AB2456)-LEN(SUBSTITUTE(AB2456,"; ","")))/2+1&gt;(LEN(AB2456)-LEN(SUBSTITUTE(AB2456,"[Aviso]","")))/7, "Con Incidencias", "Válido")))</f>
        <v/>
      </c>
      <c r="AB2456" s="56">
        <f>IF(AND(A2456="", B2456="", E2456=""), "", TEXTJOIN("; ", TRUE, IF(OR(TRIM(A2456&amp;"")="", ISNUMBER(SEARCH("FALTA", A2456))), "UPC faltante/inválido", ""), IF(AND(A2456&lt;&gt;"", IFERROR(_xlfn.XMATCH(A2456,$A$2:$A$2509,0,1)&lt;&gt;_xlfn.XMATCH(A2456,$A$2:$A$2509,0,-1),FALSE)), "Código de barras duplicado", ""), IF(AND(E2456&lt;&gt;"", COUNTIF($E$2:$E$2509, E2456)&gt;1), "SKU duplicado", ""), IF(OR(J2456="", J2456=""), "[Aviso] División no capturada ()", IF(ISNA(MATCH(J2456, Criterios!$A$123:$A$126, 0)), "División no válida", "")), IF(OR(K2456="", K2456=""), "[Aviso] Categoría no capturada ()", IF(ISNA(MATCH(K2456, Criterios!$A$81:$A$120, 0)), "Categoría no válida", IF(AND(J2456&lt;&gt;"", J2456&lt;&gt;"", J2456&lt;&gt;VLOOKUP(K2456, Criterios!$A$81:$B$120, 2, FALSE)), "División no coincide con Categoría", ""))), IF(OR(L2456="", L2456=""), "[Aviso] Género no capturado ()", IF(ISNA(MATCH(L2456, Criterios!$B$123:$B$127, 0)), "Género no válido", "")), IF(OR(N2456="", N2456=""), "[Aviso] Temporada no capturada ()", IF(ISNA(MATCH(N2456, Criterios!$C$123:$C$128, 0)), "Temporada no válida", "")), IF(OR(O2456="", O2456=""), "[Aviso] Ciclo de vida no capturado ()", IF(ISNA(MATCH(O2456, Criterios!$D$123:$D$124, 0)), "Ciclo de vida no válido", ""))))</f>
        <v/>
      </c>
      <c r="AC2456" s="56" t="n"/>
      <c r="AD2456" s="51" t="n">
        <v>0</v>
      </c>
      <c r="AE2456" s="156" t="inlineStr">
        <is>
          <t>Sin coincidencia en NetSuite</t>
        </is>
      </c>
      <c r="AF2456" s="51" t="n"/>
      <c r="AG2456" s="156" t="inlineStr">
        <is>
          <t>Catálogo existente</t>
        </is>
      </c>
      <c r="AH2456" s="156" t="inlineStr">
        <is>
          <t>No se encontró en Hoja a Revisar por ID interno ni por código de barras | Homologación G1522 06/10/2026: WB Silueta: «Manga larga; frente con botones» → «» (Corrección aplicada)</t>
        </is>
      </c>
      <c r="AI2456" s="156" t="n"/>
      <c r="AJ2456" s="156" t="n"/>
      <c r="AK2456" s="155" t="n"/>
      <c r="AL2456" s="58" t="n"/>
      <c r="AM2456" s="58" t="n"/>
      <c r="AN2456" s="155" t="n"/>
      <c r="AO2456" s="59" t="n"/>
      <c r="AP2456" s="59" t="n"/>
      <c r="AQ2456" s="59" t="n"/>
      <c r="AR2456" s="155" t="n"/>
    </row>
    <row r="2457">
      <c r="A2457" s="50" t="inlineStr">
        <is>
          <t>884426532235</t>
        </is>
      </c>
      <c r="B2457" s="51" t="n"/>
      <c r="C2457" s="156" t="inlineStr">
        <is>
          <t>Stetson</t>
        </is>
      </c>
      <c r="D2457" s="156" t="inlineStr">
        <is>
          <t>11-001-0526-1042</t>
        </is>
      </c>
      <c r="E2457" s="156" t="inlineStr">
        <is>
          <t>11-001-0526-1042 BU-XL</t>
        </is>
      </c>
      <c r="F2457" s="156" t="inlineStr">
        <is>
          <t>XL</t>
        </is>
      </c>
      <c r="G2457" s="156" t="inlineStr">
        <is>
          <t>XL</t>
        </is>
      </c>
      <c r="H2457" s="156" t="inlineStr">
        <is>
          <t>Stetson</t>
        </is>
      </c>
      <c r="I2457" s="156" t="inlineStr">
        <is>
          <t>Camisa Stetson Frontier Floral</t>
        </is>
      </c>
      <c r="J2457" s="156" t="inlineStr">
        <is>
          <t>Ropa</t>
        </is>
      </c>
      <c r="K2457" s="156" t="inlineStr">
        <is>
          <t>Camisas</t>
        </is>
      </c>
      <c r="L2457" s="156" t="inlineStr">
        <is>
          <t>Hombre</t>
        </is>
      </c>
      <c r="M2457" s="156" t="inlineStr">
        <is>
          <t>Stetson</t>
        </is>
      </c>
      <c r="N2457" s="156" t="inlineStr">
        <is>
          <t>SS26</t>
        </is>
      </c>
      <c r="O2457" s="156" t="inlineStr">
        <is>
          <t>Seasonal</t>
        </is>
      </c>
      <c r="P2457" s="156" t="inlineStr">
        <is>
          <t>Azul</t>
        </is>
      </c>
      <c r="Q2457" s="156" t="n"/>
      <c r="R2457" s="156" t="n"/>
      <c r="S2457" s="156" t="inlineStr">
        <is>
          <t>100% algodón</t>
        </is>
      </c>
      <c r="T2457" s="156" t="inlineStr">
        <is>
          <t>Camisa Stetson Frontier Floral; manga larga; frente con botones; 100% algodón.</t>
        </is>
      </c>
      <c r="U2457" s="156" t="n"/>
      <c r="V2457" s="156" t="inlineStr">
        <is>
          <t>PZS</t>
        </is>
      </c>
      <c r="W2457" s="51" t="inlineStr">
        <is>
          <t>53101602</t>
        </is>
      </c>
      <c r="X2457" s="156" t="n"/>
      <c r="Y2457" s="54" t="n"/>
      <c r="Z2457" s="54" t="n"/>
      <c r="AA2457" s="55">
        <f>IF(AND(A2457="", B2457="", E2457=""), "", IF(AB2457="", "Válido", IF((LEN(AB2457)-LEN(SUBSTITUTE(AB2457,"; ","")))/2+1&gt;(LEN(AB2457)-LEN(SUBSTITUTE(AB2457,"[Aviso]","")))/7, "Con Incidencias", "Válido")))</f>
        <v/>
      </c>
      <c r="AB2457" s="56">
        <f>IF(AND(A2457="", B2457="", E2457=""), "", TEXTJOIN("; ", TRUE, IF(OR(TRIM(A2457&amp;"")="", ISNUMBER(SEARCH("FALTA", A2457))), "UPC faltante/inválido", ""), IF(AND(A2457&lt;&gt;"", IFERROR(_xlfn.XMATCH(A2457,$A$2:$A$2509,0,1)&lt;&gt;_xlfn.XMATCH(A2457,$A$2:$A$2509,0,-1),FALSE)), "Código de barras duplicado", ""), IF(AND(E2457&lt;&gt;"", COUNTIF($E$2:$E$2509, E2457)&gt;1), "SKU duplicado", ""), IF(OR(J2457="", J2457=""), "[Aviso] División no capturada ()", IF(ISNA(MATCH(J2457, Criterios!$A$123:$A$126, 0)), "División no válida", "")), IF(OR(K2457="", K2457=""), "[Aviso] Categoría no capturada ()", IF(ISNA(MATCH(K2457, Criterios!$A$81:$A$120, 0)), "Categoría no válida", IF(AND(J2457&lt;&gt;"", J2457&lt;&gt;"", J2457&lt;&gt;VLOOKUP(K2457, Criterios!$A$81:$B$120, 2, FALSE)), "División no coincide con Categoría", ""))), IF(OR(L2457="", L2457=""), "[Aviso] Género no capturado ()", IF(ISNA(MATCH(L2457, Criterios!$B$123:$B$127, 0)), "Género no válido", "")), IF(OR(N2457="", N2457=""), "[Aviso] Temporada no capturada ()", IF(ISNA(MATCH(N2457, Criterios!$C$123:$C$128, 0)), "Temporada no válida", "")), IF(OR(O2457="", O2457=""), "[Aviso] Ciclo de vida no capturado ()", IF(ISNA(MATCH(O2457, Criterios!$D$123:$D$124, 0)), "Ciclo de vida no válido", ""))))</f>
        <v/>
      </c>
      <c r="AC2457" s="56" t="n"/>
      <c r="AD2457" s="51" t="n">
        <v>0</v>
      </c>
      <c r="AE2457" s="156" t="inlineStr">
        <is>
          <t>Sin coincidencia en NetSuite</t>
        </is>
      </c>
      <c r="AF2457" s="51" t="n"/>
      <c r="AG2457" s="156" t="inlineStr">
        <is>
          <t>Catálogo existente</t>
        </is>
      </c>
      <c r="AH2457" s="156" t="inlineStr">
        <is>
          <t>No se encontró en Hoja a Revisar por ID interno ni por código de barras | Homologación G1522 06/10/2026: WB Silueta: «Manga larga; frente con botones» → «» (Corrección aplicada)</t>
        </is>
      </c>
      <c r="AI2457" s="156" t="n"/>
      <c r="AJ2457" s="156" t="n"/>
      <c r="AK2457" s="155" t="n"/>
      <c r="AL2457" s="58" t="n"/>
      <c r="AM2457" s="58" t="n"/>
      <c r="AN2457" s="155" t="n"/>
      <c r="AO2457" s="59" t="n"/>
      <c r="AP2457" s="59" t="n"/>
      <c r="AQ2457" s="59" t="n"/>
      <c r="AR2457" s="155" t="n"/>
    </row>
    <row r="2458">
      <c r="A2458" s="50" t="inlineStr">
        <is>
          <t>884426532242</t>
        </is>
      </c>
      <c r="B2458" s="51" t="n"/>
      <c r="C2458" s="156" t="inlineStr">
        <is>
          <t>Stetson</t>
        </is>
      </c>
      <c r="D2458" s="156" t="inlineStr">
        <is>
          <t>11-001-0526-1042</t>
        </is>
      </c>
      <c r="E2458" s="156" t="inlineStr">
        <is>
          <t>11-001-0526-1042 BU-XXL</t>
        </is>
      </c>
      <c r="F2458" s="156" t="inlineStr">
        <is>
          <t>XXL</t>
        </is>
      </c>
      <c r="G2458" s="156" t="inlineStr">
        <is>
          <t>XXL</t>
        </is>
      </c>
      <c r="H2458" s="156" t="inlineStr">
        <is>
          <t>Stetson</t>
        </is>
      </c>
      <c r="I2458" s="156" t="inlineStr">
        <is>
          <t>Camisa Stetson Frontier Floral</t>
        </is>
      </c>
      <c r="J2458" s="156" t="inlineStr">
        <is>
          <t>Ropa</t>
        </is>
      </c>
      <c r="K2458" s="156" t="inlineStr">
        <is>
          <t>Camisas</t>
        </is>
      </c>
      <c r="L2458" s="156" t="inlineStr">
        <is>
          <t>Hombre</t>
        </is>
      </c>
      <c r="M2458" s="156" t="inlineStr">
        <is>
          <t>Stetson</t>
        </is>
      </c>
      <c r="N2458" s="156" t="inlineStr">
        <is>
          <t>SS26</t>
        </is>
      </c>
      <c r="O2458" s="156" t="inlineStr">
        <is>
          <t>Seasonal</t>
        </is>
      </c>
      <c r="P2458" s="156" t="inlineStr">
        <is>
          <t>Azul</t>
        </is>
      </c>
      <c r="Q2458" s="156" t="n"/>
      <c r="R2458" s="156" t="n"/>
      <c r="S2458" s="156" t="inlineStr">
        <is>
          <t>100% algodón</t>
        </is>
      </c>
      <c r="T2458" s="156" t="inlineStr">
        <is>
          <t>Camisa Stetson Frontier Floral; manga larga; frente con botones; 100% algodón.</t>
        </is>
      </c>
      <c r="U2458" s="156" t="n"/>
      <c r="V2458" s="156" t="inlineStr">
        <is>
          <t>PZS</t>
        </is>
      </c>
      <c r="W2458" s="51" t="inlineStr">
        <is>
          <t>53101602</t>
        </is>
      </c>
      <c r="X2458" s="156" t="n"/>
      <c r="Y2458" s="54" t="n"/>
      <c r="Z2458" s="54" t="n"/>
      <c r="AA2458" s="55">
        <f>IF(AND(A2458="", B2458="", E2458=""), "", IF(AB2458="", "Válido", IF((LEN(AB2458)-LEN(SUBSTITUTE(AB2458,"; ","")))/2+1&gt;(LEN(AB2458)-LEN(SUBSTITUTE(AB2458,"[Aviso]","")))/7, "Con Incidencias", "Válido")))</f>
        <v/>
      </c>
      <c r="AB2458" s="56">
        <f>IF(AND(A2458="", B2458="", E2458=""), "", TEXTJOIN("; ", TRUE, IF(OR(TRIM(A2458&amp;"")="", ISNUMBER(SEARCH("FALTA", A2458))), "UPC faltante/inválido", ""), IF(AND(A2458&lt;&gt;"", IFERROR(_xlfn.XMATCH(A2458,$A$2:$A$2509,0,1)&lt;&gt;_xlfn.XMATCH(A2458,$A$2:$A$2509,0,-1),FALSE)), "Código de barras duplicado", ""), IF(AND(E2458&lt;&gt;"", COUNTIF($E$2:$E$2509, E2458)&gt;1), "SKU duplicado", ""), IF(OR(J2458="", J2458=""), "[Aviso] División no capturada ()", IF(ISNA(MATCH(J2458, Criterios!$A$123:$A$126, 0)), "División no válida", "")), IF(OR(K2458="", K2458=""), "[Aviso] Categoría no capturada ()", IF(ISNA(MATCH(K2458, Criterios!$A$81:$A$120, 0)), "Categoría no válida", IF(AND(J2458&lt;&gt;"", J2458&lt;&gt;"", J2458&lt;&gt;VLOOKUP(K2458, Criterios!$A$81:$B$120, 2, FALSE)), "División no coincide con Categoría", ""))), IF(OR(L2458="", L2458=""), "[Aviso] Género no capturado ()", IF(ISNA(MATCH(L2458, Criterios!$B$123:$B$127, 0)), "Género no válido", "")), IF(OR(N2458="", N2458=""), "[Aviso] Temporada no capturada ()", IF(ISNA(MATCH(N2458, Criterios!$C$123:$C$128, 0)), "Temporada no válida", "")), IF(OR(O2458="", O2458=""), "[Aviso] Ciclo de vida no capturado ()", IF(ISNA(MATCH(O2458, Criterios!$D$123:$D$124, 0)), "Ciclo de vida no válido", ""))))</f>
        <v/>
      </c>
      <c r="AC2458" s="56" t="n"/>
      <c r="AD2458" s="51" t="n">
        <v>0</v>
      </c>
      <c r="AE2458" s="156" t="inlineStr">
        <is>
          <t>Sin coincidencia en NetSuite</t>
        </is>
      </c>
      <c r="AF2458" s="51" t="n"/>
      <c r="AG2458" s="156" t="inlineStr">
        <is>
          <t>Catálogo existente</t>
        </is>
      </c>
      <c r="AH2458" s="156" t="inlineStr">
        <is>
          <t>No se encontró en Hoja a Revisar por ID interno ni por código de barras | Homologación G1522 06/10/2026: WB Silueta: «Manga larga; frente con botones» → «» (Corrección aplicada)</t>
        </is>
      </c>
      <c r="AI2458" s="156" t="n"/>
      <c r="AJ2458" s="156" t="n"/>
      <c r="AK2458" s="155" t="n"/>
      <c r="AL2458" s="58" t="n"/>
      <c r="AM2458" s="58" t="n"/>
      <c r="AN2458" s="155" t="n"/>
      <c r="AO2458" s="59" t="n"/>
      <c r="AP2458" s="59" t="n"/>
      <c r="AQ2458" s="59" t="n"/>
      <c r="AR2458" s="155" t="n"/>
    </row>
    <row r="2459">
      <c r="A2459" s="50" t="inlineStr">
        <is>
          <t>196071000000</t>
        </is>
      </c>
      <c r="B2459" s="51" t="n"/>
      <c r="C2459" s="156" t="inlineStr">
        <is>
          <t>Stetson</t>
        </is>
      </c>
      <c r="D2459" s="156" t="inlineStr">
        <is>
          <t>11-001-0425-5020</t>
        </is>
      </c>
      <c r="E2459" s="156" t="inlineStr">
        <is>
          <t>11-001-0425-5020 BU-XXXL</t>
        </is>
      </c>
      <c r="F2459" s="156" t="inlineStr">
        <is>
          <t>XXXL</t>
        </is>
      </c>
      <c r="G2459" s="156" t="inlineStr">
        <is>
          <t>XXXL</t>
        </is>
      </c>
      <c r="H2459" s="156" t="inlineStr">
        <is>
          <t>Stetson</t>
        </is>
      </c>
      <c r="I2459" s="156" t="inlineStr">
        <is>
          <t>Camisa Stetson Chambray Medallion Paisley</t>
        </is>
      </c>
      <c r="J2459" s="156" t="inlineStr">
        <is>
          <t>Ropa</t>
        </is>
      </c>
      <c r="K2459" s="156" t="inlineStr">
        <is>
          <t>Camisas</t>
        </is>
      </c>
      <c r="L2459" s="156" t="inlineStr">
        <is>
          <t>Hombre</t>
        </is>
      </c>
      <c r="M2459" s="156" t="inlineStr">
        <is>
          <t>Stetson</t>
        </is>
      </c>
      <c r="N2459" s="156" t="inlineStr">
        <is>
          <t>SS26</t>
        </is>
      </c>
      <c r="O2459" s="156" t="inlineStr">
        <is>
          <t>Seasonal</t>
        </is>
      </c>
      <c r="P2459" s="156" t="inlineStr">
        <is>
          <t>Azul</t>
        </is>
      </c>
      <c r="Q2459" s="156" t="n"/>
      <c r="R2459" s="156" t="n"/>
      <c r="S2459" s="156" t="inlineStr">
        <is>
          <t>100% algodón</t>
        </is>
      </c>
      <c r="T2459" s="156" t="inlineStr">
        <is>
          <t>Camisa Stetson Chambray Medallion Paisley; manga larga; frente con broches; 100% algodón.</t>
        </is>
      </c>
      <c r="U2459" s="156" t="n"/>
      <c r="V2459" s="156" t="inlineStr">
        <is>
          <t>PZS</t>
        </is>
      </c>
      <c r="W2459" s="51" t="inlineStr">
        <is>
          <t>53101602</t>
        </is>
      </c>
      <c r="X2459" s="156" t="inlineStr">
        <is>
          <t>https://cdn.shopify.com/s/files/1/0644/4715/2361/files/CAMISA-STETSON-MOD-11-001-0425-5020-BU.jpg?v=1721754667</t>
        </is>
      </c>
      <c r="Y2459" s="54" t="n"/>
      <c r="Z2459" s="54" t="n"/>
      <c r="AA2459" s="55">
        <f>IF(AND(A2459="", B2459="", E2459=""), "", IF(AB2459="", "Válido", IF((LEN(AB2459)-LEN(SUBSTITUTE(AB2459,"; ","")))/2+1&gt;(LEN(AB2459)-LEN(SUBSTITUTE(AB2459,"[Aviso]","")))/7, "Con Incidencias", "Válido")))</f>
        <v/>
      </c>
      <c r="AB2459" s="56">
        <f>IF(AND(A2459="", B2459="", E2459=""), "", TEXTJOIN("; ", TRUE, IF(OR(TRIM(A2459&amp;"")="", ISNUMBER(SEARCH("FALTA", A2459))), "UPC faltante/inválido", ""), IF(AND(A2459&lt;&gt;"", IFERROR(_xlfn.XMATCH(A2459,$A$2:$A$2509,0,1)&lt;&gt;_xlfn.XMATCH(A2459,$A$2:$A$2509,0,-1),FALSE)), "Código de barras duplicado", ""), IF(AND(E2459&lt;&gt;"", COUNTIF($E$2:$E$2509, E2459)&gt;1), "SKU duplicado", ""), IF(OR(J2459="", J2459=""), "[Aviso] División no capturada ()", IF(ISNA(MATCH(J2459, Criterios!$A$123:$A$126, 0)), "División no válida", "")), IF(OR(K2459="", K2459=""), "[Aviso] Categoría no capturada ()", IF(ISNA(MATCH(K2459, Criterios!$A$81:$A$120, 0)), "Categoría no válida", IF(AND(J2459&lt;&gt;"", J2459&lt;&gt;"", J2459&lt;&gt;VLOOKUP(K2459, Criterios!$A$81:$B$120, 2, FALSE)), "División no coincide con Categoría", ""))), IF(OR(L2459="", L2459=""), "[Aviso] Género no capturado ()", IF(ISNA(MATCH(L2459, Criterios!$B$123:$B$127, 0)), "Género no válido", "")), IF(OR(N2459="", N2459=""), "[Aviso] Temporada no capturada ()", IF(ISNA(MATCH(N2459, Criterios!$C$123:$C$128, 0)), "Temporada no válida", "")), IF(OR(O2459="", O2459=""), "[Aviso] Ciclo de vida no capturado ()", IF(ISNA(MATCH(O2459, Criterios!$D$123:$D$124, 0)), "Ciclo de vida no válido", ""))))</f>
        <v/>
      </c>
      <c r="AC2459" s="56" t="n"/>
      <c r="AD2459" s="51" t="n">
        <v>0</v>
      </c>
      <c r="AE2459" s="156" t="inlineStr">
        <is>
          <t>Sin coincidencia en NetSuite</t>
        </is>
      </c>
      <c r="AF2459" s="51" t="n"/>
      <c r="AG2459" s="156" t="inlineStr">
        <is>
          <t>Catálogo existente</t>
        </is>
      </c>
      <c r="AH2459" s="156" t="inlineStr">
        <is>
          <t>No se encontró en Hoja a Revisar por ID interno ni por código de barras | 30/09/2026: código 196071000000 parece truncado (termina en 000000 y falla el dígito verificador). VALIDAR contra etiqueta | Homologación G1522 06/10/2026: WB Silueta: «Manga larga; frente con broches» → «» (Corrección aplicada) · Validación G1522: Dígito de control del código de barras inválido</t>
        </is>
      </c>
      <c r="AI2459" s="156" t="n"/>
      <c r="AJ2459" s="156" t="n"/>
      <c r="AK2459" s="155" t="n"/>
      <c r="AL2459" s="58" t="n"/>
      <c r="AM2459" s="58" t="n"/>
      <c r="AN2459" s="155" t="n"/>
      <c r="AO2459" s="59" t="n"/>
      <c r="AP2459" s="59" t="n"/>
      <c r="AQ2459" s="59" t="n"/>
      <c r="AR2459" s="155" t="n"/>
    </row>
    <row r="2460">
      <c r="A2460" s="50" t="n"/>
      <c r="B2460" s="51" t="inlineStr">
        <is>
          <t>117552</t>
        </is>
      </c>
      <c r="C2460" s="156" t="inlineStr">
        <is>
          <t>Multimarca</t>
        </is>
      </c>
      <c r="D2460" s="156" t="n"/>
      <c r="E2460" s="156" t="n"/>
      <c r="F2460" s="156" t="n"/>
      <c r="G2460" s="156" t="n"/>
      <c r="H2460" s="156" t="inlineStr">
        <is>
          <t>Stetson</t>
        </is>
      </c>
      <c r="I2460" s="156" t="inlineStr">
        <is>
          <t>SFALM-484061 : Texana : Stetson</t>
        </is>
      </c>
      <c r="J2460" s="156" t="inlineStr">
        <is>
          <t>Accesorios</t>
        </is>
      </c>
      <c r="K2460" s="156" t="inlineStr">
        <is>
          <t>Sombreros</t>
        </is>
      </c>
      <c r="L2460" s="156" t="inlineStr">
        <is>
          <t>Unisex</t>
        </is>
      </c>
      <c r="M2460" s="156" t="n"/>
      <c r="N2460" s="156" t="n"/>
      <c r="O2460" s="156" t="n"/>
      <c r="P2460" s="156" t="n"/>
      <c r="Q2460" s="156" t="n"/>
      <c r="R2460" s="156" t="n"/>
      <c r="S2460" s="156" t="n"/>
      <c r="T2460" s="156" t="inlineStr">
        <is>
          <t>SFALM-484061 : Texana : Stetson</t>
        </is>
      </c>
      <c r="U2460" s="156" t="n"/>
      <c r="V2460" s="156" t="inlineStr">
        <is>
          <t>PZS</t>
        </is>
      </c>
      <c r="W2460" s="51" t="n"/>
      <c r="X2460" s="156" t="n"/>
      <c r="Y2460" s="54" t="n"/>
      <c r="Z2460" s="54" t="n"/>
      <c r="AA2460" s="55">
        <f>IF(AND(A2460="", B2460="", E2460=""), "", IF(AB2460="", "Válido", IF((LEN(AB2460)-LEN(SUBSTITUTE(AB2460,"; ","")))/2+1&gt;(LEN(AB2460)-LEN(SUBSTITUTE(AB2460,"[Aviso]","")))/7, "Con Incidencias", "Válido")))</f>
        <v/>
      </c>
      <c r="AB2460" s="56">
        <f>IF(AND(A2460="", B2460="", E2460=""), "", TEXTJOIN("; ", TRUE, IF(OR(TRIM(A2460&amp;"")="", ISNUMBER(SEARCH("FALTA", A2460))), "UPC faltante/inválido", ""), IF(AND(A2460&lt;&gt;"", IFERROR(_xlfn.XMATCH(A2460,$A$2:$A$2509,0,1)&lt;&gt;_xlfn.XMATCH(A2460,$A$2:$A$2509,0,-1),FALSE)), "Código de barras duplicado", ""), IF(AND(E2460&lt;&gt;"", COUNTIF($E$2:$E$2509, E2460)&gt;1), "SKU duplicado", ""), IF(OR(J2460="", J2460=""), "[Aviso] División no capturada ()", IF(ISNA(MATCH(J2460, Criterios!$A$123:$A$126, 0)), "División no válida", "")), IF(OR(K2460="", K2460=""), "[Aviso] Categoría no capturada ()", IF(ISNA(MATCH(K2460, Criterios!$A$81:$A$120, 0)), "Categoría no válida", IF(AND(J2460&lt;&gt;"", J2460&lt;&gt;"", J2460&lt;&gt;VLOOKUP(K2460, Criterios!$A$81:$B$120, 2, FALSE)), "División no coincide con Categoría", ""))), IF(OR(L2460="", L2460=""), "[Aviso] Género no capturado ()", IF(ISNA(MATCH(L2460, Criterios!$B$123:$B$127, 0)), "Género no válido", "")), IF(OR(N2460="", N2460=""), "[Aviso] Temporada no capturada ()", IF(ISNA(MATCH(N2460, Criterios!$C$123:$C$128, 0)), "Temporada no válida", "")), IF(OR(O2460="", O2460=""), "[Aviso] Ciclo de vida no capturado ()", IF(ISNA(MATCH(O2460, Criterios!$D$123:$D$124, 0)), "Ciclo de vida no válido", ""))))</f>
        <v/>
      </c>
      <c r="AC2460" s="56" t="n"/>
      <c r="AD2460" s="51" t="n">
        <v>0</v>
      </c>
      <c r="AE2460" s="156" t="n"/>
      <c r="AF2460" s="51" t="n">
        <v>0</v>
      </c>
      <c r="AG2460" s="156" t="inlineStr">
        <is>
          <t>Hoja a Revisar — artículo</t>
        </is>
      </c>
      <c r="AH2460"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0" s="156" t="inlineStr">
        <is>
          <t>No</t>
        </is>
      </c>
      <c r="AJ2460" s="156" t="n"/>
      <c r="AK2460" s="155" t="inlineStr">
        <is>
          <t>Hoja a Revisar: fila 363689 [I] | Hoja a Revisar: nombre / marca [H] | Marca identificada por catálogo / descripción [C] | Criterios: D [K,J] | Criterios: paso 2 [L] | Criterios: I [Q] | Criterios: paso 7 [V] | Descripción del registro fuente [T] | Catálogo estándar / Productos: grupo de Marca principal para Stetson [C]</t>
        </is>
      </c>
      <c r="AL2460" s="58" t="n"/>
      <c r="AM2460" s="58" t="n"/>
      <c r="AN2460" s="155" t="n"/>
      <c r="AO2460" s="59" t="n"/>
      <c r="AP2460" s="59" t="n"/>
      <c r="AQ2460" s="59" t="n"/>
      <c r="AR2460" s="155" t="n"/>
    </row>
    <row r="2461">
      <c r="A2461" s="50" t="n"/>
      <c r="B2461" s="51" t="inlineStr">
        <is>
          <t>117551</t>
        </is>
      </c>
      <c r="C2461" s="156" t="inlineStr">
        <is>
          <t>Multimarca</t>
        </is>
      </c>
      <c r="D2461" s="156" t="n"/>
      <c r="E2461" s="156" t="n"/>
      <c r="F2461" s="156" t="n"/>
      <c r="G2461" s="156" t="n"/>
      <c r="H2461" s="156" t="inlineStr">
        <is>
          <t>Stetson</t>
        </is>
      </c>
      <c r="I2461" s="156" t="inlineStr">
        <is>
          <t>SFDMTE-484061 : Texana : Stetson</t>
        </is>
      </c>
      <c r="J2461" s="156" t="inlineStr">
        <is>
          <t>Accesorios</t>
        </is>
      </c>
      <c r="K2461" s="156" t="inlineStr">
        <is>
          <t>Sombreros</t>
        </is>
      </c>
      <c r="L2461" s="156" t="inlineStr">
        <is>
          <t>Unisex</t>
        </is>
      </c>
      <c r="M2461" s="156" t="n"/>
      <c r="N2461" s="156" t="n"/>
      <c r="O2461" s="156" t="n"/>
      <c r="P2461" s="156" t="n"/>
      <c r="Q2461" s="156" t="n"/>
      <c r="R2461" s="156" t="n"/>
      <c r="S2461" s="156" t="n"/>
      <c r="T2461" s="156" t="inlineStr">
        <is>
          <t>SFDMTE-484061 : Texana : Stetson</t>
        </is>
      </c>
      <c r="U2461" s="156" t="n"/>
      <c r="V2461" s="156" t="inlineStr">
        <is>
          <t>PZS</t>
        </is>
      </c>
      <c r="W2461" s="51" t="n"/>
      <c r="X2461" s="156" t="n"/>
      <c r="Y2461" s="54" t="n"/>
      <c r="Z2461" s="54" t="n"/>
      <c r="AA2461" s="55">
        <f>IF(AND(A2461="", B2461="", E2461=""), "", IF(AB2461="", "Válido", IF((LEN(AB2461)-LEN(SUBSTITUTE(AB2461,"; ","")))/2+1&gt;(LEN(AB2461)-LEN(SUBSTITUTE(AB2461,"[Aviso]","")))/7, "Con Incidencias", "Válido")))</f>
        <v/>
      </c>
      <c r="AB2461" s="56">
        <f>IF(AND(A2461="", B2461="", E2461=""), "", TEXTJOIN("; ", TRUE, IF(OR(TRIM(A2461&amp;"")="", ISNUMBER(SEARCH("FALTA", A2461))), "UPC faltante/inválido", ""), IF(AND(A2461&lt;&gt;"", IFERROR(_xlfn.XMATCH(A2461,$A$2:$A$2509,0,1)&lt;&gt;_xlfn.XMATCH(A2461,$A$2:$A$2509,0,-1),FALSE)), "Código de barras duplicado", ""), IF(AND(E2461&lt;&gt;"", COUNTIF($E$2:$E$2509, E2461)&gt;1), "SKU duplicado", ""), IF(OR(J2461="", J2461=""), "[Aviso] División no capturada ()", IF(ISNA(MATCH(J2461, Criterios!$A$123:$A$126, 0)), "División no válida", "")), IF(OR(K2461="", K2461=""), "[Aviso] Categoría no capturada ()", IF(ISNA(MATCH(K2461, Criterios!$A$81:$A$120, 0)), "Categoría no válida", IF(AND(J2461&lt;&gt;"", J2461&lt;&gt;"", J2461&lt;&gt;VLOOKUP(K2461, Criterios!$A$81:$B$120, 2, FALSE)), "División no coincide con Categoría", ""))), IF(OR(L2461="", L2461=""), "[Aviso] Género no capturado ()", IF(ISNA(MATCH(L2461, Criterios!$B$123:$B$127, 0)), "Género no válido", "")), IF(OR(N2461="", N2461=""), "[Aviso] Temporada no capturada ()", IF(ISNA(MATCH(N2461, Criterios!$C$123:$C$128, 0)), "Temporada no válida", "")), IF(OR(O2461="", O2461=""), "[Aviso] Ciclo de vida no capturado ()", IF(ISNA(MATCH(O2461, Criterios!$D$123:$D$124, 0)), "Ciclo de vida no válido", ""))))</f>
        <v/>
      </c>
      <c r="AC2461" s="56" t="n"/>
      <c r="AD2461" s="51" t="n">
        <v>0</v>
      </c>
      <c r="AE2461" s="156" t="n"/>
      <c r="AF2461" s="51" t="n">
        <v>0</v>
      </c>
      <c r="AG2461" s="156" t="inlineStr">
        <is>
          <t>Hoja a Revisar — artículo</t>
        </is>
      </c>
      <c r="AH2461"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1" s="156" t="inlineStr">
        <is>
          <t>No</t>
        </is>
      </c>
      <c r="AJ2461" s="156" t="n"/>
      <c r="AK2461" s="155" t="inlineStr">
        <is>
          <t>Hoja a Revisar: fila 363743 [I] | Hoja a Revisar: nombre / marca [H] | Marca identificada por catálogo / descripción [C] | Criterios: D [K,J] | Criterios: paso 2 [L] | Criterios: I [Q] | Criterios: paso 7 [V] | Descripción del registro fuente [T] | Catálogo estándar / Productos: grupo de Marca principal para Stetson [C]</t>
        </is>
      </c>
      <c r="AL2461" s="58" t="n"/>
      <c r="AM2461" s="58" t="n"/>
      <c r="AN2461" s="155" t="n"/>
      <c r="AO2461" s="59" t="n"/>
      <c r="AP2461" s="59" t="n"/>
      <c r="AQ2461" s="59" t="n"/>
      <c r="AR2461" s="155" t="n"/>
    </row>
    <row r="2462">
      <c r="A2462" s="50" t="n"/>
      <c r="B2462" s="51" t="inlineStr">
        <is>
          <t>117547</t>
        </is>
      </c>
      <c r="C2462" s="156" t="inlineStr">
        <is>
          <t>Multimarca</t>
        </is>
      </c>
      <c r="D2462" s="156" t="n"/>
      <c r="E2462" s="156" t="n"/>
      <c r="F2462" s="156" t="n"/>
      <c r="G2462" s="156" t="n"/>
      <c r="H2462" s="156" t="inlineStr">
        <is>
          <t>Stetson</t>
        </is>
      </c>
      <c r="I2462" s="156" t="inlineStr">
        <is>
          <t>SFO2508052662 : Texana : Stetson</t>
        </is>
      </c>
      <c r="J2462" s="156" t="inlineStr">
        <is>
          <t>Accesorios</t>
        </is>
      </c>
      <c r="K2462" s="156" t="inlineStr">
        <is>
          <t>Sombreros</t>
        </is>
      </c>
      <c r="L2462" s="156" t="inlineStr">
        <is>
          <t>Unisex</t>
        </is>
      </c>
      <c r="M2462" s="156" t="n"/>
      <c r="N2462" s="156" t="n"/>
      <c r="O2462" s="156" t="n"/>
      <c r="P2462" s="156" t="n"/>
      <c r="Q2462" s="156" t="n"/>
      <c r="R2462" s="156" t="n"/>
      <c r="S2462" s="156" t="n"/>
      <c r="T2462" s="156" t="inlineStr">
        <is>
          <t>SFO2508052662 : Texana : Stetson</t>
        </is>
      </c>
      <c r="U2462" s="156" t="n"/>
      <c r="V2462" s="156" t="inlineStr">
        <is>
          <t>PZS</t>
        </is>
      </c>
      <c r="W2462" s="51" t="n"/>
      <c r="X2462" s="156" t="n"/>
      <c r="Y2462" s="54" t="n"/>
      <c r="Z2462" s="54" t="n"/>
      <c r="AA2462" s="55">
        <f>IF(AND(A2462="", B2462="", E2462=""), "", IF(AB2462="", "Válido", IF((LEN(AB2462)-LEN(SUBSTITUTE(AB2462,"; ","")))/2+1&gt;(LEN(AB2462)-LEN(SUBSTITUTE(AB2462,"[Aviso]","")))/7, "Con Incidencias", "Válido")))</f>
        <v/>
      </c>
      <c r="AB2462" s="56">
        <f>IF(AND(A2462="", B2462="", E2462=""), "", TEXTJOIN("; ", TRUE, IF(OR(TRIM(A2462&amp;"")="", ISNUMBER(SEARCH("FALTA", A2462))), "UPC faltante/inválido", ""), IF(AND(A2462&lt;&gt;"", IFERROR(_xlfn.XMATCH(A2462,$A$2:$A$2509,0,1)&lt;&gt;_xlfn.XMATCH(A2462,$A$2:$A$2509,0,-1),FALSE)), "Código de barras duplicado", ""), IF(AND(E2462&lt;&gt;"", COUNTIF($E$2:$E$2509, E2462)&gt;1), "SKU duplicado", ""), IF(OR(J2462="", J2462=""), "[Aviso] División no capturada ()", IF(ISNA(MATCH(J2462, Criterios!$A$123:$A$126, 0)), "División no válida", "")), IF(OR(K2462="", K2462=""), "[Aviso] Categoría no capturada ()", IF(ISNA(MATCH(K2462, Criterios!$A$81:$A$120, 0)), "Categoría no válida", IF(AND(J2462&lt;&gt;"", J2462&lt;&gt;"", J2462&lt;&gt;VLOOKUP(K2462, Criterios!$A$81:$B$120, 2, FALSE)), "División no coincide con Categoría", ""))), IF(OR(L2462="", L2462=""), "[Aviso] Género no capturado ()", IF(ISNA(MATCH(L2462, Criterios!$B$123:$B$127, 0)), "Género no válido", "")), IF(OR(N2462="", N2462=""), "[Aviso] Temporada no capturada ()", IF(ISNA(MATCH(N2462, Criterios!$C$123:$C$128, 0)), "Temporada no válida", "")), IF(OR(O2462="", O2462=""), "[Aviso] Ciclo de vida no capturado ()", IF(ISNA(MATCH(O2462, Criterios!$D$123:$D$124, 0)), "Ciclo de vida no válido", ""))))</f>
        <v/>
      </c>
      <c r="AC2462" s="56" t="n"/>
      <c r="AD2462" s="51" t="n">
        <v>0</v>
      </c>
      <c r="AE2462" s="156" t="n"/>
      <c r="AF2462" s="51" t="n">
        <v>0</v>
      </c>
      <c r="AG2462" s="156" t="inlineStr">
        <is>
          <t>Hoja a Revisar — artículo</t>
        </is>
      </c>
      <c r="AH2462"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2" s="156" t="inlineStr">
        <is>
          <t>No</t>
        </is>
      </c>
      <c r="AJ2462" s="156" t="n"/>
      <c r="AK2462" s="155" t="inlineStr">
        <is>
          <t>Hoja a Revisar: fila 363950 [I] | Hoja a Revisar: nombre / marca [H] | Marca identificada por catálogo / descripción [C] | Criterios: D [K,J] | Criterios: paso 2 [L] | Criterios: I [Q] | Criterios: paso 7 [V] | Descripción del registro fuente [T] | Catálogo estándar / Productos: grupo de Marca principal para Stetson [C]</t>
        </is>
      </c>
      <c r="AL2462" s="58" t="n"/>
      <c r="AM2462" s="58" t="n"/>
      <c r="AN2462" s="155" t="n"/>
      <c r="AO2462" s="59" t="n"/>
      <c r="AP2462" s="59" t="n"/>
      <c r="AQ2462" s="59" t="n"/>
      <c r="AR2462" s="155" t="n"/>
    </row>
    <row r="2463">
      <c r="A2463" s="50" t="n"/>
      <c r="B2463" s="51" t="inlineStr">
        <is>
          <t>117669</t>
        </is>
      </c>
      <c r="C2463" s="156" t="inlineStr">
        <is>
          <t>Multimarca</t>
        </is>
      </c>
      <c r="D2463" s="156" t="n"/>
      <c r="E2463" s="156" t="n"/>
      <c r="F2463" s="156" t="n"/>
      <c r="G2463" s="156" t="n"/>
      <c r="H2463" s="156" t="inlineStr">
        <is>
          <t>Stetson</t>
        </is>
      </c>
      <c r="I2463" s="156" t="inlineStr">
        <is>
          <t>SFPRES-014022 : Texana : Stetson</t>
        </is>
      </c>
      <c r="J2463" s="156" t="inlineStr">
        <is>
          <t>Accesorios</t>
        </is>
      </c>
      <c r="K2463" s="156" t="inlineStr">
        <is>
          <t>Sombreros</t>
        </is>
      </c>
      <c r="L2463" s="156" t="inlineStr">
        <is>
          <t>Unisex</t>
        </is>
      </c>
      <c r="M2463" s="156" t="n"/>
      <c r="N2463" s="156" t="n"/>
      <c r="O2463" s="156" t="n"/>
      <c r="P2463" s="156" t="n"/>
      <c r="Q2463" s="156" t="n"/>
      <c r="R2463" s="156" t="n"/>
      <c r="S2463" s="156" t="n"/>
      <c r="T2463" s="156" t="inlineStr">
        <is>
          <t>SFPRES-014022 : Texana : Stetson</t>
        </is>
      </c>
      <c r="U2463" s="156" t="n"/>
      <c r="V2463" s="156" t="inlineStr">
        <is>
          <t>PZS</t>
        </is>
      </c>
      <c r="W2463" s="51" t="n"/>
      <c r="X2463" s="156" t="n"/>
      <c r="Y2463" s="54" t="n"/>
      <c r="Z2463" s="54" t="n"/>
      <c r="AA2463" s="55">
        <f>IF(AND(A2463="", B2463="", E2463=""), "", IF(AB2463="", "Válido", IF((LEN(AB2463)-LEN(SUBSTITUTE(AB2463,"; ","")))/2+1&gt;(LEN(AB2463)-LEN(SUBSTITUTE(AB2463,"[Aviso]","")))/7, "Con Incidencias", "Válido")))</f>
        <v/>
      </c>
      <c r="AB2463" s="56">
        <f>IF(AND(A2463="", B2463="", E2463=""), "", TEXTJOIN("; ", TRUE, IF(OR(TRIM(A2463&amp;"")="", ISNUMBER(SEARCH("FALTA", A2463))), "UPC faltante/inválido", ""), IF(AND(A2463&lt;&gt;"", IFERROR(_xlfn.XMATCH(A2463,$A$2:$A$2509,0,1)&lt;&gt;_xlfn.XMATCH(A2463,$A$2:$A$2509,0,-1),FALSE)), "Código de barras duplicado", ""), IF(AND(E2463&lt;&gt;"", COUNTIF($E$2:$E$2509, E2463)&gt;1), "SKU duplicado", ""), IF(OR(J2463="", J2463=""), "[Aviso] División no capturada ()", IF(ISNA(MATCH(J2463, Criterios!$A$123:$A$126, 0)), "División no válida", "")), IF(OR(K2463="", K2463=""), "[Aviso] Categoría no capturada ()", IF(ISNA(MATCH(K2463, Criterios!$A$81:$A$120, 0)), "Categoría no válida", IF(AND(J2463&lt;&gt;"", J2463&lt;&gt;"", J2463&lt;&gt;VLOOKUP(K2463, Criterios!$A$81:$B$120, 2, FALSE)), "División no coincide con Categoría", ""))), IF(OR(L2463="", L2463=""), "[Aviso] Género no capturado ()", IF(ISNA(MATCH(L2463, Criterios!$B$123:$B$127, 0)), "Género no válido", "")), IF(OR(N2463="", N2463=""), "[Aviso] Temporada no capturada ()", IF(ISNA(MATCH(N2463, Criterios!$C$123:$C$128, 0)), "Temporada no válida", "")), IF(OR(O2463="", O2463=""), "[Aviso] Ciclo de vida no capturado ()", IF(ISNA(MATCH(O2463, Criterios!$D$123:$D$124, 0)), "Ciclo de vida no válido", ""))))</f>
        <v/>
      </c>
      <c r="AC2463" s="56" t="n"/>
      <c r="AD2463" s="51" t="n">
        <v>0</v>
      </c>
      <c r="AE2463" s="156" t="n"/>
      <c r="AF2463" s="51" t="n">
        <v>0</v>
      </c>
      <c r="AG2463" s="156" t="inlineStr">
        <is>
          <t>Hoja a Revisar — artículo</t>
        </is>
      </c>
      <c r="AH2463"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3" s="156" t="inlineStr">
        <is>
          <t>No</t>
        </is>
      </c>
      <c r="AJ2463" s="156" t="n"/>
      <c r="AK2463" s="155" t="inlineStr">
        <is>
          <t>Hoja a Revisar: fila 364005 [I] | Hoja a Revisar: nombre / marca [H] | Marca identificada por catálogo / descripción [C] | Criterios: D [K,J] | Criterios: paso 2 [L] | Criterios: I [Q] | Criterios: paso 7 [V] | Descripción del registro fuente [T] | Catálogo estándar / Productos: grupo de Marca principal para Stetson [C]</t>
        </is>
      </c>
      <c r="AL2463" s="58" t="n"/>
      <c r="AM2463" s="58" t="n"/>
      <c r="AN2463" s="155" t="n"/>
      <c r="AO2463" s="59" t="n"/>
      <c r="AP2463" s="59" t="n"/>
      <c r="AQ2463" s="59" t="n"/>
      <c r="AR2463" s="155" t="n"/>
    </row>
    <row r="2464">
      <c r="A2464" s="50" t="n"/>
      <c r="B2464" s="51" t="inlineStr">
        <is>
          <t>117550</t>
        </is>
      </c>
      <c r="C2464" s="156" t="inlineStr">
        <is>
          <t>Multimarca</t>
        </is>
      </c>
      <c r="D2464" s="156" t="n"/>
      <c r="E2464" s="156" t="n"/>
      <c r="F2464" s="156" t="n"/>
      <c r="G2464" s="156" t="n"/>
      <c r="H2464" s="156" t="inlineStr">
        <is>
          <t>Stetson</t>
        </is>
      </c>
      <c r="I2464" s="156" t="inlineStr">
        <is>
          <t>SFPRES-484022 : Texana : Stetson</t>
        </is>
      </c>
      <c r="J2464" s="156" t="inlineStr">
        <is>
          <t>Accesorios</t>
        </is>
      </c>
      <c r="K2464" s="156" t="inlineStr">
        <is>
          <t>Sombreros</t>
        </is>
      </c>
      <c r="L2464" s="156" t="inlineStr">
        <is>
          <t>Unisex</t>
        </is>
      </c>
      <c r="M2464" s="156" t="n"/>
      <c r="N2464" s="156" t="n"/>
      <c r="O2464" s="156" t="n"/>
      <c r="P2464" s="156" t="n"/>
      <c r="Q2464" s="156" t="n"/>
      <c r="R2464" s="156" t="n"/>
      <c r="S2464" s="156" t="n"/>
      <c r="T2464" s="156" t="inlineStr">
        <is>
          <t>SFPRES-484022 : Texana : Stetson</t>
        </is>
      </c>
      <c r="U2464" s="156" t="n"/>
      <c r="V2464" s="156" t="inlineStr">
        <is>
          <t>PZS</t>
        </is>
      </c>
      <c r="W2464" s="51" t="n"/>
      <c r="X2464" s="156" t="n"/>
      <c r="Y2464" s="54" t="n"/>
      <c r="Z2464" s="54" t="n"/>
      <c r="AA2464" s="55">
        <f>IF(AND(A2464="", B2464="", E2464=""), "", IF(AB2464="", "Válido", IF((LEN(AB2464)-LEN(SUBSTITUTE(AB2464,"; ","")))/2+1&gt;(LEN(AB2464)-LEN(SUBSTITUTE(AB2464,"[Aviso]","")))/7, "Con Incidencias", "Válido")))</f>
        <v/>
      </c>
      <c r="AB2464" s="56">
        <f>IF(AND(A2464="", B2464="", E2464=""), "", TEXTJOIN("; ", TRUE, IF(OR(TRIM(A2464&amp;"")="", ISNUMBER(SEARCH("FALTA", A2464))), "UPC faltante/inválido", ""), IF(AND(A2464&lt;&gt;"", IFERROR(_xlfn.XMATCH(A2464,$A$2:$A$2509,0,1)&lt;&gt;_xlfn.XMATCH(A2464,$A$2:$A$2509,0,-1),FALSE)), "Código de barras duplicado", ""), IF(AND(E2464&lt;&gt;"", COUNTIF($E$2:$E$2509, E2464)&gt;1), "SKU duplicado", ""), IF(OR(J2464="", J2464=""), "[Aviso] División no capturada ()", IF(ISNA(MATCH(J2464, Criterios!$A$123:$A$126, 0)), "División no válida", "")), IF(OR(K2464="", K2464=""), "[Aviso] Categoría no capturada ()", IF(ISNA(MATCH(K2464, Criterios!$A$81:$A$120, 0)), "Categoría no válida", IF(AND(J2464&lt;&gt;"", J2464&lt;&gt;"", J2464&lt;&gt;VLOOKUP(K2464, Criterios!$A$81:$B$120, 2, FALSE)), "División no coincide con Categoría", ""))), IF(OR(L2464="", L2464=""), "[Aviso] Género no capturado ()", IF(ISNA(MATCH(L2464, Criterios!$B$123:$B$127, 0)), "Género no válido", "")), IF(OR(N2464="", N2464=""), "[Aviso] Temporada no capturada ()", IF(ISNA(MATCH(N2464, Criterios!$C$123:$C$128, 0)), "Temporada no válida", "")), IF(OR(O2464="", O2464=""), "[Aviso] Ciclo de vida no capturado ()", IF(ISNA(MATCH(O2464, Criterios!$D$123:$D$124, 0)), "Ciclo de vida no válido", ""))))</f>
        <v/>
      </c>
      <c r="AC2464" s="56" t="n"/>
      <c r="AD2464" s="51" t="n">
        <v>0</v>
      </c>
      <c r="AE2464" s="156" t="n"/>
      <c r="AF2464" s="51" t="n">
        <v>0</v>
      </c>
      <c r="AG2464" s="156" t="inlineStr">
        <is>
          <t>Hoja a Revisar — artículo</t>
        </is>
      </c>
      <c r="AH2464"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4" s="156" t="inlineStr">
        <is>
          <t>No</t>
        </is>
      </c>
      <c r="AJ2464" s="156" t="n"/>
      <c r="AK2464" s="155" t="inlineStr">
        <is>
          <t>Hoja a Revisar: fila 364017 [I] | Hoja a Revisar: nombre / marca [H] | Marca identificada por catálogo / descripción [C] | Criterios: D [K,J] | Criterios: paso 2 [L] | Criterios: I [Q] | Criterios: paso 7 [V] | Descripción del registro fuente [T] | Catálogo estándar / Productos: grupo de Marca principal para Stetson [C]</t>
        </is>
      </c>
      <c r="AL2464" s="58" t="n"/>
      <c r="AM2464" s="58" t="n"/>
      <c r="AN2464" s="155" t="n"/>
      <c r="AO2464" s="59" t="n"/>
      <c r="AP2464" s="59" t="n"/>
      <c r="AQ2464" s="59" t="n"/>
      <c r="AR2464" s="155" t="n"/>
    </row>
    <row r="2465">
      <c r="A2465" s="50" t="n"/>
      <c r="B2465" s="51" t="inlineStr">
        <is>
          <t>117670</t>
        </is>
      </c>
      <c r="C2465" s="156" t="inlineStr">
        <is>
          <t>Multimarca</t>
        </is>
      </c>
      <c r="D2465" s="156" t="n"/>
      <c r="E2465" s="156" t="n"/>
      <c r="F2465" s="156" t="n"/>
      <c r="G2465" s="156" t="n"/>
      <c r="H2465" s="156" t="inlineStr">
        <is>
          <t>Stetson</t>
        </is>
      </c>
      <c r="I2465" s="156" t="inlineStr">
        <is>
          <t>SFPRES-484034 : Texana : Stetson</t>
        </is>
      </c>
      <c r="J2465" s="156" t="inlineStr">
        <is>
          <t>Accesorios</t>
        </is>
      </c>
      <c r="K2465" s="156" t="inlineStr">
        <is>
          <t>Sombreros</t>
        </is>
      </c>
      <c r="L2465" s="156" t="inlineStr">
        <is>
          <t>Unisex</t>
        </is>
      </c>
      <c r="M2465" s="156" t="n"/>
      <c r="N2465" s="156" t="n"/>
      <c r="O2465" s="156" t="n"/>
      <c r="P2465" s="156" t="n"/>
      <c r="Q2465" s="156" t="n"/>
      <c r="R2465" s="156" t="n"/>
      <c r="S2465" s="156" t="n"/>
      <c r="T2465" s="156" t="inlineStr">
        <is>
          <t>SFPRES-484034 : Texana : Stetson</t>
        </is>
      </c>
      <c r="U2465" s="156" t="n"/>
      <c r="V2465" s="156" t="inlineStr">
        <is>
          <t>PZS</t>
        </is>
      </c>
      <c r="W2465" s="51" t="n"/>
      <c r="X2465" s="156" t="n"/>
      <c r="Y2465" s="54" t="n"/>
      <c r="Z2465" s="54" t="n"/>
      <c r="AA2465" s="55">
        <f>IF(AND(A2465="", B2465="", E2465=""), "", IF(AB2465="", "Válido", IF((LEN(AB2465)-LEN(SUBSTITUTE(AB2465,"; ","")))/2+1&gt;(LEN(AB2465)-LEN(SUBSTITUTE(AB2465,"[Aviso]","")))/7, "Con Incidencias", "Válido")))</f>
        <v/>
      </c>
      <c r="AB2465" s="56">
        <f>IF(AND(A2465="", B2465="", E2465=""), "", TEXTJOIN("; ", TRUE, IF(OR(TRIM(A2465&amp;"")="", ISNUMBER(SEARCH("FALTA", A2465))), "UPC faltante/inválido", ""), IF(AND(A2465&lt;&gt;"", IFERROR(_xlfn.XMATCH(A2465,$A$2:$A$2509,0,1)&lt;&gt;_xlfn.XMATCH(A2465,$A$2:$A$2509,0,-1),FALSE)), "Código de barras duplicado", ""), IF(AND(E2465&lt;&gt;"", COUNTIF($E$2:$E$2509, E2465)&gt;1), "SKU duplicado", ""), IF(OR(J2465="", J2465=""), "[Aviso] División no capturada ()", IF(ISNA(MATCH(J2465, Criterios!$A$123:$A$126, 0)), "División no válida", "")), IF(OR(K2465="", K2465=""), "[Aviso] Categoría no capturada ()", IF(ISNA(MATCH(K2465, Criterios!$A$81:$A$120, 0)), "Categoría no válida", IF(AND(J2465&lt;&gt;"", J2465&lt;&gt;"", J2465&lt;&gt;VLOOKUP(K2465, Criterios!$A$81:$B$120, 2, FALSE)), "División no coincide con Categoría", ""))), IF(OR(L2465="", L2465=""), "[Aviso] Género no capturado ()", IF(ISNA(MATCH(L2465, Criterios!$B$123:$B$127, 0)), "Género no válido", "")), IF(OR(N2465="", N2465=""), "[Aviso] Temporada no capturada ()", IF(ISNA(MATCH(N2465, Criterios!$C$123:$C$128, 0)), "Temporada no válida", "")), IF(OR(O2465="", O2465=""), "[Aviso] Ciclo de vida no capturado ()", IF(ISNA(MATCH(O2465, Criterios!$D$123:$D$124, 0)), "Ciclo de vida no válido", ""))))</f>
        <v/>
      </c>
      <c r="AC2465" s="56" t="n"/>
      <c r="AD2465" s="51" t="n">
        <v>0</v>
      </c>
      <c r="AE2465" s="156" t="n"/>
      <c r="AF2465" s="51" t="n">
        <v>0</v>
      </c>
      <c r="AG2465" s="156" t="inlineStr">
        <is>
          <t>Hoja a Revisar — artículo</t>
        </is>
      </c>
      <c r="AH2465"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5" s="156" t="inlineStr">
        <is>
          <t>No</t>
        </is>
      </c>
      <c r="AJ2465" s="156" t="n"/>
      <c r="AK2465" s="155" t="inlineStr">
        <is>
          <t>Hoja a Revisar: fila 364028 [I] | Hoja a Revisar: nombre / marca [H] | Marca identificada por catálogo / descripción [C] | Criterios: D [K,J] | Criterios: paso 2 [L] | Criterios: I [Q] | Criterios: paso 7 [V] | Descripción del registro fuente [T] | Catálogo estándar / Productos: grupo de Marca principal para Stetson [C]</t>
        </is>
      </c>
      <c r="AL2465" s="58" t="n"/>
      <c r="AM2465" s="58" t="n"/>
      <c r="AN2465" s="155" t="n"/>
      <c r="AO2465" s="59" t="n"/>
      <c r="AP2465" s="59" t="n"/>
      <c r="AQ2465" s="59" t="n"/>
      <c r="AR2465" s="155" t="n"/>
    </row>
    <row r="2466">
      <c r="A2466" s="50" t="n"/>
      <c r="B2466" s="51" t="inlineStr">
        <is>
          <t>117554</t>
        </is>
      </c>
      <c r="C2466" s="156" t="inlineStr">
        <is>
          <t>Multimarca</t>
        </is>
      </c>
      <c r="D2466" s="156" t="n"/>
      <c r="E2466" s="156" t="n"/>
      <c r="F2466" s="156" t="n"/>
      <c r="G2466" s="156" t="n"/>
      <c r="H2466" s="156" t="inlineStr">
        <is>
          <t>Stetson</t>
        </is>
      </c>
      <c r="I2466" s="156" t="inlineStr">
        <is>
          <t>XWLRLH-033659 : Texana : Stetson</t>
        </is>
      </c>
      <c r="J2466" s="156" t="inlineStr">
        <is>
          <t>Accesorios</t>
        </is>
      </c>
      <c r="K2466" s="156" t="inlineStr">
        <is>
          <t>Sombreros</t>
        </is>
      </c>
      <c r="L2466" s="156" t="inlineStr">
        <is>
          <t>Unisex</t>
        </is>
      </c>
      <c r="M2466" s="156" t="n"/>
      <c r="N2466" s="156" t="n"/>
      <c r="O2466" s="156" t="n"/>
      <c r="P2466" s="156" t="n"/>
      <c r="Q2466" s="156" t="n"/>
      <c r="R2466" s="156" t="n"/>
      <c r="S2466" s="156" t="n"/>
      <c r="T2466" s="156" t="inlineStr">
        <is>
          <t>XWLRLH-033659 : Texana : Stetson</t>
        </is>
      </c>
      <c r="U2466" s="156" t="n"/>
      <c r="V2466" s="156" t="inlineStr">
        <is>
          <t>PZS</t>
        </is>
      </c>
      <c r="W2466" s="51" t="n"/>
      <c r="X2466" s="156" t="n"/>
      <c r="Y2466" s="54" t="n"/>
      <c r="Z2466" s="54" t="n"/>
      <c r="AA2466" s="55">
        <f>IF(AND(A2466="", B2466="", E2466=""), "", IF(AB2466="", "Válido", IF((LEN(AB2466)-LEN(SUBSTITUTE(AB2466,"; ","")))/2+1&gt;(LEN(AB2466)-LEN(SUBSTITUTE(AB2466,"[Aviso]","")))/7, "Con Incidencias", "Válido")))</f>
        <v/>
      </c>
      <c r="AB2466" s="56">
        <f>IF(AND(A2466="", B2466="", E2466=""), "", TEXTJOIN("; ", TRUE, IF(OR(TRIM(A2466&amp;"")="", ISNUMBER(SEARCH("FALTA", A2466))), "UPC faltante/inválido", ""), IF(AND(A2466&lt;&gt;"", IFERROR(_xlfn.XMATCH(A2466,$A$2:$A$2509,0,1)&lt;&gt;_xlfn.XMATCH(A2466,$A$2:$A$2509,0,-1),FALSE)), "Código de barras duplicado", ""), IF(AND(E2466&lt;&gt;"", COUNTIF($E$2:$E$2509, E2466)&gt;1), "SKU duplicado", ""), IF(OR(J2466="", J2466=""), "[Aviso] División no capturada ()", IF(ISNA(MATCH(J2466, Criterios!$A$123:$A$126, 0)), "División no válida", "")), IF(OR(K2466="", K2466=""), "[Aviso] Categoría no capturada ()", IF(ISNA(MATCH(K2466, Criterios!$A$81:$A$120, 0)), "Categoría no válida", IF(AND(J2466&lt;&gt;"", J2466&lt;&gt;"", J2466&lt;&gt;VLOOKUP(K2466, Criterios!$A$81:$B$120, 2, FALSE)), "División no coincide con Categoría", ""))), IF(OR(L2466="", L2466=""), "[Aviso] Género no capturado ()", IF(ISNA(MATCH(L2466, Criterios!$B$123:$B$127, 0)), "Género no válido", "")), IF(OR(N2466="", N2466=""), "[Aviso] Temporada no capturada ()", IF(ISNA(MATCH(N2466, Criterios!$C$123:$C$128, 0)), "Temporada no válida", "")), IF(OR(O2466="", O2466=""), "[Aviso] Ciclo de vida no capturado ()", IF(ISNA(MATCH(O2466, Criterios!$D$123:$D$124, 0)), "Ciclo de vida no válido", ""))))</f>
        <v/>
      </c>
      <c r="AC2466" s="56" t="n"/>
      <c r="AD2466" s="51" t="n">
        <v>0</v>
      </c>
      <c r="AE2466" s="156" t="n"/>
      <c r="AF2466" s="51" t="n">
        <v>0</v>
      </c>
      <c r="AG2466" s="156" t="inlineStr">
        <is>
          <t>Hoja a Revisar — artículo</t>
        </is>
      </c>
      <c r="AH2466"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6" s="156" t="inlineStr">
        <is>
          <t>No</t>
        </is>
      </c>
      <c r="AJ2466" s="156" t="n"/>
      <c r="AK2466" s="155" t="inlineStr">
        <is>
          <t>Hoja a Revisar: fila 366154 [I] | Hoja a Revisar: nombre / marca [H] | Marca identificada por catálogo / descripción [C] | Criterios: D [K,J] | Criterios: paso 2 [L] | Criterios: I [Q] | Criterios: paso 7 [V] | Descripción del registro fuente [T] | Catálogo estándar / Productos: grupo de Marca principal para Stetson [C]</t>
        </is>
      </c>
      <c r="AL2466" s="58" t="n"/>
      <c r="AM2466" s="58" t="n"/>
      <c r="AN2466" s="155" t="n"/>
      <c r="AO2466" s="59" t="n"/>
      <c r="AP2466" s="59" t="n"/>
      <c r="AQ2466" s="59" t="n"/>
      <c r="AR2466" s="155" t="n"/>
    </row>
    <row r="2467">
      <c r="A2467" s="50" t="inlineStr">
        <is>
          <t>11-057-0202-2041-M</t>
        </is>
      </c>
      <c r="B2467" s="51" t="inlineStr">
        <is>
          <t>110908</t>
        </is>
      </c>
      <c r="C2467" s="156" t="inlineStr">
        <is>
          <t>Multimarca</t>
        </is>
      </c>
      <c r="D2467" s="156" t="inlineStr">
        <is>
          <t>11-057-0202-2041</t>
        </is>
      </c>
      <c r="E2467" s="156" t="inlineStr">
        <is>
          <t>11-057-0202-2041-M</t>
        </is>
      </c>
      <c r="F2467" s="156" t="inlineStr">
        <is>
          <t>M</t>
        </is>
      </c>
      <c r="G2467" s="156" t="inlineStr">
        <is>
          <t>M</t>
        </is>
      </c>
      <c r="H2467" s="156" t="inlineStr">
        <is>
          <t>Stetson</t>
        </is>
      </c>
      <c r="I2467" s="156" t="inlineStr">
        <is>
          <t>Vestido Tirantes Mezclilla Stretch Azul</t>
        </is>
      </c>
      <c r="J2467" s="156" t="inlineStr">
        <is>
          <t>Ropa</t>
        </is>
      </c>
      <c r="K2467" s="156" t="inlineStr">
        <is>
          <t>Vestidos</t>
        </is>
      </c>
      <c r="L2467" s="156" t="inlineStr">
        <is>
          <t>Mujer</t>
        </is>
      </c>
      <c r="M2467" s="156" t="inlineStr">
        <is>
          <t>Stetson</t>
        </is>
      </c>
      <c r="N2467" s="156" t="inlineStr">
        <is>
          <t>SS26</t>
        </is>
      </c>
      <c r="O2467" s="156" t="inlineStr">
        <is>
          <t>Seasonal</t>
        </is>
      </c>
      <c r="P2467" s="156" t="inlineStr">
        <is>
          <t>Azul</t>
        </is>
      </c>
      <c r="Q2467" s="156" t="inlineStr">
        <is>
          <t>Slim</t>
        </is>
      </c>
      <c r="R2467" s="156" t="n"/>
      <c r="S2467" s="156" t="inlineStr">
        <is>
          <t>Mezclilla</t>
        </is>
      </c>
      <c r="T2467"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7" s="156" t="n"/>
      <c r="V2467" s="156" t="inlineStr">
        <is>
          <t>PZS</t>
        </is>
      </c>
      <c r="W2467" s="51" t="inlineStr">
        <is>
          <t>53102000</t>
        </is>
      </c>
      <c r="X2467" s="156" t="inlineStr">
        <is>
          <t>https://cdn.shopify.com/s/files/1/0888/3250/8267/files/1105702022041a.jpg?v=1751049423</t>
        </is>
      </c>
      <c r="Y2467" s="54" t="n">
        <v>872.8448276</v>
      </c>
      <c r="Z2467" s="54" t="n">
        <v>1939.655172</v>
      </c>
      <c r="AA2467" s="55">
        <f>IF(AND(A2467="", B2467="", E2467=""), "", IF(AB2467="", "Válido", IF((LEN(AB2467)-LEN(SUBSTITUTE(AB2467,"; ","")))/2+1&gt;(LEN(AB2467)-LEN(SUBSTITUTE(AB2467,"[Aviso]","")))/7, "Con Incidencias", "Válido")))</f>
        <v/>
      </c>
      <c r="AB2467" s="56">
        <f>IF(AND(A2467="", B2467="", E2467=""), "", TEXTJOIN("; ", TRUE, IF(OR(TRIM(A2467&amp;"")="", ISNUMBER(SEARCH("FALTA", A2467))), "UPC faltante/inválido", ""), IF(AND(A2467&lt;&gt;"", IFERROR(_xlfn.XMATCH(A2467,$A$2:$A$2509,0,1)&lt;&gt;_xlfn.XMATCH(A2467,$A$2:$A$2509,0,-1),FALSE)), "Código de barras duplicado", ""), IF(AND(E2467&lt;&gt;"", COUNTIF($E$2:$E$2509, E2467)&gt;1), "SKU duplicado", ""), IF(OR(J2467="", J2467=""), "[Aviso] División no capturada ()", IF(ISNA(MATCH(J2467, Criterios!$A$123:$A$126, 0)), "División no válida", "")), IF(OR(K2467="", K2467=""), "[Aviso] Categoría no capturada ()", IF(ISNA(MATCH(K2467, Criterios!$A$81:$A$120, 0)), "Categoría no válida", IF(AND(J2467&lt;&gt;"", J2467&lt;&gt;"", J2467&lt;&gt;VLOOKUP(K2467, Criterios!$A$81:$B$120, 2, FALSE)), "División no coincide con Categoría", ""))), IF(OR(L2467="", L2467=""), "[Aviso] Género no capturado ()", IF(ISNA(MATCH(L2467, Criterios!$B$123:$B$127, 0)), "Género no válido", "")), IF(OR(N2467="", N2467=""), "[Aviso] Temporada no capturada ()", IF(ISNA(MATCH(N2467, Criterios!$C$123:$C$128, 0)), "Temporada no válida", "")), IF(OR(O2467="", O2467=""), "[Aviso] Ciclo de vida no capturado ()", IF(ISNA(MATCH(O2467, Criterios!$D$123:$D$124, 0)), "Ciclo de vida no válido", ""))))</f>
        <v/>
      </c>
      <c r="AC2467" s="56" t="n"/>
      <c r="AD2467" s="51" t="n">
        <v>0</v>
      </c>
      <c r="AE2467" s="156" t="n"/>
      <c r="AF2467" s="51" t="n">
        <v>0</v>
      </c>
      <c r="AG2467" s="156" t="inlineStr">
        <is>
          <t>Hoja a Revisar — artículo</t>
        </is>
      </c>
      <c r="AH2467" s="156" t="inlineStr">
        <is>
          <t>Revisión 29/09/2026: Sin cifra de stock verificable; no se presume cero; Campos sin respaldo: Q, U, X | 30/09/2026: se retiró "11-057-0202-2041-M"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7" s="156" t="inlineStr">
        <is>
          <t>No</t>
        </is>
      </c>
      <c r="AJ2467" s="156" t="n"/>
      <c r="AK2467" s="155" t="inlineStr">
        <is>
          <t>ProductosCatalogoEstandar907.xlsx: fila 49906 [A,C,D,E,H,I,J,K,L,M,N,O,P,S,V,W,Y] | Hoja a Revisar: fila 916460 [Z] | Criterios: J [R] | Catálogo y Criterios: F [F,G] | Descripción del registro fuente [T]; G1522_Extraccion_Articulos_NetSuite_2026-09-30.xlsx: fila 58650 [A] | Shopify Stetson: producto 14727090340203 / variante 53350614303083</t>
        </is>
      </c>
      <c r="AL2467" s="58" t="n">
        <v>872.8448276</v>
      </c>
      <c r="AM2467" s="58" t="n">
        <v>1939.655172</v>
      </c>
      <c r="AN2467" s="155" t="inlineStr">
        <is>
          <t>Shopify Stetson México</t>
        </is>
      </c>
      <c r="AO2467" s="59" t="n">
        <v>0</v>
      </c>
      <c r="AP2467" s="59" t="n"/>
      <c r="AQ2467" s="59" t="n"/>
      <c r="AR2467" s="155" t="n"/>
    </row>
    <row r="2468">
      <c r="A2468" s="50" t="inlineStr">
        <is>
          <t>11-057-0202-2041-S</t>
        </is>
      </c>
      <c r="B2468" s="51" t="inlineStr">
        <is>
          <t>110906</t>
        </is>
      </c>
      <c r="C2468" s="156" t="inlineStr">
        <is>
          <t>Multimarca</t>
        </is>
      </c>
      <c r="D2468" s="156" t="inlineStr">
        <is>
          <t>11-057-0202-2041</t>
        </is>
      </c>
      <c r="E2468" s="156" t="inlineStr">
        <is>
          <t>11-057-0202-2041-S</t>
        </is>
      </c>
      <c r="F2468" s="156" t="inlineStr">
        <is>
          <t>S</t>
        </is>
      </c>
      <c r="G2468" s="156" t="inlineStr">
        <is>
          <t>S</t>
        </is>
      </c>
      <c r="H2468" s="156" t="inlineStr">
        <is>
          <t>Stetson</t>
        </is>
      </c>
      <c r="I2468" s="156" t="inlineStr">
        <is>
          <t>Vestido Tirantes Mezclilla Stretch Azul</t>
        </is>
      </c>
      <c r="J2468" s="156" t="inlineStr">
        <is>
          <t>Ropa</t>
        </is>
      </c>
      <c r="K2468" s="156" t="inlineStr">
        <is>
          <t>Vestidos</t>
        </is>
      </c>
      <c r="L2468" s="156" t="inlineStr">
        <is>
          <t>Mujer</t>
        </is>
      </c>
      <c r="M2468" s="156" t="inlineStr">
        <is>
          <t>Stetson</t>
        </is>
      </c>
      <c r="N2468" s="156" t="inlineStr">
        <is>
          <t>SS26</t>
        </is>
      </c>
      <c r="O2468" s="156" t="inlineStr">
        <is>
          <t>Seasonal</t>
        </is>
      </c>
      <c r="P2468" s="156" t="inlineStr">
        <is>
          <t>Azul</t>
        </is>
      </c>
      <c r="Q2468" s="156" t="inlineStr">
        <is>
          <t>Slim</t>
        </is>
      </c>
      <c r="R2468" s="156" t="n"/>
      <c r="S2468" s="156" t="inlineStr">
        <is>
          <t>Mezclilla</t>
        </is>
      </c>
      <c r="T2468"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8" s="156" t="n"/>
      <c r="V2468" s="156" t="inlineStr">
        <is>
          <t>PZS</t>
        </is>
      </c>
      <c r="W2468" s="51" t="inlineStr">
        <is>
          <t>53102000</t>
        </is>
      </c>
      <c r="X2468" s="156" t="inlineStr">
        <is>
          <t>https://cdn.shopify.com/s/files/1/0888/3250/8267/files/1105702022041a.jpg?v=1751049423</t>
        </is>
      </c>
      <c r="Y2468" s="54" t="n">
        <v>872.8448276</v>
      </c>
      <c r="Z2468" s="54" t="n">
        <v>1939.655172</v>
      </c>
      <c r="AA2468" s="55">
        <f>IF(AND(A2468="", B2468="", E2468=""), "", IF(AB2468="", "Válido", IF((LEN(AB2468)-LEN(SUBSTITUTE(AB2468,"; ","")))/2+1&gt;(LEN(AB2468)-LEN(SUBSTITUTE(AB2468,"[Aviso]","")))/7, "Con Incidencias", "Válido")))</f>
        <v/>
      </c>
      <c r="AB2468" s="56">
        <f>IF(AND(A2468="", B2468="", E2468=""), "", TEXTJOIN("; ", TRUE, IF(OR(TRIM(A2468&amp;"")="", ISNUMBER(SEARCH("FALTA", A2468))), "UPC faltante/inválido", ""), IF(AND(A2468&lt;&gt;"", IFERROR(_xlfn.XMATCH(A2468,$A$2:$A$2509,0,1)&lt;&gt;_xlfn.XMATCH(A2468,$A$2:$A$2509,0,-1),FALSE)), "Código de barras duplicado", ""), IF(AND(E2468&lt;&gt;"", COUNTIF($E$2:$E$2509, E2468)&gt;1), "SKU duplicado", ""), IF(OR(J2468="", J2468=""), "[Aviso] División no capturada ()", IF(ISNA(MATCH(J2468, Criterios!$A$123:$A$126, 0)), "División no válida", "")), IF(OR(K2468="", K2468=""), "[Aviso] Categoría no capturada ()", IF(ISNA(MATCH(K2468, Criterios!$A$81:$A$120, 0)), "Categoría no válida", IF(AND(J2468&lt;&gt;"", J2468&lt;&gt;"", J2468&lt;&gt;VLOOKUP(K2468, Criterios!$A$81:$B$120, 2, FALSE)), "División no coincide con Categoría", ""))), IF(OR(L2468="", L2468=""), "[Aviso] Género no capturado ()", IF(ISNA(MATCH(L2468, Criterios!$B$123:$B$127, 0)), "Género no válido", "")), IF(OR(N2468="", N2468=""), "[Aviso] Temporada no capturada ()", IF(ISNA(MATCH(N2468, Criterios!$C$123:$C$128, 0)), "Temporada no válida", "")), IF(OR(O2468="", O2468=""), "[Aviso] Ciclo de vida no capturado ()", IF(ISNA(MATCH(O2468, Criterios!$D$123:$D$124, 0)), "Ciclo de vida no válido", ""))))</f>
        <v/>
      </c>
      <c r="AC2468" s="56" t="n"/>
      <c r="AD2468" s="51" t="n">
        <v>0</v>
      </c>
      <c r="AE2468" s="156" t="n"/>
      <c r="AF2468" s="51" t="n">
        <v>0</v>
      </c>
      <c r="AG2468" s="156" t="inlineStr">
        <is>
          <t>Hoja a Revisar — artículo</t>
        </is>
      </c>
      <c r="AH2468" s="156" t="inlineStr">
        <is>
          <t>Revisión 29/09/2026: Sin cifra de stock verificable; no se presume cero; Campos sin respaldo: Q, U, X | 30/09/2026: se retiró "11-057-0202-2041-S"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8" s="156" t="inlineStr">
        <is>
          <t>No</t>
        </is>
      </c>
      <c r="AJ2468" s="156" t="n"/>
      <c r="AK2468" s="155" t="inlineStr">
        <is>
          <t>ProductosCatalogoEstandar907.xlsx: fila 49907 [A,C,D,E,H,I,J,K,L,M,N,O,P,S,V,W,Y] | Hoja a Revisar: fila 916461 [Z] | Criterios: J [R] | Catálogo y Criterios: F [F,G] | Descripción del registro fuente [T]; G1522_Extraccion_Articulos_NetSuite_2026-09-30.xlsx: fila 58648 [A] | Shopify Stetson: producto 14727090340203 / variante 53350614270315</t>
        </is>
      </c>
      <c r="AL2468" s="58" t="n">
        <v>872.8448276</v>
      </c>
      <c r="AM2468" s="58" t="n">
        <v>1939.655172</v>
      </c>
      <c r="AN2468" s="155" t="inlineStr">
        <is>
          <t>Shopify Stetson México</t>
        </is>
      </c>
      <c r="AO2468" s="59" t="n">
        <v>0</v>
      </c>
      <c r="AP2468" s="59" t="n"/>
      <c r="AQ2468" s="59" t="n"/>
      <c r="AR2468" s="155" t="n"/>
    </row>
    <row r="2469">
      <c r="A2469" s="50" t="inlineStr">
        <is>
          <t>11-057-0202-2041-XL</t>
        </is>
      </c>
      <c r="B2469" s="51" t="inlineStr">
        <is>
          <t>110910</t>
        </is>
      </c>
      <c r="C2469" s="156" t="inlineStr">
        <is>
          <t>Multimarca</t>
        </is>
      </c>
      <c r="D2469" s="156" t="inlineStr">
        <is>
          <t>11-057-0202-2041</t>
        </is>
      </c>
      <c r="E2469" s="156" t="inlineStr">
        <is>
          <t>11-057-0202-2041-XL</t>
        </is>
      </c>
      <c r="F2469" s="156" t="inlineStr">
        <is>
          <t>XL</t>
        </is>
      </c>
      <c r="G2469" s="156" t="inlineStr">
        <is>
          <t>XL</t>
        </is>
      </c>
      <c r="H2469" s="156" t="inlineStr">
        <is>
          <t>Stetson</t>
        </is>
      </c>
      <c r="I2469" s="156" t="inlineStr">
        <is>
          <t>Vestido Tirantes Mezclilla Stretch Azul</t>
        </is>
      </c>
      <c r="J2469" s="156" t="inlineStr">
        <is>
          <t>Ropa</t>
        </is>
      </c>
      <c r="K2469" s="156" t="inlineStr">
        <is>
          <t>Vestidos</t>
        </is>
      </c>
      <c r="L2469" s="156" t="inlineStr">
        <is>
          <t>Mujer</t>
        </is>
      </c>
      <c r="M2469" s="156" t="inlineStr">
        <is>
          <t>Stetson</t>
        </is>
      </c>
      <c r="N2469" s="156" t="inlineStr">
        <is>
          <t>SS26</t>
        </is>
      </c>
      <c r="O2469" s="156" t="inlineStr">
        <is>
          <t>Seasonal</t>
        </is>
      </c>
      <c r="P2469" s="156" t="inlineStr">
        <is>
          <t>Azul</t>
        </is>
      </c>
      <c r="Q2469" s="156" t="inlineStr">
        <is>
          <t>Slim</t>
        </is>
      </c>
      <c r="R2469" s="156" t="n"/>
      <c r="S2469" s="156" t="inlineStr">
        <is>
          <t>Mezclilla</t>
        </is>
      </c>
      <c r="T2469"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9" s="156" t="n"/>
      <c r="V2469" s="156" t="inlineStr">
        <is>
          <t>PZS</t>
        </is>
      </c>
      <c r="W2469" s="51" t="inlineStr">
        <is>
          <t>53102000</t>
        </is>
      </c>
      <c r="X2469" s="156" t="inlineStr">
        <is>
          <t>https://cdn.shopify.com/s/files/1/0888/3250/8267/files/1105702022041a.jpg?v=1751049423</t>
        </is>
      </c>
      <c r="Y2469" s="54" t="n">
        <v>872.8448276</v>
      </c>
      <c r="Z2469" s="54" t="n">
        <v>1939.655172</v>
      </c>
      <c r="AA2469" s="55">
        <f>IF(AND(A2469="", B2469="", E2469=""), "", IF(AB2469="", "Válido", IF((LEN(AB2469)-LEN(SUBSTITUTE(AB2469,"; ","")))/2+1&gt;(LEN(AB2469)-LEN(SUBSTITUTE(AB2469,"[Aviso]","")))/7, "Con Incidencias", "Válido")))</f>
        <v/>
      </c>
      <c r="AB2469" s="56">
        <f>IF(AND(A2469="", B2469="", E2469=""), "", TEXTJOIN("; ", TRUE, IF(OR(TRIM(A2469&amp;"")="", ISNUMBER(SEARCH("FALTA", A2469))), "UPC faltante/inválido", ""), IF(AND(A2469&lt;&gt;"", IFERROR(_xlfn.XMATCH(A2469,$A$2:$A$2509,0,1)&lt;&gt;_xlfn.XMATCH(A2469,$A$2:$A$2509,0,-1),FALSE)), "Código de barras duplicado", ""), IF(AND(E2469&lt;&gt;"", COUNTIF($E$2:$E$2509, E2469)&gt;1), "SKU duplicado", ""), IF(OR(J2469="", J2469=""), "[Aviso] División no capturada ()", IF(ISNA(MATCH(J2469, Criterios!$A$123:$A$126, 0)), "División no válida", "")), IF(OR(K2469="", K2469=""), "[Aviso] Categoría no capturada ()", IF(ISNA(MATCH(K2469, Criterios!$A$81:$A$120, 0)), "Categoría no válida", IF(AND(J2469&lt;&gt;"", J2469&lt;&gt;"", J2469&lt;&gt;VLOOKUP(K2469, Criterios!$A$81:$B$120, 2, FALSE)), "División no coincide con Categoría", ""))), IF(OR(L2469="", L2469=""), "[Aviso] Género no capturado ()", IF(ISNA(MATCH(L2469, Criterios!$B$123:$B$127, 0)), "Género no válido", "")), IF(OR(N2469="", N2469=""), "[Aviso] Temporada no capturada ()", IF(ISNA(MATCH(N2469, Criterios!$C$123:$C$128, 0)), "Temporada no válida", "")), IF(OR(O2469="", O2469=""), "[Aviso] Ciclo de vida no capturado ()", IF(ISNA(MATCH(O2469, Criterios!$D$123:$D$124, 0)), "Ciclo de vida no válido", ""))))</f>
        <v/>
      </c>
      <c r="AC2469" s="56" t="n"/>
      <c r="AD2469" s="51" t="n">
        <v>0</v>
      </c>
      <c r="AE2469" s="156" t="n"/>
      <c r="AF2469" s="51" t="n">
        <v>0</v>
      </c>
      <c r="AG2469" s="156" t="inlineStr">
        <is>
          <t>Hoja a Revisar — artículo</t>
        </is>
      </c>
      <c r="AH2469" s="156" t="inlineStr">
        <is>
          <t>Revisión 29/09/2026: Sin cifra de stock verificable; no se presume cero; Campos sin respaldo: Q, U, X | 30/09/2026: se retiró "11-057-0202-2041-XL"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9" s="156" t="inlineStr">
        <is>
          <t>No</t>
        </is>
      </c>
      <c r="AJ2469" s="156" t="n"/>
      <c r="AK2469" s="155" t="inlineStr">
        <is>
          <t>ProductosCatalogoEstandar907.xlsx: fila 49908 [A,C,D,E,H,I,J,K,L,M,N,O,P,S,V,W,Y] | Hoja a Revisar: fila 916462 [Z] | Criterios: J [R] | Catálogo y Criterios: F [F,G] | Descripción del registro fuente [T]; G1522_Extraccion_Articulos_NetSuite_2026-09-30.xlsx: fila 58652 [A] | Shopify Stetson: producto 14727090340203 / variante 53350614368619</t>
        </is>
      </c>
      <c r="AL2469" s="58" t="n">
        <v>872.8448276</v>
      </c>
      <c r="AM2469" s="58" t="n">
        <v>1939.655172</v>
      </c>
      <c r="AN2469" s="155" t="inlineStr">
        <is>
          <t>Shopify Stetson México</t>
        </is>
      </c>
      <c r="AO2469" s="59" t="n">
        <v>0</v>
      </c>
      <c r="AP2469" s="59" t="n"/>
      <c r="AQ2469" s="59" t="n"/>
      <c r="AR2469" s="155" t="n"/>
    </row>
    <row r="2470">
      <c r="A2470" s="50" t="inlineStr">
        <is>
          <t>11-057-0202-2041-XS</t>
        </is>
      </c>
      <c r="B2470" s="51" t="inlineStr">
        <is>
          <t>110909</t>
        </is>
      </c>
      <c r="C2470" s="156" t="inlineStr">
        <is>
          <t>Multimarca</t>
        </is>
      </c>
      <c r="D2470" s="156" t="inlineStr">
        <is>
          <t>11-057-0202-2041</t>
        </is>
      </c>
      <c r="E2470" s="156" t="inlineStr">
        <is>
          <t>11-057-0202-2041-XS</t>
        </is>
      </c>
      <c r="F2470" s="156" t="inlineStr">
        <is>
          <t>XS</t>
        </is>
      </c>
      <c r="G2470" s="156" t="inlineStr">
        <is>
          <t>XS</t>
        </is>
      </c>
      <c r="H2470" s="156" t="inlineStr">
        <is>
          <t>Stetson</t>
        </is>
      </c>
      <c r="I2470" s="156" t="inlineStr">
        <is>
          <t>Vestido Tirantes Mezclilla Stretch Azul</t>
        </is>
      </c>
      <c r="J2470" s="156" t="inlineStr">
        <is>
          <t>Ropa</t>
        </is>
      </c>
      <c r="K2470" s="156" t="inlineStr">
        <is>
          <t>Vestidos</t>
        </is>
      </c>
      <c r="L2470" s="156" t="inlineStr">
        <is>
          <t>Mujer</t>
        </is>
      </c>
      <c r="M2470" s="156" t="inlineStr">
        <is>
          <t>Stetson</t>
        </is>
      </c>
      <c r="N2470" s="156" t="inlineStr">
        <is>
          <t>SS26</t>
        </is>
      </c>
      <c r="O2470" s="156" t="inlineStr">
        <is>
          <t>Seasonal</t>
        </is>
      </c>
      <c r="P2470" s="156" t="inlineStr">
        <is>
          <t>Azul</t>
        </is>
      </c>
      <c r="Q2470" s="156" t="inlineStr">
        <is>
          <t>Slim</t>
        </is>
      </c>
      <c r="R2470" s="156" t="n"/>
      <c r="S2470" s="156" t="inlineStr">
        <is>
          <t>Mezclilla</t>
        </is>
      </c>
      <c r="T2470"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70" s="156" t="n"/>
      <c r="V2470" s="156" t="inlineStr">
        <is>
          <t>PZS</t>
        </is>
      </c>
      <c r="W2470" s="51" t="inlineStr">
        <is>
          <t>53102000</t>
        </is>
      </c>
      <c r="X2470" s="156" t="inlineStr">
        <is>
          <t>https://cdn.shopify.com/s/files/1/0888/3250/8267/files/1105702022041a.jpg?v=1751049423</t>
        </is>
      </c>
      <c r="Y2470" s="54" t="n">
        <v>872.8448276</v>
      </c>
      <c r="Z2470" s="54" t="n">
        <v>1939.655172</v>
      </c>
      <c r="AA2470" s="55">
        <f>IF(AND(A2470="", B2470="", E2470=""), "", IF(AB2470="", "Válido", IF((LEN(AB2470)-LEN(SUBSTITUTE(AB2470,"; ","")))/2+1&gt;(LEN(AB2470)-LEN(SUBSTITUTE(AB2470,"[Aviso]","")))/7, "Con Incidencias", "Válido")))</f>
        <v/>
      </c>
      <c r="AB2470" s="56">
        <f>IF(AND(A2470="", B2470="", E2470=""), "", TEXTJOIN("; ", TRUE, IF(OR(TRIM(A2470&amp;"")="", ISNUMBER(SEARCH("FALTA", A2470))), "UPC faltante/inválido", ""), IF(AND(A2470&lt;&gt;"", IFERROR(_xlfn.XMATCH(A2470,$A$2:$A$2509,0,1)&lt;&gt;_xlfn.XMATCH(A2470,$A$2:$A$2509,0,-1),FALSE)), "Código de barras duplicado", ""), IF(AND(E2470&lt;&gt;"", COUNTIF($E$2:$E$2509, E2470)&gt;1), "SKU duplicado", ""), IF(OR(J2470="", J2470=""), "[Aviso] División no capturada ()", IF(ISNA(MATCH(J2470, Criterios!$A$123:$A$126, 0)), "División no válida", "")), IF(OR(K2470="", K2470=""), "[Aviso] Categoría no capturada ()", IF(ISNA(MATCH(K2470, Criterios!$A$81:$A$120, 0)), "Categoría no válida", IF(AND(J2470&lt;&gt;"", J2470&lt;&gt;"", J2470&lt;&gt;VLOOKUP(K2470, Criterios!$A$81:$B$120, 2, FALSE)), "División no coincide con Categoría", ""))), IF(OR(L2470="", L2470=""), "[Aviso] Género no capturado ()", IF(ISNA(MATCH(L2470, Criterios!$B$123:$B$127, 0)), "Género no válido", "")), IF(OR(N2470="", N2470=""), "[Aviso] Temporada no capturada ()", IF(ISNA(MATCH(N2470, Criterios!$C$123:$C$128, 0)), "Temporada no válida", "")), IF(OR(O2470="", O2470=""), "[Aviso] Ciclo de vida no capturado ()", IF(ISNA(MATCH(O2470, Criterios!$D$123:$D$124, 0)), "Ciclo de vida no válido", ""))))</f>
        <v/>
      </c>
      <c r="AC2470" s="56" t="n"/>
      <c r="AD2470" s="51" t="n">
        <v>0</v>
      </c>
      <c r="AE2470" s="156" t="n"/>
      <c r="AF2470" s="51" t="n">
        <v>0</v>
      </c>
      <c r="AG2470" s="156" t="inlineStr">
        <is>
          <t>Hoja a Revisar — artículo</t>
        </is>
      </c>
      <c r="AH2470" s="156" t="inlineStr">
        <is>
          <t>Revisión 29/09/2026: Sin cifra de stock verificable; no se presume cero; Campos sin respaldo: Q, U, X | 30/09/2026: se retiró "11-057-0202-2041-XS"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70" s="156" t="inlineStr">
        <is>
          <t>No</t>
        </is>
      </c>
      <c r="AJ2470" s="156" t="n"/>
      <c r="AK2470" s="155" t="inlineStr">
        <is>
          <t>ProductosCatalogoEstandar907.xlsx: fila 49909 [A,C,D,E,H,I,J,K,L,M,N,O,P,S,V,W,Y] | Hoja a Revisar: fila 916463 [Z] | Criterios: J [R] | Catálogo y Criterios: F [F,G] | Descripción del registro fuente [T]; G1522_Extraccion_Articulos_NetSuite_2026-09-30.xlsx: fila 58651 [A] | Shopify Stetson: producto 14727090340203 / variante 53350614237547</t>
        </is>
      </c>
      <c r="AL2470" s="58" t="n">
        <v>872.8448276</v>
      </c>
      <c r="AM2470" s="58" t="n">
        <v>1939.655172</v>
      </c>
      <c r="AN2470" s="155" t="inlineStr">
        <is>
          <t>Shopify Stetson México</t>
        </is>
      </c>
      <c r="AO2470" s="59" t="n">
        <v>0</v>
      </c>
      <c r="AP2470" s="59" t="n"/>
      <c r="AQ2470" s="59" t="n"/>
      <c r="AR2470" s="155" t="n"/>
    </row>
    <row r="2471">
      <c r="A2471" s="50" t="n"/>
      <c r="B2471" s="51" t="n"/>
      <c r="C2471" s="156" t="inlineStr">
        <is>
          <t>Stetson</t>
        </is>
      </c>
      <c r="D2471" s="156" t="n"/>
      <c r="E2471" s="156" t="n"/>
      <c r="F2471" s="156" t="inlineStr">
        <is>
          <t>Talla única</t>
        </is>
      </c>
      <c r="G2471" s="156" t="inlineStr">
        <is>
          <t>One Size</t>
        </is>
      </c>
      <c r="H2471" s="156" t="inlineStr">
        <is>
          <t>Stetson</t>
        </is>
      </c>
      <c r="I2471" s="156" t="inlineStr">
        <is>
          <t>Khaki Arrowhead Patch Trucker</t>
        </is>
      </c>
      <c r="J2471" s="156" t="inlineStr">
        <is>
          <t>Accesorios</t>
        </is>
      </c>
      <c r="K2471" s="156" t="inlineStr">
        <is>
          <t>Gorras</t>
        </is>
      </c>
      <c r="L2471" s="156" t="inlineStr">
        <is>
          <t>Hombre</t>
        </is>
      </c>
      <c r="M2471" s="156" t="inlineStr">
        <is>
          <t>Stetson</t>
        </is>
      </c>
      <c r="N2471" s="156" t="n"/>
      <c r="O2471" s="156" t="n"/>
      <c r="P2471" s="156" t="inlineStr">
        <is>
          <t>Beige</t>
        </is>
      </c>
      <c r="Q2471" s="156" t="n"/>
      <c r="R2471" s="156" t="n"/>
      <c r="S2471" s="156" t="inlineStr">
        <is>
          <t>50% Algodón, 50% Poliéster HECHO</t>
        </is>
      </c>
      <c r="T2471" s="156" t="inlineStr">
        <is>
          <t>Esta clásica gorra de camionero presenta un parche bordado con el logotipo de STETSON, que honra nuestra historia y herencia estadounidense. Confeccionada con un resistente frente de lona cepillada, cuenta con una parte trasera de malla para mayor transpirabilidad y ventilación, una visera ligeramente curvada y un clásico cierre trasero a presión para garantizar un ajuste seguro y ajustable. Los camioneros de todo el siglo XX usaron gorras con el logotipo de su empresa. En los años 70, evolucionaron hasta convertirse en el sombrero que conocemos y apreciamos hoy en día. Práctica, orgullosa y puramente americana, la gorra de camionero es un verdadero clásico. Altura de la corona: 3 7/8" Ancho de la visera: 2 3/4" Parche bordado con el logotipo Cierre trasero ajustable a presión 50% Algodón 50% Poliéster HECHO EN CHINA</t>
        </is>
      </c>
      <c r="U2471" s="156" t="n"/>
      <c r="V2471" s="156" t="inlineStr">
        <is>
          <t>PZS</t>
        </is>
      </c>
      <c r="W2471" s="51" t="n"/>
      <c r="X2471" s="156" t="inlineStr">
        <is>
          <t>https://cdn.shopify.com/s/files/1/0888/3250/8267/files/STS09_0002_IMG_4708-copia.png?v=1732584323</t>
        </is>
      </c>
      <c r="Y2471" s="54" t="n"/>
      <c r="Z2471" s="54" t="n">
        <v>689.66</v>
      </c>
      <c r="AA2471" s="55">
        <f>IF(AND(A2471="", B2471="", E2471=""), "", IF(AB2471="", "Válido", IF((LEN(AB2471)-LEN(SUBSTITUTE(AB2471,"; ","")))/2+1&gt;(LEN(AB2471)-LEN(SUBSTITUTE(AB2471,"[Aviso]","")))/7, "Con Incidencias", "Válido")))</f>
        <v/>
      </c>
      <c r="AB2471" s="56">
        <f>IF(AND(A2471="", B2471="", E2471=""), "", TEXTJOIN("; ", TRUE, IF(OR(TRIM(A2471&amp;"")="", ISNUMBER(SEARCH("FALTA", A2471))), "UPC faltante/inválido", ""), IF(AND(A2471&lt;&gt;"", IFERROR(_xlfn.XMATCH(A2471,$A$2:$A$2509,0,1)&lt;&gt;_xlfn.XMATCH(A2471,$A$2:$A$2509,0,-1),FALSE)), "Código de barras duplicado", ""), IF(AND(E2471&lt;&gt;"", COUNTIF($E$2:$E$2509, E2471)&gt;1), "SKU duplicado", ""), IF(OR(J2471="", J2471=""), "[Aviso] División no capturada ()", IF(ISNA(MATCH(J2471, Criterios!$A$123:$A$126, 0)), "División no válida", "")), IF(OR(K2471="", K2471=""), "[Aviso] Categoría no capturada ()", IF(ISNA(MATCH(K2471, Criterios!$A$81:$A$120, 0)), "Categoría no válida", IF(AND(J2471&lt;&gt;"", J2471&lt;&gt;"", J2471&lt;&gt;VLOOKUP(K2471, Criterios!$A$81:$B$120, 2, FALSE)), "División no coincide con Categoría", ""))), IF(OR(L2471="", L2471=""), "[Aviso] Género no capturado ()", IF(ISNA(MATCH(L2471, Criterios!$B$123:$B$127, 0)), "Género no válido", "")), IF(OR(N2471="", N2471=""), "[Aviso] Temporada no capturada ()", IF(ISNA(MATCH(N2471, Criterios!$C$123:$C$128, 0)), "Temporada no válida", "")), IF(OR(O2471="", O2471=""), "[Aviso] Ciclo de vida no capturado ()", IF(ISNA(MATCH(O2471, Criterios!$D$123:$D$124, 0)), "Ciclo de vida no válido", ""))))</f>
        <v/>
      </c>
      <c r="AC2471" s="56" t="n"/>
      <c r="AD2471" s="51" t="n"/>
      <c r="AE2471" s="156" t="n"/>
      <c r="AF2471" s="51" t="n"/>
      <c r="AG2471" s="156" t="inlineStr">
        <is>
          <t>Nuevo – Shopify Stetson México 01/10/2026</t>
        </is>
      </c>
      <c r="AH2471" s="156" t="inlineStr">
        <is>
          <t>01/10/2026: alta desde Shopify Stetson México (no existía en Productos por código de barras ni SKU) | Sin código de barras ni SKU en la plataforma: capturar antes de usarlo en escaneo | Composición extraída de la descripción; Categoría: Sinónimo "Trucker" en nombre (fuera de tabla D); Género: etiquetas (tags); Color detectado en el nombre (khaki) | Homologación G1522 06/10/2026: Validación G1522: Código de barras faltante; WB SKU faltante · Validador NetSuite / Odoo: V1: falta código de barras · Validador Shopify: V1: falta código de barras; ST: precio con IVA no es múltiplo de 50</t>
        </is>
      </c>
      <c r="AI2471" s="156" t="n"/>
      <c r="AJ2471" s="156" t="n"/>
      <c r="AK2471" s="155" t="inlineStr">
        <is>
          <t>Shopify Stetson: producto 14629197807979 / variante 51711378653547</t>
        </is>
      </c>
      <c r="AL2471" s="58" t="n"/>
      <c r="AM2471" s="58" t="n"/>
      <c r="AN2471" s="155" t="inlineStr">
        <is>
          <t>Shopify Stetson México</t>
        </is>
      </c>
      <c r="AO2471" s="59" t="n">
        <v>0</v>
      </c>
      <c r="AP2471" s="59" t="n"/>
      <c r="AQ2471" s="59" t="n"/>
      <c r="AR2471" s="155" t="n"/>
    </row>
    <row r="2472">
      <c r="A2472" s="50" t="n"/>
      <c r="B2472" s="51" t="n"/>
      <c r="C2472" s="156" t="inlineStr">
        <is>
          <t>Stetson</t>
        </is>
      </c>
      <c r="D2472" s="156" t="n"/>
      <c r="E2472" s="156" t="n"/>
      <c r="F2472" s="156" t="inlineStr">
        <is>
          <t>6 7/8</t>
        </is>
      </c>
      <c r="G2472" s="156" t="inlineStr">
        <is>
          <t>6 7/8</t>
        </is>
      </c>
      <c r="H2472" s="156" t="inlineStr">
        <is>
          <t>Stetson</t>
        </is>
      </c>
      <c r="I2472" s="156" t="inlineStr">
        <is>
          <t>Sombrero Stetson Skyline 6X Cowboy</t>
        </is>
      </c>
      <c r="J2472" s="156" t="inlineStr">
        <is>
          <t>Accesorios</t>
        </is>
      </c>
      <c r="K2472" s="156" t="inlineStr">
        <is>
          <t>Sombreros</t>
        </is>
      </c>
      <c r="L2472" s="156" t="inlineStr">
        <is>
          <t>Unisex</t>
        </is>
      </c>
      <c r="M2472" s="156" t="inlineStr">
        <is>
          <t>Stetson</t>
        </is>
      </c>
      <c r="N2472" s="156" t="n"/>
      <c r="O2472" s="156" t="n"/>
      <c r="P2472" s="156" t="inlineStr">
        <is>
          <t>Cafe</t>
        </is>
      </c>
      <c r="Q2472" s="156" t="n"/>
      <c r="R2472" s="156" t="inlineStr">
        <is>
          <t>Copa Cattleman</t>
        </is>
      </c>
      <c r="S2472" s="156" t="n"/>
      <c r="T247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2" s="156" t="n"/>
      <c r="V2472" s="156" t="inlineStr">
        <is>
          <t>PZS</t>
        </is>
      </c>
      <c r="W2472" s="51" t="n"/>
      <c r="X2472" s="156" t="inlineStr">
        <is>
          <t>https://cdn.shopify.com/s/files/1/0888/3250/8267/files/SFSKYL-7540-22-64_1.png?v=1759516457</t>
        </is>
      </c>
      <c r="Y2472" s="54" t="n"/>
      <c r="Z2472" s="54" t="n">
        <v>6724.14</v>
      </c>
      <c r="AA2472" s="55">
        <f>IF(AND(A2472="", B2472="", E2472=""), "", IF(AB2472="", "Válido", IF((LEN(AB2472)-LEN(SUBSTITUTE(AB2472,"; ","")))/2+1&gt;(LEN(AB2472)-LEN(SUBSTITUTE(AB2472,"[Aviso]","")))/7, "Con Incidencias", "Válido")))</f>
        <v/>
      </c>
      <c r="AB2472" s="56">
        <f>IF(AND(A2472="", B2472="", E2472=""), "", TEXTJOIN("; ", TRUE, IF(OR(TRIM(A2472&amp;"")="", ISNUMBER(SEARCH("FALTA", A2472))), "UPC faltante/inválido", ""), IF(AND(A2472&lt;&gt;"", IFERROR(_xlfn.XMATCH(A2472,$A$2:$A$2509,0,1)&lt;&gt;_xlfn.XMATCH(A2472,$A$2:$A$2509,0,-1),FALSE)), "Código de barras duplicado", ""), IF(AND(E2472&lt;&gt;"", COUNTIF($E$2:$E$2509, E2472)&gt;1), "SKU duplicado", ""), IF(OR(J2472="", J2472=""), "[Aviso] División no capturada ()", IF(ISNA(MATCH(J2472, Criterios!$A$123:$A$126, 0)), "División no válida", "")), IF(OR(K2472="", K2472=""), "[Aviso] Categoría no capturada ()", IF(ISNA(MATCH(K2472, Criterios!$A$81:$A$120, 0)), "Categoría no válida", IF(AND(J2472&lt;&gt;"", J2472&lt;&gt;"", J2472&lt;&gt;VLOOKUP(K2472, Criterios!$A$81:$B$120, 2, FALSE)), "División no coincide con Categoría", ""))), IF(OR(L2472="", L2472=""), "[Aviso] Género no capturado ()", IF(ISNA(MATCH(L2472, Criterios!$B$123:$B$127, 0)), "Género no válido", "")), IF(OR(N2472="", N2472=""), "[Aviso] Temporada no capturada ()", IF(ISNA(MATCH(N2472, Criterios!$C$123:$C$128, 0)), "Temporada no válida", "")), IF(OR(O2472="", O2472=""), "[Aviso] Ciclo de vida no capturado ()", IF(ISNA(MATCH(O2472, Criterios!$D$123:$D$124, 0)), "Ciclo de vida no válido", ""))))</f>
        <v/>
      </c>
      <c r="AC2472" s="56" t="n"/>
      <c r="AD2472" s="51" t="n"/>
      <c r="AE2472" s="156" t="n"/>
      <c r="AF2472" s="51" t="n"/>
      <c r="AG2472" s="156" t="inlineStr">
        <is>
          <t>Nuevo – Shopify Stetson México 01/10/2026</t>
        </is>
      </c>
      <c r="AH2472"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2" s="156" t="n"/>
      <c r="AJ2472" s="156" t="n"/>
      <c r="AK2472" s="155" t="inlineStr">
        <is>
          <t>Shopify Stetson: producto 14786559836523 / variante 53849438093675</t>
        </is>
      </c>
      <c r="AL2472" s="58" t="n"/>
      <c r="AM2472" s="58" t="n"/>
      <c r="AN2472" s="155" t="inlineStr">
        <is>
          <t>Shopify Stetson México</t>
        </is>
      </c>
      <c r="AO2472" s="59" t="n">
        <v>0</v>
      </c>
      <c r="AP2472" s="59" t="n"/>
      <c r="AQ2472" s="59" t="n"/>
      <c r="AR2472" s="155" t="n"/>
    </row>
    <row r="2473">
      <c r="A2473" s="50" t="n"/>
      <c r="B2473" s="51" t="n"/>
      <c r="C2473" s="156" t="inlineStr">
        <is>
          <t>Stetson</t>
        </is>
      </c>
      <c r="D2473" s="156" t="n"/>
      <c r="E2473" s="156" t="n"/>
      <c r="F2473" s="156" t="inlineStr">
        <is>
          <t>7</t>
        </is>
      </c>
      <c r="G2473" s="156" t="inlineStr">
        <is>
          <t>7</t>
        </is>
      </c>
      <c r="H2473" s="156" t="inlineStr">
        <is>
          <t>Stetson</t>
        </is>
      </c>
      <c r="I2473" s="156" t="inlineStr">
        <is>
          <t>Sombrero Stetson Skyline 6X Cowboy</t>
        </is>
      </c>
      <c r="J2473" s="156" t="inlineStr">
        <is>
          <t>Accesorios</t>
        </is>
      </c>
      <c r="K2473" s="156" t="inlineStr">
        <is>
          <t>Sombreros</t>
        </is>
      </c>
      <c r="L2473" s="156" t="inlineStr">
        <is>
          <t>Unisex</t>
        </is>
      </c>
      <c r="M2473" s="156" t="inlineStr">
        <is>
          <t>Stetson</t>
        </is>
      </c>
      <c r="N2473" s="156" t="n"/>
      <c r="O2473" s="156" t="n"/>
      <c r="P2473" s="156" t="inlineStr">
        <is>
          <t>Cafe</t>
        </is>
      </c>
      <c r="Q2473" s="156" t="n"/>
      <c r="R2473" s="156" t="inlineStr">
        <is>
          <t>Copa Cattleman</t>
        </is>
      </c>
      <c r="S2473" s="156" t="n"/>
      <c r="T247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3" s="156" t="n"/>
      <c r="V2473" s="156" t="inlineStr">
        <is>
          <t>PZS</t>
        </is>
      </c>
      <c r="W2473" s="51" t="n"/>
      <c r="X2473" s="156" t="inlineStr">
        <is>
          <t>https://cdn.shopify.com/s/files/1/0888/3250/8267/files/SFSKYL-7540-22-64_1.png?v=1759516457</t>
        </is>
      </c>
      <c r="Y2473" s="54" t="n"/>
      <c r="Z2473" s="54" t="n">
        <v>6724.14</v>
      </c>
      <c r="AA2473" s="55">
        <f>IF(AND(A2473="", B2473="", E2473=""), "", IF(AB2473="", "Válido", IF((LEN(AB2473)-LEN(SUBSTITUTE(AB2473,"; ","")))/2+1&gt;(LEN(AB2473)-LEN(SUBSTITUTE(AB2473,"[Aviso]","")))/7, "Con Incidencias", "Válido")))</f>
        <v/>
      </c>
      <c r="AB2473" s="56">
        <f>IF(AND(A2473="", B2473="", E2473=""), "", TEXTJOIN("; ", TRUE, IF(OR(TRIM(A2473&amp;"")="", ISNUMBER(SEARCH("FALTA", A2473))), "UPC faltante/inválido", ""), IF(AND(A2473&lt;&gt;"", IFERROR(_xlfn.XMATCH(A2473,$A$2:$A$2509,0,1)&lt;&gt;_xlfn.XMATCH(A2473,$A$2:$A$2509,0,-1),FALSE)), "Código de barras duplicado", ""), IF(AND(E2473&lt;&gt;"", COUNTIF($E$2:$E$2509, E2473)&gt;1), "SKU duplicado", ""), IF(OR(J2473="", J2473=""), "[Aviso] División no capturada ()", IF(ISNA(MATCH(J2473, Criterios!$A$123:$A$126, 0)), "División no válida", "")), IF(OR(K2473="", K2473=""), "[Aviso] Categoría no capturada ()", IF(ISNA(MATCH(K2473, Criterios!$A$81:$A$120, 0)), "Categoría no válida", IF(AND(J2473&lt;&gt;"", J2473&lt;&gt;"", J2473&lt;&gt;VLOOKUP(K2473, Criterios!$A$81:$B$120, 2, FALSE)), "División no coincide con Categoría", ""))), IF(OR(L2473="", L2473=""), "[Aviso] Género no capturado ()", IF(ISNA(MATCH(L2473, Criterios!$B$123:$B$127, 0)), "Género no válido", "")), IF(OR(N2473="", N2473=""), "[Aviso] Temporada no capturada ()", IF(ISNA(MATCH(N2473, Criterios!$C$123:$C$128, 0)), "Temporada no válida", "")), IF(OR(O2473="", O2473=""), "[Aviso] Ciclo de vida no capturado ()", IF(ISNA(MATCH(O2473, Criterios!$D$123:$D$124, 0)), "Ciclo de vida no válido", ""))))</f>
        <v/>
      </c>
      <c r="AC2473" s="56" t="n"/>
      <c r="AD2473" s="51" t="n"/>
      <c r="AE2473" s="156" t="n"/>
      <c r="AF2473" s="51" t="n"/>
      <c r="AG2473" s="156" t="inlineStr">
        <is>
          <t>Nuevo – Shopify Stetson México 01/10/2026</t>
        </is>
      </c>
      <c r="AH2473"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3" s="156" t="n"/>
      <c r="AJ2473" s="156" t="n"/>
      <c r="AK2473" s="155" t="inlineStr">
        <is>
          <t>Shopify Stetson: producto 14786559836523 / variante 53849438126443</t>
        </is>
      </c>
      <c r="AL2473" s="58" t="n"/>
      <c r="AM2473" s="58" t="n"/>
      <c r="AN2473" s="155" t="inlineStr">
        <is>
          <t>Shopify Stetson México</t>
        </is>
      </c>
      <c r="AO2473" s="59" t="n">
        <v>0</v>
      </c>
      <c r="AP2473" s="59" t="n"/>
      <c r="AQ2473" s="59" t="n"/>
      <c r="AR2473" s="155" t="n"/>
    </row>
    <row r="2474">
      <c r="A2474" s="50" t="n"/>
      <c r="B2474" s="51" t="n"/>
      <c r="C2474" s="156" t="inlineStr">
        <is>
          <t>Stetson</t>
        </is>
      </c>
      <c r="D2474" s="156" t="n"/>
      <c r="E2474" s="156" t="n"/>
      <c r="F2474" s="156" t="inlineStr">
        <is>
          <t>7 1/8</t>
        </is>
      </c>
      <c r="G2474" s="156" t="inlineStr">
        <is>
          <t>7 1/8</t>
        </is>
      </c>
      <c r="H2474" s="156" t="inlineStr">
        <is>
          <t>Stetson</t>
        </is>
      </c>
      <c r="I2474" s="156" t="inlineStr">
        <is>
          <t>Sombrero Stetson Skyline 6X Cowboy</t>
        </is>
      </c>
      <c r="J2474" s="156" t="inlineStr">
        <is>
          <t>Accesorios</t>
        </is>
      </c>
      <c r="K2474" s="156" t="inlineStr">
        <is>
          <t>Sombreros</t>
        </is>
      </c>
      <c r="L2474" s="156" t="inlineStr">
        <is>
          <t>Unisex</t>
        </is>
      </c>
      <c r="M2474" s="156" t="inlineStr">
        <is>
          <t>Stetson</t>
        </is>
      </c>
      <c r="N2474" s="156" t="n"/>
      <c r="O2474" s="156" t="n"/>
      <c r="P2474" s="156" t="inlineStr">
        <is>
          <t>Cafe</t>
        </is>
      </c>
      <c r="Q2474" s="156" t="n"/>
      <c r="R2474" s="156" t="inlineStr">
        <is>
          <t>Copa Cattleman</t>
        </is>
      </c>
      <c r="S2474" s="156" t="n"/>
      <c r="T247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4" s="156" t="n"/>
      <c r="V2474" s="156" t="inlineStr">
        <is>
          <t>PZS</t>
        </is>
      </c>
      <c r="W2474" s="51" t="n"/>
      <c r="X2474" s="156" t="inlineStr">
        <is>
          <t>https://cdn.shopify.com/s/files/1/0888/3250/8267/files/SFSKYL-7540-22-64_1.png?v=1759516457</t>
        </is>
      </c>
      <c r="Y2474" s="54" t="n"/>
      <c r="Z2474" s="54" t="n">
        <v>6724.14</v>
      </c>
      <c r="AA2474" s="55">
        <f>IF(AND(A2474="", B2474="", E2474=""), "", IF(AB2474="", "Válido", IF((LEN(AB2474)-LEN(SUBSTITUTE(AB2474,"; ","")))/2+1&gt;(LEN(AB2474)-LEN(SUBSTITUTE(AB2474,"[Aviso]","")))/7, "Con Incidencias", "Válido")))</f>
        <v/>
      </c>
      <c r="AB2474" s="56">
        <f>IF(AND(A2474="", B2474="", E2474=""), "", TEXTJOIN("; ", TRUE, IF(OR(TRIM(A2474&amp;"")="", ISNUMBER(SEARCH("FALTA", A2474))), "UPC faltante/inválido", ""), IF(AND(A2474&lt;&gt;"", IFERROR(_xlfn.XMATCH(A2474,$A$2:$A$2509,0,1)&lt;&gt;_xlfn.XMATCH(A2474,$A$2:$A$2509,0,-1),FALSE)), "Código de barras duplicado", ""), IF(AND(E2474&lt;&gt;"", COUNTIF($E$2:$E$2509, E2474)&gt;1), "SKU duplicado", ""), IF(OR(J2474="", J2474=""), "[Aviso] División no capturada ()", IF(ISNA(MATCH(J2474, Criterios!$A$123:$A$126, 0)), "División no válida", "")), IF(OR(K2474="", K2474=""), "[Aviso] Categoría no capturada ()", IF(ISNA(MATCH(K2474, Criterios!$A$81:$A$120, 0)), "Categoría no válida", IF(AND(J2474&lt;&gt;"", J2474&lt;&gt;"", J2474&lt;&gt;VLOOKUP(K2474, Criterios!$A$81:$B$120, 2, FALSE)), "División no coincide con Categoría", ""))), IF(OR(L2474="", L2474=""), "[Aviso] Género no capturado ()", IF(ISNA(MATCH(L2474, Criterios!$B$123:$B$127, 0)), "Género no válido", "")), IF(OR(N2474="", N2474=""), "[Aviso] Temporada no capturada ()", IF(ISNA(MATCH(N2474, Criterios!$C$123:$C$128, 0)), "Temporada no válida", "")), IF(OR(O2474="", O2474=""), "[Aviso] Ciclo de vida no capturado ()", IF(ISNA(MATCH(O2474, Criterios!$D$123:$D$124, 0)), "Ciclo de vida no válido", ""))))</f>
        <v/>
      </c>
      <c r="AC2474" s="56" t="n"/>
      <c r="AD2474" s="51" t="n"/>
      <c r="AE2474" s="156" t="n"/>
      <c r="AF2474" s="51" t="n"/>
      <c r="AG2474" s="156" t="inlineStr">
        <is>
          <t>Nuevo – Shopify Stetson México 01/10/2026</t>
        </is>
      </c>
      <c r="AH2474"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4" s="156" t="n"/>
      <c r="AJ2474" s="156" t="n"/>
      <c r="AK2474" s="155" t="inlineStr">
        <is>
          <t>Shopify Stetson: producto 14786559836523 / variante 53849438159211</t>
        </is>
      </c>
      <c r="AL2474" s="58" t="n"/>
      <c r="AM2474" s="58" t="n"/>
      <c r="AN2474" s="155" t="inlineStr">
        <is>
          <t>Shopify Stetson México</t>
        </is>
      </c>
      <c r="AO2474" s="59" t="n">
        <v>0</v>
      </c>
      <c r="AP2474" s="59" t="n"/>
      <c r="AQ2474" s="59" t="n"/>
      <c r="AR2474" s="155" t="n"/>
    </row>
    <row r="2475">
      <c r="A2475" s="50" t="n"/>
      <c r="B2475" s="51" t="n"/>
      <c r="C2475" s="156" t="inlineStr">
        <is>
          <t>Stetson</t>
        </is>
      </c>
      <c r="D2475" s="156" t="n"/>
      <c r="E2475" s="156" t="n"/>
      <c r="F2475" s="156" t="inlineStr">
        <is>
          <t>7 1/4</t>
        </is>
      </c>
      <c r="G2475" s="156" t="inlineStr">
        <is>
          <t>7 1/4</t>
        </is>
      </c>
      <c r="H2475" s="156" t="inlineStr">
        <is>
          <t>Stetson</t>
        </is>
      </c>
      <c r="I2475" s="156" t="inlineStr">
        <is>
          <t>Sombrero Stetson Skyline 6X Cowboy</t>
        </is>
      </c>
      <c r="J2475" s="156" t="inlineStr">
        <is>
          <t>Accesorios</t>
        </is>
      </c>
      <c r="K2475" s="156" t="inlineStr">
        <is>
          <t>Sombreros</t>
        </is>
      </c>
      <c r="L2475" s="156" t="inlineStr">
        <is>
          <t>Unisex</t>
        </is>
      </c>
      <c r="M2475" s="156" t="inlineStr">
        <is>
          <t>Stetson</t>
        </is>
      </c>
      <c r="N2475" s="156" t="n"/>
      <c r="O2475" s="156" t="n"/>
      <c r="P2475" s="156" t="inlineStr">
        <is>
          <t>Cafe</t>
        </is>
      </c>
      <c r="Q2475" s="156" t="n"/>
      <c r="R2475" s="156" t="inlineStr">
        <is>
          <t>Copa Cattleman</t>
        </is>
      </c>
      <c r="S2475" s="156" t="n"/>
      <c r="T247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5" s="156" t="n"/>
      <c r="V2475" s="156" t="inlineStr">
        <is>
          <t>PZS</t>
        </is>
      </c>
      <c r="W2475" s="51" t="n"/>
      <c r="X2475" s="156" t="inlineStr">
        <is>
          <t>https://cdn.shopify.com/s/files/1/0888/3250/8267/files/SFSKYL-7540-22-64_1.png?v=1759516457</t>
        </is>
      </c>
      <c r="Y2475" s="54" t="n"/>
      <c r="Z2475" s="54" t="n">
        <v>6724.14</v>
      </c>
      <c r="AA2475" s="55">
        <f>IF(AND(A2475="", B2475="", E2475=""), "", IF(AB2475="", "Válido", IF((LEN(AB2475)-LEN(SUBSTITUTE(AB2475,"; ","")))/2+1&gt;(LEN(AB2475)-LEN(SUBSTITUTE(AB2475,"[Aviso]","")))/7, "Con Incidencias", "Válido")))</f>
        <v/>
      </c>
      <c r="AB2475" s="56">
        <f>IF(AND(A2475="", B2475="", E2475=""), "", TEXTJOIN("; ", TRUE, IF(OR(TRIM(A2475&amp;"")="", ISNUMBER(SEARCH("FALTA", A2475))), "UPC faltante/inválido", ""), IF(AND(A2475&lt;&gt;"", IFERROR(_xlfn.XMATCH(A2475,$A$2:$A$2509,0,1)&lt;&gt;_xlfn.XMATCH(A2475,$A$2:$A$2509,0,-1),FALSE)), "Código de barras duplicado", ""), IF(AND(E2475&lt;&gt;"", COUNTIF($E$2:$E$2509, E2475)&gt;1), "SKU duplicado", ""), IF(OR(J2475="", J2475=""), "[Aviso] División no capturada ()", IF(ISNA(MATCH(J2475, Criterios!$A$123:$A$126, 0)), "División no válida", "")), IF(OR(K2475="", K2475=""), "[Aviso] Categoría no capturada ()", IF(ISNA(MATCH(K2475, Criterios!$A$81:$A$120, 0)), "Categoría no válida", IF(AND(J2475&lt;&gt;"", J2475&lt;&gt;"", J2475&lt;&gt;VLOOKUP(K2475, Criterios!$A$81:$B$120, 2, FALSE)), "División no coincide con Categoría", ""))), IF(OR(L2475="", L2475=""), "[Aviso] Género no capturado ()", IF(ISNA(MATCH(L2475, Criterios!$B$123:$B$127, 0)), "Género no válido", "")), IF(OR(N2475="", N2475=""), "[Aviso] Temporada no capturada ()", IF(ISNA(MATCH(N2475, Criterios!$C$123:$C$128, 0)), "Temporada no válida", "")), IF(OR(O2475="", O2475=""), "[Aviso] Ciclo de vida no capturado ()", IF(ISNA(MATCH(O2475, Criterios!$D$123:$D$124, 0)), "Ciclo de vida no válido", ""))))</f>
        <v/>
      </c>
      <c r="AC2475" s="56" t="n"/>
      <c r="AD2475" s="51" t="n"/>
      <c r="AE2475" s="156" t="n"/>
      <c r="AF2475" s="51" t="n"/>
      <c r="AG2475" s="156" t="inlineStr">
        <is>
          <t>Nuevo – Shopify Stetson México 01/10/2026</t>
        </is>
      </c>
      <c r="AH2475"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5" s="156" t="n"/>
      <c r="AJ2475" s="156" t="n"/>
      <c r="AK2475" s="155" t="inlineStr">
        <is>
          <t>Shopify Stetson: producto 14786559836523 / variante 53849438191979</t>
        </is>
      </c>
      <c r="AL2475" s="58" t="n"/>
      <c r="AM2475" s="58" t="n"/>
      <c r="AN2475" s="155" t="inlineStr">
        <is>
          <t>Shopify Stetson México</t>
        </is>
      </c>
      <c r="AO2475" s="59" t="n">
        <v>0</v>
      </c>
      <c r="AP2475" s="59" t="n"/>
      <c r="AQ2475" s="59" t="n"/>
      <c r="AR2475" s="155" t="n"/>
    </row>
    <row r="2476">
      <c r="A2476" s="50" t="n"/>
      <c r="B2476" s="51" t="n"/>
      <c r="C2476" s="156" t="inlineStr">
        <is>
          <t>Stetson</t>
        </is>
      </c>
      <c r="D2476" s="156" t="n"/>
      <c r="E2476" s="156" t="n"/>
      <c r="F2476" s="156" t="inlineStr">
        <is>
          <t>7 3/8</t>
        </is>
      </c>
      <c r="G2476" s="156" t="inlineStr">
        <is>
          <t>7 3/8</t>
        </is>
      </c>
      <c r="H2476" s="156" t="inlineStr">
        <is>
          <t>Stetson</t>
        </is>
      </c>
      <c r="I2476" s="156" t="inlineStr">
        <is>
          <t>Sombrero Stetson Skyline 6X Cowboy</t>
        </is>
      </c>
      <c r="J2476" s="156" t="inlineStr">
        <is>
          <t>Accesorios</t>
        </is>
      </c>
      <c r="K2476" s="156" t="inlineStr">
        <is>
          <t>Sombreros</t>
        </is>
      </c>
      <c r="L2476" s="156" t="inlineStr">
        <is>
          <t>Unisex</t>
        </is>
      </c>
      <c r="M2476" s="156" t="inlineStr">
        <is>
          <t>Stetson</t>
        </is>
      </c>
      <c r="N2476" s="156" t="n"/>
      <c r="O2476" s="156" t="n"/>
      <c r="P2476" s="156" t="inlineStr">
        <is>
          <t>Cafe</t>
        </is>
      </c>
      <c r="Q2476" s="156" t="n"/>
      <c r="R2476" s="156" t="inlineStr">
        <is>
          <t>Copa Cattleman</t>
        </is>
      </c>
      <c r="S2476" s="156" t="n"/>
      <c r="T247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6" s="156" t="n"/>
      <c r="V2476" s="156" t="inlineStr">
        <is>
          <t>PZS</t>
        </is>
      </c>
      <c r="W2476" s="51" t="n"/>
      <c r="X2476" s="156" t="inlineStr">
        <is>
          <t>https://cdn.shopify.com/s/files/1/0888/3250/8267/files/SFSKYL-7540-22-64_1.png?v=1759516457</t>
        </is>
      </c>
      <c r="Y2476" s="54" t="n"/>
      <c r="Z2476" s="54" t="n">
        <v>6724.14</v>
      </c>
      <c r="AA2476" s="55">
        <f>IF(AND(A2476="", B2476="", E2476=""), "", IF(AB2476="", "Válido", IF((LEN(AB2476)-LEN(SUBSTITUTE(AB2476,"; ","")))/2+1&gt;(LEN(AB2476)-LEN(SUBSTITUTE(AB2476,"[Aviso]","")))/7, "Con Incidencias", "Válido")))</f>
        <v/>
      </c>
      <c r="AB2476" s="56">
        <f>IF(AND(A2476="", B2476="", E2476=""), "", TEXTJOIN("; ", TRUE, IF(OR(TRIM(A2476&amp;"")="", ISNUMBER(SEARCH("FALTA", A2476))), "UPC faltante/inválido", ""), IF(AND(A2476&lt;&gt;"", IFERROR(_xlfn.XMATCH(A2476,$A$2:$A$2509,0,1)&lt;&gt;_xlfn.XMATCH(A2476,$A$2:$A$2509,0,-1),FALSE)), "Código de barras duplicado", ""), IF(AND(E2476&lt;&gt;"", COUNTIF($E$2:$E$2509, E2476)&gt;1), "SKU duplicado", ""), IF(OR(J2476="", J2476=""), "[Aviso] División no capturada ()", IF(ISNA(MATCH(J2476, Criterios!$A$123:$A$126, 0)), "División no válida", "")), IF(OR(K2476="", K2476=""), "[Aviso] Categoría no capturada ()", IF(ISNA(MATCH(K2476, Criterios!$A$81:$A$120, 0)), "Categoría no válida", IF(AND(J2476&lt;&gt;"", J2476&lt;&gt;"", J2476&lt;&gt;VLOOKUP(K2476, Criterios!$A$81:$B$120, 2, FALSE)), "División no coincide con Categoría", ""))), IF(OR(L2476="", L2476=""), "[Aviso] Género no capturado ()", IF(ISNA(MATCH(L2476, Criterios!$B$123:$B$127, 0)), "Género no válido", "")), IF(OR(N2476="", N2476=""), "[Aviso] Temporada no capturada ()", IF(ISNA(MATCH(N2476, Criterios!$C$123:$C$128, 0)), "Temporada no válida", "")), IF(OR(O2476="", O2476=""), "[Aviso] Ciclo de vida no capturado ()", IF(ISNA(MATCH(O2476, Criterios!$D$123:$D$124, 0)), "Ciclo de vida no válido", ""))))</f>
        <v/>
      </c>
      <c r="AC2476" s="56" t="n"/>
      <c r="AD2476" s="51" t="n"/>
      <c r="AE2476" s="156" t="n"/>
      <c r="AF2476" s="51" t="n"/>
      <c r="AG2476" s="156" t="inlineStr">
        <is>
          <t>Nuevo – Shopify Stetson México 01/10/2026</t>
        </is>
      </c>
      <c r="AH2476"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6" s="156" t="n"/>
      <c r="AJ2476" s="156" t="n"/>
      <c r="AK2476" s="155" t="inlineStr">
        <is>
          <t>Shopify Stetson: producto 14786559836523 / variante 53849438224747</t>
        </is>
      </c>
      <c r="AL2476" s="58" t="n"/>
      <c r="AM2476" s="58" t="n"/>
      <c r="AN2476" s="155" t="inlineStr">
        <is>
          <t>Shopify Stetson México</t>
        </is>
      </c>
      <c r="AO2476" s="59" t="n">
        <v>0</v>
      </c>
      <c r="AP2476" s="59" t="n"/>
      <c r="AQ2476" s="59" t="n"/>
      <c r="AR2476" s="155" t="n"/>
    </row>
    <row r="2477">
      <c r="A2477" s="50" t="n"/>
      <c r="B2477" s="51" t="n"/>
      <c r="C2477" s="156" t="inlineStr">
        <is>
          <t>Stetson</t>
        </is>
      </c>
      <c r="D2477" s="156" t="n"/>
      <c r="E2477" s="156" t="n"/>
      <c r="F2477" s="156" t="inlineStr">
        <is>
          <t>7 1/2</t>
        </is>
      </c>
      <c r="G2477" s="156" t="inlineStr">
        <is>
          <t>7 1/2</t>
        </is>
      </c>
      <c r="H2477" s="156" t="inlineStr">
        <is>
          <t>Stetson</t>
        </is>
      </c>
      <c r="I2477" s="156" t="inlineStr">
        <is>
          <t>Sombrero Stetson Skyline 6X Cowboy</t>
        </is>
      </c>
      <c r="J2477" s="156" t="inlineStr">
        <is>
          <t>Accesorios</t>
        </is>
      </c>
      <c r="K2477" s="156" t="inlineStr">
        <is>
          <t>Sombreros</t>
        </is>
      </c>
      <c r="L2477" s="156" t="inlineStr">
        <is>
          <t>Unisex</t>
        </is>
      </c>
      <c r="M2477" s="156" t="inlineStr">
        <is>
          <t>Stetson</t>
        </is>
      </c>
      <c r="N2477" s="156" t="n"/>
      <c r="O2477" s="156" t="n"/>
      <c r="P2477" s="156" t="inlineStr">
        <is>
          <t>Cafe</t>
        </is>
      </c>
      <c r="Q2477" s="156" t="n"/>
      <c r="R2477" s="156" t="inlineStr">
        <is>
          <t>Copa Cattleman</t>
        </is>
      </c>
      <c r="S2477" s="156" t="n"/>
      <c r="T247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7" s="156" t="n"/>
      <c r="V2477" s="156" t="inlineStr">
        <is>
          <t>PZS</t>
        </is>
      </c>
      <c r="W2477" s="51" t="n"/>
      <c r="X2477" s="156" t="inlineStr">
        <is>
          <t>https://cdn.shopify.com/s/files/1/0888/3250/8267/files/SFSKYL-7540-22-64_1.png?v=1759516457</t>
        </is>
      </c>
      <c r="Y2477" s="54" t="n"/>
      <c r="Z2477" s="54" t="n">
        <v>6724.14</v>
      </c>
      <c r="AA2477" s="55">
        <f>IF(AND(A2477="", B2477="", E2477=""), "", IF(AB2477="", "Válido", IF((LEN(AB2477)-LEN(SUBSTITUTE(AB2477,"; ","")))/2+1&gt;(LEN(AB2477)-LEN(SUBSTITUTE(AB2477,"[Aviso]","")))/7, "Con Incidencias", "Válido")))</f>
        <v/>
      </c>
      <c r="AB2477" s="56">
        <f>IF(AND(A2477="", B2477="", E2477=""), "", TEXTJOIN("; ", TRUE, IF(OR(TRIM(A2477&amp;"")="", ISNUMBER(SEARCH("FALTA", A2477))), "UPC faltante/inválido", ""), IF(AND(A2477&lt;&gt;"", IFERROR(_xlfn.XMATCH(A2477,$A$2:$A$2509,0,1)&lt;&gt;_xlfn.XMATCH(A2477,$A$2:$A$2509,0,-1),FALSE)), "Código de barras duplicado", ""), IF(AND(E2477&lt;&gt;"", COUNTIF($E$2:$E$2509, E2477)&gt;1), "SKU duplicado", ""), IF(OR(J2477="", J2477=""), "[Aviso] División no capturada ()", IF(ISNA(MATCH(J2477, Criterios!$A$123:$A$126, 0)), "División no válida", "")), IF(OR(K2477="", K2477=""), "[Aviso] Categoría no capturada ()", IF(ISNA(MATCH(K2477, Criterios!$A$81:$A$120, 0)), "Categoría no válida", IF(AND(J2477&lt;&gt;"", J2477&lt;&gt;"", J2477&lt;&gt;VLOOKUP(K2477, Criterios!$A$81:$B$120, 2, FALSE)), "División no coincide con Categoría", ""))), IF(OR(L2477="", L2477=""), "[Aviso] Género no capturado ()", IF(ISNA(MATCH(L2477, Criterios!$B$123:$B$127, 0)), "Género no válido", "")), IF(OR(N2477="", N2477=""), "[Aviso] Temporada no capturada ()", IF(ISNA(MATCH(N2477, Criterios!$C$123:$C$128, 0)), "Temporada no válida", "")), IF(OR(O2477="", O2477=""), "[Aviso] Ciclo de vida no capturado ()", IF(ISNA(MATCH(O2477, Criterios!$D$123:$D$124, 0)), "Ciclo de vida no válido", ""))))</f>
        <v/>
      </c>
      <c r="AC2477" s="56" t="n"/>
      <c r="AD2477" s="51" t="n"/>
      <c r="AE2477" s="156" t="n"/>
      <c r="AF2477" s="51" t="n"/>
      <c r="AG2477" s="156" t="inlineStr">
        <is>
          <t>Nuevo – Shopify Stetson México 01/10/2026</t>
        </is>
      </c>
      <c r="AH2477"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7" s="156" t="n"/>
      <c r="AJ2477" s="156" t="n"/>
      <c r="AK2477" s="155" t="inlineStr">
        <is>
          <t>Shopify Stetson: producto 14786559836523 / variante 53849438257515</t>
        </is>
      </c>
      <c r="AL2477" s="58" t="n"/>
      <c r="AM2477" s="58" t="n"/>
      <c r="AN2477" s="155" t="inlineStr">
        <is>
          <t>Shopify Stetson México</t>
        </is>
      </c>
      <c r="AO2477" s="59" t="n">
        <v>0</v>
      </c>
      <c r="AP2477" s="59" t="n"/>
      <c r="AQ2477" s="59" t="n"/>
      <c r="AR2477" s="155" t="n"/>
    </row>
    <row r="2478">
      <c r="A2478" s="50" t="n"/>
      <c r="B2478" s="51" t="n"/>
      <c r="C2478" s="156" t="inlineStr">
        <is>
          <t>Stetson</t>
        </is>
      </c>
      <c r="D2478" s="156" t="n"/>
      <c r="E2478" s="156" t="n"/>
      <c r="F2478" s="156" t="inlineStr">
        <is>
          <t>6 7/8</t>
        </is>
      </c>
      <c r="G2478" s="156" t="inlineStr">
        <is>
          <t>6 7/8</t>
        </is>
      </c>
      <c r="H2478" s="156" t="inlineStr">
        <is>
          <t>Stetson</t>
        </is>
      </c>
      <c r="I2478" s="156" t="inlineStr">
        <is>
          <t>Sombrero Stetson Skyline 6X Cowboy</t>
        </is>
      </c>
      <c r="J2478" s="156" t="inlineStr">
        <is>
          <t>Accesorios</t>
        </is>
      </c>
      <c r="K2478" s="156" t="inlineStr">
        <is>
          <t>Sombreros</t>
        </is>
      </c>
      <c r="L2478" s="156" t="inlineStr">
        <is>
          <t>Unisex</t>
        </is>
      </c>
      <c r="M2478" s="156" t="inlineStr">
        <is>
          <t>Stetson</t>
        </is>
      </c>
      <c r="N2478" s="156" t="n"/>
      <c r="O2478" s="156" t="n"/>
      <c r="P2478" s="156" t="inlineStr">
        <is>
          <t>Varios</t>
        </is>
      </c>
      <c r="Q2478" s="156" t="n"/>
      <c r="R2478" s="156" t="inlineStr">
        <is>
          <t>Copa Cattleman</t>
        </is>
      </c>
      <c r="S2478" s="156" t="n"/>
      <c r="T247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8" s="156" t="n"/>
      <c r="V2478" s="156" t="inlineStr">
        <is>
          <t>PZS</t>
        </is>
      </c>
      <c r="W2478" s="51" t="n"/>
      <c r="X2478" s="156" t="inlineStr">
        <is>
          <t>https://cdn.shopify.com/s/files/1/0888/3250/8267/files/SFSKYL-7540-E5-64_1.png?v=1759518014</t>
        </is>
      </c>
      <c r="Y2478" s="54" t="n"/>
      <c r="Z2478" s="54" t="n">
        <v>6724.14</v>
      </c>
      <c r="AA2478" s="55">
        <f>IF(AND(A2478="", B2478="", E2478=""), "", IF(AB2478="", "Válido", IF((LEN(AB2478)-LEN(SUBSTITUTE(AB2478,"; ","")))/2+1&gt;(LEN(AB2478)-LEN(SUBSTITUTE(AB2478,"[Aviso]","")))/7, "Con Incidencias", "Válido")))</f>
        <v/>
      </c>
      <c r="AB2478" s="56">
        <f>IF(AND(A2478="", B2478="", E2478=""), "", TEXTJOIN("; ", TRUE, IF(OR(TRIM(A2478&amp;"")="", ISNUMBER(SEARCH("FALTA", A2478))), "UPC faltante/inválido", ""), IF(AND(A2478&lt;&gt;"", IFERROR(_xlfn.XMATCH(A2478,$A$2:$A$2509,0,1)&lt;&gt;_xlfn.XMATCH(A2478,$A$2:$A$2509,0,-1),FALSE)), "Código de barras duplicado", ""), IF(AND(E2478&lt;&gt;"", COUNTIF($E$2:$E$2509, E2478)&gt;1), "SKU duplicado", ""), IF(OR(J2478="", J2478=""), "[Aviso] División no capturada ()", IF(ISNA(MATCH(J2478, Criterios!$A$123:$A$126, 0)), "División no válida", "")), IF(OR(K2478="", K2478=""), "[Aviso] Categoría no capturada ()", IF(ISNA(MATCH(K2478, Criterios!$A$81:$A$120, 0)), "Categoría no válida", IF(AND(J2478&lt;&gt;"", J2478&lt;&gt;"", J2478&lt;&gt;VLOOKUP(K2478, Criterios!$A$81:$B$120, 2, FALSE)), "División no coincide con Categoría", ""))), IF(OR(L2478="", L2478=""), "[Aviso] Género no capturado ()", IF(ISNA(MATCH(L2478, Criterios!$B$123:$B$127, 0)), "Género no válido", "")), IF(OR(N2478="", N2478=""), "[Aviso] Temporada no capturada ()", IF(ISNA(MATCH(N2478, Criterios!$C$123:$C$128, 0)), "Temporada no válida", "")), IF(OR(O2478="", O2478=""), "[Aviso] Ciclo de vida no capturado ()", IF(ISNA(MATCH(O2478, Criterios!$D$123:$D$124, 0)), "Ciclo de vida no válido", ""))))</f>
        <v/>
      </c>
      <c r="AC2478" s="56" t="n"/>
      <c r="AD2478" s="51" t="n"/>
      <c r="AE2478" s="156" t="n"/>
      <c r="AF2478" s="51" t="n"/>
      <c r="AG2478" s="156" t="inlineStr">
        <is>
          <t>Nuevo – Shopify Stetson México 01/10/2026</t>
        </is>
      </c>
      <c r="AH2478"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78" s="156" t="n"/>
      <c r="AJ2478" s="156" t="n"/>
      <c r="AK2478" s="155" t="inlineStr">
        <is>
          <t>Shopify Stetson: producto 14786559836523 / variante 53849438486891 | Shopify Stetson: producto 14786559836523 / variante 53849467519339</t>
        </is>
      </c>
      <c r="AL2478" s="58" t="n"/>
      <c r="AM2478" s="58" t="n"/>
      <c r="AN2478" s="155" t="inlineStr">
        <is>
          <t>Shopify Stetson México</t>
        </is>
      </c>
      <c r="AO2478" s="59" t="n">
        <v>0</v>
      </c>
      <c r="AP2478" s="59" t="n"/>
      <c r="AQ2478" s="59" t="n"/>
      <c r="AR2478" s="155" t="n"/>
    </row>
    <row r="2479">
      <c r="A2479" s="50" t="n"/>
      <c r="B2479" s="51" t="n"/>
      <c r="C2479" s="156" t="inlineStr">
        <is>
          <t>Stetson</t>
        </is>
      </c>
      <c r="D2479" s="156" t="n"/>
      <c r="E2479" s="156" t="n"/>
      <c r="F2479" s="156" t="inlineStr">
        <is>
          <t>7</t>
        </is>
      </c>
      <c r="G2479" s="156" t="inlineStr">
        <is>
          <t>7</t>
        </is>
      </c>
      <c r="H2479" s="156" t="inlineStr">
        <is>
          <t>Stetson</t>
        </is>
      </c>
      <c r="I2479" s="156" t="inlineStr">
        <is>
          <t>Sombrero Stetson Skyline 6X Cowboy</t>
        </is>
      </c>
      <c r="J2479" s="156" t="inlineStr">
        <is>
          <t>Accesorios</t>
        </is>
      </c>
      <c r="K2479" s="156" t="inlineStr">
        <is>
          <t>Sombreros</t>
        </is>
      </c>
      <c r="L2479" s="156" t="inlineStr">
        <is>
          <t>Unisex</t>
        </is>
      </c>
      <c r="M2479" s="156" t="inlineStr">
        <is>
          <t>Stetson</t>
        </is>
      </c>
      <c r="N2479" s="156" t="n"/>
      <c r="O2479" s="156" t="n"/>
      <c r="P2479" s="156" t="inlineStr">
        <is>
          <t>Varios</t>
        </is>
      </c>
      <c r="Q2479" s="156" t="n"/>
      <c r="R2479" s="156" t="inlineStr">
        <is>
          <t>Copa Cattleman</t>
        </is>
      </c>
      <c r="S2479" s="156" t="n"/>
      <c r="T247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9" s="156" t="n"/>
      <c r="V2479" s="156" t="inlineStr">
        <is>
          <t>PZS</t>
        </is>
      </c>
      <c r="W2479" s="51" t="n"/>
      <c r="X2479" s="156" t="inlineStr">
        <is>
          <t>https://cdn.shopify.com/s/files/1/0888/3250/8267/files/SFSKYL-7540-E5-64_1.png?v=1759518014</t>
        </is>
      </c>
      <c r="Y2479" s="54" t="n"/>
      <c r="Z2479" s="54" t="n">
        <v>6724.14</v>
      </c>
      <c r="AA2479" s="55">
        <f>IF(AND(A2479="", B2479="", E2479=""), "", IF(AB2479="", "Válido", IF((LEN(AB2479)-LEN(SUBSTITUTE(AB2479,"; ","")))/2+1&gt;(LEN(AB2479)-LEN(SUBSTITUTE(AB2479,"[Aviso]","")))/7, "Con Incidencias", "Válido")))</f>
        <v/>
      </c>
      <c r="AB2479" s="56">
        <f>IF(AND(A2479="", B2479="", E2479=""), "", TEXTJOIN("; ", TRUE, IF(OR(TRIM(A2479&amp;"")="", ISNUMBER(SEARCH("FALTA", A2479))), "UPC faltante/inválido", ""), IF(AND(A2479&lt;&gt;"", IFERROR(_xlfn.XMATCH(A2479,$A$2:$A$2509,0,1)&lt;&gt;_xlfn.XMATCH(A2479,$A$2:$A$2509,0,-1),FALSE)), "Código de barras duplicado", ""), IF(AND(E2479&lt;&gt;"", COUNTIF($E$2:$E$2509, E2479)&gt;1), "SKU duplicado", ""), IF(OR(J2479="", J2479=""), "[Aviso] División no capturada ()", IF(ISNA(MATCH(J2479, Criterios!$A$123:$A$126, 0)), "División no válida", "")), IF(OR(K2479="", K2479=""), "[Aviso] Categoría no capturada ()", IF(ISNA(MATCH(K2479, Criterios!$A$81:$A$120, 0)), "Categoría no válida", IF(AND(J2479&lt;&gt;"", J2479&lt;&gt;"", J2479&lt;&gt;VLOOKUP(K2479, Criterios!$A$81:$B$120, 2, FALSE)), "División no coincide con Categoría", ""))), IF(OR(L2479="", L2479=""), "[Aviso] Género no capturado ()", IF(ISNA(MATCH(L2479, Criterios!$B$123:$B$127, 0)), "Género no válido", "")), IF(OR(N2479="", N2479=""), "[Aviso] Temporada no capturada ()", IF(ISNA(MATCH(N2479, Criterios!$C$123:$C$128, 0)), "Temporada no válida", "")), IF(OR(O2479="", O2479=""), "[Aviso] Ciclo de vida no capturado ()", IF(ISNA(MATCH(O2479, Criterios!$D$123:$D$124, 0)), "Ciclo de vida no válido", ""))))</f>
        <v/>
      </c>
      <c r="AC2479" s="56" t="n"/>
      <c r="AD2479" s="51" t="n"/>
      <c r="AE2479" s="156" t="n"/>
      <c r="AF2479" s="51" t="n"/>
      <c r="AG2479" s="156" t="inlineStr">
        <is>
          <t>Nuevo – Shopify Stetson México 01/10/2026</t>
        </is>
      </c>
      <c r="AH2479"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79" s="156" t="n"/>
      <c r="AJ2479" s="156" t="n"/>
      <c r="AK2479" s="155" t="inlineStr">
        <is>
          <t>Shopify Stetson: producto 14786559836523 / variante 53849438519659 | Shopify Stetson: producto 14786559836523 / variante 53849467584875</t>
        </is>
      </c>
      <c r="AL2479" s="58" t="n"/>
      <c r="AM2479" s="58" t="n"/>
      <c r="AN2479" s="155" t="inlineStr">
        <is>
          <t>Shopify Stetson México</t>
        </is>
      </c>
      <c r="AO2479" s="59" t="n">
        <v>0</v>
      </c>
      <c r="AP2479" s="59" t="n"/>
      <c r="AQ2479" s="59" t="n"/>
      <c r="AR2479" s="155" t="n"/>
    </row>
    <row r="2480">
      <c r="A2480" s="50" t="n"/>
      <c r="B2480" s="51" t="n"/>
      <c r="C2480" s="156" t="inlineStr">
        <is>
          <t>Stetson</t>
        </is>
      </c>
      <c r="D2480" s="156" t="n"/>
      <c r="E2480" s="156" t="n"/>
      <c r="F2480" s="156" t="inlineStr">
        <is>
          <t>7 1/8</t>
        </is>
      </c>
      <c r="G2480" s="156" t="inlineStr">
        <is>
          <t>7 1/8</t>
        </is>
      </c>
      <c r="H2480" s="156" t="inlineStr">
        <is>
          <t>Stetson</t>
        </is>
      </c>
      <c r="I2480" s="156" t="inlineStr">
        <is>
          <t>Sombrero Stetson Skyline 6X Cowboy</t>
        </is>
      </c>
      <c r="J2480" s="156" t="inlineStr">
        <is>
          <t>Accesorios</t>
        </is>
      </c>
      <c r="K2480" s="156" t="inlineStr">
        <is>
          <t>Sombreros</t>
        </is>
      </c>
      <c r="L2480" s="156" t="inlineStr">
        <is>
          <t>Unisex</t>
        </is>
      </c>
      <c r="M2480" s="156" t="inlineStr">
        <is>
          <t>Stetson</t>
        </is>
      </c>
      <c r="N2480" s="156" t="n"/>
      <c r="O2480" s="156" t="n"/>
      <c r="P2480" s="156" t="inlineStr">
        <is>
          <t>Varios</t>
        </is>
      </c>
      <c r="Q2480" s="156" t="n"/>
      <c r="R2480" s="156" t="inlineStr">
        <is>
          <t>Copa Cattleman</t>
        </is>
      </c>
      <c r="S2480" s="156" t="n"/>
      <c r="T248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0" s="156" t="n"/>
      <c r="V2480" s="156" t="inlineStr">
        <is>
          <t>PZS</t>
        </is>
      </c>
      <c r="W2480" s="51" t="n"/>
      <c r="X2480" s="156" t="inlineStr">
        <is>
          <t>https://cdn.shopify.com/s/files/1/0888/3250/8267/files/SFSKYL-7540-E5-64_1.png?v=1759518014</t>
        </is>
      </c>
      <c r="Y2480" s="54" t="n"/>
      <c r="Z2480" s="54" t="n">
        <v>6724.14</v>
      </c>
      <c r="AA2480" s="55">
        <f>IF(AND(A2480="", B2480="", E2480=""), "", IF(AB2480="", "Válido", IF((LEN(AB2480)-LEN(SUBSTITUTE(AB2480,"; ","")))/2+1&gt;(LEN(AB2480)-LEN(SUBSTITUTE(AB2480,"[Aviso]","")))/7, "Con Incidencias", "Válido")))</f>
        <v/>
      </c>
      <c r="AB2480" s="56">
        <f>IF(AND(A2480="", B2480="", E2480=""), "", TEXTJOIN("; ", TRUE, IF(OR(TRIM(A2480&amp;"")="", ISNUMBER(SEARCH("FALTA", A2480))), "UPC faltante/inválido", ""), IF(AND(A2480&lt;&gt;"", IFERROR(_xlfn.XMATCH(A2480,$A$2:$A$2509,0,1)&lt;&gt;_xlfn.XMATCH(A2480,$A$2:$A$2509,0,-1),FALSE)), "Código de barras duplicado", ""), IF(AND(E2480&lt;&gt;"", COUNTIF($E$2:$E$2509, E2480)&gt;1), "SKU duplicado", ""), IF(OR(J2480="", J2480=""), "[Aviso] División no capturada ()", IF(ISNA(MATCH(J2480, Criterios!$A$123:$A$126, 0)), "División no válida", "")), IF(OR(K2480="", K2480=""), "[Aviso] Categoría no capturada ()", IF(ISNA(MATCH(K2480, Criterios!$A$81:$A$120, 0)), "Categoría no válida", IF(AND(J2480&lt;&gt;"", J2480&lt;&gt;"", J2480&lt;&gt;VLOOKUP(K2480, Criterios!$A$81:$B$120, 2, FALSE)), "División no coincide con Categoría", ""))), IF(OR(L2480="", L2480=""), "[Aviso] Género no capturado ()", IF(ISNA(MATCH(L2480, Criterios!$B$123:$B$127, 0)), "Género no válido", "")), IF(OR(N2480="", N2480=""), "[Aviso] Temporada no capturada ()", IF(ISNA(MATCH(N2480, Criterios!$C$123:$C$128, 0)), "Temporada no válida", "")), IF(OR(O2480="", O2480=""), "[Aviso] Ciclo de vida no capturado ()", IF(ISNA(MATCH(O2480, Criterios!$D$123:$D$124, 0)), "Ciclo de vida no válido", ""))))</f>
        <v/>
      </c>
      <c r="AC2480" s="56" t="n"/>
      <c r="AD2480" s="51" t="n"/>
      <c r="AE2480" s="156" t="n"/>
      <c r="AF2480" s="51" t="n"/>
      <c r="AG2480" s="156" t="inlineStr">
        <is>
          <t>Nuevo – Shopify Stetson México 01/10/2026</t>
        </is>
      </c>
      <c r="AH2480"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0" s="156" t="n"/>
      <c r="AJ2480" s="156" t="n"/>
      <c r="AK2480" s="155" t="inlineStr">
        <is>
          <t>Shopify Stetson: producto 14786559836523 / variante 53849438552427 | Shopify Stetson: producto 14786559836523 / variante 53849467650411</t>
        </is>
      </c>
      <c r="AL2480" s="58" t="n"/>
      <c r="AM2480" s="58" t="n"/>
      <c r="AN2480" s="155" t="inlineStr">
        <is>
          <t>Shopify Stetson México</t>
        </is>
      </c>
      <c r="AO2480" s="59" t="n">
        <v>0</v>
      </c>
      <c r="AP2480" s="59" t="n"/>
      <c r="AQ2480" s="59" t="n"/>
      <c r="AR2480" s="155" t="n"/>
    </row>
    <row r="2481">
      <c r="A2481" s="50" t="n"/>
      <c r="B2481" s="51" t="n"/>
      <c r="C2481" s="156" t="inlineStr">
        <is>
          <t>Stetson</t>
        </is>
      </c>
      <c r="D2481" s="156" t="n"/>
      <c r="E2481" s="156" t="n"/>
      <c r="F2481" s="156" t="inlineStr">
        <is>
          <t>7 1/4</t>
        </is>
      </c>
      <c r="G2481" s="156" t="inlineStr">
        <is>
          <t>7 1/4</t>
        </is>
      </c>
      <c r="H2481" s="156" t="inlineStr">
        <is>
          <t>Stetson</t>
        </is>
      </c>
      <c r="I2481" s="156" t="inlineStr">
        <is>
          <t>Sombrero Stetson Skyline 6X Cowboy</t>
        </is>
      </c>
      <c r="J2481" s="156" t="inlineStr">
        <is>
          <t>Accesorios</t>
        </is>
      </c>
      <c r="K2481" s="156" t="inlineStr">
        <is>
          <t>Sombreros</t>
        </is>
      </c>
      <c r="L2481" s="156" t="inlineStr">
        <is>
          <t>Unisex</t>
        </is>
      </c>
      <c r="M2481" s="156" t="inlineStr">
        <is>
          <t>Stetson</t>
        </is>
      </c>
      <c r="N2481" s="156" t="n"/>
      <c r="O2481" s="156" t="n"/>
      <c r="P2481" s="156" t="inlineStr">
        <is>
          <t>Varios</t>
        </is>
      </c>
      <c r="Q2481" s="156" t="n"/>
      <c r="R2481" s="156" t="inlineStr">
        <is>
          <t>Copa Cattleman</t>
        </is>
      </c>
      <c r="S2481" s="156" t="n"/>
      <c r="T248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1" s="156" t="n"/>
      <c r="V2481" s="156" t="inlineStr">
        <is>
          <t>PZS</t>
        </is>
      </c>
      <c r="W2481" s="51" t="n"/>
      <c r="X2481" s="156" t="inlineStr">
        <is>
          <t>https://cdn.shopify.com/s/files/1/0888/3250/8267/files/SFSKYL-7540-E5-64_1.png?v=1759518014</t>
        </is>
      </c>
      <c r="Y2481" s="54" t="n"/>
      <c r="Z2481" s="54" t="n">
        <v>6724.14</v>
      </c>
      <c r="AA2481" s="55">
        <f>IF(AND(A2481="", B2481="", E2481=""), "", IF(AB2481="", "Válido", IF((LEN(AB2481)-LEN(SUBSTITUTE(AB2481,"; ","")))/2+1&gt;(LEN(AB2481)-LEN(SUBSTITUTE(AB2481,"[Aviso]","")))/7, "Con Incidencias", "Válido")))</f>
        <v/>
      </c>
      <c r="AB2481" s="56">
        <f>IF(AND(A2481="", B2481="", E2481=""), "", TEXTJOIN("; ", TRUE, IF(OR(TRIM(A2481&amp;"")="", ISNUMBER(SEARCH("FALTA", A2481))), "UPC faltante/inválido", ""), IF(AND(A2481&lt;&gt;"", IFERROR(_xlfn.XMATCH(A2481,$A$2:$A$2509,0,1)&lt;&gt;_xlfn.XMATCH(A2481,$A$2:$A$2509,0,-1),FALSE)), "Código de barras duplicado", ""), IF(AND(E2481&lt;&gt;"", COUNTIF($E$2:$E$2509, E2481)&gt;1), "SKU duplicado", ""), IF(OR(J2481="", J2481=""), "[Aviso] División no capturada ()", IF(ISNA(MATCH(J2481, Criterios!$A$123:$A$126, 0)), "División no válida", "")), IF(OR(K2481="", K2481=""), "[Aviso] Categoría no capturada ()", IF(ISNA(MATCH(K2481, Criterios!$A$81:$A$120, 0)), "Categoría no válida", IF(AND(J2481&lt;&gt;"", J2481&lt;&gt;"", J2481&lt;&gt;VLOOKUP(K2481, Criterios!$A$81:$B$120, 2, FALSE)), "División no coincide con Categoría", ""))), IF(OR(L2481="", L2481=""), "[Aviso] Género no capturado ()", IF(ISNA(MATCH(L2481, Criterios!$B$123:$B$127, 0)), "Género no válido", "")), IF(OR(N2481="", N2481=""), "[Aviso] Temporada no capturada ()", IF(ISNA(MATCH(N2481, Criterios!$C$123:$C$128, 0)), "Temporada no válida", "")), IF(OR(O2481="", O2481=""), "[Aviso] Ciclo de vida no capturado ()", IF(ISNA(MATCH(O2481, Criterios!$D$123:$D$124, 0)), "Ciclo de vida no válido", ""))))</f>
        <v/>
      </c>
      <c r="AC2481" s="56" t="n"/>
      <c r="AD2481" s="51" t="n"/>
      <c r="AE2481" s="156" t="n"/>
      <c r="AF2481" s="51" t="n"/>
      <c r="AG2481" s="156" t="inlineStr">
        <is>
          <t>Nuevo – Shopify Stetson México 01/10/2026</t>
        </is>
      </c>
      <c r="AH2481"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1" s="156" t="n"/>
      <c r="AJ2481" s="156" t="n"/>
      <c r="AK2481" s="155" t="inlineStr">
        <is>
          <t>Shopify Stetson: producto 14786559836523 / variante 53849438585195 | Shopify Stetson: producto 14786559836523 / variante 53849467715947</t>
        </is>
      </c>
      <c r="AL2481" s="58" t="n"/>
      <c r="AM2481" s="58" t="n"/>
      <c r="AN2481" s="155" t="inlineStr">
        <is>
          <t>Shopify Stetson México</t>
        </is>
      </c>
      <c r="AO2481" s="59" t="n">
        <v>0</v>
      </c>
      <c r="AP2481" s="59" t="n"/>
      <c r="AQ2481" s="59" t="n"/>
      <c r="AR2481" s="155" t="n"/>
    </row>
    <row r="2482">
      <c r="A2482" s="50" t="n"/>
      <c r="B2482" s="51" t="n"/>
      <c r="C2482" s="156" t="inlineStr">
        <is>
          <t>Stetson</t>
        </is>
      </c>
      <c r="D2482" s="156" t="n"/>
      <c r="E2482" s="156" t="n"/>
      <c r="F2482" s="156" t="inlineStr">
        <is>
          <t>7 3/8</t>
        </is>
      </c>
      <c r="G2482" s="156" t="inlineStr">
        <is>
          <t>7 3/8</t>
        </is>
      </c>
      <c r="H2482" s="156" t="inlineStr">
        <is>
          <t>Stetson</t>
        </is>
      </c>
      <c r="I2482" s="156" t="inlineStr">
        <is>
          <t>Sombrero Stetson Skyline 6X Cowboy</t>
        </is>
      </c>
      <c r="J2482" s="156" t="inlineStr">
        <is>
          <t>Accesorios</t>
        </is>
      </c>
      <c r="K2482" s="156" t="inlineStr">
        <is>
          <t>Sombreros</t>
        </is>
      </c>
      <c r="L2482" s="156" t="inlineStr">
        <is>
          <t>Unisex</t>
        </is>
      </c>
      <c r="M2482" s="156" t="inlineStr">
        <is>
          <t>Stetson</t>
        </is>
      </c>
      <c r="N2482" s="156" t="n"/>
      <c r="O2482" s="156" t="n"/>
      <c r="P2482" s="156" t="inlineStr">
        <is>
          <t>Varios</t>
        </is>
      </c>
      <c r="Q2482" s="156" t="n"/>
      <c r="R2482" s="156" t="inlineStr">
        <is>
          <t>Copa Cattleman</t>
        </is>
      </c>
      <c r="S2482" s="156" t="n"/>
      <c r="T248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2" s="156" t="n"/>
      <c r="V2482" s="156" t="inlineStr">
        <is>
          <t>PZS</t>
        </is>
      </c>
      <c r="W2482" s="51" t="n"/>
      <c r="X2482" s="156" t="inlineStr">
        <is>
          <t>https://cdn.shopify.com/s/files/1/0888/3250/8267/files/SFSKYL-7540-E5-64_1.png?v=1759518014</t>
        </is>
      </c>
      <c r="Y2482" s="54" t="n"/>
      <c r="Z2482" s="54" t="n">
        <v>6724.14</v>
      </c>
      <c r="AA2482" s="55">
        <f>IF(AND(A2482="", B2482="", E2482=""), "", IF(AB2482="", "Válido", IF((LEN(AB2482)-LEN(SUBSTITUTE(AB2482,"; ","")))/2+1&gt;(LEN(AB2482)-LEN(SUBSTITUTE(AB2482,"[Aviso]","")))/7, "Con Incidencias", "Válido")))</f>
        <v/>
      </c>
      <c r="AB2482" s="56">
        <f>IF(AND(A2482="", B2482="", E2482=""), "", TEXTJOIN("; ", TRUE, IF(OR(TRIM(A2482&amp;"")="", ISNUMBER(SEARCH("FALTA", A2482))), "UPC faltante/inválido", ""), IF(AND(A2482&lt;&gt;"", IFERROR(_xlfn.XMATCH(A2482,$A$2:$A$2509,0,1)&lt;&gt;_xlfn.XMATCH(A2482,$A$2:$A$2509,0,-1),FALSE)), "Código de barras duplicado", ""), IF(AND(E2482&lt;&gt;"", COUNTIF($E$2:$E$2509, E2482)&gt;1), "SKU duplicado", ""), IF(OR(J2482="", J2482=""), "[Aviso] División no capturada ()", IF(ISNA(MATCH(J2482, Criterios!$A$123:$A$126, 0)), "División no válida", "")), IF(OR(K2482="", K2482=""), "[Aviso] Categoría no capturada ()", IF(ISNA(MATCH(K2482, Criterios!$A$81:$A$120, 0)), "Categoría no válida", IF(AND(J2482&lt;&gt;"", J2482&lt;&gt;"", J2482&lt;&gt;VLOOKUP(K2482, Criterios!$A$81:$B$120, 2, FALSE)), "División no coincide con Categoría", ""))), IF(OR(L2482="", L2482=""), "[Aviso] Género no capturado ()", IF(ISNA(MATCH(L2482, Criterios!$B$123:$B$127, 0)), "Género no válido", "")), IF(OR(N2482="", N2482=""), "[Aviso] Temporada no capturada ()", IF(ISNA(MATCH(N2482, Criterios!$C$123:$C$128, 0)), "Temporada no válida", "")), IF(OR(O2482="", O2482=""), "[Aviso] Ciclo de vida no capturado ()", IF(ISNA(MATCH(O2482, Criterios!$D$123:$D$124, 0)), "Ciclo de vida no válido", ""))))</f>
        <v/>
      </c>
      <c r="AC2482" s="56" t="n"/>
      <c r="AD2482" s="51" t="n"/>
      <c r="AE2482" s="156" t="n"/>
      <c r="AF2482" s="51" t="n"/>
      <c r="AG2482" s="156" t="inlineStr">
        <is>
          <t>Nuevo – Shopify Stetson México 01/10/2026</t>
        </is>
      </c>
      <c r="AH2482"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2" s="156" t="n"/>
      <c r="AJ2482" s="156" t="n"/>
      <c r="AK2482" s="155" t="inlineStr">
        <is>
          <t>Shopify Stetson: producto 14786559836523 / variante 53849438617963 | Shopify Stetson: producto 14786559836523 / variante 53849467781483</t>
        </is>
      </c>
      <c r="AL2482" s="58" t="n"/>
      <c r="AM2482" s="58" t="n"/>
      <c r="AN2482" s="155" t="inlineStr">
        <is>
          <t>Shopify Stetson México</t>
        </is>
      </c>
      <c r="AO2482" s="59" t="n">
        <v>0</v>
      </c>
      <c r="AP2482" s="59" t="n"/>
      <c r="AQ2482" s="59" t="n"/>
      <c r="AR2482" s="155" t="n"/>
    </row>
    <row r="2483">
      <c r="A2483" s="50" t="n"/>
      <c r="B2483" s="51" t="n"/>
      <c r="C2483" s="156" t="inlineStr">
        <is>
          <t>Stetson</t>
        </is>
      </c>
      <c r="D2483" s="156" t="n"/>
      <c r="E2483" s="156" t="n"/>
      <c r="F2483" s="156" t="inlineStr">
        <is>
          <t>7 1/2</t>
        </is>
      </c>
      <c r="G2483" s="156" t="inlineStr">
        <is>
          <t>7 1/2</t>
        </is>
      </c>
      <c r="H2483" s="156" t="inlineStr">
        <is>
          <t>Stetson</t>
        </is>
      </c>
      <c r="I2483" s="156" t="inlineStr">
        <is>
          <t>Sombrero Stetson Skyline 6X Cowboy</t>
        </is>
      </c>
      <c r="J2483" s="156" t="inlineStr">
        <is>
          <t>Accesorios</t>
        </is>
      </c>
      <c r="K2483" s="156" t="inlineStr">
        <is>
          <t>Sombreros</t>
        </is>
      </c>
      <c r="L2483" s="156" t="inlineStr">
        <is>
          <t>Unisex</t>
        </is>
      </c>
      <c r="M2483" s="156" t="inlineStr">
        <is>
          <t>Stetson</t>
        </is>
      </c>
      <c r="N2483" s="156" t="n"/>
      <c r="O2483" s="156" t="n"/>
      <c r="P2483" s="156" t="inlineStr">
        <is>
          <t>Varios</t>
        </is>
      </c>
      <c r="Q2483" s="156" t="n"/>
      <c r="R2483" s="156" t="inlineStr">
        <is>
          <t>Copa Cattleman</t>
        </is>
      </c>
      <c r="S2483" s="156" t="n"/>
      <c r="T248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3" s="156" t="n"/>
      <c r="V2483" s="156" t="inlineStr">
        <is>
          <t>PZS</t>
        </is>
      </c>
      <c r="W2483" s="51" t="n"/>
      <c r="X2483" s="156" t="inlineStr">
        <is>
          <t>https://cdn.shopify.com/s/files/1/0888/3250/8267/files/SFSKYL-7540-E5-64_1.png?v=1759518014</t>
        </is>
      </c>
      <c r="Y2483" s="54" t="n"/>
      <c r="Z2483" s="54" t="n">
        <v>6724.14</v>
      </c>
      <c r="AA2483" s="55">
        <f>IF(AND(A2483="", B2483="", E2483=""), "", IF(AB2483="", "Válido", IF((LEN(AB2483)-LEN(SUBSTITUTE(AB2483,"; ","")))/2+1&gt;(LEN(AB2483)-LEN(SUBSTITUTE(AB2483,"[Aviso]","")))/7, "Con Incidencias", "Válido")))</f>
        <v/>
      </c>
      <c r="AB2483" s="56">
        <f>IF(AND(A2483="", B2483="", E2483=""), "", TEXTJOIN("; ", TRUE, IF(OR(TRIM(A2483&amp;"")="", ISNUMBER(SEARCH("FALTA", A2483))), "UPC faltante/inválido", ""), IF(AND(A2483&lt;&gt;"", IFERROR(_xlfn.XMATCH(A2483,$A$2:$A$2509,0,1)&lt;&gt;_xlfn.XMATCH(A2483,$A$2:$A$2509,0,-1),FALSE)), "Código de barras duplicado", ""), IF(AND(E2483&lt;&gt;"", COUNTIF($E$2:$E$2509, E2483)&gt;1), "SKU duplicado", ""), IF(OR(J2483="", J2483=""), "[Aviso] División no capturada ()", IF(ISNA(MATCH(J2483, Criterios!$A$123:$A$126, 0)), "División no válida", "")), IF(OR(K2483="", K2483=""), "[Aviso] Categoría no capturada ()", IF(ISNA(MATCH(K2483, Criterios!$A$81:$A$120, 0)), "Categoría no válida", IF(AND(J2483&lt;&gt;"", J2483&lt;&gt;"", J2483&lt;&gt;VLOOKUP(K2483, Criterios!$A$81:$B$120, 2, FALSE)), "División no coincide con Categoría", ""))), IF(OR(L2483="", L2483=""), "[Aviso] Género no capturado ()", IF(ISNA(MATCH(L2483, Criterios!$B$123:$B$127, 0)), "Género no válido", "")), IF(OR(N2483="", N2483=""), "[Aviso] Temporada no capturada ()", IF(ISNA(MATCH(N2483, Criterios!$C$123:$C$128, 0)), "Temporada no válida", "")), IF(OR(O2483="", O2483=""), "[Aviso] Ciclo de vida no capturado ()", IF(ISNA(MATCH(O2483, Criterios!$D$123:$D$124, 0)), "Ciclo de vida no válido", ""))))</f>
        <v/>
      </c>
      <c r="AC2483" s="56" t="n"/>
      <c r="AD2483" s="51" t="n"/>
      <c r="AE2483" s="156" t="n"/>
      <c r="AF2483" s="51" t="n"/>
      <c r="AG2483" s="156" t="inlineStr">
        <is>
          <t>Nuevo – Shopify Stetson México 01/10/2026</t>
        </is>
      </c>
      <c r="AH2483"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3" s="156" t="n"/>
      <c r="AJ2483" s="156" t="n"/>
      <c r="AK2483" s="155" t="inlineStr">
        <is>
          <t>Shopify Stetson: producto 14786559836523 / variante 53849438650731 | Shopify Stetson: producto 14786559836523 / variante 53849467847019</t>
        </is>
      </c>
      <c r="AL2483" s="58" t="n"/>
      <c r="AM2483" s="58" t="n"/>
      <c r="AN2483" s="155" t="inlineStr">
        <is>
          <t>Shopify Stetson México</t>
        </is>
      </c>
      <c r="AO2483" s="59" t="n">
        <v>0</v>
      </c>
      <c r="AP2483" s="59" t="n"/>
      <c r="AQ2483" s="59" t="n"/>
      <c r="AR2483" s="155" t="n"/>
    </row>
    <row r="2484">
      <c r="A2484" s="50" t="n"/>
      <c r="B2484" s="51" t="n"/>
      <c r="C2484" s="156" t="inlineStr">
        <is>
          <t>Stetson</t>
        </is>
      </c>
      <c r="D2484" s="156" t="n"/>
      <c r="E2484" s="156" t="n"/>
      <c r="F2484" s="156" t="inlineStr">
        <is>
          <t>7 5/8</t>
        </is>
      </c>
      <c r="G2484" s="156" t="inlineStr">
        <is>
          <t>7 5/8</t>
        </is>
      </c>
      <c r="H2484" s="156" t="inlineStr">
        <is>
          <t>Stetson</t>
        </is>
      </c>
      <c r="I2484" s="156" t="inlineStr">
        <is>
          <t>Sombrero Stetson Skyline 6X Cowboy</t>
        </is>
      </c>
      <c r="J2484" s="156" t="inlineStr">
        <is>
          <t>Accesorios</t>
        </is>
      </c>
      <c r="K2484" s="156" t="inlineStr">
        <is>
          <t>Sombreros</t>
        </is>
      </c>
      <c r="L2484" s="156" t="inlineStr">
        <is>
          <t>Unisex</t>
        </is>
      </c>
      <c r="M2484" s="156" t="inlineStr">
        <is>
          <t>Stetson</t>
        </is>
      </c>
      <c r="N2484" s="156" t="n"/>
      <c r="O2484" s="156" t="n"/>
      <c r="P2484" s="156" t="inlineStr">
        <is>
          <t>Varios</t>
        </is>
      </c>
      <c r="Q2484" s="156" t="n"/>
      <c r="R2484" s="156" t="inlineStr">
        <is>
          <t>Copa Cattleman</t>
        </is>
      </c>
      <c r="S2484" s="156" t="n"/>
      <c r="T248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4" s="156" t="n"/>
      <c r="V2484" s="156" t="inlineStr">
        <is>
          <t>PZS</t>
        </is>
      </c>
      <c r="W2484" s="51" t="n"/>
      <c r="X2484" s="156" t="inlineStr">
        <is>
          <t>https://cdn.shopify.com/s/files/1/0888/3250/8267/files/SFSKYL-7540-E5-64_1.png?v=1759518014</t>
        </is>
      </c>
      <c r="Y2484" s="54" t="n"/>
      <c r="Z2484" s="54" t="n">
        <v>6724.14</v>
      </c>
      <c r="AA2484" s="55">
        <f>IF(AND(A2484="", B2484="", E2484=""), "", IF(AB2484="", "Válido", IF((LEN(AB2484)-LEN(SUBSTITUTE(AB2484,"; ","")))/2+1&gt;(LEN(AB2484)-LEN(SUBSTITUTE(AB2484,"[Aviso]","")))/7, "Con Incidencias", "Válido")))</f>
        <v/>
      </c>
      <c r="AB2484" s="56">
        <f>IF(AND(A2484="", B2484="", E2484=""), "", TEXTJOIN("; ", TRUE, IF(OR(TRIM(A2484&amp;"")="", ISNUMBER(SEARCH("FALTA", A2484))), "UPC faltante/inválido", ""), IF(AND(A2484&lt;&gt;"", IFERROR(_xlfn.XMATCH(A2484,$A$2:$A$2509,0,1)&lt;&gt;_xlfn.XMATCH(A2484,$A$2:$A$2509,0,-1),FALSE)), "Código de barras duplicado", ""), IF(AND(E2484&lt;&gt;"", COUNTIF($E$2:$E$2509, E2484)&gt;1), "SKU duplicado", ""), IF(OR(J2484="", J2484=""), "[Aviso] División no capturada ()", IF(ISNA(MATCH(J2484, Criterios!$A$123:$A$126, 0)), "División no válida", "")), IF(OR(K2484="", K2484=""), "[Aviso] Categoría no capturada ()", IF(ISNA(MATCH(K2484, Criterios!$A$81:$A$120, 0)), "Categoría no válida", IF(AND(J2484&lt;&gt;"", J2484&lt;&gt;"", J2484&lt;&gt;VLOOKUP(K2484, Criterios!$A$81:$B$120, 2, FALSE)), "División no coincide con Categoría", ""))), IF(OR(L2484="", L2484=""), "[Aviso] Género no capturado ()", IF(ISNA(MATCH(L2484, Criterios!$B$123:$B$127, 0)), "Género no válido", "")), IF(OR(N2484="", N2484=""), "[Aviso] Temporada no capturada ()", IF(ISNA(MATCH(N2484, Criterios!$C$123:$C$128, 0)), "Temporada no válida", "")), IF(OR(O2484="", O2484=""), "[Aviso] Ciclo de vida no capturado ()", IF(ISNA(MATCH(O2484, Criterios!$D$123:$D$124, 0)), "Ciclo de vida no válido", ""))))</f>
        <v/>
      </c>
      <c r="AC2484" s="56" t="n"/>
      <c r="AD2484" s="51" t="n"/>
      <c r="AE2484" s="156" t="n"/>
      <c r="AF2484" s="51" t="n"/>
      <c r="AG2484" s="156" t="inlineStr">
        <is>
          <t>Nuevo – Shopify Stetson México 01/10/2026</t>
        </is>
      </c>
      <c r="AH2484"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4" s="156" t="n"/>
      <c r="AJ2484" s="156" t="n"/>
      <c r="AK2484" s="155" t="inlineStr">
        <is>
          <t>Shopify Stetson: producto 14786559836523 / variante 53849438683499 | Shopify Stetson: producto 14786559836523 / variante 53849467912555 | Shopify Stetson: producto 14786559836523 / variante 53849467945323</t>
        </is>
      </c>
      <c r="AL2484" s="58" t="n"/>
      <c r="AM2484" s="58" t="n"/>
      <c r="AN2484" s="155" t="inlineStr">
        <is>
          <t>Shopify Stetson México</t>
        </is>
      </c>
      <c r="AO2484" s="59" t="n">
        <v>0</v>
      </c>
      <c r="AP2484" s="59" t="n"/>
      <c r="AQ2484" s="59" t="n"/>
      <c r="AR2484" s="155" t="n"/>
    </row>
    <row r="2485">
      <c r="A2485" s="50" t="n"/>
      <c r="B2485" s="51" t="n"/>
      <c r="C2485" s="156" t="inlineStr">
        <is>
          <t>Stetson</t>
        </is>
      </c>
      <c r="D2485" s="156" t="n"/>
      <c r="E2485" s="156" t="n"/>
      <c r="F2485" s="156" t="n"/>
      <c r="G2485" s="156" t="n"/>
      <c r="H2485" s="156" t="inlineStr">
        <is>
          <t>Stetson</t>
        </is>
      </c>
      <c r="I2485" s="156" t="inlineStr">
        <is>
          <t>Wool Vintage Logo Patch Baseball</t>
        </is>
      </c>
      <c r="J2485" s="156" t="n"/>
      <c r="K2485" s="156" t="n"/>
      <c r="L2485" s="156" t="n"/>
      <c r="M2485" s="156" t="inlineStr">
        <is>
          <t>Stetson</t>
        </is>
      </c>
      <c r="N2485" s="156" t="n"/>
      <c r="O2485" s="156" t="n"/>
      <c r="P2485" s="156" t="n"/>
      <c r="Q2485" s="156" t="n"/>
      <c r="R2485" s="156" t="n"/>
      <c r="S2485" s="156" t="inlineStr">
        <is>
          <t>100% de alta calidad, 50% Algodón, 50% Poliéster</t>
        </is>
      </c>
      <c r="T2485" s="156" t="inlineStr">
        <is>
          <t>Esta gorra de béisbol ajustada está estructurada con un clásico diseño de seis paneles y una visera precurvada. Confeccionada con lana 100% de alta calidad y diseñada para adaptarse fácilmente a las estaciones, está acabada con un parche bordado con el logotipo vintage de Stetson. 6 Paneles Parche con logotipo vintage bordado 50% Algodón 50% Poliéster</t>
        </is>
      </c>
      <c r="U2485" s="156" t="n"/>
      <c r="V2485" s="156" t="n"/>
      <c r="W2485" s="51" t="n"/>
      <c r="X2485" s="156" t="inlineStr">
        <is>
          <t>https://cdn.shopify.com/s/files/1/0888/3250/8267/files/STS08_0002_Grupo-1-copia.png?v=1732584185</t>
        </is>
      </c>
      <c r="Y2485" s="54" t="n"/>
      <c r="Z2485" s="54" t="n">
        <v>689.66</v>
      </c>
      <c r="AA2485" s="55">
        <f>IF(AND(A2485="", B2485="", E2485=""), "", IF(AB2485="", "Válido", IF((LEN(AB2485)-LEN(SUBSTITUTE(AB2485,"; ","")))/2+1&gt;(LEN(AB2485)-LEN(SUBSTITUTE(AB2485,"[Aviso]","")))/7, "Con Incidencias", "Válido")))</f>
        <v/>
      </c>
      <c r="AB2485" s="56">
        <f>IF(AND(A2485="", B2485="", E2485=""), "", TEXTJOIN("; ", TRUE, IF(OR(TRIM(A2485&amp;"")="", ISNUMBER(SEARCH("FALTA", A2485))), "UPC faltante/inválido", ""), IF(AND(A2485&lt;&gt;"", IFERROR(_xlfn.XMATCH(A2485,$A$2:$A$2509,0,1)&lt;&gt;_xlfn.XMATCH(A2485,$A$2:$A$2509,0,-1),FALSE)), "Código de barras duplicado", ""), IF(AND(E2485&lt;&gt;"", COUNTIF($E$2:$E$2509, E2485)&gt;1), "SKU duplicado", ""), IF(OR(J2485="", J2485=""), "[Aviso] División no capturada ()", IF(ISNA(MATCH(J2485, Criterios!$A$123:$A$126, 0)), "División no válida", "")), IF(OR(K2485="", K2485=""), "[Aviso] Categoría no capturada ()", IF(ISNA(MATCH(K2485, Criterios!$A$81:$A$120, 0)), "Categoría no válida", IF(AND(J2485&lt;&gt;"", J2485&lt;&gt;"", J2485&lt;&gt;VLOOKUP(K2485, Criterios!$A$81:$B$120, 2, FALSE)), "División no coincide con Categoría", ""))), IF(OR(L2485="", L2485=""), "[Aviso] Género no capturado ()", IF(ISNA(MATCH(L2485, Criterios!$B$123:$B$127, 0)), "Género no válido", "")), IF(OR(N2485="", N2485=""), "[Aviso] Temporada no capturada ()", IF(ISNA(MATCH(N2485, Criterios!$C$123:$C$128, 0)), "Temporada no válida", "")), IF(OR(O2485="", O2485=""), "[Aviso] Ciclo de vida no capturado ()", IF(ISNA(MATCH(O2485, Criterios!$D$123:$D$124, 0)), "Ciclo de vida no válido", ""))))</f>
        <v/>
      </c>
      <c r="AC2485" s="56" t="n"/>
      <c r="AD2485" s="51" t="n"/>
      <c r="AE2485" s="156" t="n"/>
      <c r="AF2485" s="51" t="n"/>
      <c r="AG2485" s="156" t="inlineStr">
        <is>
          <t>Nuevo – Shopify Stetson México 01/10/2026</t>
        </is>
      </c>
      <c r="AH2485" s="156" t="inlineStr">
        <is>
          <t>01/10/2026: alta desde Shopify Stetson México (no existía en Productos por código de barras ni SKU) | Sin código de barras ni SKU en la plataforma: capturar antes de usarlo en escaneo | Composición extraída de la descripción | Homologación G1522 06/10/2026: WB Composición: Los porcentajes no suman 100 % o el texto está truncado; confirmar con la etiqueta (Requiere revisión) · Validación G1522: Código de barras faltante; WB SKU faltante · Validador NetSuite / Odoo: V1: falta código de barras; N2: talla cero o vacía · Validador Shopify: V1: falta código de barras; ST: precio con IVA no es múltiplo de 50</t>
        </is>
      </c>
      <c r="AI2485" s="156" t="n"/>
      <c r="AJ2485" s="156" t="n"/>
      <c r="AK2485" s="155" t="inlineStr">
        <is>
          <t>Shopify Stetson: producto 14629197545835 / variante 51711352078699</t>
        </is>
      </c>
      <c r="AL2485" s="58" t="n"/>
      <c r="AM2485" s="58" t="n"/>
      <c r="AN2485" s="155" t="inlineStr">
        <is>
          <t>Shopify Stetson México</t>
        </is>
      </c>
      <c r="AO2485" s="59" t="n">
        <v>0</v>
      </c>
      <c r="AP2485" s="59" t="n"/>
      <c r="AQ2485" s="59" t="n"/>
      <c r="AR2485" s="155" t="n"/>
    </row>
    <row r="2486">
      <c r="A2486" s="50" t="n"/>
      <c r="B2486" s="51" t="n"/>
      <c r="C2486" s="156" t="inlineStr">
        <is>
          <t>Stetson</t>
        </is>
      </c>
      <c r="D2486" s="156" t="inlineStr">
        <is>
          <t>11-001-0425-0732</t>
        </is>
      </c>
      <c r="E2486" s="156" t="inlineStr">
        <is>
          <t>11-001-0425-0732 BU_XL</t>
        </is>
      </c>
      <c r="F2486" s="156" t="inlineStr">
        <is>
          <t>XL</t>
        </is>
      </c>
      <c r="G2486" s="156" t="inlineStr">
        <is>
          <t>XL</t>
        </is>
      </c>
      <c r="H2486" s="156" t="inlineStr">
        <is>
          <t>Stetson</t>
        </is>
      </c>
      <c r="I2486" s="156" t="inlineStr">
        <is>
          <t>CAMISA MANGA LARGA MEDALLON BLUE 2138</t>
        </is>
      </c>
      <c r="J2486" s="156" t="inlineStr">
        <is>
          <t>Ropa</t>
        </is>
      </c>
      <c r="K2486" s="156" t="inlineStr">
        <is>
          <t>Camisas</t>
        </is>
      </c>
      <c r="L2486" s="156" t="inlineStr">
        <is>
          <t>Hombre</t>
        </is>
      </c>
      <c r="M2486" s="156" t="inlineStr">
        <is>
          <t>Stetson</t>
        </is>
      </c>
      <c r="N2486" s="156" t="n"/>
      <c r="O2486" s="156" t="n"/>
      <c r="P2486" s="156" t="inlineStr">
        <is>
          <t>Azul</t>
        </is>
      </c>
      <c r="Q2486" s="156" t="inlineStr">
        <is>
          <t>Clásico</t>
        </is>
      </c>
      <c r="R2486" s="156" t="n"/>
      <c r="S2486" s="156" t="n"/>
      <c r="T2486" s="156" t="inlineStr">
        <is>
          <t>Camisa Stetson para Caballero – Manga Larga con Estampado Medallón Azul Con un diseño atemporal que fusiona tradición y carácter, esta camisa de la colección Stetson Men's está confeccionada en suave popelina de algodón con estampado integral estilo Medallón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Azul • Material: Popelina de algodón, de tacto suave y alta durabilidad • Diseño: Estampado integral estilo Mini Fular,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6" s="156" t="n"/>
      <c r="V2486" s="156" t="inlineStr">
        <is>
          <t>PZS</t>
        </is>
      </c>
      <c r="W2486" s="51" t="n"/>
      <c r="X2486" s="156" t="inlineStr">
        <is>
          <t>https://cdn.shopify.com/s/files/1/0888/3250/8267/files/1100104250732a.jpg?v=1744144083</t>
        </is>
      </c>
      <c r="Y2486" s="54" t="n"/>
      <c r="Z2486" s="54" t="n">
        <v>1594.83</v>
      </c>
      <c r="AA2486" s="55">
        <f>IF(AND(A2486="", B2486="", E2486=""), "", IF(AB2486="", "Válido", IF((LEN(AB2486)-LEN(SUBSTITUTE(AB2486,"; ","")))/2+1&gt;(LEN(AB2486)-LEN(SUBSTITUTE(AB2486,"[Aviso]","")))/7, "Con Incidencias", "Válido")))</f>
        <v/>
      </c>
      <c r="AB2486" s="56">
        <f>IF(AND(A2486="", B2486="", E2486=""), "", TEXTJOIN("; ", TRUE, IF(OR(TRIM(A2486&amp;"")="", ISNUMBER(SEARCH("FALTA", A2486))), "UPC faltante/inválido", ""), IF(AND(A2486&lt;&gt;"", IFERROR(_xlfn.XMATCH(A2486,$A$2:$A$2509,0,1)&lt;&gt;_xlfn.XMATCH(A2486,$A$2:$A$2509,0,-1),FALSE)), "Código de barras duplicado", ""), IF(AND(E2486&lt;&gt;"", COUNTIF($E$2:$E$2509, E2486)&gt;1), "SKU duplicado", ""), IF(OR(J2486="", J2486=""), "[Aviso] División no capturada ()", IF(ISNA(MATCH(J2486, Criterios!$A$123:$A$126, 0)), "División no válida", "")), IF(OR(K2486="", K2486=""), "[Aviso] Categoría no capturada ()", IF(ISNA(MATCH(K2486, Criterios!$A$81:$A$120, 0)), "Categoría no válida", IF(AND(J2486&lt;&gt;"", J2486&lt;&gt;"", J2486&lt;&gt;VLOOKUP(K2486, Criterios!$A$81:$B$120, 2, FALSE)), "División no coincide con Categoría", ""))), IF(OR(L2486="", L2486=""), "[Aviso] Género no capturado ()", IF(ISNA(MATCH(L2486, Criterios!$B$123:$B$127, 0)), "Género no válido", "")), IF(OR(N2486="", N2486=""), "[Aviso] Temporada no capturada ()", IF(ISNA(MATCH(N2486, Criterios!$C$123:$C$128, 0)), "Temporada no válida", "")), IF(OR(O2486="", O2486=""), "[Aviso] Ciclo de vida no capturado ()", IF(ISNA(MATCH(O2486, Criterios!$D$123:$D$124, 0)), "Ciclo de vida no válido", ""))))</f>
        <v/>
      </c>
      <c r="AC2486" s="56" t="n"/>
      <c r="AD2486" s="51" t="n"/>
      <c r="AE2486" s="156" t="n"/>
      <c r="AF2486" s="51" t="n"/>
      <c r="AG2486" s="156" t="inlineStr">
        <is>
          <t>Nuevo – Shopify Stetson México 01/10/2026</t>
        </is>
      </c>
      <c r="AH2486" s="156" t="inlineStr">
        <is>
          <t>01/10/2026: alta desde Shopify Stetson México (no existía en Productos por código de barras ni SKU) | Género: descripción; Color detectado en el nombre (blue) | Homologación G1522 06/10/2026: WB N.º de estilo: «» → «11-001-0425-0732» (Completado por regla) · Validación G1522: Código de barras faltante · Validador NetSuite / Odoo: V1: falta código de barras · Validador Shopify: V1: falta código de barras</t>
        </is>
      </c>
      <c r="AI2486" s="156" t="n"/>
      <c r="AJ2486" s="156" t="n"/>
      <c r="AK2486" s="155" t="inlineStr">
        <is>
          <t>Shopify Stetson: producto 14693730287979 / variante 51992676565355</t>
        </is>
      </c>
      <c r="AL2486" s="58" t="n"/>
      <c r="AM2486" s="58" t="n"/>
      <c r="AN2486" s="155" t="inlineStr">
        <is>
          <t>Shopify Stetson México</t>
        </is>
      </c>
      <c r="AO2486" s="59" t="n">
        <v>0</v>
      </c>
      <c r="AP2486" s="59" t="n"/>
      <c r="AQ2486" s="59" t="n"/>
      <c r="AR2486" s="155" t="n"/>
    </row>
    <row r="2487">
      <c r="A2487" s="50" t="n"/>
      <c r="B2487" s="51" t="n"/>
      <c r="C2487" s="156" t="inlineStr">
        <is>
          <t>Stetson</t>
        </is>
      </c>
      <c r="D2487" s="156" t="inlineStr">
        <is>
          <t>11-001-0425-0733</t>
        </is>
      </c>
      <c r="E2487" s="156" t="inlineStr">
        <is>
          <t>11-001-0425-0733_CH</t>
        </is>
      </c>
      <c r="F2487" s="156" t="inlineStr">
        <is>
          <t>S</t>
        </is>
      </c>
      <c r="G2487" s="156" t="inlineStr">
        <is>
          <t>S</t>
        </is>
      </c>
      <c r="H2487" s="156" t="inlineStr">
        <is>
          <t>Stetson</t>
        </is>
      </c>
      <c r="I2487" s="156" t="inlineStr">
        <is>
          <t>Camisa Stetson Medallon Frontera</t>
        </is>
      </c>
      <c r="J2487" s="156" t="inlineStr">
        <is>
          <t>Ropa</t>
        </is>
      </c>
      <c r="K2487" s="156" t="inlineStr">
        <is>
          <t>Camisas</t>
        </is>
      </c>
      <c r="L2487" s="156" t="inlineStr">
        <is>
          <t>Hombre</t>
        </is>
      </c>
      <c r="M2487" s="156" t="inlineStr">
        <is>
          <t>Stetson</t>
        </is>
      </c>
      <c r="N2487" s="156" t="n"/>
      <c r="O2487" s="156" t="n"/>
      <c r="P2487" s="156" t="n"/>
      <c r="Q2487" s="156" t="inlineStr">
        <is>
          <t>Clásico</t>
        </is>
      </c>
      <c r="R2487" s="156" t="n"/>
      <c r="S2487" s="156" t="n"/>
      <c r="T2487" s="156"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7" s="156" t="n"/>
      <c r="V2487" s="156" t="inlineStr">
        <is>
          <t>PZS</t>
        </is>
      </c>
      <c r="W2487" s="51" t="n"/>
      <c r="X2487" s="156" t="inlineStr">
        <is>
          <t>https://cdn.shopify.com/s/files/1/0888/3250/8267/files/1100104252066a_419b24cd-9c2d-486a-a8c2-ad76ada0594d.jpg?v=1764613553</t>
        </is>
      </c>
      <c r="Y2487" s="54" t="n"/>
      <c r="Z2487" s="54" t="n">
        <v>1594.83</v>
      </c>
      <c r="AA2487" s="55">
        <f>IF(AND(A2487="", B2487="", E2487=""), "", IF(AB2487="", "Válido", IF((LEN(AB2487)-LEN(SUBSTITUTE(AB2487,"; ","")))/2+1&gt;(LEN(AB2487)-LEN(SUBSTITUTE(AB2487,"[Aviso]","")))/7, "Con Incidencias", "Válido")))</f>
        <v/>
      </c>
      <c r="AB2487" s="56">
        <f>IF(AND(A2487="", B2487="", E2487=""), "", TEXTJOIN("; ", TRUE, IF(OR(TRIM(A2487&amp;"")="", ISNUMBER(SEARCH("FALTA", A2487))), "UPC faltante/inválido", ""), IF(AND(A2487&lt;&gt;"", IFERROR(_xlfn.XMATCH(A2487,$A$2:$A$2509,0,1)&lt;&gt;_xlfn.XMATCH(A2487,$A$2:$A$2509,0,-1),FALSE)), "Código de barras duplicado", ""), IF(AND(E2487&lt;&gt;"", COUNTIF($E$2:$E$2509, E2487)&gt;1), "SKU duplicado", ""), IF(OR(J2487="", J2487=""), "[Aviso] División no capturada ()", IF(ISNA(MATCH(J2487, Criterios!$A$123:$A$126, 0)), "División no válida", "")), IF(OR(K2487="", K2487=""), "[Aviso] Categoría no capturada ()", IF(ISNA(MATCH(K2487, Criterios!$A$81:$A$120, 0)), "Categoría no válida", IF(AND(J2487&lt;&gt;"", J2487&lt;&gt;"", J2487&lt;&gt;VLOOKUP(K2487, Criterios!$A$81:$B$120, 2, FALSE)), "División no coincide con Categoría", ""))), IF(OR(L2487="", L2487=""), "[Aviso] Género no capturado ()", IF(ISNA(MATCH(L2487, Criterios!$B$123:$B$127, 0)), "Género no válido", "")), IF(OR(N2487="", N2487=""), "[Aviso] Temporada no capturada ()", IF(ISNA(MATCH(N2487, Criterios!$C$123:$C$128, 0)), "Temporada no válida", "")), IF(OR(O2487="", O2487=""), "[Aviso] Ciclo de vida no capturado ()", IF(ISNA(MATCH(O2487, Criterios!$D$123:$D$124, 0)), "Ciclo de vida no válido", ""))))</f>
        <v/>
      </c>
      <c r="AC2487" s="56" t="n"/>
      <c r="AD2487" s="51" t="n"/>
      <c r="AE2487" s="156" t="n"/>
      <c r="AF2487" s="51" t="n"/>
      <c r="AG2487" s="156" t="inlineStr">
        <is>
          <t>Nuevo – Shopify Stetson México 01/10/2026</t>
        </is>
      </c>
      <c r="AH2487" s="156" t="inlineStr">
        <is>
          <t>01/10/2026: alta desde Shopify Stetson México (no existía en Productos por código de barras ni SKU) | Género: descripción | Homologación G1522 06/10/2026: WB N.º de estilo: «» → «11-001-0425-0733» (Completado por regla) · Validación G1522: Código de barras faltante · Validador NetSuite / Odoo: V1: falta código de barras · Validador Shopify: V1: falta código de barras</t>
        </is>
      </c>
      <c r="AI2487" s="156" t="n"/>
      <c r="AJ2487" s="156" t="n"/>
      <c r="AK2487" s="155" t="inlineStr">
        <is>
          <t>Shopify Stetson: producto 14693730779499 / variante 51992677712235</t>
        </is>
      </c>
      <c r="AL2487" s="58" t="n"/>
      <c r="AM2487" s="58" t="n"/>
      <c r="AN2487" s="155" t="inlineStr">
        <is>
          <t>Shopify Stetson México</t>
        </is>
      </c>
      <c r="AO2487" s="59" t="n">
        <v>0</v>
      </c>
      <c r="AP2487" s="59" t="n"/>
      <c r="AQ2487" s="59" t="n"/>
      <c r="AR2487" s="155" t="n"/>
    </row>
    <row r="2488">
      <c r="A2488" s="50" t="n"/>
      <c r="B2488" s="51" t="n"/>
      <c r="C2488" s="156" t="inlineStr">
        <is>
          <t>Stetson</t>
        </is>
      </c>
      <c r="D2488" s="156" t="inlineStr">
        <is>
          <t>11-001-0425-0733</t>
        </is>
      </c>
      <c r="E2488" s="156" t="inlineStr">
        <is>
          <t>11-001-0425-0733_XL</t>
        </is>
      </c>
      <c r="F2488" s="156" t="inlineStr">
        <is>
          <t>XL</t>
        </is>
      </c>
      <c r="G2488" s="156" t="inlineStr">
        <is>
          <t>XL</t>
        </is>
      </c>
      <c r="H2488" s="156" t="inlineStr">
        <is>
          <t>Stetson</t>
        </is>
      </c>
      <c r="I2488" s="156" t="inlineStr">
        <is>
          <t>Camisa Stetson Medallon Frontera</t>
        </is>
      </c>
      <c r="J2488" s="156" t="inlineStr">
        <is>
          <t>Ropa</t>
        </is>
      </c>
      <c r="K2488" s="156" t="inlineStr">
        <is>
          <t>Camisas</t>
        </is>
      </c>
      <c r="L2488" s="156" t="inlineStr">
        <is>
          <t>Hombre</t>
        </is>
      </c>
      <c r="M2488" s="156" t="inlineStr">
        <is>
          <t>Stetson</t>
        </is>
      </c>
      <c r="N2488" s="156" t="n"/>
      <c r="O2488" s="156" t="n"/>
      <c r="P2488" s="156" t="n"/>
      <c r="Q2488" s="156" t="inlineStr">
        <is>
          <t>Clásico</t>
        </is>
      </c>
      <c r="R2488" s="156" t="n"/>
      <c r="S2488" s="156" t="n"/>
      <c r="T2488" s="156"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8" s="156" t="n"/>
      <c r="V2488" s="156" t="inlineStr">
        <is>
          <t>PZS</t>
        </is>
      </c>
      <c r="W2488" s="51" t="n"/>
      <c r="X2488" s="156" t="inlineStr">
        <is>
          <t>https://cdn.shopify.com/s/files/1/0888/3250/8267/files/1100104252066a_419b24cd-9c2d-486a-a8c2-ad76ada0594d.jpg?v=1764613553</t>
        </is>
      </c>
      <c r="Y2488" s="54" t="n"/>
      <c r="Z2488" s="54" t="n">
        <v>1594.83</v>
      </c>
      <c r="AA2488" s="55">
        <f>IF(AND(A2488="", B2488="", E2488=""), "", IF(AB2488="", "Válido", IF((LEN(AB2488)-LEN(SUBSTITUTE(AB2488,"; ","")))/2+1&gt;(LEN(AB2488)-LEN(SUBSTITUTE(AB2488,"[Aviso]","")))/7, "Con Incidencias", "Válido")))</f>
        <v/>
      </c>
      <c r="AB2488" s="56">
        <f>IF(AND(A2488="", B2488="", E2488=""), "", TEXTJOIN("; ", TRUE, IF(OR(TRIM(A2488&amp;"")="", ISNUMBER(SEARCH("FALTA", A2488))), "UPC faltante/inválido", ""), IF(AND(A2488&lt;&gt;"", IFERROR(_xlfn.XMATCH(A2488,$A$2:$A$2509,0,1)&lt;&gt;_xlfn.XMATCH(A2488,$A$2:$A$2509,0,-1),FALSE)), "Código de barras duplicado", ""), IF(AND(E2488&lt;&gt;"", COUNTIF($E$2:$E$2509, E2488)&gt;1), "SKU duplicado", ""), IF(OR(J2488="", J2488=""), "[Aviso] División no capturada ()", IF(ISNA(MATCH(J2488, Criterios!$A$123:$A$126, 0)), "División no válida", "")), IF(OR(K2488="", K2488=""), "[Aviso] Categoría no capturada ()", IF(ISNA(MATCH(K2488, Criterios!$A$81:$A$120, 0)), "Categoría no válida", IF(AND(J2488&lt;&gt;"", J2488&lt;&gt;"", J2488&lt;&gt;VLOOKUP(K2488, Criterios!$A$81:$B$120, 2, FALSE)), "División no coincide con Categoría", ""))), IF(OR(L2488="", L2488=""), "[Aviso] Género no capturado ()", IF(ISNA(MATCH(L2488, Criterios!$B$123:$B$127, 0)), "Género no válido", "")), IF(OR(N2488="", N2488=""), "[Aviso] Temporada no capturada ()", IF(ISNA(MATCH(N2488, Criterios!$C$123:$C$128, 0)), "Temporada no válida", "")), IF(OR(O2488="", O2488=""), "[Aviso] Ciclo de vida no capturado ()", IF(ISNA(MATCH(O2488, Criterios!$D$123:$D$124, 0)), "Ciclo de vida no válido", ""))))</f>
        <v/>
      </c>
      <c r="AC2488" s="56" t="n"/>
      <c r="AD2488" s="51" t="n"/>
      <c r="AE2488" s="156" t="n"/>
      <c r="AF2488" s="51" t="n"/>
      <c r="AG2488" s="156" t="inlineStr">
        <is>
          <t>Nuevo – Shopify Stetson México 01/10/2026</t>
        </is>
      </c>
      <c r="AH2488" s="156" t="inlineStr">
        <is>
          <t>01/10/2026: alta desde Shopify Stetson México (no existía en Productos por código de barras ni SKU) | Género: descripción | Homologación G1522 06/10/2026: WB N.º de estilo: «» → «11-001-0425-0733» (Completado por regla) · Validación G1522: Código de barras faltante · Validador NetSuite / Odoo: V1: falta código de barras · Validador Shopify: V1: falta código de barras</t>
        </is>
      </c>
      <c r="AI2488" s="156" t="n"/>
      <c r="AJ2488" s="156" t="n"/>
      <c r="AK2488" s="155" t="inlineStr">
        <is>
          <t>Shopify Stetson: producto 14693730779499 / variante 51992677417323</t>
        </is>
      </c>
      <c r="AL2488" s="58" t="n"/>
      <c r="AM2488" s="58" t="n"/>
      <c r="AN2488" s="155" t="inlineStr">
        <is>
          <t>Shopify Stetson México</t>
        </is>
      </c>
      <c r="AO2488" s="59" t="n">
        <v>0</v>
      </c>
      <c r="AP2488" s="59" t="n"/>
      <c r="AQ2488" s="59" t="n"/>
      <c r="AR2488" s="155" t="n"/>
    </row>
    <row r="2489">
      <c r="A2489" s="50" t="n"/>
      <c r="B2489" s="51" t="n"/>
      <c r="C2489" s="156" t="inlineStr">
        <is>
          <t>Stetson</t>
        </is>
      </c>
      <c r="D2489" s="156" t="inlineStr">
        <is>
          <t>11-001-0425-1029</t>
        </is>
      </c>
      <c r="E2489" s="156" t="inlineStr">
        <is>
          <t>11-001-0425-1029 BR_XL</t>
        </is>
      </c>
      <c r="F2489" s="156" t="inlineStr">
        <is>
          <t>XL</t>
        </is>
      </c>
      <c r="G2489" s="156" t="inlineStr">
        <is>
          <t>XL</t>
        </is>
      </c>
      <c r="H2489" s="156" t="inlineStr">
        <is>
          <t>Stetson</t>
        </is>
      </c>
      <c r="I2489" s="156" t="inlineStr">
        <is>
          <t>CAMISA MANGA LARGA DIAMANTES LINEA AZUL 2234</t>
        </is>
      </c>
      <c r="J2489" s="156" t="inlineStr">
        <is>
          <t>Ropa</t>
        </is>
      </c>
      <c r="K2489" s="156" t="inlineStr">
        <is>
          <t>Camisas</t>
        </is>
      </c>
      <c r="L2489" s="156" t="inlineStr">
        <is>
          <t>Hombre</t>
        </is>
      </c>
      <c r="M2489" s="156" t="inlineStr">
        <is>
          <t>Stetson</t>
        </is>
      </c>
      <c r="N2489" s="156" t="n"/>
      <c r="O2489" s="156" t="n"/>
      <c r="P2489" s="156" t="inlineStr">
        <is>
          <t>Azul</t>
        </is>
      </c>
      <c r="Q2489" s="156" t="inlineStr">
        <is>
          <t>Clásico</t>
        </is>
      </c>
      <c r="R2489" s="156" t="n"/>
      <c r="S2489" s="156" t="n"/>
      <c r="T2489" s="156"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9" s="156" t="n"/>
      <c r="V2489" s="156" t="inlineStr">
        <is>
          <t>PZS</t>
        </is>
      </c>
      <c r="W2489" s="51" t="n"/>
      <c r="X2489" s="156" t="inlineStr">
        <is>
          <t>https://cdn.shopify.com/s/files/1/0888/3250/8267/files/1100104251029a.jpg?v=1744145850</t>
        </is>
      </c>
      <c r="Y2489" s="54" t="n"/>
      <c r="Z2489" s="54" t="n">
        <v>1594.83</v>
      </c>
      <c r="AA2489" s="55">
        <f>IF(AND(A2489="", B2489="", E2489=""), "", IF(AB2489="", "Válido", IF((LEN(AB2489)-LEN(SUBSTITUTE(AB2489,"; ","")))/2+1&gt;(LEN(AB2489)-LEN(SUBSTITUTE(AB2489,"[Aviso]","")))/7, "Con Incidencias", "Válido")))</f>
        <v/>
      </c>
      <c r="AB2489" s="56">
        <f>IF(AND(A2489="", B2489="", E2489=""), "", TEXTJOIN("; ", TRUE, IF(OR(TRIM(A2489&amp;"")="", ISNUMBER(SEARCH("FALTA", A2489))), "UPC faltante/inválido", ""), IF(AND(A2489&lt;&gt;"", IFERROR(_xlfn.XMATCH(A2489,$A$2:$A$2509,0,1)&lt;&gt;_xlfn.XMATCH(A2489,$A$2:$A$2509,0,-1),FALSE)), "Código de barras duplicado", ""), IF(AND(E2489&lt;&gt;"", COUNTIF($E$2:$E$2509, E2489)&gt;1), "SKU duplicado", ""), IF(OR(J2489="", J2489=""), "[Aviso] División no capturada ()", IF(ISNA(MATCH(J2489, Criterios!$A$123:$A$126, 0)), "División no válida", "")), IF(OR(K2489="", K2489=""), "[Aviso] Categoría no capturada ()", IF(ISNA(MATCH(K2489, Criterios!$A$81:$A$120, 0)), "Categoría no válida", IF(AND(J2489&lt;&gt;"", J2489&lt;&gt;"", J2489&lt;&gt;VLOOKUP(K2489, Criterios!$A$81:$B$120, 2, FALSE)), "División no coincide con Categoría", ""))), IF(OR(L2489="", L2489=""), "[Aviso] Género no capturado ()", IF(ISNA(MATCH(L2489, Criterios!$B$123:$B$127, 0)), "Género no válido", "")), IF(OR(N2489="", N2489=""), "[Aviso] Temporada no capturada ()", IF(ISNA(MATCH(N2489, Criterios!$C$123:$C$128, 0)), "Temporada no válida", "")), IF(OR(O2489="", O2489=""), "[Aviso] Ciclo de vida no capturado ()", IF(ISNA(MATCH(O2489, Criterios!$D$123:$D$124, 0)), "Ciclo de vida no válido", ""))))</f>
        <v/>
      </c>
      <c r="AC2489" s="56" t="n"/>
      <c r="AD2489" s="51" t="n"/>
      <c r="AE2489" s="156" t="n"/>
      <c r="AF2489" s="51" t="n"/>
      <c r="AG2489" s="156" t="inlineStr">
        <is>
          <t>Nuevo – Shopify Stetson México 01/10/2026</t>
        </is>
      </c>
      <c r="AH2489" s="156" t="inlineStr">
        <is>
          <t>01/10/2026: alta desde Shopify Stetson México (no existía en Productos por código de barras ni SKU) | Género: descripción; Color detectado en el nombre (azul) | Homologación G1522 06/10/2026: WB N.º de estilo: «» → «11-001-0425-1029» (Completado por regla) · Validación G1522: Código de barras faltante · Validador NetSuite / Odoo: V1: falta código de barras · Validador Shopify: V1: falta código de barras</t>
        </is>
      </c>
      <c r="AI2489" s="156" t="n"/>
      <c r="AJ2489" s="156" t="n"/>
      <c r="AK2489" s="155" t="inlineStr">
        <is>
          <t>Shopify Stetson: producto 14693731598699 / variante 51992683446635</t>
        </is>
      </c>
      <c r="AL2489" s="58" t="n"/>
      <c r="AM2489" s="58" t="n"/>
      <c r="AN2489" s="155" t="inlineStr">
        <is>
          <t>Shopify Stetson México</t>
        </is>
      </c>
      <c r="AO2489" s="59" t="n">
        <v>0</v>
      </c>
      <c r="AP2489" s="59" t="n"/>
      <c r="AQ2489" s="59" t="n"/>
      <c r="AR2489" s="155" t="n"/>
    </row>
    <row r="2490">
      <c r="A2490" s="50" t="n"/>
      <c r="B2490" s="51" t="n"/>
      <c r="C2490" s="156" t="inlineStr">
        <is>
          <t>Stetson</t>
        </is>
      </c>
      <c r="D2490" s="156" t="n"/>
      <c r="E2490" s="156" t="inlineStr">
        <is>
          <t>9914500-001-32</t>
        </is>
      </c>
      <c r="F2490" s="156" t="inlineStr">
        <is>
          <t>32</t>
        </is>
      </c>
      <c r="G2490" s="156" t="inlineStr">
        <is>
          <t>32</t>
        </is>
      </c>
      <c r="H2490" s="156" t="inlineStr">
        <is>
          <t>Stetson</t>
        </is>
      </c>
      <c r="I2490" s="156" t="inlineStr">
        <is>
          <t>Cinturón Stetson Piel de Bisonte Repujado</t>
        </is>
      </c>
      <c r="J2490" s="156" t="inlineStr">
        <is>
          <t>Accesorios</t>
        </is>
      </c>
      <c r="K2490" s="156" t="inlineStr">
        <is>
          <t>Cinturones</t>
        </is>
      </c>
      <c r="L2490" s="156" t="inlineStr">
        <is>
          <t>Hombre</t>
        </is>
      </c>
      <c r="M2490" s="156" t="inlineStr">
        <is>
          <t>Stetson</t>
        </is>
      </c>
      <c r="N2490" s="156" t="n"/>
      <c r="O2490" s="156" t="n"/>
      <c r="P2490" s="156" t="inlineStr">
        <is>
          <t>Negro</t>
        </is>
      </c>
      <c r="Q2490" s="156" t="n"/>
      <c r="R2490" s="156" t="n"/>
      <c r="S2490" s="156" t="n"/>
      <c r="T2490"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0" s="156" t="n"/>
      <c r="V2490" s="156" t="inlineStr">
        <is>
          <t>PZS</t>
        </is>
      </c>
      <c r="W2490" s="51" t="n"/>
      <c r="X2490" s="156" t="inlineStr">
        <is>
          <t>https://cdn.shopify.com/s/files/1/0888/3250/8267/files/9914500-001-01.jpg?v=1761949269</t>
        </is>
      </c>
      <c r="Y2490" s="54" t="n"/>
      <c r="Z2490" s="54" t="n">
        <v>2068.97</v>
      </c>
      <c r="AA2490" s="55">
        <f>IF(AND(A2490="", B2490="", E2490=""), "", IF(AB2490="", "Válido", IF((LEN(AB2490)-LEN(SUBSTITUTE(AB2490,"; ","")))/2+1&gt;(LEN(AB2490)-LEN(SUBSTITUTE(AB2490,"[Aviso]","")))/7, "Con Incidencias", "Válido")))</f>
        <v/>
      </c>
      <c r="AB2490" s="56">
        <f>IF(AND(A2490="", B2490="", E2490=""), "", TEXTJOIN("; ", TRUE, IF(OR(TRIM(A2490&amp;"")="", ISNUMBER(SEARCH("FALTA", A2490))), "UPC faltante/inválido", ""), IF(AND(A2490&lt;&gt;"", IFERROR(_xlfn.XMATCH(A2490,$A$2:$A$2509,0,1)&lt;&gt;_xlfn.XMATCH(A2490,$A$2:$A$2509,0,-1),FALSE)), "Código de barras duplicado", ""), IF(AND(E2490&lt;&gt;"", COUNTIF($E$2:$E$2509, E2490)&gt;1), "SKU duplicado", ""), IF(OR(J2490="", J2490=""), "[Aviso] División no capturada ()", IF(ISNA(MATCH(J2490, Criterios!$A$123:$A$126, 0)), "División no válida", "")), IF(OR(K2490="", K2490=""), "[Aviso] Categoría no capturada ()", IF(ISNA(MATCH(K2490, Criterios!$A$81:$A$120, 0)), "Categoría no válida", IF(AND(J2490&lt;&gt;"", J2490&lt;&gt;"", J2490&lt;&gt;VLOOKUP(K2490, Criterios!$A$81:$B$120, 2, FALSE)), "División no coincide con Categoría", ""))), IF(OR(L2490="", L2490=""), "[Aviso] Género no capturado ()", IF(ISNA(MATCH(L2490, Criterios!$B$123:$B$127, 0)), "Género no válido", "")), IF(OR(N2490="", N2490=""), "[Aviso] Temporada no capturada ()", IF(ISNA(MATCH(N2490, Criterios!$C$123:$C$128, 0)), "Temporada no válida", "")), IF(OR(O2490="", O2490=""), "[Aviso] Ciclo de vida no capturado ()", IF(ISNA(MATCH(O2490, Criterios!$D$123:$D$124, 0)), "Ciclo de vida no válido", ""))))</f>
        <v/>
      </c>
      <c r="AC2490" s="56" t="n"/>
      <c r="AD2490" s="51" t="n"/>
      <c r="AE2490" s="156" t="n"/>
      <c r="AF2490" s="51" t="n"/>
      <c r="AG2490" s="156" t="inlineStr">
        <is>
          <t>Nuevo – Shopify Stetson México 01/10/2026</t>
        </is>
      </c>
      <c r="AH2490" s="156" t="inlineStr">
        <is>
          <t>01/10/2026: alta desde Shopify Stetson México (no existía en Productos por código de barras ni SKU) | Género: tipo de producto; Color: negro-1→Negro | Homologación G1522 06/10/2026: Validación G1522: Código de barras faltante · Validador NetSuite / Odoo: V1: falta código de barras · Validador Shopify: V1: falta código de barras; ST: precio con IVA no es múltiplo de 50</t>
        </is>
      </c>
      <c r="AI2490" s="156" t="n"/>
      <c r="AJ2490" s="156" t="n"/>
      <c r="AK2490" s="155" t="inlineStr">
        <is>
          <t>Shopify Stetson: producto 14811822752107 / variante 53350600737131</t>
        </is>
      </c>
      <c r="AL2490" s="58" t="n"/>
      <c r="AM2490" s="58" t="n"/>
      <c r="AN2490" s="155" t="inlineStr">
        <is>
          <t>Shopify Stetson México</t>
        </is>
      </c>
      <c r="AO2490" s="59" t="n">
        <v>0</v>
      </c>
      <c r="AP2490" s="59" t="n"/>
      <c r="AQ2490" s="59" t="n"/>
      <c r="AR2490" s="155" t="n"/>
    </row>
    <row r="2491">
      <c r="A2491" s="50" t="n"/>
      <c r="B2491" s="51" t="n"/>
      <c r="C2491" s="156" t="inlineStr">
        <is>
          <t>Stetson</t>
        </is>
      </c>
      <c r="D2491" s="156" t="n"/>
      <c r="E2491" s="156" t="inlineStr">
        <is>
          <t>9914500-001-34</t>
        </is>
      </c>
      <c r="F2491" s="156" t="inlineStr">
        <is>
          <t>34</t>
        </is>
      </c>
      <c r="G2491" s="156" t="inlineStr">
        <is>
          <t>34</t>
        </is>
      </c>
      <c r="H2491" s="156" t="inlineStr">
        <is>
          <t>Stetson</t>
        </is>
      </c>
      <c r="I2491" s="156" t="inlineStr">
        <is>
          <t>Cinturón Stetson Piel de Bisonte Repujado</t>
        </is>
      </c>
      <c r="J2491" s="156" t="inlineStr">
        <is>
          <t>Accesorios</t>
        </is>
      </c>
      <c r="K2491" s="156" t="inlineStr">
        <is>
          <t>Cinturones</t>
        </is>
      </c>
      <c r="L2491" s="156" t="inlineStr">
        <is>
          <t>Hombre</t>
        </is>
      </c>
      <c r="M2491" s="156" t="inlineStr">
        <is>
          <t>Stetson</t>
        </is>
      </c>
      <c r="N2491" s="156" t="n"/>
      <c r="O2491" s="156" t="n"/>
      <c r="P2491" s="156" t="inlineStr">
        <is>
          <t>Negro</t>
        </is>
      </c>
      <c r="Q2491" s="156" t="n"/>
      <c r="R2491" s="156" t="n"/>
      <c r="S2491" s="156" t="n"/>
      <c r="T2491"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1" s="156" t="n"/>
      <c r="V2491" s="156" t="inlineStr">
        <is>
          <t>PZS</t>
        </is>
      </c>
      <c r="W2491" s="51" t="n"/>
      <c r="X2491" s="156" t="inlineStr">
        <is>
          <t>https://cdn.shopify.com/s/files/1/0888/3250/8267/files/9914500-001-01.jpg?v=1761949269</t>
        </is>
      </c>
      <c r="Y2491" s="54" t="n"/>
      <c r="Z2491" s="54" t="n">
        <v>2068.97</v>
      </c>
      <c r="AA2491" s="55">
        <f>IF(AND(A2491="", B2491="", E2491=""), "", IF(AB2491="", "Válido", IF((LEN(AB2491)-LEN(SUBSTITUTE(AB2491,"; ","")))/2+1&gt;(LEN(AB2491)-LEN(SUBSTITUTE(AB2491,"[Aviso]","")))/7, "Con Incidencias", "Válido")))</f>
        <v/>
      </c>
      <c r="AB2491" s="56">
        <f>IF(AND(A2491="", B2491="", E2491=""), "", TEXTJOIN("; ", TRUE, IF(OR(TRIM(A2491&amp;"")="", ISNUMBER(SEARCH("FALTA", A2491))), "UPC faltante/inválido", ""), IF(AND(A2491&lt;&gt;"", IFERROR(_xlfn.XMATCH(A2491,$A$2:$A$2509,0,1)&lt;&gt;_xlfn.XMATCH(A2491,$A$2:$A$2509,0,-1),FALSE)), "Código de barras duplicado", ""), IF(AND(E2491&lt;&gt;"", COUNTIF($E$2:$E$2509, E2491)&gt;1), "SKU duplicado", ""), IF(OR(J2491="", J2491=""), "[Aviso] División no capturada ()", IF(ISNA(MATCH(J2491, Criterios!$A$123:$A$126, 0)), "División no válida", "")), IF(OR(K2491="", K2491=""), "[Aviso] Categoría no capturada ()", IF(ISNA(MATCH(K2491, Criterios!$A$81:$A$120, 0)), "Categoría no válida", IF(AND(J2491&lt;&gt;"", J2491&lt;&gt;"", J2491&lt;&gt;VLOOKUP(K2491, Criterios!$A$81:$B$120, 2, FALSE)), "División no coincide con Categoría", ""))), IF(OR(L2491="", L2491=""), "[Aviso] Género no capturado ()", IF(ISNA(MATCH(L2491, Criterios!$B$123:$B$127, 0)), "Género no válido", "")), IF(OR(N2491="", N2491=""), "[Aviso] Temporada no capturada ()", IF(ISNA(MATCH(N2491, Criterios!$C$123:$C$128, 0)), "Temporada no válida", "")), IF(OR(O2491="", O2491=""), "[Aviso] Ciclo de vida no capturado ()", IF(ISNA(MATCH(O2491, Criterios!$D$123:$D$124, 0)), "Ciclo de vida no válido", ""))))</f>
        <v/>
      </c>
      <c r="AC2491" s="56" t="n"/>
      <c r="AD2491" s="51" t="n"/>
      <c r="AE2491" s="156" t="n"/>
      <c r="AF2491" s="51" t="n"/>
      <c r="AG2491" s="156" t="inlineStr">
        <is>
          <t>Nuevo – Shopify Stetson México 01/10/2026</t>
        </is>
      </c>
      <c r="AH2491" s="156" t="inlineStr">
        <is>
          <t>01/10/2026: alta desde Shopify Stetson México (no existía en Productos por código de barras ni SKU) | Género: tipo de producto; Color: negro-1→Negro | Homologación G1522 06/10/2026: Validación G1522: Código de barras faltante · Validador NetSuite / Odoo: V1: falta código de barras · Validador Shopify: V1: falta código de barras; ST: precio con IVA no es múltiplo de 50</t>
        </is>
      </c>
      <c r="AI2491" s="156" t="n"/>
      <c r="AJ2491" s="156" t="n"/>
      <c r="AK2491" s="155" t="inlineStr">
        <is>
          <t>Shopify Stetson: producto 14811822752107 / variante 53350600802667</t>
        </is>
      </c>
      <c r="AL2491" s="58" t="n"/>
      <c r="AM2491" s="58" t="n"/>
      <c r="AN2491" s="155" t="inlineStr">
        <is>
          <t>Shopify Stetson México</t>
        </is>
      </c>
      <c r="AO2491" s="59" t="n">
        <v>0</v>
      </c>
      <c r="AP2491" s="59" t="n"/>
      <c r="AQ2491" s="59" t="n"/>
      <c r="AR2491" s="155" t="n"/>
    </row>
    <row r="2492">
      <c r="A2492" s="50" t="n"/>
      <c r="B2492" s="51" t="n"/>
      <c r="C2492" s="156" t="inlineStr">
        <is>
          <t>Stetson</t>
        </is>
      </c>
      <c r="D2492" s="156" t="n"/>
      <c r="E2492" s="156" t="inlineStr">
        <is>
          <t>9914500-625-32</t>
        </is>
      </c>
      <c r="F2492" s="156" t="inlineStr">
        <is>
          <t>32</t>
        </is>
      </c>
      <c r="G2492" s="156" t="inlineStr">
        <is>
          <t>32</t>
        </is>
      </c>
      <c r="H2492" s="156" t="inlineStr">
        <is>
          <t>Stetson</t>
        </is>
      </c>
      <c r="I2492" s="156" t="inlineStr">
        <is>
          <t>Cinturón Stetson Piel de Bisonte Repujado</t>
        </is>
      </c>
      <c r="J2492" s="156" t="inlineStr">
        <is>
          <t>Accesorios</t>
        </is>
      </c>
      <c r="K2492" s="156" t="inlineStr">
        <is>
          <t>Cinturones</t>
        </is>
      </c>
      <c r="L2492" s="156" t="inlineStr">
        <is>
          <t>Hombre</t>
        </is>
      </c>
      <c r="M2492" s="156" t="inlineStr">
        <is>
          <t>Stetson</t>
        </is>
      </c>
      <c r="N2492" s="156" t="n"/>
      <c r="O2492" s="156" t="n"/>
      <c r="P2492" s="156" t="inlineStr">
        <is>
          <t>Varios</t>
        </is>
      </c>
      <c r="Q2492" s="156" t="n"/>
      <c r="R2492" s="156" t="n"/>
      <c r="S2492" s="156" t="n"/>
      <c r="T2492"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2" s="156" t="n"/>
      <c r="V2492" s="156" t="inlineStr">
        <is>
          <t>PZS</t>
        </is>
      </c>
      <c r="W2492" s="51" t="n"/>
      <c r="X2492" s="156" t="inlineStr">
        <is>
          <t>https://cdn.shopify.com/s/files/1/0888/3250/8267/files/9914500-001-01.jpg?v=1761949269</t>
        </is>
      </c>
      <c r="Y2492" s="54" t="n"/>
      <c r="Z2492" s="54" t="n">
        <v>2068.97</v>
      </c>
      <c r="AA2492" s="55">
        <f>IF(AND(A2492="", B2492="", E2492=""), "", IF(AB2492="", "Válido", IF((LEN(AB2492)-LEN(SUBSTITUTE(AB2492,"; ","")))/2+1&gt;(LEN(AB2492)-LEN(SUBSTITUTE(AB2492,"[Aviso]","")))/7, "Con Incidencias", "Válido")))</f>
        <v/>
      </c>
      <c r="AB2492" s="56">
        <f>IF(AND(A2492="", B2492="", E2492=""), "", TEXTJOIN("; ", TRUE, IF(OR(TRIM(A2492&amp;"")="", ISNUMBER(SEARCH("FALTA", A2492))), "UPC faltante/inválido", ""), IF(AND(A2492&lt;&gt;"", IFERROR(_xlfn.XMATCH(A2492,$A$2:$A$2509,0,1)&lt;&gt;_xlfn.XMATCH(A2492,$A$2:$A$2509,0,-1),FALSE)), "Código de barras duplicado", ""), IF(AND(E2492&lt;&gt;"", COUNTIF($E$2:$E$2509, E2492)&gt;1), "SKU duplicado", ""), IF(OR(J2492="", J2492=""), "[Aviso] División no capturada ()", IF(ISNA(MATCH(J2492, Criterios!$A$123:$A$126, 0)), "División no válida", "")), IF(OR(K2492="", K2492=""), "[Aviso] Categoría no capturada ()", IF(ISNA(MATCH(K2492, Criterios!$A$81:$A$120, 0)), "Categoría no válida", IF(AND(J2492&lt;&gt;"", J2492&lt;&gt;"", J2492&lt;&gt;VLOOKUP(K2492, Criterios!$A$81:$B$120, 2, FALSE)), "División no coincide con Categoría", ""))), IF(OR(L2492="", L2492=""), "[Aviso] Género no capturado ()", IF(ISNA(MATCH(L2492, Criterios!$B$123:$B$127, 0)), "Género no válido", "")), IF(OR(N2492="", N2492=""), "[Aviso] Temporada no capturada ()", IF(ISNA(MATCH(N2492, Criterios!$C$123:$C$128, 0)), "Temporada no válida", "")), IF(OR(O2492="", O2492=""), "[Aviso] Ciclo de vida no capturado ()", IF(ISNA(MATCH(O2492, Criterios!$D$123:$D$124, 0)), "Ciclo de vida no válido", ""))))</f>
        <v/>
      </c>
      <c r="AC2492" s="56" t="n"/>
      <c r="AD2492" s="51" t="n"/>
      <c r="AE2492" s="156" t="n"/>
      <c r="AF2492" s="51" t="n"/>
      <c r="AG2492" s="156" t="inlineStr">
        <is>
          <t>Nuevo – Shopify Stetson México 01/10/2026</t>
        </is>
      </c>
      <c r="AH2492" s="156" t="inlineStr">
        <is>
          <t>01/10/2026: alta desde Shopify Stetson México (no existía en Productos por código de barras ni SKU) | Género: tipo de producto; Color comercial "hazelnut-bison" no está en tabla H → Varios | Homologación G1522 06/10/2026: Validación G1522: Código de barras faltante · Validador NetSuite / Odoo: V1: falta código de barras · Validador Shopify: V1: falta código de barras; ST: precio con IVA no es múltiplo de 50</t>
        </is>
      </c>
      <c r="AI2492" s="156" t="n"/>
      <c r="AJ2492" s="156" t="n"/>
      <c r="AK2492" s="155" t="inlineStr">
        <is>
          <t>Shopify Stetson: producto 14811822752107 / variante 53350600769899</t>
        </is>
      </c>
      <c r="AL2492" s="58" t="n"/>
      <c r="AM2492" s="58" t="n"/>
      <c r="AN2492" s="155" t="inlineStr">
        <is>
          <t>Shopify Stetson México</t>
        </is>
      </c>
      <c r="AO2492" s="59" t="n">
        <v>0</v>
      </c>
      <c r="AP2492" s="59" t="n"/>
      <c r="AQ2492" s="59" t="n"/>
      <c r="AR2492" s="155" t="n"/>
    </row>
    <row r="2493">
      <c r="A2493" s="50" t="n"/>
      <c r="B2493" s="51" t="n"/>
      <c r="C2493" s="156" t="inlineStr">
        <is>
          <t>Stetson</t>
        </is>
      </c>
      <c r="D2493" s="156" t="n"/>
      <c r="E2493" s="156" t="inlineStr">
        <is>
          <t>9914500-625-34</t>
        </is>
      </c>
      <c r="F2493" s="156" t="inlineStr">
        <is>
          <t>34</t>
        </is>
      </c>
      <c r="G2493" s="156" t="inlineStr">
        <is>
          <t>34</t>
        </is>
      </c>
      <c r="H2493" s="156" t="inlineStr">
        <is>
          <t>Stetson</t>
        </is>
      </c>
      <c r="I2493" s="156" t="inlineStr">
        <is>
          <t>Cinturón Stetson Piel de Bisonte Repujado</t>
        </is>
      </c>
      <c r="J2493" s="156" t="inlineStr">
        <is>
          <t>Accesorios</t>
        </is>
      </c>
      <c r="K2493" s="156" t="inlineStr">
        <is>
          <t>Cinturones</t>
        </is>
      </c>
      <c r="L2493" s="156" t="inlineStr">
        <is>
          <t>Hombre</t>
        </is>
      </c>
      <c r="M2493" s="156" t="inlineStr">
        <is>
          <t>Stetson</t>
        </is>
      </c>
      <c r="N2493" s="156" t="n"/>
      <c r="O2493" s="156" t="n"/>
      <c r="P2493" s="156" t="inlineStr">
        <is>
          <t>Varios</t>
        </is>
      </c>
      <c r="Q2493" s="156" t="n"/>
      <c r="R2493" s="156" t="n"/>
      <c r="S2493" s="156" t="n"/>
      <c r="T249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3" s="156" t="n"/>
      <c r="V2493" s="156" t="inlineStr">
        <is>
          <t>PZS</t>
        </is>
      </c>
      <c r="W2493" s="51" t="n"/>
      <c r="X2493" s="156" t="inlineStr">
        <is>
          <t>https://cdn.shopify.com/s/files/1/0888/3250/8267/files/9914500-001-01.jpg?v=1761949269</t>
        </is>
      </c>
      <c r="Y2493" s="54" t="n"/>
      <c r="Z2493" s="54" t="n">
        <v>2068.97</v>
      </c>
      <c r="AA2493" s="55">
        <f>IF(AND(A2493="", B2493="", E2493=""), "", IF(AB2493="", "Válido", IF((LEN(AB2493)-LEN(SUBSTITUTE(AB2493,"; ","")))/2+1&gt;(LEN(AB2493)-LEN(SUBSTITUTE(AB2493,"[Aviso]","")))/7, "Con Incidencias", "Válido")))</f>
        <v/>
      </c>
      <c r="AB2493" s="56">
        <f>IF(AND(A2493="", B2493="", E2493=""), "", TEXTJOIN("; ", TRUE, IF(OR(TRIM(A2493&amp;"")="", ISNUMBER(SEARCH("FALTA", A2493))), "UPC faltante/inválido", ""), IF(AND(A2493&lt;&gt;"", IFERROR(_xlfn.XMATCH(A2493,$A$2:$A$2509,0,1)&lt;&gt;_xlfn.XMATCH(A2493,$A$2:$A$2509,0,-1),FALSE)), "Código de barras duplicado", ""), IF(AND(E2493&lt;&gt;"", COUNTIF($E$2:$E$2509, E2493)&gt;1), "SKU duplicado", ""), IF(OR(J2493="", J2493=""), "[Aviso] División no capturada ()", IF(ISNA(MATCH(J2493, Criterios!$A$123:$A$126, 0)), "División no válida", "")), IF(OR(K2493="", K2493=""), "[Aviso] Categoría no capturada ()", IF(ISNA(MATCH(K2493, Criterios!$A$81:$A$120, 0)), "Categoría no válida", IF(AND(J2493&lt;&gt;"", J2493&lt;&gt;"", J2493&lt;&gt;VLOOKUP(K2493, Criterios!$A$81:$B$120, 2, FALSE)), "División no coincide con Categoría", ""))), IF(OR(L2493="", L2493=""), "[Aviso] Género no capturado ()", IF(ISNA(MATCH(L2493, Criterios!$B$123:$B$127, 0)), "Género no válido", "")), IF(OR(N2493="", N2493=""), "[Aviso] Temporada no capturada ()", IF(ISNA(MATCH(N2493, Criterios!$C$123:$C$128, 0)), "Temporada no válida", "")), IF(OR(O2493="", O2493=""), "[Aviso] Ciclo de vida no capturado ()", IF(ISNA(MATCH(O2493, Criterios!$D$123:$D$124, 0)), "Ciclo de vida no válido", ""))))</f>
        <v/>
      </c>
      <c r="AC2493" s="56" t="n"/>
      <c r="AD2493" s="51" t="n"/>
      <c r="AE2493" s="156" t="n"/>
      <c r="AF2493" s="51" t="n"/>
      <c r="AG2493" s="156" t="inlineStr">
        <is>
          <t>Nuevo – Shopify Stetson México 01/10/2026</t>
        </is>
      </c>
      <c r="AH2493" s="156" t="inlineStr">
        <is>
          <t>01/10/2026: alta desde Shopify Stetson México (no existía en Productos por código de barras ni SKU) | Género: tipo de producto; Color comercial "hazelnut-bison" no está en tabla H → Varios | Homologación G1522 06/10/2026: Validación G1522: Código de barras faltante · Validador NetSuite / Odoo: V1: falta código de barras · Validador Shopify: V1: falta código de barras; ST: precio con IVA no es múltiplo de 50</t>
        </is>
      </c>
      <c r="AI2493" s="156" t="n"/>
      <c r="AJ2493" s="156" t="n"/>
      <c r="AK2493" s="155" t="inlineStr">
        <is>
          <t>Shopify Stetson: producto 14811822752107 / variante 53350600835435</t>
        </is>
      </c>
      <c r="AL2493" s="58" t="n"/>
      <c r="AM2493" s="58" t="n"/>
      <c r="AN2493" s="155" t="inlineStr">
        <is>
          <t>Shopify Stetson México</t>
        </is>
      </c>
      <c r="AO2493" s="59" t="n">
        <v>0</v>
      </c>
      <c r="AP2493" s="59" t="n"/>
      <c r="AQ2493" s="59" t="n"/>
      <c r="AR2493" s="155" t="n"/>
    </row>
    <row r="2494">
      <c r="A2494" s="50" t="n"/>
      <c r="B2494" s="51" t="n"/>
      <c r="C2494" s="156" t="inlineStr">
        <is>
          <t>Stetson</t>
        </is>
      </c>
      <c r="D2494" s="156" t="n"/>
      <c r="E2494" s="156" t="inlineStr">
        <is>
          <t>9915500-001-32</t>
        </is>
      </c>
      <c r="F2494" s="156" t="inlineStr">
        <is>
          <t>32</t>
        </is>
      </c>
      <c r="G2494" s="156" t="inlineStr">
        <is>
          <t>32</t>
        </is>
      </c>
      <c r="H2494" s="156" t="inlineStr">
        <is>
          <t>Stetson</t>
        </is>
      </c>
      <c r="I2494" s="156" t="inlineStr">
        <is>
          <t>Cinturón Stetson Piel de Bisonte Conchos</t>
        </is>
      </c>
      <c r="J2494" s="156" t="inlineStr">
        <is>
          <t>Accesorios</t>
        </is>
      </c>
      <c r="K2494" s="156" t="inlineStr">
        <is>
          <t>Cinturones</t>
        </is>
      </c>
      <c r="L2494" s="156" t="inlineStr">
        <is>
          <t>Hombre</t>
        </is>
      </c>
      <c r="M2494" s="156" t="inlineStr">
        <is>
          <t>Stetson</t>
        </is>
      </c>
      <c r="N2494" s="156" t="n"/>
      <c r="O2494" s="156" t="n"/>
      <c r="P2494" s="156" t="inlineStr">
        <is>
          <t>Negro</t>
        </is>
      </c>
      <c r="Q2494" s="156" t="n"/>
      <c r="R2494" s="156" t="n"/>
      <c r="S2494" s="156" t="n"/>
      <c r="T2494"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4" s="156" t="n"/>
      <c r="V2494" s="156" t="inlineStr">
        <is>
          <t>PZS</t>
        </is>
      </c>
      <c r="W2494" s="51" t="n"/>
      <c r="X2494" s="156" t="inlineStr">
        <is>
          <t>https://cdn.shopify.com/s/files/1/0888/3250/8267/files/9915500-001_Black_1.jpg?v=1761950447</t>
        </is>
      </c>
      <c r="Y2494" s="54" t="n"/>
      <c r="Z2494" s="54" t="n">
        <v>1637.93</v>
      </c>
      <c r="AA2494" s="55">
        <f>IF(AND(A2494="", B2494="", E2494=""), "", IF(AB2494="", "Válido", IF((LEN(AB2494)-LEN(SUBSTITUTE(AB2494,"; ","")))/2+1&gt;(LEN(AB2494)-LEN(SUBSTITUTE(AB2494,"[Aviso]","")))/7, "Con Incidencias", "Válido")))</f>
        <v/>
      </c>
      <c r="AB2494" s="56">
        <f>IF(AND(A2494="", B2494="", E2494=""), "", TEXTJOIN("; ", TRUE, IF(OR(TRIM(A2494&amp;"")="", ISNUMBER(SEARCH("FALTA", A2494))), "UPC faltante/inválido", ""), IF(AND(A2494&lt;&gt;"", IFERROR(_xlfn.XMATCH(A2494,$A$2:$A$2509,0,1)&lt;&gt;_xlfn.XMATCH(A2494,$A$2:$A$2509,0,-1),FALSE)), "Código de barras duplicado", ""), IF(AND(E2494&lt;&gt;"", COUNTIF($E$2:$E$2509, E2494)&gt;1), "SKU duplicado", ""), IF(OR(J2494="", J2494=""), "[Aviso] División no capturada ()", IF(ISNA(MATCH(J2494, Criterios!$A$123:$A$126, 0)), "División no válida", "")), IF(OR(K2494="", K2494=""), "[Aviso] Categoría no capturada ()", IF(ISNA(MATCH(K2494, Criterios!$A$81:$A$120, 0)), "Categoría no válida", IF(AND(J2494&lt;&gt;"", J2494&lt;&gt;"", J2494&lt;&gt;VLOOKUP(K2494, Criterios!$A$81:$B$120, 2, FALSE)), "División no coincide con Categoría", ""))), IF(OR(L2494="", L2494=""), "[Aviso] Género no capturado ()", IF(ISNA(MATCH(L2494, Criterios!$B$123:$B$127, 0)), "Género no válido", "")), IF(OR(N2494="", N2494=""), "[Aviso] Temporada no capturada ()", IF(ISNA(MATCH(N2494, Criterios!$C$123:$C$128, 0)), "Temporada no válida", "")), IF(OR(O2494="", O2494=""), "[Aviso] Ciclo de vida no capturado ()", IF(ISNA(MATCH(O2494, Criterios!$D$123:$D$124, 0)), "Ciclo de vida no válido", ""))))</f>
        <v/>
      </c>
      <c r="AC2494" s="56" t="n"/>
      <c r="AD2494" s="51" t="n"/>
      <c r="AE2494" s="156" t="n"/>
      <c r="AF2494" s="51" t="n"/>
      <c r="AG2494" s="156" t="inlineStr">
        <is>
          <t>Nuevo – Shopify Stetson México 01/10/2026</t>
        </is>
      </c>
      <c r="AH2494" s="156" t="inlineStr">
        <is>
          <t>01/10/2026: alta desde Shopify Stetson México (no existía en Productos por código de barras ni SKU) | Género: tipo de producto | Homologación G1522 06/10/2026: Validación G1522: Código de barras faltante · Validador NetSuite / Odoo: V1: falta código de barras · Validador Shopify: V1: falta código de barras</t>
        </is>
      </c>
      <c r="AI2494" s="156" t="n"/>
      <c r="AJ2494" s="156" t="n"/>
      <c r="AK2494" s="155" t="inlineStr">
        <is>
          <t>Shopify Stetson: producto 14697976398187 / variante 53350615613803</t>
        </is>
      </c>
      <c r="AL2494" s="58" t="n"/>
      <c r="AM2494" s="58" t="n"/>
      <c r="AN2494" s="155" t="inlineStr">
        <is>
          <t>Shopify Stetson México</t>
        </is>
      </c>
      <c r="AO2494" s="59" t="n">
        <v>0</v>
      </c>
      <c r="AP2494" s="59" t="n"/>
      <c r="AQ2494" s="59" t="n"/>
      <c r="AR2494" s="155" t="n"/>
    </row>
    <row r="2495">
      <c r="A2495" s="50" t="n"/>
      <c r="B2495" s="51" t="n"/>
      <c r="C2495" s="156" t="inlineStr">
        <is>
          <t>Stetson</t>
        </is>
      </c>
      <c r="D2495" s="156" t="n"/>
      <c r="E2495" s="156" t="inlineStr">
        <is>
          <t>9915500-001-34</t>
        </is>
      </c>
      <c r="F2495" s="156" t="inlineStr">
        <is>
          <t>34</t>
        </is>
      </c>
      <c r="G2495" s="156" t="inlineStr">
        <is>
          <t>34</t>
        </is>
      </c>
      <c r="H2495" s="156" t="inlineStr">
        <is>
          <t>Stetson</t>
        </is>
      </c>
      <c r="I2495" s="156" t="inlineStr">
        <is>
          <t>Cinturón Stetson Piel de Bisonte Conchos</t>
        </is>
      </c>
      <c r="J2495" s="156" t="inlineStr">
        <is>
          <t>Accesorios</t>
        </is>
      </c>
      <c r="K2495" s="156" t="inlineStr">
        <is>
          <t>Cinturones</t>
        </is>
      </c>
      <c r="L2495" s="156" t="inlineStr">
        <is>
          <t>Hombre</t>
        </is>
      </c>
      <c r="M2495" s="156" t="inlineStr">
        <is>
          <t>Stetson</t>
        </is>
      </c>
      <c r="N2495" s="156" t="n"/>
      <c r="O2495" s="156" t="n"/>
      <c r="P2495" s="156" t="inlineStr">
        <is>
          <t>Negro</t>
        </is>
      </c>
      <c r="Q2495" s="156" t="n"/>
      <c r="R2495" s="156" t="n"/>
      <c r="S2495" s="156" t="n"/>
      <c r="T2495"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5" s="156" t="n"/>
      <c r="V2495" s="156" t="inlineStr">
        <is>
          <t>PZS</t>
        </is>
      </c>
      <c r="W2495" s="51" t="n"/>
      <c r="X2495" s="156" t="inlineStr">
        <is>
          <t>https://cdn.shopify.com/s/files/1/0888/3250/8267/files/9915500-001_Black_1.jpg?v=1761950447</t>
        </is>
      </c>
      <c r="Y2495" s="54" t="n"/>
      <c r="Z2495" s="54" t="n">
        <v>1681.03</v>
      </c>
      <c r="AA2495" s="55">
        <f>IF(AND(A2495="", B2495="", E2495=""), "", IF(AB2495="", "Válido", IF((LEN(AB2495)-LEN(SUBSTITUTE(AB2495,"; ","")))/2+1&gt;(LEN(AB2495)-LEN(SUBSTITUTE(AB2495,"[Aviso]","")))/7, "Con Incidencias", "Válido")))</f>
        <v/>
      </c>
      <c r="AB2495" s="56">
        <f>IF(AND(A2495="", B2495="", E2495=""), "", TEXTJOIN("; ", TRUE, IF(OR(TRIM(A2495&amp;"")="", ISNUMBER(SEARCH("FALTA", A2495))), "UPC faltante/inválido", ""), IF(AND(A2495&lt;&gt;"", IFERROR(_xlfn.XMATCH(A2495,$A$2:$A$2509,0,1)&lt;&gt;_xlfn.XMATCH(A2495,$A$2:$A$2509,0,-1),FALSE)), "Código de barras duplicado", ""), IF(AND(E2495&lt;&gt;"", COUNTIF($E$2:$E$2509, E2495)&gt;1), "SKU duplicado", ""), IF(OR(J2495="", J2495=""), "[Aviso] División no capturada ()", IF(ISNA(MATCH(J2495, Criterios!$A$123:$A$126, 0)), "División no válida", "")), IF(OR(K2495="", K2495=""), "[Aviso] Categoría no capturada ()", IF(ISNA(MATCH(K2495, Criterios!$A$81:$A$120, 0)), "Categoría no válida", IF(AND(J2495&lt;&gt;"", J2495&lt;&gt;"", J2495&lt;&gt;VLOOKUP(K2495, Criterios!$A$81:$B$120, 2, FALSE)), "División no coincide con Categoría", ""))), IF(OR(L2495="", L2495=""), "[Aviso] Género no capturado ()", IF(ISNA(MATCH(L2495, Criterios!$B$123:$B$127, 0)), "Género no válido", "")), IF(OR(N2495="", N2495=""), "[Aviso] Temporada no capturada ()", IF(ISNA(MATCH(N2495, Criterios!$C$123:$C$128, 0)), "Temporada no válida", "")), IF(OR(O2495="", O2495=""), "[Aviso] Ciclo de vida no capturado ()", IF(ISNA(MATCH(O2495, Criterios!$D$123:$D$124, 0)), "Ciclo de vida no válido", ""))))</f>
        <v/>
      </c>
      <c r="AC2495" s="56" t="n"/>
      <c r="AD2495" s="51" t="n"/>
      <c r="AE2495" s="156" t="n"/>
      <c r="AF2495" s="51" t="n"/>
      <c r="AG2495" s="156" t="inlineStr">
        <is>
          <t>Nuevo – Shopify Stetson México 01/10/2026</t>
        </is>
      </c>
      <c r="AH2495" s="156" t="inlineStr">
        <is>
          <t>01/10/2026: alta desde Shopify Stetson México (no existía en Productos por código de barras ni SKU) | Género: tipo de producto | Homologación G1522 06/10/2026: Validación G1522: Código de barras faltante · Validador NetSuite / Odoo: V1: falta código de barras · Validador Shopify: V1: falta código de barras; ST: precio con IVA no es múltiplo de 50</t>
        </is>
      </c>
      <c r="AI2495" s="156" t="n"/>
      <c r="AJ2495" s="156" t="n"/>
      <c r="AK2495" s="155" t="inlineStr">
        <is>
          <t>Shopify Stetson: producto 14697976398187 / variante 53350615646571</t>
        </is>
      </c>
      <c r="AL2495" s="58" t="n"/>
      <c r="AM2495" s="58" t="n"/>
      <c r="AN2495" s="155" t="inlineStr">
        <is>
          <t>Shopify Stetson México</t>
        </is>
      </c>
      <c r="AO2495" s="59" t="n">
        <v>0</v>
      </c>
      <c r="AP2495" s="59" t="n"/>
      <c r="AQ2495" s="59" t="n"/>
      <c r="AR2495" s="155" t="n"/>
    </row>
    <row r="2496">
      <c r="A2496" s="50" t="n"/>
      <c r="B2496" s="51" t="n"/>
      <c r="C2496" s="156" t="inlineStr">
        <is>
          <t>Stetson</t>
        </is>
      </c>
      <c r="D2496" s="156" t="n"/>
      <c r="E2496" s="156" t="inlineStr">
        <is>
          <t>9915500-625-32</t>
        </is>
      </c>
      <c r="F2496" s="156" t="inlineStr">
        <is>
          <t>32</t>
        </is>
      </c>
      <c r="G2496" s="156" t="inlineStr">
        <is>
          <t>32</t>
        </is>
      </c>
      <c r="H2496" s="156" t="inlineStr">
        <is>
          <t>Stetson</t>
        </is>
      </c>
      <c r="I2496" s="156" t="inlineStr">
        <is>
          <t>Cinturón Stetson Piel de Bisonte Conchos</t>
        </is>
      </c>
      <c r="J2496" s="156" t="inlineStr">
        <is>
          <t>Accesorios</t>
        </is>
      </c>
      <c r="K2496" s="156" t="inlineStr">
        <is>
          <t>Cinturones</t>
        </is>
      </c>
      <c r="L2496" s="156" t="inlineStr">
        <is>
          <t>Hombre</t>
        </is>
      </c>
      <c r="M2496" s="156" t="inlineStr">
        <is>
          <t>Stetson</t>
        </is>
      </c>
      <c r="N2496" s="156" t="n"/>
      <c r="O2496" s="156" t="n"/>
      <c r="P2496" s="156" t="inlineStr">
        <is>
          <t>Varios</t>
        </is>
      </c>
      <c r="Q2496" s="156" t="n"/>
      <c r="R2496" s="156" t="n"/>
      <c r="S2496" s="156" t="n"/>
      <c r="T2496"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6" s="156" t="n"/>
      <c r="V2496" s="156" t="inlineStr">
        <is>
          <t>PZS</t>
        </is>
      </c>
      <c r="W2496" s="51" t="n"/>
      <c r="X2496" s="156" t="inlineStr">
        <is>
          <t>https://cdn.shopify.com/s/files/1/0888/3250/8267/files/9915500-625_Hazelnut_Bison_1.jpg?v=1761950522</t>
        </is>
      </c>
      <c r="Y2496" s="54" t="n"/>
      <c r="Z2496" s="54" t="n">
        <v>1637.93</v>
      </c>
      <c r="AA2496" s="55">
        <f>IF(AND(A2496="", B2496="", E2496=""), "", IF(AB2496="", "Válido", IF((LEN(AB2496)-LEN(SUBSTITUTE(AB2496,"; ","")))/2+1&gt;(LEN(AB2496)-LEN(SUBSTITUTE(AB2496,"[Aviso]","")))/7, "Con Incidencias", "Válido")))</f>
        <v/>
      </c>
      <c r="AB2496" s="56">
        <f>IF(AND(A2496="", B2496="", E2496=""), "", TEXTJOIN("; ", TRUE, IF(OR(TRIM(A2496&amp;"")="", ISNUMBER(SEARCH("FALTA", A2496))), "UPC faltante/inválido", ""), IF(AND(A2496&lt;&gt;"", IFERROR(_xlfn.XMATCH(A2496,$A$2:$A$2509,0,1)&lt;&gt;_xlfn.XMATCH(A2496,$A$2:$A$2509,0,-1),FALSE)), "Código de barras duplicado", ""), IF(AND(E2496&lt;&gt;"", COUNTIF($E$2:$E$2509, E2496)&gt;1), "SKU duplicado", ""), IF(OR(J2496="", J2496=""), "[Aviso] División no capturada ()", IF(ISNA(MATCH(J2496, Criterios!$A$123:$A$126, 0)), "División no válida", "")), IF(OR(K2496="", K2496=""), "[Aviso] Categoría no capturada ()", IF(ISNA(MATCH(K2496, Criterios!$A$81:$A$120, 0)), "Categoría no válida", IF(AND(J2496&lt;&gt;"", J2496&lt;&gt;"", J2496&lt;&gt;VLOOKUP(K2496, Criterios!$A$81:$B$120, 2, FALSE)), "División no coincide con Categoría", ""))), IF(OR(L2496="", L2496=""), "[Aviso] Género no capturado ()", IF(ISNA(MATCH(L2496, Criterios!$B$123:$B$127, 0)), "Género no válido", "")), IF(OR(N2496="", N2496=""), "[Aviso] Temporada no capturada ()", IF(ISNA(MATCH(N2496, Criterios!$C$123:$C$128, 0)), "Temporada no válida", "")), IF(OR(O2496="", O2496=""), "[Aviso] Ciclo de vida no capturado ()", IF(ISNA(MATCH(O2496, Criterios!$D$123:$D$124, 0)), "Ciclo de vida no válido", ""))))</f>
        <v/>
      </c>
      <c r="AC2496" s="56" t="n"/>
      <c r="AD2496" s="51" t="n"/>
      <c r="AE2496" s="156" t="n"/>
      <c r="AF2496" s="51" t="n"/>
      <c r="AG2496" s="156" t="inlineStr">
        <is>
          <t>Nuevo – Shopify Stetson México 01/10/2026</t>
        </is>
      </c>
      <c r="AH2496" s="156" t="inlineStr">
        <is>
          <t>01/10/2026: alta desde Shopify Stetson México (no existía en Productos por código de barras ni SKU) | Género: tipo de producto; Color comercial "Hazelnut Bison" no está en tabla H → Varios | Homologación G1522 06/10/2026: Validación G1522: Código de barras faltante · Validador NetSuite / Odoo: V1: falta código de barras · Validador Shopify: V1: falta código de barras</t>
        </is>
      </c>
      <c r="AI2496" s="156" t="n"/>
      <c r="AJ2496" s="156" t="n"/>
      <c r="AK2496" s="155" t="inlineStr">
        <is>
          <t>Shopify Stetson: producto 14697976398187 / variante 53350615875947</t>
        </is>
      </c>
      <c r="AL2496" s="58" t="n"/>
      <c r="AM2496" s="58" t="n"/>
      <c r="AN2496" s="155" t="inlineStr">
        <is>
          <t>Shopify Stetson México</t>
        </is>
      </c>
      <c r="AO2496" s="59" t="n">
        <v>0</v>
      </c>
      <c r="AP2496" s="59" t="n"/>
      <c r="AQ2496" s="59" t="n"/>
      <c r="AR2496" s="155" t="n"/>
    </row>
    <row r="2497">
      <c r="A2497" s="50" t="n"/>
      <c r="B2497" s="51" t="n"/>
      <c r="C2497" s="156" t="inlineStr">
        <is>
          <t>Stetson</t>
        </is>
      </c>
      <c r="D2497" s="156" t="n"/>
      <c r="E2497" s="156" t="inlineStr">
        <is>
          <t>9915500-625-34</t>
        </is>
      </c>
      <c r="F2497" s="156" t="inlineStr">
        <is>
          <t>34</t>
        </is>
      </c>
      <c r="G2497" s="156" t="inlineStr">
        <is>
          <t>34</t>
        </is>
      </c>
      <c r="H2497" s="156" t="inlineStr">
        <is>
          <t>Stetson</t>
        </is>
      </c>
      <c r="I2497" s="156" t="inlineStr">
        <is>
          <t>Cinturón Stetson Piel de Bisonte Conchos</t>
        </is>
      </c>
      <c r="J2497" s="156" t="inlineStr">
        <is>
          <t>Accesorios</t>
        </is>
      </c>
      <c r="K2497" s="156" t="inlineStr">
        <is>
          <t>Cinturones</t>
        </is>
      </c>
      <c r="L2497" s="156" t="inlineStr">
        <is>
          <t>Hombre</t>
        </is>
      </c>
      <c r="M2497" s="156" t="inlineStr">
        <is>
          <t>Stetson</t>
        </is>
      </c>
      <c r="N2497" s="156" t="n"/>
      <c r="O2497" s="156" t="n"/>
      <c r="P2497" s="156" t="inlineStr">
        <is>
          <t>Varios</t>
        </is>
      </c>
      <c r="Q2497" s="156" t="n"/>
      <c r="R2497" s="156" t="n"/>
      <c r="S2497" s="156" t="n"/>
      <c r="T2497"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7" s="156" t="n"/>
      <c r="V2497" s="156" t="inlineStr">
        <is>
          <t>PZS</t>
        </is>
      </c>
      <c r="W2497" s="51" t="n"/>
      <c r="X2497" s="156" t="inlineStr">
        <is>
          <t>https://cdn.shopify.com/s/files/1/0888/3250/8267/files/9915500-625_Hazelnut_Bison_1.jpg?v=1761950522</t>
        </is>
      </c>
      <c r="Y2497" s="54" t="n"/>
      <c r="Z2497" s="54" t="n">
        <v>1637.93</v>
      </c>
      <c r="AA2497" s="55">
        <f>IF(AND(A2497="", B2497="", E2497=""), "", IF(AB2497="", "Válido", IF((LEN(AB2497)-LEN(SUBSTITUTE(AB2497,"; ","")))/2+1&gt;(LEN(AB2497)-LEN(SUBSTITUTE(AB2497,"[Aviso]","")))/7, "Con Incidencias", "Válido")))</f>
        <v/>
      </c>
      <c r="AB2497" s="56">
        <f>IF(AND(A2497="", B2497="", E2497=""), "", TEXTJOIN("; ", TRUE, IF(OR(TRIM(A2497&amp;"")="", ISNUMBER(SEARCH("FALTA", A2497))), "UPC faltante/inválido", ""), IF(AND(A2497&lt;&gt;"", IFERROR(_xlfn.XMATCH(A2497,$A$2:$A$2509,0,1)&lt;&gt;_xlfn.XMATCH(A2497,$A$2:$A$2509,0,-1),FALSE)), "Código de barras duplicado", ""), IF(AND(E2497&lt;&gt;"", COUNTIF($E$2:$E$2509, E2497)&gt;1), "SKU duplicado", ""), IF(OR(J2497="", J2497=""), "[Aviso] División no capturada ()", IF(ISNA(MATCH(J2497, Criterios!$A$123:$A$126, 0)), "División no válida", "")), IF(OR(K2497="", K2497=""), "[Aviso] Categoría no capturada ()", IF(ISNA(MATCH(K2497, Criterios!$A$81:$A$120, 0)), "Categoría no válida", IF(AND(J2497&lt;&gt;"", J2497&lt;&gt;"", J2497&lt;&gt;VLOOKUP(K2497, Criterios!$A$81:$B$120, 2, FALSE)), "División no coincide con Categoría", ""))), IF(OR(L2497="", L2497=""), "[Aviso] Género no capturado ()", IF(ISNA(MATCH(L2497, Criterios!$B$123:$B$127, 0)), "Género no válido", "")), IF(OR(N2497="", N2497=""), "[Aviso] Temporada no capturada ()", IF(ISNA(MATCH(N2497, Criterios!$C$123:$C$128, 0)), "Temporada no válida", "")), IF(OR(O2497="", O2497=""), "[Aviso] Ciclo de vida no capturado ()", IF(ISNA(MATCH(O2497, Criterios!$D$123:$D$124, 0)), "Ciclo de vida no válido", ""))))</f>
        <v/>
      </c>
      <c r="AC2497" s="56" t="n"/>
      <c r="AD2497" s="51" t="n"/>
      <c r="AE2497" s="156" t="n"/>
      <c r="AF2497" s="51" t="n"/>
      <c r="AG2497" s="156" t="inlineStr">
        <is>
          <t>Nuevo – Shopify Stetson México 01/10/2026</t>
        </is>
      </c>
      <c r="AH2497" s="156" t="inlineStr">
        <is>
          <t>01/10/2026: alta desde Shopify Stetson México (no existía en Productos por código de barras ni SKU) | Género: tipo de producto; Color comercial "Hazelnut Bison" no está en tabla H → Varios | Homologación G1522 06/10/2026: Validación G1522: Código de barras faltante · Validador NetSuite / Odoo: V1: falta código de barras · Validador Shopify: V1: falta código de barras</t>
        </is>
      </c>
      <c r="AI2497" s="156" t="n"/>
      <c r="AJ2497" s="156" t="n"/>
      <c r="AK2497" s="155" t="inlineStr">
        <is>
          <t>Shopify Stetson: producto 14697976398187 / variante 53350615908715</t>
        </is>
      </c>
      <c r="AL2497" s="58" t="n"/>
      <c r="AM2497" s="58" t="n"/>
      <c r="AN2497" s="155" t="inlineStr">
        <is>
          <t>Shopify Stetson México</t>
        </is>
      </c>
      <c r="AO2497" s="59" t="n">
        <v>0</v>
      </c>
      <c r="AP2497" s="59" t="n"/>
      <c r="AQ2497" s="59" t="n"/>
      <c r="AR2497" s="155" t="n"/>
    </row>
    <row r="2498">
      <c r="A2498" s="50" t="n"/>
      <c r="B2498" s="51" t="n"/>
      <c r="C2498" s="156" t="inlineStr">
        <is>
          <t>Stetson</t>
        </is>
      </c>
      <c r="D2498" s="156" t="n"/>
      <c r="E2498" s="156" t="inlineStr">
        <is>
          <t>SFGUDL-48400764</t>
        </is>
      </c>
      <c r="F2498" s="156" t="n"/>
      <c r="G2498" s="156" t="n"/>
      <c r="H2498" s="156" t="inlineStr">
        <is>
          <t>Stetson</t>
        </is>
      </c>
      <c r="I2498" s="156" t="inlineStr">
        <is>
          <t>Texana Guadalupana 6X | Stetson</t>
        </is>
      </c>
      <c r="J2498" s="156" t="inlineStr">
        <is>
          <t>Accesorios</t>
        </is>
      </c>
      <c r="K2498" s="156" t="inlineStr">
        <is>
          <t>Sombreros</t>
        </is>
      </c>
      <c r="L2498" s="156" t="inlineStr">
        <is>
          <t>Unisex</t>
        </is>
      </c>
      <c r="M2498" s="156" t="inlineStr">
        <is>
          <t>Stetson</t>
        </is>
      </c>
      <c r="N2498" s="156" t="n"/>
      <c r="O2498" s="156" t="n"/>
      <c r="P2498" s="156" t="inlineStr">
        <is>
          <t>Negro</t>
        </is>
      </c>
      <c r="Q2498" s="156" t="n"/>
      <c r="R2498" s="156" t="n"/>
      <c r="S2498" s="156" t="n"/>
      <c r="T2498"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498" s="156" t="n"/>
      <c r="V2498" s="156" t="inlineStr">
        <is>
          <t>PZS</t>
        </is>
      </c>
      <c r="W2498" s="51" t="n"/>
      <c r="X2498" s="156" t="inlineStr">
        <is>
          <t>https://cdn.shopify.com/s/files/1/0888/3250/8267/files/SFGUDL-48400772-01.jpg?v=1768851453</t>
        </is>
      </c>
      <c r="Y2498" s="54" t="n"/>
      <c r="Z2498" s="54" t="n">
        <v>6724.14</v>
      </c>
      <c r="AA2498" s="55">
        <f>IF(AND(A2498="", B2498="", E2498=""), "", IF(AB2498="", "Válido", IF((LEN(AB2498)-LEN(SUBSTITUTE(AB2498,"; ","")))/2+1&gt;(LEN(AB2498)-LEN(SUBSTITUTE(AB2498,"[Aviso]","")))/7, "Con Incidencias", "Válido")))</f>
        <v/>
      </c>
      <c r="AB2498" s="56">
        <f>IF(AND(A2498="", B2498="", E2498=""), "", TEXTJOIN("; ", TRUE, IF(OR(TRIM(A2498&amp;"")="", ISNUMBER(SEARCH("FALTA", A2498))), "UPC faltante/inválido", ""), IF(AND(A2498&lt;&gt;"", IFERROR(_xlfn.XMATCH(A2498,$A$2:$A$2509,0,1)&lt;&gt;_xlfn.XMATCH(A2498,$A$2:$A$2509,0,-1),FALSE)), "Código de barras duplicado", ""), IF(AND(E2498&lt;&gt;"", COUNTIF($E$2:$E$2509, E2498)&gt;1), "SKU duplicado", ""), IF(OR(J2498="", J2498=""), "[Aviso] División no capturada ()", IF(ISNA(MATCH(J2498, Criterios!$A$123:$A$126, 0)), "División no válida", "")), IF(OR(K2498="", K2498=""), "[Aviso] Categoría no capturada ()", IF(ISNA(MATCH(K2498, Criterios!$A$81:$A$120, 0)), "Categoría no válida", IF(AND(J2498&lt;&gt;"", J2498&lt;&gt;"", J2498&lt;&gt;VLOOKUP(K2498, Criterios!$A$81:$B$120, 2, FALSE)), "División no coincide con Categoría", ""))), IF(OR(L2498="", L2498=""), "[Aviso] Género no capturado ()", IF(ISNA(MATCH(L2498, Criterios!$B$123:$B$127, 0)), "Género no válido", "")), IF(OR(N2498="", N2498=""), "[Aviso] Temporada no capturada ()", IF(ISNA(MATCH(N2498, Criterios!$C$123:$C$128, 0)), "Temporada no válida", "")), IF(OR(O2498="", O2498=""), "[Aviso] Ciclo de vida no capturado ()", IF(ISNA(MATCH(O2498, Criterios!$D$123:$D$124, 0)), "Ciclo de vida no válido", ""))))</f>
        <v/>
      </c>
      <c r="AC2498" s="56" t="n"/>
      <c r="AD2498" s="51" t="n"/>
      <c r="AE2498" s="156" t="n"/>
      <c r="AF2498" s="51" t="n"/>
      <c r="AG2498" s="156" t="inlineStr">
        <is>
          <t>Nuevo – Shopify Stetson México 01/10/2026</t>
        </is>
      </c>
      <c r="AH2498"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N2: talla cero o vacía · Validador Shopify: V1: falta código de barras</t>
        </is>
      </c>
      <c r="AI2498" s="156" t="n"/>
      <c r="AJ2498" s="156" t="n"/>
      <c r="AK2498" s="155" t="inlineStr">
        <is>
          <t>Shopify Stetson: producto 14786585526635 / variante 53350611386731</t>
        </is>
      </c>
      <c r="AL2498" s="58" t="n"/>
      <c r="AM2498" s="58" t="n"/>
      <c r="AN2498" s="155" t="inlineStr">
        <is>
          <t>Shopify Stetson México</t>
        </is>
      </c>
      <c r="AO2498" s="59" t="n">
        <v>0</v>
      </c>
      <c r="AP2498" s="59" t="n"/>
      <c r="AQ2498" s="59" t="n"/>
      <c r="AR2498" s="155" t="n"/>
    </row>
    <row r="2499">
      <c r="A2499" s="50" t="n"/>
      <c r="B2499" s="51" t="n"/>
      <c r="C2499" s="156" t="inlineStr">
        <is>
          <t>Stetson</t>
        </is>
      </c>
      <c r="D2499" s="156" t="n"/>
      <c r="E2499" s="156" t="inlineStr">
        <is>
          <t>SFGUDL-48400765</t>
        </is>
      </c>
      <c r="F2499" s="156" t="n"/>
      <c r="G2499" s="156" t="n"/>
      <c r="H2499" s="156" t="inlineStr">
        <is>
          <t>Stetson</t>
        </is>
      </c>
      <c r="I2499" s="156" t="inlineStr">
        <is>
          <t>Texana Guadalupana 6X | Stetson</t>
        </is>
      </c>
      <c r="J2499" s="156" t="inlineStr">
        <is>
          <t>Accesorios</t>
        </is>
      </c>
      <c r="K2499" s="156" t="inlineStr">
        <is>
          <t>Sombreros</t>
        </is>
      </c>
      <c r="L2499" s="156" t="inlineStr">
        <is>
          <t>Unisex</t>
        </is>
      </c>
      <c r="M2499" s="156" t="inlineStr">
        <is>
          <t>Stetson</t>
        </is>
      </c>
      <c r="N2499" s="156" t="n"/>
      <c r="O2499" s="156" t="n"/>
      <c r="P2499" s="156" t="inlineStr">
        <is>
          <t>Negro</t>
        </is>
      </c>
      <c r="Q2499" s="156" t="n"/>
      <c r="R2499" s="156" t="n"/>
      <c r="S2499" s="156" t="n"/>
      <c r="T249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499" s="156" t="n"/>
      <c r="V2499" s="156" t="inlineStr">
        <is>
          <t>PZS</t>
        </is>
      </c>
      <c r="W2499" s="51" t="n"/>
      <c r="X2499" s="156" t="inlineStr">
        <is>
          <t>https://cdn.shopify.com/s/files/1/0888/3250/8267/files/SFGUDL-48400772-01.jpg?v=1768851453</t>
        </is>
      </c>
      <c r="Y2499" s="54" t="n"/>
      <c r="Z2499" s="54" t="n">
        <v>6724.14</v>
      </c>
      <c r="AA2499" s="55">
        <f>IF(AND(A2499="", B2499="", E2499=""), "", IF(AB2499="", "Válido", IF((LEN(AB2499)-LEN(SUBSTITUTE(AB2499,"; ","")))/2+1&gt;(LEN(AB2499)-LEN(SUBSTITUTE(AB2499,"[Aviso]","")))/7, "Con Incidencias", "Válido")))</f>
        <v/>
      </c>
      <c r="AB2499" s="56">
        <f>IF(AND(A2499="", B2499="", E2499=""), "", TEXTJOIN("; ", TRUE, IF(OR(TRIM(A2499&amp;"")="", ISNUMBER(SEARCH("FALTA", A2499))), "UPC faltante/inválido", ""), IF(AND(A2499&lt;&gt;"", IFERROR(_xlfn.XMATCH(A2499,$A$2:$A$2509,0,1)&lt;&gt;_xlfn.XMATCH(A2499,$A$2:$A$2509,0,-1),FALSE)), "Código de barras duplicado", ""), IF(AND(E2499&lt;&gt;"", COUNTIF($E$2:$E$2509, E2499)&gt;1), "SKU duplicado", ""), IF(OR(J2499="", J2499=""), "[Aviso] División no capturada ()", IF(ISNA(MATCH(J2499, Criterios!$A$123:$A$126, 0)), "División no válida", "")), IF(OR(K2499="", K2499=""), "[Aviso] Categoría no capturada ()", IF(ISNA(MATCH(K2499, Criterios!$A$81:$A$120, 0)), "Categoría no válida", IF(AND(J2499&lt;&gt;"", J2499&lt;&gt;"", J2499&lt;&gt;VLOOKUP(K2499, Criterios!$A$81:$B$120, 2, FALSE)), "División no coincide con Categoría", ""))), IF(OR(L2499="", L2499=""), "[Aviso] Género no capturado ()", IF(ISNA(MATCH(L2499, Criterios!$B$123:$B$127, 0)), "Género no válido", "")), IF(OR(N2499="", N2499=""), "[Aviso] Temporada no capturada ()", IF(ISNA(MATCH(N2499, Criterios!$C$123:$C$128, 0)), "Temporada no válida", "")), IF(OR(O2499="", O2499=""), "[Aviso] Ciclo de vida no capturado ()", IF(ISNA(MATCH(O2499, Criterios!$D$123:$D$124, 0)), "Ciclo de vida no válido", ""))))</f>
        <v/>
      </c>
      <c r="AC2499" s="56" t="n"/>
      <c r="AD2499" s="51" t="n"/>
      <c r="AE2499" s="156" t="n"/>
      <c r="AF2499" s="51" t="n"/>
      <c r="AG2499" s="156" t="inlineStr">
        <is>
          <t>Nuevo – Shopify Stetson México 01/10/2026</t>
        </is>
      </c>
      <c r="AH2499"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N2: talla cero o vacía · Validador Shopify: V1: falta código de barras</t>
        </is>
      </c>
      <c r="AI2499" s="156" t="n"/>
      <c r="AJ2499" s="156" t="n"/>
      <c r="AK2499" s="155" t="inlineStr">
        <is>
          <t>Shopify Stetson: producto 14786585526635 / variante 53350611419499</t>
        </is>
      </c>
      <c r="AL2499" s="58" t="n"/>
      <c r="AM2499" s="58" t="n"/>
      <c r="AN2499" s="155" t="inlineStr">
        <is>
          <t>Shopify Stetson México</t>
        </is>
      </c>
      <c r="AO2499" s="59" t="n">
        <v>0</v>
      </c>
      <c r="AP2499" s="59" t="n"/>
      <c r="AQ2499" s="59" t="n"/>
      <c r="AR2499" s="155" t="n"/>
    </row>
    <row r="2500">
      <c r="A2500" s="50" t="n"/>
      <c r="B2500" s="51" t="n"/>
      <c r="C2500" s="156" t="inlineStr">
        <is>
          <t>Stetson</t>
        </is>
      </c>
      <c r="D2500" s="156" t="n"/>
      <c r="E2500" s="156" t="inlineStr">
        <is>
          <t>SFGUDL-48400766</t>
        </is>
      </c>
      <c r="F2500" s="156" t="inlineStr">
        <is>
          <t>6 3/4</t>
        </is>
      </c>
      <c r="G2500" s="156" t="inlineStr">
        <is>
          <t>6 3/4</t>
        </is>
      </c>
      <c r="H2500" s="156" t="inlineStr">
        <is>
          <t>Stetson</t>
        </is>
      </c>
      <c r="I2500" s="156" t="inlineStr">
        <is>
          <t>Texana Guadalupana 6X | Stetson</t>
        </is>
      </c>
      <c r="J2500" s="156" t="inlineStr">
        <is>
          <t>Accesorios</t>
        </is>
      </c>
      <c r="K2500" s="156" t="inlineStr">
        <is>
          <t>Sombreros</t>
        </is>
      </c>
      <c r="L2500" s="156" t="inlineStr">
        <is>
          <t>Unisex</t>
        </is>
      </c>
      <c r="M2500" s="156" t="inlineStr">
        <is>
          <t>Stetson</t>
        </is>
      </c>
      <c r="N2500" s="156" t="n"/>
      <c r="O2500" s="156" t="n"/>
      <c r="P2500" s="156" t="inlineStr">
        <is>
          <t>Negro</t>
        </is>
      </c>
      <c r="Q2500" s="156" t="n"/>
      <c r="R2500" s="156" t="n"/>
      <c r="S2500" s="156" t="n"/>
      <c r="T250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0" s="156" t="n"/>
      <c r="V2500" s="156" t="inlineStr">
        <is>
          <t>PZS</t>
        </is>
      </c>
      <c r="W2500" s="51" t="n"/>
      <c r="X2500" s="156" t="inlineStr">
        <is>
          <t>https://cdn.shopify.com/s/files/1/0888/3250/8267/files/SFGUDL-48400772-01.jpg?v=1768851453</t>
        </is>
      </c>
      <c r="Y2500" s="54" t="n"/>
      <c r="Z2500" s="54" t="n">
        <v>6724.14</v>
      </c>
      <c r="AA2500" s="55">
        <f>IF(AND(A2500="", B2500="", E2500=""), "", IF(AB2500="", "Válido", IF((LEN(AB2500)-LEN(SUBSTITUTE(AB2500,"; ","")))/2+1&gt;(LEN(AB2500)-LEN(SUBSTITUTE(AB2500,"[Aviso]","")))/7, "Con Incidencias", "Válido")))</f>
        <v/>
      </c>
      <c r="AB2500" s="56">
        <f>IF(AND(A2500="", B2500="", E2500=""), "", TEXTJOIN("; ", TRUE, IF(OR(TRIM(A2500&amp;"")="", ISNUMBER(SEARCH("FALTA", A2500))), "UPC faltante/inválido", ""), IF(AND(A2500&lt;&gt;"", IFERROR(_xlfn.XMATCH(A2500,$A$2:$A$2509,0,1)&lt;&gt;_xlfn.XMATCH(A2500,$A$2:$A$2509,0,-1),FALSE)), "Código de barras duplicado", ""), IF(AND(E2500&lt;&gt;"", COUNTIF($E$2:$E$2509, E2500)&gt;1), "SKU duplicado", ""), IF(OR(J2500="", J2500=""), "[Aviso] División no capturada ()", IF(ISNA(MATCH(J2500, Criterios!$A$123:$A$126, 0)), "División no válida", "")), IF(OR(K2500="", K2500=""), "[Aviso] Categoría no capturada ()", IF(ISNA(MATCH(K2500, Criterios!$A$81:$A$120, 0)), "Categoría no válida", IF(AND(J2500&lt;&gt;"", J2500&lt;&gt;"", J2500&lt;&gt;VLOOKUP(K2500, Criterios!$A$81:$B$120, 2, FALSE)), "División no coincide con Categoría", ""))), IF(OR(L2500="", L2500=""), "[Aviso] Género no capturado ()", IF(ISNA(MATCH(L2500, Criterios!$B$123:$B$127, 0)), "Género no válido", "")), IF(OR(N2500="", N2500=""), "[Aviso] Temporada no capturada ()", IF(ISNA(MATCH(N2500, Criterios!$C$123:$C$128, 0)), "Temporada no válida", "")), IF(OR(O2500="", O2500=""), "[Aviso] Ciclo de vida no capturado ()", IF(ISNA(MATCH(O2500, Criterios!$D$123:$D$124, 0)), "Ciclo de vida no válido", ""))))</f>
        <v/>
      </c>
      <c r="AC2500" s="56" t="n"/>
      <c r="AD2500" s="51" t="n"/>
      <c r="AE2500" s="156" t="n"/>
      <c r="AF2500" s="51" t="n"/>
      <c r="AG2500" s="156" t="inlineStr">
        <is>
          <t>Nuevo – Shopify Stetson México 01/10/2026</t>
        </is>
      </c>
      <c r="AH2500"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0" s="156" t="n"/>
      <c r="AJ2500" s="156" t="n"/>
      <c r="AK2500" s="155" t="inlineStr">
        <is>
          <t>Shopify Stetson: producto 14786585526635 / variante 53350611452267</t>
        </is>
      </c>
      <c r="AL2500" s="58" t="n"/>
      <c r="AM2500" s="58" t="n"/>
      <c r="AN2500" s="155" t="inlineStr">
        <is>
          <t>Shopify Stetson México</t>
        </is>
      </c>
      <c r="AO2500" s="59" t="n">
        <v>0</v>
      </c>
      <c r="AP2500" s="59" t="n"/>
      <c r="AQ2500" s="59" t="n"/>
      <c r="AR2500" s="155" t="n"/>
    </row>
    <row r="2501">
      <c r="A2501" s="50" t="n"/>
      <c r="B2501" s="51" t="n"/>
      <c r="C2501" s="156" t="inlineStr">
        <is>
          <t>Stetson</t>
        </is>
      </c>
      <c r="D2501" s="156" t="n"/>
      <c r="E2501" s="156" t="inlineStr">
        <is>
          <t>SFGUDL-48400776</t>
        </is>
      </c>
      <c r="F2501" s="156" t="inlineStr">
        <is>
          <t>7 3/4</t>
        </is>
      </c>
      <c r="G2501" s="156" t="inlineStr">
        <is>
          <t>7 3/4</t>
        </is>
      </c>
      <c r="H2501" s="156" t="inlineStr">
        <is>
          <t>Stetson</t>
        </is>
      </c>
      <c r="I2501" s="156" t="inlineStr">
        <is>
          <t>Texana Guadalupana 6X | Stetson</t>
        </is>
      </c>
      <c r="J2501" s="156" t="inlineStr">
        <is>
          <t>Accesorios</t>
        </is>
      </c>
      <c r="K2501" s="156" t="inlineStr">
        <is>
          <t>Sombreros</t>
        </is>
      </c>
      <c r="L2501" s="156" t="inlineStr">
        <is>
          <t>Unisex</t>
        </is>
      </c>
      <c r="M2501" s="156" t="inlineStr">
        <is>
          <t>Stetson</t>
        </is>
      </c>
      <c r="N2501" s="156" t="n"/>
      <c r="O2501" s="156" t="n"/>
      <c r="P2501" s="156" t="inlineStr">
        <is>
          <t>Negro</t>
        </is>
      </c>
      <c r="Q2501" s="156" t="n"/>
      <c r="R2501" s="156" t="n"/>
      <c r="S2501" s="156" t="n"/>
      <c r="T2501"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1" s="156" t="n"/>
      <c r="V2501" s="156" t="inlineStr">
        <is>
          <t>PZS</t>
        </is>
      </c>
      <c r="W2501" s="51" t="n"/>
      <c r="X2501" s="156" t="inlineStr">
        <is>
          <t>https://cdn.shopify.com/s/files/1/0888/3250/8267/files/SFGUDL-48400772-01.jpg?v=1768851453</t>
        </is>
      </c>
      <c r="Y2501" s="54" t="n"/>
      <c r="Z2501" s="54" t="n">
        <v>6724.14</v>
      </c>
      <c r="AA2501" s="55">
        <f>IF(AND(A2501="", B2501="", E2501=""), "", IF(AB2501="", "Válido", IF((LEN(AB2501)-LEN(SUBSTITUTE(AB2501,"; ","")))/2+1&gt;(LEN(AB2501)-LEN(SUBSTITUTE(AB2501,"[Aviso]","")))/7, "Con Incidencias", "Válido")))</f>
        <v/>
      </c>
      <c r="AB2501" s="56">
        <f>IF(AND(A2501="", B2501="", E2501=""), "", TEXTJOIN("; ", TRUE, IF(OR(TRIM(A2501&amp;"")="", ISNUMBER(SEARCH("FALTA", A2501))), "UPC faltante/inválido", ""), IF(AND(A2501&lt;&gt;"", IFERROR(_xlfn.XMATCH(A2501,$A$2:$A$2509,0,1)&lt;&gt;_xlfn.XMATCH(A2501,$A$2:$A$2509,0,-1),FALSE)), "Código de barras duplicado", ""), IF(AND(E2501&lt;&gt;"", COUNTIF($E$2:$E$2509, E2501)&gt;1), "SKU duplicado", ""), IF(OR(J2501="", J2501=""), "[Aviso] División no capturada ()", IF(ISNA(MATCH(J2501, Criterios!$A$123:$A$126, 0)), "División no válida", "")), IF(OR(K2501="", K2501=""), "[Aviso] Categoría no capturada ()", IF(ISNA(MATCH(K2501, Criterios!$A$81:$A$120, 0)), "Categoría no válida", IF(AND(J2501&lt;&gt;"", J2501&lt;&gt;"", J2501&lt;&gt;VLOOKUP(K2501, Criterios!$A$81:$B$120, 2, FALSE)), "División no coincide con Categoría", ""))), IF(OR(L2501="", L2501=""), "[Aviso] Género no capturado ()", IF(ISNA(MATCH(L2501, Criterios!$B$123:$B$127, 0)), "Género no válido", "")), IF(OR(N2501="", N2501=""), "[Aviso] Temporada no capturada ()", IF(ISNA(MATCH(N2501, Criterios!$C$123:$C$128, 0)), "Temporada no válida", "")), IF(OR(O2501="", O2501=""), "[Aviso] Ciclo de vida no capturado ()", IF(ISNA(MATCH(O2501, Criterios!$D$123:$D$124, 0)), "Ciclo de vida no válido", ""))))</f>
        <v/>
      </c>
      <c r="AC2501" s="56" t="n"/>
      <c r="AD2501" s="51" t="n"/>
      <c r="AE2501" s="156" t="n"/>
      <c r="AF2501" s="51" t="n"/>
      <c r="AG2501" s="156" t="inlineStr">
        <is>
          <t>Nuevo – Shopify Stetson México 01/10/2026</t>
        </is>
      </c>
      <c r="AH2501"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1" s="156" t="n"/>
      <c r="AJ2501" s="156" t="n"/>
      <c r="AK2501" s="155" t="inlineStr">
        <is>
          <t>Shopify Stetson: producto 14786585526635 / variante 53350611714411</t>
        </is>
      </c>
      <c r="AL2501" s="58" t="n"/>
      <c r="AM2501" s="58" t="n"/>
      <c r="AN2501" s="155" t="inlineStr">
        <is>
          <t>Shopify Stetson México</t>
        </is>
      </c>
      <c r="AO2501" s="59" t="n">
        <v>0</v>
      </c>
      <c r="AP2501" s="59" t="n"/>
      <c r="AQ2501" s="59" t="n"/>
      <c r="AR2501" s="155" t="n"/>
    </row>
    <row r="2502">
      <c r="A2502" s="50" t="n"/>
      <c r="B2502" s="51" t="n"/>
      <c r="C2502" s="156" t="inlineStr">
        <is>
          <t>Stetson</t>
        </is>
      </c>
      <c r="D2502" s="156" t="n"/>
      <c r="E2502" s="156" t="inlineStr">
        <is>
          <t>SFGUDL-48400777</t>
        </is>
      </c>
      <c r="F2502" s="156" t="inlineStr">
        <is>
          <t>7 7/8</t>
        </is>
      </c>
      <c r="G2502" s="156" t="inlineStr">
        <is>
          <t>7 7/8</t>
        </is>
      </c>
      <c r="H2502" s="156" t="inlineStr">
        <is>
          <t>Stetson</t>
        </is>
      </c>
      <c r="I2502" s="156" t="inlineStr">
        <is>
          <t>Texana Guadalupana 6X | Stetson</t>
        </is>
      </c>
      <c r="J2502" s="156" t="inlineStr">
        <is>
          <t>Accesorios</t>
        </is>
      </c>
      <c r="K2502" s="156" t="inlineStr">
        <is>
          <t>Sombreros</t>
        </is>
      </c>
      <c r="L2502" s="156" t="inlineStr">
        <is>
          <t>Unisex</t>
        </is>
      </c>
      <c r="M2502" s="156" t="inlineStr">
        <is>
          <t>Stetson</t>
        </is>
      </c>
      <c r="N2502" s="156" t="n"/>
      <c r="O2502" s="156" t="n"/>
      <c r="P2502" s="156" t="inlineStr">
        <is>
          <t>Negro</t>
        </is>
      </c>
      <c r="Q2502" s="156" t="n"/>
      <c r="R2502" s="156" t="n"/>
      <c r="S2502" s="156" t="n"/>
      <c r="T2502"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2" s="156" t="n"/>
      <c r="V2502" s="156" t="inlineStr">
        <is>
          <t>PZS</t>
        </is>
      </c>
      <c r="W2502" s="51" t="n"/>
      <c r="X2502" s="156" t="inlineStr">
        <is>
          <t>https://cdn.shopify.com/s/files/1/0888/3250/8267/files/SFGUDL-48400772-01.jpg?v=1768851453</t>
        </is>
      </c>
      <c r="Y2502" s="54" t="n"/>
      <c r="Z2502" s="54" t="n">
        <v>6724.14</v>
      </c>
      <c r="AA2502" s="55">
        <f>IF(AND(A2502="", B2502="", E2502=""), "", IF(AB2502="", "Válido", IF((LEN(AB2502)-LEN(SUBSTITUTE(AB2502,"; ","")))/2+1&gt;(LEN(AB2502)-LEN(SUBSTITUTE(AB2502,"[Aviso]","")))/7, "Con Incidencias", "Válido")))</f>
        <v/>
      </c>
      <c r="AB2502" s="56">
        <f>IF(AND(A2502="", B2502="", E2502=""), "", TEXTJOIN("; ", TRUE, IF(OR(TRIM(A2502&amp;"")="", ISNUMBER(SEARCH("FALTA", A2502))), "UPC faltante/inválido", ""), IF(AND(A2502&lt;&gt;"", IFERROR(_xlfn.XMATCH(A2502,$A$2:$A$2509,0,1)&lt;&gt;_xlfn.XMATCH(A2502,$A$2:$A$2509,0,-1),FALSE)), "Código de barras duplicado", ""), IF(AND(E2502&lt;&gt;"", COUNTIF($E$2:$E$2509, E2502)&gt;1), "SKU duplicado", ""), IF(OR(J2502="", J2502=""), "[Aviso] División no capturada ()", IF(ISNA(MATCH(J2502, Criterios!$A$123:$A$126, 0)), "División no válida", "")), IF(OR(K2502="", K2502=""), "[Aviso] Categoría no capturada ()", IF(ISNA(MATCH(K2502, Criterios!$A$81:$A$120, 0)), "Categoría no válida", IF(AND(J2502&lt;&gt;"", J2502&lt;&gt;"", J2502&lt;&gt;VLOOKUP(K2502, Criterios!$A$81:$B$120, 2, FALSE)), "División no coincide con Categoría", ""))), IF(OR(L2502="", L2502=""), "[Aviso] Género no capturado ()", IF(ISNA(MATCH(L2502, Criterios!$B$123:$B$127, 0)), "Género no válido", "")), IF(OR(N2502="", N2502=""), "[Aviso] Temporada no capturada ()", IF(ISNA(MATCH(N2502, Criterios!$C$123:$C$128, 0)), "Temporada no válida", "")), IF(OR(O2502="", O2502=""), "[Aviso] Ciclo de vida no capturado ()", IF(ISNA(MATCH(O2502, Criterios!$D$123:$D$124, 0)), "Ciclo de vida no válido", ""))))</f>
        <v/>
      </c>
      <c r="AC2502" s="56" t="n"/>
      <c r="AD2502" s="51" t="n"/>
      <c r="AE2502" s="156" t="n"/>
      <c r="AF2502" s="51" t="n"/>
      <c r="AG2502" s="156" t="inlineStr">
        <is>
          <t>Nuevo – Shopify Stetson México 01/10/2026</t>
        </is>
      </c>
      <c r="AH2502"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2" s="156" t="n"/>
      <c r="AJ2502" s="156" t="n"/>
      <c r="AK2502" s="155" t="inlineStr">
        <is>
          <t>Shopify Stetson: producto 14786585526635 / variante 53350611747179</t>
        </is>
      </c>
      <c r="AL2502" s="58" t="n"/>
      <c r="AM2502" s="58" t="n"/>
      <c r="AN2502" s="155" t="inlineStr">
        <is>
          <t>Shopify Stetson México</t>
        </is>
      </c>
      <c r="AO2502" s="59" t="n">
        <v>0</v>
      </c>
      <c r="AP2502" s="59" t="n"/>
      <c r="AQ2502" s="59" t="n"/>
      <c r="AR2502" s="155" t="n"/>
    </row>
    <row r="2503">
      <c r="A2503" s="50" t="n"/>
      <c r="B2503" s="51" t="n"/>
      <c r="C2503" s="156" t="inlineStr">
        <is>
          <t>Stetson</t>
        </is>
      </c>
      <c r="D2503" s="156" t="n"/>
      <c r="E2503" s="156" t="inlineStr">
        <is>
          <t>SFGUDL-48400780</t>
        </is>
      </c>
      <c r="F2503" s="156" t="inlineStr">
        <is>
          <t>8</t>
        </is>
      </c>
      <c r="G2503" s="156" t="inlineStr">
        <is>
          <t>8</t>
        </is>
      </c>
      <c r="H2503" s="156" t="inlineStr">
        <is>
          <t>Stetson</t>
        </is>
      </c>
      <c r="I2503" s="156" t="inlineStr">
        <is>
          <t>Texana Guadalupana 6X | Stetson</t>
        </is>
      </c>
      <c r="J2503" s="156" t="inlineStr">
        <is>
          <t>Accesorios</t>
        </is>
      </c>
      <c r="K2503" s="156" t="inlineStr">
        <is>
          <t>Sombreros</t>
        </is>
      </c>
      <c r="L2503" s="156" t="inlineStr">
        <is>
          <t>Unisex</t>
        </is>
      </c>
      <c r="M2503" s="156" t="inlineStr">
        <is>
          <t>Stetson</t>
        </is>
      </c>
      <c r="N2503" s="156" t="n"/>
      <c r="O2503" s="156" t="n"/>
      <c r="P2503" s="156" t="inlineStr">
        <is>
          <t>Negro</t>
        </is>
      </c>
      <c r="Q2503" s="156" t="n"/>
      <c r="R2503" s="156" t="n"/>
      <c r="S2503" s="156" t="n"/>
      <c r="T2503"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3" s="156" t="n"/>
      <c r="V2503" s="156" t="inlineStr">
        <is>
          <t>PZS</t>
        </is>
      </c>
      <c r="W2503" s="51" t="n"/>
      <c r="X2503" s="156" t="inlineStr">
        <is>
          <t>https://cdn.shopify.com/s/files/1/0888/3250/8267/files/SFGUDL-48400772-01.jpg?v=1768851453</t>
        </is>
      </c>
      <c r="Y2503" s="54" t="n"/>
      <c r="Z2503" s="54" t="n">
        <v>6724.14</v>
      </c>
      <c r="AA2503" s="55">
        <f>IF(AND(A2503="", B2503="", E2503=""), "", IF(AB2503="", "Válido", IF((LEN(AB2503)-LEN(SUBSTITUTE(AB2503,"; ","")))/2+1&gt;(LEN(AB2503)-LEN(SUBSTITUTE(AB2503,"[Aviso]","")))/7, "Con Incidencias", "Válido")))</f>
        <v/>
      </c>
      <c r="AB2503" s="56">
        <f>IF(AND(A2503="", B2503="", E2503=""), "", TEXTJOIN("; ", TRUE, IF(OR(TRIM(A2503&amp;"")="", ISNUMBER(SEARCH("FALTA", A2503))), "UPC faltante/inválido", ""), IF(AND(A2503&lt;&gt;"", IFERROR(_xlfn.XMATCH(A2503,$A$2:$A$2509,0,1)&lt;&gt;_xlfn.XMATCH(A2503,$A$2:$A$2509,0,-1),FALSE)), "Código de barras duplicado", ""), IF(AND(E2503&lt;&gt;"", COUNTIF($E$2:$E$2509, E2503)&gt;1), "SKU duplicado", ""), IF(OR(J2503="", J2503=""), "[Aviso] División no capturada ()", IF(ISNA(MATCH(J2503, Criterios!$A$123:$A$126, 0)), "División no válida", "")), IF(OR(K2503="", K2503=""), "[Aviso] Categoría no capturada ()", IF(ISNA(MATCH(K2503, Criterios!$A$81:$A$120, 0)), "Categoría no válida", IF(AND(J2503&lt;&gt;"", J2503&lt;&gt;"", J2503&lt;&gt;VLOOKUP(K2503, Criterios!$A$81:$B$120, 2, FALSE)), "División no coincide con Categoría", ""))), IF(OR(L2503="", L2503=""), "[Aviso] Género no capturado ()", IF(ISNA(MATCH(L2503, Criterios!$B$123:$B$127, 0)), "Género no válido", "")), IF(OR(N2503="", N2503=""), "[Aviso] Temporada no capturada ()", IF(ISNA(MATCH(N2503, Criterios!$C$123:$C$128, 0)), "Temporada no válida", "")), IF(OR(O2503="", O2503=""), "[Aviso] Ciclo de vida no capturado ()", IF(ISNA(MATCH(O2503, Criterios!$D$123:$D$124, 0)), "Ciclo de vida no válido", ""))))</f>
        <v/>
      </c>
      <c r="AC2503" s="56" t="n"/>
      <c r="AD2503" s="51" t="n"/>
      <c r="AE2503" s="156" t="n"/>
      <c r="AF2503" s="51" t="n"/>
      <c r="AG2503" s="156" t="inlineStr">
        <is>
          <t>Nuevo – Shopify Stetson México 01/10/2026</t>
        </is>
      </c>
      <c r="AH2503"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3" s="156" t="n"/>
      <c r="AJ2503" s="156" t="n"/>
      <c r="AK2503" s="155" t="inlineStr">
        <is>
          <t>Shopify Stetson: producto 14786585526635 / variante 53350611779947</t>
        </is>
      </c>
      <c r="AL2503" s="58" t="n"/>
      <c r="AM2503" s="58" t="n"/>
      <c r="AN2503" s="155" t="inlineStr">
        <is>
          <t>Shopify Stetson México</t>
        </is>
      </c>
      <c r="AO2503" s="59" t="n">
        <v>0</v>
      </c>
      <c r="AP2503" s="59" t="n"/>
      <c r="AQ2503" s="59" t="n"/>
      <c r="AR2503" s="155" t="n"/>
    </row>
    <row r="2504">
      <c r="A2504" s="50" t="n"/>
      <c r="B2504" s="51" t="n"/>
      <c r="C2504" s="156" t="inlineStr">
        <is>
          <t>Stetson</t>
        </is>
      </c>
      <c r="D2504" s="156" t="n"/>
      <c r="E2504" s="156" t="inlineStr">
        <is>
          <t>SFGUDL-48406164</t>
        </is>
      </c>
      <c r="F2504" s="156" t="n"/>
      <c r="G2504" s="156" t="n"/>
      <c r="H2504" s="156" t="inlineStr">
        <is>
          <t>Stetson</t>
        </is>
      </c>
      <c r="I2504" s="156" t="inlineStr">
        <is>
          <t>Texana Guadalupana 6X | Stetson</t>
        </is>
      </c>
      <c r="J2504" s="156" t="inlineStr">
        <is>
          <t>Accesorios</t>
        </is>
      </c>
      <c r="K2504" s="156" t="inlineStr">
        <is>
          <t>Sombreros</t>
        </is>
      </c>
      <c r="L2504" s="156" t="inlineStr">
        <is>
          <t>Unisex</t>
        </is>
      </c>
      <c r="M2504" s="156" t="inlineStr">
        <is>
          <t>Stetson</t>
        </is>
      </c>
      <c r="N2504" s="156" t="n"/>
      <c r="O2504" s="156" t="n"/>
      <c r="P2504" s="156" t="inlineStr">
        <is>
          <t>Varios</t>
        </is>
      </c>
      <c r="Q2504" s="156" t="n"/>
      <c r="R2504" s="156" t="n"/>
      <c r="S2504" s="156" t="n"/>
      <c r="T2504"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4" s="156" t="n"/>
      <c r="V2504" s="156" t="inlineStr">
        <is>
          <t>PZS</t>
        </is>
      </c>
      <c r="W2504" s="51" t="n"/>
      <c r="X2504" s="156" t="inlineStr">
        <is>
          <t>https://cdn.shopify.com/s/files/1/0888/3250/8267/files/SFGUDL-484061-01_81f99577-bdba-4e10-a1ce-f6e69e08187a.jpg?v=1759767981</t>
        </is>
      </c>
      <c r="Y2504" s="54" t="n"/>
      <c r="Z2504" s="54" t="n">
        <v>6724.14</v>
      </c>
      <c r="AA2504" s="55">
        <f>IF(AND(A2504="", B2504="", E2504=""), "", IF(AB2504="", "Válido", IF((LEN(AB2504)-LEN(SUBSTITUTE(AB2504,"; ","")))/2+1&gt;(LEN(AB2504)-LEN(SUBSTITUTE(AB2504,"[Aviso]","")))/7, "Con Incidencias", "Válido")))</f>
        <v/>
      </c>
      <c r="AB2504" s="56">
        <f>IF(AND(A2504="", B2504="", E2504=""), "", TEXTJOIN("; ", TRUE, IF(OR(TRIM(A2504&amp;"")="", ISNUMBER(SEARCH("FALTA", A2504))), "UPC faltante/inválido", ""), IF(AND(A2504&lt;&gt;"", IFERROR(_xlfn.XMATCH(A2504,$A$2:$A$2509,0,1)&lt;&gt;_xlfn.XMATCH(A2504,$A$2:$A$2509,0,-1),FALSE)), "Código de barras duplicado", ""), IF(AND(E2504&lt;&gt;"", COUNTIF($E$2:$E$2509, E2504)&gt;1), "SKU duplicado", ""), IF(OR(J2504="", J2504=""), "[Aviso] División no capturada ()", IF(ISNA(MATCH(J2504, Criterios!$A$123:$A$126, 0)), "División no válida", "")), IF(OR(K2504="", K2504=""), "[Aviso] Categoría no capturada ()", IF(ISNA(MATCH(K2504, Criterios!$A$81:$A$120, 0)), "Categoría no válida", IF(AND(J2504&lt;&gt;"", J2504&lt;&gt;"", J2504&lt;&gt;VLOOKUP(K2504, Criterios!$A$81:$B$120, 2, FALSE)), "División no coincide con Categoría", ""))), IF(OR(L2504="", L2504=""), "[Aviso] Género no capturado ()", IF(ISNA(MATCH(L2504, Criterios!$B$123:$B$127, 0)), "Género no válido", "")), IF(OR(N2504="", N2504=""), "[Aviso] Temporada no capturada ()", IF(ISNA(MATCH(N2504, Criterios!$C$123:$C$128, 0)), "Temporada no válida", "")), IF(OR(O2504="", O2504=""), "[Aviso] Ciclo de vida no capturado ()", IF(ISNA(MATCH(O2504, Criterios!$D$123:$D$124, 0)), "Ciclo de vida no válido", ""))))</f>
        <v/>
      </c>
      <c r="AC2504" s="56" t="n"/>
      <c r="AD2504" s="51" t="n"/>
      <c r="AE2504" s="156" t="n"/>
      <c r="AF2504" s="51" t="n"/>
      <c r="AG2504" s="156" t="inlineStr">
        <is>
          <t>Nuevo – Shopify Stetson México 01/10/2026</t>
        </is>
      </c>
      <c r="AH2504"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N2: talla cero o vacía · Validador Shopify: V1: falta código de barras</t>
        </is>
      </c>
      <c r="AI2504" s="156" t="n"/>
      <c r="AJ2504" s="156" t="n"/>
      <c r="AK2504" s="155" t="inlineStr">
        <is>
          <t>Shopify Stetson: producto 14786585526635 / variante 53350610960747</t>
        </is>
      </c>
      <c r="AL2504" s="58" t="n"/>
      <c r="AM2504" s="58" t="n"/>
      <c r="AN2504" s="155" t="inlineStr">
        <is>
          <t>Shopify Stetson México</t>
        </is>
      </c>
      <c r="AO2504" s="59" t="n">
        <v>0</v>
      </c>
      <c r="AP2504" s="59" t="n"/>
      <c r="AQ2504" s="59" t="n"/>
      <c r="AR2504" s="155" t="n"/>
    </row>
    <row r="2505">
      <c r="A2505" s="50" t="n"/>
      <c r="B2505" s="51" t="n"/>
      <c r="C2505" s="156" t="inlineStr">
        <is>
          <t>Stetson</t>
        </is>
      </c>
      <c r="D2505" s="156" t="n"/>
      <c r="E2505" s="156" t="inlineStr">
        <is>
          <t>SFGUDL-48406165</t>
        </is>
      </c>
      <c r="F2505" s="156" t="n"/>
      <c r="G2505" s="156" t="n"/>
      <c r="H2505" s="156" t="inlineStr">
        <is>
          <t>Stetson</t>
        </is>
      </c>
      <c r="I2505" s="156" t="inlineStr">
        <is>
          <t>Texana Guadalupana 6X | Stetson</t>
        </is>
      </c>
      <c r="J2505" s="156" t="inlineStr">
        <is>
          <t>Accesorios</t>
        </is>
      </c>
      <c r="K2505" s="156" t="inlineStr">
        <is>
          <t>Sombreros</t>
        </is>
      </c>
      <c r="L2505" s="156" t="inlineStr">
        <is>
          <t>Unisex</t>
        </is>
      </c>
      <c r="M2505" s="156" t="inlineStr">
        <is>
          <t>Stetson</t>
        </is>
      </c>
      <c r="N2505" s="156" t="n"/>
      <c r="O2505" s="156" t="n"/>
      <c r="P2505" s="156" t="inlineStr">
        <is>
          <t>Varios</t>
        </is>
      </c>
      <c r="Q2505" s="156" t="n"/>
      <c r="R2505" s="156" t="n"/>
      <c r="S2505" s="156" t="n"/>
      <c r="T2505"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5" s="156" t="n"/>
      <c r="V2505" s="156" t="inlineStr">
        <is>
          <t>PZS</t>
        </is>
      </c>
      <c r="W2505" s="51" t="n"/>
      <c r="X2505" s="156" t="inlineStr">
        <is>
          <t>https://cdn.shopify.com/s/files/1/0888/3250/8267/files/SFGUDL-484061-01_81f99577-bdba-4e10-a1ce-f6e69e08187a.jpg?v=1759767981</t>
        </is>
      </c>
      <c r="Y2505" s="54" t="n"/>
      <c r="Z2505" s="54" t="n">
        <v>6724.14</v>
      </c>
      <c r="AA2505" s="55">
        <f>IF(AND(A2505="", B2505="", E2505=""), "", IF(AB2505="", "Válido", IF((LEN(AB2505)-LEN(SUBSTITUTE(AB2505,"; ","")))/2+1&gt;(LEN(AB2505)-LEN(SUBSTITUTE(AB2505,"[Aviso]","")))/7, "Con Incidencias", "Válido")))</f>
        <v/>
      </c>
      <c r="AB2505" s="56">
        <f>IF(AND(A2505="", B2505="", E2505=""), "", TEXTJOIN("; ", TRUE, IF(OR(TRIM(A2505&amp;"")="", ISNUMBER(SEARCH("FALTA", A2505))), "UPC faltante/inválido", ""), IF(AND(A2505&lt;&gt;"", IFERROR(_xlfn.XMATCH(A2505,$A$2:$A$2509,0,1)&lt;&gt;_xlfn.XMATCH(A2505,$A$2:$A$2509,0,-1),FALSE)), "Código de barras duplicado", ""), IF(AND(E2505&lt;&gt;"", COUNTIF($E$2:$E$2509, E2505)&gt;1), "SKU duplicado", ""), IF(OR(J2505="", J2505=""), "[Aviso] División no capturada ()", IF(ISNA(MATCH(J2505, Criterios!$A$123:$A$126, 0)), "División no válida", "")), IF(OR(K2505="", K2505=""), "[Aviso] Categoría no capturada ()", IF(ISNA(MATCH(K2505, Criterios!$A$81:$A$120, 0)), "Categoría no válida", IF(AND(J2505&lt;&gt;"", J2505&lt;&gt;"", J2505&lt;&gt;VLOOKUP(K2505, Criterios!$A$81:$B$120, 2, FALSE)), "División no coincide con Categoría", ""))), IF(OR(L2505="", L2505=""), "[Aviso] Género no capturado ()", IF(ISNA(MATCH(L2505, Criterios!$B$123:$B$127, 0)), "Género no válido", "")), IF(OR(N2505="", N2505=""), "[Aviso] Temporada no capturada ()", IF(ISNA(MATCH(N2505, Criterios!$C$123:$C$128, 0)), "Temporada no válida", "")), IF(OR(O2505="", O2505=""), "[Aviso] Ciclo de vida no capturado ()", IF(ISNA(MATCH(O2505, Criterios!$D$123:$D$124, 0)), "Ciclo de vida no válido", ""))))</f>
        <v/>
      </c>
      <c r="AC2505" s="56" t="n"/>
      <c r="AD2505" s="51" t="n"/>
      <c r="AE2505" s="156" t="n"/>
      <c r="AF2505" s="51" t="n"/>
      <c r="AG2505" s="156" t="inlineStr">
        <is>
          <t>Nuevo – Shopify Stetson México 01/10/2026</t>
        </is>
      </c>
      <c r="AH2505"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N2: talla cero o vacía · Validador Shopify: V1: falta código de barras</t>
        </is>
      </c>
      <c r="AI2505" s="156" t="n"/>
      <c r="AJ2505" s="156" t="n"/>
      <c r="AK2505" s="155" t="inlineStr">
        <is>
          <t>Shopify Stetson: producto 14786585526635 / variante 53350610993515</t>
        </is>
      </c>
      <c r="AL2505" s="58" t="n"/>
      <c r="AM2505" s="58" t="n"/>
      <c r="AN2505" s="155" t="inlineStr">
        <is>
          <t>Shopify Stetson México</t>
        </is>
      </c>
      <c r="AO2505" s="59" t="n">
        <v>0</v>
      </c>
      <c r="AP2505" s="59" t="n"/>
      <c r="AQ2505" s="59" t="n"/>
      <c r="AR2505" s="155" t="n"/>
    </row>
    <row r="2506">
      <c r="A2506" s="50" t="n"/>
      <c r="B2506" s="51" t="n"/>
      <c r="C2506" s="156" t="inlineStr">
        <is>
          <t>Stetson</t>
        </is>
      </c>
      <c r="D2506" s="156" t="n"/>
      <c r="E2506" s="156" t="inlineStr">
        <is>
          <t>SFGUDL-48406166</t>
        </is>
      </c>
      <c r="F2506" s="156" t="inlineStr">
        <is>
          <t>6 3/4</t>
        </is>
      </c>
      <c r="G2506" s="156" t="inlineStr">
        <is>
          <t>6 3/4</t>
        </is>
      </c>
      <c r="H2506" s="156" t="inlineStr">
        <is>
          <t>Stetson</t>
        </is>
      </c>
      <c r="I2506" s="156" t="inlineStr">
        <is>
          <t>Texana Guadalupana 6X | Stetson</t>
        </is>
      </c>
      <c r="J2506" s="156" t="inlineStr">
        <is>
          <t>Accesorios</t>
        </is>
      </c>
      <c r="K2506" s="156" t="inlineStr">
        <is>
          <t>Sombreros</t>
        </is>
      </c>
      <c r="L2506" s="156" t="inlineStr">
        <is>
          <t>Unisex</t>
        </is>
      </c>
      <c r="M2506" s="156" t="inlineStr">
        <is>
          <t>Stetson</t>
        </is>
      </c>
      <c r="N2506" s="156" t="n"/>
      <c r="O2506" s="156" t="n"/>
      <c r="P2506" s="156" t="inlineStr">
        <is>
          <t>Varios</t>
        </is>
      </c>
      <c r="Q2506" s="156" t="n"/>
      <c r="R2506" s="156" t="n"/>
      <c r="S2506" s="156" t="n"/>
      <c r="T2506"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6" s="156" t="n"/>
      <c r="V2506" s="156" t="inlineStr">
        <is>
          <t>PZS</t>
        </is>
      </c>
      <c r="W2506" s="51" t="n"/>
      <c r="X2506" s="156" t="inlineStr">
        <is>
          <t>https://cdn.shopify.com/s/files/1/0888/3250/8267/files/SFGUDL-484061-01_81f99577-bdba-4e10-a1ce-f6e69e08187a.jpg?v=1759767981</t>
        </is>
      </c>
      <c r="Y2506" s="54" t="n"/>
      <c r="Z2506" s="54" t="n">
        <v>6724.14</v>
      </c>
      <c r="AA2506" s="55">
        <f>IF(AND(A2506="", B2506="", E2506=""), "", IF(AB2506="", "Válido", IF((LEN(AB2506)-LEN(SUBSTITUTE(AB2506,"; ","")))/2+1&gt;(LEN(AB2506)-LEN(SUBSTITUTE(AB2506,"[Aviso]","")))/7, "Con Incidencias", "Válido")))</f>
        <v/>
      </c>
      <c r="AB2506" s="56">
        <f>IF(AND(A2506="", B2506="", E2506=""), "", TEXTJOIN("; ", TRUE, IF(OR(TRIM(A2506&amp;"")="", ISNUMBER(SEARCH("FALTA", A2506))), "UPC faltante/inválido", ""), IF(AND(A2506&lt;&gt;"", IFERROR(_xlfn.XMATCH(A2506,$A$2:$A$2509,0,1)&lt;&gt;_xlfn.XMATCH(A2506,$A$2:$A$2509,0,-1),FALSE)), "Código de barras duplicado", ""), IF(AND(E2506&lt;&gt;"", COUNTIF($E$2:$E$2509, E2506)&gt;1), "SKU duplicado", ""), IF(OR(J2506="", J2506=""), "[Aviso] División no capturada ()", IF(ISNA(MATCH(J2506, Criterios!$A$123:$A$126, 0)), "División no válida", "")), IF(OR(K2506="", K2506=""), "[Aviso] Categoría no capturada ()", IF(ISNA(MATCH(K2506, Criterios!$A$81:$A$120, 0)), "Categoría no válida", IF(AND(J2506&lt;&gt;"", J2506&lt;&gt;"", J2506&lt;&gt;VLOOKUP(K2506, Criterios!$A$81:$B$120, 2, FALSE)), "División no coincide con Categoría", ""))), IF(OR(L2506="", L2506=""), "[Aviso] Género no capturado ()", IF(ISNA(MATCH(L2506, Criterios!$B$123:$B$127, 0)), "Género no válido", "")), IF(OR(N2506="", N2506=""), "[Aviso] Temporada no capturada ()", IF(ISNA(MATCH(N2506, Criterios!$C$123:$C$128, 0)), "Temporada no válida", "")), IF(OR(O2506="", O2506=""), "[Aviso] Ciclo de vida no capturado ()", IF(ISNA(MATCH(O2506, Criterios!$D$123:$D$124, 0)), "Ciclo de vida no válido", ""))))</f>
        <v/>
      </c>
      <c r="AC2506" s="56" t="n"/>
      <c r="AD2506" s="51" t="n"/>
      <c r="AE2506" s="156" t="n"/>
      <c r="AF2506" s="51" t="n"/>
      <c r="AG2506" s="156" t="inlineStr">
        <is>
          <t>Nuevo – Shopify Stetson México 01/10/2026</t>
        </is>
      </c>
      <c r="AH2506"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6" s="156" t="n"/>
      <c r="AJ2506" s="156" t="n"/>
      <c r="AK2506" s="155" t="inlineStr">
        <is>
          <t>Shopify Stetson: producto 14786585526635 / variante 53350611026283</t>
        </is>
      </c>
      <c r="AL2506" s="58" t="n"/>
      <c r="AM2506" s="58" t="n"/>
      <c r="AN2506" s="155" t="inlineStr">
        <is>
          <t>Shopify Stetson México</t>
        </is>
      </c>
      <c r="AO2506" s="59" t="n">
        <v>0</v>
      </c>
      <c r="AP2506" s="59" t="n"/>
      <c r="AQ2506" s="59" t="n"/>
      <c r="AR2506" s="155" t="n"/>
    </row>
    <row r="2507">
      <c r="A2507" s="50" t="n"/>
      <c r="B2507" s="51" t="n"/>
      <c r="C2507" s="156" t="inlineStr">
        <is>
          <t>Stetson</t>
        </is>
      </c>
      <c r="D2507" s="156" t="n"/>
      <c r="E2507" s="156" t="inlineStr">
        <is>
          <t>SFGUDL-48406176</t>
        </is>
      </c>
      <c r="F2507" s="156" t="inlineStr">
        <is>
          <t>7 3/4</t>
        </is>
      </c>
      <c r="G2507" s="156" t="inlineStr">
        <is>
          <t>7 3/4</t>
        </is>
      </c>
      <c r="H2507" s="156" t="inlineStr">
        <is>
          <t>Stetson</t>
        </is>
      </c>
      <c r="I2507" s="156" t="inlineStr">
        <is>
          <t>Texana Guadalupana 6X | Stetson</t>
        </is>
      </c>
      <c r="J2507" s="156" t="inlineStr">
        <is>
          <t>Accesorios</t>
        </is>
      </c>
      <c r="K2507" s="156" t="inlineStr">
        <is>
          <t>Sombreros</t>
        </is>
      </c>
      <c r="L2507" s="156" t="inlineStr">
        <is>
          <t>Unisex</t>
        </is>
      </c>
      <c r="M2507" s="156" t="inlineStr">
        <is>
          <t>Stetson</t>
        </is>
      </c>
      <c r="N2507" s="156" t="n"/>
      <c r="O2507" s="156" t="n"/>
      <c r="P2507" s="156" t="inlineStr">
        <is>
          <t>Varios</t>
        </is>
      </c>
      <c r="Q2507" s="156" t="n"/>
      <c r="R2507" s="156" t="n"/>
      <c r="S2507" s="156" t="n"/>
      <c r="T2507"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7" s="156" t="n"/>
      <c r="V2507" s="156" t="inlineStr">
        <is>
          <t>PZS</t>
        </is>
      </c>
      <c r="W2507" s="51" t="n"/>
      <c r="X2507" s="156" t="inlineStr">
        <is>
          <t>https://cdn.shopify.com/s/files/1/0888/3250/8267/files/SFGUDL-484061-01_81f99577-bdba-4e10-a1ce-f6e69e08187a.jpg?v=1759767981</t>
        </is>
      </c>
      <c r="Y2507" s="54" t="n"/>
      <c r="Z2507" s="54" t="n">
        <v>6724.14</v>
      </c>
      <c r="AA2507" s="55">
        <f>IF(AND(A2507="", B2507="", E2507=""), "", IF(AB2507="", "Válido", IF((LEN(AB2507)-LEN(SUBSTITUTE(AB2507,"; ","")))/2+1&gt;(LEN(AB2507)-LEN(SUBSTITUTE(AB2507,"[Aviso]","")))/7, "Con Incidencias", "Válido")))</f>
        <v/>
      </c>
      <c r="AB2507" s="56">
        <f>IF(AND(A2507="", B2507="", E2507=""), "", TEXTJOIN("; ", TRUE, IF(OR(TRIM(A2507&amp;"")="", ISNUMBER(SEARCH("FALTA", A2507))), "UPC faltante/inválido", ""), IF(AND(A2507&lt;&gt;"", IFERROR(_xlfn.XMATCH(A2507,$A$2:$A$2509,0,1)&lt;&gt;_xlfn.XMATCH(A2507,$A$2:$A$2509,0,-1),FALSE)), "Código de barras duplicado", ""), IF(AND(E2507&lt;&gt;"", COUNTIF($E$2:$E$2509, E2507)&gt;1), "SKU duplicado", ""), IF(OR(J2507="", J2507=""), "[Aviso] División no capturada ()", IF(ISNA(MATCH(J2507, Criterios!$A$123:$A$126, 0)), "División no válida", "")), IF(OR(K2507="", K2507=""), "[Aviso] Categoría no capturada ()", IF(ISNA(MATCH(K2507, Criterios!$A$81:$A$120, 0)), "Categoría no válida", IF(AND(J2507&lt;&gt;"", J2507&lt;&gt;"", J2507&lt;&gt;VLOOKUP(K2507, Criterios!$A$81:$B$120, 2, FALSE)), "División no coincide con Categoría", ""))), IF(OR(L2507="", L2507=""), "[Aviso] Género no capturado ()", IF(ISNA(MATCH(L2507, Criterios!$B$123:$B$127, 0)), "Género no válido", "")), IF(OR(N2507="", N2507=""), "[Aviso] Temporada no capturada ()", IF(ISNA(MATCH(N2507, Criterios!$C$123:$C$128, 0)), "Temporada no válida", "")), IF(OR(O2507="", O2507=""), "[Aviso] Ciclo de vida no capturado ()", IF(ISNA(MATCH(O2507, Criterios!$D$123:$D$124, 0)), "Ciclo de vida no válido", ""))))</f>
        <v/>
      </c>
      <c r="AC2507" s="56" t="n"/>
      <c r="AD2507" s="51" t="n"/>
      <c r="AE2507" s="156" t="n"/>
      <c r="AF2507" s="51" t="n"/>
      <c r="AG2507" s="156" t="inlineStr">
        <is>
          <t>Nuevo – Shopify Stetson México 01/10/2026</t>
        </is>
      </c>
      <c r="AH2507"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7" s="156" t="n"/>
      <c r="AJ2507" s="156" t="n"/>
      <c r="AK2507" s="155" t="inlineStr">
        <is>
          <t>Shopify Stetson: producto 14786585526635 / variante 53350611288427</t>
        </is>
      </c>
      <c r="AL2507" s="58" t="n"/>
      <c r="AM2507" s="58" t="n"/>
      <c r="AN2507" s="155" t="inlineStr">
        <is>
          <t>Shopify Stetson México</t>
        </is>
      </c>
      <c r="AO2507" s="59" t="n">
        <v>0</v>
      </c>
      <c r="AP2507" s="59" t="n"/>
      <c r="AQ2507" s="59" t="n"/>
      <c r="AR2507" s="155" t="n"/>
    </row>
    <row r="2508">
      <c r="A2508" s="50" t="n"/>
      <c r="B2508" s="51" t="n"/>
      <c r="C2508" s="156" t="inlineStr">
        <is>
          <t>Stetson</t>
        </is>
      </c>
      <c r="D2508" s="156" t="n"/>
      <c r="E2508" s="156" t="inlineStr">
        <is>
          <t>SFGUDL-48406177</t>
        </is>
      </c>
      <c r="F2508" s="156" t="inlineStr">
        <is>
          <t>7 7/8</t>
        </is>
      </c>
      <c r="G2508" s="156" t="inlineStr">
        <is>
          <t>7 7/8</t>
        </is>
      </c>
      <c r="H2508" s="156" t="inlineStr">
        <is>
          <t>Stetson</t>
        </is>
      </c>
      <c r="I2508" s="156" t="inlineStr">
        <is>
          <t>Texana Guadalupana 6X | Stetson</t>
        </is>
      </c>
      <c r="J2508" s="156" t="inlineStr">
        <is>
          <t>Accesorios</t>
        </is>
      </c>
      <c r="K2508" s="156" t="inlineStr">
        <is>
          <t>Sombreros</t>
        </is>
      </c>
      <c r="L2508" s="156" t="inlineStr">
        <is>
          <t>Unisex</t>
        </is>
      </c>
      <c r="M2508" s="156" t="inlineStr">
        <is>
          <t>Stetson</t>
        </is>
      </c>
      <c r="N2508" s="156" t="n"/>
      <c r="O2508" s="156" t="n"/>
      <c r="P2508" s="156" t="inlineStr">
        <is>
          <t>Varios</t>
        </is>
      </c>
      <c r="Q2508" s="156" t="n"/>
      <c r="R2508" s="156" t="n"/>
      <c r="S2508" s="156" t="n"/>
      <c r="T2508"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8" s="156" t="n"/>
      <c r="V2508" s="156" t="inlineStr">
        <is>
          <t>PZS</t>
        </is>
      </c>
      <c r="W2508" s="51" t="n"/>
      <c r="X2508" s="156" t="inlineStr">
        <is>
          <t>https://cdn.shopify.com/s/files/1/0888/3250/8267/files/SFGUDL-484061-01_81f99577-bdba-4e10-a1ce-f6e69e08187a.jpg?v=1759767981</t>
        </is>
      </c>
      <c r="Y2508" s="54" t="n"/>
      <c r="Z2508" s="54" t="n">
        <v>6724.14</v>
      </c>
      <c r="AA2508" s="55">
        <f>IF(AND(A2508="", B2508="", E2508=""), "", IF(AB2508="", "Válido", IF((LEN(AB2508)-LEN(SUBSTITUTE(AB2508,"; ","")))/2+1&gt;(LEN(AB2508)-LEN(SUBSTITUTE(AB2508,"[Aviso]","")))/7, "Con Incidencias", "Válido")))</f>
        <v/>
      </c>
      <c r="AB2508" s="56">
        <f>IF(AND(A2508="", B2508="", E2508=""), "", TEXTJOIN("; ", TRUE, IF(OR(TRIM(A2508&amp;"")="", ISNUMBER(SEARCH("FALTA", A2508))), "UPC faltante/inválido", ""), IF(AND(A2508&lt;&gt;"", IFERROR(_xlfn.XMATCH(A2508,$A$2:$A$2509,0,1)&lt;&gt;_xlfn.XMATCH(A2508,$A$2:$A$2509,0,-1),FALSE)), "Código de barras duplicado", ""), IF(AND(E2508&lt;&gt;"", COUNTIF($E$2:$E$2509, E2508)&gt;1), "SKU duplicado", ""), IF(OR(J2508="", J2508=""), "[Aviso] División no capturada ()", IF(ISNA(MATCH(J2508, Criterios!$A$123:$A$126, 0)), "División no válida", "")), IF(OR(K2508="", K2508=""), "[Aviso] Categoría no capturada ()", IF(ISNA(MATCH(K2508, Criterios!$A$81:$A$120, 0)), "Categoría no válida", IF(AND(J2508&lt;&gt;"", J2508&lt;&gt;"", J2508&lt;&gt;VLOOKUP(K2508, Criterios!$A$81:$B$120, 2, FALSE)), "División no coincide con Categoría", ""))), IF(OR(L2508="", L2508=""), "[Aviso] Género no capturado ()", IF(ISNA(MATCH(L2508, Criterios!$B$123:$B$127, 0)), "Género no válido", "")), IF(OR(N2508="", N2508=""), "[Aviso] Temporada no capturada ()", IF(ISNA(MATCH(N2508, Criterios!$C$123:$C$128, 0)), "Temporada no válida", "")), IF(OR(O2508="", O2508=""), "[Aviso] Ciclo de vida no capturado ()", IF(ISNA(MATCH(O2508, Criterios!$D$123:$D$124, 0)), "Ciclo de vida no válido", ""))))</f>
        <v/>
      </c>
      <c r="AC2508" s="56" t="n"/>
      <c r="AD2508" s="51" t="n"/>
      <c r="AE2508" s="156" t="n"/>
      <c r="AF2508" s="51" t="n"/>
      <c r="AG2508" s="156" t="inlineStr">
        <is>
          <t>Nuevo – Shopify Stetson México 01/10/2026</t>
        </is>
      </c>
      <c r="AH2508"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8" s="156" t="n"/>
      <c r="AJ2508" s="156" t="n"/>
      <c r="AK2508" s="155" t="inlineStr">
        <is>
          <t>Shopify Stetson: producto 14786585526635 / variante 53350611321195</t>
        </is>
      </c>
      <c r="AL2508" s="58" t="n"/>
      <c r="AM2508" s="58" t="n"/>
      <c r="AN2508" s="155" t="inlineStr">
        <is>
          <t>Shopify Stetson México</t>
        </is>
      </c>
      <c r="AO2508" s="59" t="n">
        <v>0</v>
      </c>
      <c r="AP2508" s="59" t="n"/>
      <c r="AQ2508" s="59" t="n"/>
      <c r="AR2508" s="155" t="n"/>
    </row>
    <row r="2509">
      <c r="A2509" s="50" t="n"/>
      <c r="B2509" s="51" t="n"/>
      <c r="C2509" s="156" t="inlineStr">
        <is>
          <t>Stetson</t>
        </is>
      </c>
      <c r="D2509" s="156" t="n"/>
      <c r="E2509" s="156" t="inlineStr">
        <is>
          <t>SFGUDL-48406180</t>
        </is>
      </c>
      <c r="F2509" s="156" t="inlineStr">
        <is>
          <t>8</t>
        </is>
      </c>
      <c r="G2509" s="156" t="inlineStr">
        <is>
          <t>8</t>
        </is>
      </c>
      <c r="H2509" s="156" t="inlineStr">
        <is>
          <t>Stetson</t>
        </is>
      </c>
      <c r="I2509" s="156" t="inlineStr">
        <is>
          <t>Texana Guadalupana 6X | Stetson</t>
        </is>
      </c>
      <c r="J2509" s="156" t="inlineStr">
        <is>
          <t>Accesorios</t>
        </is>
      </c>
      <c r="K2509" s="156" t="inlineStr">
        <is>
          <t>Sombreros</t>
        </is>
      </c>
      <c r="L2509" s="156" t="inlineStr">
        <is>
          <t>Unisex</t>
        </is>
      </c>
      <c r="M2509" s="156" t="inlineStr">
        <is>
          <t>Stetson</t>
        </is>
      </c>
      <c r="N2509" s="156" t="n"/>
      <c r="O2509" s="156" t="n"/>
      <c r="P2509" s="156" t="inlineStr">
        <is>
          <t>Varios</t>
        </is>
      </c>
      <c r="Q2509" s="156" t="n"/>
      <c r="R2509" s="156" t="n"/>
      <c r="S2509" s="156" t="n"/>
      <c r="T250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9" s="156" t="n"/>
      <c r="V2509" s="156" t="inlineStr">
        <is>
          <t>PZS</t>
        </is>
      </c>
      <c r="W2509" s="51" t="n"/>
      <c r="X2509" s="156" t="inlineStr">
        <is>
          <t>https://cdn.shopify.com/s/files/1/0888/3250/8267/files/SFGUDL-484061-01_81f99577-bdba-4e10-a1ce-f6e69e08187a.jpg?v=1759767981</t>
        </is>
      </c>
      <c r="Y2509" s="54" t="n"/>
      <c r="Z2509" s="54" t="n">
        <v>6724.14</v>
      </c>
      <c r="AA2509" s="55">
        <f>IF(AND(A2509="", B2509="", E2509=""), "", IF(AB2509="", "Válido", IF((LEN(AB2509)-LEN(SUBSTITUTE(AB2509,"; ","")))/2+1&gt;(LEN(AB2509)-LEN(SUBSTITUTE(AB2509,"[Aviso]","")))/7, "Con Incidencias", "Válido")))</f>
        <v/>
      </c>
      <c r="AB2509" s="56">
        <f>IF(AND(A2509="", B2509="", E2509=""), "", TEXTJOIN("; ", TRUE, IF(OR(TRIM(A2509&amp;"")="", ISNUMBER(SEARCH("FALTA", A2509))), "UPC faltante/inválido", ""), IF(AND(A2509&lt;&gt;"", IFERROR(_xlfn.XMATCH(A2509,$A$2:$A$2509,0,1)&lt;&gt;_xlfn.XMATCH(A2509,$A$2:$A$2509,0,-1),FALSE)), "Código de barras duplicado", ""), IF(AND(E2509&lt;&gt;"", COUNTIF($E$2:$E$2509, E2509)&gt;1), "SKU duplicado", ""), IF(OR(J2509="", J2509=""), "[Aviso] División no capturada ()", IF(ISNA(MATCH(J2509, Criterios!$A$123:$A$126, 0)), "División no válida", "")), IF(OR(K2509="", K2509=""), "[Aviso] Categoría no capturada ()", IF(ISNA(MATCH(K2509, Criterios!$A$81:$A$120, 0)), "Categoría no válida", IF(AND(J2509&lt;&gt;"", J2509&lt;&gt;"", J2509&lt;&gt;VLOOKUP(K2509, Criterios!$A$81:$B$120, 2, FALSE)), "División no coincide con Categoría", ""))), IF(OR(L2509="", L2509=""), "[Aviso] Género no capturado ()", IF(ISNA(MATCH(L2509, Criterios!$B$123:$B$127, 0)), "Género no válido", "")), IF(OR(N2509="", N2509=""), "[Aviso] Temporada no capturada ()", IF(ISNA(MATCH(N2509, Criterios!$C$123:$C$128, 0)), "Temporada no válida", "")), IF(OR(O2509="", O2509=""), "[Aviso] Ciclo de vida no capturado ()", IF(ISNA(MATCH(O2509, Criterios!$D$123:$D$124, 0)), "Ciclo de vida no válido", ""))))</f>
        <v/>
      </c>
      <c r="AC2509" s="56" t="n"/>
      <c r="AD2509" s="51" t="n"/>
      <c r="AE2509" s="156" t="n"/>
      <c r="AF2509" s="51" t="n"/>
      <c r="AG2509" s="156" t="inlineStr">
        <is>
          <t>Nuevo – Shopify Stetson México 01/10/2026</t>
        </is>
      </c>
      <c r="AH2509"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9" s="156" t="n"/>
      <c r="AJ2509" s="156" t="n"/>
      <c r="AK2509" s="155" t="inlineStr">
        <is>
          <t>Shopify Stetson: producto 14786585526635 / variante 53350611353963</t>
        </is>
      </c>
      <c r="AL2509" s="58" t="n"/>
      <c r="AM2509" s="58" t="n"/>
      <c r="AN2509" s="155" t="inlineStr">
        <is>
          <t>Shopify Stetson México</t>
        </is>
      </c>
      <c r="AO2509" s="59" t="n">
        <v>0</v>
      </c>
      <c r="AP2509" s="59" t="n"/>
      <c r="AQ2509" s="59" t="n"/>
      <c r="AR2509" s="155" t="n"/>
    </row>
  </sheetData>
  <autoFilter ref="A1:AR2509"/>
  <conditionalFormatting sqref="AA2:AA2509">
    <cfRule type="cellIs" priority="1" operator="equal" dxfId="16" stopIfTrue="1">
      <formula>"Válido"</formula>
    </cfRule>
    <cfRule type="cellIs" priority="2" operator="equal" dxfId="17" stopIfTrue="1">
      <formula>"Con Incidencias"</formula>
    </cfRule>
  </conditionalFormatting>
  <conditionalFormatting sqref="AB2:AB2509">
    <cfRule type="expression" priority="3" dxfId="18" stopIfTrue="1">
      <formula>AND(AB2&lt;&gt;"", AA2="Con Incidencias")</formula>
    </cfRule>
  </conditionalFormatting>
  <dataValidations count="11">
    <dataValidation sqref="O2:O2509" showDropDown="0" showInputMessage="0" showErrorMessage="0" allowBlank="1" type="list">
      <formula1>"Seasonal,Core,No Aplica"</formula1>
    </dataValidation>
    <dataValidation sqref="C2:C2509" showDropDown="0" showInputMessage="0" showErrorMessage="0" allowBlank="1" type="list">
      <formula1>"Multimarca,Roper,Denver,Ariat,Wrangler,Stetson,Montana West,Tru Western,Ranch &amp; Corral,Jony Lama,Justin boots,Yellowstone,Generico,No Aplica"</formula1>
    </dataValidation>
    <dataValidation sqref="H2:H2509" showDropDown="0" showInputMessage="0" showErrorMessage="0" allowBlank="1" type="list">
      <formula1>"Roper,Denver,Ariat,Wrangler,Stetson,Montana West,Tru Western,Ranch &amp; Corral,Jony Lama,Justin boots,Yellowstone,Generico,No Aplica"</formula1>
    </dataValidation>
    <dataValidation sqref="P2:P2509" showDropDown="0" showInputMessage="0" showErrorMessage="0" allowBlank="1" type="list">
      <formula1>"Rojo,Azul,Amarillo,Verde,Naranja,Morado,Rosa,Negro,Blanco,Gris,Beige,Cafe,Varios,No Aplica"</formula1>
    </dataValidation>
    <dataValidation sqref="R2:R2509" showDropDown="0" showInputMessage="0" showErrorMessage="0" allowBlank="1" type="list">
      <formula1>"Recto,Bootcut,Skinny,Tapered,Trouser,Punta Redonda Ancha,Punta Cuadrada Ancha,Punta Redonda,Punta Cuadrada,Punta Ovalada,Punta Snip,Horma Alexia,Horma Agatha,Copa Cattleman,Copa Rancher,Copa Pinch Front,Copa Gus,Copa Teardrop,Copa Open Road,Copa Brick,Cie"&amp;"rre perimetral"</formula1>
    </dataValidation>
    <dataValidation sqref="K2:K2509" showDropDown="0" showInputMessage="0" showErrorMessage="1" allowBlank="1" type="list">
      <formula1>Criterios!$A$81:$A$120</formula1>
    </dataValidation>
    <dataValidation sqref="N2:N2509" showDropDown="0" showInputMessage="0" showErrorMessage="0" allowBlank="1" type="list">
      <formula1>"SS26,FW26,SS27,FW27,SS28,FW28,No Aplica"</formula1>
    </dataValidation>
    <dataValidation sqref="Q2:Q2509" showDropDown="0" showInputMessage="0" showErrorMessage="0" allowBlank="1" type="list">
      <formula1>"Regular,Relajado,Slim,Clásico,Moderno,Recto,Bootcut"</formula1>
    </dataValidation>
    <dataValidation sqref="J2:J2509" showDropDown="0" showInputMessage="0" showErrorMessage="0" allowBlank="1" type="list">
      <formula1>"Accesorios,Ropa,Denim,Calzado,No Aplica"</formula1>
    </dataValidation>
    <dataValidation sqref="L2:L2509" showDropDown="0" showInputMessage="0" showErrorMessage="0" allowBlank="1" type="list">
      <formula1>"Hombre,Mujer,Niño,Niña,Unisex,No Aplica"</formula1>
    </dataValidation>
    <dataValidation sqref="V2:V2509" showDropDown="0" showInputMessage="0" showErrorMessage="0" allowBlank="1" type="list">
      <formula1>"PZS,PRS,No Aplica"</formula1>
    </dataValidation>
  </dataValidations>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R2"/>
  <sheetViews>
    <sheetView workbookViewId="0">
      <pane ySplit="1" topLeftCell="A2" activePane="bottomLeft" state="frozen"/>
      <selection pane="bottomLeft" activeCell="B3" sqref="B3"/>
    </sheetView>
  </sheetViews>
  <sheetFormatPr baseColWidth="8" defaultColWidth="12.63" defaultRowHeight="15" customHeight="1"/>
  <cols>
    <col width="16.5" customWidth="1" style="176" min="1" max="1"/>
    <col width="22.25" customWidth="1" style="176" min="2" max="2"/>
    <col width="19.13" customWidth="1" style="176" min="3" max="3"/>
    <col width="95.25" customWidth="1" style="176" min="4" max="4"/>
    <col width="9" customWidth="1" style="176" min="5" max="5"/>
    <col width="13.25" customWidth="1" style="176" min="6" max="6"/>
    <col width="11.63" customWidth="1" style="176" min="7" max="7"/>
    <col width="14.5" customWidth="1" style="176" min="8" max="8"/>
    <col width="31.38" customWidth="1" style="176" min="9" max="9"/>
    <col width="223.38" customWidth="1" style="176" min="10" max="10"/>
    <col width="21.5" customWidth="1" style="176" min="11" max="11"/>
    <col width="17.88" customWidth="1" style="176" min="12" max="12"/>
    <col width="11.75" customWidth="1" style="176" min="13" max="13"/>
    <col width="23" customWidth="1" style="176" min="14" max="14"/>
    <col width="201.63" customWidth="1" style="176" min="15" max="15"/>
    <col width="18.38" customWidth="1" style="176" min="16" max="16"/>
    <col width="18.25" customWidth="1" style="176" min="17" max="17"/>
    <col width="12.63" customWidth="1" style="176" min="18" max="18"/>
  </cols>
  <sheetData>
    <row r="1" ht="27" customHeight="1" s="176">
      <c r="A1" s="65" t="inlineStr">
        <is>
          <t>UPC</t>
        </is>
      </c>
      <c r="B1" s="65" t="inlineStr">
        <is>
          <t>SKU</t>
        </is>
      </c>
      <c r="C1" s="65" t="inlineStr">
        <is>
          <t>Id_Interno</t>
        </is>
      </c>
      <c r="D1" s="65" t="inlineStr">
        <is>
          <t>Descripcion</t>
        </is>
      </c>
      <c r="E1" s="65" t="inlineStr">
        <is>
          <t>Talla_MX</t>
        </is>
      </c>
      <c r="F1" s="65" t="inlineStr">
        <is>
          <t>Talla_USA</t>
        </is>
      </c>
      <c r="G1" s="65" t="inlineStr">
        <is>
          <t>Precio_Compra</t>
        </is>
      </c>
      <c r="H1" s="65" t="inlineStr">
        <is>
          <t>Precio_Venta</t>
        </is>
      </c>
      <c r="I1" s="65" t="inlineStr">
        <is>
          <t>Stock_NetSuite</t>
        </is>
      </c>
      <c r="J1" s="65" t="inlineStr">
        <is>
          <t>Disponible_NetSuite</t>
        </is>
      </c>
      <c r="K1" s="65" t="inlineStr">
        <is>
          <t>Ubicaciones_NetSuite</t>
        </is>
      </c>
      <c r="L1" s="65" t="inlineStr">
        <is>
          <t>Stock_Shopify_Stetson</t>
        </is>
      </c>
      <c r="M1" s="65" t="inlineStr">
        <is>
          <t>Stock_Shopify_WB</t>
        </is>
      </c>
      <c r="N1" s="65" t="inlineStr">
        <is>
          <t>Stock_Odoo</t>
        </is>
      </c>
      <c r="O1" s="65" t="inlineStr">
        <is>
          <t>Stock_Plataformas_Total</t>
        </is>
      </c>
      <c r="P1" s="65" t="inlineStr">
        <is>
          <t>Ubicaciones_Plataformas</t>
        </is>
      </c>
      <c r="Q1" s="65" t="inlineStr">
        <is>
          <t>Piezas_Escaneadas</t>
        </is>
      </c>
      <c r="R1" s="65" t="inlineStr">
        <is>
          <t>Ubicacion_Escaneo</t>
        </is>
      </c>
    </row>
    <row r="2">
      <c r="A2">
        <f>IFERROR(__xludf.DUMMYFUNCTION("ARRAY_CONSTRAIN(ARRAYFORMULA(LET(_xlpm.d,Productos!$A$2:$AR2509,_xlpm.f,((INDEX(_xlpm.d,0,1)&lt;&gt;"""")+(INDEX(_xlpm.d,0,2)&lt;&gt;"""")+(INDEX(_xlpm.d,0,5)&lt;&gt;"""")+(INDEX(_xlpm.d,0,9)&lt;&gt;""""))&gt;0,_xlpm.z,LAMBDA(_xlpm.c,IF(INDEX(_xlpm.d,0,_xlpm.c)="""",0,INDEX(_xlpm."&amp;"d,0,_xlpm.c))),_xlpm.num,LAMBDA(_xlpm.v,IF(_xlpm.v="""","""",IF(ISTEXT(_xlpm.v),IFERROR(NUMBERVALUE(SUBSTITUTE(_xlpm.v,"","","".""),""."","",""),_xlpm.v),_xlpm.v))),_xlpm.pr,LAMBDA(_xlpm.a,_xlpm.b,_xlpm.num(IF(INDEX(_xlpm.d,0,_xlpm.a)&lt;&gt;"""",INDEX(_xlpm.d,"&amp;"0,_xlpm.a),IF(INDEX(_xlpm.d,0,_xlpm.b)&lt;&gt;"""",INDEX(_xlpm.d,0,_xlpm.b),"""")))),_xlpm.pc,_xlpm.pr(38,25),_xlpm.pv,_xlpm.pr(39,26),_xlpm.tot,_xlpm.z(41)+_xlpm.z(42)+_xlpm.z(43),_xlpm.x,FILTER(HSTACK(CHOOSECOLS(_xlpm.d,1,5,2,9,6,7),_xlpm.pc,_xlpm.pv,CHOOSECO"&amp;"LS(_xlpm.d,30,32,31,41,42,43),_xlpm.tot,INDEX(_xlpm.d,0,44)),_xlpm.f),IF(_xlpm.x="""","""",_xlpm.x))), 2508, 16)"),"052356088867")</f>
        <v/>
      </c>
      <c r="Q2">
        <f>IFERROR(__xludf.DUMMYFUNCTION("MAP(FILTER(A2:A2509, (B2:B2509&lt;&gt;"""")+(D2:D2509&lt;&gt;"""")), FILTER(B2:B2509, (B2:B2509&lt;&gt;"""")+(D2:D2509&lt;&gt;"""")), LAMBDA(upc, sku, LET(s_alt, IF(ISNUMBER(SEARCH(""-XXL"", sku)), SUBSTITUTE(sku, ""-XXL"", ""-2XL""), IF(ISNUMBER(SEARCH(""-2XL"", sku)), SU"&amp;"BSTITUTE(sku, ""-2XL"", ""-XXL""), IF(ISNUMBER(SEARCH(""-XXXL"", sku)), SUBSTITUTE(sku, ""-XXXL"", ""-3XL""), IF(ISNUMBER(SEARCH(""-3XL"", sku)), SUBSTITUTE(sku, ""-3XL"", ""-XXXL""), sku)))), pz_exact, IF(sku&lt;&gt;"""", SUMIFS(Table_2[Piezas Contadas], Table"&amp;"_2[SKU], sku), 0), pz_alt, IF(s_alt&lt;&gt;sku, SUMIFS(Table_2[Piezas Contadas], Table_2[SKU], s_alt), 0), pz_upc_blank, IF(upc&lt;&gt;"""", SUMIFS(Table_2[Piezas Contadas], Table_2[UPC CODE], upc, Table_2[SKU], """"), 0), pz_exact + pz_alt + pz_upc_blank)))"),0.0)</f>
        <v/>
      </c>
      <c r="R2">
        <f>IFERROR(__xludf.DUMMYFUNCTION("MAP(FILTER(A2:A2509, (B2:B2509&lt;&gt;"""")+(D2:D2509&lt;&gt;"""")), FILTER(B2:B2509, (B2:B2509&lt;&gt;"""")+(D2:D2509&lt;&gt;"""")), FILTER(Q2:Q2509, (B2:B2509&lt;&gt;"""")+(D2:D2509&lt;&gt;"""")), LAMBDA(upc, sku, pz, IF(OR(pz=0, pz=""""), """", LET(s_alt, IF(ISNUMBER(SEARCH(""-X"&amp;"XL"", sku)), SUBSTITUTE(sku, ""-XXL"", ""-2XL""), IF(ISNUMBER(SEARCH(""-2XL"", sku)), SUBSTITUTE(sku, ""-2XL"", ""-XXL""), IF(ISNUMBER(SEARCH(""-XXXL"", sku)), SUBSTITUTE(sku, ""-XXXL"", ""-3XL""), IF(ISNUMBER(SEARCH(""-3XL"", sku)), SUBSTITUTE(sku, ""-3X"&amp;"L"", ""-XXXL""), sku)))), rk_sku, IFERROR(FILTER(Table_2[Ubicación / Rack], Table_2[SKU]=sku, Table_2[Ubicación / Rack]&lt;&gt;""""), """"), rk_alt, IF(s_alt&lt;&gt;sku, IFERROR(FILTER(Table_2[Ubicación / Rack], Table_2[SKU]=s_alt, Table_2[Ubicación / Rack]&lt;&gt;""""), "&amp;"""""), """"), rk_upc, IF(upc&lt;&gt;"""", IFERROR(FILTER(Table_2[Ubicación / Rack], Table_2[UPC CODE]=upc, Table_2[SKU]="""", Table_2[Ubicación / Rack]&lt;&gt;""""), """"), """"), all_r, VSTACK(rk_sku, rk_alt, rk_upc), r_uniq, UNIQUE(IFERROR(FILTER(all_r, all_r&lt;&gt;"""""&amp;"), """")), IF(INDEX(r_uniq, 1, 1)="""", """", TEXTJOIN("", "", TRUE, MAP(r_uniq, LAMBDA(rk, LET(cnt_sku, IF(sku&lt;&gt;"""", SUMIFS(Table_2[Piezas Contadas], Table_2[SKU], sku, Table_2[Ubicación / Rack], rk), 0), cnt_alt, IF(s_alt&lt;&gt;sku, SUMIFS(Table_2[Piezas Co"&amp;"ntadas], Table_2[SKU], s_alt, Table_2[Ubicación / Rack], rk), 0), cnt_upc, IF(upc&lt;&gt;"""", SUMIFS(Table_2[Piezas Contadas], Table_2[UPC CODE], upc, Table_2[SKU], """", Table_2[Ubicación / Rack], rk), 0), rk &amp; "" ("" &amp; (cnt_sku + cnt_alt + cnt_upc) &amp; "")""))"&amp;")))))))"),"")</f>
        <v/>
      </c>
    </row>
  </sheetData>
  <dataValidations count="1">
    <dataValidation sqref="I2407" showDropDown="0" showInputMessage="0" showErrorMessage="0" allowBlank="1" type="list">
      <formula1>'Configuración'!$A$4:$A$20</formula1>
    </dataValidation>
  </dataValidation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AD721"/>
  <sheetViews>
    <sheetView workbookViewId="0">
      <selection activeCell="A1" sqref="A1"/>
    </sheetView>
  </sheetViews>
  <sheetFormatPr baseColWidth="8" defaultColWidth="12.63" defaultRowHeight="15" customHeight="1"/>
  <cols>
    <col width="10.63" customWidth="1" style="176" min="1" max="6"/>
    <col width="27.63" customWidth="1" style="176" min="7" max="7"/>
    <col width="10.63" customWidth="1" style="176" min="8" max="10"/>
    <col width="20.38" customWidth="1" style="176" min="11" max="11"/>
    <col width="10.63" customWidth="1" style="176" min="12" max="30"/>
  </cols>
  <sheetData>
    <row r="1" ht="33.75" customHeight="1" s="176">
      <c r="A1" s="82" t="inlineStr">
        <is>
          <t>Criterios del Catálogo Estándar</t>
        </is>
      </c>
      <c r="B1" s="82" t="n"/>
      <c r="C1" s="82"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c r="AA1" s="82" t="n"/>
      <c r="AB1" s="82" t="n"/>
      <c r="AC1" s="82" t="n"/>
      <c r="AD1" s="82" t="n"/>
    </row>
    <row r="2" ht="21.75" customHeight="1" s="176">
      <c r="A2" s="83" t="inlineStr">
        <is>
          <t>Guía de llenado y listas de valores válidos. Usa el índice para saltar a cada sección; sigue la Ruta de llenado en orden.</t>
        </is>
      </c>
      <c r="B2" s="83" t="n"/>
      <c r="C2" s="83" t="n"/>
      <c r="D2" s="83" t="n"/>
      <c r="E2" s="83" t="n"/>
      <c r="F2" s="83" t="n"/>
      <c r="G2" s="83" t="n"/>
      <c r="H2" s="83" t="n"/>
      <c r="I2" s="83" t="n"/>
      <c r="J2" s="83" t="n"/>
      <c r="K2" s="83" t="n"/>
      <c r="L2" s="83" t="n"/>
      <c r="M2" s="83" t="n"/>
      <c r="N2" s="83" t="n"/>
      <c r="O2" s="83" t="n"/>
      <c r="P2" s="83" t="n"/>
      <c r="Q2" s="83" t="n"/>
      <c r="R2" s="83" t="n"/>
      <c r="S2" s="83" t="n"/>
      <c r="T2" s="83" t="n"/>
      <c r="U2" s="83" t="n"/>
      <c r="V2" s="83" t="n"/>
      <c r="W2" s="83" t="n"/>
      <c r="X2" s="83" t="n"/>
      <c r="Y2" s="83" t="n"/>
      <c r="Z2" s="83" t="n"/>
      <c r="AA2" s="83" t="n"/>
      <c r="AB2" s="83" t="n"/>
      <c r="AC2" s="83" t="n"/>
      <c r="AD2" s="83" t="n"/>
    </row>
    <row r="3" ht="39.75" customHeight="1" s="176">
      <c r="A3" s="84" t="n"/>
      <c r="B3" s="84" t="n"/>
      <c r="C3" s="84" t="n"/>
      <c r="D3" s="84" t="n"/>
      <c r="E3" s="84" t="n"/>
      <c r="F3" s="84" t="n"/>
      <c r="G3" s="85" t="inlineStr">
        <is>
          <t>Agrega ubicaciones nuevas al final de la lista; el desplegable de Escaneo las toma solas. Los escaneos solo suman al total y a la bodega asignada en la columna K; no se validan contra el stock de NetSuite.</t>
        </is>
      </c>
      <c r="K3" s="84" t="n"/>
      <c r="L3" s="85" t="inlineStr">
        <is>
          <t>Captura el correo de cada auditor; los scripts lo usan para poner su nombre automáticamente.</t>
        </is>
      </c>
      <c r="O3" s="84" t="n"/>
      <c r="P3" s="85" t="inlineStr">
        <is>
          <t>Valores que usa el Dictamen del Historial de Escaneos.</t>
        </is>
      </c>
      <c r="R3" s="84" t="n"/>
      <c r="S3" s="85" t="inlineStr">
        <is>
          <t>Listas que alimentan los desplegables de Productos. Las columnas en negro se actualizan solas desde las tablas de Criterios; Fit y Silueta (azul) se editan aquí.</t>
        </is>
      </c>
    </row>
    <row r="4" ht="21.75" customHeight="1" s="176">
      <c r="A4" s="86" t="inlineStr">
        <is>
          <t>ÍNDICE  (clic en una sección para ir a ella)</t>
        </is>
      </c>
      <c r="B4" s="86" t="n"/>
      <c r="C4" s="86" t="n"/>
      <c r="D4" s="86" t="n"/>
      <c r="E4" s="86" t="n"/>
      <c r="F4" s="84" t="n"/>
      <c r="G4" s="87" t="inlineStr">
        <is>
          <t>9. UBICACIONES / RACKS</t>
        </is>
      </c>
      <c r="H4" s="87" t="n"/>
      <c r="I4" s="87" t="n"/>
      <c r="J4" s="87" t="n"/>
      <c r="K4" s="84" t="n"/>
      <c r="L4" s="87" t="inlineStr">
        <is>
          <t>10. AUDITORES (correo → nombre)</t>
        </is>
      </c>
      <c r="M4" s="87" t="n"/>
      <c r="N4" s="87" t="n"/>
      <c r="O4" s="84" t="n"/>
      <c r="P4" s="87" t="inlineStr">
        <is>
          <t>11. ESTADOS DE CONTEO / DICTAMEN</t>
        </is>
      </c>
      <c r="Q4" s="87" t="n"/>
      <c r="R4" s="84" t="n"/>
      <c r="S4" s="87" t="inlineStr">
        <is>
          <t>12. LISTAS AUTOMÁTICAS PARA DESPLEGABLES (no editar; solo Fit y Silueta son editables)</t>
        </is>
      </c>
      <c r="T4" s="87" t="n"/>
      <c r="U4" s="87" t="n"/>
      <c r="V4" s="87" t="n"/>
      <c r="W4" s="87" t="n"/>
      <c r="X4" s="87" t="n"/>
      <c r="Y4" s="87" t="n"/>
      <c r="Z4" s="87" t="n"/>
      <c r="AA4" s="87" t="n"/>
      <c r="AB4" s="87" t="n"/>
      <c r="AC4" s="87" t="n"/>
      <c r="AD4" s="87" t="n"/>
    </row>
    <row r="5" ht="42" customHeight="1" s="176">
      <c r="A5" s="88" t="n">
        <v>1</v>
      </c>
      <c r="B5" s="181" t="inlineStr">
        <is>
          <t>Ruta de llenado — los 10 pasos para capturar un producto</t>
        </is>
      </c>
      <c r="C5" s="182" t="n"/>
      <c r="D5" s="182" t="n"/>
      <c r="E5" s="183" t="n"/>
      <c r="F5" s="84" t="n"/>
      <c r="G5" s="92" t="inlineStr">
        <is>
          <t>Ubicación</t>
        </is>
      </c>
      <c r="H5" s="92" t="inlineStr">
        <is>
          <t>Tipo</t>
        </is>
      </c>
      <c r="I5" s="92" t="inlineStr">
        <is>
          <t>SKUs con stock (NetSuite, corte 28/09/2026)</t>
        </is>
      </c>
      <c r="J5" s="92" t="inlineStr">
        <is>
          <t>Piezas en sistema (NetSuite, corte 28/09/2026)</t>
        </is>
      </c>
      <c r="K5" s="92" t="inlineStr">
        <is>
          <t>Bodega (25 / 43)</t>
        </is>
      </c>
      <c r="L5" s="92" t="inlineStr">
        <is>
          <t>Correo del usuario (Google / Microsoft)</t>
        </is>
      </c>
      <c r="M5" s="92" t="inlineStr">
        <is>
          <t>Nombre del auditor</t>
        </is>
      </c>
      <c r="N5" s="92" t="inlineStr">
        <is>
          <t>Usuario de Excel (Archivo › Cuenta)</t>
        </is>
      </c>
      <c r="O5" s="84" t="n"/>
      <c r="P5" s="92" t="inlineStr">
        <is>
          <t>Estado</t>
        </is>
      </c>
      <c r="Q5" s="92" t="inlineStr">
        <is>
          <t>Cuándo se asigna</t>
        </is>
      </c>
      <c r="R5" s="84" t="n"/>
      <c r="S5" s="94" t="inlineStr">
        <is>
          <t>Marca principal</t>
        </is>
      </c>
      <c r="T5" s="94" t="inlineStr">
        <is>
          <t>WB Marca</t>
        </is>
      </c>
      <c r="U5" s="94" t="inlineStr">
        <is>
          <t>División</t>
        </is>
      </c>
      <c r="V5" s="94" t="inlineStr">
        <is>
          <t>Género</t>
        </is>
      </c>
      <c r="W5" s="94" t="inlineStr">
        <is>
          <t>Temporada</t>
        </is>
      </c>
      <c r="X5" s="94" t="inlineStr">
        <is>
          <t>Ciclo de vida</t>
        </is>
      </c>
      <c r="Y5" s="94" t="inlineStr">
        <is>
          <t>Unidad</t>
        </is>
      </c>
      <c r="Z5" s="94" t="inlineStr">
        <is>
          <t>Color</t>
        </is>
      </c>
      <c r="AA5" s="95" t="inlineStr">
        <is>
          <t>Fit</t>
        </is>
      </c>
      <c r="AB5" s="95" t="inlineStr">
        <is>
          <t>Silueta</t>
        </is>
      </c>
      <c r="AC5" s="94" t="inlineStr">
        <is>
          <t>WB Talla</t>
        </is>
      </c>
      <c r="AD5" s="94" t="inlineStr">
        <is>
          <t>WB Talla de EE. UU.</t>
        </is>
      </c>
    </row>
    <row r="6" ht="27.75" customHeight="1" s="176">
      <c r="A6" s="88" t="n">
        <v>2</v>
      </c>
      <c r="B6" s="181" t="inlineStr">
        <is>
          <t>Palabra clave → Categoría — qué categoría asignar según el nombre</t>
        </is>
      </c>
      <c r="C6" s="182" t="n"/>
      <c r="D6" s="182" t="n"/>
      <c r="E6" s="183" t="n"/>
      <c r="F6" s="84" t="n"/>
      <c r="G6" s="96" t="inlineStr">
        <is>
          <t>J1-L1-01</t>
        </is>
      </c>
      <c r="H6" s="97" t="inlineStr">
        <is>
          <t>Rack físico</t>
        </is>
      </c>
      <c r="I6" s="96">
        <f>IF(OR($G6="",$H6="Rack físico"),"",COUNTIFS('Stock por Ubicación'!$A:$A,IF($H6="NetSuite",$G6,$G6&amp;" ›*"),'Stock por Ubicación'!$G:$G,"&lt;&gt;0"))</f>
        <v/>
      </c>
      <c r="J6" s="96">
        <f>IF(OR($G6="",$H6="Rack físico"),"",SUMIFS('Stock por Ubicación'!$G:$G,'Stock por Ubicación'!$A:$A,IF($H6="NetSuite",$G6,$G6&amp;" ›*")))</f>
        <v/>
      </c>
      <c r="K6" s="98" t="inlineStr">
        <is>
          <t>Bodega 25</t>
        </is>
      </c>
      <c r="L6" s="99" t="n"/>
      <c r="M6" s="96" t="inlineStr">
        <is>
          <t>Jesús Fregoso</t>
        </is>
      </c>
      <c r="N6" s="96" t="n"/>
      <c r="O6" s="84" t="n"/>
      <c r="P6" s="100" t="inlineStr">
        <is>
          <t>Verificado</t>
        </is>
      </c>
      <c r="Q6" s="101" t="inlineStr">
        <is>
          <t>Todas las piezas de la ubicación cuadran con Productos (documento maestro); sin alertas.</t>
        </is>
      </c>
      <c r="R6" s="84" t="n"/>
      <c r="S6" s="102">
        <f>IFERROR(__xludf.DUMMYFUNCTION("VSTACK(""Multimarca"", FILTER($A$133:$A$149, $A$133:$A$149&lt;&gt;""""), ""No Aplica"")"),"Multimarca")</f>
        <v/>
      </c>
      <c r="T6" s="102">
        <f>IFERROR(__xludf.DUMMYFUNCTION("VSTACK(FILTER($A$133:$A$149, $A$133:$A$149&lt;&gt;""""), ""No Aplica"")"),"Roper")</f>
        <v/>
      </c>
      <c r="U6" s="84">
        <f>IFERROR(__xludf.DUMMYFUNCTION("VSTACK(FILTER($A$123:$A$128, $A$123:$A$128&lt;&gt;""""), ""No Aplica"")"),"Accesorios")</f>
        <v/>
      </c>
      <c r="V6" s="84">
        <f>IFERROR(__xludf.DUMMYFUNCTION("VSTACK(FILTER($B$123:$B$128, $B$123:$B$128&lt;&gt;""""), ""No Aplica"")"),"Hombre")</f>
        <v/>
      </c>
      <c r="W6" s="84">
        <f>IFERROR(__xludf.DUMMYFUNCTION("VSTACK(FILTER($C$123:$C$128, $C$123:$C$128&lt;&gt;""""), ""No Aplica"")"),"SS26")</f>
        <v/>
      </c>
      <c r="X6" s="84">
        <f>IFERROR(__xludf.DUMMYFUNCTION("VSTACK(FILTER($D$123:$D$128, $D$123:$D$128&lt;&gt;""""), ""No Aplica"")"),"Seasonal")</f>
        <v/>
      </c>
      <c r="Y6" s="84">
        <f>IFERROR(__xludf.DUMMYFUNCTION("VSTACK(FILTER($E$123:$E$128, $E$123:$E$128&lt;&gt;""""), ""No Aplica"")"),"PZS")</f>
        <v/>
      </c>
      <c r="Z6" s="84">
        <f>IFERROR(__xludf.DUMMYFUNCTION("VSTACK(FILTER($A$153:$A$169, $A$153:$A$169&lt;&gt;""""), ""No Aplica"")"),"Rojo")</f>
        <v/>
      </c>
      <c r="AA6" s="98" t="inlineStr">
        <is>
          <t>Regular</t>
        </is>
      </c>
      <c r="AB6" s="98" t="inlineStr">
        <is>
          <t>Recto</t>
        </is>
      </c>
      <c r="AC6" s="84">
        <f>IFERROR(__xludf.DUMMYFUNCTION("VSTACK(UNIQUE(FILTER($B$184:$B$721, $B$184:$B$721&lt;&gt;"""", $B$184:$B$721&lt;&gt;""S / M / L / XL"")), ""No Aplica"")"),"Talla única")</f>
        <v/>
      </c>
      <c r="AD6" s="84">
        <f>IFERROR(__xludf.DUMMYFUNCTION("VSTACK(UNIQUE(FILTER($C$184:$C$721, $C$184:$C$721&lt;&gt;"""", $C$184:$C$721&lt;&gt;""Igual"")), ""No Aplica"")"),"One Size")</f>
        <v/>
      </c>
    </row>
    <row r="7" ht="27.75" customHeight="1" s="176">
      <c r="A7" s="88" t="n">
        <v>3</v>
      </c>
      <c r="B7" s="181" t="inlineStr">
        <is>
          <t>Categorías — división y familia de talla de cada categoría</t>
        </is>
      </c>
      <c r="C7" s="182" t="n"/>
      <c r="D7" s="182" t="n"/>
      <c r="E7" s="183" t="n"/>
      <c r="F7" s="84" t="n"/>
      <c r="G7" s="96" t="inlineStr">
        <is>
          <t>Almacenes G1522</t>
        </is>
      </c>
      <c r="H7" s="97" t="inlineStr">
        <is>
          <t>NetSuite</t>
        </is>
      </c>
      <c r="I7" s="96">
        <f>IF(OR($G7="",$H7="Rack físico"),"",COUNTIFS('Stock por Ubicación'!$A:$A,IF($H7="NetSuite",$G7,$G7&amp;" ›*"),'Stock por Ubicación'!$G:$G,"&lt;&gt;0"))</f>
        <v/>
      </c>
      <c r="J7" s="96">
        <f>IF(OR($G7="",$H7="Rack físico"),"",SUMIFS('Stock por Ubicación'!$G:$G,'Stock por Ubicación'!$A:$A,IF($H7="NetSuite",$G7,$G7&amp;" ›*")))</f>
        <v/>
      </c>
      <c r="K7" s="98" t="inlineStr">
        <is>
          <t>Bodega 43</t>
        </is>
      </c>
      <c r="L7" s="99" t="n"/>
      <c r="M7" s="96" t="n"/>
      <c r="N7" s="96" t="n"/>
      <c r="O7" s="84" t="n"/>
      <c r="P7" s="103" t="inlineStr">
        <is>
          <t>Con Discrepancia</t>
        </is>
      </c>
      <c r="Q7" s="101" t="inlineStr">
        <is>
          <t>Algún código escaneado tiene estatus no válido en Productos (documento maestro).</t>
        </is>
      </c>
      <c r="R7" s="84" t="n"/>
      <c r="S7" s="102">
        <f>IFERROR(__xludf.DUMMYFUNCTION("""COMPUTED_VALUE"""),"Roper")</f>
        <v/>
      </c>
      <c r="T7" s="102">
        <f>IFERROR(__xludf.DUMMYFUNCTION("""COMPUTED_VALUE"""),"Denver")</f>
        <v/>
      </c>
      <c r="U7" s="102">
        <f>IFERROR(__xludf.DUMMYFUNCTION("""COMPUTED_VALUE"""),"Ropa")</f>
        <v/>
      </c>
      <c r="V7" s="102">
        <f>IFERROR(__xludf.DUMMYFUNCTION("""COMPUTED_VALUE"""),"Mujer")</f>
        <v/>
      </c>
      <c r="W7" s="102">
        <f>IFERROR(__xludf.DUMMYFUNCTION("""COMPUTED_VALUE"""),"FW26")</f>
        <v/>
      </c>
      <c r="X7" s="102">
        <f>IFERROR(__xludf.DUMMYFUNCTION("""COMPUTED_VALUE"""),"Core")</f>
        <v/>
      </c>
      <c r="Y7" s="102">
        <f>IFERROR(__xludf.DUMMYFUNCTION("""COMPUTED_VALUE"""),"PRS")</f>
        <v/>
      </c>
      <c r="Z7" s="102">
        <f>IFERROR(__xludf.DUMMYFUNCTION("""COMPUTED_VALUE"""),"Azul")</f>
        <v/>
      </c>
      <c r="AA7" s="104" t="inlineStr">
        <is>
          <t>Relajado</t>
        </is>
      </c>
      <c r="AB7" s="104" t="inlineStr">
        <is>
          <t>Bootcut</t>
        </is>
      </c>
      <c r="AC7" s="102">
        <f>IFERROR(__xludf.DUMMYFUNCTION("""COMPUTED_VALUE"""),"XXS")</f>
        <v/>
      </c>
      <c r="AD7" s="102">
        <f>IFERROR(__xludf.DUMMYFUNCTION("""COMPUTED_VALUE"""),"XXS")</f>
        <v/>
      </c>
    </row>
    <row r="8" ht="27.75" customHeight="1" s="176">
      <c r="A8" s="88" t="n">
        <v>4</v>
      </c>
      <c r="B8" s="181" t="inlineStr">
        <is>
          <t>Listas básicas — División, Género, Temporada, Ciclo de vida, Unidad</t>
        </is>
      </c>
      <c r="C8" s="182" t="n"/>
      <c r="D8" s="182" t="n"/>
      <c r="E8" s="183" t="n"/>
      <c r="F8" s="84" t="n"/>
      <c r="G8" s="96" t="inlineStr">
        <is>
          <t>AMAZON</t>
        </is>
      </c>
      <c r="H8" s="97" t="inlineStr">
        <is>
          <t>NetSuite</t>
        </is>
      </c>
      <c r="I8" s="96">
        <f>IF(OR($G8="",$H8="Rack físico"),"",COUNTIFS('Stock por Ubicación'!$A:$A,IF($H8="NetSuite",$G8,$G8&amp;" ›*"),'Stock por Ubicación'!$G:$G,"&lt;&gt;0"))</f>
        <v/>
      </c>
      <c r="J8" s="96">
        <f>IF(OR($G8="",$H8="Rack físico"),"",SUMIFS('Stock por Ubicación'!$G:$G,'Stock por Ubicación'!$A:$A,IF($H8="NetSuite",$G8,$G8&amp;" ›*")))</f>
        <v/>
      </c>
      <c r="K8" s="98" t="n"/>
      <c r="L8" s="99" t="n"/>
      <c r="M8" s="96" t="n"/>
      <c r="N8" s="96" t="n"/>
      <c r="O8" s="84" t="n"/>
      <c r="P8" s="105" t="inlineStr">
        <is>
          <t>Revisión Requerida</t>
        </is>
      </c>
      <c r="Q8" s="101" t="inlineStr">
        <is>
          <t>Se escaneó al menos un código que no existe en Productos.</t>
        </is>
      </c>
      <c r="R8" s="84" t="n"/>
      <c r="S8" s="102">
        <f>IFERROR(__xludf.DUMMYFUNCTION("""COMPUTED_VALUE"""),"Denver")</f>
        <v/>
      </c>
      <c r="T8" s="102">
        <f>IFERROR(__xludf.DUMMYFUNCTION("""COMPUTED_VALUE"""),"Ariat")</f>
        <v/>
      </c>
      <c r="U8" s="102">
        <f>IFERROR(__xludf.DUMMYFUNCTION("""COMPUTED_VALUE"""),"Denim")</f>
        <v/>
      </c>
      <c r="V8" s="102">
        <f>IFERROR(__xludf.DUMMYFUNCTION("""COMPUTED_VALUE"""),"Niño")</f>
        <v/>
      </c>
      <c r="W8" s="102">
        <f>IFERROR(__xludf.DUMMYFUNCTION("""COMPUTED_VALUE"""),"SS27")</f>
        <v/>
      </c>
      <c r="X8" s="102">
        <f>IFERROR(__xludf.DUMMYFUNCTION("""COMPUTED_VALUE"""),"No Aplica")</f>
        <v/>
      </c>
      <c r="Y8" s="102">
        <f>IFERROR(__xludf.DUMMYFUNCTION("""COMPUTED_VALUE"""),"No Aplica")</f>
        <v/>
      </c>
      <c r="Z8" s="102">
        <f>IFERROR(__xludf.DUMMYFUNCTION("""COMPUTED_VALUE"""),"Amarillo")</f>
        <v/>
      </c>
      <c r="AA8" s="104" t="inlineStr">
        <is>
          <t>Slim</t>
        </is>
      </c>
      <c r="AB8" s="104" t="inlineStr">
        <is>
          <t>Skinny</t>
        </is>
      </c>
      <c r="AC8" s="102">
        <f>IFERROR(__xludf.DUMMYFUNCTION("""COMPUTED_VALUE"""),"XS")</f>
        <v/>
      </c>
      <c r="AD8" s="102">
        <f>IFERROR(__xludf.DUMMYFUNCTION("""COMPUTED_VALUE"""),"XS")</f>
        <v/>
      </c>
    </row>
    <row r="9" ht="27.75" customHeight="1" s="176">
      <c r="A9" s="88" t="n">
        <v>5</v>
      </c>
      <c r="B9" s="181" t="inlineStr">
        <is>
          <t>Marcas</t>
        </is>
      </c>
      <c r="C9" s="182" t="n"/>
      <c r="D9" s="182" t="n"/>
      <c r="E9" s="183" t="n"/>
      <c r="F9" s="84" t="n"/>
      <c r="G9" s="96" t="inlineStr">
        <is>
          <t>ARIAT CHIHUAHUA</t>
        </is>
      </c>
      <c r="H9" s="97" t="inlineStr">
        <is>
          <t>NetSuite</t>
        </is>
      </c>
      <c r="I9" s="96">
        <f>IF(OR($G9="",$H9="Rack físico"),"",COUNTIFS('Stock por Ubicación'!$A:$A,IF($H9="NetSuite",$G9,$G9&amp;" ›*"),'Stock por Ubicación'!$G:$G,"&lt;&gt;0"))</f>
        <v/>
      </c>
      <c r="J9" s="96">
        <f>IF(OR($G9="",$H9="Rack físico"),"",SUMIFS('Stock por Ubicación'!$G:$G,'Stock por Ubicación'!$A:$A,IF($H9="NetSuite",$G9,$G9&amp;" ›*")))</f>
        <v/>
      </c>
      <c r="K9" s="98" t="n"/>
      <c r="L9" s="99" t="n"/>
      <c r="M9" s="96" t="n"/>
      <c r="N9" s="96" t="n"/>
      <c r="O9" s="84" t="n"/>
      <c r="P9" s="106" t="inlineStr">
        <is>
          <t>Pendiente</t>
        </is>
      </c>
      <c r="Q9" s="101" t="inlineStr">
        <is>
          <t>Ubicación aún no contada o conteo sin finalizar.</t>
        </is>
      </c>
      <c r="R9" s="84" t="n"/>
      <c r="S9" s="102">
        <f>IFERROR(__xludf.DUMMYFUNCTION("""COMPUTED_VALUE"""),"Ariat")</f>
        <v/>
      </c>
      <c r="T9" s="102">
        <f>IFERROR(__xludf.DUMMYFUNCTION("""COMPUTED_VALUE"""),"Wrangler")</f>
        <v/>
      </c>
      <c r="U9" s="102">
        <f>IFERROR(__xludf.DUMMYFUNCTION("""COMPUTED_VALUE"""),"Calzado")</f>
        <v/>
      </c>
      <c r="V9" s="102">
        <f>IFERROR(__xludf.DUMMYFUNCTION("""COMPUTED_VALUE"""),"Niña")</f>
        <v/>
      </c>
      <c r="W9" s="102">
        <f>IFERROR(__xludf.DUMMYFUNCTION("""COMPUTED_VALUE"""),"FW27")</f>
        <v/>
      </c>
      <c r="X9" s="102" t="n"/>
      <c r="Y9" s="102" t="n"/>
      <c r="Z9" s="102">
        <f>IFERROR(__xludf.DUMMYFUNCTION("""COMPUTED_VALUE"""),"Verde")</f>
        <v/>
      </c>
      <c r="AA9" s="104" t="inlineStr">
        <is>
          <t>Clásico</t>
        </is>
      </c>
      <c r="AB9" s="104" t="inlineStr">
        <is>
          <t>Tapered</t>
        </is>
      </c>
      <c r="AC9" s="102">
        <f>IFERROR(__xludf.DUMMYFUNCTION("""COMPUTED_VALUE"""),"S")</f>
        <v/>
      </c>
      <c r="AD9" s="102">
        <f>IFERROR(__xludf.DUMMYFUNCTION("""COMPUTED_VALUE"""),"S")</f>
        <v/>
      </c>
    </row>
    <row r="10" ht="16.5" customHeight="1" s="176">
      <c r="A10" s="88" t="n">
        <v>6</v>
      </c>
      <c r="B10" s="181" t="inlineStr">
        <is>
          <t>Colores y sinónimos — color base y cómo traducir nombres comerciales</t>
        </is>
      </c>
      <c r="C10" s="182" t="n"/>
      <c r="D10" s="182" t="n"/>
      <c r="E10" s="183" t="n"/>
      <c r="F10" s="84" t="n"/>
      <c r="G10" s="96" t="inlineStr">
        <is>
          <t>ARIAT OUTLET GDL</t>
        </is>
      </c>
      <c r="H10" s="97" t="inlineStr">
        <is>
          <t>NetSuite</t>
        </is>
      </c>
      <c r="I10" s="96">
        <f>IF(OR($G10="",$H10="Rack físico"),"",COUNTIFS('Stock por Ubicación'!$A:$A,IF($H10="NetSuite",$G10,$G10&amp;" ›*"),'Stock por Ubicación'!$G:$G,"&lt;&gt;0"))</f>
        <v/>
      </c>
      <c r="J10" s="96">
        <f>IF(OR($G10="",$H10="Rack físico"),"",SUMIFS('Stock por Ubicación'!$G:$G,'Stock por Ubicación'!$A:$A,IF($H10="NetSuite",$G10,$G10&amp;" ›*")))</f>
        <v/>
      </c>
      <c r="K10" s="98" t="n"/>
      <c r="L10" s="99" t="n"/>
      <c r="M10" s="96" t="n"/>
      <c r="N10" s="96" t="n"/>
      <c r="O10" s="84" t="n"/>
      <c r="P10" s="84" t="n"/>
      <c r="Q10" s="84" t="n"/>
      <c r="R10" s="84" t="n"/>
      <c r="S10" s="102">
        <f>IFERROR(__xludf.DUMMYFUNCTION("""COMPUTED_VALUE"""),"Wrangler")</f>
        <v/>
      </c>
      <c r="T10" s="102">
        <f>IFERROR(__xludf.DUMMYFUNCTION("""COMPUTED_VALUE"""),"Stetson")</f>
        <v/>
      </c>
      <c r="U10" s="102">
        <f>IFERROR(__xludf.DUMMYFUNCTION("""COMPUTED_VALUE"""),"No Aplica")</f>
        <v/>
      </c>
      <c r="V10" s="102">
        <f>IFERROR(__xludf.DUMMYFUNCTION("""COMPUTED_VALUE"""),"Unisex")</f>
        <v/>
      </c>
      <c r="W10" s="102">
        <f>IFERROR(__xludf.DUMMYFUNCTION("""COMPUTED_VALUE"""),"SS28")</f>
        <v/>
      </c>
      <c r="X10" s="102" t="n"/>
      <c r="Y10" s="102" t="n"/>
      <c r="Z10" s="102">
        <f>IFERROR(__xludf.DUMMYFUNCTION("""COMPUTED_VALUE"""),"Naranja")</f>
        <v/>
      </c>
      <c r="AA10" s="104" t="inlineStr">
        <is>
          <t>Moderno</t>
        </is>
      </c>
      <c r="AB10" s="104" t="inlineStr">
        <is>
          <t>Trouser</t>
        </is>
      </c>
      <c r="AC10" s="102">
        <f>IFERROR(__xludf.DUMMYFUNCTION("""COMPUTED_VALUE"""),"M")</f>
        <v/>
      </c>
      <c r="AD10" s="102">
        <f>IFERROR(__xludf.DUMMYFUNCTION("""COMPUTED_VALUE"""),"M")</f>
        <v/>
      </c>
    </row>
    <row r="11" ht="16.5" customHeight="1" s="176">
      <c r="A11" s="88" t="n">
        <v>7</v>
      </c>
      <c r="B11" s="181" t="inlineStr">
        <is>
          <t>Fit y Silueta — valores por tipo de prenda</t>
        </is>
      </c>
      <c r="C11" s="182" t="n"/>
      <c r="D11" s="182" t="n"/>
      <c r="E11" s="183" t="n"/>
      <c r="F11" s="84" t="n"/>
      <c r="G11" s="96" t="inlineStr">
        <is>
          <t>ARIAT PLAZA SAN LUIS</t>
        </is>
      </c>
      <c r="H11" s="97" t="inlineStr">
        <is>
          <t>NetSuite</t>
        </is>
      </c>
      <c r="I11" s="96">
        <f>IF(OR($G11="",$H11="Rack físico"),"",COUNTIFS('Stock por Ubicación'!$A:$A,IF($H11="NetSuite",$G11,$G11&amp;" ›*"),'Stock por Ubicación'!$G:$G,"&lt;&gt;0"))</f>
        <v/>
      </c>
      <c r="J11" s="96">
        <f>IF(OR($G11="",$H11="Rack físico"),"",SUMIFS('Stock por Ubicación'!$G:$G,'Stock por Ubicación'!$A:$A,IF($H11="NetSuite",$G11,$G11&amp;" ›*")))</f>
        <v/>
      </c>
      <c r="K11" s="98" t="n"/>
      <c r="L11" s="99" t="n"/>
      <c r="M11" s="96" t="n"/>
      <c r="N11" s="96" t="n"/>
      <c r="O11" s="84" t="n"/>
      <c r="P11" s="84" t="n"/>
      <c r="Q11" s="84" t="n"/>
      <c r="R11" s="84" t="n"/>
      <c r="S11" s="102">
        <f>IFERROR(__xludf.DUMMYFUNCTION("""COMPUTED_VALUE"""),"Stetson")</f>
        <v/>
      </c>
      <c r="T11" s="102">
        <f>IFERROR(__xludf.DUMMYFUNCTION("""COMPUTED_VALUE"""),"Montana West")</f>
        <v/>
      </c>
      <c r="U11" s="102" t="n"/>
      <c r="V11" s="102">
        <f>IFERROR(__xludf.DUMMYFUNCTION("""COMPUTED_VALUE"""),"No Aplica")</f>
        <v/>
      </c>
      <c r="W11" s="102">
        <f>IFERROR(__xludf.DUMMYFUNCTION("""COMPUTED_VALUE"""),"FW28")</f>
        <v/>
      </c>
      <c r="X11" s="102" t="n"/>
      <c r="Y11" s="102" t="n"/>
      <c r="Z11" s="102">
        <f>IFERROR(__xludf.DUMMYFUNCTION("""COMPUTED_VALUE"""),"Morado")</f>
        <v/>
      </c>
      <c r="AA11" s="104" t="inlineStr">
        <is>
          <t>Recto</t>
        </is>
      </c>
      <c r="AB11" s="104" t="inlineStr">
        <is>
          <t>Punta Redonda Ancha</t>
        </is>
      </c>
      <c r="AC11" s="102">
        <f>IFERROR(__xludf.DUMMYFUNCTION("""COMPUTED_VALUE"""),"L")</f>
        <v/>
      </c>
      <c r="AD11" s="102">
        <f>IFERROR(__xludf.DUMMYFUNCTION("""COMPUTED_VALUE"""),"L")</f>
        <v/>
      </c>
    </row>
    <row r="12" ht="16.5" customHeight="1" s="176">
      <c r="A12" s="88" t="n">
        <v>8</v>
      </c>
      <c r="B12" s="181" t="inlineStr">
        <is>
          <t>Catálogo de tallas — WB Talla → Talla de EE. UU. (con filtro por familia)</t>
        </is>
      </c>
      <c r="C12" s="182" t="n"/>
      <c r="D12" s="182" t="n"/>
      <c r="E12" s="183" t="n"/>
      <c r="F12" s="84" t="n"/>
      <c r="G12" s="96" t="inlineStr">
        <is>
          <t>ARIAT SAN NICOLAS NL</t>
        </is>
      </c>
      <c r="H12" s="97" t="inlineStr">
        <is>
          <t>NetSuite</t>
        </is>
      </c>
      <c r="I12" s="96">
        <f>IF(OR($G12="",$H12="Rack físico"),"",COUNTIFS('Stock por Ubicación'!$A:$A,IF($H12="NetSuite",$G12,$G12&amp;" ›*"),'Stock por Ubicación'!$G:$G,"&lt;&gt;0"))</f>
        <v/>
      </c>
      <c r="J12" s="96">
        <f>IF(OR($G12="",$H12="Rack físico"),"",SUMIFS('Stock por Ubicación'!$G:$G,'Stock por Ubicación'!$A:$A,IF($H12="NetSuite",$G12,$G12&amp;" ›*")))</f>
        <v/>
      </c>
      <c r="K12" s="98" t="n"/>
      <c r="L12" s="99" t="n"/>
      <c r="M12" s="96" t="n"/>
      <c r="N12" s="96" t="n"/>
      <c r="O12" s="84" t="n"/>
      <c r="P12" s="84" t="n"/>
      <c r="Q12" s="84" t="n"/>
      <c r="R12" s="84" t="n"/>
      <c r="S12" s="102">
        <f>IFERROR(__xludf.DUMMYFUNCTION("""COMPUTED_VALUE"""),"Montana West")</f>
        <v/>
      </c>
      <c r="T12" s="102">
        <f>IFERROR(__xludf.DUMMYFUNCTION("""COMPUTED_VALUE"""),"Tru Western")</f>
        <v/>
      </c>
      <c r="U12" s="102" t="n"/>
      <c r="V12" s="102" t="n"/>
      <c r="W12" s="102">
        <f>IFERROR(__xludf.DUMMYFUNCTION("""COMPUTED_VALUE"""),"No Aplica")</f>
        <v/>
      </c>
      <c r="X12" s="102" t="n"/>
      <c r="Y12" s="102" t="n"/>
      <c r="Z12" s="102">
        <f>IFERROR(__xludf.DUMMYFUNCTION("""COMPUTED_VALUE"""),"Rosa")</f>
        <v/>
      </c>
      <c r="AA12" s="104" t="inlineStr">
        <is>
          <t>Bootcut</t>
        </is>
      </c>
      <c r="AB12" s="104" t="inlineStr">
        <is>
          <t>Punta Cuadrada Ancha</t>
        </is>
      </c>
      <c r="AC12" s="102">
        <f>IFERROR(__xludf.DUMMYFUNCTION("""COMPUTED_VALUE"""),"XL")</f>
        <v/>
      </c>
      <c r="AD12" s="102">
        <f>IFERROR(__xludf.DUMMYFUNCTION("""COMPUTED_VALUE"""),"XL")</f>
        <v/>
      </c>
    </row>
    <row r="13" ht="16.5" customHeight="1" s="176">
      <c r="A13" s="88" t="n">
        <v>9</v>
      </c>
      <c r="B13" s="181" t="inlineStr">
        <is>
          <t>Ubicaciones / Racks  (columna G)</t>
        </is>
      </c>
      <c r="C13" s="182" t="n"/>
      <c r="D13" s="182" t="n"/>
      <c r="E13" s="183" t="n"/>
      <c r="F13" s="84" t="n"/>
      <c r="G13" s="96" t="inlineStr">
        <is>
          <t>B25 CEDIS</t>
        </is>
      </c>
      <c r="H13" s="97" t="inlineStr">
        <is>
          <t>NetSuite</t>
        </is>
      </c>
      <c r="I13" s="96">
        <f>IF(OR($G13="",$H13="Rack físico"),"",COUNTIFS('Stock por Ubicación'!$A:$A,IF($H13="NetSuite",$G13,$G13&amp;" ›*"),'Stock por Ubicación'!$G:$G,"&lt;&gt;0"))</f>
        <v/>
      </c>
      <c r="J13" s="96">
        <f>IF(OR($G13="",$H13="Rack físico"),"",SUMIFS('Stock por Ubicación'!$G:$G,'Stock por Ubicación'!$A:$A,IF($H13="NetSuite",$G13,$G13&amp;" ›*")))</f>
        <v/>
      </c>
      <c r="K13" s="98" t="inlineStr">
        <is>
          <t>Bodega 25</t>
        </is>
      </c>
      <c r="L13" s="99" t="n"/>
      <c r="M13" s="96" t="n"/>
      <c r="N13" s="96" t="n"/>
      <c r="O13" s="84" t="n"/>
      <c r="P13" s="84" t="n"/>
      <c r="Q13" s="84" t="n"/>
      <c r="R13" s="84" t="n"/>
      <c r="S13" s="102">
        <f>IFERROR(__xludf.DUMMYFUNCTION("""COMPUTED_VALUE"""),"Tru Western")</f>
        <v/>
      </c>
      <c r="T13" s="102">
        <f>IFERROR(__xludf.DUMMYFUNCTION("""COMPUTED_VALUE"""),"Ranch &amp; Corral")</f>
        <v/>
      </c>
      <c r="U13" s="102" t="n"/>
      <c r="V13" s="102" t="n"/>
      <c r="W13" s="102" t="n"/>
      <c r="X13" s="102" t="n"/>
      <c r="Y13" s="102" t="n"/>
      <c r="Z13" s="102">
        <f>IFERROR(__xludf.DUMMYFUNCTION("""COMPUTED_VALUE"""),"Negro")</f>
        <v/>
      </c>
      <c r="AA13" s="104" t="inlineStr">
        <is>
          <t>No Aplica</t>
        </is>
      </c>
      <c r="AB13" s="104" t="inlineStr">
        <is>
          <t>Punta Redonda</t>
        </is>
      </c>
      <c r="AC13" s="102">
        <f>IFERROR(__xludf.DUMMYFUNCTION("""COMPUTED_VALUE"""),"XXL")</f>
        <v/>
      </c>
      <c r="AD13" s="102">
        <f>IFERROR(__xludf.DUMMYFUNCTION("""COMPUTED_VALUE"""),"XXL")</f>
        <v/>
      </c>
    </row>
    <row r="14" ht="16.5" customHeight="1" s="176">
      <c r="A14" s="88" t="n">
        <v>10</v>
      </c>
      <c r="B14" s="181" t="inlineStr">
        <is>
          <t>Auditores  (columna L)</t>
        </is>
      </c>
      <c r="C14" s="182" t="n"/>
      <c r="D14" s="182" t="n"/>
      <c r="E14" s="183" t="n"/>
      <c r="F14" s="84" t="n"/>
      <c r="G14" s="96" t="inlineStr">
        <is>
          <t>B25 STETSON.MX</t>
        </is>
      </c>
      <c r="H14" s="97" t="inlineStr">
        <is>
          <t>NetSuite</t>
        </is>
      </c>
      <c r="I14" s="96">
        <f>IF(OR($G14="",$H14="Rack físico"),"",COUNTIFS('Stock por Ubicación'!$A:$A,IF($H14="NetSuite",$G14,$G14&amp;" ›*"),'Stock por Ubicación'!$G:$G,"&lt;&gt;0"))</f>
        <v/>
      </c>
      <c r="J14" s="96">
        <f>IF(OR($G14="",$H14="Rack físico"),"",SUMIFS('Stock por Ubicación'!$G:$G,'Stock por Ubicación'!$A:$A,IF($H14="NetSuite",$G14,$G14&amp;" ›*")))</f>
        <v/>
      </c>
      <c r="K14" s="98" t="inlineStr">
        <is>
          <t>Bodega 25</t>
        </is>
      </c>
      <c r="L14" s="99" t="n"/>
      <c r="M14" s="96" t="n"/>
      <c r="N14" s="96" t="n"/>
      <c r="O14" s="84" t="n"/>
      <c r="P14" s="84" t="n"/>
      <c r="Q14" s="84" t="n"/>
      <c r="R14" s="84" t="n"/>
      <c r="S14" s="102">
        <f>IFERROR(__xludf.DUMMYFUNCTION("""COMPUTED_VALUE"""),"Ranch &amp; Corral")</f>
        <v/>
      </c>
      <c r="T14" s="102">
        <f>IFERROR(__xludf.DUMMYFUNCTION("""COMPUTED_VALUE"""),"Jony Lama")</f>
        <v/>
      </c>
      <c r="U14" s="102" t="n"/>
      <c r="V14" s="102" t="n"/>
      <c r="W14" s="102" t="n"/>
      <c r="X14" s="102" t="n"/>
      <c r="Y14" s="102" t="n"/>
      <c r="Z14" s="102">
        <f>IFERROR(__xludf.DUMMYFUNCTION("""COMPUTED_VALUE"""),"Blanco")</f>
        <v/>
      </c>
      <c r="AA14" s="104" t="n"/>
      <c r="AB14" s="104" t="inlineStr">
        <is>
          <t>Punta Cuadrada</t>
        </is>
      </c>
      <c r="AC14" s="102">
        <f>IFERROR(__xludf.DUMMYFUNCTION("""COMPUTED_VALUE"""),"XXXL")</f>
        <v/>
      </c>
      <c r="AD14" s="102">
        <f>IFERROR(__xludf.DUMMYFUNCTION("""COMPUTED_VALUE"""),"XXXL")</f>
        <v/>
      </c>
    </row>
    <row r="15" ht="16.5" customHeight="1" s="176">
      <c r="A15" s="88" t="n">
        <v>11</v>
      </c>
      <c r="B15" s="181" t="inlineStr">
        <is>
          <t>Estados de conteo / Dictamen  (columna P)</t>
        </is>
      </c>
      <c r="C15" s="182" t="n"/>
      <c r="D15" s="182" t="n"/>
      <c r="E15" s="183" t="n"/>
      <c r="F15" s="84" t="n"/>
      <c r="G15" s="96" t="inlineStr">
        <is>
          <t>B25 WB MERCADO LIBRE</t>
        </is>
      </c>
      <c r="H15" s="97" t="inlineStr">
        <is>
          <t>NetSuite</t>
        </is>
      </c>
      <c r="I15" s="96">
        <f>IF(OR($G15="",$H15="Rack físico"),"",COUNTIFS('Stock por Ubicación'!$A:$A,IF($H15="NetSuite",$G15,$G15&amp;" ›*"),'Stock por Ubicación'!$G:$G,"&lt;&gt;0"))</f>
        <v/>
      </c>
      <c r="J15" s="96">
        <f>IF(OR($G15="",$H15="Rack físico"),"",SUMIFS('Stock por Ubicación'!$G:$G,'Stock por Ubicación'!$A:$A,IF($H15="NetSuite",$G15,$G15&amp;" ›*")))</f>
        <v/>
      </c>
      <c r="K15" s="98" t="inlineStr">
        <is>
          <t>Bodega 25</t>
        </is>
      </c>
      <c r="L15" s="99" t="n"/>
      <c r="M15" s="96" t="n"/>
      <c r="N15" s="96" t="n"/>
      <c r="O15" s="84" t="n"/>
      <c r="P15" s="84" t="n"/>
      <c r="Q15" s="84" t="n"/>
      <c r="R15" s="84" t="n"/>
      <c r="S15" s="102">
        <f>IFERROR(__xludf.DUMMYFUNCTION("""COMPUTED_VALUE"""),"Jony Lama")</f>
        <v/>
      </c>
      <c r="T15" s="102">
        <f>IFERROR(__xludf.DUMMYFUNCTION("""COMPUTED_VALUE"""),"Justin boots")</f>
        <v/>
      </c>
      <c r="U15" s="102" t="n"/>
      <c r="V15" s="102" t="n"/>
      <c r="W15" s="102" t="n"/>
      <c r="X15" s="102" t="n"/>
      <c r="Y15" s="102" t="n"/>
      <c r="Z15" s="102">
        <f>IFERROR(__xludf.DUMMYFUNCTION("""COMPUTED_VALUE"""),"Gris")</f>
        <v/>
      </c>
      <c r="AA15" s="104" t="n"/>
      <c r="AB15" s="104" t="inlineStr">
        <is>
          <t>Punta Ovalada</t>
        </is>
      </c>
      <c r="AC15" s="102">
        <f>IFERROR(__xludf.DUMMYFUNCTION("""COMPUTED_VALUE"""),"4XL")</f>
        <v/>
      </c>
      <c r="AD15" s="102">
        <f>IFERROR(__xludf.DUMMYFUNCTION("""COMPUTED_VALUE"""),"4XL")</f>
        <v/>
      </c>
    </row>
    <row r="16" ht="16.5" customHeight="1" s="176">
      <c r="A16" s="88" t="n">
        <v>12</v>
      </c>
      <c r="B16" s="181" t="inlineStr">
        <is>
          <t>Listas automáticas para desplegables  (columna S, no editar)</t>
        </is>
      </c>
      <c r="C16" s="182" t="n"/>
      <c r="D16" s="182" t="n"/>
      <c r="E16" s="183" t="n"/>
      <c r="F16" s="84" t="n"/>
      <c r="G16" s="96" t="inlineStr">
        <is>
          <t>B25 WESTERN BROTHERS.MX</t>
        </is>
      </c>
      <c r="H16" s="97" t="inlineStr">
        <is>
          <t>NetSuite</t>
        </is>
      </c>
      <c r="I16" s="96">
        <f>IF(OR($G16="",$H16="Rack físico"),"",COUNTIFS('Stock por Ubicación'!$A:$A,IF($H16="NetSuite",$G16,$G16&amp;" ›*"),'Stock por Ubicación'!$G:$G,"&lt;&gt;0"))</f>
        <v/>
      </c>
      <c r="J16" s="96">
        <f>IF(OR($G16="",$H16="Rack físico"),"",SUMIFS('Stock por Ubicación'!$G:$G,'Stock por Ubicación'!$A:$A,IF($H16="NetSuite",$G16,$G16&amp;" ›*")))</f>
        <v/>
      </c>
      <c r="K16" s="98" t="inlineStr">
        <is>
          <t>Bodega 25</t>
        </is>
      </c>
      <c r="L16" s="99" t="n"/>
      <c r="M16" s="96" t="n"/>
      <c r="N16" s="96" t="n"/>
      <c r="O16" s="84" t="n"/>
      <c r="P16" s="84" t="n"/>
      <c r="Q16" s="84" t="n"/>
      <c r="R16" s="84" t="n"/>
      <c r="S16" s="102">
        <f>IFERROR(__xludf.DUMMYFUNCTION("""COMPUTED_VALUE"""),"Justin boots")</f>
        <v/>
      </c>
      <c r="T16" s="102">
        <f>IFERROR(__xludf.DUMMYFUNCTION("""COMPUTED_VALUE"""),"Yellowstone")</f>
        <v/>
      </c>
      <c r="U16" s="102" t="n"/>
      <c r="V16" s="102" t="n"/>
      <c r="W16" s="102" t="n"/>
      <c r="X16" s="102" t="n"/>
      <c r="Y16" s="102" t="n"/>
      <c r="Z16" s="102">
        <f>IFERROR(__xludf.DUMMYFUNCTION("""COMPUTED_VALUE"""),"Beige")</f>
        <v/>
      </c>
      <c r="AA16" s="104" t="n"/>
      <c r="AB16" s="104" t="inlineStr">
        <is>
          <t>Punta Snip</t>
        </is>
      </c>
      <c r="AC16" s="102">
        <f>IFERROR(__xludf.DUMMYFUNCTION("""COMPUTED_VALUE"""),0.0)</f>
        <v/>
      </c>
      <c r="AD16" s="102">
        <f>IFERROR(__xludf.DUMMYFUNCTION("""COMPUTED_VALUE"""),0.0)</f>
        <v/>
      </c>
    </row>
    <row r="17" ht="9.75" customHeight="1" s="176">
      <c r="A17" s="107" t="n"/>
      <c r="B17" s="107" t="n"/>
      <c r="C17" s="107" t="n"/>
      <c r="D17" s="107" t="n"/>
      <c r="E17" s="107" t="n"/>
      <c r="F17" s="84" t="n"/>
      <c r="G17" s="96" t="inlineStr">
        <is>
          <t>CAPSLAB Warehouse</t>
        </is>
      </c>
      <c r="H17" s="97" t="inlineStr">
        <is>
          <t>NetSuite</t>
        </is>
      </c>
      <c r="I17" s="96">
        <f>IF(OR($G17="",$H17="Rack físico"),"",COUNTIFS('Stock por Ubicación'!$A:$A,IF($H17="NetSuite",$G17,$G17&amp;" ›*"),'Stock por Ubicación'!$G:$G,"&lt;&gt;0"))</f>
        <v/>
      </c>
      <c r="J17" s="96">
        <f>IF(OR($G17="",$H17="Rack físico"),"",SUMIFS('Stock por Ubicación'!$G:$G,'Stock por Ubicación'!$A:$A,IF($H17="NetSuite",$G17,$G17&amp;" ›*")))</f>
        <v/>
      </c>
      <c r="K17" s="98" t="n"/>
      <c r="L17" s="84" t="n"/>
      <c r="M17" s="84" t="n"/>
      <c r="N17" s="84" t="n"/>
      <c r="O17" s="84" t="n"/>
      <c r="P17" s="84" t="n"/>
      <c r="Q17" s="84" t="n"/>
      <c r="R17" s="84" t="n"/>
      <c r="S17" s="102">
        <f>IFERROR(__xludf.DUMMYFUNCTION("""COMPUTED_VALUE"""),"Yellowstone")</f>
        <v/>
      </c>
      <c r="T17" s="102">
        <f>IFERROR(__xludf.DUMMYFUNCTION("""COMPUTED_VALUE"""),"Generico")</f>
        <v/>
      </c>
      <c r="U17" s="102" t="n"/>
      <c r="V17" s="102" t="n"/>
      <c r="W17" s="102" t="n"/>
      <c r="X17" s="102" t="n"/>
      <c r="Y17" s="102" t="n"/>
      <c r="Z17" s="102">
        <f>IFERROR(__xludf.DUMMYFUNCTION("""COMPUTED_VALUE"""),"Cafe")</f>
        <v/>
      </c>
      <c r="AA17" s="104" t="n"/>
      <c r="AB17" s="104" t="inlineStr">
        <is>
          <t>Horma Alexia</t>
        </is>
      </c>
      <c r="AC17" s="102">
        <f>IFERROR(__xludf.DUMMYFUNCTION("""COMPUTED_VALUE"""),2.0)</f>
        <v/>
      </c>
      <c r="AD17" s="102">
        <f>IFERROR(__xludf.DUMMYFUNCTION("""COMPUTED_VALUE"""),2.0)</f>
        <v/>
      </c>
    </row>
    <row r="18" ht="21.75" customHeight="1" s="176">
      <c r="A18" s="86" t="inlineStr">
        <is>
          <t>1. RUTA DE LLENADO  (sigue estos pasos en orden)</t>
        </is>
      </c>
      <c r="B18" s="86" t="n"/>
      <c r="C18" s="86" t="n"/>
      <c r="D18" s="86" t="n"/>
      <c r="E18" s="108" t="inlineStr">
        <is>
          <t>↑ Volver al índice</t>
        </is>
      </c>
      <c r="F18" s="84" t="n"/>
      <c r="G18" s="96" t="inlineStr">
        <is>
          <t>CL Muestras</t>
        </is>
      </c>
      <c r="H18" s="97" t="inlineStr">
        <is>
          <t>NetSuite</t>
        </is>
      </c>
      <c r="I18" s="96">
        <f>IF(OR($G18="",$H18="Rack físico"),"",COUNTIFS('Stock por Ubicación'!$A:$A,IF($H18="NetSuite",$G18,$G18&amp;" ›*"),'Stock por Ubicación'!$G:$G,"&lt;&gt;0"))</f>
        <v/>
      </c>
      <c r="J18" s="96">
        <f>IF(OR($G18="",$H18="Rack físico"),"",SUMIFS('Stock por Ubicación'!$G:$G,'Stock por Ubicación'!$A:$A,IF($H18="NetSuite",$G18,$G18&amp;" ›*")))</f>
        <v/>
      </c>
      <c r="K18" s="98" t="n"/>
      <c r="L18" s="84" t="n"/>
      <c r="M18" s="84" t="n"/>
      <c r="N18" s="84" t="n"/>
      <c r="O18" s="84" t="n"/>
      <c r="P18" s="84" t="n"/>
      <c r="Q18" s="84" t="n"/>
      <c r="R18" s="84" t="n"/>
      <c r="S18" s="102">
        <f>IFERROR(__xludf.DUMMYFUNCTION("""COMPUTED_VALUE"""),"Generico")</f>
        <v/>
      </c>
      <c r="T18" s="102">
        <f>IFERROR(__xludf.DUMMYFUNCTION("""COMPUTED_VALUE"""),"CAPSLAB")</f>
        <v/>
      </c>
      <c r="U18" s="102" t="n"/>
      <c r="V18" s="102" t="n"/>
      <c r="W18" s="102" t="n"/>
      <c r="X18" s="102" t="n"/>
      <c r="Y18" s="102" t="n"/>
      <c r="Z18" s="102">
        <f>IFERROR(__xludf.DUMMYFUNCTION("""COMPUTED_VALUE"""),"Varios")</f>
        <v/>
      </c>
      <c r="AA18" s="104" t="n"/>
      <c r="AB18" s="104" t="inlineStr">
        <is>
          <t>Horma Agatha</t>
        </is>
      </c>
      <c r="AC18" s="102">
        <f>IFERROR(__xludf.DUMMYFUNCTION("""COMPUTED_VALUE"""),4.0)</f>
        <v/>
      </c>
      <c r="AD18" s="102">
        <f>IFERROR(__xludf.DUMMYFUNCTION("""COMPUTED_VALUE"""),4.0)</f>
        <v/>
      </c>
    </row>
    <row r="19" ht="16.5" customHeight="1" s="176">
      <c r="A19" s="109" t="inlineStr">
        <is>
          <t>Paso</t>
        </is>
      </c>
      <c r="B19" s="110" t="inlineStr">
        <is>
          <t>Campo</t>
        </is>
      </c>
      <c r="C19" s="110" t="inlineStr">
        <is>
          <t>Qué hacer</t>
        </is>
      </c>
      <c r="D19" s="182" t="n"/>
      <c r="E19" s="183" t="n"/>
      <c r="F19" s="84" t="n"/>
      <c r="G19" s="96" t="inlineStr">
        <is>
          <t>CL POS</t>
        </is>
      </c>
      <c r="H19" s="97" t="inlineStr">
        <is>
          <t>NetSuite</t>
        </is>
      </c>
      <c r="I19" s="96">
        <f>IF(OR($G19="",$H19="Rack físico"),"",COUNTIFS('Stock por Ubicación'!$A:$A,IF($H19="NetSuite",$G19,$G19&amp;" ›*"),'Stock por Ubicación'!$G:$G,"&lt;&gt;0"))</f>
        <v/>
      </c>
      <c r="J19" s="96">
        <f>IF(OR($G19="",$H19="Rack físico"),"",SUMIFS('Stock por Ubicación'!$G:$G,'Stock por Ubicación'!$A:$A,IF($H19="NetSuite",$G19,$G19&amp;" ›*")))</f>
        <v/>
      </c>
      <c r="K19" s="98" t="n"/>
      <c r="L19" s="84" t="n"/>
      <c r="M19" s="84" t="n"/>
      <c r="N19" s="84" t="n"/>
      <c r="O19" s="84" t="n"/>
      <c r="P19" s="84" t="n"/>
      <c r="Q19" s="84" t="n"/>
      <c r="R19" s="84" t="n"/>
      <c r="S19" s="102">
        <f>IFERROR(__xludf.DUMMYFUNCTION("""COMPUTED_VALUE"""),"CAPSLAB")</f>
        <v/>
      </c>
      <c r="T19" s="102">
        <f>IFERROR(__xludf.DUMMYFUNCTION("""COMPUTED_VALUE"""),"Happy Socks")</f>
        <v/>
      </c>
      <c r="U19" s="102" t="n"/>
      <c r="V19" s="102" t="n"/>
      <c r="W19" s="102" t="n"/>
      <c r="X19" s="102" t="n"/>
      <c r="Y19" s="102" t="n"/>
      <c r="Z19" s="102">
        <f>IFERROR(__xludf.DUMMYFUNCTION("""COMPUTED_VALUE"""),"No Aplica")</f>
        <v/>
      </c>
      <c r="AA19" s="104" t="n"/>
      <c r="AB19" s="104" t="inlineStr">
        <is>
          <t>Copa Cattleman</t>
        </is>
      </c>
      <c r="AC19" s="102">
        <f>IFERROR(__xludf.DUMMYFUNCTION("""COMPUTED_VALUE"""),6.0)</f>
        <v/>
      </c>
      <c r="AD19" s="102">
        <f>IFERROR(__xludf.DUMMYFUNCTION("""COMPUTED_VALUE"""),6.0)</f>
        <v/>
      </c>
    </row>
    <row r="20" ht="42.75" customHeight="1" s="176">
      <c r="A20" s="88" t="n">
        <v>1</v>
      </c>
      <c r="B20" s="112" t="inlineStr">
        <is>
          <t>Categoría y División</t>
        </is>
      </c>
      <c r="C20" s="122" t="inlineStr">
        <is>
          <t>Busca en el nombre del producto una palabra de la tabla «2. Palabra clave → Categoría». Esa fila te da la Categoría y la División. Si no hay palabra clave, usa la lista «3. Categorías»; si no existe, no la inventes: anótala en Revisión.</t>
        </is>
      </c>
      <c r="D20" s="182" t="n"/>
      <c r="E20" s="183" t="n"/>
      <c r="F20" s="84" t="n"/>
      <c r="G20" s="96" t="inlineStr">
        <is>
          <t>CONSIGNA REFLO</t>
        </is>
      </c>
      <c r="H20" s="97" t="inlineStr">
        <is>
          <t>NetSuite</t>
        </is>
      </c>
      <c r="I20" s="96">
        <f>IF(OR($G20="",$H20="Rack físico"),"",COUNTIFS('Stock por Ubicación'!$A:$A,IF($H20="NetSuite",$G20,$G20&amp;" ›*"),'Stock por Ubicación'!$G:$G,"&lt;&gt;0"))</f>
        <v/>
      </c>
      <c r="J20" s="96">
        <f>IF(OR($G20="",$H20="Rack físico"),"",SUMIFS('Stock por Ubicación'!$G:$G,'Stock por Ubicación'!$A:$A,IF($H20="NetSuite",$G20,$G20&amp;" ›*")))</f>
        <v/>
      </c>
      <c r="K20" s="98" t="n"/>
      <c r="L20" s="84" t="n"/>
      <c r="M20" s="84" t="n"/>
      <c r="N20" s="84" t="n"/>
      <c r="O20" s="84" t="n"/>
      <c r="P20" s="84" t="n"/>
      <c r="Q20" s="84" t="n"/>
      <c r="R20" s="84" t="n"/>
      <c r="S20" s="102">
        <f>IFERROR(__xludf.DUMMYFUNCTION("""COMPUTED_VALUE"""),"Happy Socks")</f>
        <v/>
      </c>
      <c r="T20" s="102">
        <f>IFERROR(__xludf.DUMMYFUNCTION("""COMPUTED_VALUE"""),"REFLO")</f>
        <v/>
      </c>
      <c r="U20" s="102" t="n"/>
      <c r="V20" s="102" t="n"/>
      <c r="W20" s="102" t="n"/>
      <c r="X20" s="102" t="n"/>
      <c r="Y20" s="102" t="n"/>
      <c r="Z20" s="102" t="n"/>
      <c r="AA20" s="104" t="n"/>
      <c r="AB20" s="104" t="inlineStr">
        <is>
          <t>Copa Rancher</t>
        </is>
      </c>
      <c r="AC20" s="102">
        <f>IFERROR(__xludf.DUMMYFUNCTION("""COMPUTED_VALUE"""),8.0)</f>
        <v/>
      </c>
      <c r="AD20" s="102">
        <f>IFERROR(__xludf.DUMMYFUNCTION("""COMPUTED_VALUE"""),8.0)</f>
        <v/>
      </c>
    </row>
    <row r="21" ht="30" customHeight="1" s="176">
      <c r="A21" s="88" t="n">
        <v>2</v>
      </c>
      <c r="B21" s="112" t="inlineStr">
        <is>
          <t>Género</t>
        </is>
      </c>
      <c r="C21" s="122" t="inlineStr">
        <is>
          <t>Dama / Mujer → Mujer · Caballero / Hombre → Hombre · Niño / Niña según corresponda · Sombreros y accesorios sin género → Unisex. Usa solo los valores de «4. Listas básicas».</t>
        </is>
      </c>
      <c r="D21" s="182" t="n"/>
      <c r="E21" s="183" t="n"/>
      <c r="F21" s="84" t="n"/>
      <c r="G21" s="96" t="inlineStr">
        <is>
          <t>CONSIGNAS</t>
        </is>
      </c>
      <c r="H21" s="97" t="inlineStr">
        <is>
          <t>NetSuite</t>
        </is>
      </c>
      <c r="I21" s="96">
        <f>IF(OR($G21="",$H21="Rack físico"),"",COUNTIFS('Stock por Ubicación'!$A:$A,IF($H21="NetSuite",$G21,$G21&amp;" ›*"),'Stock por Ubicación'!$G:$G,"&lt;&gt;0"))</f>
        <v/>
      </c>
      <c r="J21" s="96">
        <f>IF(OR($G21="",$H21="Rack físico"),"",SUMIFS('Stock por Ubicación'!$G:$G,'Stock por Ubicación'!$A:$A,IF($H21="NetSuite",$G21,$G21&amp;" ›*")))</f>
        <v/>
      </c>
      <c r="K21" s="98" t="n"/>
      <c r="L21" s="84" t="n"/>
      <c r="M21" s="84" t="n"/>
      <c r="N21" s="84" t="n"/>
      <c r="O21" s="84" t="n"/>
      <c r="P21" s="84" t="n"/>
      <c r="Q21" s="84" t="n"/>
      <c r="R21" s="84" t="n"/>
      <c r="S21" s="102">
        <f>IFERROR(__xludf.DUMMYFUNCTION("""COMPUTED_VALUE"""),"REFLO")</f>
        <v/>
      </c>
      <c r="T21" s="102">
        <f>IFERROR(__xludf.DUMMYFUNCTION("""COMPUTED_VALUE"""),"Willow Lane")</f>
        <v/>
      </c>
      <c r="U21" s="102" t="n"/>
      <c r="V21" s="102" t="n"/>
      <c r="W21" s="102" t="n"/>
      <c r="X21" s="102" t="n"/>
      <c r="Y21" s="102" t="n"/>
      <c r="Z21" s="102" t="n"/>
      <c r="AA21" s="104" t="n"/>
      <c r="AB21" s="104" t="inlineStr">
        <is>
          <t>Copa Pinch Front</t>
        </is>
      </c>
      <c r="AC21" s="102">
        <f>IFERROR(__xludf.DUMMYFUNCTION("""COMPUTED_VALUE"""),10.0)</f>
        <v/>
      </c>
      <c r="AD21" s="102">
        <f>IFERROR(__xludf.DUMMYFUNCTION("""COMPUTED_VALUE"""),10.0)</f>
        <v/>
      </c>
    </row>
    <row r="22" ht="30" customHeight="1" s="176">
      <c r="A22" s="88" t="n">
        <v>3</v>
      </c>
      <c r="B22" s="112" t="inlineStr">
        <is>
          <t>Familia de talla</t>
        </is>
      </c>
      <c r="C22" s="122" t="inlineStr">
        <is>
          <t>Con Categoría + Género ubica la familia en «3. Categorías» (columna Familia de talla). La familia define qué valores de talla son válidos.</t>
        </is>
      </c>
      <c r="D22" s="182" t="n"/>
      <c r="E22" s="183" t="n"/>
      <c r="F22" s="84" t="n"/>
      <c r="G22" s="96" t="inlineStr">
        <is>
          <t>DEPARTAMENTAL</t>
        </is>
      </c>
      <c r="H22" s="97" t="inlineStr">
        <is>
          <t>NetSuite</t>
        </is>
      </c>
      <c r="I22" s="96">
        <f>IF(OR($G22="",$H22="Rack físico"),"",COUNTIFS('Stock por Ubicación'!$A:$A,IF($H22="NetSuite",$G22,$G22&amp;" ›*"),'Stock por Ubicación'!$G:$G,"&lt;&gt;0"))</f>
        <v/>
      </c>
      <c r="J22" s="96">
        <f>IF(OR($G22="",$H22="Rack físico"),"",SUMIFS('Stock por Ubicación'!$G:$G,'Stock por Ubicación'!$A:$A,IF($H22="NetSuite",$G22,$G22&amp;" ›*")))</f>
        <v/>
      </c>
      <c r="K22" s="98" t="n"/>
      <c r="L22" s="84" t="n"/>
      <c r="M22" s="84" t="n"/>
      <c r="N22" s="84" t="n"/>
      <c r="O22" s="84" t="n"/>
      <c r="P22" s="84" t="n"/>
      <c r="Q22" s="84" t="n"/>
      <c r="R22" s="84" t="n"/>
      <c r="S22" s="102">
        <f>IFERROR(__xludf.DUMMYFUNCTION("""COMPUTED_VALUE"""),"Willow Lane")</f>
        <v/>
      </c>
      <c r="T22" s="102">
        <f>IFERROR(__xludf.DUMMYFUNCTION("""COMPUTED_VALUE"""),"No Aplica")</f>
        <v/>
      </c>
      <c r="U22" s="102" t="n"/>
      <c r="V22" s="102" t="n"/>
      <c r="W22" s="102" t="n"/>
      <c r="X22" s="102" t="n"/>
      <c r="Y22" s="102" t="n"/>
      <c r="Z22" s="102" t="n"/>
      <c r="AA22" s="104" t="n"/>
      <c r="AB22" s="104" t="inlineStr">
        <is>
          <t>Copa Gus</t>
        </is>
      </c>
      <c r="AC22" s="102">
        <f>IFERROR(__xludf.DUMMYFUNCTION("""COMPUTED_VALUE"""),12.0)</f>
        <v/>
      </c>
      <c r="AD22" s="102">
        <f>IFERROR(__xludf.DUMMYFUNCTION("""COMPUTED_VALUE"""),12.0)</f>
        <v/>
      </c>
    </row>
    <row r="23" ht="55.5" customHeight="1" s="176">
      <c r="A23" s="88" t="n">
        <v>4</v>
      </c>
      <c r="B23" s="112" t="inlineStr">
        <is>
          <t>WB Talla</t>
        </is>
      </c>
      <c r="C23" s="122" t="inlineStr">
        <is>
          <t>Captura el valor EXACTO de la columna «WB Talla» del «8. Catálogo de tallas» para esa familia (mismo texto, espacios y mayúsculas). Equivalencias de captura: CH→S, MED→M, GDE→L, 2XL→XXL, UNI→Talla única. Regla general: WB Talla = cómo se vende en México; Talla de EE. UU. = etiqueta americana. Nunca escribas equivalencias entre paréntesis dentro de la celda.</t>
        </is>
      </c>
      <c r="D23" s="182" t="n"/>
      <c r="E23" s="183" t="n"/>
      <c r="F23" s="84" t="n"/>
      <c r="G23" s="96" t="inlineStr">
        <is>
          <t>ECOMMERCE</t>
        </is>
      </c>
      <c r="H23" s="97" t="inlineStr">
        <is>
          <t>NetSuite</t>
        </is>
      </c>
      <c r="I23" s="96">
        <f>IF(OR($G23="",$H23="Rack físico"),"",COUNTIFS('Stock por Ubicación'!$A:$A,IF($H23="NetSuite",$G23,$G23&amp;" ›*"),'Stock por Ubicación'!$G:$G,"&lt;&gt;0"))</f>
        <v/>
      </c>
      <c r="J23" s="96">
        <f>IF(OR($G23="",$H23="Rack físico"),"",SUMIFS('Stock por Ubicación'!$G:$G,'Stock por Ubicación'!$A:$A,IF($H23="NetSuite",$G23,$G23&amp;" ›*")))</f>
        <v/>
      </c>
      <c r="K23" s="98" t="n"/>
      <c r="L23" s="84" t="n"/>
      <c r="M23" s="84" t="n"/>
      <c r="N23" s="84" t="n"/>
      <c r="O23" s="84" t="n"/>
      <c r="P23" s="84" t="n"/>
      <c r="Q23" s="84" t="n"/>
      <c r="R23" s="84" t="n"/>
      <c r="S23" s="102">
        <f>IFERROR(__xludf.DUMMYFUNCTION("""COMPUTED_VALUE"""),"No Aplica")</f>
        <v/>
      </c>
      <c r="T23" s="102" t="n"/>
      <c r="U23" s="102" t="n"/>
      <c r="V23" s="102" t="n"/>
      <c r="W23" s="102" t="n"/>
      <c r="X23" s="102" t="n"/>
      <c r="Y23" s="102" t="n"/>
      <c r="Z23" s="102" t="n"/>
      <c r="AA23" s="104" t="n"/>
      <c r="AB23" s="104" t="inlineStr">
        <is>
          <t>Copa Teardrop</t>
        </is>
      </c>
      <c r="AC23" s="102">
        <f>IFERROR(__xludf.DUMMYFUNCTION("""COMPUTED_VALUE"""),14.0)</f>
        <v/>
      </c>
      <c r="AD23" s="102">
        <f>IFERROR(__xludf.DUMMYFUNCTION("""COMPUTED_VALUE"""),14.0)</f>
        <v/>
      </c>
    </row>
    <row r="24" ht="30" customHeight="1" s="176">
      <c r="A24" s="88" t="n">
        <v>5</v>
      </c>
      <c r="B24" s="112" t="inlineStr">
        <is>
          <t>WB Talla de EE. UU.</t>
        </is>
      </c>
      <c r="C24" s="122" t="inlineStr">
        <is>
          <t>Toma el valor de la misma fila del catálogo (columna «Talla de EE. UU.»). Si la regla dice «Igual», copia la WB Talla.</t>
        </is>
      </c>
      <c r="D24" s="182" t="n"/>
      <c r="E24" s="183" t="n"/>
      <c r="F24" s="84" t="n"/>
      <c r="G24" s="96" t="inlineStr">
        <is>
          <t>ENGLISH REP</t>
        </is>
      </c>
      <c r="H24" s="97" t="inlineStr">
        <is>
          <t>NetSuite</t>
        </is>
      </c>
      <c r="I24" s="96">
        <f>IF(OR($G24="",$H24="Rack físico"),"",COUNTIFS('Stock por Ubicación'!$A:$A,IF($H24="NetSuite",$G24,$G24&amp;" ›*"),'Stock por Ubicación'!$G:$G,"&lt;&gt;0"))</f>
        <v/>
      </c>
      <c r="J24" s="96">
        <f>IF(OR($G24="",$H24="Rack físico"),"",SUMIFS('Stock por Ubicación'!$G:$G,'Stock por Ubicación'!$A:$A,IF($H24="NetSuite",$G24,$G24&amp;" ›*")))</f>
        <v/>
      </c>
      <c r="K24" s="98" t="n"/>
      <c r="L24" s="84" t="n"/>
      <c r="M24" s="84" t="n"/>
      <c r="N24" s="84" t="n"/>
      <c r="O24" s="84" t="n"/>
      <c r="P24" s="84" t="n"/>
      <c r="Q24" s="84" t="n"/>
      <c r="R24" s="84" t="n"/>
      <c r="S24" s="102" t="n"/>
      <c r="T24" s="102" t="n"/>
      <c r="U24" s="102" t="n"/>
      <c r="V24" s="102" t="n"/>
      <c r="W24" s="102" t="n"/>
      <c r="X24" s="102" t="n"/>
      <c r="Y24" s="102" t="n"/>
      <c r="Z24" s="102" t="n"/>
      <c r="AA24" s="104" t="n"/>
      <c r="AB24" s="104" t="inlineStr">
        <is>
          <t>Copa Open Road</t>
        </is>
      </c>
      <c r="AC24" s="102">
        <f>IFERROR(__xludf.DUMMYFUNCTION("""COMPUTED_VALUE"""),16.0)</f>
        <v/>
      </c>
      <c r="AD24" s="102">
        <f>IFERROR(__xludf.DUMMYFUNCTION("""COMPUTED_VALUE"""),16.0)</f>
        <v/>
      </c>
    </row>
    <row r="25" ht="30" customHeight="1" s="176">
      <c r="A25" s="88" t="n">
        <v>6</v>
      </c>
      <c r="B25" s="112" t="inlineStr">
        <is>
          <t>Color</t>
        </is>
      </c>
      <c r="C25" s="122" t="inlineStr">
        <is>
          <t>Elige el color base de «6. Colores». Nombres comerciales se traducen con la columna Sinónimos de la misma sección (ej. Cognac → Cafe). Si el nombre trae dos colores, usa el dominante.</t>
        </is>
      </c>
      <c r="D25" s="182" t="n"/>
      <c r="E25" s="183" t="n"/>
      <c r="F25" s="84" t="n"/>
      <c r="G25" s="96" t="inlineStr">
        <is>
          <t>EVENTOS (CONSIGNA)</t>
        </is>
      </c>
      <c r="H25" s="97" t="inlineStr">
        <is>
          <t>NetSuite</t>
        </is>
      </c>
      <c r="I25" s="96">
        <f>IF(OR($G25="",$H25="Rack físico"),"",COUNTIFS('Stock por Ubicación'!$A:$A,IF($H25="NetSuite",$G25,$G25&amp;" ›*"),'Stock por Ubicación'!$G:$G,"&lt;&gt;0"))</f>
        <v/>
      </c>
      <c r="J25" s="96">
        <f>IF(OR($G25="",$H25="Rack físico"),"",SUMIFS('Stock por Ubicación'!$G:$G,'Stock por Ubicación'!$A:$A,IF($H25="NetSuite",$G25,$G25&amp;" ›*")))</f>
        <v/>
      </c>
      <c r="K25" s="98" t="n"/>
      <c r="L25" s="84" t="n"/>
      <c r="M25" s="84" t="n"/>
      <c r="N25" s="84" t="n"/>
      <c r="O25" s="84" t="n"/>
      <c r="P25" s="84" t="n"/>
      <c r="Q25" s="84" t="n"/>
      <c r="R25" s="84" t="n"/>
      <c r="S25" s="102" t="n"/>
      <c r="T25" s="102" t="n"/>
      <c r="U25" s="102" t="n"/>
      <c r="V25" s="102" t="n"/>
      <c r="W25" s="102" t="n"/>
      <c r="X25" s="102" t="n"/>
      <c r="Y25" s="102" t="n"/>
      <c r="Z25" s="102" t="n"/>
      <c r="AA25" s="104" t="n"/>
      <c r="AB25" s="104" t="inlineStr">
        <is>
          <t>Copa Brick</t>
        </is>
      </c>
      <c r="AC25" s="102">
        <f>IFERROR(__xludf.DUMMYFUNCTION("""COMPUTED_VALUE"""),"33 x 28")</f>
        <v/>
      </c>
      <c r="AD25" s="102">
        <f>IFERROR(__xludf.DUMMYFUNCTION("""COMPUTED_VALUE"""),"33W / 28L")</f>
        <v/>
      </c>
    </row>
    <row r="26" ht="30" customHeight="1" s="176">
      <c r="A26" s="88" t="n">
        <v>7</v>
      </c>
      <c r="B26" s="112" t="inlineStr">
        <is>
          <t>Temporada, Ciclo de vida, Unidad</t>
        </is>
      </c>
      <c r="C26" s="122" t="inlineStr">
        <is>
          <t>Temporada y Ciclo de vida de «4. Listas básicas». Unidad: PRS para calzado (Botas, Zapatos, Tenis, Pantuflas); PZS para todo lo demás.</t>
        </is>
      </c>
      <c r="D26" s="182" t="n"/>
      <c r="E26" s="183" t="n"/>
      <c r="F26" s="84" t="n"/>
      <c r="G26" s="96" t="inlineStr">
        <is>
          <t>Fixtures &amp; MKT</t>
        </is>
      </c>
      <c r="H26" s="97" t="inlineStr">
        <is>
          <t>NetSuite</t>
        </is>
      </c>
      <c r="I26" s="96">
        <f>IF(OR($G26="",$H26="Rack físico"),"",COUNTIFS('Stock por Ubicación'!$A:$A,IF($H26="NetSuite",$G26,$G26&amp;" ›*"),'Stock por Ubicación'!$G:$G,"&lt;&gt;0"))</f>
        <v/>
      </c>
      <c r="J26" s="96">
        <f>IF(OR($G26="",$H26="Rack físico"),"",SUMIFS('Stock por Ubicación'!$G:$G,'Stock por Ubicación'!$A:$A,IF($H26="NetSuite",$G26,$G26&amp;" ›*")))</f>
        <v/>
      </c>
      <c r="K26" s="98" t="n"/>
      <c r="L26" s="84" t="n"/>
      <c r="M26" s="84" t="n"/>
      <c r="N26" s="84" t="n"/>
      <c r="O26" s="84" t="n"/>
      <c r="P26" s="84" t="n"/>
      <c r="Q26" s="84" t="n"/>
      <c r="R26" s="84" t="n"/>
      <c r="S26" s="102" t="n"/>
      <c r="T26" s="102" t="n"/>
      <c r="U26" s="102" t="n"/>
      <c r="V26" s="102" t="n"/>
      <c r="W26" s="102" t="n"/>
      <c r="X26" s="102" t="n"/>
      <c r="Y26" s="102" t="n"/>
      <c r="Z26" s="102" t="n"/>
      <c r="AA26" s="104" t="n"/>
      <c r="AB26" s="104" t="inlineStr">
        <is>
          <t>Cierre perimetral</t>
        </is>
      </c>
      <c r="AC26" s="102">
        <f>IFERROR(__xludf.DUMMYFUNCTION("""COMPUTED_VALUE"""),"34 x 28")</f>
        <v/>
      </c>
      <c r="AD26" s="102">
        <f>IFERROR(__xludf.DUMMYFUNCTION("""COMPUTED_VALUE"""),"34W / 28L")</f>
        <v/>
      </c>
    </row>
    <row r="27" ht="30" customHeight="1" s="176">
      <c r="A27" s="88" t="n">
        <v>8</v>
      </c>
      <c r="B27" s="112" t="inlineStr">
        <is>
          <t>Fit</t>
        </is>
      </c>
      <c r="C27" s="122" t="inlineStr">
        <is>
          <t>Determina el fit usando la descripción larga y la tabla «7. Fit y Silueta». Aplica solo para Ropa y Denim. Usa "No Aplica" en calzado, sombreros y accesorios.</t>
        </is>
      </c>
      <c r="D27" s="182" t="n"/>
      <c r="E27" s="183" t="n"/>
      <c r="F27" s="84" t="n"/>
      <c r="G27" s="96" t="inlineStr">
        <is>
          <t>FULL MELI</t>
        </is>
      </c>
      <c r="H27" s="97" t="inlineStr">
        <is>
          <t>NetSuite</t>
        </is>
      </c>
      <c r="I27" s="96">
        <f>IF(OR($G27="",$H27="Rack físico"),"",COUNTIFS('Stock por Ubicación'!$A:$A,IF($H27="NetSuite",$G27,$G27&amp;" ›*"),'Stock por Ubicación'!$G:$G,"&lt;&gt;0"))</f>
        <v/>
      </c>
      <c r="J27" s="96">
        <f>IF(OR($G27="",$H27="Rack físico"),"",SUMIFS('Stock por Ubicación'!$G:$G,'Stock por Ubicación'!$A:$A,IF($H27="NetSuite",$G27,$G27&amp;" ›*")))</f>
        <v/>
      </c>
      <c r="K27" s="98" t="n"/>
      <c r="L27" s="84" t="n"/>
      <c r="M27" s="84" t="n"/>
      <c r="N27" s="84" t="n"/>
      <c r="O27" s="84" t="n"/>
      <c r="P27" s="84" t="n"/>
      <c r="Q27" s="84" t="n"/>
      <c r="R27" s="84" t="n"/>
      <c r="S27" s="102" t="n"/>
      <c r="T27" s="102" t="n"/>
      <c r="U27" s="102" t="n"/>
      <c r="V27" s="102" t="n"/>
      <c r="W27" s="102" t="n"/>
      <c r="X27" s="102" t="n"/>
      <c r="Y27" s="102" t="n"/>
      <c r="Z27" s="102" t="n"/>
      <c r="AA27" s="104" t="n"/>
      <c r="AB27" s="104" t="inlineStr">
        <is>
          <t>No Aplica</t>
        </is>
      </c>
      <c r="AC27" s="102">
        <f>IFERROR(__xludf.DUMMYFUNCTION("""COMPUTED_VALUE"""),"36 x 28")</f>
        <v/>
      </c>
      <c r="AD27" s="102">
        <f>IFERROR(__xludf.DUMMYFUNCTION("""COMPUTED_VALUE"""),"36W / 28L")</f>
        <v/>
      </c>
    </row>
    <row r="28" ht="30" customHeight="1" s="176">
      <c r="A28" s="88" t="n">
        <v>9</v>
      </c>
      <c r="B28" s="112" t="inlineStr">
        <is>
          <t>Silueta</t>
        </is>
      </c>
      <c r="C28" s="122" t="inlineStr">
        <is>
          <t>Determina la silueta usando la descripción y la tabla «7. Fit y Silueta». Aplica solo para Sombreros, Calzado y Jeans. Usa "No Aplica" en el resto.</t>
        </is>
      </c>
      <c r="D28" s="182" t="n"/>
      <c r="E28" s="183" t="n"/>
      <c r="F28" s="84" t="n"/>
      <c r="G28" s="96" t="inlineStr">
        <is>
          <t>G1522 Defectos</t>
        </is>
      </c>
      <c r="H28" s="97" t="inlineStr">
        <is>
          <t>NetSuite</t>
        </is>
      </c>
      <c r="I28" s="96">
        <f>IF(OR($G28="",$H28="Rack físico"),"",COUNTIFS('Stock por Ubicación'!$A:$A,IF($H28="NetSuite",$G28,$G28&amp;" ›*"),'Stock por Ubicación'!$G:$G,"&lt;&gt;0"))</f>
        <v/>
      </c>
      <c r="J28" s="96">
        <f>IF(OR($G28="",$H28="Rack físico"),"",SUMIFS('Stock por Ubicación'!$G:$G,'Stock por Ubicación'!$A:$A,IF($H28="NetSuite",$G28,$G28&amp;" ›*")))</f>
        <v/>
      </c>
      <c r="K28" s="98" t="inlineStr">
        <is>
          <t>Bodega 43</t>
        </is>
      </c>
      <c r="L28" s="84" t="n"/>
      <c r="M28" s="84" t="n"/>
      <c r="N28" s="84" t="n"/>
      <c r="O28" s="84" t="n"/>
      <c r="P28" s="84" t="n"/>
      <c r="Q28" s="84" t="n"/>
      <c r="R28" s="84" t="n"/>
      <c r="S28" s="102" t="n"/>
      <c r="T28" s="102" t="n"/>
      <c r="U28" s="102" t="n"/>
      <c r="V28" s="102" t="n"/>
      <c r="W28" s="102" t="n"/>
      <c r="X28" s="102" t="n"/>
      <c r="Y28" s="102" t="n"/>
      <c r="Z28" s="102" t="n"/>
      <c r="AA28" s="104" t="n"/>
      <c r="AB28" s="104" t="n"/>
      <c r="AC28" s="102">
        <f>IFERROR(__xludf.DUMMYFUNCTION("""COMPUTED_VALUE"""),"28 x 30")</f>
        <v/>
      </c>
      <c r="AD28" s="102">
        <f>IFERROR(__xludf.DUMMYFUNCTION("""COMPUTED_VALUE"""),"28W / 30L")</f>
        <v/>
      </c>
    </row>
    <row r="29" ht="16.5" customHeight="1" s="176">
      <c r="A29" s="88" t="n">
        <v>10</v>
      </c>
      <c r="B29" s="112" t="inlineStr">
        <is>
          <t>Si algo no cuadra</t>
        </is>
      </c>
      <c r="C29" s="122" t="inlineStr">
        <is>
          <t>No inventes valores: deja el campo vacío y registra el caso en la hoja Revisión para validarlo.</t>
        </is>
      </c>
      <c r="D29" s="182" t="n"/>
      <c r="E29" s="183" t="n"/>
      <c r="F29" s="84" t="n"/>
      <c r="G29" s="96" t="inlineStr">
        <is>
          <t>G1522 Lost</t>
        </is>
      </c>
      <c r="H29" s="97" t="inlineStr">
        <is>
          <t>NetSuite</t>
        </is>
      </c>
      <c r="I29" s="96">
        <f>IF(OR($G29="",$H29="Rack físico"),"",COUNTIFS('Stock por Ubicación'!$A:$A,IF($H29="NetSuite",$G29,$G29&amp;" ›*"),'Stock por Ubicación'!$G:$G,"&lt;&gt;0"))</f>
        <v/>
      </c>
      <c r="J29" s="96">
        <f>IF(OR($G29="",$H29="Rack físico"),"",SUMIFS('Stock por Ubicación'!$G:$G,'Stock por Ubicación'!$A:$A,IF($H29="NetSuite",$G29,$G29&amp;" ›*")))</f>
        <v/>
      </c>
      <c r="K29" s="98" t="inlineStr">
        <is>
          <t>Bodega 43</t>
        </is>
      </c>
      <c r="L29" s="84" t="n"/>
      <c r="M29" s="84" t="n"/>
      <c r="N29" s="84" t="n"/>
      <c r="O29" s="84" t="n"/>
      <c r="P29" s="84" t="n"/>
      <c r="Q29" s="84" t="n"/>
      <c r="R29" s="84" t="n"/>
      <c r="S29" s="102" t="n"/>
      <c r="T29" s="102" t="n"/>
      <c r="U29" s="102" t="n"/>
      <c r="V29" s="102" t="n"/>
      <c r="W29" s="102" t="n"/>
      <c r="X29" s="102" t="n"/>
      <c r="Y29" s="102" t="n"/>
      <c r="Z29" s="102" t="n"/>
      <c r="AA29" s="104" t="n"/>
      <c r="AB29" s="104" t="n"/>
      <c r="AC29" s="102">
        <f>IFERROR(__xludf.DUMMYFUNCTION("""COMPUTED_VALUE"""),"29 x 30")</f>
        <v/>
      </c>
      <c r="AD29" s="102">
        <f>IFERROR(__xludf.DUMMYFUNCTION("""COMPUTED_VALUE"""),"29W / 30L")</f>
        <v/>
      </c>
    </row>
    <row r="30" ht="9.75" customHeight="1" s="176">
      <c r="A30" s="107" t="n"/>
      <c r="B30" s="107" t="n"/>
      <c r="C30" s="107" t="n"/>
      <c r="D30" s="107" t="n"/>
      <c r="E30" s="107" t="n"/>
      <c r="F30" s="84" t="n"/>
      <c r="G30" s="96" t="inlineStr">
        <is>
          <t>G1522 QA Hold</t>
        </is>
      </c>
      <c r="H30" s="97" t="inlineStr">
        <is>
          <t>NetSuite</t>
        </is>
      </c>
      <c r="I30" s="96">
        <f>IF(OR($G30="",$H30="Rack físico"),"",COUNTIFS('Stock por Ubicación'!$A:$A,IF($H30="NetSuite",$G30,$G30&amp;" ›*"),'Stock por Ubicación'!$G:$G,"&lt;&gt;0"))</f>
        <v/>
      </c>
      <c r="J30" s="96">
        <f>IF(OR($G30="",$H30="Rack físico"),"",SUMIFS('Stock por Ubicación'!$G:$G,'Stock por Ubicación'!$A:$A,IF($H30="NetSuite",$G30,$G30&amp;" ›*")))</f>
        <v/>
      </c>
      <c r="K30" s="98" t="inlineStr">
        <is>
          <t>Bodega 43</t>
        </is>
      </c>
      <c r="L30" s="84" t="n"/>
      <c r="M30" s="84" t="n"/>
      <c r="N30" s="84" t="n"/>
      <c r="O30" s="84" t="n"/>
      <c r="P30" s="84" t="n"/>
      <c r="Q30" s="84" t="n"/>
      <c r="R30" s="84" t="n"/>
      <c r="S30" s="102" t="n"/>
      <c r="T30" s="102" t="n"/>
      <c r="U30" s="102" t="n"/>
      <c r="V30" s="102" t="n"/>
      <c r="W30" s="102" t="n"/>
      <c r="X30" s="102" t="n"/>
      <c r="Y30" s="102" t="n"/>
      <c r="Z30" s="102" t="n"/>
      <c r="AA30" s="104" t="n"/>
      <c r="AB30" s="104" t="n"/>
      <c r="AC30" s="102">
        <f>IFERROR(__xludf.DUMMYFUNCTION("""COMPUTED_VALUE"""),"30 x 30")</f>
        <v/>
      </c>
      <c r="AD30" s="102">
        <f>IFERROR(__xludf.DUMMYFUNCTION("""COMPUTED_VALUE"""),"30W / 30L")</f>
        <v/>
      </c>
    </row>
    <row r="31" ht="21.75" customHeight="1" s="176">
      <c r="A31" s="86" t="inlineStr">
        <is>
          <t>2. PALABRA CLAVE → CATEGORÍA</t>
        </is>
      </c>
      <c r="B31" s="86" t="n"/>
      <c r="C31" s="86" t="n"/>
      <c r="D31" s="86" t="n"/>
      <c r="E31" s="108" t="inlineStr">
        <is>
          <t>↑ Volver al índice</t>
        </is>
      </c>
      <c r="F31" s="84" t="n"/>
      <c r="G31" s="96" t="inlineStr">
        <is>
          <t>GENERAL</t>
        </is>
      </c>
      <c r="H31" s="97" t="inlineStr">
        <is>
          <t>NetSuite</t>
        </is>
      </c>
      <c r="I31" s="96">
        <f>IF(OR($G31="",$H31="Rack físico"),"",COUNTIFS('Stock por Ubicación'!$A:$A,IF($H31="NetSuite",$G31,$G31&amp;" ›*"),'Stock por Ubicación'!$G:$G,"&lt;&gt;0"))</f>
        <v/>
      </c>
      <c r="J31" s="96">
        <f>IF(OR($G31="",$H31="Rack físico"),"",SUMIFS('Stock por Ubicación'!$G:$G,'Stock por Ubicación'!$A:$A,IF($H31="NetSuite",$G31,$G31&amp;" ›*")))</f>
        <v/>
      </c>
      <c r="K31" s="98" t="n"/>
      <c r="L31" s="84" t="n"/>
      <c r="M31" s="84" t="n"/>
      <c r="N31" s="84" t="n"/>
      <c r="O31" s="84" t="n"/>
      <c r="P31" s="84" t="n"/>
      <c r="Q31" s="84" t="n"/>
      <c r="R31" s="84" t="n"/>
      <c r="S31" s="102" t="n"/>
      <c r="T31" s="102" t="n"/>
      <c r="U31" s="102" t="n"/>
      <c r="V31" s="102" t="n"/>
      <c r="W31" s="102" t="n"/>
      <c r="X31" s="102" t="n"/>
      <c r="Y31" s="102" t="n"/>
      <c r="Z31" s="102" t="n"/>
      <c r="AA31" s="104" t="n"/>
      <c r="AB31" s="104" t="n"/>
      <c r="AC31" s="102">
        <f>IFERROR(__xludf.DUMMYFUNCTION("""COMPUTED_VALUE"""),"31 x 30")</f>
        <v/>
      </c>
      <c r="AD31" s="102">
        <f>IFERROR(__xludf.DUMMYFUNCTION("""COMPUTED_VALUE"""),"31W / 30L")</f>
        <v/>
      </c>
    </row>
    <row r="32" ht="15.75" customHeight="1" s="176">
      <c r="A32" s="115" t="inlineStr">
        <is>
          <t>Busca la palabra en el nombre del producto; manda la PRIMERA que coincida (por eso las frases largas van arriba).</t>
        </is>
      </c>
      <c r="B32" s="107" t="n"/>
      <c r="C32" s="107" t="n"/>
      <c r="D32" s="107" t="n"/>
      <c r="E32" s="107" t="n"/>
      <c r="F32" s="84" t="n"/>
      <c r="G32" s="96" t="inlineStr">
        <is>
          <t>HAPPY SOCKS</t>
        </is>
      </c>
      <c r="H32" s="97" t="inlineStr">
        <is>
          <t>NetSuite</t>
        </is>
      </c>
      <c r="I32" s="96">
        <f>IF(OR($G32="",$H32="Rack físico"),"",COUNTIFS('Stock por Ubicación'!$A:$A,IF($H32="NetSuite",$G32,$G32&amp;" ›*"),'Stock por Ubicación'!$G:$G,"&lt;&gt;0"))</f>
        <v/>
      </c>
      <c r="J32" s="96">
        <f>IF(OR($G32="",$H32="Rack físico"),"",SUMIFS('Stock por Ubicación'!$G:$G,'Stock por Ubicación'!$A:$A,IF($H32="NetSuite",$G32,$G32&amp;" ›*")))</f>
        <v/>
      </c>
      <c r="K32" s="98" t="n"/>
      <c r="L32" s="84" t="n"/>
      <c r="M32" s="84" t="n"/>
      <c r="N32" s="84" t="n"/>
      <c r="O32" s="84" t="n"/>
      <c r="P32" s="84" t="n"/>
      <c r="Q32" s="84" t="n"/>
      <c r="R32" s="84" t="n"/>
      <c r="S32" s="102" t="n"/>
      <c r="T32" s="102" t="n"/>
      <c r="U32" s="102" t="n"/>
      <c r="V32" s="102" t="n"/>
      <c r="W32" s="102" t="n"/>
      <c r="X32" s="102" t="n"/>
      <c r="Y32" s="102" t="n"/>
      <c r="Z32" s="102" t="n"/>
      <c r="AA32" s="104" t="n"/>
      <c r="AB32" s="104" t="n"/>
      <c r="AC32" s="102">
        <f>IFERROR(__xludf.DUMMYFUNCTION("""COMPUTED_VALUE"""),"32 x 30")</f>
        <v/>
      </c>
      <c r="AD32" s="102">
        <f>IFERROR(__xludf.DUMMYFUNCTION("""COMPUTED_VALUE"""),"32W / 30L")</f>
        <v/>
      </c>
    </row>
    <row r="33" ht="16.5" customHeight="1" s="176">
      <c r="A33" s="110" t="inlineStr">
        <is>
          <t>Palabra clave</t>
        </is>
      </c>
      <c r="B33" s="110" t="inlineStr">
        <is>
          <t>Categoría</t>
        </is>
      </c>
      <c r="C33" s="110" t="inlineStr">
        <is>
          <t>División</t>
        </is>
      </c>
      <c r="D33" s="107" t="n"/>
      <c r="E33" s="107" t="n"/>
      <c r="F33" s="84" t="n"/>
      <c r="G33" s="96" t="inlineStr">
        <is>
          <t>HS MERCADO LIBRE</t>
        </is>
      </c>
      <c r="H33" s="97" t="inlineStr">
        <is>
          <t>NetSuite</t>
        </is>
      </c>
      <c r="I33" s="96">
        <f>IF(OR($G33="",$H33="Rack físico"),"",COUNTIFS('Stock por Ubicación'!$A:$A,IF($H33="NetSuite",$G33,$G33&amp;" ›*"),'Stock por Ubicación'!$G:$G,"&lt;&gt;0"))</f>
        <v/>
      </c>
      <c r="J33" s="96">
        <f>IF(OR($G33="",$H33="Rack físico"),"",SUMIFS('Stock por Ubicación'!$G:$G,'Stock por Ubicación'!$A:$A,IF($H33="NetSuite",$G33,$G33&amp;" ›*")))</f>
        <v/>
      </c>
      <c r="K33" s="98" t="n"/>
      <c r="L33" s="84" t="n"/>
      <c r="M33" s="84" t="n"/>
      <c r="N33" s="84" t="n"/>
      <c r="O33" s="84" t="n"/>
      <c r="P33" s="84" t="n"/>
      <c r="Q33" s="84" t="n"/>
      <c r="R33" s="84" t="n"/>
      <c r="S33" s="102" t="n"/>
      <c r="T33" s="102" t="n"/>
      <c r="U33" s="102" t="n"/>
      <c r="V33" s="102" t="n"/>
      <c r="W33" s="102" t="n"/>
      <c r="X33" s="102" t="n"/>
      <c r="Y33" s="102" t="n"/>
      <c r="Z33" s="102" t="n"/>
      <c r="AA33" s="104" t="n"/>
      <c r="AB33" s="104" t="n"/>
      <c r="AC33" s="102">
        <f>IFERROR(__xludf.DUMMYFUNCTION("""COMPUTED_VALUE"""),"33 x 30")</f>
        <v/>
      </c>
      <c r="AD33" s="102">
        <f>IFERROR(__xludf.DUMMYFUNCTION("""COMPUTED_VALUE"""),"33W / 30L")</f>
        <v/>
      </c>
    </row>
    <row r="34" ht="16.5" customHeight="1" s="176">
      <c r="A34" s="116" t="inlineStr">
        <is>
          <t>Cuidado de Botas</t>
        </is>
      </c>
      <c r="B34" s="116" t="inlineStr">
        <is>
          <t>Cuidado de Botas</t>
        </is>
      </c>
      <c r="C34" s="116" t="inlineStr">
        <is>
          <t>Accesorios</t>
        </is>
      </c>
      <c r="D34" s="107" t="n"/>
      <c r="E34" s="107" t="n"/>
      <c r="F34" s="84" t="n"/>
      <c r="G34" s="96" t="inlineStr">
        <is>
          <t>KEY ACCOUNTS</t>
        </is>
      </c>
      <c r="H34" s="97" t="inlineStr">
        <is>
          <t>NetSuite</t>
        </is>
      </c>
      <c r="I34" s="96">
        <f>IF(OR($G34="",$H34="Rack físico"),"",COUNTIFS('Stock por Ubicación'!$A:$A,IF($H34="NetSuite",$G34,$G34&amp;" ›*"),'Stock por Ubicación'!$G:$G,"&lt;&gt;0"))</f>
        <v/>
      </c>
      <c r="J34" s="96">
        <f>IF(OR($G34="",$H34="Rack físico"),"",SUMIFS('Stock por Ubicación'!$G:$G,'Stock por Ubicación'!$A:$A,IF($H34="NetSuite",$G34,$G34&amp;" ›*")))</f>
        <v/>
      </c>
      <c r="K34" s="98" t="n"/>
      <c r="L34" s="84" t="n"/>
      <c r="M34" s="84" t="n"/>
      <c r="N34" s="84" t="n"/>
      <c r="O34" s="84" t="n"/>
      <c r="P34" s="84" t="n"/>
      <c r="Q34" s="84" t="n"/>
      <c r="R34" s="84" t="n"/>
      <c r="S34" s="102" t="n"/>
      <c r="T34" s="102" t="n"/>
      <c r="U34" s="102" t="n"/>
      <c r="V34" s="102" t="n"/>
      <c r="W34" s="102" t="n"/>
      <c r="X34" s="102" t="n"/>
      <c r="Y34" s="102" t="n"/>
      <c r="Z34" s="102" t="n"/>
      <c r="AA34" s="104" t="n"/>
      <c r="AB34" s="104" t="n"/>
      <c r="AC34" s="102">
        <f>IFERROR(__xludf.DUMMYFUNCTION("""COMPUTED_VALUE"""),"34 x 30")</f>
        <v/>
      </c>
      <c r="AD34" s="102">
        <f>IFERROR(__xludf.DUMMYFUNCTION("""COMPUTED_VALUE"""),"34W / 30L")</f>
        <v/>
      </c>
    </row>
    <row r="35" ht="16.5" customHeight="1" s="176">
      <c r="A35" s="116" t="inlineStr">
        <is>
          <t>Cuidado de Sombreros</t>
        </is>
      </c>
      <c r="B35" s="116" t="inlineStr">
        <is>
          <t>Cuidado de Sombreros</t>
        </is>
      </c>
      <c r="C35" s="116" t="inlineStr">
        <is>
          <t>Accesorios</t>
        </is>
      </c>
      <c r="D35" s="107" t="n"/>
      <c r="E35" s="107" t="n"/>
      <c r="F35" s="84" t="n"/>
      <c r="G35" s="96" t="inlineStr">
        <is>
          <t>LIVERPOOL MKP</t>
        </is>
      </c>
      <c r="H35" s="97" t="inlineStr">
        <is>
          <t>NetSuite</t>
        </is>
      </c>
      <c r="I35" s="96">
        <f>IF(OR($G35="",$H35="Rack físico"),"",COUNTIFS('Stock por Ubicación'!$A:$A,IF($H35="NetSuite",$G35,$G35&amp;" ›*"),'Stock por Ubicación'!$G:$G,"&lt;&gt;0"))</f>
        <v/>
      </c>
      <c r="J35" s="96">
        <f>IF(OR($G35="",$H35="Rack físico"),"",SUMIFS('Stock por Ubicación'!$G:$G,'Stock por Ubicación'!$A:$A,IF($H35="NetSuite",$G35,$G35&amp;" ›*")))</f>
        <v/>
      </c>
      <c r="K35" s="98" t="n"/>
      <c r="L35" s="84" t="n"/>
      <c r="M35" s="84" t="n"/>
      <c r="N35" s="84" t="n"/>
      <c r="O35" s="84" t="n"/>
      <c r="P35" s="84" t="n"/>
      <c r="Q35" s="84" t="n"/>
      <c r="R35" s="84" t="n"/>
      <c r="S35" s="102" t="n"/>
      <c r="T35" s="102" t="n"/>
      <c r="U35" s="102" t="n"/>
      <c r="V35" s="102" t="n"/>
      <c r="W35" s="102" t="n"/>
      <c r="X35" s="102" t="n"/>
      <c r="Y35" s="102" t="n"/>
      <c r="Z35" s="102" t="n"/>
      <c r="AA35" s="104" t="n"/>
      <c r="AB35" s="104" t="n"/>
      <c r="AC35" s="102">
        <f>IFERROR(__xludf.DUMMYFUNCTION("""COMPUTED_VALUE"""),"35 x 30")</f>
        <v/>
      </c>
      <c r="AD35" s="102">
        <f>IFERROR(__xludf.DUMMYFUNCTION("""COMPUTED_VALUE"""),"35W / 30L")</f>
        <v/>
      </c>
    </row>
    <row r="36" ht="16.5" customHeight="1" s="176">
      <c r="A36" s="116" t="inlineStr">
        <is>
          <t>Plumas para sombrero</t>
        </is>
      </c>
      <c r="B36" s="116" t="inlineStr">
        <is>
          <t>Plumas para sombrero</t>
        </is>
      </c>
      <c r="C36" s="116" t="inlineStr">
        <is>
          <t>Accesorios</t>
        </is>
      </c>
      <c r="D36" s="107" t="n"/>
      <c r="E36" s="107" t="n"/>
      <c r="F36" s="84" t="n"/>
      <c r="G36" s="96" t="inlineStr">
        <is>
          <t>Mercado libre</t>
        </is>
      </c>
      <c r="H36" s="97" t="inlineStr">
        <is>
          <t>NetSuite</t>
        </is>
      </c>
      <c r="I36" s="96">
        <f>IF(OR($G36="",$H36="Rack físico"),"",COUNTIFS('Stock por Ubicación'!$A:$A,IF($H36="NetSuite",$G36,$G36&amp;" ›*"),'Stock por Ubicación'!$G:$G,"&lt;&gt;0"))</f>
        <v/>
      </c>
      <c r="J36" s="96">
        <f>IF(OR($G36="",$H36="Rack físico"),"",SUMIFS('Stock por Ubicación'!$G:$G,'Stock por Ubicación'!$A:$A,IF($H36="NetSuite",$G36,$G36&amp;" ›*")))</f>
        <v/>
      </c>
      <c r="K36" s="98" t="n"/>
      <c r="L36" s="84" t="n"/>
      <c r="M36" s="84" t="n"/>
      <c r="N36" s="84" t="n"/>
      <c r="O36" s="84" t="n"/>
      <c r="P36" s="84" t="n"/>
      <c r="Q36" s="84" t="n"/>
      <c r="R36" s="84" t="n"/>
      <c r="S36" s="102" t="n"/>
      <c r="T36" s="102" t="n"/>
      <c r="U36" s="102" t="n"/>
      <c r="V36" s="102" t="n"/>
      <c r="W36" s="102" t="n"/>
      <c r="X36" s="102" t="n"/>
      <c r="Y36" s="102" t="n"/>
      <c r="Z36" s="102" t="n"/>
      <c r="AA36" s="104" t="n"/>
      <c r="AB36" s="104" t="n"/>
      <c r="AC36" s="102">
        <f>IFERROR(__xludf.DUMMYFUNCTION("""COMPUTED_VALUE"""),"36 x 30")</f>
        <v/>
      </c>
      <c r="AD36" s="102">
        <f>IFERROR(__xludf.DUMMYFUNCTION("""COMPUTED_VALUE"""),"36W / 30L")</f>
        <v/>
      </c>
    </row>
    <row r="37" ht="16.5" customHeight="1" s="176">
      <c r="A37" s="116" t="inlineStr">
        <is>
          <t>Gorra</t>
        </is>
      </c>
      <c r="B37" s="116" t="inlineStr">
        <is>
          <t>Gorras</t>
        </is>
      </c>
      <c r="C37" s="116" t="inlineStr">
        <is>
          <t>Accesorios</t>
        </is>
      </c>
      <c r="D37" s="107" t="n"/>
      <c r="E37" s="107" t="n"/>
      <c r="F37" s="84" t="n"/>
      <c r="G37" s="96" t="inlineStr">
        <is>
          <t>MUESTRAS &amp; EXPO</t>
        </is>
      </c>
      <c r="H37" s="97" t="inlineStr">
        <is>
          <t>NetSuite</t>
        </is>
      </c>
      <c r="I37" s="96">
        <f>IF(OR($G37="",$H37="Rack físico"),"",COUNTIFS('Stock por Ubicación'!$A:$A,IF($H37="NetSuite",$G37,$G37&amp;" ›*"),'Stock por Ubicación'!$G:$G,"&lt;&gt;0"))</f>
        <v/>
      </c>
      <c r="J37" s="96">
        <f>IF(OR($G37="",$H37="Rack físico"),"",SUMIFS('Stock por Ubicación'!$G:$G,'Stock por Ubicación'!$A:$A,IF($H37="NetSuite",$G37,$G37&amp;" ›*")))</f>
        <v/>
      </c>
      <c r="K37" s="98" t="n"/>
      <c r="L37" s="84" t="n"/>
      <c r="M37" s="84" t="n"/>
      <c r="N37" s="84" t="n"/>
      <c r="O37" s="84" t="n"/>
      <c r="P37" s="84" t="n"/>
      <c r="Q37" s="84" t="n"/>
      <c r="R37" s="84" t="n"/>
      <c r="S37" s="102" t="n"/>
      <c r="T37" s="102" t="n"/>
      <c r="U37" s="102" t="n"/>
      <c r="V37" s="102" t="n"/>
      <c r="W37" s="102" t="n"/>
      <c r="X37" s="102" t="n"/>
      <c r="Y37" s="102" t="n"/>
      <c r="Z37" s="102" t="n"/>
      <c r="AA37" s="104" t="n"/>
      <c r="AB37" s="104" t="n"/>
      <c r="AC37" s="102">
        <f>IFERROR(__xludf.DUMMYFUNCTION("""COMPUTED_VALUE"""),"38 x 30")</f>
        <v/>
      </c>
      <c r="AD37" s="102">
        <f>IFERROR(__xludf.DUMMYFUNCTION("""COMPUTED_VALUE"""),"38W / 30L")</f>
        <v/>
      </c>
    </row>
    <row r="38" ht="16.5" customHeight="1" s="176">
      <c r="A38" s="116" t="inlineStr">
        <is>
          <t>Sombrero</t>
        </is>
      </c>
      <c r="B38" s="116" t="inlineStr">
        <is>
          <t>Sombreros</t>
        </is>
      </c>
      <c r="C38" s="116" t="inlineStr">
        <is>
          <t>Accesorios</t>
        </is>
      </c>
      <c r="D38" s="107" t="n"/>
      <c r="E38" s="107" t="n"/>
      <c r="F38" s="84" t="n"/>
      <c r="G38" s="96" t="inlineStr">
        <is>
          <t>MUESTRAS REFLO</t>
        </is>
      </c>
      <c r="H38" s="97" t="inlineStr">
        <is>
          <t>NetSuite</t>
        </is>
      </c>
      <c r="I38" s="96">
        <f>IF(OR($G38="",$H38="Rack físico"),"",COUNTIFS('Stock por Ubicación'!$A:$A,IF($H38="NetSuite",$G38,$G38&amp;" ›*"),'Stock por Ubicación'!$G:$G,"&lt;&gt;0"))</f>
        <v/>
      </c>
      <c r="J38" s="96">
        <f>IF(OR($G38="",$H38="Rack físico"),"",SUMIFS('Stock por Ubicación'!$G:$G,'Stock por Ubicación'!$A:$A,IF($H38="NetSuite",$G38,$G38&amp;" ›*")))</f>
        <v/>
      </c>
      <c r="K38" s="98" t="n"/>
      <c r="L38" s="84" t="n"/>
      <c r="M38" s="84" t="n"/>
      <c r="N38" s="84" t="n"/>
      <c r="O38" s="84" t="n"/>
      <c r="P38" s="84" t="n"/>
      <c r="Q38" s="84" t="n"/>
      <c r="R38" s="84" t="n"/>
      <c r="S38" s="102" t="n"/>
      <c r="T38" s="102" t="n"/>
      <c r="U38" s="102" t="n"/>
      <c r="V38" s="102" t="n"/>
      <c r="W38" s="102" t="n"/>
      <c r="X38" s="102" t="n"/>
      <c r="Y38" s="102" t="n"/>
      <c r="Z38" s="102" t="n"/>
      <c r="AA38" s="104" t="n"/>
      <c r="AB38" s="104" t="n"/>
      <c r="AC38" s="102">
        <f>IFERROR(__xludf.DUMMYFUNCTION("""COMPUTED_VALUE"""),"40 x 30")</f>
        <v/>
      </c>
      <c r="AD38" s="102">
        <f>IFERROR(__xludf.DUMMYFUNCTION("""COMPUTED_VALUE"""),"40W / 30L")</f>
        <v/>
      </c>
    </row>
    <row r="39" ht="16.5" customHeight="1" s="176">
      <c r="A39" s="116" t="inlineStr">
        <is>
          <t>Texana</t>
        </is>
      </c>
      <c r="B39" s="116" t="inlineStr">
        <is>
          <t>Sombreros</t>
        </is>
      </c>
      <c r="C39" s="116" t="inlineStr">
        <is>
          <t>Accesorios</t>
        </is>
      </c>
      <c r="D39" s="107" t="n"/>
      <c r="E39" s="107" t="n"/>
      <c r="F39" s="84" t="n"/>
      <c r="G39" s="96" t="inlineStr">
        <is>
          <t>Nogales Store</t>
        </is>
      </c>
      <c r="H39" s="97" t="inlineStr">
        <is>
          <t>NetSuite</t>
        </is>
      </c>
      <c r="I39" s="96">
        <f>IF(OR($G39="",$H39="Rack físico"),"",COUNTIFS('Stock por Ubicación'!$A:$A,IF($H39="NetSuite",$G39,$G39&amp;" ›*"),'Stock por Ubicación'!$G:$G,"&lt;&gt;0"))</f>
        <v/>
      </c>
      <c r="J39" s="96">
        <f>IF(OR($G39="",$H39="Rack físico"),"",SUMIFS('Stock por Ubicación'!$G:$G,'Stock por Ubicación'!$A:$A,IF($H39="NetSuite",$G39,$G39&amp;" ›*")))</f>
        <v/>
      </c>
      <c r="K39" s="98" t="n"/>
      <c r="L39" s="84" t="n"/>
      <c r="M39" s="84" t="n"/>
      <c r="N39" s="84" t="n"/>
      <c r="O39" s="84" t="n"/>
      <c r="P39" s="84" t="n"/>
      <c r="Q39" s="84" t="n"/>
      <c r="R39" s="84" t="n"/>
      <c r="S39" s="102" t="n"/>
      <c r="T39" s="102" t="n"/>
      <c r="U39" s="102" t="n"/>
      <c r="V39" s="102" t="n"/>
      <c r="W39" s="102" t="n"/>
      <c r="X39" s="102" t="n"/>
      <c r="Y39" s="102" t="n"/>
      <c r="Z39" s="102" t="n"/>
      <c r="AA39" s="104" t="n"/>
      <c r="AB39" s="104" t="n"/>
      <c r="AC39" s="102">
        <f>IFERROR(__xludf.DUMMYFUNCTION("""COMPUTED_VALUE"""),"42 x 30")</f>
        <v/>
      </c>
      <c r="AD39" s="102">
        <f>IFERROR(__xludf.DUMMYFUNCTION("""COMPUTED_VALUE"""),"42W / 30L")</f>
        <v/>
      </c>
    </row>
    <row r="40" ht="16.5" customHeight="1" s="176">
      <c r="A40" s="116" t="inlineStr">
        <is>
          <t>Bandana</t>
        </is>
      </c>
      <c r="B40" s="116" t="inlineStr">
        <is>
          <t>Bandanas</t>
        </is>
      </c>
      <c r="C40" s="116" t="inlineStr">
        <is>
          <t>Accesorios</t>
        </is>
      </c>
      <c r="D40" s="107" t="n"/>
      <c r="E40" s="107" t="n"/>
      <c r="F40" s="84" t="n"/>
      <c r="G40" s="96" t="inlineStr">
        <is>
          <t>Plaza del Sol Store</t>
        </is>
      </c>
      <c r="H40" s="97" t="inlineStr">
        <is>
          <t>NetSuite</t>
        </is>
      </c>
      <c r="I40" s="96">
        <f>IF(OR($G40="",$H40="Rack físico"),"",COUNTIFS('Stock por Ubicación'!$A:$A,IF($H40="NetSuite",$G40,$G40&amp;" ›*"),'Stock por Ubicación'!$G:$G,"&lt;&gt;0"))</f>
        <v/>
      </c>
      <c r="J40" s="96">
        <f>IF(OR($G40="",$H40="Rack físico"),"",SUMIFS('Stock por Ubicación'!$G:$G,'Stock por Ubicación'!$A:$A,IF($H40="NetSuite",$G40,$G40&amp;" ›*")))</f>
        <v/>
      </c>
      <c r="K40" s="98" t="n"/>
      <c r="L40" s="84" t="n"/>
      <c r="M40" s="84" t="n"/>
      <c r="N40" s="84" t="n"/>
      <c r="O40" s="84" t="n"/>
      <c r="P40" s="84" t="n"/>
      <c r="Q40" s="84" t="n"/>
      <c r="R40" s="84" t="n"/>
      <c r="S40" s="102" t="n"/>
      <c r="T40" s="102" t="n"/>
      <c r="U40" s="102" t="n"/>
      <c r="V40" s="102" t="n"/>
      <c r="W40" s="102" t="n"/>
      <c r="X40" s="102" t="n"/>
      <c r="Y40" s="102" t="n"/>
      <c r="Z40" s="102" t="n"/>
      <c r="AA40" s="104" t="n"/>
      <c r="AB40" s="104" t="n"/>
      <c r="AC40" s="102">
        <f>IFERROR(__xludf.DUMMYFUNCTION("""COMPUTED_VALUE"""),"44 x 30")</f>
        <v/>
      </c>
      <c r="AD40" s="102">
        <f>IFERROR(__xludf.DUMMYFUNCTION("""COMPUTED_VALUE"""),"44W / 30L")</f>
        <v/>
      </c>
    </row>
    <row r="41" ht="16.5" customHeight="1" s="176">
      <c r="A41" s="116" t="inlineStr">
        <is>
          <t>Bolso</t>
        </is>
      </c>
      <c r="B41" s="116" t="inlineStr">
        <is>
          <t>Bolsos</t>
        </is>
      </c>
      <c r="C41" s="116" t="inlineStr">
        <is>
          <t>Accesorios</t>
        </is>
      </c>
      <c r="D41" s="107" t="n"/>
      <c r="E41" s="107" t="n"/>
      <c r="F41" s="84" t="n"/>
      <c r="G41" s="96" t="inlineStr">
        <is>
          <t>POTRILLOS</t>
        </is>
      </c>
      <c r="H41" s="97" t="inlineStr">
        <is>
          <t>NetSuite</t>
        </is>
      </c>
      <c r="I41" s="96">
        <f>IF(OR($G41="",$H41="Rack físico"),"",COUNTIFS('Stock por Ubicación'!$A:$A,IF($H41="NetSuite",$G41,$G41&amp;" ›*"),'Stock por Ubicación'!$G:$G,"&lt;&gt;0"))</f>
        <v/>
      </c>
      <c r="J41" s="96">
        <f>IF(OR($G41="",$H41="Rack físico"),"",SUMIFS('Stock por Ubicación'!$G:$G,'Stock por Ubicación'!$A:$A,IF($H41="NetSuite",$G41,$G41&amp;" ›*")))</f>
        <v/>
      </c>
      <c r="K41" s="98" t="n"/>
      <c r="L41" s="84" t="n"/>
      <c r="M41" s="84" t="n"/>
      <c r="N41" s="84" t="n"/>
      <c r="O41" s="84" t="n"/>
      <c r="P41" s="84" t="n"/>
      <c r="Q41" s="84" t="n"/>
      <c r="R41" s="84" t="n"/>
      <c r="S41" s="102" t="n"/>
      <c r="T41" s="102" t="n"/>
      <c r="U41" s="102" t="n"/>
      <c r="V41" s="102" t="n"/>
      <c r="W41" s="102" t="n"/>
      <c r="X41" s="102" t="n"/>
      <c r="Y41" s="102" t="n"/>
      <c r="Z41" s="102" t="n"/>
      <c r="AA41" s="104" t="n"/>
      <c r="AB41" s="104" t="n"/>
      <c r="AC41" s="102">
        <f>IFERROR(__xludf.DUMMYFUNCTION("""COMPUTED_VALUE"""),"46 x 30")</f>
        <v/>
      </c>
      <c r="AD41" s="102">
        <f>IFERROR(__xludf.DUMMYFUNCTION("""COMPUTED_VALUE"""),"46W / 30L")</f>
        <v/>
      </c>
    </row>
    <row r="42" ht="16.5" customHeight="1" s="176">
      <c r="A42" s="116" t="inlineStr">
        <is>
          <t>Bufanda</t>
        </is>
      </c>
      <c r="B42" s="116" t="inlineStr">
        <is>
          <t>Bufandas</t>
        </is>
      </c>
      <c r="C42" s="116" t="inlineStr">
        <is>
          <t>Accesorios</t>
        </is>
      </c>
      <c r="D42" s="107" t="n"/>
      <c r="E42" s="107" t="n"/>
      <c r="F42" s="84" t="n"/>
      <c r="G42" s="96" t="inlineStr">
        <is>
          <t>PRIVALIA</t>
        </is>
      </c>
      <c r="H42" s="97" t="inlineStr">
        <is>
          <t>NetSuite</t>
        </is>
      </c>
      <c r="I42" s="96">
        <f>IF(OR($G42="",$H42="Rack físico"),"",COUNTIFS('Stock por Ubicación'!$A:$A,IF($H42="NetSuite",$G42,$G42&amp;" ›*"),'Stock por Ubicación'!$G:$G,"&lt;&gt;0"))</f>
        <v/>
      </c>
      <c r="J42" s="96">
        <f>IF(OR($G42="",$H42="Rack físico"),"",SUMIFS('Stock por Ubicación'!$G:$G,'Stock por Ubicación'!$A:$A,IF($H42="NetSuite",$G42,$G42&amp;" ›*")))</f>
        <v/>
      </c>
      <c r="K42" s="98" t="n"/>
      <c r="L42" s="84" t="n"/>
      <c r="M42" s="84" t="n"/>
      <c r="N42" s="84" t="n"/>
      <c r="O42" s="84" t="n"/>
      <c r="P42" s="84" t="n"/>
      <c r="Q42" s="84" t="n"/>
      <c r="R42" s="84" t="n"/>
      <c r="S42" s="102" t="n"/>
      <c r="T42" s="102" t="n"/>
      <c r="U42" s="102" t="n"/>
      <c r="V42" s="102" t="n"/>
      <c r="W42" s="102" t="n"/>
      <c r="X42" s="102" t="n"/>
      <c r="Y42" s="102" t="n"/>
      <c r="Z42" s="102" t="n"/>
      <c r="AA42" s="104" t="n"/>
      <c r="AB42" s="104" t="n"/>
      <c r="AC42" s="102">
        <f>IFERROR(__xludf.DUMMYFUNCTION("""COMPUTED_VALUE"""),"48 x 30")</f>
        <v/>
      </c>
      <c r="AD42" s="102">
        <f>IFERROR(__xludf.DUMMYFUNCTION("""COMPUTED_VALUE"""),"48W / 30L")</f>
        <v/>
      </c>
    </row>
    <row r="43" ht="16.5" customHeight="1" s="176">
      <c r="A43" s="116" t="inlineStr">
        <is>
          <t>Cartera</t>
        </is>
      </c>
      <c r="B43" s="116" t="inlineStr">
        <is>
          <t>Carteras</t>
        </is>
      </c>
      <c r="C43" s="116" t="inlineStr">
        <is>
          <t>Accesorios</t>
        </is>
      </c>
      <c r="D43" s="107" t="n"/>
      <c r="E43" s="107" t="n"/>
      <c r="F43" s="84" t="n"/>
      <c r="G43" s="96" t="inlineStr">
        <is>
          <t>PUNTO DE VENTA</t>
        </is>
      </c>
      <c r="H43" s="97" t="inlineStr">
        <is>
          <t>NetSuite</t>
        </is>
      </c>
      <c r="I43" s="96">
        <f>IF(OR($G43="",$H43="Rack físico"),"",COUNTIFS('Stock por Ubicación'!$A:$A,IF($H43="NetSuite",$G43,$G43&amp;" ›*"),'Stock por Ubicación'!$G:$G,"&lt;&gt;0"))</f>
        <v/>
      </c>
      <c r="J43" s="96">
        <f>IF(OR($G43="",$H43="Rack físico"),"",SUMIFS('Stock por Ubicación'!$G:$G,'Stock por Ubicación'!$A:$A,IF($H43="NetSuite",$G43,$G43&amp;" ›*")))</f>
        <v/>
      </c>
      <c r="K43" s="98" t="n"/>
      <c r="L43" s="84" t="n"/>
      <c r="M43" s="84" t="n"/>
      <c r="N43" s="84" t="n"/>
      <c r="O43" s="84" t="n"/>
      <c r="P43" s="84" t="n"/>
      <c r="Q43" s="84" t="n"/>
      <c r="R43" s="84" t="n"/>
      <c r="S43" s="102" t="n"/>
      <c r="T43" s="102" t="n"/>
      <c r="U43" s="102" t="n"/>
      <c r="V43" s="102" t="n"/>
      <c r="W43" s="102" t="n"/>
      <c r="X43" s="102" t="n"/>
      <c r="Y43" s="102" t="n"/>
      <c r="Z43" s="102" t="n"/>
      <c r="AA43" s="104" t="n"/>
      <c r="AB43" s="104" t="n"/>
      <c r="AC43" s="102">
        <f>IFERROR(__xludf.DUMMYFUNCTION("""COMPUTED_VALUE"""),"50 x 30")</f>
        <v/>
      </c>
      <c r="AD43" s="102">
        <f>IFERROR(__xludf.DUMMYFUNCTION("""COMPUTED_VALUE"""),"50W / 30L")</f>
        <v/>
      </c>
    </row>
    <row r="44" ht="16.5" customHeight="1" s="176">
      <c r="A44" s="116" t="inlineStr">
        <is>
          <t>Clip para billetes</t>
        </is>
      </c>
      <c r="B44" s="116" t="inlineStr">
        <is>
          <t>Carteras</t>
        </is>
      </c>
      <c r="C44" s="116" t="inlineStr">
        <is>
          <t>Accesorios</t>
        </is>
      </c>
      <c r="D44" s="107" t="n"/>
      <c r="E44" s="107" t="n"/>
      <c r="F44" s="84" t="n"/>
      <c r="G44" s="96" t="inlineStr">
        <is>
          <t>Punto de venta HS</t>
        </is>
      </c>
      <c r="H44" s="97" t="inlineStr">
        <is>
          <t>NetSuite</t>
        </is>
      </c>
      <c r="I44" s="96">
        <f>IF(OR($G44="",$H44="Rack físico"),"",COUNTIFS('Stock por Ubicación'!$A:$A,IF($H44="NetSuite",$G44,$G44&amp;" ›*"),'Stock por Ubicación'!$G:$G,"&lt;&gt;0"))</f>
        <v/>
      </c>
      <c r="J44" s="96">
        <f>IF(OR($G44="",$H44="Rack físico"),"",SUMIFS('Stock por Ubicación'!$G:$G,'Stock por Ubicación'!$A:$A,IF($H44="NetSuite",$G44,$G44&amp;" ›*")))</f>
        <v/>
      </c>
      <c r="K44" s="98" t="n"/>
      <c r="L44" s="84" t="n"/>
      <c r="M44" s="84" t="n"/>
      <c r="N44" s="84" t="n"/>
      <c r="O44" s="84" t="n"/>
      <c r="P44" s="84" t="n"/>
      <c r="Q44" s="84" t="n"/>
      <c r="R44" s="84" t="n"/>
      <c r="S44" s="102" t="n"/>
      <c r="T44" s="102" t="n"/>
      <c r="U44" s="102" t="n"/>
      <c r="V44" s="102" t="n"/>
      <c r="W44" s="102" t="n"/>
      <c r="X44" s="102" t="n"/>
      <c r="Y44" s="102" t="n"/>
      <c r="Z44" s="102" t="n"/>
      <c r="AA44" s="104" t="n"/>
      <c r="AB44" s="104" t="n"/>
      <c r="AC44" s="102">
        <f>IFERROR(__xludf.DUMMYFUNCTION("""COMPUTED_VALUE"""),"28 x 32")</f>
        <v/>
      </c>
      <c r="AD44" s="102">
        <f>IFERROR(__xludf.DUMMYFUNCTION("""COMPUTED_VALUE"""),"28W / 32L")</f>
        <v/>
      </c>
    </row>
    <row r="45" ht="16.5" customHeight="1" s="176">
      <c r="A45" s="116" t="inlineStr">
        <is>
          <t>Cinturón</t>
        </is>
      </c>
      <c r="B45" s="116" t="inlineStr">
        <is>
          <t>Cinturones</t>
        </is>
      </c>
      <c r="C45" s="116" t="inlineStr">
        <is>
          <t>Accesorios</t>
        </is>
      </c>
      <c r="D45" s="107" t="n"/>
      <c r="E45" s="107" t="n"/>
      <c r="F45" s="84" t="n"/>
      <c r="G45" s="96" t="inlineStr">
        <is>
          <t>REFLO ALMACEN</t>
        </is>
      </c>
      <c r="H45" s="97" t="inlineStr">
        <is>
          <t>NetSuite</t>
        </is>
      </c>
      <c r="I45" s="96">
        <f>IF(OR($G45="",$H45="Rack físico"),"",COUNTIFS('Stock por Ubicación'!$A:$A,IF($H45="NetSuite",$G45,$G45&amp;" ›*"),'Stock por Ubicación'!$G:$G,"&lt;&gt;0"))</f>
        <v/>
      </c>
      <c r="J45" s="96">
        <f>IF(OR($G45="",$H45="Rack físico"),"",SUMIFS('Stock por Ubicación'!$G:$G,'Stock por Ubicación'!$A:$A,IF($H45="NetSuite",$G45,$G45&amp;" ›*")))</f>
        <v/>
      </c>
      <c r="K45" s="98" t="n"/>
      <c r="L45" s="84" t="n"/>
      <c r="M45" s="84" t="n"/>
      <c r="N45" s="84" t="n"/>
      <c r="O45" s="84" t="n"/>
      <c r="P45" s="84" t="n"/>
      <c r="Q45" s="84" t="n"/>
      <c r="R45" s="84" t="n"/>
      <c r="S45" s="102" t="n"/>
      <c r="T45" s="102" t="n"/>
      <c r="U45" s="102" t="n"/>
      <c r="V45" s="102" t="n"/>
      <c r="W45" s="102" t="n"/>
      <c r="X45" s="102" t="n"/>
      <c r="Y45" s="102" t="n"/>
      <c r="Z45" s="102" t="n"/>
      <c r="AA45" s="104" t="n"/>
      <c r="AB45" s="104" t="n"/>
      <c r="AC45" s="102">
        <f>IFERROR(__xludf.DUMMYFUNCTION("""COMPUTED_VALUE"""),"29 x 32")</f>
        <v/>
      </c>
      <c r="AD45" s="102">
        <f>IFERROR(__xludf.DUMMYFUNCTION("""COMPUTED_VALUE"""),"29W / 32L")</f>
        <v/>
      </c>
    </row>
    <row r="46" ht="16.5" customHeight="1" s="176">
      <c r="A46" s="116" t="inlineStr">
        <is>
          <t>Cobija</t>
        </is>
      </c>
      <c r="B46" s="116" t="inlineStr">
        <is>
          <t>Cobijas</t>
        </is>
      </c>
      <c r="C46" s="116" t="inlineStr">
        <is>
          <t>Accesorios</t>
        </is>
      </c>
      <c r="D46" s="107" t="n"/>
      <c r="E46" s="107" t="n"/>
      <c r="F46" s="84" t="n"/>
      <c r="G46" s="96" t="inlineStr">
        <is>
          <t>STETSON AMERICAS</t>
        </is>
      </c>
      <c r="H46" s="97" t="inlineStr">
        <is>
          <t>NetSuite</t>
        </is>
      </c>
      <c r="I46" s="96">
        <f>IF(OR($G46="",$H46="Rack físico"),"",COUNTIFS('Stock por Ubicación'!$A:$A,IF($H46="NetSuite",$G46,$G46&amp;" ›*"),'Stock por Ubicación'!$G:$G,"&lt;&gt;0"))</f>
        <v/>
      </c>
      <c r="J46" s="96">
        <f>IF(OR($G46="",$H46="Rack físico"),"",SUMIFS('Stock por Ubicación'!$G:$G,'Stock por Ubicación'!$A:$A,IF($H46="NetSuite",$G46,$G46&amp;" ›*")))</f>
        <v/>
      </c>
      <c r="K46" s="98" t="n"/>
      <c r="L46" s="84" t="n"/>
      <c r="M46" s="84" t="n"/>
      <c r="N46" s="84" t="n"/>
      <c r="O46" s="84" t="n"/>
      <c r="P46" s="84" t="n"/>
      <c r="Q46" s="84" t="n"/>
      <c r="R46" s="84" t="n"/>
      <c r="S46" s="102" t="n"/>
      <c r="T46" s="102" t="n"/>
      <c r="U46" s="102" t="n"/>
      <c r="V46" s="102" t="n"/>
      <c r="W46" s="102" t="n"/>
      <c r="X46" s="102" t="n"/>
      <c r="Y46" s="102" t="n"/>
      <c r="Z46" s="102" t="n"/>
      <c r="AA46" s="104" t="n"/>
      <c r="AB46" s="104" t="n"/>
      <c r="AC46" s="102">
        <f>IFERROR(__xludf.DUMMYFUNCTION("""COMPUTED_VALUE"""),"30 x 32")</f>
        <v/>
      </c>
      <c r="AD46" s="102">
        <f>IFERROR(__xludf.DUMMYFUNCTION("""COMPUTED_VALUE"""),"30W / 32L")</f>
        <v/>
      </c>
    </row>
    <row r="47" ht="16.5" customHeight="1" s="176">
      <c r="A47" s="116" t="inlineStr">
        <is>
          <t>Cuchillo</t>
        </is>
      </c>
      <c r="B47" s="116" t="inlineStr">
        <is>
          <t>Cuchillos</t>
        </is>
      </c>
      <c r="C47" s="116" t="inlineStr">
        <is>
          <t>Accesorios</t>
        </is>
      </c>
      <c r="D47" s="107" t="n"/>
      <c r="E47" s="107" t="n"/>
      <c r="F47" s="84" t="n"/>
      <c r="G47" s="96" t="inlineStr">
        <is>
          <t>The Hat Club</t>
        </is>
      </c>
      <c r="H47" s="97" t="inlineStr">
        <is>
          <t>NetSuite</t>
        </is>
      </c>
      <c r="I47" s="96">
        <f>IF(OR($G47="",$H47="Rack físico"),"",COUNTIFS('Stock por Ubicación'!$A:$A,IF($H47="NetSuite",$G47,$G47&amp;" ›*"),'Stock por Ubicación'!$G:$G,"&lt;&gt;0"))</f>
        <v/>
      </c>
      <c r="J47" s="96">
        <f>IF(OR($G47="",$H47="Rack físico"),"",SUMIFS('Stock por Ubicación'!$G:$G,'Stock por Ubicación'!$A:$A,IF($H47="NetSuite",$G47,$G47&amp;" ›*")))</f>
        <v/>
      </c>
      <c r="K47" s="98" t="n"/>
      <c r="L47" s="84" t="n"/>
      <c r="M47" s="84" t="n"/>
      <c r="N47" s="84" t="n"/>
      <c r="O47" s="84" t="n"/>
      <c r="P47" s="84" t="n"/>
      <c r="Q47" s="84" t="n"/>
      <c r="R47" s="84" t="n"/>
      <c r="S47" s="102" t="n"/>
      <c r="T47" s="102" t="n"/>
      <c r="U47" s="102" t="n"/>
      <c r="V47" s="102" t="n"/>
      <c r="W47" s="102" t="n"/>
      <c r="X47" s="102" t="n"/>
      <c r="Y47" s="102" t="n"/>
      <c r="Z47" s="102" t="n"/>
      <c r="AA47" s="104" t="n"/>
      <c r="AB47" s="104" t="n"/>
      <c r="AC47" s="102">
        <f>IFERROR(__xludf.DUMMYFUNCTION("""COMPUTED_VALUE"""),"31 x 32")</f>
        <v/>
      </c>
      <c r="AD47" s="102">
        <f>IFERROR(__xludf.DUMMYFUNCTION("""COMPUTED_VALUE"""),"31W / 32L")</f>
        <v/>
      </c>
    </row>
    <row r="48" ht="16.5" customHeight="1" s="176">
      <c r="A48" s="116" t="inlineStr">
        <is>
          <t>Equipaje</t>
        </is>
      </c>
      <c r="B48" s="116" t="inlineStr">
        <is>
          <t>Equipaje</t>
        </is>
      </c>
      <c r="C48" s="116" t="inlineStr">
        <is>
          <t>Accesorios</t>
        </is>
      </c>
      <c r="D48" s="107" t="n"/>
      <c r="E48" s="107" t="n"/>
      <c r="F48" s="84" t="n"/>
      <c r="G48" s="96" t="inlineStr">
        <is>
          <t>VENTAS CAMPAÑA</t>
        </is>
      </c>
      <c r="H48" s="97" t="inlineStr">
        <is>
          <t>NetSuite</t>
        </is>
      </c>
      <c r="I48" s="96">
        <f>IF(OR($G48="",$H48="Rack físico"),"",COUNTIFS('Stock por Ubicación'!$A:$A,IF($H48="NetSuite",$G48,$G48&amp;" ›*"),'Stock por Ubicación'!$G:$G,"&lt;&gt;0"))</f>
        <v/>
      </c>
      <c r="J48" s="96">
        <f>IF(OR($G48="",$H48="Rack físico"),"",SUMIFS('Stock por Ubicación'!$G:$G,'Stock por Ubicación'!$A:$A,IF($H48="NetSuite",$G48,$G48&amp;" ›*")))</f>
        <v/>
      </c>
      <c r="K48" s="98" t="n"/>
      <c r="L48" s="84" t="n"/>
      <c r="M48" s="84" t="n"/>
      <c r="N48" s="84" t="n"/>
      <c r="O48" s="84" t="n"/>
      <c r="P48" s="84" t="n"/>
      <c r="Q48" s="84" t="n"/>
      <c r="R48" s="84" t="n"/>
      <c r="S48" s="102" t="n"/>
      <c r="T48" s="102" t="n"/>
      <c r="U48" s="102" t="n"/>
      <c r="V48" s="102" t="n"/>
      <c r="W48" s="102" t="n"/>
      <c r="X48" s="102" t="n"/>
      <c r="Y48" s="102" t="n"/>
      <c r="Z48" s="102" t="n"/>
      <c r="AA48" s="104" t="n"/>
      <c r="AB48" s="104" t="n"/>
      <c r="AC48" s="102">
        <f>IFERROR(__xludf.DUMMYFUNCTION("""COMPUTED_VALUE"""),"32 x 32")</f>
        <v/>
      </c>
      <c r="AD48" s="102">
        <f>IFERROR(__xludf.DUMMYFUNCTION("""COMPUTED_VALUE"""),"32W / 32L")</f>
        <v/>
      </c>
    </row>
    <row r="49" ht="16.5" customHeight="1" s="176">
      <c r="A49" s="116" t="inlineStr">
        <is>
          <t>Estuche</t>
        </is>
      </c>
      <c r="B49" s="116" t="inlineStr">
        <is>
          <t>Estuches</t>
        </is>
      </c>
      <c r="C49" s="116" t="inlineStr">
        <is>
          <t>Accesorios</t>
        </is>
      </c>
      <c r="D49" s="107" t="n"/>
      <c r="E49" s="107" t="n"/>
      <c r="F49" s="84" t="n"/>
      <c r="G49" s="96" t="inlineStr">
        <is>
          <t>WB FORUM TLAQUEPAQUE</t>
        </is>
      </c>
      <c r="H49" s="97" t="inlineStr">
        <is>
          <t>NetSuite</t>
        </is>
      </c>
      <c r="I49" s="96">
        <f>IF(OR($G49="",$H49="Rack físico"),"",COUNTIFS('Stock por Ubicación'!$A:$A,IF($H49="NetSuite",$G49,$G49&amp;" ›*"),'Stock por Ubicación'!$G:$G,"&lt;&gt;0"))</f>
        <v/>
      </c>
      <c r="J49" s="96">
        <f>IF(OR($G49="",$H49="Rack físico"),"",SUMIFS('Stock por Ubicación'!$G:$G,'Stock por Ubicación'!$A:$A,IF($H49="NetSuite",$G49,$G49&amp;" ›*")))</f>
        <v/>
      </c>
      <c r="K49" s="98" t="n"/>
      <c r="L49" s="84" t="n"/>
      <c r="M49" s="84" t="n"/>
      <c r="N49" s="84" t="n"/>
      <c r="O49" s="84" t="n"/>
      <c r="P49" s="84" t="n"/>
      <c r="Q49" s="84" t="n"/>
      <c r="R49" s="84" t="n"/>
      <c r="S49" s="102" t="n"/>
      <c r="T49" s="102" t="n"/>
      <c r="U49" s="102" t="n"/>
      <c r="V49" s="102" t="n"/>
      <c r="W49" s="102" t="n"/>
      <c r="X49" s="102" t="n"/>
      <c r="Y49" s="102" t="n"/>
      <c r="Z49" s="102" t="n"/>
      <c r="AA49" s="104" t="n"/>
      <c r="AB49" s="104" t="n"/>
      <c r="AC49" s="102">
        <f>IFERROR(__xludf.DUMMYFUNCTION("""COMPUTED_VALUE"""),"33 x 32")</f>
        <v/>
      </c>
      <c r="AD49" s="102">
        <f>IFERROR(__xludf.DUMMYFUNCTION("""COMPUTED_VALUE"""),"33W / 32L")</f>
        <v/>
      </c>
    </row>
    <row r="50" ht="16.5" customHeight="1" s="176">
      <c r="A50" s="116" t="inlineStr">
        <is>
          <t>Fragancia</t>
        </is>
      </c>
      <c r="B50" s="116" t="inlineStr">
        <is>
          <t>Fragancias</t>
        </is>
      </c>
      <c r="C50" s="116" t="inlineStr">
        <is>
          <t>Accesorios</t>
        </is>
      </c>
      <c r="D50" s="107" t="n"/>
      <c r="E50" s="107" t="n"/>
      <c r="F50" s="84" t="n"/>
      <c r="G50" s="96" t="inlineStr">
        <is>
          <t>WB OUTLET LERMA</t>
        </is>
      </c>
      <c r="H50" s="97" t="inlineStr">
        <is>
          <t>NetSuite</t>
        </is>
      </c>
      <c r="I50" s="96">
        <f>IF(OR($G50="",$H50="Rack físico"),"",COUNTIFS('Stock por Ubicación'!$A:$A,IF($H50="NetSuite",$G50,$G50&amp;" ›*"),'Stock por Ubicación'!$G:$G,"&lt;&gt;0"))</f>
        <v/>
      </c>
      <c r="J50" s="96">
        <f>IF(OR($G50="",$H50="Rack físico"),"",SUMIFS('Stock por Ubicación'!$G:$G,'Stock por Ubicación'!$A:$A,IF($H50="NetSuite",$G50,$G50&amp;" ›*")))</f>
        <v/>
      </c>
      <c r="K50" s="98" t="n"/>
      <c r="L50" s="84" t="n"/>
      <c r="M50" s="84" t="n"/>
      <c r="N50" s="84" t="n"/>
      <c r="O50" s="84" t="n"/>
      <c r="P50" s="84" t="n"/>
      <c r="Q50" s="84" t="n"/>
      <c r="R50" s="84" t="n"/>
      <c r="S50" s="102" t="n"/>
      <c r="T50" s="102" t="n"/>
      <c r="U50" s="102" t="n"/>
      <c r="V50" s="102" t="n"/>
      <c r="W50" s="102" t="n"/>
      <c r="X50" s="102" t="n"/>
      <c r="Y50" s="102" t="n"/>
      <c r="Z50" s="102" t="n"/>
      <c r="AA50" s="104" t="n"/>
      <c r="AB50" s="104" t="n"/>
      <c r="AC50" s="102">
        <f>IFERROR(__xludf.DUMMYFUNCTION("""COMPUTED_VALUE"""),"34 x 32")</f>
        <v/>
      </c>
      <c r="AD50" s="102">
        <f>IFERROR(__xludf.DUMMYFUNCTION("""COMPUTED_VALUE"""),"34W / 32L")</f>
        <v/>
      </c>
    </row>
    <row r="51" ht="16.5" customHeight="1" s="176">
      <c r="A51" s="116" t="inlineStr">
        <is>
          <t>Hebilla</t>
        </is>
      </c>
      <c r="B51" s="116" t="inlineStr">
        <is>
          <t>Hebillas</t>
        </is>
      </c>
      <c r="C51" s="116" t="inlineStr">
        <is>
          <t>Accesorios</t>
        </is>
      </c>
      <c r="D51" s="107" t="n"/>
      <c r="E51" s="107" t="n"/>
      <c r="F51" s="84" t="n"/>
      <c r="G51" s="96" t="inlineStr">
        <is>
          <t>Web</t>
        </is>
      </c>
      <c r="H51" s="97" t="inlineStr">
        <is>
          <t>NetSuite</t>
        </is>
      </c>
      <c r="I51" s="96">
        <f>IF(OR($G51="",$H51="Rack físico"),"",COUNTIFS('Stock por Ubicación'!$A:$A,IF($H51="NetSuite",$G51,$G51&amp;" ›*"),'Stock por Ubicación'!$G:$G,"&lt;&gt;0"))</f>
        <v/>
      </c>
      <c r="J51" s="96">
        <f>IF(OR($G51="",$H51="Rack físico"),"",SUMIFS('Stock por Ubicación'!$G:$G,'Stock por Ubicación'!$A:$A,IF($H51="NetSuite",$G51,$G51&amp;" ›*")))</f>
        <v/>
      </c>
      <c r="K51" s="98" t="n"/>
      <c r="L51" s="84" t="n"/>
      <c r="M51" s="84" t="n"/>
      <c r="N51" s="84" t="n"/>
      <c r="O51" s="84" t="n"/>
      <c r="P51" s="84" t="n"/>
      <c r="Q51" s="84" t="n"/>
      <c r="R51" s="84" t="n"/>
      <c r="S51" s="102" t="n"/>
      <c r="T51" s="102" t="n"/>
      <c r="U51" s="102" t="n"/>
      <c r="V51" s="102" t="n"/>
      <c r="W51" s="102" t="n"/>
      <c r="X51" s="102" t="n"/>
      <c r="Y51" s="102" t="n"/>
      <c r="Z51" s="102" t="n"/>
      <c r="AA51" s="104" t="n"/>
      <c r="AB51" s="104" t="n"/>
      <c r="AC51" s="102">
        <f>IFERROR(__xludf.DUMMYFUNCTION("""COMPUTED_VALUE"""),"35 x 32")</f>
        <v/>
      </c>
      <c r="AD51" s="102">
        <f>IFERROR(__xludf.DUMMYFUNCTION("""COMPUTED_VALUE"""),"35W / 32L")</f>
        <v/>
      </c>
    </row>
    <row r="52" ht="16.5" customHeight="1" s="176">
      <c r="A52" s="116" t="inlineStr">
        <is>
          <t>Joyería</t>
        </is>
      </c>
      <c r="B52" s="116" t="inlineStr">
        <is>
          <t>Joyeria</t>
        </is>
      </c>
      <c r="C52" s="116" t="inlineStr">
        <is>
          <t>Accesorios</t>
        </is>
      </c>
      <c r="D52" s="107" t="n"/>
      <c r="E52" s="107" t="n"/>
      <c r="F52" s="84" t="n"/>
      <c r="G52" s="96" t="inlineStr">
        <is>
          <t>WEB</t>
        </is>
      </c>
      <c r="H52" s="97" t="inlineStr">
        <is>
          <t>NetSuite</t>
        </is>
      </c>
      <c r="I52" s="96">
        <f>IF(OR($G52="",$H52="Rack físico"),"",COUNTIFS('Stock por Ubicación'!$A:$A,IF($H52="NetSuite",$G52,$G52&amp;" ›*"),'Stock por Ubicación'!$G:$G,"&lt;&gt;0"))</f>
        <v/>
      </c>
      <c r="J52" s="96">
        <f>IF(OR($G52="",$H52="Rack físico"),"",SUMIFS('Stock por Ubicación'!$G:$G,'Stock por Ubicación'!$A:$A,IF($H52="NetSuite",$G52,$G52&amp;" ›*")))</f>
        <v/>
      </c>
      <c r="K52" s="98" t="n"/>
      <c r="L52" s="84" t="n"/>
      <c r="M52" s="84" t="n"/>
      <c r="N52" s="84" t="n"/>
      <c r="O52" s="84" t="n"/>
      <c r="P52" s="84" t="n"/>
      <c r="Q52" s="84" t="n"/>
      <c r="R52" s="84" t="n"/>
      <c r="S52" s="102" t="n"/>
      <c r="T52" s="102" t="n"/>
      <c r="U52" s="102" t="n"/>
      <c r="V52" s="102" t="n"/>
      <c r="W52" s="102" t="n"/>
      <c r="X52" s="102" t="n"/>
      <c r="Y52" s="102" t="n"/>
      <c r="Z52" s="102" t="n"/>
      <c r="AA52" s="104" t="n"/>
      <c r="AB52" s="104" t="n"/>
      <c r="AC52" s="102">
        <f>IFERROR(__xludf.DUMMYFUNCTION("""COMPUTED_VALUE"""),"36 x 32")</f>
        <v/>
      </c>
      <c r="AD52" s="102">
        <f>IFERROR(__xludf.DUMMYFUNCTION("""COMPUTED_VALUE"""),"36W / 32L")</f>
        <v/>
      </c>
    </row>
    <row r="53" ht="16.5" customHeight="1" s="176">
      <c r="A53" s="116" t="inlineStr">
        <is>
          <t>Llavero</t>
        </is>
      </c>
      <c r="B53" s="116" t="inlineStr">
        <is>
          <t>Llaveros</t>
        </is>
      </c>
      <c r="C53" s="116" t="inlineStr">
        <is>
          <t>Accesorios</t>
        </is>
      </c>
      <c r="D53" s="107" t="n"/>
      <c r="E53" s="107" t="n"/>
      <c r="F53" s="84" t="n"/>
      <c r="G53" s="96" t="inlineStr">
        <is>
          <t>ZONA NORTE</t>
        </is>
      </c>
      <c r="H53" s="97" t="inlineStr">
        <is>
          <t>NetSuite</t>
        </is>
      </c>
      <c r="I53" s="96">
        <f>IF(OR($G53="",$H53="Rack físico"),"",COUNTIFS('Stock por Ubicación'!$A:$A,IF($H53="NetSuite",$G53,$G53&amp;" ›*"),'Stock por Ubicación'!$G:$G,"&lt;&gt;0"))</f>
        <v/>
      </c>
      <c r="J53" s="96">
        <f>IF(OR($G53="",$H53="Rack físico"),"",SUMIFS('Stock por Ubicación'!$G:$G,'Stock por Ubicación'!$A:$A,IF($H53="NetSuite",$G53,$G53&amp;" ›*")))</f>
        <v/>
      </c>
      <c r="K53" s="98" t="n"/>
      <c r="L53" s="84" t="n"/>
      <c r="M53" s="84" t="n"/>
      <c r="N53" s="84" t="n"/>
      <c r="O53" s="84" t="n"/>
      <c r="P53" s="84" t="n"/>
      <c r="Q53" s="84" t="n"/>
      <c r="R53" s="84" t="n"/>
      <c r="S53" s="102" t="n"/>
      <c r="T53" s="102" t="n"/>
      <c r="U53" s="102" t="n"/>
      <c r="V53" s="102" t="n"/>
      <c r="W53" s="102" t="n"/>
      <c r="X53" s="102" t="n"/>
      <c r="Y53" s="102" t="n"/>
      <c r="Z53" s="102" t="n"/>
      <c r="AA53" s="104" t="n"/>
      <c r="AB53" s="104" t="n"/>
      <c r="AC53" s="102">
        <f>IFERROR(__xludf.DUMMYFUNCTION("""COMPUTED_VALUE"""),"38 x 32")</f>
        <v/>
      </c>
      <c r="AD53" s="102">
        <f>IFERROR(__xludf.DUMMYFUNCTION("""COMPUTED_VALUE"""),"38W / 32L")</f>
        <v/>
      </c>
    </row>
    <row r="54" ht="16.5" customHeight="1" s="176">
      <c r="A54" s="116" t="inlineStr">
        <is>
          <t>Libro</t>
        </is>
      </c>
      <c r="B54" s="116" t="inlineStr">
        <is>
          <t>Libros</t>
        </is>
      </c>
      <c r="C54" s="116" t="inlineStr">
        <is>
          <t>Accesorios</t>
        </is>
      </c>
      <c r="D54" s="107" t="n"/>
      <c r="E54" s="107" t="n"/>
      <c r="F54" s="84" t="n"/>
      <c r="G54" s="96" t="inlineStr">
        <is>
          <t>ZONA POS</t>
        </is>
      </c>
      <c r="H54" s="97" t="inlineStr">
        <is>
          <t>NetSuite</t>
        </is>
      </c>
      <c r="I54" s="96">
        <f>IF(OR($G54="",$H54="Rack físico"),"",COUNTIFS('Stock por Ubicación'!$A:$A,IF($H54="NetSuite",$G54,$G54&amp;" ›*"),'Stock por Ubicación'!$G:$G,"&lt;&gt;0"))</f>
        <v/>
      </c>
      <c r="J54" s="96">
        <f>IF(OR($G54="",$H54="Rack físico"),"",SUMIFS('Stock por Ubicación'!$G:$G,'Stock por Ubicación'!$A:$A,IF($H54="NetSuite",$G54,$G54&amp;" ›*")))</f>
        <v/>
      </c>
      <c r="K54" s="98" t="n"/>
      <c r="L54" s="84" t="n"/>
      <c r="M54" s="84" t="n"/>
      <c r="N54" s="84" t="n"/>
      <c r="O54" s="84" t="n"/>
      <c r="P54" s="84" t="n"/>
      <c r="Q54" s="84" t="n"/>
      <c r="R54" s="84" t="n"/>
      <c r="S54" s="102" t="n"/>
      <c r="T54" s="102" t="n"/>
      <c r="U54" s="102" t="n"/>
      <c r="V54" s="102" t="n"/>
      <c r="W54" s="102" t="n"/>
      <c r="X54" s="102" t="n"/>
      <c r="Y54" s="102" t="n"/>
      <c r="Z54" s="102" t="n"/>
      <c r="AA54" s="104" t="n"/>
      <c r="AB54" s="104" t="n"/>
      <c r="AC54" s="102">
        <f>IFERROR(__xludf.DUMMYFUNCTION("""COMPUTED_VALUE"""),"40 x 32")</f>
        <v/>
      </c>
      <c r="AD54" s="102">
        <f>IFERROR(__xludf.DUMMYFUNCTION("""COMPUTED_VALUE"""),"40W / 32L")</f>
        <v/>
      </c>
    </row>
    <row r="55" ht="16.5" customHeight="1" s="176">
      <c r="A55" s="116" t="inlineStr">
        <is>
          <t>Mochila</t>
        </is>
      </c>
      <c r="B55" s="116" t="inlineStr">
        <is>
          <t>Mochilas</t>
        </is>
      </c>
      <c r="C55" s="116" t="inlineStr">
        <is>
          <t>Accesorios</t>
        </is>
      </c>
      <c r="D55" s="107" t="n"/>
      <c r="E55" s="107" t="n"/>
      <c r="F55" s="84" t="n"/>
      <c r="G55" s="96" t="inlineStr">
        <is>
          <t>ZONA SUR</t>
        </is>
      </c>
      <c r="H55" s="97" t="inlineStr">
        <is>
          <t>NetSuite</t>
        </is>
      </c>
      <c r="I55" s="96">
        <f>IF(OR($G55="",$H55="Rack físico"),"",COUNTIFS('Stock por Ubicación'!$A:$A,IF($H55="NetSuite",$G55,$G55&amp;" ›*"),'Stock por Ubicación'!$G:$G,"&lt;&gt;0"))</f>
        <v/>
      </c>
      <c r="J55" s="96">
        <f>IF(OR($G55="",$H55="Rack físico"),"",SUMIFS('Stock por Ubicación'!$G:$G,'Stock por Ubicación'!$A:$A,IF($H55="NetSuite",$G55,$G55&amp;" ›*")))</f>
        <v/>
      </c>
      <c r="K55" s="98" t="n"/>
      <c r="L55" s="84" t="n"/>
      <c r="M55" s="84" t="n"/>
      <c r="N55" s="84" t="n"/>
      <c r="O55" s="84" t="n"/>
      <c r="P55" s="84" t="n"/>
      <c r="Q55" s="84" t="n"/>
      <c r="R55" s="84" t="n"/>
      <c r="S55" s="102" t="n"/>
      <c r="T55" s="102" t="n"/>
      <c r="U55" s="102" t="n"/>
      <c r="V55" s="102" t="n"/>
      <c r="W55" s="102" t="n"/>
      <c r="X55" s="102" t="n"/>
      <c r="Y55" s="102" t="n"/>
      <c r="Z55" s="102" t="n"/>
      <c r="AA55" s="104" t="n"/>
      <c r="AB55" s="104" t="n"/>
      <c r="AC55" s="102">
        <f>IFERROR(__xludf.DUMMYFUNCTION("""COMPUTED_VALUE"""),"42 x 32")</f>
        <v/>
      </c>
      <c r="AD55" s="102">
        <f>IFERROR(__xludf.DUMMYFUNCTION("""COMPUTED_VALUE"""),"42W / 32L")</f>
        <v/>
      </c>
    </row>
    <row r="56" ht="16.5" customHeight="1" s="176">
      <c r="A56" s="116" t="inlineStr">
        <is>
          <t>Mascota</t>
        </is>
      </c>
      <c r="B56" s="116" t="inlineStr">
        <is>
          <t>Mascotas</t>
        </is>
      </c>
      <c r="C56" s="116" t="inlineStr">
        <is>
          <t>Accesorios</t>
        </is>
      </c>
      <c r="D56" s="107" t="n"/>
      <c r="E56" s="107" t="n"/>
      <c r="F56" s="84" t="n"/>
      <c r="G56" s="96" t="inlineStr">
        <is>
          <t>Shopify Stetson México</t>
        </is>
      </c>
      <c r="H56" s="97" t="inlineStr">
        <is>
          <t>Shopify</t>
        </is>
      </c>
      <c r="I56" s="96">
        <f>IF(OR($G56="",$H56="Rack físico"),"",COUNTIFS('Stock por Ubicación'!$A:$A,IF($H56="NetSuite",$G56,$G56&amp;" ›*"),'Stock por Ubicación'!$G:$G,"&lt;&gt;0"))</f>
        <v/>
      </c>
      <c r="J56" s="96">
        <f>IF(OR($G56="",$H56="Rack físico"),"",SUMIFS('Stock por Ubicación'!$G:$G,'Stock por Ubicación'!$A:$A,IF($H56="NetSuite",$G56,$G56&amp;" ›*")))</f>
        <v/>
      </c>
      <c r="K56" s="98" t="n"/>
      <c r="L56" s="84" t="n"/>
      <c r="M56" s="84" t="n"/>
      <c r="N56" s="84" t="n"/>
      <c r="O56" s="84" t="n"/>
      <c r="P56" s="84" t="n"/>
      <c r="Q56" s="84" t="n"/>
      <c r="R56" s="84" t="n"/>
      <c r="S56" s="102" t="n"/>
      <c r="T56" s="102" t="n"/>
      <c r="U56" s="102" t="n"/>
      <c r="V56" s="102" t="n"/>
      <c r="W56" s="102" t="n"/>
      <c r="X56" s="102" t="n"/>
      <c r="Y56" s="102" t="n"/>
      <c r="Z56" s="102" t="n"/>
      <c r="AA56" s="104" t="n"/>
      <c r="AB56" s="104" t="n"/>
      <c r="AC56" s="102">
        <f>IFERROR(__xludf.DUMMYFUNCTION("""COMPUTED_VALUE"""),"44 x 32")</f>
        <v/>
      </c>
      <c r="AD56" s="102">
        <f>IFERROR(__xludf.DUMMYFUNCTION("""COMPUTED_VALUE"""),"44W / 32L")</f>
        <v/>
      </c>
    </row>
    <row r="57" ht="16.5" customHeight="1" s="176">
      <c r="A57" s="116" t="inlineStr">
        <is>
          <t>Jean</t>
        </is>
      </c>
      <c r="B57" s="116" t="inlineStr">
        <is>
          <t>Jeans</t>
        </is>
      </c>
      <c r="C57" s="116" t="inlineStr">
        <is>
          <t>Denim</t>
        </is>
      </c>
      <c r="D57" s="107" t="n"/>
      <c r="E57" s="107" t="n"/>
      <c r="F57" s="84" t="n"/>
      <c r="G57" s="96" t="inlineStr">
        <is>
          <t>Shopify Western Brothers</t>
        </is>
      </c>
      <c r="H57" s="97" t="inlineStr">
        <is>
          <t>Shopify</t>
        </is>
      </c>
      <c r="I57" s="96">
        <f>IF(OR($G57="",$H57="Rack físico"),"",COUNTIFS('Stock por Ubicación'!$A:$A,IF($H57="NetSuite",$G57,$G57&amp;" ›*"),'Stock por Ubicación'!$G:$G,"&lt;&gt;0"))</f>
        <v/>
      </c>
      <c r="J57" s="96">
        <f>IF(OR($G57="",$H57="Rack físico"),"",SUMIFS('Stock por Ubicación'!$G:$G,'Stock por Ubicación'!$A:$A,IF($H57="NetSuite",$G57,$G57&amp;" ›*")))</f>
        <v/>
      </c>
      <c r="K57" s="98" t="n"/>
      <c r="L57" s="84" t="n"/>
      <c r="M57" s="84" t="n"/>
      <c r="N57" s="84" t="n"/>
      <c r="O57" s="84" t="n"/>
      <c r="P57" s="84" t="n"/>
      <c r="Q57" s="84" t="n"/>
      <c r="R57" s="84" t="n"/>
      <c r="S57" s="102" t="n"/>
      <c r="T57" s="102" t="n"/>
      <c r="U57" s="102" t="n"/>
      <c r="V57" s="102" t="n"/>
      <c r="W57" s="102" t="n"/>
      <c r="X57" s="102" t="n"/>
      <c r="Y57" s="102" t="n"/>
      <c r="Z57" s="102" t="n"/>
      <c r="AA57" s="104" t="n"/>
      <c r="AB57" s="104" t="n"/>
      <c r="AC57" s="102">
        <f>IFERROR(__xludf.DUMMYFUNCTION("""COMPUTED_VALUE"""),"46 x 32")</f>
        <v/>
      </c>
      <c r="AD57" s="102">
        <f>IFERROR(__xludf.DUMMYFUNCTION("""COMPUTED_VALUE"""),"46W / 32L")</f>
        <v/>
      </c>
    </row>
    <row r="58" ht="16.5" customHeight="1" s="176">
      <c r="A58" s="116" t="inlineStr">
        <is>
          <t>Bota</t>
        </is>
      </c>
      <c r="B58" s="116" t="inlineStr">
        <is>
          <t>Botas</t>
        </is>
      </c>
      <c r="C58" s="116" t="inlineStr">
        <is>
          <t>Calzado</t>
        </is>
      </c>
      <c r="D58" s="107" t="n"/>
      <c r="E58" s="107" t="n"/>
      <c r="F58" s="84" t="n"/>
      <c r="G58" s="96" t="inlineStr">
        <is>
          <t>Odoo Universal Unique Brands</t>
        </is>
      </c>
      <c r="H58" s="97" t="inlineStr">
        <is>
          <t>Odoo</t>
        </is>
      </c>
      <c r="I58" s="96">
        <f>IF(OR($G58="",$H58="Rack físico"),"",COUNTIFS('Stock por Ubicación'!$A:$A,IF($H58="NetSuite",$G58,$G58&amp;" ›*"),'Stock por Ubicación'!$G:$G,"&lt;&gt;0"))</f>
        <v/>
      </c>
      <c r="J58" s="96">
        <f>IF(OR($G58="",$H58="Rack físico"),"",SUMIFS('Stock por Ubicación'!$G:$G,'Stock por Ubicación'!$A:$A,IF($H58="NetSuite",$G58,$G58&amp;" ›*")))</f>
        <v/>
      </c>
      <c r="K58" s="98" t="n"/>
      <c r="L58" s="84" t="n"/>
      <c r="M58" s="84" t="n"/>
      <c r="N58" s="84" t="n"/>
      <c r="O58" s="84" t="n"/>
      <c r="P58" s="84" t="n"/>
      <c r="Q58" s="84" t="n"/>
      <c r="R58" s="84" t="n"/>
      <c r="S58" s="102" t="n"/>
      <c r="T58" s="102" t="n"/>
      <c r="U58" s="102" t="n"/>
      <c r="V58" s="102" t="n"/>
      <c r="W58" s="102" t="n"/>
      <c r="X58" s="102" t="n"/>
      <c r="Y58" s="102" t="n"/>
      <c r="Z58" s="102" t="n"/>
      <c r="AA58" s="104" t="n"/>
      <c r="AB58" s="104" t="n"/>
      <c r="AC58" s="102">
        <f>IFERROR(__xludf.DUMMYFUNCTION("""COMPUTED_VALUE"""),"48 x 32")</f>
        <v/>
      </c>
      <c r="AD58" s="102">
        <f>IFERROR(__xludf.DUMMYFUNCTION("""COMPUTED_VALUE"""),"48W / 32L")</f>
        <v/>
      </c>
    </row>
    <row r="59" ht="16.5" customHeight="1" s="176">
      <c r="A59" s="116" t="inlineStr">
        <is>
          <t>Zapato</t>
        </is>
      </c>
      <c r="B59" s="116" t="inlineStr">
        <is>
          <t>Zapatos</t>
        </is>
      </c>
      <c r="C59" s="116" t="inlineStr">
        <is>
          <t>Calzado</t>
        </is>
      </c>
      <c r="D59" s="107" t="n"/>
      <c r="E59" s="107" t="n"/>
      <c r="F59" s="84" t="n"/>
      <c r="G59" s="96" t="inlineStr">
        <is>
          <t>J1-L1-02</t>
        </is>
      </c>
      <c r="H59" s="97" t="inlineStr">
        <is>
          <t>Rack físico</t>
        </is>
      </c>
      <c r="I59" s="96" t="n"/>
      <c r="J59" s="96" t="n"/>
      <c r="K59" s="98" t="inlineStr">
        <is>
          <t>Bodega 25</t>
        </is>
      </c>
      <c r="L59" s="84" t="n"/>
      <c r="M59" s="84" t="n"/>
      <c r="N59" s="84" t="n"/>
      <c r="O59" s="84" t="n"/>
      <c r="P59" s="84" t="n"/>
      <c r="Q59" s="84" t="n"/>
      <c r="R59" s="84" t="n"/>
      <c r="S59" s="102" t="n"/>
      <c r="T59" s="102" t="n"/>
      <c r="U59" s="102" t="n"/>
      <c r="V59" s="102" t="n"/>
      <c r="W59" s="102" t="n"/>
      <c r="X59" s="102" t="n"/>
      <c r="Y59" s="102" t="n"/>
      <c r="Z59" s="102" t="n"/>
      <c r="AA59" s="104" t="n"/>
      <c r="AB59" s="104" t="n"/>
      <c r="AC59" s="102">
        <f>IFERROR(__xludf.DUMMYFUNCTION("""COMPUTED_VALUE"""),"50 x 32")</f>
        <v/>
      </c>
      <c r="AD59" s="102">
        <f>IFERROR(__xludf.DUMMYFUNCTION("""COMPUTED_VALUE"""),"50W / 32L")</f>
        <v/>
      </c>
    </row>
    <row r="60" ht="16.5" customHeight="1" s="176">
      <c r="A60" s="116" t="inlineStr">
        <is>
          <t>Tenis</t>
        </is>
      </c>
      <c r="B60" s="116" t="inlineStr">
        <is>
          <t>Tenis</t>
        </is>
      </c>
      <c r="C60" s="116" t="inlineStr">
        <is>
          <t>Calzado</t>
        </is>
      </c>
      <c r="D60" s="107" t="n"/>
      <c r="E60" s="107" t="n"/>
      <c r="F60" s="84" t="n"/>
      <c r="G60" s="96" t="inlineStr">
        <is>
          <t>I1-L1-01</t>
        </is>
      </c>
      <c r="H60" s="97" t="inlineStr">
        <is>
          <t>Rack físico</t>
        </is>
      </c>
      <c r="I60" s="96" t="n"/>
      <c r="J60" s="96" t="n"/>
      <c r="K60" s="98" t="inlineStr">
        <is>
          <t>Bodega 25</t>
        </is>
      </c>
      <c r="L60" s="84" t="n"/>
      <c r="M60" s="84" t="n"/>
      <c r="N60" s="84" t="n"/>
      <c r="O60" s="84" t="n"/>
      <c r="P60" s="84" t="n"/>
      <c r="Q60" s="84" t="n"/>
      <c r="R60" s="84" t="n"/>
      <c r="S60" s="102" t="n"/>
      <c r="T60" s="102" t="n"/>
      <c r="U60" s="102" t="n"/>
      <c r="V60" s="102" t="n"/>
      <c r="W60" s="102" t="n"/>
      <c r="X60" s="102" t="n"/>
      <c r="Y60" s="102" t="n"/>
      <c r="Z60" s="102" t="n"/>
      <c r="AA60" s="104" t="n"/>
      <c r="AB60" s="104" t="n"/>
      <c r="AC60" s="102">
        <f>IFERROR(__xludf.DUMMYFUNCTION("""COMPUTED_VALUE"""),"28 x 34")</f>
        <v/>
      </c>
      <c r="AD60" s="102">
        <f>IFERROR(__xludf.DUMMYFUNCTION("""COMPUTED_VALUE"""),"28W / 34L")</f>
        <v/>
      </c>
    </row>
    <row r="61" ht="16.5" customHeight="1" s="176">
      <c r="A61" s="116" t="inlineStr">
        <is>
          <t>Pantufla</t>
        </is>
      </c>
      <c r="B61" s="116" t="inlineStr">
        <is>
          <t>Pantuflas</t>
        </is>
      </c>
      <c r="C61" s="116" t="inlineStr">
        <is>
          <t>Calzado</t>
        </is>
      </c>
      <c r="D61" s="107" t="n"/>
      <c r="E61" s="107" t="n"/>
      <c r="F61" s="84" t="n"/>
      <c r="G61" s="96" t="inlineStr">
        <is>
          <t>I1-L1-02</t>
        </is>
      </c>
      <c r="H61" s="97" t="inlineStr">
        <is>
          <t>Rack físico</t>
        </is>
      </c>
      <c r="I61" s="96" t="n"/>
      <c r="J61" s="96" t="n"/>
      <c r="K61" s="98" t="inlineStr">
        <is>
          <t>Bodega 25</t>
        </is>
      </c>
      <c r="L61" s="84" t="n"/>
      <c r="M61" s="84" t="n"/>
      <c r="N61" s="84" t="n"/>
      <c r="O61" s="84" t="n"/>
      <c r="P61" s="84" t="n"/>
      <c r="Q61" s="84" t="n"/>
      <c r="R61" s="84" t="n"/>
      <c r="S61" s="102" t="n"/>
      <c r="T61" s="102" t="n"/>
      <c r="U61" s="102" t="n"/>
      <c r="V61" s="102" t="n"/>
      <c r="W61" s="102" t="n"/>
      <c r="X61" s="102" t="n"/>
      <c r="Y61" s="102" t="n"/>
      <c r="Z61" s="102" t="n"/>
      <c r="AA61" s="102" t="n"/>
      <c r="AB61" s="102" t="n"/>
      <c r="AC61" s="102">
        <f>IFERROR(__xludf.DUMMYFUNCTION("""COMPUTED_VALUE"""),"29 x 34")</f>
        <v/>
      </c>
      <c r="AD61" s="102">
        <f>IFERROR(__xludf.DUMMYFUNCTION("""COMPUTED_VALUE"""),"29W / 34L")</f>
        <v/>
      </c>
    </row>
    <row r="62" ht="16.5" customHeight="1" s="176">
      <c r="A62" s="116" t="inlineStr">
        <is>
          <t>Calcet</t>
        </is>
      </c>
      <c r="B62" s="116" t="inlineStr">
        <is>
          <t>Calcetines</t>
        </is>
      </c>
      <c r="C62" s="116" t="inlineStr">
        <is>
          <t>Ropa</t>
        </is>
      </c>
      <c r="D62" s="107" t="n"/>
      <c r="E62" s="107" t="n"/>
      <c r="F62" s="84" t="n"/>
      <c r="G62" s="96" t="inlineStr">
        <is>
          <t>I1-L2-01</t>
        </is>
      </c>
      <c r="H62" s="97" t="inlineStr">
        <is>
          <t>Rack físico</t>
        </is>
      </c>
      <c r="I62" s="96" t="n"/>
      <c r="J62" s="96" t="n"/>
      <c r="K62" s="98" t="inlineStr">
        <is>
          <t>Bodega 25</t>
        </is>
      </c>
      <c r="L62" s="84" t="n"/>
      <c r="M62" s="84" t="n"/>
      <c r="N62" s="84" t="n"/>
      <c r="O62" s="84" t="n"/>
      <c r="P62" s="84" t="n"/>
      <c r="Q62" s="84" t="n"/>
      <c r="R62" s="84" t="n"/>
      <c r="S62" s="102" t="n"/>
      <c r="T62" s="102" t="n"/>
      <c r="U62" s="102" t="n"/>
      <c r="V62" s="102" t="n"/>
      <c r="W62" s="102" t="n"/>
      <c r="X62" s="102" t="n"/>
      <c r="Y62" s="102" t="n"/>
      <c r="Z62" s="102" t="n"/>
      <c r="AA62" s="102" t="n"/>
      <c r="AB62" s="102" t="n"/>
      <c r="AC62" s="102">
        <f>IFERROR(__xludf.DUMMYFUNCTION("""COMPUTED_VALUE"""),"30 x 34")</f>
        <v/>
      </c>
      <c r="AD62" s="102">
        <f>IFERROR(__xludf.DUMMYFUNCTION("""COMPUTED_VALUE"""),"30W / 34L")</f>
        <v/>
      </c>
    </row>
    <row r="63" ht="16.5" customHeight="1" s="176">
      <c r="A63" s="116" t="inlineStr">
        <is>
          <t>Camisa</t>
        </is>
      </c>
      <c r="B63" s="116" t="inlineStr">
        <is>
          <t>Camisas</t>
        </is>
      </c>
      <c r="C63" s="116" t="inlineStr">
        <is>
          <t>Ropa</t>
        </is>
      </c>
      <c r="D63" s="107" t="n"/>
      <c r="E63" s="107" t="n"/>
      <c r="F63" s="84" t="n"/>
      <c r="G63" s="96" t="inlineStr">
        <is>
          <t>I1-L2-02</t>
        </is>
      </c>
      <c r="H63" s="97" t="inlineStr">
        <is>
          <t>Rack físico</t>
        </is>
      </c>
      <c r="I63" s="96" t="n"/>
      <c r="J63" s="96" t="n"/>
      <c r="K63" s="98" t="inlineStr">
        <is>
          <t>Bodega 25</t>
        </is>
      </c>
      <c r="L63" s="84" t="n"/>
      <c r="M63" s="84" t="n"/>
      <c r="N63" s="84" t="n"/>
      <c r="O63" s="84" t="n"/>
      <c r="P63" s="84" t="n"/>
      <c r="Q63" s="84" t="n"/>
      <c r="R63" s="84" t="n"/>
      <c r="S63" s="102" t="n"/>
      <c r="T63" s="102" t="n"/>
      <c r="U63" s="102" t="n"/>
      <c r="V63" s="102" t="n"/>
      <c r="W63" s="102" t="n"/>
      <c r="X63" s="102" t="n"/>
      <c r="Y63" s="102" t="n"/>
      <c r="Z63" s="102" t="n"/>
      <c r="AA63" s="102" t="n"/>
      <c r="AB63" s="102" t="n"/>
      <c r="AC63" s="102">
        <f>IFERROR(__xludf.DUMMYFUNCTION("""COMPUTED_VALUE"""),"31 x 34")</f>
        <v/>
      </c>
      <c r="AD63" s="102">
        <f>IFERROR(__xludf.DUMMYFUNCTION("""COMPUTED_VALUE"""),"31W / 34L")</f>
        <v/>
      </c>
    </row>
    <row r="64" ht="16.5" customHeight="1" s="176">
      <c r="A64" s="116" t="inlineStr">
        <is>
          <t>Sobrecamisa</t>
        </is>
      </c>
      <c r="B64" s="116" t="inlineStr">
        <is>
          <t>Camisas</t>
        </is>
      </c>
      <c r="C64" s="116" t="inlineStr">
        <is>
          <t>Ropa</t>
        </is>
      </c>
      <c r="D64" s="107" t="n"/>
      <c r="E64" s="107" t="n"/>
      <c r="F64" s="84" t="n"/>
      <c r="G64" s="96" t="inlineStr">
        <is>
          <t>J1-L2-01</t>
        </is>
      </c>
      <c r="H64" s="97" t="inlineStr">
        <is>
          <t>Rack físico</t>
        </is>
      </c>
      <c r="I64" s="96" t="n"/>
      <c r="J64" s="96" t="n"/>
      <c r="K64" s="98" t="inlineStr">
        <is>
          <t>Bodega 25</t>
        </is>
      </c>
      <c r="L64" s="84" t="n"/>
      <c r="M64" s="84" t="n"/>
      <c r="N64" s="84" t="n"/>
      <c r="O64" s="84" t="n"/>
      <c r="P64" s="84" t="n"/>
      <c r="Q64" s="84" t="n"/>
      <c r="R64" s="84" t="n"/>
      <c r="S64" s="102" t="n"/>
      <c r="T64" s="102" t="n"/>
      <c r="U64" s="102" t="n"/>
      <c r="V64" s="102" t="n"/>
      <c r="W64" s="102" t="n"/>
      <c r="X64" s="102" t="n"/>
      <c r="Y64" s="102" t="n"/>
      <c r="Z64" s="102" t="n"/>
      <c r="AA64" s="102" t="n"/>
      <c r="AB64" s="102" t="n"/>
      <c r="AC64" s="102">
        <f>IFERROR(__xludf.DUMMYFUNCTION("""COMPUTED_VALUE"""),"32 x 34")</f>
        <v/>
      </c>
      <c r="AD64" s="102">
        <f>IFERROR(__xludf.DUMMYFUNCTION("""COMPUTED_VALUE"""),"32W / 34L")</f>
        <v/>
      </c>
    </row>
    <row r="65" ht="16.5" customHeight="1" s="176">
      <c r="A65" s="116" t="inlineStr">
        <is>
          <t>Chaleco</t>
        </is>
      </c>
      <c r="B65" s="116" t="inlineStr">
        <is>
          <t>Chalecos</t>
        </is>
      </c>
      <c r="C65" s="116" t="inlineStr">
        <is>
          <t>Ropa</t>
        </is>
      </c>
      <c r="D65" s="107" t="n"/>
      <c r="E65" s="107" t="n"/>
      <c r="F65" s="84" t="n"/>
      <c r="G65" s="96" t="inlineStr">
        <is>
          <t>J1-L2-02</t>
        </is>
      </c>
      <c r="H65" s="97" t="inlineStr">
        <is>
          <t>Rack físico</t>
        </is>
      </c>
      <c r="I65" s="96" t="n"/>
      <c r="J65" s="96" t="n"/>
      <c r="K65" s="98" t="inlineStr">
        <is>
          <t>Bodega 25</t>
        </is>
      </c>
      <c r="L65" s="84" t="n"/>
      <c r="M65" s="84" t="n"/>
      <c r="N65" s="84" t="n"/>
      <c r="O65" s="84" t="n"/>
      <c r="P65" s="84" t="n"/>
      <c r="Q65" s="84" t="n"/>
      <c r="R65" s="84" t="n"/>
      <c r="S65" s="102" t="n"/>
      <c r="T65" s="102" t="n"/>
      <c r="U65" s="102" t="n"/>
      <c r="V65" s="102" t="n"/>
      <c r="W65" s="102" t="n"/>
      <c r="X65" s="102" t="n"/>
      <c r="Y65" s="102" t="n"/>
      <c r="Z65" s="102" t="n"/>
      <c r="AA65" s="102" t="n"/>
      <c r="AB65" s="102" t="n"/>
      <c r="AC65" s="102">
        <f>IFERROR(__xludf.DUMMYFUNCTION("""COMPUTED_VALUE"""),"33 x 34")</f>
        <v/>
      </c>
      <c r="AD65" s="102">
        <f>IFERROR(__xludf.DUMMYFUNCTION("""COMPUTED_VALUE"""),"33W / 34L")</f>
        <v/>
      </c>
    </row>
    <row r="66" ht="16.5" customHeight="1" s="176">
      <c r="A66" s="116" t="inlineStr">
        <is>
          <t>Chamarra</t>
        </is>
      </c>
      <c r="B66" s="116" t="inlineStr">
        <is>
          <t>Chamarras</t>
        </is>
      </c>
      <c r="C66" s="116" t="inlineStr">
        <is>
          <t>Ropa</t>
        </is>
      </c>
      <c r="D66" s="107" t="n"/>
      <c r="E66" s="107" t="n"/>
      <c r="F66" s="84" t="n"/>
      <c r="G66" s="84" t="n"/>
      <c r="H66" s="117" t="n"/>
      <c r="I66" s="118" t="n"/>
      <c r="J66" s="118" t="n"/>
      <c r="K66" s="98" t="n"/>
      <c r="L66" s="84" t="n"/>
      <c r="M66" s="84" t="n"/>
      <c r="N66" s="84" t="n"/>
      <c r="O66" s="84" t="n"/>
      <c r="P66" s="84" t="n"/>
      <c r="Q66" s="84" t="n"/>
      <c r="R66" s="84" t="n"/>
      <c r="S66" s="102" t="n"/>
      <c r="T66" s="102" t="n"/>
      <c r="U66" s="102" t="n"/>
      <c r="V66" s="102" t="n"/>
      <c r="W66" s="102" t="n"/>
      <c r="X66" s="102" t="n"/>
      <c r="Y66" s="102" t="n"/>
      <c r="Z66" s="102" t="n"/>
      <c r="AA66" s="102" t="n"/>
      <c r="AB66" s="102" t="n"/>
      <c r="AC66" s="102">
        <f>IFERROR(__xludf.DUMMYFUNCTION("""COMPUTED_VALUE"""),"34 x 34")</f>
        <v/>
      </c>
      <c r="AD66" s="102">
        <f>IFERROR(__xludf.DUMMYFUNCTION("""COMPUTED_VALUE"""),"34W / 34L")</f>
        <v/>
      </c>
    </row>
    <row r="67" ht="16.5" customHeight="1" s="176">
      <c r="A67" s="116" t="inlineStr">
        <is>
          <t>Falda</t>
        </is>
      </c>
      <c r="B67" s="116" t="inlineStr">
        <is>
          <t>Faldas</t>
        </is>
      </c>
      <c r="C67" s="116" t="inlineStr">
        <is>
          <t>Ropa</t>
        </is>
      </c>
      <c r="D67" s="107" t="n"/>
      <c r="E67" s="107" t="n"/>
      <c r="F67" s="84" t="n"/>
      <c r="G67" s="84" t="n"/>
      <c r="H67" s="117" t="n"/>
      <c r="I67" s="118" t="n"/>
      <c r="J67" s="118" t="n"/>
      <c r="K67" s="98" t="n"/>
      <c r="L67" s="84" t="n"/>
      <c r="M67" s="84" t="n"/>
      <c r="N67" s="84" t="n"/>
      <c r="O67" s="84" t="n"/>
      <c r="P67" s="84" t="n"/>
      <c r="Q67" s="84" t="n"/>
      <c r="R67" s="84" t="n"/>
      <c r="S67" s="102" t="n"/>
      <c r="T67" s="102" t="n"/>
      <c r="U67" s="102" t="n"/>
      <c r="V67" s="102" t="n"/>
      <c r="W67" s="102" t="n"/>
      <c r="X67" s="102" t="n"/>
      <c r="Y67" s="102" t="n"/>
      <c r="Z67" s="102" t="n"/>
      <c r="AA67" s="102" t="n"/>
      <c r="AB67" s="102" t="n"/>
      <c r="AC67" s="102">
        <f>IFERROR(__xludf.DUMMYFUNCTION("""COMPUTED_VALUE"""),"35 x 34")</f>
        <v/>
      </c>
      <c r="AD67" s="102">
        <f>IFERROR(__xludf.DUMMYFUNCTION("""COMPUTED_VALUE"""),"35W / 34L")</f>
        <v/>
      </c>
    </row>
    <row r="68" ht="16.5" customHeight="1" s="176">
      <c r="A68" s="116" t="inlineStr">
        <is>
          <t>Jumpsuit</t>
        </is>
      </c>
      <c r="B68" s="116" t="inlineStr">
        <is>
          <t>Jumpsuits</t>
        </is>
      </c>
      <c r="C68" s="116" t="inlineStr">
        <is>
          <t>Ropa</t>
        </is>
      </c>
      <c r="D68" s="107" t="n"/>
      <c r="E68" s="107" t="n"/>
      <c r="F68" s="84" t="n"/>
      <c r="G68" s="84" t="n"/>
      <c r="H68" s="117" t="n"/>
      <c r="I68" s="118" t="n"/>
      <c r="J68" s="118" t="n"/>
      <c r="K68" s="98" t="n"/>
      <c r="L68" s="84" t="n"/>
      <c r="M68" s="84" t="n"/>
      <c r="N68" s="84" t="n"/>
      <c r="O68" s="84" t="n"/>
      <c r="P68" s="84" t="n"/>
      <c r="Q68" s="84" t="n"/>
      <c r="R68" s="84" t="n"/>
      <c r="S68" s="102" t="n"/>
      <c r="T68" s="102" t="n"/>
      <c r="U68" s="102" t="n"/>
      <c r="V68" s="102" t="n"/>
      <c r="W68" s="102" t="n"/>
      <c r="X68" s="102" t="n"/>
      <c r="Y68" s="102" t="n"/>
      <c r="Z68" s="102" t="n"/>
      <c r="AA68" s="102" t="n"/>
      <c r="AB68" s="102" t="n"/>
      <c r="AC68" s="102">
        <f>IFERROR(__xludf.DUMMYFUNCTION("""COMPUTED_VALUE"""),"36 x 34")</f>
        <v/>
      </c>
      <c r="AD68" s="102">
        <f>IFERROR(__xludf.DUMMYFUNCTION("""COMPUTED_VALUE"""),"36W / 34L")</f>
        <v/>
      </c>
    </row>
    <row r="69" ht="16.5" customHeight="1" s="176">
      <c r="A69" s="116" t="inlineStr">
        <is>
          <t>Pantalón</t>
        </is>
      </c>
      <c r="B69" s="116" t="inlineStr">
        <is>
          <t>Pantalones</t>
        </is>
      </c>
      <c r="C69" s="116" t="inlineStr">
        <is>
          <t>Ropa</t>
        </is>
      </c>
      <c r="D69" s="107" t="n"/>
      <c r="E69" s="107" t="n"/>
      <c r="F69" s="84" t="n"/>
      <c r="G69" s="84" t="n"/>
      <c r="H69" s="117" t="n"/>
      <c r="I69" s="118" t="n"/>
      <c r="J69" s="118" t="n"/>
      <c r="K69" s="98" t="n"/>
      <c r="L69" s="84" t="n"/>
      <c r="M69" s="84" t="n"/>
      <c r="N69" s="84" t="n"/>
      <c r="O69" s="84" t="n"/>
      <c r="P69" s="84" t="n"/>
      <c r="Q69" s="84" t="n"/>
      <c r="R69" s="84" t="n"/>
      <c r="S69" s="102" t="n"/>
      <c r="T69" s="102" t="n"/>
      <c r="U69" s="102" t="n"/>
      <c r="V69" s="102" t="n"/>
      <c r="W69" s="102" t="n"/>
      <c r="X69" s="102" t="n"/>
      <c r="Y69" s="102" t="n"/>
      <c r="Z69" s="102" t="n"/>
      <c r="AA69" s="102" t="n"/>
      <c r="AB69" s="102" t="n"/>
      <c r="AC69" s="102">
        <f>IFERROR(__xludf.DUMMYFUNCTION("""COMPUTED_VALUE"""),"38 x 34")</f>
        <v/>
      </c>
      <c r="AD69" s="102">
        <f>IFERROR(__xludf.DUMMYFUNCTION("""COMPUTED_VALUE"""),"38W / 34L")</f>
        <v/>
      </c>
    </row>
    <row r="70" ht="16.5" customHeight="1" s="176">
      <c r="A70" s="116" t="inlineStr">
        <is>
          <t>Pijama</t>
        </is>
      </c>
      <c r="B70" s="116" t="inlineStr">
        <is>
          <t>Pijamas</t>
        </is>
      </c>
      <c r="C70" s="116" t="inlineStr">
        <is>
          <t>Ropa</t>
        </is>
      </c>
      <c r="D70" s="107" t="n"/>
      <c r="E70" s="107" t="n"/>
      <c r="F70" s="84" t="n"/>
      <c r="G70" s="84" t="n"/>
      <c r="H70" s="117" t="n"/>
      <c r="I70" s="118" t="n"/>
      <c r="J70" s="118" t="n"/>
      <c r="K70" s="98" t="n"/>
      <c r="L70" s="84" t="n"/>
      <c r="M70" s="84" t="n"/>
      <c r="N70" s="84" t="n"/>
      <c r="O70" s="84" t="n"/>
      <c r="P70" s="84" t="n"/>
      <c r="Q70" s="84" t="n"/>
      <c r="R70" s="84" t="n"/>
      <c r="S70" s="102" t="n"/>
      <c r="T70" s="102" t="n"/>
      <c r="U70" s="102" t="n"/>
      <c r="V70" s="102" t="n"/>
      <c r="W70" s="102" t="n"/>
      <c r="X70" s="102" t="n"/>
      <c r="Y70" s="102" t="n"/>
      <c r="Z70" s="102" t="n"/>
      <c r="AA70" s="102" t="n"/>
      <c r="AB70" s="102" t="n"/>
      <c r="AC70" s="102">
        <f>IFERROR(__xludf.DUMMYFUNCTION("""COMPUTED_VALUE"""),"40 x 34")</f>
        <v/>
      </c>
      <c r="AD70" s="102">
        <f>IFERROR(__xludf.DUMMYFUNCTION("""COMPUTED_VALUE"""),"40W / 34L")</f>
        <v/>
      </c>
    </row>
    <row r="71" ht="16.5" customHeight="1" s="176">
      <c r="A71" s="116" t="inlineStr">
        <is>
          <t>Playera</t>
        </is>
      </c>
      <c r="B71" s="116" t="inlineStr">
        <is>
          <t>Playeras</t>
        </is>
      </c>
      <c r="C71" s="116" t="inlineStr">
        <is>
          <t>Ropa</t>
        </is>
      </c>
      <c r="D71" s="107" t="n"/>
      <c r="E71" s="107" t="n"/>
      <c r="F71" s="84" t="n"/>
      <c r="G71" s="84" t="n"/>
      <c r="H71" s="117" t="n"/>
      <c r="I71" s="118" t="n"/>
      <c r="J71" s="118" t="n"/>
      <c r="K71" s="98" t="n"/>
      <c r="L71" s="84" t="n"/>
      <c r="M71" s="84" t="n"/>
      <c r="N71" s="84" t="n"/>
      <c r="O71" s="84" t="n"/>
      <c r="P71" s="84" t="n"/>
      <c r="Q71" s="84" t="n"/>
      <c r="R71" s="84" t="n"/>
      <c r="S71" s="102" t="n"/>
      <c r="T71" s="102" t="n"/>
      <c r="U71" s="102" t="n"/>
      <c r="V71" s="102" t="n"/>
      <c r="W71" s="102" t="n"/>
      <c r="X71" s="102" t="n"/>
      <c r="Y71" s="102" t="n"/>
      <c r="Z71" s="102" t="n"/>
      <c r="AA71" s="102" t="n"/>
      <c r="AB71" s="102" t="n"/>
      <c r="AC71" s="102">
        <f>IFERROR(__xludf.DUMMYFUNCTION("""COMPUTED_VALUE"""),"42 x 34")</f>
        <v/>
      </c>
      <c r="AD71" s="102">
        <f>IFERROR(__xludf.DUMMYFUNCTION("""COMPUTED_VALUE"""),"42W / 34L")</f>
        <v/>
      </c>
    </row>
    <row r="72" ht="16.5" customHeight="1" s="176">
      <c r="A72" s="116" t="inlineStr">
        <is>
          <t>Short</t>
        </is>
      </c>
      <c r="B72" s="116" t="inlineStr">
        <is>
          <t>Shorts</t>
        </is>
      </c>
      <c r="C72" s="116" t="inlineStr">
        <is>
          <t>Ropa</t>
        </is>
      </c>
      <c r="D72" s="107" t="n"/>
      <c r="E72" s="107" t="n"/>
      <c r="F72" s="84" t="n"/>
      <c r="G72" s="84" t="n"/>
      <c r="H72" s="117" t="n"/>
      <c r="I72" s="118" t="n"/>
      <c r="J72" s="118" t="n"/>
      <c r="K72" s="98" t="n"/>
      <c r="L72" s="84" t="n"/>
      <c r="M72" s="84" t="n"/>
      <c r="N72" s="84" t="n"/>
      <c r="O72" s="84" t="n"/>
      <c r="P72" s="84" t="n"/>
      <c r="Q72" s="84" t="n"/>
      <c r="R72" s="84" t="n"/>
      <c r="S72" s="102" t="n"/>
      <c r="T72" s="102" t="n"/>
      <c r="U72" s="102" t="n"/>
      <c r="V72" s="102" t="n"/>
      <c r="W72" s="102" t="n"/>
      <c r="X72" s="102" t="n"/>
      <c r="Y72" s="102" t="n"/>
      <c r="Z72" s="102" t="n"/>
      <c r="AA72" s="102" t="n"/>
      <c r="AB72" s="102" t="n"/>
      <c r="AC72" s="102">
        <f>IFERROR(__xludf.DUMMYFUNCTION("""COMPUTED_VALUE"""),"44 x 34")</f>
        <v/>
      </c>
      <c r="AD72" s="102">
        <f>IFERROR(__xludf.DUMMYFUNCTION("""COMPUTED_VALUE"""),"44W / 34L")</f>
        <v/>
      </c>
    </row>
    <row r="73" ht="16.5" customHeight="1" s="176">
      <c r="A73" s="116" t="inlineStr">
        <is>
          <t>Sudadera</t>
        </is>
      </c>
      <c r="B73" s="116" t="inlineStr">
        <is>
          <t>Sudaderas</t>
        </is>
      </c>
      <c r="C73" s="116" t="inlineStr">
        <is>
          <t>Ropa</t>
        </is>
      </c>
      <c r="D73" s="107" t="n"/>
      <c r="E73" s="107" t="n"/>
      <c r="F73" s="84" t="n"/>
      <c r="G73" s="84" t="n"/>
      <c r="H73" s="117" t="n"/>
      <c r="I73" s="118" t="n"/>
      <c r="J73" s="118" t="n"/>
      <c r="K73" s="98" t="n"/>
      <c r="L73" s="84" t="n"/>
      <c r="M73" s="84" t="n"/>
      <c r="N73" s="84" t="n"/>
      <c r="O73" s="84" t="n"/>
      <c r="P73" s="84" t="n"/>
      <c r="Q73" s="84" t="n"/>
      <c r="R73" s="84" t="n"/>
      <c r="S73" s="102" t="n"/>
      <c r="T73" s="102" t="n"/>
      <c r="U73" s="102" t="n"/>
      <c r="V73" s="102" t="n"/>
      <c r="W73" s="102" t="n"/>
      <c r="X73" s="102" t="n"/>
      <c r="Y73" s="102" t="n"/>
      <c r="Z73" s="102" t="n"/>
      <c r="AA73" s="102" t="n"/>
      <c r="AB73" s="102" t="n"/>
      <c r="AC73" s="102">
        <f>IFERROR(__xludf.DUMMYFUNCTION("""COMPUTED_VALUE"""),"46 x 34")</f>
        <v/>
      </c>
      <c r="AD73" s="102">
        <f>IFERROR(__xludf.DUMMYFUNCTION("""COMPUTED_VALUE"""),"46W / 34L")</f>
        <v/>
      </c>
    </row>
    <row r="74" ht="16.5" customHeight="1" s="176">
      <c r="A74" s="116" t="inlineStr">
        <is>
          <t>Suéter</t>
        </is>
      </c>
      <c r="B74" s="116" t="inlineStr">
        <is>
          <t>Sueteres</t>
        </is>
      </c>
      <c r="C74" s="116" t="inlineStr">
        <is>
          <t>Ropa</t>
        </is>
      </c>
      <c r="D74" s="107" t="n"/>
      <c r="E74" s="107" t="n"/>
      <c r="F74" s="84" t="n"/>
      <c r="G74" s="84" t="n"/>
      <c r="H74" s="117" t="n"/>
      <c r="I74" s="118" t="n"/>
      <c r="J74" s="118" t="n"/>
      <c r="K74" s="98" t="n"/>
      <c r="L74" s="84" t="n"/>
      <c r="M74" s="84" t="n"/>
      <c r="N74" s="84" t="n"/>
      <c r="O74" s="84" t="n"/>
      <c r="P74" s="84" t="n"/>
      <c r="Q74" s="84" t="n"/>
      <c r="R74" s="84" t="n"/>
      <c r="S74" s="102" t="n"/>
      <c r="T74" s="102" t="n"/>
      <c r="U74" s="102" t="n"/>
      <c r="V74" s="102" t="n"/>
      <c r="W74" s="102" t="n"/>
      <c r="X74" s="102" t="n"/>
      <c r="Y74" s="102" t="n"/>
      <c r="Z74" s="102" t="n"/>
      <c r="AA74" s="102" t="n"/>
      <c r="AB74" s="102" t="n"/>
      <c r="AC74" s="102">
        <f>IFERROR(__xludf.DUMMYFUNCTION("""COMPUTED_VALUE"""),"48 x 34")</f>
        <v/>
      </c>
      <c r="AD74" s="102">
        <f>IFERROR(__xludf.DUMMYFUNCTION("""COMPUTED_VALUE"""),"48W / 34L")</f>
        <v/>
      </c>
    </row>
    <row r="75" ht="16.5" customHeight="1" s="176">
      <c r="A75" s="116" t="inlineStr">
        <is>
          <t>Sueter</t>
        </is>
      </c>
      <c r="B75" s="116" t="inlineStr">
        <is>
          <t>Sueteres</t>
        </is>
      </c>
      <c r="C75" s="116" t="inlineStr">
        <is>
          <t>Ropa</t>
        </is>
      </c>
      <c r="D75" s="107" t="n"/>
      <c r="E75" s="107" t="n"/>
      <c r="F75" s="84" t="n"/>
      <c r="G75" s="84" t="n"/>
      <c r="H75" s="117" t="n"/>
      <c r="I75" s="118" t="n"/>
      <c r="J75" s="118" t="n"/>
      <c r="K75" s="98" t="n"/>
      <c r="L75" s="84" t="n"/>
      <c r="M75" s="84" t="n"/>
      <c r="N75" s="84" t="n"/>
      <c r="O75" s="84" t="n"/>
      <c r="P75" s="84" t="n"/>
      <c r="Q75" s="84" t="n"/>
      <c r="R75" s="84" t="n"/>
      <c r="S75" s="102" t="n"/>
      <c r="T75" s="102" t="n"/>
      <c r="U75" s="102" t="n"/>
      <c r="V75" s="102" t="n"/>
      <c r="W75" s="102" t="n"/>
      <c r="X75" s="102" t="n"/>
      <c r="Y75" s="102" t="n"/>
      <c r="Z75" s="102" t="n"/>
      <c r="AA75" s="102" t="n"/>
      <c r="AB75" s="102" t="n"/>
      <c r="AC75" s="102">
        <f>IFERROR(__xludf.DUMMYFUNCTION("""COMPUTED_VALUE"""),"50 x 34")</f>
        <v/>
      </c>
      <c r="AD75" s="102">
        <f>IFERROR(__xludf.DUMMYFUNCTION("""COMPUTED_VALUE"""),"50W / 34L")</f>
        <v/>
      </c>
    </row>
    <row r="76" ht="16.5" customHeight="1" s="176">
      <c r="A76" s="116" t="inlineStr">
        <is>
          <t>Vestido</t>
        </is>
      </c>
      <c r="B76" s="116" t="inlineStr">
        <is>
          <t>Vestidos</t>
        </is>
      </c>
      <c r="C76" s="116" t="inlineStr">
        <is>
          <t>Ropa</t>
        </is>
      </c>
      <c r="D76" s="107" t="n"/>
      <c r="E76" s="107" t="n"/>
      <c r="F76" s="84" t="n"/>
      <c r="G76" s="84" t="n"/>
      <c r="H76" s="117" t="n"/>
      <c r="I76" s="118" t="n"/>
      <c r="J76" s="118" t="n"/>
      <c r="K76" s="98" t="n"/>
      <c r="L76" s="84" t="n"/>
      <c r="M76" s="84" t="n"/>
      <c r="N76" s="84" t="n"/>
      <c r="O76" s="84" t="n"/>
      <c r="P76" s="84" t="n"/>
      <c r="Q76" s="84" t="n"/>
      <c r="R76" s="84" t="n"/>
      <c r="S76" s="102" t="n"/>
      <c r="T76" s="102" t="n"/>
      <c r="U76" s="102" t="n"/>
      <c r="V76" s="102" t="n"/>
      <c r="W76" s="102" t="n"/>
      <c r="X76" s="102" t="n"/>
      <c r="Y76" s="102" t="n"/>
      <c r="Z76" s="102" t="n"/>
      <c r="AA76" s="102" t="n"/>
      <c r="AB76" s="102" t="n"/>
      <c r="AC76" s="102">
        <f>IFERROR(__xludf.DUMMYFUNCTION("""COMPUTED_VALUE"""),"29 x 36")</f>
        <v/>
      </c>
      <c r="AD76" s="102">
        <f>IFERROR(__xludf.DUMMYFUNCTION("""COMPUTED_VALUE"""),"29W / 36L")</f>
        <v/>
      </c>
    </row>
    <row r="77" ht="9.75" customHeight="1" s="176">
      <c r="A77" s="107" t="n"/>
      <c r="B77" s="107" t="n"/>
      <c r="C77" s="107" t="n"/>
      <c r="D77" s="107" t="n"/>
      <c r="E77" s="107" t="n"/>
      <c r="F77" s="84" t="n"/>
      <c r="G77" s="84" t="n"/>
      <c r="H77" s="117" t="n"/>
      <c r="I77" s="118" t="n"/>
      <c r="J77" s="118" t="n"/>
      <c r="K77" s="98" t="n"/>
      <c r="L77" s="84" t="n"/>
      <c r="M77" s="84" t="n"/>
      <c r="N77" s="84" t="n"/>
      <c r="O77" s="84" t="n"/>
      <c r="P77" s="84" t="n"/>
      <c r="Q77" s="84" t="n"/>
      <c r="R77" s="84" t="n"/>
      <c r="S77" s="102" t="n"/>
      <c r="T77" s="102" t="n"/>
      <c r="U77" s="102" t="n"/>
      <c r="V77" s="102" t="n"/>
      <c r="W77" s="102" t="n"/>
      <c r="X77" s="102" t="n"/>
      <c r="Y77" s="102" t="n"/>
      <c r="Z77" s="102" t="n"/>
      <c r="AA77" s="102" t="n"/>
      <c r="AB77" s="102" t="n"/>
      <c r="AC77" s="102">
        <f>IFERROR(__xludf.DUMMYFUNCTION("""COMPUTED_VALUE"""),"30 x 36")</f>
        <v/>
      </c>
      <c r="AD77" s="102">
        <f>IFERROR(__xludf.DUMMYFUNCTION("""COMPUTED_VALUE"""),"30W / 36L")</f>
        <v/>
      </c>
    </row>
    <row r="78" ht="21.75" customHeight="1" s="176">
      <c r="A78" s="86" t="inlineStr">
        <is>
          <t>3. CATEGORÍAS — DIVISIÓN Y FAMILIA DE TALLA</t>
        </is>
      </c>
      <c r="B78" s="86" t="n"/>
      <c r="C78" s="86" t="n"/>
      <c r="D78" s="86" t="n"/>
      <c r="E78" s="108" t="inlineStr">
        <is>
          <t>↑ Volver al índice</t>
        </is>
      </c>
      <c r="F78" s="84" t="n"/>
      <c r="G78" s="84" t="n"/>
      <c r="H78" s="117" t="n"/>
      <c r="I78" s="118" t="n"/>
      <c r="J78" s="118" t="n"/>
      <c r="K78" s="98" t="n"/>
      <c r="L78" s="84" t="n"/>
      <c r="M78" s="84" t="n"/>
      <c r="N78" s="84" t="n"/>
      <c r="O78" s="84" t="n"/>
      <c r="P78" s="84" t="n"/>
      <c r="Q78" s="84" t="n"/>
      <c r="R78" s="84" t="n"/>
      <c r="S78" s="102" t="n"/>
      <c r="T78" s="102" t="n"/>
      <c r="U78" s="102" t="n"/>
      <c r="V78" s="102" t="n"/>
      <c r="W78" s="102" t="n"/>
      <c r="X78" s="102" t="n"/>
      <c r="Y78" s="102" t="n"/>
      <c r="Z78" s="102" t="n"/>
      <c r="AA78" s="102" t="n"/>
      <c r="AB78" s="102" t="n"/>
      <c r="AC78" s="102">
        <f>IFERROR(__xludf.DUMMYFUNCTION("""COMPUTED_VALUE"""),"31 x 36")</f>
        <v/>
      </c>
      <c r="AD78" s="102">
        <f>IFERROR(__xludf.DUMMYFUNCTION("""COMPUTED_VALUE"""),"31W / 36L")</f>
        <v/>
      </c>
    </row>
    <row r="79" ht="15.75" customHeight="1" s="176">
      <c r="A79" s="115" t="inlineStr">
        <is>
          <t>Cualquier artículo de Niño/Niña usa la familia Talla Niño, sin importar la categoría. Esta lista alimenta el desplegable WB Categoría.</t>
        </is>
      </c>
      <c r="B79" s="107" t="n"/>
      <c r="C79" s="107" t="n"/>
      <c r="D79" s="107" t="n"/>
      <c r="E79" s="107" t="n"/>
      <c r="F79" s="84" t="n"/>
      <c r="G79" s="84" t="n"/>
      <c r="H79" s="117" t="n"/>
      <c r="I79" s="118" t="n"/>
      <c r="J79" s="118" t="n"/>
      <c r="K79" s="98" t="n"/>
      <c r="L79" s="84" t="n"/>
      <c r="M79" s="84" t="n"/>
      <c r="N79" s="84" t="n"/>
      <c r="O79" s="84" t="n"/>
      <c r="P79" s="84" t="n"/>
      <c r="Q79" s="84" t="n"/>
      <c r="R79" s="84" t="n"/>
      <c r="S79" s="102" t="n"/>
      <c r="T79" s="102" t="n"/>
      <c r="U79" s="102" t="n"/>
      <c r="V79" s="102" t="n"/>
      <c r="W79" s="102" t="n"/>
      <c r="X79" s="102" t="n"/>
      <c r="Y79" s="102" t="n"/>
      <c r="Z79" s="102" t="n"/>
      <c r="AA79" s="102" t="n"/>
      <c r="AB79" s="102" t="n"/>
      <c r="AC79" s="102">
        <f>IFERROR(__xludf.DUMMYFUNCTION("""COMPUTED_VALUE"""),"32 x 36")</f>
        <v/>
      </c>
      <c r="AD79" s="102">
        <f>IFERROR(__xludf.DUMMYFUNCTION("""COMPUTED_VALUE"""),"32W / 36L")</f>
        <v/>
      </c>
    </row>
    <row r="80" ht="16.5" customHeight="1" s="176">
      <c r="A80" s="110" t="inlineStr">
        <is>
          <t>Categoría</t>
        </is>
      </c>
      <c r="B80" s="110" t="inlineStr">
        <is>
          <t>División</t>
        </is>
      </c>
      <c r="C80" s="110" t="inlineStr">
        <is>
          <t>Familia de talla (ver sección 8)</t>
        </is>
      </c>
      <c r="D80" s="182" t="n"/>
      <c r="E80" s="183" t="n"/>
      <c r="F80" s="84" t="n"/>
      <c r="G80" s="84" t="n"/>
      <c r="H80" s="117" t="n"/>
      <c r="I80" s="118" t="n"/>
      <c r="J80" s="118" t="n"/>
      <c r="K80" s="98" t="n"/>
      <c r="L80" s="84" t="n"/>
      <c r="M80" s="84" t="n"/>
      <c r="N80" s="84" t="n"/>
      <c r="O80" s="84" t="n"/>
      <c r="P80" s="84" t="n"/>
      <c r="Q80" s="84" t="n"/>
      <c r="R80" s="84" t="n"/>
      <c r="S80" s="102" t="n"/>
      <c r="T80" s="102" t="n"/>
      <c r="U80" s="102" t="n"/>
      <c r="V80" s="102" t="n"/>
      <c r="W80" s="102" t="n"/>
      <c r="X80" s="102" t="n"/>
      <c r="Y80" s="102" t="n"/>
      <c r="Z80" s="102" t="n"/>
      <c r="AA80" s="102" t="n"/>
      <c r="AB80" s="102" t="n"/>
      <c r="AC80" s="102">
        <f>IFERROR(__xludf.DUMMYFUNCTION("""COMPUTED_VALUE"""),"33 x 36")</f>
        <v/>
      </c>
      <c r="AD80" s="102">
        <f>IFERROR(__xludf.DUMMYFUNCTION("""COMPUTED_VALUE"""),"33W / 36L")</f>
        <v/>
      </c>
    </row>
    <row r="81" ht="16.5" customHeight="1" s="176">
      <c r="A81" s="116" t="inlineStr">
        <is>
          <t>Bandanas</t>
        </is>
      </c>
      <c r="B81" s="116" t="inlineStr">
        <is>
          <t>Accesorios</t>
        </is>
      </c>
      <c r="C81" s="116" t="inlineStr">
        <is>
          <t>Talla única</t>
        </is>
      </c>
      <c r="D81" s="182" t="n"/>
      <c r="E81" s="183" t="n"/>
      <c r="F81" s="84" t="n"/>
      <c r="G81" s="84" t="n"/>
      <c r="H81" s="117" t="n"/>
      <c r="I81" s="118" t="n"/>
      <c r="J81" s="118" t="n"/>
      <c r="K81" s="98" t="n"/>
      <c r="L81" s="84" t="n"/>
      <c r="M81" s="84" t="n"/>
      <c r="N81" s="84" t="n"/>
      <c r="O81" s="84" t="n"/>
      <c r="P81" s="84" t="n"/>
      <c r="Q81" s="84" t="n"/>
      <c r="R81" s="84" t="n"/>
      <c r="S81" s="102" t="n"/>
      <c r="T81" s="102" t="n"/>
      <c r="U81" s="102" t="n"/>
      <c r="V81" s="102" t="n"/>
      <c r="W81" s="102" t="n"/>
      <c r="X81" s="102" t="n"/>
      <c r="Y81" s="102" t="n"/>
      <c r="Z81" s="102" t="n"/>
      <c r="AA81" s="102" t="n"/>
      <c r="AB81" s="102" t="n"/>
      <c r="AC81" s="102">
        <f>IFERROR(__xludf.DUMMYFUNCTION("""COMPUTED_VALUE"""),"34 x 36")</f>
        <v/>
      </c>
      <c r="AD81" s="102">
        <f>IFERROR(__xludf.DUMMYFUNCTION("""COMPUTED_VALUE"""),"34W / 36L")</f>
        <v/>
      </c>
    </row>
    <row r="82" ht="16.5" customHeight="1" s="176">
      <c r="A82" s="116" t="inlineStr">
        <is>
          <t>Bolsos</t>
        </is>
      </c>
      <c r="B82" s="116" t="inlineStr">
        <is>
          <t>Accesorios</t>
        </is>
      </c>
      <c r="C82" s="116" t="inlineStr">
        <is>
          <t>Talla única</t>
        </is>
      </c>
      <c r="D82" s="182" t="n"/>
      <c r="E82" s="183" t="n"/>
      <c r="F82" s="84" t="n"/>
      <c r="G82" s="84" t="n"/>
      <c r="H82" s="117" t="n"/>
      <c r="I82" s="118" t="n"/>
      <c r="J82" s="118" t="n"/>
      <c r="K82" s="98" t="n"/>
      <c r="L82" s="84" t="n"/>
      <c r="M82" s="84" t="n"/>
      <c r="N82" s="84" t="n"/>
      <c r="O82" s="84" t="n"/>
      <c r="P82" s="84" t="n"/>
      <c r="Q82" s="84" t="n"/>
      <c r="R82" s="84" t="n"/>
      <c r="S82" s="102" t="n"/>
      <c r="T82" s="102" t="n"/>
      <c r="U82" s="102" t="n"/>
      <c r="V82" s="102" t="n"/>
      <c r="W82" s="102" t="n"/>
      <c r="X82" s="102" t="n"/>
      <c r="Y82" s="102" t="n"/>
      <c r="Z82" s="102" t="n"/>
      <c r="AA82" s="102" t="n"/>
      <c r="AB82" s="102" t="n"/>
      <c r="AC82" s="102">
        <f>IFERROR(__xludf.DUMMYFUNCTION("""COMPUTED_VALUE"""),"35 x 36")</f>
        <v/>
      </c>
      <c r="AD82" s="102">
        <f>IFERROR(__xludf.DUMMYFUNCTION("""COMPUTED_VALUE"""),"35W / 36L")</f>
        <v/>
      </c>
    </row>
    <row r="83" ht="16.5" customHeight="1" s="176">
      <c r="A83" s="116" t="inlineStr">
        <is>
          <t>Botas</t>
        </is>
      </c>
      <c r="B83" s="116" t="inlineStr">
        <is>
          <t>Calzado</t>
        </is>
      </c>
      <c r="C83" s="116" t="inlineStr">
        <is>
          <t>Talla Calzado MX</t>
        </is>
      </c>
      <c r="D83" s="182" t="n"/>
      <c r="E83" s="183" t="n"/>
      <c r="F83" s="84" t="n"/>
      <c r="G83" s="84" t="n"/>
      <c r="H83" s="117" t="n"/>
      <c r="I83" s="118" t="n"/>
      <c r="J83" s="118" t="n"/>
      <c r="K83" s="98" t="n"/>
      <c r="L83" s="84" t="n"/>
      <c r="M83" s="84" t="n"/>
      <c r="N83" s="84" t="n"/>
      <c r="O83" s="84" t="n"/>
      <c r="P83" s="84" t="n"/>
      <c r="Q83" s="84" t="n"/>
      <c r="R83" s="84" t="n"/>
      <c r="S83" s="102" t="n"/>
      <c r="T83" s="102" t="n"/>
      <c r="U83" s="102" t="n"/>
      <c r="V83" s="102" t="n"/>
      <c r="W83" s="102" t="n"/>
      <c r="X83" s="102" t="n"/>
      <c r="Y83" s="102" t="n"/>
      <c r="Z83" s="102" t="n"/>
      <c r="AA83" s="102" t="n"/>
      <c r="AB83" s="102" t="n"/>
      <c r="AC83" s="102">
        <f>IFERROR(__xludf.DUMMYFUNCTION("""COMPUTED_VALUE"""),"36 x 36")</f>
        <v/>
      </c>
      <c r="AD83" s="102">
        <f>IFERROR(__xludf.DUMMYFUNCTION("""COMPUTED_VALUE"""),"36W / 36L")</f>
        <v/>
      </c>
    </row>
    <row r="84" ht="16.5" customHeight="1" s="176">
      <c r="A84" s="116" t="inlineStr">
        <is>
          <t>Bufandas</t>
        </is>
      </c>
      <c r="B84" s="116" t="inlineStr">
        <is>
          <t>Accesorios</t>
        </is>
      </c>
      <c r="C84" s="116" t="inlineStr">
        <is>
          <t>Talla única</t>
        </is>
      </c>
      <c r="D84" s="182" t="n"/>
      <c r="E84" s="183" t="n"/>
      <c r="F84" s="84" t="n"/>
      <c r="G84" s="84" t="n"/>
      <c r="H84" s="117" t="n"/>
      <c r="I84" s="118" t="n"/>
      <c r="J84" s="118" t="n"/>
      <c r="K84" s="98" t="n"/>
      <c r="L84" s="84" t="n"/>
      <c r="M84" s="84" t="n"/>
      <c r="N84" s="84" t="n"/>
      <c r="O84" s="84" t="n"/>
      <c r="P84" s="84" t="n"/>
      <c r="Q84" s="84" t="n"/>
      <c r="R84" s="84" t="n"/>
      <c r="S84" s="102" t="n"/>
      <c r="T84" s="102" t="n"/>
      <c r="U84" s="102" t="n"/>
      <c r="V84" s="102" t="n"/>
      <c r="W84" s="102" t="n"/>
      <c r="X84" s="102" t="n"/>
      <c r="Y84" s="102" t="n"/>
      <c r="Z84" s="102" t="n"/>
      <c r="AA84" s="102" t="n"/>
      <c r="AB84" s="102" t="n"/>
      <c r="AC84" s="102">
        <f>IFERROR(__xludf.DUMMYFUNCTION("""COMPUTED_VALUE"""),"38 x 36")</f>
        <v/>
      </c>
      <c r="AD84" s="102">
        <f>IFERROR(__xludf.DUMMYFUNCTION("""COMPUTED_VALUE"""),"38W / 36L")</f>
        <v/>
      </c>
    </row>
    <row r="85" ht="16.5" customHeight="1" s="176">
      <c r="A85" s="116" t="inlineStr">
        <is>
          <t>Calcetines</t>
        </is>
      </c>
      <c r="B85" s="116" t="inlineStr">
        <is>
          <t>Ropa</t>
        </is>
      </c>
      <c r="C85" s="116" t="inlineStr">
        <is>
          <t>Talla Calcetín</t>
        </is>
      </c>
      <c r="D85" s="182" t="n"/>
      <c r="E85" s="183" t="n"/>
      <c r="F85" s="84" t="n"/>
      <c r="G85" s="84" t="n"/>
      <c r="H85" s="117" t="n"/>
      <c r="I85" s="118" t="n"/>
      <c r="J85" s="118" t="n"/>
      <c r="K85" s="98" t="n"/>
      <c r="L85" s="84" t="n"/>
      <c r="M85" s="84" t="n"/>
      <c r="N85" s="84" t="n"/>
      <c r="O85" s="84" t="n"/>
      <c r="P85" s="84" t="n"/>
      <c r="Q85" s="84" t="n"/>
      <c r="R85" s="84" t="n"/>
      <c r="S85" s="102" t="n"/>
      <c r="T85" s="102" t="n"/>
      <c r="U85" s="102" t="n"/>
      <c r="V85" s="102" t="n"/>
      <c r="W85" s="102" t="n"/>
      <c r="X85" s="102" t="n"/>
      <c r="Y85" s="102" t="n"/>
      <c r="Z85" s="102" t="n"/>
      <c r="AA85" s="102" t="n"/>
      <c r="AB85" s="102" t="n"/>
      <c r="AC85" s="102">
        <f>IFERROR(__xludf.DUMMYFUNCTION("""COMPUTED_VALUE"""),"40 x 36")</f>
        <v/>
      </c>
      <c r="AD85" s="102">
        <f>IFERROR(__xludf.DUMMYFUNCTION("""COMPUTED_VALUE"""),"40W / 36L")</f>
        <v/>
      </c>
    </row>
    <row r="86" ht="16.5" customHeight="1" s="176">
      <c r="A86" s="116" t="inlineStr">
        <is>
          <t>Camisas</t>
        </is>
      </c>
      <c r="B86" s="116" t="inlineStr">
        <is>
          <t>Ropa</t>
        </is>
      </c>
      <c r="C86" s="116" t="inlineStr">
        <is>
          <t>Talla Ropa</t>
        </is>
      </c>
      <c r="D86" s="182" t="n"/>
      <c r="E86" s="183" t="n"/>
      <c r="F86" s="84" t="n"/>
      <c r="G86" s="84" t="n"/>
      <c r="H86" s="117" t="n"/>
      <c r="I86" s="118" t="n"/>
      <c r="J86" s="118" t="n"/>
      <c r="K86" s="98" t="n"/>
      <c r="L86" s="84" t="n"/>
      <c r="M86" s="84" t="n"/>
      <c r="N86" s="84" t="n"/>
      <c r="O86" s="84" t="n"/>
      <c r="P86" s="84" t="n"/>
      <c r="Q86" s="84" t="n"/>
      <c r="R86" s="84" t="n"/>
      <c r="S86" s="102" t="n"/>
      <c r="T86" s="102" t="n"/>
      <c r="U86" s="102" t="n"/>
      <c r="V86" s="102" t="n"/>
      <c r="W86" s="102" t="n"/>
      <c r="X86" s="102" t="n"/>
      <c r="Y86" s="102" t="n"/>
      <c r="Z86" s="102" t="n"/>
      <c r="AA86" s="102" t="n"/>
      <c r="AB86" s="102" t="n"/>
      <c r="AC86" s="102">
        <f>IFERROR(__xludf.DUMMYFUNCTION("""COMPUTED_VALUE"""),"42 x 36")</f>
        <v/>
      </c>
      <c r="AD86" s="102">
        <f>IFERROR(__xludf.DUMMYFUNCTION("""COMPUTED_VALUE"""),"42W / 36L")</f>
        <v/>
      </c>
    </row>
    <row r="87" ht="16.5" customHeight="1" s="176">
      <c r="A87" s="116" t="inlineStr">
        <is>
          <t>Carteras</t>
        </is>
      </c>
      <c r="B87" s="116" t="inlineStr">
        <is>
          <t>Accesorios</t>
        </is>
      </c>
      <c r="C87" s="116" t="inlineStr">
        <is>
          <t>Talla única</t>
        </is>
      </c>
      <c r="D87" s="182" t="n"/>
      <c r="E87" s="183" t="n"/>
      <c r="F87" s="84" t="n"/>
      <c r="G87" s="84" t="n"/>
      <c r="H87" s="117" t="n"/>
      <c r="I87" s="118" t="n"/>
      <c r="J87" s="118" t="n"/>
      <c r="K87" s="98" t="n"/>
      <c r="L87" s="84" t="n"/>
      <c r="M87" s="84" t="n"/>
      <c r="N87" s="84" t="n"/>
      <c r="O87" s="84" t="n"/>
      <c r="P87" s="84" t="n"/>
      <c r="Q87" s="84" t="n"/>
      <c r="R87" s="84" t="n"/>
      <c r="S87" s="102" t="n"/>
      <c r="T87" s="102" t="n"/>
      <c r="U87" s="102" t="n"/>
      <c r="V87" s="102" t="n"/>
      <c r="W87" s="102" t="n"/>
      <c r="X87" s="102" t="n"/>
      <c r="Y87" s="102" t="n"/>
      <c r="Z87" s="102" t="n"/>
      <c r="AA87" s="102" t="n"/>
      <c r="AB87" s="102" t="n"/>
      <c r="AC87" s="102">
        <f>IFERROR(__xludf.DUMMYFUNCTION("""COMPUTED_VALUE"""),"44 x 36")</f>
        <v/>
      </c>
      <c r="AD87" s="102">
        <f>IFERROR(__xludf.DUMMYFUNCTION("""COMPUTED_VALUE"""),"44W / 36L")</f>
        <v/>
      </c>
    </row>
    <row r="88" ht="16.5" customHeight="1" s="176">
      <c r="A88" s="116" t="inlineStr">
        <is>
          <t>Chalecos</t>
        </is>
      </c>
      <c r="B88" s="116" t="inlineStr">
        <is>
          <t>Ropa</t>
        </is>
      </c>
      <c r="C88" s="116" t="inlineStr">
        <is>
          <t>Talla Ropa</t>
        </is>
      </c>
      <c r="D88" s="182" t="n"/>
      <c r="E88" s="183" t="n"/>
      <c r="F88" s="84" t="n"/>
      <c r="G88" s="84" t="n"/>
      <c r="H88" s="117" t="n"/>
      <c r="I88" s="118" t="n"/>
      <c r="J88" s="118" t="n"/>
      <c r="K88" s="98" t="n"/>
      <c r="L88" s="84" t="n"/>
      <c r="M88" s="84" t="n"/>
      <c r="N88" s="84" t="n"/>
      <c r="O88" s="84" t="n"/>
      <c r="P88" s="84" t="n"/>
      <c r="Q88" s="84" t="n"/>
      <c r="R88" s="84" t="n"/>
      <c r="S88" s="102" t="n"/>
      <c r="T88" s="102" t="n"/>
      <c r="U88" s="102" t="n"/>
      <c r="V88" s="102" t="n"/>
      <c r="W88" s="102" t="n"/>
      <c r="X88" s="102" t="n"/>
      <c r="Y88" s="102" t="n"/>
      <c r="Z88" s="102" t="n"/>
      <c r="AA88" s="102" t="n"/>
      <c r="AB88" s="102" t="n"/>
      <c r="AC88" s="102">
        <f>IFERROR(__xludf.DUMMYFUNCTION("""COMPUTED_VALUE"""),"30 x 38")</f>
        <v/>
      </c>
      <c r="AD88" s="102">
        <f>IFERROR(__xludf.DUMMYFUNCTION("""COMPUTED_VALUE"""),"30W / 38L")</f>
        <v/>
      </c>
    </row>
    <row r="89" ht="16.5" customHeight="1" s="176">
      <c r="A89" s="116" t="inlineStr">
        <is>
          <t>Chamarras</t>
        </is>
      </c>
      <c r="B89" s="116" t="inlineStr">
        <is>
          <t>Ropa</t>
        </is>
      </c>
      <c r="C89" s="116" t="inlineStr">
        <is>
          <t>Talla Ropa</t>
        </is>
      </c>
      <c r="D89" s="182" t="n"/>
      <c r="E89" s="183" t="n"/>
      <c r="F89" s="84" t="n"/>
      <c r="G89" s="84" t="n"/>
      <c r="H89" s="117" t="n"/>
      <c r="I89" s="118" t="n"/>
      <c r="J89" s="118" t="n"/>
      <c r="K89" s="98" t="n"/>
      <c r="L89" s="84" t="n"/>
      <c r="M89" s="84" t="n"/>
      <c r="N89" s="84" t="n"/>
      <c r="O89" s="84" t="n"/>
      <c r="P89" s="84" t="n"/>
      <c r="Q89" s="84" t="n"/>
      <c r="R89" s="84" t="n"/>
      <c r="S89" s="102" t="n"/>
      <c r="T89" s="102" t="n"/>
      <c r="U89" s="102" t="n"/>
      <c r="V89" s="102" t="n"/>
      <c r="W89" s="102" t="n"/>
      <c r="X89" s="102" t="n"/>
      <c r="Y89" s="102" t="n"/>
      <c r="Z89" s="102" t="n"/>
      <c r="AA89" s="102" t="n"/>
      <c r="AB89" s="102" t="n"/>
      <c r="AC89" s="102">
        <f>IFERROR(__xludf.DUMMYFUNCTION("""COMPUTED_VALUE"""),"31 x 38")</f>
        <v/>
      </c>
      <c r="AD89" s="102">
        <f>IFERROR(__xludf.DUMMYFUNCTION("""COMPUTED_VALUE"""),"31W / 38L")</f>
        <v/>
      </c>
    </row>
    <row r="90" ht="16.5" customHeight="1" s="176">
      <c r="A90" s="116" t="inlineStr">
        <is>
          <t>Cinturones</t>
        </is>
      </c>
      <c r="B90" s="116" t="inlineStr">
        <is>
          <t>Accesorios</t>
        </is>
      </c>
      <c r="C90" s="116" t="inlineStr">
        <is>
          <t>Talla Cinturón</t>
        </is>
      </c>
      <c r="D90" s="182" t="n"/>
      <c r="E90" s="183" t="n"/>
      <c r="F90" s="84" t="n"/>
      <c r="G90" s="84" t="n"/>
      <c r="H90" s="117" t="n"/>
      <c r="I90" s="118" t="n"/>
      <c r="J90" s="118" t="n"/>
      <c r="K90" s="98" t="n"/>
      <c r="L90" s="84" t="n"/>
      <c r="M90" s="84" t="n"/>
      <c r="N90" s="84" t="n"/>
      <c r="O90" s="84" t="n"/>
      <c r="P90" s="84" t="n"/>
      <c r="Q90" s="84" t="n"/>
      <c r="R90" s="84" t="n"/>
      <c r="S90" s="102" t="n"/>
      <c r="T90" s="102" t="n"/>
      <c r="U90" s="102" t="n"/>
      <c r="V90" s="102" t="n"/>
      <c r="W90" s="102" t="n"/>
      <c r="X90" s="102" t="n"/>
      <c r="Y90" s="102" t="n"/>
      <c r="Z90" s="102" t="n"/>
      <c r="AA90" s="102" t="n"/>
      <c r="AB90" s="102" t="n"/>
      <c r="AC90" s="102">
        <f>IFERROR(__xludf.DUMMYFUNCTION("""COMPUTED_VALUE"""),"32 x 38")</f>
        <v/>
      </c>
      <c r="AD90" s="102">
        <f>IFERROR(__xludf.DUMMYFUNCTION("""COMPUTED_VALUE"""),"32W / 38L")</f>
        <v/>
      </c>
    </row>
    <row r="91" ht="16.5" customHeight="1" s="176">
      <c r="A91" s="116" t="inlineStr">
        <is>
          <t>Cobijas</t>
        </is>
      </c>
      <c r="B91" s="116" t="inlineStr">
        <is>
          <t>Accesorios</t>
        </is>
      </c>
      <c r="C91" s="116" t="inlineStr">
        <is>
          <t>Talla única</t>
        </is>
      </c>
      <c r="D91" s="182" t="n"/>
      <c r="E91" s="183" t="n"/>
      <c r="F91" s="84" t="n"/>
      <c r="G91" s="84" t="n"/>
      <c r="H91" s="117" t="n"/>
      <c r="I91" s="118" t="n"/>
      <c r="J91" s="118" t="n"/>
      <c r="K91" s="98" t="n"/>
      <c r="L91" s="84" t="n"/>
      <c r="M91" s="84" t="n"/>
      <c r="N91" s="84" t="n"/>
      <c r="O91" s="84" t="n"/>
      <c r="P91" s="84" t="n"/>
      <c r="Q91" s="84" t="n"/>
      <c r="R91" s="84" t="n"/>
      <c r="S91" s="102" t="n"/>
      <c r="T91" s="102" t="n"/>
      <c r="U91" s="102" t="n"/>
      <c r="V91" s="102" t="n"/>
      <c r="W91" s="102" t="n"/>
      <c r="X91" s="102" t="n"/>
      <c r="Y91" s="102" t="n"/>
      <c r="Z91" s="102" t="n"/>
      <c r="AA91" s="102" t="n"/>
      <c r="AB91" s="102" t="n"/>
      <c r="AC91" s="102">
        <f>IFERROR(__xludf.DUMMYFUNCTION("""COMPUTED_VALUE"""),"33 x 38")</f>
        <v/>
      </c>
      <c r="AD91" s="102">
        <f>IFERROR(__xludf.DUMMYFUNCTION("""COMPUTED_VALUE"""),"33W / 38L")</f>
        <v/>
      </c>
    </row>
    <row r="92" ht="16.5" customHeight="1" s="176">
      <c r="A92" s="116" t="inlineStr">
        <is>
          <t>Cuchillos</t>
        </is>
      </c>
      <c r="B92" s="116" t="inlineStr">
        <is>
          <t>Accesorios</t>
        </is>
      </c>
      <c r="C92" s="116" t="inlineStr">
        <is>
          <t>Talla única</t>
        </is>
      </c>
      <c r="D92" s="182" t="n"/>
      <c r="E92" s="183" t="n"/>
      <c r="F92" s="84" t="n"/>
      <c r="G92" s="84" t="n"/>
      <c r="H92" s="117" t="n"/>
      <c r="I92" s="118" t="n"/>
      <c r="J92" s="118" t="n"/>
      <c r="K92" s="98" t="n"/>
      <c r="L92" s="84" t="n"/>
      <c r="M92" s="84" t="n"/>
      <c r="N92" s="84" t="n"/>
      <c r="O92" s="84" t="n"/>
      <c r="P92" s="84" t="n"/>
      <c r="Q92" s="84" t="n"/>
      <c r="R92" s="84" t="n"/>
      <c r="S92" s="102" t="n"/>
      <c r="T92" s="102" t="n"/>
      <c r="U92" s="102" t="n"/>
      <c r="V92" s="102" t="n"/>
      <c r="W92" s="102" t="n"/>
      <c r="X92" s="102" t="n"/>
      <c r="Y92" s="102" t="n"/>
      <c r="Z92" s="102" t="n"/>
      <c r="AA92" s="102" t="n"/>
      <c r="AB92" s="102" t="n"/>
      <c r="AC92" s="102">
        <f>IFERROR(__xludf.DUMMYFUNCTION("""COMPUTED_VALUE"""),"34 x 38")</f>
        <v/>
      </c>
      <c r="AD92" s="102">
        <f>IFERROR(__xludf.DUMMYFUNCTION("""COMPUTED_VALUE"""),"34W / 38L")</f>
        <v/>
      </c>
    </row>
    <row r="93" ht="16.5" customHeight="1" s="176">
      <c r="A93" s="116" t="inlineStr">
        <is>
          <t>Cuidado de Botas</t>
        </is>
      </c>
      <c r="B93" s="116" t="inlineStr">
        <is>
          <t>Accesorios</t>
        </is>
      </c>
      <c r="C93" s="116" t="inlineStr">
        <is>
          <t>Contenido / Talla única</t>
        </is>
      </c>
      <c r="D93" s="182" t="n"/>
      <c r="E93" s="183" t="n"/>
      <c r="F93" s="84" t="n"/>
      <c r="G93" s="84" t="n"/>
      <c r="H93" s="117" t="n"/>
      <c r="I93" s="118" t="n"/>
      <c r="J93" s="118" t="n"/>
      <c r="K93" s="98" t="n"/>
      <c r="L93" s="84" t="n"/>
      <c r="M93" s="84" t="n"/>
      <c r="N93" s="84" t="n"/>
      <c r="O93" s="84" t="n"/>
      <c r="P93" s="84" t="n"/>
      <c r="Q93" s="84" t="n"/>
      <c r="R93" s="84" t="n"/>
      <c r="S93" s="102" t="n"/>
      <c r="T93" s="102" t="n"/>
      <c r="U93" s="102" t="n"/>
      <c r="V93" s="102" t="n"/>
      <c r="W93" s="102" t="n"/>
      <c r="X93" s="102" t="n"/>
      <c r="Y93" s="102" t="n"/>
      <c r="Z93" s="102" t="n"/>
      <c r="AA93" s="102" t="n"/>
      <c r="AB93" s="102" t="n"/>
      <c r="AC93" s="102">
        <f>IFERROR(__xludf.DUMMYFUNCTION("""COMPUTED_VALUE"""),"35 x 38")</f>
        <v/>
      </c>
      <c r="AD93" s="102">
        <f>IFERROR(__xludf.DUMMYFUNCTION("""COMPUTED_VALUE"""),"35W / 38L")</f>
        <v/>
      </c>
    </row>
    <row r="94" ht="16.5" customHeight="1" s="176">
      <c r="A94" s="116" t="inlineStr">
        <is>
          <t>Cuidado de Sombreros</t>
        </is>
      </c>
      <c r="B94" s="116" t="inlineStr">
        <is>
          <t>Accesorios</t>
        </is>
      </c>
      <c r="C94" s="116" t="inlineStr">
        <is>
          <t>Contenido / Talla Ropa / Talla única</t>
        </is>
      </c>
      <c r="D94" s="182" t="n"/>
      <c r="E94" s="183" t="n"/>
      <c r="F94" s="84" t="n"/>
      <c r="G94" s="84" t="n"/>
      <c r="H94" s="117" t="n"/>
      <c r="I94" s="118" t="n"/>
      <c r="J94" s="118" t="n"/>
      <c r="K94" s="98" t="n"/>
      <c r="L94" s="84" t="n"/>
      <c r="M94" s="84" t="n"/>
      <c r="N94" s="84" t="n"/>
      <c r="O94" s="84" t="n"/>
      <c r="P94" s="84" t="n"/>
      <c r="Q94" s="84" t="n"/>
      <c r="R94" s="84" t="n"/>
      <c r="S94" s="102" t="n"/>
      <c r="T94" s="102" t="n"/>
      <c r="U94" s="102" t="n"/>
      <c r="V94" s="102" t="n"/>
      <c r="W94" s="102" t="n"/>
      <c r="X94" s="102" t="n"/>
      <c r="Y94" s="102" t="n"/>
      <c r="Z94" s="102" t="n"/>
      <c r="AA94" s="102" t="n"/>
      <c r="AB94" s="102" t="n"/>
      <c r="AC94" s="102">
        <f>IFERROR(__xludf.DUMMYFUNCTION("""COMPUTED_VALUE"""),"36 x 38")</f>
        <v/>
      </c>
      <c r="AD94" s="102">
        <f>IFERROR(__xludf.DUMMYFUNCTION("""COMPUTED_VALUE"""),"36W / 38L")</f>
        <v/>
      </c>
    </row>
    <row r="95" ht="16.5" customHeight="1" s="176">
      <c r="A95" s="116" t="inlineStr">
        <is>
          <t>Equipaje</t>
        </is>
      </c>
      <c r="B95" s="116" t="inlineStr">
        <is>
          <t>Accesorios</t>
        </is>
      </c>
      <c r="C95" s="116" t="inlineStr">
        <is>
          <t>Talla única</t>
        </is>
      </c>
      <c r="D95" s="182" t="n"/>
      <c r="E95" s="183" t="n"/>
      <c r="F95" s="84" t="n"/>
      <c r="G95" s="84" t="n"/>
      <c r="H95" s="117" t="n"/>
      <c r="I95" s="118" t="n"/>
      <c r="J95" s="118" t="n"/>
      <c r="K95" s="98" t="n"/>
      <c r="L95" s="84" t="n"/>
      <c r="M95" s="84" t="n"/>
      <c r="N95" s="84" t="n"/>
      <c r="O95" s="84" t="n"/>
      <c r="P95" s="84" t="n"/>
      <c r="Q95" s="84" t="n"/>
      <c r="R95" s="84" t="n"/>
      <c r="S95" s="102" t="n"/>
      <c r="T95" s="102" t="n"/>
      <c r="U95" s="102" t="n"/>
      <c r="V95" s="102" t="n"/>
      <c r="W95" s="102" t="n"/>
      <c r="X95" s="102" t="n"/>
      <c r="Y95" s="102" t="n"/>
      <c r="Z95" s="102" t="n"/>
      <c r="AA95" s="102" t="n"/>
      <c r="AB95" s="102" t="n"/>
      <c r="AC95" s="102">
        <f>IFERROR(__xludf.DUMMYFUNCTION("""COMPUTED_VALUE"""),"38 x 38")</f>
        <v/>
      </c>
      <c r="AD95" s="102">
        <f>IFERROR(__xludf.DUMMYFUNCTION("""COMPUTED_VALUE"""),"38W / 38L")</f>
        <v/>
      </c>
    </row>
    <row r="96" ht="16.5" customHeight="1" s="176">
      <c r="A96" s="116" t="inlineStr">
        <is>
          <t>Estuches</t>
        </is>
      </c>
      <c r="B96" s="116" t="inlineStr">
        <is>
          <t>Accesorios</t>
        </is>
      </c>
      <c r="C96" s="116" t="inlineStr">
        <is>
          <t>Talla única</t>
        </is>
      </c>
      <c r="D96" s="182" t="n"/>
      <c r="E96" s="183" t="n"/>
      <c r="F96" s="84" t="n"/>
      <c r="G96" s="84" t="n"/>
      <c r="H96" s="117" t="n"/>
      <c r="I96" s="118" t="n"/>
      <c r="J96" s="118" t="n"/>
      <c r="K96" s="98" t="n"/>
      <c r="L96" s="84" t="n"/>
      <c r="M96" s="84" t="n"/>
      <c r="N96" s="84" t="n"/>
      <c r="O96" s="84" t="n"/>
      <c r="P96" s="84" t="n"/>
      <c r="Q96" s="84" t="n"/>
      <c r="R96" s="84" t="n"/>
      <c r="S96" s="102" t="n"/>
      <c r="T96" s="102" t="n"/>
      <c r="U96" s="102" t="n"/>
      <c r="V96" s="102" t="n"/>
      <c r="W96" s="102" t="n"/>
      <c r="X96" s="102" t="n"/>
      <c r="Y96" s="102" t="n"/>
      <c r="Z96" s="102" t="n"/>
      <c r="AA96" s="102" t="n"/>
      <c r="AB96" s="102" t="n"/>
      <c r="AC96" s="102">
        <f>IFERROR(__xludf.DUMMYFUNCTION("""COMPUTED_VALUE"""),"40 x 38")</f>
        <v/>
      </c>
      <c r="AD96" s="102">
        <f>IFERROR(__xludf.DUMMYFUNCTION("""COMPUTED_VALUE"""),"40W / 38L")</f>
        <v/>
      </c>
    </row>
    <row r="97" ht="16.5" customHeight="1" s="176">
      <c r="A97" s="116" t="inlineStr">
        <is>
          <t>Faldas</t>
        </is>
      </c>
      <c r="B97" s="116" t="inlineStr">
        <is>
          <t>Ropa</t>
        </is>
      </c>
      <c r="C97" s="116" t="inlineStr">
        <is>
          <t>Talla Ropa</t>
        </is>
      </c>
      <c r="D97" s="182" t="n"/>
      <c r="E97" s="183" t="n"/>
      <c r="F97" s="84" t="n"/>
      <c r="G97" s="84" t="n"/>
      <c r="H97" s="117" t="n"/>
      <c r="I97" s="118" t="n"/>
      <c r="J97" s="118" t="n"/>
      <c r="K97" s="98" t="n"/>
      <c r="L97" s="84" t="n"/>
      <c r="M97" s="84" t="n"/>
      <c r="N97" s="84" t="n"/>
      <c r="O97" s="84" t="n"/>
      <c r="P97" s="84" t="n"/>
      <c r="Q97" s="84" t="n"/>
      <c r="R97" s="84" t="n"/>
      <c r="S97" s="102" t="n"/>
      <c r="T97" s="102" t="n"/>
      <c r="U97" s="102" t="n"/>
      <c r="V97" s="102" t="n"/>
      <c r="W97" s="102" t="n"/>
      <c r="X97" s="102" t="n"/>
      <c r="Y97" s="102" t="n"/>
      <c r="Z97" s="102" t="n"/>
      <c r="AA97" s="102" t="n"/>
      <c r="AB97" s="102" t="n"/>
      <c r="AC97" s="102">
        <f>IFERROR(__xludf.DUMMYFUNCTION("""COMPUTED_VALUE"""),"42 x 38")</f>
        <v/>
      </c>
      <c r="AD97" s="102">
        <f>IFERROR(__xludf.DUMMYFUNCTION("""COMPUTED_VALUE"""),"42W / 38L")</f>
        <v/>
      </c>
    </row>
    <row r="98" ht="16.5" customHeight="1" s="176">
      <c r="A98" s="116" t="inlineStr">
        <is>
          <t>Fragancias</t>
        </is>
      </c>
      <c r="B98" s="116" t="inlineStr">
        <is>
          <t>Accesorios</t>
        </is>
      </c>
      <c r="C98" s="116" t="inlineStr">
        <is>
          <t>Contenido</t>
        </is>
      </c>
      <c r="D98" s="182" t="n"/>
      <c r="E98" s="183" t="n"/>
      <c r="F98" s="84" t="n"/>
      <c r="G98" s="84" t="n"/>
      <c r="H98" s="117" t="n"/>
      <c r="I98" s="118" t="n"/>
      <c r="J98" s="118" t="n"/>
      <c r="K98" s="98" t="n"/>
      <c r="L98" s="84" t="n"/>
      <c r="M98" s="84" t="n"/>
      <c r="N98" s="84" t="n"/>
      <c r="O98" s="84" t="n"/>
      <c r="P98" s="84" t="n"/>
      <c r="Q98" s="84" t="n"/>
      <c r="R98" s="84" t="n"/>
      <c r="S98" s="102" t="n"/>
      <c r="T98" s="102" t="n"/>
      <c r="U98" s="102" t="n"/>
      <c r="V98" s="102" t="n"/>
      <c r="W98" s="102" t="n"/>
      <c r="X98" s="102" t="n"/>
      <c r="Y98" s="102" t="n"/>
      <c r="Z98" s="102" t="n"/>
      <c r="AA98" s="102" t="n"/>
      <c r="AB98" s="102" t="n"/>
      <c r="AC98" s="102">
        <f>IFERROR(__xludf.DUMMYFUNCTION("""COMPUTED_VALUE"""),"44 x 38")</f>
        <v/>
      </c>
      <c r="AD98" s="102">
        <f>IFERROR(__xludf.DUMMYFUNCTION("""COMPUTED_VALUE"""),"44W / 38L")</f>
        <v/>
      </c>
    </row>
    <row r="99" ht="16.5" customHeight="1" s="176">
      <c r="A99" s="116" t="inlineStr">
        <is>
          <t>Gorras</t>
        </is>
      </c>
      <c r="B99" s="116" t="inlineStr">
        <is>
          <t>Accesorios</t>
        </is>
      </c>
      <c r="C99" s="116" t="inlineStr">
        <is>
          <t>Talla única</t>
        </is>
      </c>
      <c r="D99" s="182" t="n"/>
      <c r="E99" s="183" t="n"/>
      <c r="F99" s="84" t="n"/>
      <c r="G99" s="84" t="n"/>
      <c r="H99" s="117" t="n"/>
      <c r="I99" s="118" t="n"/>
      <c r="J99" s="118" t="n"/>
      <c r="K99" s="98" t="n"/>
      <c r="L99" s="84" t="n"/>
      <c r="M99" s="84" t="n"/>
      <c r="N99" s="84" t="n"/>
      <c r="O99" s="84" t="n"/>
      <c r="P99" s="84" t="n"/>
      <c r="Q99" s="84" t="n"/>
      <c r="R99" s="84" t="n"/>
      <c r="S99" s="102" t="n"/>
      <c r="T99" s="102" t="n"/>
      <c r="U99" s="102" t="n"/>
      <c r="V99" s="102" t="n"/>
      <c r="W99" s="102" t="n"/>
      <c r="X99" s="102" t="n"/>
      <c r="Y99" s="102" t="n"/>
      <c r="Z99" s="102" t="n"/>
      <c r="AA99" s="102" t="n"/>
      <c r="AB99" s="102" t="n"/>
      <c r="AC99" s="102">
        <f>IFERROR(__xludf.DUMMYFUNCTION("""COMPUTED_VALUE"""),3.0)</f>
        <v/>
      </c>
      <c r="AD99" s="102">
        <f>IFERROR(__xludf.DUMMYFUNCTION("""COMPUTED_VALUE"""),"0 Long")</f>
        <v/>
      </c>
    </row>
    <row r="100" ht="16.5" customHeight="1" s="176">
      <c r="A100" s="116" t="inlineStr">
        <is>
          <t>Hebillas</t>
        </is>
      </c>
      <c r="B100" s="116" t="inlineStr">
        <is>
          <t>Accesorios</t>
        </is>
      </c>
      <c r="C100" s="116" t="inlineStr">
        <is>
          <t>Talla única</t>
        </is>
      </c>
      <c r="D100" s="182" t="n"/>
      <c r="E100" s="183" t="n"/>
      <c r="F100" s="84" t="n"/>
      <c r="G100" s="84" t="n"/>
      <c r="H100" s="117" t="n"/>
      <c r="I100" s="118" t="n"/>
      <c r="J100" s="118" t="n"/>
      <c r="K100" s="98" t="n"/>
      <c r="L100" s="84" t="n"/>
      <c r="M100" s="84" t="n"/>
      <c r="N100" s="84" t="n"/>
      <c r="O100" s="84" t="n"/>
      <c r="P100" s="84" t="n"/>
      <c r="Q100" s="84" t="n"/>
      <c r="R100" s="84" t="n"/>
      <c r="S100" s="102" t="n"/>
      <c r="T100" s="102" t="n"/>
      <c r="U100" s="102" t="n"/>
      <c r="V100" s="102" t="n"/>
      <c r="W100" s="102" t="n"/>
      <c r="X100" s="102" t="n"/>
      <c r="Y100" s="102" t="n"/>
      <c r="Z100" s="102" t="n"/>
      <c r="AA100" s="102" t="n"/>
      <c r="AB100" s="102" t="n"/>
      <c r="AC100" s="102">
        <f>IFERROR(__xludf.DUMMYFUNCTION("""COMPUTED_VALUE"""),5.0)</f>
        <v/>
      </c>
      <c r="AD100" s="102">
        <f>IFERROR(__xludf.DUMMYFUNCTION("""COMPUTED_VALUE"""),"2 Long")</f>
        <v/>
      </c>
    </row>
    <row r="101" ht="16.5" customHeight="1" s="176">
      <c r="A101" s="116" t="inlineStr">
        <is>
          <t>Jeans</t>
        </is>
      </c>
      <c r="B101" s="116" t="inlineStr">
        <is>
          <t>Denim</t>
        </is>
      </c>
      <c r="C101" s="116" t="inlineStr">
        <is>
          <t>Hombre: Cintura Jean + Largo Jean · Mujer: Talla Jean Dama (Regular / Largo) · Niño/Niña: Talla Niño</t>
        </is>
      </c>
      <c r="D101" s="182" t="n"/>
      <c r="E101" s="183" t="n"/>
      <c r="F101" s="84" t="n"/>
      <c r="G101" s="84" t="n"/>
      <c r="H101" s="117" t="n"/>
      <c r="I101" s="118" t="n"/>
      <c r="J101" s="118" t="n"/>
      <c r="K101" s="98" t="n"/>
      <c r="L101" s="84" t="n"/>
      <c r="M101" s="84" t="n"/>
      <c r="N101" s="84" t="n"/>
      <c r="O101" s="84" t="n"/>
      <c r="P101" s="84" t="n"/>
      <c r="Q101" s="84" t="n"/>
      <c r="R101" s="84" t="n"/>
      <c r="S101" s="102" t="n"/>
      <c r="T101" s="102" t="n"/>
      <c r="U101" s="102" t="n"/>
      <c r="V101" s="102" t="n"/>
      <c r="W101" s="102" t="n"/>
      <c r="X101" s="102" t="n"/>
      <c r="Y101" s="102" t="n"/>
      <c r="Z101" s="102" t="n"/>
      <c r="AA101" s="102" t="n"/>
      <c r="AB101" s="102" t="n"/>
      <c r="AC101" s="102">
        <f>IFERROR(__xludf.DUMMYFUNCTION("""COMPUTED_VALUE"""),7.0)</f>
        <v/>
      </c>
      <c r="AD101" s="102">
        <f>IFERROR(__xludf.DUMMYFUNCTION("""COMPUTED_VALUE"""),"4 Long")</f>
        <v/>
      </c>
    </row>
    <row r="102" ht="16.5" customHeight="1" s="176">
      <c r="A102" s="116" t="inlineStr">
        <is>
          <t>Joyeria</t>
        </is>
      </c>
      <c r="B102" s="116" t="inlineStr">
        <is>
          <t>Accesorios</t>
        </is>
      </c>
      <c r="C102" s="116" t="inlineStr">
        <is>
          <t>Talla única</t>
        </is>
      </c>
      <c r="D102" s="182" t="n"/>
      <c r="E102" s="183" t="n"/>
      <c r="F102" s="84" t="n"/>
      <c r="G102" s="84" t="n"/>
      <c r="H102" s="117" t="n"/>
      <c r="I102" s="118" t="n"/>
      <c r="J102" s="118" t="n"/>
      <c r="K102" s="98" t="n"/>
      <c r="L102" s="84" t="n"/>
      <c r="M102" s="84" t="n"/>
      <c r="N102" s="84" t="n"/>
      <c r="O102" s="84" t="n"/>
      <c r="P102" s="84" t="n"/>
      <c r="Q102" s="84" t="n"/>
      <c r="R102" s="84" t="n"/>
      <c r="S102" s="102" t="n"/>
      <c r="T102" s="102" t="n"/>
      <c r="U102" s="102" t="n"/>
      <c r="V102" s="102" t="n"/>
      <c r="W102" s="102" t="n"/>
      <c r="X102" s="102" t="n"/>
      <c r="Y102" s="102" t="n"/>
      <c r="Z102" s="102" t="n"/>
      <c r="AA102" s="102" t="n"/>
      <c r="AB102" s="102" t="n"/>
      <c r="AC102" s="102">
        <f>IFERROR(__xludf.DUMMYFUNCTION("""COMPUTED_VALUE"""),9.0)</f>
        <v/>
      </c>
      <c r="AD102" s="102">
        <f>IFERROR(__xludf.DUMMYFUNCTION("""COMPUTED_VALUE"""),"6 Long")</f>
        <v/>
      </c>
    </row>
    <row r="103" ht="16.5" customHeight="1" s="176">
      <c r="A103" s="116" t="inlineStr">
        <is>
          <t>Jumpsuits</t>
        </is>
      </c>
      <c r="B103" s="116" t="inlineStr">
        <is>
          <t>Ropa</t>
        </is>
      </c>
      <c r="C103" s="116" t="inlineStr">
        <is>
          <t>Talla Ropa</t>
        </is>
      </c>
      <c r="D103" s="182" t="n"/>
      <c r="E103" s="183" t="n"/>
      <c r="F103" s="84" t="n"/>
      <c r="G103" s="84" t="n"/>
      <c r="H103" s="117" t="n"/>
      <c r="I103" s="118" t="n"/>
      <c r="J103" s="118" t="n"/>
      <c r="K103" s="98" t="n"/>
      <c r="L103" s="84" t="n"/>
      <c r="M103" s="84" t="n"/>
      <c r="N103" s="84" t="n"/>
      <c r="O103" s="84" t="n"/>
      <c r="P103" s="84" t="n"/>
      <c r="Q103" s="84" t="n"/>
      <c r="R103" s="84" t="n"/>
      <c r="S103" s="102" t="n"/>
      <c r="T103" s="102" t="n"/>
      <c r="U103" s="102" t="n"/>
      <c r="V103" s="102" t="n"/>
      <c r="W103" s="102" t="n"/>
      <c r="X103" s="102" t="n"/>
      <c r="Y103" s="102" t="n"/>
      <c r="Z103" s="102" t="n"/>
      <c r="AA103" s="102" t="n"/>
      <c r="AB103" s="102" t="n"/>
      <c r="AC103" s="102">
        <f>IFERROR(__xludf.DUMMYFUNCTION("""COMPUTED_VALUE"""),11.0)</f>
        <v/>
      </c>
      <c r="AD103" s="102">
        <f>IFERROR(__xludf.DUMMYFUNCTION("""COMPUTED_VALUE"""),"8 Long")</f>
        <v/>
      </c>
    </row>
    <row r="104" ht="16.5" customHeight="1" s="176">
      <c r="A104" s="116" t="inlineStr">
        <is>
          <t>Libros</t>
        </is>
      </c>
      <c r="B104" s="116" t="inlineStr">
        <is>
          <t>Accesorios</t>
        </is>
      </c>
      <c r="C104" s="116" t="inlineStr">
        <is>
          <t>Talla única</t>
        </is>
      </c>
      <c r="D104" s="182" t="n"/>
      <c r="E104" s="183" t="n"/>
      <c r="F104" s="84" t="n"/>
      <c r="G104" s="84" t="n"/>
      <c r="H104" s="117" t="n"/>
      <c r="I104" s="118" t="n"/>
      <c r="J104" s="118" t="n"/>
      <c r="K104" s="98" t="n"/>
      <c r="L104" s="84" t="n"/>
      <c r="M104" s="84" t="n"/>
      <c r="N104" s="84" t="n"/>
      <c r="O104" s="84" t="n"/>
      <c r="P104" s="84" t="n"/>
      <c r="Q104" s="84" t="n"/>
      <c r="R104" s="84" t="n"/>
      <c r="S104" s="102" t="n"/>
      <c r="T104" s="102" t="n"/>
      <c r="U104" s="102" t="n"/>
      <c r="V104" s="102" t="n"/>
      <c r="W104" s="102" t="n"/>
      <c r="X104" s="102" t="n"/>
      <c r="Y104" s="102" t="n"/>
      <c r="Z104" s="102" t="n"/>
      <c r="AA104" s="102" t="n"/>
      <c r="AB104" s="102" t="n"/>
      <c r="AC104" s="102">
        <f>IFERROR(__xludf.DUMMYFUNCTION("""COMPUTED_VALUE"""),13.0)</f>
        <v/>
      </c>
      <c r="AD104" s="102">
        <f>IFERROR(__xludf.DUMMYFUNCTION("""COMPUTED_VALUE"""),"10 Long")</f>
        <v/>
      </c>
    </row>
    <row r="105" ht="16.5" customHeight="1" s="176">
      <c r="A105" s="116" t="inlineStr">
        <is>
          <t>Llaveros</t>
        </is>
      </c>
      <c r="B105" s="116" t="inlineStr">
        <is>
          <t>Accesorios</t>
        </is>
      </c>
      <c r="C105" s="116" t="inlineStr">
        <is>
          <t>Talla única</t>
        </is>
      </c>
      <c r="D105" s="182" t="n"/>
      <c r="E105" s="183" t="n"/>
      <c r="F105" s="84" t="n"/>
      <c r="G105" s="84" t="n"/>
      <c r="H105" s="117" t="n"/>
      <c r="I105" s="118" t="n"/>
      <c r="J105" s="118" t="n"/>
      <c r="K105" s="98" t="n"/>
      <c r="L105" s="84" t="n"/>
      <c r="M105" s="84" t="n"/>
      <c r="N105" s="84" t="n"/>
      <c r="O105" s="84" t="n"/>
      <c r="P105" s="84" t="n"/>
      <c r="Q105" s="84" t="n"/>
      <c r="R105" s="84" t="n"/>
      <c r="S105" s="102" t="n"/>
      <c r="T105" s="102" t="n"/>
      <c r="U105" s="102" t="n"/>
      <c r="V105" s="102" t="n"/>
      <c r="W105" s="102" t="n"/>
      <c r="X105" s="102" t="n"/>
      <c r="Y105" s="102" t="n"/>
      <c r="Z105" s="102" t="n"/>
      <c r="AA105" s="102" t="n"/>
      <c r="AB105" s="102" t="n"/>
      <c r="AC105" s="102">
        <f>IFERROR(__xludf.DUMMYFUNCTION("""COMPUTED_VALUE"""),15.0)</f>
        <v/>
      </c>
      <c r="AD105" s="102">
        <f>IFERROR(__xludf.DUMMYFUNCTION("""COMPUTED_VALUE"""),"12 Long")</f>
        <v/>
      </c>
    </row>
    <row r="106" ht="16.5" customHeight="1" s="176">
      <c r="A106" s="116" t="inlineStr">
        <is>
          <t>Mascotas</t>
        </is>
      </c>
      <c r="B106" s="116" t="inlineStr">
        <is>
          <t>Accesorios</t>
        </is>
      </c>
      <c r="C106" s="116" t="inlineStr">
        <is>
          <t>Talla Ropa</t>
        </is>
      </c>
      <c r="D106" s="182" t="n"/>
      <c r="E106" s="183" t="n"/>
      <c r="F106" s="84" t="n"/>
      <c r="G106" s="84" t="n"/>
      <c r="H106" s="117" t="n"/>
      <c r="I106" s="118" t="n"/>
      <c r="J106" s="118" t="n"/>
      <c r="K106" s="98" t="n"/>
      <c r="L106" s="84" t="n"/>
      <c r="M106" s="84" t="n"/>
      <c r="N106" s="84" t="n"/>
      <c r="O106" s="84" t="n"/>
      <c r="P106" s="84" t="n"/>
      <c r="Q106" s="84" t="n"/>
      <c r="R106" s="84" t="n"/>
      <c r="S106" s="102" t="n"/>
      <c r="T106" s="102" t="n"/>
      <c r="U106" s="102" t="n"/>
      <c r="V106" s="102" t="n"/>
      <c r="W106" s="102" t="n"/>
      <c r="X106" s="102" t="n"/>
      <c r="Y106" s="102" t="n"/>
      <c r="Z106" s="102" t="n"/>
      <c r="AA106" s="102" t="n"/>
      <c r="AB106" s="102" t="n"/>
      <c r="AC106" s="102">
        <f>IFERROR(__xludf.DUMMYFUNCTION("""COMPUTED_VALUE"""),17.0)</f>
        <v/>
      </c>
      <c r="AD106" s="102">
        <f>IFERROR(__xludf.DUMMYFUNCTION("""COMPUTED_VALUE"""),"14 Long")</f>
        <v/>
      </c>
    </row>
    <row r="107" ht="16.5" customHeight="1" s="176">
      <c r="A107" s="116" t="inlineStr">
        <is>
          <t>Mochilas</t>
        </is>
      </c>
      <c r="B107" s="116" t="inlineStr">
        <is>
          <t>Accesorios</t>
        </is>
      </c>
      <c r="C107" s="116" t="inlineStr">
        <is>
          <t>Talla única</t>
        </is>
      </c>
      <c r="D107" s="182" t="n"/>
      <c r="E107" s="183" t="n"/>
      <c r="F107" s="84" t="n"/>
      <c r="G107" s="84" t="n"/>
      <c r="H107" s="117" t="n"/>
      <c r="I107" s="118" t="n"/>
      <c r="J107" s="118" t="n"/>
      <c r="K107" s="98" t="n"/>
      <c r="L107" s="84" t="n"/>
      <c r="M107" s="84" t="n"/>
      <c r="N107" s="84" t="n"/>
      <c r="O107" s="84" t="n"/>
      <c r="P107" s="84" t="n"/>
      <c r="Q107" s="84" t="n"/>
      <c r="R107" s="84" t="n"/>
      <c r="S107" s="102" t="n"/>
      <c r="T107" s="102" t="n"/>
      <c r="U107" s="102" t="n"/>
      <c r="V107" s="102" t="n"/>
      <c r="W107" s="102" t="n"/>
      <c r="X107" s="102" t="n"/>
      <c r="Y107" s="102" t="n"/>
      <c r="Z107" s="102" t="n"/>
      <c r="AA107" s="102" t="n"/>
      <c r="AB107" s="102" t="n"/>
      <c r="AC107" s="102">
        <f>IFERROR(__xludf.DUMMYFUNCTION("""COMPUTED_VALUE"""),19.0)</f>
        <v/>
      </c>
      <c r="AD107" s="102">
        <f>IFERROR(__xludf.DUMMYFUNCTION("""COMPUTED_VALUE"""),"16 Long")</f>
        <v/>
      </c>
    </row>
    <row r="108" ht="16.5" customHeight="1" s="176">
      <c r="A108" s="116" t="inlineStr">
        <is>
          <t>Pantalones</t>
        </is>
      </c>
      <c r="B108" s="116" t="inlineStr">
        <is>
          <t>Ropa</t>
        </is>
      </c>
      <c r="C108" s="116" t="inlineStr">
        <is>
          <t>Hombre: Cintura Jean + Largo Jean · Mujer: Talla Jean Dama</t>
        </is>
      </c>
      <c r="D108" s="182" t="n"/>
      <c r="E108" s="183" t="n"/>
      <c r="F108" s="84" t="n"/>
      <c r="G108" s="84" t="n"/>
      <c r="H108" s="117" t="n"/>
      <c r="I108" s="118" t="n"/>
      <c r="J108" s="118" t="n"/>
      <c r="K108" s="98" t="n"/>
      <c r="L108" s="84" t="n"/>
      <c r="M108" s="84" t="n"/>
      <c r="N108" s="84" t="n"/>
      <c r="O108" s="84" t="n"/>
      <c r="P108" s="84" t="n"/>
      <c r="Q108" s="84" t="n"/>
      <c r="R108" s="84" t="n"/>
      <c r="S108" s="102" t="n"/>
      <c r="T108" s="102" t="n"/>
      <c r="U108" s="102" t="n"/>
      <c r="V108" s="102" t="n"/>
      <c r="W108" s="102" t="n"/>
      <c r="X108" s="102" t="n"/>
      <c r="Y108" s="102" t="n"/>
      <c r="Z108" s="102" t="n"/>
      <c r="AA108" s="102" t="n"/>
      <c r="AB108" s="102" t="n"/>
      <c r="AC108" s="102">
        <f>IFERROR(__xludf.DUMMYFUNCTION("""COMPUTED_VALUE"""),"3 Largo")</f>
        <v/>
      </c>
      <c r="AD108" s="102">
        <f>IFERROR(__xludf.DUMMYFUNCTION("""COMPUTED_VALUE"""),"6 3/4")</f>
        <v/>
      </c>
    </row>
    <row r="109" ht="16.5" customHeight="1" s="176">
      <c r="A109" s="116" t="inlineStr">
        <is>
          <t>Pantuflas</t>
        </is>
      </c>
      <c r="B109" s="116" t="inlineStr">
        <is>
          <t>Calzado</t>
        </is>
      </c>
      <c r="C109" s="116" t="inlineStr">
        <is>
          <t>Talla Calzado MX</t>
        </is>
      </c>
      <c r="D109" s="182" t="n"/>
      <c r="E109" s="183" t="n"/>
      <c r="F109" s="84" t="n"/>
      <c r="G109" s="84" t="n"/>
      <c r="H109" s="117" t="n"/>
      <c r="I109" s="118" t="n"/>
      <c r="J109" s="118" t="n"/>
      <c r="K109" s="98" t="n"/>
      <c r="L109" s="84" t="n"/>
      <c r="M109" s="84" t="n"/>
      <c r="N109" s="84" t="n"/>
      <c r="O109" s="84" t="n"/>
      <c r="P109" s="84" t="n"/>
      <c r="Q109" s="84" t="n"/>
      <c r="R109" s="84" t="n"/>
      <c r="S109" s="102" t="n"/>
      <c r="T109" s="102" t="n"/>
      <c r="U109" s="102" t="n"/>
      <c r="V109" s="102" t="n"/>
      <c r="W109" s="102" t="n"/>
      <c r="X109" s="102" t="n"/>
      <c r="Y109" s="102" t="n"/>
      <c r="Z109" s="102" t="n"/>
      <c r="AA109" s="102" t="n"/>
      <c r="AB109" s="102" t="n"/>
      <c r="AC109" s="102">
        <f>IFERROR(__xludf.DUMMYFUNCTION("""COMPUTED_VALUE"""),"5 Largo")</f>
        <v/>
      </c>
      <c r="AD109" s="102">
        <f>IFERROR(__xludf.DUMMYFUNCTION("""COMPUTED_VALUE"""),"6 7/8")</f>
        <v/>
      </c>
    </row>
    <row r="110" ht="16.5" customHeight="1" s="176">
      <c r="A110" s="116" t="inlineStr">
        <is>
          <t>Pijamas</t>
        </is>
      </c>
      <c r="B110" s="116" t="inlineStr">
        <is>
          <t>Ropa</t>
        </is>
      </c>
      <c r="C110" s="116" t="inlineStr">
        <is>
          <t>Talla Ropa</t>
        </is>
      </c>
      <c r="D110" s="182" t="n"/>
      <c r="E110" s="183" t="n"/>
      <c r="F110" s="84" t="n"/>
      <c r="G110" s="84" t="n"/>
      <c r="H110" s="117" t="n"/>
      <c r="I110" s="118" t="n"/>
      <c r="J110" s="118" t="n"/>
      <c r="K110" s="98" t="n"/>
      <c r="L110" s="84" t="n"/>
      <c r="M110" s="84" t="n"/>
      <c r="N110" s="84" t="n"/>
      <c r="O110" s="84" t="n"/>
      <c r="P110" s="84" t="n"/>
      <c r="Q110" s="84" t="n"/>
      <c r="R110" s="84" t="n"/>
      <c r="S110" s="102" t="n"/>
      <c r="T110" s="102" t="n"/>
      <c r="U110" s="102" t="n"/>
      <c r="V110" s="102" t="n"/>
      <c r="W110" s="102" t="n"/>
      <c r="X110" s="102" t="n"/>
      <c r="Y110" s="102" t="n"/>
      <c r="Z110" s="102" t="n"/>
      <c r="AA110" s="102" t="n"/>
      <c r="AB110" s="102" t="n"/>
      <c r="AC110" s="102">
        <f>IFERROR(__xludf.DUMMYFUNCTION("""COMPUTED_VALUE"""),"7 Largo")</f>
        <v/>
      </c>
      <c r="AD110" s="102">
        <f>IFERROR(__xludf.DUMMYFUNCTION("""COMPUTED_VALUE"""),7.0)</f>
        <v/>
      </c>
    </row>
    <row r="111" ht="16.5" customHeight="1" s="176">
      <c r="A111" s="116" t="inlineStr">
        <is>
          <t>Playeras</t>
        </is>
      </c>
      <c r="B111" s="116" t="inlineStr">
        <is>
          <t>Ropa</t>
        </is>
      </c>
      <c r="C111" s="116" t="inlineStr">
        <is>
          <t>Talla Ropa</t>
        </is>
      </c>
      <c r="D111" s="182" t="n"/>
      <c r="E111" s="183" t="n"/>
      <c r="F111" s="84" t="n"/>
      <c r="G111" s="84" t="n"/>
      <c r="H111" s="117" t="n"/>
      <c r="I111" s="118" t="n"/>
      <c r="J111" s="118" t="n"/>
      <c r="K111" s="98" t="n"/>
      <c r="L111" s="84" t="n"/>
      <c r="M111" s="84" t="n"/>
      <c r="N111" s="84" t="n"/>
      <c r="O111" s="84" t="n"/>
      <c r="P111" s="84" t="n"/>
      <c r="Q111" s="84" t="n"/>
      <c r="R111" s="84" t="n"/>
      <c r="S111" s="102" t="n"/>
      <c r="T111" s="102" t="n"/>
      <c r="U111" s="102" t="n"/>
      <c r="V111" s="102" t="n"/>
      <c r="W111" s="102" t="n"/>
      <c r="X111" s="102" t="n"/>
      <c r="Y111" s="102" t="n"/>
      <c r="Z111" s="102" t="n"/>
      <c r="AA111" s="102" t="n"/>
      <c r="AB111" s="102" t="n"/>
      <c r="AC111" s="102">
        <f>IFERROR(__xludf.DUMMYFUNCTION("""COMPUTED_VALUE"""),"9 Largo")</f>
        <v/>
      </c>
      <c r="AD111" s="102">
        <f>IFERROR(__xludf.DUMMYFUNCTION("""COMPUTED_VALUE"""),"7 1/8")</f>
        <v/>
      </c>
    </row>
    <row r="112" ht="16.5" customHeight="1" s="176">
      <c r="A112" s="116" t="inlineStr">
        <is>
          <t>Plumas para sombrero</t>
        </is>
      </c>
      <c r="B112" s="116" t="inlineStr">
        <is>
          <t>Accesorios</t>
        </is>
      </c>
      <c r="C112" s="116" t="inlineStr">
        <is>
          <t>Talla única</t>
        </is>
      </c>
      <c r="D112" s="182" t="n"/>
      <c r="E112" s="183" t="n"/>
      <c r="F112" s="84" t="n"/>
      <c r="G112" s="84" t="n"/>
      <c r="H112" s="117" t="n"/>
      <c r="I112" s="118" t="n"/>
      <c r="J112" s="118" t="n"/>
      <c r="K112" s="98" t="n"/>
      <c r="L112" s="84" t="n"/>
      <c r="M112" s="84" t="n"/>
      <c r="N112" s="84" t="n"/>
      <c r="O112" s="84" t="n"/>
      <c r="P112" s="84" t="n"/>
      <c r="Q112" s="84" t="n"/>
      <c r="R112" s="84" t="n"/>
      <c r="S112" s="102" t="n"/>
      <c r="T112" s="102" t="n"/>
      <c r="U112" s="102" t="n"/>
      <c r="V112" s="102" t="n"/>
      <c r="W112" s="102" t="n"/>
      <c r="X112" s="102" t="n"/>
      <c r="Y112" s="102" t="n"/>
      <c r="Z112" s="102" t="n"/>
      <c r="AA112" s="102" t="n"/>
      <c r="AB112" s="102" t="n"/>
      <c r="AC112" s="102">
        <f>IFERROR(__xludf.DUMMYFUNCTION("""COMPUTED_VALUE"""),"11 Largo")</f>
        <v/>
      </c>
      <c r="AD112" s="102">
        <f>IFERROR(__xludf.DUMMYFUNCTION("""COMPUTED_VALUE"""),"7 1/4")</f>
        <v/>
      </c>
    </row>
    <row r="113" ht="16.5" customHeight="1" s="176">
      <c r="A113" s="116" t="inlineStr">
        <is>
          <t>Shorts</t>
        </is>
      </c>
      <c r="B113" s="116" t="inlineStr">
        <is>
          <t>Ropa</t>
        </is>
      </c>
      <c r="C113" s="116" t="inlineStr">
        <is>
          <t>Hombre: Talla Short Hombre · Mujer: Talla Jean Dama (Regular)</t>
        </is>
      </c>
      <c r="D113" s="182" t="n"/>
      <c r="E113" s="183" t="n"/>
      <c r="F113" s="84" t="n"/>
      <c r="G113" s="84" t="n"/>
      <c r="H113" s="117" t="n"/>
      <c r="I113" s="118" t="n"/>
      <c r="J113" s="118" t="n"/>
      <c r="K113" s="98" t="n"/>
      <c r="L113" s="84" t="n"/>
      <c r="M113" s="84" t="n"/>
      <c r="N113" s="84" t="n"/>
      <c r="O113" s="84" t="n"/>
      <c r="P113" s="84" t="n"/>
      <c r="Q113" s="84" t="n"/>
      <c r="R113" s="84" t="n"/>
      <c r="S113" s="102" t="n"/>
      <c r="T113" s="102" t="n"/>
      <c r="U113" s="102" t="n"/>
      <c r="V113" s="102" t="n"/>
      <c r="W113" s="102" t="n"/>
      <c r="X113" s="102" t="n"/>
      <c r="Y113" s="102" t="n"/>
      <c r="Z113" s="102" t="n"/>
      <c r="AA113" s="102" t="n"/>
      <c r="AB113" s="102" t="n"/>
      <c r="AC113" s="102">
        <f>IFERROR(__xludf.DUMMYFUNCTION("""COMPUTED_VALUE"""),"13 Largo")</f>
        <v/>
      </c>
      <c r="AD113" s="102">
        <f>IFERROR(__xludf.DUMMYFUNCTION("""COMPUTED_VALUE"""),"7 3/8")</f>
        <v/>
      </c>
    </row>
    <row r="114" ht="16.5" customHeight="1" s="176">
      <c r="A114" s="116" t="inlineStr">
        <is>
          <t>Sombreros</t>
        </is>
      </c>
      <c r="B114" s="116" t="inlineStr">
        <is>
          <t>Accesorios</t>
        </is>
      </c>
      <c r="C114" s="116" t="inlineStr">
        <is>
          <t>Talla Sombrero</t>
        </is>
      </c>
      <c r="D114" s="182" t="n"/>
      <c r="E114" s="183" t="n"/>
      <c r="F114" s="84" t="n"/>
      <c r="G114" s="84" t="n"/>
      <c r="H114" s="117" t="n"/>
      <c r="I114" s="118" t="n"/>
      <c r="J114" s="118" t="n"/>
      <c r="K114" s="98" t="n"/>
      <c r="L114" s="84" t="n"/>
      <c r="M114" s="84" t="n"/>
      <c r="N114" s="84" t="n"/>
      <c r="O114" s="84" t="n"/>
      <c r="P114" s="84" t="n"/>
      <c r="Q114" s="84" t="n"/>
      <c r="R114" s="84" t="n"/>
      <c r="S114" s="102" t="n"/>
      <c r="T114" s="102" t="n"/>
      <c r="U114" s="102" t="n"/>
      <c r="V114" s="102" t="n"/>
      <c r="W114" s="102" t="n"/>
      <c r="X114" s="102" t="n"/>
      <c r="Y114" s="102" t="n"/>
      <c r="Z114" s="102" t="n"/>
      <c r="AA114" s="102" t="n"/>
      <c r="AB114" s="102" t="n"/>
      <c r="AC114" s="102">
        <f>IFERROR(__xludf.DUMMYFUNCTION("""COMPUTED_VALUE"""),"15 Largo")</f>
        <v/>
      </c>
      <c r="AD114" s="102">
        <f>IFERROR(__xludf.DUMMYFUNCTION("""COMPUTED_VALUE"""),"7 1/2")</f>
        <v/>
      </c>
    </row>
    <row r="115" ht="16.5" customHeight="1" s="176">
      <c r="A115" s="116" t="inlineStr">
        <is>
          <t>Sudaderas</t>
        </is>
      </c>
      <c r="B115" s="116" t="inlineStr">
        <is>
          <t>Ropa</t>
        </is>
      </c>
      <c r="C115" s="116" t="inlineStr">
        <is>
          <t>Talla Ropa</t>
        </is>
      </c>
      <c r="D115" s="182" t="n"/>
      <c r="E115" s="183" t="n"/>
      <c r="F115" s="84" t="n"/>
      <c r="G115" s="84" t="n"/>
      <c r="H115" s="117" t="n"/>
      <c r="I115" s="118" t="n"/>
      <c r="J115" s="118" t="n"/>
      <c r="K115" s="98" t="n"/>
      <c r="L115" s="84" t="n"/>
      <c r="M115" s="84" t="n"/>
      <c r="N115" s="84" t="n"/>
      <c r="O115" s="84" t="n"/>
      <c r="P115" s="84" t="n"/>
      <c r="Q115" s="84" t="n"/>
      <c r="R115" s="84" t="n"/>
      <c r="S115" s="102" t="n"/>
      <c r="T115" s="102" t="n"/>
      <c r="U115" s="102" t="n"/>
      <c r="V115" s="102" t="n"/>
      <c r="W115" s="102" t="n"/>
      <c r="X115" s="102" t="n"/>
      <c r="Y115" s="102" t="n"/>
      <c r="Z115" s="102" t="n"/>
      <c r="AA115" s="102" t="n"/>
      <c r="AB115" s="102" t="n"/>
      <c r="AC115" s="102">
        <f>IFERROR(__xludf.DUMMYFUNCTION("""COMPUTED_VALUE"""),"17 Largo")</f>
        <v/>
      </c>
      <c r="AD115" s="102">
        <f>IFERROR(__xludf.DUMMYFUNCTION("""COMPUTED_VALUE"""),"7 5/8")</f>
        <v/>
      </c>
    </row>
    <row r="116" ht="16.5" customHeight="1" s="176">
      <c r="A116" s="116" t="inlineStr">
        <is>
          <t>Sueteres</t>
        </is>
      </c>
      <c r="B116" s="116" t="inlineStr">
        <is>
          <t>Ropa</t>
        </is>
      </c>
      <c r="C116" s="116" t="inlineStr">
        <is>
          <t>Talla Ropa</t>
        </is>
      </c>
      <c r="D116" s="182" t="n"/>
      <c r="E116" s="183" t="n"/>
      <c r="F116" s="84" t="n"/>
      <c r="G116" s="84" t="n"/>
      <c r="H116" s="117" t="n"/>
      <c r="I116" s="118" t="n"/>
      <c r="J116" s="118" t="n"/>
      <c r="K116" s="98" t="n"/>
      <c r="L116" s="84" t="n"/>
      <c r="M116" s="84" t="n"/>
      <c r="N116" s="84" t="n"/>
      <c r="O116" s="84" t="n"/>
      <c r="P116" s="84" t="n"/>
      <c r="Q116" s="84" t="n"/>
      <c r="R116" s="84" t="n"/>
      <c r="S116" s="102" t="n"/>
      <c r="T116" s="102" t="n"/>
      <c r="U116" s="102" t="n"/>
      <c r="V116" s="102" t="n"/>
      <c r="W116" s="102" t="n"/>
      <c r="X116" s="102" t="n"/>
      <c r="Y116" s="102" t="n"/>
      <c r="Z116" s="102" t="n"/>
      <c r="AA116" s="102" t="n"/>
      <c r="AB116" s="102" t="n"/>
      <c r="AC116" s="102">
        <f>IFERROR(__xludf.DUMMYFUNCTION("""COMPUTED_VALUE"""),"19 Largo")</f>
        <v/>
      </c>
      <c r="AD116" s="102">
        <f>IFERROR(__xludf.DUMMYFUNCTION("""COMPUTED_VALUE"""),"7 3/4")</f>
        <v/>
      </c>
    </row>
    <row r="117" ht="16.5" customHeight="1" s="176">
      <c r="A117" s="116" t="inlineStr">
        <is>
          <t>Tenis</t>
        </is>
      </c>
      <c r="B117" s="116" t="inlineStr">
        <is>
          <t>Calzado</t>
        </is>
      </c>
      <c r="C117" s="116" t="inlineStr">
        <is>
          <t>Talla Calzado MX</t>
        </is>
      </c>
      <c r="D117" s="182" t="n"/>
      <c r="E117" s="183" t="n"/>
      <c r="F117" s="84" t="n"/>
      <c r="G117" s="84" t="n"/>
      <c r="H117" s="117" t="n"/>
      <c r="I117" s="118" t="n"/>
      <c r="J117" s="118" t="n"/>
      <c r="K117" s="98" t="n"/>
      <c r="L117" s="84" t="n"/>
      <c r="M117" s="84" t="n"/>
      <c r="N117" s="84" t="n"/>
      <c r="O117" s="84" t="n"/>
      <c r="P117" s="84" t="n"/>
      <c r="Q117" s="84" t="n"/>
      <c r="R117" s="84" t="n"/>
      <c r="S117" s="102" t="n"/>
      <c r="T117" s="102" t="n"/>
      <c r="U117" s="102" t="n"/>
      <c r="V117" s="102" t="n"/>
      <c r="W117" s="102" t="n"/>
      <c r="X117" s="102" t="n"/>
      <c r="Y117" s="102" t="n"/>
      <c r="Z117" s="102" t="n"/>
      <c r="AA117" s="102" t="n"/>
      <c r="AB117" s="102" t="n"/>
      <c r="AC117" s="102">
        <f>IFERROR(__xludf.DUMMYFUNCTION("""COMPUTED_VALUE"""),"6 3/4")</f>
        <v/>
      </c>
      <c r="AD117" s="102">
        <f>IFERROR(__xludf.DUMMYFUNCTION("""COMPUTED_VALUE"""),"7 7/8")</f>
        <v/>
      </c>
    </row>
    <row r="118" ht="16.5" customHeight="1" s="176">
      <c r="A118" s="116" t="inlineStr">
        <is>
          <t>Vestidos</t>
        </is>
      </c>
      <c r="B118" s="116" t="inlineStr">
        <is>
          <t>Ropa</t>
        </is>
      </c>
      <c r="C118" s="116" t="inlineStr">
        <is>
          <t>Talla Ropa (alfa) o Talla Ropa Dama numérica</t>
        </is>
      </c>
      <c r="D118" s="182" t="n"/>
      <c r="E118" s="183" t="n"/>
      <c r="F118" s="84" t="n"/>
      <c r="G118" s="84" t="n"/>
      <c r="H118" s="117" t="n"/>
      <c r="I118" s="118" t="n"/>
      <c r="J118" s="118" t="n"/>
      <c r="K118" s="98" t="n"/>
      <c r="L118" s="84" t="n"/>
      <c r="M118" s="84" t="n"/>
      <c r="N118" s="84" t="n"/>
      <c r="O118" s="84" t="n"/>
      <c r="P118" s="84" t="n"/>
      <c r="Q118" s="84" t="n"/>
      <c r="R118" s="84" t="n"/>
      <c r="S118" s="102" t="n"/>
      <c r="T118" s="102" t="n"/>
      <c r="U118" s="102" t="n"/>
      <c r="V118" s="102" t="n"/>
      <c r="W118" s="102" t="n"/>
      <c r="X118" s="102" t="n"/>
      <c r="Y118" s="102" t="n"/>
      <c r="Z118" s="102" t="n"/>
      <c r="AA118" s="102" t="n"/>
      <c r="AB118" s="102" t="n"/>
      <c r="AC118" s="102">
        <f>IFERROR(__xludf.DUMMYFUNCTION("""COMPUTED_VALUE"""),"6 7/8")</f>
        <v/>
      </c>
      <c r="AD118" s="102">
        <f>IFERROR(__xludf.DUMMYFUNCTION("""COMPUTED_VALUE"""),7.5)</f>
        <v/>
      </c>
    </row>
    <row r="119" ht="16.5" customHeight="1" s="176">
      <c r="A119" s="116" t="inlineStr">
        <is>
          <t>Zapatos</t>
        </is>
      </c>
      <c r="B119" s="116" t="inlineStr">
        <is>
          <t>Calzado</t>
        </is>
      </c>
      <c r="C119" s="116" t="inlineStr">
        <is>
          <t>Talla Calzado MX</t>
        </is>
      </c>
      <c r="D119" s="182" t="n"/>
      <c r="E119" s="183" t="n"/>
      <c r="F119" s="84" t="n"/>
      <c r="G119" s="84" t="n"/>
      <c r="H119" s="117" t="n"/>
      <c r="I119" s="118" t="n"/>
      <c r="J119" s="118" t="n"/>
      <c r="K119" s="98" t="n"/>
      <c r="L119" s="84" t="n"/>
      <c r="M119" s="84" t="n"/>
      <c r="N119" s="84" t="n"/>
      <c r="O119" s="84" t="n"/>
      <c r="P119" s="84" t="n"/>
      <c r="Q119" s="84" t="n"/>
      <c r="R119" s="84" t="n"/>
      <c r="S119" s="102" t="n"/>
      <c r="T119" s="102" t="n"/>
      <c r="U119" s="102" t="n"/>
      <c r="V119" s="102" t="n"/>
      <c r="W119" s="102" t="n"/>
      <c r="X119" s="102" t="n"/>
      <c r="Y119" s="102" t="n"/>
      <c r="Z119" s="102" t="n"/>
      <c r="AA119" s="102" t="n"/>
      <c r="AB119" s="102" t="n"/>
      <c r="AC119" s="102">
        <f>IFERROR(__xludf.DUMMYFUNCTION("""COMPUTED_VALUE"""),"7 1/8")</f>
        <v/>
      </c>
      <c r="AD119" s="102">
        <f>IFERROR(__xludf.DUMMYFUNCTION("""COMPUTED_VALUE"""),8.5)</f>
        <v/>
      </c>
    </row>
    <row r="120" ht="16.5" customHeight="1" s="176">
      <c r="A120" s="116" t="inlineStr">
        <is>
          <t>No Aplica</t>
        </is>
      </c>
      <c r="B120" s="116" t="inlineStr">
        <is>
          <t>No Aplica</t>
        </is>
      </c>
      <c r="C120" s="116" t="n"/>
      <c r="D120" s="182" t="n"/>
      <c r="E120" s="183" t="n"/>
      <c r="F120" s="84" t="n"/>
      <c r="G120" s="84" t="n"/>
      <c r="H120" s="117" t="n"/>
      <c r="I120" s="118" t="n"/>
      <c r="J120" s="118" t="n"/>
      <c r="K120" s="98" t="n"/>
      <c r="L120" s="84" t="n"/>
      <c r="M120" s="84" t="n"/>
      <c r="N120" s="84" t="n"/>
      <c r="O120" s="84" t="n"/>
      <c r="P120" s="84" t="n"/>
      <c r="Q120" s="84" t="n"/>
      <c r="R120" s="84" t="n"/>
      <c r="S120" s="102" t="n"/>
      <c r="T120" s="102" t="n"/>
      <c r="U120" s="102" t="n"/>
      <c r="V120" s="102" t="n"/>
      <c r="W120" s="102" t="n"/>
      <c r="X120" s="102" t="n"/>
      <c r="Y120" s="102" t="n"/>
      <c r="Z120" s="102" t="n"/>
      <c r="AA120" s="102" t="n"/>
      <c r="AB120" s="102" t="n"/>
      <c r="AC120" s="102">
        <f>IFERROR(__xludf.DUMMYFUNCTION("""COMPUTED_VALUE"""),"7 1/4")</f>
        <v/>
      </c>
      <c r="AD120" s="102">
        <f>IFERROR(__xludf.DUMMYFUNCTION("""COMPUTED_VALUE"""),9.0)</f>
        <v/>
      </c>
    </row>
    <row r="121" ht="21.75" customHeight="1" s="176">
      <c r="A121" s="86" t="inlineStr">
        <is>
          <t>4. LISTAS BÁSICAS</t>
        </is>
      </c>
      <c r="B121" s="86" t="n"/>
      <c r="C121" s="86" t="n"/>
      <c r="D121" s="86" t="n"/>
      <c r="E121" s="108" t="inlineStr">
        <is>
          <t>↑ Volver al índice</t>
        </is>
      </c>
      <c r="F121" s="84" t="n"/>
      <c r="G121" s="84" t="n"/>
      <c r="H121" s="117" t="n"/>
      <c r="I121" s="118" t="n"/>
      <c r="J121" s="118" t="n"/>
      <c r="K121" s="98" t="n"/>
      <c r="L121" s="84" t="n"/>
      <c r="M121" s="84" t="n"/>
      <c r="N121" s="84" t="n"/>
      <c r="O121" s="84" t="n"/>
      <c r="P121" s="84" t="n"/>
      <c r="Q121" s="84" t="n"/>
      <c r="R121" s="84" t="n"/>
      <c r="S121" s="102" t="n"/>
      <c r="T121" s="102" t="n"/>
      <c r="U121" s="102" t="n"/>
      <c r="V121" s="102" t="n"/>
      <c r="W121" s="102" t="n"/>
      <c r="X121" s="102" t="n"/>
      <c r="Y121" s="102" t="n"/>
      <c r="Z121" s="102" t="n"/>
      <c r="AA121" s="102" t="n"/>
      <c r="AB121" s="102" t="n"/>
      <c r="AC121" s="102">
        <f>IFERROR(__xludf.DUMMYFUNCTION("""COMPUTED_VALUE"""),"7 3/8")</f>
        <v/>
      </c>
      <c r="AD121" s="102">
        <f>IFERROR(__xludf.DUMMYFUNCTION("""COMPUTED_VALUE"""),9.5)</f>
        <v/>
      </c>
    </row>
    <row r="122" ht="16.5" customHeight="1" s="176">
      <c r="A122" s="109" t="inlineStr">
        <is>
          <t>División</t>
        </is>
      </c>
      <c r="B122" s="109" t="inlineStr">
        <is>
          <t>Género</t>
        </is>
      </c>
      <c r="C122" s="109" t="inlineStr">
        <is>
          <t>Temporada</t>
        </is>
      </c>
      <c r="D122" s="109" t="inlineStr">
        <is>
          <t>Ciclo de vida</t>
        </is>
      </c>
      <c r="E122" s="109" t="inlineStr">
        <is>
          <t>Unidad</t>
        </is>
      </c>
      <c r="F122" s="84" t="n"/>
      <c r="G122" s="84" t="n"/>
      <c r="H122" s="117" t="n"/>
      <c r="I122" s="118" t="n"/>
      <c r="J122" s="118" t="n"/>
      <c r="K122" s="98" t="n"/>
      <c r="L122" s="84" t="n"/>
      <c r="M122" s="84" t="n"/>
      <c r="N122" s="84" t="n"/>
      <c r="O122" s="84" t="n"/>
      <c r="P122" s="84" t="n"/>
      <c r="Q122" s="84" t="n"/>
      <c r="R122" s="84" t="n"/>
      <c r="S122" s="102" t="n"/>
      <c r="T122" s="102" t="n"/>
      <c r="U122" s="102" t="n"/>
      <c r="V122" s="102" t="n"/>
      <c r="W122" s="102" t="n"/>
      <c r="X122" s="102" t="n"/>
      <c r="Y122" s="102" t="n"/>
      <c r="Z122" s="102" t="n"/>
      <c r="AA122" s="102" t="n"/>
      <c r="AB122" s="102" t="n"/>
      <c r="AC122" s="102">
        <f>IFERROR(__xludf.DUMMYFUNCTION("""COMPUTED_VALUE"""),"7 1/2")</f>
        <v/>
      </c>
      <c r="AD122" s="102">
        <f>IFERROR(__xludf.DUMMYFUNCTION("""COMPUTED_VALUE"""),10.5)</f>
        <v/>
      </c>
    </row>
    <row r="123" ht="16.5" customHeight="1" s="176">
      <c r="A123" s="120" t="inlineStr">
        <is>
          <t>Accesorios</t>
        </is>
      </c>
      <c r="B123" s="120" t="inlineStr">
        <is>
          <t>Hombre</t>
        </is>
      </c>
      <c r="C123" s="120" t="inlineStr">
        <is>
          <t>SS26</t>
        </is>
      </c>
      <c r="D123" s="120" t="inlineStr">
        <is>
          <t>Seasonal</t>
        </is>
      </c>
      <c r="E123" s="120" t="inlineStr">
        <is>
          <t>PZS</t>
        </is>
      </c>
      <c r="F123" s="84" t="n"/>
      <c r="G123" s="84" t="n"/>
      <c r="H123" s="117" t="n"/>
      <c r="I123" s="118" t="n"/>
      <c r="J123" s="118" t="n"/>
      <c r="K123" s="98" t="n"/>
      <c r="L123" s="84" t="n"/>
      <c r="M123" s="84" t="n"/>
      <c r="N123" s="84" t="n"/>
      <c r="O123" s="84" t="n"/>
      <c r="P123" s="84" t="n"/>
      <c r="Q123" s="84" t="n"/>
      <c r="R123" s="84" t="n"/>
      <c r="S123" s="102" t="n"/>
      <c r="T123" s="102" t="n"/>
      <c r="U123" s="102" t="n"/>
      <c r="V123" s="102" t="n"/>
      <c r="W123" s="102" t="n"/>
      <c r="X123" s="102" t="n"/>
      <c r="Y123" s="102" t="n"/>
      <c r="Z123" s="102" t="n"/>
      <c r="AA123" s="102" t="n"/>
      <c r="AB123" s="102" t="n"/>
      <c r="AC123" s="102">
        <f>IFERROR(__xludf.DUMMYFUNCTION("""COMPUTED_VALUE"""),"7 5/8")</f>
        <v/>
      </c>
      <c r="AD123" s="102">
        <f>IFERROR(__xludf.DUMMYFUNCTION("""COMPUTED_VALUE"""),11.0)</f>
        <v/>
      </c>
    </row>
    <row r="124" ht="16.5" customHeight="1" s="176">
      <c r="A124" s="120" t="inlineStr">
        <is>
          <t>Ropa</t>
        </is>
      </c>
      <c r="B124" s="120" t="inlineStr">
        <is>
          <t>Mujer</t>
        </is>
      </c>
      <c r="C124" s="120" t="inlineStr">
        <is>
          <t>FW26</t>
        </is>
      </c>
      <c r="D124" s="120" t="inlineStr">
        <is>
          <t>Core</t>
        </is>
      </c>
      <c r="E124" s="120" t="inlineStr">
        <is>
          <t>PRS</t>
        </is>
      </c>
      <c r="F124" s="84" t="n"/>
      <c r="G124" s="84" t="n"/>
      <c r="H124" s="117" t="n"/>
      <c r="I124" s="118" t="n"/>
      <c r="J124" s="118" t="n"/>
      <c r="K124" s="98" t="n"/>
      <c r="L124" s="84" t="n"/>
      <c r="M124" s="84" t="n"/>
      <c r="N124" s="84" t="n"/>
      <c r="O124" s="84" t="n"/>
      <c r="P124" s="84" t="n"/>
      <c r="Q124" s="84" t="n"/>
      <c r="R124" s="84" t="n"/>
      <c r="S124" s="102" t="n"/>
      <c r="T124" s="102" t="n"/>
      <c r="U124" s="102" t="n"/>
      <c r="V124" s="102" t="n"/>
      <c r="W124" s="102" t="n"/>
      <c r="X124" s="102" t="n"/>
      <c r="Y124" s="102" t="n"/>
      <c r="Z124" s="102" t="n"/>
      <c r="AA124" s="102" t="n"/>
      <c r="AB124" s="102" t="n"/>
      <c r="AC124" s="102">
        <f>IFERROR(__xludf.DUMMYFUNCTION("""COMPUTED_VALUE"""),"7 3/4")</f>
        <v/>
      </c>
      <c r="AD124" s="102">
        <f>IFERROR(__xludf.DUMMYFUNCTION("""COMPUTED_VALUE"""),11.5)</f>
        <v/>
      </c>
    </row>
    <row r="125" ht="16.5" customHeight="1" s="176">
      <c r="A125" s="120" t="inlineStr">
        <is>
          <t>Denim</t>
        </is>
      </c>
      <c r="B125" s="120" t="inlineStr">
        <is>
          <t>Niño</t>
        </is>
      </c>
      <c r="C125" s="120" t="inlineStr">
        <is>
          <t>SS27</t>
        </is>
      </c>
      <c r="D125" s="120" t="n"/>
      <c r="E125" s="120" t="n"/>
      <c r="F125" s="84" t="n"/>
      <c r="G125" s="84" t="n"/>
      <c r="H125" s="117" t="n"/>
      <c r="I125" s="118" t="n"/>
      <c r="J125" s="118" t="n"/>
      <c r="K125" s="98" t="n"/>
      <c r="L125" s="84" t="n"/>
      <c r="M125" s="84" t="n"/>
      <c r="N125" s="84" t="n"/>
      <c r="O125" s="84" t="n"/>
      <c r="P125" s="84" t="n"/>
      <c r="Q125" s="84" t="n"/>
      <c r="R125" s="84" t="n"/>
      <c r="S125" s="102" t="n"/>
      <c r="T125" s="102" t="n"/>
      <c r="U125" s="102" t="n"/>
      <c r="V125" s="102" t="n"/>
      <c r="W125" s="102" t="n"/>
      <c r="X125" s="102" t="n"/>
      <c r="Y125" s="102" t="n"/>
      <c r="Z125" s="102" t="n"/>
      <c r="AA125" s="102" t="n"/>
      <c r="AB125" s="102" t="n"/>
      <c r="AC125" s="102">
        <f>IFERROR(__xludf.DUMMYFUNCTION("""COMPUTED_VALUE"""),"7 7/8")</f>
        <v/>
      </c>
      <c r="AD125" s="102">
        <f>IFERROR(__xludf.DUMMYFUNCTION("""COMPUTED_VALUE"""),12.5)</f>
        <v/>
      </c>
    </row>
    <row r="126" ht="16.5" customHeight="1" s="176">
      <c r="A126" s="120" t="inlineStr">
        <is>
          <t>Calzado</t>
        </is>
      </c>
      <c r="B126" s="120" t="inlineStr">
        <is>
          <t>Niña</t>
        </is>
      </c>
      <c r="C126" s="120" t="inlineStr">
        <is>
          <t>FW27</t>
        </is>
      </c>
      <c r="D126" s="120" t="n"/>
      <c r="E126" s="120" t="n"/>
      <c r="F126" s="84" t="n"/>
      <c r="G126" s="84" t="n"/>
      <c r="H126" s="117" t="n"/>
      <c r="I126" s="118" t="n"/>
      <c r="J126" s="118" t="n"/>
      <c r="K126" s="98" t="n"/>
      <c r="L126" s="84" t="n"/>
      <c r="M126" s="84" t="n"/>
      <c r="N126" s="84" t="n"/>
      <c r="O126" s="84" t="n"/>
      <c r="P126" s="84" t="n"/>
      <c r="Q126" s="84" t="n"/>
      <c r="R126" s="84" t="n"/>
      <c r="S126" s="102" t="n"/>
      <c r="T126" s="102" t="n"/>
      <c r="U126" s="102" t="n"/>
      <c r="V126" s="102" t="n"/>
      <c r="W126" s="102" t="n"/>
      <c r="X126" s="102" t="n"/>
      <c r="Y126" s="102" t="n"/>
      <c r="Z126" s="102" t="n"/>
      <c r="AA126" s="102" t="n"/>
      <c r="AB126" s="102" t="n"/>
      <c r="AC126" s="102">
        <f>IFERROR(__xludf.DUMMYFUNCTION("""COMPUTED_VALUE"""),25.0)</f>
        <v/>
      </c>
      <c r="AD126" s="102">
        <f>IFERROR(__xludf.DUMMYFUNCTION("""COMPUTED_VALUE"""),13.0)</f>
        <v/>
      </c>
    </row>
    <row r="127" ht="16.5" customHeight="1" s="176">
      <c r="A127" s="120" t="n"/>
      <c r="B127" s="120" t="inlineStr">
        <is>
          <t>Unisex</t>
        </is>
      </c>
      <c r="C127" s="120" t="inlineStr">
        <is>
          <t>SS28</t>
        </is>
      </c>
      <c r="D127" s="120" t="n"/>
      <c r="E127" s="120" t="n"/>
      <c r="F127" s="84" t="n"/>
      <c r="G127" s="84" t="n"/>
      <c r="H127" s="117" t="n"/>
      <c r="I127" s="118" t="n"/>
      <c r="J127" s="118" t="n"/>
      <c r="K127" s="98" t="n"/>
      <c r="L127" s="84" t="n"/>
      <c r="M127" s="84" t="n"/>
      <c r="N127" s="84" t="n"/>
      <c r="O127" s="84" t="n"/>
      <c r="P127" s="84" t="n"/>
      <c r="Q127" s="84" t="n"/>
      <c r="R127" s="84" t="n"/>
      <c r="S127" s="102" t="n"/>
      <c r="T127" s="102" t="n"/>
      <c r="U127" s="102" t="n"/>
      <c r="V127" s="102" t="n"/>
      <c r="W127" s="102" t="n"/>
      <c r="X127" s="102" t="n"/>
      <c r="Y127" s="102" t="n"/>
      <c r="Z127" s="102" t="n"/>
      <c r="AA127" s="102" t="n"/>
      <c r="AB127" s="102" t="n"/>
      <c r="AC127" s="102">
        <f>IFERROR(__xludf.DUMMYFUNCTION("""COMPUTED_VALUE"""),25.5)</f>
        <v/>
      </c>
      <c r="AD127" s="102">
        <f>IFERROR(__xludf.DUMMYFUNCTION("""COMPUTED_VALUE"""),13.5)</f>
        <v/>
      </c>
    </row>
    <row r="128" ht="16.5" customHeight="1" s="176">
      <c r="A128" s="120" t="n"/>
      <c r="B128" s="120" t="n"/>
      <c r="C128" s="120" t="inlineStr">
        <is>
          <t>FW28</t>
        </is>
      </c>
      <c r="D128" s="120" t="n"/>
      <c r="E128" s="120" t="n"/>
      <c r="F128" s="84" t="n"/>
      <c r="G128" s="84" t="n"/>
      <c r="H128" s="117" t="n"/>
      <c r="I128" s="118" t="n"/>
      <c r="J128" s="118" t="n"/>
      <c r="K128" s="98" t="n"/>
      <c r="L128" s="84" t="n"/>
      <c r="M128" s="84" t="n"/>
      <c r="N128" s="84" t="n"/>
      <c r="O128" s="84" t="n"/>
      <c r="P128" s="84" t="n"/>
      <c r="Q128" s="84" t="n"/>
      <c r="R128" s="84" t="n"/>
      <c r="S128" s="102" t="n"/>
      <c r="T128" s="102" t="n"/>
      <c r="U128" s="102" t="n"/>
      <c r="V128" s="102" t="n"/>
      <c r="W128" s="102" t="n"/>
      <c r="X128" s="102" t="n"/>
      <c r="Y128" s="102" t="n"/>
      <c r="Z128" s="102" t="n"/>
      <c r="AA128" s="102" t="n"/>
      <c r="AB128" s="102" t="n"/>
      <c r="AC128" s="102">
        <f>IFERROR(__xludf.DUMMYFUNCTION("""COMPUTED_VALUE"""),26.0)</f>
        <v/>
      </c>
      <c r="AD128" s="102">
        <f>IFERROR(__xludf.DUMMYFUNCTION("""COMPUTED_VALUE"""),14.5)</f>
        <v/>
      </c>
    </row>
    <row r="129" ht="9.75" customHeight="1" s="176">
      <c r="A129" s="107" t="n"/>
      <c r="B129" s="107" t="n"/>
      <c r="C129" s="107" t="n"/>
      <c r="D129" s="107" t="n"/>
      <c r="E129" s="107" t="n"/>
      <c r="F129" s="84" t="n"/>
      <c r="G129" s="84" t="n"/>
      <c r="H129" s="117" t="n"/>
      <c r="I129" s="118" t="n"/>
      <c r="J129" s="118" t="n"/>
      <c r="K129" s="98" t="n"/>
      <c r="L129" s="84" t="n"/>
      <c r="M129" s="84" t="n"/>
      <c r="N129" s="84" t="n"/>
      <c r="O129" s="84" t="n"/>
      <c r="P129" s="84" t="n"/>
      <c r="Q129" s="84" t="n"/>
      <c r="R129" s="84" t="n"/>
      <c r="S129" s="102" t="n"/>
      <c r="T129" s="102" t="n"/>
      <c r="U129" s="102" t="n"/>
      <c r="V129" s="102" t="n"/>
      <c r="W129" s="102" t="n"/>
      <c r="X129" s="102" t="n"/>
      <c r="Y129" s="102" t="n"/>
      <c r="Z129" s="102" t="n"/>
      <c r="AA129" s="102" t="n"/>
      <c r="AB129" s="102" t="n"/>
      <c r="AC129" s="102">
        <f>IFERROR(__xludf.DUMMYFUNCTION("""COMPUTED_VALUE"""),26.5)</f>
        <v/>
      </c>
      <c r="AD129" s="102">
        <f>IFERROR(__xludf.DUMMYFUNCTION("""COMPUTED_VALUE"""),5.0)</f>
        <v/>
      </c>
    </row>
    <row r="130" ht="9.75" customHeight="1" s="176">
      <c r="A130" s="107" t="n"/>
      <c r="B130" s="107" t="n"/>
      <c r="C130" s="107" t="n"/>
      <c r="D130" s="107" t="n"/>
      <c r="E130" s="107" t="n"/>
      <c r="F130" s="84" t="n"/>
      <c r="G130" s="84" t="n"/>
      <c r="H130" s="117" t="n"/>
      <c r="I130" s="118" t="n"/>
      <c r="J130" s="118" t="n"/>
      <c r="K130" s="98" t="n"/>
      <c r="L130" s="84" t="n"/>
      <c r="M130" s="84" t="n"/>
      <c r="N130" s="84" t="n"/>
      <c r="O130" s="84" t="n"/>
      <c r="P130" s="84" t="n"/>
      <c r="Q130" s="84" t="n"/>
      <c r="R130" s="84" t="n"/>
      <c r="S130" s="102" t="n"/>
      <c r="T130" s="102" t="n"/>
      <c r="U130" s="102" t="n"/>
      <c r="V130" s="102" t="n"/>
      <c r="W130" s="102" t="n"/>
      <c r="X130" s="102" t="n"/>
      <c r="Y130" s="102" t="n"/>
      <c r="Z130" s="102" t="n"/>
      <c r="AA130" s="102" t="n"/>
      <c r="AB130" s="102" t="n"/>
      <c r="AC130" s="102">
        <f>IFERROR(__xludf.DUMMYFUNCTION("""COMPUTED_VALUE"""),27.0)</f>
        <v/>
      </c>
      <c r="AD130" s="102">
        <f>IFERROR(__xludf.DUMMYFUNCTION("""COMPUTED_VALUE"""),5.5)</f>
        <v/>
      </c>
    </row>
    <row r="131" ht="21.75" customHeight="1" s="176">
      <c r="A131" s="86" t="inlineStr">
        <is>
          <t>5. MARCAS</t>
        </is>
      </c>
      <c r="B131" s="86" t="n"/>
      <c r="C131" s="86" t="n"/>
      <c r="D131" s="86" t="n"/>
      <c r="E131" s="108" t="inlineStr">
        <is>
          <t>↑ Volver al índice</t>
        </is>
      </c>
      <c r="F131" s="84" t="n"/>
      <c r="G131" s="84" t="n"/>
      <c r="H131" s="117" t="n"/>
      <c r="I131" s="118" t="n"/>
      <c r="J131" s="118" t="n"/>
      <c r="K131" s="98" t="n"/>
      <c r="L131" s="84" t="n"/>
      <c r="M131" s="84" t="n"/>
      <c r="N131" s="84" t="n"/>
      <c r="O131" s="84" t="n"/>
      <c r="P131" s="84" t="n"/>
      <c r="Q131" s="84" t="n"/>
      <c r="R131" s="84" t="n"/>
      <c r="S131" s="102" t="n"/>
      <c r="T131" s="102" t="n"/>
      <c r="U131" s="102" t="n"/>
      <c r="V131" s="102" t="n"/>
      <c r="W131" s="102" t="n"/>
      <c r="X131" s="102" t="n"/>
      <c r="Y131" s="102" t="n"/>
      <c r="Z131" s="102" t="n"/>
      <c r="AA131" s="102" t="n"/>
      <c r="AB131" s="102" t="n"/>
      <c r="AC131" s="102">
        <f>IFERROR(__xludf.DUMMYFUNCTION("""COMPUTED_VALUE"""),27.5)</f>
        <v/>
      </c>
      <c r="AD131" s="102">
        <f>IFERROR(__xludf.DUMMYFUNCTION("""COMPUTED_VALUE"""),6.5)</f>
        <v/>
      </c>
    </row>
    <row r="132" ht="16.5" customHeight="1" s="176">
      <c r="A132" s="110" t="inlineStr">
        <is>
          <t>Marca</t>
        </is>
      </c>
      <c r="B132" s="184" t="inlineStr">
        <is>
          <t>Alimenta los desplegables Marca principal y WB Marca. Agrega marcas nuevas en la primera fila vacía (hasta la fila 149).</t>
        </is>
      </c>
      <c r="C132" s="182" t="n"/>
      <c r="D132" s="182" t="n"/>
      <c r="E132" s="183" t="n"/>
      <c r="F132" s="84" t="n"/>
      <c r="G132" s="84" t="n"/>
      <c r="H132" s="117" t="n"/>
      <c r="I132" s="118" t="n"/>
      <c r="J132" s="118" t="n"/>
      <c r="K132" s="98" t="n"/>
      <c r="L132" s="84" t="n"/>
      <c r="M132" s="84" t="n"/>
      <c r="N132" s="84" t="n"/>
      <c r="O132" s="84" t="n"/>
      <c r="P132" s="84" t="n"/>
      <c r="Q132" s="84" t="n"/>
      <c r="R132" s="84" t="n"/>
      <c r="S132" s="102" t="n"/>
      <c r="T132" s="102" t="n"/>
      <c r="U132" s="102" t="n"/>
      <c r="V132" s="102" t="n"/>
      <c r="W132" s="102" t="n"/>
      <c r="X132" s="102" t="n"/>
      <c r="Y132" s="102" t="n"/>
      <c r="Z132" s="102" t="n"/>
      <c r="AA132" s="102" t="n"/>
      <c r="AB132" s="102" t="n"/>
      <c r="AC132" s="102">
        <f>IFERROR(__xludf.DUMMYFUNCTION("""COMPUTED_VALUE"""),28.0)</f>
        <v/>
      </c>
      <c r="AD132" s="102">
        <f>IFERROR(__xludf.DUMMYFUNCTION("""COMPUTED_VALUE"""),"4 EE")</f>
        <v/>
      </c>
    </row>
    <row r="133" ht="16.5" customHeight="1" s="176">
      <c r="A133" s="116" t="inlineStr">
        <is>
          <t>Roper</t>
        </is>
      </c>
      <c r="B133" s="122" t="n"/>
      <c r="C133" s="122" t="n"/>
      <c r="D133" s="122" t="n"/>
      <c r="E133" s="122" t="n"/>
      <c r="F133" s="84" t="n"/>
      <c r="G133" s="84" t="n"/>
      <c r="H133" s="117" t="n"/>
      <c r="I133" s="118" t="n"/>
      <c r="J133" s="118" t="n"/>
      <c r="K133" s="98" t="n"/>
      <c r="L133" s="84" t="n"/>
      <c r="M133" s="84" t="n"/>
      <c r="N133" s="84" t="n"/>
      <c r="O133" s="84" t="n"/>
      <c r="P133" s="84" t="n"/>
      <c r="Q133" s="84" t="n"/>
      <c r="R133" s="84" t="n"/>
      <c r="S133" s="102" t="n"/>
      <c r="T133" s="102" t="n"/>
      <c r="U133" s="102" t="n"/>
      <c r="V133" s="102" t="n"/>
      <c r="W133" s="102" t="n"/>
      <c r="X133" s="102" t="n"/>
      <c r="Y133" s="102" t="n"/>
      <c r="Z133" s="102" t="n"/>
      <c r="AA133" s="102" t="n"/>
      <c r="AB133" s="102" t="n"/>
      <c r="AC133" s="102">
        <f>IFERROR(__xludf.DUMMYFUNCTION("""COMPUTED_VALUE"""),28.5)</f>
        <v/>
      </c>
      <c r="AD133" s="102">
        <f>IFERROR(__xludf.DUMMYFUNCTION("""COMPUTED_VALUE"""),"5 EE")</f>
        <v/>
      </c>
    </row>
    <row r="134" ht="16.5" customHeight="1" s="176">
      <c r="A134" s="116" t="inlineStr">
        <is>
          <t>Denver</t>
        </is>
      </c>
      <c r="B134" s="122" t="n"/>
      <c r="C134" s="122" t="n"/>
      <c r="D134" s="122" t="n"/>
      <c r="E134" s="122" t="n"/>
      <c r="F134" s="84" t="n"/>
      <c r="G134" s="84" t="n"/>
      <c r="H134" s="117" t="n"/>
      <c r="I134" s="118" t="n"/>
      <c r="J134" s="118" t="n"/>
      <c r="K134" s="98" t="n"/>
      <c r="L134" s="84" t="n"/>
      <c r="M134" s="84" t="n"/>
      <c r="N134" s="84" t="n"/>
      <c r="O134" s="84" t="n"/>
      <c r="P134" s="84" t="n"/>
      <c r="Q134" s="84" t="n"/>
      <c r="R134" s="84" t="n"/>
      <c r="S134" s="102" t="n"/>
      <c r="T134" s="102" t="n"/>
      <c r="U134" s="102" t="n"/>
      <c r="V134" s="102" t="n"/>
      <c r="W134" s="102" t="n"/>
      <c r="X134" s="102" t="n"/>
      <c r="Y134" s="102" t="n"/>
      <c r="Z134" s="102" t="n"/>
      <c r="AA134" s="102" t="n"/>
      <c r="AB134" s="102" t="n"/>
      <c r="AC134" s="102">
        <f>IFERROR(__xludf.DUMMYFUNCTION("""COMPUTED_VALUE"""),29.0)</f>
        <v/>
      </c>
      <c r="AD134" s="102">
        <f>IFERROR(__xludf.DUMMYFUNCTION("""COMPUTED_VALUE"""),"6 D")</f>
        <v/>
      </c>
    </row>
    <row r="135" ht="16.5" customHeight="1" s="176">
      <c r="A135" s="116" t="inlineStr">
        <is>
          <t>Ariat</t>
        </is>
      </c>
      <c r="B135" s="122" t="n"/>
      <c r="C135" s="122" t="n"/>
      <c r="D135" s="122" t="n"/>
      <c r="E135" s="122" t="n"/>
      <c r="F135" s="84" t="n"/>
      <c r="G135" s="84" t="n"/>
      <c r="H135" s="117" t="n"/>
      <c r="I135" s="118" t="n"/>
      <c r="J135" s="118" t="n"/>
      <c r="K135" s="98" t="n"/>
      <c r="L135" s="84" t="n"/>
      <c r="M135" s="84" t="n"/>
      <c r="N135" s="84" t="n"/>
      <c r="O135" s="84" t="n"/>
      <c r="P135" s="84" t="n"/>
      <c r="Q135" s="84" t="n"/>
      <c r="R135" s="84" t="n"/>
      <c r="S135" s="102" t="n"/>
      <c r="T135" s="102" t="n"/>
      <c r="U135" s="102" t="n"/>
      <c r="V135" s="102" t="n"/>
      <c r="W135" s="102" t="n"/>
      <c r="X135" s="102" t="n"/>
      <c r="Y135" s="102" t="n"/>
      <c r="Z135" s="102" t="n"/>
      <c r="AA135" s="102" t="n"/>
      <c r="AB135" s="102" t="n"/>
      <c r="AC135" s="102">
        <f>IFERROR(__xludf.DUMMYFUNCTION("""COMPUTED_VALUE"""),29.5)</f>
        <v/>
      </c>
      <c r="AD135" s="102">
        <f>IFERROR(__xludf.DUMMYFUNCTION("""COMPUTED_VALUE"""),"6 EE")</f>
        <v/>
      </c>
    </row>
    <row r="136" ht="16.5" customHeight="1" s="176">
      <c r="A136" s="116" t="inlineStr">
        <is>
          <t>Wrangler</t>
        </is>
      </c>
      <c r="B136" s="122" t="n"/>
      <c r="C136" s="122" t="n"/>
      <c r="D136" s="122" t="n"/>
      <c r="E136" s="122" t="n"/>
      <c r="F136" s="84" t="n"/>
      <c r="G136" s="84" t="n"/>
      <c r="H136" s="117" t="n"/>
      <c r="I136" s="118" t="n"/>
      <c r="J136" s="118" t="n"/>
      <c r="K136" s="98" t="n"/>
      <c r="L136" s="84" t="n"/>
      <c r="M136" s="84" t="n"/>
      <c r="N136" s="84" t="n"/>
      <c r="O136" s="84" t="n"/>
      <c r="P136" s="84" t="n"/>
      <c r="Q136" s="84" t="n"/>
      <c r="R136" s="84" t="n"/>
      <c r="S136" s="102" t="n"/>
      <c r="T136" s="102" t="n"/>
      <c r="U136" s="102" t="n"/>
      <c r="V136" s="102" t="n"/>
      <c r="W136" s="102" t="n"/>
      <c r="X136" s="102" t="n"/>
      <c r="Y136" s="102" t="n"/>
      <c r="Z136" s="102" t="n"/>
      <c r="AA136" s="102" t="n"/>
      <c r="AB136" s="102" t="n"/>
      <c r="AC136" s="102">
        <f>IFERROR(__xludf.DUMMYFUNCTION("""COMPUTED_VALUE"""),30.0)</f>
        <v/>
      </c>
      <c r="AD136" s="102">
        <f>IFERROR(__xludf.DUMMYFUNCTION("""COMPUTED_VALUE"""),"6.5 D")</f>
        <v/>
      </c>
    </row>
    <row r="137" ht="16.5" customHeight="1" s="176">
      <c r="A137" s="116" t="inlineStr">
        <is>
          <t>Stetson</t>
        </is>
      </c>
      <c r="B137" s="122" t="n"/>
      <c r="C137" s="122" t="n"/>
      <c r="D137" s="122" t="n"/>
      <c r="E137" s="122" t="n"/>
      <c r="F137" s="84" t="n"/>
      <c r="G137" s="84" t="n"/>
      <c r="H137" s="117" t="n"/>
      <c r="I137" s="118" t="n"/>
      <c r="J137" s="118" t="n"/>
      <c r="K137" s="98" t="n"/>
      <c r="L137" s="84" t="n"/>
      <c r="M137" s="84" t="n"/>
      <c r="N137" s="84" t="n"/>
      <c r="O137" s="84" t="n"/>
      <c r="P137" s="84" t="n"/>
      <c r="Q137" s="84" t="n"/>
      <c r="R137" s="84" t="n"/>
      <c r="S137" s="102" t="n"/>
      <c r="T137" s="102" t="n"/>
      <c r="U137" s="102" t="n"/>
      <c r="V137" s="102" t="n"/>
      <c r="W137" s="102" t="n"/>
      <c r="X137" s="102" t="n"/>
      <c r="Y137" s="102" t="n"/>
      <c r="Z137" s="102" t="n"/>
      <c r="AA137" s="102" t="n"/>
      <c r="AB137" s="102" t="n"/>
      <c r="AC137" s="102">
        <f>IFERROR(__xludf.DUMMYFUNCTION("""COMPUTED_VALUE"""),30.5)</f>
        <v/>
      </c>
      <c r="AD137" s="102">
        <f>IFERROR(__xludf.DUMMYFUNCTION("""COMPUTED_VALUE"""),"6.5 EE")</f>
        <v/>
      </c>
    </row>
    <row r="138" ht="16.5" customHeight="1" s="176">
      <c r="A138" s="116" t="inlineStr">
        <is>
          <t>Montana West</t>
        </is>
      </c>
      <c r="B138" s="122" t="n"/>
      <c r="C138" s="122" t="n"/>
      <c r="D138" s="122" t="n"/>
      <c r="E138" s="122" t="n"/>
      <c r="F138" s="84" t="n"/>
      <c r="G138" s="84" t="n"/>
      <c r="H138" s="117" t="n"/>
      <c r="I138" s="118" t="n"/>
      <c r="J138" s="118" t="n"/>
      <c r="K138" s="98" t="n"/>
      <c r="L138" s="84" t="n"/>
      <c r="M138" s="84" t="n"/>
      <c r="N138" s="84" t="n"/>
      <c r="O138" s="84" t="n"/>
      <c r="P138" s="84" t="n"/>
      <c r="Q138" s="84" t="n"/>
      <c r="R138" s="84" t="n"/>
      <c r="S138" s="102" t="n"/>
      <c r="T138" s="102" t="n"/>
      <c r="U138" s="102" t="n"/>
      <c r="V138" s="102" t="n"/>
      <c r="W138" s="102" t="n"/>
      <c r="X138" s="102" t="n"/>
      <c r="Y138" s="102" t="n"/>
      <c r="Z138" s="102" t="n"/>
      <c r="AA138" s="102" t="n"/>
      <c r="AB138" s="102" t="n"/>
      <c r="AC138" s="102">
        <f>IFERROR(__xludf.DUMMYFUNCTION("""COMPUTED_VALUE"""),31.0)</f>
        <v/>
      </c>
      <c r="AD138" s="102">
        <f>IFERROR(__xludf.DUMMYFUNCTION("""COMPUTED_VALUE"""),"7 D")</f>
        <v/>
      </c>
    </row>
    <row r="139" ht="16.5" customHeight="1" s="176">
      <c r="A139" s="116" t="inlineStr">
        <is>
          <t>Tru Western</t>
        </is>
      </c>
      <c r="B139" s="122" t="n"/>
      <c r="C139" s="122" t="n"/>
      <c r="D139" s="122" t="n"/>
      <c r="E139" s="122" t="n"/>
      <c r="F139" s="84" t="n"/>
      <c r="G139" s="84" t="n"/>
      <c r="H139" s="117" t="n"/>
      <c r="I139" s="118" t="n"/>
      <c r="J139" s="118" t="n"/>
      <c r="K139" s="98" t="n"/>
      <c r="L139" s="84" t="n"/>
      <c r="M139" s="84" t="n"/>
      <c r="N139" s="84" t="n"/>
      <c r="O139" s="84" t="n"/>
      <c r="P139" s="84" t="n"/>
      <c r="Q139" s="84" t="n"/>
      <c r="R139" s="84" t="n"/>
      <c r="S139" s="102" t="n"/>
      <c r="T139" s="102" t="n"/>
      <c r="U139" s="102" t="n"/>
      <c r="V139" s="102" t="n"/>
      <c r="W139" s="102" t="n"/>
      <c r="X139" s="102" t="n"/>
      <c r="Y139" s="102" t="n"/>
      <c r="Z139" s="102" t="n"/>
      <c r="AA139" s="102" t="n"/>
      <c r="AB139" s="102" t="n"/>
      <c r="AC139" s="102">
        <f>IFERROR(__xludf.DUMMYFUNCTION("""COMPUTED_VALUE"""),31.5)</f>
        <v/>
      </c>
      <c r="AD139" s="102">
        <f>IFERROR(__xludf.DUMMYFUNCTION("""COMPUTED_VALUE"""),"7 EE")</f>
        <v/>
      </c>
    </row>
    <row r="140" ht="16.5" customHeight="1" s="176">
      <c r="A140" s="116" t="inlineStr">
        <is>
          <t>Ranch &amp; Corral</t>
        </is>
      </c>
      <c r="B140" s="122" t="n"/>
      <c r="C140" s="122" t="n"/>
      <c r="D140" s="122" t="n"/>
      <c r="E140" s="122" t="n"/>
      <c r="F140" s="84" t="n"/>
      <c r="G140" s="84" t="n"/>
      <c r="H140" s="117" t="n"/>
      <c r="I140" s="118" t="n"/>
      <c r="J140" s="118" t="n"/>
      <c r="K140" s="98" t="n"/>
      <c r="L140" s="84" t="n"/>
      <c r="M140" s="84" t="n"/>
      <c r="N140" s="84" t="n"/>
      <c r="O140" s="84" t="n"/>
      <c r="P140" s="84" t="n"/>
      <c r="Q140" s="84" t="n"/>
      <c r="R140" s="84" t="n"/>
      <c r="S140" s="102" t="n"/>
      <c r="T140" s="102" t="n"/>
      <c r="U140" s="102" t="n"/>
      <c r="V140" s="102" t="n"/>
      <c r="W140" s="102" t="n"/>
      <c r="X140" s="102" t="n"/>
      <c r="Y140" s="102" t="n"/>
      <c r="Z140" s="102" t="n"/>
      <c r="AA140" s="102" t="n"/>
      <c r="AB140" s="102" t="n"/>
      <c r="AC140" s="102">
        <f>IFERROR(__xludf.DUMMYFUNCTION("""COMPUTED_VALUE"""),32.0)</f>
        <v/>
      </c>
      <c r="AD140" s="102">
        <f>IFERROR(__xludf.DUMMYFUNCTION("""COMPUTED_VALUE"""),"7 FM")</f>
        <v/>
      </c>
    </row>
    <row r="141" ht="16.5" customHeight="1" s="176">
      <c r="A141" s="116" t="inlineStr">
        <is>
          <t>Jony Lama</t>
        </is>
      </c>
      <c r="B141" s="122" t="n"/>
      <c r="C141" s="122" t="n"/>
      <c r="D141" s="122" t="n"/>
      <c r="E141" s="122" t="n"/>
      <c r="F141" s="84" t="n"/>
      <c r="G141" s="84" t="n"/>
      <c r="H141" s="117" t="n"/>
      <c r="I141" s="118" t="n"/>
      <c r="J141" s="118" t="n"/>
      <c r="K141" s="98" t="n"/>
      <c r="L141" s="84" t="n"/>
      <c r="M141" s="84" t="n"/>
      <c r="N141" s="84" t="n"/>
      <c r="O141" s="84" t="n"/>
      <c r="P141" s="84" t="n"/>
      <c r="Q141" s="84" t="n"/>
      <c r="R141" s="84" t="n"/>
      <c r="S141" s="102" t="n"/>
      <c r="T141" s="102" t="n"/>
      <c r="U141" s="102" t="n"/>
      <c r="V141" s="102" t="n"/>
      <c r="W141" s="102" t="n"/>
      <c r="X141" s="102" t="n"/>
      <c r="Y141" s="102" t="n"/>
      <c r="Z141" s="102" t="n"/>
      <c r="AA141" s="102" t="n"/>
      <c r="AB141" s="102" t="n"/>
      <c r="AC141" s="102">
        <f>IFERROR(__xludf.DUMMYFUNCTION("""COMPUTED_VALUE"""),32.5)</f>
        <v/>
      </c>
      <c r="AD141" s="102">
        <f>IFERROR(__xludf.DUMMYFUNCTION("""COMPUTED_VALUE"""),"7 FS")</f>
        <v/>
      </c>
    </row>
    <row r="142" ht="16.5" customHeight="1" s="176">
      <c r="A142" s="116" t="inlineStr">
        <is>
          <t>Justin boots</t>
        </is>
      </c>
      <c r="B142" s="122" t="n"/>
      <c r="C142" s="122" t="n"/>
      <c r="D142" s="122" t="n"/>
      <c r="E142" s="122" t="n"/>
      <c r="F142" s="84" t="n"/>
      <c r="G142" s="84" t="n"/>
      <c r="H142" s="117" t="n"/>
      <c r="I142" s="118" t="n"/>
      <c r="J142" s="118" t="n"/>
      <c r="K142" s="98" t="n"/>
      <c r="L142" s="84" t="n"/>
      <c r="M142" s="84" t="n"/>
      <c r="N142" s="84" t="n"/>
      <c r="O142" s="84" t="n"/>
      <c r="P142" s="84" t="n"/>
      <c r="Q142" s="84" t="n"/>
      <c r="R142" s="84" t="n"/>
      <c r="S142" s="102" t="n"/>
      <c r="T142" s="102" t="n"/>
      <c r="U142" s="102" t="n"/>
      <c r="V142" s="102" t="n"/>
      <c r="W142" s="102" t="n"/>
      <c r="X142" s="102" t="n"/>
      <c r="Y142" s="102" t="n"/>
      <c r="Z142" s="102" t="n"/>
      <c r="AA142" s="102" t="n"/>
      <c r="AB142" s="102" t="n"/>
      <c r="AC142" s="102">
        <f>IFERROR(__xludf.DUMMYFUNCTION("""COMPUTED_VALUE"""),22.0)</f>
        <v/>
      </c>
      <c r="AD142" s="102">
        <f>IFERROR(__xludf.DUMMYFUNCTION("""COMPUTED_VALUE"""),"7 RM")</f>
        <v/>
      </c>
    </row>
    <row r="143" ht="16.5" customHeight="1" s="176">
      <c r="A143" s="116" t="inlineStr">
        <is>
          <t>Yellowstone</t>
        </is>
      </c>
      <c r="B143" s="122" t="n"/>
      <c r="C143" s="122" t="n"/>
      <c r="D143" s="122" t="n"/>
      <c r="E143" s="122" t="n"/>
      <c r="F143" s="84" t="n"/>
      <c r="G143" s="84" t="n"/>
      <c r="H143" s="117" t="n"/>
      <c r="I143" s="118" t="n"/>
      <c r="J143" s="118" t="n"/>
      <c r="K143" s="98" t="n"/>
      <c r="L143" s="84" t="n"/>
      <c r="M143" s="84" t="n"/>
      <c r="N143" s="84" t="n"/>
      <c r="O143" s="84" t="n"/>
      <c r="P143" s="84" t="n"/>
      <c r="Q143" s="84" t="n"/>
      <c r="R143" s="84" t="n"/>
      <c r="S143" s="102" t="n"/>
      <c r="T143" s="102" t="n"/>
      <c r="U143" s="102" t="n"/>
      <c r="V143" s="102" t="n"/>
      <c r="W143" s="102" t="n"/>
      <c r="X143" s="102" t="n"/>
      <c r="Y143" s="102" t="n"/>
      <c r="Z143" s="102" t="n"/>
      <c r="AA143" s="102" t="n"/>
      <c r="AB143" s="102" t="n"/>
      <c r="AC143" s="102">
        <f>IFERROR(__xludf.DUMMYFUNCTION("""COMPUTED_VALUE"""),22.5)</f>
        <v/>
      </c>
      <c r="AD143" s="102">
        <f>IFERROR(__xludf.DUMMYFUNCTION("""COMPUTED_VALUE"""),"7 RS")</f>
        <v/>
      </c>
    </row>
    <row r="144" ht="16.5" customHeight="1" s="176">
      <c r="A144" s="116" t="inlineStr">
        <is>
          <t>Generico</t>
        </is>
      </c>
      <c r="B144" s="122" t="n"/>
      <c r="C144" s="122" t="n"/>
      <c r="D144" s="122" t="n"/>
      <c r="E144" s="122" t="n"/>
      <c r="F144" s="84" t="n"/>
      <c r="G144" s="84" t="n"/>
      <c r="H144" s="117" t="n"/>
      <c r="I144" s="118" t="n"/>
      <c r="J144" s="118" t="n"/>
      <c r="K144" s="98" t="n"/>
      <c r="L144" s="84" t="n"/>
      <c r="M144" s="84" t="n"/>
      <c r="N144" s="84" t="n"/>
      <c r="O144" s="84" t="n"/>
      <c r="P144" s="84" t="n"/>
      <c r="Q144" s="84" t="n"/>
      <c r="R144" s="84" t="n"/>
      <c r="S144" s="102" t="n"/>
      <c r="T144" s="102" t="n"/>
      <c r="U144" s="102" t="n"/>
      <c r="V144" s="102" t="n"/>
      <c r="W144" s="102" t="n"/>
      <c r="X144" s="102" t="n"/>
      <c r="Y144" s="102" t="n"/>
      <c r="Z144" s="102" t="n"/>
      <c r="AA144" s="102" t="n"/>
      <c r="AB144" s="102" t="n"/>
      <c r="AC144" s="102">
        <f>IFERROR(__xludf.DUMMYFUNCTION("""COMPUTED_VALUE"""),23.0)</f>
        <v/>
      </c>
      <c r="AD144" s="102">
        <f>IFERROR(__xludf.DUMMYFUNCTION("""COMPUTED_VALUE"""),"7 RT")</f>
        <v/>
      </c>
    </row>
    <row r="145" ht="16.5" customHeight="1" s="176">
      <c r="A145" s="116" t="inlineStr">
        <is>
          <t>CAPSLAB</t>
        </is>
      </c>
      <c r="B145" s="122" t="n"/>
      <c r="C145" s="122" t="n"/>
      <c r="D145" s="122" t="n"/>
      <c r="E145" s="122" t="n"/>
      <c r="F145" s="84" t="n"/>
      <c r="G145" s="84" t="n"/>
      <c r="H145" s="117" t="n"/>
      <c r="I145" s="118" t="n"/>
      <c r="J145" s="118" t="n"/>
      <c r="K145" s="98" t="n"/>
      <c r="L145" s="84" t="n"/>
      <c r="M145" s="84" t="n"/>
      <c r="N145" s="84" t="n"/>
      <c r="O145" s="84" t="n"/>
      <c r="P145" s="84" t="n"/>
      <c r="Q145" s="84" t="n"/>
      <c r="R145" s="84" t="n"/>
      <c r="S145" s="102" t="n"/>
      <c r="T145" s="102" t="n"/>
      <c r="U145" s="102" t="n"/>
      <c r="V145" s="102" t="n"/>
      <c r="W145" s="102" t="n"/>
      <c r="X145" s="102" t="n"/>
      <c r="Y145" s="102" t="n"/>
      <c r="Z145" s="102" t="n"/>
      <c r="AA145" s="102" t="n"/>
      <c r="AB145" s="102" t="n"/>
      <c r="AC145" s="102">
        <f>IFERROR(__xludf.DUMMYFUNCTION("""COMPUTED_VALUE"""),23.5)</f>
        <v/>
      </c>
      <c r="AD145" s="102">
        <f>IFERROR(__xludf.DUMMYFUNCTION("""COMPUTED_VALUE"""),"7 SM")</f>
        <v/>
      </c>
    </row>
    <row r="146" ht="16.5" customHeight="1" s="176">
      <c r="A146" s="116" t="inlineStr">
        <is>
          <t>Happy Socks</t>
        </is>
      </c>
      <c r="B146" s="122" t="n"/>
      <c r="C146" s="122" t="n"/>
      <c r="D146" s="122" t="n"/>
      <c r="E146" s="122" t="n"/>
      <c r="F146" s="84" t="n"/>
      <c r="G146" s="84" t="n"/>
      <c r="H146" s="117" t="n"/>
      <c r="I146" s="118" t="n"/>
      <c r="J146" s="118" t="n"/>
      <c r="K146" s="98" t="n"/>
      <c r="L146" s="84" t="n"/>
      <c r="M146" s="84" t="n"/>
      <c r="N146" s="84" t="n"/>
      <c r="O146" s="84" t="n"/>
      <c r="P146" s="84" t="n"/>
      <c r="Q146" s="84" t="n"/>
      <c r="R146" s="84" t="n"/>
      <c r="S146" s="102" t="n"/>
      <c r="T146" s="102" t="n"/>
      <c r="U146" s="102" t="n"/>
      <c r="V146" s="102" t="n"/>
      <c r="W146" s="102" t="n"/>
      <c r="X146" s="102" t="n"/>
      <c r="Y146" s="102" t="n"/>
      <c r="Z146" s="102" t="n"/>
      <c r="AA146" s="102" t="n"/>
      <c r="AB146" s="102" t="n"/>
      <c r="AC146" s="102">
        <f>IFERROR(__xludf.DUMMYFUNCTION("""COMPUTED_VALUE"""),24.0)</f>
        <v/>
      </c>
      <c r="AD146" s="102">
        <f>IFERROR(__xludf.DUMMYFUNCTION("""COMPUTED_VALUE"""),"7 SS")</f>
        <v/>
      </c>
    </row>
    <row r="147" ht="16.5" customHeight="1" s="176">
      <c r="A147" s="116" t="inlineStr">
        <is>
          <t>REFLO</t>
        </is>
      </c>
      <c r="B147" s="122" t="n"/>
      <c r="C147" s="122" t="n"/>
      <c r="D147" s="122" t="n"/>
      <c r="E147" s="122" t="n"/>
      <c r="F147" s="84" t="n"/>
      <c r="G147" s="84" t="n"/>
      <c r="H147" s="117" t="n"/>
      <c r="I147" s="118" t="n"/>
      <c r="J147" s="118" t="n"/>
      <c r="K147" s="98" t="n"/>
      <c r="L147" s="84" t="n"/>
      <c r="M147" s="84" t="n"/>
      <c r="N147" s="84" t="n"/>
      <c r="O147" s="84" t="n"/>
      <c r="P147" s="84" t="n"/>
      <c r="Q147" s="84" t="n"/>
      <c r="R147" s="84" t="n"/>
      <c r="S147" s="102" t="n"/>
      <c r="T147" s="102" t="n"/>
      <c r="U147" s="102" t="n"/>
      <c r="V147" s="102" t="n"/>
      <c r="W147" s="102" t="n"/>
      <c r="X147" s="102" t="n"/>
      <c r="Y147" s="102" t="n"/>
      <c r="Z147" s="102" t="n"/>
      <c r="AA147" s="102" t="n"/>
      <c r="AB147" s="102" t="n"/>
      <c r="AC147" s="102">
        <f>IFERROR(__xludf.DUMMYFUNCTION("""COMPUTED_VALUE"""),24.5)</f>
        <v/>
      </c>
      <c r="AD147" s="102">
        <f>IFERROR(__xludf.DUMMYFUNCTION("""COMPUTED_VALUE"""),"7 ST")</f>
        <v/>
      </c>
    </row>
    <row r="148" ht="16.5" customHeight="1" s="176">
      <c r="A148" s="116" t="inlineStr">
        <is>
          <t>Willow Lane</t>
        </is>
      </c>
      <c r="B148" s="122" t="n"/>
      <c r="C148" s="122" t="n"/>
      <c r="D148" s="122" t="n"/>
      <c r="E148" s="122" t="n"/>
      <c r="F148" s="84" t="n"/>
      <c r="G148" s="84" t="n"/>
      <c r="H148" s="117" t="n"/>
      <c r="I148" s="118" t="n"/>
      <c r="J148" s="118" t="n"/>
      <c r="K148" s="98" t="n"/>
      <c r="L148" s="84" t="n"/>
      <c r="M148" s="84" t="n"/>
      <c r="N148" s="84" t="n"/>
      <c r="O148" s="84" t="n"/>
      <c r="P148" s="84" t="n"/>
      <c r="Q148" s="84" t="n"/>
      <c r="R148" s="84" t="n"/>
      <c r="S148" s="102" t="n"/>
      <c r="T148" s="102" t="n"/>
      <c r="U148" s="102" t="n"/>
      <c r="V148" s="102" t="n"/>
      <c r="W148" s="102" t="n"/>
      <c r="X148" s="102" t="n"/>
      <c r="Y148" s="102" t="n"/>
      <c r="Z148" s="102" t="n"/>
      <c r="AA148" s="102" t="n"/>
      <c r="AB148" s="102" t="n"/>
      <c r="AC148" s="102">
        <f>IFERROR(__xludf.DUMMYFUNCTION("""COMPUTED_VALUE"""),33.0)</f>
        <v/>
      </c>
      <c r="AD148" s="102">
        <f>IFERROR(__xludf.DUMMYFUNCTION("""COMPUTED_VALUE"""),"7.5 D")</f>
        <v/>
      </c>
    </row>
    <row r="149" ht="16.5" customHeight="1" s="176">
      <c r="A149" s="116" t="n"/>
      <c r="B149" s="122" t="n"/>
      <c r="C149" s="122" t="n"/>
      <c r="D149" s="122" t="n"/>
      <c r="E149" s="122" t="n"/>
      <c r="F149" s="84" t="n"/>
      <c r="G149" s="84" t="n"/>
      <c r="H149" s="117" t="n"/>
      <c r="I149" s="118" t="n"/>
      <c r="J149" s="118" t="n"/>
      <c r="K149" s="98" t="n"/>
      <c r="L149" s="84" t="n"/>
      <c r="M149" s="84" t="n"/>
      <c r="N149" s="84" t="n"/>
      <c r="O149" s="84" t="n"/>
      <c r="P149" s="84" t="n"/>
      <c r="Q149" s="84" t="n"/>
      <c r="R149" s="84" t="n"/>
      <c r="S149" s="102" t="n"/>
      <c r="T149" s="102" t="n"/>
      <c r="U149" s="102" t="n"/>
      <c r="V149" s="102" t="n"/>
      <c r="W149" s="102" t="n"/>
      <c r="X149" s="102" t="n"/>
      <c r="Y149" s="102" t="n"/>
      <c r="Z149" s="102" t="n"/>
      <c r="AA149" s="102" t="n"/>
      <c r="AB149" s="102" t="n"/>
      <c r="AC149" s="102">
        <f>IFERROR(__xludf.DUMMYFUNCTION("""COMPUTED_VALUE"""),34.0)</f>
        <v/>
      </c>
      <c r="AD149" s="102">
        <f>IFERROR(__xludf.DUMMYFUNCTION("""COMPUTED_VALUE"""),"7.5 EE")</f>
        <v/>
      </c>
    </row>
    <row r="150" ht="9.75" customHeight="1" s="176">
      <c r="A150" s="107" t="n"/>
      <c r="B150" s="107" t="n"/>
      <c r="C150" s="107" t="n"/>
      <c r="D150" s="107" t="n"/>
      <c r="E150" s="107" t="n"/>
      <c r="F150" s="84" t="n"/>
      <c r="G150" s="84" t="n"/>
      <c r="H150" s="117" t="n"/>
      <c r="I150" s="118" t="n"/>
      <c r="J150" s="118" t="n"/>
      <c r="K150" s="98" t="n"/>
      <c r="L150" s="84" t="n"/>
      <c r="M150" s="84" t="n"/>
      <c r="N150" s="84" t="n"/>
      <c r="O150" s="84" t="n"/>
      <c r="P150" s="84" t="n"/>
      <c r="Q150" s="84" t="n"/>
      <c r="R150" s="84" t="n"/>
      <c r="S150" s="102" t="n"/>
      <c r="T150" s="102" t="n"/>
      <c r="U150" s="102" t="n"/>
      <c r="V150" s="102" t="n"/>
      <c r="W150" s="102" t="n"/>
      <c r="X150" s="102" t="n"/>
      <c r="Y150" s="102" t="n"/>
      <c r="Z150" s="102" t="n"/>
      <c r="AA150" s="102" t="n"/>
      <c r="AB150" s="102" t="n"/>
      <c r="AC150" s="102">
        <f>IFERROR(__xludf.DUMMYFUNCTION("""COMPUTED_VALUE"""),36.0)</f>
        <v/>
      </c>
      <c r="AD150" s="102">
        <f>IFERROR(__xludf.DUMMYFUNCTION("""COMPUTED_VALUE"""),"7.5 FM")</f>
        <v/>
      </c>
    </row>
    <row r="151" ht="21.75" customHeight="1" s="176">
      <c r="A151" s="86" t="inlineStr">
        <is>
          <t>6. COLORES Y SINÓNIMOS</t>
        </is>
      </c>
      <c r="B151" s="86" t="n"/>
      <c r="C151" s="86" t="n"/>
      <c r="D151" s="86" t="n"/>
      <c r="E151" s="108" t="inlineStr">
        <is>
          <t>↑ Volver al índice</t>
        </is>
      </c>
      <c r="F151" s="84" t="n"/>
      <c r="G151" s="84" t="n"/>
      <c r="H151" s="117" t="n"/>
      <c r="I151" s="118" t="n"/>
      <c r="J151" s="118" t="n"/>
      <c r="K151" s="98" t="n"/>
      <c r="L151" s="84" t="n"/>
      <c r="M151" s="84" t="n"/>
      <c r="N151" s="84" t="n"/>
      <c r="O151" s="84" t="n"/>
      <c r="P151" s="84" t="n"/>
      <c r="Q151" s="84" t="n"/>
      <c r="R151" s="84" t="n"/>
      <c r="S151" s="102" t="n"/>
      <c r="T151" s="102" t="n"/>
      <c r="U151" s="102" t="n"/>
      <c r="V151" s="102" t="n"/>
      <c r="W151" s="102" t="n"/>
      <c r="X151" s="102" t="n"/>
      <c r="Y151" s="102" t="n"/>
      <c r="Z151" s="102" t="n"/>
      <c r="AA151" s="102" t="n"/>
      <c r="AB151" s="102" t="n"/>
      <c r="AC151" s="102">
        <f>IFERROR(__xludf.DUMMYFUNCTION("""COMPUTED_VALUE"""),38.0)</f>
        <v/>
      </c>
      <c r="AD151" s="102">
        <f>IFERROR(__xludf.DUMMYFUNCTION("""COMPUTED_VALUE"""),"7.5 FS")</f>
        <v/>
      </c>
    </row>
    <row r="152" ht="16.5" customHeight="1" s="176">
      <c r="A152" s="110" t="inlineStr">
        <is>
          <t>Color base</t>
        </is>
      </c>
      <c r="B152" s="110" t="inlineStr">
        <is>
          <t>Sinónimos — se captura este color cuando el nombre dice…</t>
        </is>
      </c>
      <c r="C152" s="182" t="n"/>
      <c r="D152" s="182" t="n"/>
      <c r="E152" s="183" t="n"/>
      <c r="F152" s="84" t="n"/>
      <c r="G152" s="84" t="n"/>
      <c r="H152" s="117" t="n"/>
      <c r="I152" s="118" t="n"/>
      <c r="J152" s="118" t="n"/>
      <c r="K152" s="98" t="n"/>
      <c r="L152" s="84" t="n"/>
      <c r="M152" s="84" t="n"/>
      <c r="N152" s="84" t="n"/>
      <c r="O152" s="84" t="n"/>
      <c r="P152" s="84" t="n"/>
      <c r="Q152" s="84" t="n"/>
      <c r="R152" s="84" t="n"/>
      <c r="S152" s="102" t="n"/>
      <c r="T152" s="102" t="n"/>
      <c r="U152" s="102" t="n"/>
      <c r="V152" s="102" t="n"/>
      <c r="W152" s="102" t="n"/>
      <c r="X152" s="102" t="n"/>
      <c r="Y152" s="102" t="n"/>
      <c r="Z152" s="102" t="n"/>
      <c r="AA152" s="102" t="n"/>
      <c r="AB152" s="102" t="n"/>
      <c r="AC152" s="102">
        <f>IFERROR(__xludf.DUMMYFUNCTION("""COMPUTED_VALUE"""),40.0)</f>
        <v/>
      </c>
      <c r="AD152" s="102">
        <f>IFERROR(__xludf.DUMMYFUNCTION("""COMPUTED_VALUE"""),"7.5 RM")</f>
        <v/>
      </c>
    </row>
    <row r="153" ht="16.5" customHeight="1" s="176">
      <c r="A153" s="116" t="inlineStr">
        <is>
          <t>Rojo</t>
        </is>
      </c>
      <c r="B153" s="116" t="inlineStr">
        <is>
          <t>Red, Vino, Escarlata, Granate, Burgundy</t>
        </is>
      </c>
      <c r="C153" s="182" t="n"/>
      <c r="D153" s="182" t="n"/>
      <c r="E153" s="183" t="n"/>
      <c r="F153" s="84" t="n"/>
      <c r="G153" s="84" t="n"/>
      <c r="H153" s="117" t="n"/>
      <c r="I153" s="118" t="n"/>
      <c r="J153" s="118" t="n"/>
      <c r="K153" s="98" t="n"/>
      <c r="L153" s="84" t="n"/>
      <c r="M153" s="84" t="n"/>
      <c r="N153" s="84" t="n"/>
      <c r="O153" s="84" t="n"/>
      <c r="P153" s="84" t="n"/>
      <c r="Q153" s="84" t="n"/>
      <c r="R153" s="84" t="n"/>
      <c r="S153" s="102" t="n"/>
      <c r="T153" s="102" t="n"/>
      <c r="U153" s="102" t="n"/>
      <c r="V153" s="102" t="n"/>
      <c r="W153" s="102" t="n"/>
      <c r="X153" s="102" t="n"/>
      <c r="Y153" s="102" t="n"/>
      <c r="Z153" s="102" t="n"/>
      <c r="AA153" s="102" t="n"/>
      <c r="AB153" s="102" t="n"/>
      <c r="AC153" s="102">
        <f>IFERROR(__xludf.DUMMYFUNCTION("""COMPUTED_VALUE"""),42.0)</f>
        <v/>
      </c>
      <c r="AD153" s="102">
        <f>IFERROR(__xludf.DUMMYFUNCTION("""COMPUTED_VALUE"""),"7.5 RS")</f>
        <v/>
      </c>
    </row>
    <row r="154" ht="16.5" customHeight="1" s="176">
      <c r="A154" s="116" t="inlineStr">
        <is>
          <t>Azul</t>
        </is>
      </c>
      <c r="B154" s="116" t="inlineStr">
        <is>
          <t>Navy, Azul marino, Turquesa, Indigo, Mezclilla, Denim, Blue</t>
        </is>
      </c>
      <c r="C154" s="182" t="n"/>
      <c r="D154" s="182" t="n"/>
      <c r="E154" s="183" t="n"/>
      <c r="F154" s="84" t="n"/>
      <c r="G154" s="84" t="n"/>
      <c r="H154" s="117" t="n"/>
      <c r="I154" s="118" t="n"/>
      <c r="J154" s="118" t="n"/>
      <c r="K154" s="98" t="n"/>
      <c r="L154" s="84" t="n"/>
      <c r="M154" s="84" t="n"/>
      <c r="N154" s="84" t="n"/>
      <c r="O154" s="84" t="n"/>
      <c r="P154" s="84" t="n"/>
      <c r="Q154" s="84" t="n"/>
      <c r="R154" s="84" t="n"/>
      <c r="S154" s="102" t="n"/>
      <c r="T154" s="102" t="n"/>
      <c r="U154" s="102" t="n"/>
      <c r="V154" s="102" t="n"/>
      <c r="W154" s="102" t="n"/>
      <c r="X154" s="102" t="n"/>
      <c r="Y154" s="102" t="n"/>
      <c r="Z154" s="102" t="n"/>
      <c r="AA154" s="102" t="n"/>
      <c r="AB154" s="102" t="n"/>
      <c r="AC154" s="102">
        <f>IFERROR(__xludf.DUMMYFUNCTION("""COMPUTED_VALUE"""),44.0)</f>
        <v/>
      </c>
      <c r="AD154" s="102">
        <f>IFERROR(__xludf.DUMMYFUNCTION("""COMPUTED_VALUE"""),"7.5 RT")</f>
        <v/>
      </c>
    </row>
    <row r="155" ht="16.5" customHeight="1" s="176">
      <c r="A155" s="116" t="inlineStr">
        <is>
          <t>Amarillo</t>
        </is>
      </c>
      <c r="B155" s="116" t="inlineStr">
        <is>
          <t>Mostaza, Yellow</t>
        </is>
      </c>
      <c r="C155" s="182" t="n"/>
      <c r="D155" s="182" t="n"/>
      <c r="E155" s="183" t="n"/>
      <c r="F155" s="84" t="n"/>
      <c r="G155" s="84" t="n"/>
      <c r="H155" s="117" t="n"/>
      <c r="I155" s="118" t="n"/>
      <c r="J155" s="118" t="n"/>
      <c r="K155" s="98" t="n"/>
      <c r="L155" s="84" t="n"/>
      <c r="M155" s="84" t="n"/>
      <c r="N155" s="84" t="n"/>
      <c r="O155" s="84" t="n"/>
      <c r="P155" s="84" t="n"/>
      <c r="Q155" s="84" t="n"/>
      <c r="R155" s="84" t="n"/>
      <c r="S155" s="102" t="n"/>
      <c r="T155" s="102" t="n"/>
      <c r="U155" s="102" t="n"/>
      <c r="V155" s="102" t="n"/>
      <c r="W155" s="102" t="n"/>
      <c r="X155" s="102" t="n"/>
      <c r="Y155" s="102" t="n"/>
      <c r="Z155" s="102" t="n"/>
      <c r="AA155" s="102" t="n"/>
      <c r="AB155" s="102" t="n"/>
      <c r="AC155" s="102">
        <f>IFERROR(__xludf.DUMMYFUNCTION("""COMPUTED_VALUE"""),46.0)</f>
        <v/>
      </c>
      <c r="AD155" s="102">
        <f>IFERROR(__xludf.DUMMYFUNCTION("""COMPUTED_VALUE"""),"7.5 SM")</f>
        <v/>
      </c>
    </row>
    <row r="156" ht="16.5" customHeight="1" s="176">
      <c r="A156" s="116" t="inlineStr">
        <is>
          <t>Verde</t>
        </is>
      </c>
      <c r="B156" s="116" t="inlineStr">
        <is>
          <t>Olivo, Olive, Green</t>
        </is>
      </c>
      <c r="C156" s="182" t="n"/>
      <c r="D156" s="182" t="n"/>
      <c r="E156" s="183" t="n"/>
      <c r="F156" s="84" t="n"/>
      <c r="G156" s="84" t="n"/>
      <c r="H156" s="117" t="n"/>
      <c r="I156" s="118" t="n"/>
      <c r="J156" s="118" t="n"/>
      <c r="K156" s="98" t="n"/>
      <c r="L156" s="84" t="n"/>
      <c r="M156" s="84" t="n"/>
      <c r="N156" s="84" t="n"/>
      <c r="O156" s="84" t="n"/>
      <c r="P156" s="84" t="n"/>
      <c r="Q156" s="84" t="n"/>
      <c r="R156" s="84" t="n"/>
      <c r="S156" s="102" t="n"/>
      <c r="T156" s="102" t="n"/>
      <c r="U156" s="102" t="n"/>
      <c r="V156" s="102" t="n"/>
      <c r="W156" s="102" t="n"/>
      <c r="X156" s="102" t="n"/>
      <c r="Y156" s="102" t="n"/>
      <c r="Z156" s="102" t="n"/>
      <c r="AA156" s="102" t="n"/>
      <c r="AB156" s="102" t="n"/>
      <c r="AC156" s="102">
        <f>IFERROR(__xludf.DUMMYFUNCTION("""COMPUTED_VALUE"""),48.0)</f>
        <v/>
      </c>
      <c r="AD156" s="102">
        <f>IFERROR(__xludf.DUMMYFUNCTION("""COMPUTED_VALUE"""),"7.5 SS")</f>
        <v/>
      </c>
    </row>
    <row r="157" ht="16.5" customHeight="1" s="176">
      <c r="A157" s="116" t="inlineStr">
        <is>
          <t>Naranja</t>
        </is>
      </c>
      <c r="B157" s="116" t="inlineStr">
        <is>
          <t>Orange</t>
        </is>
      </c>
      <c r="C157" s="182" t="n"/>
      <c r="D157" s="182" t="n"/>
      <c r="E157" s="183" t="n"/>
      <c r="F157" s="84" t="n"/>
      <c r="G157" s="84" t="n"/>
      <c r="H157" s="117" t="n"/>
      <c r="I157" s="118" t="n"/>
      <c r="J157" s="118" t="n"/>
      <c r="K157" s="98" t="n"/>
      <c r="L157" s="84" t="n"/>
      <c r="M157" s="84" t="n"/>
      <c r="N157" s="84" t="n"/>
      <c r="O157" s="84" t="n"/>
      <c r="P157" s="84" t="n"/>
      <c r="Q157" s="84" t="n"/>
      <c r="R157" s="84" t="n"/>
      <c r="S157" s="102" t="n"/>
      <c r="T157" s="102" t="n"/>
      <c r="U157" s="102" t="n"/>
      <c r="V157" s="102" t="n"/>
      <c r="W157" s="102" t="n"/>
      <c r="X157" s="102" t="n"/>
      <c r="Y157" s="102" t="n"/>
      <c r="Z157" s="102" t="n"/>
      <c r="AA157" s="102" t="n"/>
      <c r="AB157" s="102" t="n"/>
      <c r="AC157" s="102">
        <f>IFERROR(__xludf.DUMMYFUNCTION("""COMPUTED_VALUE"""),50.0)</f>
        <v/>
      </c>
      <c r="AD157" s="102">
        <f>IFERROR(__xludf.DUMMYFUNCTION("""COMPUTED_VALUE"""),"7.5 ST")</f>
        <v/>
      </c>
    </row>
    <row r="158" ht="16.5" customHeight="1" s="176">
      <c r="A158" s="116" t="inlineStr">
        <is>
          <t>Morado</t>
        </is>
      </c>
      <c r="B158" s="116" t="inlineStr">
        <is>
          <t>Púrpura, Purple, Lila</t>
        </is>
      </c>
      <c r="C158" s="182" t="n"/>
      <c r="D158" s="182" t="n"/>
      <c r="E158" s="183" t="n"/>
      <c r="F158" s="84" t="n"/>
      <c r="G158" s="84" t="n"/>
      <c r="H158" s="117" t="n"/>
      <c r="I158" s="118" t="n"/>
      <c r="J158" s="118" t="n"/>
      <c r="K158" s="98" t="n"/>
      <c r="L158" s="84" t="n"/>
      <c r="M158" s="84" t="n"/>
      <c r="N158" s="84" t="n"/>
      <c r="O158" s="84" t="n"/>
      <c r="P158" s="84" t="n"/>
      <c r="Q158" s="84" t="n"/>
      <c r="R158" s="84" t="n"/>
      <c r="S158" s="102" t="n"/>
      <c r="T158" s="102" t="n"/>
      <c r="U158" s="102" t="n"/>
      <c r="V158" s="102" t="n"/>
      <c r="W158" s="102" t="n"/>
      <c r="X158" s="102" t="n"/>
      <c r="Y158" s="102" t="n"/>
      <c r="Z158" s="102" t="n"/>
      <c r="AA158" s="102" t="n"/>
      <c r="AB158" s="102" t="n"/>
      <c r="AC158" s="102">
        <f>IFERROR(__xludf.DUMMYFUNCTION("""COMPUTED_VALUE"""),52.0)</f>
        <v/>
      </c>
      <c r="AD158" s="102">
        <f>IFERROR(__xludf.DUMMYFUNCTION("""COMPUTED_VALUE"""),"8 D")</f>
        <v/>
      </c>
    </row>
    <row r="159" ht="16.5" customHeight="1" s="176">
      <c r="A159" s="116" t="inlineStr">
        <is>
          <t>Rosa</t>
        </is>
      </c>
      <c r="B159" s="116" t="inlineStr">
        <is>
          <t>Pink</t>
        </is>
      </c>
      <c r="C159" s="182" t="n"/>
      <c r="D159" s="182" t="n"/>
      <c r="E159" s="183" t="n"/>
      <c r="F159" s="84" t="n"/>
      <c r="G159" s="84" t="n"/>
      <c r="H159" s="117" t="n"/>
      <c r="I159" s="118" t="n"/>
      <c r="J159" s="118" t="n"/>
      <c r="K159" s="98" t="n"/>
      <c r="L159" s="84" t="n"/>
      <c r="M159" s="84" t="n"/>
      <c r="N159" s="84" t="n"/>
      <c r="O159" s="84" t="n"/>
      <c r="P159" s="84" t="n"/>
      <c r="Q159" s="84" t="n"/>
      <c r="R159" s="84" t="n"/>
      <c r="S159" s="102" t="n"/>
      <c r="T159" s="102" t="n"/>
      <c r="U159" s="102" t="n"/>
      <c r="V159" s="102" t="n"/>
      <c r="W159" s="102" t="n"/>
      <c r="X159" s="102" t="n"/>
      <c r="Y159" s="102" t="n"/>
      <c r="Z159" s="102" t="n"/>
      <c r="AA159" s="102" t="n"/>
      <c r="AB159" s="102" t="n"/>
      <c r="AC159" s="102">
        <f>IFERROR(__xludf.DUMMYFUNCTION("""COMPUTED_VALUE"""),54.0)</f>
        <v/>
      </c>
      <c r="AD159" s="102">
        <f>IFERROR(__xludf.DUMMYFUNCTION("""COMPUTED_VALUE"""),"8 EE")</f>
        <v/>
      </c>
    </row>
    <row r="160" ht="16.5" customHeight="1" s="176">
      <c r="A160" s="116" t="inlineStr">
        <is>
          <t>Negro</t>
        </is>
      </c>
      <c r="B160" s="116" t="inlineStr">
        <is>
          <t>Black, Negra</t>
        </is>
      </c>
      <c r="C160" s="182" t="n"/>
      <c r="D160" s="182" t="n"/>
      <c r="E160" s="183" t="n"/>
      <c r="F160" s="84" t="n"/>
      <c r="G160" s="84" t="n"/>
      <c r="H160" s="117" t="n"/>
      <c r="I160" s="118" t="n"/>
      <c r="J160" s="118" t="n"/>
      <c r="K160" s="98" t="n"/>
      <c r="L160" s="84" t="n"/>
      <c r="M160" s="84" t="n"/>
      <c r="N160" s="84" t="n"/>
      <c r="O160" s="84" t="n"/>
      <c r="P160" s="84" t="n"/>
      <c r="Q160" s="84" t="n"/>
      <c r="R160" s="84" t="n"/>
      <c r="S160" s="102" t="n"/>
      <c r="T160" s="102" t="n"/>
      <c r="U160" s="102" t="n"/>
      <c r="V160" s="102" t="n"/>
      <c r="W160" s="102" t="n"/>
      <c r="X160" s="102" t="n"/>
      <c r="Y160" s="102" t="n"/>
      <c r="Z160" s="102" t="n"/>
      <c r="AA160" s="102" t="n"/>
      <c r="AB160" s="102" t="n"/>
      <c r="AC160" s="102">
        <f>IFERROR(__xludf.DUMMYFUNCTION("""COMPUTED_VALUE"""),56.0)</f>
        <v/>
      </c>
      <c r="AD160" s="102">
        <f>IFERROR(__xludf.DUMMYFUNCTION("""COMPUTED_VALUE"""),"8 FM")</f>
        <v/>
      </c>
    </row>
    <row r="161" ht="16.5" customHeight="1" s="176">
      <c r="A161" s="116" t="inlineStr">
        <is>
          <t>Blanco</t>
        </is>
      </c>
      <c r="B161" s="116" t="inlineStr">
        <is>
          <t>White, Hueso</t>
        </is>
      </c>
      <c r="C161" s="182" t="n"/>
      <c r="D161" s="182" t="n"/>
      <c r="E161" s="183" t="n"/>
      <c r="F161" s="84" t="n"/>
      <c r="G161" s="84" t="n"/>
      <c r="H161" s="117" t="n"/>
      <c r="I161" s="118" t="n"/>
      <c r="J161" s="118" t="n"/>
      <c r="K161" s="98" t="n"/>
      <c r="L161" s="84" t="n"/>
      <c r="M161" s="84" t="n"/>
      <c r="N161" s="84" t="n"/>
      <c r="O161" s="84" t="n"/>
      <c r="P161" s="84" t="n"/>
      <c r="Q161" s="84" t="n"/>
      <c r="R161" s="84" t="n"/>
      <c r="S161" s="102" t="n"/>
      <c r="T161" s="102" t="n"/>
      <c r="U161" s="102" t="n"/>
      <c r="V161" s="102" t="n"/>
      <c r="W161" s="102" t="n"/>
      <c r="X161" s="102" t="n"/>
      <c r="Y161" s="102" t="n"/>
      <c r="Z161" s="102" t="n"/>
      <c r="AA161" s="102" t="n"/>
      <c r="AB161" s="102" t="n"/>
      <c r="AC161" s="102">
        <f>IFERROR(__xludf.DUMMYFUNCTION("""COMPUTED_VALUE"""),58.0)</f>
        <v/>
      </c>
      <c r="AD161" s="102">
        <f>IFERROR(__xludf.DUMMYFUNCTION("""COMPUTED_VALUE"""),"8 FS")</f>
        <v/>
      </c>
    </row>
    <row r="162" ht="16.5" customHeight="1" s="176">
      <c r="A162" s="116" t="inlineStr">
        <is>
          <t>Gris</t>
        </is>
      </c>
      <c r="B162" s="116" t="inlineStr">
        <is>
          <t>Grey, Gray, Carbón, Charcoal</t>
        </is>
      </c>
      <c r="C162" s="182" t="n"/>
      <c r="D162" s="182" t="n"/>
      <c r="E162" s="183" t="n"/>
      <c r="F162" s="84" t="n"/>
      <c r="G162" s="84" t="n"/>
      <c r="H162" s="117" t="n"/>
      <c r="I162" s="118" t="n"/>
      <c r="J162" s="118" t="n"/>
      <c r="K162" s="98" t="n"/>
      <c r="L162" s="84" t="n"/>
      <c r="M162" s="84" t="n"/>
      <c r="N162" s="84" t="n"/>
      <c r="O162" s="84" t="n"/>
      <c r="P162" s="84" t="n"/>
      <c r="Q162" s="84" t="n"/>
      <c r="R162" s="84" t="n"/>
      <c r="S162" s="102" t="n"/>
      <c r="T162" s="102" t="n"/>
      <c r="U162" s="102" t="n"/>
      <c r="V162" s="102" t="n"/>
      <c r="W162" s="102" t="n"/>
      <c r="X162" s="102" t="n"/>
      <c r="Y162" s="102" t="n"/>
      <c r="Z162" s="102" t="n"/>
      <c r="AA162" s="102" t="n"/>
      <c r="AB162" s="102" t="n"/>
      <c r="AC162" s="102">
        <f>IFERROR(__xludf.DUMMYFUNCTION("""COMPUTED_VALUE"""),60.0)</f>
        <v/>
      </c>
      <c r="AD162" s="102">
        <f>IFERROR(__xludf.DUMMYFUNCTION("""COMPUTED_VALUE"""),"8 RM")</f>
        <v/>
      </c>
    </row>
    <row r="163" ht="16.5" customHeight="1" s="176">
      <c r="A163" s="116" t="inlineStr">
        <is>
          <t>Beige</t>
        </is>
      </c>
      <c r="B163" s="116" t="inlineStr">
        <is>
          <t>Crema, Arena, Tan, Khaki, Caqui, Sand</t>
        </is>
      </c>
      <c r="C163" s="182" t="n"/>
      <c r="D163" s="182" t="n"/>
      <c r="E163" s="183" t="n"/>
      <c r="F163" s="84" t="n"/>
      <c r="G163" s="84" t="n"/>
      <c r="H163" s="117" t="n"/>
      <c r="I163" s="118" t="n"/>
      <c r="J163" s="118" t="n"/>
      <c r="K163" s="98" t="n"/>
      <c r="L163" s="84" t="n"/>
      <c r="M163" s="84" t="n"/>
      <c r="N163" s="84" t="n"/>
      <c r="O163" s="84" t="n"/>
      <c r="P163" s="84" t="n"/>
      <c r="Q163" s="84" t="n"/>
      <c r="R163" s="84" t="n"/>
      <c r="S163" s="102" t="n"/>
      <c r="T163" s="102" t="n"/>
      <c r="U163" s="102" t="n"/>
      <c r="V163" s="102" t="n"/>
      <c r="W163" s="102" t="n"/>
      <c r="X163" s="102" t="n"/>
      <c r="Y163" s="102" t="n"/>
      <c r="Z163" s="102" t="n"/>
      <c r="AA163" s="102" t="n"/>
      <c r="AB163" s="102" t="n"/>
      <c r="AC163" s="102">
        <f>IFERROR(__xludf.DUMMYFUNCTION("""COMPUTED_VALUE"""),18.0)</f>
        <v/>
      </c>
      <c r="AD163" s="102">
        <f>IFERROR(__xludf.DUMMYFUNCTION("""COMPUTED_VALUE"""),"8 RS")</f>
        <v/>
      </c>
    </row>
    <row r="164" ht="16.5" customHeight="1" s="176">
      <c r="A164" s="116" t="inlineStr">
        <is>
          <t>Cafe</t>
        </is>
      </c>
      <c r="B164" s="116" t="inlineStr">
        <is>
          <t>Café, Brown, Cognac, Coñac, Chocolate, Tabaco, Taupe, Arcilla, Terracota, Camel, Miel, Marrón</t>
        </is>
      </c>
      <c r="C164" s="182" t="n"/>
      <c r="D164" s="182" t="n"/>
      <c r="E164" s="183" t="n"/>
      <c r="F164" s="84" t="n"/>
      <c r="G164" s="84" t="n"/>
      <c r="H164" s="117" t="n"/>
      <c r="I164" s="118" t="n"/>
      <c r="J164" s="118" t="n"/>
      <c r="K164" s="98" t="n"/>
      <c r="L164" s="84" t="n"/>
      <c r="M164" s="84" t="n"/>
      <c r="N164" s="84" t="n"/>
      <c r="O164" s="84" t="n"/>
      <c r="P164" s="84" t="n"/>
      <c r="Q164" s="84" t="n"/>
      <c r="R164" s="84" t="n"/>
      <c r="S164" s="102" t="n"/>
      <c r="T164" s="102" t="n"/>
      <c r="U164" s="102" t="n"/>
      <c r="V164" s="102" t="n"/>
      <c r="W164" s="102" t="n"/>
      <c r="X164" s="102" t="n"/>
      <c r="Y164" s="102" t="n"/>
      <c r="Z164" s="102" t="n"/>
      <c r="AA164" s="102" t="n"/>
      <c r="AB164" s="102" t="n"/>
      <c r="AC164" s="102">
        <f>IFERROR(__xludf.DUMMYFUNCTION("""COMPUTED_VALUE"""),20.0)</f>
        <v/>
      </c>
      <c r="AD164" s="102">
        <f>IFERROR(__xludf.DUMMYFUNCTION("""COMPUTED_VALUE"""),"8 RT")</f>
        <v/>
      </c>
    </row>
    <row r="165" ht="16.5" customHeight="1" s="176">
      <c r="A165" s="116" t="inlineStr">
        <is>
          <t>Varios</t>
        </is>
      </c>
      <c r="B165" s="116" t="inlineStr">
        <is>
          <t>Estampados multicolor sin color dominante o que no aparezca en la lista</t>
        </is>
      </c>
      <c r="C165" s="182" t="n"/>
      <c r="D165" s="182" t="n"/>
      <c r="E165" s="183" t="n"/>
      <c r="F165" s="84" t="n"/>
      <c r="G165" s="84" t="n"/>
      <c r="H165" s="117" t="n"/>
      <c r="I165" s="118" t="n"/>
      <c r="J165" s="118" t="n"/>
      <c r="K165" s="98" t="n"/>
      <c r="L165" s="84" t="n"/>
      <c r="M165" s="84" t="n"/>
      <c r="N165" s="84" t="n"/>
      <c r="O165" s="84" t="n"/>
      <c r="P165" s="84" t="n"/>
      <c r="Q165" s="84" t="n"/>
      <c r="R165" s="84" t="n"/>
      <c r="S165" s="102" t="n"/>
      <c r="T165" s="102" t="n"/>
      <c r="U165" s="102" t="n"/>
      <c r="V165" s="102" t="n"/>
      <c r="W165" s="102" t="n"/>
      <c r="X165" s="102" t="n"/>
      <c r="Y165" s="102" t="n"/>
      <c r="Z165" s="102" t="n"/>
      <c r="AA165" s="102" t="n"/>
      <c r="AB165" s="102" t="n"/>
      <c r="AC165" s="102">
        <f>IFERROR(__xludf.DUMMYFUNCTION("""COMPUTED_VALUE"""),"10-12")</f>
        <v/>
      </c>
      <c r="AD165" s="102">
        <f>IFERROR(__xludf.DUMMYFUNCTION("""COMPUTED_VALUE"""),"8 SM")</f>
        <v/>
      </c>
    </row>
    <row r="166" ht="16.5" customHeight="1" s="176">
      <c r="A166" s="116" t="n"/>
      <c r="B166" s="116" t="n"/>
      <c r="C166" s="182" t="n"/>
      <c r="D166" s="182" t="n"/>
      <c r="E166" s="183" t="n"/>
      <c r="F166" s="84" t="n"/>
      <c r="G166" s="84" t="n"/>
      <c r="H166" s="117" t="n"/>
      <c r="I166" s="118" t="n"/>
      <c r="J166" s="118" t="n"/>
      <c r="K166" s="98" t="n"/>
      <c r="L166" s="84" t="n"/>
      <c r="M166" s="84" t="n"/>
      <c r="N166" s="84" t="n"/>
      <c r="O166" s="84" t="n"/>
      <c r="P166" s="84" t="n"/>
      <c r="Q166" s="84" t="n"/>
      <c r="R166" s="84" t="n"/>
      <c r="S166" s="102" t="n"/>
      <c r="T166" s="102" t="n"/>
      <c r="U166" s="102" t="n"/>
      <c r="V166" s="102" t="n"/>
      <c r="W166" s="102" t="n"/>
      <c r="X166" s="102" t="n"/>
      <c r="Y166" s="102" t="n"/>
      <c r="Z166" s="102" t="n"/>
      <c r="AA166" s="102" t="n"/>
      <c r="AB166" s="102" t="n"/>
      <c r="AC166" s="102">
        <f>IFERROR(__xludf.DUMMYFUNCTION("""COMPUTED_VALUE"""),"14-16")</f>
        <v/>
      </c>
      <c r="AD166" s="102">
        <f>IFERROR(__xludf.DUMMYFUNCTION("""COMPUTED_VALUE"""),"8 SS")</f>
        <v/>
      </c>
    </row>
    <row r="167" ht="16.5" customHeight="1" s="176">
      <c r="A167" s="116" t="n"/>
      <c r="B167" s="116" t="n"/>
      <c r="C167" s="182" t="n"/>
      <c r="D167" s="182" t="n"/>
      <c r="E167" s="183" t="n"/>
      <c r="F167" s="84" t="n"/>
      <c r="G167" s="84" t="n"/>
      <c r="H167" s="117" t="n"/>
      <c r="I167" s="118" t="n"/>
      <c r="J167" s="118" t="n"/>
      <c r="K167" s="98" t="n"/>
      <c r="L167" s="84" t="n"/>
      <c r="M167" s="84" t="n"/>
      <c r="N167" s="84" t="n"/>
      <c r="O167" s="84" t="n"/>
      <c r="P167" s="84" t="n"/>
      <c r="Q167" s="84" t="n"/>
      <c r="R167" s="84" t="n"/>
      <c r="S167" s="102" t="n"/>
      <c r="T167" s="102" t="n"/>
      <c r="U167" s="102" t="n"/>
      <c r="V167" s="102" t="n"/>
      <c r="W167" s="102" t="n"/>
      <c r="X167" s="102" t="n"/>
      <c r="Y167" s="102" t="n"/>
      <c r="Z167" s="102" t="n"/>
      <c r="AA167" s="102" t="n"/>
      <c r="AB167" s="102" t="n"/>
      <c r="AC167" s="102">
        <f>IFERROR(__xludf.DUMMYFUNCTION("""COMPUTED_VALUE"""),35.0)</f>
        <v/>
      </c>
      <c r="AD167" s="102">
        <f>IFERROR(__xludf.DUMMYFUNCTION("""COMPUTED_VALUE"""),"8 ST")</f>
        <v/>
      </c>
    </row>
    <row r="168" ht="16.5" customHeight="1" s="176">
      <c r="A168" s="116" t="n"/>
      <c r="B168" s="116" t="n"/>
      <c r="C168" s="182" t="n"/>
      <c r="D168" s="182" t="n"/>
      <c r="E168" s="183" t="n"/>
      <c r="F168" s="84" t="n"/>
      <c r="G168" s="84" t="n"/>
      <c r="H168" s="117" t="n"/>
      <c r="I168" s="118" t="n"/>
      <c r="J168" s="118" t="n"/>
      <c r="K168" s="98" t="n"/>
      <c r="L168" s="84" t="n"/>
      <c r="M168" s="84" t="n"/>
      <c r="N168" s="84" t="n"/>
      <c r="O168" s="84" t="n"/>
      <c r="P168" s="84" t="n"/>
      <c r="Q168" s="84" t="n"/>
      <c r="R168" s="84" t="n"/>
      <c r="S168" s="102" t="n"/>
      <c r="T168" s="102" t="n"/>
      <c r="U168" s="102" t="n"/>
      <c r="V168" s="102" t="n"/>
      <c r="W168" s="102" t="n"/>
      <c r="X168" s="102" t="n"/>
      <c r="Y168" s="102" t="n"/>
      <c r="Z168" s="102" t="n"/>
      <c r="AA168" s="102" t="n"/>
      <c r="AB168" s="102" t="n"/>
      <c r="AC168" s="102">
        <f>IFERROR(__xludf.DUMMYFUNCTION("""COMPUTED_VALUE"""),37.0)</f>
        <v/>
      </c>
      <c r="AD168" s="102">
        <f>IFERROR(__xludf.DUMMYFUNCTION("""COMPUTED_VALUE"""),"8 XSS")</f>
        <v/>
      </c>
    </row>
    <row r="169" ht="16.5" customHeight="1" s="176">
      <c r="A169" s="116" t="n"/>
      <c r="B169" s="116" t="n"/>
      <c r="C169" s="182" t="n"/>
      <c r="D169" s="182" t="n"/>
      <c r="E169" s="183" t="n"/>
      <c r="F169" s="84" t="n"/>
      <c r="G169" s="84" t="n"/>
      <c r="H169" s="117" t="n"/>
      <c r="I169" s="118" t="n"/>
      <c r="J169" s="118" t="n"/>
      <c r="K169" s="98" t="n"/>
      <c r="L169" s="84" t="n"/>
      <c r="M169" s="84" t="n"/>
      <c r="N169" s="84" t="n"/>
      <c r="O169" s="84" t="n"/>
      <c r="P169" s="84" t="n"/>
      <c r="Q169" s="84" t="n"/>
      <c r="R169" s="84" t="n"/>
      <c r="S169" s="102" t="n"/>
      <c r="T169" s="102" t="n"/>
      <c r="U169" s="102" t="n"/>
      <c r="V169" s="102" t="n"/>
      <c r="W169" s="102" t="n"/>
      <c r="X169" s="102" t="n"/>
      <c r="Y169" s="102" t="n"/>
      <c r="Z169" s="102" t="n"/>
      <c r="AA169" s="102" t="n"/>
      <c r="AB169" s="102" t="n"/>
      <c r="AC169" s="102">
        <f>IFERROR(__xludf.DUMMYFUNCTION("""COMPUTED_VALUE"""),39.0)</f>
        <v/>
      </c>
      <c r="AD169" s="102">
        <f>IFERROR(__xludf.DUMMYFUNCTION("""COMPUTED_VALUE"""),"8.5 D")</f>
        <v/>
      </c>
    </row>
    <row r="170" ht="9.75" customHeight="1" s="176">
      <c r="A170" s="107" t="n"/>
      <c r="B170" s="107" t="n"/>
      <c r="C170" s="107" t="n"/>
      <c r="D170" s="107" t="n"/>
      <c r="E170" s="107" t="n"/>
      <c r="F170" s="84" t="n"/>
      <c r="G170" s="84" t="n"/>
      <c r="H170" s="117" t="n"/>
      <c r="I170" s="118" t="n"/>
      <c r="J170" s="118" t="n"/>
      <c r="K170" s="98" t="n"/>
      <c r="L170" s="84" t="n"/>
      <c r="M170" s="84" t="n"/>
      <c r="N170" s="84" t="n"/>
      <c r="O170" s="84" t="n"/>
      <c r="P170" s="84" t="n"/>
      <c r="Q170" s="84" t="n"/>
      <c r="R170" s="84" t="n"/>
      <c r="S170" s="102" t="n"/>
      <c r="T170" s="102" t="n"/>
      <c r="U170" s="102" t="n"/>
      <c r="V170" s="102" t="n"/>
      <c r="W170" s="102" t="n"/>
      <c r="X170" s="102" t="n"/>
      <c r="Y170" s="102" t="n"/>
      <c r="Z170" s="102" t="n"/>
      <c r="AA170" s="102" t="n"/>
      <c r="AB170" s="102" t="n"/>
      <c r="AC170" s="102">
        <f>IFERROR(__xludf.DUMMYFUNCTION("""COMPUTED_VALUE"""),41.0)</f>
        <v/>
      </c>
      <c r="AD170" s="102">
        <f>IFERROR(__xludf.DUMMYFUNCTION("""COMPUTED_VALUE"""),"8.5 EE")</f>
        <v/>
      </c>
    </row>
    <row r="171" ht="21.75" customHeight="1" s="176">
      <c r="A171" s="86" t="inlineStr">
        <is>
          <t>7. FIT Y SILUETA</t>
        </is>
      </c>
      <c r="B171" s="86" t="n"/>
      <c r="C171" s="86" t="n"/>
      <c r="D171" s="86" t="n"/>
      <c r="E171" s="108" t="inlineStr">
        <is>
          <t>↑ Volver al índice</t>
        </is>
      </c>
      <c r="F171" s="84" t="n"/>
      <c r="G171" s="84" t="n"/>
      <c r="H171" s="117" t="n"/>
      <c r="I171" s="118" t="n"/>
      <c r="J171" s="118" t="n"/>
      <c r="K171" s="98" t="n"/>
      <c r="L171" s="84" t="n"/>
      <c r="M171" s="84" t="n"/>
      <c r="N171" s="84" t="n"/>
      <c r="O171" s="84" t="n"/>
      <c r="P171" s="84" t="n"/>
      <c r="Q171" s="84" t="n"/>
      <c r="R171" s="84" t="n"/>
      <c r="S171" s="102" t="n"/>
      <c r="T171" s="102" t="n"/>
      <c r="U171" s="102" t="n"/>
      <c r="V171" s="102" t="n"/>
      <c r="W171" s="102" t="n"/>
      <c r="X171" s="102" t="n"/>
      <c r="Y171" s="102" t="n"/>
      <c r="Z171" s="102" t="n"/>
      <c r="AA171" s="102" t="n"/>
      <c r="AB171" s="102" t="n"/>
      <c r="AC171" s="102">
        <f>IFERROR(__xludf.DUMMYFUNCTION("""COMPUTED_VALUE"""),"22 ml")</f>
        <v/>
      </c>
      <c r="AD171" s="102">
        <f>IFERROR(__xludf.DUMMYFUNCTION("""COMPUTED_VALUE"""),"8.5 FM")</f>
        <v/>
      </c>
    </row>
    <row r="172" ht="16.5" customHeight="1" s="176">
      <c r="A172" s="110" t="inlineStr">
        <is>
          <t>Fit (corte) — aplica a</t>
        </is>
      </c>
      <c r="B172" s="110" t="inlineStr">
        <is>
          <t>Valores de Fit homologados</t>
        </is>
      </c>
      <c r="C172" s="182" t="n"/>
      <c r="D172" s="182" t="n"/>
      <c r="E172" s="183" t="n"/>
      <c r="F172" s="84" t="n"/>
      <c r="G172" s="84" t="n"/>
      <c r="H172" s="117" t="n"/>
      <c r="I172" s="118" t="n"/>
      <c r="J172" s="118" t="n"/>
      <c r="K172" s="98" t="n"/>
      <c r="L172" s="84" t="n"/>
      <c r="M172" s="84" t="n"/>
      <c r="N172" s="84" t="n"/>
      <c r="O172" s="84" t="n"/>
      <c r="P172" s="84" t="n"/>
      <c r="Q172" s="84" t="n"/>
      <c r="R172" s="84" t="n"/>
      <c r="S172" s="102" t="n"/>
      <c r="T172" s="102" t="n"/>
      <c r="U172" s="102" t="n"/>
      <c r="V172" s="102" t="n"/>
      <c r="W172" s="102" t="n"/>
      <c r="X172" s="102" t="n"/>
      <c r="Y172" s="102" t="n"/>
      <c r="Z172" s="102" t="n"/>
      <c r="AA172" s="102" t="n"/>
      <c r="AB172" s="102" t="n"/>
      <c r="AC172" s="102">
        <f>IFERROR(__xludf.DUMMYFUNCTION("""COMPUTED_VALUE"""),"30 ml")</f>
        <v/>
      </c>
      <c r="AD172" s="102">
        <f>IFERROR(__xludf.DUMMYFUNCTION("""COMPUTED_VALUE"""),"8.5 FS")</f>
        <v/>
      </c>
    </row>
    <row r="173" ht="55.5" customHeight="1" s="176">
      <c r="A173" s="122" t="inlineStr">
        <is>
          <t>Jeans, Camisas, Playeras, Sudaderas, Vestidos, Faldas, Chamarras, Chalecos, Shorts, Pantalones, Jumpsuits</t>
        </is>
      </c>
      <c r="B173" s="122">
        <f>IFERROR(__xludf.DUMMYFUNCTION("TEXTJOIN("", "", TRUE, FILTER($AA$6:$AA$60, $AA$6:$AA$60&lt;&gt;"""", $AA$6:$AA$60&lt;&gt;""No Aplica""))"),"Regular, Relajado, Slim, Clásico, Moderno, Recto, Bootcut")</f>
        <v/>
      </c>
      <c r="C173" s="182" t="n"/>
      <c r="D173" s="182" t="n"/>
      <c r="E173" s="183" t="n"/>
      <c r="F173" s="84" t="n"/>
      <c r="G173" s="84" t="n"/>
      <c r="H173" s="117" t="n"/>
      <c r="I173" s="118" t="n"/>
      <c r="J173" s="118" t="n"/>
      <c r="K173" s="98" t="n"/>
      <c r="L173" s="84" t="n"/>
      <c r="M173" s="84" t="n"/>
      <c r="N173" s="84" t="n"/>
      <c r="O173" s="84" t="n"/>
      <c r="P173" s="84" t="n"/>
      <c r="Q173" s="84" t="n"/>
      <c r="R173" s="84" t="n"/>
      <c r="S173" s="102" t="n"/>
      <c r="T173" s="102" t="n"/>
      <c r="U173" s="102" t="n"/>
      <c r="V173" s="102" t="n"/>
      <c r="W173" s="102" t="n"/>
      <c r="X173" s="102" t="n"/>
      <c r="Y173" s="102" t="n"/>
      <c r="Z173" s="102" t="n"/>
      <c r="AA173" s="102" t="n"/>
      <c r="AB173" s="102" t="n"/>
      <c r="AC173" s="102">
        <f>IFERROR(__xludf.DUMMYFUNCTION("""COMPUTED_VALUE"""),"44 ml")</f>
        <v/>
      </c>
      <c r="AD173" s="102">
        <f>IFERROR(__xludf.DUMMYFUNCTION("""COMPUTED_VALUE"""),"8.5 RM")</f>
        <v/>
      </c>
    </row>
    <row r="174" ht="30" customHeight="1" s="176">
      <c r="A174" s="122" t="inlineStr">
        <is>
          <t>Sombreros, Botas, Zapatos, Tenis, Pantuflas y todos los Accesorios</t>
        </is>
      </c>
      <c r="B174" s="122" t="inlineStr">
        <is>
          <t>No Aplica</t>
        </is>
      </c>
      <c r="C174" s="182" t="n"/>
      <c r="D174" s="182" t="n"/>
      <c r="E174" s="183" t="n"/>
      <c r="F174" s="84" t="n"/>
      <c r="G174" s="84" t="n"/>
      <c r="H174" s="117" t="n"/>
      <c r="I174" s="118" t="n"/>
      <c r="J174" s="118" t="n"/>
      <c r="K174" s="98" t="n"/>
      <c r="L174" s="84" t="n"/>
      <c r="M174" s="84" t="n"/>
      <c r="N174" s="84" t="n"/>
      <c r="O174" s="84" t="n"/>
      <c r="P174" s="84" t="n"/>
      <c r="Q174" s="84" t="n"/>
      <c r="R174" s="84" t="n"/>
      <c r="S174" s="102" t="n"/>
      <c r="T174" s="102" t="n"/>
      <c r="U174" s="102" t="n"/>
      <c r="V174" s="102" t="n"/>
      <c r="W174" s="102" t="n"/>
      <c r="X174" s="102" t="n"/>
      <c r="Y174" s="102" t="n"/>
      <c r="Z174" s="102" t="n"/>
      <c r="AA174" s="102" t="n"/>
      <c r="AB174" s="102" t="n"/>
      <c r="AC174" s="102">
        <f>IFERROR(__xludf.DUMMYFUNCTION("""COMPUTED_VALUE"""),"50 ml")</f>
        <v/>
      </c>
      <c r="AD174" s="102">
        <f>IFERROR(__xludf.DUMMYFUNCTION("""COMPUTED_VALUE"""),"8.5 RS")</f>
        <v/>
      </c>
    </row>
    <row r="175" ht="16.5" customHeight="1" s="176">
      <c r="A175" s="110" t="inlineStr">
        <is>
          <t>Silueta (forma / horma) — aplica a</t>
        </is>
      </c>
      <c r="B175" s="110" t="inlineStr">
        <is>
          <t>Valores de Silueta homologados</t>
        </is>
      </c>
      <c r="C175" s="182" t="n"/>
      <c r="D175" s="182" t="n"/>
      <c r="E175" s="183" t="n"/>
      <c r="F175" s="84" t="n"/>
      <c r="G175" s="84" t="n"/>
      <c r="H175" s="117" t="n"/>
      <c r="I175" s="118" t="n"/>
      <c r="J175" s="118" t="n"/>
      <c r="K175" s="98" t="n"/>
      <c r="L175" s="84" t="n"/>
      <c r="M175" s="84" t="n"/>
      <c r="N175" s="84" t="n"/>
      <c r="O175" s="84" t="n"/>
      <c r="P175" s="84" t="n"/>
      <c r="Q175" s="84" t="n"/>
      <c r="R175" s="84" t="n"/>
      <c r="S175" s="102" t="n"/>
      <c r="T175" s="102" t="n"/>
      <c r="U175" s="102" t="n"/>
      <c r="V175" s="102" t="n"/>
      <c r="W175" s="102" t="n"/>
      <c r="X175" s="102" t="n"/>
      <c r="Y175" s="102" t="n"/>
      <c r="Z175" s="102" t="n"/>
      <c r="AA175" s="102" t="n"/>
      <c r="AB175" s="102" t="n"/>
      <c r="AC175" s="102">
        <f>IFERROR(__xludf.DUMMYFUNCTION("""COMPUTED_VALUE"""),"67 ml")</f>
        <v/>
      </c>
      <c r="AD175" s="102">
        <f>IFERROR(__xludf.DUMMYFUNCTION("""COMPUTED_VALUE"""),"8.5 RT")</f>
        <v/>
      </c>
    </row>
    <row r="176" ht="16.5" customHeight="1" s="176">
      <c r="A176" s="122" t="inlineStr">
        <is>
          <t>Sombreros</t>
        </is>
      </c>
      <c r="B176" s="122" t="inlineStr">
        <is>
          <t>Copa Cattleman, Copa Rancher, Copa Pinch Front, Copa Gus, Copa Teardrop, Copa Open Road, Copa Brick</t>
        </is>
      </c>
      <c r="C176" s="182" t="n"/>
      <c r="D176" s="182" t="n"/>
      <c r="E176" s="183" t="n"/>
      <c r="F176" s="84" t="n"/>
      <c r="G176" s="84" t="n"/>
      <c r="H176" s="117" t="n"/>
      <c r="I176" s="118" t="n"/>
      <c r="J176" s="118" t="n"/>
      <c r="K176" s="98" t="n"/>
      <c r="L176" s="84" t="n"/>
      <c r="M176" s="84" t="n"/>
      <c r="N176" s="84" t="n"/>
      <c r="O176" s="84" t="n"/>
      <c r="P176" s="84" t="n"/>
      <c r="Q176" s="84" t="n"/>
      <c r="R176" s="84" t="n"/>
      <c r="S176" s="102" t="n"/>
      <c r="T176" s="102" t="n"/>
      <c r="U176" s="102" t="n"/>
      <c r="V176" s="102" t="n"/>
      <c r="W176" s="102" t="n"/>
      <c r="X176" s="102" t="n"/>
      <c r="Y176" s="102" t="n"/>
      <c r="Z176" s="102" t="n"/>
      <c r="AA176" s="102" t="n"/>
      <c r="AB176" s="102" t="n"/>
      <c r="AC176" s="102">
        <f>IFERROR(__xludf.DUMMYFUNCTION("""COMPUTED_VALUE"""),"75 ml")</f>
        <v/>
      </c>
      <c r="AD176" s="102">
        <f>IFERROR(__xludf.DUMMYFUNCTION("""COMPUTED_VALUE"""),"8.5 SM")</f>
        <v/>
      </c>
    </row>
    <row r="177" ht="16.5" customHeight="1" s="176">
      <c r="A177" s="122" t="inlineStr">
        <is>
          <t>Calzado (Botas, Zapatos)</t>
        </is>
      </c>
      <c r="B177" s="122" t="inlineStr">
        <is>
          <t>Punta Redonda Ancha, Punta Cuadrada Ancha, Punta Redonda, Punta Cuadrada, Punta Ovalada, Punta Snip, Horma Alexia, Horma Agatha</t>
        </is>
      </c>
      <c r="C177" s="182" t="n"/>
      <c r="D177" s="182" t="n"/>
      <c r="E177" s="183" t="n"/>
      <c r="F177" s="84" t="n"/>
      <c r="G177" s="84" t="n"/>
      <c r="H177" s="117" t="n"/>
      <c r="I177" s="118" t="n"/>
      <c r="J177" s="118" t="n"/>
      <c r="K177" s="98" t="n"/>
      <c r="L177" s="84" t="n"/>
      <c r="M177" s="84" t="n"/>
      <c r="N177" s="84" t="n"/>
      <c r="O177" s="84" t="n"/>
      <c r="P177" s="84" t="n"/>
      <c r="Q177" s="84" t="n"/>
      <c r="R177" s="84" t="n"/>
      <c r="S177" s="102" t="n"/>
      <c r="T177" s="102" t="n"/>
      <c r="U177" s="102" t="n"/>
      <c r="V177" s="102" t="n"/>
      <c r="W177" s="102" t="n"/>
      <c r="X177" s="102" t="n"/>
      <c r="Y177" s="102" t="n"/>
      <c r="Z177" s="102" t="n"/>
      <c r="AA177" s="102" t="n"/>
      <c r="AB177" s="102" t="n"/>
      <c r="AC177" s="102">
        <f>IFERROR(__xludf.DUMMYFUNCTION("""COMPUTED_VALUE"""),"80 ml")</f>
        <v/>
      </c>
      <c r="AD177" s="102">
        <f>IFERROR(__xludf.DUMMYFUNCTION("""COMPUTED_VALUE"""),"8.5 SS")</f>
        <v/>
      </c>
    </row>
    <row r="178" ht="16.5" customHeight="1" s="176">
      <c r="A178" s="122" t="inlineStr">
        <is>
          <t>Jeans</t>
        </is>
      </c>
      <c r="B178" s="122" t="inlineStr">
        <is>
          <t>Recto, Bootcut, Skinny, Tapered, Trouser</t>
        </is>
      </c>
      <c r="C178" s="182" t="n"/>
      <c r="D178" s="182" t="n"/>
      <c r="E178" s="183" t="n"/>
      <c r="F178" s="84" t="n"/>
      <c r="G178" s="84" t="n"/>
      <c r="H178" s="117" t="n"/>
      <c r="I178" s="118" t="n"/>
      <c r="J178" s="118" t="n"/>
      <c r="K178" s="98" t="n"/>
      <c r="L178" s="84" t="n"/>
      <c r="M178" s="84" t="n"/>
      <c r="N178" s="84" t="n"/>
      <c r="O178" s="84" t="n"/>
      <c r="P178" s="84" t="n"/>
      <c r="Q178" s="84" t="n"/>
      <c r="R178" s="84" t="n"/>
      <c r="S178" s="102" t="n"/>
      <c r="T178" s="102" t="n"/>
      <c r="U178" s="102" t="n"/>
      <c r="V178" s="102" t="n"/>
      <c r="W178" s="102" t="n"/>
      <c r="X178" s="102" t="n"/>
      <c r="Y178" s="102" t="n"/>
      <c r="Z178" s="102" t="n"/>
      <c r="AA178" s="102" t="n"/>
      <c r="AB178" s="102" t="n"/>
      <c r="AC178" s="102">
        <f>IFERROR(__xludf.DUMMYFUNCTION("""COMPUTED_VALUE"""),"100 ml")</f>
        <v/>
      </c>
      <c r="AD178" s="102">
        <f>IFERROR(__xludf.DUMMYFUNCTION("""COMPUTED_VALUE"""),"8.5 ST")</f>
        <v/>
      </c>
    </row>
    <row r="179" ht="30" customHeight="1" s="176">
      <c r="A179" s="122" t="inlineStr">
        <is>
          <t>Camisas, Sudaderas, Chamarras, Vestidos y todos los Accesorios</t>
        </is>
      </c>
      <c r="B179" s="122" t="inlineStr">
        <is>
          <t>No Aplica</t>
        </is>
      </c>
      <c r="C179" s="182" t="n"/>
      <c r="D179" s="182" t="n"/>
      <c r="E179" s="183" t="n"/>
      <c r="F179" s="84" t="n"/>
      <c r="G179" s="84" t="n"/>
      <c r="H179" s="117" t="n"/>
      <c r="I179" s="118" t="n"/>
      <c r="J179" s="118" t="n"/>
      <c r="K179" s="98" t="n"/>
      <c r="L179" s="84" t="n"/>
      <c r="M179" s="84" t="n"/>
      <c r="N179" s="84" t="n"/>
      <c r="O179" s="84" t="n"/>
      <c r="P179" s="84" t="n"/>
      <c r="Q179" s="84" t="n"/>
      <c r="R179" s="84" t="n"/>
      <c r="S179" s="102" t="n"/>
      <c r="T179" s="102" t="n"/>
      <c r="U179" s="102" t="n"/>
      <c r="V179" s="102" t="n"/>
      <c r="W179" s="102" t="n"/>
      <c r="X179" s="102" t="n"/>
      <c r="Y179" s="102" t="n"/>
      <c r="Z179" s="102" t="n"/>
      <c r="AA179" s="102" t="n"/>
      <c r="AB179" s="102" t="n"/>
      <c r="AC179" s="102">
        <f>IFERROR(__xludf.DUMMYFUNCTION("""COMPUTED_VALUE"""),"163 ml")</f>
        <v/>
      </c>
      <c r="AD179" s="102">
        <f>IFERROR(__xludf.DUMMYFUNCTION("""COMPUTED_VALUE"""),"8.5 XSS")</f>
        <v/>
      </c>
    </row>
    <row r="180" ht="15.75" customHeight="1" s="176">
      <c r="A180" s="115" t="inlineStr">
        <is>
          <t>Las listas válidas de Fit y Silueta que usan los desplegables se editan en las columnas AA y AB (sección 12).</t>
        </is>
      </c>
      <c r="B180" s="107" t="n"/>
      <c r="C180" s="107" t="n"/>
      <c r="D180" s="107" t="n"/>
      <c r="E180" s="107" t="n"/>
      <c r="F180" s="84" t="n"/>
      <c r="G180" s="84" t="n"/>
      <c r="H180" s="117" t="n"/>
      <c r="I180" s="118" t="n"/>
      <c r="J180" s="118" t="n"/>
      <c r="K180" s="98" t="n"/>
      <c r="L180" s="84" t="n"/>
      <c r="M180" s="84" t="n"/>
      <c r="N180" s="84" t="n"/>
      <c r="O180" s="84" t="n"/>
      <c r="P180" s="84" t="n"/>
      <c r="Q180" s="84" t="n"/>
      <c r="R180" s="84" t="n"/>
      <c r="S180" s="102" t="n"/>
      <c r="T180" s="102" t="n"/>
      <c r="U180" s="102" t="n"/>
      <c r="V180" s="102" t="n"/>
      <c r="W180" s="102" t="n"/>
      <c r="X180" s="102" t="n"/>
      <c r="Y180" s="102" t="n"/>
      <c r="Z180" s="102" t="n"/>
      <c r="AA180" s="102" t="n"/>
      <c r="AB180" s="102" t="n"/>
      <c r="AC180" s="102">
        <f>IFERROR(__xludf.DUMMYFUNCTION("""COMPUTED_VALUE"""),"237 ml")</f>
        <v/>
      </c>
      <c r="AD180" s="102">
        <f>IFERROR(__xludf.DUMMYFUNCTION("""COMPUTED_VALUE"""),"9 B")</f>
        <v/>
      </c>
    </row>
    <row r="181" ht="21.75" customHeight="1" s="176">
      <c r="A181" s="86" t="inlineStr">
        <is>
          <t>8. CATÁLOGO DE TALLAS  (WB Talla → Talla de EE. UU.)</t>
        </is>
      </c>
      <c r="B181" s="86" t="n"/>
      <c r="C181" s="86" t="n"/>
      <c r="D181" s="86" t="n"/>
      <c r="E181" s="108" t="inlineStr">
        <is>
          <t>↑ Volver al índice</t>
        </is>
      </c>
      <c r="F181" s="84" t="n"/>
      <c r="G181" s="84" t="n"/>
      <c r="H181" s="117" t="n"/>
      <c r="I181" s="118" t="n"/>
      <c r="J181" s="118" t="n"/>
      <c r="K181" s="98" t="n"/>
      <c r="L181" s="84" t="n"/>
      <c r="M181" s="84" t="n"/>
      <c r="N181" s="84" t="n"/>
      <c r="O181" s="84" t="n"/>
      <c r="P181" s="84" t="n"/>
      <c r="Q181" s="84" t="n"/>
      <c r="R181" s="84" t="n"/>
      <c r="S181" s="102" t="n"/>
      <c r="T181" s="102" t="n"/>
      <c r="U181" s="102" t="n"/>
      <c r="V181" s="102" t="n"/>
      <c r="W181" s="102" t="n"/>
      <c r="X181" s="102" t="n"/>
      <c r="Y181" s="102" t="n"/>
      <c r="Z181" s="102" t="n"/>
      <c r="AA181" s="102" t="n"/>
      <c r="AB181" s="102" t="n"/>
      <c r="AC181" s="102">
        <f>IFERROR(__xludf.DUMMYFUNCTION("""COMPUTED_VALUE"""),"No Aplica")</f>
        <v/>
      </c>
      <c r="AD181" s="102">
        <f>IFERROR(__xludf.DUMMYFUNCTION("""COMPUTED_VALUE"""),"9 D")</f>
        <v/>
      </c>
    </row>
    <row r="182" ht="15.75" customHeight="1" s="176">
      <c r="A182" s="115" t="inlineStr">
        <is>
          <t>Captura los valores exactamente como aparecen. Usa el filtro de «Familia de talla» para ver solo la familia que necesitas. Sin talla = «Talla única» / «One Size».</t>
        </is>
      </c>
      <c r="B182" s="107" t="n"/>
      <c r="C182" s="107" t="n"/>
      <c r="D182" s="107" t="n"/>
      <c r="E182" s="107" t="n"/>
      <c r="F182" s="84" t="n"/>
      <c r="G182" s="84" t="n"/>
      <c r="H182" s="117" t="n"/>
      <c r="I182" s="118" t="n"/>
      <c r="J182" s="118" t="n"/>
      <c r="K182" s="98" t="n"/>
      <c r="L182" s="84" t="n"/>
      <c r="M182" s="84" t="n"/>
      <c r="N182" s="84" t="n"/>
      <c r="O182" s="84" t="n"/>
      <c r="P182" s="84" t="n"/>
      <c r="Q182" s="84" t="n"/>
      <c r="R182" s="84" t="n"/>
      <c r="S182" s="102" t="n"/>
      <c r="T182" s="102" t="n"/>
      <c r="U182" s="102" t="n"/>
      <c r="V182" s="102" t="n"/>
      <c r="W182" s="102" t="n"/>
      <c r="X182" s="102" t="n"/>
      <c r="Y182" s="102" t="n"/>
      <c r="Z182" s="102" t="n"/>
      <c r="AA182" s="102" t="n"/>
      <c r="AB182" s="102" t="n"/>
      <c r="AC182" s="102" t="n"/>
      <c r="AD182" s="102">
        <f>IFERROR(__xludf.DUMMYFUNCTION("""COMPUTED_VALUE"""),"9 EE")</f>
        <v/>
      </c>
    </row>
    <row r="183" ht="16.5" customHeight="1" s="176">
      <c r="A183" s="110" t="inlineStr">
        <is>
          <t>Familia de talla</t>
        </is>
      </c>
      <c r="B183" s="110" t="inlineStr">
        <is>
          <t>WB Talla</t>
        </is>
      </c>
      <c r="C183" s="110" t="inlineStr">
        <is>
          <t>Talla de EE. UU.</t>
        </is>
      </c>
      <c r="D183" s="110" t="inlineStr">
        <is>
          <t>Regla / equivalencia</t>
        </is>
      </c>
      <c r="E183" s="183" t="n"/>
      <c r="F183" s="84" t="n"/>
      <c r="G183" s="84" t="n"/>
      <c r="H183" s="117" t="n"/>
      <c r="I183" s="118" t="n"/>
      <c r="J183" s="118" t="n"/>
      <c r="K183" s="98" t="n"/>
      <c r="L183" s="84" t="n"/>
      <c r="M183" s="84" t="n"/>
      <c r="N183" s="84" t="n"/>
      <c r="O183" s="84" t="n"/>
      <c r="P183" s="84" t="n"/>
      <c r="Q183" s="84" t="n"/>
      <c r="R183" s="84" t="n"/>
      <c r="S183" s="102" t="n"/>
      <c r="T183" s="102" t="n"/>
      <c r="U183" s="102" t="n"/>
      <c r="V183" s="102" t="n"/>
      <c r="W183" s="102" t="n"/>
      <c r="X183" s="102" t="n"/>
      <c r="Y183" s="102" t="n"/>
      <c r="Z183" s="102" t="n"/>
      <c r="AA183" s="102" t="n"/>
      <c r="AB183" s="102" t="n"/>
      <c r="AC183" s="102" t="n"/>
      <c r="AD183" s="102">
        <f>IFERROR(__xludf.DUMMYFUNCTION("""COMPUTED_VALUE"""),"9 FM")</f>
        <v/>
      </c>
    </row>
    <row r="184" ht="30" customHeight="1" s="176">
      <c r="A184" s="122" t="inlineStr">
        <is>
          <t>Talla única</t>
        </is>
      </c>
      <c r="B184" s="123" t="inlineStr">
        <is>
          <t>Talla única</t>
        </is>
      </c>
      <c r="C184" s="123" t="inlineStr">
        <is>
          <t>One Size</t>
        </is>
      </c>
      <c r="D184" s="122" t="inlineStr">
        <is>
          <t>Gorras, carteras, hebillas, estuches y accesorios sin talla. UNI y OS se capturan así.</t>
        </is>
      </c>
      <c r="E184" s="183" t="n"/>
      <c r="F184" s="84" t="n"/>
      <c r="G184" s="84" t="n"/>
      <c r="H184" s="117" t="n"/>
      <c r="I184" s="118" t="n"/>
      <c r="J184" s="118" t="n"/>
      <c r="K184" s="98" t="n"/>
      <c r="L184" s="84" t="n"/>
      <c r="M184" s="84" t="n"/>
      <c r="N184" s="84" t="n"/>
      <c r="O184" s="84" t="n"/>
      <c r="P184" s="84" t="n"/>
      <c r="Q184" s="84" t="n"/>
      <c r="R184" s="84" t="n"/>
      <c r="S184" s="102" t="n"/>
      <c r="T184" s="102" t="n"/>
      <c r="U184" s="102" t="n"/>
      <c r="V184" s="102" t="n"/>
      <c r="W184" s="102" t="n"/>
      <c r="X184" s="102" t="n"/>
      <c r="Y184" s="102" t="n"/>
      <c r="Z184" s="102" t="n"/>
      <c r="AA184" s="102" t="n"/>
      <c r="AB184" s="102" t="n"/>
      <c r="AC184" s="102" t="n"/>
      <c r="AD184" s="102">
        <f>IFERROR(__xludf.DUMMYFUNCTION("""COMPUTED_VALUE"""),"9 FS")</f>
        <v/>
      </c>
    </row>
    <row r="185" ht="16.5" customHeight="1" s="176">
      <c r="A185" s="122" t="inlineStr">
        <is>
          <t>Talla Ropa</t>
        </is>
      </c>
      <c r="B185" s="123" t="inlineStr">
        <is>
          <t>XXS</t>
        </is>
      </c>
      <c r="C185" s="123" t="inlineStr">
        <is>
          <t>XXS</t>
        </is>
      </c>
      <c r="D185" s="122" t="inlineStr">
        <is>
          <t>Igual</t>
        </is>
      </c>
      <c r="E185" s="183" t="n"/>
      <c r="F185" s="84" t="n"/>
      <c r="G185" s="84" t="n"/>
      <c r="H185" s="117" t="n"/>
      <c r="I185" s="118" t="n"/>
      <c r="J185" s="118" t="n"/>
      <c r="K185" s="98" t="n"/>
      <c r="L185" s="84" t="n"/>
      <c r="M185" s="84" t="n"/>
      <c r="N185" s="84" t="n"/>
      <c r="O185" s="84" t="n"/>
      <c r="P185" s="84" t="n"/>
      <c r="Q185" s="84" t="n"/>
      <c r="R185" s="84" t="n"/>
      <c r="S185" s="102" t="n"/>
      <c r="T185" s="102" t="n"/>
      <c r="U185" s="102" t="n"/>
      <c r="V185" s="102" t="n"/>
      <c r="W185" s="102" t="n"/>
      <c r="X185" s="102" t="n"/>
      <c r="Y185" s="102" t="n"/>
      <c r="Z185" s="102" t="n"/>
      <c r="AA185" s="102" t="n"/>
      <c r="AB185" s="102" t="n"/>
      <c r="AC185" s="102" t="n"/>
      <c r="AD185" s="102">
        <f>IFERROR(__xludf.DUMMYFUNCTION("""COMPUTED_VALUE"""),"9 RM")</f>
        <v/>
      </c>
    </row>
    <row r="186" ht="16.5" customHeight="1" s="176">
      <c r="A186" s="122" t="inlineStr">
        <is>
          <t>Talla Ropa</t>
        </is>
      </c>
      <c r="B186" s="123" t="inlineStr">
        <is>
          <t>XS</t>
        </is>
      </c>
      <c r="C186" s="123" t="inlineStr">
        <is>
          <t>XS</t>
        </is>
      </c>
      <c r="D186" s="122" t="inlineStr">
        <is>
          <t>Igual</t>
        </is>
      </c>
      <c r="E186" s="183" t="n"/>
      <c r="F186" s="84" t="n"/>
      <c r="G186" s="84" t="n"/>
      <c r="H186" s="117" t="n"/>
      <c r="I186" s="118" t="n"/>
      <c r="J186" s="118" t="n"/>
      <c r="K186" s="98" t="n"/>
      <c r="L186" s="84" t="n"/>
      <c r="M186" s="84" t="n"/>
      <c r="N186" s="84" t="n"/>
      <c r="O186" s="84" t="n"/>
      <c r="P186" s="84" t="n"/>
      <c r="Q186" s="84" t="n"/>
      <c r="R186" s="84" t="n"/>
      <c r="S186" s="102" t="n"/>
      <c r="T186" s="102" t="n"/>
      <c r="U186" s="102" t="n"/>
      <c r="V186" s="102" t="n"/>
      <c r="W186" s="102" t="n"/>
      <c r="X186" s="102" t="n"/>
      <c r="Y186" s="102" t="n"/>
      <c r="Z186" s="102" t="n"/>
      <c r="AA186" s="102" t="n"/>
      <c r="AB186" s="102" t="n"/>
      <c r="AC186" s="102" t="n"/>
      <c r="AD186" s="102">
        <f>IFERROR(__xludf.DUMMYFUNCTION("""COMPUTED_VALUE"""),"9 RS")</f>
        <v/>
      </c>
    </row>
    <row r="187" ht="16.5" customHeight="1" s="176">
      <c r="A187" s="122" t="inlineStr">
        <is>
          <t>Talla Ropa</t>
        </is>
      </c>
      <c r="B187" s="123" t="inlineStr">
        <is>
          <t>S</t>
        </is>
      </c>
      <c r="C187" s="123" t="inlineStr">
        <is>
          <t>S</t>
        </is>
      </c>
      <c r="D187" s="122" t="inlineStr">
        <is>
          <t>Igual. CH→S · MED→M · GDE→L · 2XL→XXL · 3XL→XXXL (se manejan en letras)</t>
        </is>
      </c>
      <c r="E187" s="183" t="n"/>
      <c r="F187" s="84" t="n"/>
      <c r="G187" s="84" t="n"/>
      <c r="H187" s="117" t="n"/>
      <c r="I187" s="118" t="n"/>
      <c r="J187" s="118" t="n"/>
      <c r="K187" s="98" t="n"/>
      <c r="L187" s="84" t="n"/>
      <c r="M187" s="84" t="n"/>
      <c r="N187" s="84" t="n"/>
      <c r="O187" s="84" t="n"/>
      <c r="P187" s="84" t="n"/>
      <c r="Q187" s="84" t="n"/>
      <c r="R187" s="84" t="n"/>
      <c r="S187" s="102" t="n"/>
      <c r="T187" s="102" t="n"/>
      <c r="U187" s="102" t="n"/>
      <c r="V187" s="102" t="n"/>
      <c r="W187" s="102" t="n"/>
      <c r="X187" s="102" t="n"/>
      <c r="Y187" s="102" t="n"/>
      <c r="Z187" s="102" t="n"/>
      <c r="AA187" s="102" t="n"/>
      <c r="AB187" s="102" t="n"/>
      <c r="AC187" s="102" t="n"/>
      <c r="AD187" s="102">
        <f>IFERROR(__xludf.DUMMYFUNCTION("""COMPUTED_VALUE"""),"9 RT")</f>
        <v/>
      </c>
    </row>
    <row r="188" ht="16.5" customHeight="1" s="176">
      <c r="A188" s="122" t="inlineStr">
        <is>
          <t>Talla Ropa</t>
        </is>
      </c>
      <c r="B188" s="123" t="inlineStr">
        <is>
          <t>M</t>
        </is>
      </c>
      <c r="C188" s="123" t="inlineStr">
        <is>
          <t>M</t>
        </is>
      </c>
      <c r="D188" s="122" t="inlineStr">
        <is>
          <t>Igual</t>
        </is>
      </c>
      <c r="E188" s="183" t="n"/>
      <c r="F188" s="84" t="n"/>
      <c r="G188" s="84" t="n"/>
      <c r="H188" s="117" t="n"/>
      <c r="I188" s="118" t="n"/>
      <c r="J188" s="118" t="n"/>
      <c r="K188" s="98" t="n"/>
      <c r="L188" s="84" t="n"/>
      <c r="M188" s="84" t="n"/>
      <c r="N188" s="84" t="n"/>
      <c r="O188" s="84" t="n"/>
      <c r="P188" s="84" t="n"/>
      <c r="Q188" s="84" t="n"/>
      <c r="R188" s="84" t="n"/>
      <c r="S188" s="102" t="n"/>
      <c r="T188" s="102" t="n"/>
      <c r="U188" s="102" t="n"/>
      <c r="V188" s="102" t="n"/>
      <c r="W188" s="102" t="n"/>
      <c r="X188" s="102" t="n"/>
      <c r="Y188" s="102" t="n"/>
      <c r="Z188" s="102" t="n"/>
      <c r="AA188" s="102" t="n"/>
      <c r="AB188" s="102" t="n"/>
      <c r="AC188" s="102" t="n"/>
      <c r="AD188" s="102">
        <f>IFERROR(__xludf.DUMMYFUNCTION("""COMPUTED_VALUE"""),"9 SM")</f>
        <v/>
      </c>
    </row>
    <row r="189" ht="16.5" customHeight="1" s="176">
      <c r="A189" s="122" t="inlineStr">
        <is>
          <t>Talla Ropa</t>
        </is>
      </c>
      <c r="B189" s="123" t="inlineStr">
        <is>
          <t>L</t>
        </is>
      </c>
      <c r="C189" s="123" t="inlineStr">
        <is>
          <t>L</t>
        </is>
      </c>
      <c r="D189" s="122" t="inlineStr">
        <is>
          <t>Igual</t>
        </is>
      </c>
      <c r="E189" s="183" t="n"/>
      <c r="F189" s="84" t="n"/>
      <c r="G189" s="84" t="n"/>
      <c r="H189" s="117" t="n"/>
      <c r="I189" s="118" t="n"/>
      <c r="J189" s="118" t="n"/>
      <c r="K189" s="98" t="n"/>
      <c r="L189" s="84" t="n"/>
      <c r="M189" s="84" t="n"/>
      <c r="N189" s="84" t="n"/>
      <c r="O189" s="84" t="n"/>
      <c r="P189" s="84" t="n"/>
      <c r="Q189" s="84" t="n"/>
      <c r="R189" s="84" t="n"/>
      <c r="S189" s="102" t="n"/>
      <c r="T189" s="102" t="n"/>
      <c r="U189" s="102" t="n"/>
      <c r="V189" s="102" t="n"/>
      <c r="W189" s="102" t="n"/>
      <c r="X189" s="102" t="n"/>
      <c r="Y189" s="102" t="n"/>
      <c r="Z189" s="102" t="n"/>
      <c r="AA189" s="102" t="n"/>
      <c r="AB189" s="102" t="n"/>
      <c r="AC189" s="102" t="n"/>
      <c r="AD189" s="102">
        <f>IFERROR(__xludf.DUMMYFUNCTION("""COMPUTED_VALUE"""),"9 SS")</f>
        <v/>
      </c>
    </row>
    <row r="190" ht="16.5" customHeight="1" s="176">
      <c r="A190" s="122" t="inlineStr">
        <is>
          <t>Talla Ropa</t>
        </is>
      </c>
      <c r="B190" s="123" t="inlineStr">
        <is>
          <t>XL</t>
        </is>
      </c>
      <c r="C190" s="123" t="inlineStr">
        <is>
          <t>XL</t>
        </is>
      </c>
      <c r="D190" s="122" t="inlineStr">
        <is>
          <t>Igual</t>
        </is>
      </c>
      <c r="E190" s="183" t="n"/>
      <c r="F190" s="84" t="n"/>
      <c r="G190" s="84" t="n"/>
      <c r="H190" s="117" t="n"/>
      <c r="I190" s="118" t="n"/>
      <c r="J190" s="118" t="n"/>
      <c r="K190" s="98" t="n"/>
      <c r="L190" s="84" t="n"/>
      <c r="M190" s="84" t="n"/>
      <c r="N190" s="84" t="n"/>
      <c r="O190" s="84" t="n"/>
      <c r="P190" s="84" t="n"/>
      <c r="Q190" s="84" t="n"/>
      <c r="R190" s="84" t="n"/>
      <c r="S190" s="102" t="n"/>
      <c r="T190" s="102" t="n"/>
      <c r="U190" s="102" t="n"/>
      <c r="V190" s="102" t="n"/>
      <c r="W190" s="102" t="n"/>
      <c r="X190" s="102" t="n"/>
      <c r="Y190" s="102" t="n"/>
      <c r="Z190" s="102" t="n"/>
      <c r="AA190" s="102" t="n"/>
      <c r="AB190" s="102" t="n"/>
      <c r="AC190" s="102" t="n"/>
      <c r="AD190" s="102">
        <f>IFERROR(__xludf.DUMMYFUNCTION("""COMPUTED_VALUE"""),"9 ST")</f>
        <v/>
      </c>
    </row>
    <row r="191" ht="16.5" customHeight="1" s="176">
      <c r="A191" s="122" t="inlineStr">
        <is>
          <t>Talla Ropa</t>
        </is>
      </c>
      <c r="B191" s="123" t="inlineStr">
        <is>
          <t>XXL</t>
        </is>
      </c>
      <c r="C191" s="123" t="inlineStr">
        <is>
          <t>XXL</t>
        </is>
      </c>
      <c r="D191" s="122" t="inlineStr">
        <is>
          <t>Igual</t>
        </is>
      </c>
      <c r="E191" s="183" t="n"/>
      <c r="F191" s="84" t="n"/>
      <c r="G191" s="84" t="n"/>
      <c r="H191" s="117" t="n"/>
      <c r="I191" s="118" t="n"/>
      <c r="J191" s="118" t="n"/>
      <c r="K191" s="98" t="n"/>
      <c r="L191" s="84" t="n"/>
      <c r="M191" s="84" t="n"/>
      <c r="N191" s="84" t="n"/>
      <c r="O191" s="84" t="n"/>
      <c r="P191" s="84" t="n"/>
      <c r="Q191" s="84" t="n"/>
      <c r="R191" s="84" t="n"/>
      <c r="S191" s="102" t="n"/>
      <c r="T191" s="102" t="n"/>
      <c r="U191" s="102" t="n"/>
      <c r="V191" s="102" t="n"/>
      <c r="W191" s="102" t="n"/>
      <c r="X191" s="102" t="n"/>
      <c r="Y191" s="102" t="n"/>
      <c r="Z191" s="102" t="n"/>
      <c r="AA191" s="102" t="n"/>
      <c r="AB191" s="102" t="n"/>
      <c r="AC191" s="102" t="n"/>
      <c r="AD191" s="102">
        <f>IFERROR(__xludf.DUMMYFUNCTION("""COMPUTED_VALUE"""),"9 XSS")</f>
        <v/>
      </c>
    </row>
    <row r="192" ht="16.5" customHeight="1" s="176">
      <c r="A192" s="122" t="inlineStr">
        <is>
          <t>Talla Ropa</t>
        </is>
      </c>
      <c r="B192" s="123" t="inlineStr">
        <is>
          <t>XXXL</t>
        </is>
      </c>
      <c r="C192" s="123" t="inlineStr">
        <is>
          <t>XXXL</t>
        </is>
      </c>
      <c r="D192" s="122" t="inlineStr">
        <is>
          <t>Igual</t>
        </is>
      </c>
      <c r="E192" s="183" t="n"/>
      <c r="F192" s="84" t="n"/>
      <c r="G192" s="84" t="n"/>
      <c r="H192" s="117" t="n"/>
      <c r="I192" s="118" t="n"/>
      <c r="J192" s="118" t="n"/>
      <c r="K192" s="98" t="n"/>
      <c r="L192" s="84" t="n"/>
      <c r="M192" s="84" t="n"/>
      <c r="N192" s="84" t="n"/>
      <c r="O192" s="84" t="n"/>
      <c r="P192" s="84" t="n"/>
      <c r="Q192" s="84" t="n"/>
      <c r="R192" s="84" t="n"/>
      <c r="S192" s="102" t="n"/>
      <c r="T192" s="102" t="n"/>
      <c r="U192" s="102" t="n"/>
      <c r="V192" s="102" t="n"/>
      <c r="W192" s="102" t="n"/>
      <c r="X192" s="102" t="n"/>
      <c r="Y192" s="102" t="n"/>
      <c r="Z192" s="102" t="n"/>
      <c r="AA192" s="102" t="n"/>
      <c r="AB192" s="102" t="n"/>
      <c r="AC192" s="102" t="n"/>
      <c r="AD192" s="102">
        <f>IFERROR(__xludf.DUMMYFUNCTION("""COMPUTED_VALUE"""),"9.5 B")</f>
        <v/>
      </c>
    </row>
    <row r="193" ht="16.5" customHeight="1" s="176">
      <c r="A193" s="122" t="inlineStr">
        <is>
          <t>Talla Ropa</t>
        </is>
      </c>
      <c r="B193" s="123" t="inlineStr">
        <is>
          <t>4XL</t>
        </is>
      </c>
      <c r="C193" s="123" t="inlineStr">
        <is>
          <t>4XL</t>
        </is>
      </c>
      <c r="D193" s="122" t="inlineStr">
        <is>
          <t>Igual (así viene del proveedor)</t>
        </is>
      </c>
      <c r="E193" s="183" t="n"/>
      <c r="F193" s="84" t="n"/>
      <c r="G193" s="84" t="n"/>
      <c r="H193" s="117" t="n"/>
      <c r="I193" s="118" t="n"/>
      <c r="J193" s="118" t="n"/>
      <c r="K193" s="98" t="n"/>
      <c r="L193" s="84" t="n"/>
      <c r="M193" s="84" t="n"/>
      <c r="N193" s="84" t="n"/>
      <c r="O193" s="84" t="n"/>
      <c r="P193" s="84" t="n"/>
      <c r="Q193" s="84" t="n"/>
      <c r="R193" s="84" t="n"/>
      <c r="S193" s="102" t="n"/>
      <c r="T193" s="102" t="n"/>
      <c r="U193" s="102" t="n"/>
      <c r="V193" s="102" t="n"/>
      <c r="W193" s="102" t="n"/>
      <c r="X193" s="102" t="n"/>
      <c r="Y193" s="102" t="n"/>
      <c r="Z193" s="102" t="n"/>
      <c r="AA193" s="102" t="n"/>
      <c r="AB193" s="102" t="n"/>
      <c r="AC193" s="102" t="n"/>
      <c r="AD193" s="102">
        <f>IFERROR(__xludf.DUMMYFUNCTION("""COMPUTED_VALUE"""),"9.5 D")</f>
        <v/>
      </c>
    </row>
    <row r="194" ht="16.5" customHeight="1" s="176">
      <c r="A194" s="122" t="inlineStr">
        <is>
          <t>Talla Ropa Dama numérica</t>
        </is>
      </c>
      <c r="B194" s="123" t="n">
        <v>0</v>
      </c>
      <c r="C194" s="123" t="n">
        <v>0</v>
      </c>
      <c r="D194" s="122" t="inlineStr">
        <is>
          <t>Igual (vestidos y prendas dama con talla numérica US)</t>
        </is>
      </c>
      <c r="E194" s="183" t="n"/>
      <c r="F194" s="84" t="n"/>
      <c r="G194" s="84" t="n"/>
      <c r="H194" s="117" t="n"/>
      <c r="I194" s="118" t="n"/>
      <c r="J194" s="118" t="n"/>
      <c r="K194" s="98" t="n"/>
      <c r="L194" s="84" t="n"/>
      <c r="M194" s="84" t="n"/>
      <c r="N194" s="84" t="n"/>
      <c r="O194" s="84" t="n"/>
      <c r="P194" s="84" t="n"/>
      <c r="Q194" s="84" t="n"/>
      <c r="R194" s="84" t="n"/>
      <c r="S194" s="102" t="n"/>
      <c r="T194" s="102" t="n"/>
      <c r="U194" s="102" t="n"/>
      <c r="V194" s="102" t="n"/>
      <c r="W194" s="102" t="n"/>
      <c r="X194" s="102" t="n"/>
      <c r="Y194" s="102" t="n"/>
      <c r="Z194" s="102" t="n"/>
      <c r="AA194" s="102" t="n"/>
      <c r="AB194" s="102" t="n"/>
      <c r="AC194" s="102" t="n"/>
      <c r="AD194" s="102">
        <f>IFERROR(__xludf.DUMMYFUNCTION("""COMPUTED_VALUE"""),"9.5 EE")</f>
        <v/>
      </c>
    </row>
    <row r="195" ht="16.5" customHeight="1" s="176">
      <c r="A195" s="122" t="inlineStr">
        <is>
          <t>Talla Ropa Dama numérica</t>
        </is>
      </c>
      <c r="B195" s="123" t="n">
        <v>2</v>
      </c>
      <c r="C195" s="123" t="n">
        <v>2</v>
      </c>
      <c r="D195" s="122" t="inlineStr">
        <is>
          <t>Igual (vestidos y prendas dama con talla numérica US)</t>
        </is>
      </c>
      <c r="E195" s="183" t="n"/>
      <c r="F195" s="84" t="n"/>
      <c r="G195" s="84" t="n"/>
      <c r="H195" s="117" t="n"/>
      <c r="I195" s="118" t="n"/>
      <c r="J195" s="118" t="n"/>
      <c r="K195" s="98" t="n"/>
      <c r="L195" s="84" t="n"/>
      <c r="M195" s="84" t="n"/>
      <c r="N195" s="84" t="n"/>
      <c r="O195" s="84" t="n"/>
      <c r="P195" s="84" t="n"/>
      <c r="Q195" s="84" t="n"/>
      <c r="R195" s="84" t="n"/>
      <c r="S195" s="102" t="n"/>
      <c r="T195" s="102" t="n"/>
      <c r="U195" s="102" t="n"/>
      <c r="V195" s="102" t="n"/>
      <c r="W195" s="102" t="n"/>
      <c r="X195" s="102" t="n"/>
      <c r="Y195" s="102" t="n"/>
      <c r="Z195" s="102" t="n"/>
      <c r="AA195" s="102" t="n"/>
      <c r="AB195" s="102" t="n"/>
      <c r="AC195" s="102" t="n"/>
      <c r="AD195" s="102">
        <f>IFERROR(__xludf.DUMMYFUNCTION("""COMPUTED_VALUE"""),"9.5 FM")</f>
        <v/>
      </c>
    </row>
    <row r="196" ht="16.5" customHeight="1" s="176">
      <c r="A196" s="122" t="inlineStr">
        <is>
          <t>Talla Ropa Dama numérica</t>
        </is>
      </c>
      <c r="B196" s="123" t="n">
        <v>4</v>
      </c>
      <c r="C196" s="123" t="n">
        <v>4</v>
      </c>
      <c r="D196" s="122" t="inlineStr">
        <is>
          <t>Igual (vestidos y prendas dama con talla numérica US)</t>
        </is>
      </c>
      <c r="E196" s="183" t="n"/>
      <c r="F196" s="84" t="n"/>
      <c r="G196" s="84" t="n"/>
      <c r="H196" s="117" t="n"/>
      <c r="I196" s="118" t="n"/>
      <c r="J196" s="118" t="n"/>
      <c r="K196" s="98" t="n"/>
      <c r="L196" s="84" t="n"/>
      <c r="M196" s="84" t="n"/>
      <c r="N196" s="84" t="n"/>
      <c r="O196" s="84" t="n"/>
      <c r="P196" s="84" t="n"/>
      <c r="Q196" s="84" t="n"/>
      <c r="R196" s="84" t="n"/>
      <c r="S196" s="102" t="n"/>
      <c r="T196" s="102" t="n"/>
      <c r="U196" s="102" t="n"/>
      <c r="V196" s="102" t="n"/>
      <c r="W196" s="102" t="n"/>
      <c r="X196" s="102" t="n"/>
      <c r="Y196" s="102" t="n"/>
      <c r="Z196" s="102" t="n"/>
      <c r="AA196" s="102" t="n"/>
      <c r="AB196" s="102" t="n"/>
      <c r="AC196" s="102" t="n"/>
      <c r="AD196" s="102">
        <f>IFERROR(__xludf.DUMMYFUNCTION("""COMPUTED_VALUE"""),"9.5 FS")</f>
        <v/>
      </c>
    </row>
    <row r="197" ht="16.5" customHeight="1" s="176">
      <c r="A197" s="122" t="inlineStr">
        <is>
          <t>Talla Ropa Dama numérica</t>
        </is>
      </c>
      <c r="B197" s="123" t="n">
        <v>6</v>
      </c>
      <c r="C197" s="123" t="n">
        <v>6</v>
      </c>
      <c r="D197" s="122" t="inlineStr">
        <is>
          <t>Igual (vestidos y prendas dama con talla numérica US)</t>
        </is>
      </c>
      <c r="E197" s="183" t="n"/>
      <c r="F197" s="84" t="n"/>
      <c r="G197" s="84" t="n"/>
      <c r="H197" s="117" t="n"/>
      <c r="I197" s="118" t="n"/>
      <c r="J197" s="118" t="n"/>
      <c r="K197" s="98" t="n"/>
      <c r="L197" s="84" t="n"/>
      <c r="M197" s="84" t="n"/>
      <c r="N197" s="84" t="n"/>
      <c r="O197" s="84" t="n"/>
      <c r="P197" s="84" t="n"/>
      <c r="Q197" s="84" t="n"/>
      <c r="R197" s="84" t="n"/>
      <c r="S197" s="102" t="n"/>
      <c r="T197" s="102" t="n"/>
      <c r="U197" s="102" t="n"/>
      <c r="V197" s="102" t="n"/>
      <c r="W197" s="102" t="n"/>
      <c r="X197" s="102" t="n"/>
      <c r="Y197" s="102" t="n"/>
      <c r="Z197" s="102" t="n"/>
      <c r="AA197" s="102" t="n"/>
      <c r="AB197" s="102" t="n"/>
      <c r="AC197" s="102" t="n"/>
      <c r="AD197" s="102">
        <f>IFERROR(__xludf.DUMMYFUNCTION("""COMPUTED_VALUE"""),"9.5 RM")</f>
        <v/>
      </c>
    </row>
    <row r="198" ht="16.5" customHeight="1" s="176">
      <c r="A198" s="122" t="inlineStr">
        <is>
          <t>Talla Ropa Dama numérica</t>
        </is>
      </c>
      <c r="B198" s="123" t="n">
        <v>8</v>
      </c>
      <c r="C198" s="123" t="n">
        <v>8</v>
      </c>
      <c r="D198" s="122" t="inlineStr">
        <is>
          <t>Igual (vestidos y prendas dama con talla numérica US)</t>
        </is>
      </c>
      <c r="E198" s="183" t="n"/>
      <c r="F198" s="84" t="n"/>
      <c r="G198" s="84" t="n"/>
      <c r="H198" s="117" t="n"/>
      <c r="I198" s="118" t="n"/>
      <c r="J198" s="118" t="n"/>
      <c r="K198" s="98" t="n"/>
      <c r="L198" s="84" t="n"/>
      <c r="M198" s="84" t="n"/>
      <c r="N198" s="84" t="n"/>
      <c r="O198" s="84" t="n"/>
      <c r="P198" s="84" t="n"/>
      <c r="Q198" s="84" t="n"/>
      <c r="R198" s="84" t="n"/>
      <c r="S198" s="102" t="n"/>
      <c r="T198" s="102" t="n"/>
      <c r="U198" s="102" t="n"/>
      <c r="V198" s="102" t="n"/>
      <c r="W198" s="102" t="n"/>
      <c r="X198" s="102" t="n"/>
      <c r="Y198" s="102" t="n"/>
      <c r="Z198" s="102" t="n"/>
      <c r="AA198" s="102" t="n"/>
      <c r="AB198" s="102" t="n"/>
      <c r="AC198" s="102" t="n"/>
      <c r="AD198" s="102">
        <f>IFERROR(__xludf.DUMMYFUNCTION("""COMPUTED_VALUE"""),"9.5 RS")</f>
        <v/>
      </c>
    </row>
    <row r="199" ht="16.5" customHeight="1" s="176">
      <c r="A199" s="122" t="inlineStr">
        <is>
          <t>Talla Ropa Dama numérica</t>
        </is>
      </c>
      <c r="B199" s="123" t="n">
        <v>10</v>
      </c>
      <c r="C199" s="123" t="n">
        <v>10</v>
      </c>
      <c r="D199" s="122" t="inlineStr">
        <is>
          <t>Igual (vestidos y prendas dama con talla numérica US)</t>
        </is>
      </c>
      <c r="E199" s="183" t="n"/>
      <c r="F199" s="84" t="n"/>
      <c r="G199" s="84" t="n"/>
      <c r="H199" s="117" t="n"/>
      <c r="I199" s="118" t="n"/>
      <c r="J199" s="118" t="n"/>
      <c r="K199" s="98" t="n"/>
      <c r="L199" s="84" t="n"/>
      <c r="M199" s="84" t="n"/>
      <c r="N199" s="84" t="n"/>
      <c r="O199" s="84" t="n"/>
      <c r="P199" s="84" t="n"/>
      <c r="Q199" s="84" t="n"/>
      <c r="R199" s="84" t="n"/>
      <c r="S199" s="102" t="n"/>
      <c r="T199" s="102" t="n"/>
      <c r="U199" s="102" t="n"/>
      <c r="V199" s="102" t="n"/>
      <c r="W199" s="102" t="n"/>
      <c r="X199" s="102" t="n"/>
      <c r="Y199" s="102" t="n"/>
      <c r="Z199" s="102" t="n"/>
      <c r="AA199" s="102" t="n"/>
      <c r="AB199" s="102" t="n"/>
      <c r="AC199" s="102" t="n"/>
      <c r="AD199" s="102">
        <f>IFERROR(__xludf.DUMMYFUNCTION("""COMPUTED_VALUE"""),"9.5 RT")</f>
        <v/>
      </c>
    </row>
    <row r="200" ht="16.5" customHeight="1" s="176">
      <c r="A200" s="122" t="inlineStr">
        <is>
          <t>Talla Ropa Dama numérica</t>
        </is>
      </c>
      <c r="B200" s="123" t="n">
        <v>12</v>
      </c>
      <c r="C200" s="123" t="n">
        <v>12</v>
      </c>
      <c r="D200" s="122" t="inlineStr">
        <is>
          <t>Igual (vestidos y prendas dama con talla numérica US)</t>
        </is>
      </c>
      <c r="E200" s="183" t="n"/>
      <c r="F200" s="84" t="n"/>
      <c r="G200" s="84" t="n"/>
      <c r="H200" s="117" t="n"/>
      <c r="I200" s="118" t="n"/>
      <c r="J200" s="118" t="n"/>
      <c r="K200" s="98" t="n"/>
      <c r="L200" s="84" t="n"/>
      <c r="M200" s="84" t="n"/>
      <c r="N200" s="84" t="n"/>
      <c r="O200" s="84" t="n"/>
      <c r="P200" s="84" t="n"/>
      <c r="Q200" s="84" t="n"/>
      <c r="R200" s="84" t="n"/>
      <c r="S200" s="102" t="n"/>
      <c r="T200" s="102" t="n"/>
      <c r="U200" s="102" t="n"/>
      <c r="V200" s="102" t="n"/>
      <c r="W200" s="102" t="n"/>
      <c r="X200" s="102" t="n"/>
      <c r="Y200" s="102" t="n"/>
      <c r="Z200" s="102" t="n"/>
      <c r="AA200" s="102" t="n"/>
      <c r="AB200" s="102" t="n"/>
      <c r="AC200" s="102" t="n"/>
      <c r="AD200" s="102">
        <f>IFERROR(__xludf.DUMMYFUNCTION("""COMPUTED_VALUE"""),"9.5 SM")</f>
        <v/>
      </c>
    </row>
    <row r="201" ht="16.5" customHeight="1" s="176">
      <c r="A201" s="122" t="inlineStr">
        <is>
          <t>Talla Ropa Dama numérica</t>
        </is>
      </c>
      <c r="B201" s="123" t="n">
        <v>14</v>
      </c>
      <c r="C201" s="123" t="n">
        <v>14</v>
      </c>
      <c r="D201" s="122" t="inlineStr">
        <is>
          <t>Igual (vestidos y prendas dama con talla numérica US)</t>
        </is>
      </c>
      <c r="E201" s="183" t="n"/>
      <c r="F201" s="84" t="n"/>
      <c r="G201" s="84" t="n"/>
      <c r="H201" s="117" t="n"/>
      <c r="I201" s="118" t="n"/>
      <c r="J201" s="118" t="n"/>
      <c r="K201" s="84" t="n"/>
      <c r="L201" s="84" t="n"/>
      <c r="M201" s="84" t="n"/>
      <c r="N201" s="84" t="n"/>
      <c r="O201" s="84" t="n"/>
      <c r="P201" s="84" t="n"/>
      <c r="Q201" s="84" t="n"/>
      <c r="R201" s="84" t="n"/>
      <c r="S201" s="102" t="n"/>
      <c r="T201" s="102" t="n"/>
      <c r="U201" s="102" t="n"/>
      <c r="V201" s="102" t="n"/>
      <c r="W201" s="102" t="n"/>
      <c r="X201" s="102" t="n"/>
      <c r="Y201" s="102" t="n"/>
      <c r="Z201" s="102" t="n"/>
      <c r="AA201" s="102" t="n"/>
      <c r="AB201" s="102" t="n"/>
      <c r="AC201" s="102" t="n"/>
      <c r="AD201" s="102">
        <f>IFERROR(__xludf.DUMMYFUNCTION("""COMPUTED_VALUE"""),"9.5 SS")</f>
        <v/>
      </c>
    </row>
    <row r="202" ht="16.5" customHeight="1" s="176">
      <c r="A202" s="122" t="inlineStr">
        <is>
          <t>Talla Ropa Dama numérica</t>
        </is>
      </c>
      <c r="B202" s="123" t="n">
        <v>16</v>
      </c>
      <c r="C202" s="123" t="n">
        <v>16</v>
      </c>
      <c r="D202" s="122" t="inlineStr">
        <is>
          <t>Igual (vestidos y prendas dama con talla numérica US)</t>
        </is>
      </c>
      <c r="E202" s="183" t="n"/>
      <c r="F202" s="84" t="n"/>
      <c r="G202" s="84" t="n"/>
      <c r="H202" s="117" t="n"/>
      <c r="I202" s="118" t="n"/>
      <c r="J202" s="118" t="n"/>
      <c r="K202" s="84" t="n"/>
      <c r="L202" s="84" t="n"/>
      <c r="M202" s="84" t="n"/>
      <c r="N202" s="84" t="n"/>
      <c r="O202" s="84" t="n"/>
      <c r="P202" s="84" t="n"/>
      <c r="Q202" s="84" t="n"/>
      <c r="R202" s="84" t="n"/>
      <c r="S202" s="102" t="n"/>
      <c r="T202" s="102" t="n"/>
      <c r="U202" s="102" t="n"/>
      <c r="V202" s="102" t="n"/>
      <c r="W202" s="102" t="n"/>
      <c r="X202" s="102" t="n"/>
      <c r="Y202" s="102" t="n"/>
      <c r="Z202" s="102" t="n"/>
      <c r="AA202" s="102" t="n"/>
      <c r="AB202" s="102" t="n"/>
      <c r="AC202" s="102" t="n"/>
      <c r="AD202" s="102">
        <f>IFERROR(__xludf.DUMMYFUNCTION("""COMPUTED_VALUE"""),"9.5 ST")</f>
        <v/>
      </c>
    </row>
    <row r="203" ht="16.5" customHeight="1" s="176">
      <c r="A203" s="122" t="inlineStr">
        <is>
          <t>Cintura Jean + Largo Jean</t>
        </is>
      </c>
      <c r="B203" s="123" t="inlineStr">
        <is>
          <t>33 x 28</t>
        </is>
      </c>
      <c r="C203" s="123" t="inlineStr">
        <is>
          <t>33W / 28L</t>
        </is>
      </c>
      <c r="D203" s="122" t="inlineStr">
        <is>
          <t>Formato «Cintura x Largo». En web: filtro principal Cintura, Largo secundario.</t>
        </is>
      </c>
      <c r="E203" s="183" t="n"/>
      <c r="F203" s="84" t="n"/>
      <c r="G203" s="84" t="n"/>
      <c r="H203" s="117" t="n"/>
      <c r="I203" s="118" t="n"/>
      <c r="J203" s="118" t="n"/>
      <c r="K203" s="84" t="n"/>
      <c r="L203" s="84" t="n"/>
      <c r="M203" s="84" t="n"/>
      <c r="N203" s="84" t="n"/>
      <c r="O203" s="84" t="n"/>
      <c r="P203" s="84" t="n"/>
      <c r="Q203" s="84" t="n"/>
      <c r="R203" s="84" t="n"/>
      <c r="S203" s="102" t="n"/>
      <c r="T203" s="102" t="n"/>
      <c r="U203" s="102" t="n"/>
      <c r="V203" s="102" t="n"/>
      <c r="W203" s="102" t="n"/>
      <c r="X203" s="102" t="n"/>
      <c r="Y203" s="102" t="n"/>
      <c r="Z203" s="102" t="n"/>
      <c r="AA203" s="102" t="n"/>
      <c r="AB203" s="102" t="n"/>
      <c r="AC203" s="102" t="n"/>
      <c r="AD203" s="102">
        <f>IFERROR(__xludf.DUMMYFUNCTION("""COMPUTED_VALUE"""),"9.5 XSS")</f>
        <v/>
      </c>
    </row>
    <row r="204" ht="16.5" customHeight="1" s="176">
      <c r="A204" s="122" t="inlineStr">
        <is>
          <t>Cintura Jean + Largo Jean</t>
        </is>
      </c>
      <c r="B204" s="123" t="inlineStr">
        <is>
          <t>34 x 28</t>
        </is>
      </c>
      <c r="C204" s="123" t="inlineStr">
        <is>
          <t>34W / 28L</t>
        </is>
      </c>
      <c r="D204" s="122" t="inlineStr">
        <is>
          <t>Igual formato (largo 28)</t>
        </is>
      </c>
      <c r="E204" s="183" t="n"/>
      <c r="F204" s="84" t="n"/>
      <c r="G204" s="84" t="n"/>
      <c r="H204" s="117" t="n"/>
      <c r="I204" s="118" t="n"/>
      <c r="J204" s="118" t="n"/>
      <c r="K204" s="84" t="n"/>
      <c r="L204" s="84" t="n"/>
      <c r="M204" s="84" t="n"/>
      <c r="N204" s="84" t="n"/>
      <c r="O204" s="84" t="n"/>
      <c r="P204" s="84" t="n"/>
      <c r="Q204" s="84" t="n"/>
      <c r="R204" s="84" t="n"/>
      <c r="S204" s="102" t="n"/>
      <c r="T204" s="102" t="n"/>
      <c r="U204" s="102" t="n"/>
      <c r="V204" s="102" t="n"/>
      <c r="W204" s="102" t="n"/>
      <c r="X204" s="102" t="n"/>
      <c r="Y204" s="102" t="n"/>
      <c r="Z204" s="102" t="n"/>
      <c r="AA204" s="102" t="n"/>
      <c r="AB204" s="102" t="n"/>
      <c r="AC204" s="102" t="n"/>
      <c r="AD204" s="102">
        <f>IFERROR(__xludf.DUMMYFUNCTION("""COMPUTED_VALUE"""),"10 B")</f>
        <v/>
      </c>
    </row>
    <row r="205" ht="16.5" customHeight="1" s="176">
      <c r="A205" s="122" t="inlineStr">
        <is>
          <t>Cintura Jean + Largo Jean</t>
        </is>
      </c>
      <c r="B205" s="123" t="inlineStr">
        <is>
          <t>36 x 28</t>
        </is>
      </c>
      <c r="C205" s="123" t="inlineStr">
        <is>
          <t>36W / 28L</t>
        </is>
      </c>
      <c r="D205" s="122" t="inlineStr">
        <is>
          <t>Igual formato (largo 28)</t>
        </is>
      </c>
      <c r="E205" s="183" t="n"/>
      <c r="F205" s="84" t="n"/>
      <c r="G205" s="84" t="n"/>
      <c r="H205" s="117" t="n"/>
      <c r="I205" s="118" t="n"/>
      <c r="J205" s="118" t="n"/>
      <c r="K205" s="84" t="n"/>
      <c r="L205" s="84" t="n"/>
      <c r="M205" s="84" t="n"/>
      <c r="N205" s="84" t="n"/>
      <c r="O205" s="84" t="n"/>
      <c r="P205" s="84" t="n"/>
      <c r="Q205" s="84" t="n"/>
      <c r="R205" s="84" t="n"/>
      <c r="S205" s="102" t="n"/>
      <c r="T205" s="102" t="n"/>
      <c r="U205" s="102" t="n"/>
      <c r="V205" s="102" t="n"/>
      <c r="W205" s="102" t="n"/>
      <c r="X205" s="102" t="n"/>
      <c r="Y205" s="102" t="n"/>
      <c r="Z205" s="102" t="n"/>
      <c r="AA205" s="102" t="n"/>
      <c r="AB205" s="102" t="n"/>
      <c r="AC205" s="102" t="n"/>
      <c r="AD205" s="102">
        <f>IFERROR(__xludf.DUMMYFUNCTION("""COMPUTED_VALUE"""),"10 D")</f>
        <v/>
      </c>
    </row>
    <row r="206" ht="16.5" customHeight="1" s="176">
      <c r="A206" s="122" t="inlineStr">
        <is>
          <t>Cintura Jean + Largo Jean</t>
        </is>
      </c>
      <c r="B206" s="123" t="inlineStr">
        <is>
          <t>28 x 30</t>
        </is>
      </c>
      <c r="C206" s="123" t="inlineStr">
        <is>
          <t>28W / 30L</t>
        </is>
      </c>
      <c r="D206" s="122" t="inlineStr">
        <is>
          <t>Igual formato (largo 30)</t>
        </is>
      </c>
      <c r="E206" s="183" t="n"/>
      <c r="F206" s="84" t="n"/>
      <c r="G206" s="84" t="n"/>
      <c r="H206" s="117" t="n"/>
      <c r="I206" s="118" t="n"/>
      <c r="J206" s="118" t="n"/>
      <c r="K206" s="84" t="n"/>
      <c r="L206" s="84" t="n"/>
      <c r="M206" s="84" t="n"/>
      <c r="N206" s="84" t="n"/>
      <c r="O206" s="84" t="n"/>
      <c r="P206" s="84" t="n"/>
      <c r="Q206" s="84" t="n"/>
      <c r="R206" s="84" t="n"/>
      <c r="S206" s="102" t="n"/>
      <c r="T206" s="102" t="n"/>
      <c r="U206" s="102" t="n"/>
      <c r="V206" s="102" t="n"/>
      <c r="W206" s="102" t="n"/>
      <c r="X206" s="102" t="n"/>
      <c r="Y206" s="102" t="n"/>
      <c r="Z206" s="102" t="n"/>
      <c r="AA206" s="102" t="n"/>
      <c r="AB206" s="102" t="n"/>
      <c r="AC206" s="102" t="n"/>
      <c r="AD206" s="102">
        <f>IFERROR(__xludf.DUMMYFUNCTION("""COMPUTED_VALUE"""),"10 EE")</f>
        <v/>
      </c>
    </row>
    <row r="207" ht="16.5" customHeight="1" s="176">
      <c r="A207" s="122" t="inlineStr">
        <is>
          <t>Cintura Jean + Largo Jean</t>
        </is>
      </c>
      <c r="B207" s="123" t="inlineStr">
        <is>
          <t>29 x 30</t>
        </is>
      </c>
      <c r="C207" s="123" t="inlineStr">
        <is>
          <t>29W / 30L</t>
        </is>
      </c>
      <c r="D207" s="122" t="inlineStr">
        <is>
          <t>Igual formato (largo 30)</t>
        </is>
      </c>
      <c r="E207" s="183" t="n"/>
      <c r="F207" s="84" t="n"/>
      <c r="G207" s="84" t="n"/>
      <c r="H207" s="117" t="n"/>
      <c r="I207" s="118" t="n"/>
      <c r="J207" s="118" t="n"/>
      <c r="K207" s="84" t="n"/>
      <c r="L207" s="84" t="n"/>
      <c r="M207" s="84" t="n"/>
      <c r="N207" s="84" t="n"/>
      <c r="O207" s="84" t="n"/>
      <c r="P207" s="84" t="n"/>
      <c r="Q207" s="84" t="n"/>
      <c r="R207" s="84" t="n"/>
      <c r="S207" s="102" t="n"/>
      <c r="T207" s="102" t="n"/>
      <c r="U207" s="102" t="n"/>
      <c r="V207" s="102" t="n"/>
      <c r="W207" s="102" t="n"/>
      <c r="X207" s="102" t="n"/>
      <c r="Y207" s="102" t="n"/>
      <c r="Z207" s="102" t="n"/>
      <c r="AA207" s="102" t="n"/>
      <c r="AB207" s="102" t="n"/>
      <c r="AC207" s="102" t="n"/>
      <c r="AD207" s="102">
        <f>IFERROR(__xludf.DUMMYFUNCTION("""COMPUTED_VALUE"""),"10 FM")</f>
        <v/>
      </c>
    </row>
    <row r="208" ht="16.5" customHeight="1" s="176">
      <c r="A208" s="122" t="inlineStr">
        <is>
          <t>Cintura Jean + Largo Jean</t>
        </is>
      </c>
      <c r="B208" s="123" t="inlineStr">
        <is>
          <t>30 x 30</t>
        </is>
      </c>
      <c r="C208" s="123" t="inlineStr">
        <is>
          <t>30W / 30L</t>
        </is>
      </c>
      <c r="D208" s="122" t="inlineStr">
        <is>
          <t>Igual formato (largo 30)</t>
        </is>
      </c>
      <c r="E208" s="183" t="n"/>
      <c r="F208" s="84" t="n"/>
      <c r="G208" s="84" t="n"/>
      <c r="H208" s="117" t="n"/>
      <c r="I208" s="118" t="n"/>
      <c r="J208" s="118" t="n"/>
      <c r="K208" s="84" t="n"/>
      <c r="L208" s="84" t="n"/>
      <c r="M208" s="84" t="n"/>
      <c r="N208" s="84" t="n"/>
      <c r="O208" s="84" t="n"/>
      <c r="P208" s="84" t="n"/>
      <c r="Q208" s="84" t="n"/>
      <c r="R208" s="84" t="n"/>
      <c r="S208" s="102" t="n"/>
      <c r="T208" s="102" t="n"/>
      <c r="U208" s="102" t="n"/>
      <c r="V208" s="102" t="n"/>
      <c r="W208" s="102" t="n"/>
      <c r="X208" s="102" t="n"/>
      <c r="Y208" s="102" t="n"/>
      <c r="Z208" s="102" t="n"/>
      <c r="AA208" s="102" t="n"/>
      <c r="AB208" s="102" t="n"/>
      <c r="AC208" s="102" t="n"/>
      <c r="AD208" s="102">
        <f>IFERROR(__xludf.DUMMYFUNCTION("""COMPUTED_VALUE"""),"10 FS")</f>
        <v/>
      </c>
    </row>
    <row r="209" ht="16.5" customHeight="1" s="176">
      <c r="A209" s="122" t="inlineStr">
        <is>
          <t>Cintura Jean + Largo Jean</t>
        </is>
      </c>
      <c r="B209" s="123" t="inlineStr">
        <is>
          <t>31 x 30</t>
        </is>
      </c>
      <c r="C209" s="123" t="inlineStr">
        <is>
          <t>31W / 30L</t>
        </is>
      </c>
      <c r="D209" s="122" t="inlineStr">
        <is>
          <t>Igual formato (largo 30)</t>
        </is>
      </c>
      <c r="E209" s="183" t="n"/>
      <c r="F209" s="84" t="n"/>
      <c r="G209" s="84" t="n"/>
      <c r="H209" s="117" t="n"/>
      <c r="I209" s="118" t="n"/>
      <c r="J209" s="118" t="n"/>
      <c r="K209" s="84" t="n"/>
      <c r="L209" s="84" t="n"/>
      <c r="M209" s="84" t="n"/>
      <c r="N209" s="84" t="n"/>
      <c r="O209" s="84" t="n"/>
      <c r="P209" s="84" t="n"/>
      <c r="Q209" s="84" t="n"/>
      <c r="R209" s="84" t="n"/>
      <c r="S209" s="102" t="n"/>
      <c r="T209" s="102" t="n"/>
      <c r="U209" s="102" t="n"/>
      <c r="V209" s="102" t="n"/>
      <c r="W209" s="102" t="n"/>
      <c r="X209" s="102" t="n"/>
      <c r="Y209" s="102" t="n"/>
      <c r="Z209" s="102" t="n"/>
      <c r="AA209" s="102" t="n"/>
      <c r="AB209" s="102" t="n"/>
      <c r="AC209" s="102" t="n"/>
      <c r="AD209" s="102">
        <f>IFERROR(__xludf.DUMMYFUNCTION("""COMPUTED_VALUE"""),"10 RM")</f>
        <v/>
      </c>
    </row>
    <row r="210" ht="16.5" customHeight="1" s="176">
      <c r="A210" s="122" t="inlineStr">
        <is>
          <t>Cintura Jean + Largo Jean</t>
        </is>
      </c>
      <c r="B210" s="123" t="inlineStr">
        <is>
          <t>32 x 30</t>
        </is>
      </c>
      <c r="C210" s="123" t="inlineStr">
        <is>
          <t>32W / 30L</t>
        </is>
      </c>
      <c r="D210" s="122" t="inlineStr">
        <is>
          <t>Igual formato (largo 30)</t>
        </is>
      </c>
      <c r="E210" s="183" t="n"/>
      <c r="F210" s="84" t="n"/>
      <c r="G210" s="84" t="n"/>
      <c r="H210" s="117" t="n"/>
      <c r="I210" s="118" t="n"/>
      <c r="J210" s="118" t="n"/>
      <c r="K210" s="84" t="n"/>
      <c r="L210" s="84" t="n"/>
      <c r="M210" s="84" t="n"/>
      <c r="N210" s="84" t="n"/>
      <c r="O210" s="84" t="n"/>
      <c r="P210" s="84" t="n"/>
      <c r="Q210" s="84" t="n"/>
      <c r="R210" s="84" t="n"/>
      <c r="S210" s="102" t="n"/>
      <c r="T210" s="102" t="n"/>
      <c r="U210" s="102" t="n"/>
      <c r="V210" s="102" t="n"/>
      <c r="W210" s="102" t="n"/>
      <c r="X210" s="102" t="n"/>
      <c r="Y210" s="102" t="n"/>
      <c r="Z210" s="102" t="n"/>
      <c r="AA210" s="102" t="n"/>
      <c r="AB210" s="102" t="n"/>
      <c r="AC210" s="102" t="n"/>
      <c r="AD210" s="102">
        <f>IFERROR(__xludf.DUMMYFUNCTION("""COMPUTED_VALUE"""),"10 RS")</f>
        <v/>
      </c>
    </row>
    <row r="211" ht="16.5" customHeight="1" s="176">
      <c r="A211" s="122" t="inlineStr">
        <is>
          <t>Cintura Jean + Largo Jean</t>
        </is>
      </c>
      <c r="B211" s="123" t="inlineStr">
        <is>
          <t>33 x 30</t>
        </is>
      </c>
      <c r="C211" s="123" t="inlineStr">
        <is>
          <t>33W / 30L</t>
        </is>
      </c>
      <c r="D211" s="122" t="inlineStr">
        <is>
          <t>Igual formato (largo 30)</t>
        </is>
      </c>
      <c r="E211" s="183" t="n"/>
      <c r="F211" s="84" t="n"/>
      <c r="G211" s="84" t="n"/>
      <c r="H211" s="117" t="n"/>
      <c r="I211" s="118" t="n"/>
      <c r="J211" s="118" t="n"/>
      <c r="K211" s="84" t="n"/>
      <c r="L211" s="84" t="n"/>
      <c r="M211" s="84" t="n"/>
      <c r="N211" s="84" t="n"/>
      <c r="O211" s="84" t="n"/>
      <c r="P211" s="84" t="n"/>
      <c r="Q211" s="84" t="n"/>
      <c r="R211" s="84" t="n"/>
      <c r="S211" s="102" t="n"/>
      <c r="T211" s="102" t="n"/>
      <c r="U211" s="102" t="n"/>
      <c r="V211" s="102" t="n"/>
      <c r="W211" s="102" t="n"/>
      <c r="X211" s="102" t="n"/>
      <c r="Y211" s="102" t="n"/>
      <c r="Z211" s="102" t="n"/>
      <c r="AA211" s="102" t="n"/>
      <c r="AB211" s="102" t="n"/>
      <c r="AC211" s="102" t="n"/>
      <c r="AD211" s="102">
        <f>IFERROR(__xludf.DUMMYFUNCTION("""COMPUTED_VALUE"""),"10 RT")</f>
        <v/>
      </c>
    </row>
    <row r="212" ht="16.5" customHeight="1" s="176">
      <c r="A212" s="122" t="inlineStr">
        <is>
          <t>Cintura Jean + Largo Jean</t>
        </is>
      </c>
      <c r="B212" s="123" t="inlineStr">
        <is>
          <t>34 x 30</t>
        </is>
      </c>
      <c r="C212" s="123" t="inlineStr">
        <is>
          <t>34W / 30L</t>
        </is>
      </c>
      <c r="D212" s="122" t="inlineStr">
        <is>
          <t>Igual formato (largo 30)</t>
        </is>
      </c>
      <c r="E212" s="183" t="n"/>
      <c r="F212" s="84" t="n"/>
      <c r="G212" s="84" t="n"/>
      <c r="H212" s="117" t="n"/>
      <c r="I212" s="118" t="n"/>
      <c r="J212" s="118" t="n"/>
      <c r="K212" s="84" t="n"/>
      <c r="L212" s="84" t="n"/>
      <c r="M212" s="84" t="n"/>
      <c r="N212" s="84" t="n"/>
      <c r="O212" s="84" t="n"/>
      <c r="P212" s="84" t="n"/>
      <c r="Q212" s="84" t="n"/>
      <c r="R212" s="84" t="n"/>
      <c r="S212" s="102" t="n"/>
      <c r="T212" s="102" t="n"/>
      <c r="U212" s="102" t="n"/>
      <c r="V212" s="102" t="n"/>
      <c r="W212" s="102" t="n"/>
      <c r="X212" s="102" t="n"/>
      <c r="Y212" s="102" t="n"/>
      <c r="Z212" s="102" t="n"/>
      <c r="AA212" s="102" t="n"/>
      <c r="AB212" s="102" t="n"/>
      <c r="AC212" s="102" t="n"/>
      <c r="AD212" s="102">
        <f>IFERROR(__xludf.DUMMYFUNCTION("""COMPUTED_VALUE"""),"10 SM")</f>
        <v/>
      </c>
    </row>
    <row r="213" ht="16.5" customHeight="1" s="176">
      <c r="A213" s="122" t="inlineStr">
        <is>
          <t>Cintura Jean + Largo Jean</t>
        </is>
      </c>
      <c r="B213" s="123" t="inlineStr">
        <is>
          <t>35 x 30</t>
        </is>
      </c>
      <c r="C213" s="123" t="inlineStr">
        <is>
          <t>35W / 30L</t>
        </is>
      </c>
      <c r="D213" s="122" t="inlineStr">
        <is>
          <t>Igual formato (largo 30)</t>
        </is>
      </c>
      <c r="E213" s="183" t="n"/>
      <c r="F213" s="84" t="n"/>
      <c r="G213" s="84" t="n"/>
      <c r="H213" s="117" t="n"/>
      <c r="I213" s="118" t="n"/>
      <c r="J213" s="118" t="n"/>
      <c r="K213" s="84" t="n"/>
      <c r="L213" s="84" t="n"/>
      <c r="M213" s="84" t="n"/>
      <c r="N213" s="84" t="n"/>
      <c r="O213" s="84" t="n"/>
      <c r="P213" s="84" t="n"/>
      <c r="Q213" s="84" t="n"/>
      <c r="R213" s="84" t="n"/>
      <c r="S213" s="102" t="n"/>
      <c r="T213" s="102" t="n"/>
      <c r="U213" s="102" t="n"/>
      <c r="V213" s="102" t="n"/>
      <c r="W213" s="102" t="n"/>
      <c r="X213" s="102" t="n"/>
      <c r="Y213" s="102" t="n"/>
      <c r="Z213" s="102" t="n"/>
      <c r="AA213" s="102" t="n"/>
      <c r="AB213" s="102" t="n"/>
      <c r="AC213" s="102" t="n"/>
      <c r="AD213" s="102">
        <f>IFERROR(__xludf.DUMMYFUNCTION("""COMPUTED_VALUE"""),"10 SS")</f>
        <v/>
      </c>
    </row>
    <row r="214" ht="16.5" customHeight="1" s="176">
      <c r="A214" s="122" t="inlineStr">
        <is>
          <t>Cintura Jean + Largo Jean</t>
        </is>
      </c>
      <c r="B214" s="123" t="inlineStr">
        <is>
          <t>36 x 30</t>
        </is>
      </c>
      <c r="C214" s="123" t="inlineStr">
        <is>
          <t>36W / 30L</t>
        </is>
      </c>
      <c r="D214" s="122" t="inlineStr">
        <is>
          <t>Igual formato (largo 30)</t>
        </is>
      </c>
      <c r="E214" s="183" t="n"/>
      <c r="F214" s="84" t="n"/>
      <c r="G214" s="84" t="n"/>
      <c r="H214" s="117" t="n"/>
      <c r="I214" s="118" t="n"/>
      <c r="J214" s="118" t="n"/>
      <c r="K214" s="84" t="n"/>
      <c r="L214" s="84" t="n"/>
      <c r="M214" s="84" t="n"/>
      <c r="N214" s="84" t="n"/>
      <c r="O214" s="84" t="n"/>
      <c r="P214" s="84" t="n"/>
      <c r="Q214" s="84" t="n"/>
      <c r="R214" s="84" t="n"/>
      <c r="S214" s="102" t="n"/>
      <c r="T214" s="102" t="n"/>
      <c r="U214" s="102" t="n"/>
      <c r="V214" s="102" t="n"/>
      <c r="W214" s="102" t="n"/>
      <c r="X214" s="102" t="n"/>
      <c r="Y214" s="102" t="n"/>
      <c r="Z214" s="102" t="n"/>
      <c r="AA214" s="102" t="n"/>
      <c r="AB214" s="102" t="n"/>
      <c r="AC214" s="102" t="n"/>
      <c r="AD214" s="102">
        <f>IFERROR(__xludf.DUMMYFUNCTION("""COMPUTED_VALUE"""),"10 ST")</f>
        <v/>
      </c>
    </row>
    <row r="215" ht="16.5" customHeight="1" s="176">
      <c r="A215" s="122" t="inlineStr">
        <is>
          <t>Cintura Jean + Largo Jean</t>
        </is>
      </c>
      <c r="B215" s="123" t="inlineStr">
        <is>
          <t>38 x 30</t>
        </is>
      </c>
      <c r="C215" s="123" t="inlineStr">
        <is>
          <t>38W / 30L</t>
        </is>
      </c>
      <c r="D215" s="122" t="inlineStr">
        <is>
          <t>Igual formato (largo 30)</t>
        </is>
      </c>
      <c r="E215" s="183" t="n"/>
      <c r="F215" s="84" t="n"/>
      <c r="G215" s="84" t="n"/>
      <c r="H215" s="117" t="n"/>
      <c r="I215" s="118" t="n"/>
      <c r="J215" s="118" t="n"/>
      <c r="K215" s="84" t="n"/>
      <c r="L215" s="84" t="n"/>
      <c r="M215" s="84" t="n"/>
      <c r="N215" s="84" t="n"/>
      <c r="O215" s="84" t="n"/>
      <c r="P215" s="84" t="n"/>
      <c r="Q215" s="84" t="n"/>
      <c r="R215" s="84" t="n"/>
      <c r="S215" s="102" t="n"/>
      <c r="T215" s="102" t="n"/>
      <c r="U215" s="102" t="n"/>
      <c r="V215" s="102" t="n"/>
      <c r="W215" s="102" t="n"/>
      <c r="X215" s="102" t="n"/>
      <c r="Y215" s="102" t="n"/>
      <c r="Z215" s="102" t="n"/>
      <c r="AA215" s="102" t="n"/>
      <c r="AB215" s="102" t="n"/>
      <c r="AC215" s="102" t="n"/>
      <c r="AD215" s="102">
        <f>IFERROR(__xludf.DUMMYFUNCTION("""COMPUTED_VALUE"""),"10.5 B")</f>
        <v/>
      </c>
    </row>
    <row r="216" ht="16.5" customHeight="1" s="176">
      <c r="A216" s="122" t="inlineStr">
        <is>
          <t>Cintura Jean + Largo Jean</t>
        </is>
      </c>
      <c r="B216" s="123" t="inlineStr">
        <is>
          <t>40 x 30</t>
        </is>
      </c>
      <c r="C216" s="123" t="inlineStr">
        <is>
          <t>40W / 30L</t>
        </is>
      </c>
      <c r="D216" s="122" t="inlineStr">
        <is>
          <t>Igual formato (largo 30)</t>
        </is>
      </c>
      <c r="E216" s="183" t="n"/>
      <c r="F216" s="84" t="n"/>
      <c r="G216" s="84" t="n"/>
      <c r="H216" s="117" t="n"/>
      <c r="I216" s="118" t="n"/>
      <c r="J216" s="118" t="n"/>
      <c r="K216" s="84" t="n"/>
      <c r="L216" s="84" t="n"/>
      <c r="M216" s="84" t="n"/>
      <c r="N216" s="84" t="n"/>
      <c r="O216" s="84" t="n"/>
      <c r="P216" s="84" t="n"/>
      <c r="Q216" s="84" t="n"/>
      <c r="R216" s="84" t="n"/>
      <c r="S216" s="102" t="n"/>
      <c r="T216" s="102" t="n"/>
      <c r="U216" s="102" t="n"/>
      <c r="V216" s="102" t="n"/>
      <c r="W216" s="102" t="n"/>
      <c r="X216" s="102" t="n"/>
      <c r="Y216" s="102" t="n"/>
      <c r="Z216" s="102" t="n"/>
      <c r="AA216" s="102" t="n"/>
      <c r="AB216" s="102" t="n"/>
      <c r="AC216" s="102" t="n"/>
      <c r="AD216" s="102">
        <f>IFERROR(__xludf.DUMMYFUNCTION("""COMPUTED_VALUE"""),"10.5 D")</f>
        <v/>
      </c>
    </row>
    <row r="217" ht="16.5" customHeight="1" s="176">
      <c r="A217" s="122" t="inlineStr">
        <is>
          <t>Cintura Jean + Largo Jean</t>
        </is>
      </c>
      <c r="B217" s="123" t="inlineStr">
        <is>
          <t>42 x 30</t>
        </is>
      </c>
      <c r="C217" s="123" t="inlineStr">
        <is>
          <t>42W / 30L</t>
        </is>
      </c>
      <c r="D217" s="122" t="inlineStr">
        <is>
          <t>Igual formato (largo 30)</t>
        </is>
      </c>
      <c r="E217" s="183" t="n"/>
      <c r="F217" s="84" t="n"/>
      <c r="G217" s="84" t="n"/>
      <c r="H217" s="117" t="n"/>
      <c r="I217" s="118" t="n"/>
      <c r="J217" s="118" t="n"/>
      <c r="K217" s="84" t="n"/>
      <c r="L217" s="84" t="n"/>
      <c r="M217" s="84" t="n"/>
      <c r="N217" s="84" t="n"/>
      <c r="O217" s="84" t="n"/>
      <c r="P217" s="84" t="n"/>
      <c r="Q217" s="84" t="n"/>
      <c r="R217" s="84" t="n"/>
      <c r="S217" s="102" t="n"/>
      <c r="T217" s="102" t="n"/>
      <c r="U217" s="102" t="n"/>
      <c r="V217" s="102" t="n"/>
      <c r="W217" s="102" t="n"/>
      <c r="X217" s="102" t="n"/>
      <c r="Y217" s="102" t="n"/>
      <c r="Z217" s="102" t="n"/>
      <c r="AA217" s="102" t="n"/>
      <c r="AB217" s="102" t="n"/>
      <c r="AC217" s="102" t="n"/>
      <c r="AD217" s="102">
        <f>IFERROR(__xludf.DUMMYFUNCTION("""COMPUTED_VALUE"""),"10.5 EE")</f>
        <v/>
      </c>
    </row>
    <row r="218" ht="16.5" customHeight="1" s="176">
      <c r="A218" s="122" t="inlineStr">
        <is>
          <t>Cintura Jean + Largo Jean</t>
        </is>
      </c>
      <c r="B218" s="123" t="inlineStr">
        <is>
          <t>44 x 30</t>
        </is>
      </c>
      <c r="C218" s="123" t="inlineStr">
        <is>
          <t>44W / 30L</t>
        </is>
      </c>
      <c r="D218" s="122" t="inlineStr">
        <is>
          <t>Igual formato (largo 30)</t>
        </is>
      </c>
      <c r="E218" s="183" t="n"/>
      <c r="F218" s="84" t="n"/>
      <c r="G218" s="84" t="n"/>
      <c r="H218" s="117" t="n"/>
      <c r="I218" s="118" t="n"/>
      <c r="J218" s="118" t="n"/>
      <c r="K218" s="84" t="n"/>
      <c r="L218" s="84" t="n"/>
      <c r="M218" s="84" t="n"/>
      <c r="N218" s="84" t="n"/>
      <c r="O218" s="84" t="n"/>
      <c r="P218" s="84" t="n"/>
      <c r="Q218" s="84" t="n"/>
      <c r="R218" s="84" t="n"/>
      <c r="S218" s="102" t="n"/>
      <c r="T218" s="102" t="n"/>
      <c r="U218" s="102" t="n"/>
      <c r="V218" s="102" t="n"/>
      <c r="W218" s="102" t="n"/>
      <c r="X218" s="102" t="n"/>
      <c r="Y218" s="102" t="n"/>
      <c r="Z218" s="102" t="n"/>
      <c r="AA218" s="102" t="n"/>
      <c r="AB218" s="102" t="n"/>
      <c r="AC218" s="102" t="n"/>
      <c r="AD218" s="102">
        <f>IFERROR(__xludf.DUMMYFUNCTION("""COMPUTED_VALUE"""),"10.5 FM")</f>
        <v/>
      </c>
    </row>
    <row r="219" ht="16.5" customHeight="1" s="176">
      <c r="A219" s="122" t="inlineStr">
        <is>
          <t>Cintura Jean + Largo Jean</t>
        </is>
      </c>
      <c r="B219" s="123" t="inlineStr">
        <is>
          <t>46 x 30</t>
        </is>
      </c>
      <c r="C219" s="123" t="inlineStr">
        <is>
          <t>46W / 30L</t>
        </is>
      </c>
      <c r="D219" s="122" t="inlineStr">
        <is>
          <t>Igual formato (largo 30)</t>
        </is>
      </c>
      <c r="E219" s="183" t="n"/>
      <c r="F219" s="84" t="n"/>
      <c r="G219" s="84" t="n"/>
      <c r="H219" s="117" t="n"/>
      <c r="I219" s="118" t="n"/>
      <c r="J219" s="118" t="n"/>
      <c r="K219" s="84" t="n"/>
      <c r="L219" s="84" t="n"/>
      <c r="M219" s="84" t="n"/>
      <c r="N219" s="84" t="n"/>
      <c r="O219" s="84" t="n"/>
      <c r="P219" s="84" t="n"/>
      <c r="Q219" s="84" t="n"/>
      <c r="R219" s="84" t="n"/>
      <c r="S219" s="102" t="n"/>
      <c r="T219" s="102" t="n"/>
      <c r="U219" s="102" t="n"/>
      <c r="V219" s="102" t="n"/>
      <c r="W219" s="102" t="n"/>
      <c r="X219" s="102" t="n"/>
      <c r="Y219" s="102" t="n"/>
      <c r="Z219" s="102" t="n"/>
      <c r="AA219" s="102" t="n"/>
      <c r="AB219" s="102" t="n"/>
      <c r="AC219" s="102" t="n"/>
      <c r="AD219" s="102">
        <f>IFERROR(__xludf.DUMMYFUNCTION("""COMPUTED_VALUE"""),"10.5 FS")</f>
        <v/>
      </c>
    </row>
    <row r="220" ht="16.5" customHeight="1" s="176">
      <c r="A220" s="122" t="inlineStr">
        <is>
          <t>Cintura Jean + Largo Jean</t>
        </is>
      </c>
      <c r="B220" s="123" t="inlineStr">
        <is>
          <t>48 x 30</t>
        </is>
      </c>
      <c r="C220" s="123" t="inlineStr">
        <is>
          <t>48W / 30L</t>
        </is>
      </c>
      <c r="D220" s="122" t="inlineStr">
        <is>
          <t>Igual formato (largo 30)</t>
        </is>
      </c>
      <c r="E220" s="183" t="n"/>
      <c r="F220" s="84" t="n"/>
      <c r="G220" s="84" t="n"/>
      <c r="H220" s="117" t="n"/>
      <c r="I220" s="118" t="n"/>
      <c r="J220" s="118" t="n"/>
      <c r="K220" s="84" t="n"/>
      <c r="L220" s="84" t="n"/>
      <c r="M220" s="84" t="n"/>
      <c r="N220" s="84" t="n"/>
      <c r="O220" s="84" t="n"/>
      <c r="P220" s="84" t="n"/>
      <c r="Q220" s="84" t="n"/>
      <c r="R220" s="84" t="n"/>
      <c r="S220" s="102" t="n"/>
      <c r="T220" s="102" t="n"/>
      <c r="U220" s="102" t="n"/>
      <c r="V220" s="102" t="n"/>
      <c r="W220" s="102" t="n"/>
      <c r="X220" s="102" t="n"/>
      <c r="Y220" s="102" t="n"/>
      <c r="Z220" s="102" t="n"/>
      <c r="AA220" s="102" t="n"/>
      <c r="AB220" s="102" t="n"/>
      <c r="AC220" s="102" t="n"/>
      <c r="AD220" s="102">
        <f>IFERROR(__xludf.DUMMYFUNCTION("""COMPUTED_VALUE"""),"10.5 RM")</f>
        <v/>
      </c>
    </row>
    <row r="221" ht="16.5" customHeight="1" s="176">
      <c r="A221" s="122" t="inlineStr">
        <is>
          <t>Cintura Jean + Largo Jean</t>
        </is>
      </c>
      <c r="B221" s="123" t="inlineStr">
        <is>
          <t>50 x 30</t>
        </is>
      </c>
      <c r="C221" s="123" t="inlineStr">
        <is>
          <t>50W / 30L</t>
        </is>
      </c>
      <c r="D221" s="122" t="inlineStr">
        <is>
          <t>Igual formato (largo 30)</t>
        </is>
      </c>
      <c r="E221" s="183" t="n"/>
      <c r="F221" s="84" t="n"/>
      <c r="G221" s="84" t="n"/>
      <c r="H221" s="117" t="n"/>
      <c r="I221" s="118" t="n"/>
      <c r="J221" s="118" t="n"/>
      <c r="K221" s="84" t="n"/>
      <c r="L221" s="84" t="n"/>
      <c r="M221" s="84" t="n"/>
      <c r="N221" s="84" t="n"/>
      <c r="O221" s="84" t="n"/>
      <c r="P221" s="84" t="n"/>
      <c r="Q221" s="84" t="n"/>
      <c r="R221" s="84" t="n"/>
      <c r="S221" s="102" t="n"/>
      <c r="T221" s="102" t="n"/>
      <c r="U221" s="102" t="n"/>
      <c r="V221" s="102" t="n"/>
      <c r="W221" s="102" t="n"/>
      <c r="X221" s="102" t="n"/>
      <c r="Y221" s="102" t="n"/>
      <c r="Z221" s="102" t="n"/>
      <c r="AA221" s="102" t="n"/>
      <c r="AB221" s="102" t="n"/>
      <c r="AC221" s="102" t="n"/>
      <c r="AD221" s="102">
        <f>IFERROR(__xludf.DUMMYFUNCTION("""COMPUTED_VALUE"""),"10.5 RS")</f>
        <v/>
      </c>
    </row>
    <row r="222" ht="16.5" customHeight="1" s="176">
      <c r="A222" s="122" t="inlineStr">
        <is>
          <t>Cintura Jean + Largo Jean</t>
        </is>
      </c>
      <c r="B222" s="123" t="inlineStr">
        <is>
          <t>28 x 32</t>
        </is>
      </c>
      <c r="C222" s="123" t="inlineStr">
        <is>
          <t>28W / 32L</t>
        </is>
      </c>
      <c r="D222" s="122" t="inlineStr">
        <is>
          <t>Igual formato (largo 32)</t>
        </is>
      </c>
      <c r="E222" s="183" t="n"/>
      <c r="F222" s="84" t="n"/>
      <c r="G222" s="84" t="n"/>
      <c r="H222" s="117" t="n"/>
      <c r="I222" s="118" t="n"/>
      <c r="J222" s="118" t="n"/>
      <c r="K222" s="84" t="n"/>
      <c r="L222" s="84" t="n"/>
      <c r="M222" s="84" t="n"/>
      <c r="N222" s="84" t="n"/>
      <c r="O222" s="84" t="n"/>
      <c r="P222" s="84" t="n"/>
      <c r="Q222" s="84" t="n"/>
      <c r="R222" s="84" t="n"/>
      <c r="S222" s="102" t="n"/>
      <c r="T222" s="102" t="n"/>
      <c r="U222" s="102" t="n"/>
      <c r="V222" s="102" t="n"/>
      <c r="W222" s="102" t="n"/>
      <c r="X222" s="102" t="n"/>
      <c r="Y222" s="102" t="n"/>
      <c r="Z222" s="102" t="n"/>
      <c r="AA222" s="102" t="n"/>
      <c r="AB222" s="102" t="n"/>
      <c r="AC222" s="102" t="n"/>
      <c r="AD222" s="102">
        <f>IFERROR(__xludf.DUMMYFUNCTION("""COMPUTED_VALUE"""),"10.5 RT")</f>
        <v/>
      </c>
    </row>
    <row r="223" ht="16.5" customHeight="1" s="176">
      <c r="A223" s="122" t="inlineStr">
        <is>
          <t>Cintura Jean + Largo Jean</t>
        </is>
      </c>
      <c r="B223" s="123" t="inlineStr">
        <is>
          <t>29 x 32</t>
        </is>
      </c>
      <c r="C223" s="123" t="inlineStr">
        <is>
          <t>29W / 32L</t>
        </is>
      </c>
      <c r="D223" s="122" t="inlineStr">
        <is>
          <t>Igual formato (largo 32)</t>
        </is>
      </c>
      <c r="E223" s="183" t="n"/>
      <c r="F223" s="84" t="n"/>
      <c r="G223" s="84" t="n"/>
      <c r="H223" s="117" t="n"/>
      <c r="I223" s="118" t="n"/>
      <c r="J223" s="118" t="n"/>
      <c r="K223" s="84" t="n"/>
      <c r="L223" s="84" t="n"/>
      <c r="M223" s="84" t="n"/>
      <c r="N223" s="84" t="n"/>
      <c r="O223" s="84" t="n"/>
      <c r="P223" s="84" t="n"/>
      <c r="Q223" s="84" t="n"/>
      <c r="R223" s="84" t="n"/>
      <c r="S223" s="102" t="n"/>
      <c r="T223" s="102" t="n"/>
      <c r="U223" s="102" t="n"/>
      <c r="V223" s="102" t="n"/>
      <c r="W223" s="102" t="n"/>
      <c r="X223" s="102" t="n"/>
      <c r="Y223" s="102" t="n"/>
      <c r="Z223" s="102" t="n"/>
      <c r="AA223" s="102" t="n"/>
      <c r="AB223" s="102" t="n"/>
      <c r="AC223" s="102" t="n"/>
      <c r="AD223" s="102">
        <f>IFERROR(__xludf.DUMMYFUNCTION("""COMPUTED_VALUE"""),"10.5 SM")</f>
        <v/>
      </c>
    </row>
    <row r="224" ht="16.5" customHeight="1" s="176">
      <c r="A224" s="122" t="inlineStr">
        <is>
          <t>Cintura Jean + Largo Jean</t>
        </is>
      </c>
      <c r="B224" s="123" t="inlineStr">
        <is>
          <t>30 x 32</t>
        </is>
      </c>
      <c r="C224" s="123" t="inlineStr">
        <is>
          <t>30W / 32L</t>
        </is>
      </c>
      <c r="D224" s="122" t="inlineStr">
        <is>
          <t>Igual formato (largo 32)</t>
        </is>
      </c>
      <c r="E224" s="183" t="n"/>
      <c r="F224" s="84" t="n"/>
      <c r="G224" s="84" t="n"/>
      <c r="H224" s="117" t="n"/>
      <c r="I224" s="118" t="n"/>
      <c r="J224" s="118" t="n"/>
      <c r="K224" s="84" t="n"/>
      <c r="L224" s="84" t="n"/>
      <c r="M224" s="84" t="n"/>
      <c r="N224" s="84" t="n"/>
      <c r="O224" s="84" t="n"/>
      <c r="P224" s="84" t="n"/>
      <c r="Q224" s="84" t="n"/>
      <c r="R224" s="84" t="n"/>
      <c r="S224" s="102" t="n"/>
      <c r="T224" s="102" t="n"/>
      <c r="U224" s="102" t="n"/>
      <c r="V224" s="102" t="n"/>
      <c r="W224" s="102" t="n"/>
      <c r="X224" s="102" t="n"/>
      <c r="Y224" s="102" t="n"/>
      <c r="Z224" s="102" t="n"/>
      <c r="AA224" s="102" t="n"/>
      <c r="AB224" s="102" t="n"/>
      <c r="AC224" s="102" t="n"/>
      <c r="AD224" s="102">
        <f>IFERROR(__xludf.DUMMYFUNCTION("""COMPUTED_VALUE"""),"10.5 SS")</f>
        <v/>
      </c>
    </row>
    <row r="225" ht="16.5" customHeight="1" s="176">
      <c r="A225" s="122" t="inlineStr">
        <is>
          <t>Cintura Jean + Largo Jean</t>
        </is>
      </c>
      <c r="B225" s="123" t="inlineStr">
        <is>
          <t>31 x 32</t>
        </is>
      </c>
      <c r="C225" s="123" t="inlineStr">
        <is>
          <t>31W / 32L</t>
        </is>
      </c>
      <c r="D225" s="122" t="inlineStr">
        <is>
          <t>Igual formato (largo 32)</t>
        </is>
      </c>
      <c r="E225" s="183" t="n"/>
      <c r="F225" s="84" t="n"/>
      <c r="G225" s="84" t="n"/>
      <c r="H225" s="117" t="n"/>
      <c r="I225" s="118" t="n"/>
      <c r="J225" s="118" t="n"/>
      <c r="K225" s="84" t="n"/>
      <c r="L225" s="84" t="n"/>
      <c r="M225" s="84" t="n"/>
      <c r="N225" s="84" t="n"/>
      <c r="O225" s="84" t="n"/>
      <c r="P225" s="84" t="n"/>
      <c r="Q225" s="84" t="n"/>
      <c r="R225" s="84" t="n"/>
      <c r="S225" s="102" t="n"/>
      <c r="T225" s="102" t="n"/>
      <c r="U225" s="102" t="n"/>
      <c r="V225" s="102" t="n"/>
      <c r="W225" s="102" t="n"/>
      <c r="X225" s="102" t="n"/>
      <c r="Y225" s="102" t="n"/>
      <c r="Z225" s="102" t="n"/>
      <c r="AA225" s="102" t="n"/>
      <c r="AB225" s="102" t="n"/>
      <c r="AC225" s="102" t="n"/>
      <c r="AD225" s="102">
        <f>IFERROR(__xludf.DUMMYFUNCTION("""COMPUTED_VALUE"""),"10.5 ST")</f>
        <v/>
      </c>
    </row>
    <row r="226" ht="16.5" customHeight="1" s="176">
      <c r="A226" s="122" t="inlineStr">
        <is>
          <t>Cintura Jean + Largo Jean</t>
        </is>
      </c>
      <c r="B226" s="123" t="inlineStr">
        <is>
          <t>32 x 32</t>
        </is>
      </c>
      <c r="C226" s="123" t="inlineStr">
        <is>
          <t>32W / 32L</t>
        </is>
      </c>
      <c r="D226" s="122" t="inlineStr">
        <is>
          <t>Igual formato (largo 32)</t>
        </is>
      </c>
      <c r="E226" s="183" t="n"/>
      <c r="F226" s="84" t="n"/>
      <c r="G226" s="84" t="n"/>
      <c r="H226" s="117" t="n"/>
      <c r="I226" s="118" t="n"/>
      <c r="J226" s="118" t="n"/>
      <c r="K226" s="84" t="n"/>
      <c r="L226" s="84" t="n"/>
      <c r="M226" s="84" t="n"/>
      <c r="N226" s="84" t="n"/>
      <c r="O226" s="84" t="n"/>
      <c r="P226" s="84" t="n"/>
      <c r="Q226" s="84" t="n"/>
      <c r="R226" s="84" t="n"/>
      <c r="S226" s="102" t="n"/>
      <c r="T226" s="102" t="n"/>
      <c r="U226" s="102" t="n"/>
      <c r="V226" s="102" t="n"/>
      <c r="W226" s="102" t="n"/>
      <c r="X226" s="102" t="n"/>
      <c r="Y226" s="102" t="n"/>
      <c r="Z226" s="102" t="n"/>
      <c r="AA226" s="102" t="n"/>
      <c r="AB226" s="102" t="n"/>
      <c r="AC226" s="102" t="n"/>
      <c r="AD226" s="102">
        <f>IFERROR(__xludf.DUMMYFUNCTION("""COMPUTED_VALUE"""),"11 B")</f>
        <v/>
      </c>
    </row>
    <row r="227" ht="16.5" customHeight="1" s="176">
      <c r="A227" s="122" t="inlineStr">
        <is>
          <t>Cintura Jean + Largo Jean</t>
        </is>
      </c>
      <c r="B227" s="123" t="inlineStr">
        <is>
          <t>33 x 32</t>
        </is>
      </c>
      <c r="C227" s="123" t="inlineStr">
        <is>
          <t>33W / 32L</t>
        </is>
      </c>
      <c r="D227" s="122" t="inlineStr">
        <is>
          <t>Igual formato (largo 32)</t>
        </is>
      </c>
      <c r="E227" s="183" t="n"/>
      <c r="F227" s="84" t="n"/>
      <c r="G227" s="84" t="n"/>
      <c r="H227" s="117" t="n"/>
      <c r="I227" s="118" t="n"/>
      <c r="J227" s="118" t="n"/>
      <c r="K227" s="84" t="n"/>
      <c r="L227" s="84" t="n"/>
      <c r="M227" s="84" t="n"/>
      <c r="N227" s="84" t="n"/>
      <c r="O227" s="84" t="n"/>
      <c r="P227" s="84" t="n"/>
      <c r="Q227" s="84" t="n"/>
      <c r="R227" s="84" t="n"/>
      <c r="S227" s="102" t="n"/>
      <c r="T227" s="102" t="n"/>
      <c r="U227" s="102" t="n"/>
      <c r="V227" s="102" t="n"/>
      <c r="W227" s="102" t="n"/>
      <c r="X227" s="102" t="n"/>
      <c r="Y227" s="102" t="n"/>
      <c r="Z227" s="102" t="n"/>
      <c r="AA227" s="102" t="n"/>
      <c r="AB227" s="102" t="n"/>
      <c r="AC227" s="102" t="n"/>
      <c r="AD227" s="102">
        <f>IFERROR(__xludf.DUMMYFUNCTION("""COMPUTED_VALUE"""),"11 D")</f>
        <v/>
      </c>
    </row>
    <row r="228" ht="16.5" customHeight="1" s="176">
      <c r="A228" s="122" t="inlineStr">
        <is>
          <t>Cintura Jean + Largo Jean</t>
        </is>
      </c>
      <c r="B228" s="123" t="inlineStr">
        <is>
          <t>34 x 32</t>
        </is>
      </c>
      <c r="C228" s="123" t="inlineStr">
        <is>
          <t>34W / 32L</t>
        </is>
      </c>
      <c r="D228" s="122" t="inlineStr">
        <is>
          <t>Igual formato (largo 32)</t>
        </is>
      </c>
      <c r="E228" s="183" t="n"/>
      <c r="F228" s="84" t="n"/>
      <c r="G228" s="84" t="n"/>
      <c r="H228" s="117" t="n"/>
      <c r="I228" s="118" t="n"/>
      <c r="J228" s="118" t="n"/>
      <c r="K228" s="84" t="n"/>
      <c r="L228" s="84" t="n"/>
      <c r="M228" s="84" t="n"/>
      <c r="N228" s="84" t="n"/>
      <c r="O228" s="84" t="n"/>
      <c r="P228" s="84" t="n"/>
      <c r="Q228" s="84" t="n"/>
      <c r="R228" s="84" t="n"/>
      <c r="S228" s="102" t="n"/>
      <c r="T228" s="102" t="n"/>
      <c r="U228" s="102" t="n"/>
      <c r="V228" s="102" t="n"/>
      <c r="W228" s="102" t="n"/>
      <c r="X228" s="102" t="n"/>
      <c r="Y228" s="102" t="n"/>
      <c r="Z228" s="102" t="n"/>
      <c r="AA228" s="102" t="n"/>
      <c r="AB228" s="102" t="n"/>
      <c r="AC228" s="102" t="n"/>
      <c r="AD228" s="102">
        <f>IFERROR(__xludf.DUMMYFUNCTION("""COMPUTED_VALUE"""),"11 EE")</f>
        <v/>
      </c>
    </row>
    <row r="229" ht="16.5" customHeight="1" s="176">
      <c r="A229" s="122" t="inlineStr">
        <is>
          <t>Cintura Jean + Largo Jean</t>
        </is>
      </c>
      <c r="B229" s="123" t="inlineStr">
        <is>
          <t>35 x 32</t>
        </is>
      </c>
      <c r="C229" s="123" t="inlineStr">
        <is>
          <t>35W / 32L</t>
        </is>
      </c>
      <c r="D229" s="122" t="inlineStr">
        <is>
          <t>Igual formato (largo 32)</t>
        </is>
      </c>
      <c r="E229" s="183" t="n"/>
      <c r="F229" s="84" t="n"/>
      <c r="G229" s="84" t="n"/>
      <c r="H229" s="117" t="n"/>
      <c r="I229" s="118" t="n"/>
      <c r="J229" s="118" t="n"/>
      <c r="K229" s="84" t="n"/>
      <c r="L229" s="84" t="n"/>
      <c r="M229" s="84" t="n"/>
      <c r="N229" s="84" t="n"/>
      <c r="O229" s="84" t="n"/>
      <c r="P229" s="84" t="n"/>
      <c r="Q229" s="84" t="n"/>
      <c r="R229" s="84" t="n"/>
      <c r="S229" s="102" t="n"/>
      <c r="T229" s="102" t="n"/>
      <c r="U229" s="102" t="n"/>
      <c r="V229" s="102" t="n"/>
      <c r="W229" s="102" t="n"/>
      <c r="X229" s="102" t="n"/>
      <c r="Y229" s="102" t="n"/>
      <c r="Z229" s="102" t="n"/>
      <c r="AA229" s="102" t="n"/>
      <c r="AB229" s="102" t="n"/>
      <c r="AC229" s="102" t="n"/>
      <c r="AD229" s="102">
        <f>IFERROR(__xludf.DUMMYFUNCTION("""COMPUTED_VALUE"""),"11 FM")</f>
        <v/>
      </c>
    </row>
    <row r="230" ht="16.5" customHeight="1" s="176">
      <c r="A230" s="122" t="inlineStr">
        <is>
          <t>Cintura Jean + Largo Jean</t>
        </is>
      </c>
      <c r="B230" s="123" t="inlineStr">
        <is>
          <t>36 x 32</t>
        </is>
      </c>
      <c r="C230" s="123" t="inlineStr">
        <is>
          <t>36W / 32L</t>
        </is>
      </c>
      <c r="D230" s="122" t="inlineStr">
        <is>
          <t>Igual formato (largo 32)</t>
        </is>
      </c>
      <c r="E230" s="183" t="n"/>
      <c r="F230" s="84" t="n"/>
      <c r="G230" s="84" t="n"/>
      <c r="H230" s="117" t="n"/>
      <c r="I230" s="118" t="n"/>
      <c r="J230" s="118" t="n"/>
      <c r="K230" s="84" t="n"/>
      <c r="L230" s="84" t="n"/>
      <c r="M230" s="84" t="n"/>
      <c r="N230" s="84" t="n"/>
      <c r="O230" s="84" t="n"/>
      <c r="P230" s="84" t="n"/>
      <c r="Q230" s="84" t="n"/>
      <c r="R230" s="84" t="n"/>
      <c r="S230" s="102" t="n"/>
      <c r="T230" s="102" t="n"/>
      <c r="U230" s="102" t="n"/>
      <c r="V230" s="102" t="n"/>
      <c r="W230" s="102" t="n"/>
      <c r="X230" s="102" t="n"/>
      <c r="Y230" s="102" t="n"/>
      <c r="Z230" s="102" t="n"/>
      <c r="AA230" s="102" t="n"/>
      <c r="AB230" s="102" t="n"/>
      <c r="AC230" s="102" t="n"/>
      <c r="AD230" s="102">
        <f>IFERROR(__xludf.DUMMYFUNCTION("""COMPUTED_VALUE"""),"11 FS")</f>
        <v/>
      </c>
    </row>
    <row r="231" ht="16.5" customHeight="1" s="176">
      <c r="A231" s="122" t="inlineStr">
        <is>
          <t>Cintura Jean + Largo Jean</t>
        </is>
      </c>
      <c r="B231" s="123" t="inlineStr">
        <is>
          <t>38 x 32</t>
        </is>
      </c>
      <c r="C231" s="123" t="inlineStr">
        <is>
          <t>38W / 32L</t>
        </is>
      </c>
      <c r="D231" s="122" t="inlineStr">
        <is>
          <t>Igual formato (largo 32)</t>
        </is>
      </c>
      <c r="E231" s="183" t="n"/>
      <c r="F231" s="84" t="n"/>
      <c r="G231" s="84" t="n"/>
      <c r="H231" s="117" t="n"/>
      <c r="I231" s="118" t="n"/>
      <c r="J231" s="118" t="n"/>
      <c r="K231" s="84" t="n"/>
      <c r="L231" s="84" t="n"/>
      <c r="M231" s="84" t="n"/>
      <c r="N231" s="84" t="n"/>
      <c r="O231" s="84" t="n"/>
      <c r="P231" s="84" t="n"/>
      <c r="Q231" s="84" t="n"/>
      <c r="R231" s="84" t="n"/>
      <c r="S231" s="102" t="n"/>
      <c r="T231" s="102" t="n"/>
      <c r="U231" s="102" t="n"/>
      <c r="V231" s="102" t="n"/>
      <c r="W231" s="102" t="n"/>
      <c r="X231" s="102" t="n"/>
      <c r="Y231" s="102" t="n"/>
      <c r="Z231" s="102" t="n"/>
      <c r="AA231" s="102" t="n"/>
      <c r="AB231" s="102" t="n"/>
      <c r="AC231" s="102" t="n"/>
      <c r="AD231" s="102">
        <f>IFERROR(__xludf.DUMMYFUNCTION("""COMPUTED_VALUE"""),"11 RM")</f>
        <v/>
      </c>
    </row>
    <row r="232" ht="16.5" customHeight="1" s="176">
      <c r="A232" s="122" t="inlineStr">
        <is>
          <t>Cintura Jean + Largo Jean</t>
        </is>
      </c>
      <c r="B232" s="123" t="inlineStr">
        <is>
          <t>40 x 32</t>
        </is>
      </c>
      <c r="C232" s="123" t="inlineStr">
        <is>
          <t>40W / 32L</t>
        </is>
      </c>
      <c r="D232" s="122" t="inlineStr">
        <is>
          <t>Igual formato (largo 32)</t>
        </is>
      </c>
      <c r="E232" s="183" t="n"/>
      <c r="F232" s="84" t="n"/>
      <c r="G232" s="84" t="n"/>
      <c r="H232" s="117" t="n"/>
      <c r="I232" s="118" t="n"/>
      <c r="J232" s="118" t="n"/>
      <c r="K232" s="84" t="n"/>
      <c r="L232" s="84" t="n"/>
      <c r="M232" s="84" t="n"/>
      <c r="N232" s="84" t="n"/>
      <c r="O232" s="84" t="n"/>
      <c r="P232" s="84" t="n"/>
      <c r="Q232" s="84" t="n"/>
      <c r="R232" s="84" t="n"/>
      <c r="S232" s="102" t="n"/>
      <c r="T232" s="102" t="n"/>
      <c r="U232" s="102" t="n"/>
      <c r="V232" s="102" t="n"/>
      <c r="W232" s="102" t="n"/>
      <c r="X232" s="102" t="n"/>
      <c r="Y232" s="102" t="n"/>
      <c r="Z232" s="102" t="n"/>
      <c r="AA232" s="102" t="n"/>
      <c r="AB232" s="102" t="n"/>
      <c r="AC232" s="102" t="n"/>
      <c r="AD232" s="102">
        <f>IFERROR(__xludf.DUMMYFUNCTION("""COMPUTED_VALUE"""),"11 RS")</f>
        <v/>
      </c>
    </row>
    <row r="233" ht="16.5" customHeight="1" s="176">
      <c r="A233" s="122" t="inlineStr">
        <is>
          <t>Cintura Jean + Largo Jean</t>
        </is>
      </c>
      <c r="B233" s="123" t="inlineStr">
        <is>
          <t>42 x 32</t>
        </is>
      </c>
      <c r="C233" s="123" t="inlineStr">
        <is>
          <t>42W / 32L</t>
        </is>
      </c>
      <c r="D233" s="122" t="inlineStr">
        <is>
          <t>Igual formato (largo 32)</t>
        </is>
      </c>
      <c r="E233" s="183" t="n"/>
      <c r="F233" s="84" t="n"/>
      <c r="G233" s="84" t="n"/>
      <c r="H233" s="117" t="n"/>
      <c r="I233" s="118" t="n"/>
      <c r="J233" s="118" t="n"/>
      <c r="K233" s="84" t="n"/>
      <c r="L233" s="84" t="n"/>
      <c r="M233" s="84" t="n"/>
      <c r="N233" s="84" t="n"/>
      <c r="O233" s="84" t="n"/>
      <c r="P233" s="84" t="n"/>
      <c r="Q233" s="84" t="n"/>
      <c r="R233" s="84" t="n"/>
      <c r="S233" s="102" t="n"/>
      <c r="T233" s="102" t="n"/>
      <c r="U233" s="102" t="n"/>
      <c r="V233" s="102" t="n"/>
      <c r="W233" s="102" t="n"/>
      <c r="X233" s="102" t="n"/>
      <c r="Y233" s="102" t="n"/>
      <c r="Z233" s="102" t="n"/>
      <c r="AA233" s="102" t="n"/>
      <c r="AB233" s="102" t="n"/>
      <c r="AC233" s="102" t="n"/>
      <c r="AD233" s="102">
        <f>IFERROR(__xludf.DUMMYFUNCTION("""COMPUTED_VALUE"""),"11 RT")</f>
        <v/>
      </c>
    </row>
    <row r="234" ht="16.5" customHeight="1" s="176">
      <c r="A234" s="122" t="inlineStr">
        <is>
          <t>Cintura Jean + Largo Jean</t>
        </is>
      </c>
      <c r="B234" s="123" t="inlineStr">
        <is>
          <t>44 x 32</t>
        </is>
      </c>
      <c r="C234" s="123" t="inlineStr">
        <is>
          <t>44W / 32L</t>
        </is>
      </c>
      <c r="D234" s="122" t="inlineStr">
        <is>
          <t>Igual formato (largo 32)</t>
        </is>
      </c>
      <c r="E234" s="183" t="n"/>
      <c r="F234" s="84" t="n"/>
      <c r="G234" s="84" t="n"/>
      <c r="H234" s="117" t="n"/>
      <c r="I234" s="118" t="n"/>
      <c r="J234" s="118" t="n"/>
      <c r="K234" s="84" t="n"/>
      <c r="L234" s="84" t="n"/>
      <c r="M234" s="84" t="n"/>
      <c r="N234" s="84" t="n"/>
      <c r="O234" s="84" t="n"/>
      <c r="P234" s="84" t="n"/>
      <c r="Q234" s="84" t="n"/>
      <c r="R234" s="84" t="n"/>
      <c r="S234" s="102" t="n"/>
      <c r="T234" s="102" t="n"/>
      <c r="U234" s="102" t="n"/>
      <c r="V234" s="102" t="n"/>
      <c r="W234" s="102" t="n"/>
      <c r="X234" s="102" t="n"/>
      <c r="Y234" s="102" t="n"/>
      <c r="Z234" s="102" t="n"/>
      <c r="AA234" s="102" t="n"/>
      <c r="AB234" s="102" t="n"/>
      <c r="AC234" s="102" t="n"/>
      <c r="AD234" s="102">
        <f>IFERROR(__xludf.DUMMYFUNCTION("""COMPUTED_VALUE"""),"11 SM")</f>
        <v/>
      </c>
    </row>
    <row r="235" ht="16.5" customHeight="1" s="176">
      <c r="A235" s="122" t="inlineStr">
        <is>
          <t>Cintura Jean + Largo Jean</t>
        </is>
      </c>
      <c r="B235" s="123" t="inlineStr">
        <is>
          <t>46 x 32</t>
        </is>
      </c>
      <c r="C235" s="123" t="inlineStr">
        <is>
          <t>46W / 32L</t>
        </is>
      </c>
      <c r="D235" s="122" t="inlineStr">
        <is>
          <t>Igual formato (largo 32)</t>
        </is>
      </c>
      <c r="E235" s="183" t="n"/>
      <c r="F235" s="84" t="n"/>
      <c r="G235" s="84" t="n"/>
      <c r="H235" s="117" t="n"/>
      <c r="I235" s="118" t="n"/>
      <c r="J235" s="118" t="n"/>
      <c r="K235" s="84" t="n"/>
      <c r="L235" s="84" t="n"/>
      <c r="M235" s="84" t="n"/>
      <c r="N235" s="84" t="n"/>
      <c r="O235" s="84" t="n"/>
      <c r="P235" s="84" t="n"/>
      <c r="Q235" s="84" t="n"/>
      <c r="R235" s="84" t="n"/>
      <c r="S235" s="102" t="n"/>
      <c r="T235" s="102" t="n"/>
      <c r="U235" s="102" t="n"/>
      <c r="V235" s="102" t="n"/>
      <c r="W235" s="102" t="n"/>
      <c r="X235" s="102" t="n"/>
      <c r="Y235" s="102" t="n"/>
      <c r="Z235" s="102" t="n"/>
      <c r="AA235" s="102" t="n"/>
      <c r="AB235" s="102" t="n"/>
      <c r="AC235" s="102" t="n"/>
      <c r="AD235" s="102">
        <f>IFERROR(__xludf.DUMMYFUNCTION("""COMPUTED_VALUE"""),"11 SS")</f>
        <v/>
      </c>
    </row>
    <row r="236" ht="16.5" customHeight="1" s="176">
      <c r="A236" s="122" t="inlineStr">
        <is>
          <t>Cintura Jean + Largo Jean</t>
        </is>
      </c>
      <c r="B236" s="123" t="inlineStr">
        <is>
          <t>48 x 32</t>
        </is>
      </c>
      <c r="C236" s="123" t="inlineStr">
        <is>
          <t>48W / 32L</t>
        </is>
      </c>
      <c r="D236" s="122" t="inlineStr">
        <is>
          <t>Igual formato (largo 32)</t>
        </is>
      </c>
      <c r="E236" s="183" t="n"/>
      <c r="F236" s="84" t="n"/>
      <c r="G236" s="84" t="n"/>
      <c r="H236" s="117" t="n"/>
      <c r="I236" s="118" t="n"/>
      <c r="J236" s="118" t="n"/>
      <c r="K236" s="84" t="n"/>
      <c r="L236" s="84" t="n"/>
      <c r="M236" s="84" t="n"/>
      <c r="N236" s="84" t="n"/>
      <c r="O236" s="84" t="n"/>
      <c r="P236" s="84" t="n"/>
      <c r="Q236" s="84" t="n"/>
      <c r="R236" s="84" t="n"/>
      <c r="S236" s="102" t="n"/>
      <c r="T236" s="102" t="n"/>
      <c r="U236" s="102" t="n"/>
      <c r="V236" s="102" t="n"/>
      <c r="W236" s="102" t="n"/>
      <c r="X236" s="102" t="n"/>
      <c r="Y236" s="102" t="n"/>
      <c r="Z236" s="102" t="n"/>
      <c r="AA236" s="102" t="n"/>
      <c r="AB236" s="102" t="n"/>
      <c r="AC236" s="102" t="n"/>
      <c r="AD236" s="102">
        <f>IFERROR(__xludf.DUMMYFUNCTION("""COMPUTED_VALUE"""),"11 ST")</f>
        <v/>
      </c>
    </row>
    <row r="237" ht="16.5" customHeight="1" s="176">
      <c r="A237" s="122" t="inlineStr">
        <is>
          <t>Cintura Jean + Largo Jean</t>
        </is>
      </c>
      <c r="B237" s="123" t="inlineStr">
        <is>
          <t>50 x 32</t>
        </is>
      </c>
      <c r="C237" s="123" t="inlineStr">
        <is>
          <t>50W / 32L</t>
        </is>
      </c>
      <c r="D237" s="122" t="inlineStr">
        <is>
          <t>Igual formato (largo 32)</t>
        </is>
      </c>
      <c r="E237" s="183" t="n"/>
      <c r="F237" s="84" t="n"/>
      <c r="G237" s="84" t="n"/>
      <c r="H237" s="117" t="n"/>
      <c r="I237" s="118" t="n"/>
      <c r="J237" s="118" t="n"/>
      <c r="K237" s="84" t="n"/>
      <c r="L237" s="84" t="n"/>
      <c r="M237" s="84" t="n"/>
      <c r="N237" s="84" t="n"/>
      <c r="O237" s="84" t="n"/>
      <c r="P237" s="84" t="n"/>
      <c r="Q237" s="84" t="n"/>
      <c r="R237" s="84" t="n"/>
      <c r="S237" s="102" t="n"/>
      <c r="T237" s="102" t="n"/>
      <c r="U237" s="102" t="n"/>
      <c r="V237" s="102" t="n"/>
      <c r="W237" s="102" t="n"/>
      <c r="X237" s="102" t="n"/>
      <c r="Y237" s="102" t="n"/>
      <c r="Z237" s="102" t="n"/>
      <c r="AA237" s="102" t="n"/>
      <c r="AB237" s="102" t="n"/>
      <c r="AC237" s="102" t="n"/>
      <c r="AD237" s="102">
        <f>IFERROR(__xludf.DUMMYFUNCTION("""COMPUTED_VALUE"""),"11.5 B")</f>
        <v/>
      </c>
    </row>
    <row r="238" ht="16.5" customHeight="1" s="176">
      <c r="A238" s="122" t="inlineStr">
        <is>
          <t>Cintura Jean + Largo Jean</t>
        </is>
      </c>
      <c r="B238" s="123" t="inlineStr">
        <is>
          <t>28 x 34</t>
        </is>
      </c>
      <c r="C238" s="123" t="inlineStr">
        <is>
          <t>28W / 34L</t>
        </is>
      </c>
      <c r="D238" s="122" t="inlineStr">
        <is>
          <t>Igual formato (largo 34)</t>
        </is>
      </c>
      <c r="E238" s="183" t="n"/>
      <c r="F238" s="84" t="n"/>
      <c r="G238" s="84" t="n"/>
      <c r="H238" s="117" t="n"/>
      <c r="I238" s="118" t="n"/>
      <c r="J238" s="118" t="n"/>
      <c r="K238" s="84" t="n"/>
      <c r="L238" s="84" t="n"/>
      <c r="M238" s="84" t="n"/>
      <c r="N238" s="84" t="n"/>
      <c r="O238" s="84" t="n"/>
      <c r="P238" s="84" t="n"/>
      <c r="Q238" s="84" t="n"/>
      <c r="R238" s="84" t="n"/>
      <c r="S238" s="102" t="n"/>
      <c r="T238" s="102" t="n"/>
      <c r="U238" s="102" t="n"/>
      <c r="V238" s="102" t="n"/>
      <c r="W238" s="102" t="n"/>
      <c r="X238" s="102" t="n"/>
      <c r="Y238" s="102" t="n"/>
      <c r="Z238" s="102" t="n"/>
      <c r="AA238" s="102" t="n"/>
      <c r="AB238" s="102" t="n"/>
      <c r="AC238" s="102" t="n"/>
      <c r="AD238" s="102">
        <f>IFERROR(__xludf.DUMMYFUNCTION("""COMPUTED_VALUE"""),"11.5 D")</f>
        <v/>
      </c>
    </row>
    <row r="239" ht="16.5" customHeight="1" s="176">
      <c r="A239" s="122" t="inlineStr">
        <is>
          <t>Cintura Jean + Largo Jean</t>
        </is>
      </c>
      <c r="B239" s="123" t="inlineStr">
        <is>
          <t>29 x 34</t>
        </is>
      </c>
      <c r="C239" s="123" t="inlineStr">
        <is>
          <t>29W / 34L</t>
        </is>
      </c>
      <c r="D239" s="122" t="inlineStr">
        <is>
          <t>Igual formato (largo 34)</t>
        </is>
      </c>
      <c r="E239" s="183" t="n"/>
      <c r="F239" s="84" t="n"/>
      <c r="G239" s="84" t="n"/>
      <c r="H239" s="117" t="n"/>
      <c r="I239" s="118" t="n"/>
      <c r="J239" s="118" t="n"/>
      <c r="K239" s="84" t="n"/>
      <c r="L239" s="84" t="n"/>
      <c r="M239" s="84" t="n"/>
      <c r="N239" s="84" t="n"/>
      <c r="O239" s="84" t="n"/>
      <c r="P239" s="84" t="n"/>
      <c r="Q239" s="84" t="n"/>
      <c r="R239" s="84" t="n"/>
      <c r="S239" s="102" t="n"/>
      <c r="T239" s="102" t="n"/>
      <c r="U239" s="102" t="n"/>
      <c r="V239" s="102" t="n"/>
      <c r="W239" s="102" t="n"/>
      <c r="X239" s="102" t="n"/>
      <c r="Y239" s="102" t="n"/>
      <c r="Z239" s="102" t="n"/>
      <c r="AA239" s="102" t="n"/>
      <c r="AB239" s="102" t="n"/>
      <c r="AC239" s="102" t="n"/>
      <c r="AD239" s="102">
        <f>IFERROR(__xludf.DUMMYFUNCTION("""COMPUTED_VALUE"""),"11.5 EE")</f>
        <v/>
      </c>
    </row>
    <row r="240" ht="16.5" customHeight="1" s="176">
      <c r="A240" s="122" t="inlineStr">
        <is>
          <t>Cintura Jean + Largo Jean</t>
        </is>
      </c>
      <c r="B240" s="123" t="inlineStr">
        <is>
          <t>30 x 34</t>
        </is>
      </c>
      <c r="C240" s="123" t="inlineStr">
        <is>
          <t>30W / 34L</t>
        </is>
      </c>
      <c r="D240" s="122" t="inlineStr">
        <is>
          <t>Igual formato (largo 34)</t>
        </is>
      </c>
      <c r="E240" s="183" t="n"/>
      <c r="F240" s="84" t="n"/>
      <c r="G240" s="84" t="n"/>
      <c r="H240" s="117" t="n"/>
      <c r="I240" s="118" t="n"/>
      <c r="J240" s="118" t="n"/>
      <c r="K240" s="84" t="n"/>
      <c r="L240" s="84" t="n"/>
      <c r="M240" s="84" t="n"/>
      <c r="N240" s="84" t="n"/>
      <c r="O240" s="84" t="n"/>
      <c r="P240" s="84" t="n"/>
      <c r="Q240" s="84" t="n"/>
      <c r="R240" s="84" t="n"/>
      <c r="S240" s="102" t="n"/>
      <c r="T240" s="102" t="n"/>
      <c r="U240" s="102" t="n"/>
      <c r="V240" s="102" t="n"/>
      <c r="W240" s="102" t="n"/>
      <c r="X240" s="102" t="n"/>
      <c r="Y240" s="102" t="n"/>
      <c r="Z240" s="102" t="n"/>
      <c r="AA240" s="102" t="n"/>
      <c r="AB240" s="102" t="n"/>
      <c r="AC240" s="102" t="n"/>
      <c r="AD240" s="102">
        <f>IFERROR(__xludf.DUMMYFUNCTION("""COMPUTED_VALUE"""),"11.5 FM")</f>
        <v/>
      </c>
    </row>
    <row r="241" ht="16.5" customHeight="1" s="176">
      <c r="A241" s="122" t="inlineStr">
        <is>
          <t>Cintura Jean + Largo Jean</t>
        </is>
      </c>
      <c r="B241" s="123" t="inlineStr">
        <is>
          <t>31 x 34</t>
        </is>
      </c>
      <c r="C241" s="123" t="inlineStr">
        <is>
          <t>31W / 34L</t>
        </is>
      </c>
      <c r="D241" s="122" t="inlineStr">
        <is>
          <t>Igual formato (largo 34)</t>
        </is>
      </c>
      <c r="E241" s="183" t="n"/>
      <c r="F241" s="84" t="n"/>
      <c r="G241" s="84" t="n"/>
      <c r="H241" s="117" t="n"/>
      <c r="I241" s="118" t="n"/>
      <c r="J241" s="118" t="n"/>
      <c r="K241" s="84" t="n"/>
      <c r="L241" s="84" t="n"/>
      <c r="M241" s="84" t="n"/>
      <c r="N241" s="84" t="n"/>
      <c r="O241" s="84" t="n"/>
      <c r="P241" s="84" t="n"/>
      <c r="Q241" s="84" t="n"/>
      <c r="R241" s="84" t="n"/>
      <c r="S241" s="102" t="n"/>
      <c r="T241" s="102" t="n"/>
      <c r="U241" s="102" t="n"/>
      <c r="V241" s="102" t="n"/>
      <c r="W241" s="102" t="n"/>
      <c r="X241" s="102" t="n"/>
      <c r="Y241" s="102" t="n"/>
      <c r="Z241" s="102" t="n"/>
      <c r="AA241" s="102" t="n"/>
      <c r="AB241" s="102" t="n"/>
      <c r="AC241" s="102" t="n"/>
      <c r="AD241" s="102">
        <f>IFERROR(__xludf.DUMMYFUNCTION("""COMPUTED_VALUE"""),"11.5 FS")</f>
        <v/>
      </c>
    </row>
    <row r="242" ht="16.5" customHeight="1" s="176">
      <c r="A242" s="122" t="inlineStr">
        <is>
          <t>Cintura Jean + Largo Jean</t>
        </is>
      </c>
      <c r="B242" s="123" t="inlineStr">
        <is>
          <t>32 x 34</t>
        </is>
      </c>
      <c r="C242" s="123" t="inlineStr">
        <is>
          <t>32W / 34L</t>
        </is>
      </c>
      <c r="D242" s="122" t="inlineStr">
        <is>
          <t>Igual formato (largo 34)</t>
        </is>
      </c>
      <c r="E242" s="183" t="n"/>
      <c r="F242" s="84" t="n"/>
      <c r="G242" s="84" t="n"/>
      <c r="H242" s="117" t="n"/>
      <c r="I242" s="118" t="n"/>
      <c r="J242" s="118" t="n"/>
      <c r="K242" s="84" t="n"/>
      <c r="L242" s="84" t="n"/>
      <c r="M242" s="84" t="n"/>
      <c r="N242" s="84" t="n"/>
      <c r="O242" s="84" t="n"/>
      <c r="P242" s="84" t="n"/>
      <c r="Q242" s="84" t="n"/>
      <c r="R242" s="84" t="n"/>
      <c r="S242" s="102" t="n"/>
      <c r="T242" s="102" t="n"/>
      <c r="U242" s="102" t="n"/>
      <c r="V242" s="102" t="n"/>
      <c r="W242" s="102" t="n"/>
      <c r="X242" s="102" t="n"/>
      <c r="Y242" s="102" t="n"/>
      <c r="Z242" s="102" t="n"/>
      <c r="AA242" s="102" t="n"/>
      <c r="AB242" s="102" t="n"/>
      <c r="AC242" s="102" t="n"/>
      <c r="AD242" s="102">
        <f>IFERROR(__xludf.DUMMYFUNCTION("""COMPUTED_VALUE"""),"11.5 RM")</f>
        <v/>
      </c>
    </row>
    <row r="243" ht="16.5" customHeight="1" s="176">
      <c r="A243" s="122" t="inlineStr">
        <is>
          <t>Cintura Jean + Largo Jean</t>
        </is>
      </c>
      <c r="B243" s="123" t="inlineStr">
        <is>
          <t>33 x 34</t>
        </is>
      </c>
      <c r="C243" s="123" t="inlineStr">
        <is>
          <t>33W / 34L</t>
        </is>
      </c>
      <c r="D243" s="122" t="inlineStr">
        <is>
          <t>Igual formato (largo 34)</t>
        </is>
      </c>
      <c r="E243" s="183" t="n"/>
      <c r="F243" s="84" t="n"/>
      <c r="G243" s="84" t="n"/>
      <c r="H243" s="117" t="n"/>
      <c r="I243" s="118" t="n"/>
      <c r="J243" s="118" t="n"/>
      <c r="K243" s="84" t="n"/>
      <c r="L243" s="84" t="n"/>
      <c r="M243" s="84" t="n"/>
      <c r="N243" s="84" t="n"/>
      <c r="O243" s="84" t="n"/>
      <c r="P243" s="84" t="n"/>
      <c r="Q243" s="84" t="n"/>
      <c r="R243" s="84" t="n"/>
      <c r="S243" s="102" t="n"/>
      <c r="T243" s="102" t="n"/>
      <c r="U243" s="102" t="n"/>
      <c r="V243" s="102" t="n"/>
      <c r="W243" s="102" t="n"/>
      <c r="X243" s="102" t="n"/>
      <c r="Y243" s="102" t="n"/>
      <c r="Z243" s="102" t="n"/>
      <c r="AA243" s="102" t="n"/>
      <c r="AB243" s="102" t="n"/>
      <c r="AC243" s="102" t="n"/>
      <c r="AD243" s="102">
        <f>IFERROR(__xludf.DUMMYFUNCTION("""COMPUTED_VALUE"""),"11.5 RS")</f>
        <v/>
      </c>
    </row>
    <row r="244" ht="16.5" customHeight="1" s="176">
      <c r="A244" s="122" t="inlineStr">
        <is>
          <t>Cintura Jean + Largo Jean</t>
        </is>
      </c>
      <c r="B244" s="123" t="inlineStr">
        <is>
          <t>34 x 34</t>
        </is>
      </c>
      <c r="C244" s="123" t="inlineStr">
        <is>
          <t>34W / 34L</t>
        </is>
      </c>
      <c r="D244" s="122" t="inlineStr">
        <is>
          <t>Igual formato (largo 34)</t>
        </is>
      </c>
      <c r="E244" s="183" t="n"/>
      <c r="F244" s="84" t="n"/>
      <c r="G244" s="84" t="n"/>
      <c r="H244" s="117" t="n"/>
      <c r="I244" s="118" t="n"/>
      <c r="J244" s="118" t="n"/>
      <c r="K244" s="84" t="n"/>
      <c r="L244" s="84" t="n"/>
      <c r="M244" s="84" t="n"/>
      <c r="N244" s="84" t="n"/>
      <c r="O244" s="84" t="n"/>
      <c r="P244" s="84" t="n"/>
      <c r="Q244" s="84" t="n"/>
      <c r="R244" s="84" t="n"/>
      <c r="S244" s="102" t="n"/>
      <c r="T244" s="102" t="n"/>
      <c r="U244" s="102" t="n"/>
      <c r="V244" s="102" t="n"/>
      <c r="W244" s="102" t="n"/>
      <c r="X244" s="102" t="n"/>
      <c r="Y244" s="102" t="n"/>
      <c r="Z244" s="102" t="n"/>
      <c r="AA244" s="102" t="n"/>
      <c r="AB244" s="102" t="n"/>
      <c r="AC244" s="102" t="n"/>
      <c r="AD244" s="102">
        <f>IFERROR(__xludf.DUMMYFUNCTION("""COMPUTED_VALUE"""),"11.5 RT")</f>
        <v/>
      </c>
    </row>
    <row r="245" ht="16.5" customHeight="1" s="176">
      <c r="A245" s="122" t="inlineStr">
        <is>
          <t>Cintura Jean + Largo Jean</t>
        </is>
      </c>
      <c r="B245" s="123" t="inlineStr">
        <is>
          <t>35 x 34</t>
        </is>
      </c>
      <c r="C245" s="123" t="inlineStr">
        <is>
          <t>35W / 34L</t>
        </is>
      </c>
      <c r="D245" s="122" t="inlineStr">
        <is>
          <t>Igual formato (largo 34)</t>
        </is>
      </c>
      <c r="E245" s="183" t="n"/>
      <c r="F245" s="84" t="n"/>
      <c r="G245" s="84" t="n"/>
      <c r="H245" s="117" t="n"/>
      <c r="I245" s="118" t="n"/>
      <c r="J245" s="118" t="n"/>
      <c r="K245" s="84" t="n"/>
      <c r="L245" s="84" t="n"/>
      <c r="M245" s="84" t="n"/>
      <c r="N245" s="84" t="n"/>
      <c r="O245" s="84" t="n"/>
      <c r="P245" s="84" t="n"/>
      <c r="Q245" s="84" t="n"/>
      <c r="R245" s="84" t="n"/>
      <c r="S245" s="102" t="n"/>
      <c r="T245" s="102" t="n"/>
      <c r="U245" s="102" t="n"/>
      <c r="V245" s="102" t="n"/>
      <c r="W245" s="102" t="n"/>
      <c r="X245" s="102" t="n"/>
      <c r="Y245" s="102" t="n"/>
      <c r="Z245" s="102" t="n"/>
      <c r="AA245" s="102" t="n"/>
      <c r="AB245" s="102" t="n"/>
      <c r="AC245" s="102" t="n"/>
      <c r="AD245" s="102">
        <f>IFERROR(__xludf.DUMMYFUNCTION("""COMPUTED_VALUE"""),"11.5 SM")</f>
        <v/>
      </c>
    </row>
    <row r="246" ht="16.5" customHeight="1" s="176">
      <c r="A246" s="122" t="inlineStr">
        <is>
          <t>Cintura Jean + Largo Jean</t>
        </is>
      </c>
      <c r="B246" s="123" t="inlineStr">
        <is>
          <t>36 x 34</t>
        </is>
      </c>
      <c r="C246" s="123" t="inlineStr">
        <is>
          <t>36W / 34L</t>
        </is>
      </c>
      <c r="D246" s="122" t="inlineStr">
        <is>
          <t>Igual formato (largo 34)</t>
        </is>
      </c>
      <c r="E246" s="183" t="n"/>
      <c r="F246" s="84" t="n"/>
      <c r="G246" s="84" t="n"/>
      <c r="H246" s="117" t="n"/>
      <c r="I246" s="118" t="n"/>
      <c r="J246" s="118" t="n"/>
      <c r="K246" s="84" t="n"/>
      <c r="L246" s="84" t="n"/>
      <c r="M246" s="84" t="n"/>
      <c r="N246" s="84" t="n"/>
      <c r="O246" s="84" t="n"/>
      <c r="P246" s="84" t="n"/>
      <c r="Q246" s="84" t="n"/>
      <c r="R246" s="84" t="n"/>
      <c r="S246" s="102" t="n"/>
      <c r="T246" s="102" t="n"/>
      <c r="U246" s="102" t="n"/>
      <c r="V246" s="102" t="n"/>
      <c r="W246" s="102" t="n"/>
      <c r="X246" s="102" t="n"/>
      <c r="Y246" s="102" t="n"/>
      <c r="Z246" s="102" t="n"/>
      <c r="AA246" s="102" t="n"/>
      <c r="AB246" s="102" t="n"/>
      <c r="AC246" s="102" t="n"/>
      <c r="AD246" s="102">
        <f>IFERROR(__xludf.DUMMYFUNCTION("""COMPUTED_VALUE"""),"11.5 SS")</f>
        <v/>
      </c>
    </row>
    <row r="247" ht="16.5" customHeight="1" s="176">
      <c r="A247" s="122" t="inlineStr">
        <is>
          <t>Cintura Jean + Largo Jean</t>
        </is>
      </c>
      <c r="B247" s="123" t="inlineStr">
        <is>
          <t>38 x 34</t>
        </is>
      </c>
      <c r="C247" s="123" t="inlineStr">
        <is>
          <t>38W / 34L</t>
        </is>
      </c>
      <c r="D247" s="122" t="inlineStr">
        <is>
          <t>Igual formato (largo 34)</t>
        </is>
      </c>
      <c r="E247" s="183" t="n"/>
      <c r="F247" s="84" t="n"/>
      <c r="G247" s="84" t="n"/>
      <c r="H247" s="117" t="n"/>
      <c r="I247" s="118" t="n"/>
      <c r="J247" s="118" t="n"/>
      <c r="K247" s="84" t="n"/>
      <c r="L247" s="84" t="n"/>
      <c r="M247" s="84" t="n"/>
      <c r="N247" s="84" t="n"/>
      <c r="O247" s="84" t="n"/>
      <c r="P247" s="84" t="n"/>
      <c r="Q247" s="84" t="n"/>
      <c r="R247" s="84" t="n"/>
      <c r="S247" s="102" t="n"/>
      <c r="T247" s="102" t="n"/>
      <c r="U247" s="102" t="n"/>
      <c r="V247" s="102" t="n"/>
      <c r="W247" s="102" t="n"/>
      <c r="X247" s="102" t="n"/>
      <c r="Y247" s="102" t="n"/>
      <c r="Z247" s="102" t="n"/>
      <c r="AA247" s="102" t="n"/>
      <c r="AB247" s="102" t="n"/>
      <c r="AC247" s="102" t="n"/>
      <c r="AD247" s="102">
        <f>IFERROR(__xludf.DUMMYFUNCTION("""COMPUTED_VALUE"""),"11.5 ST")</f>
        <v/>
      </c>
    </row>
    <row r="248" ht="16.5" customHeight="1" s="176">
      <c r="A248" s="122" t="inlineStr">
        <is>
          <t>Cintura Jean + Largo Jean</t>
        </is>
      </c>
      <c r="B248" s="123" t="inlineStr">
        <is>
          <t>40 x 34</t>
        </is>
      </c>
      <c r="C248" s="123" t="inlineStr">
        <is>
          <t>40W / 34L</t>
        </is>
      </c>
      <c r="D248" s="122" t="inlineStr">
        <is>
          <t>Igual formato (largo 34)</t>
        </is>
      </c>
      <c r="E248" s="183" t="n"/>
      <c r="F248" s="84" t="n"/>
      <c r="G248" s="84" t="n"/>
      <c r="H248" s="117" t="n"/>
      <c r="I248" s="118" t="n"/>
      <c r="J248" s="118" t="n"/>
      <c r="K248" s="84" t="n"/>
      <c r="L248" s="84" t="n"/>
      <c r="M248" s="84" t="n"/>
      <c r="N248" s="84" t="n"/>
      <c r="O248" s="84" t="n"/>
      <c r="P248" s="84" t="n"/>
      <c r="Q248" s="84" t="n"/>
      <c r="R248" s="84" t="n"/>
      <c r="S248" s="102" t="n"/>
      <c r="T248" s="102" t="n"/>
      <c r="U248" s="102" t="n"/>
      <c r="V248" s="102" t="n"/>
      <c r="W248" s="102" t="n"/>
      <c r="X248" s="102" t="n"/>
      <c r="Y248" s="102" t="n"/>
      <c r="Z248" s="102" t="n"/>
      <c r="AA248" s="102" t="n"/>
      <c r="AB248" s="102" t="n"/>
      <c r="AC248" s="102" t="n"/>
      <c r="AD248" s="102">
        <f>IFERROR(__xludf.DUMMYFUNCTION("""COMPUTED_VALUE"""),"12 B")</f>
        <v/>
      </c>
    </row>
    <row r="249" ht="16.5" customHeight="1" s="176">
      <c r="A249" s="122" t="inlineStr">
        <is>
          <t>Cintura Jean + Largo Jean</t>
        </is>
      </c>
      <c r="B249" s="123" t="inlineStr">
        <is>
          <t>42 x 34</t>
        </is>
      </c>
      <c r="C249" s="123" t="inlineStr">
        <is>
          <t>42W / 34L</t>
        </is>
      </c>
      <c r="D249" s="122" t="inlineStr">
        <is>
          <t>Igual formato (largo 34)</t>
        </is>
      </c>
      <c r="E249" s="183" t="n"/>
      <c r="F249" s="84" t="n"/>
      <c r="G249" s="84" t="n"/>
      <c r="H249" s="117" t="n"/>
      <c r="I249" s="118" t="n"/>
      <c r="J249" s="118" t="n"/>
      <c r="K249" s="84" t="n"/>
      <c r="L249" s="84" t="n"/>
      <c r="M249" s="84" t="n"/>
      <c r="N249" s="84" t="n"/>
      <c r="O249" s="84" t="n"/>
      <c r="P249" s="84" t="n"/>
      <c r="Q249" s="84" t="n"/>
      <c r="R249" s="84" t="n"/>
      <c r="S249" s="102" t="n"/>
      <c r="T249" s="102" t="n"/>
      <c r="U249" s="102" t="n"/>
      <c r="V249" s="102" t="n"/>
      <c r="W249" s="102" t="n"/>
      <c r="X249" s="102" t="n"/>
      <c r="Y249" s="102" t="n"/>
      <c r="Z249" s="102" t="n"/>
      <c r="AA249" s="102" t="n"/>
      <c r="AB249" s="102" t="n"/>
      <c r="AC249" s="102" t="n"/>
      <c r="AD249" s="102">
        <f>IFERROR(__xludf.DUMMYFUNCTION("""COMPUTED_VALUE"""),"12 D")</f>
        <v/>
      </c>
    </row>
    <row r="250" ht="16.5" customHeight="1" s="176">
      <c r="A250" s="122" t="inlineStr">
        <is>
          <t>Cintura Jean + Largo Jean</t>
        </is>
      </c>
      <c r="B250" s="123" t="inlineStr">
        <is>
          <t>44 x 34</t>
        </is>
      </c>
      <c r="C250" s="123" t="inlineStr">
        <is>
          <t>44W / 34L</t>
        </is>
      </c>
      <c r="D250" s="122" t="inlineStr">
        <is>
          <t>Igual formato (largo 34)</t>
        </is>
      </c>
      <c r="E250" s="183" t="n"/>
      <c r="F250" s="84" t="n"/>
      <c r="G250" s="84" t="n"/>
      <c r="H250" s="117" t="n"/>
      <c r="I250" s="118" t="n"/>
      <c r="J250" s="118" t="n"/>
      <c r="K250" s="84" t="n"/>
      <c r="L250" s="84" t="n"/>
      <c r="M250" s="84" t="n"/>
      <c r="N250" s="84" t="n"/>
      <c r="O250" s="84" t="n"/>
      <c r="P250" s="84" t="n"/>
      <c r="Q250" s="84" t="n"/>
      <c r="R250" s="84" t="n"/>
      <c r="S250" s="102" t="n"/>
      <c r="T250" s="102" t="n"/>
      <c r="U250" s="102" t="n"/>
      <c r="V250" s="102" t="n"/>
      <c r="W250" s="102" t="n"/>
      <c r="X250" s="102" t="n"/>
      <c r="Y250" s="102" t="n"/>
      <c r="Z250" s="102" t="n"/>
      <c r="AA250" s="102" t="n"/>
      <c r="AB250" s="102" t="n"/>
      <c r="AC250" s="102" t="n"/>
      <c r="AD250" s="102">
        <f>IFERROR(__xludf.DUMMYFUNCTION("""COMPUTED_VALUE"""),"12 EE")</f>
        <v/>
      </c>
    </row>
    <row r="251" ht="16.5" customHeight="1" s="176">
      <c r="A251" s="122" t="inlineStr">
        <is>
          <t>Cintura Jean + Largo Jean</t>
        </is>
      </c>
      <c r="B251" s="123" t="inlineStr">
        <is>
          <t>46 x 34</t>
        </is>
      </c>
      <c r="C251" s="123" t="inlineStr">
        <is>
          <t>46W / 34L</t>
        </is>
      </c>
      <c r="D251" s="122" t="inlineStr">
        <is>
          <t>Igual formato (largo 34)</t>
        </is>
      </c>
      <c r="E251" s="183" t="n"/>
      <c r="F251" s="84" t="n"/>
      <c r="G251" s="84" t="n"/>
      <c r="H251" s="117" t="n"/>
      <c r="I251" s="118" t="n"/>
      <c r="J251" s="118" t="n"/>
      <c r="K251" s="84" t="n"/>
      <c r="L251" s="84" t="n"/>
      <c r="M251" s="84" t="n"/>
      <c r="N251" s="84" t="n"/>
      <c r="O251" s="84" t="n"/>
      <c r="P251" s="84" t="n"/>
      <c r="Q251" s="84" t="n"/>
      <c r="R251" s="84" t="n"/>
      <c r="S251" s="102" t="n"/>
      <c r="T251" s="102" t="n"/>
      <c r="U251" s="102" t="n"/>
      <c r="V251" s="102" t="n"/>
      <c r="W251" s="102" t="n"/>
      <c r="X251" s="102" t="n"/>
      <c r="Y251" s="102" t="n"/>
      <c r="Z251" s="102" t="n"/>
      <c r="AA251" s="102" t="n"/>
      <c r="AB251" s="102" t="n"/>
      <c r="AC251" s="102" t="n"/>
      <c r="AD251" s="102">
        <f>IFERROR(__xludf.DUMMYFUNCTION("""COMPUTED_VALUE"""),"12 FM")</f>
        <v/>
      </c>
    </row>
    <row r="252" ht="16.5" customHeight="1" s="176">
      <c r="A252" s="122" t="inlineStr">
        <is>
          <t>Cintura Jean + Largo Jean</t>
        </is>
      </c>
      <c r="B252" s="123" t="inlineStr">
        <is>
          <t>48 x 34</t>
        </is>
      </c>
      <c r="C252" s="123" t="inlineStr">
        <is>
          <t>48W / 34L</t>
        </is>
      </c>
      <c r="D252" s="122" t="inlineStr">
        <is>
          <t>Igual formato (largo 34)</t>
        </is>
      </c>
      <c r="E252" s="183" t="n"/>
      <c r="F252" s="84" t="n"/>
      <c r="G252" s="84" t="n"/>
      <c r="H252" s="117" t="n"/>
      <c r="I252" s="118" t="n"/>
      <c r="J252" s="118" t="n"/>
      <c r="K252" s="84" t="n"/>
      <c r="L252" s="84" t="n"/>
      <c r="M252" s="84" t="n"/>
      <c r="N252" s="84" t="n"/>
      <c r="O252" s="84" t="n"/>
      <c r="P252" s="84" t="n"/>
      <c r="Q252" s="84" t="n"/>
      <c r="R252" s="84" t="n"/>
      <c r="S252" s="102" t="n"/>
      <c r="T252" s="102" t="n"/>
      <c r="U252" s="102" t="n"/>
      <c r="V252" s="102" t="n"/>
      <c r="W252" s="102" t="n"/>
      <c r="X252" s="102" t="n"/>
      <c r="Y252" s="102" t="n"/>
      <c r="Z252" s="102" t="n"/>
      <c r="AA252" s="102" t="n"/>
      <c r="AB252" s="102" t="n"/>
      <c r="AC252" s="102" t="n"/>
      <c r="AD252" s="102">
        <f>IFERROR(__xludf.DUMMYFUNCTION("""COMPUTED_VALUE"""),"12 FS")</f>
        <v/>
      </c>
    </row>
    <row r="253" ht="16.5" customHeight="1" s="176">
      <c r="A253" s="122" t="inlineStr">
        <is>
          <t>Cintura Jean + Largo Jean</t>
        </is>
      </c>
      <c r="B253" s="123" t="inlineStr">
        <is>
          <t>50 x 34</t>
        </is>
      </c>
      <c r="C253" s="123" t="inlineStr">
        <is>
          <t>50W / 34L</t>
        </is>
      </c>
      <c r="D253" s="122" t="inlineStr">
        <is>
          <t>Igual formato (largo 34)</t>
        </is>
      </c>
      <c r="E253" s="183" t="n"/>
      <c r="F253" s="84" t="n"/>
      <c r="G253" s="84" t="n"/>
      <c r="H253" s="117" t="n"/>
      <c r="I253" s="118" t="n"/>
      <c r="J253" s="118" t="n"/>
      <c r="K253" s="84" t="n"/>
      <c r="L253" s="84" t="n"/>
      <c r="M253" s="84" t="n"/>
      <c r="N253" s="84" t="n"/>
      <c r="O253" s="84" t="n"/>
      <c r="P253" s="84" t="n"/>
      <c r="Q253" s="84" t="n"/>
      <c r="R253" s="84" t="n"/>
      <c r="S253" s="102" t="n"/>
      <c r="T253" s="102" t="n"/>
      <c r="U253" s="102" t="n"/>
      <c r="V253" s="102" t="n"/>
      <c r="W253" s="102" t="n"/>
      <c r="X253" s="102" t="n"/>
      <c r="Y253" s="102" t="n"/>
      <c r="Z253" s="102" t="n"/>
      <c r="AA253" s="102" t="n"/>
      <c r="AB253" s="102" t="n"/>
      <c r="AC253" s="102" t="n"/>
      <c r="AD253" s="102">
        <f>IFERROR(__xludf.DUMMYFUNCTION("""COMPUTED_VALUE"""),"12 RM")</f>
        <v/>
      </c>
    </row>
    <row r="254" ht="16.5" customHeight="1" s="176">
      <c r="A254" s="122" t="inlineStr">
        <is>
          <t>Cintura Jean + Largo Jean</t>
        </is>
      </c>
      <c r="B254" s="123" t="inlineStr">
        <is>
          <t>29 x 36</t>
        </is>
      </c>
      <c r="C254" s="123" t="inlineStr">
        <is>
          <t>29W / 36L</t>
        </is>
      </c>
      <c r="D254" s="122" t="inlineStr">
        <is>
          <t>Igual formato (largo 36)</t>
        </is>
      </c>
      <c r="E254" s="183" t="n"/>
      <c r="F254" s="84" t="n"/>
      <c r="G254" s="84" t="n"/>
      <c r="H254" s="117" t="n"/>
      <c r="I254" s="118" t="n"/>
      <c r="J254" s="118" t="n"/>
      <c r="K254" s="84" t="n"/>
      <c r="L254" s="84" t="n"/>
      <c r="M254" s="84" t="n"/>
      <c r="N254" s="84" t="n"/>
      <c r="O254" s="84" t="n"/>
      <c r="P254" s="84" t="n"/>
      <c r="Q254" s="84" t="n"/>
      <c r="R254" s="84" t="n"/>
      <c r="S254" s="102" t="n"/>
      <c r="T254" s="102" t="n"/>
      <c r="U254" s="102" t="n"/>
      <c r="V254" s="102" t="n"/>
      <c r="W254" s="102" t="n"/>
      <c r="X254" s="102" t="n"/>
      <c r="Y254" s="102" t="n"/>
      <c r="Z254" s="102" t="n"/>
      <c r="AA254" s="102" t="n"/>
      <c r="AB254" s="102" t="n"/>
      <c r="AC254" s="102" t="n"/>
      <c r="AD254" s="102">
        <f>IFERROR(__xludf.DUMMYFUNCTION("""COMPUTED_VALUE"""),"12 RS")</f>
        <v/>
      </c>
    </row>
    <row r="255" ht="16.5" customHeight="1" s="176">
      <c r="A255" s="122" t="inlineStr">
        <is>
          <t>Cintura Jean + Largo Jean</t>
        </is>
      </c>
      <c r="B255" s="123" t="inlineStr">
        <is>
          <t>30 x 36</t>
        </is>
      </c>
      <c r="C255" s="123" t="inlineStr">
        <is>
          <t>30W / 36L</t>
        </is>
      </c>
      <c r="D255" s="122" t="inlineStr">
        <is>
          <t>Igual formato (largo 36)</t>
        </is>
      </c>
      <c r="E255" s="183" t="n"/>
      <c r="F255" s="84" t="n"/>
      <c r="G255" s="84" t="n"/>
      <c r="H255" s="117" t="n"/>
      <c r="I255" s="118" t="n"/>
      <c r="J255" s="118" t="n"/>
      <c r="K255" s="84" t="n"/>
      <c r="L255" s="84" t="n"/>
      <c r="M255" s="84" t="n"/>
      <c r="N255" s="84" t="n"/>
      <c r="O255" s="84" t="n"/>
      <c r="P255" s="84" t="n"/>
      <c r="Q255" s="84" t="n"/>
      <c r="R255" s="84" t="n"/>
      <c r="S255" s="102" t="n"/>
      <c r="T255" s="102" t="n"/>
      <c r="U255" s="102" t="n"/>
      <c r="V255" s="102" t="n"/>
      <c r="W255" s="102" t="n"/>
      <c r="X255" s="102" t="n"/>
      <c r="Y255" s="102" t="n"/>
      <c r="Z255" s="102" t="n"/>
      <c r="AA255" s="102" t="n"/>
      <c r="AB255" s="102" t="n"/>
      <c r="AC255" s="102" t="n"/>
      <c r="AD255" s="102">
        <f>IFERROR(__xludf.DUMMYFUNCTION("""COMPUTED_VALUE"""),"12 RT")</f>
        <v/>
      </c>
    </row>
    <row r="256" ht="16.5" customHeight="1" s="176">
      <c r="A256" s="122" t="inlineStr">
        <is>
          <t>Cintura Jean + Largo Jean</t>
        </is>
      </c>
      <c r="B256" s="123" t="inlineStr">
        <is>
          <t>31 x 36</t>
        </is>
      </c>
      <c r="C256" s="123" t="inlineStr">
        <is>
          <t>31W / 36L</t>
        </is>
      </c>
      <c r="D256" s="122" t="inlineStr">
        <is>
          <t>Igual formato (largo 36)</t>
        </is>
      </c>
      <c r="E256" s="183" t="n"/>
      <c r="F256" s="84" t="n"/>
      <c r="G256" s="84" t="n"/>
      <c r="H256" s="117" t="n"/>
      <c r="I256" s="118" t="n"/>
      <c r="J256" s="118" t="n"/>
      <c r="K256" s="84" t="n"/>
      <c r="L256" s="84" t="n"/>
      <c r="M256" s="84" t="n"/>
      <c r="N256" s="84" t="n"/>
      <c r="O256" s="84" t="n"/>
      <c r="P256" s="84" t="n"/>
      <c r="Q256" s="84" t="n"/>
      <c r="R256" s="84" t="n"/>
      <c r="S256" s="102" t="n"/>
      <c r="T256" s="102" t="n"/>
      <c r="U256" s="102" t="n"/>
      <c r="V256" s="102" t="n"/>
      <c r="W256" s="102" t="n"/>
      <c r="X256" s="102" t="n"/>
      <c r="Y256" s="102" t="n"/>
      <c r="Z256" s="102" t="n"/>
      <c r="AA256" s="102" t="n"/>
      <c r="AB256" s="102" t="n"/>
      <c r="AC256" s="102" t="n"/>
      <c r="AD256" s="102">
        <f>IFERROR(__xludf.DUMMYFUNCTION("""COMPUTED_VALUE"""),"12 SM")</f>
        <v/>
      </c>
    </row>
    <row r="257" ht="16.5" customHeight="1" s="176">
      <c r="A257" s="122" t="inlineStr">
        <is>
          <t>Cintura Jean + Largo Jean</t>
        </is>
      </c>
      <c r="B257" s="123" t="inlineStr">
        <is>
          <t>32 x 36</t>
        </is>
      </c>
      <c r="C257" s="123" t="inlineStr">
        <is>
          <t>32W / 36L</t>
        </is>
      </c>
      <c r="D257" s="122" t="inlineStr">
        <is>
          <t>Igual formato (largo 36)</t>
        </is>
      </c>
      <c r="E257" s="183" t="n"/>
      <c r="F257" s="84" t="n"/>
      <c r="G257" s="84" t="n"/>
      <c r="H257" s="117" t="n"/>
      <c r="I257" s="118" t="n"/>
      <c r="J257" s="118" t="n"/>
      <c r="K257" s="84" t="n"/>
      <c r="L257" s="84" t="n"/>
      <c r="M257" s="84" t="n"/>
      <c r="N257" s="84" t="n"/>
      <c r="O257" s="84" t="n"/>
      <c r="P257" s="84" t="n"/>
      <c r="Q257" s="84" t="n"/>
      <c r="R257" s="84" t="n"/>
      <c r="S257" s="102" t="n"/>
      <c r="T257" s="102" t="n"/>
      <c r="U257" s="102" t="n"/>
      <c r="V257" s="102" t="n"/>
      <c r="W257" s="102" t="n"/>
      <c r="X257" s="102" t="n"/>
      <c r="Y257" s="102" t="n"/>
      <c r="Z257" s="102" t="n"/>
      <c r="AA257" s="102" t="n"/>
      <c r="AB257" s="102" t="n"/>
      <c r="AC257" s="102" t="n"/>
      <c r="AD257" s="102">
        <f>IFERROR(__xludf.DUMMYFUNCTION("""COMPUTED_VALUE"""),"12 SS")</f>
        <v/>
      </c>
    </row>
    <row r="258" ht="16.5" customHeight="1" s="176">
      <c r="A258" s="122" t="inlineStr">
        <is>
          <t>Cintura Jean + Largo Jean</t>
        </is>
      </c>
      <c r="B258" s="123" t="inlineStr">
        <is>
          <t>33 x 36</t>
        </is>
      </c>
      <c r="C258" s="123" t="inlineStr">
        <is>
          <t>33W / 36L</t>
        </is>
      </c>
      <c r="D258" s="122" t="inlineStr">
        <is>
          <t>Igual formato (largo 36)</t>
        </is>
      </c>
      <c r="E258" s="183" t="n"/>
      <c r="F258" s="84" t="n"/>
      <c r="G258" s="84" t="n"/>
      <c r="H258" s="117" t="n"/>
      <c r="I258" s="118" t="n"/>
      <c r="J258" s="118" t="n"/>
      <c r="K258" s="84" t="n"/>
      <c r="L258" s="84" t="n"/>
      <c r="M258" s="84" t="n"/>
      <c r="N258" s="84" t="n"/>
      <c r="O258" s="84" t="n"/>
      <c r="P258" s="84" t="n"/>
      <c r="Q258" s="84" t="n"/>
      <c r="R258" s="84" t="n"/>
      <c r="S258" s="102" t="n"/>
      <c r="T258" s="102" t="n"/>
      <c r="U258" s="102" t="n"/>
      <c r="V258" s="102" t="n"/>
      <c r="W258" s="102" t="n"/>
      <c r="X258" s="102" t="n"/>
      <c r="Y258" s="102" t="n"/>
      <c r="Z258" s="102" t="n"/>
      <c r="AA258" s="102" t="n"/>
      <c r="AB258" s="102" t="n"/>
      <c r="AC258" s="102" t="n"/>
      <c r="AD258" s="102">
        <f>IFERROR(__xludf.DUMMYFUNCTION("""COMPUTED_VALUE"""),"12 ST")</f>
        <v/>
      </c>
    </row>
    <row r="259" ht="16.5" customHeight="1" s="176">
      <c r="A259" s="122" t="inlineStr">
        <is>
          <t>Cintura Jean + Largo Jean</t>
        </is>
      </c>
      <c r="B259" s="123" t="inlineStr">
        <is>
          <t>34 x 36</t>
        </is>
      </c>
      <c r="C259" s="123" t="inlineStr">
        <is>
          <t>34W / 36L</t>
        </is>
      </c>
      <c r="D259" s="122" t="inlineStr">
        <is>
          <t>Igual formato (largo 36)</t>
        </is>
      </c>
      <c r="E259" s="183" t="n"/>
      <c r="F259" s="84" t="n"/>
      <c r="G259" s="84" t="n"/>
      <c r="H259" s="117" t="n"/>
      <c r="I259" s="118" t="n"/>
      <c r="J259" s="118" t="n"/>
      <c r="K259" s="84" t="n"/>
      <c r="L259" s="84" t="n"/>
      <c r="M259" s="84" t="n"/>
      <c r="N259" s="84" t="n"/>
      <c r="O259" s="84" t="n"/>
      <c r="P259" s="84" t="n"/>
      <c r="Q259" s="84" t="n"/>
      <c r="R259" s="84" t="n"/>
      <c r="S259" s="102" t="n"/>
      <c r="T259" s="102" t="n"/>
      <c r="U259" s="102" t="n"/>
      <c r="V259" s="102" t="n"/>
      <c r="W259" s="102" t="n"/>
      <c r="X259" s="102" t="n"/>
      <c r="Y259" s="102" t="n"/>
      <c r="Z259" s="102" t="n"/>
      <c r="AA259" s="102" t="n"/>
      <c r="AB259" s="102" t="n"/>
      <c r="AC259" s="102" t="n"/>
      <c r="AD259" s="102">
        <f>IFERROR(__xludf.DUMMYFUNCTION("""COMPUTED_VALUE"""),"13 B")</f>
        <v/>
      </c>
    </row>
    <row r="260" ht="16.5" customHeight="1" s="176">
      <c r="A260" s="122" t="inlineStr">
        <is>
          <t>Cintura Jean + Largo Jean</t>
        </is>
      </c>
      <c r="B260" s="123" t="inlineStr">
        <is>
          <t>35 x 36</t>
        </is>
      </c>
      <c r="C260" s="123" t="inlineStr">
        <is>
          <t>35W / 36L</t>
        </is>
      </c>
      <c r="D260" s="122" t="inlineStr">
        <is>
          <t>Igual formato (largo 36)</t>
        </is>
      </c>
      <c r="E260" s="183" t="n"/>
      <c r="F260" s="84" t="n"/>
      <c r="G260" s="84" t="n"/>
      <c r="H260" s="117" t="n"/>
      <c r="I260" s="118" t="n"/>
      <c r="J260" s="118" t="n"/>
      <c r="K260" s="84" t="n"/>
      <c r="L260" s="84" t="n"/>
      <c r="M260" s="84" t="n"/>
      <c r="N260" s="84" t="n"/>
      <c r="O260" s="84" t="n"/>
      <c r="P260" s="84" t="n"/>
      <c r="Q260" s="84" t="n"/>
      <c r="R260" s="84" t="n"/>
      <c r="S260" s="102" t="n"/>
      <c r="T260" s="102" t="n"/>
      <c r="U260" s="102" t="n"/>
      <c r="V260" s="102" t="n"/>
      <c r="W260" s="102" t="n"/>
      <c r="X260" s="102" t="n"/>
      <c r="Y260" s="102" t="n"/>
      <c r="Z260" s="102" t="n"/>
      <c r="AA260" s="102" t="n"/>
      <c r="AB260" s="102" t="n"/>
      <c r="AC260" s="102" t="n"/>
      <c r="AD260" s="102">
        <f>IFERROR(__xludf.DUMMYFUNCTION("""COMPUTED_VALUE"""),"13 D")</f>
        <v/>
      </c>
    </row>
    <row r="261" ht="16.5" customHeight="1" s="176">
      <c r="A261" s="122" t="inlineStr">
        <is>
          <t>Cintura Jean + Largo Jean</t>
        </is>
      </c>
      <c r="B261" s="123" t="inlineStr">
        <is>
          <t>36 x 36</t>
        </is>
      </c>
      <c r="C261" s="123" t="inlineStr">
        <is>
          <t>36W / 36L</t>
        </is>
      </c>
      <c r="D261" s="122" t="inlineStr">
        <is>
          <t>Igual formato (largo 36)</t>
        </is>
      </c>
      <c r="E261" s="183" t="n"/>
      <c r="F261" s="84" t="n"/>
      <c r="G261" s="84" t="n"/>
      <c r="H261" s="117" t="n"/>
      <c r="I261" s="118" t="n"/>
      <c r="J261" s="118" t="n"/>
      <c r="K261" s="84" t="n"/>
      <c r="L261" s="84" t="n"/>
      <c r="M261" s="84" t="n"/>
      <c r="N261" s="84" t="n"/>
      <c r="O261" s="84" t="n"/>
      <c r="P261" s="84" t="n"/>
      <c r="Q261" s="84" t="n"/>
      <c r="R261" s="84" t="n"/>
      <c r="S261" s="102" t="n"/>
      <c r="T261" s="102" t="n"/>
      <c r="U261" s="102" t="n"/>
      <c r="V261" s="102" t="n"/>
      <c r="W261" s="102" t="n"/>
      <c r="X261" s="102" t="n"/>
      <c r="Y261" s="102" t="n"/>
      <c r="Z261" s="102" t="n"/>
      <c r="AA261" s="102" t="n"/>
      <c r="AB261" s="102" t="n"/>
      <c r="AC261" s="102" t="n"/>
      <c r="AD261" s="102">
        <f>IFERROR(__xludf.DUMMYFUNCTION("""COMPUTED_VALUE"""),"13 EE")</f>
        <v/>
      </c>
    </row>
    <row r="262" ht="16.5" customHeight="1" s="176">
      <c r="A262" s="122" t="inlineStr">
        <is>
          <t>Cintura Jean + Largo Jean</t>
        </is>
      </c>
      <c r="B262" s="123" t="inlineStr">
        <is>
          <t>38 x 36</t>
        </is>
      </c>
      <c r="C262" s="123" t="inlineStr">
        <is>
          <t>38W / 36L</t>
        </is>
      </c>
      <c r="D262" s="122" t="inlineStr">
        <is>
          <t>Igual formato (largo 36)</t>
        </is>
      </c>
      <c r="E262" s="183" t="n"/>
      <c r="F262" s="84" t="n"/>
      <c r="G262" s="84" t="n"/>
      <c r="H262" s="117" t="n"/>
      <c r="I262" s="118" t="n"/>
      <c r="J262" s="118" t="n"/>
      <c r="K262" s="84" t="n"/>
      <c r="L262" s="84" t="n"/>
      <c r="M262" s="84" t="n"/>
      <c r="N262" s="84" t="n"/>
      <c r="O262" s="84" t="n"/>
      <c r="P262" s="84" t="n"/>
      <c r="Q262" s="84" t="n"/>
      <c r="R262" s="84" t="n"/>
      <c r="S262" s="102" t="n"/>
      <c r="T262" s="102" t="n"/>
      <c r="U262" s="102" t="n"/>
      <c r="V262" s="102" t="n"/>
      <c r="W262" s="102" t="n"/>
      <c r="X262" s="102" t="n"/>
      <c r="Y262" s="102" t="n"/>
      <c r="Z262" s="102" t="n"/>
      <c r="AA262" s="102" t="n"/>
      <c r="AB262" s="102" t="n"/>
      <c r="AC262" s="102" t="n"/>
      <c r="AD262" s="102">
        <f>IFERROR(__xludf.DUMMYFUNCTION("""COMPUTED_VALUE"""),"13 FM")</f>
        <v/>
      </c>
    </row>
    <row r="263" ht="16.5" customHeight="1" s="176">
      <c r="A263" s="122" t="inlineStr">
        <is>
          <t>Cintura Jean + Largo Jean</t>
        </is>
      </c>
      <c r="B263" s="123" t="inlineStr">
        <is>
          <t>40 x 36</t>
        </is>
      </c>
      <c r="C263" s="123" t="inlineStr">
        <is>
          <t>40W / 36L</t>
        </is>
      </c>
      <c r="D263" s="122" t="inlineStr">
        <is>
          <t>Igual formato (largo 36)</t>
        </is>
      </c>
      <c r="E263" s="183" t="n"/>
      <c r="F263" s="84" t="n"/>
      <c r="G263" s="84" t="n"/>
      <c r="H263" s="117" t="n"/>
      <c r="I263" s="118" t="n"/>
      <c r="J263" s="118" t="n"/>
      <c r="K263" s="84" t="n"/>
      <c r="L263" s="84" t="n"/>
      <c r="M263" s="84" t="n"/>
      <c r="N263" s="84" t="n"/>
      <c r="O263" s="84" t="n"/>
      <c r="P263" s="84" t="n"/>
      <c r="Q263" s="84" t="n"/>
      <c r="R263" s="84" t="n"/>
      <c r="S263" s="102" t="n"/>
      <c r="T263" s="102" t="n"/>
      <c r="U263" s="102" t="n"/>
      <c r="V263" s="102" t="n"/>
      <c r="W263" s="102" t="n"/>
      <c r="X263" s="102" t="n"/>
      <c r="Y263" s="102" t="n"/>
      <c r="Z263" s="102" t="n"/>
      <c r="AA263" s="102" t="n"/>
      <c r="AB263" s="102" t="n"/>
      <c r="AC263" s="102" t="n"/>
      <c r="AD263" s="102">
        <f>IFERROR(__xludf.DUMMYFUNCTION("""COMPUTED_VALUE"""),"13 FS")</f>
        <v/>
      </c>
    </row>
    <row r="264" ht="16.5" customHeight="1" s="176">
      <c r="A264" s="122" t="inlineStr">
        <is>
          <t>Cintura Jean + Largo Jean</t>
        </is>
      </c>
      <c r="B264" s="123" t="inlineStr">
        <is>
          <t>42 x 36</t>
        </is>
      </c>
      <c r="C264" s="123" t="inlineStr">
        <is>
          <t>42W / 36L</t>
        </is>
      </c>
      <c r="D264" s="122" t="inlineStr">
        <is>
          <t>Igual formato (largo 36)</t>
        </is>
      </c>
      <c r="E264" s="183" t="n"/>
      <c r="F264" s="84" t="n"/>
      <c r="G264" s="84" t="n"/>
      <c r="H264" s="117" t="n"/>
      <c r="I264" s="118" t="n"/>
      <c r="J264" s="118" t="n"/>
      <c r="K264" s="84" t="n"/>
      <c r="L264" s="84" t="n"/>
      <c r="M264" s="84" t="n"/>
      <c r="N264" s="84" t="n"/>
      <c r="O264" s="84" t="n"/>
      <c r="P264" s="84" t="n"/>
      <c r="Q264" s="84" t="n"/>
      <c r="R264" s="84" t="n"/>
      <c r="S264" s="102" t="n"/>
      <c r="T264" s="102" t="n"/>
      <c r="U264" s="102" t="n"/>
      <c r="V264" s="102" t="n"/>
      <c r="W264" s="102" t="n"/>
      <c r="X264" s="102" t="n"/>
      <c r="Y264" s="102" t="n"/>
      <c r="Z264" s="102" t="n"/>
      <c r="AA264" s="102" t="n"/>
      <c r="AB264" s="102" t="n"/>
      <c r="AC264" s="102" t="n"/>
      <c r="AD264" s="102">
        <f>IFERROR(__xludf.DUMMYFUNCTION("""COMPUTED_VALUE"""),"13 RM")</f>
        <v/>
      </c>
    </row>
    <row r="265" ht="16.5" customHeight="1" s="176">
      <c r="A265" s="122" t="inlineStr">
        <is>
          <t>Cintura Jean + Largo Jean</t>
        </is>
      </c>
      <c r="B265" s="123" t="inlineStr">
        <is>
          <t>44 x 36</t>
        </is>
      </c>
      <c r="C265" s="123" t="inlineStr">
        <is>
          <t>44W / 36L</t>
        </is>
      </c>
      <c r="D265" s="122" t="inlineStr">
        <is>
          <t>Igual formato (largo 36)</t>
        </is>
      </c>
      <c r="E265" s="183" t="n"/>
      <c r="F265" s="84" t="n"/>
      <c r="G265" s="84" t="n"/>
      <c r="H265" s="117" t="n"/>
      <c r="I265" s="118" t="n"/>
      <c r="J265" s="118" t="n"/>
      <c r="K265" s="84" t="n"/>
      <c r="L265" s="84" t="n"/>
      <c r="M265" s="84" t="n"/>
      <c r="N265" s="84" t="n"/>
      <c r="O265" s="84" t="n"/>
      <c r="P265" s="84" t="n"/>
      <c r="Q265" s="84" t="n"/>
      <c r="R265" s="84" t="n"/>
      <c r="S265" s="102" t="n"/>
      <c r="T265" s="102" t="n"/>
      <c r="U265" s="102" t="n"/>
      <c r="V265" s="102" t="n"/>
      <c r="W265" s="102" t="n"/>
      <c r="X265" s="102" t="n"/>
      <c r="Y265" s="102" t="n"/>
      <c r="Z265" s="102" t="n"/>
      <c r="AA265" s="102" t="n"/>
      <c r="AB265" s="102" t="n"/>
      <c r="AC265" s="102" t="n"/>
      <c r="AD265" s="102">
        <f>IFERROR(__xludf.DUMMYFUNCTION("""COMPUTED_VALUE"""),"13 RS")</f>
        <v/>
      </c>
    </row>
    <row r="266" ht="16.5" customHeight="1" s="176">
      <c r="A266" s="122" t="inlineStr">
        <is>
          <t>Cintura Jean + Largo Jean</t>
        </is>
      </c>
      <c r="B266" s="123" t="inlineStr">
        <is>
          <t>30 x 38</t>
        </is>
      </c>
      <c r="C266" s="123" t="inlineStr">
        <is>
          <t>30W / 38L</t>
        </is>
      </c>
      <c r="D266" s="122" t="inlineStr">
        <is>
          <t>Igual formato (largo 38)</t>
        </is>
      </c>
      <c r="E266" s="183" t="n"/>
      <c r="F266" s="84" t="n"/>
      <c r="G266" s="84" t="n"/>
      <c r="H266" s="117" t="n"/>
      <c r="I266" s="118" t="n"/>
      <c r="J266" s="118" t="n"/>
      <c r="K266" s="84" t="n"/>
      <c r="L266" s="84" t="n"/>
      <c r="M266" s="84" t="n"/>
      <c r="N266" s="84" t="n"/>
      <c r="O266" s="84" t="n"/>
      <c r="P266" s="84" t="n"/>
      <c r="Q266" s="84" t="n"/>
      <c r="R266" s="84" t="n"/>
      <c r="S266" s="102" t="n"/>
      <c r="T266" s="102" t="n"/>
      <c r="U266" s="102" t="n"/>
      <c r="V266" s="102" t="n"/>
      <c r="W266" s="102" t="n"/>
      <c r="X266" s="102" t="n"/>
      <c r="Y266" s="102" t="n"/>
      <c r="Z266" s="102" t="n"/>
      <c r="AA266" s="102" t="n"/>
      <c r="AB266" s="102" t="n"/>
      <c r="AC266" s="102" t="n"/>
      <c r="AD266" s="102">
        <f>IFERROR(__xludf.DUMMYFUNCTION("""COMPUTED_VALUE"""),"13 RT")</f>
        <v/>
      </c>
    </row>
    <row r="267" ht="16.5" customHeight="1" s="176">
      <c r="A267" s="122" t="inlineStr">
        <is>
          <t>Cintura Jean + Largo Jean</t>
        </is>
      </c>
      <c r="B267" s="123" t="inlineStr">
        <is>
          <t>31 x 38</t>
        </is>
      </c>
      <c r="C267" s="123" t="inlineStr">
        <is>
          <t>31W / 38L</t>
        </is>
      </c>
      <c r="D267" s="122" t="inlineStr">
        <is>
          <t>Igual formato (largo 38)</t>
        </is>
      </c>
      <c r="E267" s="183" t="n"/>
      <c r="F267" s="84" t="n"/>
      <c r="G267" s="84" t="n"/>
      <c r="H267" s="117" t="n"/>
      <c r="I267" s="118" t="n"/>
      <c r="J267" s="118" t="n"/>
      <c r="K267" s="84" t="n"/>
      <c r="L267" s="84" t="n"/>
      <c r="M267" s="84" t="n"/>
      <c r="N267" s="84" t="n"/>
      <c r="O267" s="84" t="n"/>
      <c r="P267" s="84" t="n"/>
      <c r="Q267" s="84" t="n"/>
      <c r="R267" s="84" t="n"/>
      <c r="S267" s="102" t="n"/>
      <c r="T267" s="102" t="n"/>
      <c r="U267" s="102" t="n"/>
      <c r="V267" s="102" t="n"/>
      <c r="W267" s="102" t="n"/>
      <c r="X267" s="102" t="n"/>
      <c r="Y267" s="102" t="n"/>
      <c r="Z267" s="102" t="n"/>
      <c r="AA267" s="102" t="n"/>
      <c r="AB267" s="102" t="n"/>
      <c r="AC267" s="102" t="n"/>
      <c r="AD267" s="102">
        <f>IFERROR(__xludf.DUMMYFUNCTION("""COMPUTED_VALUE"""),"13 SM")</f>
        <v/>
      </c>
    </row>
    <row r="268" ht="16.5" customHeight="1" s="176">
      <c r="A268" s="122" t="inlineStr">
        <is>
          <t>Cintura Jean + Largo Jean</t>
        </is>
      </c>
      <c r="B268" s="123" t="inlineStr">
        <is>
          <t>32 x 38</t>
        </is>
      </c>
      <c r="C268" s="123" t="inlineStr">
        <is>
          <t>32W / 38L</t>
        </is>
      </c>
      <c r="D268" s="122" t="inlineStr">
        <is>
          <t>Igual formato (largo 38)</t>
        </is>
      </c>
      <c r="E268" s="183" t="n"/>
      <c r="F268" s="84" t="n"/>
      <c r="G268" s="84" t="n"/>
      <c r="H268" s="117" t="n"/>
      <c r="I268" s="118" t="n"/>
      <c r="J268" s="118" t="n"/>
      <c r="K268" s="84" t="n"/>
      <c r="L268" s="84" t="n"/>
      <c r="M268" s="84" t="n"/>
      <c r="N268" s="84" t="n"/>
      <c r="O268" s="84" t="n"/>
      <c r="P268" s="84" t="n"/>
      <c r="Q268" s="84" t="n"/>
      <c r="R268" s="84" t="n"/>
      <c r="S268" s="102" t="n"/>
      <c r="T268" s="102" t="n"/>
      <c r="U268" s="102" t="n"/>
      <c r="V268" s="102" t="n"/>
      <c r="W268" s="102" t="n"/>
      <c r="X268" s="102" t="n"/>
      <c r="Y268" s="102" t="n"/>
      <c r="Z268" s="102" t="n"/>
      <c r="AA268" s="102" t="n"/>
      <c r="AB268" s="102" t="n"/>
      <c r="AC268" s="102" t="n"/>
      <c r="AD268" s="102">
        <f>IFERROR(__xludf.DUMMYFUNCTION("""COMPUTED_VALUE"""),"13 SS")</f>
        <v/>
      </c>
    </row>
    <row r="269" ht="16.5" customHeight="1" s="176">
      <c r="A269" s="122" t="inlineStr">
        <is>
          <t>Cintura Jean + Largo Jean</t>
        </is>
      </c>
      <c r="B269" s="123" t="inlineStr">
        <is>
          <t>33 x 38</t>
        </is>
      </c>
      <c r="C269" s="123" t="inlineStr">
        <is>
          <t>33W / 38L</t>
        </is>
      </c>
      <c r="D269" s="122" t="inlineStr">
        <is>
          <t>Igual formato (largo 38)</t>
        </is>
      </c>
      <c r="E269" s="183" t="n"/>
      <c r="F269" s="84" t="n"/>
      <c r="G269" s="84" t="n"/>
      <c r="H269" s="117" t="n"/>
      <c r="I269" s="118" t="n"/>
      <c r="J269" s="118" t="n"/>
      <c r="K269" s="84" t="n"/>
      <c r="L269" s="84" t="n"/>
      <c r="M269" s="84" t="n"/>
      <c r="N269" s="84" t="n"/>
      <c r="O269" s="84" t="n"/>
      <c r="P269" s="84" t="n"/>
      <c r="Q269" s="84" t="n"/>
      <c r="R269" s="84" t="n"/>
      <c r="S269" s="102" t="n"/>
      <c r="T269" s="102" t="n"/>
      <c r="U269" s="102" t="n"/>
      <c r="V269" s="102" t="n"/>
      <c r="W269" s="102" t="n"/>
      <c r="X269" s="102" t="n"/>
      <c r="Y269" s="102" t="n"/>
      <c r="Z269" s="102" t="n"/>
      <c r="AA269" s="102" t="n"/>
      <c r="AB269" s="102" t="n"/>
      <c r="AC269" s="102" t="n"/>
      <c r="AD269" s="102">
        <f>IFERROR(__xludf.DUMMYFUNCTION("""COMPUTED_VALUE"""),"13 ST")</f>
        <v/>
      </c>
    </row>
    <row r="270" ht="16.5" customHeight="1" s="176">
      <c r="A270" s="122" t="inlineStr">
        <is>
          <t>Cintura Jean + Largo Jean</t>
        </is>
      </c>
      <c r="B270" s="123" t="inlineStr">
        <is>
          <t>34 x 38</t>
        </is>
      </c>
      <c r="C270" s="123" t="inlineStr">
        <is>
          <t>34W / 38L</t>
        </is>
      </c>
      <c r="D270" s="122" t="inlineStr">
        <is>
          <t>Igual formato (largo 38)</t>
        </is>
      </c>
      <c r="E270" s="183" t="n"/>
      <c r="F270" s="84" t="n"/>
      <c r="G270" s="84" t="n"/>
      <c r="H270" s="117" t="n"/>
      <c r="I270" s="118" t="n"/>
      <c r="J270" s="118" t="n"/>
      <c r="K270" s="84" t="n"/>
      <c r="L270" s="84" t="n"/>
      <c r="M270" s="84" t="n"/>
      <c r="N270" s="84" t="n"/>
      <c r="O270" s="84" t="n"/>
      <c r="P270" s="84" t="n"/>
      <c r="Q270" s="84" t="n"/>
      <c r="R270" s="84" t="n"/>
      <c r="S270" s="102" t="n"/>
      <c r="T270" s="102" t="n"/>
      <c r="U270" s="102" t="n"/>
      <c r="V270" s="102" t="n"/>
      <c r="W270" s="102" t="n"/>
      <c r="X270" s="102" t="n"/>
      <c r="Y270" s="102" t="n"/>
      <c r="Z270" s="102" t="n"/>
      <c r="AA270" s="102" t="n"/>
      <c r="AB270" s="102" t="n"/>
      <c r="AC270" s="102" t="n"/>
      <c r="AD270" s="102">
        <f>IFERROR(__xludf.DUMMYFUNCTION("""COMPUTED_VALUE"""),"14 D")</f>
        <v/>
      </c>
    </row>
    <row r="271" ht="16.5" customHeight="1" s="176">
      <c r="A271" s="122" t="inlineStr">
        <is>
          <t>Cintura Jean + Largo Jean</t>
        </is>
      </c>
      <c r="B271" s="123" t="inlineStr">
        <is>
          <t>35 x 38</t>
        </is>
      </c>
      <c r="C271" s="123" t="inlineStr">
        <is>
          <t>35W / 38L</t>
        </is>
      </c>
      <c r="D271" s="122" t="inlineStr">
        <is>
          <t>Igual formato (largo 38)</t>
        </is>
      </c>
      <c r="E271" s="183" t="n"/>
      <c r="F271" s="84" t="n"/>
      <c r="G271" s="84" t="n"/>
      <c r="H271" s="117" t="n"/>
      <c r="I271" s="118" t="n"/>
      <c r="J271" s="118" t="n"/>
      <c r="K271" s="84" t="n"/>
      <c r="L271" s="84" t="n"/>
      <c r="M271" s="84" t="n"/>
      <c r="N271" s="84" t="n"/>
      <c r="O271" s="84" t="n"/>
      <c r="P271" s="84" t="n"/>
      <c r="Q271" s="84" t="n"/>
      <c r="R271" s="84" t="n"/>
      <c r="S271" s="102" t="n"/>
      <c r="T271" s="102" t="n"/>
      <c r="U271" s="102" t="n"/>
      <c r="V271" s="102" t="n"/>
      <c r="W271" s="102" t="n"/>
      <c r="X271" s="102" t="n"/>
      <c r="Y271" s="102" t="n"/>
      <c r="Z271" s="102" t="n"/>
      <c r="AA271" s="102" t="n"/>
      <c r="AB271" s="102" t="n"/>
      <c r="AC271" s="102" t="n"/>
      <c r="AD271" s="102">
        <f>IFERROR(__xludf.DUMMYFUNCTION("""COMPUTED_VALUE"""),"14 EE")</f>
        <v/>
      </c>
    </row>
    <row r="272" ht="16.5" customHeight="1" s="176">
      <c r="A272" s="122" t="inlineStr">
        <is>
          <t>Cintura Jean + Largo Jean</t>
        </is>
      </c>
      <c r="B272" s="123" t="inlineStr">
        <is>
          <t>36 x 38</t>
        </is>
      </c>
      <c r="C272" s="123" t="inlineStr">
        <is>
          <t>36W / 38L</t>
        </is>
      </c>
      <c r="D272" s="122" t="inlineStr">
        <is>
          <t>Igual formato (largo 38)</t>
        </is>
      </c>
      <c r="E272" s="183" t="n"/>
      <c r="F272" s="84" t="n"/>
      <c r="G272" s="84" t="n"/>
      <c r="H272" s="117" t="n"/>
      <c r="I272" s="118" t="n"/>
      <c r="J272" s="118" t="n"/>
      <c r="K272" s="84" t="n"/>
      <c r="L272" s="84" t="n"/>
      <c r="M272" s="84" t="n"/>
      <c r="N272" s="84" t="n"/>
      <c r="O272" s="84" t="n"/>
      <c r="P272" s="84" t="n"/>
      <c r="Q272" s="84" t="n"/>
      <c r="R272" s="84" t="n"/>
      <c r="S272" s="102" t="n"/>
      <c r="T272" s="102" t="n"/>
      <c r="U272" s="102" t="n"/>
      <c r="V272" s="102" t="n"/>
      <c r="W272" s="102" t="n"/>
      <c r="X272" s="102" t="n"/>
      <c r="Y272" s="102" t="n"/>
      <c r="Z272" s="102" t="n"/>
      <c r="AA272" s="102" t="n"/>
      <c r="AB272" s="102" t="n"/>
      <c r="AC272" s="102" t="n"/>
      <c r="AD272" s="102">
        <f>IFERROR(__xludf.DUMMYFUNCTION("""COMPUTED_VALUE"""),"15 D")</f>
        <v/>
      </c>
    </row>
    <row r="273" ht="16.5" customHeight="1" s="176">
      <c r="A273" s="122" t="inlineStr">
        <is>
          <t>Cintura Jean + Largo Jean</t>
        </is>
      </c>
      <c r="B273" s="123" t="inlineStr">
        <is>
          <t>38 x 38</t>
        </is>
      </c>
      <c r="C273" s="123" t="inlineStr">
        <is>
          <t>38W / 38L</t>
        </is>
      </c>
      <c r="D273" s="122" t="inlineStr">
        <is>
          <t>Igual formato (largo 38)</t>
        </is>
      </c>
      <c r="E273" s="183" t="n"/>
      <c r="F273" s="84" t="n"/>
      <c r="G273" s="84" t="n"/>
      <c r="H273" s="117" t="n"/>
      <c r="I273" s="118" t="n"/>
      <c r="J273" s="118" t="n"/>
      <c r="K273" s="84" t="n"/>
      <c r="L273" s="84" t="n"/>
      <c r="M273" s="84" t="n"/>
      <c r="N273" s="84" t="n"/>
      <c r="O273" s="84" t="n"/>
      <c r="P273" s="84" t="n"/>
      <c r="Q273" s="84" t="n"/>
      <c r="R273" s="84" t="n"/>
      <c r="S273" s="102" t="n"/>
      <c r="T273" s="102" t="n"/>
      <c r="U273" s="102" t="n"/>
      <c r="V273" s="102" t="n"/>
      <c r="W273" s="102" t="n"/>
      <c r="X273" s="102" t="n"/>
      <c r="Y273" s="102" t="n"/>
      <c r="Z273" s="102" t="n"/>
      <c r="AA273" s="102" t="n"/>
      <c r="AB273" s="102" t="n"/>
      <c r="AC273" s="102" t="n"/>
      <c r="AD273" s="102">
        <f>IFERROR(__xludf.DUMMYFUNCTION("""COMPUTED_VALUE"""),"15 EE")</f>
        <v/>
      </c>
    </row>
    <row r="274" ht="16.5" customHeight="1" s="176">
      <c r="A274" s="122" t="inlineStr">
        <is>
          <t>Cintura Jean + Largo Jean</t>
        </is>
      </c>
      <c r="B274" s="123" t="inlineStr">
        <is>
          <t>40 x 38</t>
        </is>
      </c>
      <c r="C274" s="123" t="inlineStr">
        <is>
          <t>40W / 38L</t>
        </is>
      </c>
      <c r="D274" s="122" t="inlineStr">
        <is>
          <t>Igual formato (largo 38)</t>
        </is>
      </c>
      <c r="E274" s="183" t="n"/>
      <c r="F274" s="84" t="n"/>
      <c r="G274" s="84" t="n"/>
      <c r="H274" s="117" t="n"/>
      <c r="I274" s="118" t="n"/>
      <c r="J274" s="118" t="n"/>
      <c r="K274" s="84" t="n"/>
      <c r="L274" s="84" t="n"/>
      <c r="M274" s="84" t="n"/>
      <c r="N274" s="84" t="n"/>
      <c r="O274" s="84" t="n"/>
      <c r="P274" s="84" t="n"/>
      <c r="Q274" s="84" t="n"/>
      <c r="R274" s="84" t="n"/>
      <c r="S274" s="102" t="n"/>
      <c r="T274" s="102" t="n"/>
      <c r="U274" s="102" t="n"/>
      <c r="V274" s="102" t="n"/>
      <c r="W274" s="102" t="n"/>
      <c r="X274" s="102" t="n"/>
      <c r="Y274" s="102" t="n"/>
      <c r="Z274" s="102" t="n"/>
      <c r="AA274" s="102" t="n"/>
      <c r="AB274" s="102" t="n"/>
      <c r="AC274" s="102" t="n"/>
      <c r="AD274" s="102">
        <f>IFERROR(__xludf.DUMMYFUNCTION("""COMPUTED_VALUE"""),"16 D")</f>
        <v/>
      </c>
    </row>
    <row r="275" ht="16.5" customHeight="1" s="176">
      <c r="A275" s="122" t="inlineStr">
        <is>
          <t>Cintura Jean + Largo Jean</t>
        </is>
      </c>
      <c r="B275" s="123" t="inlineStr">
        <is>
          <t>42 x 38</t>
        </is>
      </c>
      <c r="C275" s="123" t="inlineStr">
        <is>
          <t>42W / 38L</t>
        </is>
      </c>
      <c r="D275" s="122" t="inlineStr">
        <is>
          <t>Igual formato (largo 38)</t>
        </is>
      </c>
      <c r="E275" s="183" t="n"/>
      <c r="F275" s="84" t="n"/>
      <c r="G275" s="84" t="n"/>
      <c r="H275" s="117" t="n"/>
      <c r="I275" s="118" t="n"/>
      <c r="J275" s="118" t="n"/>
      <c r="K275" s="84" t="n"/>
      <c r="L275" s="84" t="n"/>
      <c r="M275" s="84" t="n"/>
      <c r="N275" s="84" t="n"/>
      <c r="O275" s="84" t="n"/>
      <c r="P275" s="84" t="n"/>
      <c r="Q275" s="84" t="n"/>
      <c r="R275" s="84" t="n"/>
      <c r="S275" s="102" t="n"/>
      <c r="T275" s="102" t="n"/>
      <c r="U275" s="102" t="n"/>
      <c r="V275" s="102" t="n"/>
      <c r="W275" s="102" t="n"/>
      <c r="X275" s="102" t="n"/>
      <c r="Y275" s="102" t="n"/>
      <c r="Z275" s="102" t="n"/>
      <c r="AA275" s="102" t="n"/>
      <c r="AB275" s="102" t="n"/>
      <c r="AC275" s="102" t="n"/>
      <c r="AD275" s="102">
        <f>IFERROR(__xludf.DUMMYFUNCTION("""COMPUTED_VALUE"""),"16 EE")</f>
        <v/>
      </c>
    </row>
    <row r="276" ht="16.5" customHeight="1" s="176">
      <c r="A276" s="122" t="inlineStr">
        <is>
          <t>Cintura Jean + Largo Jean</t>
        </is>
      </c>
      <c r="B276" s="123" t="inlineStr">
        <is>
          <t>44 x 38</t>
        </is>
      </c>
      <c r="C276" s="123" t="inlineStr">
        <is>
          <t>44W / 38L</t>
        </is>
      </c>
      <c r="D276" s="122" t="inlineStr">
        <is>
          <t>Igual formato (largo 38)</t>
        </is>
      </c>
      <c r="E276" s="183" t="n"/>
      <c r="F276" s="84" t="n"/>
      <c r="G276" s="84" t="n"/>
      <c r="H276" s="117" t="n"/>
      <c r="I276" s="118" t="n"/>
      <c r="J276" s="118" t="n"/>
      <c r="K276" s="84" t="n"/>
      <c r="L276" s="84" t="n"/>
      <c r="M276" s="84" t="n"/>
      <c r="N276" s="84" t="n"/>
      <c r="O276" s="84" t="n"/>
      <c r="P276" s="84" t="n"/>
      <c r="Q276" s="84" t="n"/>
      <c r="R276" s="84" t="n"/>
      <c r="S276" s="102" t="n"/>
      <c r="T276" s="102" t="n"/>
      <c r="U276" s="102" t="n"/>
      <c r="V276" s="102" t="n"/>
      <c r="W276" s="102" t="n"/>
      <c r="X276" s="102" t="n"/>
      <c r="Y276" s="102" t="n"/>
      <c r="Z276" s="102" t="n"/>
      <c r="AA276" s="102" t="n"/>
      <c r="AB276" s="102" t="n"/>
      <c r="AC276" s="102" t="n"/>
      <c r="AD276" s="102">
        <f>IFERROR(__xludf.DUMMYFUNCTION("""COMPUTED_VALUE"""),"5 B")</f>
        <v/>
      </c>
    </row>
    <row r="277" ht="30" customHeight="1" s="176">
      <c r="A277" s="122" t="inlineStr">
        <is>
          <t>Talla Jean Dama (Regular)</t>
        </is>
      </c>
      <c r="B277" s="123" t="n">
        <v>3</v>
      </c>
      <c r="C277" s="123" t="n">
        <v>0</v>
      </c>
      <c r="D277" s="122" t="inlineStr">
        <is>
          <t>MX impar = US + 3. Cintura corporal ≈ 64 cm. La «R» (Regular) no se escribe: 0R → US 0 / MX 3.</t>
        </is>
      </c>
      <c r="E277" s="183" t="n"/>
      <c r="F277" s="84" t="n"/>
      <c r="G277" s="84" t="n"/>
      <c r="H277" s="117" t="n"/>
      <c r="I277" s="118" t="n"/>
      <c r="J277" s="118" t="n"/>
      <c r="K277" s="84" t="n"/>
      <c r="L277" s="84" t="n"/>
      <c r="M277" s="84" t="n"/>
      <c r="N277" s="84" t="n"/>
      <c r="O277" s="84" t="n"/>
      <c r="P277" s="84" t="n"/>
      <c r="Q277" s="84" t="n"/>
      <c r="R277" s="84" t="n"/>
      <c r="S277" s="102" t="n"/>
      <c r="T277" s="102" t="n"/>
      <c r="U277" s="102" t="n"/>
      <c r="V277" s="102" t="n"/>
      <c r="W277" s="102" t="n"/>
      <c r="X277" s="102" t="n"/>
      <c r="Y277" s="102" t="n"/>
      <c r="Z277" s="102" t="n"/>
      <c r="AA277" s="102" t="n"/>
      <c r="AB277" s="102" t="n"/>
      <c r="AC277" s="102" t="n"/>
      <c r="AD277" s="102">
        <f>IFERROR(__xludf.DUMMYFUNCTION("""COMPUTED_VALUE"""),"5.5 B")</f>
        <v/>
      </c>
    </row>
    <row r="278" ht="16.5" customHeight="1" s="176">
      <c r="A278" s="122" t="inlineStr">
        <is>
          <t>Talla Jean Dama (Regular)</t>
        </is>
      </c>
      <c r="B278" s="123" t="n">
        <v>5</v>
      </c>
      <c r="C278" s="123" t="n">
        <v>2</v>
      </c>
      <c r="D278" s="122" t="inlineStr">
        <is>
          <t>Cintura corporal ≈ 68 cm.</t>
        </is>
      </c>
      <c r="E278" s="183" t="n"/>
      <c r="F278" s="84" t="n"/>
      <c r="G278" s="84" t="n"/>
      <c r="H278" s="117" t="n"/>
      <c r="I278" s="118" t="n"/>
      <c r="J278" s="118" t="n"/>
      <c r="K278" s="84" t="n"/>
      <c r="L278" s="84" t="n"/>
      <c r="M278" s="84" t="n"/>
      <c r="N278" s="84" t="n"/>
      <c r="O278" s="84" t="n"/>
      <c r="P278" s="84" t="n"/>
      <c r="Q278" s="84" t="n"/>
      <c r="R278" s="84" t="n"/>
      <c r="S278" s="102" t="n"/>
      <c r="T278" s="102" t="n"/>
      <c r="U278" s="102" t="n"/>
      <c r="V278" s="102" t="n"/>
      <c r="W278" s="102" t="n"/>
      <c r="X278" s="102" t="n"/>
      <c r="Y278" s="102" t="n"/>
      <c r="Z278" s="102" t="n"/>
      <c r="AA278" s="102" t="n"/>
      <c r="AB278" s="102" t="n"/>
      <c r="AC278" s="102" t="n"/>
      <c r="AD278" s="102">
        <f>IFERROR(__xludf.DUMMYFUNCTION("""COMPUTED_VALUE"""),"5.5 FS")</f>
        <v/>
      </c>
    </row>
    <row r="279" ht="16.5" customHeight="1" s="176">
      <c r="A279" s="122" t="inlineStr">
        <is>
          <t>Talla Jean Dama (Regular)</t>
        </is>
      </c>
      <c r="B279" s="123" t="n">
        <v>7</v>
      </c>
      <c r="C279" s="123" t="n">
        <v>4</v>
      </c>
      <c r="D279" s="122" t="inlineStr">
        <is>
          <t>Cintura corporal ≈ 72 cm.</t>
        </is>
      </c>
      <c r="E279" s="183" t="n"/>
      <c r="F279" s="84" t="n"/>
      <c r="G279" s="84" t="n"/>
      <c r="H279" s="117" t="n"/>
      <c r="I279" s="118" t="n"/>
      <c r="J279" s="118" t="n"/>
      <c r="K279" s="84" t="n"/>
      <c r="L279" s="84" t="n"/>
      <c r="M279" s="84" t="n"/>
      <c r="N279" s="84" t="n"/>
      <c r="O279" s="84" t="n"/>
      <c r="P279" s="84" t="n"/>
      <c r="Q279" s="84" t="n"/>
      <c r="R279" s="84" t="n"/>
      <c r="S279" s="102" t="n"/>
      <c r="T279" s="102" t="n"/>
      <c r="U279" s="102" t="n"/>
      <c r="V279" s="102" t="n"/>
      <c r="W279" s="102" t="n"/>
      <c r="X279" s="102" t="n"/>
      <c r="Y279" s="102" t="n"/>
      <c r="Z279" s="102" t="n"/>
      <c r="AA279" s="102" t="n"/>
      <c r="AB279" s="102" t="n"/>
      <c r="AC279" s="102" t="n"/>
      <c r="AD279" s="102">
        <f>IFERROR(__xludf.DUMMYFUNCTION("""COMPUTED_VALUE"""),"5.5 RM")</f>
        <v/>
      </c>
    </row>
    <row r="280" ht="16.5" customHeight="1" s="176">
      <c r="A280" s="122" t="inlineStr">
        <is>
          <t>Talla Jean Dama (Regular)</t>
        </is>
      </c>
      <c r="B280" s="123" t="n">
        <v>9</v>
      </c>
      <c r="C280" s="123" t="n">
        <v>6</v>
      </c>
      <c r="D280" s="122" t="inlineStr">
        <is>
          <t>Cintura corporal ≈ 76 cm.</t>
        </is>
      </c>
      <c r="E280" s="183" t="n"/>
      <c r="F280" s="84" t="n"/>
      <c r="G280" s="84" t="n"/>
      <c r="H280" s="117" t="n"/>
      <c r="I280" s="118" t="n"/>
      <c r="J280" s="118" t="n"/>
      <c r="K280" s="84" t="n"/>
      <c r="L280" s="84" t="n"/>
      <c r="M280" s="84" t="n"/>
      <c r="N280" s="84" t="n"/>
      <c r="O280" s="84" t="n"/>
      <c r="P280" s="84" t="n"/>
      <c r="Q280" s="84" t="n"/>
      <c r="R280" s="84" t="n"/>
      <c r="S280" s="102" t="n"/>
      <c r="T280" s="102" t="n"/>
      <c r="U280" s="102" t="n"/>
      <c r="V280" s="102" t="n"/>
      <c r="W280" s="102" t="n"/>
      <c r="X280" s="102" t="n"/>
      <c r="Y280" s="102" t="n"/>
      <c r="Z280" s="102" t="n"/>
      <c r="AA280" s="102" t="n"/>
      <c r="AB280" s="102" t="n"/>
      <c r="AC280" s="102" t="n"/>
      <c r="AD280" s="102">
        <f>IFERROR(__xludf.DUMMYFUNCTION("""COMPUTED_VALUE"""),"5.5 RS")</f>
        <v/>
      </c>
    </row>
    <row r="281" ht="16.5" customHeight="1" s="176">
      <c r="A281" s="122" t="inlineStr">
        <is>
          <t>Talla Jean Dama (Regular)</t>
        </is>
      </c>
      <c r="B281" s="123" t="n">
        <v>11</v>
      </c>
      <c r="C281" s="123" t="n">
        <v>8</v>
      </c>
      <c r="D281" s="122" t="inlineStr">
        <is>
          <t>Cintura corporal ≈ 80 cm.</t>
        </is>
      </c>
      <c r="E281" s="183" t="n"/>
      <c r="F281" s="84" t="n"/>
      <c r="G281" s="84" t="n"/>
      <c r="H281" s="117" t="n"/>
      <c r="I281" s="118" t="n"/>
      <c r="J281" s="118" t="n"/>
      <c r="K281" s="84" t="n"/>
      <c r="L281" s="84" t="n"/>
      <c r="M281" s="84" t="n"/>
      <c r="N281" s="84" t="n"/>
      <c r="O281" s="84" t="n"/>
      <c r="P281" s="84" t="n"/>
      <c r="Q281" s="84" t="n"/>
      <c r="R281" s="84" t="n"/>
      <c r="S281" s="102" t="n"/>
      <c r="T281" s="102" t="n"/>
      <c r="U281" s="102" t="n"/>
      <c r="V281" s="102" t="n"/>
      <c r="W281" s="102" t="n"/>
      <c r="X281" s="102" t="n"/>
      <c r="Y281" s="102" t="n"/>
      <c r="Z281" s="102" t="n"/>
      <c r="AA281" s="102" t="n"/>
      <c r="AB281" s="102" t="n"/>
      <c r="AC281" s="102" t="n"/>
      <c r="AD281" s="102">
        <f>IFERROR(__xludf.DUMMYFUNCTION("""COMPUTED_VALUE"""),"5.5 SM")</f>
        <v/>
      </c>
    </row>
    <row r="282" ht="16.5" customHeight="1" s="176">
      <c r="A282" s="122" t="inlineStr">
        <is>
          <t>Talla Jean Dama (Regular)</t>
        </is>
      </c>
      <c r="B282" s="123" t="n">
        <v>13</v>
      </c>
      <c r="C282" s="123" t="n">
        <v>10</v>
      </c>
      <c r="D282" s="122" t="inlineStr">
        <is>
          <t>Cintura corporal ≈ 84 cm.</t>
        </is>
      </c>
      <c r="E282" s="183" t="n"/>
      <c r="F282" s="84" t="n"/>
      <c r="G282" s="84" t="n"/>
      <c r="H282" s="117" t="n"/>
      <c r="I282" s="118" t="n"/>
      <c r="J282" s="118" t="n"/>
      <c r="K282" s="84" t="n"/>
      <c r="L282" s="84" t="n"/>
      <c r="M282" s="84" t="n"/>
      <c r="N282" s="84" t="n"/>
      <c r="O282" s="84" t="n"/>
      <c r="P282" s="84" t="n"/>
      <c r="Q282" s="84" t="n"/>
      <c r="R282" s="84" t="n"/>
      <c r="S282" s="102" t="n"/>
      <c r="T282" s="102" t="n"/>
      <c r="U282" s="102" t="n"/>
      <c r="V282" s="102" t="n"/>
      <c r="W282" s="102" t="n"/>
      <c r="X282" s="102" t="n"/>
      <c r="Y282" s="102" t="n"/>
      <c r="Z282" s="102" t="n"/>
      <c r="AA282" s="102" t="n"/>
      <c r="AB282" s="102" t="n"/>
      <c r="AC282" s="102" t="n"/>
      <c r="AD282" s="102">
        <f>IFERROR(__xludf.DUMMYFUNCTION("""COMPUTED_VALUE"""),"5.5 SS")</f>
        <v/>
      </c>
    </row>
    <row r="283" ht="16.5" customHeight="1" s="176">
      <c r="A283" s="122" t="inlineStr">
        <is>
          <t>Talla Jean Dama (Regular)</t>
        </is>
      </c>
      <c r="B283" s="123" t="n">
        <v>15</v>
      </c>
      <c r="C283" s="123" t="n">
        <v>12</v>
      </c>
      <c r="D283" s="122" t="inlineStr">
        <is>
          <t>Cintura corporal ≈ 88 cm.</t>
        </is>
      </c>
      <c r="E283" s="183" t="n"/>
      <c r="F283" s="84" t="n"/>
      <c r="G283" s="84" t="n"/>
      <c r="H283" s="117" t="n"/>
      <c r="I283" s="118" t="n"/>
      <c r="J283" s="118" t="n"/>
      <c r="K283" s="84" t="n"/>
      <c r="L283" s="84" t="n"/>
      <c r="M283" s="84" t="n"/>
      <c r="N283" s="84" t="n"/>
      <c r="O283" s="84" t="n"/>
      <c r="P283" s="84" t="n"/>
      <c r="Q283" s="84" t="n"/>
      <c r="R283" s="84" t="n"/>
      <c r="S283" s="102" t="n"/>
      <c r="T283" s="102" t="n"/>
      <c r="U283" s="102" t="n"/>
      <c r="V283" s="102" t="n"/>
      <c r="W283" s="102" t="n"/>
      <c r="X283" s="102" t="n"/>
      <c r="Y283" s="102" t="n"/>
      <c r="Z283" s="102" t="n"/>
      <c r="AA283" s="102" t="n"/>
      <c r="AB283" s="102" t="n"/>
      <c r="AC283" s="102" t="n"/>
      <c r="AD283" s="102">
        <f>IFERROR(__xludf.DUMMYFUNCTION("""COMPUTED_VALUE"""),"5.5 WS")</f>
        <v/>
      </c>
    </row>
    <row r="284" ht="16.5" customHeight="1" s="176">
      <c r="A284" s="122" t="inlineStr">
        <is>
          <t>Talla Jean Dama (Regular)</t>
        </is>
      </c>
      <c r="B284" s="123" t="n">
        <v>17</v>
      </c>
      <c r="C284" s="123" t="n">
        <v>14</v>
      </c>
      <c r="D284" s="122" t="inlineStr">
        <is>
          <t>Cintura corporal ≈ 92 cm.</t>
        </is>
      </c>
      <c r="E284" s="183" t="n"/>
      <c r="F284" s="84" t="n"/>
      <c r="G284" s="84" t="n"/>
      <c r="H284" s="117" t="n"/>
      <c r="I284" s="118" t="n"/>
      <c r="J284" s="118" t="n"/>
      <c r="K284" s="84" t="n"/>
      <c r="L284" s="84" t="n"/>
      <c r="M284" s="84" t="n"/>
      <c r="N284" s="84" t="n"/>
      <c r="O284" s="84" t="n"/>
      <c r="P284" s="84" t="n"/>
      <c r="Q284" s="84" t="n"/>
      <c r="R284" s="84" t="n"/>
      <c r="S284" s="102" t="n"/>
      <c r="T284" s="102" t="n"/>
      <c r="U284" s="102" t="n"/>
      <c r="V284" s="102" t="n"/>
      <c r="W284" s="102" t="n"/>
      <c r="X284" s="102" t="n"/>
      <c r="Y284" s="102" t="n"/>
      <c r="Z284" s="102" t="n"/>
      <c r="AA284" s="102" t="n"/>
      <c r="AB284" s="102" t="n"/>
      <c r="AC284" s="102" t="n"/>
      <c r="AD284" s="102">
        <f>IFERROR(__xludf.DUMMYFUNCTION("""COMPUTED_VALUE"""),"5.5 XSM")</f>
        <v/>
      </c>
    </row>
    <row r="285" ht="16.5" customHeight="1" s="176">
      <c r="A285" s="122" t="inlineStr">
        <is>
          <t>Talla Jean Dama (Regular)</t>
        </is>
      </c>
      <c r="B285" s="123" t="n">
        <v>19</v>
      </c>
      <c r="C285" s="123" t="n">
        <v>16</v>
      </c>
      <c r="D285" s="122" t="inlineStr">
        <is>
          <t>Cintura corporal ≈ 96 cm.</t>
        </is>
      </c>
      <c r="E285" s="183" t="n"/>
      <c r="F285" s="84" t="n"/>
      <c r="G285" s="84" t="n"/>
      <c r="H285" s="117" t="n"/>
      <c r="I285" s="118" t="n"/>
      <c r="J285" s="118" t="n"/>
      <c r="K285" s="84" t="n"/>
      <c r="L285" s="84" t="n"/>
      <c r="M285" s="84" t="n"/>
      <c r="N285" s="84" t="n"/>
      <c r="O285" s="84" t="n"/>
      <c r="P285" s="84" t="n"/>
      <c r="Q285" s="84" t="n"/>
      <c r="R285" s="84" t="n"/>
      <c r="S285" s="102" t="n"/>
      <c r="T285" s="102" t="n"/>
      <c r="U285" s="102" t="n"/>
      <c r="V285" s="102" t="n"/>
      <c r="W285" s="102" t="n"/>
      <c r="X285" s="102" t="n"/>
      <c r="Y285" s="102" t="n"/>
      <c r="Z285" s="102" t="n"/>
      <c r="AA285" s="102" t="n"/>
      <c r="AB285" s="102" t="n"/>
      <c r="AC285" s="102" t="n"/>
      <c r="AD285" s="102">
        <f>IFERROR(__xludf.DUMMYFUNCTION("""COMPUTED_VALUE"""),"6 B")</f>
        <v/>
      </c>
    </row>
    <row r="286" ht="30" customHeight="1" s="176">
      <c r="A286" s="122" t="inlineStr">
        <is>
          <t>Talla Jean Dama (Largo)</t>
        </is>
      </c>
      <c r="B286" s="123" t="inlineStr">
        <is>
          <t>3 Largo</t>
        </is>
      </c>
      <c r="C286" s="123" t="inlineStr">
        <is>
          <t>0 Long</t>
        </is>
      </c>
      <c r="D286" s="122" t="inlineStr">
        <is>
          <t>Mismas tallas con entrepierna larga (≈34 in vs 32 in Regular). 4L → MX «7 Largo» / US «4 Long».</t>
        </is>
      </c>
      <c r="E286" s="183" t="n"/>
      <c r="F286" s="84" t="n"/>
      <c r="G286" s="84" t="n"/>
      <c r="H286" s="117" t="n"/>
      <c r="I286" s="118" t="n"/>
      <c r="J286" s="118" t="n"/>
      <c r="K286" s="84" t="n"/>
      <c r="L286" s="84" t="n"/>
      <c r="M286" s="84" t="n"/>
      <c r="N286" s="84" t="n"/>
      <c r="O286" s="84" t="n"/>
      <c r="P286" s="84" t="n"/>
      <c r="Q286" s="84" t="n"/>
      <c r="R286" s="84" t="n"/>
      <c r="S286" s="102" t="n"/>
      <c r="T286" s="102" t="n"/>
      <c r="U286" s="102" t="n"/>
      <c r="V286" s="102" t="n"/>
      <c r="W286" s="102" t="n"/>
      <c r="X286" s="102" t="n"/>
      <c r="Y286" s="102" t="n"/>
      <c r="Z286" s="102" t="n"/>
      <c r="AA286" s="102" t="n"/>
      <c r="AB286" s="102" t="n"/>
      <c r="AC286" s="102" t="n"/>
      <c r="AD286" s="102">
        <f>IFERROR(__xludf.DUMMYFUNCTION("""COMPUTED_VALUE"""),"6 C")</f>
        <v/>
      </c>
    </row>
    <row r="287" ht="16.5" customHeight="1" s="176">
      <c r="A287" s="122" t="inlineStr">
        <is>
          <t>Talla Jean Dama (Largo)</t>
        </is>
      </c>
      <c r="B287" s="123" t="inlineStr">
        <is>
          <t>5 Largo</t>
        </is>
      </c>
      <c r="C287" s="123" t="inlineStr">
        <is>
          <t>2 Long</t>
        </is>
      </c>
      <c r="D287" s="122" t="inlineStr">
        <is>
          <t>Igual regla</t>
        </is>
      </c>
      <c r="E287" s="183" t="n"/>
      <c r="F287" s="84" t="n"/>
      <c r="G287" s="84" t="n"/>
      <c r="H287" s="117" t="n"/>
      <c r="I287" s="118" t="n"/>
      <c r="J287" s="118" t="n"/>
      <c r="K287" s="84" t="n"/>
      <c r="L287" s="84" t="n"/>
      <c r="M287" s="84" t="n"/>
      <c r="N287" s="84" t="n"/>
      <c r="O287" s="84" t="n"/>
      <c r="P287" s="84" t="n"/>
      <c r="Q287" s="84" t="n"/>
      <c r="R287" s="84" t="n"/>
      <c r="S287" s="102" t="n"/>
      <c r="T287" s="102" t="n"/>
      <c r="U287" s="102" t="n"/>
      <c r="V287" s="102" t="n"/>
      <c r="W287" s="102" t="n"/>
      <c r="X287" s="102" t="n"/>
      <c r="Y287" s="102" t="n"/>
      <c r="Z287" s="102" t="n"/>
      <c r="AA287" s="102" t="n"/>
      <c r="AB287" s="102" t="n"/>
      <c r="AC287" s="102" t="n"/>
      <c r="AD287" s="102">
        <f>IFERROR(__xludf.DUMMYFUNCTION("""COMPUTED_VALUE"""),"6 FS")</f>
        <v/>
      </c>
    </row>
    <row r="288" ht="16.5" customHeight="1" s="176">
      <c r="A288" s="122" t="inlineStr">
        <is>
          <t>Talla Jean Dama (Largo)</t>
        </is>
      </c>
      <c r="B288" s="123" t="inlineStr">
        <is>
          <t>7 Largo</t>
        </is>
      </c>
      <c r="C288" s="123" t="inlineStr">
        <is>
          <t>4 Long</t>
        </is>
      </c>
      <c r="D288" s="122" t="inlineStr">
        <is>
          <t>Igual regla</t>
        </is>
      </c>
      <c r="E288" s="183" t="n"/>
      <c r="F288" s="84" t="n"/>
      <c r="G288" s="84" t="n"/>
      <c r="H288" s="117" t="n"/>
      <c r="I288" s="118" t="n"/>
      <c r="J288" s="118" t="n"/>
      <c r="K288" s="84" t="n"/>
      <c r="L288" s="84" t="n"/>
      <c r="M288" s="84" t="n"/>
      <c r="N288" s="84" t="n"/>
      <c r="O288" s="84" t="n"/>
      <c r="P288" s="84" t="n"/>
      <c r="Q288" s="84" t="n"/>
      <c r="R288" s="84" t="n"/>
      <c r="S288" s="102" t="n"/>
      <c r="T288" s="102" t="n"/>
      <c r="U288" s="102" t="n"/>
      <c r="V288" s="102" t="n"/>
      <c r="W288" s="102" t="n"/>
      <c r="X288" s="102" t="n"/>
      <c r="Y288" s="102" t="n"/>
      <c r="Z288" s="102" t="n"/>
      <c r="AA288" s="102" t="n"/>
      <c r="AB288" s="102" t="n"/>
      <c r="AC288" s="102" t="n"/>
      <c r="AD288" s="102">
        <f>IFERROR(__xludf.DUMMYFUNCTION("""COMPUTED_VALUE"""),"6 RM")</f>
        <v/>
      </c>
    </row>
    <row r="289" ht="16.5" customHeight="1" s="176">
      <c r="A289" s="122" t="inlineStr">
        <is>
          <t>Talla Jean Dama (Largo)</t>
        </is>
      </c>
      <c r="B289" s="123" t="inlineStr">
        <is>
          <t>9 Largo</t>
        </is>
      </c>
      <c r="C289" s="123" t="inlineStr">
        <is>
          <t>6 Long</t>
        </is>
      </c>
      <c r="D289" s="122" t="inlineStr">
        <is>
          <t>Igual regla</t>
        </is>
      </c>
      <c r="E289" s="183" t="n"/>
      <c r="F289" s="84" t="n"/>
      <c r="G289" s="84" t="n"/>
      <c r="H289" s="117" t="n"/>
      <c r="I289" s="118" t="n"/>
      <c r="J289" s="118" t="n"/>
      <c r="K289" s="84" t="n"/>
      <c r="L289" s="84" t="n"/>
      <c r="M289" s="84" t="n"/>
      <c r="N289" s="84" t="n"/>
      <c r="O289" s="84" t="n"/>
      <c r="P289" s="84" t="n"/>
      <c r="Q289" s="84" t="n"/>
      <c r="R289" s="84" t="n"/>
      <c r="S289" s="102" t="n"/>
      <c r="T289" s="102" t="n"/>
      <c r="U289" s="102" t="n"/>
      <c r="V289" s="102" t="n"/>
      <c r="W289" s="102" t="n"/>
      <c r="X289" s="102" t="n"/>
      <c r="Y289" s="102" t="n"/>
      <c r="Z289" s="102" t="n"/>
      <c r="AA289" s="102" t="n"/>
      <c r="AB289" s="102" t="n"/>
      <c r="AC289" s="102" t="n"/>
      <c r="AD289" s="102">
        <f>IFERROR(__xludf.DUMMYFUNCTION("""COMPUTED_VALUE"""),"6 RS")</f>
        <v/>
      </c>
    </row>
    <row r="290" ht="16.5" customHeight="1" s="176">
      <c r="A290" s="122" t="inlineStr">
        <is>
          <t>Talla Jean Dama (Largo)</t>
        </is>
      </c>
      <c r="B290" s="123" t="inlineStr">
        <is>
          <t>11 Largo</t>
        </is>
      </c>
      <c r="C290" s="123" t="inlineStr">
        <is>
          <t>8 Long</t>
        </is>
      </c>
      <c r="D290" s="122" t="inlineStr">
        <is>
          <t>Igual regla</t>
        </is>
      </c>
      <c r="E290" s="183" t="n"/>
      <c r="F290" s="84" t="n"/>
      <c r="G290" s="84" t="n"/>
      <c r="H290" s="117" t="n"/>
      <c r="I290" s="118" t="n"/>
      <c r="J290" s="118" t="n"/>
      <c r="K290" s="84" t="n"/>
      <c r="L290" s="84" t="n"/>
      <c r="M290" s="84" t="n"/>
      <c r="N290" s="84" t="n"/>
      <c r="O290" s="84" t="n"/>
      <c r="P290" s="84" t="n"/>
      <c r="Q290" s="84" t="n"/>
      <c r="R290" s="84" t="n"/>
      <c r="S290" s="102" t="n"/>
      <c r="T290" s="102" t="n"/>
      <c r="U290" s="102" t="n"/>
      <c r="V290" s="102" t="n"/>
      <c r="W290" s="102" t="n"/>
      <c r="X290" s="102" t="n"/>
      <c r="Y290" s="102" t="n"/>
      <c r="Z290" s="102" t="n"/>
      <c r="AA290" s="102" t="n"/>
      <c r="AB290" s="102" t="n"/>
      <c r="AC290" s="102" t="n"/>
      <c r="AD290" s="102">
        <f>IFERROR(__xludf.DUMMYFUNCTION("""COMPUTED_VALUE"""),"6 SM")</f>
        <v/>
      </c>
    </row>
    <row r="291" ht="16.5" customHeight="1" s="176">
      <c r="A291" s="122" t="inlineStr">
        <is>
          <t>Talla Jean Dama (Largo)</t>
        </is>
      </c>
      <c r="B291" s="123" t="inlineStr">
        <is>
          <t>13 Largo</t>
        </is>
      </c>
      <c r="C291" s="123" t="inlineStr">
        <is>
          <t>10 Long</t>
        </is>
      </c>
      <c r="D291" s="122" t="inlineStr">
        <is>
          <t>Igual regla</t>
        </is>
      </c>
      <c r="E291" s="183" t="n"/>
      <c r="F291" s="84" t="n"/>
      <c r="G291" s="84" t="n"/>
      <c r="H291" s="117" t="n"/>
      <c r="I291" s="118" t="n"/>
      <c r="J291" s="118" t="n"/>
      <c r="K291" s="84" t="n"/>
      <c r="L291" s="84" t="n"/>
      <c r="M291" s="84" t="n"/>
      <c r="N291" s="84" t="n"/>
      <c r="O291" s="84" t="n"/>
      <c r="P291" s="84" t="n"/>
      <c r="Q291" s="84" t="n"/>
      <c r="R291" s="84" t="n"/>
      <c r="S291" s="102" t="n"/>
      <c r="T291" s="102" t="n"/>
      <c r="U291" s="102" t="n"/>
      <c r="V291" s="102" t="n"/>
      <c r="W291" s="102" t="n"/>
      <c r="X291" s="102" t="n"/>
      <c r="Y291" s="102" t="n"/>
      <c r="Z291" s="102" t="n"/>
      <c r="AA291" s="102" t="n"/>
      <c r="AB291" s="102" t="n"/>
      <c r="AC291" s="102" t="n"/>
      <c r="AD291" s="102">
        <f>IFERROR(__xludf.DUMMYFUNCTION("""COMPUTED_VALUE"""),"6 SS")</f>
        <v/>
      </c>
    </row>
    <row r="292" ht="16.5" customHeight="1" s="176">
      <c r="A292" s="122" t="inlineStr">
        <is>
          <t>Talla Jean Dama (Largo)</t>
        </is>
      </c>
      <c r="B292" s="123" t="inlineStr">
        <is>
          <t>15 Largo</t>
        </is>
      </c>
      <c r="C292" s="123" t="inlineStr">
        <is>
          <t>12 Long</t>
        </is>
      </c>
      <c r="D292" s="122" t="inlineStr">
        <is>
          <t>Igual regla</t>
        </is>
      </c>
      <c r="E292" s="183" t="n"/>
      <c r="F292" s="84" t="n"/>
      <c r="G292" s="84" t="n"/>
      <c r="H292" s="117" t="n"/>
      <c r="I292" s="118" t="n"/>
      <c r="J292" s="118" t="n"/>
      <c r="K292" s="84" t="n"/>
      <c r="L292" s="84" t="n"/>
      <c r="M292" s="84" t="n"/>
      <c r="N292" s="84" t="n"/>
      <c r="O292" s="84" t="n"/>
      <c r="P292" s="84" t="n"/>
      <c r="Q292" s="84" t="n"/>
      <c r="R292" s="84" t="n"/>
      <c r="S292" s="102" t="n"/>
      <c r="T292" s="102" t="n"/>
      <c r="U292" s="102" t="n"/>
      <c r="V292" s="102" t="n"/>
      <c r="W292" s="102" t="n"/>
      <c r="X292" s="102" t="n"/>
      <c r="Y292" s="102" t="n"/>
      <c r="Z292" s="102" t="n"/>
      <c r="AA292" s="102" t="n"/>
      <c r="AB292" s="102" t="n"/>
      <c r="AC292" s="102" t="n"/>
      <c r="AD292" s="102">
        <f>IFERROR(__xludf.DUMMYFUNCTION("""COMPUTED_VALUE"""),"6 ST")</f>
        <v/>
      </c>
    </row>
    <row r="293" ht="16.5" customHeight="1" s="176">
      <c r="A293" s="122" t="inlineStr">
        <is>
          <t>Talla Jean Dama (Largo)</t>
        </is>
      </c>
      <c r="B293" s="123" t="inlineStr">
        <is>
          <t>17 Largo</t>
        </is>
      </c>
      <c r="C293" s="123" t="inlineStr">
        <is>
          <t>14 Long</t>
        </is>
      </c>
      <c r="D293" s="122" t="inlineStr">
        <is>
          <t>Igual regla</t>
        </is>
      </c>
      <c r="E293" s="183" t="n"/>
      <c r="F293" s="84" t="n"/>
      <c r="G293" s="84" t="n"/>
      <c r="H293" s="117" t="n"/>
      <c r="I293" s="118" t="n"/>
      <c r="J293" s="118" t="n"/>
      <c r="K293" s="84" t="n"/>
      <c r="L293" s="84" t="n"/>
      <c r="M293" s="84" t="n"/>
      <c r="N293" s="84" t="n"/>
      <c r="O293" s="84" t="n"/>
      <c r="P293" s="84" t="n"/>
      <c r="Q293" s="84" t="n"/>
      <c r="R293" s="84" t="n"/>
      <c r="S293" s="102" t="n"/>
      <c r="T293" s="102" t="n"/>
      <c r="U293" s="102" t="n"/>
      <c r="V293" s="102" t="n"/>
      <c r="W293" s="102" t="n"/>
      <c r="X293" s="102" t="n"/>
      <c r="Y293" s="102" t="n"/>
      <c r="Z293" s="102" t="n"/>
      <c r="AA293" s="102" t="n"/>
      <c r="AB293" s="102" t="n"/>
      <c r="AC293" s="102" t="n"/>
      <c r="AD293" s="102">
        <f>IFERROR(__xludf.DUMMYFUNCTION("""COMPUTED_VALUE"""),"6 WS")</f>
        <v/>
      </c>
    </row>
    <row r="294" ht="16.5" customHeight="1" s="176">
      <c r="A294" s="122" t="inlineStr">
        <is>
          <t>Talla Jean Dama (Largo)</t>
        </is>
      </c>
      <c r="B294" s="123" t="inlineStr">
        <is>
          <t>19 Largo</t>
        </is>
      </c>
      <c r="C294" s="123" t="inlineStr">
        <is>
          <t>16 Long</t>
        </is>
      </c>
      <c r="D294" s="122" t="inlineStr">
        <is>
          <t>Igual regla</t>
        </is>
      </c>
      <c r="E294" s="183" t="n"/>
      <c r="F294" s="84" t="n"/>
      <c r="G294" s="84" t="n"/>
      <c r="H294" s="117" t="n"/>
      <c r="I294" s="118" t="n"/>
      <c r="J294" s="118" t="n"/>
      <c r="K294" s="84" t="n"/>
      <c r="L294" s="84" t="n"/>
      <c r="M294" s="84" t="n"/>
      <c r="N294" s="84" t="n"/>
      <c r="O294" s="84" t="n"/>
      <c r="P294" s="84" t="n"/>
      <c r="Q294" s="84" t="n"/>
      <c r="R294" s="84" t="n"/>
      <c r="S294" s="102" t="n"/>
      <c r="T294" s="102" t="n"/>
      <c r="U294" s="102" t="n"/>
      <c r="V294" s="102" t="n"/>
      <c r="W294" s="102" t="n"/>
      <c r="X294" s="102" t="n"/>
      <c r="Y294" s="102" t="n"/>
      <c r="Z294" s="102" t="n"/>
      <c r="AA294" s="102" t="n"/>
      <c r="AB294" s="102" t="n"/>
      <c r="AC294" s="102" t="n"/>
      <c r="AD294" s="102">
        <f>IFERROR(__xludf.DUMMYFUNCTION("""COMPUTED_VALUE"""),"6 XSM")</f>
        <v/>
      </c>
    </row>
    <row r="295" ht="16.5" customHeight="1" s="176">
      <c r="A295" s="122" t="inlineStr">
        <is>
          <t>Talla Sombrero</t>
        </is>
      </c>
      <c r="B295" s="124" t="inlineStr">
        <is>
          <t>6 3/4</t>
        </is>
      </c>
      <c r="C295" s="124" t="inlineStr">
        <is>
          <t>6 3/4</t>
        </is>
      </c>
      <c r="D295" s="122" t="inlineStr">
        <is>
          <t>Igual (fracción US) · ≈ 54 cm</t>
        </is>
      </c>
      <c r="E295" s="183" t="n"/>
      <c r="F295" s="84" t="n"/>
      <c r="G295" s="84" t="n"/>
      <c r="H295" s="117" t="n"/>
      <c r="I295" s="118" t="n"/>
      <c r="J295" s="118" t="n"/>
      <c r="K295" s="84" t="n"/>
      <c r="L295" s="84" t="n"/>
      <c r="M295" s="84" t="n"/>
      <c r="N295" s="84" t="n"/>
      <c r="O295" s="84" t="n"/>
      <c r="P295" s="84" t="n"/>
      <c r="Q295" s="84" t="n"/>
      <c r="R295" s="84" t="n"/>
      <c r="S295" s="102" t="n"/>
      <c r="T295" s="102" t="n"/>
      <c r="U295" s="102" t="n"/>
      <c r="V295" s="102" t="n"/>
      <c r="W295" s="102" t="n"/>
      <c r="X295" s="102" t="n"/>
      <c r="Y295" s="102" t="n"/>
      <c r="Z295" s="102" t="n"/>
      <c r="AA295" s="102" t="n"/>
      <c r="AB295" s="102" t="n"/>
      <c r="AC295" s="102" t="n"/>
      <c r="AD295" s="102">
        <f>IFERROR(__xludf.DUMMYFUNCTION("""COMPUTED_VALUE"""),"6.5 B")</f>
        <v/>
      </c>
    </row>
    <row r="296" ht="16.5" customHeight="1" s="176">
      <c r="A296" s="122" t="inlineStr">
        <is>
          <t>Talla Sombrero</t>
        </is>
      </c>
      <c r="B296" s="124" t="inlineStr">
        <is>
          <t>6 7/8</t>
        </is>
      </c>
      <c r="C296" s="124" t="inlineStr">
        <is>
          <t>6 7/8</t>
        </is>
      </c>
      <c r="D296" s="122" t="inlineStr">
        <is>
          <t>Igual (fracción US) · ≈ 55 cm</t>
        </is>
      </c>
      <c r="E296" s="183" t="n"/>
      <c r="F296" s="84" t="n"/>
      <c r="G296" s="84" t="n"/>
      <c r="H296" s="117" t="n"/>
      <c r="I296" s="118" t="n"/>
      <c r="J296" s="118" t="n"/>
      <c r="K296" s="84" t="n"/>
      <c r="L296" s="84" t="n"/>
      <c r="M296" s="84" t="n"/>
      <c r="N296" s="84" t="n"/>
      <c r="O296" s="84" t="n"/>
      <c r="P296" s="84" t="n"/>
      <c r="Q296" s="84" t="n"/>
      <c r="R296" s="84" t="n"/>
      <c r="S296" s="102" t="n"/>
      <c r="T296" s="102" t="n"/>
      <c r="U296" s="102" t="n"/>
      <c r="V296" s="102" t="n"/>
      <c r="W296" s="102" t="n"/>
      <c r="X296" s="102" t="n"/>
      <c r="Y296" s="102" t="n"/>
      <c r="Z296" s="102" t="n"/>
      <c r="AA296" s="102" t="n"/>
      <c r="AB296" s="102" t="n"/>
      <c r="AC296" s="102" t="n"/>
      <c r="AD296" s="102">
        <f>IFERROR(__xludf.DUMMYFUNCTION("""COMPUTED_VALUE"""),"6.5 C")</f>
        <v/>
      </c>
    </row>
    <row r="297" ht="16.5" customHeight="1" s="176">
      <c r="A297" s="122" t="inlineStr">
        <is>
          <t>Talla Sombrero</t>
        </is>
      </c>
      <c r="B297" s="123" t="n">
        <v>7</v>
      </c>
      <c r="C297" s="123" t="n">
        <v>7</v>
      </c>
      <c r="D297" s="122" t="inlineStr">
        <is>
          <t>Igual (fracción US) · ≈ 56 cm</t>
        </is>
      </c>
      <c r="E297" s="183" t="n"/>
      <c r="F297" s="84" t="n"/>
      <c r="G297" s="84" t="n"/>
      <c r="H297" s="117" t="n"/>
      <c r="I297" s="118" t="n"/>
      <c r="J297" s="118" t="n"/>
      <c r="K297" s="84" t="n"/>
      <c r="L297" s="84" t="n"/>
      <c r="M297" s="84" t="n"/>
      <c r="N297" s="84" t="n"/>
      <c r="O297" s="84" t="n"/>
      <c r="P297" s="84" t="n"/>
      <c r="Q297" s="84" t="n"/>
      <c r="R297" s="84" t="n"/>
      <c r="S297" s="102" t="n"/>
      <c r="T297" s="102" t="n"/>
      <c r="U297" s="102" t="n"/>
      <c r="V297" s="102" t="n"/>
      <c r="W297" s="102" t="n"/>
      <c r="X297" s="102" t="n"/>
      <c r="Y297" s="102" t="n"/>
      <c r="Z297" s="102" t="n"/>
      <c r="AA297" s="102" t="n"/>
      <c r="AB297" s="102" t="n"/>
      <c r="AC297" s="102" t="n"/>
      <c r="AD297" s="102">
        <f>IFERROR(__xludf.DUMMYFUNCTION("""COMPUTED_VALUE"""),"6.5 FM")</f>
        <v/>
      </c>
    </row>
    <row r="298" ht="16.5" customHeight="1" s="176">
      <c r="A298" s="122" t="inlineStr">
        <is>
          <t>Talla Sombrero</t>
        </is>
      </c>
      <c r="B298" s="124" t="inlineStr">
        <is>
          <t>7 1/8</t>
        </is>
      </c>
      <c r="C298" s="124" t="inlineStr">
        <is>
          <t>7 1/8</t>
        </is>
      </c>
      <c r="D298" s="122" t="inlineStr">
        <is>
          <t>Igual (fracción US) · ≈ 57 cm</t>
        </is>
      </c>
      <c r="E298" s="183" t="n"/>
      <c r="F298" s="84" t="n"/>
      <c r="G298" s="84" t="n"/>
      <c r="H298" s="117" t="n"/>
      <c r="I298" s="118" t="n"/>
      <c r="J298" s="118" t="n"/>
      <c r="K298" s="84" t="n"/>
      <c r="L298" s="84" t="n"/>
      <c r="M298" s="84" t="n"/>
      <c r="N298" s="84" t="n"/>
      <c r="O298" s="84" t="n"/>
      <c r="P298" s="84" t="n"/>
      <c r="Q298" s="84" t="n"/>
      <c r="R298" s="84" t="n"/>
      <c r="S298" s="102" t="n"/>
      <c r="T298" s="102" t="n"/>
      <c r="U298" s="102" t="n"/>
      <c r="V298" s="102" t="n"/>
      <c r="W298" s="102" t="n"/>
      <c r="X298" s="102" t="n"/>
      <c r="Y298" s="102" t="n"/>
      <c r="Z298" s="102" t="n"/>
      <c r="AA298" s="102" t="n"/>
      <c r="AB298" s="102" t="n"/>
      <c r="AC298" s="102" t="n"/>
      <c r="AD298" s="102">
        <f>IFERROR(__xludf.DUMMYFUNCTION("""COMPUTED_VALUE"""),"6.5 FS")</f>
        <v/>
      </c>
    </row>
    <row r="299" ht="16.5" customHeight="1" s="176">
      <c r="A299" s="122" t="inlineStr">
        <is>
          <t>Talla Sombrero</t>
        </is>
      </c>
      <c r="B299" s="124" t="inlineStr">
        <is>
          <t>7 1/4</t>
        </is>
      </c>
      <c r="C299" s="124" t="inlineStr">
        <is>
          <t>7 1/4</t>
        </is>
      </c>
      <c r="D299" s="122" t="inlineStr">
        <is>
          <t>Igual (fracción US) · ≈ 58 cm</t>
        </is>
      </c>
      <c r="E299" s="183" t="n"/>
      <c r="F299" s="84" t="n"/>
      <c r="G299" s="84" t="n"/>
      <c r="H299" s="117" t="n"/>
      <c r="I299" s="118" t="n"/>
      <c r="J299" s="118" t="n"/>
      <c r="K299" s="84" t="n"/>
      <c r="L299" s="84" t="n"/>
      <c r="M299" s="84" t="n"/>
      <c r="N299" s="84" t="n"/>
      <c r="O299" s="84" t="n"/>
      <c r="P299" s="84" t="n"/>
      <c r="Q299" s="84" t="n"/>
      <c r="R299" s="84" t="n"/>
      <c r="S299" s="102" t="n"/>
      <c r="T299" s="102" t="n"/>
      <c r="U299" s="102" t="n"/>
      <c r="V299" s="102" t="n"/>
      <c r="W299" s="102" t="n"/>
      <c r="X299" s="102" t="n"/>
      <c r="Y299" s="102" t="n"/>
      <c r="Z299" s="102" t="n"/>
      <c r="AA299" s="102" t="n"/>
      <c r="AB299" s="102" t="n"/>
      <c r="AC299" s="102" t="n"/>
      <c r="AD299" s="102">
        <f>IFERROR(__xludf.DUMMYFUNCTION("""COMPUTED_VALUE"""),"6.5 RM")</f>
        <v/>
      </c>
    </row>
    <row r="300" ht="16.5" customHeight="1" s="176">
      <c r="A300" s="122" t="inlineStr">
        <is>
          <t>Talla Sombrero</t>
        </is>
      </c>
      <c r="B300" s="124" t="inlineStr">
        <is>
          <t>7 3/8</t>
        </is>
      </c>
      <c r="C300" s="124" t="inlineStr">
        <is>
          <t>7 3/8</t>
        </is>
      </c>
      <c r="D300" s="122" t="inlineStr">
        <is>
          <t>Igual (fracción US) · ≈ 59 cm</t>
        </is>
      </c>
      <c r="E300" s="183" t="n"/>
      <c r="F300" s="84" t="n"/>
      <c r="G300" s="84" t="n"/>
      <c r="H300" s="117" t="n"/>
      <c r="I300" s="118" t="n"/>
      <c r="J300" s="118" t="n"/>
      <c r="K300" s="84" t="n"/>
      <c r="L300" s="84" t="n"/>
      <c r="M300" s="84" t="n"/>
      <c r="N300" s="84" t="n"/>
      <c r="O300" s="84" t="n"/>
      <c r="P300" s="84" t="n"/>
      <c r="Q300" s="84" t="n"/>
      <c r="R300" s="84" t="n"/>
      <c r="S300" s="102" t="n"/>
      <c r="T300" s="102" t="n"/>
      <c r="U300" s="102" t="n"/>
      <c r="V300" s="102" t="n"/>
      <c r="W300" s="102" t="n"/>
      <c r="X300" s="102" t="n"/>
      <c r="Y300" s="102" t="n"/>
      <c r="Z300" s="102" t="n"/>
      <c r="AA300" s="102" t="n"/>
      <c r="AB300" s="102" t="n"/>
      <c r="AC300" s="102" t="n"/>
      <c r="AD300" s="102">
        <f>IFERROR(__xludf.DUMMYFUNCTION("""COMPUTED_VALUE"""),"6.5 RS")</f>
        <v/>
      </c>
    </row>
    <row r="301" ht="16.5" customHeight="1" s="176">
      <c r="A301" s="122" t="inlineStr">
        <is>
          <t>Talla Sombrero</t>
        </is>
      </c>
      <c r="B301" s="124" t="inlineStr">
        <is>
          <t>7 1/2</t>
        </is>
      </c>
      <c r="C301" s="124" t="inlineStr">
        <is>
          <t>7 1/2</t>
        </is>
      </c>
      <c r="D301" s="122" t="inlineStr">
        <is>
          <t>Igual (fracción US) · ≈ 60 cm</t>
        </is>
      </c>
      <c r="E301" s="183" t="n"/>
      <c r="F301" s="84" t="n"/>
      <c r="G301" s="84" t="n"/>
      <c r="H301" s="84" t="n"/>
      <c r="I301" s="84" t="n"/>
      <c r="J301" s="84" t="n"/>
      <c r="K301" s="84" t="n"/>
      <c r="L301" s="84" t="n"/>
      <c r="M301" s="84" t="n"/>
      <c r="N301" s="84" t="n"/>
      <c r="O301" s="84" t="n"/>
      <c r="P301" s="84" t="n"/>
      <c r="Q301" s="84" t="n"/>
      <c r="R301" s="84" t="n"/>
      <c r="S301" s="84" t="n"/>
      <c r="T301" s="84" t="n"/>
      <c r="U301" s="84" t="n"/>
      <c r="V301" s="84" t="n"/>
      <c r="W301" s="84" t="n"/>
      <c r="X301" s="84" t="n"/>
      <c r="Y301" s="84" t="n"/>
      <c r="Z301" s="84" t="n"/>
      <c r="AA301" s="84" t="n"/>
      <c r="AB301" s="84" t="n"/>
      <c r="AC301" s="84" t="n"/>
      <c r="AD301" s="84">
        <f>IFERROR(__xludf.DUMMYFUNCTION("""COMPUTED_VALUE"""),"6.5 SM")</f>
        <v/>
      </c>
    </row>
    <row r="302" ht="16.5" customHeight="1" s="176">
      <c r="A302" s="122" t="inlineStr">
        <is>
          <t>Talla Sombrero</t>
        </is>
      </c>
      <c r="B302" s="124" t="inlineStr">
        <is>
          <t>7 5/8</t>
        </is>
      </c>
      <c r="C302" s="124" t="inlineStr">
        <is>
          <t>7 5/8</t>
        </is>
      </c>
      <c r="D302" s="122" t="inlineStr">
        <is>
          <t>Igual (fracción US) · ≈ 61 cm</t>
        </is>
      </c>
      <c r="E302" s="183" t="n"/>
      <c r="F302" s="84" t="n"/>
      <c r="G302" s="84" t="n"/>
      <c r="H302" s="84" t="n"/>
      <c r="I302" s="84" t="n"/>
      <c r="J302" s="84" t="n"/>
      <c r="K302" s="84" t="n"/>
      <c r="L302" s="84" t="n"/>
      <c r="M302" s="84" t="n"/>
      <c r="N302" s="84" t="n"/>
      <c r="O302" s="84" t="n"/>
      <c r="P302" s="84" t="n"/>
      <c r="Q302" s="84" t="n"/>
      <c r="R302" s="84" t="n"/>
      <c r="S302" s="84" t="n"/>
      <c r="T302" s="84" t="n"/>
      <c r="U302" s="84" t="n"/>
      <c r="V302" s="84" t="n"/>
      <c r="W302" s="84" t="n"/>
      <c r="X302" s="84" t="n"/>
      <c r="Y302" s="84" t="n"/>
      <c r="Z302" s="84" t="n"/>
      <c r="AA302" s="84" t="n"/>
      <c r="AB302" s="84" t="n"/>
      <c r="AC302" s="84" t="n"/>
      <c r="AD302" s="84">
        <f>IFERROR(__xludf.DUMMYFUNCTION("""COMPUTED_VALUE"""),"6.5 SS")</f>
        <v/>
      </c>
    </row>
    <row r="303" ht="16.5" customHeight="1" s="176">
      <c r="A303" s="122" t="inlineStr">
        <is>
          <t>Talla Sombrero</t>
        </is>
      </c>
      <c r="B303" s="124" t="inlineStr">
        <is>
          <t>7 3/4</t>
        </is>
      </c>
      <c r="C303" s="124" t="inlineStr">
        <is>
          <t>7 3/4</t>
        </is>
      </c>
      <c r="D303" s="122" t="inlineStr">
        <is>
          <t>Igual (fracción US) · ≈ 62 cm</t>
        </is>
      </c>
      <c r="E303" s="183" t="n"/>
      <c r="F303" s="84" t="n"/>
      <c r="G303" s="84" t="n"/>
      <c r="H303" s="84" t="n"/>
      <c r="I303" s="84" t="n"/>
      <c r="J303" s="84" t="n"/>
      <c r="K303" s="84" t="n"/>
      <c r="L303" s="84" t="n"/>
      <c r="M303" s="84" t="n"/>
      <c r="N303" s="84" t="n"/>
      <c r="O303" s="84" t="n"/>
      <c r="P303" s="84" t="n"/>
      <c r="Q303" s="84" t="n"/>
      <c r="R303" s="84" t="n"/>
      <c r="S303" s="84" t="n"/>
      <c r="T303" s="84" t="n"/>
      <c r="U303" s="84" t="n"/>
      <c r="V303" s="84" t="n"/>
      <c r="W303" s="84" t="n"/>
      <c r="X303" s="84" t="n"/>
      <c r="Y303" s="84" t="n"/>
      <c r="Z303" s="84" t="n"/>
      <c r="AA303" s="84" t="n"/>
      <c r="AB303" s="84" t="n"/>
      <c r="AC303" s="84" t="n"/>
      <c r="AD303" s="84">
        <f>IFERROR(__xludf.DUMMYFUNCTION("""COMPUTED_VALUE"""),"6.5 ST")</f>
        <v/>
      </c>
    </row>
    <row r="304" ht="16.5" customHeight="1" s="176">
      <c r="A304" s="122" t="inlineStr">
        <is>
          <t>Talla Sombrero</t>
        </is>
      </c>
      <c r="B304" s="124" t="inlineStr">
        <is>
          <t>7 7/8</t>
        </is>
      </c>
      <c r="C304" s="124" t="inlineStr">
        <is>
          <t>7 7/8</t>
        </is>
      </c>
      <c r="D304" s="122" t="inlineStr">
        <is>
          <t>Igual (fracción US) · ≈ 63 cm</t>
        </is>
      </c>
      <c r="E304" s="183" t="n"/>
      <c r="F304" s="84" t="n"/>
      <c r="G304" s="84" t="n"/>
      <c r="H304" s="84" t="n"/>
      <c r="I304" s="84" t="n"/>
      <c r="J304" s="84" t="n"/>
      <c r="K304" s="84" t="n"/>
      <c r="L304" s="84" t="n"/>
      <c r="M304" s="84" t="n"/>
      <c r="N304" s="84" t="n"/>
      <c r="O304" s="84" t="n"/>
      <c r="P304" s="84" t="n"/>
      <c r="Q304" s="84" t="n"/>
      <c r="R304" s="84" t="n"/>
      <c r="S304" s="84" t="n"/>
      <c r="T304" s="84" t="n"/>
      <c r="U304" s="84" t="n"/>
      <c r="V304" s="84" t="n"/>
      <c r="W304" s="84" t="n"/>
      <c r="X304" s="84" t="n"/>
      <c r="Y304" s="84" t="n"/>
      <c r="Z304" s="84" t="n"/>
      <c r="AA304" s="84" t="n"/>
      <c r="AB304" s="84" t="n"/>
      <c r="AC304" s="84" t="n"/>
      <c r="AD304" s="84">
        <f>IFERROR(__xludf.DUMMYFUNCTION("""COMPUTED_VALUE"""),"6.5 WS")</f>
        <v/>
      </c>
    </row>
    <row r="305" ht="16.5" customHeight="1" s="176">
      <c r="A305" s="122" t="inlineStr">
        <is>
          <t>Talla Sombrero</t>
        </is>
      </c>
      <c r="B305" s="123" t="n">
        <v>8</v>
      </c>
      <c r="C305" s="123" t="n">
        <v>8</v>
      </c>
      <c r="D305" s="122" t="inlineStr">
        <is>
          <t>Igual (fracción US) · ≈ 64 cm</t>
        </is>
      </c>
      <c r="E305" s="183" t="n"/>
      <c r="F305" s="84" t="n"/>
      <c r="G305" s="84" t="n"/>
      <c r="H305" s="84" t="n"/>
      <c r="I305" s="84" t="n"/>
      <c r="J305" s="84" t="n"/>
      <c r="K305" s="84" t="n"/>
      <c r="L305" s="84" t="n"/>
      <c r="M305" s="84" t="n"/>
      <c r="N305" s="84" t="n"/>
      <c r="O305" s="84" t="n"/>
      <c r="P305" s="84" t="n"/>
      <c r="Q305" s="84" t="n"/>
      <c r="R305" s="84" t="n"/>
      <c r="S305" s="84" t="n"/>
      <c r="T305" s="84" t="n"/>
      <c r="U305" s="84" t="n"/>
      <c r="V305" s="84" t="n"/>
      <c r="W305" s="84" t="n"/>
      <c r="X305" s="84" t="n"/>
      <c r="Y305" s="84" t="n"/>
      <c r="Z305" s="84" t="n"/>
      <c r="AA305" s="84" t="n"/>
      <c r="AB305" s="84" t="n"/>
      <c r="AC305" s="84" t="n"/>
      <c r="AD305" s="84">
        <f>IFERROR(__xludf.DUMMYFUNCTION("""COMPUTED_VALUE"""),"6.5 XSM")</f>
        <v/>
      </c>
    </row>
    <row r="306" ht="16.5" customHeight="1" s="176">
      <c r="A306" s="122" t="inlineStr">
        <is>
          <t>Talla Sombrero</t>
        </is>
      </c>
      <c r="B306" s="123" t="inlineStr">
        <is>
          <t>S / M / L / XL</t>
        </is>
      </c>
      <c r="C306" s="123" t="inlineStr">
        <is>
          <t>Igual</t>
        </is>
      </c>
      <c r="D306" s="122" t="inlineStr">
        <is>
          <t>Solo sombreros con ajuste por letra (flex / gorra-sombrero)</t>
        </is>
      </c>
      <c r="E306" s="183" t="n"/>
      <c r="F306" s="84" t="n"/>
      <c r="G306" s="84" t="n"/>
      <c r="H306" s="84" t="n"/>
      <c r="I306" s="84" t="n"/>
      <c r="J306" s="84" t="n"/>
      <c r="K306" s="84" t="n"/>
      <c r="L306" s="84" t="n"/>
      <c r="M306" s="84" t="n"/>
      <c r="N306" s="84" t="n"/>
      <c r="O306" s="84" t="n"/>
      <c r="P306" s="84" t="n"/>
      <c r="Q306" s="84" t="n"/>
      <c r="R306" s="84" t="n"/>
      <c r="S306" s="84" t="n"/>
      <c r="T306" s="84" t="n"/>
      <c r="U306" s="84" t="n"/>
      <c r="V306" s="84" t="n"/>
      <c r="W306" s="84" t="n"/>
      <c r="X306" s="84" t="n"/>
      <c r="Y306" s="84" t="n"/>
      <c r="Z306" s="84" t="n"/>
      <c r="AA306" s="84" t="n"/>
      <c r="AB306" s="84" t="n"/>
      <c r="AC306" s="84" t="n"/>
      <c r="AD306" s="84">
        <f>IFERROR(__xludf.DUMMYFUNCTION("""COMPUTED_VALUE"""),"7 B")</f>
        <v/>
      </c>
    </row>
    <row r="307" ht="16.5" customHeight="1" s="176">
      <c r="A307" s="122" t="inlineStr">
        <is>
          <t>Talla Calzado MX – Hombre</t>
        </is>
      </c>
      <c r="B307" s="123" t="n">
        <v>25</v>
      </c>
      <c r="C307" s="123" t="n">
        <v>7</v>
      </c>
      <c r="D307" s="122" t="inlineStr">
        <is>
          <t>US = MX − 18 (tabla estándar; validar con fábrica)</t>
        </is>
      </c>
      <c r="E307" s="183" t="n"/>
      <c r="F307" s="84" t="n"/>
      <c r="G307" s="84" t="n"/>
      <c r="H307" s="84" t="n"/>
      <c r="I307" s="84" t="n"/>
      <c r="J307" s="84" t="n"/>
      <c r="K307" s="84" t="n"/>
      <c r="L307" s="84" t="n"/>
      <c r="M307" s="84" t="n"/>
      <c r="N307" s="84" t="n"/>
      <c r="O307" s="84" t="n"/>
      <c r="P307" s="84" t="n"/>
      <c r="Q307" s="84" t="n"/>
      <c r="R307" s="84" t="n"/>
      <c r="S307" s="84" t="n"/>
      <c r="T307" s="84" t="n"/>
      <c r="U307" s="84" t="n"/>
      <c r="V307" s="84" t="n"/>
      <c r="W307" s="84" t="n"/>
      <c r="X307" s="84" t="n"/>
      <c r="Y307" s="84" t="n"/>
      <c r="Z307" s="84" t="n"/>
      <c r="AA307" s="84" t="n"/>
      <c r="AB307" s="84" t="n"/>
      <c r="AC307" s="84" t="n"/>
      <c r="AD307" s="84">
        <f>IFERROR(__xludf.DUMMYFUNCTION("""COMPUTED_VALUE"""),"7 C")</f>
        <v/>
      </c>
    </row>
    <row r="308" ht="16.5" customHeight="1" s="176">
      <c r="A308" s="122" t="inlineStr">
        <is>
          <t>Talla Calzado MX – Hombre</t>
        </is>
      </c>
      <c r="B308" s="123" t="n">
        <v>25.5</v>
      </c>
      <c r="C308" s="123" t="n">
        <v>7.5</v>
      </c>
      <c r="D308" s="122" t="inlineStr">
        <is>
          <t>US = MX − 18 (tabla estándar; validar con fábrica)</t>
        </is>
      </c>
      <c r="E308" s="183" t="n"/>
      <c r="F308" s="84" t="n"/>
      <c r="G308" s="84" t="n"/>
      <c r="H308" s="84" t="n"/>
      <c r="I308" s="84" t="n"/>
      <c r="J308" s="84" t="n"/>
      <c r="K308" s="84" t="n"/>
      <c r="L308" s="84" t="n"/>
      <c r="M308" s="84" t="n"/>
      <c r="N308" s="84" t="n"/>
      <c r="O308" s="84" t="n"/>
      <c r="P308" s="84" t="n"/>
      <c r="Q308" s="84" t="n"/>
      <c r="R308" s="84" t="n"/>
      <c r="S308" s="84" t="n"/>
      <c r="T308" s="84" t="n"/>
      <c r="U308" s="84" t="n"/>
      <c r="V308" s="84" t="n"/>
      <c r="W308" s="84" t="n"/>
      <c r="X308" s="84" t="n"/>
      <c r="Y308" s="84" t="n"/>
      <c r="Z308" s="84" t="n"/>
      <c r="AA308" s="84" t="n"/>
      <c r="AB308" s="84" t="n"/>
      <c r="AC308" s="84" t="n"/>
      <c r="AD308" s="84">
        <f>IFERROR(__xludf.DUMMYFUNCTION("""COMPUTED_VALUE"""),"7 FT")</f>
        <v/>
      </c>
    </row>
    <row r="309" ht="16.5" customHeight="1" s="176">
      <c r="A309" s="122" t="inlineStr">
        <is>
          <t>Talla Calzado MX – Hombre</t>
        </is>
      </c>
      <c r="B309" s="123" t="n">
        <v>26</v>
      </c>
      <c r="C309" s="123" t="n">
        <v>8</v>
      </c>
      <c r="D309" s="122" t="inlineStr">
        <is>
          <t>US = MX − 18 (tabla estándar; validar con fábrica)</t>
        </is>
      </c>
      <c r="E309" s="183" t="n"/>
      <c r="F309" s="84" t="n"/>
      <c r="G309" s="84" t="n"/>
      <c r="H309" s="84" t="n"/>
      <c r="I309" s="84" t="n"/>
      <c r="J309" s="84" t="n"/>
      <c r="K309" s="84" t="n"/>
      <c r="L309" s="84" t="n"/>
      <c r="M309" s="84" t="n"/>
      <c r="N309" s="84" t="n"/>
      <c r="O309" s="84" t="n"/>
      <c r="P309" s="84" t="n"/>
      <c r="Q309" s="84" t="n"/>
      <c r="R309" s="84" t="n"/>
      <c r="S309" s="84" t="n"/>
      <c r="T309" s="84" t="n"/>
      <c r="U309" s="84" t="n"/>
      <c r="V309" s="84" t="n"/>
      <c r="W309" s="84" t="n"/>
      <c r="X309" s="84" t="n"/>
      <c r="Y309" s="84" t="n"/>
      <c r="Z309" s="84" t="n"/>
      <c r="AA309" s="84" t="n"/>
      <c r="AB309" s="84" t="n"/>
      <c r="AC309" s="84" t="n"/>
      <c r="AD309" s="84">
        <f>IFERROR(__xludf.DUMMYFUNCTION("""COMPUTED_VALUE"""),"7 WM")</f>
        <v/>
      </c>
    </row>
    <row r="310" ht="16.5" customHeight="1" s="176">
      <c r="A310" s="122" t="inlineStr">
        <is>
          <t>Talla Calzado MX – Hombre</t>
        </is>
      </c>
      <c r="B310" s="123" t="n">
        <v>26.5</v>
      </c>
      <c r="C310" s="123" t="n">
        <v>8.5</v>
      </c>
      <c r="D310" s="122" t="inlineStr">
        <is>
          <t>US = MX − 18 (tabla estándar; validar con fábrica)</t>
        </is>
      </c>
      <c r="E310" s="183" t="n"/>
      <c r="F310" s="84" t="n"/>
      <c r="G310" s="84" t="n"/>
      <c r="H310" s="84" t="n"/>
      <c r="I310" s="84" t="n"/>
      <c r="J310" s="84" t="n"/>
      <c r="K310" s="84" t="n"/>
      <c r="L310" s="84" t="n"/>
      <c r="M310" s="84" t="n"/>
      <c r="N310" s="84" t="n"/>
      <c r="O310" s="84" t="n"/>
      <c r="P310" s="84" t="n"/>
      <c r="Q310" s="84" t="n"/>
      <c r="R310" s="84" t="n"/>
      <c r="S310" s="84" t="n"/>
      <c r="T310" s="84" t="n"/>
      <c r="U310" s="84" t="n"/>
      <c r="V310" s="84" t="n"/>
      <c r="W310" s="84" t="n"/>
      <c r="X310" s="84" t="n"/>
      <c r="Y310" s="84" t="n"/>
      <c r="Z310" s="84" t="n"/>
      <c r="AA310" s="84" t="n"/>
      <c r="AB310" s="84" t="n"/>
      <c r="AC310" s="84" t="n"/>
      <c r="AD310" s="84">
        <f>IFERROR(__xludf.DUMMYFUNCTION("""COMPUTED_VALUE"""),"7 WS")</f>
        <v/>
      </c>
    </row>
    <row r="311" ht="16.5" customHeight="1" s="176">
      <c r="A311" s="122" t="inlineStr">
        <is>
          <t>Talla Calzado MX – Hombre</t>
        </is>
      </c>
      <c r="B311" s="123" t="n">
        <v>27</v>
      </c>
      <c r="C311" s="123" t="n">
        <v>9</v>
      </c>
      <c r="D311" s="122" t="inlineStr">
        <is>
          <t>US = MX − 18 (tabla estándar; validar con fábrica)</t>
        </is>
      </c>
      <c r="E311" s="183" t="n"/>
      <c r="F311" s="84" t="n"/>
      <c r="G311" s="84" t="n"/>
      <c r="H311" s="84" t="n"/>
      <c r="I311" s="84" t="n"/>
      <c r="J311" s="84" t="n"/>
      <c r="K311" s="84" t="n"/>
      <c r="L311" s="84" t="n"/>
      <c r="M311" s="84" t="n"/>
      <c r="N311" s="84" t="n"/>
      <c r="O311" s="84" t="n"/>
      <c r="P311" s="84" t="n"/>
      <c r="Q311" s="84" t="n"/>
      <c r="R311" s="84" t="n"/>
      <c r="S311" s="84" t="n"/>
      <c r="T311" s="84" t="n"/>
      <c r="U311" s="84" t="n"/>
      <c r="V311" s="84" t="n"/>
      <c r="W311" s="84" t="n"/>
      <c r="X311" s="84" t="n"/>
      <c r="Y311" s="84" t="n"/>
      <c r="Z311" s="84" t="n"/>
      <c r="AA311" s="84" t="n"/>
      <c r="AB311" s="84" t="n"/>
      <c r="AC311" s="84" t="n"/>
      <c r="AD311" s="84">
        <f>IFERROR(__xludf.DUMMYFUNCTION("""COMPUTED_VALUE"""),"7 XSM")</f>
        <v/>
      </c>
    </row>
    <row r="312" ht="16.5" customHeight="1" s="176">
      <c r="A312" s="122" t="inlineStr">
        <is>
          <t>Talla Calzado MX – Hombre</t>
        </is>
      </c>
      <c r="B312" s="123" t="n">
        <v>27.5</v>
      </c>
      <c r="C312" s="123" t="n">
        <v>9.5</v>
      </c>
      <c r="D312" s="122" t="inlineStr">
        <is>
          <t>US = MX − 18 (tabla estándar; validar con fábrica)</t>
        </is>
      </c>
      <c r="E312" s="183" t="n"/>
      <c r="F312" s="84" t="n"/>
      <c r="G312" s="84" t="n"/>
      <c r="H312" s="84" t="n"/>
      <c r="I312" s="84" t="n"/>
      <c r="J312" s="84" t="n"/>
      <c r="K312" s="84" t="n"/>
      <c r="L312" s="84" t="n"/>
      <c r="M312" s="84" t="n"/>
      <c r="N312" s="84" t="n"/>
      <c r="O312" s="84" t="n"/>
      <c r="P312" s="84" t="n"/>
      <c r="Q312" s="84" t="n"/>
      <c r="R312" s="84" t="n"/>
      <c r="S312" s="84" t="n"/>
      <c r="T312" s="84" t="n"/>
      <c r="U312" s="84" t="n"/>
      <c r="V312" s="84" t="n"/>
      <c r="W312" s="84" t="n"/>
      <c r="X312" s="84" t="n"/>
      <c r="Y312" s="84" t="n"/>
      <c r="Z312" s="84" t="n"/>
      <c r="AA312" s="84" t="n"/>
      <c r="AB312" s="84" t="n"/>
      <c r="AC312" s="84" t="n"/>
      <c r="AD312" s="84">
        <f>IFERROR(__xludf.DUMMYFUNCTION("""COMPUTED_VALUE"""),"7 XST")</f>
        <v/>
      </c>
    </row>
    <row r="313" ht="16.5" customHeight="1" s="176">
      <c r="A313" s="122" t="inlineStr">
        <is>
          <t>Talla Calzado MX – Hombre</t>
        </is>
      </c>
      <c r="B313" s="123" t="n">
        <v>28</v>
      </c>
      <c r="C313" s="123" t="n">
        <v>10</v>
      </c>
      <c r="D313" s="122" t="inlineStr">
        <is>
          <t>US = MX − 18 (tabla estándar; validar con fábrica)</t>
        </is>
      </c>
      <c r="E313" s="183" t="n"/>
      <c r="F313" s="84" t="n"/>
      <c r="G313" s="84" t="n"/>
      <c r="H313" s="84" t="n"/>
      <c r="I313" s="84" t="n"/>
      <c r="J313" s="84" t="n"/>
      <c r="K313" s="84" t="n"/>
      <c r="L313" s="84" t="n"/>
      <c r="M313" s="84" t="n"/>
      <c r="N313" s="84" t="n"/>
      <c r="O313" s="84" t="n"/>
      <c r="P313" s="84" t="n"/>
      <c r="Q313" s="84" t="n"/>
      <c r="R313" s="84" t="n"/>
      <c r="S313" s="84" t="n"/>
      <c r="T313" s="84" t="n"/>
      <c r="U313" s="84" t="n"/>
      <c r="V313" s="84" t="n"/>
      <c r="W313" s="84" t="n"/>
      <c r="X313" s="84" t="n"/>
      <c r="Y313" s="84" t="n"/>
      <c r="Z313" s="84" t="n"/>
      <c r="AA313" s="84" t="n"/>
      <c r="AB313" s="84" t="n"/>
      <c r="AC313" s="84" t="n"/>
      <c r="AD313" s="84">
        <f>IFERROR(__xludf.DUMMYFUNCTION("""COMPUTED_VALUE"""),"7.5 B")</f>
        <v/>
      </c>
    </row>
    <row r="314" ht="16.5" customHeight="1" s="176">
      <c r="A314" s="122" t="inlineStr">
        <is>
          <t>Talla Calzado MX – Hombre</t>
        </is>
      </c>
      <c r="B314" s="123" t="n">
        <v>28.5</v>
      </c>
      <c r="C314" s="123" t="n">
        <v>10.5</v>
      </c>
      <c r="D314" s="122" t="inlineStr">
        <is>
          <t>US = MX − 18 (tabla estándar; validar con fábrica)</t>
        </is>
      </c>
      <c r="E314" s="183" t="n"/>
      <c r="F314" s="84" t="n"/>
      <c r="G314" s="84" t="n"/>
      <c r="H314" s="84" t="n"/>
      <c r="I314" s="84" t="n"/>
      <c r="J314" s="84" t="n"/>
      <c r="K314" s="84" t="n"/>
      <c r="L314" s="84" t="n"/>
      <c r="M314" s="84" t="n"/>
      <c r="N314" s="84" t="n"/>
      <c r="O314" s="84" t="n"/>
      <c r="P314" s="84" t="n"/>
      <c r="Q314" s="84" t="n"/>
      <c r="R314" s="84" t="n"/>
      <c r="S314" s="84" t="n"/>
      <c r="T314" s="84" t="n"/>
      <c r="U314" s="84" t="n"/>
      <c r="V314" s="84" t="n"/>
      <c r="W314" s="84" t="n"/>
      <c r="X314" s="84" t="n"/>
      <c r="Y314" s="84" t="n"/>
      <c r="Z314" s="84" t="n"/>
      <c r="AA314" s="84" t="n"/>
      <c r="AB314" s="84" t="n"/>
      <c r="AC314" s="84" t="n"/>
      <c r="AD314" s="84">
        <f>IFERROR(__xludf.DUMMYFUNCTION("""COMPUTED_VALUE"""),"7.5 C")</f>
        <v/>
      </c>
    </row>
    <row r="315" ht="16.5" customHeight="1" s="176">
      <c r="A315" s="122" t="inlineStr">
        <is>
          <t>Talla Calzado MX – Hombre</t>
        </is>
      </c>
      <c r="B315" s="123" t="n">
        <v>29</v>
      </c>
      <c r="C315" s="123" t="n">
        <v>11</v>
      </c>
      <c r="D315" s="122" t="inlineStr">
        <is>
          <t>US = MX − 18 (tabla estándar; validar con fábrica)</t>
        </is>
      </c>
      <c r="E315" s="183" t="n"/>
      <c r="F315" s="84" t="n"/>
      <c r="G315" s="84" t="n"/>
      <c r="H315" s="84" t="n"/>
      <c r="I315" s="84" t="n"/>
      <c r="J315" s="84" t="n"/>
      <c r="K315" s="84" t="n"/>
      <c r="L315" s="84" t="n"/>
      <c r="M315" s="84" t="n"/>
      <c r="N315" s="84" t="n"/>
      <c r="O315" s="84" t="n"/>
      <c r="P315" s="84" t="n"/>
      <c r="Q315" s="84" t="n"/>
      <c r="R315" s="84" t="n"/>
      <c r="S315" s="84" t="n"/>
      <c r="T315" s="84" t="n"/>
      <c r="U315" s="84" t="n"/>
      <c r="V315" s="84" t="n"/>
      <c r="W315" s="84" t="n"/>
      <c r="X315" s="84" t="n"/>
      <c r="Y315" s="84" t="n"/>
      <c r="Z315" s="84" t="n"/>
      <c r="AA315" s="84" t="n"/>
      <c r="AB315" s="84" t="n"/>
      <c r="AC315" s="84" t="n"/>
      <c r="AD315" s="84">
        <f>IFERROR(__xludf.DUMMYFUNCTION("""COMPUTED_VALUE"""),"7.5 FT")</f>
        <v/>
      </c>
    </row>
    <row r="316" ht="16.5" customHeight="1" s="176">
      <c r="A316" s="122" t="inlineStr">
        <is>
          <t>Talla Calzado MX – Hombre</t>
        </is>
      </c>
      <c r="B316" s="123" t="n">
        <v>29.5</v>
      </c>
      <c r="C316" s="123" t="n">
        <v>11.5</v>
      </c>
      <c r="D316" s="122" t="inlineStr">
        <is>
          <t>US = MX − 18 (tabla estándar; validar con fábrica)</t>
        </is>
      </c>
      <c r="E316" s="183" t="n"/>
      <c r="F316" s="84" t="n"/>
      <c r="G316" s="84" t="n"/>
      <c r="H316" s="84" t="n"/>
      <c r="I316" s="84" t="n"/>
      <c r="J316" s="84" t="n"/>
      <c r="K316" s="84" t="n"/>
      <c r="L316" s="84" t="n"/>
      <c r="M316" s="84" t="n"/>
      <c r="N316" s="84" t="n"/>
      <c r="O316" s="84" t="n"/>
      <c r="P316" s="84" t="n"/>
      <c r="Q316" s="84" t="n"/>
      <c r="R316" s="84" t="n"/>
      <c r="S316" s="84" t="n"/>
      <c r="T316" s="84" t="n"/>
      <c r="U316" s="84" t="n"/>
      <c r="V316" s="84" t="n"/>
      <c r="W316" s="84" t="n"/>
      <c r="X316" s="84" t="n"/>
      <c r="Y316" s="84" t="n"/>
      <c r="Z316" s="84" t="n"/>
      <c r="AA316" s="84" t="n"/>
      <c r="AB316" s="84" t="n"/>
      <c r="AC316" s="84" t="n"/>
      <c r="AD316" s="84">
        <f>IFERROR(__xludf.DUMMYFUNCTION("""COMPUTED_VALUE"""),"7.5 WM")</f>
        <v/>
      </c>
    </row>
    <row r="317" ht="16.5" customHeight="1" s="176">
      <c r="A317" s="122" t="inlineStr">
        <is>
          <t>Talla Calzado MX – Hombre</t>
        </is>
      </c>
      <c r="B317" s="123" t="n">
        <v>30</v>
      </c>
      <c r="C317" s="123" t="n">
        <v>12</v>
      </c>
      <c r="D317" s="122" t="inlineStr">
        <is>
          <t>US = MX − 18 (tabla estándar; validar con fábrica)</t>
        </is>
      </c>
      <c r="E317" s="183" t="n"/>
      <c r="F317" s="84" t="n"/>
      <c r="G317" s="84" t="n"/>
      <c r="H317" s="84" t="n"/>
      <c r="I317" s="84" t="n"/>
      <c r="J317" s="84" t="n"/>
      <c r="K317" s="84" t="n"/>
      <c r="L317" s="84" t="n"/>
      <c r="M317" s="84" t="n"/>
      <c r="N317" s="84" t="n"/>
      <c r="O317" s="84" t="n"/>
      <c r="P317" s="84" t="n"/>
      <c r="Q317" s="84" t="n"/>
      <c r="R317" s="84" t="n"/>
      <c r="S317" s="84" t="n"/>
      <c r="T317" s="84" t="n"/>
      <c r="U317" s="84" t="n"/>
      <c r="V317" s="84" t="n"/>
      <c r="W317" s="84" t="n"/>
      <c r="X317" s="84" t="n"/>
      <c r="Y317" s="84" t="n"/>
      <c r="Z317" s="84" t="n"/>
      <c r="AA317" s="84" t="n"/>
      <c r="AB317" s="84" t="n"/>
      <c r="AC317" s="84" t="n"/>
      <c r="AD317" s="84">
        <f>IFERROR(__xludf.DUMMYFUNCTION("""COMPUTED_VALUE"""),"7.5 WS")</f>
        <v/>
      </c>
    </row>
    <row r="318" ht="16.5" customHeight="1" s="176">
      <c r="A318" s="122" t="inlineStr">
        <is>
          <t>Talla Calzado MX – Hombre</t>
        </is>
      </c>
      <c r="B318" s="123" t="n">
        <v>30.5</v>
      </c>
      <c r="C318" s="123" t="n">
        <v>12.5</v>
      </c>
      <c r="D318" s="122" t="inlineStr">
        <is>
          <t>US = MX − 18 (tabla estándar; validar con fábrica)</t>
        </is>
      </c>
      <c r="E318" s="183" t="n"/>
      <c r="F318" s="84" t="n"/>
      <c r="G318" s="84" t="n"/>
      <c r="H318" s="84" t="n"/>
      <c r="I318" s="84" t="n"/>
      <c r="J318" s="84" t="n"/>
      <c r="K318" s="84" t="n"/>
      <c r="L318" s="84" t="n"/>
      <c r="M318" s="84" t="n"/>
      <c r="N318" s="84" t="n"/>
      <c r="O318" s="84" t="n"/>
      <c r="P318" s="84" t="n"/>
      <c r="Q318" s="84" t="n"/>
      <c r="R318" s="84" t="n"/>
      <c r="S318" s="84" t="n"/>
      <c r="T318" s="84" t="n"/>
      <c r="U318" s="84" t="n"/>
      <c r="V318" s="84" t="n"/>
      <c r="W318" s="84" t="n"/>
      <c r="X318" s="84" t="n"/>
      <c r="Y318" s="84" t="n"/>
      <c r="Z318" s="84" t="n"/>
      <c r="AA318" s="84" t="n"/>
      <c r="AB318" s="84" t="n"/>
      <c r="AC318" s="84" t="n"/>
      <c r="AD318" s="84">
        <f>IFERROR(__xludf.DUMMYFUNCTION("""COMPUTED_VALUE"""),"7.5 XSM")</f>
        <v/>
      </c>
    </row>
    <row r="319" ht="16.5" customHeight="1" s="176">
      <c r="A319" s="122" t="inlineStr">
        <is>
          <t>Talla Calzado MX – Hombre</t>
        </is>
      </c>
      <c r="B319" s="123" t="n">
        <v>31</v>
      </c>
      <c r="C319" s="123" t="n">
        <v>13</v>
      </c>
      <c r="D319" s="122" t="inlineStr">
        <is>
          <t>US = MX − 18 (tabla estándar; validar con fábrica)</t>
        </is>
      </c>
      <c r="E319" s="183" t="n"/>
      <c r="F319" s="84" t="n"/>
      <c r="G319" s="84" t="n"/>
      <c r="H319" s="84" t="n"/>
      <c r="I319" s="84" t="n"/>
      <c r="J319" s="84" t="n"/>
      <c r="K319" s="84" t="n"/>
      <c r="L319" s="84" t="n"/>
      <c r="M319" s="84" t="n"/>
      <c r="N319" s="84" t="n"/>
      <c r="O319" s="84" t="n"/>
      <c r="P319" s="84" t="n"/>
      <c r="Q319" s="84" t="n"/>
      <c r="R319" s="84" t="n"/>
      <c r="S319" s="84" t="n"/>
      <c r="T319" s="84" t="n"/>
      <c r="U319" s="84" t="n"/>
      <c r="V319" s="84" t="n"/>
      <c r="W319" s="84" t="n"/>
      <c r="X319" s="84" t="n"/>
      <c r="Y319" s="84" t="n"/>
      <c r="Z319" s="84" t="n"/>
      <c r="AA319" s="84" t="n"/>
      <c r="AB319" s="84" t="n"/>
      <c r="AC319" s="84" t="n"/>
      <c r="AD319" s="84">
        <f>IFERROR(__xludf.DUMMYFUNCTION("""COMPUTED_VALUE"""),"7.5 XST")</f>
        <v/>
      </c>
    </row>
    <row r="320" ht="16.5" customHeight="1" s="176">
      <c r="A320" s="122" t="inlineStr">
        <is>
          <t>Talla Calzado MX – Hombre</t>
        </is>
      </c>
      <c r="B320" s="123" t="n">
        <v>31.5</v>
      </c>
      <c r="C320" s="123" t="n">
        <v>13.5</v>
      </c>
      <c r="D320" s="122" t="inlineStr">
        <is>
          <t>US = MX − 18 (tabla estándar; validar con fábrica)</t>
        </is>
      </c>
      <c r="E320" s="183" t="n"/>
      <c r="F320" s="84" t="n"/>
      <c r="G320" s="84" t="n"/>
      <c r="H320" s="84" t="n"/>
      <c r="I320" s="84" t="n"/>
      <c r="J320" s="84" t="n"/>
      <c r="K320" s="84" t="n"/>
      <c r="L320" s="84" t="n"/>
      <c r="M320" s="84" t="n"/>
      <c r="N320" s="84" t="n"/>
      <c r="O320" s="84" t="n"/>
      <c r="P320" s="84" t="n"/>
      <c r="Q320" s="84" t="n"/>
      <c r="R320" s="84" t="n"/>
      <c r="S320" s="84" t="n"/>
      <c r="T320" s="84" t="n"/>
      <c r="U320" s="84" t="n"/>
      <c r="V320" s="84" t="n"/>
      <c r="W320" s="84" t="n"/>
      <c r="X320" s="84" t="n"/>
      <c r="Y320" s="84" t="n"/>
      <c r="Z320" s="84" t="n"/>
      <c r="AA320" s="84" t="n"/>
      <c r="AB320" s="84" t="n"/>
      <c r="AC320" s="84" t="n"/>
      <c r="AD320" s="84">
        <f>IFERROR(__xludf.DUMMYFUNCTION("""COMPUTED_VALUE"""),"7.5 XWM")</f>
        <v/>
      </c>
    </row>
    <row r="321" ht="16.5" customHeight="1" s="176">
      <c r="A321" s="122" t="inlineStr">
        <is>
          <t>Talla Calzado MX – Hombre</t>
        </is>
      </c>
      <c r="B321" s="123" t="n">
        <v>32</v>
      </c>
      <c r="C321" s="123" t="n">
        <v>14</v>
      </c>
      <c r="D321" s="122" t="inlineStr">
        <is>
          <t>US = MX − 18 (tabla estándar; validar con fábrica)</t>
        </is>
      </c>
      <c r="E321" s="183" t="n"/>
      <c r="F321" s="84" t="n"/>
      <c r="G321" s="84" t="n"/>
      <c r="H321" s="84" t="n"/>
      <c r="I321" s="84" t="n"/>
      <c r="J321" s="84" t="n"/>
      <c r="K321" s="84" t="n"/>
      <c r="L321" s="84" t="n"/>
      <c r="M321" s="84" t="n"/>
      <c r="N321" s="84" t="n"/>
      <c r="O321" s="84" t="n"/>
      <c r="P321" s="84" t="n"/>
      <c r="Q321" s="84" t="n"/>
      <c r="R321" s="84" t="n"/>
      <c r="S321" s="84" t="n"/>
      <c r="T321" s="84" t="n"/>
      <c r="U321" s="84" t="n"/>
      <c r="V321" s="84" t="n"/>
      <c r="W321" s="84" t="n"/>
      <c r="X321" s="84" t="n"/>
      <c r="Y321" s="84" t="n"/>
      <c r="Z321" s="84" t="n"/>
      <c r="AA321" s="84" t="n"/>
      <c r="AB321" s="84" t="n"/>
      <c r="AC321" s="84" t="n"/>
      <c r="AD321" s="84">
        <f>IFERROR(__xludf.DUMMYFUNCTION("""COMPUTED_VALUE"""),"8 B")</f>
        <v/>
      </c>
    </row>
    <row r="322" ht="16.5" customHeight="1" s="176">
      <c r="A322" s="122" t="inlineStr">
        <is>
          <t>Talla Calzado MX – Hombre</t>
        </is>
      </c>
      <c r="B322" s="123" t="n">
        <v>32.5</v>
      </c>
      <c r="C322" s="123" t="n">
        <v>14.5</v>
      </c>
      <c r="D322" s="122" t="inlineStr">
        <is>
          <t>US = MX − 18 (tabla estándar; validar con fábrica)</t>
        </is>
      </c>
      <c r="E322" s="183" t="n"/>
      <c r="F322" s="84" t="n"/>
      <c r="G322" s="84" t="n"/>
      <c r="H322" s="84" t="n"/>
      <c r="I322" s="84" t="n"/>
      <c r="J322" s="84" t="n"/>
      <c r="K322" s="84" t="n"/>
      <c r="L322" s="84" t="n"/>
      <c r="M322" s="84" t="n"/>
      <c r="N322" s="84" t="n"/>
      <c r="O322" s="84" t="n"/>
      <c r="P322" s="84" t="n"/>
      <c r="Q322" s="84" t="n"/>
      <c r="R322" s="84" t="n"/>
      <c r="S322" s="84" t="n"/>
      <c r="T322" s="84" t="n"/>
      <c r="U322" s="84" t="n"/>
      <c r="V322" s="84" t="n"/>
      <c r="W322" s="84" t="n"/>
      <c r="X322" s="84" t="n"/>
      <c r="Y322" s="84" t="n"/>
      <c r="Z322" s="84" t="n"/>
      <c r="AA322" s="84" t="n"/>
      <c r="AB322" s="84" t="n"/>
      <c r="AC322" s="84" t="n"/>
      <c r="AD322" s="84">
        <f>IFERROR(__xludf.DUMMYFUNCTION("""COMPUTED_VALUE"""),"8 C")</f>
        <v/>
      </c>
    </row>
    <row r="323" ht="16.5" customHeight="1" s="176">
      <c r="A323" s="122" t="inlineStr">
        <is>
          <t>Talla Calzado MX – Mujer</t>
        </is>
      </c>
      <c r="B323" s="123" t="n">
        <v>22</v>
      </c>
      <c r="C323" s="123" t="n">
        <v>5</v>
      </c>
      <c r="D323" s="122" t="inlineStr">
        <is>
          <t>US = MX − 17 (tabla estándar; validar con fábrica)</t>
        </is>
      </c>
      <c r="E323" s="183" t="n"/>
      <c r="F323" s="84" t="n"/>
      <c r="G323" s="84" t="n"/>
      <c r="H323" s="84" t="n"/>
      <c r="I323" s="84" t="n"/>
      <c r="J323" s="84" t="n"/>
      <c r="K323" s="84" t="n"/>
      <c r="L323" s="84" t="n"/>
      <c r="M323" s="84" t="n"/>
      <c r="N323" s="84" t="n"/>
      <c r="O323" s="84" t="n"/>
      <c r="P323" s="84" t="n"/>
      <c r="Q323" s="84" t="n"/>
      <c r="R323" s="84" t="n"/>
      <c r="S323" s="84" t="n"/>
      <c r="T323" s="84" t="n"/>
      <c r="U323" s="84" t="n"/>
      <c r="V323" s="84" t="n"/>
      <c r="W323" s="84" t="n"/>
      <c r="X323" s="84" t="n"/>
      <c r="Y323" s="84" t="n"/>
      <c r="Z323" s="84" t="n"/>
      <c r="AA323" s="84" t="n"/>
      <c r="AB323" s="84" t="n"/>
      <c r="AC323" s="84" t="n"/>
      <c r="AD323" s="84">
        <f>IFERROR(__xludf.DUMMYFUNCTION("""COMPUTED_VALUE"""),"8 FT")</f>
        <v/>
      </c>
    </row>
    <row r="324" ht="16.5" customHeight="1" s="176">
      <c r="A324" s="122" t="inlineStr">
        <is>
          <t>Talla Calzado MX – Mujer</t>
        </is>
      </c>
      <c r="B324" s="123" t="n">
        <v>22.5</v>
      </c>
      <c r="C324" s="123" t="n">
        <v>5.5</v>
      </c>
      <c r="D324" s="122" t="inlineStr">
        <is>
          <t>US = MX − 17 (tabla estándar; validar con fábrica)</t>
        </is>
      </c>
      <c r="E324" s="183" t="n"/>
      <c r="F324" s="84" t="n"/>
      <c r="G324" s="84" t="n"/>
      <c r="H324" s="84" t="n"/>
      <c r="I324" s="84" t="n"/>
      <c r="J324" s="84" t="n"/>
      <c r="K324" s="84" t="n"/>
      <c r="L324" s="84" t="n"/>
      <c r="M324" s="84" t="n"/>
      <c r="N324" s="84" t="n"/>
      <c r="O324" s="84" t="n"/>
      <c r="P324" s="84" t="n"/>
      <c r="Q324" s="84" t="n"/>
      <c r="R324" s="84" t="n"/>
      <c r="S324" s="84" t="n"/>
      <c r="T324" s="84" t="n"/>
      <c r="U324" s="84" t="n"/>
      <c r="V324" s="84" t="n"/>
      <c r="W324" s="84" t="n"/>
      <c r="X324" s="84" t="n"/>
      <c r="Y324" s="84" t="n"/>
      <c r="Z324" s="84" t="n"/>
      <c r="AA324" s="84" t="n"/>
      <c r="AB324" s="84" t="n"/>
      <c r="AC324" s="84" t="n"/>
      <c r="AD324" s="84">
        <f>IFERROR(__xludf.DUMMYFUNCTION("""COMPUTED_VALUE"""),"8 WM")</f>
        <v/>
      </c>
    </row>
    <row r="325" ht="16.5" customHeight="1" s="176">
      <c r="A325" s="122" t="inlineStr">
        <is>
          <t>Talla Calzado MX – Mujer</t>
        </is>
      </c>
      <c r="B325" s="123" t="n">
        <v>23</v>
      </c>
      <c r="C325" s="123" t="n">
        <v>6</v>
      </c>
      <c r="D325" s="122" t="inlineStr">
        <is>
          <t>US = MX − 17 (tabla estándar; validar con fábrica)</t>
        </is>
      </c>
      <c r="E325" s="183" t="n"/>
      <c r="F325" s="84" t="n"/>
      <c r="G325" s="84" t="n"/>
      <c r="H325" s="84" t="n"/>
      <c r="I325" s="84" t="n"/>
      <c r="J325" s="84" t="n"/>
      <c r="K325" s="84" t="n"/>
      <c r="L325" s="84" t="n"/>
      <c r="M325" s="84" t="n"/>
      <c r="N325" s="84" t="n"/>
      <c r="O325" s="84" t="n"/>
      <c r="P325" s="84" t="n"/>
      <c r="Q325" s="84" t="n"/>
      <c r="R325" s="84" t="n"/>
      <c r="S325" s="84" t="n"/>
      <c r="T325" s="84" t="n"/>
      <c r="U325" s="84" t="n"/>
      <c r="V325" s="84" t="n"/>
      <c r="W325" s="84" t="n"/>
      <c r="X325" s="84" t="n"/>
      <c r="Y325" s="84" t="n"/>
      <c r="Z325" s="84" t="n"/>
      <c r="AA325" s="84" t="n"/>
      <c r="AB325" s="84" t="n"/>
      <c r="AC325" s="84" t="n"/>
      <c r="AD325" s="84">
        <f>IFERROR(__xludf.DUMMYFUNCTION("""COMPUTED_VALUE"""),"8 WS")</f>
        <v/>
      </c>
    </row>
    <row r="326" ht="16.5" customHeight="1" s="176">
      <c r="A326" s="122" t="inlineStr">
        <is>
          <t>Talla Calzado MX – Mujer</t>
        </is>
      </c>
      <c r="B326" s="123" t="n">
        <v>23.5</v>
      </c>
      <c r="C326" s="123" t="n">
        <v>6.5</v>
      </c>
      <c r="D326" s="122" t="inlineStr">
        <is>
          <t>US = MX − 17 (tabla estándar; validar con fábrica)</t>
        </is>
      </c>
      <c r="E326" s="183" t="n"/>
      <c r="F326" s="84" t="n"/>
      <c r="G326" s="84" t="n"/>
      <c r="H326" s="84" t="n"/>
      <c r="I326" s="84" t="n"/>
      <c r="J326" s="84" t="n"/>
      <c r="K326" s="84" t="n"/>
      <c r="L326" s="84" t="n"/>
      <c r="M326" s="84" t="n"/>
      <c r="N326" s="84" t="n"/>
      <c r="O326" s="84" t="n"/>
      <c r="P326" s="84" t="n"/>
      <c r="Q326" s="84" t="n"/>
      <c r="R326" s="84" t="n"/>
      <c r="S326" s="84" t="n"/>
      <c r="T326" s="84" t="n"/>
      <c r="U326" s="84" t="n"/>
      <c r="V326" s="84" t="n"/>
      <c r="W326" s="84" t="n"/>
      <c r="X326" s="84" t="n"/>
      <c r="Y326" s="84" t="n"/>
      <c r="Z326" s="84" t="n"/>
      <c r="AA326" s="84" t="n"/>
      <c r="AB326" s="84" t="n"/>
      <c r="AC326" s="84" t="n"/>
      <c r="AD326" s="84">
        <f>IFERROR(__xludf.DUMMYFUNCTION("""COMPUTED_VALUE"""),"8 XSM")</f>
        <v/>
      </c>
    </row>
    <row r="327" ht="16.5" customHeight="1" s="176">
      <c r="A327" s="122" t="inlineStr">
        <is>
          <t>Talla Calzado MX – Mujer</t>
        </is>
      </c>
      <c r="B327" s="123" t="n">
        <v>24</v>
      </c>
      <c r="C327" s="123" t="n">
        <v>7</v>
      </c>
      <c r="D327" s="122" t="inlineStr">
        <is>
          <t>US = MX − 17 (tabla estándar; validar con fábrica)</t>
        </is>
      </c>
      <c r="E327" s="183" t="n"/>
      <c r="F327" s="84" t="n"/>
      <c r="G327" s="84" t="n"/>
      <c r="H327" s="84" t="n"/>
      <c r="I327" s="84" t="n"/>
      <c r="J327" s="84" t="n"/>
      <c r="K327" s="84" t="n"/>
      <c r="L327" s="84" t="n"/>
      <c r="M327" s="84" t="n"/>
      <c r="N327" s="84" t="n"/>
      <c r="O327" s="84" t="n"/>
      <c r="P327" s="84" t="n"/>
      <c r="Q327" s="84" t="n"/>
      <c r="R327" s="84" t="n"/>
      <c r="S327" s="84" t="n"/>
      <c r="T327" s="84" t="n"/>
      <c r="U327" s="84" t="n"/>
      <c r="V327" s="84" t="n"/>
      <c r="W327" s="84" t="n"/>
      <c r="X327" s="84" t="n"/>
      <c r="Y327" s="84" t="n"/>
      <c r="Z327" s="84" t="n"/>
      <c r="AA327" s="84" t="n"/>
      <c r="AB327" s="84" t="n"/>
      <c r="AC327" s="84" t="n"/>
      <c r="AD327" s="84">
        <f>IFERROR(__xludf.DUMMYFUNCTION("""COMPUTED_VALUE"""),"8 XST")</f>
        <v/>
      </c>
    </row>
    <row r="328" ht="16.5" customHeight="1" s="176">
      <c r="A328" s="122" t="inlineStr">
        <is>
          <t>Talla Calzado MX – Mujer</t>
        </is>
      </c>
      <c r="B328" s="123" t="n">
        <v>24.5</v>
      </c>
      <c r="C328" s="123" t="n">
        <v>7.5</v>
      </c>
      <c r="D328" s="122" t="inlineStr">
        <is>
          <t>US = MX − 17 (tabla estándar; validar con fábrica)</t>
        </is>
      </c>
      <c r="E328" s="183" t="n"/>
      <c r="F328" s="84" t="n"/>
      <c r="G328" s="84" t="n"/>
      <c r="H328" s="84" t="n"/>
      <c r="I328" s="84" t="n"/>
      <c r="J328" s="84" t="n"/>
      <c r="K328" s="84" t="n"/>
      <c r="L328" s="84" t="n"/>
      <c r="M328" s="84" t="n"/>
      <c r="N328" s="84" t="n"/>
      <c r="O328" s="84" t="n"/>
      <c r="P328" s="84" t="n"/>
      <c r="Q328" s="84" t="n"/>
      <c r="R328" s="84" t="n"/>
      <c r="S328" s="84" t="n"/>
      <c r="T328" s="84" t="n"/>
      <c r="U328" s="84" t="n"/>
      <c r="V328" s="84" t="n"/>
      <c r="W328" s="84" t="n"/>
      <c r="X328" s="84" t="n"/>
      <c r="Y328" s="84" t="n"/>
      <c r="Z328" s="84" t="n"/>
      <c r="AA328" s="84" t="n"/>
      <c r="AB328" s="84" t="n"/>
      <c r="AC328" s="84" t="n"/>
      <c r="AD328" s="84">
        <f>IFERROR(__xludf.DUMMYFUNCTION("""COMPUTED_VALUE"""),"8 XWM")</f>
        <v/>
      </c>
    </row>
    <row r="329" ht="16.5" customHeight="1" s="176">
      <c r="A329" s="122" t="inlineStr">
        <is>
          <t>Talla Calzado MX – Mujer</t>
        </is>
      </c>
      <c r="B329" s="123" t="n">
        <v>25</v>
      </c>
      <c r="C329" s="123" t="n">
        <v>8</v>
      </c>
      <c r="D329" s="122" t="inlineStr">
        <is>
          <t>US = MX − 17 (tabla estándar; validar con fábrica)</t>
        </is>
      </c>
      <c r="E329" s="183" t="n"/>
      <c r="F329" s="84" t="n"/>
      <c r="G329" s="84" t="n"/>
      <c r="H329" s="84" t="n"/>
      <c r="I329" s="84" t="n"/>
      <c r="J329" s="84" t="n"/>
      <c r="K329" s="84" t="n"/>
      <c r="L329" s="84" t="n"/>
      <c r="M329" s="84" t="n"/>
      <c r="N329" s="84" t="n"/>
      <c r="O329" s="84" t="n"/>
      <c r="P329" s="84" t="n"/>
      <c r="Q329" s="84" t="n"/>
      <c r="R329" s="84" t="n"/>
      <c r="S329" s="84" t="n"/>
      <c r="T329" s="84" t="n"/>
      <c r="U329" s="84" t="n"/>
      <c r="V329" s="84" t="n"/>
      <c r="W329" s="84" t="n"/>
      <c r="X329" s="84" t="n"/>
      <c r="Y329" s="84" t="n"/>
      <c r="Z329" s="84" t="n"/>
      <c r="AA329" s="84" t="n"/>
      <c r="AB329" s="84" t="n"/>
      <c r="AC329" s="84" t="n"/>
      <c r="AD329" s="84">
        <f>IFERROR(__xludf.DUMMYFUNCTION("""COMPUTED_VALUE"""),"8.5 B")</f>
        <v/>
      </c>
    </row>
    <row r="330" ht="16.5" customHeight="1" s="176">
      <c r="A330" s="122" t="inlineStr">
        <is>
          <t>Talla Calzado MX – Mujer</t>
        </is>
      </c>
      <c r="B330" s="123" t="n">
        <v>25.5</v>
      </c>
      <c r="C330" s="123" t="n">
        <v>8.5</v>
      </c>
      <c r="D330" s="122" t="inlineStr">
        <is>
          <t>US = MX − 17 (tabla estándar; validar con fábrica)</t>
        </is>
      </c>
      <c r="E330" s="183" t="n"/>
      <c r="F330" s="84" t="n"/>
      <c r="G330" s="84" t="n"/>
      <c r="H330" s="84" t="n"/>
      <c r="I330" s="84" t="n"/>
      <c r="J330" s="84" t="n"/>
      <c r="K330" s="84" t="n"/>
      <c r="L330" s="84" t="n"/>
      <c r="M330" s="84" t="n"/>
      <c r="N330" s="84" t="n"/>
      <c r="O330" s="84" t="n"/>
      <c r="P330" s="84" t="n"/>
      <c r="Q330" s="84" t="n"/>
      <c r="R330" s="84" t="n"/>
      <c r="S330" s="84" t="n"/>
      <c r="T330" s="84" t="n"/>
      <c r="U330" s="84" t="n"/>
      <c r="V330" s="84" t="n"/>
      <c r="W330" s="84" t="n"/>
      <c r="X330" s="84" t="n"/>
      <c r="Y330" s="84" t="n"/>
      <c r="Z330" s="84" t="n"/>
      <c r="AA330" s="84" t="n"/>
      <c r="AB330" s="84" t="n"/>
      <c r="AC330" s="84" t="n"/>
      <c r="AD330" s="84">
        <f>IFERROR(__xludf.DUMMYFUNCTION("""COMPUTED_VALUE"""),"8.5 C")</f>
        <v/>
      </c>
    </row>
    <row r="331" ht="16.5" customHeight="1" s="176">
      <c r="A331" s="122" t="inlineStr">
        <is>
          <t>Talla Calzado MX – Mujer</t>
        </is>
      </c>
      <c r="B331" s="123" t="n">
        <v>26</v>
      </c>
      <c r="C331" s="123" t="n">
        <v>9</v>
      </c>
      <c r="D331" s="122" t="inlineStr">
        <is>
          <t>US = MX − 17 (tabla estándar; validar con fábrica)</t>
        </is>
      </c>
      <c r="E331" s="183" t="n"/>
      <c r="F331" s="84" t="n"/>
      <c r="G331" s="84" t="n"/>
      <c r="H331" s="84" t="n"/>
      <c r="I331" s="84" t="n"/>
      <c r="J331" s="84" t="n"/>
      <c r="K331" s="84" t="n"/>
      <c r="L331" s="84" t="n"/>
      <c r="M331" s="84" t="n"/>
      <c r="N331" s="84" t="n"/>
      <c r="O331" s="84" t="n"/>
      <c r="P331" s="84" t="n"/>
      <c r="Q331" s="84" t="n"/>
      <c r="R331" s="84" t="n"/>
      <c r="S331" s="84" t="n"/>
      <c r="T331" s="84" t="n"/>
      <c r="U331" s="84" t="n"/>
      <c r="V331" s="84" t="n"/>
      <c r="W331" s="84" t="n"/>
      <c r="X331" s="84" t="n"/>
      <c r="Y331" s="84" t="n"/>
      <c r="Z331" s="84" t="n"/>
      <c r="AA331" s="84" t="n"/>
      <c r="AB331" s="84" t="n"/>
      <c r="AC331" s="84" t="n"/>
      <c r="AD331" s="84">
        <f>IFERROR(__xludf.DUMMYFUNCTION("""COMPUTED_VALUE"""),"8.5 FT")</f>
        <v/>
      </c>
    </row>
    <row r="332" ht="16.5" customHeight="1" s="176">
      <c r="A332" s="122" t="inlineStr">
        <is>
          <t>Talla Calzado MX – Mujer</t>
        </is>
      </c>
      <c r="B332" s="123" t="n">
        <v>26.5</v>
      </c>
      <c r="C332" s="123" t="n">
        <v>9.5</v>
      </c>
      <c r="D332" s="122" t="inlineStr">
        <is>
          <t>US = MX − 17 (tabla estándar; validar con fábrica)</t>
        </is>
      </c>
      <c r="E332" s="183" t="n"/>
      <c r="F332" s="84" t="n"/>
      <c r="G332" s="84" t="n"/>
      <c r="H332" s="84" t="n"/>
      <c r="I332" s="84" t="n"/>
      <c r="J332" s="84" t="n"/>
      <c r="K332" s="84" t="n"/>
      <c r="L332" s="84" t="n"/>
      <c r="M332" s="84" t="n"/>
      <c r="N332" s="84" t="n"/>
      <c r="O332" s="84" t="n"/>
      <c r="P332" s="84" t="n"/>
      <c r="Q332" s="84" t="n"/>
      <c r="R332" s="84" t="n"/>
      <c r="S332" s="84" t="n"/>
      <c r="T332" s="84" t="n"/>
      <c r="U332" s="84" t="n"/>
      <c r="V332" s="84" t="n"/>
      <c r="W332" s="84" t="n"/>
      <c r="X332" s="84" t="n"/>
      <c r="Y332" s="84" t="n"/>
      <c r="Z332" s="84" t="n"/>
      <c r="AA332" s="84" t="n"/>
      <c r="AB332" s="84" t="n"/>
      <c r="AC332" s="84" t="n"/>
      <c r="AD332" s="84">
        <f>IFERROR(__xludf.DUMMYFUNCTION("""COMPUTED_VALUE"""),"8.5 WM")</f>
        <v/>
      </c>
    </row>
    <row r="333" ht="16.5" customHeight="1" s="176">
      <c r="A333" s="122" t="inlineStr">
        <is>
          <t>Talla Calzado MX – Mujer</t>
        </is>
      </c>
      <c r="B333" s="123" t="n">
        <v>27</v>
      </c>
      <c r="C333" s="123" t="n">
        <v>10</v>
      </c>
      <c r="D333" s="122" t="inlineStr">
        <is>
          <t>US = MX − 17 (tabla estándar; validar con fábrica)</t>
        </is>
      </c>
      <c r="E333" s="183" t="n"/>
      <c r="F333" s="84" t="n"/>
      <c r="G333" s="84" t="n"/>
      <c r="H333" s="84" t="n"/>
      <c r="I333" s="84" t="n"/>
      <c r="J333" s="84" t="n"/>
      <c r="K333" s="84" t="n"/>
      <c r="L333" s="84" t="n"/>
      <c r="M333" s="84" t="n"/>
      <c r="N333" s="84" t="n"/>
      <c r="O333" s="84" t="n"/>
      <c r="P333" s="84" t="n"/>
      <c r="Q333" s="84" t="n"/>
      <c r="R333" s="84" t="n"/>
      <c r="S333" s="84" t="n"/>
      <c r="T333" s="84" t="n"/>
      <c r="U333" s="84" t="n"/>
      <c r="V333" s="84" t="n"/>
      <c r="W333" s="84" t="n"/>
      <c r="X333" s="84" t="n"/>
      <c r="Y333" s="84" t="n"/>
      <c r="Z333" s="84" t="n"/>
      <c r="AA333" s="84" t="n"/>
      <c r="AB333" s="84" t="n"/>
      <c r="AC333" s="84" t="n"/>
      <c r="AD333" s="84">
        <f>IFERROR(__xludf.DUMMYFUNCTION("""COMPUTED_VALUE"""),"8.5 WS")</f>
        <v/>
      </c>
    </row>
    <row r="334" ht="16.5" customHeight="1" s="176">
      <c r="A334" s="122" t="inlineStr">
        <is>
          <t>Talla Calzado MX – Mujer</t>
        </is>
      </c>
      <c r="B334" s="123" t="n">
        <v>27.5</v>
      </c>
      <c r="C334" s="123" t="n">
        <v>10.5</v>
      </c>
      <c r="D334" s="122" t="inlineStr">
        <is>
          <t>US = MX − 17 (tabla estándar; validar con fábrica)</t>
        </is>
      </c>
      <c r="E334" s="183" t="n"/>
      <c r="F334" s="84" t="n"/>
      <c r="G334" s="84" t="n"/>
      <c r="H334" s="84" t="n"/>
      <c r="I334" s="84" t="n"/>
      <c r="J334" s="84" t="n"/>
      <c r="K334" s="84" t="n"/>
      <c r="L334" s="84" t="n"/>
      <c r="M334" s="84" t="n"/>
      <c r="N334" s="84" t="n"/>
      <c r="O334" s="84" t="n"/>
      <c r="P334" s="84" t="n"/>
      <c r="Q334" s="84" t="n"/>
      <c r="R334" s="84" t="n"/>
      <c r="S334" s="84" t="n"/>
      <c r="T334" s="84" t="n"/>
      <c r="U334" s="84" t="n"/>
      <c r="V334" s="84" t="n"/>
      <c r="W334" s="84" t="n"/>
      <c r="X334" s="84" t="n"/>
      <c r="Y334" s="84" t="n"/>
      <c r="Z334" s="84" t="n"/>
      <c r="AA334" s="84" t="n"/>
      <c r="AB334" s="84" t="n"/>
      <c r="AC334" s="84" t="n"/>
      <c r="AD334" s="84">
        <f>IFERROR(__xludf.DUMMYFUNCTION("""COMPUTED_VALUE"""),"8.5 WT")</f>
        <v/>
      </c>
    </row>
    <row r="335" ht="30" customHeight="1" s="176">
      <c r="A335" s="122" t="inlineStr">
        <is>
          <t>Talla Calzado MX – Hombre (con ancho)</t>
        </is>
      </c>
      <c r="B335" s="123" t="n">
        <v>22</v>
      </c>
      <c r="C335" s="123" t="inlineStr">
        <is>
          <t>4 EE</t>
        </is>
      </c>
      <c r="D335" s="122" t="inlineStr">
        <is>
          <t>MX = US + 18. El sufijo (D, EE, RM, FS…) es el ancho/horma del proveedor y se captura tal cual.</t>
        </is>
      </c>
      <c r="E335" s="183" t="n"/>
      <c r="F335" s="84" t="n"/>
      <c r="G335" s="84" t="n"/>
      <c r="H335" s="84" t="n"/>
      <c r="I335" s="84" t="n"/>
      <c r="J335" s="84" t="n"/>
      <c r="K335" s="84" t="n"/>
      <c r="L335" s="84" t="n"/>
      <c r="M335" s="84" t="n"/>
      <c r="N335" s="84" t="n"/>
      <c r="O335" s="84" t="n"/>
      <c r="P335" s="84" t="n"/>
      <c r="Q335" s="84" t="n"/>
      <c r="R335" s="84" t="n"/>
      <c r="S335" s="84" t="n"/>
      <c r="T335" s="84" t="n"/>
      <c r="U335" s="84" t="n"/>
      <c r="V335" s="84" t="n"/>
      <c r="W335" s="84" t="n"/>
      <c r="X335" s="84" t="n"/>
      <c r="Y335" s="84" t="n"/>
      <c r="Z335" s="84" t="n"/>
      <c r="AA335" s="84" t="n"/>
      <c r="AB335" s="84" t="n"/>
      <c r="AC335" s="84" t="n"/>
      <c r="AD335" s="84">
        <f>IFERROR(__xludf.DUMMYFUNCTION("""COMPUTED_VALUE"""),"8.5 XSM")</f>
        <v/>
      </c>
    </row>
    <row r="336" ht="30" customHeight="1" s="176">
      <c r="A336" s="122" t="inlineStr">
        <is>
          <t>Talla Calzado MX – Hombre (con ancho)</t>
        </is>
      </c>
      <c r="B336" s="123" t="n">
        <v>23</v>
      </c>
      <c r="C336" s="123" t="inlineStr">
        <is>
          <t>5 EE</t>
        </is>
      </c>
      <c r="D336" s="122" t="inlineStr">
        <is>
          <t>Igual regla</t>
        </is>
      </c>
      <c r="E336" s="183" t="n"/>
      <c r="F336" s="84" t="n"/>
      <c r="G336" s="84" t="n"/>
      <c r="H336" s="84" t="n"/>
      <c r="I336" s="84" t="n"/>
      <c r="J336" s="84" t="n"/>
      <c r="K336" s="84" t="n"/>
      <c r="L336" s="84" t="n"/>
      <c r="M336" s="84" t="n"/>
      <c r="N336" s="84" t="n"/>
      <c r="O336" s="84" t="n"/>
      <c r="P336" s="84" t="n"/>
      <c r="Q336" s="84" t="n"/>
      <c r="R336" s="84" t="n"/>
      <c r="S336" s="84" t="n"/>
      <c r="T336" s="84" t="n"/>
      <c r="U336" s="84" t="n"/>
      <c r="V336" s="84" t="n"/>
      <c r="W336" s="84" t="n"/>
      <c r="X336" s="84" t="n"/>
      <c r="Y336" s="84" t="n"/>
      <c r="Z336" s="84" t="n"/>
      <c r="AA336" s="84" t="n"/>
      <c r="AB336" s="84" t="n"/>
      <c r="AC336" s="84" t="n"/>
      <c r="AD336" s="84">
        <f>IFERROR(__xludf.DUMMYFUNCTION("""COMPUTED_VALUE"""),"8.5 XST")</f>
        <v/>
      </c>
    </row>
    <row r="337" ht="30" customHeight="1" s="176">
      <c r="A337" s="122" t="inlineStr">
        <is>
          <t>Talla Calzado MX – Hombre (con ancho)</t>
        </is>
      </c>
      <c r="B337" s="123" t="n">
        <v>24</v>
      </c>
      <c r="C337" s="123" t="inlineStr">
        <is>
          <t>6 D</t>
        </is>
      </c>
      <c r="D337" s="122" t="inlineStr">
        <is>
          <t>Igual regla</t>
        </is>
      </c>
      <c r="E337" s="183" t="n"/>
      <c r="F337" s="84" t="n"/>
      <c r="G337" s="84" t="n"/>
      <c r="H337" s="84" t="n"/>
      <c r="I337" s="84" t="n"/>
      <c r="J337" s="84" t="n"/>
      <c r="K337" s="84" t="n"/>
      <c r="L337" s="84" t="n"/>
      <c r="M337" s="84" t="n"/>
      <c r="N337" s="84" t="n"/>
      <c r="O337" s="84" t="n"/>
      <c r="P337" s="84" t="n"/>
      <c r="Q337" s="84" t="n"/>
      <c r="R337" s="84" t="n"/>
      <c r="S337" s="84" t="n"/>
      <c r="T337" s="84" t="n"/>
      <c r="U337" s="84" t="n"/>
      <c r="V337" s="84" t="n"/>
      <c r="W337" s="84" t="n"/>
      <c r="X337" s="84" t="n"/>
      <c r="Y337" s="84" t="n"/>
      <c r="Z337" s="84" t="n"/>
      <c r="AA337" s="84" t="n"/>
      <c r="AB337" s="84" t="n"/>
      <c r="AC337" s="84" t="n"/>
      <c r="AD337" s="84">
        <f>IFERROR(__xludf.DUMMYFUNCTION("""COMPUTED_VALUE"""),"8.5 XWM")</f>
        <v/>
      </c>
    </row>
    <row r="338" ht="30" customHeight="1" s="176">
      <c r="A338" s="122" t="inlineStr">
        <is>
          <t>Talla Calzado MX – Hombre (con ancho)</t>
        </is>
      </c>
      <c r="B338" s="123" t="n">
        <v>24</v>
      </c>
      <c r="C338" s="123" t="inlineStr">
        <is>
          <t>6 EE</t>
        </is>
      </c>
      <c r="D338" s="122" t="inlineStr">
        <is>
          <t>Igual regla</t>
        </is>
      </c>
      <c r="E338" s="183" t="n"/>
      <c r="F338" s="84" t="n"/>
      <c r="G338" s="84" t="n"/>
      <c r="H338" s="84" t="n"/>
      <c r="I338" s="84" t="n"/>
      <c r="J338" s="84" t="n"/>
      <c r="K338" s="84" t="n"/>
      <c r="L338" s="84" t="n"/>
      <c r="M338" s="84" t="n"/>
      <c r="N338" s="84" t="n"/>
      <c r="O338" s="84" t="n"/>
      <c r="P338" s="84" t="n"/>
      <c r="Q338" s="84" t="n"/>
      <c r="R338" s="84" t="n"/>
      <c r="S338" s="84" t="n"/>
      <c r="T338" s="84" t="n"/>
      <c r="U338" s="84" t="n"/>
      <c r="V338" s="84" t="n"/>
      <c r="W338" s="84" t="n"/>
      <c r="X338" s="84" t="n"/>
      <c r="Y338" s="84" t="n"/>
      <c r="Z338" s="84" t="n"/>
      <c r="AA338" s="84" t="n"/>
      <c r="AB338" s="84" t="n"/>
      <c r="AC338" s="84" t="n"/>
      <c r="AD338" s="84">
        <f>IFERROR(__xludf.DUMMYFUNCTION("""COMPUTED_VALUE"""),"9 C")</f>
        <v/>
      </c>
    </row>
    <row r="339" ht="30" customHeight="1" s="176">
      <c r="A339" s="122" t="inlineStr">
        <is>
          <t>Talla Calzado MX – Hombre (con ancho)</t>
        </is>
      </c>
      <c r="B339" s="123" t="n">
        <v>24.5</v>
      </c>
      <c r="C339" s="123" t="inlineStr">
        <is>
          <t>6.5 D</t>
        </is>
      </c>
      <c r="D339" s="122" t="inlineStr">
        <is>
          <t>Igual regla</t>
        </is>
      </c>
      <c r="E339" s="183" t="n"/>
      <c r="F339" s="84" t="n"/>
      <c r="G339" s="84" t="n"/>
      <c r="H339" s="84" t="n"/>
      <c r="I339" s="84" t="n"/>
      <c r="J339" s="84" t="n"/>
      <c r="K339" s="84" t="n"/>
      <c r="L339" s="84" t="n"/>
      <c r="M339" s="84" t="n"/>
      <c r="N339" s="84" t="n"/>
      <c r="O339" s="84" t="n"/>
      <c r="P339" s="84" t="n"/>
      <c r="Q339" s="84" t="n"/>
      <c r="R339" s="84" t="n"/>
      <c r="S339" s="84" t="n"/>
      <c r="T339" s="84" t="n"/>
      <c r="U339" s="84" t="n"/>
      <c r="V339" s="84" t="n"/>
      <c r="W339" s="84" t="n"/>
      <c r="X339" s="84" t="n"/>
      <c r="Y339" s="84" t="n"/>
      <c r="Z339" s="84" t="n"/>
      <c r="AA339" s="84" t="n"/>
      <c r="AB339" s="84" t="n"/>
      <c r="AC339" s="84" t="n"/>
      <c r="AD339" s="84">
        <f>IFERROR(__xludf.DUMMYFUNCTION("""COMPUTED_VALUE"""),"9 FT")</f>
        <v/>
      </c>
    </row>
    <row r="340" ht="30" customHeight="1" s="176">
      <c r="A340" s="122" t="inlineStr">
        <is>
          <t>Talla Calzado MX – Hombre (con ancho)</t>
        </is>
      </c>
      <c r="B340" s="123" t="n">
        <v>24.5</v>
      </c>
      <c r="C340" s="123" t="inlineStr">
        <is>
          <t>6.5 EE</t>
        </is>
      </c>
      <c r="D340" s="122" t="inlineStr">
        <is>
          <t>Igual regla</t>
        </is>
      </c>
      <c r="E340" s="183" t="n"/>
      <c r="F340" s="84" t="n"/>
      <c r="G340" s="84" t="n"/>
      <c r="H340" s="84" t="n"/>
      <c r="I340" s="84" t="n"/>
      <c r="J340" s="84" t="n"/>
      <c r="K340" s="84" t="n"/>
      <c r="L340" s="84" t="n"/>
      <c r="M340" s="84" t="n"/>
      <c r="N340" s="84" t="n"/>
      <c r="O340" s="84" t="n"/>
      <c r="P340" s="84" t="n"/>
      <c r="Q340" s="84" t="n"/>
      <c r="R340" s="84" t="n"/>
      <c r="S340" s="84" t="n"/>
      <c r="T340" s="84" t="n"/>
      <c r="U340" s="84" t="n"/>
      <c r="V340" s="84" t="n"/>
      <c r="W340" s="84" t="n"/>
      <c r="X340" s="84" t="n"/>
      <c r="Y340" s="84" t="n"/>
      <c r="Z340" s="84" t="n"/>
      <c r="AA340" s="84" t="n"/>
      <c r="AB340" s="84" t="n"/>
      <c r="AC340" s="84" t="n"/>
      <c r="AD340" s="84">
        <f>IFERROR(__xludf.DUMMYFUNCTION("""COMPUTED_VALUE"""),"9 WM")</f>
        <v/>
      </c>
    </row>
    <row r="341" ht="30" customHeight="1" s="176">
      <c r="A341" s="122" t="inlineStr">
        <is>
          <t>Talla Calzado MX – Hombre (con ancho)</t>
        </is>
      </c>
      <c r="B341" s="123" t="n">
        <v>25</v>
      </c>
      <c r="C341" s="123" t="inlineStr">
        <is>
          <t>7 D</t>
        </is>
      </c>
      <c r="D341" s="122" t="inlineStr">
        <is>
          <t>Igual regla</t>
        </is>
      </c>
      <c r="E341" s="183" t="n"/>
      <c r="F341" s="84" t="n"/>
      <c r="G341" s="84" t="n"/>
      <c r="H341" s="84" t="n"/>
      <c r="I341" s="84" t="n"/>
      <c r="J341" s="84" t="n"/>
      <c r="K341" s="84" t="n"/>
      <c r="L341" s="84" t="n"/>
      <c r="M341" s="84" t="n"/>
      <c r="N341" s="84" t="n"/>
      <c r="O341" s="84" t="n"/>
      <c r="P341" s="84" t="n"/>
      <c r="Q341" s="84" t="n"/>
      <c r="R341" s="84" t="n"/>
      <c r="S341" s="84" t="n"/>
      <c r="T341" s="84" t="n"/>
      <c r="U341" s="84" t="n"/>
      <c r="V341" s="84" t="n"/>
      <c r="W341" s="84" t="n"/>
      <c r="X341" s="84" t="n"/>
      <c r="Y341" s="84" t="n"/>
      <c r="Z341" s="84" t="n"/>
      <c r="AA341" s="84" t="n"/>
      <c r="AB341" s="84" t="n"/>
      <c r="AC341" s="84" t="n"/>
      <c r="AD341" s="84">
        <f>IFERROR(__xludf.DUMMYFUNCTION("""COMPUTED_VALUE"""),"9 WS")</f>
        <v/>
      </c>
    </row>
    <row r="342" ht="30" customHeight="1" s="176">
      <c r="A342" s="122" t="inlineStr">
        <is>
          <t>Talla Calzado MX – Hombre (con ancho)</t>
        </is>
      </c>
      <c r="B342" s="123" t="n">
        <v>25</v>
      </c>
      <c r="C342" s="123" t="inlineStr">
        <is>
          <t>7 EE</t>
        </is>
      </c>
      <c r="D342" s="122" t="inlineStr">
        <is>
          <t>Igual regla</t>
        </is>
      </c>
      <c r="E342" s="183" t="n"/>
      <c r="F342" s="84" t="n"/>
      <c r="G342" s="84" t="n"/>
      <c r="H342" s="84" t="n"/>
      <c r="I342" s="84" t="n"/>
      <c r="J342" s="84" t="n"/>
      <c r="K342" s="84" t="n"/>
      <c r="L342" s="84" t="n"/>
      <c r="M342" s="84" t="n"/>
      <c r="N342" s="84" t="n"/>
      <c r="O342" s="84" t="n"/>
      <c r="P342" s="84" t="n"/>
      <c r="Q342" s="84" t="n"/>
      <c r="R342" s="84" t="n"/>
      <c r="S342" s="84" t="n"/>
      <c r="T342" s="84" t="n"/>
      <c r="U342" s="84" t="n"/>
      <c r="V342" s="84" t="n"/>
      <c r="W342" s="84" t="n"/>
      <c r="X342" s="84" t="n"/>
      <c r="Y342" s="84" t="n"/>
      <c r="Z342" s="84" t="n"/>
      <c r="AA342" s="84" t="n"/>
      <c r="AB342" s="84" t="n"/>
      <c r="AC342" s="84" t="n"/>
      <c r="AD342" s="84">
        <f>IFERROR(__xludf.DUMMYFUNCTION("""COMPUTED_VALUE"""),"9 WT")</f>
        <v/>
      </c>
    </row>
    <row r="343" ht="30" customHeight="1" s="176">
      <c r="A343" s="122" t="inlineStr">
        <is>
          <t>Talla Calzado MX – Hombre (con ancho)</t>
        </is>
      </c>
      <c r="B343" s="123" t="n">
        <v>25</v>
      </c>
      <c r="C343" s="123" t="inlineStr">
        <is>
          <t>7 FM</t>
        </is>
      </c>
      <c r="D343" s="122" t="inlineStr">
        <is>
          <t>Igual regla</t>
        </is>
      </c>
      <c r="E343" s="183" t="n"/>
      <c r="F343" s="84" t="n"/>
      <c r="G343" s="84" t="n"/>
      <c r="H343" s="84" t="n"/>
      <c r="I343" s="84" t="n"/>
      <c r="J343" s="84" t="n"/>
      <c r="K343" s="84" t="n"/>
      <c r="L343" s="84" t="n"/>
      <c r="M343" s="84" t="n"/>
      <c r="N343" s="84" t="n"/>
      <c r="O343" s="84" t="n"/>
      <c r="P343" s="84" t="n"/>
      <c r="Q343" s="84" t="n"/>
      <c r="R343" s="84" t="n"/>
      <c r="S343" s="84" t="n"/>
      <c r="T343" s="84" t="n"/>
      <c r="U343" s="84" t="n"/>
      <c r="V343" s="84" t="n"/>
      <c r="W343" s="84" t="n"/>
      <c r="X343" s="84" t="n"/>
      <c r="Y343" s="84" t="n"/>
      <c r="Z343" s="84" t="n"/>
      <c r="AA343" s="84" t="n"/>
      <c r="AB343" s="84" t="n"/>
      <c r="AC343" s="84" t="n"/>
      <c r="AD343" s="84">
        <f>IFERROR(__xludf.DUMMYFUNCTION("""COMPUTED_VALUE"""),"9 XSM")</f>
        <v/>
      </c>
    </row>
    <row r="344" ht="30" customHeight="1" s="176">
      <c r="A344" s="122" t="inlineStr">
        <is>
          <t>Talla Calzado MX – Hombre (con ancho)</t>
        </is>
      </c>
      <c r="B344" s="123" t="n">
        <v>25</v>
      </c>
      <c r="C344" s="123" t="inlineStr">
        <is>
          <t>7 FS</t>
        </is>
      </c>
      <c r="D344" s="122" t="inlineStr">
        <is>
          <t>Igual regla</t>
        </is>
      </c>
      <c r="E344" s="183" t="n"/>
      <c r="F344" s="84" t="n"/>
      <c r="G344" s="84" t="n"/>
      <c r="H344" s="84" t="n"/>
      <c r="I344" s="84" t="n"/>
      <c r="J344" s="84" t="n"/>
      <c r="K344" s="84" t="n"/>
      <c r="L344" s="84" t="n"/>
      <c r="M344" s="84" t="n"/>
      <c r="N344" s="84" t="n"/>
      <c r="O344" s="84" t="n"/>
      <c r="P344" s="84" t="n"/>
      <c r="Q344" s="84" t="n"/>
      <c r="R344" s="84" t="n"/>
      <c r="S344" s="84" t="n"/>
      <c r="T344" s="84" t="n"/>
      <c r="U344" s="84" t="n"/>
      <c r="V344" s="84" t="n"/>
      <c r="W344" s="84" t="n"/>
      <c r="X344" s="84" t="n"/>
      <c r="Y344" s="84" t="n"/>
      <c r="Z344" s="84" t="n"/>
      <c r="AA344" s="84" t="n"/>
      <c r="AB344" s="84" t="n"/>
      <c r="AC344" s="84" t="n"/>
      <c r="AD344" s="84">
        <f>IFERROR(__xludf.DUMMYFUNCTION("""COMPUTED_VALUE"""),"9 XST")</f>
        <v/>
      </c>
    </row>
    <row r="345" ht="30" customHeight="1" s="176">
      <c r="A345" s="122" t="inlineStr">
        <is>
          <t>Talla Calzado MX – Hombre (con ancho)</t>
        </is>
      </c>
      <c r="B345" s="123" t="n">
        <v>25</v>
      </c>
      <c r="C345" s="123" t="inlineStr">
        <is>
          <t>7 RM</t>
        </is>
      </c>
      <c r="D345" s="122" t="inlineStr">
        <is>
          <t>Igual regla</t>
        </is>
      </c>
      <c r="E345" s="183" t="n"/>
      <c r="F345" s="84" t="n"/>
      <c r="G345" s="84" t="n"/>
      <c r="H345" s="84" t="n"/>
      <c r="I345" s="84" t="n"/>
      <c r="J345" s="84" t="n"/>
      <c r="K345" s="84" t="n"/>
      <c r="L345" s="84" t="n"/>
      <c r="M345" s="84" t="n"/>
      <c r="N345" s="84" t="n"/>
      <c r="O345" s="84" t="n"/>
      <c r="P345" s="84" t="n"/>
      <c r="Q345" s="84" t="n"/>
      <c r="R345" s="84" t="n"/>
      <c r="S345" s="84" t="n"/>
      <c r="T345" s="84" t="n"/>
      <c r="U345" s="84" t="n"/>
      <c r="V345" s="84" t="n"/>
      <c r="W345" s="84" t="n"/>
      <c r="X345" s="84" t="n"/>
      <c r="Y345" s="84" t="n"/>
      <c r="Z345" s="84" t="n"/>
      <c r="AA345" s="84" t="n"/>
      <c r="AB345" s="84" t="n"/>
      <c r="AC345" s="84" t="n"/>
      <c r="AD345" s="84">
        <f>IFERROR(__xludf.DUMMYFUNCTION("""COMPUTED_VALUE"""),"9 XWM")</f>
        <v/>
      </c>
    </row>
    <row r="346" ht="30" customHeight="1" s="176">
      <c r="A346" s="122" t="inlineStr">
        <is>
          <t>Talla Calzado MX – Hombre (con ancho)</t>
        </is>
      </c>
      <c r="B346" s="123" t="n">
        <v>25</v>
      </c>
      <c r="C346" s="123" t="inlineStr">
        <is>
          <t>7 RS</t>
        </is>
      </c>
      <c r="D346" s="122" t="inlineStr">
        <is>
          <t>Igual regla</t>
        </is>
      </c>
      <c r="E346" s="183" t="n"/>
      <c r="F346" s="84" t="n"/>
      <c r="G346" s="84" t="n"/>
      <c r="H346" s="84" t="n"/>
      <c r="I346" s="84" t="n"/>
      <c r="J346" s="84" t="n"/>
      <c r="K346" s="84" t="n"/>
      <c r="L346" s="84" t="n"/>
      <c r="M346" s="84" t="n"/>
      <c r="N346" s="84" t="n"/>
      <c r="O346" s="84" t="n"/>
      <c r="P346" s="84" t="n"/>
      <c r="Q346" s="84" t="n"/>
      <c r="R346" s="84" t="n"/>
      <c r="S346" s="84" t="n"/>
      <c r="T346" s="84" t="n"/>
      <c r="U346" s="84" t="n"/>
      <c r="V346" s="84" t="n"/>
      <c r="W346" s="84" t="n"/>
      <c r="X346" s="84" t="n"/>
      <c r="Y346" s="84" t="n"/>
      <c r="Z346" s="84" t="n"/>
      <c r="AA346" s="84" t="n"/>
      <c r="AB346" s="84" t="n"/>
      <c r="AC346" s="84" t="n"/>
      <c r="AD346" s="84">
        <f>IFERROR(__xludf.DUMMYFUNCTION("""COMPUTED_VALUE"""),"9.5 C")</f>
        <v/>
      </c>
    </row>
    <row r="347" ht="30" customHeight="1" s="176">
      <c r="A347" s="122" t="inlineStr">
        <is>
          <t>Talla Calzado MX – Hombre (con ancho)</t>
        </is>
      </c>
      <c r="B347" s="123" t="n">
        <v>25</v>
      </c>
      <c r="C347" s="123" t="inlineStr">
        <is>
          <t>7 RT</t>
        </is>
      </c>
      <c r="D347" s="122" t="inlineStr">
        <is>
          <t>Igual regla</t>
        </is>
      </c>
      <c r="E347" s="183" t="n"/>
      <c r="F347" s="84" t="n"/>
      <c r="G347" s="84" t="n"/>
      <c r="H347" s="84" t="n"/>
      <c r="I347" s="84" t="n"/>
      <c r="J347" s="84" t="n"/>
      <c r="K347" s="84" t="n"/>
      <c r="L347" s="84" t="n"/>
      <c r="M347" s="84" t="n"/>
      <c r="N347" s="84" t="n"/>
      <c r="O347" s="84" t="n"/>
      <c r="P347" s="84" t="n"/>
      <c r="Q347" s="84" t="n"/>
      <c r="R347" s="84" t="n"/>
      <c r="S347" s="84" t="n"/>
      <c r="T347" s="84" t="n"/>
      <c r="U347" s="84" t="n"/>
      <c r="V347" s="84" t="n"/>
      <c r="W347" s="84" t="n"/>
      <c r="X347" s="84" t="n"/>
      <c r="Y347" s="84" t="n"/>
      <c r="Z347" s="84" t="n"/>
      <c r="AA347" s="84" t="n"/>
      <c r="AB347" s="84" t="n"/>
      <c r="AC347" s="84" t="n"/>
      <c r="AD347" s="84">
        <f>IFERROR(__xludf.DUMMYFUNCTION("""COMPUTED_VALUE"""),"9.5 FT")</f>
        <v/>
      </c>
    </row>
    <row r="348" ht="30" customHeight="1" s="176">
      <c r="A348" s="122" t="inlineStr">
        <is>
          <t>Talla Calzado MX – Hombre (con ancho)</t>
        </is>
      </c>
      <c r="B348" s="123" t="n">
        <v>25</v>
      </c>
      <c r="C348" s="123" t="inlineStr">
        <is>
          <t>7 SM</t>
        </is>
      </c>
      <c r="D348" s="122" t="inlineStr">
        <is>
          <t>Igual regla</t>
        </is>
      </c>
      <c r="E348" s="183" t="n"/>
      <c r="F348" s="84" t="n"/>
      <c r="G348" s="84" t="n"/>
      <c r="H348" s="84" t="n"/>
      <c r="I348" s="84" t="n"/>
      <c r="J348" s="84" t="n"/>
      <c r="K348" s="84" t="n"/>
      <c r="L348" s="84" t="n"/>
      <c r="M348" s="84" t="n"/>
      <c r="N348" s="84" t="n"/>
      <c r="O348" s="84" t="n"/>
      <c r="P348" s="84" t="n"/>
      <c r="Q348" s="84" t="n"/>
      <c r="R348" s="84" t="n"/>
      <c r="S348" s="84" t="n"/>
      <c r="T348" s="84" t="n"/>
      <c r="U348" s="84" t="n"/>
      <c r="V348" s="84" t="n"/>
      <c r="W348" s="84" t="n"/>
      <c r="X348" s="84" t="n"/>
      <c r="Y348" s="84" t="n"/>
      <c r="Z348" s="84" t="n"/>
      <c r="AA348" s="84" t="n"/>
      <c r="AB348" s="84" t="n"/>
      <c r="AC348" s="84" t="n"/>
      <c r="AD348" s="84">
        <f>IFERROR(__xludf.DUMMYFUNCTION("""COMPUTED_VALUE"""),"9.5 WM")</f>
        <v/>
      </c>
    </row>
    <row r="349" ht="30" customHeight="1" s="176">
      <c r="A349" s="122" t="inlineStr">
        <is>
          <t>Talla Calzado MX – Hombre (con ancho)</t>
        </is>
      </c>
      <c r="B349" s="123" t="n">
        <v>25</v>
      </c>
      <c r="C349" s="123" t="inlineStr">
        <is>
          <t>7 SS</t>
        </is>
      </c>
      <c r="D349" s="122" t="inlineStr">
        <is>
          <t>Igual regla</t>
        </is>
      </c>
      <c r="E349" s="183" t="n"/>
      <c r="F349" s="84" t="n"/>
      <c r="G349" s="84" t="n"/>
      <c r="H349" s="84" t="n"/>
      <c r="I349" s="84" t="n"/>
      <c r="J349" s="84" t="n"/>
      <c r="K349" s="84" t="n"/>
      <c r="L349" s="84" t="n"/>
      <c r="M349" s="84" t="n"/>
      <c r="N349" s="84" t="n"/>
      <c r="O349" s="84" t="n"/>
      <c r="P349" s="84" t="n"/>
      <c r="Q349" s="84" t="n"/>
      <c r="R349" s="84" t="n"/>
      <c r="S349" s="84" t="n"/>
      <c r="T349" s="84" t="n"/>
      <c r="U349" s="84" t="n"/>
      <c r="V349" s="84" t="n"/>
      <c r="W349" s="84" t="n"/>
      <c r="X349" s="84" t="n"/>
      <c r="Y349" s="84" t="n"/>
      <c r="Z349" s="84" t="n"/>
      <c r="AA349" s="84" t="n"/>
      <c r="AB349" s="84" t="n"/>
      <c r="AC349" s="84" t="n"/>
      <c r="AD349" s="84">
        <f>IFERROR(__xludf.DUMMYFUNCTION("""COMPUTED_VALUE"""),"9.5 WS")</f>
        <v/>
      </c>
    </row>
    <row r="350" ht="30" customHeight="1" s="176">
      <c r="A350" s="122" t="inlineStr">
        <is>
          <t>Talla Calzado MX – Hombre (con ancho)</t>
        </is>
      </c>
      <c r="B350" s="123" t="n">
        <v>25</v>
      </c>
      <c r="C350" s="123" t="inlineStr">
        <is>
          <t>7 ST</t>
        </is>
      </c>
      <c r="D350" s="122" t="inlineStr">
        <is>
          <t>Igual regla</t>
        </is>
      </c>
      <c r="E350" s="183" t="n"/>
      <c r="F350" s="84" t="n"/>
      <c r="G350" s="84" t="n"/>
      <c r="H350" s="84" t="n"/>
      <c r="I350" s="84" t="n"/>
      <c r="J350" s="84" t="n"/>
      <c r="K350" s="84" t="n"/>
      <c r="L350" s="84" t="n"/>
      <c r="M350" s="84" t="n"/>
      <c r="N350" s="84" t="n"/>
      <c r="O350" s="84" t="n"/>
      <c r="P350" s="84" t="n"/>
      <c r="Q350" s="84" t="n"/>
      <c r="R350" s="84" t="n"/>
      <c r="S350" s="84" t="n"/>
      <c r="T350" s="84" t="n"/>
      <c r="U350" s="84" t="n"/>
      <c r="V350" s="84" t="n"/>
      <c r="W350" s="84" t="n"/>
      <c r="X350" s="84" t="n"/>
      <c r="Y350" s="84" t="n"/>
      <c r="Z350" s="84" t="n"/>
      <c r="AA350" s="84" t="n"/>
      <c r="AB350" s="84" t="n"/>
      <c r="AC350" s="84" t="n"/>
      <c r="AD350" s="84">
        <f>IFERROR(__xludf.DUMMYFUNCTION("""COMPUTED_VALUE"""),"9.5 WT")</f>
        <v/>
      </c>
    </row>
    <row r="351" ht="30" customHeight="1" s="176">
      <c r="A351" s="122" t="inlineStr">
        <is>
          <t>Talla Calzado MX – Hombre (con ancho)</t>
        </is>
      </c>
      <c r="B351" s="123" t="n">
        <v>25.5</v>
      </c>
      <c r="C351" s="123" t="inlineStr">
        <is>
          <t>7.5 D</t>
        </is>
      </c>
      <c r="D351" s="122" t="inlineStr">
        <is>
          <t>Igual regla</t>
        </is>
      </c>
      <c r="E351" s="183" t="n"/>
      <c r="F351" s="84" t="n"/>
      <c r="G351" s="84" t="n"/>
      <c r="H351" s="84" t="n"/>
      <c r="I351" s="84" t="n"/>
      <c r="J351" s="84" t="n"/>
      <c r="K351" s="84" t="n"/>
      <c r="L351" s="84" t="n"/>
      <c r="M351" s="84" t="n"/>
      <c r="N351" s="84" t="n"/>
      <c r="O351" s="84" t="n"/>
      <c r="P351" s="84" t="n"/>
      <c r="Q351" s="84" t="n"/>
      <c r="R351" s="84" t="n"/>
      <c r="S351" s="84" t="n"/>
      <c r="T351" s="84" t="n"/>
      <c r="U351" s="84" t="n"/>
      <c r="V351" s="84" t="n"/>
      <c r="W351" s="84" t="n"/>
      <c r="X351" s="84" t="n"/>
      <c r="Y351" s="84" t="n"/>
      <c r="Z351" s="84" t="n"/>
      <c r="AA351" s="84" t="n"/>
      <c r="AB351" s="84" t="n"/>
      <c r="AC351" s="84" t="n"/>
      <c r="AD351" s="84">
        <f>IFERROR(__xludf.DUMMYFUNCTION("""COMPUTED_VALUE"""),"9.5 XSM")</f>
        <v/>
      </c>
    </row>
    <row r="352" ht="30" customHeight="1" s="176">
      <c r="A352" s="122" t="inlineStr">
        <is>
          <t>Talla Calzado MX – Hombre (con ancho)</t>
        </is>
      </c>
      <c r="B352" s="123" t="n">
        <v>25.5</v>
      </c>
      <c r="C352" s="123" t="inlineStr">
        <is>
          <t>7.5 EE</t>
        </is>
      </c>
      <c r="D352" s="122" t="inlineStr">
        <is>
          <t>Igual regla</t>
        </is>
      </c>
      <c r="E352" s="183" t="n"/>
      <c r="F352" s="84" t="n"/>
      <c r="G352" s="84" t="n"/>
      <c r="H352" s="84" t="n"/>
      <c r="I352" s="84" t="n"/>
      <c r="J352" s="84" t="n"/>
      <c r="K352" s="84" t="n"/>
      <c r="L352" s="84" t="n"/>
      <c r="M352" s="84" t="n"/>
      <c r="N352" s="84" t="n"/>
      <c r="O352" s="84" t="n"/>
      <c r="P352" s="84" t="n"/>
      <c r="Q352" s="84" t="n"/>
      <c r="R352" s="84" t="n"/>
      <c r="S352" s="84" t="n"/>
      <c r="T352" s="84" t="n"/>
      <c r="U352" s="84" t="n"/>
      <c r="V352" s="84" t="n"/>
      <c r="W352" s="84" t="n"/>
      <c r="X352" s="84" t="n"/>
      <c r="Y352" s="84" t="n"/>
      <c r="Z352" s="84" t="n"/>
      <c r="AA352" s="84" t="n"/>
      <c r="AB352" s="84" t="n"/>
      <c r="AC352" s="84" t="n"/>
      <c r="AD352" s="84">
        <f>IFERROR(__xludf.DUMMYFUNCTION("""COMPUTED_VALUE"""),"9.5 XST")</f>
        <v/>
      </c>
    </row>
    <row r="353" ht="30" customHeight="1" s="176">
      <c r="A353" s="122" t="inlineStr">
        <is>
          <t>Talla Calzado MX – Hombre (con ancho)</t>
        </is>
      </c>
      <c r="B353" s="123" t="n">
        <v>25.5</v>
      </c>
      <c r="C353" s="123" t="inlineStr">
        <is>
          <t>7.5 FM</t>
        </is>
      </c>
      <c r="D353" s="122" t="inlineStr">
        <is>
          <t>Igual regla</t>
        </is>
      </c>
      <c r="E353" s="183" t="n"/>
      <c r="F353" s="84" t="n"/>
      <c r="G353" s="84" t="n"/>
      <c r="H353" s="84" t="n"/>
      <c r="I353" s="84" t="n"/>
      <c r="J353" s="84" t="n"/>
      <c r="K353" s="84" t="n"/>
      <c r="L353" s="84" t="n"/>
      <c r="M353" s="84" t="n"/>
      <c r="N353" s="84" t="n"/>
      <c r="O353" s="84" t="n"/>
      <c r="P353" s="84" t="n"/>
      <c r="Q353" s="84" t="n"/>
      <c r="R353" s="84" t="n"/>
      <c r="S353" s="84" t="n"/>
      <c r="T353" s="84" t="n"/>
      <c r="U353" s="84" t="n"/>
      <c r="V353" s="84" t="n"/>
      <c r="W353" s="84" t="n"/>
      <c r="X353" s="84" t="n"/>
      <c r="Y353" s="84" t="n"/>
      <c r="Z353" s="84" t="n"/>
      <c r="AA353" s="84" t="n"/>
      <c r="AB353" s="84" t="n"/>
      <c r="AC353" s="84" t="n"/>
      <c r="AD353" s="84">
        <f>IFERROR(__xludf.DUMMYFUNCTION("""COMPUTED_VALUE"""),"9.5 XWM")</f>
        <v/>
      </c>
    </row>
    <row r="354" ht="30" customHeight="1" s="176">
      <c r="A354" s="122" t="inlineStr">
        <is>
          <t>Talla Calzado MX – Hombre (con ancho)</t>
        </is>
      </c>
      <c r="B354" s="123" t="n">
        <v>25.5</v>
      </c>
      <c r="C354" s="123" t="inlineStr">
        <is>
          <t>7.5 FS</t>
        </is>
      </c>
      <c r="D354" s="122" t="inlineStr">
        <is>
          <t>Igual regla</t>
        </is>
      </c>
      <c r="E354" s="183" t="n"/>
      <c r="F354" s="84" t="n"/>
      <c r="G354" s="84" t="n"/>
      <c r="H354" s="84" t="n"/>
      <c r="I354" s="84" t="n"/>
      <c r="J354" s="84" t="n"/>
      <c r="K354" s="84" t="n"/>
      <c r="L354" s="84" t="n"/>
      <c r="M354" s="84" t="n"/>
      <c r="N354" s="84" t="n"/>
      <c r="O354" s="84" t="n"/>
      <c r="P354" s="84" t="n"/>
      <c r="Q354" s="84" t="n"/>
      <c r="R354" s="84" t="n"/>
      <c r="S354" s="84" t="n"/>
      <c r="T354" s="84" t="n"/>
      <c r="U354" s="84" t="n"/>
      <c r="V354" s="84" t="n"/>
      <c r="W354" s="84" t="n"/>
      <c r="X354" s="84" t="n"/>
      <c r="Y354" s="84" t="n"/>
      <c r="Z354" s="84" t="n"/>
      <c r="AA354" s="84" t="n"/>
      <c r="AB354" s="84" t="n"/>
      <c r="AC354" s="84" t="n"/>
      <c r="AD354" s="84">
        <f>IFERROR(__xludf.DUMMYFUNCTION("""COMPUTED_VALUE"""),"10 C")</f>
        <v/>
      </c>
    </row>
    <row r="355" ht="30" customHeight="1" s="176">
      <c r="A355" s="122" t="inlineStr">
        <is>
          <t>Talla Calzado MX – Hombre (con ancho)</t>
        </is>
      </c>
      <c r="B355" s="123" t="n">
        <v>25.5</v>
      </c>
      <c r="C355" s="123" t="inlineStr">
        <is>
          <t>7.5 RM</t>
        </is>
      </c>
      <c r="D355" s="122" t="inlineStr">
        <is>
          <t>Igual regla</t>
        </is>
      </c>
      <c r="E355" s="183" t="n"/>
      <c r="F355" s="84" t="n"/>
      <c r="G355" s="84" t="n"/>
      <c r="H355" s="84" t="n"/>
      <c r="I355" s="84" t="n"/>
      <c r="J355" s="84" t="n"/>
      <c r="K355" s="84" t="n"/>
      <c r="L355" s="84" t="n"/>
      <c r="M355" s="84" t="n"/>
      <c r="N355" s="84" t="n"/>
      <c r="O355" s="84" t="n"/>
      <c r="P355" s="84" t="n"/>
      <c r="Q355" s="84" t="n"/>
      <c r="R355" s="84" t="n"/>
      <c r="S355" s="84" t="n"/>
      <c r="T355" s="84" t="n"/>
      <c r="U355" s="84" t="n"/>
      <c r="V355" s="84" t="n"/>
      <c r="W355" s="84" t="n"/>
      <c r="X355" s="84" t="n"/>
      <c r="Y355" s="84" t="n"/>
      <c r="Z355" s="84" t="n"/>
      <c r="AA355" s="84" t="n"/>
      <c r="AB355" s="84" t="n"/>
      <c r="AC355" s="84" t="n"/>
      <c r="AD355" s="84">
        <f>IFERROR(__xludf.DUMMYFUNCTION("""COMPUTED_VALUE"""),"10 FT")</f>
        <v/>
      </c>
    </row>
    <row r="356" ht="30" customHeight="1" s="176">
      <c r="A356" s="122" t="inlineStr">
        <is>
          <t>Talla Calzado MX – Hombre (con ancho)</t>
        </is>
      </c>
      <c r="B356" s="123" t="n">
        <v>25.5</v>
      </c>
      <c r="C356" s="123" t="inlineStr">
        <is>
          <t>7.5 RS</t>
        </is>
      </c>
      <c r="D356" s="122" t="inlineStr">
        <is>
          <t>Igual regla</t>
        </is>
      </c>
      <c r="E356" s="183" t="n"/>
      <c r="F356" s="84" t="n"/>
      <c r="G356" s="84" t="n"/>
      <c r="H356" s="84" t="n"/>
      <c r="I356" s="84" t="n"/>
      <c r="J356" s="84" t="n"/>
      <c r="K356" s="84" t="n"/>
      <c r="L356" s="84" t="n"/>
      <c r="M356" s="84" t="n"/>
      <c r="N356" s="84" t="n"/>
      <c r="O356" s="84" t="n"/>
      <c r="P356" s="84" t="n"/>
      <c r="Q356" s="84" t="n"/>
      <c r="R356" s="84" t="n"/>
      <c r="S356" s="84" t="n"/>
      <c r="T356" s="84" t="n"/>
      <c r="U356" s="84" t="n"/>
      <c r="V356" s="84" t="n"/>
      <c r="W356" s="84" t="n"/>
      <c r="X356" s="84" t="n"/>
      <c r="Y356" s="84" t="n"/>
      <c r="Z356" s="84" t="n"/>
      <c r="AA356" s="84" t="n"/>
      <c r="AB356" s="84" t="n"/>
      <c r="AC356" s="84" t="n"/>
      <c r="AD356" s="84">
        <f>IFERROR(__xludf.DUMMYFUNCTION("""COMPUTED_VALUE"""),"10 WM")</f>
        <v/>
      </c>
    </row>
    <row r="357" ht="30" customHeight="1" s="176">
      <c r="A357" s="122" t="inlineStr">
        <is>
          <t>Talla Calzado MX – Hombre (con ancho)</t>
        </is>
      </c>
      <c r="B357" s="123" t="n">
        <v>25.5</v>
      </c>
      <c r="C357" s="123" t="inlineStr">
        <is>
          <t>7.5 RT</t>
        </is>
      </c>
      <c r="D357" s="122" t="inlineStr">
        <is>
          <t>Igual regla</t>
        </is>
      </c>
      <c r="E357" s="183" t="n"/>
      <c r="F357" s="84" t="n"/>
      <c r="G357" s="84" t="n"/>
      <c r="H357" s="84" t="n"/>
      <c r="I357" s="84" t="n"/>
      <c r="J357" s="84" t="n"/>
      <c r="K357" s="84" t="n"/>
      <c r="L357" s="84" t="n"/>
      <c r="M357" s="84" t="n"/>
      <c r="N357" s="84" t="n"/>
      <c r="O357" s="84" t="n"/>
      <c r="P357" s="84" t="n"/>
      <c r="Q357" s="84" t="n"/>
      <c r="R357" s="84" t="n"/>
      <c r="S357" s="84" t="n"/>
      <c r="T357" s="84" t="n"/>
      <c r="U357" s="84" t="n"/>
      <c r="V357" s="84" t="n"/>
      <c r="W357" s="84" t="n"/>
      <c r="X357" s="84" t="n"/>
      <c r="Y357" s="84" t="n"/>
      <c r="Z357" s="84" t="n"/>
      <c r="AA357" s="84" t="n"/>
      <c r="AB357" s="84" t="n"/>
      <c r="AC357" s="84" t="n"/>
      <c r="AD357" s="84">
        <f>IFERROR(__xludf.DUMMYFUNCTION("""COMPUTED_VALUE"""),"10 WT")</f>
        <v/>
      </c>
    </row>
    <row r="358" ht="30" customHeight="1" s="176">
      <c r="A358" s="122" t="inlineStr">
        <is>
          <t>Talla Calzado MX – Hombre (con ancho)</t>
        </is>
      </c>
      <c r="B358" s="123" t="n">
        <v>25.5</v>
      </c>
      <c r="C358" s="123" t="inlineStr">
        <is>
          <t>7.5 SM</t>
        </is>
      </c>
      <c r="D358" s="122" t="inlineStr">
        <is>
          <t>Igual regla</t>
        </is>
      </c>
      <c r="E358" s="183" t="n"/>
      <c r="F358" s="84" t="n"/>
      <c r="G358" s="84" t="n"/>
      <c r="H358" s="84" t="n"/>
      <c r="I358" s="84" t="n"/>
      <c r="J358" s="84" t="n"/>
      <c r="K358" s="84" t="n"/>
      <c r="L358" s="84" t="n"/>
      <c r="M358" s="84" t="n"/>
      <c r="N358" s="84" t="n"/>
      <c r="O358" s="84" t="n"/>
      <c r="P358" s="84" t="n"/>
      <c r="Q358" s="84" t="n"/>
      <c r="R358" s="84" t="n"/>
      <c r="S358" s="84" t="n"/>
      <c r="T358" s="84" t="n"/>
      <c r="U358" s="84" t="n"/>
      <c r="V358" s="84" t="n"/>
      <c r="W358" s="84" t="n"/>
      <c r="X358" s="84" t="n"/>
      <c r="Y358" s="84" t="n"/>
      <c r="Z358" s="84" t="n"/>
      <c r="AA358" s="84" t="n"/>
      <c r="AB358" s="84" t="n"/>
      <c r="AC358" s="84" t="n"/>
      <c r="AD358" s="84">
        <f>IFERROR(__xludf.DUMMYFUNCTION("""COMPUTED_VALUE"""),"10 XST")</f>
        <v/>
      </c>
    </row>
    <row r="359" ht="30" customHeight="1" s="176">
      <c r="A359" s="122" t="inlineStr">
        <is>
          <t>Talla Calzado MX – Hombre (con ancho)</t>
        </is>
      </c>
      <c r="B359" s="123" t="n">
        <v>25.5</v>
      </c>
      <c r="C359" s="123" t="inlineStr">
        <is>
          <t>7.5 SS</t>
        </is>
      </c>
      <c r="D359" s="122" t="inlineStr">
        <is>
          <t>Igual regla</t>
        </is>
      </c>
      <c r="E359" s="183" t="n"/>
      <c r="F359" s="84" t="n"/>
      <c r="G359" s="84" t="n"/>
      <c r="H359" s="84" t="n"/>
      <c r="I359" s="84" t="n"/>
      <c r="J359" s="84" t="n"/>
      <c r="K359" s="84" t="n"/>
      <c r="L359" s="84" t="n"/>
      <c r="M359" s="84" t="n"/>
      <c r="N359" s="84" t="n"/>
      <c r="O359" s="84" t="n"/>
      <c r="P359" s="84" t="n"/>
      <c r="Q359" s="84" t="n"/>
      <c r="R359" s="84" t="n"/>
      <c r="S359" s="84" t="n"/>
      <c r="T359" s="84" t="n"/>
      <c r="U359" s="84" t="n"/>
      <c r="V359" s="84" t="n"/>
      <c r="W359" s="84" t="n"/>
      <c r="X359" s="84" t="n"/>
      <c r="Y359" s="84" t="n"/>
      <c r="Z359" s="84" t="n"/>
      <c r="AA359" s="84" t="n"/>
      <c r="AB359" s="84" t="n"/>
      <c r="AC359" s="84" t="n"/>
      <c r="AD359" s="84">
        <f>IFERROR(__xludf.DUMMYFUNCTION("""COMPUTED_VALUE"""),"10 XWM")</f>
        <v/>
      </c>
    </row>
    <row r="360" ht="30" customHeight="1" s="176">
      <c r="A360" s="122" t="inlineStr">
        <is>
          <t>Talla Calzado MX – Hombre (con ancho)</t>
        </is>
      </c>
      <c r="B360" s="123" t="n">
        <v>25.5</v>
      </c>
      <c r="C360" s="123" t="inlineStr">
        <is>
          <t>7.5 ST</t>
        </is>
      </c>
      <c r="D360" s="122" t="inlineStr">
        <is>
          <t>Igual regla</t>
        </is>
      </c>
      <c r="E360" s="183" t="n"/>
      <c r="F360" s="84" t="n"/>
      <c r="G360" s="84" t="n"/>
      <c r="H360" s="84" t="n"/>
      <c r="I360" s="84" t="n"/>
      <c r="J360" s="84" t="n"/>
      <c r="K360" s="84" t="n"/>
      <c r="L360" s="84" t="n"/>
      <c r="M360" s="84" t="n"/>
      <c r="N360" s="84" t="n"/>
      <c r="O360" s="84" t="n"/>
      <c r="P360" s="84" t="n"/>
      <c r="Q360" s="84" t="n"/>
      <c r="R360" s="84" t="n"/>
      <c r="S360" s="84" t="n"/>
      <c r="T360" s="84" t="n"/>
      <c r="U360" s="84" t="n"/>
      <c r="V360" s="84" t="n"/>
      <c r="W360" s="84" t="n"/>
      <c r="X360" s="84" t="n"/>
      <c r="Y360" s="84" t="n"/>
      <c r="Z360" s="84" t="n"/>
      <c r="AA360" s="84" t="n"/>
      <c r="AB360" s="84" t="n"/>
      <c r="AC360" s="84" t="n"/>
      <c r="AD360" s="84">
        <f>IFERROR(__xludf.DUMMYFUNCTION("""COMPUTED_VALUE"""),"11 C")</f>
        <v/>
      </c>
    </row>
    <row r="361" ht="30" customHeight="1" s="176">
      <c r="A361" s="122" t="inlineStr">
        <is>
          <t>Talla Calzado MX – Hombre (con ancho)</t>
        </is>
      </c>
      <c r="B361" s="123" t="n">
        <v>26</v>
      </c>
      <c r="C361" s="123" t="inlineStr">
        <is>
          <t>8 D</t>
        </is>
      </c>
      <c r="D361" s="122" t="inlineStr">
        <is>
          <t>Igual regla</t>
        </is>
      </c>
      <c r="E361" s="183" t="n"/>
      <c r="F361" s="84" t="n"/>
      <c r="G361" s="84" t="n"/>
      <c r="H361" s="84" t="n"/>
      <c r="I361" s="84" t="n"/>
      <c r="J361" s="84" t="n"/>
      <c r="K361" s="84" t="n"/>
      <c r="L361" s="84" t="n"/>
      <c r="M361" s="84" t="n"/>
      <c r="N361" s="84" t="n"/>
      <c r="O361" s="84" t="n"/>
      <c r="P361" s="84" t="n"/>
      <c r="Q361" s="84" t="n"/>
      <c r="R361" s="84" t="n"/>
      <c r="S361" s="84" t="n"/>
      <c r="T361" s="84" t="n"/>
      <c r="U361" s="84" t="n"/>
      <c r="V361" s="84" t="n"/>
      <c r="W361" s="84" t="n"/>
      <c r="X361" s="84" t="n"/>
      <c r="Y361" s="84" t="n"/>
      <c r="Z361" s="84" t="n"/>
      <c r="AA361" s="84" t="n"/>
      <c r="AB361" s="84" t="n"/>
      <c r="AC361" s="84" t="n"/>
      <c r="AD361" s="84">
        <f>IFERROR(__xludf.DUMMYFUNCTION("""COMPUTED_VALUE"""),"11 FT")</f>
        <v/>
      </c>
    </row>
    <row r="362" ht="30" customHeight="1" s="176">
      <c r="A362" s="122" t="inlineStr">
        <is>
          <t>Talla Calzado MX – Hombre (con ancho)</t>
        </is>
      </c>
      <c r="B362" s="123" t="n">
        <v>26</v>
      </c>
      <c r="C362" s="123" t="inlineStr">
        <is>
          <t>8 EE</t>
        </is>
      </c>
      <c r="D362" s="122" t="inlineStr">
        <is>
          <t>Igual regla</t>
        </is>
      </c>
      <c r="E362" s="183" t="n"/>
      <c r="F362" s="84" t="n"/>
      <c r="G362" s="84" t="n"/>
      <c r="H362" s="84" t="n"/>
      <c r="I362" s="84" t="n"/>
      <c r="J362" s="84" t="n"/>
      <c r="K362" s="84" t="n"/>
      <c r="L362" s="84" t="n"/>
      <c r="M362" s="84" t="n"/>
      <c r="N362" s="84" t="n"/>
      <c r="O362" s="84" t="n"/>
      <c r="P362" s="84" t="n"/>
      <c r="Q362" s="84" t="n"/>
      <c r="R362" s="84" t="n"/>
      <c r="S362" s="84" t="n"/>
      <c r="T362" s="84" t="n"/>
      <c r="U362" s="84" t="n"/>
      <c r="V362" s="84" t="n"/>
      <c r="W362" s="84" t="n"/>
      <c r="X362" s="84" t="n"/>
      <c r="Y362" s="84" t="n"/>
      <c r="Z362" s="84" t="n"/>
      <c r="AA362" s="84" t="n"/>
      <c r="AB362" s="84" t="n"/>
      <c r="AC362" s="84" t="n"/>
      <c r="AD362" s="84">
        <f>IFERROR(__xludf.DUMMYFUNCTION("""COMPUTED_VALUE"""),"11 WM")</f>
        <v/>
      </c>
    </row>
    <row r="363" ht="30" customHeight="1" s="176">
      <c r="A363" s="122" t="inlineStr">
        <is>
          <t>Talla Calzado MX – Hombre (con ancho)</t>
        </is>
      </c>
      <c r="B363" s="123" t="n">
        <v>26</v>
      </c>
      <c r="C363" s="123" t="inlineStr">
        <is>
          <t>8 FM</t>
        </is>
      </c>
      <c r="D363" s="122" t="inlineStr">
        <is>
          <t>Igual regla</t>
        </is>
      </c>
      <c r="E363" s="183" t="n"/>
      <c r="F363" s="84" t="n"/>
      <c r="G363" s="84" t="n"/>
      <c r="H363" s="84" t="n"/>
      <c r="I363" s="84" t="n"/>
      <c r="J363" s="84" t="n"/>
      <c r="K363" s="84" t="n"/>
      <c r="L363" s="84" t="n"/>
      <c r="M363" s="84" t="n"/>
      <c r="N363" s="84" t="n"/>
      <c r="O363" s="84" t="n"/>
      <c r="P363" s="84" t="n"/>
      <c r="Q363" s="84" t="n"/>
      <c r="R363" s="84" t="n"/>
      <c r="S363" s="84" t="n"/>
      <c r="T363" s="84" t="n"/>
      <c r="U363" s="84" t="n"/>
      <c r="V363" s="84" t="n"/>
      <c r="W363" s="84" t="n"/>
      <c r="X363" s="84" t="n"/>
      <c r="Y363" s="84" t="n"/>
      <c r="Z363" s="84" t="n"/>
      <c r="AA363" s="84" t="n"/>
      <c r="AB363" s="84" t="n"/>
      <c r="AC363" s="84" t="n"/>
      <c r="AD363" s="84">
        <f>IFERROR(__xludf.DUMMYFUNCTION("""COMPUTED_VALUE"""),"11 WT")</f>
        <v/>
      </c>
    </row>
    <row r="364" ht="30" customHeight="1" s="176">
      <c r="A364" s="122" t="inlineStr">
        <is>
          <t>Talla Calzado MX – Hombre (con ancho)</t>
        </is>
      </c>
      <c r="B364" s="123" t="n">
        <v>26</v>
      </c>
      <c r="C364" s="123" t="inlineStr">
        <is>
          <t>8 FS</t>
        </is>
      </c>
      <c r="D364" s="122" t="inlineStr">
        <is>
          <t>Igual regla</t>
        </is>
      </c>
      <c r="E364" s="183" t="n"/>
      <c r="F364" s="84" t="n"/>
      <c r="G364" s="84" t="n"/>
      <c r="H364" s="84" t="n"/>
      <c r="I364" s="84" t="n"/>
      <c r="J364" s="84" t="n"/>
      <c r="K364" s="84" t="n"/>
      <c r="L364" s="84" t="n"/>
      <c r="M364" s="84" t="n"/>
      <c r="N364" s="84" t="n"/>
      <c r="O364" s="84" t="n"/>
      <c r="P364" s="84" t="n"/>
      <c r="Q364" s="84" t="n"/>
      <c r="R364" s="84" t="n"/>
      <c r="S364" s="84" t="n"/>
      <c r="T364" s="84" t="n"/>
      <c r="U364" s="84" t="n"/>
      <c r="V364" s="84" t="n"/>
      <c r="W364" s="84" t="n"/>
      <c r="X364" s="84" t="n"/>
      <c r="Y364" s="84" t="n"/>
      <c r="Z364" s="84" t="n"/>
      <c r="AA364" s="84" t="n"/>
      <c r="AB364" s="84" t="n"/>
      <c r="AC364" s="84" t="n"/>
      <c r="AD364" s="84">
        <f>IFERROR(__xludf.DUMMYFUNCTION("""COMPUTED_VALUE"""),"11 XWM")</f>
        <v/>
      </c>
    </row>
    <row r="365" ht="30" customHeight="1" s="176">
      <c r="A365" s="122" t="inlineStr">
        <is>
          <t>Talla Calzado MX – Hombre (con ancho)</t>
        </is>
      </c>
      <c r="B365" s="123" t="n">
        <v>26</v>
      </c>
      <c r="C365" s="123" t="inlineStr">
        <is>
          <t>8 RM</t>
        </is>
      </c>
      <c r="D365" s="122" t="inlineStr">
        <is>
          <t>Igual regla</t>
        </is>
      </c>
      <c r="E365" s="183" t="n"/>
      <c r="F365" s="84" t="n"/>
      <c r="G365" s="84" t="n"/>
      <c r="H365" s="84" t="n"/>
      <c r="I365" s="84" t="n"/>
      <c r="J365" s="84" t="n"/>
      <c r="K365" s="84" t="n"/>
      <c r="L365" s="84" t="n"/>
      <c r="M365" s="84" t="n"/>
      <c r="N365" s="84" t="n"/>
      <c r="O365" s="84" t="n"/>
      <c r="P365" s="84" t="n"/>
      <c r="Q365" s="84" t="n"/>
      <c r="R365" s="84" t="n"/>
      <c r="S365" s="84" t="n"/>
      <c r="T365" s="84" t="n"/>
      <c r="U365" s="84" t="n"/>
      <c r="V365" s="84" t="n"/>
      <c r="W365" s="84" t="n"/>
      <c r="X365" s="84" t="n"/>
      <c r="Y365" s="84" t="n"/>
      <c r="Z365" s="84" t="n"/>
      <c r="AA365" s="84" t="n"/>
      <c r="AB365" s="84" t="n"/>
      <c r="AC365" s="84" t="n"/>
      <c r="AD365" s="84">
        <f>IFERROR(__xludf.DUMMYFUNCTION("""COMPUTED_VALUE"""),28.0)</f>
        <v/>
      </c>
    </row>
    <row r="366" ht="30" customHeight="1" s="176">
      <c r="A366" s="122" t="inlineStr">
        <is>
          <t>Talla Calzado MX – Hombre (con ancho)</t>
        </is>
      </c>
      <c r="B366" s="123" t="n">
        <v>26</v>
      </c>
      <c r="C366" s="123" t="inlineStr">
        <is>
          <t>8 RS</t>
        </is>
      </c>
      <c r="D366" s="122" t="inlineStr">
        <is>
          <t>Igual regla</t>
        </is>
      </c>
      <c r="E366" s="183" t="n"/>
      <c r="F366" s="84" t="n"/>
      <c r="G366" s="84" t="n"/>
      <c r="H366" s="84" t="n"/>
      <c r="I366" s="84" t="n"/>
      <c r="J366" s="84" t="n"/>
      <c r="K366" s="84" t="n"/>
      <c r="L366" s="84" t="n"/>
      <c r="M366" s="84" t="n"/>
      <c r="N366" s="84" t="n"/>
      <c r="O366" s="84" t="n"/>
      <c r="P366" s="84" t="n"/>
      <c r="Q366" s="84" t="n"/>
      <c r="R366" s="84" t="n"/>
      <c r="S366" s="84" t="n"/>
      <c r="T366" s="84" t="n"/>
      <c r="U366" s="84" t="n"/>
      <c r="V366" s="84" t="n"/>
      <c r="W366" s="84" t="n"/>
      <c r="X366" s="84" t="n"/>
      <c r="Y366" s="84" t="n"/>
      <c r="Z366" s="84" t="n"/>
      <c r="AA366" s="84" t="n"/>
      <c r="AB366" s="84" t="n"/>
      <c r="AC366" s="84" t="n"/>
      <c r="AD366" s="84">
        <f>IFERROR(__xludf.DUMMYFUNCTION("""COMPUTED_VALUE"""),30.0)</f>
        <v/>
      </c>
    </row>
    <row r="367" ht="30" customHeight="1" s="176">
      <c r="A367" s="122" t="inlineStr">
        <is>
          <t>Talla Calzado MX – Hombre (con ancho)</t>
        </is>
      </c>
      <c r="B367" s="123" t="n">
        <v>26</v>
      </c>
      <c r="C367" s="123" t="inlineStr">
        <is>
          <t>8 RT</t>
        </is>
      </c>
      <c r="D367" s="122" t="inlineStr">
        <is>
          <t>Igual regla</t>
        </is>
      </c>
      <c r="E367" s="183" t="n"/>
      <c r="F367" s="84" t="n"/>
      <c r="G367" s="84" t="n"/>
      <c r="H367" s="84" t="n"/>
      <c r="I367" s="84" t="n"/>
      <c r="J367" s="84" t="n"/>
      <c r="K367" s="84" t="n"/>
      <c r="L367" s="84" t="n"/>
      <c r="M367" s="84" t="n"/>
      <c r="N367" s="84" t="n"/>
      <c r="O367" s="84" t="n"/>
      <c r="P367" s="84" t="n"/>
      <c r="Q367" s="84" t="n"/>
      <c r="R367" s="84" t="n"/>
      <c r="S367" s="84" t="n"/>
      <c r="T367" s="84" t="n"/>
      <c r="U367" s="84" t="n"/>
      <c r="V367" s="84" t="n"/>
      <c r="W367" s="84" t="n"/>
      <c r="X367" s="84" t="n"/>
      <c r="Y367" s="84" t="n"/>
      <c r="Z367" s="84" t="n"/>
      <c r="AA367" s="84" t="n"/>
      <c r="AB367" s="84" t="n"/>
      <c r="AC367" s="84" t="n"/>
      <c r="AD367" s="84">
        <f>IFERROR(__xludf.DUMMYFUNCTION("""COMPUTED_VALUE"""),32.0)</f>
        <v/>
      </c>
    </row>
    <row r="368" ht="30" customHeight="1" s="176">
      <c r="A368" s="122" t="inlineStr">
        <is>
          <t>Talla Calzado MX – Hombre (con ancho)</t>
        </is>
      </c>
      <c r="B368" s="123" t="n">
        <v>26</v>
      </c>
      <c r="C368" s="123" t="inlineStr">
        <is>
          <t>8 SM</t>
        </is>
      </c>
      <c r="D368" s="122" t="inlineStr">
        <is>
          <t>Igual regla</t>
        </is>
      </c>
      <c r="E368" s="183" t="n"/>
      <c r="F368" s="84" t="n"/>
      <c r="G368" s="84" t="n"/>
      <c r="H368" s="84" t="n"/>
      <c r="I368" s="84" t="n"/>
      <c r="J368" s="84" t="n"/>
      <c r="K368" s="84" t="n"/>
      <c r="L368" s="84" t="n"/>
      <c r="M368" s="84" t="n"/>
      <c r="N368" s="84" t="n"/>
      <c r="O368" s="84" t="n"/>
      <c r="P368" s="84" t="n"/>
      <c r="Q368" s="84" t="n"/>
      <c r="R368" s="84" t="n"/>
      <c r="S368" s="84" t="n"/>
      <c r="T368" s="84" t="n"/>
      <c r="U368" s="84" t="n"/>
      <c r="V368" s="84" t="n"/>
      <c r="W368" s="84" t="n"/>
      <c r="X368" s="84" t="n"/>
      <c r="Y368" s="84" t="n"/>
      <c r="Z368" s="84" t="n"/>
      <c r="AA368" s="84" t="n"/>
      <c r="AB368" s="84" t="n"/>
      <c r="AC368" s="84" t="n"/>
      <c r="AD368" s="84">
        <f>IFERROR(__xludf.DUMMYFUNCTION("""COMPUTED_VALUE"""),34.0)</f>
        <v/>
      </c>
    </row>
    <row r="369" ht="30" customHeight="1" s="176">
      <c r="A369" s="122" t="inlineStr">
        <is>
          <t>Talla Calzado MX – Hombre (con ancho)</t>
        </is>
      </c>
      <c r="B369" s="123" t="n">
        <v>26</v>
      </c>
      <c r="C369" s="123" t="inlineStr">
        <is>
          <t>8 SS</t>
        </is>
      </c>
      <c r="D369" s="122" t="inlineStr">
        <is>
          <t>Igual regla</t>
        </is>
      </c>
      <c r="E369" s="183" t="n"/>
      <c r="F369" s="84" t="n"/>
      <c r="G369" s="84" t="n"/>
      <c r="H369" s="84" t="n"/>
      <c r="I369" s="84" t="n"/>
      <c r="J369" s="84" t="n"/>
      <c r="K369" s="84" t="n"/>
      <c r="L369" s="84" t="n"/>
      <c r="M369" s="84" t="n"/>
      <c r="N369" s="84" t="n"/>
      <c r="O369" s="84" t="n"/>
      <c r="P369" s="84" t="n"/>
      <c r="Q369" s="84" t="n"/>
      <c r="R369" s="84" t="n"/>
      <c r="S369" s="84" t="n"/>
      <c r="T369" s="84" t="n"/>
      <c r="U369" s="84" t="n"/>
      <c r="V369" s="84" t="n"/>
      <c r="W369" s="84" t="n"/>
      <c r="X369" s="84" t="n"/>
      <c r="Y369" s="84" t="n"/>
      <c r="Z369" s="84" t="n"/>
      <c r="AA369" s="84" t="n"/>
      <c r="AB369" s="84" t="n"/>
      <c r="AC369" s="84" t="n"/>
      <c r="AD369" s="84">
        <f>IFERROR(__xludf.DUMMYFUNCTION("""COMPUTED_VALUE"""),36.0)</f>
        <v/>
      </c>
    </row>
    <row r="370" ht="30" customHeight="1" s="176">
      <c r="A370" s="122" t="inlineStr">
        <is>
          <t>Talla Calzado MX – Hombre (con ancho)</t>
        </is>
      </c>
      <c r="B370" s="123" t="n">
        <v>26</v>
      </c>
      <c r="C370" s="123" t="inlineStr">
        <is>
          <t>8 ST</t>
        </is>
      </c>
      <c r="D370" s="122" t="inlineStr">
        <is>
          <t>Igual regla</t>
        </is>
      </c>
      <c r="E370" s="183" t="n"/>
      <c r="F370" s="84" t="n"/>
      <c r="G370" s="84" t="n"/>
      <c r="H370" s="84" t="n"/>
      <c r="I370" s="84" t="n"/>
      <c r="J370" s="84" t="n"/>
      <c r="K370" s="84" t="n"/>
      <c r="L370" s="84" t="n"/>
      <c r="M370" s="84" t="n"/>
      <c r="N370" s="84" t="n"/>
      <c r="O370" s="84" t="n"/>
      <c r="P370" s="84" t="n"/>
      <c r="Q370" s="84" t="n"/>
      <c r="R370" s="84" t="n"/>
      <c r="S370" s="84" t="n"/>
      <c r="T370" s="84" t="n"/>
      <c r="U370" s="84" t="n"/>
      <c r="V370" s="84" t="n"/>
      <c r="W370" s="84" t="n"/>
      <c r="X370" s="84" t="n"/>
      <c r="Y370" s="84" t="n"/>
      <c r="Z370" s="84" t="n"/>
      <c r="AA370" s="84" t="n"/>
      <c r="AB370" s="84" t="n"/>
      <c r="AC370" s="84" t="n"/>
      <c r="AD370" s="84">
        <f>IFERROR(__xludf.DUMMYFUNCTION("""COMPUTED_VALUE"""),38.0)</f>
        <v/>
      </c>
    </row>
    <row r="371" ht="30" customHeight="1" s="176">
      <c r="A371" s="122" t="inlineStr">
        <is>
          <t>Talla Calzado MX – Hombre (con ancho)</t>
        </is>
      </c>
      <c r="B371" s="123" t="n">
        <v>26</v>
      </c>
      <c r="C371" s="123" t="inlineStr">
        <is>
          <t>8 XSS</t>
        </is>
      </c>
      <c r="D371" s="122" t="inlineStr">
        <is>
          <t>Igual regla</t>
        </is>
      </c>
      <c r="E371" s="183" t="n"/>
      <c r="F371" s="84" t="n"/>
      <c r="G371" s="84" t="n"/>
      <c r="H371" s="84" t="n"/>
      <c r="I371" s="84" t="n"/>
      <c r="J371" s="84" t="n"/>
      <c r="K371" s="84" t="n"/>
      <c r="L371" s="84" t="n"/>
      <c r="M371" s="84" t="n"/>
      <c r="N371" s="84" t="n"/>
      <c r="O371" s="84" t="n"/>
      <c r="P371" s="84" t="n"/>
      <c r="Q371" s="84" t="n"/>
      <c r="R371" s="84" t="n"/>
      <c r="S371" s="84" t="n"/>
      <c r="T371" s="84" t="n"/>
      <c r="U371" s="84" t="n"/>
      <c r="V371" s="84" t="n"/>
      <c r="W371" s="84" t="n"/>
      <c r="X371" s="84" t="n"/>
      <c r="Y371" s="84" t="n"/>
      <c r="Z371" s="84" t="n"/>
      <c r="AA371" s="84" t="n"/>
      <c r="AB371" s="84" t="n"/>
      <c r="AC371" s="84" t="n"/>
      <c r="AD371" s="84">
        <f>IFERROR(__xludf.DUMMYFUNCTION("""COMPUTED_VALUE"""),40.0)</f>
        <v/>
      </c>
    </row>
    <row r="372" ht="30" customHeight="1" s="176">
      <c r="A372" s="122" t="inlineStr">
        <is>
          <t>Talla Calzado MX – Hombre (con ancho)</t>
        </is>
      </c>
      <c r="B372" s="123" t="n">
        <v>26.5</v>
      </c>
      <c r="C372" s="123" t="inlineStr">
        <is>
          <t>8.5 D</t>
        </is>
      </c>
      <c r="D372" s="122" t="inlineStr">
        <is>
          <t>Igual regla</t>
        </is>
      </c>
      <c r="E372" s="183" t="n"/>
      <c r="F372" s="84" t="n"/>
      <c r="G372" s="84" t="n"/>
      <c r="H372" s="84" t="n"/>
      <c r="I372" s="84" t="n"/>
      <c r="J372" s="84" t="n"/>
      <c r="K372" s="84" t="n"/>
      <c r="L372" s="84" t="n"/>
      <c r="M372" s="84" t="n"/>
      <c r="N372" s="84" t="n"/>
      <c r="O372" s="84" t="n"/>
      <c r="P372" s="84" t="n"/>
      <c r="Q372" s="84" t="n"/>
      <c r="R372" s="84" t="n"/>
      <c r="S372" s="84" t="n"/>
      <c r="T372" s="84" t="n"/>
      <c r="U372" s="84" t="n"/>
      <c r="V372" s="84" t="n"/>
      <c r="W372" s="84" t="n"/>
      <c r="X372" s="84" t="n"/>
      <c r="Y372" s="84" t="n"/>
      <c r="Z372" s="84" t="n"/>
      <c r="AA372" s="84" t="n"/>
      <c r="AB372" s="84" t="n"/>
      <c r="AC372" s="84" t="n"/>
      <c r="AD372" s="84">
        <f>IFERROR(__xludf.DUMMYFUNCTION("""COMPUTED_VALUE"""),42.0)</f>
        <v/>
      </c>
    </row>
    <row r="373" ht="30" customHeight="1" s="176">
      <c r="A373" s="122" t="inlineStr">
        <is>
          <t>Talla Calzado MX – Hombre (con ancho)</t>
        </is>
      </c>
      <c r="B373" s="123" t="n">
        <v>26.5</v>
      </c>
      <c r="C373" s="123" t="inlineStr">
        <is>
          <t>8.5 EE</t>
        </is>
      </c>
      <c r="D373" s="122" t="inlineStr">
        <is>
          <t>Igual regla</t>
        </is>
      </c>
      <c r="E373" s="183" t="n"/>
      <c r="F373" s="84" t="n"/>
      <c r="G373" s="84" t="n"/>
      <c r="H373" s="84" t="n"/>
      <c r="I373" s="84" t="n"/>
      <c r="J373" s="84" t="n"/>
      <c r="K373" s="84" t="n"/>
      <c r="L373" s="84" t="n"/>
      <c r="M373" s="84" t="n"/>
      <c r="N373" s="84" t="n"/>
      <c r="O373" s="84" t="n"/>
      <c r="P373" s="84" t="n"/>
      <c r="Q373" s="84" t="n"/>
      <c r="R373" s="84" t="n"/>
      <c r="S373" s="84" t="n"/>
      <c r="T373" s="84" t="n"/>
      <c r="U373" s="84" t="n"/>
      <c r="V373" s="84" t="n"/>
      <c r="W373" s="84" t="n"/>
      <c r="X373" s="84" t="n"/>
      <c r="Y373" s="84" t="n"/>
      <c r="Z373" s="84" t="n"/>
      <c r="AA373" s="84" t="n"/>
      <c r="AB373" s="84" t="n"/>
      <c r="AC373" s="84" t="n"/>
      <c r="AD373" s="84">
        <f>IFERROR(__xludf.DUMMYFUNCTION("""COMPUTED_VALUE"""),44.0)</f>
        <v/>
      </c>
    </row>
    <row r="374" ht="30" customHeight="1" s="176">
      <c r="A374" s="122" t="inlineStr">
        <is>
          <t>Talla Calzado MX – Hombre (con ancho)</t>
        </is>
      </c>
      <c r="B374" s="123" t="n">
        <v>26.5</v>
      </c>
      <c r="C374" s="123" t="inlineStr">
        <is>
          <t>8.5 FM</t>
        </is>
      </c>
      <c r="D374" s="122" t="inlineStr">
        <is>
          <t>Igual regla</t>
        </is>
      </c>
      <c r="E374" s="183" t="n"/>
      <c r="F374" s="84" t="n"/>
      <c r="G374" s="84" t="n"/>
      <c r="H374" s="84" t="n"/>
      <c r="I374" s="84" t="n"/>
      <c r="J374" s="84" t="n"/>
      <c r="K374" s="84" t="n"/>
      <c r="L374" s="84" t="n"/>
      <c r="M374" s="84" t="n"/>
      <c r="N374" s="84" t="n"/>
      <c r="O374" s="84" t="n"/>
      <c r="P374" s="84" t="n"/>
      <c r="Q374" s="84" t="n"/>
      <c r="R374" s="84" t="n"/>
      <c r="S374" s="84" t="n"/>
      <c r="T374" s="84" t="n"/>
      <c r="U374" s="84" t="n"/>
      <c r="V374" s="84" t="n"/>
      <c r="W374" s="84" t="n"/>
      <c r="X374" s="84" t="n"/>
      <c r="Y374" s="84" t="n"/>
      <c r="Z374" s="84" t="n"/>
      <c r="AA374" s="84" t="n"/>
      <c r="AB374" s="84" t="n"/>
      <c r="AC374" s="84" t="n"/>
      <c r="AD374" s="84">
        <f>IFERROR(__xludf.DUMMYFUNCTION("""COMPUTED_VALUE"""),46.0)</f>
        <v/>
      </c>
    </row>
    <row r="375" ht="30" customHeight="1" s="176">
      <c r="A375" s="122" t="inlineStr">
        <is>
          <t>Talla Calzado MX – Hombre (con ancho)</t>
        </is>
      </c>
      <c r="B375" s="123" t="n">
        <v>26.5</v>
      </c>
      <c r="C375" s="123" t="inlineStr">
        <is>
          <t>8.5 FS</t>
        </is>
      </c>
      <c r="D375" s="122" t="inlineStr">
        <is>
          <t>Igual regla</t>
        </is>
      </c>
      <c r="E375" s="183" t="n"/>
      <c r="F375" s="84" t="n"/>
      <c r="G375" s="84" t="n"/>
      <c r="H375" s="84" t="n"/>
      <c r="I375" s="84" t="n"/>
      <c r="J375" s="84" t="n"/>
      <c r="K375" s="84" t="n"/>
      <c r="L375" s="84" t="n"/>
      <c r="M375" s="84" t="n"/>
      <c r="N375" s="84" t="n"/>
      <c r="O375" s="84" t="n"/>
      <c r="P375" s="84" t="n"/>
      <c r="Q375" s="84" t="n"/>
      <c r="R375" s="84" t="n"/>
      <c r="S375" s="84" t="n"/>
      <c r="T375" s="84" t="n"/>
      <c r="U375" s="84" t="n"/>
      <c r="V375" s="84" t="n"/>
      <c r="W375" s="84" t="n"/>
      <c r="X375" s="84" t="n"/>
      <c r="Y375" s="84" t="n"/>
      <c r="Z375" s="84" t="n"/>
      <c r="AA375" s="84" t="n"/>
      <c r="AB375" s="84" t="n"/>
      <c r="AC375" s="84" t="n"/>
      <c r="AD375" s="84">
        <f>IFERROR(__xludf.DUMMYFUNCTION("""COMPUTED_VALUE"""),48.0)</f>
        <v/>
      </c>
    </row>
    <row r="376" ht="30" customHeight="1" s="176">
      <c r="A376" s="122" t="inlineStr">
        <is>
          <t>Talla Calzado MX – Hombre (con ancho)</t>
        </is>
      </c>
      <c r="B376" s="123" t="n">
        <v>26.5</v>
      </c>
      <c r="C376" s="123" t="inlineStr">
        <is>
          <t>8.5 RM</t>
        </is>
      </c>
      <c r="D376" s="122" t="inlineStr">
        <is>
          <t>Igual regla</t>
        </is>
      </c>
      <c r="E376" s="183" t="n"/>
      <c r="F376" s="84" t="n"/>
      <c r="G376" s="84" t="n"/>
      <c r="H376" s="84" t="n"/>
      <c r="I376" s="84" t="n"/>
      <c r="J376" s="84" t="n"/>
      <c r="K376" s="84" t="n"/>
      <c r="L376" s="84" t="n"/>
      <c r="M376" s="84" t="n"/>
      <c r="N376" s="84" t="n"/>
      <c r="O376" s="84" t="n"/>
      <c r="P376" s="84" t="n"/>
      <c r="Q376" s="84" t="n"/>
      <c r="R376" s="84" t="n"/>
      <c r="S376" s="84" t="n"/>
      <c r="T376" s="84" t="n"/>
      <c r="U376" s="84" t="n"/>
      <c r="V376" s="84" t="n"/>
      <c r="W376" s="84" t="n"/>
      <c r="X376" s="84" t="n"/>
      <c r="Y376" s="84" t="n"/>
      <c r="Z376" s="84" t="n"/>
      <c r="AA376" s="84" t="n"/>
      <c r="AB376" s="84" t="n"/>
      <c r="AC376" s="84" t="n"/>
      <c r="AD376" s="84">
        <f>IFERROR(__xludf.DUMMYFUNCTION("""COMPUTED_VALUE"""),50.0)</f>
        <v/>
      </c>
    </row>
    <row r="377" ht="30" customHeight="1" s="176">
      <c r="A377" s="122" t="inlineStr">
        <is>
          <t>Talla Calzado MX – Hombre (con ancho)</t>
        </is>
      </c>
      <c r="B377" s="123" t="n">
        <v>26.5</v>
      </c>
      <c r="C377" s="123" t="inlineStr">
        <is>
          <t>8.5 RS</t>
        </is>
      </c>
      <c r="D377" s="122" t="inlineStr">
        <is>
          <t>Igual regla</t>
        </is>
      </c>
      <c r="E377" s="183" t="n"/>
      <c r="F377" s="84" t="n"/>
      <c r="G377" s="84" t="n"/>
      <c r="H377" s="84" t="n"/>
      <c r="I377" s="84" t="n"/>
      <c r="J377" s="84" t="n"/>
      <c r="K377" s="84" t="n"/>
      <c r="L377" s="84" t="n"/>
      <c r="M377" s="84" t="n"/>
      <c r="N377" s="84" t="n"/>
      <c r="O377" s="84" t="n"/>
      <c r="P377" s="84" t="n"/>
      <c r="Q377" s="84" t="n"/>
      <c r="R377" s="84" t="n"/>
      <c r="S377" s="84" t="n"/>
      <c r="T377" s="84" t="n"/>
      <c r="U377" s="84" t="n"/>
      <c r="V377" s="84" t="n"/>
      <c r="W377" s="84" t="n"/>
      <c r="X377" s="84" t="n"/>
      <c r="Y377" s="84" t="n"/>
      <c r="Z377" s="84" t="n"/>
      <c r="AA377" s="84" t="n"/>
      <c r="AB377" s="84" t="n"/>
      <c r="AC377" s="84" t="n"/>
      <c r="AD377" s="84">
        <f>IFERROR(__xludf.DUMMYFUNCTION("""COMPUTED_VALUE"""),52.0)</f>
        <v/>
      </c>
    </row>
    <row r="378" ht="30" customHeight="1" s="176">
      <c r="A378" s="122" t="inlineStr">
        <is>
          <t>Talla Calzado MX – Hombre (con ancho)</t>
        </is>
      </c>
      <c r="B378" s="123" t="n">
        <v>26.5</v>
      </c>
      <c r="C378" s="123" t="inlineStr">
        <is>
          <t>8.5 RT</t>
        </is>
      </c>
      <c r="D378" s="122" t="inlineStr">
        <is>
          <t>Igual regla</t>
        </is>
      </c>
      <c r="E378" s="183" t="n"/>
      <c r="F378" s="84" t="n"/>
      <c r="G378" s="84" t="n"/>
      <c r="H378" s="84" t="n"/>
      <c r="I378" s="84" t="n"/>
      <c r="J378" s="84" t="n"/>
      <c r="K378" s="84" t="n"/>
      <c r="L378" s="84" t="n"/>
      <c r="M378" s="84" t="n"/>
      <c r="N378" s="84" t="n"/>
      <c r="O378" s="84" t="n"/>
      <c r="P378" s="84" t="n"/>
      <c r="Q378" s="84" t="n"/>
      <c r="R378" s="84" t="n"/>
      <c r="S378" s="84" t="n"/>
      <c r="T378" s="84" t="n"/>
      <c r="U378" s="84" t="n"/>
      <c r="V378" s="84" t="n"/>
      <c r="W378" s="84" t="n"/>
      <c r="X378" s="84" t="n"/>
      <c r="Y378" s="84" t="n"/>
      <c r="Z378" s="84" t="n"/>
      <c r="AA378" s="84" t="n"/>
      <c r="AB378" s="84" t="n"/>
      <c r="AC378" s="84" t="n"/>
      <c r="AD378" s="84">
        <f>IFERROR(__xludf.DUMMYFUNCTION("""COMPUTED_VALUE"""),54.0)</f>
        <v/>
      </c>
    </row>
    <row r="379" ht="30" customHeight="1" s="176">
      <c r="A379" s="122" t="inlineStr">
        <is>
          <t>Talla Calzado MX – Hombre (con ancho)</t>
        </is>
      </c>
      <c r="B379" s="123" t="n">
        <v>26.5</v>
      </c>
      <c r="C379" s="123" t="inlineStr">
        <is>
          <t>8.5 SM</t>
        </is>
      </c>
      <c r="D379" s="122" t="inlineStr">
        <is>
          <t>Igual regla</t>
        </is>
      </c>
      <c r="E379" s="183" t="n"/>
      <c r="F379" s="84" t="n"/>
      <c r="G379" s="84" t="n"/>
      <c r="H379" s="84" t="n"/>
      <c r="I379" s="84" t="n"/>
      <c r="J379" s="84" t="n"/>
      <c r="K379" s="84" t="n"/>
      <c r="L379" s="84" t="n"/>
      <c r="M379" s="84" t="n"/>
      <c r="N379" s="84" t="n"/>
      <c r="O379" s="84" t="n"/>
      <c r="P379" s="84" t="n"/>
      <c r="Q379" s="84" t="n"/>
      <c r="R379" s="84" t="n"/>
      <c r="S379" s="84" t="n"/>
      <c r="T379" s="84" t="n"/>
      <c r="U379" s="84" t="n"/>
      <c r="V379" s="84" t="n"/>
      <c r="W379" s="84" t="n"/>
      <c r="X379" s="84" t="n"/>
      <c r="Y379" s="84" t="n"/>
      <c r="Z379" s="84" t="n"/>
      <c r="AA379" s="84" t="n"/>
      <c r="AB379" s="84" t="n"/>
      <c r="AC379" s="84" t="n"/>
      <c r="AD379" s="84">
        <f>IFERROR(__xludf.DUMMYFUNCTION("""COMPUTED_VALUE"""),56.0)</f>
        <v/>
      </c>
    </row>
    <row r="380" ht="30" customHeight="1" s="176">
      <c r="A380" s="122" t="inlineStr">
        <is>
          <t>Talla Calzado MX – Hombre (con ancho)</t>
        </is>
      </c>
      <c r="B380" s="123" t="n">
        <v>26.5</v>
      </c>
      <c r="C380" s="123" t="inlineStr">
        <is>
          <t>8.5 SS</t>
        </is>
      </c>
      <c r="D380" s="122" t="inlineStr">
        <is>
          <t>Igual regla</t>
        </is>
      </c>
      <c r="E380" s="183" t="n"/>
      <c r="F380" s="84" t="n"/>
      <c r="G380" s="84" t="n"/>
      <c r="H380" s="84" t="n"/>
      <c r="I380" s="84" t="n"/>
      <c r="J380" s="84" t="n"/>
      <c r="K380" s="84" t="n"/>
      <c r="L380" s="84" t="n"/>
      <c r="M380" s="84" t="n"/>
      <c r="N380" s="84" t="n"/>
      <c r="O380" s="84" t="n"/>
      <c r="P380" s="84" t="n"/>
      <c r="Q380" s="84" t="n"/>
      <c r="R380" s="84" t="n"/>
      <c r="S380" s="84" t="n"/>
      <c r="T380" s="84" t="n"/>
      <c r="U380" s="84" t="n"/>
      <c r="V380" s="84" t="n"/>
      <c r="W380" s="84" t="n"/>
      <c r="X380" s="84" t="n"/>
      <c r="Y380" s="84" t="n"/>
      <c r="Z380" s="84" t="n"/>
      <c r="AA380" s="84" t="n"/>
      <c r="AB380" s="84" t="n"/>
      <c r="AC380" s="84" t="n"/>
      <c r="AD380" s="84">
        <f>IFERROR(__xludf.DUMMYFUNCTION("""COMPUTED_VALUE"""),58.0)</f>
        <v/>
      </c>
    </row>
    <row r="381" ht="30" customHeight="1" s="176">
      <c r="A381" s="122" t="inlineStr">
        <is>
          <t>Talla Calzado MX – Hombre (con ancho)</t>
        </is>
      </c>
      <c r="B381" s="123" t="n">
        <v>26.5</v>
      </c>
      <c r="C381" s="123" t="inlineStr">
        <is>
          <t>8.5 ST</t>
        </is>
      </c>
      <c r="D381" s="122" t="inlineStr">
        <is>
          <t>Igual regla</t>
        </is>
      </c>
      <c r="E381" s="183" t="n"/>
      <c r="F381" s="84" t="n"/>
      <c r="G381" s="84" t="n"/>
      <c r="H381" s="84" t="n"/>
      <c r="I381" s="84" t="n"/>
      <c r="J381" s="84" t="n"/>
      <c r="K381" s="84" t="n"/>
      <c r="L381" s="84" t="n"/>
      <c r="M381" s="84" t="n"/>
      <c r="N381" s="84" t="n"/>
      <c r="O381" s="84" t="n"/>
      <c r="P381" s="84" t="n"/>
      <c r="Q381" s="84" t="n"/>
      <c r="R381" s="84" t="n"/>
      <c r="S381" s="84" t="n"/>
      <c r="T381" s="84" t="n"/>
      <c r="U381" s="84" t="n"/>
      <c r="V381" s="84" t="n"/>
      <c r="W381" s="84" t="n"/>
      <c r="X381" s="84" t="n"/>
      <c r="Y381" s="84" t="n"/>
      <c r="Z381" s="84" t="n"/>
      <c r="AA381" s="84" t="n"/>
      <c r="AB381" s="84" t="n"/>
      <c r="AC381" s="84" t="n"/>
      <c r="AD381" s="84">
        <f>IFERROR(__xludf.DUMMYFUNCTION("""COMPUTED_VALUE"""),60.0)</f>
        <v/>
      </c>
    </row>
    <row r="382" ht="30" customHeight="1" s="176">
      <c r="A382" s="122" t="inlineStr">
        <is>
          <t>Talla Calzado MX – Hombre (con ancho)</t>
        </is>
      </c>
      <c r="B382" s="123" t="n">
        <v>26.5</v>
      </c>
      <c r="C382" s="123" t="inlineStr">
        <is>
          <t>8.5 XSS</t>
        </is>
      </c>
      <c r="D382" s="122" t="inlineStr">
        <is>
          <t>Igual regla</t>
        </is>
      </c>
      <c r="E382" s="183" t="n"/>
      <c r="F382" s="84" t="n"/>
      <c r="G382" s="84" t="n"/>
      <c r="H382" s="84" t="n"/>
      <c r="I382" s="84" t="n"/>
      <c r="J382" s="84" t="n"/>
      <c r="K382" s="84" t="n"/>
      <c r="L382" s="84" t="n"/>
      <c r="M382" s="84" t="n"/>
      <c r="N382" s="84" t="n"/>
      <c r="O382" s="84" t="n"/>
      <c r="P382" s="84" t="n"/>
      <c r="Q382" s="84" t="n"/>
      <c r="R382" s="84" t="n"/>
      <c r="S382" s="84" t="n"/>
      <c r="T382" s="84" t="n"/>
      <c r="U382" s="84" t="n"/>
      <c r="V382" s="84" t="n"/>
      <c r="W382" s="84" t="n"/>
      <c r="X382" s="84" t="n"/>
      <c r="Y382" s="84" t="n"/>
      <c r="Z382" s="84" t="n"/>
      <c r="AA382" s="84" t="n"/>
      <c r="AB382" s="84" t="n"/>
      <c r="AC382" s="84" t="n"/>
      <c r="AD382" s="84">
        <f>IFERROR(__xludf.DUMMYFUNCTION("""COMPUTED_VALUE"""),18.0)</f>
        <v/>
      </c>
    </row>
    <row r="383" ht="30" customHeight="1" s="176">
      <c r="A383" s="122" t="inlineStr">
        <is>
          <t>Talla Calzado MX – Hombre (con ancho)</t>
        </is>
      </c>
      <c r="B383" s="123" t="n">
        <v>27</v>
      </c>
      <c r="C383" s="123" t="inlineStr">
        <is>
          <t>9 B</t>
        </is>
      </c>
      <c r="D383" s="122" t="inlineStr">
        <is>
          <t>Igual regla</t>
        </is>
      </c>
      <c r="E383" s="183" t="n"/>
      <c r="F383" s="84" t="n"/>
      <c r="G383" s="84" t="n"/>
      <c r="H383" s="84" t="n"/>
      <c r="I383" s="84" t="n"/>
      <c r="J383" s="84" t="n"/>
      <c r="K383" s="84" t="n"/>
      <c r="L383" s="84" t="n"/>
      <c r="M383" s="84" t="n"/>
      <c r="N383" s="84" t="n"/>
      <c r="O383" s="84" t="n"/>
      <c r="P383" s="84" t="n"/>
      <c r="Q383" s="84" t="n"/>
      <c r="R383" s="84" t="n"/>
      <c r="S383" s="84" t="n"/>
      <c r="T383" s="84" t="n"/>
      <c r="U383" s="84" t="n"/>
      <c r="V383" s="84" t="n"/>
      <c r="W383" s="84" t="n"/>
      <c r="X383" s="84" t="n"/>
      <c r="Y383" s="84" t="n"/>
      <c r="Z383" s="84" t="n"/>
      <c r="AA383" s="84" t="n"/>
      <c r="AB383" s="84" t="n"/>
      <c r="AC383" s="84" t="n"/>
      <c r="AD383" s="84">
        <f>IFERROR(__xludf.DUMMYFUNCTION("""COMPUTED_VALUE"""),20.0)</f>
        <v/>
      </c>
    </row>
    <row r="384" ht="30" customHeight="1" s="176">
      <c r="A384" s="122" t="inlineStr">
        <is>
          <t>Talla Calzado MX – Hombre (con ancho)</t>
        </is>
      </c>
      <c r="B384" s="123" t="n">
        <v>27</v>
      </c>
      <c r="C384" s="123" t="inlineStr">
        <is>
          <t>9 D</t>
        </is>
      </c>
      <c r="D384" s="122" t="inlineStr">
        <is>
          <t>Igual regla</t>
        </is>
      </c>
      <c r="E384" s="183" t="n"/>
      <c r="F384" s="84" t="n"/>
      <c r="G384" s="84" t="n"/>
      <c r="H384" s="84" t="n"/>
      <c r="I384" s="84" t="n"/>
      <c r="J384" s="84" t="n"/>
      <c r="K384" s="84" t="n"/>
      <c r="L384" s="84" t="n"/>
      <c r="M384" s="84" t="n"/>
      <c r="N384" s="84" t="n"/>
      <c r="O384" s="84" t="n"/>
      <c r="P384" s="84" t="n"/>
      <c r="Q384" s="84" t="n"/>
      <c r="R384" s="84" t="n"/>
      <c r="S384" s="84" t="n"/>
      <c r="T384" s="84" t="n"/>
      <c r="U384" s="84" t="n"/>
      <c r="V384" s="84" t="n"/>
      <c r="W384" s="84" t="n"/>
      <c r="X384" s="84" t="n"/>
      <c r="Y384" s="84" t="n"/>
      <c r="Z384" s="84" t="n"/>
      <c r="AA384" s="84" t="n"/>
      <c r="AB384" s="84" t="n"/>
      <c r="AC384" s="84" t="n"/>
      <c r="AD384" s="84">
        <f>IFERROR(__xludf.DUMMYFUNCTION("""COMPUTED_VALUE"""),22.0)</f>
        <v/>
      </c>
    </row>
    <row r="385" ht="30" customHeight="1" s="176">
      <c r="A385" s="122" t="inlineStr">
        <is>
          <t>Talla Calzado MX – Hombre (con ancho)</t>
        </is>
      </c>
      <c r="B385" s="123" t="n">
        <v>27</v>
      </c>
      <c r="C385" s="123" t="inlineStr">
        <is>
          <t>9 EE</t>
        </is>
      </c>
      <c r="D385" s="122" t="inlineStr">
        <is>
          <t>Igual regla</t>
        </is>
      </c>
      <c r="E385" s="183" t="n"/>
      <c r="F385" s="84" t="n"/>
      <c r="G385" s="84" t="n"/>
      <c r="H385" s="84" t="n"/>
      <c r="I385" s="84" t="n"/>
      <c r="J385" s="84" t="n"/>
      <c r="K385" s="84" t="n"/>
      <c r="L385" s="84" t="n"/>
      <c r="M385" s="84" t="n"/>
      <c r="N385" s="84" t="n"/>
      <c r="O385" s="84" t="n"/>
      <c r="P385" s="84" t="n"/>
      <c r="Q385" s="84" t="n"/>
      <c r="R385" s="84" t="n"/>
      <c r="S385" s="84" t="n"/>
      <c r="T385" s="84" t="n"/>
      <c r="U385" s="84" t="n"/>
      <c r="V385" s="84" t="n"/>
      <c r="W385" s="84" t="n"/>
      <c r="X385" s="84" t="n"/>
      <c r="Y385" s="84" t="n"/>
      <c r="Z385" s="84" t="n"/>
      <c r="AA385" s="84" t="n"/>
      <c r="AB385" s="84" t="n"/>
      <c r="AC385" s="84" t="n"/>
      <c r="AD385" s="84">
        <f>IFERROR(__xludf.DUMMYFUNCTION("""COMPUTED_VALUE"""),24.0)</f>
        <v/>
      </c>
    </row>
    <row r="386" ht="30" customHeight="1" s="176">
      <c r="A386" s="122" t="inlineStr">
        <is>
          <t>Talla Calzado MX – Hombre (con ancho)</t>
        </is>
      </c>
      <c r="B386" s="123" t="n">
        <v>27</v>
      </c>
      <c r="C386" s="123" t="inlineStr">
        <is>
          <t>9 FM</t>
        </is>
      </c>
      <c r="D386" s="122" t="inlineStr">
        <is>
          <t>Igual regla</t>
        </is>
      </c>
      <c r="E386" s="183" t="n"/>
      <c r="F386" s="84" t="n"/>
      <c r="G386" s="84" t="n"/>
      <c r="H386" s="84" t="n"/>
      <c r="I386" s="84" t="n"/>
      <c r="J386" s="84" t="n"/>
      <c r="K386" s="84" t="n"/>
      <c r="L386" s="84" t="n"/>
      <c r="M386" s="84" t="n"/>
      <c r="N386" s="84" t="n"/>
      <c r="O386" s="84" t="n"/>
      <c r="P386" s="84" t="n"/>
      <c r="Q386" s="84" t="n"/>
      <c r="R386" s="84" t="n"/>
      <c r="S386" s="84" t="n"/>
      <c r="T386" s="84" t="n"/>
      <c r="U386" s="84" t="n"/>
      <c r="V386" s="84" t="n"/>
      <c r="W386" s="84" t="n"/>
      <c r="X386" s="84" t="n"/>
      <c r="Y386" s="84" t="n"/>
      <c r="Z386" s="84" t="n"/>
      <c r="AA386" s="84" t="n"/>
      <c r="AB386" s="84" t="n"/>
      <c r="AC386" s="84" t="n"/>
      <c r="AD386" s="84">
        <f>IFERROR(__xludf.DUMMYFUNCTION("""COMPUTED_VALUE"""),26.0)</f>
        <v/>
      </c>
    </row>
    <row r="387" ht="30" customHeight="1" s="176">
      <c r="A387" s="122" t="inlineStr">
        <is>
          <t>Talla Calzado MX – Hombre (con ancho)</t>
        </is>
      </c>
      <c r="B387" s="123" t="n">
        <v>27</v>
      </c>
      <c r="C387" s="123" t="inlineStr">
        <is>
          <t>9 FS</t>
        </is>
      </c>
      <c r="D387" s="122" t="inlineStr">
        <is>
          <t>Igual regla</t>
        </is>
      </c>
      <c r="E387" s="183" t="n"/>
      <c r="F387" s="84" t="n"/>
      <c r="G387" s="84" t="n"/>
      <c r="H387" s="84" t="n"/>
      <c r="I387" s="84" t="n"/>
      <c r="J387" s="84" t="n"/>
      <c r="K387" s="84" t="n"/>
      <c r="L387" s="84" t="n"/>
      <c r="M387" s="84" t="n"/>
      <c r="N387" s="84" t="n"/>
      <c r="O387" s="84" t="n"/>
      <c r="P387" s="84" t="n"/>
      <c r="Q387" s="84" t="n"/>
      <c r="R387" s="84" t="n"/>
      <c r="S387" s="84" t="n"/>
      <c r="T387" s="84" t="n"/>
      <c r="U387" s="84" t="n"/>
      <c r="V387" s="84" t="n"/>
      <c r="W387" s="84" t="n"/>
      <c r="X387" s="84" t="n"/>
      <c r="Y387" s="84" t="n"/>
      <c r="Z387" s="84" t="n"/>
      <c r="AA387" s="84" t="n"/>
      <c r="AB387" s="84" t="n"/>
      <c r="AC387" s="84" t="n"/>
      <c r="AD387" s="84">
        <f>IFERROR(__xludf.DUMMYFUNCTION("""COMPUTED_VALUE"""),"22W")</f>
        <v/>
      </c>
    </row>
    <row r="388" ht="30" customHeight="1" s="176">
      <c r="A388" s="122" t="inlineStr">
        <is>
          <t>Talla Calzado MX – Hombre (con ancho)</t>
        </is>
      </c>
      <c r="B388" s="123" t="n">
        <v>27</v>
      </c>
      <c r="C388" s="123" t="inlineStr">
        <is>
          <t>9 RM</t>
        </is>
      </c>
      <c r="D388" s="122" t="inlineStr">
        <is>
          <t>Igual regla</t>
        </is>
      </c>
      <c r="E388" s="183" t="n"/>
      <c r="F388" s="84" t="n"/>
      <c r="G388" s="84" t="n"/>
      <c r="H388" s="84" t="n"/>
      <c r="I388" s="84" t="n"/>
      <c r="J388" s="84" t="n"/>
      <c r="K388" s="84" t="n"/>
      <c r="L388" s="84" t="n"/>
      <c r="M388" s="84" t="n"/>
      <c r="N388" s="84" t="n"/>
      <c r="O388" s="84" t="n"/>
      <c r="P388" s="84" t="n"/>
      <c r="Q388" s="84" t="n"/>
      <c r="R388" s="84" t="n"/>
      <c r="S388" s="84" t="n"/>
      <c r="T388" s="84" t="n"/>
      <c r="U388" s="84" t="n"/>
      <c r="V388" s="84" t="n"/>
      <c r="W388" s="84" t="n"/>
      <c r="X388" s="84" t="n"/>
      <c r="Y388" s="84" t="n"/>
      <c r="Z388" s="84" t="n"/>
      <c r="AA388" s="84" t="n"/>
      <c r="AB388" s="84" t="n"/>
      <c r="AC388" s="84" t="n"/>
      <c r="AD388" s="84">
        <f>IFERROR(__xludf.DUMMYFUNCTION("""COMPUTED_VALUE"""),"23W")</f>
        <v/>
      </c>
    </row>
    <row r="389" ht="30" customHeight="1" s="176">
      <c r="A389" s="122" t="inlineStr">
        <is>
          <t>Talla Calzado MX – Hombre (con ancho)</t>
        </is>
      </c>
      <c r="B389" s="123" t="n">
        <v>27</v>
      </c>
      <c r="C389" s="123" t="inlineStr">
        <is>
          <t>9 RS</t>
        </is>
      </c>
      <c r="D389" s="122" t="inlineStr">
        <is>
          <t>Igual regla</t>
        </is>
      </c>
      <c r="E389" s="183" t="n"/>
      <c r="F389" s="84" t="n"/>
      <c r="G389" s="84" t="n"/>
      <c r="H389" s="84" t="n"/>
      <c r="I389" s="84" t="n"/>
      <c r="J389" s="84" t="n"/>
      <c r="K389" s="84" t="n"/>
      <c r="L389" s="84" t="n"/>
      <c r="M389" s="84" t="n"/>
      <c r="N389" s="84" t="n"/>
      <c r="O389" s="84" t="n"/>
      <c r="P389" s="84" t="n"/>
      <c r="Q389" s="84" t="n"/>
      <c r="R389" s="84" t="n"/>
      <c r="S389" s="84" t="n"/>
      <c r="T389" s="84" t="n"/>
      <c r="U389" s="84" t="n"/>
      <c r="V389" s="84" t="n"/>
      <c r="W389" s="84" t="n"/>
      <c r="X389" s="84" t="n"/>
      <c r="Y389" s="84" t="n"/>
      <c r="Z389" s="84" t="n"/>
      <c r="AA389" s="84" t="n"/>
      <c r="AB389" s="84" t="n"/>
      <c r="AC389" s="84" t="n"/>
      <c r="AD389" s="84">
        <f>IFERROR(__xludf.DUMMYFUNCTION("""COMPUTED_VALUE"""),"24W")</f>
        <v/>
      </c>
    </row>
    <row r="390" ht="30" customHeight="1" s="176">
      <c r="A390" s="122" t="inlineStr">
        <is>
          <t>Talla Calzado MX – Hombre (con ancho)</t>
        </is>
      </c>
      <c r="B390" s="123" t="n">
        <v>27</v>
      </c>
      <c r="C390" s="123" t="inlineStr">
        <is>
          <t>9 RT</t>
        </is>
      </c>
      <c r="D390" s="122" t="inlineStr">
        <is>
          <t>Igual regla</t>
        </is>
      </c>
      <c r="E390" s="183" t="n"/>
      <c r="F390" s="84" t="n"/>
      <c r="G390" s="84" t="n"/>
      <c r="H390" s="84" t="n"/>
      <c r="I390" s="84" t="n"/>
      <c r="J390" s="84" t="n"/>
      <c r="K390" s="84" t="n"/>
      <c r="L390" s="84" t="n"/>
      <c r="M390" s="84" t="n"/>
      <c r="N390" s="84" t="n"/>
      <c r="O390" s="84" t="n"/>
      <c r="P390" s="84" t="n"/>
      <c r="Q390" s="84" t="n"/>
      <c r="R390" s="84" t="n"/>
      <c r="S390" s="84" t="n"/>
      <c r="T390" s="84" t="n"/>
      <c r="U390" s="84" t="n"/>
      <c r="V390" s="84" t="n"/>
      <c r="W390" s="84" t="n"/>
      <c r="X390" s="84" t="n"/>
      <c r="Y390" s="84" t="n"/>
      <c r="Z390" s="84" t="n"/>
      <c r="AA390" s="84" t="n"/>
      <c r="AB390" s="84" t="n"/>
      <c r="AC390" s="84" t="n"/>
      <c r="AD390" s="84">
        <f>IFERROR(__xludf.DUMMYFUNCTION("""COMPUTED_VALUE"""),"25W")</f>
        <v/>
      </c>
    </row>
    <row r="391" ht="30" customHeight="1" s="176">
      <c r="A391" s="122" t="inlineStr">
        <is>
          <t>Talla Calzado MX – Hombre (con ancho)</t>
        </is>
      </c>
      <c r="B391" s="123" t="n">
        <v>27</v>
      </c>
      <c r="C391" s="123" t="inlineStr">
        <is>
          <t>9 SM</t>
        </is>
      </c>
      <c r="D391" s="122" t="inlineStr">
        <is>
          <t>Igual regla</t>
        </is>
      </c>
      <c r="E391" s="183" t="n"/>
      <c r="F391" s="84" t="n"/>
      <c r="G391" s="84" t="n"/>
      <c r="H391" s="84" t="n"/>
      <c r="I391" s="84" t="n"/>
      <c r="J391" s="84" t="n"/>
      <c r="K391" s="84" t="n"/>
      <c r="L391" s="84" t="n"/>
      <c r="M391" s="84" t="n"/>
      <c r="N391" s="84" t="n"/>
      <c r="O391" s="84" t="n"/>
      <c r="P391" s="84" t="n"/>
      <c r="Q391" s="84" t="n"/>
      <c r="R391" s="84" t="n"/>
      <c r="S391" s="84" t="n"/>
      <c r="T391" s="84" t="n"/>
      <c r="U391" s="84" t="n"/>
      <c r="V391" s="84" t="n"/>
      <c r="W391" s="84" t="n"/>
      <c r="X391" s="84" t="n"/>
      <c r="Y391" s="84" t="n"/>
      <c r="Z391" s="84" t="n"/>
      <c r="AA391" s="84" t="n"/>
      <c r="AB391" s="84" t="n"/>
      <c r="AC391" s="84" t="n"/>
      <c r="AD391" s="84">
        <f>IFERROR(__xludf.DUMMYFUNCTION("""COMPUTED_VALUE"""),"26W")</f>
        <v/>
      </c>
    </row>
    <row r="392" ht="30" customHeight="1" s="176">
      <c r="A392" s="122" t="inlineStr">
        <is>
          <t>Talla Calzado MX – Hombre (con ancho)</t>
        </is>
      </c>
      <c r="B392" s="123" t="n">
        <v>27</v>
      </c>
      <c r="C392" s="123" t="inlineStr">
        <is>
          <t>9 SS</t>
        </is>
      </c>
      <c r="D392" s="122" t="inlineStr">
        <is>
          <t>Igual regla</t>
        </is>
      </c>
      <c r="E392" s="183" t="n"/>
      <c r="F392" s="84" t="n"/>
      <c r="G392" s="84" t="n"/>
      <c r="H392" s="84" t="n"/>
      <c r="I392" s="84" t="n"/>
      <c r="J392" s="84" t="n"/>
      <c r="K392" s="84" t="n"/>
      <c r="L392" s="84" t="n"/>
      <c r="M392" s="84" t="n"/>
      <c r="N392" s="84" t="n"/>
      <c r="O392" s="84" t="n"/>
      <c r="P392" s="84" t="n"/>
      <c r="Q392" s="84" t="n"/>
      <c r="R392" s="84" t="n"/>
      <c r="S392" s="84" t="n"/>
      <c r="T392" s="84" t="n"/>
      <c r="U392" s="84" t="n"/>
      <c r="V392" s="84" t="n"/>
      <c r="W392" s="84" t="n"/>
      <c r="X392" s="84" t="n"/>
      <c r="Y392" s="84" t="n"/>
      <c r="Z392" s="84" t="n"/>
      <c r="AA392" s="84" t="n"/>
      <c r="AB392" s="84" t="n"/>
      <c r="AC392" s="84" t="n"/>
      <c r="AD392" s="84">
        <f>IFERROR(__xludf.DUMMYFUNCTION("""COMPUTED_VALUE"""),"27W")</f>
        <v/>
      </c>
    </row>
    <row r="393" ht="30" customHeight="1" s="176">
      <c r="A393" s="122" t="inlineStr">
        <is>
          <t>Talla Calzado MX – Hombre (con ancho)</t>
        </is>
      </c>
      <c r="B393" s="123" t="n">
        <v>27</v>
      </c>
      <c r="C393" s="123" t="inlineStr">
        <is>
          <t>9 ST</t>
        </is>
      </c>
      <c r="D393" s="122" t="inlineStr">
        <is>
          <t>Igual regla</t>
        </is>
      </c>
      <c r="E393" s="183" t="n"/>
      <c r="F393" s="84" t="n"/>
      <c r="G393" s="84" t="n"/>
      <c r="H393" s="84" t="n"/>
      <c r="I393" s="84" t="n"/>
      <c r="J393" s="84" t="n"/>
      <c r="K393" s="84" t="n"/>
      <c r="L393" s="84" t="n"/>
      <c r="M393" s="84" t="n"/>
      <c r="N393" s="84" t="n"/>
      <c r="O393" s="84" t="n"/>
      <c r="P393" s="84" t="n"/>
      <c r="Q393" s="84" t="n"/>
      <c r="R393" s="84" t="n"/>
      <c r="S393" s="84" t="n"/>
      <c r="T393" s="84" t="n"/>
      <c r="U393" s="84" t="n"/>
      <c r="V393" s="84" t="n"/>
      <c r="W393" s="84" t="n"/>
      <c r="X393" s="84" t="n"/>
      <c r="Y393" s="84" t="n"/>
      <c r="Z393" s="84" t="n"/>
      <c r="AA393" s="84" t="n"/>
      <c r="AB393" s="84" t="n"/>
      <c r="AC393" s="84" t="n"/>
      <c r="AD393" s="84">
        <f>IFERROR(__xludf.DUMMYFUNCTION("""COMPUTED_VALUE"""),"28W")</f>
        <v/>
      </c>
    </row>
    <row r="394" ht="30" customHeight="1" s="176">
      <c r="A394" s="122" t="inlineStr">
        <is>
          <t>Talla Calzado MX – Hombre (con ancho)</t>
        </is>
      </c>
      <c r="B394" s="123" t="n">
        <v>27</v>
      </c>
      <c r="C394" s="123" t="inlineStr">
        <is>
          <t>9 XSS</t>
        </is>
      </c>
      <c r="D394" s="122" t="inlineStr">
        <is>
          <t>Igual regla</t>
        </is>
      </c>
      <c r="E394" s="183" t="n"/>
      <c r="F394" s="84" t="n"/>
      <c r="G394" s="84" t="n"/>
      <c r="H394" s="84" t="n"/>
      <c r="I394" s="84" t="n"/>
      <c r="J394" s="84" t="n"/>
      <c r="K394" s="84" t="n"/>
      <c r="L394" s="84" t="n"/>
      <c r="M394" s="84" t="n"/>
      <c r="N394" s="84" t="n"/>
      <c r="O394" s="84" t="n"/>
      <c r="P394" s="84" t="n"/>
      <c r="Q394" s="84" t="n"/>
      <c r="R394" s="84" t="n"/>
      <c r="S394" s="84" t="n"/>
      <c r="T394" s="84" t="n"/>
      <c r="U394" s="84" t="n"/>
      <c r="V394" s="84" t="n"/>
      <c r="W394" s="84" t="n"/>
      <c r="X394" s="84" t="n"/>
      <c r="Y394" s="84" t="n"/>
      <c r="Z394" s="84" t="n"/>
      <c r="AA394" s="84" t="n"/>
      <c r="AB394" s="84" t="n"/>
      <c r="AC394" s="84" t="n"/>
      <c r="AD394" s="84">
        <f>IFERROR(__xludf.DUMMYFUNCTION("""COMPUTED_VALUE"""),"29W")</f>
        <v/>
      </c>
    </row>
    <row r="395" ht="30" customHeight="1" s="176">
      <c r="A395" s="122" t="inlineStr">
        <is>
          <t>Talla Calzado MX – Hombre (con ancho)</t>
        </is>
      </c>
      <c r="B395" s="123" t="n">
        <v>27.5</v>
      </c>
      <c r="C395" s="123" t="inlineStr">
        <is>
          <t>9.5 B</t>
        </is>
      </c>
      <c r="D395" s="122" t="inlineStr">
        <is>
          <t>Igual regla</t>
        </is>
      </c>
      <c r="E395" s="183" t="n"/>
      <c r="F395" s="84" t="n"/>
      <c r="G395" s="84" t="n"/>
      <c r="H395" s="84" t="n"/>
      <c r="I395" s="84" t="n"/>
      <c r="J395" s="84" t="n"/>
      <c r="K395" s="84" t="n"/>
      <c r="L395" s="84" t="n"/>
      <c r="M395" s="84" t="n"/>
      <c r="N395" s="84" t="n"/>
      <c r="O395" s="84" t="n"/>
      <c r="P395" s="84" t="n"/>
      <c r="Q395" s="84" t="n"/>
      <c r="R395" s="84" t="n"/>
      <c r="S395" s="84" t="n"/>
      <c r="T395" s="84" t="n"/>
      <c r="U395" s="84" t="n"/>
      <c r="V395" s="84" t="n"/>
      <c r="W395" s="84" t="n"/>
      <c r="X395" s="84" t="n"/>
      <c r="Y395" s="84" t="n"/>
      <c r="Z395" s="84" t="n"/>
      <c r="AA395" s="84" t="n"/>
      <c r="AB395" s="84" t="n"/>
      <c r="AC395" s="84" t="n"/>
      <c r="AD395" s="84">
        <f>IFERROR(__xludf.DUMMYFUNCTION("""COMPUTED_VALUE"""),"30W")</f>
        <v/>
      </c>
    </row>
    <row r="396" ht="30" customHeight="1" s="176">
      <c r="A396" s="122" t="inlineStr">
        <is>
          <t>Talla Calzado MX – Hombre (con ancho)</t>
        </is>
      </c>
      <c r="B396" s="123" t="n">
        <v>27.5</v>
      </c>
      <c r="C396" s="123" t="inlineStr">
        <is>
          <t>9.5 D</t>
        </is>
      </c>
      <c r="D396" s="122" t="inlineStr">
        <is>
          <t>Igual regla</t>
        </is>
      </c>
      <c r="E396" s="183" t="n"/>
      <c r="F396" s="84" t="n"/>
      <c r="G396" s="84" t="n"/>
      <c r="H396" s="84" t="n"/>
      <c r="I396" s="84" t="n"/>
      <c r="J396" s="84" t="n"/>
      <c r="K396" s="84" t="n"/>
      <c r="L396" s="84" t="n"/>
      <c r="M396" s="84" t="n"/>
      <c r="N396" s="84" t="n"/>
      <c r="O396" s="84" t="n"/>
      <c r="P396" s="84" t="n"/>
      <c r="Q396" s="84" t="n"/>
      <c r="R396" s="84" t="n"/>
      <c r="S396" s="84" t="n"/>
      <c r="T396" s="84" t="n"/>
      <c r="U396" s="84" t="n"/>
      <c r="V396" s="84" t="n"/>
      <c r="W396" s="84" t="n"/>
      <c r="X396" s="84" t="n"/>
      <c r="Y396" s="84" t="n"/>
      <c r="Z396" s="84" t="n"/>
      <c r="AA396" s="84" t="n"/>
      <c r="AB396" s="84" t="n"/>
      <c r="AC396" s="84" t="n"/>
      <c r="AD396" s="84">
        <f>IFERROR(__xludf.DUMMYFUNCTION("""COMPUTED_VALUE"""),"31W")</f>
        <v/>
      </c>
    </row>
    <row r="397" ht="30" customHeight="1" s="176">
      <c r="A397" s="122" t="inlineStr">
        <is>
          <t>Talla Calzado MX – Hombre (con ancho)</t>
        </is>
      </c>
      <c r="B397" s="123" t="n">
        <v>27.5</v>
      </c>
      <c r="C397" s="123" t="inlineStr">
        <is>
          <t>9.5 EE</t>
        </is>
      </c>
      <c r="D397" s="122" t="inlineStr">
        <is>
          <t>Igual regla</t>
        </is>
      </c>
      <c r="E397" s="183" t="n"/>
      <c r="F397" s="84" t="n"/>
      <c r="G397" s="84" t="n"/>
      <c r="H397" s="84" t="n"/>
      <c r="I397" s="84" t="n"/>
      <c r="J397" s="84" t="n"/>
      <c r="K397" s="84" t="n"/>
      <c r="L397" s="84" t="n"/>
      <c r="M397" s="84" t="n"/>
      <c r="N397" s="84" t="n"/>
      <c r="O397" s="84" t="n"/>
      <c r="P397" s="84" t="n"/>
      <c r="Q397" s="84" t="n"/>
      <c r="R397" s="84" t="n"/>
      <c r="S397" s="84" t="n"/>
      <c r="T397" s="84" t="n"/>
      <c r="U397" s="84" t="n"/>
      <c r="V397" s="84" t="n"/>
      <c r="W397" s="84" t="n"/>
      <c r="X397" s="84" t="n"/>
      <c r="Y397" s="84" t="n"/>
      <c r="Z397" s="84" t="n"/>
      <c r="AA397" s="84" t="n"/>
      <c r="AB397" s="84" t="n"/>
      <c r="AC397" s="84" t="n"/>
      <c r="AD397" s="84">
        <f>IFERROR(__xludf.DUMMYFUNCTION("""COMPUTED_VALUE"""),"32W")</f>
        <v/>
      </c>
    </row>
    <row r="398" ht="30" customHeight="1" s="176">
      <c r="A398" s="122" t="inlineStr">
        <is>
          <t>Talla Calzado MX – Hombre (con ancho)</t>
        </is>
      </c>
      <c r="B398" s="123" t="n">
        <v>27.5</v>
      </c>
      <c r="C398" s="123" t="inlineStr">
        <is>
          <t>9.5 FM</t>
        </is>
      </c>
      <c r="D398" s="122" t="inlineStr">
        <is>
          <t>Igual regla</t>
        </is>
      </c>
      <c r="E398" s="183" t="n"/>
      <c r="F398" s="84" t="n"/>
      <c r="G398" s="84" t="n"/>
      <c r="H398" s="84" t="n"/>
      <c r="I398" s="84" t="n"/>
      <c r="J398" s="84" t="n"/>
      <c r="K398" s="84" t="n"/>
      <c r="L398" s="84" t="n"/>
      <c r="M398" s="84" t="n"/>
      <c r="N398" s="84" t="n"/>
      <c r="O398" s="84" t="n"/>
      <c r="P398" s="84" t="n"/>
      <c r="Q398" s="84" t="n"/>
      <c r="R398" s="84" t="n"/>
      <c r="S398" s="84" t="n"/>
      <c r="T398" s="84" t="n"/>
      <c r="U398" s="84" t="n"/>
      <c r="V398" s="84" t="n"/>
      <c r="W398" s="84" t="n"/>
      <c r="X398" s="84" t="n"/>
      <c r="Y398" s="84" t="n"/>
      <c r="Z398" s="84" t="n"/>
      <c r="AA398" s="84" t="n"/>
      <c r="AB398" s="84" t="n"/>
      <c r="AC398" s="84" t="n"/>
      <c r="AD398" s="84">
        <f>IFERROR(__xludf.DUMMYFUNCTION("""COMPUTED_VALUE"""),"33W")</f>
        <v/>
      </c>
    </row>
    <row r="399" ht="30" customHeight="1" s="176">
      <c r="A399" s="122" t="inlineStr">
        <is>
          <t>Talla Calzado MX – Hombre (con ancho)</t>
        </is>
      </c>
      <c r="B399" s="123" t="n">
        <v>27.5</v>
      </c>
      <c r="C399" s="123" t="inlineStr">
        <is>
          <t>9.5 FS</t>
        </is>
      </c>
      <c r="D399" s="122" t="inlineStr">
        <is>
          <t>Igual regla</t>
        </is>
      </c>
      <c r="E399" s="183" t="n"/>
      <c r="F399" s="84" t="n"/>
      <c r="G399" s="84" t="n"/>
      <c r="H399" s="84" t="n"/>
      <c r="I399" s="84" t="n"/>
      <c r="J399" s="84" t="n"/>
      <c r="K399" s="84" t="n"/>
      <c r="L399" s="84" t="n"/>
      <c r="M399" s="84" t="n"/>
      <c r="N399" s="84" t="n"/>
      <c r="O399" s="84" t="n"/>
      <c r="P399" s="84" t="n"/>
      <c r="Q399" s="84" t="n"/>
      <c r="R399" s="84" t="n"/>
      <c r="S399" s="84" t="n"/>
      <c r="T399" s="84" t="n"/>
      <c r="U399" s="84" t="n"/>
      <c r="V399" s="84" t="n"/>
      <c r="W399" s="84" t="n"/>
      <c r="X399" s="84" t="n"/>
      <c r="Y399" s="84" t="n"/>
      <c r="Z399" s="84" t="n"/>
      <c r="AA399" s="84" t="n"/>
      <c r="AB399" s="84" t="n"/>
      <c r="AC399" s="84" t="n"/>
      <c r="AD399" s="84">
        <f>IFERROR(__xludf.DUMMYFUNCTION("""COMPUTED_VALUE"""),"34W")</f>
        <v/>
      </c>
    </row>
    <row r="400" ht="30" customHeight="1" s="176">
      <c r="A400" s="122" t="inlineStr">
        <is>
          <t>Talla Calzado MX – Hombre (con ancho)</t>
        </is>
      </c>
      <c r="B400" s="123" t="n">
        <v>27.5</v>
      </c>
      <c r="C400" s="123" t="inlineStr">
        <is>
          <t>9.5 RM</t>
        </is>
      </c>
      <c r="D400" s="122" t="inlineStr">
        <is>
          <t>Igual regla</t>
        </is>
      </c>
      <c r="E400" s="183" t="n"/>
      <c r="F400" s="84" t="n"/>
      <c r="G400" s="84" t="n"/>
      <c r="H400" s="84" t="n"/>
      <c r="I400" s="84" t="n"/>
      <c r="J400" s="84" t="n"/>
      <c r="K400" s="84" t="n"/>
      <c r="L400" s="84" t="n"/>
      <c r="M400" s="84" t="n"/>
      <c r="N400" s="84" t="n"/>
      <c r="O400" s="84" t="n"/>
      <c r="P400" s="84" t="n"/>
      <c r="Q400" s="84" t="n"/>
      <c r="R400" s="84" t="n"/>
      <c r="S400" s="84" t="n"/>
      <c r="T400" s="84" t="n"/>
      <c r="U400" s="84" t="n"/>
      <c r="V400" s="84" t="n"/>
      <c r="W400" s="84" t="n"/>
      <c r="X400" s="84" t="n"/>
      <c r="Y400" s="84" t="n"/>
      <c r="Z400" s="84" t="n"/>
      <c r="AA400" s="84" t="n"/>
      <c r="AB400" s="84" t="n"/>
      <c r="AC400" s="84" t="n"/>
      <c r="AD400" s="84">
        <f>IFERROR(__xludf.DUMMYFUNCTION("""COMPUTED_VALUE"""),"35W")</f>
        <v/>
      </c>
    </row>
    <row r="401" ht="30" customHeight="1" s="176">
      <c r="A401" s="122" t="inlineStr">
        <is>
          <t>Talla Calzado MX – Hombre (con ancho)</t>
        </is>
      </c>
      <c r="B401" s="123" t="n">
        <v>27.5</v>
      </c>
      <c r="C401" s="123" t="inlineStr">
        <is>
          <t>9.5 RS</t>
        </is>
      </c>
      <c r="D401" s="122" t="inlineStr">
        <is>
          <t>Igual regla</t>
        </is>
      </c>
      <c r="E401" s="183" t="n"/>
      <c r="F401" s="84" t="n"/>
      <c r="G401" s="84" t="n"/>
      <c r="H401" s="84" t="n"/>
      <c r="I401" s="84" t="n"/>
      <c r="J401" s="84" t="n"/>
      <c r="K401" s="84" t="n"/>
      <c r="L401" s="84" t="n"/>
      <c r="M401" s="84" t="n"/>
      <c r="N401" s="84" t="n"/>
      <c r="O401" s="84" t="n"/>
      <c r="P401" s="84" t="n"/>
      <c r="Q401" s="84" t="n"/>
      <c r="R401" s="84" t="n"/>
      <c r="S401" s="84" t="n"/>
      <c r="T401" s="84" t="n"/>
      <c r="U401" s="84" t="n"/>
      <c r="V401" s="84" t="n"/>
      <c r="W401" s="84" t="n"/>
      <c r="X401" s="84" t="n"/>
      <c r="Y401" s="84" t="n"/>
      <c r="Z401" s="84" t="n"/>
      <c r="AA401" s="84" t="n"/>
      <c r="AB401" s="84" t="n"/>
      <c r="AC401" s="84" t="n"/>
      <c r="AD401" s="84">
        <f>IFERROR(__xludf.DUMMYFUNCTION("""COMPUTED_VALUE"""),"36W")</f>
        <v/>
      </c>
    </row>
    <row r="402" ht="30" customHeight="1" s="176">
      <c r="A402" s="122" t="inlineStr">
        <is>
          <t>Talla Calzado MX – Hombre (con ancho)</t>
        </is>
      </c>
      <c r="B402" s="123" t="n">
        <v>27.5</v>
      </c>
      <c r="C402" s="123" t="inlineStr">
        <is>
          <t>9.5 RT</t>
        </is>
      </c>
      <c r="D402" s="122" t="inlineStr">
        <is>
          <t>Igual regla</t>
        </is>
      </c>
      <c r="E402" s="183" t="n"/>
      <c r="F402" s="84" t="n"/>
      <c r="G402" s="84" t="n"/>
      <c r="H402" s="84" t="n"/>
      <c r="I402" s="84" t="n"/>
      <c r="J402" s="84" t="n"/>
      <c r="K402" s="84" t="n"/>
      <c r="L402" s="84" t="n"/>
      <c r="M402" s="84" t="n"/>
      <c r="N402" s="84" t="n"/>
      <c r="O402" s="84" t="n"/>
      <c r="P402" s="84" t="n"/>
      <c r="Q402" s="84" t="n"/>
      <c r="R402" s="84" t="n"/>
      <c r="S402" s="84" t="n"/>
      <c r="T402" s="84" t="n"/>
      <c r="U402" s="84" t="n"/>
      <c r="V402" s="84" t="n"/>
      <c r="W402" s="84" t="n"/>
      <c r="X402" s="84" t="n"/>
      <c r="Y402" s="84" t="n"/>
      <c r="Z402" s="84" t="n"/>
      <c r="AA402" s="84" t="n"/>
      <c r="AB402" s="84" t="n"/>
      <c r="AC402" s="84" t="n"/>
      <c r="AD402" s="84">
        <f>IFERROR(__xludf.DUMMYFUNCTION("""COMPUTED_VALUE"""),"37W")</f>
        <v/>
      </c>
    </row>
    <row r="403" ht="30" customHeight="1" s="176">
      <c r="A403" s="122" t="inlineStr">
        <is>
          <t>Talla Calzado MX – Hombre (con ancho)</t>
        </is>
      </c>
      <c r="B403" s="123" t="n">
        <v>27.5</v>
      </c>
      <c r="C403" s="123" t="inlineStr">
        <is>
          <t>9.5 SM</t>
        </is>
      </c>
      <c r="D403" s="122" t="inlineStr">
        <is>
          <t>Igual regla</t>
        </is>
      </c>
      <c r="E403" s="183" t="n"/>
      <c r="F403" s="84" t="n"/>
      <c r="G403" s="84" t="n"/>
      <c r="H403" s="84" t="n"/>
      <c r="I403" s="84" t="n"/>
      <c r="J403" s="84" t="n"/>
      <c r="K403" s="84" t="n"/>
      <c r="L403" s="84" t="n"/>
      <c r="M403" s="84" t="n"/>
      <c r="N403" s="84" t="n"/>
      <c r="O403" s="84" t="n"/>
      <c r="P403" s="84" t="n"/>
      <c r="Q403" s="84" t="n"/>
      <c r="R403" s="84" t="n"/>
      <c r="S403" s="84" t="n"/>
      <c r="T403" s="84" t="n"/>
      <c r="U403" s="84" t="n"/>
      <c r="V403" s="84" t="n"/>
      <c r="W403" s="84" t="n"/>
      <c r="X403" s="84" t="n"/>
      <c r="Y403" s="84" t="n"/>
      <c r="Z403" s="84" t="n"/>
      <c r="AA403" s="84" t="n"/>
      <c r="AB403" s="84" t="n"/>
      <c r="AC403" s="84" t="n"/>
      <c r="AD403" s="84">
        <f>IFERROR(__xludf.DUMMYFUNCTION("""COMPUTED_VALUE"""),"38W")</f>
        <v/>
      </c>
    </row>
    <row r="404" ht="30" customHeight="1" s="176">
      <c r="A404" s="122" t="inlineStr">
        <is>
          <t>Talla Calzado MX – Hombre (con ancho)</t>
        </is>
      </c>
      <c r="B404" s="123" t="n">
        <v>27.5</v>
      </c>
      <c r="C404" s="123" t="inlineStr">
        <is>
          <t>9.5 SS</t>
        </is>
      </c>
      <c r="D404" s="122" t="inlineStr">
        <is>
          <t>Igual regla</t>
        </is>
      </c>
      <c r="E404" s="183" t="n"/>
      <c r="F404" s="84" t="n"/>
      <c r="G404" s="84" t="n"/>
      <c r="H404" s="84" t="n"/>
      <c r="I404" s="84" t="n"/>
      <c r="J404" s="84" t="n"/>
      <c r="K404" s="84" t="n"/>
      <c r="L404" s="84" t="n"/>
      <c r="M404" s="84" t="n"/>
      <c r="N404" s="84" t="n"/>
      <c r="O404" s="84" t="n"/>
      <c r="P404" s="84" t="n"/>
      <c r="Q404" s="84" t="n"/>
      <c r="R404" s="84" t="n"/>
      <c r="S404" s="84" t="n"/>
      <c r="T404" s="84" t="n"/>
      <c r="U404" s="84" t="n"/>
      <c r="V404" s="84" t="n"/>
      <c r="W404" s="84" t="n"/>
      <c r="X404" s="84" t="n"/>
      <c r="Y404" s="84" t="n"/>
      <c r="Z404" s="84" t="n"/>
      <c r="AA404" s="84" t="n"/>
      <c r="AB404" s="84" t="n"/>
      <c r="AC404" s="84" t="n"/>
      <c r="AD404" s="84">
        <f>IFERROR(__xludf.DUMMYFUNCTION("""COMPUTED_VALUE"""),"39W")</f>
        <v/>
      </c>
    </row>
    <row r="405" ht="30" customHeight="1" s="176">
      <c r="A405" s="122" t="inlineStr">
        <is>
          <t>Talla Calzado MX – Hombre (con ancho)</t>
        </is>
      </c>
      <c r="B405" s="123" t="n">
        <v>27.5</v>
      </c>
      <c r="C405" s="123" t="inlineStr">
        <is>
          <t>9.5 ST</t>
        </is>
      </c>
      <c r="D405" s="122" t="inlineStr">
        <is>
          <t>Igual regla</t>
        </is>
      </c>
      <c r="E405" s="183" t="n"/>
      <c r="F405" s="84" t="n"/>
      <c r="G405" s="84" t="n"/>
      <c r="H405" s="84" t="n"/>
      <c r="I405" s="84" t="n"/>
      <c r="J405" s="84" t="n"/>
      <c r="K405" s="84" t="n"/>
      <c r="L405" s="84" t="n"/>
      <c r="M405" s="84" t="n"/>
      <c r="N405" s="84" t="n"/>
      <c r="O405" s="84" t="n"/>
      <c r="P405" s="84" t="n"/>
      <c r="Q405" s="84" t="n"/>
      <c r="R405" s="84" t="n"/>
      <c r="S405" s="84" t="n"/>
      <c r="T405" s="84" t="n"/>
      <c r="U405" s="84" t="n"/>
      <c r="V405" s="84" t="n"/>
      <c r="W405" s="84" t="n"/>
      <c r="X405" s="84" t="n"/>
      <c r="Y405" s="84" t="n"/>
      <c r="Z405" s="84" t="n"/>
      <c r="AA405" s="84" t="n"/>
      <c r="AB405" s="84" t="n"/>
      <c r="AC405" s="84" t="n"/>
      <c r="AD405" s="84">
        <f>IFERROR(__xludf.DUMMYFUNCTION("""COMPUTED_VALUE"""),"40W")</f>
        <v/>
      </c>
    </row>
    <row r="406" ht="30" customHeight="1" s="176">
      <c r="A406" s="122" t="inlineStr">
        <is>
          <t>Talla Calzado MX – Hombre (con ancho)</t>
        </is>
      </c>
      <c r="B406" s="123" t="n">
        <v>27.5</v>
      </c>
      <c r="C406" s="123" t="inlineStr">
        <is>
          <t>9.5 XSS</t>
        </is>
      </c>
      <c r="D406" s="122" t="inlineStr">
        <is>
          <t>Igual regla</t>
        </is>
      </c>
      <c r="E406" s="183" t="n"/>
      <c r="F406" s="84" t="n"/>
      <c r="G406" s="84" t="n"/>
      <c r="H406" s="84" t="n"/>
      <c r="I406" s="84" t="n"/>
      <c r="J406" s="84" t="n"/>
      <c r="K406" s="84" t="n"/>
      <c r="L406" s="84" t="n"/>
      <c r="M406" s="84" t="n"/>
      <c r="N406" s="84" t="n"/>
      <c r="O406" s="84" t="n"/>
      <c r="P406" s="84" t="n"/>
      <c r="Q406" s="84" t="n"/>
      <c r="R406" s="84" t="n"/>
      <c r="S406" s="84" t="n"/>
      <c r="T406" s="84" t="n"/>
      <c r="U406" s="84" t="n"/>
      <c r="V406" s="84" t="n"/>
      <c r="W406" s="84" t="n"/>
      <c r="X406" s="84" t="n"/>
      <c r="Y406" s="84" t="n"/>
      <c r="Z406" s="84" t="n"/>
      <c r="AA406" s="84" t="n"/>
      <c r="AB406" s="84" t="n"/>
      <c r="AC406" s="84" t="n"/>
      <c r="AD406" s="84">
        <f>IFERROR(__xludf.DUMMYFUNCTION("""COMPUTED_VALUE"""),"41W")</f>
        <v/>
      </c>
    </row>
    <row r="407" ht="30" customHeight="1" s="176">
      <c r="A407" s="122" t="inlineStr">
        <is>
          <t>Talla Calzado MX – Hombre (con ancho)</t>
        </is>
      </c>
      <c r="B407" s="123" t="n">
        <v>28</v>
      </c>
      <c r="C407" s="123" t="inlineStr">
        <is>
          <t>10 B</t>
        </is>
      </c>
      <c r="D407" s="122" t="inlineStr">
        <is>
          <t>Igual regla</t>
        </is>
      </c>
      <c r="E407" s="183" t="n"/>
      <c r="F407" s="84" t="n"/>
      <c r="G407" s="84" t="n"/>
      <c r="H407" s="84" t="n"/>
      <c r="I407" s="84" t="n"/>
      <c r="J407" s="84" t="n"/>
      <c r="K407" s="84" t="n"/>
      <c r="L407" s="84" t="n"/>
      <c r="M407" s="84" t="n"/>
      <c r="N407" s="84" t="n"/>
      <c r="O407" s="84" t="n"/>
      <c r="P407" s="84" t="n"/>
      <c r="Q407" s="84" t="n"/>
      <c r="R407" s="84" t="n"/>
      <c r="S407" s="84" t="n"/>
      <c r="T407" s="84" t="n"/>
      <c r="U407" s="84" t="n"/>
      <c r="V407" s="84" t="n"/>
      <c r="W407" s="84" t="n"/>
      <c r="X407" s="84" t="n"/>
      <c r="Y407" s="84" t="n"/>
      <c r="Z407" s="84" t="n"/>
      <c r="AA407" s="84" t="n"/>
      <c r="AB407" s="84" t="n"/>
      <c r="AC407" s="84" t="n"/>
      <c r="AD407" s="84">
        <f>IFERROR(__xludf.DUMMYFUNCTION("""COMPUTED_VALUE"""),"42W")</f>
        <v/>
      </c>
    </row>
    <row r="408" ht="30" customHeight="1" s="176">
      <c r="A408" s="122" t="inlineStr">
        <is>
          <t>Talla Calzado MX – Hombre (con ancho)</t>
        </is>
      </c>
      <c r="B408" s="123" t="n">
        <v>28</v>
      </c>
      <c r="C408" s="123" t="inlineStr">
        <is>
          <t>10 D</t>
        </is>
      </c>
      <c r="D408" s="122" t="inlineStr">
        <is>
          <t>Igual regla</t>
        </is>
      </c>
      <c r="E408" s="183" t="n"/>
      <c r="F408" s="84" t="n"/>
      <c r="G408" s="84" t="n"/>
      <c r="H408" s="84" t="n"/>
      <c r="I408" s="84" t="n"/>
      <c r="J408" s="84" t="n"/>
      <c r="K408" s="84" t="n"/>
      <c r="L408" s="84" t="n"/>
      <c r="M408" s="84" t="n"/>
      <c r="N408" s="84" t="n"/>
      <c r="O408" s="84" t="n"/>
      <c r="P408" s="84" t="n"/>
      <c r="Q408" s="84" t="n"/>
      <c r="R408" s="84" t="n"/>
      <c r="S408" s="84" t="n"/>
      <c r="T408" s="84" t="n"/>
      <c r="U408" s="84" t="n"/>
      <c r="V408" s="84" t="n"/>
      <c r="W408" s="84" t="n"/>
      <c r="X408" s="84" t="n"/>
      <c r="Y408" s="84" t="n"/>
      <c r="Z408" s="84" t="n"/>
      <c r="AA408" s="84" t="n"/>
      <c r="AB408" s="84" t="n"/>
      <c r="AC408" s="84" t="n"/>
      <c r="AD408" s="84">
        <f>IFERROR(__xludf.DUMMYFUNCTION("""COMPUTED_VALUE"""),"10W")</f>
        <v/>
      </c>
    </row>
    <row r="409" ht="30" customHeight="1" s="176">
      <c r="A409" s="122" t="inlineStr">
        <is>
          <t>Talla Calzado MX – Hombre (con ancho)</t>
        </is>
      </c>
      <c r="B409" s="123" t="n">
        <v>28</v>
      </c>
      <c r="C409" s="123" t="inlineStr">
        <is>
          <t>10 EE</t>
        </is>
      </c>
      <c r="D409" s="122" t="inlineStr">
        <is>
          <t>Igual regla</t>
        </is>
      </c>
      <c r="E409" s="183" t="n"/>
      <c r="F409" s="84" t="n"/>
      <c r="G409" s="84" t="n"/>
      <c r="H409" s="84" t="n"/>
      <c r="I409" s="84" t="n"/>
      <c r="J409" s="84" t="n"/>
      <c r="K409" s="84" t="n"/>
      <c r="L409" s="84" t="n"/>
      <c r="M409" s="84" t="n"/>
      <c r="N409" s="84" t="n"/>
      <c r="O409" s="84" t="n"/>
      <c r="P409" s="84" t="n"/>
      <c r="Q409" s="84" t="n"/>
      <c r="R409" s="84" t="n"/>
      <c r="S409" s="84" t="n"/>
      <c r="T409" s="84" t="n"/>
      <c r="U409" s="84" t="n"/>
      <c r="V409" s="84" t="n"/>
      <c r="W409" s="84" t="n"/>
      <c r="X409" s="84" t="n"/>
      <c r="Y409" s="84" t="n"/>
      <c r="Z409" s="84" t="n"/>
      <c r="AA409" s="84" t="n"/>
      <c r="AB409" s="84" t="n"/>
      <c r="AC409" s="84" t="n"/>
      <c r="AD409" s="84">
        <f>IFERROR(__xludf.DUMMYFUNCTION("""COMPUTED_VALUE"""),"12W")</f>
        <v/>
      </c>
    </row>
    <row r="410" ht="30" customHeight="1" s="176">
      <c r="A410" s="122" t="inlineStr">
        <is>
          <t>Talla Calzado MX – Hombre (con ancho)</t>
        </is>
      </c>
      <c r="B410" s="123" t="n">
        <v>28</v>
      </c>
      <c r="C410" s="123" t="inlineStr">
        <is>
          <t>10 FM</t>
        </is>
      </c>
      <c r="D410" s="122" t="inlineStr">
        <is>
          <t>Igual regla</t>
        </is>
      </c>
      <c r="E410" s="183" t="n"/>
      <c r="F410" s="84" t="n"/>
      <c r="G410" s="84" t="n"/>
      <c r="H410" s="84" t="n"/>
      <c r="I410" s="84" t="n"/>
      <c r="J410" s="84" t="n"/>
      <c r="K410" s="84" t="n"/>
      <c r="L410" s="84" t="n"/>
      <c r="M410" s="84" t="n"/>
      <c r="N410" s="84" t="n"/>
      <c r="O410" s="84" t="n"/>
      <c r="P410" s="84" t="n"/>
      <c r="Q410" s="84" t="n"/>
      <c r="R410" s="84" t="n"/>
      <c r="S410" s="84" t="n"/>
      <c r="T410" s="84" t="n"/>
      <c r="U410" s="84" t="n"/>
      <c r="V410" s="84" t="n"/>
      <c r="W410" s="84" t="n"/>
      <c r="X410" s="84" t="n"/>
      <c r="Y410" s="84" t="n"/>
      <c r="Z410" s="84" t="n"/>
      <c r="AA410" s="84" t="n"/>
      <c r="AB410" s="84" t="n"/>
      <c r="AC410" s="84" t="n"/>
      <c r="AD410" s="84">
        <f>IFERROR(__xludf.DUMMYFUNCTION("""COMPUTED_VALUE"""),"14W")</f>
        <v/>
      </c>
    </row>
    <row r="411" ht="30" customHeight="1" s="176">
      <c r="A411" s="122" t="inlineStr">
        <is>
          <t>Talla Calzado MX – Hombre (con ancho)</t>
        </is>
      </c>
      <c r="B411" s="123" t="n">
        <v>28</v>
      </c>
      <c r="C411" s="123" t="inlineStr">
        <is>
          <t>10 FS</t>
        </is>
      </c>
      <c r="D411" s="122" t="inlineStr">
        <is>
          <t>Igual regla</t>
        </is>
      </c>
      <c r="E411" s="183" t="n"/>
      <c r="F411" s="84" t="n"/>
      <c r="G411" s="84" t="n"/>
      <c r="H411" s="84" t="n"/>
      <c r="I411" s="84" t="n"/>
      <c r="J411" s="84" t="n"/>
      <c r="K411" s="84" t="n"/>
      <c r="L411" s="84" t="n"/>
      <c r="M411" s="84" t="n"/>
      <c r="N411" s="84" t="n"/>
      <c r="O411" s="84" t="n"/>
      <c r="P411" s="84" t="n"/>
      <c r="Q411" s="84" t="n"/>
      <c r="R411" s="84" t="n"/>
      <c r="S411" s="84" t="n"/>
      <c r="T411" s="84" t="n"/>
      <c r="U411" s="84" t="n"/>
      <c r="V411" s="84" t="n"/>
      <c r="W411" s="84" t="n"/>
      <c r="X411" s="84" t="n"/>
      <c r="Y411" s="84" t="n"/>
      <c r="Z411" s="84" t="n"/>
      <c r="AA411" s="84" t="n"/>
      <c r="AB411" s="84" t="n"/>
      <c r="AC411" s="84" t="n"/>
      <c r="AD411" s="84">
        <f>IFERROR(__xludf.DUMMYFUNCTION("""COMPUTED_VALUE"""),"16W")</f>
        <v/>
      </c>
    </row>
    <row r="412" ht="30" customHeight="1" s="176">
      <c r="A412" s="122" t="inlineStr">
        <is>
          <t>Talla Calzado MX – Hombre (con ancho)</t>
        </is>
      </c>
      <c r="B412" s="123" t="n">
        <v>28</v>
      </c>
      <c r="C412" s="123" t="inlineStr">
        <is>
          <t>10 RM</t>
        </is>
      </c>
      <c r="D412" s="122" t="inlineStr">
        <is>
          <t>Igual regla</t>
        </is>
      </c>
      <c r="E412" s="183" t="n"/>
      <c r="F412" s="84" t="n"/>
      <c r="G412" s="84" t="n"/>
      <c r="H412" s="84" t="n"/>
      <c r="I412" s="84" t="n"/>
      <c r="J412" s="84" t="n"/>
      <c r="K412" s="84" t="n"/>
      <c r="L412" s="84" t="n"/>
      <c r="M412" s="84" t="n"/>
      <c r="N412" s="84" t="n"/>
      <c r="O412" s="84" t="n"/>
      <c r="P412" s="84" t="n"/>
      <c r="Q412" s="84" t="n"/>
      <c r="R412" s="84" t="n"/>
      <c r="S412" s="84" t="n"/>
      <c r="T412" s="84" t="n"/>
      <c r="U412" s="84" t="n"/>
      <c r="V412" s="84" t="n"/>
      <c r="W412" s="84" t="n"/>
      <c r="X412" s="84" t="n"/>
      <c r="Y412" s="84" t="n"/>
      <c r="Z412" s="84" t="n"/>
      <c r="AA412" s="84" t="n"/>
      <c r="AB412" s="84" t="n"/>
      <c r="AC412" s="84" t="n"/>
      <c r="AD412" s="84">
        <f>IFERROR(__xludf.DUMMYFUNCTION("""COMPUTED_VALUE"""),"46W")</f>
        <v/>
      </c>
    </row>
    <row r="413" ht="30" customHeight="1" s="176">
      <c r="A413" s="122" t="inlineStr">
        <is>
          <t>Talla Calzado MX – Hombre (con ancho)</t>
        </is>
      </c>
      <c r="B413" s="123" t="n">
        <v>28</v>
      </c>
      <c r="C413" s="123" t="inlineStr">
        <is>
          <t>10 RS</t>
        </is>
      </c>
      <c r="D413" s="122" t="inlineStr">
        <is>
          <t>Igual regla</t>
        </is>
      </c>
      <c r="E413" s="183" t="n"/>
      <c r="F413" s="84" t="n"/>
      <c r="G413" s="84" t="n"/>
      <c r="H413" s="84" t="n"/>
      <c r="I413" s="84" t="n"/>
      <c r="J413" s="84" t="n"/>
      <c r="K413" s="84" t="n"/>
      <c r="L413" s="84" t="n"/>
      <c r="M413" s="84" t="n"/>
      <c r="N413" s="84" t="n"/>
      <c r="O413" s="84" t="n"/>
      <c r="P413" s="84" t="n"/>
      <c r="Q413" s="84" t="n"/>
      <c r="R413" s="84" t="n"/>
      <c r="S413" s="84" t="n"/>
      <c r="T413" s="84" t="n"/>
      <c r="U413" s="84" t="n"/>
      <c r="V413" s="84" t="n"/>
      <c r="W413" s="84" t="n"/>
      <c r="X413" s="84" t="n"/>
      <c r="Y413" s="84" t="n"/>
      <c r="Z413" s="84" t="n"/>
      <c r="AA413" s="84" t="n"/>
      <c r="AB413" s="84" t="n"/>
      <c r="AC413" s="84" t="n"/>
      <c r="AD413" s="84">
        <f>IFERROR(__xludf.DUMMYFUNCTION("""COMPUTED_VALUE"""),"48W")</f>
        <v/>
      </c>
    </row>
    <row r="414" ht="30" customHeight="1" s="176">
      <c r="A414" s="122" t="inlineStr">
        <is>
          <t>Talla Calzado MX – Hombre (con ancho)</t>
        </is>
      </c>
      <c r="B414" s="123" t="n">
        <v>28</v>
      </c>
      <c r="C414" s="123" t="inlineStr">
        <is>
          <t>10 RT</t>
        </is>
      </c>
      <c r="D414" s="122" t="inlineStr">
        <is>
          <t>Igual regla</t>
        </is>
      </c>
      <c r="E414" s="183" t="n"/>
      <c r="F414" s="84" t="n"/>
      <c r="G414" s="84" t="n"/>
      <c r="H414" s="84" t="n"/>
      <c r="I414" s="84" t="n"/>
      <c r="J414" s="84" t="n"/>
      <c r="K414" s="84" t="n"/>
      <c r="L414" s="84" t="n"/>
      <c r="M414" s="84" t="n"/>
      <c r="N414" s="84" t="n"/>
      <c r="O414" s="84" t="n"/>
      <c r="P414" s="84" t="n"/>
      <c r="Q414" s="84" t="n"/>
      <c r="R414" s="84" t="n"/>
      <c r="S414" s="84" t="n"/>
      <c r="T414" s="84" t="n"/>
      <c r="U414" s="84" t="n"/>
      <c r="V414" s="84" t="n"/>
      <c r="W414" s="84" t="n"/>
      <c r="X414" s="84" t="n"/>
      <c r="Y414" s="84" t="n"/>
      <c r="Z414" s="84" t="n"/>
      <c r="AA414" s="84" t="n"/>
      <c r="AB414" s="84" t="n"/>
      <c r="AC414" s="84" t="n"/>
      <c r="AD414" s="84">
        <f>IFERROR(__xludf.DUMMYFUNCTION("""COMPUTED_VALUE"""),"50W")</f>
        <v/>
      </c>
    </row>
    <row r="415" ht="30" customHeight="1" s="176">
      <c r="A415" s="122" t="inlineStr">
        <is>
          <t>Talla Calzado MX – Hombre (con ancho)</t>
        </is>
      </c>
      <c r="B415" s="123" t="n">
        <v>28</v>
      </c>
      <c r="C415" s="123" t="inlineStr">
        <is>
          <t>10 SM</t>
        </is>
      </c>
      <c r="D415" s="122" t="inlineStr">
        <is>
          <t>Igual regla</t>
        </is>
      </c>
      <c r="E415" s="183" t="n"/>
      <c r="F415" s="84" t="n"/>
      <c r="G415" s="84" t="n"/>
      <c r="H415" s="84" t="n"/>
      <c r="I415" s="84" t="n"/>
      <c r="J415" s="84" t="n"/>
      <c r="K415" s="84" t="n"/>
      <c r="L415" s="84" t="n"/>
      <c r="M415" s="84" t="n"/>
      <c r="N415" s="84" t="n"/>
      <c r="O415" s="84" t="n"/>
      <c r="P415" s="84" t="n"/>
      <c r="Q415" s="84" t="n"/>
      <c r="R415" s="84" t="n"/>
      <c r="S415" s="84" t="n"/>
      <c r="T415" s="84" t="n"/>
      <c r="U415" s="84" t="n"/>
      <c r="V415" s="84" t="n"/>
      <c r="W415" s="84" t="n"/>
      <c r="X415" s="84" t="n"/>
      <c r="Y415" s="84" t="n"/>
      <c r="Z415" s="84" t="n"/>
      <c r="AA415" s="84" t="n"/>
      <c r="AB415" s="84" t="n"/>
      <c r="AC415" s="84" t="n"/>
      <c r="AD415" s="84">
        <f>IFERROR(__xludf.DUMMYFUNCTION("""COMPUTED_VALUE"""),25.0)</f>
        <v/>
      </c>
    </row>
    <row r="416" ht="30" customHeight="1" s="176">
      <c r="A416" s="122" t="inlineStr">
        <is>
          <t>Talla Calzado MX – Hombre (con ancho)</t>
        </is>
      </c>
      <c r="B416" s="123" t="n">
        <v>28</v>
      </c>
      <c r="C416" s="123" t="inlineStr">
        <is>
          <t>10 SS</t>
        </is>
      </c>
      <c r="D416" s="122" t="inlineStr">
        <is>
          <t>Igual regla</t>
        </is>
      </c>
      <c r="E416" s="183" t="n"/>
      <c r="F416" s="84" t="n"/>
      <c r="G416" s="84" t="n"/>
      <c r="H416" s="84" t="n"/>
      <c r="I416" s="84" t="n"/>
      <c r="J416" s="84" t="n"/>
      <c r="K416" s="84" t="n"/>
      <c r="L416" s="84" t="n"/>
      <c r="M416" s="84" t="n"/>
      <c r="N416" s="84" t="n"/>
      <c r="O416" s="84" t="n"/>
      <c r="P416" s="84" t="n"/>
      <c r="Q416" s="84" t="n"/>
      <c r="R416" s="84" t="n"/>
      <c r="S416" s="84" t="n"/>
      <c r="T416" s="84" t="n"/>
      <c r="U416" s="84" t="n"/>
      <c r="V416" s="84" t="n"/>
      <c r="W416" s="84" t="n"/>
      <c r="X416" s="84" t="n"/>
      <c r="Y416" s="84" t="n"/>
      <c r="Z416" s="84" t="n"/>
      <c r="AA416" s="84" t="n"/>
      <c r="AB416" s="84" t="n"/>
      <c r="AC416" s="84" t="n"/>
      <c r="AD416" s="84">
        <f>IFERROR(__xludf.DUMMYFUNCTION("""COMPUTED_VALUE"""),27.0)</f>
        <v/>
      </c>
    </row>
    <row r="417" ht="30" customHeight="1" s="176">
      <c r="A417" s="122" t="inlineStr">
        <is>
          <t>Talla Calzado MX – Hombre (con ancho)</t>
        </is>
      </c>
      <c r="B417" s="123" t="n">
        <v>28</v>
      </c>
      <c r="C417" s="123" t="inlineStr">
        <is>
          <t>10 ST</t>
        </is>
      </c>
      <c r="D417" s="122" t="inlineStr">
        <is>
          <t>Igual regla</t>
        </is>
      </c>
      <c r="E417" s="183" t="n"/>
      <c r="F417" s="84" t="n"/>
      <c r="G417" s="84" t="n"/>
      <c r="H417" s="84" t="n"/>
      <c r="I417" s="84" t="n"/>
      <c r="J417" s="84" t="n"/>
      <c r="K417" s="84" t="n"/>
      <c r="L417" s="84" t="n"/>
      <c r="M417" s="84" t="n"/>
      <c r="N417" s="84" t="n"/>
      <c r="O417" s="84" t="n"/>
      <c r="P417" s="84" t="n"/>
      <c r="Q417" s="84" t="n"/>
      <c r="R417" s="84" t="n"/>
      <c r="S417" s="84" t="n"/>
      <c r="T417" s="84" t="n"/>
      <c r="U417" s="84" t="n"/>
      <c r="V417" s="84" t="n"/>
      <c r="W417" s="84" t="n"/>
      <c r="X417" s="84" t="n"/>
      <c r="Y417" s="84" t="n"/>
      <c r="Z417" s="84" t="n"/>
      <c r="AA417" s="84" t="n"/>
      <c r="AB417" s="84" t="n"/>
      <c r="AC417" s="84" t="n"/>
      <c r="AD417" s="84">
        <f>IFERROR(__xludf.DUMMYFUNCTION("""COMPUTED_VALUE"""),"0.75 fl oz")</f>
        <v/>
      </c>
    </row>
    <row r="418" ht="30" customHeight="1" s="176">
      <c r="A418" s="122" t="inlineStr">
        <is>
          <t>Talla Calzado MX – Hombre (con ancho)</t>
        </is>
      </c>
      <c r="B418" s="123" t="n">
        <v>28.5</v>
      </c>
      <c r="C418" s="123" t="inlineStr">
        <is>
          <t>10.5 B</t>
        </is>
      </c>
      <c r="D418" s="122" t="inlineStr">
        <is>
          <t>Igual regla</t>
        </is>
      </c>
      <c r="E418" s="183" t="n"/>
      <c r="F418" s="84" t="n"/>
      <c r="G418" s="84" t="n"/>
      <c r="H418" s="84" t="n"/>
      <c r="I418" s="84" t="n"/>
      <c r="J418" s="84" t="n"/>
      <c r="K418" s="84" t="n"/>
      <c r="L418" s="84" t="n"/>
      <c r="M418" s="84" t="n"/>
      <c r="N418" s="84" t="n"/>
      <c r="O418" s="84" t="n"/>
      <c r="P418" s="84" t="n"/>
      <c r="Q418" s="84" t="n"/>
      <c r="R418" s="84" t="n"/>
      <c r="S418" s="84" t="n"/>
      <c r="T418" s="84" t="n"/>
      <c r="U418" s="84" t="n"/>
      <c r="V418" s="84" t="n"/>
      <c r="W418" s="84" t="n"/>
      <c r="X418" s="84" t="n"/>
      <c r="Y418" s="84" t="n"/>
      <c r="Z418" s="84" t="n"/>
      <c r="AA418" s="84" t="n"/>
      <c r="AB418" s="84" t="n"/>
      <c r="AC418" s="84" t="n"/>
      <c r="AD418" s="84">
        <f>IFERROR(__xludf.DUMMYFUNCTION("""COMPUTED_VALUE"""),"1.0 fl oz")</f>
        <v/>
      </c>
    </row>
    <row r="419" ht="30" customHeight="1" s="176">
      <c r="A419" s="122" t="inlineStr">
        <is>
          <t>Talla Calzado MX – Hombre (con ancho)</t>
        </is>
      </c>
      <c r="B419" s="123" t="n">
        <v>28.5</v>
      </c>
      <c r="C419" s="123" t="inlineStr">
        <is>
          <t>10.5 D</t>
        </is>
      </c>
      <c r="D419" s="122" t="inlineStr">
        <is>
          <t>Igual regla</t>
        </is>
      </c>
      <c r="E419" s="183" t="n"/>
      <c r="F419" s="84" t="n"/>
      <c r="G419" s="84" t="n"/>
      <c r="H419" s="84" t="n"/>
      <c r="I419" s="84" t="n"/>
      <c r="J419" s="84" t="n"/>
      <c r="K419" s="84" t="n"/>
      <c r="L419" s="84" t="n"/>
      <c r="M419" s="84" t="n"/>
      <c r="N419" s="84" t="n"/>
      <c r="O419" s="84" t="n"/>
      <c r="P419" s="84" t="n"/>
      <c r="Q419" s="84" t="n"/>
      <c r="R419" s="84" t="n"/>
      <c r="S419" s="84" t="n"/>
      <c r="T419" s="84" t="n"/>
      <c r="U419" s="84" t="n"/>
      <c r="V419" s="84" t="n"/>
      <c r="W419" s="84" t="n"/>
      <c r="X419" s="84" t="n"/>
      <c r="Y419" s="84" t="n"/>
      <c r="Z419" s="84" t="n"/>
      <c r="AA419" s="84" t="n"/>
      <c r="AB419" s="84" t="n"/>
      <c r="AC419" s="84" t="n"/>
      <c r="AD419" s="84">
        <f>IFERROR(__xludf.DUMMYFUNCTION("""COMPUTED_VALUE"""),"1.5 fl oz")</f>
        <v/>
      </c>
    </row>
    <row r="420" ht="30" customHeight="1" s="176">
      <c r="A420" s="122" t="inlineStr">
        <is>
          <t>Talla Calzado MX – Hombre (con ancho)</t>
        </is>
      </c>
      <c r="B420" s="123" t="n">
        <v>28.5</v>
      </c>
      <c r="C420" s="123" t="inlineStr">
        <is>
          <t>10.5 EE</t>
        </is>
      </c>
      <c r="D420" s="122" t="inlineStr">
        <is>
          <t>Igual regla</t>
        </is>
      </c>
      <c r="E420" s="183" t="n"/>
      <c r="F420" s="84" t="n"/>
      <c r="G420" s="84" t="n"/>
      <c r="H420" s="84" t="n"/>
      <c r="I420" s="84" t="n"/>
      <c r="J420" s="84" t="n"/>
      <c r="K420" s="84" t="n"/>
      <c r="L420" s="84" t="n"/>
      <c r="M420" s="84" t="n"/>
      <c r="N420" s="84" t="n"/>
      <c r="O420" s="84" t="n"/>
      <c r="P420" s="84" t="n"/>
      <c r="Q420" s="84" t="n"/>
      <c r="R420" s="84" t="n"/>
      <c r="S420" s="84" t="n"/>
      <c r="T420" s="84" t="n"/>
      <c r="U420" s="84" t="n"/>
      <c r="V420" s="84" t="n"/>
      <c r="W420" s="84" t="n"/>
      <c r="X420" s="84" t="n"/>
      <c r="Y420" s="84" t="n"/>
      <c r="Z420" s="84" t="n"/>
      <c r="AA420" s="84" t="n"/>
      <c r="AB420" s="84" t="n"/>
      <c r="AC420" s="84" t="n"/>
      <c r="AD420" s="84">
        <f>IFERROR(__xludf.DUMMYFUNCTION("""COMPUTED_VALUE"""),"1.7 fl oz")</f>
        <v/>
      </c>
    </row>
    <row r="421" ht="30" customHeight="1" s="176">
      <c r="A421" s="122" t="inlineStr">
        <is>
          <t>Talla Calzado MX – Hombre (con ancho)</t>
        </is>
      </c>
      <c r="B421" s="123" t="n">
        <v>28.5</v>
      </c>
      <c r="C421" s="123" t="inlineStr">
        <is>
          <t>10.5 FM</t>
        </is>
      </c>
      <c r="D421" s="122" t="inlineStr">
        <is>
          <t>Igual regla</t>
        </is>
      </c>
      <c r="E421" s="183" t="n"/>
      <c r="F421" s="84" t="n"/>
      <c r="G421" s="84" t="n"/>
      <c r="H421" s="84" t="n"/>
      <c r="I421" s="84" t="n"/>
      <c r="J421" s="84" t="n"/>
      <c r="K421" s="84" t="n"/>
      <c r="L421" s="84" t="n"/>
      <c r="M421" s="84" t="n"/>
      <c r="N421" s="84" t="n"/>
      <c r="O421" s="84" t="n"/>
      <c r="P421" s="84" t="n"/>
      <c r="Q421" s="84" t="n"/>
      <c r="R421" s="84" t="n"/>
      <c r="S421" s="84" t="n"/>
      <c r="T421" s="84" t="n"/>
      <c r="U421" s="84" t="n"/>
      <c r="V421" s="84" t="n"/>
      <c r="W421" s="84" t="n"/>
      <c r="X421" s="84" t="n"/>
      <c r="Y421" s="84" t="n"/>
      <c r="Z421" s="84" t="n"/>
      <c r="AA421" s="84" t="n"/>
      <c r="AB421" s="84" t="n"/>
      <c r="AC421" s="84" t="n"/>
      <c r="AD421" s="84">
        <f>IFERROR(__xludf.DUMMYFUNCTION("""COMPUTED_VALUE"""),"2.25 fl oz")</f>
        <v/>
      </c>
    </row>
    <row r="422" ht="30" customHeight="1" s="176">
      <c r="A422" s="122" t="inlineStr">
        <is>
          <t>Talla Calzado MX – Hombre (con ancho)</t>
        </is>
      </c>
      <c r="B422" s="123" t="n">
        <v>28.5</v>
      </c>
      <c r="C422" s="123" t="inlineStr">
        <is>
          <t>10.5 FS</t>
        </is>
      </c>
      <c r="D422" s="122" t="inlineStr">
        <is>
          <t>Igual regla</t>
        </is>
      </c>
      <c r="E422" s="183" t="n"/>
      <c r="F422" s="84" t="n"/>
      <c r="G422" s="84" t="n"/>
      <c r="H422" s="84" t="n"/>
      <c r="I422" s="84" t="n"/>
      <c r="J422" s="84" t="n"/>
      <c r="K422" s="84" t="n"/>
      <c r="L422" s="84" t="n"/>
      <c r="M422" s="84" t="n"/>
      <c r="N422" s="84" t="n"/>
      <c r="O422" s="84" t="n"/>
      <c r="P422" s="84" t="n"/>
      <c r="Q422" s="84" t="n"/>
      <c r="R422" s="84" t="n"/>
      <c r="S422" s="84" t="n"/>
      <c r="T422" s="84" t="n"/>
      <c r="U422" s="84" t="n"/>
      <c r="V422" s="84" t="n"/>
      <c r="W422" s="84" t="n"/>
      <c r="X422" s="84" t="n"/>
      <c r="Y422" s="84" t="n"/>
      <c r="Z422" s="84" t="n"/>
      <c r="AA422" s="84" t="n"/>
      <c r="AB422" s="84" t="n"/>
      <c r="AC422" s="84" t="n"/>
      <c r="AD422" s="84">
        <f>IFERROR(__xludf.DUMMYFUNCTION("""COMPUTED_VALUE"""),"2.5 fl oz")</f>
        <v/>
      </c>
    </row>
    <row r="423" ht="30" customHeight="1" s="176">
      <c r="A423" s="122" t="inlineStr">
        <is>
          <t>Talla Calzado MX – Hombre (con ancho)</t>
        </is>
      </c>
      <c r="B423" s="123" t="n">
        <v>28.5</v>
      </c>
      <c r="C423" s="123" t="inlineStr">
        <is>
          <t>10.5 RM</t>
        </is>
      </c>
      <c r="D423" s="122" t="inlineStr">
        <is>
          <t>Igual regla</t>
        </is>
      </c>
      <c r="E423" s="183" t="n"/>
      <c r="F423" s="84" t="n"/>
      <c r="G423" s="84" t="n"/>
      <c r="H423" s="84" t="n"/>
      <c r="I423" s="84" t="n"/>
      <c r="J423" s="84" t="n"/>
      <c r="K423" s="84" t="n"/>
      <c r="L423" s="84" t="n"/>
      <c r="M423" s="84" t="n"/>
      <c r="N423" s="84" t="n"/>
      <c r="O423" s="84" t="n"/>
      <c r="P423" s="84" t="n"/>
      <c r="Q423" s="84" t="n"/>
      <c r="R423" s="84" t="n"/>
      <c r="S423" s="84" t="n"/>
      <c r="T423" s="84" t="n"/>
      <c r="U423" s="84" t="n"/>
      <c r="V423" s="84" t="n"/>
      <c r="W423" s="84" t="n"/>
      <c r="X423" s="84" t="n"/>
      <c r="Y423" s="84" t="n"/>
      <c r="Z423" s="84" t="n"/>
      <c r="AA423" s="84" t="n"/>
      <c r="AB423" s="84" t="n"/>
      <c r="AC423" s="84" t="n"/>
      <c r="AD423" s="84">
        <f>IFERROR(__xludf.DUMMYFUNCTION("""COMPUTED_VALUE"""),"2.7 fl oz")</f>
        <v/>
      </c>
    </row>
    <row r="424" ht="30" customHeight="1" s="176">
      <c r="A424" s="122" t="inlineStr">
        <is>
          <t>Talla Calzado MX – Hombre (con ancho)</t>
        </is>
      </c>
      <c r="B424" s="123" t="n">
        <v>28.5</v>
      </c>
      <c r="C424" s="123" t="inlineStr">
        <is>
          <t>10.5 RS</t>
        </is>
      </c>
      <c r="D424" s="122" t="inlineStr">
        <is>
          <t>Igual regla</t>
        </is>
      </c>
      <c r="E424" s="183" t="n"/>
      <c r="F424" s="84" t="n"/>
      <c r="G424" s="84" t="n"/>
      <c r="H424" s="84" t="n"/>
      <c r="I424" s="84" t="n"/>
      <c r="J424" s="84" t="n"/>
      <c r="K424" s="84" t="n"/>
      <c r="L424" s="84" t="n"/>
      <c r="M424" s="84" t="n"/>
      <c r="N424" s="84" t="n"/>
      <c r="O424" s="84" t="n"/>
      <c r="P424" s="84" t="n"/>
      <c r="Q424" s="84" t="n"/>
      <c r="R424" s="84" t="n"/>
      <c r="S424" s="84" t="n"/>
      <c r="T424" s="84" t="n"/>
      <c r="U424" s="84" t="n"/>
      <c r="V424" s="84" t="n"/>
      <c r="W424" s="84" t="n"/>
      <c r="X424" s="84" t="n"/>
      <c r="Y424" s="84" t="n"/>
      <c r="Z424" s="84" t="n"/>
      <c r="AA424" s="84" t="n"/>
      <c r="AB424" s="84" t="n"/>
      <c r="AC424" s="84" t="n"/>
      <c r="AD424" s="84">
        <f>IFERROR(__xludf.DUMMYFUNCTION("""COMPUTED_VALUE"""),"3.4 fl oz")</f>
        <v/>
      </c>
    </row>
    <row r="425" ht="30" customHeight="1" s="176">
      <c r="A425" s="122" t="inlineStr">
        <is>
          <t>Talla Calzado MX – Hombre (con ancho)</t>
        </is>
      </c>
      <c r="B425" s="123" t="n">
        <v>28.5</v>
      </c>
      <c r="C425" s="123" t="inlineStr">
        <is>
          <t>10.5 RT</t>
        </is>
      </c>
      <c r="D425" s="122" t="inlineStr">
        <is>
          <t>Igual regla</t>
        </is>
      </c>
      <c r="E425" s="183" t="n"/>
      <c r="F425" s="84" t="n"/>
      <c r="G425" s="84" t="n"/>
      <c r="H425" s="84" t="n"/>
      <c r="I425" s="84" t="n"/>
      <c r="J425" s="84" t="n"/>
      <c r="K425" s="84" t="n"/>
      <c r="L425" s="84" t="n"/>
      <c r="M425" s="84" t="n"/>
      <c r="N425" s="84" t="n"/>
      <c r="O425" s="84" t="n"/>
      <c r="P425" s="84" t="n"/>
      <c r="Q425" s="84" t="n"/>
      <c r="R425" s="84" t="n"/>
      <c r="S425" s="84" t="n"/>
      <c r="T425" s="84" t="n"/>
      <c r="U425" s="84" t="n"/>
      <c r="V425" s="84" t="n"/>
      <c r="W425" s="84" t="n"/>
      <c r="X425" s="84" t="n"/>
      <c r="Y425" s="84" t="n"/>
      <c r="Z425" s="84" t="n"/>
      <c r="AA425" s="84" t="n"/>
      <c r="AB425" s="84" t="n"/>
      <c r="AC425" s="84" t="n"/>
      <c r="AD425" s="84">
        <f>IFERROR(__xludf.DUMMYFUNCTION("""COMPUTED_VALUE"""),"3.5 fl oz")</f>
        <v/>
      </c>
    </row>
    <row r="426" ht="30" customHeight="1" s="176">
      <c r="A426" s="122" t="inlineStr">
        <is>
          <t>Talla Calzado MX – Hombre (con ancho)</t>
        </is>
      </c>
      <c r="B426" s="123" t="n">
        <v>28.5</v>
      </c>
      <c r="C426" s="123" t="inlineStr">
        <is>
          <t>10.5 SM</t>
        </is>
      </c>
      <c r="D426" s="122" t="inlineStr">
        <is>
          <t>Igual regla</t>
        </is>
      </c>
      <c r="E426" s="183" t="n"/>
      <c r="F426" s="84" t="n"/>
      <c r="G426" s="84" t="n"/>
      <c r="H426" s="84" t="n"/>
      <c r="I426" s="84" t="n"/>
      <c r="J426" s="84" t="n"/>
      <c r="K426" s="84" t="n"/>
      <c r="L426" s="84" t="n"/>
      <c r="M426" s="84" t="n"/>
      <c r="N426" s="84" t="n"/>
      <c r="O426" s="84" t="n"/>
      <c r="P426" s="84" t="n"/>
      <c r="Q426" s="84" t="n"/>
      <c r="R426" s="84" t="n"/>
      <c r="S426" s="84" t="n"/>
      <c r="T426" s="84" t="n"/>
      <c r="U426" s="84" t="n"/>
      <c r="V426" s="84" t="n"/>
      <c r="W426" s="84" t="n"/>
      <c r="X426" s="84" t="n"/>
      <c r="Y426" s="84" t="n"/>
      <c r="Z426" s="84" t="n"/>
      <c r="AA426" s="84" t="n"/>
      <c r="AB426" s="84" t="n"/>
      <c r="AC426" s="84" t="n"/>
      <c r="AD426" s="84">
        <f>IFERROR(__xludf.DUMMYFUNCTION("""COMPUTED_VALUE"""),"3.4 / 3.5 fl oz")</f>
        <v/>
      </c>
    </row>
    <row r="427" ht="30" customHeight="1" s="176">
      <c r="A427" s="122" t="inlineStr">
        <is>
          <t>Talla Calzado MX – Hombre (con ancho)</t>
        </is>
      </c>
      <c r="B427" s="123" t="n">
        <v>28.5</v>
      </c>
      <c r="C427" s="123" t="inlineStr">
        <is>
          <t>10.5 SS</t>
        </is>
      </c>
      <c r="D427" s="122" t="inlineStr">
        <is>
          <t>Igual regla</t>
        </is>
      </c>
      <c r="E427" s="183" t="n"/>
      <c r="F427" s="84" t="n"/>
      <c r="G427" s="84" t="n"/>
      <c r="H427" s="84" t="n"/>
      <c r="I427" s="84" t="n"/>
      <c r="J427" s="84" t="n"/>
      <c r="K427" s="84" t="n"/>
      <c r="L427" s="84" t="n"/>
      <c r="M427" s="84" t="n"/>
      <c r="N427" s="84" t="n"/>
      <c r="O427" s="84" t="n"/>
      <c r="P427" s="84" t="n"/>
      <c r="Q427" s="84" t="n"/>
      <c r="R427" s="84" t="n"/>
      <c r="S427" s="84" t="n"/>
      <c r="T427" s="84" t="n"/>
      <c r="U427" s="84" t="n"/>
      <c r="V427" s="84" t="n"/>
      <c r="W427" s="84" t="n"/>
      <c r="X427" s="84" t="n"/>
      <c r="Y427" s="84" t="n"/>
      <c r="Z427" s="84" t="n"/>
      <c r="AA427" s="84" t="n"/>
      <c r="AB427" s="84" t="n"/>
      <c r="AC427" s="84" t="n"/>
      <c r="AD427" s="84">
        <f>IFERROR(__xludf.DUMMYFUNCTION("""COMPUTED_VALUE"""),"5.5 fl oz")</f>
        <v/>
      </c>
    </row>
    <row r="428" ht="30" customHeight="1" s="176">
      <c r="A428" s="122" t="inlineStr">
        <is>
          <t>Talla Calzado MX – Hombre (con ancho)</t>
        </is>
      </c>
      <c r="B428" s="123" t="n">
        <v>28.5</v>
      </c>
      <c r="C428" s="123" t="inlineStr">
        <is>
          <t>10.5 ST</t>
        </is>
      </c>
      <c r="D428" s="122" t="inlineStr">
        <is>
          <t>Igual regla</t>
        </is>
      </c>
      <c r="E428" s="183" t="n"/>
      <c r="F428" s="84" t="n"/>
      <c r="G428" s="84" t="n"/>
      <c r="H428" s="84" t="n"/>
      <c r="I428" s="84" t="n"/>
      <c r="J428" s="84" t="n"/>
      <c r="K428" s="84" t="n"/>
      <c r="L428" s="84" t="n"/>
      <c r="M428" s="84" t="n"/>
      <c r="N428" s="84" t="n"/>
      <c r="O428" s="84" t="n"/>
      <c r="P428" s="84" t="n"/>
      <c r="Q428" s="84" t="n"/>
      <c r="R428" s="84" t="n"/>
      <c r="S428" s="84" t="n"/>
      <c r="T428" s="84" t="n"/>
      <c r="U428" s="84" t="n"/>
      <c r="V428" s="84" t="n"/>
      <c r="W428" s="84" t="n"/>
      <c r="X428" s="84" t="n"/>
      <c r="Y428" s="84" t="n"/>
      <c r="Z428" s="84" t="n"/>
      <c r="AA428" s="84" t="n"/>
      <c r="AB428" s="84" t="n"/>
      <c r="AC428" s="84" t="n"/>
      <c r="AD428" s="84">
        <f>IFERROR(__xludf.DUMMYFUNCTION("""COMPUTED_VALUE"""),"8 fl oz")</f>
        <v/>
      </c>
    </row>
    <row r="429" ht="30" customHeight="1" s="176">
      <c r="A429" s="122" t="inlineStr">
        <is>
          <t>Talla Calzado MX – Hombre (con ancho)</t>
        </is>
      </c>
      <c r="B429" s="123" t="n">
        <v>29</v>
      </c>
      <c r="C429" s="123" t="inlineStr">
        <is>
          <t>11 B</t>
        </is>
      </c>
      <c r="D429" s="122" t="inlineStr">
        <is>
          <t>Igual regla</t>
        </is>
      </c>
      <c r="E429" s="183" t="n"/>
      <c r="F429" s="84" t="n"/>
      <c r="G429" s="84" t="n"/>
      <c r="H429" s="84" t="n"/>
      <c r="I429" s="84" t="n"/>
      <c r="J429" s="84" t="n"/>
      <c r="K429" s="84" t="n"/>
      <c r="L429" s="84" t="n"/>
      <c r="M429" s="84" t="n"/>
      <c r="N429" s="84" t="n"/>
      <c r="O429" s="84" t="n"/>
      <c r="P429" s="84" t="n"/>
      <c r="Q429" s="84" t="n"/>
      <c r="R429" s="84" t="n"/>
      <c r="S429" s="84" t="n"/>
      <c r="T429" s="84" t="n"/>
      <c r="U429" s="84" t="n"/>
      <c r="V429" s="84" t="n"/>
      <c r="W429" s="84" t="n"/>
      <c r="X429" s="84" t="n"/>
      <c r="Y429" s="84" t="n"/>
      <c r="Z429" s="84" t="n"/>
      <c r="AA429" s="84" t="n"/>
      <c r="AB429" s="84" t="n"/>
      <c r="AC429" s="84" t="n"/>
      <c r="AD429" s="84">
        <f>IFERROR(__xludf.DUMMYFUNCTION("""COMPUTED_VALUE"""),"No Aplica")</f>
        <v/>
      </c>
    </row>
    <row r="430" ht="30" customHeight="1" s="176">
      <c r="A430" s="122" t="inlineStr">
        <is>
          <t>Talla Calzado MX – Hombre (con ancho)</t>
        </is>
      </c>
      <c r="B430" s="123" t="n">
        <v>29</v>
      </c>
      <c r="C430" s="123" t="inlineStr">
        <is>
          <t>11 D</t>
        </is>
      </c>
      <c r="D430" s="122" t="inlineStr">
        <is>
          <t>Igual regla</t>
        </is>
      </c>
      <c r="E430" s="183" t="n"/>
      <c r="F430" s="84" t="n"/>
      <c r="G430" s="84" t="n"/>
      <c r="H430" s="84" t="n"/>
      <c r="I430" s="84" t="n"/>
      <c r="J430" s="84" t="n"/>
      <c r="K430" s="84" t="n"/>
      <c r="L430" s="84" t="n"/>
      <c r="M430" s="84" t="n"/>
      <c r="N430" s="84" t="n"/>
      <c r="O430" s="84" t="n"/>
      <c r="P430" s="84" t="n"/>
      <c r="Q430" s="84" t="n"/>
      <c r="R430" s="84" t="n"/>
      <c r="S430" s="84" t="n"/>
      <c r="T430" s="84" t="n"/>
      <c r="U430" s="84" t="n"/>
      <c r="V430" s="84" t="n"/>
      <c r="W430" s="84" t="n"/>
      <c r="X430" s="84" t="n"/>
      <c r="Y430" s="84" t="n"/>
      <c r="Z430" s="84" t="n"/>
      <c r="AA430" s="84" t="n"/>
      <c r="AB430" s="84" t="n"/>
      <c r="AC430" s="84" t="n"/>
      <c r="AD430" s="84" t="n"/>
    </row>
    <row r="431" ht="30" customHeight="1" s="176">
      <c r="A431" s="122" t="inlineStr">
        <is>
          <t>Talla Calzado MX – Hombre (con ancho)</t>
        </is>
      </c>
      <c r="B431" s="123" t="n">
        <v>29</v>
      </c>
      <c r="C431" s="123" t="inlineStr">
        <is>
          <t>11 EE</t>
        </is>
      </c>
      <c r="D431" s="122" t="inlineStr">
        <is>
          <t>Igual regla</t>
        </is>
      </c>
      <c r="E431" s="183" t="n"/>
      <c r="F431" s="84" t="n"/>
      <c r="G431" s="84" t="n"/>
      <c r="H431" s="84" t="n"/>
      <c r="I431" s="84" t="n"/>
      <c r="J431" s="84" t="n"/>
      <c r="K431" s="84" t="n"/>
      <c r="L431" s="84" t="n"/>
      <c r="M431" s="84" t="n"/>
      <c r="N431" s="84" t="n"/>
      <c r="O431" s="84" t="n"/>
      <c r="P431" s="84" t="n"/>
      <c r="Q431" s="84" t="n"/>
      <c r="R431" s="84" t="n"/>
      <c r="S431" s="84" t="n"/>
      <c r="T431" s="84" t="n"/>
      <c r="U431" s="84" t="n"/>
      <c r="V431" s="84" t="n"/>
      <c r="W431" s="84" t="n"/>
      <c r="X431" s="84" t="n"/>
      <c r="Y431" s="84" t="n"/>
      <c r="Z431" s="84" t="n"/>
      <c r="AA431" s="84" t="n"/>
      <c r="AB431" s="84" t="n"/>
      <c r="AC431" s="84" t="n"/>
      <c r="AD431" s="84" t="n"/>
    </row>
    <row r="432" ht="30" customHeight="1" s="176">
      <c r="A432" s="122" t="inlineStr">
        <is>
          <t>Talla Calzado MX – Hombre (con ancho)</t>
        </is>
      </c>
      <c r="B432" s="123" t="n">
        <v>29</v>
      </c>
      <c r="C432" s="123" t="inlineStr">
        <is>
          <t>11 FM</t>
        </is>
      </c>
      <c r="D432" s="122" t="inlineStr">
        <is>
          <t>Igual regla</t>
        </is>
      </c>
      <c r="E432" s="183" t="n"/>
      <c r="F432" s="84" t="n"/>
      <c r="G432" s="84" t="n"/>
      <c r="H432" s="84" t="n"/>
      <c r="I432" s="84" t="n"/>
      <c r="J432" s="84" t="n"/>
      <c r="K432" s="84" t="n"/>
      <c r="L432" s="84" t="n"/>
      <c r="M432" s="84" t="n"/>
      <c r="N432" s="84" t="n"/>
      <c r="O432" s="84" t="n"/>
      <c r="P432" s="84" t="n"/>
      <c r="Q432" s="84" t="n"/>
      <c r="R432" s="84" t="n"/>
      <c r="S432" s="84" t="n"/>
      <c r="T432" s="84" t="n"/>
      <c r="U432" s="84" t="n"/>
      <c r="V432" s="84" t="n"/>
      <c r="W432" s="84" t="n"/>
      <c r="X432" s="84" t="n"/>
      <c r="Y432" s="84" t="n"/>
      <c r="Z432" s="84" t="n"/>
      <c r="AA432" s="84" t="n"/>
      <c r="AB432" s="84" t="n"/>
      <c r="AC432" s="84" t="n"/>
      <c r="AD432" s="84" t="n"/>
    </row>
    <row r="433" ht="30" customHeight="1" s="176">
      <c r="A433" s="122" t="inlineStr">
        <is>
          <t>Talla Calzado MX – Hombre (con ancho)</t>
        </is>
      </c>
      <c r="B433" s="123" t="n">
        <v>29</v>
      </c>
      <c r="C433" s="123" t="inlineStr">
        <is>
          <t>11 FS</t>
        </is>
      </c>
      <c r="D433" s="122" t="inlineStr">
        <is>
          <t>Igual regla</t>
        </is>
      </c>
      <c r="E433" s="183" t="n"/>
      <c r="F433" s="84" t="n"/>
      <c r="G433" s="84" t="n"/>
      <c r="H433" s="84" t="n"/>
      <c r="I433" s="84" t="n"/>
      <c r="J433" s="84" t="n"/>
      <c r="K433" s="84" t="n"/>
      <c r="L433" s="84" t="n"/>
      <c r="M433" s="84" t="n"/>
      <c r="N433" s="84" t="n"/>
      <c r="O433" s="84" t="n"/>
      <c r="P433" s="84" t="n"/>
      <c r="Q433" s="84" t="n"/>
      <c r="R433" s="84" t="n"/>
      <c r="S433" s="84" t="n"/>
      <c r="T433" s="84" t="n"/>
      <c r="U433" s="84" t="n"/>
      <c r="V433" s="84" t="n"/>
      <c r="W433" s="84" t="n"/>
      <c r="X433" s="84" t="n"/>
      <c r="Y433" s="84" t="n"/>
      <c r="Z433" s="84" t="n"/>
      <c r="AA433" s="84" t="n"/>
      <c r="AB433" s="84" t="n"/>
      <c r="AC433" s="84" t="n"/>
      <c r="AD433" s="84" t="n"/>
    </row>
    <row r="434" ht="30" customHeight="1" s="176">
      <c r="A434" s="122" t="inlineStr">
        <is>
          <t>Talla Calzado MX – Hombre (con ancho)</t>
        </is>
      </c>
      <c r="B434" s="123" t="n">
        <v>29</v>
      </c>
      <c r="C434" s="123" t="inlineStr">
        <is>
          <t>11 RM</t>
        </is>
      </c>
      <c r="D434" s="122" t="inlineStr">
        <is>
          <t>Igual regla</t>
        </is>
      </c>
      <c r="E434" s="183" t="n"/>
      <c r="F434" s="84" t="n"/>
      <c r="G434" s="84" t="n"/>
      <c r="H434" s="84" t="n"/>
      <c r="I434" s="84" t="n"/>
      <c r="J434" s="84" t="n"/>
      <c r="K434" s="84" t="n"/>
      <c r="L434" s="84" t="n"/>
      <c r="M434" s="84" t="n"/>
      <c r="N434" s="84" t="n"/>
      <c r="O434" s="84" t="n"/>
      <c r="P434" s="84" t="n"/>
      <c r="Q434" s="84" t="n"/>
      <c r="R434" s="84" t="n"/>
      <c r="S434" s="84" t="n"/>
      <c r="T434" s="84" t="n"/>
      <c r="U434" s="84" t="n"/>
      <c r="V434" s="84" t="n"/>
      <c r="W434" s="84" t="n"/>
      <c r="X434" s="84" t="n"/>
      <c r="Y434" s="84" t="n"/>
      <c r="Z434" s="84" t="n"/>
      <c r="AA434" s="84" t="n"/>
      <c r="AB434" s="84" t="n"/>
      <c r="AC434" s="84" t="n"/>
      <c r="AD434" s="84" t="n"/>
    </row>
    <row r="435" ht="30" customHeight="1" s="176">
      <c r="A435" s="122" t="inlineStr">
        <is>
          <t>Talla Calzado MX – Hombre (con ancho)</t>
        </is>
      </c>
      <c r="B435" s="123" t="n">
        <v>29</v>
      </c>
      <c r="C435" s="123" t="inlineStr">
        <is>
          <t>11 RS</t>
        </is>
      </c>
      <c r="D435" s="122" t="inlineStr">
        <is>
          <t>Igual regla</t>
        </is>
      </c>
      <c r="E435" s="183" t="n"/>
      <c r="F435" s="84" t="n"/>
      <c r="G435" s="84" t="n"/>
      <c r="H435" s="84" t="n"/>
      <c r="I435" s="84" t="n"/>
      <c r="J435" s="84" t="n"/>
      <c r="K435" s="84" t="n"/>
      <c r="L435" s="84" t="n"/>
      <c r="M435" s="84" t="n"/>
      <c r="N435" s="84" t="n"/>
      <c r="O435" s="84" t="n"/>
      <c r="P435" s="84" t="n"/>
      <c r="Q435" s="84" t="n"/>
      <c r="R435" s="84" t="n"/>
      <c r="S435" s="84" t="n"/>
      <c r="T435" s="84" t="n"/>
      <c r="U435" s="84" t="n"/>
      <c r="V435" s="84" t="n"/>
      <c r="W435" s="84" t="n"/>
      <c r="X435" s="84" t="n"/>
      <c r="Y435" s="84" t="n"/>
      <c r="Z435" s="84" t="n"/>
      <c r="AA435" s="84" t="n"/>
      <c r="AB435" s="84" t="n"/>
      <c r="AC435" s="84" t="n"/>
      <c r="AD435" s="84" t="n"/>
    </row>
    <row r="436" ht="30" customHeight="1" s="176">
      <c r="A436" s="122" t="inlineStr">
        <is>
          <t>Talla Calzado MX – Hombre (con ancho)</t>
        </is>
      </c>
      <c r="B436" s="123" t="n">
        <v>29</v>
      </c>
      <c r="C436" s="123" t="inlineStr">
        <is>
          <t>11 RT</t>
        </is>
      </c>
      <c r="D436" s="122" t="inlineStr">
        <is>
          <t>Igual regla</t>
        </is>
      </c>
      <c r="E436" s="183" t="n"/>
      <c r="F436" s="84" t="n"/>
      <c r="G436" s="84" t="n"/>
      <c r="H436" s="84" t="n"/>
      <c r="I436" s="84" t="n"/>
      <c r="J436" s="84" t="n"/>
      <c r="K436" s="84" t="n"/>
      <c r="L436" s="84" t="n"/>
      <c r="M436" s="84" t="n"/>
      <c r="N436" s="84" t="n"/>
      <c r="O436" s="84" t="n"/>
      <c r="P436" s="84" t="n"/>
      <c r="Q436" s="84" t="n"/>
      <c r="R436" s="84" t="n"/>
      <c r="S436" s="84" t="n"/>
      <c r="T436" s="84" t="n"/>
      <c r="U436" s="84" t="n"/>
      <c r="V436" s="84" t="n"/>
      <c r="W436" s="84" t="n"/>
      <c r="X436" s="84" t="n"/>
      <c r="Y436" s="84" t="n"/>
      <c r="Z436" s="84" t="n"/>
      <c r="AA436" s="84" t="n"/>
      <c r="AB436" s="84" t="n"/>
      <c r="AC436" s="84" t="n"/>
      <c r="AD436" s="84" t="n"/>
    </row>
    <row r="437" ht="30" customHeight="1" s="176">
      <c r="A437" s="122" t="inlineStr">
        <is>
          <t>Talla Calzado MX – Hombre (con ancho)</t>
        </is>
      </c>
      <c r="B437" s="123" t="n">
        <v>29</v>
      </c>
      <c r="C437" s="123" t="inlineStr">
        <is>
          <t>11 SM</t>
        </is>
      </c>
      <c r="D437" s="122" t="inlineStr">
        <is>
          <t>Igual regla</t>
        </is>
      </c>
      <c r="E437" s="183" t="n"/>
      <c r="F437" s="84" t="n"/>
      <c r="G437" s="84" t="n"/>
      <c r="H437" s="84" t="n"/>
      <c r="I437" s="84" t="n"/>
      <c r="J437" s="84" t="n"/>
      <c r="K437" s="84" t="n"/>
      <c r="L437" s="84" t="n"/>
      <c r="M437" s="84" t="n"/>
      <c r="N437" s="84" t="n"/>
      <c r="O437" s="84" t="n"/>
      <c r="P437" s="84" t="n"/>
      <c r="Q437" s="84" t="n"/>
      <c r="R437" s="84" t="n"/>
      <c r="S437" s="84" t="n"/>
      <c r="T437" s="84" t="n"/>
      <c r="U437" s="84" t="n"/>
      <c r="V437" s="84" t="n"/>
      <c r="W437" s="84" t="n"/>
      <c r="X437" s="84" t="n"/>
      <c r="Y437" s="84" t="n"/>
      <c r="Z437" s="84" t="n"/>
      <c r="AA437" s="84" t="n"/>
      <c r="AB437" s="84" t="n"/>
      <c r="AC437" s="84" t="n"/>
      <c r="AD437" s="84" t="n"/>
    </row>
    <row r="438" ht="30" customHeight="1" s="176">
      <c r="A438" s="122" t="inlineStr">
        <is>
          <t>Talla Calzado MX – Hombre (con ancho)</t>
        </is>
      </c>
      <c r="B438" s="123" t="n">
        <v>29</v>
      </c>
      <c r="C438" s="123" t="inlineStr">
        <is>
          <t>11 SS</t>
        </is>
      </c>
      <c r="D438" s="122" t="inlineStr">
        <is>
          <t>Igual regla</t>
        </is>
      </c>
      <c r="E438" s="183" t="n"/>
      <c r="F438" s="84" t="n"/>
      <c r="G438" s="84" t="n"/>
      <c r="H438" s="84" t="n"/>
      <c r="I438" s="84" t="n"/>
      <c r="J438" s="84" t="n"/>
      <c r="K438" s="84" t="n"/>
      <c r="L438" s="84" t="n"/>
      <c r="M438" s="84" t="n"/>
      <c r="N438" s="84" t="n"/>
      <c r="O438" s="84" t="n"/>
      <c r="P438" s="84" t="n"/>
      <c r="Q438" s="84" t="n"/>
      <c r="R438" s="84" t="n"/>
      <c r="S438" s="84" t="n"/>
      <c r="T438" s="84" t="n"/>
      <c r="U438" s="84" t="n"/>
      <c r="V438" s="84" t="n"/>
      <c r="W438" s="84" t="n"/>
      <c r="X438" s="84" t="n"/>
      <c r="Y438" s="84" t="n"/>
      <c r="Z438" s="84" t="n"/>
      <c r="AA438" s="84" t="n"/>
      <c r="AB438" s="84" t="n"/>
      <c r="AC438" s="84" t="n"/>
      <c r="AD438" s="84" t="n"/>
    </row>
    <row r="439" ht="30" customHeight="1" s="176">
      <c r="A439" s="122" t="inlineStr">
        <is>
          <t>Talla Calzado MX – Hombre (con ancho)</t>
        </is>
      </c>
      <c r="B439" s="123" t="n">
        <v>29</v>
      </c>
      <c r="C439" s="123" t="inlineStr">
        <is>
          <t>11 ST</t>
        </is>
      </c>
      <c r="D439" s="122" t="inlineStr">
        <is>
          <t>Igual regla</t>
        </is>
      </c>
      <c r="E439" s="183" t="n"/>
      <c r="F439" s="84" t="n"/>
      <c r="G439" s="84" t="n"/>
      <c r="H439" s="84" t="n"/>
      <c r="I439" s="84" t="n"/>
      <c r="J439" s="84" t="n"/>
      <c r="K439" s="84" t="n"/>
      <c r="L439" s="84" t="n"/>
      <c r="M439" s="84" t="n"/>
      <c r="N439" s="84" t="n"/>
      <c r="O439" s="84" t="n"/>
      <c r="P439" s="84" t="n"/>
      <c r="Q439" s="84" t="n"/>
      <c r="R439" s="84" t="n"/>
      <c r="S439" s="84" t="n"/>
      <c r="T439" s="84" t="n"/>
      <c r="U439" s="84" t="n"/>
      <c r="V439" s="84" t="n"/>
      <c r="W439" s="84" t="n"/>
      <c r="X439" s="84" t="n"/>
      <c r="Y439" s="84" t="n"/>
      <c r="Z439" s="84" t="n"/>
      <c r="AA439" s="84" t="n"/>
      <c r="AB439" s="84" t="n"/>
      <c r="AC439" s="84" t="n"/>
      <c r="AD439" s="84" t="n"/>
    </row>
    <row r="440" ht="30" customHeight="1" s="176">
      <c r="A440" s="122" t="inlineStr">
        <is>
          <t>Talla Calzado MX – Hombre (con ancho)</t>
        </is>
      </c>
      <c r="B440" s="123" t="n">
        <v>29.5</v>
      </c>
      <c r="C440" s="123" t="inlineStr">
        <is>
          <t>11.5 B</t>
        </is>
      </c>
      <c r="D440" s="122" t="inlineStr">
        <is>
          <t>Igual regla</t>
        </is>
      </c>
      <c r="E440" s="183" t="n"/>
      <c r="F440" s="84" t="n"/>
      <c r="G440" s="84" t="n"/>
      <c r="H440" s="84" t="n"/>
      <c r="I440" s="84" t="n"/>
      <c r="J440" s="84" t="n"/>
      <c r="K440" s="84" t="n"/>
      <c r="L440" s="84" t="n"/>
      <c r="M440" s="84" t="n"/>
      <c r="N440" s="84" t="n"/>
      <c r="O440" s="84" t="n"/>
      <c r="P440" s="84" t="n"/>
      <c r="Q440" s="84" t="n"/>
      <c r="R440" s="84" t="n"/>
      <c r="S440" s="84" t="n"/>
      <c r="T440" s="84" t="n"/>
      <c r="U440" s="84" t="n"/>
      <c r="V440" s="84" t="n"/>
      <c r="W440" s="84" t="n"/>
      <c r="X440" s="84" t="n"/>
      <c r="Y440" s="84" t="n"/>
      <c r="Z440" s="84" t="n"/>
      <c r="AA440" s="84" t="n"/>
      <c r="AB440" s="84" t="n"/>
      <c r="AC440" s="84" t="n"/>
      <c r="AD440" s="84" t="n"/>
    </row>
    <row r="441" ht="30" customHeight="1" s="176">
      <c r="A441" s="122" t="inlineStr">
        <is>
          <t>Talla Calzado MX – Hombre (con ancho)</t>
        </is>
      </c>
      <c r="B441" s="123" t="n">
        <v>29.5</v>
      </c>
      <c r="C441" s="123" t="inlineStr">
        <is>
          <t>11.5 D</t>
        </is>
      </c>
      <c r="D441" s="122" t="inlineStr">
        <is>
          <t>Igual regla</t>
        </is>
      </c>
      <c r="E441" s="183" t="n"/>
      <c r="F441" s="84" t="n"/>
      <c r="G441" s="84" t="n"/>
      <c r="H441" s="84" t="n"/>
      <c r="I441" s="84" t="n"/>
      <c r="J441" s="84" t="n"/>
      <c r="K441" s="84" t="n"/>
      <c r="L441" s="84" t="n"/>
      <c r="M441" s="84" t="n"/>
      <c r="N441" s="84" t="n"/>
      <c r="O441" s="84" t="n"/>
      <c r="P441" s="84" t="n"/>
      <c r="Q441" s="84" t="n"/>
      <c r="R441" s="84" t="n"/>
      <c r="S441" s="84" t="n"/>
      <c r="T441" s="84" t="n"/>
      <c r="U441" s="84" t="n"/>
      <c r="V441" s="84" t="n"/>
      <c r="W441" s="84" t="n"/>
      <c r="X441" s="84" t="n"/>
      <c r="Y441" s="84" t="n"/>
      <c r="Z441" s="84" t="n"/>
      <c r="AA441" s="84" t="n"/>
      <c r="AB441" s="84" t="n"/>
      <c r="AC441" s="84" t="n"/>
      <c r="AD441" s="84" t="n"/>
    </row>
    <row r="442" ht="30" customHeight="1" s="176">
      <c r="A442" s="122" t="inlineStr">
        <is>
          <t>Talla Calzado MX – Hombre (con ancho)</t>
        </is>
      </c>
      <c r="B442" s="123" t="n">
        <v>29.5</v>
      </c>
      <c r="C442" s="123" t="inlineStr">
        <is>
          <t>11.5 EE</t>
        </is>
      </c>
      <c r="D442" s="122" t="inlineStr">
        <is>
          <t>Igual regla</t>
        </is>
      </c>
      <c r="E442" s="183" t="n"/>
      <c r="F442" s="84" t="n"/>
      <c r="G442" s="84" t="n"/>
      <c r="H442" s="84" t="n"/>
      <c r="I442" s="84" t="n"/>
      <c r="J442" s="84" t="n"/>
      <c r="K442" s="84" t="n"/>
      <c r="L442" s="84" t="n"/>
      <c r="M442" s="84" t="n"/>
      <c r="N442" s="84" t="n"/>
      <c r="O442" s="84" t="n"/>
      <c r="P442" s="84" t="n"/>
      <c r="Q442" s="84" t="n"/>
      <c r="R442" s="84" t="n"/>
      <c r="S442" s="84" t="n"/>
      <c r="T442" s="84" t="n"/>
      <c r="U442" s="84" t="n"/>
      <c r="V442" s="84" t="n"/>
      <c r="W442" s="84" t="n"/>
      <c r="X442" s="84" t="n"/>
      <c r="Y442" s="84" t="n"/>
      <c r="Z442" s="84" t="n"/>
      <c r="AA442" s="84" t="n"/>
      <c r="AB442" s="84" t="n"/>
      <c r="AC442" s="84" t="n"/>
      <c r="AD442" s="84" t="n"/>
    </row>
    <row r="443" ht="30" customHeight="1" s="176">
      <c r="A443" s="122" t="inlineStr">
        <is>
          <t>Talla Calzado MX – Hombre (con ancho)</t>
        </is>
      </c>
      <c r="B443" s="123" t="n">
        <v>29.5</v>
      </c>
      <c r="C443" s="123" t="inlineStr">
        <is>
          <t>11.5 FM</t>
        </is>
      </c>
      <c r="D443" s="122" t="inlineStr">
        <is>
          <t>Igual regla</t>
        </is>
      </c>
      <c r="E443" s="183" t="n"/>
      <c r="F443" s="84" t="n"/>
      <c r="G443" s="84" t="n"/>
      <c r="H443" s="84" t="n"/>
      <c r="I443" s="84" t="n"/>
      <c r="J443" s="84" t="n"/>
      <c r="K443" s="84" t="n"/>
      <c r="L443" s="84" t="n"/>
      <c r="M443" s="84" t="n"/>
      <c r="N443" s="84" t="n"/>
      <c r="O443" s="84" t="n"/>
      <c r="P443" s="84" t="n"/>
      <c r="Q443" s="84" t="n"/>
      <c r="R443" s="84" t="n"/>
      <c r="S443" s="84" t="n"/>
      <c r="T443" s="84" t="n"/>
      <c r="U443" s="84" t="n"/>
      <c r="V443" s="84" t="n"/>
      <c r="W443" s="84" t="n"/>
      <c r="X443" s="84" t="n"/>
      <c r="Y443" s="84" t="n"/>
      <c r="Z443" s="84" t="n"/>
      <c r="AA443" s="84" t="n"/>
      <c r="AB443" s="84" t="n"/>
      <c r="AC443" s="84" t="n"/>
      <c r="AD443" s="84" t="n"/>
    </row>
    <row r="444" ht="30" customHeight="1" s="176">
      <c r="A444" s="122" t="inlineStr">
        <is>
          <t>Talla Calzado MX – Hombre (con ancho)</t>
        </is>
      </c>
      <c r="B444" s="123" t="n">
        <v>29.5</v>
      </c>
      <c r="C444" s="123" t="inlineStr">
        <is>
          <t>11.5 FS</t>
        </is>
      </c>
      <c r="D444" s="122" t="inlineStr">
        <is>
          <t>Igual regla</t>
        </is>
      </c>
      <c r="E444" s="183" t="n"/>
      <c r="F444" s="84" t="n"/>
      <c r="G444" s="84" t="n"/>
      <c r="H444" s="84" t="n"/>
      <c r="I444" s="84" t="n"/>
      <c r="J444" s="84" t="n"/>
      <c r="K444" s="84" t="n"/>
      <c r="L444" s="84" t="n"/>
      <c r="M444" s="84" t="n"/>
      <c r="N444" s="84" t="n"/>
      <c r="O444" s="84" t="n"/>
      <c r="P444" s="84" t="n"/>
      <c r="Q444" s="84" t="n"/>
      <c r="R444" s="84" t="n"/>
      <c r="S444" s="84" t="n"/>
      <c r="T444" s="84" t="n"/>
      <c r="U444" s="84" t="n"/>
      <c r="V444" s="84" t="n"/>
      <c r="W444" s="84" t="n"/>
      <c r="X444" s="84" t="n"/>
      <c r="Y444" s="84" t="n"/>
      <c r="Z444" s="84" t="n"/>
      <c r="AA444" s="84" t="n"/>
      <c r="AB444" s="84" t="n"/>
      <c r="AC444" s="84" t="n"/>
      <c r="AD444" s="84" t="n"/>
    </row>
    <row r="445" ht="30" customHeight="1" s="176">
      <c r="A445" s="122" t="inlineStr">
        <is>
          <t>Talla Calzado MX – Hombre (con ancho)</t>
        </is>
      </c>
      <c r="B445" s="123" t="n">
        <v>29.5</v>
      </c>
      <c r="C445" s="123" t="inlineStr">
        <is>
          <t>11.5 RM</t>
        </is>
      </c>
      <c r="D445" s="122" t="inlineStr">
        <is>
          <t>Igual regla</t>
        </is>
      </c>
      <c r="E445" s="183" t="n"/>
      <c r="F445" s="84" t="n"/>
      <c r="G445" s="84" t="n"/>
      <c r="H445" s="84" t="n"/>
      <c r="I445" s="84" t="n"/>
      <c r="J445" s="84" t="n"/>
      <c r="K445" s="84" t="n"/>
      <c r="L445" s="84" t="n"/>
      <c r="M445" s="84" t="n"/>
      <c r="N445" s="84" t="n"/>
      <c r="O445" s="84" t="n"/>
      <c r="P445" s="84" t="n"/>
      <c r="Q445" s="84" t="n"/>
      <c r="R445" s="84" t="n"/>
      <c r="S445" s="84" t="n"/>
      <c r="T445" s="84" t="n"/>
      <c r="U445" s="84" t="n"/>
      <c r="V445" s="84" t="n"/>
      <c r="W445" s="84" t="n"/>
      <c r="X445" s="84" t="n"/>
      <c r="Y445" s="84" t="n"/>
      <c r="Z445" s="84" t="n"/>
      <c r="AA445" s="84" t="n"/>
      <c r="AB445" s="84" t="n"/>
      <c r="AC445" s="84" t="n"/>
      <c r="AD445" s="84" t="n"/>
    </row>
    <row r="446" ht="30" customHeight="1" s="176">
      <c r="A446" s="122" t="inlineStr">
        <is>
          <t>Talla Calzado MX – Hombre (con ancho)</t>
        </is>
      </c>
      <c r="B446" s="123" t="n">
        <v>29.5</v>
      </c>
      <c r="C446" s="123" t="inlineStr">
        <is>
          <t>11.5 RS</t>
        </is>
      </c>
      <c r="D446" s="122" t="inlineStr">
        <is>
          <t>Igual regla</t>
        </is>
      </c>
      <c r="E446" s="183" t="n"/>
      <c r="F446" s="84" t="n"/>
      <c r="G446" s="84" t="n"/>
      <c r="H446" s="84" t="n"/>
      <c r="I446" s="84" t="n"/>
      <c r="J446" s="84" t="n"/>
      <c r="K446" s="84" t="n"/>
      <c r="L446" s="84" t="n"/>
      <c r="M446" s="84" t="n"/>
      <c r="N446" s="84" t="n"/>
      <c r="O446" s="84" t="n"/>
      <c r="P446" s="84" t="n"/>
      <c r="Q446" s="84" t="n"/>
      <c r="R446" s="84" t="n"/>
      <c r="S446" s="84" t="n"/>
      <c r="T446" s="84" t="n"/>
      <c r="U446" s="84" t="n"/>
      <c r="V446" s="84" t="n"/>
      <c r="W446" s="84" t="n"/>
      <c r="X446" s="84" t="n"/>
      <c r="Y446" s="84" t="n"/>
      <c r="Z446" s="84" t="n"/>
      <c r="AA446" s="84" t="n"/>
      <c r="AB446" s="84" t="n"/>
      <c r="AC446" s="84" t="n"/>
      <c r="AD446" s="84" t="n"/>
    </row>
    <row r="447" ht="30" customHeight="1" s="176">
      <c r="A447" s="122" t="inlineStr">
        <is>
          <t>Talla Calzado MX – Hombre (con ancho)</t>
        </is>
      </c>
      <c r="B447" s="123" t="n">
        <v>29.5</v>
      </c>
      <c r="C447" s="123" t="inlineStr">
        <is>
          <t>11.5 RT</t>
        </is>
      </c>
      <c r="D447" s="122" t="inlineStr">
        <is>
          <t>Igual regla</t>
        </is>
      </c>
      <c r="E447" s="183" t="n"/>
      <c r="F447" s="84" t="n"/>
      <c r="G447" s="84" t="n"/>
      <c r="H447" s="84" t="n"/>
      <c r="I447" s="84" t="n"/>
      <c r="J447" s="84" t="n"/>
      <c r="K447" s="84" t="n"/>
      <c r="L447" s="84" t="n"/>
      <c r="M447" s="84" t="n"/>
      <c r="N447" s="84" t="n"/>
      <c r="O447" s="84" t="n"/>
      <c r="P447" s="84" t="n"/>
      <c r="Q447" s="84" t="n"/>
      <c r="R447" s="84" t="n"/>
      <c r="S447" s="84" t="n"/>
      <c r="T447" s="84" t="n"/>
      <c r="U447" s="84" t="n"/>
      <c r="V447" s="84" t="n"/>
      <c r="W447" s="84" t="n"/>
      <c r="X447" s="84" t="n"/>
      <c r="Y447" s="84" t="n"/>
      <c r="Z447" s="84" t="n"/>
      <c r="AA447" s="84" t="n"/>
      <c r="AB447" s="84" t="n"/>
      <c r="AC447" s="84" t="n"/>
      <c r="AD447" s="84" t="n"/>
    </row>
    <row r="448" ht="30" customHeight="1" s="176">
      <c r="A448" s="122" t="inlineStr">
        <is>
          <t>Talla Calzado MX – Hombre (con ancho)</t>
        </is>
      </c>
      <c r="B448" s="123" t="n">
        <v>29.5</v>
      </c>
      <c r="C448" s="123" t="inlineStr">
        <is>
          <t>11.5 SM</t>
        </is>
      </c>
      <c r="D448" s="122" t="inlineStr">
        <is>
          <t>Igual regla</t>
        </is>
      </c>
      <c r="E448" s="183" t="n"/>
      <c r="F448" s="84" t="n"/>
      <c r="G448" s="84" t="n"/>
      <c r="H448" s="84" t="n"/>
      <c r="I448" s="84" t="n"/>
      <c r="J448" s="84" t="n"/>
      <c r="K448" s="84" t="n"/>
      <c r="L448" s="84" t="n"/>
      <c r="M448" s="84" t="n"/>
      <c r="N448" s="84" t="n"/>
      <c r="O448" s="84" t="n"/>
      <c r="P448" s="84" t="n"/>
      <c r="Q448" s="84" t="n"/>
      <c r="R448" s="84" t="n"/>
      <c r="S448" s="84" t="n"/>
      <c r="T448" s="84" t="n"/>
      <c r="U448" s="84" t="n"/>
      <c r="V448" s="84" t="n"/>
      <c r="W448" s="84" t="n"/>
      <c r="X448" s="84" t="n"/>
      <c r="Y448" s="84" t="n"/>
      <c r="Z448" s="84" t="n"/>
      <c r="AA448" s="84" t="n"/>
      <c r="AB448" s="84" t="n"/>
      <c r="AC448" s="84" t="n"/>
      <c r="AD448" s="84" t="n"/>
    </row>
    <row r="449" ht="30" customHeight="1" s="176">
      <c r="A449" s="122" t="inlineStr">
        <is>
          <t>Talla Calzado MX – Hombre (con ancho)</t>
        </is>
      </c>
      <c r="B449" s="123" t="n">
        <v>29.5</v>
      </c>
      <c r="C449" s="123" t="inlineStr">
        <is>
          <t>11.5 SS</t>
        </is>
      </c>
      <c r="D449" s="122" t="inlineStr">
        <is>
          <t>Igual regla</t>
        </is>
      </c>
      <c r="E449" s="183" t="n"/>
      <c r="F449" s="84" t="n"/>
      <c r="G449" s="84" t="n"/>
      <c r="H449" s="84" t="n"/>
      <c r="I449" s="84" t="n"/>
      <c r="J449" s="84" t="n"/>
      <c r="K449" s="84" t="n"/>
      <c r="L449" s="84" t="n"/>
      <c r="M449" s="84" t="n"/>
      <c r="N449" s="84" t="n"/>
      <c r="O449" s="84" t="n"/>
      <c r="P449" s="84" t="n"/>
      <c r="Q449" s="84" t="n"/>
      <c r="R449" s="84" t="n"/>
      <c r="S449" s="84" t="n"/>
      <c r="T449" s="84" t="n"/>
      <c r="U449" s="84" t="n"/>
      <c r="V449" s="84" t="n"/>
      <c r="W449" s="84" t="n"/>
      <c r="X449" s="84" t="n"/>
      <c r="Y449" s="84" t="n"/>
      <c r="Z449" s="84" t="n"/>
      <c r="AA449" s="84" t="n"/>
      <c r="AB449" s="84" t="n"/>
      <c r="AC449" s="84" t="n"/>
      <c r="AD449" s="84" t="n"/>
    </row>
    <row r="450" ht="30" customHeight="1" s="176">
      <c r="A450" s="122" t="inlineStr">
        <is>
          <t>Talla Calzado MX – Hombre (con ancho)</t>
        </is>
      </c>
      <c r="B450" s="123" t="n">
        <v>29.5</v>
      </c>
      <c r="C450" s="123" t="inlineStr">
        <is>
          <t>11.5 ST</t>
        </is>
      </c>
      <c r="D450" s="122" t="inlineStr">
        <is>
          <t>Igual regla</t>
        </is>
      </c>
      <c r="E450" s="183" t="n"/>
      <c r="F450" s="84" t="n"/>
      <c r="G450" s="84" t="n"/>
      <c r="H450" s="84" t="n"/>
      <c r="I450" s="84" t="n"/>
      <c r="J450" s="84" t="n"/>
      <c r="K450" s="84" t="n"/>
      <c r="L450" s="84" t="n"/>
      <c r="M450" s="84" t="n"/>
      <c r="N450" s="84" t="n"/>
      <c r="O450" s="84" t="n"/>
      <c r="P450" s="84" t="n"/>
      <c r="Q450" s="84" t="n"/>
      <c r="R450" s="84" t="n"/>
      <c r="S450" s="84" t="n"/>
      <c r="T450" s="84" t="n"/>
      <c r="U450" s="84" t="n"/>
      <c r="V450" s="84" t="n"/>
      <c r="W450" s="84" t="n"/>
      <c r="X450" s="84" t="n"/>
      <c r="Y450" s="84" t="n"/>
      <c r="Z450" s="84" t="n"/>
      <c r="AA450" s="84" t="n"/>
      <c r="AB450" s="84" t="n"/>
      <c r="AC450" s="84" t="n"/>
      <c r="AD450" s="84" t="n"/>
    </row>
    <row r="451" ht="30" customHeight="1" s="176">
      <c r="A451" s="122" t="inlineStr">
        <is>
          <t>Talla Calzado MX – Hombre (con ancho)</t>
        </is>
      </c>
      <c r="B451" s="123" t="n">
        <v>30</v>
      </c>
      <c r="C451" s="123" t="inlineStr">
        <is>
          <t>12 B</t>
        </is>
      </c>
      <c r="D451" s="122" t="inlineStr">
        <is>
          <t>Igual regla</t>
        </is>
      </c>
      <c r="E451" s="183" t="n"/>
      <c r="F451" s="84" t="n"/>
      <c r="G451" s="84" t="n"/>
      <c r="H451" s="84" t="n"/>
      <c r="I451" s="84" t="n"/>
      <c r="J451" s="84" t="n"/>
      <c r="K451" s="84" t="n"/>
      <c r="L451" s="84" t="n"/>
      <c r="M451" s="84" t="n"/>
      <c r="N451" s="84" t="n"/>
      <c r="O451" s="84" t="n"/>
      <c r="P451" s="84" t="n"/>
      <c r="Q451" s="84" t="n"/>
      <c r="R451" s="84" t="n"/>
      <c r="S451" s="84" t="n"/>
      <c r="T451" s="84" t="n"/>
      <c r="U451" s="84" t="n"/>
      <c r="V451" s="84" t="n"/>
      <c r="W451" s="84" t="n"/>
      <c r="X451" s="84" t="n"/>
      <c r="Y451" s="84" t="n"/>
      <c r="Z451" s="84" t="n"/>
      <c r="AA451" s="84" t="n"/>
      <c r="AB451" s="84" t="n"/>
      <c r="AC451" s="84" t="n"/>
      <c r="AD451" s="84" t="n"/>
    </row>
    <row r="452" ht="30" customHeight="1" s="176">
      <c r="A452" s="122" t="inlineStr">
        <is>
          <t>Talla Calzado MX – Hombre (con ancho)</t>
        </is>
      </c>
      <c r="B452" s="123" t="n">
        <v>30</v>
      </c>
      <c r="C452" s="123" t="inlineStr">
        <is>
          <t>12 D</t>
        </is>
      </c>
      <c r="D452" s="122" t="inlineStr">
        <is>
          <t>Igual regla</t>
        </is>
      </c>
      <c r="E452" s="183" t="n"/>
      <c r="F452" s="84" t="n"/>
      <c r="G452" s="84" t="n"/>
      <c r="H452" s="84" t="n"/>
      <c r="I452" s="84" t="n"/>
      <c r="J452" s="84" t="n"/>
      <c r="K452" s="84" t="n"/>
      <c r="L452" s="84" t="n"/>
      <c r="M452" s="84" t="n"/>
      <c r="N452" s="84" t="n"/>
      <c r="O452" s="84" t="n"/>
      <c r="P452" s="84" t="n"/>
      <c r="Q452" s="84" t="n"/>
      <c r="R452" s="84" t="n"/>
      <c r="S452" s="84" t="n"/>
      <c r="T452" s="84" t="n"/>
      <c r="U452" s="84" t="n"/>
      <c r="V452" s="84" t="n"/>
      <c r="W452" s="84" t="n"/>
      <c r="X452" s="84" t="n"/>
      <c r="Y452" s="84" t="n"/>
      <c r="Z452" s="84" t="n"/>
      <c r="AA452" s="84" t="n"/>
      <c r="AB452" s="84" t="n"/>
      <c r="AC452" s="84" t="n"/>
      <c r="AD452" s="84" t="n"/>
    </row>
    <row r="453" ht="30" customHeight="1" s="176">
      <c r="A453" s="122" t="inlineStr">
        <is>
          <t>Talla Calzado MX – Hombre (con ancho)</t>
        </is>
      </c>
      <c r="B453" s="123" t="n">
        <v>30</v>
      </c>
      <c r="C453" s="123" t="inlineStr">
        <is>
          <t>12 EE</t>
        </is>
      </c>
      <c r="D453" s="122" t="inlineStr">
        <is>
          <t>Igual regla</t>
        </is>
      </c>
      <c r="E453" s="183" t="n"/>
      <c r="F453" s="84" t="n"/>
      <c r="G453" s="84" t="n"/>
      <c r="H453" s="84" t="n"/>
      <c r="I453" s="84" t="n"/>
      <c r="J453" s="84" t="n"/>
      <c r="K453" s="84" t="n"/>
      <c r="L453" s="84" t="n"/>
      <c r="M453" s="84" t="n"/>
      <c r="N453" s="84" t="n"/>
      <c r="O453" s="84" t="n"/>
      <c r="P453" s="84" t="n"/>
      <c r="Q453" s="84" t="n"/>
      <c r="R453" s="84" t="n"/>
      <c r="S453" s="84" t="n"/>
      <c r="T453" s="84" t="n"/>
      <c r="U453" s="84" t="n"/>
      <c r="V453" s="84" t="n"/>
      <c r="W453" s="84" t="n"/>
      <c r="X453" s="84" t="n"/>
      <c r="Y453" s="84" t="n"/>
      <c r="Z453" s="84" t="n"/>
      <c r="AA453" s="84" t="n"/>
      <c r="AB453" s="84" t="n"/>
      <c r="AC453" s="84" t="n"/>
      <c r="AD453" s="84" t="n"/>
    </row>
    <row r="454" ht="30" customHeight="1" s="176">
      <c r="A454" s="122" t="inlineStr">
        <is>
          <t>Talla Calzado MX – Hombre (con ancho)</t>
        </is>
      </c>
      <c r="B454" s="123" t="n">
        <v>30</v>
      </c>
      <c r="C454" s="123" t="inlineStr">
        <is>
          <t>12 FM</t>
        </is>
      </c>
      <c r="D454" s="122" t="inlineStr">
        <is>
          <t>Igual regla</t>
        </is>
      </c>
      <c r="E454" s="183" t="n"/>
      <c r="F454" s="84" t="n"/>
      <c r="G454" s="84" t="n"/>
      <c r="H454" s="84" t="n"/>
      <c r="I454" s="84" t="n"/>
      <c r="J454" s="84" t="n"/>
      <c r="K454" s="84" t="n"/>
      <c r="L454" s="84" t="n"/>
      <c r="M454" s="84" t="n"/>
      <c r="N454" s="84" t="n"/>
      <c r="O454" s="84" t="n"/>
      <c r="P454" s="84" t="n"/>
      <c r="Q454" s="84" t="n"/>
      <c r="R454" s="84" t="n"/>
      <c r="S454" s="84" t="n"/>
      <c r="T454" s="84" t="n"/>
      <c r="U454" s="84" t="n"/>
      <c r="V454" s="84" t="n"/>
      <c r="W454" s="84" t="n"/>
      <c r="X454" s="84" t="n"/>
      <c r="Y454" s="84" t="n"/>
      <c r="Z454" s="84" t="n"/>
      <c r="AA454" s="84" t="n"/>
      <c r="AB454" s="84" t="n"/>
      <c r="AC454" s="84" t="n"/>
      <c r="AD454" s="84" t="n"/>
    </row>
    <row r="455" ht="30" customHeight="1" s="176">
      <c r="A455" s="122" t="inlineStr">
        <is>
          <t>Talla Calzado MX – Hombre (con ancho)</t>
        </is>
      </c>
      <c r="B455" s="123" t="n">
        <v>30</v>
      </c>
      <c r="C455" s="123" t="inlineStr">
        <is>
          <t>12 FS</t>
        </is>
      </c>
      <c r="D455" s="122" t="inlineStr">
        <is>
          <t>Igual regla</t>
        </is>
      </c>
      <c r="E455" s="183" t="n"/>
      <c r="F455" s="84" t="n"/>
      <c r="G455" s="84" t="n"/>
      <c r="H455" s="84" t="n"/>
      <c r="I455" s="84" t="n"/>
      <c r="J455" s="84" t="n"/>
      <c r="K455" s="84" t="n"/>
      <c r="L455" s="84" t="n"/>
      <c r="M455" s="84" t="n"/>
      <c r="N455" s="84" t="n"/>
      <c r="O455" s="84" t="n"/>
      <c r="P455" s="84" t="n"/>
      <c r="Q455" s="84" t="n"/>
      <c r="R455" s="84" t="n"/>
      <c r="S455" s="84" t="n"/>
      <c r="T455" s="84" t="n"/>
      <c r="U455" s="84" t="n"/>
      <c r="V455" s="84" t="n"/>
      <c r="W455" s="84" t="n"/>
      <c r="X455" s="84" t="n"/>
      <c r="Y455" s="84" t="n"/>
      <c r="Z455" s="84" t="n"/>
      <c r="AA455" s="84" t="n"/>
      <c r="AB455" s="84" t="n"/>
      <c r="AC455" s="84" t="n"/>
      <c r="AD455" s="84" t="n"/>
    </row>
    <row r="456" ht="30" customHeight="1" s="176">
      <c r="A456" s="122" t="inlineStr">
        <is>
          <t>Talla Calzado MX – Hombre (con ancho)</t>
        </is>
      </c>
      <c r="B456" s="123" t="n">
        <v>30</v>
      </c>
      <c r="C456" s="123" t="inlineStr">
        <is>
          <t>12 RM</t>
        </is>
      </c>
      <c r="D456" s="122" t="inlineStr">
        <is>
          <t>Igual regla</t>
        </is>
      </c>
      <c r="E456" s="183" t="n"/>
      <c r="F456" s="84" t="n"/>
      <c r="G456" s="84" t="n"/>
      <c r="H456" s="84" t="n"/>
      <c r="I456" s="84" t="n"/>
      <c r="J456" s="84" t="n"/>
      <c r="K456" s="84" t="n"/>
      <c r="L456" s="84" t="n"/>
      <c r="M456" s="84" t="n"/>
      <c r="N456" s="84" t="n"/>
      <c r="O456" s="84" t="n"/>
      <c r="P456" s="84" t="n"/>
      <c r="Q456" s="84" t="n"/>
      <c r="R456" s="84" t="n"/>
      <c r="S456" s="84" t="n"/>
      <c r="T456" s="84" t="n"/>
      <c r="U456" s="84" t="n"/>
      <c r="V456" s="84" t="n"/>
      <c r="W456" s="84" t="n"/>
      <c r="X456" s="84" t="n"/>
      <c r="Y456" s="84" t="n"/>
      <c r="Z456" s="84" t="n"/>
      <c r="AA456" s="84" t="n"/>
      <c r="AB456" s="84" t="n"/>
      <c r="AC456" s="84" t="n"/>
      <c r="AD456" s="84" t="n"/>
    </row>
    <row r="457" ht="30" customHeight="1" s="176">
      <c r="A457" s="122" t="inlineStr">
        <is>
          <t>Talla Calzado MX – Hombre (con ancho)</t>
        </is>
      </c>
      <c r="B457" s="123" t="n">
        <v>30</v>
      </c>
      <c r="C457" s="123" t="inlineStr">
        <is>
          <t>12 RS</t>
        </is>
      </c>
      <c r="D457" s="122" t="inlineStr">
        <is>
          <t>Igual regla</t>
        </is>
      </c>
      <c r="E457" s="183" t="n"/>
      <c r="F457" s="84" t="n"/>
      <c r="G457" s="84" t="n"/>
      <c r="H457" s="84" t="n"/>
      <c r="I457" s="84" t="n"/>
      <c r="J457" s="84" t="n"/>
      <c r="K457" s="84" t="n"/>
      <c r="L457" s="84" t="n"/>
      <c r="M457" s="84" t="n"/>
      <c r="N457" s="84" t="n"/>
      <c r="O457" s="84" t="n"/>
      <c r="P457" s="84" t="n"/>
      <c r="Q457" s="84" t="n"/>
      <c r="R457" s="84" t="n"/>
      <c r="S457" s="84" t="n"/>
      <c r="T457" s="84" t="n"/>
      <c r="U457" s="84" t="n"/>
      <c r="V457" s="84" t="n"/>
      <c r="W457" s="84" t="n"/>
      <c r="X457" s="84" t="n"/>
      <c r="Y457" s="84" t="n"/>
      <c r="Z457" s="84" t="n"/>
      <c r="AA457" s="84" t="n"/>
      <c r="AB457" s="84" t="n"/>
      <c r="AC457" s="84" t="n"/>
      <c r="AD457" s="84" t="n"/>
    </row>
    <row r="458" ht="30" customHeight="1" s="176">
      <c r="A458" s="122" t="inlineStr">
        <is>
          <t>Talla Calzado MX – Hombre (con ancho)</t>
        </is>
      </c>
      <c r="B458" s="123" t="n">
        <v>30</v>
      </c>
      <c r="C458" s="123" t="inlineStr">
        <is>
          <t>12 RT</t>
        </is>
      </c>
      <c r="D458" s="122" t="inlineStr">
        <is>
          <t>Igual regla</t>
        </is>
      </c>
      <c r="E458" s="183" t="n"/>
      <c r="F458" s="84" t="n"/>
      <c r="G458" s="84" t="n"/>
      <c r="H458" s="84" t="n"/>
      <c r="I458" s="84" t="n"/>
      <c r="J458" s="84" t="n"/>
      <c r="K458" s="84" t="n"/>
      <c r="L458" s="84" t="n"/>
      <c r="M458" s="84" t="n"/>
      <c r="N458" s="84" t="n"/>
      <c r="O458" s="84" t="n"/>
      <c r="P458" s="84" t="n"/>
      <c r="Q458" s="84" t="n"/>
      <c r="R458" s="84" t="n"/>
      <c r="S458" s="84" t="n"/>
      <c r="T458" s="84" t="n"/>
      <c r="U458" s="84" t="n"/>
      <c r="V458" s="84" t="n"/>
      <c r="W458" s="84" t="n"/>
      <c r="X458" s="84" t="n"/>
      <c r="Y458" s="84" t="n"/>
      <c r="Z458" s="84" t="n"/>
      <c r="AA458" s="84" t="n"/>
      <c r="AB458" s="84" t="n"/>
      <c r="AC458" s="84" t="n"/>
      <c r="AD458" s="84" t="n"/>
    </row>
    <row r="459" ht="30" customHeight="1" s="176">
      <c r="A459" s="122" t="inlineStr">
        <is>
          <t>Talla Calzado MX – Hombre (con ancho)</t>
        </is>
      </c>
      <c r="B459" s="123" t="n">
        <v>30</v>
      </c>
      <c r="C459" s="123" t="inlineStr">
        <is>
          <t>12 SM</t>
        </is>
      </c>
      <c r="D459" s="122" t="inlineStr">
        <is>
          <t>Igual regla</t>
        </is>
      </c>
      <c r="E459" s="183" t="n"/>
      <c r="F459" s="84" t="n"/>
      <c r="G459" s="84" t="n"/>
      <c r="H459" s="84" t="n"/>
      <c r="I459" s="84" t="n"/>
      <c r="J459" s="84" t="n"/>
      <c r="K459" s="84" t="n"/>
      <c r="L459" s="84" t="n"/>
      <c r="M459" s="84" t="n"/>
      <c r="N459" s="84" t="n"/>
      <c r="O459" s="84" t="n"/>
      <c r="P459" s="84" t="n"/>
      <c r="Q459" s="84" t="n"/>
      <c r="R459" s="84" t="n"/>
      <c r="S459" s="84" t="n"/>
      <c r="T459" s="84" t="n"/>
      <c r="U459" s="84" t="n"/>
      <c r="V459" s="84" t="n"/>
      <c r="W459" s="84" t="n"/>
      <c r="X459" s="84" t="n"/>
      <c r="Y459" s="84" t="n"/>
      <c r="Z459" s="84" t="n"/>
      <c r="AA459" s="84" t="n"/>
      <c r="AB459" s="84" t="n"/>
      <c r="AC459" s="84" t="n"/>
      <c r="AD459" s="84" t="n"/>
    </row>
    <row r="460" ht="30" customHeight="1" s="176">
      <c r="A460" s="122" t="inlineStr">
        <is>
          <t>Talla Calzado MX – Hombre (con ancho)</t>
        </is>
      </c>
      <c r="B460" s="123" t="n">
        <v>30</v>
      </c>
      <c r="C460" s="123" t="inlineStr">
        <is>
          <t>12 SS</t>
        </is>
      </c>
      <c r="D460" s="122" t="inlineStr">
        <is>
          <t>Igual regla</t>
        </is>
      </c>
      <c r="E460" s="183" t="n"/>
      <c r="F460" s="84" t="n"/>
      <c r="G460" s="84" t="n"/>
      <c r="H460" s="84" t="n"/>
      <c r="I460" s="84" t="n"/>
      <c r="J460" s="84" t="n"/>
      <c r="K460" s="84" t="n"/>
      <c r="L460" s="84" t="n"/>
      <c r="M460" s="84" t="n"/>
      <c r="N460" s="84" t="n"/>
      <c r="O460" s="84" t="n"/>
      <c r="P460" s="84" t="n"/>
      <c r="Q460" s="84" t="n"/>
      <c r="R460" s="84" t="n"/>
      <c r="S460" s="84" t="n"/>
      <c r="T460" s="84" t="n"/>
      <c r="U460" s="84" t="n"/>
      <c r="V460" s="84" t="n"/>
      <c r="W460" s="84" t="n"/>
      <c r="X460" s="84" t="n"/>
      <c r="Y460" s="84" t="n"/>
      <c r="Z460" s="84" t="n"/>
      <c r="AA460" s="84" t="n"/>
      <c r="AB460" s="84" t="n"/>
      <c r="AC460" s="84" t="n"/>
      <c r="AD460" s="84" t="n"/>
    </row>
    <row r="461" ht="30" customHeight="1" s="176">
      <c r="A461" s="122" t="inlineStr">
        <is>
          <t>Talla Calzado MX – Hombre (con ancho)</t>
        </is>
      </c>
      <c r="B461" s="123" t="n">
        <v>30</v>
      </c>
      <c r="C461" s="123" t="inlineStr">
        <is>
          <t>12 ST</t>
        </is>
      </c>
      <c r="D461" s="122" t="inlineStr">
        <is>
          <t>Igual regla</t>
        </is>
      </c>
      <c r="E461" s="183" t="n"/>
      <c r="F461" s="84" t="n"/>
      <c r="G461" s="84" t="n"/>
      <c r="H461" s="84" t="n"/>
      <c r="I461" s="84" t="n"/>
      <c r="J461" s="84" t="n"/>
      <c r="K461" s="84" t="n"/>
      <c r="L461" s="84" t="n"/>
      <c r="M461" s="84" t="n"/>
      <c r="N461" s="84" t="n"/>
      <c r="O461" s="84" t="n"/>
      <c r="P461" s="84" t="n"/>
      <c r="Q461" s="84" t="n"/>
      <c r="R461" s="84" t="n"/>
      <c r="S461" s="84" t="n"/>
      <c r="T461" s="84" t="n"/>
      <c r="U461" s="84" t="n"/>
      <c r="V461" s="84" t="n"/>
      <c r="W461" s="84" t="n"/>
      <c r="X461" s="84" t="n"/>
      <c r="Y461" s="84" t="n"/>
      <c r="Z461" s="84" t="n"/>
      <c r="AA461" s="84" t="n"/>
      <c r="AB461" s="84" t="n"/>
      <c r="AC461" s="84" t="n"/>
      <c r="AD461" s="84" t="n"/>
    </row>
    <row r="462" ht="30" customHeight="1" s="176">
      <c r="A462" s="122" t="inlineStr">
        <is>
          <t>Talla Calzado MX – Hombre (con ancho)</t>
        </is>
      </c>
      <c r="B462" s="123" t="n">
        <v>31</v>
      </c>
      <c r="C462" s="123" t="inlineStr">
        <is>
          <t>13 B</t>
        </is>
      </c>
      <c r="D462" s="122" t="inlineStr">
        <is>
          <t>Igual regla</t>
        </is>
      </c>
      <c r="E462" s="183" t="n"/>
      <c r="F462" s="84" t="n"/>
      <c r="G462" s="84" t="n"/>
      <c r="H462" s="84" t="n"/>
      <c r="I462" s="84" t="n"/>
      <c r="J462" s="84" t="n"/>
      <c r="K462" s="84" t="n"/>
      <c r="L462" s="84" t="n"/>
      <c r="M462" s="84" t="n"/>
      <c r="N462" s="84" t="n"/>
      <c r="O462" s="84" t="n"/>
      <c r="P462" s="84" t="n"/>
      <c r="Q462" s="84" t="n"/>
      <c r="R462" s="84" t="n"/>
      <c r="S462" s="84" t="n"/>
      <c r="T462" s="84" t="n"/>
      <c r="U462" s="84" t="n"/>
      <c r="V462" s="84" t="n"/>
      <c r="W462" s="84" t="n"/>
      <c r="X462" s="84" t="n"/>
      <c r="Y462" s="84" t="n"/>
      <c r="Z462" s="84" t="n"/>
      <c r="AA462" s="84" t="n"/>
      <c r="AB462" s="84" t="n"/>
      <c r="AC462" s="84" t="n"/>
      <c r="AD462" s="84" t="n"/>
    </row>
    <row r="463" ht="30" customHeight="1" s="176">
      <c r="A463" s="122" t="inlineStr">
        <is>
          <t>Talla Calzado MX – Hombre (con ancho)</t>
        </is>
      </c>
      <c r="B463" s="123" t="n">
        <v>31</v>
      </c>
      <c r="C463" s="123" t="inlineStr">
        <is>
          <t>13 D</t>
        </is>
      </c>
      <c r="D463" s="122" t="inlineStr">
        <is>
          <t>Igual regla</t>
        </is>
      </c>
      <c r="E463" s="183" t="n"/>
      <c r="F463" s="84" t="n"/>
      <c r="G463" s="84" t="n"/>
      <c r="H463" s="84" t="n"/>
      <c r="I463" s="84" t="n"/>
      <c r="J463" s="84" t="n"/>
      <c r="K463" s="84" t="n"/>
      <c r="L463" s="84" t="n"/>
      <c r="M463" s="84" t="n"/>
      <c r="N463" s="84" t="n"/>
      <c r="O463" s="84" t="n"/>
      <c r="P463" s="84" t="n"/>
      <c r="Q463" s="84" t="n"/>
      <c r="R463" s="84" t="n"/>
      <c r="S463" s="84" t="n"/>
      <c r="T463" s="84" t="n"/>
      <c r="U463" s="84" t="n"/>
      <c r="V463" s="84" t="n"/>
      <c r="W463" s="84" t="n"/>
      <c r="X463" s="84" t="n"/>
      <c r="Y463" s="84" t="n"/>
      <c r="Z463" s="84" t="n"/>
      <c r="AA463" s="84" t="n"/>
      <c r="AB463" s="84" t="n"/>
      <c r="AC463" s="84" t="n"/>
      <c r="AD463" s="84" t="n"/>
    </row>
    <row r="464" ht="30" customHeight="1" s="176">
      <c r="A464" s="122" t="inlineStr">
        <is>
          <t>Talla Calzado MX – Hombre (con ancho)</t>
        </is>
      </c>
      <c r="B464" s="123" t="n">
        <v>31</v>
      </c>
      <c r="C464" s="123" t="inlineStr">
        <is>
          <t>13 EE</t>
        </is>
      </c>
      <c r="D464" s="122" t="inlineStr">
        <is>
          <t>Igual regla</t>
        </is>
      </c>
      <c r="E464" s="183" t="n"/>
      <c r="F464" s="84" t="n"/>
      <c r="G464" s="84" t="n"/>
      <c r="H464" s="84" t="n"/>
      <c r="I464" s="84" t="n"/>
      <c r="J464" s="84" t="n"/>
      <c r="K464" s="84" t="n"/>
      <c r="L464" s="84" t="n"/>
      <c r="M464" s="84" t="n"/>
      <c r="N464" s="84" t="n"/>
      <c r="O464" s="84" t="n"/>
      <c r="P464" s="84" t="n"/>
      <c r="Q464" s="84" t="n"/>
      <c r="R464" s="84" t="n"/>
      <c r="S464" s="84" t="n"/>
      <c r="T464" s="84" t="n"/>
      <c r="U464" s="84" t="n"/>
      <c r="V464" s="84" t="n"/>
      <c r="W464" s="84" t="n"/>
      <c r="X464" s="84" t="n"/>
      <c r="Y464" s="84" t="n"/>
      <c r="Z464" s="84" t="n"/>
      <c r="AA464" s="84" t="n"/>
      <c r="AB464" s="84" t="n"/>
      <c r="AC464" s="84" t="n"/>
      <c r="AD464" s="84" t="n"/>
    </row>
    <row r="465" ht="30" customHeight="1" s="176">
      <c r="A465" s="122" t="inlineStr">
        <is>
          <t>Talla Calzado MX – Hombre (con ancho)</t>
        </is>
      </c>
      <c r="B465" s="123" t="n">
        <v>31</v>
      </c>
      <c r="C465" s="123" t="inlineStr">
        <is>
          <t>13 FM</t>
        </is>
      </c>
      <c r="D465" s="122" t="inlineStr">
        <is>
          <t>Igual regla</t>
        </is>
      </c>
      <c r="E465" s="183" t="n"/>
      <c r="F465" s="84" t="n"/>
      <c r="G465" s="84" t="n"/>
      <c r="H465" s="84" t="n"/>
      <c r="I465" s="84" t="n"/>
      <c r="J465" s="84" t="n"/>
      <c r="K465" s="84" t="n"/>
      <c r="L465" s="84" t="n"/>
      <c r="M465" s="84" t="n"/>
      <c r="N465" s="84" t="n"/>
      <c r="O465" s="84" t="n"/>
      <c r="P465" s="84" t="n"/>
      <c r="Q465" s="84" t="n"/>
      <c r="R465" s="84" t="n"/>
      <c r="S465" s="84" t="n"/>
      <c r="T465" s="84" t="n"/>
      <c r="U465" s="84" t="n"/>
      <c r="V465" s="84" t="n"/>
      <c r="W465" s="84" t="n"/>
      <c r="X465" s="84" t="n"/>
      <c r="Y465" s="84" t="n"/>
      <c r="Z465" s="84" t="n"/>
      <c r="AA465" s="84" t="n"/>
      <c r="AB465" s="84" t="n"/>
      <c r="AC465" s="84" t="n"/>
      <c r="AD465" s="84" t="n"/>
    </row>
    <row r="466" ht="30" customHeight="1" s="176">
      <c r="A466" s="122" t="inlineStr">
        <is>
          <t>Talla Calzado MX – Hombre (con ancho)</t>
        </is>
      </c>
      <c r="B466" s="123" t="n">
        <v>31</v>
      </c>
      <c r="C466" s="123" t="inlineStr">
        <is>
          <t>13 FS</t>
        </is>
      </c>
      <c r="D466" s="122" t="inlineStr">
        <is>
          <t>Igual regla</t>
        </is>
      </c>
      <c r="E466" s="183" t="n"/>
      <c r="F466" s="84" t="n"/>
      <c r="G466" s="84" t="n"/>
      <c r="H466" s="84" t="n"/>
      <c r="I466" s="84" t="n"/>
      <c r="J466" s="84" t="n"/>
      <c r="K466" s="84" t="n"/>
      <c r="L466" s="84" t="n"/>
      <c r="M466" s="84" t="n"/>
      <c r="N466" s="84" t="n"/>
      <c r="O466" s="84" t="n"/>
      <c r="P466" s="84" t="n"/>
      <c r="Q466" s="84" t="n"/>
      <c r="R466" s="84" t="n"/>
      <c r="S466" s="84" t="n"/>
      <c r="T466" s="84" t="n"/>
      <c r="U466" s="84" t="n"/>
      <c r="V466" s="84" t="n"/>
      <c r="W466" s="84" t="n"/>
      <c r="X466" s="84" t="n"/>
      <c r="Y466" s="84" t="n"/>
      <c r="Z466" s="84" t="n"/>
      <c r="AA466" s="84" t="n"/>
      <c r="AB466" s="84" t="n"/>
      <c r="AC466" s="84" t="n"/>
      <c r="AD466" s="84" t="n"/>
    </row>
    <row r="467" ht="30" customHeight="1" s="176">
      <c r="A467" s="122" t="inlineStr">
        <is>
          <t>Talla Calzado MX – Hombre (con ancho)</t>
        </is>
      </c>
      <c r="B467" s="123" t="n">
        <v>31</v>
      </c>
      <c r="C467" s="123" t="inlineStr">
        <is>
          <t>13 RM</t>
        </is>
      </c>
      <c r="D467" s="122" t="inlineStr">
        <is>
          <t>Igual regla</t>
        </is>
      </c>
      <c r="E467" s="183" t="n"/>
      <c r="F467" s="84" t="n"/>
      <c r="G467" s="84" t="n"/>
      <c r="H467" s="84" t="n"/>
      <c r="I467" s="84" t="n"/>
      <c r="J467" s="84" t="n"/>
      <c r="K467" s="84" t="n"/>
      <c r="L467" s="84" t="n"/>
      <c r="M467" s="84" t="n"/>
      <c r="N467" s="84" t="n"/>
      <c r="O467" s="84" t="n"/>
      <c r="P467" s="84" t="n"/>
      <c r="Q467" s="84" t="n"/>
      <c r="R467" s="84" t="n"/>
      <c r="S467" s="84" t="n"/>
      <c r="T467" s="84" t="n"/>
      <c r="U467" s="84" t="n"/>
      <c r="V467" s="84" t="n"/>
      <c r="W467" s="84" t="n"/>
      <c r="X467" s="84" t="n"/>
      <c r="Y467" s="84" t="n"/>
      <c r="Z467" s="84" t="n"/>
      <c r="AA467" s="84" t="n"/>
      <c r="AB467" s="84" t="n"/>
      <c r="AC467" s="84" t="n"/>
      <c r="AD467" s="84" t="n"/>
    </row>
    <row r="468" ht="30" customHeight="1" s="176">
      <c r="A468" s="122" t="inlineStr">
        <is>
          <t>Talla Calzado MX – Hombre (con ancho)</t>
        </is>
      </c>
      <c r="B468" s="123" t="n">
        <v>31</v>
      </c>
      <c r="C468" s="123" t="inlineStr">
        <is>
          <t>13 RS</t>
        </is>
      </c>
      <c r="D468" s="122" t="inlineStr">
        <is>
          <t>Igual regla</t>
        </is>
      </c>
      <c r="E468" s="183" t="n"/>
      <c r="F468" s="84" t="n"/>
      <c r="G468" s="84" t="n"/>
      <c r="H468" s="84" t="n"/>
      <c r="I468" s="84" t="n"/>
      <c r="J468" s="84" t="n"/>
      <c r="K468" s="84" t="n"/>
      <c r="L468" s="84" t="n"/>
      <c r="M468" s="84" t="n"/>
      <c r="N468" s="84" t="n"/>
      <c r="O468" s="84" t="n"/>
      <c r="P468" s="84" t="n"/>
      <c r="Q468" s="84" t="n"/>
      <c r="R468" s="84" t="n"/>
      <c r="S468" s="84" t="n"/>
      <c r="T468" s="84" t="n"/>
      <c r="U468" s="84" t="n"/>
      <c r="V468" s="84" t="n"/>
      <c r="W468" s="84" t="n"/>
      <c r="X468" s="84" t="n"/>
      <c r="Y468" s="84" t="n"/>
      <c r="Z468" s="84" t="n"/>
      <c r="AA468" s="84" t="n"/>
      <c r="AB468" s="84" t="n"/>
      <c r="AC468" s="84" t="n"/>
      <c r="AD468" s="84" t="n"/>
    </row>
    <row r="469" ht="30" customHeight="1" s="176">
      <c r="A469" s="122" t="inlineStr">
        <is>
          <t>Talla Calzado MX – Hombre (con ancho)</t>
        </is>
      </c>
      <c r="B469" s="123" t="n">
        <v>31</v>
      </c>
      <c r="C469" s="123" t="inlineStr">
        <is>
          <t>13 RT</t>
        </is>
      </c>
      <c r="D469" s="122" t="inlineStr">
        <is>
          <t>Igual regla</t>
        </is>
      </c>
      <c r="E469" s="183" t="n"/>
      <c r="F469" s="84" t="n"/>
      <c r="G469" s="84" t="n"/>
      <c r="H469" s="84" t="n"/>
      <c r="I469" s="84" t="n"/>
      <c r="J469" s="84" t="n"/>
      <c r="K469" s="84" t="n"/>
      <c r="L469" s="84" t="n"/>
      <c r="M469" s="84" t="n"/>
      <c r="N469" s="84" t="n"/>
      <c r="O469" s="84" t="n"/>
      <c r="P469" s="84" t="n"/>
      <c r="Q469" s="84" t="n"/>
      <c r="R469" s="84" t="n"/>
      <c r="S469" s="84" t="n"/>
      <c r="T469" s="84" t="n"/>
      <c r="U469" s="84" t="n"/>
      <c r="V469" s="84" t="n"/>
      <c r="W469" s="84" t="n"/>
      <c r="X469" s="84" t="n"/>
      <c r="Y469" s="84" t="n"/>
      <c r="Z469" s="84" t="n"/>
      <c r="AA469" s="84" t="n"/>
      <c r="AB469" s="84" t="n"/>
      <c r="AC469" s="84" t="n"/>
      <c r="AD469" s="84" t="n"/>
    </row>
    <row r="470" ht="30" customHeight="1" s="176">
      <c r="A470" s="122" t="inlineStr">
        <is>
          <t>Talla Calzado MX – Hombre (con ancho)</t>
        </is>
      </c>
      <c r="B470" s="123" t="n">
        <v>31</v>
      </c>
      <c r="C470" s="123" t="inlineStr">
        <is>
          <t>13 SM</t>
        </is>
      </c>
      <c r="D470" s="122" t="inlineStr">
        <is>
          <t>Igual regla</t>
        </is>
      </c>
      <c r="E470" s="183" t="n"/>
      <c r="F470" s="84" t="n"/>
      <c r="G470" s="84" t="n"/>
      <c r="H470" s="84" t="n"/>
      <c r="I470" s="84" t="n"/>
      <c r="J470" s="84" t="n"/>
      <c r="K470" s="84" t="n"/>
      <c r="L470" s="84" t="n"/>
      <c r="M470" s="84" t="n"/>
      <c r="N470" s="84" t="n"/>
      <c r="O470" s="84" t="n"/>
      <c r="P470" s="84" t="n"/>
      <c r="Q470" s="84" t="n"/>
      <c r="R470" s="84" t="n"/>
      <c r="S470" s="84" t="n"/>
      <c r="T470" s="84" t="n"/>
      <c r="U470" s="84" t="n"/>
      <c r="V470" s="84" t="n"/>
      <c r="W470" s="84" t="n"/>
      <c r="X470" s="84" t="n"/>
      <c r="Y470" s="84" t="n"/>
      <c r="Z470" s="84" t="n"/>
      <c r="AA470" s="84" t="n"/>
      <c r="AB470" s="84" t="n"/>
      <c r="AC470" s="84" t="n"/>
      <c r="AD470" s="84" t="n"/>
    </row>
    <row r="471" ht="30" customHeight="1" s="176">
      <c r="A471" s="122" t="inlineStr">
        <is>
          <t>Talla Calzado MX – Hombre (con ancho)</t>
        </is>
      </c>
      <c r="B471" s="123" t="n">
        <v>31</v>
      </c>
      <c r="C471" s="123" t="inlineStr">
        <is>
          <t>13 SS</t>
        </is>
      </c>
      <c r="D471" s="122" t="inlineStr">
        <is>
          <t>Igual regla</t>
        </is>
      </c>
      <c r="E471" s="183" t="n"/>
      <c r="F471" s="84" t="n"/>
      <c r="G471" s="84" t="n"/>
      <c r="H471" s="84" t="n"/>
      <c r="I471" s="84" t="n"/>
      <c r="J471" s="84" t="n"/>
      <c r="K471" s="84" t="n"/>
      <c r="L471" s="84" t="n"/>
      <c r="M471" s="84" t="n"/>
      <c r="N471" s="84" t="n"/>
      <c r="O471" s="84" t="n"/>
      <c r="P471" s="84" t="n"/>
      <c r="Q471" s="84" t="n"/>
      <c r="R471" s="84" t="n"/>
      <c r="S471" s="84" t="n"/>
      <c r="T471" s="84" t="n"/>
      <c r="U471" s="84" t="n"/>
      <c r="V471" s="84" t="n"/>
      <c r="W471" s="84" t="n"/>
      <c r="X471" s="84" t="n"/>
      <c r="Y471" s="84" t="n"/>
      <c r="Z471" s="84" t="n"/>
      <c r="AA471" s="84" t="n"/>
      <c r="AB471" s="84" t="n"/>
      <c r="AC471" s="84" t="n"/>
      <c r="AD471" s="84" t="n"/>
    </row>
    <row r="472" ht="30" customHeight="1" s="176">
      <c r="A472" s="122" t="inlineStr">
        <is>
          <t>Talla Calzado MX – Hombre (con ancho)</t>
        </is>
      </c>
      <c r="B472" s="123" t="n">
        <v>31</v>
      </c>
      <c r="C472" s="123" t="inlineStr">
        <is>
          <t>13 ST</t>
        </is>
      </c>
      <c r="D472" s="122" t="inlineStr">
        <is>
          <t>Igual regla</t>
        </is>
      </c>
      <c r="E472" s="183" t="n"/>
      <c r="F472" s="84" t="n"/>
      <c r="G472" s="84" t="n"/>
      <c r="H472" s="84" t="n"/>
      <c r="I472" s="84" t="n"/>
      <c r="J472" s="84" t="n"/>
      <c r="K472" s="84" t="n"/>
      <c r="L472" s="84" t="n"/>
      <c r="M472" s="84" t="n"/>
      <c r="N472" s="84" t="n"/>
      <c r="O472" s="84" t="n"/>
      <c r="P472" s="84" t="n"/>
      <c r="Q472" s="84" t="n"/>
      <c r="R472" s="84" t="n"/>
      <c r="S472" s="84" t="n"/>
      <c r="T472" s="84" t="n"/>
      <c r="U472" s="84" t="n"/>
      <c r="V472" s="84" t="n"/>
      <c r="W472" s="84" t="n"/>
      <c r="X472" s="84" t="n"/>
      <c r="Y472" s="84" t="n"/>
      <c r="Z472" s="84" t="n"/>
      <c r="AA472" s="84" t="n"/>
      <c r="AB472" s="84" t="n"/>
      <c r="AC472" s="84" t="n"/>
      <c r="AD472" s="84" t="n"/>
    </row>
    <row r="473" ht="30" customHeight="1" s="176">
      <c r="A473" s="122" t="inlineStr">
        <is>
          <t>Talla Calzado MX – Hombre (con ancho)</t>
        </is>
      </c>
      <c r="B473" s="123" t="n">
        <v>32</v>
      </c>
      <c r="C473" s="123" t="inlineStr">
        <is>
          <t>14 D</t>
        </is>
      </c>
      <c r="D473" s="122" t="inlineStr">
        <is>
          <t>Igual regla</t>
        </is>
      </c>
      <c r="E473" s="183" t="n"/>
      <c r="F473" s="84" t="n"/>
      <c r="G473" s="84" t="n"/>
      <c r="H473" s="84" t="n"/>
      <c r="I473" s="84" t="n"/>
      <c r="J473" s="84" t="n"/>
      <c r="K473" s="84" t="n"/>
      <c r="L473" s="84" t="n"/>
      <c r="M473" s="84" t="n"/>
      <c r="N473" s="84" t="n"/>
      <c r="O473" s="84" t="n"/>
      <c r="P473" s="84" t="n"/>
      <c r="Q473" s="84" t="n"/>
      <c r="R473" s="84" t="n"/>
      <c r="S473" s="84" t="n"/>
      <c r="T473" s="84" t="n"/>
      <c r="U473" s="84" t="n"/>
      <c r="V473" s="84" t="n"/>
      <c r="W473" s="84" t="n"/>
      <c r="X473" s="84" t="n"/>
      <c r="Y473" s="84" t="n"/>
      <c r="Z473" s="84" t="n"/>
      <c r="AA473" s="84" t="n"/>
      <c r="AB473" s="84" t="n"/>
      <c r="AC473" s="84" t="n"/>
      <c r="AD473" s="84" t="n"/>
    </row>
    <row r="474" ht="30" customHeight="1" s="176">
      <c r="A474" s="122" t="inlineStr">
        <is>
          <t>Talla Calzado MX – Hombre (con ancho)</t>
        </is>
      </c>
      <c r="B474" s="123" t="n">
        <v>32</v>
      </c>
      <c r="C474" s="123" t="inlineStr">
        <is>
          <t>14 EE</t>
        </is>
      </c>
      <c r="D474" s="122" t="inlineStr">
        <is>
          <t>Igual regla</t>
        </is>
      </c>
      <c r="E474" s="183" t="n"/>
      <c r="F474" s="84" t="n"/>
      <c r="G474" s="84" t="n"/>
      <c r="H474" s="84" t="n"/>
      <c r="I474" s="84" t="n"/>
      <c r="J474" s="84" t="n"/>
      <c r="K474" s="84" t="n"/>
      <c r="L474" s="84" t="n"/>
      <c r="M474" s="84" t="n"/>
      <c r="N474" s="84" t="n"/>
      <c r="O474" s="84" t="n"/>
      <c r="P474" s="84" t="n"/>
      <c r="Q474" s="84" t="n"/>
      <c r="R474" s="84" t="n"/>
      <c r="S474" s="84" t="n"/>
      <c r="T474" s="84" t="n"/>
      <c r="U474" s="84" t="n"/>
      <c r="V474" s="84" t="n"/>
      <c r="W474" s="84" t="n"/>
      <c r="X474" s="84" t="n"/>
      <c r="Y474" s="84" t="n"/>
      <c r="Z474" s="84" t="n"/>
      <c r="AA474" s="84" t="n"/>
      <c r="AB474" s="84" t="n"/>
      <c r="AC474" s="84" t="n"/>
      <c r="AD474" s="84" t="n"/>
    </row>
    <row r="475" ht="30" customHeight="1" s="176">
      <c r="A475" s="122" t="inlineStr">
        <is>
          <t>Talla Calzado MX – Hombre (con ancho)</t>
        </is>
      </c>
      <c r="B475" s="123" t="n">
        <v>33</v>
      </c>
      <c r="C475" s="123" t="inlineStr">
        <is>
          <t>15 D</t>
        </is>
      </c>
      <c r="D475" s="122" t="inlineStr">
        <is>
          <t>Igual regla</t>
        </is>
      </c>
      <c r="E475" s="183" t="n"/>
      <c r="F475" s="84" t="n"/>
      <c r="G475" s="84" t="n"/>
      <c r="H475" s="84" t="n"/>
      <c r="I475" s="84" t="n"/>
      <c r="J475" s="84" t="n"/>
      <c r="K475" s="84" t="n"/>
      <c r="L475" s="84" t="n"/>
      <c r="M475" s="84" t="n"/>
      <c r="N475" s="84" t="n"/>
      <c r="O475" s="84" t="n"/>
      <c r="P475" s="84" t="n"/>
      <c r="Q475" s="84" t="n"/>
      <c r="R475" s="84" t="n"/>
      <c r="S475" s="84" t="n"/>
      <c r="T475" s="84" t="n"/>
      <c r="U475" s="84" t="n"/>
      <c r="V475" s="84" t="n"/>
      <c r="W475" s="84" t="n"/>
      <c r="X475" s="84" t="n"/>
      <c r="Y475" s="84" t="n"/>
      <c r="Z475" s="84" t="n"/>
      <c r="AA475" s="84" t="n"/>
      <c r="AB475" s="84" t="n"/>
      <c r="AC475" s="84" t="n"/>
      <c r="AD475" s="84" t="n"/>
    </row>
    <row r="476" ht="30" customHeight="1" s="176">
      <c r="A476" s="122" t="inlineStr">
        <is>
          <t>Talla Calzado MX – Hombre (con ancho)</t>
        </is>
      </c>
      <c r="B476" s="123" t="n">
        <v>33</v>
      </c>
      <c r="C476" s="123" t="inlineStr">
        <is>
          <t>15 EE</t>
        </is>
      </c>
      <c r="D476" s="122" t="inlineStr">
        <is>
          <t>Igual regla</t>
        </is>
      </c>
      <c r="E476" s="183" t="n"/>
      <c r="F476" s="84" t="n"/>
      <c r="G476" s="84" t="n"/>
      <c r="H476" s="84" t="n"/>
      <c r="I476" s="84" t="n"/>
      <c r="J476" s="84" t="n"/>
      <c r="K476" s="84" t="n"/>
      <c r="L476" s="84" t="n"/>
      <c r="M476" s="84" t="n"/>
      <c r="N476" s="84" t="n"/>
      <c r="O476" s="84" t="n"/>
      <c r="P476" s="84" t="n"/>
      <c r="Q476" s="84" t="n"/>
      <c r="R476" s="84" t="n"/>
      <c r="S476" s="84" t="n"/>
      <c r="T476" s="84" t="n"/>
      <c r="U476" s="84" t="n"/>
      <c r="V476" s="84" t="n"/>
      <c r="W476" s="84" t="n"/>
      <c r="X476" s="84" t="n"/>
      <c r="Y476" s="84" t="n"/>
      <c r="Z476" s="84" t="n"/>
      <c r="AA476" s="84" t="n"/>
      <c r="AB476" s="84" t="n"/>
      <c r="AC476" s="84" t="n"/>
      <c r="AD476" s="84" t="n"/>
    </row>
    <row r="477" ht="30" customHeight="1" s="176">
      <c r="A477" s="122" t="inlineStr">
        <is>
          <t>Talla Calzado MX – Hombre (con ancho)</t>
        </is>
      </c>
      <c r="B477" s="123" t="n">
        <v>34</v>
      </c>
      <c r="C477" s="123" t="inlineStr">
        <is>
          <t>16 D</t>
        </is>
      </c>
      <c r="D477" s="122" t="inlineStr">
        <is>
          <t>Igual regla</t>
        </is>
      </c>
      <c r="E477" s="183" t="n"/>
      <c r="F477" s="84" t="n"/>
      <c r="G477" s="84" t="n"/>
      <c r="H477" s="84" t="n"/>
      <c r="I477" s="84" t="n"/>
      <c r="J477" s="84" t="n"/>
      <c r="K477" s="84" t="n"/>
      <c r="L477" s="84" t="n"/>
      <c r="M477" s="84" t="n"/>
      <c r="N477" s="84" t="n"/>
      <c r="O477" s="84" t="n"/>
      <c r="P477" s="84" t="n"/>
      <c r="Q477" s="84" t="n"/>
      <c r="R477" s="84" t="n"/>
      <c r="S477" s="84" t="n"/>
      <c r="T477" s="84" t="n"/>
      <c r="U477" s="84" t="n"/>
      <c r="V477" s="84" t="n"/>
      <c r="W477" s="84" t="n"/>
      <c r="X477" s="84" t="n"/>
      <c r="Y477" s="84" t="n"/>
      <c r="Z477" s="84" t="n"/>
      <c r="AA477" s="84" t="n"/>
      <c r="AB477" s="84" t="n"/>
      <c r="AC477" s="84" t="n"/>
      <c r="AD477" s="84" t="n"/>
    </row>
    <row r="478" ht="30" customHeight="1" s="176">
      <c r="A478" s="122" t="inlineStr">
        <is>
          <t>Talla Calzado MX – Hombre (con ancho)</t>
        </is>
      </c>
      <c r="B478" s="123" t="n">
        <v>34</v>
      </c>
      <c r="C478" s="123" t="inlineStr">
        <is>
          <t>16 EE</t>
        </is>
      </c>
      <c r="D478" s="122" t="inlineStr">
        <is>
          <t>Igual regla</t>
        </is>
      </c>
      <c r="E478" s="183" t="n"/>
      <c r="F478" s="84" t="n"/>
      <c r="G478" s="84" t="n"/>
      <c r="H478" s="84" t="n"/>
      <c r="I478" s="84" t="n"/>
      <c r="J478" s="84" t="n"/>
      <c r="K478" s="84" t="n"/>
      <c r="L478" s="84" t="n"/>
      <c r="M478" s="84" t="n"/>
      <c r="N478" s="84" t="n"/>
      <c r="O478" s="84" t="n"/>
      <c r="P478" s="84" t="n"/>
      <c r="Q478" s="84" t="n"/>
      <c r="R478" s="84" t="n"/>
      <c r="S478" s="84" t="n"/>
      <c r="T478" s="84" t="n"/>
      <c r="U478" s="84" t="n"/>
      <c r="V478" s="84" t="n"/>
      <c r="W478" s="84" t="n"/>
      <c r="X478" s="84" t="n"/>
      <c r="Y478" s="84" t="n"/>
      <c r="Z478" s="84" t="n"/>
      <c r="AA478" s="84" t="n"/>
      <c r="AB478" s="84" t="n"/>
      <c r="AC478" s="84" t="n"/>
      <c r="AD478" s="84" t="n"/>
    </row>
    <row r="479" ht="30" customHeight="1" s="176">
      <c r="A479" s="122" t="inlineStr">
        <is>
          <t>Talla Calzado MX – Mujer (con ancho)</t>
        </is>
      </c>
      <c r="B479" s="123" t="n">
        <v>22</v>
      </c>
      <c r="C479" s="123" t="inlineStr">
        <is>
          <t>5 B</t>
        </is>
      </c>
      <c r="D479" s="122" t="inlineStr">
        <is>
          <t>MX = US + 17. El sufijo (B, C, RS, SM…) es el ancho/horma del proveedor y se captura tal cual.</t>
        </is>
      </c>
      <c r="E479" s="183" t="n"/>
      <c r="F479" s="84" t="n"/>
      <c r="G479" s="84" t="n"/>
      <c r="H479" s="84" t="n"/>
      <c r="I479" s="84" t="n"/>
      <c r="J479" s="84" t="n"/>
      <c r="K479" s="84" t="n"/>
      <c r="L479" s="84" t="n"/>
      <c r="M479" s="84" t="n"/>
      <c r="N479" s="84" t="n"/>
      <c r="O479" s="84" t="n"/>
      <c r="P479" s="84" t="n"/>
      <c r="Q479" s="84" t="n"/>
      <c r="R479" s="84" t="n"/>
      <c r="S479" s="84" t="n"/>
      <c r="T479" s="84" t="n"/>
      <c r="U479" s="84" t="n"/>
      <c r="V479" s="84" t="n"/>
      <c r="W479" s="84" t="n"/>
      <c r="X479" s="84" t="n"/>
      <c r="Y479" s="84" t="n"/>
      <c r="Z479" s="84" t="n"/>
      <c r="AA479" s="84" t="n"/>
      <c r="AB479" s="84" t="n"/>
      <c r="AC479" s="84" t="n"/>
      <c r="AD479" s="84" t="n"/>
    </row>
    <row r="480" ht="30" customHeight="1" s="176">
      <c r="A480" s="122" t="inlineStr">
        <is>
          <t>Talla Calzado MX – Mujer (con ancho)</t>
        </is>
      </c>
      <c r="B480" s="123" t="n">
        <v>22.5</v>
      </c>
      <c r="C480" s="123" t="inlineStr">
        <is>
          <t>5.5 B</t>
        </is>
      </c>
      <c r="D480" s="122" t="inlineStr">
        <is>
          <t>Igual regla</t>
        </is>
      </c>
      <c r="E480" s="183" t="n"/>
      <c r="F480" s="84" t="n"/>
      <c r="G480" s="84" t="n"/>
      <c r="H480" s="84" t="n"/>
      <c r="I480" s="84" t="n"/>
      <c r="J480" s="84" t="n"/>
      <c r="K480" s="84" t="n"/>
      <c r="L480" s="84" t="n"/>
      <c r="M480" s="84" t="n"/>
      <c r="N480" s="84" t="n"/>
      <c r="O480" s="84" t="n"/>
      <c r="P480" s="84" t="n"/>
      <c r="Q480" s="84" t="n"/>
      <c r="R480" s="84" t="n"/>
      <c r="S480" s="84" t="n"/>
      <c r="T480" s="84" t="n"/>
      <c r="U480" s="84" t="n"/>
      <c r="V480" s="84" t="n"/>
      <c r="W480" s="84" t="n"/>
      <c r="X480" s="84" t="n"/>
      <c r="Y480" s="84" t="n"/>
      <c r="Z480" s="84" t="n"/>
      <c r="AA480" s="84" t="n"/>
      <c r="AB480" s="84" t="n"/>
      <c r="AC480" s="84" t="n"/>
      <c r="AD480" s="84" t="n"/>
    </row>
    <row r="481" ht="30" customHeight="1" s="176">
      <c r="A481" s="122" t="inlineStr">
        <is>
          <t>Talla Calzado MX – Mujer (con ancho)</t>
        </is>
      </c>
      <c r="B481" s="123" t="n">
        <v>22.5</v>
      </c>
      <c r="C481" s="123" t="inlineStr">
        <is>
          <t>5.5 FS</t>
        </is>
      </c>
      <c r="D481" s="122" t="inlineStr">
        <is>
          <t>Igual regla</t>
        </is>
      </c>
      <c r="E481" s="183" t="n"/>
      <c r="F481" s="84" t="n"/>
      <c r="G481" s="84" t="n"/>
      <c r="H481" s="84" t="n"/>
      <c r="I481" s="84" t="n"/>
      <c r="J481" s="84" t="n"/>
      <c r="K481" s="84" t="n"/>
      <c r="L481" s="84" t="n"/>
      <c r="M481" s="84" t="n"/>
      <c r="N481" s="84" t="n"/>
      <c r="O481" s="84" t="n"/>
      <c r="P481" s="84" t="n"/>
      <c r="Q481" s="84" t="n"/>
      <c r="R481" s="84" t="n"/>
      <c r="S481" s="84" t="n"/>
      <c r="T481" s="84" t="n"/>
      <c r="U481" s="84" t="n"/>
      <c r="V481" s="84" t="n"/>
      <c r="W481" s="84" t="n"/>
      <c r="X481" s="84" t="n"/>
      <c r="Y481" s="84" t="n"/>
      <c r="Z481" s="84" t="n"/>
      <c r="AA481" s="84" t="n"/>
      <c r="AB481" s="84" t="n"/>
      <c r="AC481" s="84" t="n"/>
      <c r="AD481" s="84" t="n"/>
    </row>
    <row r="482" ht="30" customHeight="1" s="176">
      <c r="A482" s="122" t="inlineStr">
        <is>
          <t>Talla Calzado MX – Mujer (con ancho)</t>
        </is>
      </c>
      <c r="B482" s="123" t="n">
        <v>22.5</v>
      </c>
      <c r="C482" s="123" t="inlineStr">
        <is>
          <t>5.5 RM</t>
        </is>
      </c>
      <c r="D482" s="122" t="inlineStr">
        <is>
          <t>Igual regla</t>
        </is>
      </c>
      <c r="E482" s="183" t="n"/>
      <c r="F482" s="84" t="n"/>
      <c r="G482" s="84" t="n"/>
      <c r="H482" s="84" t="n"/>
      <c r="I482" s="84" t="n"/>
      <c r="J482" s="84" t="n"/>
      <c r="K482" s="84" t="n"/>
      <c r="L482" s="84" t="n"/>
      <c r="M482" s="84" t="n"/>
      <c r="N482" s="84" t="n"/>
      <c r="O482" s="84" t="n"/>
      <c r="P482" s="84" t="n"/>
      <c r="Q482" s="84" t="n"/>
      <c r="R482" s="84" t="n"/>
      <c r="S482" s="84" t="n"/>
      <c r="T482" s="84" t="n"/>
      <c r="U482" s="84" t="n"/>
      <c r="V482" s="84" t="n"/>
      <c r="W482" s="84" t="n"/>
      <c r="X482" s="84" t="n"/>
      <c r="Y482" s="84" t="n"/>
      <c r="Z482" s="84" t="n"/>
      <c r="AA482" s="84" t="n"/>
      <c r="AB482" s="84" t="n"/>
      <c r="AC482" s="84" t="n"/>
      <c r="AD482" s="84" t="n"/>
    </row>
    <row r="483" ht="30" customHeight="1" s="176">
      <c r="A483" s="122" t="inlineStr">
        <is>
          <t>Talla Calzado MX – Mujer (con ancho)</t>
        </is>
      </c>
      <c r="B483" s="123" t="n">
        <v>22.5</v>
      </c>
      <c r="C483" s="123" t="inlineStr">
        <is>
          <t>5.5 RS</t>
        </is>
      </c>
      <c r="D483" s="122" t="inlineStr">
        <is>
          <t>Igual regla</t>
        </is>
      </c>
      <c r="E483" s="183" t="n"/>
      <c r="F483" s="84" t="n"/>
      <c r="G483" s="84" t="n"/>
      <c r="H483" s="84" t="n"/>
      <c r="I483" s="84" t="n"/>
      <c r="J483" s="84" t="n"/>
      <c r="K483" s="84" t="n"/>
      <c r="L483" s="84" t="n"/>
      <c r="M483" s="84" t="n"/>
      <c r="N483" s="84" t="n"/>
      <c r="O483" s="84" t="n"/>
      <c r="P483" s="84" t="n"/>
      <c r="Q483" s="84" t="n"/>
      <c r="R483" s="84" t="n"/>
      <c r="S483" s="84" t="n"/>
      <c r="T483" s="84" t="n"/>
      <c r="U483" s="84" t="n"/>
      <c r="V483" s="84" t="n"/>
      <c r="W483" s="84" t="n"/>
      <c r="X483" s="84" t="n"/>
      <c r="Y483" s="84" t="n"/>
      <c r="Z483" s="84" t="n"/>
      <c r="AA483" s="84" t="n"/>
      <c r="AB483" s="84" t="n"/>
      <c r="AC483" s="84" t="n"/>
      <c r="AD483" s="84" t="n"/>
    </row>
    <row r="484" ht="30" customHeight="1" s="176">
      <c r="A484" s="122" t="inlineStr">
        <is>
          <t>Talla Calzado MX – Mujer (con ancho)</t>
        </is>
      </c>
      <c r="B484" s="123" t="n">
        <v>22.5</v>
      </c>
      <c r="C484" s="123" t="inlineStr">
        <is>
          <t>5.5 SM</t>
        </is>
      </c>
      <c r="D484" s="122" t="inlineStr">
        <is>
          <t>Igual regla</t>
        </is>
      </c>
      <c r="E484" s="183" t="n"/>
      <c r="F484" s="84" t="n"/>
      <c r="G484" s="84" t="n"/>
      <c r="H484" s="84" t="n"/>
      <c r="I484" s="84" t="n"/>
      <c r="J484" s="84" t="n"/>
      <c r="K484" s="84" t="n"/>
      <c r="L484" s="84" t="n"/>
      <c r="M484" s="84" t="n"/>
      <c r="N484" s="84" t="n"/>
      <c r="O484" s="84" t="n"/>
      <c r="P484" s="84" t="n"/>
      <c r="Q484" s="84" t="n"/>
      <c r="R484" s="84" t="n"/>
      <c r="S484" s="84" t="n"/>
      <c r="T484" s="84" t="n"/>
      <c r="U484" s="84" t="n"/>
      <c r="V484" s="84" t="n"/>
      <c r="W484" s="84" t="n"/>
      <c r="X484" s="84" t="n"/>
      <c r="Y484" s="84" t="n"/>
      <c r="Z484" s="84" t="n"/>
      <c r="AA484" s="84" t="n"/>
      <c r="AB484" s="84" t="n"/>
      <c r="AC484" s="84" t="n"/>
      <c r="AD484" s="84" t="n"/>
    </row>
    <row r="485" ht="30" customHeight="1" s="176">
      <c r="A485" s="122" t="inlineStr">
        <is>
          <t>Talla Calzado MX – Mujer (con ancho)</t>
        </is>
      </c>
      <c r="B485" s="123" t="n">
        <v>22.5</v>
      </c>
      <c r="C485" s="123" t="inlineStr">
        <is>
          <t>5.5 SS</t>
        </is>
      </c>
      <c r="D485" s="122" t="inlineStr">
        <is>
          <t>Igual regla</t>
        </is>
      </c>
      <c r="E485" s="183" t="n"/>
      <c r="F485" s="84" t="n"/>
      <c r="G485" s="84" t="n"/>
      <c r="H485" s="84" t="n"/>
      <c r="I485" s="84" t="n"/>
      <c r="J485" s="84" t="n"/>
      <c r="K485" s="84" t="n"/>
      <c r="L485" s="84" t="n"/>
      <c r="M485" s="84" t="n"/>
      <c r="N485" s="84" t="n"/>
      <c r="O485" s="84" t="n"/>
      <c r="P485" s="84" t="n"/>
      <c r="Q485" s="84" t="n"/>
      <c r="R485" s="84" t="n"/>
      <c r="S485" s="84" t="n"/>
      <c r="T485" s="84" t="n"/>
      <c r="U485" s="84" t="n"/>
      <c r="V485" s="84" t="n"/>
      <c r="W485" s="84" t="n"/>
      <c r="X485" s="84" t="n"/>
      <c r="Y485" s="84" t="n"/>
      <c r="Z485" s="84" t="n"/>
      <c r="AA485" s="84" t="n"/>
      <c r="AB485" s="84" t="n"/>
      <c r="AC485" s="84" t="n"/>
      <c r="AD485" s="84" t="n"/>
    </row>
    <row r="486" ht="30" customHeight="1" s="176">
      <c r="A486" s="122" t="inlineStr">
        <is>
          <t>Talla Calzado MX – Mujer (con ancho)</t>
        </is>
      </c>
      <c r="B486" s="123" t="n">
        <v>22.5</v>
      </c>
      <c r="C486" s="123" t="inlineStr">
        <is>
          <t>5.5 WS</t>
        </is>
      </c>
      <c r="D486" s="122" t="inlineStr">
        <is>
          <t>Igual regla</t>
        </is>
      </c>
      <c r="E486" s="183" t="n"/>
      <c r="F486" s="84" t="n"/>
      <c r="G486" s="84" t="n"/>
      <c r="H486" s="84" t="n"/>
      <c r="I486" s="84" t="n"/>
      <c r="J486" s="84" t="n"/>
      <c r="K486" s="84" t="n"/>
      <c r="L486" s="84" t="n"/>
      <c r="M486" s="84" t="n"/>
      <c r="N486" s="84" t="n"/>
      <c r="O486" s="84" t="n"/>
      <c r="P486" s="84" t="n"/>
      <c r="Q486" s="84" t="n"/>
      <c r="R486" s="84" t="n"/>
      <c r="S486" s="84" t="n"/>
      <c r="T486" s="84" t="n"/>
      <c r="U486" s="84" t="n"/>
      <c r="V486" s="84" t="n"/>
      <c r="W486" s="84" t="n"/>
      <c r="X486" s="84" t="n"/>
      <c r="Y486" s="84" t="n"/>
      <c r="Z486" s="84" t="n"/>
      <c r="AA486" s="84" t="n"/>
      <c r="AB486" s="84" t="n"/>
      <c r="AC486" s="84" t="n"/>
      <c r="AD486" s="84" t="n"/>
    </row>
    <row r="487" ht="30" customHeight="1" s="176">
      <c r="A487" s="122" t="inlineStr">
        <is>
          <t>Talla Calzado MX – Mujer (con ancho)</t>
        </is>
      </c>
      <c r="B487" s="123" t="n">
        <v>22.5</v>
      </c>
      <c r="C487" s="123" t="inlineStr">
        <is>
          <t>5.5 XSM</t>
        </is>
      </c>
      <c r="D487" s="122" t="inlineStr">
        <is>
          <t>Igual regla</t>
        </is>
      </c>
      <c r="E487" s="183" t="n"/>
      <c r="F487" s="84" t="n"/>
      <c r="G487" s="84" t="n"/>
      <c r="H487" s="84" t="n"/>
      <c r="I487" s="84" t="n"/>
      <c r="J487" s="84" t="n"/>
      <c r="K487" s="84" t="n"/>
      <c r="L487" s="84" t="n"/>
      <c r="M487" s="84" t="n"/>
      <c r="N487" s="84" t="n"/>
      <c r="O487" s="84" t="n"/>
      <c r="P487" s="84" t="n"/>
      <c r="Q487" s="84" t="n"/>
      <c r="R487" s="84" t="n"/>
      <c r="S487" s="84" t="n"/>
      <c r="T487" s="84" t="n"/>
      <c r="U487" s="84" t="n"/>
      <c r="V487" s="84" t="n"/>
      <c r="W487" s="84" t="n"/>
      <c r="X487" s="84" t="n"/>
      <c r="Y487" s="84" t="n"/>
      <c r="Z487" s="84" t="n"/>
      <c r="AA487" s="84" t="n"/>
      <c r="AB487" s="84" t="n"/>
      <c r="AC487" s="84" t="n"/>
      <c r="AD487" s="84" t="n"/>
    </row>
    <row r="488" ht="30" customHeight="1" s="176">
      <c r="A488" s="122" t="inlineStr">
        <is>
          <t>Talla Calzado MX – Mujer (con ancho)</t>
        </is>
      </c>
      <c r="B488" s="123" t="n">
        <v>23</v>
      </c>
      <c r="C488" s="123" t="inlineStr">
        <is>
          <t>6 B</t>
        </is>
      </c>
      <c r="D488" s="122" t="inlineStr">
        <is>
          <t>Igual regla</t>
        </is>
      </c>
      <c r="E488" s="183" t="n"/>
      <c r="F488" s="84" t="n"/>
      <c r="G488" s="84" t="n"/>
      <c r="H488" s="84" t="n"/>
      <c r="I488" s="84" t="n"/>
      <c r="J488" s="84" t="n"/>
      <c r="K488" s="84" t="n"/>
      <c r="L488" s="84" t="n"/>
      <c r="M488" s="84" t="n"/>
      <c r="N488" s="84" t="n"/>
      <c r="O488" s="84" t="n"/>
      <c r="P488" s="84" t="n"/>
      <c r="Q488" s="84" t="n"/>
      <c r="R488" s="84" t="n"/>
      <c r="S488" s="84" t="n"/>
      <c r="T488" s="84" t="n"/>
      <c r="U488" s="84" t="n"/>
      <c r="V488" s="84" t="n"/>
      <c r="W488" s="84" t="n"/>
      <c r="X488" s="84" t="n"/>
      <c r="Y488" s="84" t="n"/>
      <c r="Z488" s="84" t="n"/>
      <c r="AA488" s="84" t="n"/>
      <c r="AB488" s="84" t="n"/>
      <c r="AC488" s="84" t="n"/>
      <c r="AD488" s="84" t="n"/>
    </row>
    <row r="489" ht="30" customHeight="1" s="176">
      <c r="A489" s="122" t="inlineStr">
        <is>
          <t>Talla Calzado MX – Mujer (con ancho)</t>
        </is>
      </c>
      <c r="B489" s="123" t="n">
        <v>23</v>
      </c>
      <c r="C489" s="123" t="inlineStr">
        <is>
          <t>6 C</t>
        </is>
      </c>
      <c r="D489" s="122" t="inlineStr">
        <is>
          <t>Igual regla</t>
        </is>
      </c>
      <c r="E489" s="183" t="n"/>
      <c r="F489" s="84" t="n"/>
      <c r="G489" s="84" t="n"/>
      <c r="H489" s="84" t="n"/>
      <c r="I489" s="84" t="n"/>
      <c r="J489" s="84" t="n"/>
      <c r="K489" s="84" t="n"/>
      <c r="L489" s="84" t="n"/>
      <c r="M489" s="84" t="n"/>
      <c r="N489" s="84" t="n"/>
      <c r="O489" s="84" t="n"/>
      <c r="P489" s="84" t="n"/>
      <c r="Q489" s="84" t="n"/>
      <c r="R489" s="84" t="n"/>
      <c r="S489" s="84" t="n"/>
      <c r="T489" s="84" t="n"/>
      <c r="U489" s="84" t="n"/>
      <c r="V489" s="84" t="n"/>
      <c r="W489" s="84" t="n"/>
      <c r="X489" s="84" t="n"/>
      <c r="Y489" s="84" t="n"/>
      <c r="Z489" s="84" t="n"/>
      <c r="AA489" s="84" t="n"/>
      <c r="AB489" s="84" t="n"/>
      <c r="AC489" s="84" t="n"/>
      <c r="AD489" s="84" t="n"/>
    </row>
    <row r="490" ht="30" customHeight="1" s="176">
      <c r="A490" s="122" t="inlineStr">
        <is>
          <t>Talla Calzado MX – Mujer (con ancho)</t>
        </is>
      </c>
      <c r="B490" s="123" t="n">
        <v>23</v>
      </c>
      <c r="C490" s="123" t="inlineStr">
        <is>
          <t>6 FS</t>
        </is>
      </c>
      <c r="D490" s="122" t="inlineStr">
        <is>
          <t>Igual regla</t>
        </is>
      </c>
      <c r="E490" s="183" t="n"/>
      <c r="F490" s="84" t="n"/>
      <c r="G490" s="84" t="n"/>
      <c r="H490" s="84" t="n"/>
      <c r="I490" s="84" t="n"/>
      <c r="J490" s="84" t="n"/>
      <c r="K490" s="84" t="n"/>
      <c r="L490" s="84" t="n"/>
      <c r="M490" s="84" t="n"/>
      <c r="N490" s="84" t="n"/>
      <c r="O490" s="84" t="n"/>
      <c r="P490" s="84" t="n"/>
      <c r="Q490" s="84" t="n"/>
      <c r="R490" s="84" t="n"/>
      <c r="S490" s="84" t="n"/>
      <c r="T490" s="84" t="n"/>
      <c r="U490" s="84" t="n"/>
      <c r="V490" s="84" t="n"/>
      <c r="W490" s="84" t="n"/>
      <c r="X490" s="84" t="n"/>
      <c r="Y490" s="84" t="n"/>
      <c r="Z490" s="84" t="n"/>
      <c r="AA490" s="84" t="n"/>
      <c r="AB490" s="84" t="n"/>
      <c r="AC490" s="84" t="n"/>
      <c r="AD490" s="84" t="n"/>
    </row>
    <row r="491" ht="30" customHeight="1" s="176">
      <c r="A491" s="122" t="inlineStr">
        <is>
          <t>Talla Calzado MX – Mujer (con ancho)</t>
        </is>
      </c>
      <c r="B491" s="123" t="n">
        <v>23</v>
      </c>
      <c r="C491" s="123" t="inlineStr">
        <is>
          <t>6 RM</t>
        </is>
      </c>
      <c r="D491" s="122" t="inlineStr">
        <is>
          <t>Igual regla</t>
        </is>
      </c>
      <c r="E491" s="183" t="n"/>
      <c r="F491" s="84" t="n"/>
      <c r="G491" s="84" t="n"/>
      <c r="H491" s="84" t="n"/>
      <c r="I491" s="84" t="n"/>
      <c r="J491" s="84" t="n"/>
      <c r="K491" s="84" t="n"/>
      <c r="L491" s="84" t="n"/>
      <c r="M491" s="84" t="n"/>
      <c r="N491" s="84" t="n"/>
      <c r="O491" s="84" t="n"/>
      <c r="P491" s="84" t="n"/>
      <c r="Q491" s="84" t="n"/>
      <c r="R491" s="84" t="n"/>
      <c r="S491" s="84" t="n"/>
      <c r="T491" s="84" t="n"/>
      <c r="U491" s="84" t="n"/>
      <c r="V491" s="84" t="n"/>
      <c r="W491" s="84" t="n"/>
      <c r="X491" s="84" t="n"/>
      <c r="Y491" s="84" t="n"/>
      <c r="Z491" s="84" t="n"/>
      <c r="AA491" s="84" t="n"/>
      <c r="AB491" s="84" t="n"/>
      <c r="AC491" s="84" t="n"/>
      <c r="AD491" s="84" t="n"/>
    </row>
    <row r="492" ht="30" customHeight="1" s="176">
      <c r="A492" s="122" t="inlineStr">
        <is>
          <t>Talla Calzado MX – Mujer (con ancho)</t>
        </is>
      </c>
      <c r="B492" s="123" t="n">
        <v>23</v>
      </c>
      <c r="C492" s="123" t="inlineStr">
        <is>
          <t>6 RS</t>
        </is>
      </c>
      <c r="D492" s="122" t="inlineStr">
        <is>
          <t>Igual regla</t>
        </is>
      </c>
      <c r="E492" s="183" t="n"/>
      <c r="F492" s="84" t="n"/>
      <c r="G492" s="84" t="n"/>
      <c r="H492" s="84" t="n"/>
      <c r="I492" s="84" t="n"/>
      <c r="J492" s="84" t="n"/>
      <c r="K492" s="84" t="n"/>
      <c r="L492" s="84" t="n"/>
      <c r="M492" s="84" t="n"/>
      <c r="N492" s="84" t="n"/>
      <c r="O492" s="84" t="n"/>
      <c r="P492" s="84" t="n"/>
      <c r="Q492" s="84" t="n"/>
      <c r="R492" s="84" t="n"/>
      <c r="S492" s="84" t="n"/>
      <c r="T492" s="84" t="n"/>
      <c r="U492" s="84" t="n"/>
      <c r="V492" s="84" t="n"/>
      <c r="W492" s="84" t="n"/>
      <c r="X492" s="84" t="n"/>
      <c r="Y492" s="84" t="n"/>
      <c r="Z492" s="84" t="n"/>
      <c r="AA492" s="84" t="n"/>
      <c r="AB492" s="84" t="n"/>
      <c r="AC492" s="84" t="n"/>
      <c r="AD492" s="84" t="n"/>
    </row>
    <row r="493" ht="30" customHeight="1" s="176">
      <c r="A493" s="122" t="inlineStr">
        <is>
          <t>Talla Calzado MX – Mujer (con ancho)</t>
        </is>
      </c>
      <c r="B493" s="123" t="n">
        <v>23</v>
      </c>
      <c r="C493" s="123" t="inlineStr">
        <is>
          <t>6 SM</t>
        </is>
      </c>
      <c r="D493" s="122" t="inlineStr">
        <is>
          <t>Igual regla</t>
        </is>
      </c>
      <c r="E493" s="183" t="n"/>
      <c r="F493" s="84" t="n"/>
      <c r="G493" s="84" t="n"/>
      <c r="H493" s="84" t="n"/>
      <c r="I493" s="84" t="n"/>
      <c r="J493" s="84" t="n"/>
      <c r="K493" s="84" t="n"/>
      <c r="L493" s="84" t="n"/>
      <c r="M493" s="84" t="n"/>
      <c r="N493" s="84" t="n"/>
      <c r="O493" s="84" t="n"/>
      <c r="P493" s="84" t="n"/>
      <c r="Q493" s="84" t="n"/>
      <c r="R493" s="84" t="n"/>
      <c r="S493" s="84" t="n"/>
      <c r="T493" s="84" t="n"/>
      <c r="U493" s="84" t="n"/>
      <c r="V493" s="84" t="n"/>
      <c r="W493" s="84" t="n"/>
      <c r="X493" s="84" t="n"/>
      <c r="Y493" s="84" t="n"/>
      <c r="Z493" s="84" t="n"/>
      <c r="AA493" s="84" t="n"/>
      <c r="AB493" s="84" t="n"/>
      <c r="AC493" s="84" t="n"/>
      <c r="AD493" s="84" t="n"/>
    </row>
    <row r="494" ht="30" customHeight="1" s="176">
      <c r="A494" s="122" t="inlineStr">
        <is>
          <t>Talla Calzado MX – Mujer (con ancho)</t>
        </is>
      </c>
      <c r="B494" s="123" t="n">
        <v>23</v>
      </c>
      <c r="C494" s="123" t="inlineStr">
        <is>
          <t>6 SS</t>
        </is>
      </c>
      <c r="D494" s="122" t="inlineStr">
        <is>
          <t>Igual regla</t>
        </is>
      </c>
      <c r="E494" s="183" t="n"/>
      <c r="F494" s="84" t="n"/>
      <c r="G494" s="84" t="n"/>
      <c r="H494" s="84" t="n"/>
      <c r="I494" s="84" t="n"/>
      <c r="J494" s="84" t="n"/>
      <c r="K494" s="84" t="n"/>
      <c r="L494" s="84" t="n"/>
      <c r="M494" s="84" t="n"/>
      <c r="N494" s="84" t="n"/>
      <c r="O494" s="84" t="n"/>
      <c r="P494" s="84" t="n"/>
      <c r="Q494" s="84" t="n"/>
      <c r="R494" s="84" t="n"/>
      <c r="S494" s="84" t="n"/>
      <c r="T494" s="84" t="n"/>
      <c r="U494" s="84" t="n"/>
      <c r="V494" s="84" t="n"/>
      <c r="W494" s="84" t="n"/>
      <c r="X494" s="84" t="n"/>
      <c r="Y494" s="84" t="n"/>
      <c r="Z494" s="84" t="n"/>
      <c r="AA494" s="84" t="n"/>
      <c r="AB494" s="84" t="n"/>
      <c r="AC494" s="84" t="n"/>
      <c r="AD494" s="84" t="n"/>
    </row>
    <row r="495" ht="30" customHeight="1" s="176">
      <c r="A495" s="122" t="inlineStr">
        <is>
          <t>Talla Calzado MX – Mujer (con ancho)</t>
        </is>
      </c>
      <c r="B495" s="123" t="n">
        <v>23</v>
      </c>
      <c r="C495" s="123" t="inlineStr">
        <is>
          <t>6 ST</t>
        </is>
      </c>
      <c r="D495" s="122" t="inlineStr">
        <is>
          <t>Igual regla</t>
        </is>
      </c>
      <c r="E495" s="183" t="n"/>
      <c r="F495" s="84" t="n"/>
      <c r="G495" s="84" t="n"/>
      <c r="H495" s="84" t="n"/>
      <c r="I495" s="84" t="n"/>
      <c r="J495" s="84" t="n"/>
      <c r="K495" s="84" t="n"/>
      <c r="L495" s="84" t="n"/>
      <c r="M495" s="84" t="n"/>
      <c r="N495" s="84" t="n"/>
      <c r="O495" s="84" t="n"/>
      <c r="P495" s="84" t="n"/>
      <c r="Q495" s="84" t="n"/>
      <c r="R495" s="84" t="n"/>
      <c r="S495" s="84" t="n"/>
      <c r="T495" s="84" t="n"/>
      <c r="U495" s="84" t="n"/>
      <c r="V495" s="84" t="n"/>
      <c r="W495" s="84" t="n"/>
      <c r="X495" s="84" t="n"/>
      <c r="Y495" s="84" t="n"/>
      <c r="Z495" s="84" t="n"/>
      <c r="AA495" s="84" t="n"/>
      <c r="AB495" s="84" t="n"/>
      <c r="AC495" s="84" t="n"/>
      <c r="AD495" s="84" t="n"/>
    </row>
    <row r="496" ht="30" customHeight="1" s="176">
      <c r="A496" s="122" t="inlineStr">
        <is>
          <t>Talla Calzado MX – Mujer (con ancho)</t>
        </is>
      </c>
      <c r="B496" s="123" t="n">
        <v>23</v>
      </c>
      <c r="C496" s="123" t="inlineStr">
        <is>
          <t>6 WS</t>
        </is>
      </c>
      <c r="D496" s="122" t="inlineStr">
        <is>
          <t>Igual regla</t>
        </is>
      </c>
      <c r="E496" s="183" t="n"/>
      <c r="F496" s="84" t="n"/>
      <c r="G496" s="84" t="n"/>
      <c r="H496" s="84" t="n"/>
      <c r="I496" s="84" t="n"/>
      <c r="J496" s="84" t="n"/>
      <c r="K496" s="84" t="n"/>
      <c r="L496" s="84" t="n"/>
      <c r="M496" s="84" t="n"/>
      <c r="N496" s="84" t="n"/>
      <c r="O496" s="84" t="n"/>
      <c r="P496" s="84" t="n"/>
      <c r="Q496" s="84" t="n"/>
      <c r="R496" s="84" t="n"/>
      <c r="S496" s="84" t="n"/>
      <c r="T496" s="84" t="n"/>
      <c r="U496" s="84" t="n"/>
      <c r="V496" s="84" t="n"/>
      <c r="W496" s="84" t="n"/>
      <c r="X496" s="84" t="n"/>
      <c r="Y496" s="84" t="n"/>
      <c r="Z496" s="84" t="n"/>
      <c r="AA496" s="84" t="n"/>
      <c r="AB496" s="84" t="n"/>
      <c r="AC496" s="84" t="n"/>
      <c r="AD496" s="84" t="n"/>
    </row>
    <row r="497" ht="30" customHeight="1" s="176">
      <c r="A497" s="122" t="inlineStr">
        <is>
          <t>Talla Calzado MX – Mujer (con ancho)</t>
        </is>
      </c>
      <c r="B497" s="123" t="n">
        <v>23</v>
      </c>
      <c r="C497" s="123" t="inlineStr">
        <is>
          <t>6 XSM</t>
        </is>
      </c>
      <c r="D497" s="122" t="inlineStr">
        <is>
          <t>Igual regla</t>
        </is>
      </c>
      <c r="E497" s="183" t="n"/>
      <c r="F497" s="84" t="n"/>
      <c r="G497" s="84" t="n"/>
      <c r="H497" s="84" t="n"/>
      <c r="I497" s="84" t="n"/>
      <c r="J497" s="84" t="n"/>
      <c r="K497" s="84" t="n"/>
      <c r="L497" s="84" t="n"/>
      <c r="M497" s="84" t="n"/>
      <c r="N497" s="84" t="n"/>
      <c r="O497" s="84" t="n"/>
      <c r="P497" s="84" t="n"/>
      <c r="Q497" s="84" t="n"/>
      <c r="R497" s="84" t="n"/>
      <c r="S497" s="84" t="n"/>
      <c r="T497" s="84" t="n"/>
      <c r="U497" s="84" t="n"/>
      <c r="V497" s="84" t="n"/>
      <c r="W497" s="84" t="n"/>
      <c r="X497" s="84" t="n"/>
      <c r="Y497" s="84" t="n"/>
      <c r="Z497" s="84" t="n"/>
      <c r="AA497" s="84" t="n"/>
      <c r="AB497" s="84" t="n"/>
      <c r="AC497" s="84" t="n"/>
      <c r="AD497" s="84" t="n"/>
    </row>
    <row r="498" ht="30" customHeight="1" s="176">
      <c r="A498" s="122" t="inlineStr">
        <is>
          <t>Talla Calzado MX – Mujer (con ancho)</t>
        </is>
      </c>
      <c r="B498" s="123" t="n">
        <v>23.5</v>
      </c>
      <c r="C498" s="123" t="inlineStr">
        <is>
          <t>6.5 B</t>
        </is>
      </c>
      <c r="D498" s="122" t="inlineStr">
        <is>
          <t>Igual regla</t>
        </is>
      </c>
      <c r="E498" s="183" t="n"/>
      <c r="F498" s="84" t="n"/>
      <c r="G498" s="84" t="n"/>
      <c r="H498" s="84" t="n"/>
      <c r="I498" s="84" t="n"/>
      <c r="J498" s="84" t="n"/>
      <c r="K498" s="84" t="n"/>
      <c r="L498" s="84" t="n"/>
      <c r="M498" s="84" t="n"/>
      <c r="N498" s="84" t="n"/>
      <c r="O498" s="84" t="n"/>
      <c r="P498" s="84" t="n"/>
      <c r="Q498" s="84" t="n"/>
      <c r="R498" s="84" t="n"/>
      <c r="S498" s="84" t="n"/>
      <c r="T498" s="84" t="n"/>
      <c r="U498" s="84" t="n"/>
      <c r="V498" s="84" t="n"/>
      <c r="W498" s="84" t="n"/>
      <c r="X498" s="84" t="n"/>
      <c r="Y498" s="84" t="n"/>
      <c r="Z498" s="84" t="n"/>
      <c r="AA498" s="84" t="n"/>
      <c r="AB498" s="84" t="n"/>
      <c r="AC498" s="84" t="n"/>
      <c r="AD498" s="84" t="n"/>
    </row>
    <row r="499" ht="30" customHeight="1" s="176">
      <c r="A499" s="122" t="inlineStr">
        <is>
          <t>Talla Calzado MX – Mujer (con ancho)</t>
        </is>
      </c>
      <c r="B499" s="123" t="n">
        <v>23.5</v>
      </c>
      <c r="C499" s="123" t="inlineStr">
        <is>
          <t>6.5 C</t>
        </is>
      </c>
      <c r="D499" s="122" t="inlineStr">
        <is>
          <t>Igual regla</t>
        </is>
      </c>
      <c r="E499" s="183" t="n"/>
      <c r="F499" s="84" t="n"/>
      <c r="G499" s="84" t="n"/>
      <c r="H499" s="84" t="n"/>
      <c r="I499" s="84" t="n"/>
      <c r="J499" s="84" t="n"/>
      <c r="K499" s="84" t="n"/>
      <c r="L499" s="84" t="n"/>
      <c r="M499" s="84" t="n"/>
      <c r="N499" s="84" t="n"/>
      <c r="O499" s="84" t="n"/>
      <c r="P499" s="84" t="n"/>
      <c r="Q499" s="84" t="n"/>
      <c r="R499" s="84" t="n"/>
      <c r="S499" s="84" t="n"/>
      <c r="T499" s="84" t="n"/>
      <c r="U499" s="84" t="n"/>
      <c r="V499" s="84" t="n"/>
      <c r="W499" s="84" t="n"/>
      <c r="X499" s="84" t="n"/>
      <c r="Y499" s="84" t="n"/>
      <c r="Z499" s="84" t="n"/>
      <c r="AA499" s="84" t="n"/>
      <c r="AB499" s="84" t="n"/>
      <c r="AC499" s="84" t="n"/>
      <c r="AD499" s="84" t="n"/>
    </row>
    <row r="500" ht="30" customHeight="1" s="176">
      <c r="A500" s="122" t="inlineStr">
        <is>
          <t>Talla Calzado MX – Mujer (con ancho)</t>
        </is>
      </c>
      <c r="B500" s="123" t="n">
        <v>23.5</v>
      </c>
      <c r="C500" s="123" t="inlineStr">
        <is>
          <t>6.5 FM</t>
        </is>
      </c>
      <c r="D500" s="122" t="inlineStr">
        <is>
          <t>Igual regla</t>
        </is>
      </c>
      <c r="E500" s="183" t="n"/>
      <c r="F500" s="84" t="n"/>
      <c r="G500" s="84" t="n"/>
      <c r="H500" s="84" t="n"/>
      <c r="I500" s="84" t="n"/>
      <c r="J500" s="84" t="n"/>
      <c r="K500" s="84" t="n"/>
      <c r="L500" s="84" t="n"/>
      <c r="M500" s="84" t="n"/>
      <c r="N500" s="84" t="n"/>
      <c r="O500" s="84" t="n"/>
      <c r="P500" s="84" t="n"/>
      <c r="Q500" s="84" t="n"/>
      <c r="R500" s="84" t="n"/>
      <c r="S500" s="84" t="n"/>
      <c r="T500" s="84" t="n"/>
      <c r="U500" s="84" t="n"/>
      <c r="V500" s="84" t="n"/>
      <c r="W500" s="84" t="n"/>
      <c r="X500" s="84" t="n"/>
      <c r="Y500" s="84" t="n"/>
      <c r="Z500" s="84" t="n"/>
      <c r="AA500" s="84" t="n"/>
      <c r="AB500" s="84" t="n"/>
      <c r="AC500" s="84" t="n"/>
      <c r="AD500" s="84" t="n"/>
    </row>
    <row r="501" ht="30" customHeight="1" s="176">
      <c r="A501" s="122" t="inlineStr">
        <is>
          <t>Talla Calzado MX – Mujer (con ancho)</t>
        </is>
      </c>
      <c r="B501" s="123" t="n">
        <v>23.5</v>
      </c>
      <c r="C501" s="123" t="inlineStr">
        <is>
          <t>6.5 FS</t>
        </is>
      </c>
      <c r="D501" s="122" t="inlineStr">
        <is>
          <t>Igual regla</t>
        </is>
      </c>
      <c r="E501" s="183" t="n"/>
      <c r="F501" s="84" t="n"/>
      <c r="G501" s="84" t="n"/>
      <c r="H501" s="84" t="n"/>
      <c r="I501" s="84" t="n"/>
      <c r="J501" s="84" t="n"/>
      <c r="K501" s="84" t="n"/>
      <c r="L501" s="84" t="n"/>
      <c r="M501" s="84" t="n"/>
      <c r="N501" s="84" t="n"/>
      <c r="O501" s="84" t="n"/>
      <c r="P501" s="84" t="n"/>
      <c r="Q501" s="84" t="n"/>
      <c r="R501" s="84" t="n"/>
      <c r="S501" s="84" t="n"/>
      <c r="T501" s="84" t="n"/>
      <c r="U501" s="84" t="n"/>
      <c r="V501" s="84" t="n"/>
      <c r="W501" s="84" t="n"/>
      <c r="X501" s="84" t="n"/>
      <c r="Y501" s="84" t="n"/>
      <c r="Z501" s="84" t="n"/>
      <c r="AA501" s="84" t="n"/>
      <c r="AB501" s="84" t="n"/>
      <c r="AC501" s="84" t="n"/>
      <c r="AD501" s="84" t="n"/>
    </row>
    <row r="502" ht="30" customHeight="1" s="176">
      <c r="A502" s="122" t="inlineStr">
        <is>
          <t>Talla Calzado MX – Mujer (con ancho)</t>
        </is>
      </c>
      <c r="B502" s="123" t="n">
        <v>23.5</v>
      </c>
      <c r="C502" s="123" t="inlineStr">
        <is>
          <t>6.5 RM</t>
        </is>
      </c>
      <c r="D502" s="122" t="inlineStr">
        <is>
          <t>Igual regla</t>
        </is>
      </c>
      <c r="E502" s="183" t="n"/>
      <c r="F502" s="84" t="n"/>
      <c r="G502" s="84" t="n"/>
      <c r="H502" s="84" t="n"/>
      <c r="I502" s="84" t="n"/>
      <c r="J502" s="84" t="n"/>
      <c r="K502" s="84" t="n"/>
      <c r="L502" s="84" t="n"/>
      <c r="M502" s="84" t="n"/>
      <c r="N502" s="84" t="n"/>
      <c r="O502" s="84" t="n"/>
      <c r="P502" s="84" t="n"/>
      <c r="Q502" s="84" t="n"/>
      <c r="R502" s="84" t="n"/>
      <c r="S502" s="84" t="n"/>
      <c r="T502" s="84" t="n"/>
      <c r="U502" s="84" t="n"/>
      <c r="V502" s="84" t="n"/>
      <c r="W502" s="84" t="n"/>
      <c r="X502" s="84" t="n"/>
      <c r="Y502" s="84" t="n"/>
      <c r="Z502" s="84" t="n"/>
      <c r="AA502" s="84" t="n"/>
      <c r="AB502" s="84" t="n"/>
      <c r="AC502" s="84" t="n"/>
      <c r="AD502" s="84" t="n"/>
    </row>
    <row r="503" ht="30" customHeight="1" s="176">
      <c r="A503" s="122" t="inlineStr">
        <is>
          <t>Talla Calzado MX – Mujer (con ancho)</t>
        </is>
      </c>
      <c r="B503" s="123" t="n">
        <v>23.5</v>
      </c>
      <c r="C503" s="123" t="inlineStr">
        <is>
          <t>6.5 RS</t>
        </is>
      </c>
      <c r="D503" s="122" t="inlineStr">
        <is>
          <t>Igual regla</t>
        </is>
      </c>
      <c r="E503" s="183" t="n"/>
      <c r="F503" s="84" t="n"/>
      <c r="G503" s="84" t="n"/>
      <c r="H503" s="84" t="n"/>
      <c r="I503" s="84" t="n"/>
      <c r="J503" s="84" t="n"/>
      <c r="K503" s="84" t="n"/>
      <c r="L503" s="84" t="n"/>
      <c r="M503" s="84" t="n"/>
      <c r="N503" s="84" t="n"/>
      <c r="O503" s="84" t="n"/>
      <c r="P503" s="84" t="n"/>
      <c r="Q503" s="84" t="n"/>
      <c r="R503" s="84" t="n"/>
      <c r="S503" s="84" t="n"/>
      <c r="T503" s="84" t="n"/>
      <c r="U503" s="84" t="n"/>
      <c r="V503" s="84" t="n"/>
      <c r="W503" s="84" t="n"/>
      <c r="X503" s="84" t="n"/>
      <c r="Y503" s="84" t="n"/>
      <c r="Z503" s="84" t="n"/>
      <c r="AA503" s="84" t="n"/>
      <c r="AB503" s="84" t="n"/>
      <c r="AC503" s="84" t="n"/>
      <c r="AD503" s="84" t="n"/>
    </row>
    <row r="504" ht="30" customHeight="1" s="176">
      <c r="A504" s="122" t="inlineStr">
        <is>
          <t>Talla Calzado MX – Mujer (con ancho)</t>
        </is>
      </c>
      <c r="B504" s="123" t="n">
        <v>23.5</v>
      </c>
      <c r="C504" s="123" t="inlineStr">
        <is>
          <t>6.5 SM</t>
        </is>
      </c>
      <c r="D504" s="122" t="inlineStr">
        <is>
          <t>Igual regla</t>
        </is>
      </c>
      <c r="E504" s="183" t="n"/>
      <c r="F504" s="84" t="n"/>
      <c r="G504" s="84" t="n"/>
      <c r="H504" s="84" t="n"/>
      <c r="I504" s="84" t="n"/>
      <c r="J504" s="84" t="n"/>
      <c r="K504" s="84" t="n"/>
      <c r="L504" s="84" t="n"/>
      <c r="M504" s="84" t="n"/>
      <c r="N504" s="84" t="n"/>
      <c r="O504" s="84" t="n"/>
      <c r="P504" s="84" t="n"/>
      <c r="Q504" s="84" t="n"/>
      <c r="R504" s="84" t="n"/>
      <c r="S504" s="84" t="n"/>
      <c r="T504" s="84" t="n"/>
      <c r="U504" s="84" t="n"/>
      <c r="V504" s="84" t="n"/>
      <c r="W504" s="84" t="n"/>
      <c r="X504" s="84" t="n"/>
      <c r="Y504" s="84" t="n"/>
      <c r="Z504" s="84" t="n"/>
      <c r="AA504" s="84" t="n"/>
      <c r="AB504" s="84" t="n"/>
      <c r="AC504" s="84" t="n"/>
      <c r="AD504" s="84" t="n"/>
    </row>
    <row r="505" ht="30" customHeight="1" s="176">
      <c r="A505" s="122" t="inlineStr">
        <is>
          <t>Talla Calzado MX – Mujer (con ancho)</t>
        </is>
      </c>
      <c r="B505" s="123" t="n">
        <v>23.5</v>
      </c>
      <c r="C505" s="123" t="inlineStr">
        <is>
          <t>6.5 SS</t>
        </is>
      </c>
      <c r="D505" s="122" t="inlineStr">
        <is>
          <t>Igual regla</t>
        </is>
      </c>
      <c r="E505" s="183" t="n"/>
      <c r="F505" s="84" t="n"/>
      <c r="G505" s="84" t="n"/>
      <c r="H505" s="84" t="n"/>
      <c r="I505" s="84" t="n"/>
      <c r="J505" s="84" t="n"/>
      <c r="K505" s="84" t="n"/>
      <c r="L505" s="84" t="n"/>
      <c r="M505" s="84" t="n"/>
      <c r="N505" s="84" t="n"/>
      <c r="O505" s="84" t="n"/>
      <c r="P505" s="84" t="n"/>
      <c r="Q505" s="84" t="n"/>
      <c r="R505" s="84" t="n"/>
      <c r="S505" s="84" t="n"/>
      <c r="T505" s="84" t="n"/>
      <c r="U505" s="84" t="n"/>
      <c r="V505" s="84" t="n"/>
      <c r="W505" s="84" t="n"/>
      <c r="X505" s="84" t="n"/>
      <c r="Y505" s="84" t="n"/>
      <c r="Z505" s="84" t="n"/>
      <c r="AA505" s="84" t="n"/>
      <c r="AB505" s="84" t="n"/>
      <c r="AC505" s="84" t="n"/>
      <c r="AD505" s="84" t="n"/>
    </row>
    <row r="506" ht="30" customHeight="1" s="176">
      <c r="A506" s="122" t="inlineStr">
        <is>
          <t>Talla Calzado MX – Mujer (con ancho)</t>
        </is>
      </c>
      <c r="B506" s="123" t="n">
        <v>23.5</v>
      </c>
      <c r="C506" s="123" t="inlineStr">
        <is>
          <t>6.5 ST</t>
        </is>
      </c>
      <c r="D506" s="122" t="inlineStr">
        <is>
          <t>Igual regla</t>
        </is>
      </c>
      <c r="E506" s="183" t="n"/>
      <c r="F506" s="84" t="n"/>
      <c r="G506" s="84" t="n"/>
      <c r="H506" s="84" t="n"/>
      <c r="I506" s="84" t="n"/>
      <c r="J506" s="84" t="n"/>
      <c r="K506" s="84" t="n"/>
      <c r="L506" s="84" t="n"/>
      <c r="M506" s="84" t="n"/>
      <c r="N506" s="84" t="n"/>
      <c r="O506" s="84" t="n"/>
      <c r="P506" s="84" t="n"/>
      <c r="Q506" s="84" t="n"/>
      <c r="R506" s="84" t="n"/>
      <c r="S506" s="84" t="n"/>
      <c r="T506" s="84" t="n"/>
      <c r="U506" s="84" t="n"/>
      <c r="V506" s="84" t="n"/>
      <c r="W506" s="84" t="n"/>
      <c r="X506" s="84" t="n"/>
      <c r="Y506" s="84" t="n"/>
      <c r="Z506" s="84" t="n"/>
      <c r="AA506" s="84" t="n"/>
      <c r="AB506" s="84" t="n"/>
      <c r="AC506" s="84" t="n"/>
      <c r="AD506" s="84" t="n"/>
    </row>
    <row r="507" ht="30" customHeight="1" s="176">
      <c r="A507" s="122" t="inlineStr">
        <is>
          <t>Talla Calzado MX – Mujer (con ancho)</t>
        </is>
      </c>
      <c r="B507" s="123" t="n">
        <v>23.5</v>
      </c>
      <c r="C507" s="123" t="inlineStr">
        <is>
          <t>6.5 WS</t>
        </is>
      </c>
      <c r="D507" s="122" t="inlineStr">
        <is>
          <t>Igual regla</t>
        </is>
      </c>
      <c r="E507" s="183" t="n"/>
      <c r="F507" s="84" t="n"/>
      <c r="G507" s="84" t="n"/>
      <c r="H507" s="84" t="n"/>
      <c r="I507" s="84" t="n"/>
      <c r="J507" s="84" t="n"/>
      <c r="K507" s="84" t="n"/>
      <c r="L507" s="84" t="n"/>
      <c r="M507" s="84" t="n"/>
      <c r="N507" s="84" t="n"/>
      <c r="O507" s="84" t="n"/>
      <c r="P507" s="84" t="n"/>
      <c r="Q507" s="84" t="n"/>
      <c r="R507" s="84" t="n"/>
      <c r="S507" s="84" t="n"/>
      <c r="T507" s="84" t="n"/>
      <c r="U507" s="84" t="n"/>
      <c r="V507" s="84" t="n"/>
      <c r="W507" s="84" t="n"/>
      <c r="X507" s="84" t="n"/>
      <c r="Y507" s="84" t="n"/>
      <c r="Z507" s="84" t="n"/>
      <c r="AA507" s="84" t="n"/>
      <c r="AB507" s="84" t="n"/>
      <c r="AC507" s="84" t="n"/>
      <c r="AD507" s="84" t="n"/>
    </row>
    <row r="508" ht="30" customHeight="1" s="176">
      <c r="A508" s="122" t="inlineStr">
        <is>
          <t>Talla Calzado MX – Mujer (con ancho)</t>
        </is>
      </c>
      <c r="B508" s="123" t="n">
        <v>23.5</v>
      </c>
      <c r="C508" s="123" t="inlineStr">
        <is>
          <t>6.5 XSM</t>
        </is>
      </c>
      <c r="D508" s="122" t="inlineStr">
        <is>
          <t>Igual regla</t>
        </is>
      </c>
      <c r="E508" s="183" t="n"/>
      <c r="F508" s="84" t="n"/>
      <c r="G508" s="84" t="n"/>
      <c r="H508" s="84" t="n"/>
      <c r="I508" s="84" t="n"/>
      <c r="J508" s="84" t="n"/>
      <c r="K508" s="84" t="n"/>
      <c r="L508" s="84" t="n"/>
      <c r="M508" s="84" t="n"/>
      <c r="N508" s="84" t="n"/>
      <c r="O508" s="84" t="n"/>
      <c r="P508" s="84" t="n"/>
      <c r="Q508" s="84" t="n"/>
      <c r="R508" s="84" t="n"/>
      <c r="S508" s="84" t="n"/>
      <c r="T508" s="84" t="n"/>
      <c r="U508" s="84" t="n"/>
      <c r="V508" s="84" t="n"/>
      <c r="W508" s="84" t="n"/>
      <c r="X508" s="84" t="n"/>
      <c r="Y508" s="84" t="n"/>
      <c r="Z508" s="84" t="n"/>
      <c r="AA508" s="84" t="n"/>
      <c r="AB508" s="84" t="n"/>
      <c r="AC508" s="84" t="n"/>
      <c r="AD508" s="84" t="n"/>
    </row>
    <row r="509" ht="30" customHeight="1" s="176">
      <c r="A509" s="122" t="inlineStr">
        <is>
          <t>Talla Calzado MX – Mujer (con ancho)</t>
        </is>
      </c>
      <c r="B509" s="123" t="n">
        <v>24</v>
      </c>
      <c r="C509" s="123" t="inlineStr">
        <is>
          <t>7 B</t>
        </is>
      </c>
      <c r="D509" s="122" t="inlineStr">
        <is>
          <t>Igual regla</t>
        </is>
      </c>
      <c r="E509" s="183" t="n"/>
      <c r="F509" s="84" t="n"/>
      <c r="G509" s="84" t="n"/>
      <c r="H509" s="84" t="n"/>
      <c r="I509" s="84" t="n"/>
      <c r="J509" s="84" t="n"/>
      <c r="K509" s="84" t="n"/>
      <c r="L509" s="84" t="n"/>
      <c r="M509" s="84" t="n"/>
      <c r="N509" s="84" t="n"/>
      <c r="O509" s="84" t="n"/>
      <c r="P509" s="84" t="n"/>
      <c r="Q509" s="84" t="n"/>
      <c r="R509" s="84" t="n"/>
      <c r="S509" s="84" t="n"/>
      <c r="T509" s="84" t="n"/>
      <c r="U509" s="84" t="n"/>
      <c r="V509" s="84" t="n"/>
      <c r="W509" s="84" t="n"/>
      <c r="X509" s="84" t="n"/>
      <c r="Y509" s="84" t="n"/>
      <c r="Z509" s="84" t="n"/>
      <c r="AA509" s="84" t="n"/>
      <c r="AB509" s="84" t="n"/>
      <c r="AC509" s="84" t="n"/>
      <c r="AD509" s="84" t="n"/>
    </row>
    <row r="510" ht="30" customHeight="1" s="176">
      <c r="A510" s="122" t="inlineStr">
        <is>
          <t>Talla Calzado MX – Mujer (con ancho)</t>
        </is>
      </c>
      <c r="B510" s="123" t="n">
        <v>24</v>
      </c>
      <c r="C510" s="123" t="inlineStr">
        <is>
          <t>7 C</t>
        </is>
      </c>
      <c r="D510" s="122" t="inlineStr">
        <is>
          <t>Igual regla</t>
        </is>
      </c>
      <c r="E510" s="183" t="n"/>
      <c r="F510" s="84" t="n"/>
      <c r="G510" s="84" t="n"/>
      <c r="H510" s="84" t="n"/>
      <c r="I510" s="84" t="n"/>
      <c r="J510" s="84" t="n"/>
      <c r="K510" s="84" t="n"/>
      <c r="L510" s="84" t="n"/>
      <c r="M510" s="84" t="n"/>
      <c r="N510" s="84" t="n"/>
      <c r="O510" s="84" t="n"/>
      <c r="P510" s="84" t="n"/>
      <c r="Q510" s="84" t="n"/>
      <c r="R510" s="84" t="n"/>
      <c r="S510" s="84" t="n"/>
      <c r="T510" s="84" t="n"/>
      <c r="U510" s="84" t="n"/>
      <c r="V510" s="84" t="n"/>
      <c r="W510" s="84" t="n"/>
      <c r="X510" s="84" t="n"/>
      <c r="Y510" s="84" t="n"/>
      <c r="Z510" s="84" t="n"/>
      <c r="AA510" s="84" t="n"/>
      <c r="AB510" s="84" t="n"/>
      <c r="AC510" s="84" t="n"/>
      <c r="AD510" s="84" t="n"/>
    </row>
    <row r="511" ht="30" customHeight="1" s="176">
      <c r="A511" s="122" t="inlineStr">
        <is>
          <t>Talla Calzado MX – Mujer (con ancho)</t>
        </is>
      </c>
      <c r="B511" s="123" t="n">
        <v>24</v>
      </c>
      <c r="C511" s="123" t="inlineStr">
        <is>
          <t>7 FM</t>
        </is>
      </c>
      <c r="D511" s="122" t="inlineStr">
        <is>
          <t>Igual regla</t>
        </is>
      </c>
      <c r="E511" s="183" t="n"/>
      <c r="F511" s="84" t="n"/>
      <c r="G511" s="84" t="n"/>
      <c r="H511" s="84" t="n"/>
      <c r="I511" s="84" t="n"/>
      <c r="J511" s="84" t="n"/>
      <c r="K511" s="84" t="n"/>
      <c r="L511" s="84" t="n"/>
      <c r="M511" s="84" t="n"/>
      <c r="N511" s="84" t="n"/>
      <c r="O511" s="84" t="n"/>
      <c r="P511" s="84" t="n"/>
      <c r="Q511" s="84" t="n"/>
      <c r="R511" s="84" t="n"/>
      <c r="S511" s="84" t="n"/>
      <c r="T511" s="84" t="n"/>
      <c r="U511" s="84" t="n"/>
      <c r="V511" s="84" t="n"/>
      <c r="W511" s="84" t="n"/>
      <c r="X511" s="84" t="n"/>
      <c r="Y511" s="84" t="n"/>
      <c r="Z511" s="84" t="n"/>
      <c r="AA511" s="84" t="n"/>
      <c r="AB511" s="84" t="n"/>
      <c r="AC511" s="84" t="n"/>
      <c r="AD511" s="84" t="n"/>
    </row>
    <row r="512" ht="30" customHeight="1" s="176">
      <c r="A512" s="122" t="inlineStr">
        <is>
          <t>Talla Calzado MX – Mujer (con ancho)</t>
        </is>
      </c>
      <c r="B512" s="123" t="n">
        <v>24</v>
      </c>
      <c r="C512" s="123" t="inlineStr">
        <is>
          <t>7 FS</t>
        </is>
      </c>
      <c r="D512" s="122" t="inlineStr">
        <is>
          <t>Igual regla</t>
        </is>
      </c>
      <c r="E512" s="183" t="n"/>
      <c r="F512" s="84" t="n"/>
      <c r="G512" s="84" t="n"/>
      <c r="H512" s="84" t="n"/>
      <c r="I512" s="84" t="n"/>
      <c r="J512" s="84" t="n"/>
      <c r="K512" s="84" t="n"/>
      <c r="L512" s="84" t="n"/>
      <c r="M512" s="84" t="n"/>
      <c r="N512" s="84" t="n"/>
      <c r="O512" s="84" t="n"/>
      <c r="P512" s="84" t="n"/>
      <c r="Q512" s="84" t="n"/>
      <c r="R512" s="84" t="n"/>
      <c r="S512" s="84" t="n"/>
      <c r="T512" s="84" t="n"/>
      <c r="U512" s="84" t="n"/>
      <c r="V512" s="84" t="n"/>
      <c r="W512" s="84" t="n"/>
      <c r="X512" s="84" t="n"/>
      <c r="Y512" s="84" t="n"/>
      <c r="Z512" s="84" t="n"/>
      <c r="AA512" s="84" t="n"/>
      <c r="AB512" s="84" t="n"/>
      <c r="AC512" s="84" t="n"/>
      <c r="AD512" s="84" t="n"/>
    </row>
    <row r="513" ht="30" customHeight="1" s="176">
      <c r="A513" s="122" t="inlineStr">
        <is>
          <t>Talla Calzado MX – Mujer (con ancho)</t>
        </is>
      </c>
      <c r="B513" s="123" t="n">
        <v>24</v>
      </c>
      <c r="C513" s="123" t="inlineStr">
        <is>
          <t>7 FT</t>
        </is>
      </c>
      <c r="D513" s="122" t="inlineStr">
        <is>
          <t>Igual regla</t>
        </is>
      </c>
      <c r="E513" s="183" t="n"/>
      <c r="F513" s="84" t="n"/>
      <c r="G513" s="84" t="n"/>
      <c r="H513" s="84" t="n"/>
      <c r="I513" s="84" t="n"/>
      <c r="J513" s="84" t="n"/>
      <c r="K513" s="84" t="n"/>
      <c r="L513" s="84" t="n"/>
      <c r="M513" s="84" t="n"/>
      <c r="N513" s="84" t="n"/>
      <c r="O513" s="84" t="n"/>
      <c r="P513" s="84" t="n"/>
      <c r="Q513" s="84" t="n"/>
      <c r="R513" s="84" t="n"/>
      <c r="S513" s="84" t="n"/>
      <c r="T513" s="84" t="n"/>
      <c r="U513" s="84" t="n"/>
      <c r="V513" s="84" t="n"/>
      <c r="W513" s="84" t="n"/>
      <c r="X513" s="84" t="n"/>
      <c r="Y513" s="84" t="n"/>
      <c r="Z513" s="84" t="n"/>
      <c r="AA513" s="84" t="n"/>
      <c r="AB513" s="84" t="n"/>
      <c r="AC513" s="84" t="n"/>
      <c r="AD513" s="84" t="n"/>
    </row>
    <row r="514" ht="30" customHeight="1" s="176">
      <c r="A514" s="122" t="inlineStr">
        <is>
          <t>Talla Calzado MX – Mujer (con ancho)</t>
        </is>
      </c>
      <c r="B514" s="123" t="n">
        <v>24</v>
      </c>
      <c r="C514" s="123" t="inlineStr">
        <is>
          <t>7 RM</t>
        </is>
      </c>
      <c r="D514" s="122" t="inlineStr">
        <is>
          <t>Igual regla</t>
        </is>
      </c>
      <c r="E514" s="183" t="n"/>
      <c r="F514" s="84" t="n"/>
      <c r="G514" s="84" t="n"/>
      <c r="H514" s="84" t="n"/>
      <c r="I514" s="84" t="n"/>
      <c r="J514" s="84" t="n"/>
      <c r="K514" s="84" t="n"/>
      <c r="L514" s="84" t="n"/>
      <c r="M514" s="84" t="n"/>
      <c r="N514" s="84" t="n"/>
      <c r="O514" s="84" t="n"/>
      <c r="P514" s="84" t="n"/>
      <c r="Q514" s="84" t="n"/>
      <c r="R514" s="84" t="n"/>
      <c r="S514" s="84" t="n"/>
      <c r="T514" s="84" t="n"/>
      <c r="U514" s="84" t="n"/>
      <c r="V514" s="84" t="n"/>
      <c r="W514" s="84" t="n"/>
      <c r="X514" s="84" t="n"/>
      <c r="Y514" s="84" t="n"/>
      <c r="Z514" s="84" t="n"/>
      <c r="AA514" s="84" t="n"/>
      <c r="AB514" s="84" t="n"/>
      <c r="AC514" s="84" t="n"/>
      <c r="AD514" s="84" t="n"/>
    </row>
    <row r="515" ht="30" customHeight="1" s="176">
      <c r="A515" s="122" t="inlineStr">
        <is>
          <t>Talla Calzado MX – Mujer (con ancho)</t>
        </is>
      </c>
      <c r="B515" s="123" t="n">
        <v>24</v>
      </c>
      <c r="C515" s="123" t="inlineStr">
        <is>
          <t>7 RS</t>
        </is>
      </c>
      <c r="D515" s="122" t="inlineStr">
        <is>
          <t>Igual regla</t>
        </is>
      </c>
      <c r="E515" s="183" t="n"/>
      <c r="F515" s="84" t="n"/>
      <c r="G515" s="84" t="n"/>
      <c r="H515" s="84" t="n"/>
      <c r="I515" s="84" t="n"/>
      <c r="J515" s="84" t="n"/>
      <c r="K515" s="84" t="n"/>
      <c r="L515" s="84" t="n"/>
      <c r="M515" s="84" t="n"/>
      <c r="N515" s="84" t="n"/>
      <c r="O515" s="84" t="n"/>
      <c r="P515" s="84" t="n"/>
      <c r="Q515" s="84" t="n"/>
      <c r="R515" s="84" t="n"/>
      <c r="S515" s="84" t="n"/>
      <c r="T515" s="84" t="n"/>
      <c r="U515" s="84" t="n"/>
      <c r="V515" s="84" t="n"/>
      <c r="W515" s="84" t="n"/>
      <c r="X515" s="84" t="n"/>
      <c r="Y515" s="84" t="n"/>
      <c r="Z515" s="84" t="n"/>
      <c r="AA515" s="84" t="n"/>
      <c r="AB515" s="84" t="n"/>
      <c r="AC515" s="84" t="n"/>
      <c r="AD515" s="84" t="n"/>
    </row>
    <row r="516" ht="30" customHeight="1" s="176">
      <c r="A516" s="122" t="inlineStr">
        <is>
          <t>Talla Calzado MX – Mujer (con ancho)</t>
        </is>
      </c>
      <c r="B516" s="123" t="n">
        <v>24</v>
      </c>
      <c r="C516" s="123" t="inlineStr">
        <is>
          <t>7 RT</t>
        </is>
      </c>
      <c r="D516" s="122" t="inlineStr">
        <is>
          <t>Igual regla</t>
        </is>
      </c>
      <c r="E516" s="183" t="n"/>
      <c r="F516" s="84" t="n"/>
      <c r="G516" s="84" t="n"/>
      <c r="H516" s="84" t="n"/>
      <c r="I516" s="84" t="n"/>
      <c r="J516" s="84" t="n"/>
      <c r="K516" s="84" t="n"/>
      <c r="L516" s="84" t="n"/>
      <c r="M516" s="84" t="n"/>
      <c r="N516" s="84" t="n"/>
      <c r="O516" s="84" t="n"/>
      <c r="P516" s="84" t="n"/>
      <c r="Q516" s="84" t="n"/>
      <c r="R516" s="84" t="n"/>
      <c r="S516" s="84" t="n"/>
      <c r="T516" s="84" t="n"/>
      <c r="U516" s="84" t="n"/>
      <c r="V516" s="84" t="n"/>
      <c r="W516" s="84" t="n"/>
      <c r="X516" s="84" t="n"/>
      <c r="Y516" s="84" t="n"/>
      <c r="Z516" s="84" t="n"/>
      <c r="AA516" s="84" t="n"/>
      <c r="AB516" s="84" t="n"/>
      <c r="AC516" s="84" t="n"/>
      <c r="AD516" s="84" t="n"/>
    </row>
    <row r="517" ht="30" customHeight="1" s="176">
      <c r="A517" s="122" t="inlineStr">
        <is>
          <t>Talla Calzado MX – Mujer (con ancho)</t>
        </is>
      </c>
      <c r="B517" s="123" t="n">
        <v>24</v>
      </c>
      <c r="C517" s="123" t="inlineStr">
        <is>
          <t>7 SM</t>
        </is>
      </c>
      <c r="D517" s="122" t="inlineStr">
        <is>
          <t>Igual regla</t>
        </is>
      </c>
      <c r="E517" s="183" t="n"/>
      <c r="F517" s="84" t="n"/>
      <c r="G517" s="84" t="n"/>
      <c r="H517" s="84" t="n"/>
      <c r="I517" s="84" t="n"/>
      <c r="J517" s="84" t="n"/>
      <c r="K517" s="84" t="n"/>
      <c r="L517" s="84" t="n"/>
      <c r="M517" s="84" t="n"/>
      <c r="N517" s="84" t="n"/>
      <c r="O517" s="84" t="n"/>
      <c r="P517" s="84" t="n"/>
      <c r="Q517" s="84" t="n"/>
      <c r="R517" s="84" t="n"/>
      <c r="S517" s="84" t="n"/>
      <c r="T517" s="84" t="n"/>
      <c r="U517" s="84" t="n"/>
      <c r="V517" s="84" t="n"/>
      <c r="W517" s="84" t="n"/>
      <c r="X517" s="84" t="n"/>
      <c r="Y517" s="84" t="n"/>
      <c r="Z517" s="84" t="n"/>
      <c r="AA517" s="84" t="n"/>
      <c r="AB517" s="84" t="n"/>
      <c r="AC517" s="84" t="n"/>
      <c r="AD517" s="84" t="n"/>
    </row>
    <row r="518" ht="30" customHeight="1" s="176">
      <c r="A518" s="122" t="inlineStr">
        <is>
          <t>Talla Calzado MX – Mujer (con ancho)</t>
        </is>
      </c>
      <c r="B518" s="123" t="n">
        <v>24</v>
      </c>
      <c r="C518" s="123" t="inlineStr">
        <is>
          <t>7 SS</t>
        </is>
      </c>
      <c r="D518" s="122" t="inlineStr">
        <is>
          <t>Igual regla</t>
        </is>
      </c>
      <c r="E518" s="183" t="n"/>
      <c r="F518" s="84" t="n"/>
      <c r="G518" s="84" t="n"/>
      <c r="H518" s="84" t="n"/>
      <c r="I518" s="84" t="n"/>
      <c r="J518" s="84" t="n"/>
      <c r="K518" s="84" t="n"/>
      <c r="L518" s="84" t="n"/>
      <c r="M518" s="84" t="n"/>
      <c r="N518" s="84" t="n"/>
      <c r="O518" s="84" t="n"/>
      <c r="P518" s="84" t="n"/>
      <c r="Q518" s="84" t="n"/>
      <c r="R518" s="84" t="n"/>
      <c r="S518" s="84" t="n"/>
      <c r="T518" s="84" t="n"/>
      <c r="U518" s="84" t="n"/>
      <c r="V518" s="84" t="n"/>
      <c r="W518" s="84" t="n"/>
      <c r="X518" s="84" t="n"/>
      <c r="Y518" s="84" t="n"/>
      <c r="Z518" s="84" t="n"/>
      <c r="AA518" s="84" t="n"/>
      <c r="AB518" s="84" t="n"/>
      <c r="AC518" s="84" t="n"/>
      <c r="AD518" s="84" t="n"/>
    </row>
    <row r="519" ht="30" customHeight="1" s="176">
      <c r="A519" s="122" t="inlineStr">
        <is>
          <t>Talla Calzado MX – Mujer (con ancho)</t>
        </is>
      </c>
      <c r="B519" s="123" t="n">
        <v>24</v>
      </c>
      <c r="C519" s="123" t="inlineStr">
        <is>
          <t>7 ST</t>
        </is>
      </c>
      <c r="D519" s="122" t="inlineStr">
        <is>
          <t>Igual regla</t>
        </is>
      </c>
      <c r="E519" s="183" t="n"/>
      <c r="F519" s="84" t="n"/>
      <c r="G519" s="84" t="n"/>
      <c r="H519" s="84" t="n"/>
      <c r="I519" s="84" t="n"/>
      <c r="J519" s="84" t="n"/>
      <c r="K519" s="84" t="n"/>
      <c r="L519" s="84" t="n"/>
      <c r="M519" s="84" t="n"/>
      <c r="N519" s="84" t="n"/>
      <c r="O519" s="84" t="n"/>
      <c r="P519" s="84" t="n"/>
      <c r="Q519" s="84" t="n"/>
      <c r="R519" s="84" t="n"/>
      <c r="S519" s="84" t="n"/>
      <c r="T519" s="84" t="n"/>
      <c r="U519" s="84" t="n"/>
      <c r="V519" s="84" t="n"/>
      <c r="W519" s="84" t="n"/>
      <c r="X519" s="84" t="n"/>
      <c r="Y519" s="84" t="n"/>
      <c r="Z519" s="84" t="n"/>
      <c r="AA519" s="84" t="n"/>
      <c r="AB519" s="84" t="n"/>
      <c r="AC519" s="84" t="n"/>
      <c r="AD519" s="84" t="n"/>
    </row>
    <row r="520" ht="30" customHeight="1" s="176">
      <c r="A520" s="122" t="inlineStr">
        <is>
          <t>Talla Calzado MX – Mujer (con ancho)</t>
        </is>
      </c>
      <c r="B520" s="123" t="n">
        <v>24</v>
      </c>
      <c r="C520" s="123" t="inlineStr">
        <is>
          <t>7 WM</t>
        </is>
      </c>
      <c r="D520" s="122" t="inlineStr">
        <is>
          <t>Igual regla</t>
        </is>
      </c>
      <c r="E520" s="183" t="n"/>
      <c r="F520" s="84" t="n"/>
      <c r="G520" s="84" t="n"/>
      <c r="H520" s="84" t="n"/>
      <c r="I520" s="84" t="n"/>
      <c r="J520" s="84" t="n"/>
      <c r="K520" s="84" t="n"/>
      <c r="L520" s="84" t="n"/>
      <c r="M520" s="84" t="n"/>
      <c r="N520" s="84" t="n"/>
      <c r="O520" s="84" t="n"/>
      <c r="P520" s="84" t="n"/>
      <c r="Q520" s="84" t="n"/>
      <c r="R520" s="84" t="n"/>
      <c r="S520" s="84" t="n"/>
      <c r="T520" s="84" t="n"/>
      <c r="U520" s="84" t="n"/>
      <c r="V520" s="84" t="n"/>
      <c r="W520" s="84" t="n"/>
      <c r="X520" s="84" t="n"/>
      <c r="Y520" s="84" t="n"/>
      <c r="Z520" s="84" t="n"/>
      <c r="AA520" s="84" t="n"/>
      <c r="AB520" s="84" t="n"/>
      <c r="AC520" s="84" t="n"/>
      <c r="AD520" s="84" t="n"/>
    </row>
    <row r="521" ht="30" customHeight="1" s="176">
      <c r="A521" s="122" t="inlineStr">
        <is>
          <t>Talla Calzado MX – Mujer (con ancho)</t>
        </is>
      </c>
      <c r="B521" s="123" t="n">
        <v>24</v>
      </c>
      <c r="C521" s="123" t="inlineStr">
        <is>
          <t>7 WS</t>
        </is>
      </c>
      <c r="D521" s="122" t="inlineStr">
        <is>
          <t>Igual regla</t>
        </is>
      </c>
      <c r="E521" s="183" t="n"/>
      <c r="F521" s="84" t="n"/>
      <c r="G521" s="84" t="n"/>
      <c r="H521" s="84" t="n"/>
      <c r="I521" s="84" t="n"/>
      <c r="J521" s="84" t="n"/>
      <c r="K521" s="84" t="n"/>
      <c r="L521" s="84" t="n"/>
      <c r="M521" s="84" t="n"/>
      <c r="N521" s="84" t="n"/>
      <c r="O521" s="84" t="n"/>
      <c r="P521" s="84" t="n"/>
      <c r="Q521" s="84" t="n"/>
      <c r="R521" s="84" t="n"/>
      <c r="S521" s="84" t="n"/>
      <c r="T521" s="84" t="n"/>
      <c r="U521" s="84" t="n"/>
      <c r="V521" s="84" t="n"/>
      <c r="W521" s="84" t="n"/>
      <c r="X521" s="84" t="n"/>
      <c r="Y521" s="84" t="n"/>
      <c r="Z521" s="84" t="n"/>
      <c r="AA521" s="84" t="n"/>
      <c r="AB521" s="84" t="n"/>
      <c r="AC521" s="84" t="n"/>
      <c r="AD521" s="84" t="n"/>
    </row>
    <row r="522" ht="30" customHeight="1" s="176">
      <c r="A522" s="122" t="inlineStr">
        <is>
          <t>Talla Calzado MX – Mujer (con ancho)</t>
        </is>
      </c>
      <c r="B522" s="123" t="n">
        <v>24</v>
      </c>
      <c r="C522" s="123" t="inlineStr">
        <is>
          <t>7 XSM</t>
        </is>
      </c>
      <c r="D522" s="122" t="inlineStr">
        <is>
          <t>Igual regla</t>
        </is>
      </c>
      <c r="E522" s="183" t="n"/>
      <c r="F522" s="84" t="n"/>
      <c r="G522" s="84" t="n"/>
      <c r="H522" s="84" t="n"/>
      <c r="I522" s="84" t="n"/>
      <c r="J522" s="84" t="n"/>
      <c r="K522" s="84" t="n"/>
      <c r="L522" s="84" t="n"/>
      <c r="M522" s="84" t="n"/>
      <c r="N522" s="84" t="n"/>
      <c r="O522" s="84" t="n"/>
      <c r="P522" s="84" t="n"/>
      <c r="Q522" s="84" t="n"/>
      <c r="R522" s="84" t="n"/>
      <c r="S522" s="84" t="n"/>
      <c r="T522" s="84" t="n"/>
      <c r="U522" s="84" t="n"/>
      <c r="V522" s="84" t="n"/>
      <c r="W522" s="84" t="n"/>
      <c r="X522" s="84" t="n"/>
      <c r="Y522" s="84" t="n"/>
      <c r="Z522" s="84" t="n"/>
      <c r="AA522" s="84" t="n"/>
      <c r="AB522" s="84" t="n"/>
      <c r="AC522" s="84" t="n"/>
      <c r="AD522" s="84" t="n"/>
    </row>
    <row r="523" ht="30" customHeight="1" s="176">
      <c r="A523" s="122" t="inlineStr">
        <is>
          <t>Talla Calzado MX – Mujer (con ancho)</t>
        </is>
      </c>
      <c r="B523" s="123" t="n">
        <v>24</v>
      </c>
      <c r="C523" s="123" t="inlineStr">
        <is>
          <t>7 XST</t>
        </is>
      </c>
      <c r="D523" s="122" t="inlineStr">
        <is>
          <t>Igual regla</t>
        </is>
      </c>
      <c r="E523" s="183" t="n"/>
      <c r="F523" s="84" t="n"/>
      <c r="G523" s="84" t="n"/>
      <c r="H523" s="84" t="n"/>
      <c r="I523" s="84" t="n"/>
      <c r="J523" s="84" t="n"/>
      <c r="K523" s="84" t="n"/>
      <c r="L523" s="84" t="n"/>
      <c r="M523" s="84" t="n"/>
      <c r="N523" s="84" t="n"/>
      <c r="O523" s="84" t="n"/>
      <c r="P523" s="84" t="n"/>
      <c r="Q523" s="84" t="n"/>
      <c r="R523" s="84" t="n"/>
      <c r="S523" s="84" t="n"/>
      <c r="T523" s="84" t="n"/>
      <c r="U523" s="84" t="n"/>
      <c r="V523" s="84" t="n"/>
      <c r="W523" s="84" t="n"/>
      <c r="X523" s="84" t="n"/>
      <c r="Y523" s="84" t="n"/>
      <c r="Z523" s="84" t="n"/>
      <c r="AA523" s="84" t="n"/>
      <c r="AB523" s="84" t="n"/>
      <c r="AC523" s="84" t="n"/>
      <c r="AD523" s="84" t="n"/>
    </row>
    <row r="524" ht="30" customHeight="1" s="176">
      <c r="A524" s="122" t="inlineStr">
        <is>
          <t>Talla Calzado MX – Mujer (con ancho)</t>
        </is>
      </c>
      <c r="B524" s="123" t="n">
        <v>24.5</v>
      </c>
      <c r="C524" s="123" t="inlineStr">
        <is>
          <t>7.5 B</t>
        </is>
      </c>
      <c r="D524" s="122" t="inlineStr">
        <is>
          <t>Igual regla</t>
        </is>
      </c>
      <c r="E524" s="183" t="n"/>
      <c r="F524" s="84" t="n"/>
      <c r="G524" s="84" t="n"/>
      <c r="H524" s="84" t="n"/>
      <c r="I524" s="84" t="n"/>
      <c r="J524" s="84" t="n"/>
      <c r="K524" s="84" t="n"/>
      <c r="L524" s="84" t="n"/>
      <c r="M524" s="84" t="n"/>
      <c r="N524" s="84" t="n"/>
      <c r="O524" s="84" t="n"/>
      <c r="P524" s="84" t="n"/>
      <c r="Q524" s="84" t="n"/>
      <c r="R524" s="84" t="n"/>
      <c r="S524" s="84" t="n"/>
      <c r="T524" s="84" t="n"/>
      <c r="U524" s="84" t="n"/>
      <c r="V524" s="84" t="n"/>
      <c r="W524" s="84" t="n"/>
      <c r="X524" s="84" t="n"/>
      <c r="Y524" s="84" t="n"/>
      <c r="Z524" s="84" t="n"/>
      <c r="AA524" s="84" t="n"/>
      <c r="AB524" s="84" t="n"/>
      <c r="AC524" s="84" t="n"/>
      <c r="AD524" s="84" t="n"/>
    </row>
    <row r="525" ht="30" customHeight="1" s="176">
      <c r="A525" s="122" t="inlineStr">
        <is>
          <t>Talla Calzado MX – Mujer (con ancho)</t>
        </is>
      </c>
      <c r="B525" s="123" t="n">
        <v>24.5</v>
      </c>
      <c r="C525" s="123" t="inlineStr">
        <is>
          <t>7.5 C</t>
        </is>
      </c>
      <c r="D525" s="122" t="inlineStr">
        <is>
          <t>Igual regla</t>
        </is>
      </c>
      <c r="E525" s="183" t="n"/>
      <c r="F525" s="84" t="n"/>
      <c r="G525" s="84" t="n"/>
      <c r="H525" s="84" t="n"/>
      <c r="I525" s="84" t="n"/>
      <c r="J525" s="84" t="n"/>
      <c r="K525" s="84" t="n"/>
      <c r="L525" s="84" t="n"/>
      <c r="M525" s="84" t="n"/>
      <c r="N525" s="84" t="n"/>
      <c r="O525" s="84" t="n"/>
      <c r="P525" s="84" t="n"/>
      <c r="Q525" s="84" t="n"/>
      <c r="R525" s="84" t="n"/>
      <c r="S525" s="84" t="n"/>
      <c r="T525" s="84" t="n"/>
      <c r="U525" s="84" t="n"/>
      <c r="V525" s="84" t="n"/>
      <c r="W525" s="84" t="n"/>
      <c r="X525" s="84" t="n"/>
      <c r="Y525" s="84" t="n"/>
      <c r="Z525" s="84" t="n"/>
      <c r="AA525" s="84" t="n"/>
      <c r="AB525" s="84" t="n"/>
      <c r="AC525" s="84" t="n"/>
      <c r="AD525" s="84" t="n"/>
    </row>
    <row r="526" ht="30" customHeight="1" s="176">
      <c r="A526" s="122" t="inlineStr">
        <is>
          <t>Talla Calzado MX – Mujer (con ancho)</t>
        </is>
      </c>
      <c r="B526" s="123" t="n">
        <v>24.5</v>
      </c>
      <c r="C526" s="123" t="inlineStr">
        <is>
          <t>7.5 FM</t>
        </is>
      </c>
      <c r="D526" s="122" t="inlineStr">
        <is>
          <t>Igual regla</t>
        </is>
      </c>
      <c r="E526" s="183" t="n"/>
      <c r="F526" s="84" t="n"/>
      <c r="G526" s="84" t="n"/>
      <c r="H526" s="84" t="n"/>
      <c r="I526" s="84" t="n"/>
      <c r="J526" s="84" t="n"/>
      <c r="K526" s="84" t="n"/>
      <c r="L526" s="84" t="n"/>
      <c r="M526" s="84" t="n"/>
      <c r="N526" s="84" t="n"/>
      <c r="O526" s="84" t="n"/>
      <c r="P526" s="84" t="n"/>
      <c r="Q526" s="84" t="n"/>
      <c r="R526" s="84" t="n"/>
      <c r="S526" s="84" t="n"/>
      <c r="T526" s="84" t="n"/>
      <c r="U526" s="84" t="n"/>
      <c r="V526" s="84" t="n"/>
      <c r="W526" s="84" t="n"/>
      <c r="X526" s="84" t="n"/>
      <c r="Y526" s="84" t="n"/>
      <c r="Z526" s="84" t="n"/>
      <c r="AA526" s="84" t="n"/>
      <c r="AB526" s="84" t="n"/>
      <c r="AC526" s="84" t="n"/>
      <c r="AD526" s="84" t="n"/>
    </row>
    <row r="527" ht="30" customHeight="1" s="176">
      <c r="A527" s="122" t="inlineStr">
        <is>
          <t>Talla Calzado MX – Mujer (con ancho)</t>
        </is>
      </c>
      <c r="B527" s="123" t="n">
        <v>24.5</v>
      </c>
      <c r="C527" s="123" t="inlineStr">
        <is>
          <t>7.5 FS</t>
        </is>
      </c>
      <c r="D527" s="122" t="inlineStr">
        <is>
          <t>Igual regla</t>
        </is>
      </c>
      <c r="E527" s="183" t="n"/>
      <c r="F527" s="84" t="n"/>
      <c r="G527" s="84" t="n"/>
      <c r="H527" s="84" t="n"/>
      <c r="I527" s="84" t="n"/>
      <c r="J527" s="84" t="n"/>
      <c r="K527" s="84" t="n"/>
      <c r="L527" s="84" t="n"/>
      <c r="M527" s="84" t="n"/>
      <c r="N527" s="84" t="n"/>
      <c r="O527" s="84" t="n"/>
      <c r="P527" s="84" t="n"/>
      <c r="Q527" s="84" t="n"/>
      <c r="R527" s="84" t="n"/>
      <c r="S527" s="84" t="n"/>
      <c r="T527" s="84" t="n"/>
      <c r="U527" s="84" t="n"/>
      <c r="V527" s="84" t="n"/>
      <c r="W527" s="84" t="n"/>
      <c r="X527" s="84" t="n"/>
      <c r="Y527" s="84" t="n"/>
      <c r="Z527" s="84" t="n"/>
      <c r="AA527" s="84" t="n"/>
      <c r="AB527" s="84" t="n"/>
      <c r="AC527" s="84" t="n"/>
      <c r="AD527" s="84" t="n"/>
    </row>
    <row r="528" ht="30" customHeight="1" s="176">
      <c r="A528" s="122" t="inlineStr">
        <is>
          <t>Talla Calzado MX – Mujer (con ancho)</t>
        </is>
      </c>
      <c r="B528" s="123" t="n">
        <v>24.5</v>
      </c>
      <c r="C528" s="123" t="inlineStr">
        <is>
          <t>7.5 FT</t>
        </is>
      </c>
      <c r="D528" s="122" t="inlineStr">
        <is>
          <t>Igual regla</t>
        </is>
      </c>
      <c r="E528" s="183" t="n"/>
      <c r="F528" s="84" t="n"/>
      <c r="G528" s="84" t="n"/>
      <c r="H528" s="84" t="n"/>
      <c r="I528" s="84" t="n"/>
      <c r="J528" s="84" t="n"/>
      <c r="K528" s="84" t="n"/>
      <c r="L528" s="84" t="n"/>
      <c r="M528" s="84" t="n"/>
      <c r="N528" s="84" t="n"/>
      <c r="O528" s="84" t="n"/>
      <c r="P528" s="84" t="n"/>
      <c r="Q528" s="84" t="n"/>
      <c r="R528" s="84" t="n"/>
      <c r="S528" s="84" t="n"/>
      <c r="T528" s="84" t="n"/>
      <c r="U528" s="84" t="n"/>
      <c r="V528" s="84" t="n"/>
      <c r="W528" s="84" t="n"/>
      <c r="X528" s="84" t="n"/>
      <c r="Y528" s="84" t="n"/>
      <c r="Z528" s="84" t="n"/>
      <c r="AA528" s="84" t="n"/>
      <c r="AB528" s="84" t="n"/>
      <c r="AC528" s="84" t="n"/>
      <c r="AD528" s="84" t="n"/>
    </row>
    <row r="529" ht="30" customHeight="1" s="176">
      <c r="A529" s="122" t="inlineStr">
        <is>
          <t>Talla Calzado MX – Mujer (con ancho)</t>
        </is>
      </c>
      <c r="B529" s="123" t="n">
        <v>24.5</v>
      </c>
      <c r="C529" s="123" t="inlineStr">
        <is>
          <t>7.5 RM</t>
        </is>
      </c>
      <c r="D529" s="122" t="inlineStr">
        <is>
          <t>Igual regla</t>
        </is>
      </c>
      <c r="E529" s="183" t="n"/>
      <c r="F529" s="84" t="n"/>
      <c r="G529" s="84" t="n"/>
      <c r="H529" s="84" t="n"/>
      <c r="I529" s="84" t="n"/>
      <c r="J529" s="84" t="n"/>
      <c r="K529" s="84" t="n"/>
      <c r="L529" s="84" t="n"/>
      <c r="M529" s="84" t="n"/>
      <c r="N529" s="84" t="n"/>
      <c r="O529" s="84" t="n"/>
      <c r="P529" s="84" t="n"/>
      <c r="Q529" s="84" t="n"/>
      <c r="R529" s="84" t="n"/>
      <c r="S529" s="84" t="n"/>
      <c r="T529" s="84" t="n"/>
      <c r="U529" s="84" t="n"/>
      <c r="V529" s="84" t="n"/>
      <c r="W529" s="84" t="n"/>
      <c r="X529" s="84" t="n"/>
      <c r="Y529" s="84" t="n"/>
      <c r="Z529" s="84" t="n"/>
      <c r="AA529" s="84" t="n"/>
      <c r="AB529" s="84" t="n"/>
      <c r="AC529" s="84" t="n"/>
      <c r="AD529" s="84" t="n"/>
    </row>
    <row r="530" ht="30" customHeight="1" s="176">
      <c r="A530" s="122" t="inlineStr">
        <is>
          <t>Talla Calzado MX – Mujer (con ancho)</t>
        </is>
      </c>
      <c r="B530" s="123" t="n">
        <v>24.5</v>
      </c>
      <c r="C530" s="123" t="inlineStr">
        <is>
          <t>7.5 RS</t>
        </is>
      </c>
      <c r="D530" s="122" t="inlineStr">
        <is>
          <t>Igual regla</t>
        </is>
      </c>
      <c r="E530" s="183" t="n"/>
      <c r="F530" s="84" t="n"/>
      <c r="G530" s="84" t="n"/>
      <c r="H530" s="84" t="n"/>
      <c r="I530" s="84" t="n"/>
      <c r="J530" s="84" t="n"/>
      <c r="K530" s="84" t="n"/>
      <c r="L530" s="84" t="n"/>
      <c r="M530" s="84" t="n"/>
      <c r="N530" s="84" t="n"/>
      <c r="O530" s="84" t="n"/>
      <c r="P530" s="84" t="n"/>
      <c r="Q530" s="84" t="n"/>
      <c r="R530" s="84" t="n"/>
      <c r="S530" s="84" t="n"/>
      <c r="T530" s="84" t="n"/>
      <c r="U530" s="84" t="n"/>
      <c r="V530" s="84" t="n"/>
      <c r="W530" s="84" t="n"/>
      <c r="X530" s="84" t="n"/>
      <c r="Y530" s="84" t="n"/>
      <c r="Z530" s="84" t="n"/>
      <c r="AA530" s="84" t="n"/>
      <c r="AB530" s="84" t="n"/>
      <c r="AC530" s="84" t="n"/>
      <c r="AD530" s="84" t="n"/>
    </row>
    <row r="531" ht="30" customHeight="1" s="176">
      <c r="A531" s="122" t="inlineStr">
        <is>
          <t>Talla Calzado MX – Mujer (con ancho)</t>
        </is>
      </c>
      <c r="B531" s="123" t="n">
        <v>24.5</v>
      </c>
      <c r="C531" s="123" t="inlineStr">
        <is>
          <t>7.5 RT</t>
        </is>
      </c>
      <c r="D531" s="122" t="inlineStr">
        <is>
          <t>Igual regla</t>
        </is>
      </c>
      <c r="E531" s="183" t="n"/>
      <c r="F531" s="84" t="n"/>
      <c r="G531" s="84" t="n"/>
      <c r="H531" s="84" t="n"/>
      <c r="I531" s="84" t="n"/>
      <c r="J531" s="84" t="n"/>
      <c r="K531" s="84" t="n"/>
      <c r="L531" s="84" t="n"/>
      <c r="M531" s="84" t="n"/>
      <c r="N531" s="84" t="n"/>
      <c r="O531" s="84" t="n"/>
      <c r="P531" s="84" t="n"/>
      <c r="Q531" s="84" t="n"/>
      <c r="R531" s="84" t="n"/>
      <c r="S531" s="84" t="n"/>
      <c r="T531" s="84" t="n"/>
      <c r="U531" s="84" t="n"/>
      <c r="V531" s="84" t="n"/>
      <c r="W531" s="84" t="n"/>
      <c r="X531" s="84" t="n"/>
      <c r="Y531" s="84" t="n"/>
      <c r="Z531" s="84" t="n"/>
      <c r="AA531" s="84" t="n"/>
      <c r="AB531" s="84" t="n"/>
      <c r="AC531" s="84" t="n"/>
      <c r="AD531" s="84" t="n"/>
    </row>
    <row r="532" ht="30" customHeight="1" s="176">
      <c r="A532" s="122" t="inlineStr">
        <is>
          <t>Talla Calzado MX – Mujer (con ancho)</t>
        </is>
      </c>
      <c r="B532" s="123" t="n">
        <v>24.5</v>
      </c>
      <c r="C532" s="123" t="inlineStr">
        <is>
          <t>7.5 SM</t>
        </is>
      </c>
      <c r="D532" s="122" t="inlineStr">
        <is>
          <t>Igual regla</t>
        </is>
      </c>
      <c r="E532" s="183" t="n"/>
      <c r="F532" s="84" t="n"/>
      <c r="G532" s="84" t="n"/>
      <c r="H532" s="84" t="n"/>
      <c r="I532" s="84" t="n"/>
      <c r="J532" s="84" t="n"/>
      <c r="K532" s="84" t="n"/>
      <c r="L532" s="84" t="n"/>
      <c r="M532" s="84" t="n"/>
      <c r="N532" s="84" t="n"/>
      <c r="O532" s="84" t="n"/>
      <c r="P532" s="84" t="n"/>
      <c r="Q532" s="84" t="n"/>
      <c r="R532" s="84" t="n"/>
      <c r="S532" s="84" t="n"/>
      <c r="T532" s="84" t="n"/>
      <c r="U532" s="84" t="n"/>
      <c r="V532" s="84" t="n"/>
      <c r="W532" s="84" t="n"/>
      <c r="X532" s="84" t="n"/>
      <c r="Y532" s="84" t="n"/>
      <c r="Z532" s="84" t="n"/>
      <c r="AA532" s="84" t="n"/>
      <c r="AB532" s="84" t="n"/>
      <c r="AC532" s="84" t="n"/>
      <c r="AD532" s="84" t="n"/>
    </row>
    <row r="533" ht="30" customHeight="1" s="176">
      <c r="A533" s="122" t="inlineStr">
        <is>
          <t>Talla Calzado MX – Mujer (con ancho)</t>
        </is>
      </c>
      <c r="B533" s="123" t="n">
        <v>24.5</v>
      </c>
      <c r="C533" s="123" t="inlineStr">
        <is>
          <t>7.5 SS</t>
        </is>
      </c>
      <c r="D533" s="122" t="inlineStr">
        <is>
          <t>Igual regla</t>
        </is>
      </c>
      <c r="E533" s="183" t="n"/>
      <c r="F533" s="84" t="n"/>
      <c r="G533" s="84" t="n"/>
      <c r="H533" s="84" t="n"/>
      <c r="I533" s="84" t="n"/>
      <c r="J533" s="84" t="n"/>
      <c r="K533" s="84" t="n"/>
      <c r="L533" s="84" t="n"/>
      <c r="M533" s="84" t="n"/>
      <c r="N533" s="84" t="n"/>
      <c r="O533" s="84" t="n"/>
      <c r="P533" s="84" t="n"/>
      <c r="Q533" s="84" t="n"/>
      <c r="R533" s="84" t="n"/>
      <c r="S533" s="84" t="n"/>
      <c r="T533" s="84" t="n"/>
      <c r="U533" s="84" t="n"/>
      <c r="V533" s="84" t="n"/>
      <c r="W533" s="84" t="n"/>
      <c r="X533" s="84" t="n"/>
      <c r="Y533" s="84" t="n"/>
      <c r="Z533" s="84" t="n"/>
      <c r="AA533" s="84" t="n"/>
      <c r="AB533" s="84" t="n"/>
      <c r="AC533" s="84" t="n"/>
      <c r="AD533" s="84" t="n"/>
    </row>
    <row r="534" ht="30" customHeight="1" s="176">
      <c r="A534" s="122" t="inlineStr">
        <is>
          <t>Talla Calzado MX – Mujer (con ancho)</t>
        </is>
      </c>
      <c r="B534" s="123" t="n">
        <v>24.5</v>
      </c>
      <c r="C534" s="123" t="inlineStr">
        <is>
          <t>7.5 ST</t>
        </is>
      </c>
      <c r="D534" s="122" t="inlineStr">
        <is>
          <t>Igual regla</t>
        </is>
      </c>
      <c r="E534" s="183" t="n"/>
      <c r="F534" s="84" t="n"/>
      <c r="G534" s="84" t="n"/>
      <c r="H534" s="84" t="n"/>
      <c r="I534" s="84" t="n"/>
      <c r="J534" s="84" t="n"/>
      <c r="K534" s="84" t="n"/>
      <c r="L534" s="84" t="n"/>
      <c r="M534" s="84" t="n"/>
      <c r="N534" s="84" t="n"/>
      <c r="O534" s="84" t="n"/>
      <c r="P534" s="84" t="n"/>
      <c r="Q534" s="84" t="n"/>
      <c r="R534" s="84" t="n"/>
      <c r="S534" s="84" t="n"/>
      <c r="T534" s="84" t="n"/>
      <c r="U534" s="84" t="n"/>
      <c r="V534" s="84" t="n"/>
      <c r="W534" s="84" t="n"/>
      <c r="X534" s="84" t="n"/>
      <c r="Y534" s="84" t="n"/>
      <c r="Z534" s="84" t="n"/>
      <c r="AA534" s="84" t="n"/>
      <c r="AB534" s="84" t="n"/>
      <c r="AC534" s="84" t="n"/>
      <c r="AD534" s="84" t="n"/>
    </row>
    <row r="535" ht="30" customHeight="1" s="176">
      <c r="A535" s="122" t="inlineStr">
        <is>
          <t>Talla Calzado MX – Mujer (con ancho)</t>
        </is>
      </c>
      <c r="B535" s="123" t="n">
        <v>24.5</v>
      </c>
      <c r="C535" s="123" t="inlineStr">
        <is>
          <t>7.5 WM</t>
        </is>
      </c>
      <c r="D535" s="122" t="inlineStr">
        <is>
          <t>Igual regla</t>
        </is>
      </c>
      <c r="E535" s="183" t="n"/>
      <c r="F535" s="84" t="n"/>
      <c r="G535" s="84" t="n"/>
      <c r="H535" s="84" t="n"/>
      <c r="I535" s="84" t="n"/>
      <c r="J535" s="84" t="n"/>
      <c r="K535" s="84" t="n"/>
      <c r="L535" s="84" t="n"/>
      <c r="M535" s="84" t="n"/>
      <c r="N535" s="84" t="n"/>
      <c r="O535" s="84" t="n"/>
      <c r="P535" s="84" t="n"/>
      <c r="Q535" s="84" t="n"/>
      <c r="R535" s="84" t="n"/>
      <c r="S535" s="84" t="n"/>
      <c r="T535" s="84" t="n"/>
      <c r="U535" s="84" t="n"/>
      <c r="V535" s="84" t="n"/>
      <c r="W535" s="84" t="n"/>
      <c r="X535" s="84" t="n"/>
      <c r="Y535" s="84" t="n"/>
      <c r="Z535" s="84" t="n"/>
      <c r="AA535" s="84" t="n"/>
      <c r="AB535" s="84" t="n"/>
      <c r="AC535" s="84" t="n"/>
      <c r="AD535" s="84" t="n"/>
    </row>
    <row r="536" ht="30" customHeight="1" s="176">
      <c r="A536" s="122" t="inlineStr">
        <is>
          <t>Talla Calzado MX – Mujer (con ancho)</t>
        </is>
      </c>
      <c r="B536" s="123" t="n">
        <v>24.5</v>
      </c>
      <c r="C536" s="123" t="inlineStr">
        <is>
          <t>7.5 WS</t>
        </is>
      </c>
      <c r="D536" s="122" t="inlineStr">
        <is>
          <t>Igual regla</t>
        </is>
      </c>
      <c r="E536" s="183" t="n"/>
      <c r="F536" s="84" t="n"/>
      <c r="G536" s="84" t="n"/>
      <c r="H536" s="84" t="n"/>
      <c r="I536" s="84" t="n"/>
      <c r="J536" s="84" t="n"/>
      <c r="K536" s="84" t="n"/>
      <c r="L536" s="84" t="n"/>
      <c r="M536" s="84" t="n"/>
      <c r="N536" s="84" t="n"/>
      <c r="O536" s="84" t="n"/>
      <c r="P536" s="84" t="n"/>
      <c r="Q536" s="84" t="n"/>
      <c r="R536" s="84" t="n"/>
      <c r="S536" s="84" t="n"/>
      <c r="T536" s="84" t="n"/>
      <c r="U536" s="84" t="n"/>
      <c r="V536" s="84" t="n"/>
      <c r="W536" s="84" t="n"/>
      <c r="X536" s="84" t="n"/>
      <c r="Y536" s="84" t="n"/>
      <c r="Z536" s="84" t="n"/>
      <c r="AA536" s="84" t="n"/>
      <c r="AB536" s="84" t="n"/>
      <c r="AC536" s="84" t="n"/>
      <c r="AD536" s="84" t="n"/>
    </row>
    <row r="537" ht="30" customHeight="1" s="176">
      <c r="A537" s="122" t="inlineStr">
        <is>
          <t>Talla Calzado MX – Mujer (con ancho)</t>
        </is>
      </c>
      <c r="B537" s="123" t="n">
        <v>24.5</v>
      </c>
      <c r="C537" s="123" t="inlineStr">
        <is>
          <t>7.5 XSM</t>
        </is>
      </c>
      <c r="D537" s="122" t="inlineStr">
        <is>
          <t>Igual regla</t>
        </is>
      </c>
      <c r="E537" s="183" t="n"/>
      <c r="F537" s="84" t="n"/>
      <c r="G537" s="84" t="n"/>
      <c r="H537" s="84" t="n"/>
      <c r="I537" s="84" t="n"/>
      <c r="J537" s="84" t="n"/>
      <c r="K537" s="84" t="n"/>
      <c r="L537" s="84" t="n"/>
      <c r="M537" s="84" t="n"/>
      <c r="N537" s="84" t="n"/>
      <c r="O537" s="84" t="n"/>
      <c r="P537" s="84" t="n"/>
      <c r="Q537" s="84" t="n"/>
      <c r="R537" s="84" t="n"/>
      <c r="S537" s="84" t="n"/>
      <c r="T537" s="84" t="n"/>
      <c r="U537" s="84" t="n"/>
      <c r="V537" s="84" t="n"/>
      <c r="W537" s="84" t="n"/>
      <c r="X537" s="84" t="n"/>
      <c r="Y537" s="84" t="n"/>
      <c r="Z537" s="84" t="n"/>
      <c r="AA537" s="84" t="n"/>
      <c r="AB537" s="84" t="n"/>
      <c r="AC537" s="84" t="n"/>
      <c r="AD537" s="84" t="n"/>
    </row>
    <row r="538" ht="30" customHeight="1" s="176">
      <c r="A538" s="122" t="inlineStr">
        <is>
          <t>Talla Calzado MX – Mujer (con ancho)</t>
        </is>
      </c>
      <c r="B538" s="123" t="n">
        <v>24.5</v>
      </c>
      <c r="C538" s="123" t="inlineStr">
        <is>
          <t>7.5 XST</t>
        </is>
      </c>
      <c r="D538" s="122" t="inlineStr">
        <is>
          <t>Igual regla</t>
        </is>
      </c>
      <c r="E538" s="183" t="n"/>
      <c r="F538" s="84" t="n"/>
      <c r="G538" s="84" t="n"/>
      <c r="H538" s="84" t="n"/>
      <c r="I538" s="84" t="n"/>
      <c r="J538" s="84" t="n"/>
      <c r="K538" s="84" t="n"/>
      <c r="L538" s="84" t="n"/>
      <c r="M538" s="84" t="n"/>
      <c r="N538" s="84" t="n"/>
      <c r="O538" s="84" t="n"/>
      <c r="P538" s="84" t="n"/>
      <c r="Q538" s="84" t="n"/>
      <c r="R538" s="84" t="n"/>
      <c r="S538" s="84" t="n"/>
      <c r="T538" s="84" t="n"/>
      <c r="U538" s="84" t="n"/>
      <c r="V538" s="84" t="n"/>
      <c r="W538" s="84" t="n"/>
      <c r="X538" s="84" t="n"/>
      <c r="Y538" s="84" t="n"/>
      <c r="Z538" s="84" t="n"/>
      <c r="AA538" s="84" t="n"/>
      <c r="AB538" s="84" t="n"/>
      <c r="AC538" s="84" t="n"/>
      <c r="AD538" s="84" t="n"/>
    </row>
    <row r="539" ht="30" customHeight="1" s="176">
      <c r="A539" s="122" t="inlineStr">
        <is>
          <t>Talla Calzado MX – Mujer (con ancho)</t>
        </is>
      </c>
      <c r="B539" s="123" t="n">
        <v>24.5</v>
      </c>
      <c r="C539" s="123" t="inlineStr">
        <is>
          <t>7.5 XWM</t>
        </is>
      </c>
      <c r="D539" s="122" t="inlineStr">
        <is>
          <t>Igual regla</t>
        </is>
      </c>
      <c r="E539" s="183" t="n"/>
      <c r="F539" s="84" t="n"/>
      <c r="G539" s="84" t="n"/>
      <c r="H539" s="84" t="n"/>
      <c r="I539" s="84" t="n"/>
      <c r="J539" s="84" t="n"/>
      <c r="K539" s="84" t="n"/>
      <c r="L539" s="84" t="n"/>
      <c r="M539" s="84" t="n"/>
      <c r="N539" s="84" t="n"/>
      <c r="O539" s="84" t="n"/>
      <c r="P539" s="84" t="n"/>
      <c r="Q539" s="84" t="n"/>
      <c r="R539" s="84" t="n"/>
      <c r="S539" s="84" t="n"/>
      <c r="T539" s="84" t="n"/>
      <c r="U539" s="84" t="n"/>
      <c r="V539" s="84" t="n"/>
      <c r="W539" s="84" t="n"/>
      <c r="X539" s="84" t="n"/>
      <c r="Y539" s="84" t="n"/>
      <c r="Z539" s="84" t="n"/>
      <c r="AA539" s="84" t="n"/>
      <c r="AB539" s="84" t="n"/>
      <c r="AC539" s="84" t="n"/>
      <c r="AD539" s="84" t="n"/>
    </row>
    <row r="540" ht="30" customHeight="1" s="176">
      <c r="A540" s="122" t="inlineStr">
        <is>
          <t>Talla Calzado MX – Mujer (con ancho)</t>
        </is>
      </c>
      <c r="B540" s="123" t="n">
        <v>25</v>
      </c>
      <c r="C540" s="123" t="inlineStr">
        <is>
          <t>8 B</t>
        </is>
      </c>
      <c r="D540" s="122" t="inlineStr">
        <is>
          <t>Igual regla</t>
        </is>
      </c>
      <c r="E540" s="183" t="n"/>
      <c r="F540" s="84" t="n"/>
      <c r="G540" s="84" t="n"/>
      <c r="H540" s="84" t="n"/>
      <c r="I540" s="84" t="n"/>
      <c r="J540" s="84" t="n"/>
      <c r="K540" s="84" t="n"/>
      <c r="L540" s="84" t="n"/>
      <c r="M540" s="84" t="n"/>
      <c r="N540" s="84" t="n"/>
      <c r="O540" s="84" t="n"/>
      <c r="P540" s="84" t="n"/>
      <c r="Q540" s="84" t="n"/>
      <c r="R540" s="84" t="n"/>
      <c r="S540" s="84" t="n"/>
      <c r="T540" s="84" t="n"/>
      <c r="U540" s="84" t="n"/>
      <c r="V540" s="84" t="n"/>
      <c r="W540" s="84" t="n"/>
      <c r="X540" s="84" t="n"/>
      <c r="Y540" s="84" t="n"/>
      <c r="Z540" s="84" t="n"/>
      <c r="AA540" s="84" t="n"/>
      <c r="AB540" s="84" t="n"/>
      <c r="AC540" s="84" t="n"/>
      <c r="AD540" s="84" t="n"/>
    </row>
    <row r="541" ht="30" customHeight="1" s="176">
      <c r="A541" s="122" t="inlineStr">
        <is>
          <t>Talla Calzado MX – Mujer (con ancho)</t>
        </is>
      </c>
      <c r="B541" s="123" t="n">
        <v>25</v>
      </c>
      <c r="C541" s="123" t="inlineStr">
        <is>
          <t>8 C</t>
        </is>
      </c>
      <c r="D541" s="122" t="inlineStr">
        <is>
          <t>Igual regla</t>
        </is>
      </c>
      <c r="E541" s="183" t="n"/>
      <c r="F541" s="84" t="n"/>
      <c r="G541" s="84" t="n"/>
      <c r="H541" s="84" t="n"/>
      <c r="I541" s="84" t="n"/>
      <c r="J541" s="84" t="n"/>
      <c r="K541" s="84" t="n"/>
      <c r="L541" s="84" t="n"/>
      <c r="M541" s="84" t="n"/>
      <c r="N541" s="84" t="n"/>
      <c r="O541" s="84" t="n"/>
      <c r="P541" s="84" t="n"/>
      <c r="Q541" s="84" t="n"/>
      <c r="R541" s="84" t="n"/>
      <c r="S541" s="84" t="n"/>
      <c r="T541" s="84" t="n"/>
      <c r="U541" s="84" t="n"/>
      <c r="V541" s="84" t="n"/>
      <c r="W541" s="84" t="n"/>
      <c r="X541" s="84" t="n"/>
      <c r="Y541" s="84" t="n"/>
      <c r="Z541" s="84" t="n"/>
      <c r="AA541" s="84" t="n"/>
      <c r="AB541" s="84" t="n"/>
      <c r="AC541" s="84" t="n"/>
      <c r="AD541" s="84" t="n"/>
    </row>
    <row r="542" ht="30" customHeight="1" s="176">
      <c r="A542" s="122" t="inlineStr">
        <is>
          <t>Talla Calzado MX – Mujer (con ancho)</t>
        </is>
      </c>
      <c r="B542" s="123" t="n">
        <v>25</v>
      </c>
      <c r="C542" s="123" t="inlineStr">
        <is>
          <t>8 FM</t>
        </is>
      </c>
      <c r="D542" s="122" t="inlineStr">
        <is>
          <t>Igual regla</t>
        </is>
      </c>
      <c r="E542" s="183" t="n"/>
      <c r="F542" s="84" t="n"/>
      <c r="G542" s="84" t="n"/>
      <c r="H542" s="84" t="n"/>
      <c r="I542" s="84" t="n"/>
      <c r="J542" s="84" t="n"/>
      <c r="K542" s="84" t="n"/>
      <c r="L542" s="84" t="n"/>
      <c r="M542" s="84" t="n"/>
      <c r="N542" s="84" t="n"/>
      <c r="O542" s="84" t="n"/>
      <c r="P542" s="84" t="n"/>
      <c r="Q542" s="84" t="n"/>
      <c r="R542" s="84" t="n"/>
      <c r="S542" s="84" t="n"/>
      <c r="T542" s="84" t="n"/>
      <c r="U542" s="84" t="n"/>
      <c r="V542" s="84" t="n"/>
      <c r="W542" s="84" t="n"/>
      <c r="X542" s="84" t="n"/>
      <c r="Y542" s="84" t="n"/>
      <c r="Z542" s="84" t="n"/>
      <c r="AA542" s="84" t="n"/>
      <c r="AB542" s="84" t="n"/>
      <c r="AC542" s="84" t="n"/>
      <c r="AD542" s="84" t="n"/>
    </row>
    <row r="543" ht="30" customHeight="1" s="176">
      <c r="A543" s="122" t="inlineStr">
        <is>
          <t>Talla Calzado MX – Mujer (con ancho)</t>
        </is>
      </c>
      <c r="B543" s="123" t="n">
        <v>25</v>
      </c>
      <c r="C543" s="123" t="inlineStr">
        <is>
          <t>8 FS</t>
        </is>
      </c>
      <c r="D543" s="122" t="inlineStr">
        <is>
          <t>Igual regla</t>
        </is>
      </c>
      <c r="E543" s="183" t="n"/>
      <c r="F543" s="84" t="n"/>
      <c r="G543" s="84" t="n"/>
      <c r="H543" s="84" t="n"/>
      <c r="I543" s="84" t="n"/>
      <c r="J543" s="84" t="n"/>
      <c r="K543" s="84" t="n"/>
      <c r="L543" s="84" t="n"/>
      <c r="M543" s="84" t="n"/>
      <c r="N543" s="84" t="n"/>
      <c r="O543" s="84" t="n"/>
      <c r="P543" s="84" t="n"/>
      <c r="Q543" s="84" t="n"/>
      <c r="R543" s="84" t="n"/>
      <c r="S543" s="84" t="n"/>
      <c r="T543" s="84" t="n"/>
      <c r="U543" s="84" t="n"/>
      <c r="V543" s="84" t="n"/>
      <c r="W543" s="84" t="n"/>
      <c r="X543" s="84" t="n"/>
      <c r="Y543" s="84" t="n"/>
      <c r="Z543" s="84" t="n"/>
      <c r="AA543" s="84" t="n"/>
      <c r="AB543" s="84" t="n"/>
      <c r="AC543" s="84" t="n"/>
      <c r="AD543" s="84" t="n"/>
    </row>
    <row r="544" ht="30" customHeight="1" s="176">
      <c r="A544" s="122" t="inlineStr">
        <is>
          <t>Talla Calzado MX – Mujer (con ancho)</t>
        </is>
      </c>
      <c r="B544" s="123" t="n">
        <v>25</v>
      </c>
      <c r="C544" s="123" t="inlineStr">
        <is>
          <t>8 FT</t>
        </is>
      </c>
      <c r="D544" s="122" t="inlineStr">
        <is>
          <t>Igual regla</t>
        </is>
      </c>
      <c r="E544" s="183" t="n"/>
      <c r="F544" s="84" t="n"/>
      <c r="G544" s="84" t="n"/>
      <c r="H544" s="84" t="n"/>
      <c r="I544" s="84" t="n"/>
      <c r="J544" s="84" t="n"/>
      <c r="K544" s="84" t="n"/>
      <c r="L544" s="84" t="n"/>
      <c r="M544" s="84" t="n"/>
      <c r="N544" s="84" t="n"/>
      <c r="O544" s="84" t="n"/>
      <c r="P544" s="84" t="n"/>
      <c r="Q544" s="84" t="n"/>
      <c r="R544" s="84" t="n"/>
      <c r="S544" s="84" t="n"/>
      <c r="T544" s="84" t="n"/>
      <c r="U544" s="84" t="n"/>
      <c r="V544" s="84" t="n"/>
      <c r="W544" s="84" t="n"/>
      <c r="X544" s="84" t="n"/>
      <c r="Y544" s="84" t="n"/>
      <c r="Z544" s="84" t="n"/>
      <c r="AA544" s="84" t="n"/>
      <c r="AB544" s="84" t="n"/>
      <c r="AC544" s="84" t="n"/>
      <c r="AD544" s="84" t="n"/>
    </row>
    <row r="545" ht="30" customHeight="1" s="176">
      <c r="A545" s="122" t="inlineStr">
        <is>
          <t>Talla Calzado MX – Mujer (con ancho)</t>
        </is>
      </c>
      <c r="B545" s="123" t="n">
        <v>25</v>
      </c>
      <c r="C545" s="123" t="inlineStr">
        <is>
          <t>8 RM</t>
        </is>
      </c>
      <c r="D545" s="122" t="inlineStr">
        <is>
          <t>Igual regla</t>
        </is>
      </c>
      <c r="E545" s="183" t="n"/>
      <c r="F545" s="84" t="n"/>
      <c r="G545" s="84" t="n"/>
      <c r="H545" s="84" t="n"/>
      <c r="I545" s="84" t="n"/>
      <c r="J545" s="84" t="n"/>
      <c r="K545" s="84" t="n"/>
      <c r="L545" s="84" t="n"/>
      <c r="M545" s="84" t="n"/>
      <c r="N545" s="84" t="n"/>
      <c r="O545" s="84" t="n"/>
      <c r="P545" s="84" t="n"/>
      <c r="Q545" s="84" t="n"/>
      <c r="R545" s="84" t="n"/>
      <c r="S545" s="84" t="n"/>
      <c r="T545" s="84" t="n"/>
      <c r="U545" s="84" t="n"/>
      <c r="V545" s="84" t="n"/>
      <c r="W545" s="84" t="n"/>
      <c r="X545" s="84" t="n"/>
      <c r="Y545" s="84" t="n"/>
      <c r="Z545" s="84" t="n"/>
      <c r="AA545" s="84" t="n"/>
      <c r="AB545" s="84" t="n"/>
      <c r="AC545" s="84" t="n"/>
      <c r="AD545" s="84" t="n"/>
    </row>
    <row r="546" ht="30" customHeight="1" s="176">
      <c r="A546" s="122" t="inlineStr">
        <is>
          <t>Talla Calzado MX – Mujer (con ancho)</t>
        </is>
      </c>
      <c r="B546" s="123" t="n">
        <v>25</v>
      </c>
      <c r="C546" s="123" t="inlineStr">
        <is>
          <t>8 RS</t>
        </is>
      </c>
      <c r="D546" s="122" t="inlineStr">
        <is>
          <t>Igual regla</t>
        </is>
      </c>
      <c r="E546" s="183" t="n"/>
      <c r="F546" s="84" t="n"/>
      <c r="G546" s="84" t="n"/>
      <c r="H546" s="84" t="n"/>
      <c r="I546" s="84" t="n"/>
      <c r="J546" s="84" t="n"/>
      <c r="K546" s="84" t="n"/>
      <c r="L546" s="84" t="n"/>
      <c r="M546" s="84" t="n"/>
      <c r="N546" s="84" t="n"/>
      <c r="O546" s="84" t="n"/>
      <c r="P546" s="84" t="n"/>
      <c r="Q546" s="84" t="n"/>
      <c r="R546" s="84" t="n"/>
      <c r="S546" s="84" t="n"/>
      <c r="T546" s="84" t="n"/>
      <c r="U546" s="84" t="n"/>
      <c r="V546" s="84" t="n"/>
      <c r="W546" s="84" t="n"/>
      <c r="X546" s="84" t="n"/>
      <c r="Y546" s="84" t="n"/>
      <c r="Z546" s="84" t="n"/>
      <c r="AA546" s="84" t="n"/>
      <c r="AB546" s="84" t="n"/>
      <c r="AC546" s="84" t="n"/>
      <c r="AD546" s="84" t="n"/>
    </row>
    <row r="547" ht="30" customHeight="1" s="176">
      <c r="A547" s="122" t="inlineStr">
        <is>
          <t>Talla Calzado MX – Mujer (con ancho)</t>
        </is>
      </c>
      <c r="B547" s="123" t="n">
        <v>25</v>
      </c>
      <c r="C547" s="123" t="inlineStr">
        <is>
          <t>8 RT</t>
        </is>
      </c>
      <c r="D547" s="122" t="inlineStr">
        <is>
          <t>Igual regla</t>
        </is>
      </c>
      <c r="E547" s="183" t="n"/>
      <c r="F547" s="84" t="n"/>
      <c r="G547" s="84" t="n"/>
      <c r="H547" s="84" t="n"/>
      <c r="I547" s="84" t="n"/>
      <c r="J547" s="84" t="n"/>
      <c r="K547" s="84" t="n"/>
      <c r="L547" s="84" t="n"/>
      <c r="M547" s="84" t="n"/>
      <c r="N547" s="84" t="n"/>
      <c r="O547" s="84" t="n"/>
      <c r="P547" s="84" t="n"/>
      <c r="Q547" s="84" t="n"/>
      <c r="R547" s="84" t="n"/>
      <c r="S547" s="84" t="n"/>
      <c r="T547" s="84" t="n"/>
      <c r="U547" s="84" t="n"/>
      <c r="V547" s="84" t="n"/>
      <c r="W547" s="84" t="n"/>
      <c r="X547" s="84" t="n"/>
      <c r="Y547" s="84" t="n"/>
      <c r="Z547" s="84" t="n"/>
      <c r="AA547" s="84" t="n"/>
      <c r="AB547" s="84" t="n"/>
      <c r="AC547" s="84" t="n"/>
      <c r="AD547" s="84" t="n"/>
    </row>
    <row r="548" ht="30" customHeight="1" s="176">
      <c r="A548" s="122" t="inlineStr">
        <is>
          <t>Talla Calzado MX – Mujer (con ancho)</t>
        </is>
      </c>
      <c r="B548" s="123" t="n">
        <v>25</v>
      </c>
      <c r="C548" s="123" t="inlineStr">
        <is>
          <t>8 SM</t>
        </is>
      </c>
      <c r="D548" s="122" t="inlineStr">
        <is>
          <t>Igual regla</t>
        </is>
      </c>
      <c r="E548" s="183" t="n"/>
      <c r="F548" s="84" t="n"/>
      <c r="G548" s="84" t="n"/>
      <c r="H548" s="84" t="n"/>
      <c r="I548" s="84" t="n"/>
      <c r="J548" s="84" t="n"/>
      <c r="K548" s="84" t="n"/>
      <c r="L548" s="84" t="n"/>
      <c r="M548" s="84" t="n"/>
      <c r="N548" s="84" t="n"/>
      <c r="O548" s="84" t="n"/>
      <c r="P548" s="84" t="n"/>
      <c r="Q548" s="84" t="n"/>
      <c r="R548" s="84" t="n"/>
      <c r="S548" s="84" t="n"/>
      <c r="T548" s="84" t="n"/>
      <c r="U548" s="84" t="n"/>
      <c r="V548" s="84" t="n"/>
      <c r="W548" s="84" t="n"/>
      <c r="X548" s="84" t="n"/>
      <c r="Y548" s="84" t="n"/>
      <c r="Z548" s="84" t="n"/>
      <c r="AA548" s="84" t="n"/>
      <c r="AB548" s="84" t="n"/>
      <c r="AC548" s="84" t="n"/>
      <c r="AD548" s="84" t="n"/>
    </row>
    <row r="549" ht="30" customHeight="1" s="176">
      <c r="A549" s="122" t="inlineStr">
        <is>
          <t>Talla Calzado MX – Mujer (con ancho)</t>
        </is>
      </c>
      <c r="B549" s="123" t="n">
        <v>25</v>
      </c>
      <c r="C549" s="123" t="inlineStr">
        <is>
          <t>8 SS</t>
        </is>
      </c>
      <c r="D549" s="122" t="inlineStr">
        <is>
          <t>Igual regla</t>
        </is>
      </c>
      <c r="E549" s="183" t="n"/>
      <c r="F549" s="84" t="n"/>
      <c r="G549" s="84" t="n"/>
      <c r="H549" s="84" t="n"/>
      <c r="I549" s="84" t="n"/>
      <c r="J549" s="84" t="n"/>
      <c r="K549" s="84" t="n"/>
      <c r="L549" s="84" t="n"/>
      <c r="M549" s="84" t="n"/>
      <c r="N549" s="84" t="n"/>
      <c r="O549" s="84" t="n"/>
      <c r="P549" s="84" t="n"/>
      <c r="Q549" s="84" t="n"/>
      <c r="R549" s="84" t="n"/>
      <c r="S549" s="84" t="n"/>
      <c r="T549" s="84" t="n"/>
      <c r="U549" s="84" t="n"/>
      <c r="V549" s="84" t="n"/>
      <c r="W549" s="84" t="n"/>
      <c r="X549" s="84" t="n"/>
      <c r="Y549" s="84" t="n"/>
      <c r="Z549" s="84" t="n"/>
      <c r="AA549" s="84" t="n"/>
      <c r="AB549" s="84" t="n"/>
      <c r="AC549" s="84" t="n"/>
      <c r="AD549" s="84" t="n"/>
    </row>
    <row r="550" ht="30" customHeight="1" s="176">
      <c r="A550" s="122" t="inlineStr">
        <is>
          <t>Talla Calzado MX – Mujer (con ancho)</t>
        </is>
      </c>
      <c r="B550" s="123" t="n">
        <v>25</v>
      </c>
      <c r="C550" s="123" t="inlineStr">
        <is>
          <t>8 ST</t>
        </is>
      </c>
      <c r="D550" s="122" t="inlineStr">
        <is>
          <t>Igual regla</t>
        </is>
      </c>
      <c r="E550" s="183" t="n"/>
      <c r="F550" s="84" t="n"/>
      <c r="G550" s="84" t="n"/>
      <c r="H550" s="84" t="n"/>
      <c r="I550" s="84" t="n"/>
      <c r="J550" s="84" t="n"/>
      <c r="K550" s="84" t="n"/>
      <c r="L550" s="84" t="n"/>
      <c r="M550" s="84" t="n"/>
      <c r="N550" s="84" t="n"/>
      <c r="O550" s="84" t="n"/>
      <c r="P550" s="84" t="n"/>
      <c r="Q550" s="84" t="n"/>
      <c r="R550" s="84" t="n"/>
      <c r="S550" s="84" t="n"/>
      <c r="T550" s="84" t="n"/>
      <c r="U550" s="84" t="n"/>
      <c r="V550" s="84" t="n"/>
      <c r="W550" s="84" t="n"/>
      <c r="X550" s="84" t="n"/>
      <c r="Y550" s="84" t="n"/>
      <c r="Z550" s="84" t="n"/>
      <c r="AA550" s="84" t="n"/>
      <c r="AB550" s="84" t="n"/>
      <c r="AC550" s="84" t="n"/>
      <c r="AD550" s="84" t="n"/>
    </row>
    <row r="551" ht="30" customHeight="1" s="176">
      <c r="A551" s="122" t="inlineStr">
        <is>
          <t>Talla Calzado MX – Mujer (con ancho)</t>
        </is>
      </c>
      <c r="B551" s="123" t="n">
        <v>25</v>
      </c>
      <c r="C551" s="123" t="inlineStr">
        <is>
          <t>8 WM</t>
        </is>
      </c>
      <c r="D551" s="122" t="inlineStr">
        <is>
          <t>Igual regla</t>
        </is>
      </c>
      <c r="E551" s="183" t="n"/>
      <c r="F551" s="84" t="n"/>
      <c r="G551" s="84" t="n"/>
      <c r="H551" s="84" t="n"/>
      <c r="I551" s="84" t="n"/>
      <c r="J551" s="84" t="n"/>
      <c r="K551" s="84" t="n"/>
      <c r="L551" s="84" t="n"/>
      <c r="M551" s="84" t="n"/>
      <c r="N551" s="84" t="n"/>
      <c r="O551" s="84" t="n"/>
      <c r="P551" s="84" t="n"/>
      <c r="Q551" s="84" t="n"/>
      <c r="R551" s="84" t="n"/>
      <c r="S551" s="84" t="n"/>
      <c r="T551" s="84" t="n"/>
      <c r="U551" s="84" t="n"/>
      <c r="V551" s="84" t="n"/>
      <c r="W551" s="84" t="n"/>
      <c r="X551" s="84" t="n"/>
      <c r="Y551" s="84" t="n"/>
      <c r="Z551" s="84" t="n"/>
      <c r="AA551" s="84" t="n"/>
      <c r="AB551" s="84" t="n"/>
      <c r="AC551" s="84" t="n"/>
      <c r="AD551" s="84" t="n"/>
    </row>
    <row r="552" ht="30" customHeight="1" s="176">
      <c r="A552" s="122" t="inlineStr">
        <is>
          <t>Talla Calzado MX – Mujer (con ancho)</t>
        </is>
      </c>
      <c r="B552" s="123" t="n">
        <v>25</v>
      </c>
      <c r="C552" s="123" t="inlineStr">
        <is>
          <t>8 WS</t>
        </is>
      </c>
      <c r="D552" s="122" t="inlineStr">
        <is>
          <t>Igual regla</t>
        </is>
      </c>
      <c r="E552" s="183" t="n"/>
      <c r="F552" s="84" t="n"/>
      <c r="G552" s="84" t="n"/>
      <c r="H552" s="84" t="n"/>
      <c r="I552" s="84" t="n"/>
      <c r="J552" s="84" t="n"/>
      <c r="K552" s="84" t="n"/>
      <c r="L552" s="84" t="n"/>
      <c r="M552" s="84" t="n"/>
      <c r="N552" s="84" t="n"/>
      <c r="O552" s="84" t="n"/>
      <c r="P552" s="84" t="n"/>
      <c r="Q552" s="84" t="n"/>
      <c r="R552" s="84" t="n"/>
      <c r="S552" s="84" t="n"/>
      <c r="T552" s="84" t="n"/>
      <c r="U552" s="84" t="n"/>
      <c r="V552" s="84" t="n"/>
      <c r="W552" s="84" t="n"/>
      <c r="X552" s="84" t="n"/>
      <c r="Y552" s="84" t="n"/>
      <c r="Z552" s="84" t="n"/>
      <c r="AA552" s="84" t="n"/>
      <c r="AB552" s="84" t="n"/>
      <c r="AC552" s="84" t="n"/>
      <c r="AD552" s="84" t="n"/>
    </row>
    <row r="553" ht="30" customHeight="1" s="176">
      <c r="A553" s="122" t="inlineStr">
        <is>
          <t>Talla Calzado MX – Mujer (con ancho)</t>
        </is>
      </c>
      <c r="B553" s="123" t="n">
        <v>25</v>
      </c>
      <c r="C553" s="123" t="inlineStr">
        <is>
          <t>8 XSM</t>
        </is>
      </c>
      <c r="D553" s="122" t="inlineStr">
        <is>
          <t>Igual regla</t>
        </is>
      </c>
      <c r="E553" s="183" t="n"/>
      <c r="F553" s="84" t="n"/>
      <c r="G553" s="84" t="n"/>
      <c r="H553" s="84" t="n"/>
      <c r="I553" s="84" t="n"/>
      <c r="J553" s="84" t="n"/>
      <c r="K553" s="84" t="n"/>
      <c r="L553" s="84" t="n"/>
      <c r="M553" s="84" t="n"/>
      <c r="N553" s="84" t="n"/>
      <c r="O553" s="84" t="n"/>
      <c r="P553" s="84" t="n"/>
      <c r="Q553" s="84" t="n"/>
      <c r="R553" s="84" t="n"/>
      <c r="S553" s="84" t="n"/>
      <c r="T553" s="84" t="n"/>
      <c r="U553" s="84" t="n"/>
      <c r="V553" s="84" t="n"/>
      <c r="W553" s="84" t="n"/>
      <c r="X553" s="84" t="n"/>
      <c r="Y553" s="84" t="n"/>
      <c r="Z553" s="84" t="n"/>
      <c r="AA553" s="84" t="n"/>
      <c r="AB553" s="84" t="n"/>
      <c r="AC553" s="84" t="n"/>
      <c r="AD553" s="84" t="n"/>
    </row>
    <row r="554" ht="30" customHeight="1" s="176">
      <c r="A554" s="122" t="inlineStr">
        <is>
          <t>Talla Calzado MX – Mujer (con ancho)</t>
        </is>
      </c>
      <c r="B554" s="123" t="n">
        <v>25</v>
      </c>
      <c r="C554" s="123" t="inlineStr">
        <is>
          <t>8 XST</t>
        </is>
      </c>
      <c r="D554" s="122" t="inlineStr">
        <is>
          <t>Igual regla</t>
        </is>
      </c>
      <c r="E554" s="183" t="n"/>
      <c r="F554" s="84" t="n"/>
      <c r="G554" s="84" t="n"/>
      <c r="H554" s="84" t="n"/>
      <c r="I554" s="84" t="n"/>
      <c r="J554" s="84" t="n"/>
      <c r="K554" s="84" t="n"/>
      <c r="L554" s="84" t="n"/>
      <c r="M554" s="84" t="n"/>
      <c r="N554" s="84" t="n"/>
      <c r="O554" s="84" t="n"/>
      <c r="P554" s="84" t="n"/>
      <c r="Q554" s="84" t="n"/>
      <c r="R554" s="84" t="n"/>
      <c r="S554" s="84" t="n"/>
      <c r="T554" s="84" t="n"/>
      <c r="U554" s="84" t="n"/>
      <c r="V554" s="84" t="n"/>
      <c r="W554" s="84" t="n"/>
      <c r="X554" s="84" t="n"/>
      <c r="Y554" s="84" t="n"/>
      <c r="Z554" s="84" t="n"/>
      <c r="AA554" s="84" t="n"/>
      <c r="AB554" s="84" t="n"/>
      <c r="AC554" s="84" t="n"/>
      <c r="AD554" s="84" t="n"/>
    </row>
    <row r="555" ht="30" customHeight="1" s="176">
      <c r="A555" s="122" t="inlineStr">
        <is>
          <t>Talla Calzado MX – Mujer (con ancho)</t>
        </is>
      </c>
      <c r="B555" s="123" t="n">
        <v>25</v>
      </c>
      <c r="C555" s="123" t="inlineStr">
        <is>
          <t>8 XWM</t>
        </is>
      </c>
      <c r="D555" s="122" t="inlineStr">
        <is>
          <t>Igual regla</t>
        </is>
      </c>
      <c r="E555" s="183" t="n"/>
      <c r="F555" s="84" t="n"/>
      <c r="G555" s="84" t="n"/>
      <c r="H555" s="84" t="n"/>
      <c r="I555" s="84" t="n"/>
      <c r="J555" s="84" t="n"/>
      <c r="K555" s="84" t="n"/>
      <c r="L555" s="84" t="n"/>
      <c r="M555" s="84" t="n"/>
      <c r="N555" s="84" t="n"/>
      <c r="O555" s="84" t="n"/>
      <c r="P555" s="84" t="n"/>
      <c r="Q555" s="84" t="n"/>
      <c r="R555" s="84" t="n"/>
      <c r="S555" s="84" t="n"/>
      <c r="T555" s="84" t="n"/>
      <c r="U555" s="84" t="n"/>
      <c r="V555" s="84" t="n"/>
      <c r="W555" s="84" t="n"/>
      <c r="X555" s="84" t="n"/>
      <c r="Y555" s="84" t="n"/>
      <c r="Z555" s="84" t="n"/>
      <c r="AA555" s="84" t="n"/>
      <c r="AB555" s="84" t="n"/>
      <c r="AC555" s="84" t="n"/>
      <c r="AD555" s="84" t="n"/>
    </row>
    <row r="556" ht="30" customHeight="1" s="176">
      <c r="A556" s="122" t="inlineStr">
        <is>
          <t>Talla Calzado MX – Mujer (con ancho)</t>
        </is>
      </c>
      <c r="B556" s="123" t="n">
        <v>25.5</v>
      </c>
      <c r="C556" s="123" t="inlineStr">
        <is>
          <t>8.5 B</t>
        </is>
      </c>
      <c r="D556" s="122" t="inlineStr">
        <is>
          <t>Igual regla</t>
        </is>
      </c>
      <c r="E556" s="183" t="n"/>
      <c r="F556" s="84" t="n"/>
      <c r="G556" s="84" t="n"/>
      <c r="H556" s="84" t="n"/>
      <c r="I556" s="84" t="n"/>
      <c r="J556" s="84" t="n"/>
      <c r="K556" s="84" t="n"/>
      <c r="L556" s="84" t="n"/>
      <c r="M556" s="84" t="n"/>
      <c r="N556" s="84" t="n"/>
      <c r="O556" s="84" t="n"/>
      <c r="P556" s="84" t="n"/>
      <c r="Q556" s="84" t="n"/>
      <c r="R556" s="84" t="n"/>
      <c r="S556" s="84" t="n"/>
      <c r="T556" s="84" t="n"/>
      <c r="U556" s="84" t="n"/>
      <c r="V556" s="84" t="n"/>
      <c r="W556" s="84" t="n"/>
      <c r="X556" s="84" t="n"/>
      <c r="Y556" s="84" t="n"/>
      <c r="Z556" s="84" t="n"/>
      <c r="AA556" s="84" t="n"/>
      <c r="AB556" s="84" t="n"/>
      <c r="AC556" s="84" t="n"/>
      <c r="AD556" s="84" t="n"/>
    </row>
    <row r="557" ht="30" customHeight="1" s="176">
      <c r="A557" s="122" t="inlineStr">
        <is>
          <t>Talla Calzado MX – Mujer (con ancho)</t>
        </is>
      </c>
      <c r="B557" s="123" t="n">
        <v>25.5</v>
      </c>
      <c r="C557" s="123" t="inlineStr">
        <is>
          <t>8.5 C</t>
        </is>
      </c>
      <c r="D557" s="122" t="inlineStr">
        <is>
          <t>Igual regla</t>
        </is>
      </c>
      <c r="E557" s="183" t="n"/>
      <c r="F557" s="84" t="n"/>
      <c r="G557" s="84" t="n"/>
      <c r="H557" s="84" t="n"/>
      <c r="I557" s="84" t="n"/>
      <c r="J557" s="84" t="n"/>
      <c r="K557" s="84" t="n"/>
      <c r="L557" s="84" t="n"/>
      <c r="M557" s="84" t="n"/>
      <c r="N557" s="84" t="n"/>
      <c r="O557" s="84" t="n"/>
      <c r="P557" s="84" t="n"/>
      <c r="Q557" s="84" t="n"/>
      <c r="R557" s="84" t="n"/>
      <c r="S557" s="84" t="n"/>
      <c r="T557" s="84" t="n"/>
      <c r="U557" s="84" t="n"/>
      <c r="V557" s="84" t="n"/>
      <c r="W557" s="84" t="n"/>
      <c r="X557" s="84" t="n"/>
      <c r="Y557" s="84" t="n"/>
      <c r="Z557" s="84" t="n"/>
      <c r="AA557" s="84" t="n"/>
      <c r="AB557" s="84" t="n"/>
      <c r="AC557" s="84" t="n"/>
      <c r="AD557" s="84" t="n"/>
    </row>
    <row r="558" ht="30" customHeight="1" s="176">
      <c r="A558" s="122" t="inlineStr">
        <is>
          <t>Talla Calzado MX – Mujer (con ancho)</t>
        </is>
      </c>
      <c r="B558" s="123" t="n">
        <v>25.5</v>
      </c>
      <c r="C558" s="123" t="inlineStr">
        <is>
          <t>8.5 FM</t>
        </is>
      </c>
      <c r="D558" s="122" t="inlineStr">
        <is>
          <t>Igual regla</t>
        </is>
      </c>
      <c r="E558" s="183" t="n"/>
      <c r="F558" s="84" t="n"/>
      <c r="G558" s="84" t="n"/>
      <c r="H558" s="84" t="n"/>
      <c r="I558" s="84" t="n"/>
      <c r="J558" s="84" t="n"/>
      <c r="K558" s="84" t="n"/>
      <c r="L558" s="84" t="n"/>
      <c r="M558" s="84" t="n"/>
      <c r="N558" s="84" t="n"/>
      <c r="O558" s="84" t="n"/>
      <c r="P558" s="84" t="n"/>
      <c r="Q558" s="84" t="n"/>
      <c r="R558" s="84" t="n"/>
      <c r="S558" s="84" t="n"/>
      <c r="T558" s="84" t="n"/>
      <c r="U558" s="84" t="n"/>
      <c r="V558" s="84" t="n"/>
      <c r="W558" s="84" t="n"/>
      <c r="X558" s="84" t="n"/>
      <c r="Y558" s="84" t="n"/>
      <c r="Z558" s="84" t="n"/>
      <c r="AA558" s="84" t="n"/>
      <c r="AB558" s="84" t="n"/>
      <c r="AC558" s="84" t="n"/>
      <c r="AD558" s="84" t="n"/>
    </row>
    <row r="559" ht="30" customHeight="1" s="176">
      <c r="A559" s="122" t="inlineStr">
        <is>
          <t>Talla Calzado MX – Mujer (con ancho)</t>
        </is>
      </c>
      <c r="B559" s="123" t="n">
        <v>25.5</v>
      </c>
      <c r="C559" s="123" t="inlineStr">
        <is>
          <t>8.5 FS</t>
        </is>
      </c>
      <c r="D559" s="122" t="inlineStr">
        <is>
          <t>Igual regla</t>
        </is>
      </c>
      <c r="E559" s="183" t="n"/>
      <c r="F559" s="84" t="n"/>
      <c r="G559" s="84" t="n"/>
      <c r="H559" s="84" t="n"/>
      <c r="I559" s="84" t="n"/>
      <c r="J559" s="84" t="n"/>
      <c r="K559" s="84" t="n"/>
      <c r="L559" s="84" t="n"/>
      <c r="M559" s="84" t="n"/>
      <c r="N559" s="84" t="n"/>
      <c r="O559" s="84" t="n"/>
      <c r="P559" s="84" t="n"/>
      <c r="Q559" s="84" t="n"/>
      <c r="R559" s="84" t="n"/>
      <c r="S559" s="84" t="n"/>
      <c r="T559" s="84" t="n"/>
      <c r="U559" s="84" t="n"/>
      <c r="V559" s="84" t="n"/>
      <c r="W559" s="84" t="n"/>
      <c r="X559" s="84" t="n"/>
      <c r="Y559" s="84" t="n"/>
      <c r="Z559" s="84" t="n"/>
      <c r="AA559" s="84" t="n"/>
      <c r="AB559" s="84" t="n"/>
      <c r="AC559" s="84" t="n"/>
      <c r="AD559" s="84" t="n"/>
    </row>
    <row r="560" ht="30" customHeight="1" s="176">
      <c r="A560" s="122" t="inlineStr">
        <is>
          <t>Talla Calzado MX – Mujer (con ancho)</t>
        </is>
      </c>
      <c r="B560" s="123" t="n">
        <v>25.5</v>
      </c>
      <c r="C560" s="123" t="inlineStr">
        <is>
          <t>8.5 FT</t>
        </is>
      </c>
      <c r="D560" s="122" t="inlineStr">
        <is>
          <t>Igual regla</t>
        </is>
      </c>
      <c r="E560" s="183" t="n"/>
      <c r="F560" s="84" t="n"/>
      <c r="G560" s="84" t="n"/>
      <c r="H560" s="84" t="n"/>
      <c r="I560" s="84" t="n"/>
      <c r="J560" s="84" t="n"/>
      <c r="K560" s="84" t="n"/>
      <c r="L560" s="84" t="n"/>
      <c r="M560" s="84" t="n"/>
      <c r="N560" s="84" t="n"/>
      <c r="O560" s="84" t="n"/>
      <c r="P560" s="84" t="n"/>
      <c r="Q560" s="84" t="n"/>
      <c r="R560" s="84" t="n"/>
      <c r="S560" s="84" t="n"/>
      <c r="T560" s="84" t="n"/>
      <c r="U560" s="84" t="n"/>
      <c r="V560" s="84" t="n"/>
      <c r="W560" s="84" t="n"/>
      <c r="X560" s="84" t="n"/>
      <c r="Y560" s="84" t="n"/>
      <c r="Z560" s="84" t="n"/>
      <c r="AA560" s="84" t="n"/>
      <c r="AB560" s="84" t="n"/>
      <c r="AC560" s="84" t="n"/>
      <c r="AD560" s="84" t="n"/>
    </row>
    <row r="561" ht="30" customHeight="1" s="176">
      <c r="A561" s="122" t="inlineStr">
        <is>
          <t>Talla Calzado MX – Mujer (con ancho)</t>
        </is>
      </c>
      <c r="B561" s="123" t="n">
        <v>25.5</v>
      </c>
      <c r="C561" s="123" t="inlineStr">
        <is>
          <t>8.5 RM</t>
        </is>
      </c>
      <c r="D561" s="122" t="inlineStr">
        <is>
          <t>Igual regla</t>
        </is>
      </c>
      <c r="E561" s="183" t="n"/>
      <c r="F561" s="84" t="n"/>
      <c r="G561" s="84" t="n"/>
      <c r="H561" s="84" t="n"/>
      <c r="I561" s="84" t="n"/>
      <c r="J561" s="84" t="n"/>
      <c r="K561" s="84" t="n"/>
      <c r="L561" s="84" t="n"/>
      <c r="M561" s="84" t="n"/>
      <c r="N561" s="84" t="n"/>
      <c r="O561" s="84" t="n"/>
      <c r="P561" s="84" t="n"/>
      <c r="Q561" s="84" t="n"/>
      <c r="R561" s="84" t="n"/>
      <c r="S561" s="84" t="n"/>
      <c r="T561" s="84" t="n"/>
      <c r="U561" s="84" t="n"/>
      <c r="V561" s="84" t="n"/>
      <c r="W561" s="84" t="n"/>
      <c r="X561" s="84" t="n"/>
      <c r="Y561" s="84" t="n"/>
      <c r="Z561" s="84" t="n"/>
      <c r="AA561" s="84" t="n"/>
      <c r="AB561" s="84" t="n"/>
      <c r="AC561" s="84" t="n"/>
      <c r="AD561" s="84" t="n"/>
    </row>
    <row r="562" ht="30" customHeight="1" s="176">
      <c r="A562" s="122" t="inlineStr">
        <is>
          <t>Talla Calzado MX – Mujer (con ancho)</t>
        </is>
      </c>
      <c r="B562" s="123" t="n">
        <v>25.5</v>
      </c>
      <c r="C562" s="123" t="inlineStr">
        <is>
          <t>8.5 RS</t>
        </is>
      </c>
      <c r="D562" s="122" t="inlineStr">
        <is>
          <t>Igual regla</t>
        </is>
      </c>
      <c r="E562" s="183" t="n"/>
      <c r="F562" s="84" t="n"/>
      <c r="G562" s="84" t="n"/>
      <c r="H562" s="84" t="n"/>
      <c r="I562" s="84" t="n"/>
      <c r="J562" s="84" t="n"/>
      <c r="K562" s="84" t="n"/>
      <c r="L562" s="84" t="n"/>
      <c r="M562" s="84" t="n"/>
      <c r="N562" s="84" t="n"/>
      <c r="O562" s="84" t="n"/>
      <c r="P562" s="84" t="n"/>
      <c r="Q562" s="84" t="n"/>
      <c r="R562" s="84" t="n"/>
      <c r="S562" s="84" t="n"/>
      <c r="T562" s="84" t="n"/>
      <c r="U562" s="84" t="n"/>
      <c r="V562" s="84" t="n"/>
      <c r="W562" s="84" t="n"/>
      <c r="X562" s="84" t="n"/>
      <c r="Y562" s="84" t="n"/>
      <c r="Z562" s="84" t="n"/>
      <c r="AA562" s="84" t="n"/>
      <c r="AB562" s="84" t="n"/>
      <c r="AC562" s="84" t="n"/>
      <c r="AD562" s="84" t="n"/>
    </row>
    <row r="563" ht="30" customHeight="1" s="176">
      <c r="A563" s="122" t="inlineStr">
        <is>
          <t>Talla Calzado MX – Mujer (con ancho)</t>
        </is>
      </c>
      <c r="B563" s="123" t="n">
        <v>25.5</v>
      </c>
      <c r="C563" s="123" t="inlineStr">
        <is>
          <t>8.5 RT</t>
        </is>
      </c>
      <c r="D563" s="122" t="inlineStr">
        <is>
          <t>Igual regla</t>
        </is>
      </c>
      <c r="E563" s="183" t="n"/>
      <c r="F563" s="84" t="n"/>
      <c r="G563" s="84" t="n"/>
      <c r="H563" s="84" t="n"/>
      <c r="I563" s="84" t="n"/>
      <c r="J563" s="84" t="n"/>
      <c r="K563" s="84" t="n"/>
      <c r="L563" s="84" t="n"/>
      <c r="M563" s="84" t="n"/>
      <c r="N563" s="84" t="n"/>
      <c r="O563" s="84" t="n"/>
      <c r="P563" s="84" t="n"/>
      <c r="Q563" s="84" t="n"/>
      <c r="R563" s="84" t="n"/>
      <c r="S563" s="84" t="n"/>
      <c r="T563" s="84" t="n"/>
      <c r="U563" s="84" t="n"/>
      <c r="V563" s="84" t="n"/>
      <c r="W563" s="84" t="n"/>
      <c r="X563" s="84" t="n"/>
      <c r="Y563" s="84" t="n"/>
      <c r="Z563" s="84" t="n"/>
      <c r="AA563" s="84" t="n"/>
      <c r="AB563" s="84" t="n"/>
      <c r="AC563" s="84" t="n"/>
      <c r="AD563" s="84" t="n"/>
    </row>
    <row r="564" ht="30" customHeight="1" s="176">
      <c r="A564" s="122" t="inlineStr">
        <is>
          <t>Talla Calzado MX – Mujer (con ancho)</t>
        </is>
      </c>
      <c r="B564" s="123" t="n">
        <v>25.5</v>
      </c>
      <c r="C564" s="123" t="inlineStr">
        <is>
          <t>8.5 SM</t>
        </is>
      </c>
      <c r="D564" s="122" t="inlineStr">
        <is>
          <t>Igual regla</t>
        </is>
      </c>
      <c r="E564" s="183" t="n"/>
      <c r="F564" s="84" t="n"/>
      <c r="G564" s="84" t="n"/>
      <c r="H564" s="84" t="n"/>
      <c r="I564" s="84" t="n"/>
      <c r="J564" s="84" t="n"/>
      <c r="K564" s="84" t="n"/>
      <c r="L564" s="84" t="n"/>
      <c r="M564" s="84" t="n"/>
      <c r="N564" s="84" t="n"/>
      <c r="O564" s="84" t="n"/>
      <c r="P564" s="84" t="n"/>
      <c r="Q564" s="84" t="n"/>
      <c r="R564" s="84" t="n"/>
      <c r="S564" s="84" t="n"/>
      <c r="T564" s="84" t="n"/>
      <c r="U564" s="84" t="n"/>
      <c r="V564" s="84" t="n"/>
      <c r="W564" s="84" t="n"/>
      <c r="X564" s="84" t="n"/>
      <c r="Y564" s="84" t="n"/>
      <c r="Z564" s="84" t="n"/>
      <c r="AA564" s="84" t="n"/>
      <c r="AB564" s="84" t="n"/>
      <c r="AC564" s="84" t="n"/>
      <c r="AD564" s="84" t="n"/>
    </row>
    <row r="565" ht="30" customHeight="1" s="176">
      <c r="A565" s="122" t="inlineStr">
        <is>
          <t>Talla Calzado MX – Mujer (con ancho)</t>
        </is>
      </c>
      <c r="B565" s="123" t="n">
        <v>25.5</v>
      </c>
      <c r="C565" s="123" t="inlineStr">
        <is>
          <t>8.5 SS</t>
        </is>
      </c>
      <c r="D565" s="122" t="inlineStr">
        <is>
          <t>Igual regla</t>
        </is>
      </c>
      <c r="E565" s="183" t="n"/>
      <c r="F565" s="84" t="n"/>
      <c r="G565" s="84" t="n"/>
      <c r="H565" s="84" t="n"/>
      <c r="I565" s="84" t="n"/>
      <c r="J565" s="84" t="n"/>
      <c r="K565" s="84" t="n"/>
      <c r="L565" s="84" t="n"/>
      <c r="M565" s="84" t="n"/>
      <c r="N565" s="84" t="n"/>
      <c r="O565" s="84" t="n"/>
      <c r="P565" s="84" t="n"/>
      <c r="Q565" s="84" t="n"/>
      <c r="R565" s="84" t="n"/>
      <c r="S565" s="84" t="n"/>
      <c r="T565" s="84" t="n"/>
      <c r="U565" s="84" t="n"/>
      <c r="V565" s="84" t="n"/>
      <c r="W565" s="84" t="n"/>
      <c r="X565" s="84" t="n"/>
      <c r="Y565" s="84" t="n"/>
      <c r="Z565" s="84" t="n"/>
      <c r="AA565" s="84" t="n"/>
      <c r="AB565" s="84" t="n"/>
      <c r="AC565" s="84" t="n"/>
      <c r="AD565" s="84" t="n"/>
    </row>
    <row r="566" ht="30" customHeight="1" s="176">
      <c r="A566" s="122" t="inlineStr">
        <is>
          <t>Talla Calzado MX – Mujer (con ancho)</t>
        </is>
      </c>
      <c r="B566" s="123" t="n">
        <v>25.5</v>
      </c>
      <c r="C566" s="123" t="inlineStr">
        <is>
          <t>8.5 ST</t>
        </is>
      </c>
      <c r="D566" s="122" t="inlineStr">
        <is>
          <t>Igual regla</t>
        </is>
      </c>
      <c r="E566" s="183" t="n"/>
      <c r="F566" s="84" t="n"/>
      <c r="G566" s="84" t="n"/>
      <c r="H566" s="84" t="n"/>
      <c r="I566" s="84" t="n"/>
      <c r="J566" s="84" t="n"/>
      <c r="K566" s="84" t="n"/>
      <c r="L566" s="84" t="n"/>
      <c r="M566" s="84" t="n"/>
      <c r="N566" s="84" t="n"/>
      <c r="O566" s="84" t="n"/>
      <c r="P566" s="84" t="n"/>
      <c r="Q566" s="84" t="n"/>
      <c r="R566" s="84" t="n"/>
      <c r="S566" s="84" t="n"/>
      <c r="T566" s="84" t="n"/>
      <c r="U566" s="84" t="n"/>
      <c r="V566" s="84" t="n"/>
      <c r="W566" s="84" t="n"/>
      <c r="X566" s="84" t="n"/>
      <c r="Y566" s="84" t="n"/>
      <c r="Z566" s="84" t="n"/>
      <c r="AA566" s="84" t="n"/>
      <c r="AB566" s="84" t="n"/>
      <c r="AC566" s="84" t="n"/>
      <c r="AD566" s="84" t="n"/>
    </row>
    <row r="567" ht="30" customHeight="1" s="176">
      <c r="A567" s="122" t="inlineStr">
        <is>
          <t>Talla Calzado MX – Mujer (con ancho)</t>
        </is>
      </c>
      <c r="B567" s="123" t="n">
        <v>25.5</v>
      </c>
      <c r="C567" s="123" t="inlineStr">
        <is>
          <t>8.5 WM</t>
        </is>
      </c>
      <c r="D567" s="122" t="inlineStr">
        <is>
          <t>Igual regla</t>
        </is>
      </c>
      <c r="E567" s="183" t="n"/>
      <c r="F567" s="84" t="n"/>
      <c r="G567" s="84" t="n"/>
      <c r="H567" s="84" t="n"/>
      <c r="I567" s="84" t="n"/>
      <c r="J567" s="84" t="n"/>
      <c r="K567" s="84" t="n"/>
      <c r="L567" s="84" t="n"/>
      <c r="M567" s="84" t="n"/>
      <c r="N567" s="84" t="n"/>
      <c r="O567" s="84" t="n"/>
      <c r="P567" s="84" t="n"/>
      <c r="Q567" s="84" t="n"/>
      <c r="R567" s="84" t="n"/>
      <c r="S567" s="84" t="n"/>
      <c r="T567" s="84" t="n"/>
      <c r="U567" s="84" t="n"/>
      <c r="V567" s="84" t="n"/>
      <c r="W567" s="84" t="n"/>
      <c r="X567" s="84" t="n"/>
      <c r="Y567" s="84" t="n"/>
      <c r="Z567" s="84" t="n"/>
      <c r="AA567" s="84" t="n"/>
      <c r="AB567" s="84" t="n"/>
      <c r="AC567" s="84" t="n"/>
      <c r="AD567" s="84" t="n"/>
    </row>
    <row r="568" ht="30" customHeight="1" s="176">
      <c r="A568" s="122" t="inlineStr">
        <is>
          <t>Talla Calzado MX – Mujer (con ancho)</t>
        </is>
      </c>
      <c r="B568" s="123" t="n">
        <v>25.5</v>
      </c>
      <c r="C568" s="123" t="inlineStr">
        <is>
          <t>8.5 WS</t>
        </is>
      </c>
      <c r="D568" s="122" t="inlineStr">
        <is>
          <t>Igual regla</t>
        </is>
      </c>
      <c r="E568" s="183" t="n"/>
      <c r="F568" s="84" t="n"/>
      <c r="G568" s="84" t="n"/>
      <c r="H568" s="84" t="n"/>
      <c r="I568" s="84" t="n"/>
      <c r="J568" s="84" t="n"/>
      <c r="K568" s="84" t="n"/>
      <c r="L568" s="84" t="n"/>
      <c r="M568" s="84" t="n"/>
      <c r="N568" s="84" t="n"/>
      <c r="O568" s="84" t="n"/>
      <c r="P568" s="84" t="n"/>
      <c r="Q568" s="84" t="n"/>
      <c r="R568" s="84" t="n"/>
      <c r="S568" s="84" t="n"/>
      <c r="T568" s="84" t="n"/>
      <c r="U568" s="84" t="n"/>
      <c r="V568" s="84" t="n"/>
      <c r="W568" s="84" t="n"/>
      <c r="X568" s="84" t="n"/>
      <c r="Y568" s="84" t="n"/>
      <c r="Z568" s="84" t="n"/>
      <c r="AA568" s="84" t="n"/>
      <c r="AB568" s="84" t="n"/>
      <c r="AC568" s="84" t="n"/>
      <c r="AD568" s="84" t="n"/>
    </row>
    <row r="569" ht="30" customHeight="1" s="176">
      <c r="A569" s="122" t="inlineStr">
        <is>
          <t>Talla Calzado MX – Mujer (con ancho)</t>
        </is>
      </c>
      <c r="B569" s="123" t="n">
        <v>25.5</v>
      </c>
      <c r="C569" s="123" t="inlineStr">
        <is>
          <t>8.5 WT</t>
        </is>
      </c>
      <c r="D569" s="122" t="inlineStr">
        <is>
          <t>Igual regla</t>
        </is>
      </c>
      <c r="E569" s="183" t="n"/>
      <c r="F569" s="84" t="n"/>
      <c r="G569" s="84" t="n"/>
      <c r="H569" s="84" t="n"/>
      <c r="I569" s="84" t="n"/>
      <c r="J569" s="84" t="n"/>
      <c r="K569" s="84" t="n"/>
      <c r="L569" s="84" t="n"/>
      <c r="M569" s="84" t="n"/>
      <c r="N569" s="84" t="n"/>
      <c r="O569" s="84" t="n"/>
      <c r="P569" s="84" t="n"/>
      <c r="Q569" s="84" t="n"/>
      <c r="R569" s="84" t="n"/>
      <c r="S569" s="84" t="n"/>
      <c r="T569" s="84" t="n"/>
      <c r="U569" s="84" t="n"/>
      <c r="V569" s="84" t="n"/>
      <c r="W569" s="84" t="n"/>
      <c r="X569" s="84" t="n"/>
      <c r="Y569" s="84" t="n"/>
      <c r="Z569" s="84" t="n"/>
      <c r="AA569" s="84" t="n"/>
      <c r="AB569" s="84" t="n"/>
      <c r="AC569" s="84" t="n"/>
      <c r="AD569" s="84" t="n"/>
    </row>
    <row r="570" ht="30" customHeight="1" s="176">
      <c r="A570" s="122" t="inlineStr">
        <is>
          <t>Talla Calzado MX – Mujer (con ancho)</t>
        </is>
      </c>
      <c r="B570" s="123" t="n">
        <v>25.5</v>
      </c>
      <c r="C570" s="123" t="inlineStr">
        <is>
          <t>8.5 XSM</t>
        </is>
      </c>
      <c r="D570" s="122" t="inlineStr">
        <is>
          <t>Igual regla</t>
        </is>
      </c>
      <c r="E570" s="183" t="n"/>
      <c r="F570" s="84" t="n"/>
      <c r="G570" s="84" t="n"/>
      <c r="H570" s="84" t="n"/>
      <c r="I570" s="84" t="n"/>
      <c r="J570" s="84" t="n"/>
      <c r="K570" s="84" t="n"/>
      <c r="L570" s="84" t="n"/>
      <c r="M570" s="84" t="n"/>
      <c r="N570" s="84" t="n"/>
      <c r="O570" s="84" t="n"/>
      <c r="P570" s="84" t="n"/>
      <c r="Q570" s="84" t="n"/>
      <c r="R570" s="84" t="n"/>
      <c r="S570" s="84" t="n"/>
      <c r="T570" s="84" t="n"/>
      <c r="U570" s="84" t="n"/>
      <c r="V570" s="84" t="n"/>
      <c r="W570" s="84" t="n"/>
      <c r="X570" s="84" t="n"/>
      <c r="Y570" s="84" t="n"/>
      <c r="Z570" s="84" t="n"/>
      <c r="AA570" s="84" t="n"/>
      <c r="AB570" s="84" t="n"/>
      <c r="AC570" s="84" t="n"/>
      <c r="AD570" s="84" t="n"/>
    </row>
    <row r="571" ht="30" customHeight="1" s="176">
      <c r="A571" s="122" t="inlineStr">
        <is>
          <t>Talla Calzado MX – Mujer (con ancho)</t>
        </is>
      </c>
      <c r="B571" s="123" t="n">
        <v>25.5</v>
      </c>
      <c r="C571" s="123" t="inlineStr">
        <is>
          <t>8.5 XST</t>
        </is>
      </c>
      <c r="D571" s="122" t="inlineStr">
        <is>
          <t>Igual regla</t>
        </is>
      </c>
      <c r="E571" s="183" t="n"/>
      <c r="F571" s="84" t="n"/>
      <c r="G571" s="84" t="n"/>
      <c r="H571" s="84" t="n"/>
      <c r="I571" s="84" t="n"/>
      <c r="J571" s="84" t="n"/>
      <c r="K571" s="84" t="n"/>
      <c r="L571" s="84" t="n"/>
      <c r="M571" s="84" t="n"/>
      <c r="N571" s="84" t="n"/>
      <c r="O571" s="84" t="n"/>
      <c r="P571" s="84" t="n"/>
      <c r="Q571" s="84" t="n"/>
      <c r="R571" s="84" t="n"/>
      <c r="S571" s="84" t="n"/>
      <c r="T571" s="84" t="n"/>
      <c r="U571" s="84" t="n"/>
      <c r="V571" s="84" t="n"/>
      <c r="W571" s="84" t="n"/>
      <c r="X571" s="84" t="n"/>
      <c r="Y571" s="84" t="n"/>
      <c r="Z571" s="84" t="n"/>
      <c r="AA571" s="84" t="n"/>
      <c r="AB571" s="84" t="n"/>
      <c r="AC571" s="84" t="n"/>
      <c r="AD571" s="84" t="n"/>
    </row>
    <row r="572" ht="30" customHeight="1" s="176">
      <c r="A572" s="122" t="inlineStr">
        <is>
          <t>Talla Calzado MX – Mujer (con ancho)</t>
        </is>
      </c>
      <c r="B572" s="123" t="n">
        <v>25.5</v>
      </c>
      <c r="C572" s="123" t="inlineStr">
        <is>
          <t>8.5 XWM</t>
        </is>
      </c>
      <c r="D572" s="122" t="inlineStr">
        <is>
          <t>Igual regla</t>
        </is>
      </c>
      <c r="E572" s="183" t="n"/>
      <c r="F572" s="84" t="n"/>
      <c r="G572" s="84" t="n"/>
      <c r="H572" s="84" t="n"/>
      <c r="I572" s="84" t="n"/>
      <c r="J572" s="84" t="n"/>
      <c r="K572" s="84" t="n"/>
      <c r="L572" s="84" t="n"/>
      <c r="M572" s="84" t="n"/>
      <c r="N572" s="84" t="n"/>
      <c r="O572" s="84" t="n"/>
      <c r="P572" s="84" t="n"/>
      <c r="Q572" s="84" t="n"/>
      <c r="R572" s="84" t="n"/>
      <c r="S572" s="84" t="n"/>
      <c r="T572" s="84" t="n"/>
      <c r="U572" s="84" t="n"/>
      <c r="V572" s="84" t="n"/>
      <c r="W572" s="84" t="n"/>
      <c r="X572" s="84" t="n"/>
      <c r="Y572" s="84" t="n"/>
      <c r="Z572" s="84" t="n"/>
      <c r="AA572" s="84" t="n"/>
      <c r="AB572" s="84" t="n"/>
      <c r="AC572" s="84" t="n"/>
      <c r="AD572" s="84" t="n"/>
    </row>
    <row r="573" ht="30" customHeight="1" s="176">
      <c r="A573" s="122" t="inlineStr">
        <is>
          <t>Talla Calzado MX – Mujer (con ancho)</t>
        </is>
      </c>
      <c r="B573" s="123" t="n">
        <v>26</v>
      </c>
      <c r="C573" s="123" t="inlineStr">
        <is>
          <t>9 B</t>
        </is>
      </c>
      <c r="D573" s="122" t="inlineStr">
        <is>
          <t>Igual regla</t>
        </is>
      </c>
      <c r="E573" s="183" t="n"/>
      <c r="F573" s="84" t="n"/>
      <c r="G573" s="84" t="n"/>
      <c r="H573" s="84" t="n"/>
      <c r="I573" s="84" t="n"/>
      <c r="J573" s="84" t="n"/>
      <c r="K573" s="84" t="n"/>
      <c r="L573" s="84" t="n"/>
      <c r="M573" s="84" t="n"/>
      <c r="N573" s="84" t="n"/>
      <c r="O573" s="84" t="n"/>
      <c r="P573" s="84" t="n"/>
      <c r="Q573" s="84" t="n"/>
      <c r="R573" s="84" t="n"/>
      <c r="S573" s="84" t="n"/>
      <c r="T573" s="84" t="n"/>
      <c r="U573" s="84" t="n"/>
      <c r="V573" s="84" t="n"/>
      <c r="W573" s="84" t="n"/>
      <c r="X573" s="84" t="n"/>
      <c r="Y573" s="84" t="n"/>
      <c r="Z573" s="84" t="n"/>
      <c r="AA573" s="84" t="n"/>
      <c r="AB573" s="84" t="n"/>
      <c r="AC573" s="84" t="n"/>
      <c r="AD573" s="84" t="n"/>
    </row>
    <row r="574" ht="30" customHeight="1" s="176">
      <c r="A574" s="122" t="inlineStr">
        <is>
          <t>Talla Calzado MX – Mujer (con ancho)</t>
        </is>
      </c>
      <c r="B574" s="123" t="n">
        <v>26</v>
      </c>
      <c r="C574" s="123" t="inlineStr">
        <is>
          <t>9 C</t>
        </is>
      </c>
      <c r="D574" s="122" t="inlineStr">
        <is>
          <t>Igual regla</t>
        </is>
      </c>
      <c r="E574" s="183" t="n"/>
      <c r="F574" s="84" t="n"/>
      <c r="G574" s="84" t="n"/>
      <c r="H574" s="84" t="n"/>
      <c r="I574" s="84" t="n"/>
      <c r="J574" s="84" t="n"/>
      <c r="K574" s="84" t="n"/>
      <c r="L574" s="84" t="n"/>
      <c r="M574" s="84" t="n"/>
      <c r="N574" s="84" t="n"/>
      <c r="O574" s="84" t="n"/>
      <c r="P574" s="84" t="n"/>
      <c r="Q574" s="84" t="n"/>
      <c r="R574" s="84" t="n"/>
      <c r="S574" s="84" t="n"/>
      <c r="T574" s="84" t="n"/>
      <c r="U574" s="84" t="n"/>
      <c r="V574" s="84" t="n"/>
      <c r="W574" s="84" t="n"/>
      <c r="X574" s="84" t="n"/>
      <c r="Y574" s="84" t="n"/>
      <c r="Z574" s="84" t="n"/>
      <c r="AA574" s="84" t="n"/>
      <c r="AB574" s="84" t="n"/>
      <c r="AC574" s="84" t="n"/>
      <c r="AD574" s="84" t="n"/>
    </row>
    <row r="575" ht="30" customHeight="1" s="176">
      <c r="A575" s="122" t="inlineStr">
        <is>
          <t>Talla Calzado MX – Mujer (con ancho)</t>
        </is>
      </c>
      <c r="B575" s="123" t="n">
        <v>26</v>
      </c>
      <c r="C575" s="123" t="inlineStr">
        <is>
          <t>9 FM</t>
        </is>
      </c>
      <c r="D575" s="122" t="inlineStr">
        <is>
          <t>Igual regla</t>
        </is>
      </c>
      <c r="E575" s="183" t="n"/>
      <c r="F575" s="84" t="n"/>
      <c r="G575" s="84" t="n"/>
      <c r="H575" s="84" t="n"/>
      <c r="I575" s="84" t="n"/>
      <c r="J575" s="84" t="n"/>
      <c r="K575" s="84" t="n"/>
      <c r="L575" s="84" t="n"/>
      <c r="M575" s="84" t="n"/>
      <c r="N575" s="84" t="n"/>
      <c r="O575" s="84" t="n"/>
      <c r="P575" s="84" t="n"/>
      <c r="Q575" s="84" t="n"/>
      <c r="R575" s="84" t="n"/>
      <c r="S575" s="84" t="n"/>
      <c r="T575" s="84" t="n"/>
      <c r="U575" s="84" t="n"/>
      <c r="V575" s="84" t="n"/>
      <c r="W575" s="84" t="n"/>
      <c r="X575" s="84" t="n"/>
      <c r="Y575" s="84" t="n"/>
      <c r="Z575" s="84" t="n"/>
      <c r="AA575" s="84" t="n"/>
      <c r="AB575" s="84" t="n"/>
      <c r="AC575" s="84" t="n"/>
      <c r="AD575" s="84" t="n"/>
    </row>
    <row r="576" ht="30" customHeight="1" s="176">
      <c r="A576" s="122" t="inlineStr">
        <is>
          <t>Talla Calzado MX – Mujer (con ancho)</t>
        </is>
      </c>
      <c r="B576" s="123" t="n">
        <v>26</v>
      </c>
      <c r="C576" s="123" t="inlineStr">
        <is>
          <t>9 FS</t>
        </is>
      </c>
      <c r="D576" s="122" t="inlineStr">
        <is>
          <t>Igual regla</t>
        </is>
      </c>
      <c r="E576" s="183" t="n"/>
      <c r="F576" s="84" t="n"/>
      <c r="G576" s="84" t="n"/>
      <c r="H576" s="84" t="n"/>
      <c r="I576" s="84" t="n"/>
      <c r="J576" s="84" t="n"/>
      <c r="K576" s="84" t="n"/>
      <c r="L576" s="84" t="n"/>
      <c r="M576" s="84" t="n"/>
      <c r="N576" s="84" t="n"/>
      <c r="O576" s="84" t="n"/>
      <c r="P576" s="84" t="n"/>
      <c r="Q576" s="84" t="n"/>
      <c r="R576" s="84" t="n"/>
      <c r="S576" s="84" t="n"/>
      <c r="T576" s="84" t="n"/>
      <c r="U576" s="84" t="n"/>
      <c r="V576" s="84" t="n"/>
      <c r="W576" s="84" t="n"/>
      <c r="X576" s="84" t="n"/>
      <c r="Y576" s="84" t="n"/>
      <c r="Z576" s="84" t="n"/>
      <c r="AA576" s="84" t="n"/>
      <c r="AB576" s="84" t="n"/>
      <c r="AC576" s="84" t="n"/>
      <c r="AD576" s="84" t="n"/>
    </row>
    <row r="577" ht="30" customHeight="1" s="176">
      <c r="A577" s="122" t="inlineStr">
        <is>
          <t>Talla Calzado MX – Mujer (con ancho)</t>
        </is>
      </c>
      <c r="B577" s="123" t="n">
        <v>26</v>
      </c>
      <c r="C577" s="123" t="inlineStr">
        <is>
          <t>9 FT</t>
        </is>
      </c>
      <c r="D577" s="122" t="inlineStr">
        <is>
          <t>Igual regla</t>
        </is>
      </c>
      <c r="E577" s="183" t="n"/>
      <c r="F577" s="84" t="n"/>
      <c r="G577" s="84" t="n"/>
      <c r="H577" s="84" t="n"/>
      <c r="I577" s="84" t="n"/>
      <c r="J577" s="84" t="n"/>
      <c r="K577" s="84" t="n"/>
      <c r="L577" s="84" t="n"/>
      <c r="M577" s="84" t="n"/>
      <c r="N577" s="84" t="n"/>
      <c r="O577" s="84" t="n"/>
      <c r="P577" s="84" t="n"/>
      <c r="Q577" s="84" t="n"/>
      <c r="R577" s="84" t="n"/>
      <c r="S577" s="84" t="n"/>
      <c r="T577" s="84" t="n"/>
      <c r="U577" s="84" t="n"/>
      <c r="V577" s="84" t="n"/>
      <c r="W577" s="84" t="n"/>
      <c r="X577" s="84" t="n"/>
      <c r="Y577" s="84" t="n"/>
      <c r="Z577" s="84" t="n"/>
      <c r="AA577" s="84" t="n"/>
      <c r="AB577" s="84" t="n"/>
      <c r="AC577" s="84" t="n"/>
      <c r="AD577" s="84" t="n"/>
    </row>
    <row r="578" ht="30" customHeight="1" s="176">
      <c r="A578" s="122" t="inlineStr">
        <is>
          <t>Talla Calzado MX – Mujer (con ancho)</t>
        </is>
      </c>
      <c r="B578" s="123" t="n">
        <v>26</v>
      </c>
      <c r="C578" s="123" t="inlineStr">
        <is>
          <t>9 RM</t>
        </is>
      </c>
      <c r="D578" s="122" t="inlineStr">
        <is>
          <t>Igual regla</t>
        </is>
      </c>
      <c r="E578" s="183" t="n"/>
      <c r="F578" s="84" t="n"/>
      <c r="G578" s="84" t="n"/>
      <c r="H578" s="84" t="n"/>
      <c r="I578" s="84" t="n"/>
      <c r="J578" s="84" t="n"/>
      <c r="K578" s="84" t="n"/>
      <c r="L578" s="84" t="n"/>
      <c r="M578" s="84" t="n"/>
      <c r="N578" s="84" t="n"/>
      <c r="O578" s="84" t="n"/>
      <c r="P578" s="84" t="n"/>
      <c r="Q578" s="84" t="n"/>
      <c r="R578" s="84" t="n"/>
      <c r="S578" s="84" t="n"/>
      <c r="T578" s="84" t="n"/>
      <c r="U578" s="84" t="n"/>
      <c r="V578" s="84" t="n"/>
      <c r="W578" s="84" t="n"/>
      <c r="X578" s="84" t="n"/>
      <c r="Y578" s="84" t="n"/>
      <c r="Z578" s="84" t="n"/>
      <c r="AA578" s="84" t="n"/>
      <c r="AB578" s="84" t="n"/>
      <c r="AC578" s="84" t="n"/>
      <c r="AD578" s="84" t="n"/>
    </row>
    <row r="579" ht="30" customHeight="1" s="176">
      <c r="A579" s="122" t="inlineStr">
        <is>
          <t>Talla Calzado MX – Mujer (con ancho)</t>
        </is>
      </c>
      <c r="B579" s="123" t="n">
        <v>26</v>
      </c>
      <c r="C579" s="123" t="inlineStr">
        <is>
          <t>9 RS</t>
        </is>
      </c>
      <c r="D579" s="122" t="inlineStr">
        <is>
          <t>Igual regla</t>
        </is>
      </c>
      <c r="E579" s="183" t="n"/>
      <c r="F579" s="84" t="n"/>
      <c r="G579" s="84" t="n"/>
      <c r="H579" s="84" t="n"/>
      <c r="I579" s="84" t="n"/>
      <c r="J579" s="84" t="n"/>
      <c r="K579" s="84" t="n"/>
      <c r="L579" s="84" t="n"/>
      <c r="M579" s="84" t="n"/>
      <c r="N579" s="84" t="n"/>
      <c r="O579" s="84" t="n"/>
      <c r="P579" s="84" t="n"/>
      <c r="Q579" s="84" t="n"/>
      <c r="R579" s="84" t="n"/>
      <c r="S579" s="84" t="n"/>
      <c r="T579" s="84" t="n"/>
      <c r="U579" s="84" t="n"/>
      <c r="V579" s="84" t="n"/>
      <c r="W579" s="84" t="n"/>
      <c r="X579" s="84" t="n"/>
      <c r="Y579" s="84" t="n"/>
      <c r="Z579" s="84" t="n"/>
      <c r="AA579" s="84" t="n"/>
      <c r="AB579" s="84" t="n"/>
      <c r="AC579" s="84" t="n"/>
      <c r="AD579" s="84" t="n"/>
    </row>
    <row r="580" ht="30" customHeight="1" s="176">
      <c r="A580" s="122" t="inlineStr">
        <is>
          <t>Talla Calzado MX – Mujer (con ancho)</t>
        </is>
      </c>
      <c r="B580" s="123" t="n">
        <v>26</v>
      </c>
      <c r="C580" s="123" t="inlineStr">
        <is>
          <t>9 RT</t>
        </is>
      </c>
      <c r="D580" s="122" t="inlineStr">
        <is>
          <t>Igual regla</t>
        </is>
      </c>
      <c r="E580" s="183" t="n"/>
      <c r="F580" s="84" t="n"/>
      <c r="G580" s="84" t="n"/>
      <c r="H580" s="84" t="n"/>
      <c r="I580" s="84" t="n"/>
      <c r="J580" s="84" t="n"/>
      <c r="K580" s="84" t="n"/>
      <c r="L580" s="84" t="n"/>
      <c r="M580" s="84" t="n"/>
      <c r="N580" s="84" t="n"/>
      <c r="O580" s="84" t="n"/>
      <c r="P580" s="84" t="n"/>
      <c r="Q580" s="84" t="n"/>
      <c r="R580" s="84" t="n"/>
      <c r="S580" s="84" t="n"/>
      <c r="T580" s="84" t="n"/>
      <c r="U580" s="84" t="n"/>
      <c r="V580" s="84" t="n"/>
      <c r="W580" s="84" t="n"/>
      <c r="X580" s="84" t="n"/>
      <c r="Y580" s="84" t="n"/>
      <c r="Z580" s="84" t="n"/>
      <c r="AA580" s="84" t="n"/>
      <c r="AB580" s="84" t="n"/>
      <c r="AC580" s="84" t="n"/>
      <c r="AD580" s="84" t="n"/>
    </row>
    <row r="581" ht="30" customHeight="1" s="176">
      <c r="A581" s="122" t="inlineStr">
        <is>
          <t>Talla Calzado MX – Mujer (con ancho)</t>
        </is>
      </c>
      <c r="B581" s="123" t="n">
        <v>26</v>
      </c>
      <c r="C581" s="123" t="inlineStr">
        <is>
          <t>9 SM</t>
        </is>
      </c>
      <c r="D581" s="122" t="inlineStr">
        <is>
          <t>Igual regla</t>
        </is>
      </c>
      <c r="E581" s="183" t="n"/>
      <c r="F581" s="84" t="n"/>
      <c r="G581" s="84" t="n"/>
      <c r="H581" s="84" t="n"/>
      <c r="I581" s="84" t="n"/>
      <c r="J581" s="84" t="n"/>
      <c r="K581" s="84" t="n"/>
      <c r="L581" s="84" t="n"/>
      <c r="M581" s="84" t="n"/>
      <c r="N581" s="84" t="n"/>
      <c r="O581" s="84" t="n"/>
      <c r="P581" s="84" t="n"/>
      <c r="Q581" s="84" t="n"/>
      <c r="R581" s="84" t="n"/>
      <c r="S581" s="84" t="n"/>
      <c r="T581" s="84" t="n"/>
      <c r="U581" s="84" t="n"/>
      <c r="V581" s="84" t="n"/>
      <c r="W581" s="84" t="n"/>
      <c r="X581" s="84" t="n"/>
      <c r="Y581" s="84" t="n"/>
      <c r="Z581" s="84" t="n"/>
      <c r="AA581" s="84" t="n"/>
      <c r="AB581" s="84" t="n"/>
      <c r="AC581" s="84" t="n"/>
      <c r="AD581" s="84" t="n"/>
    </row>
    <row r="582" ht="30" customHeight="1" s="176">
      <c r="A582" s="122" t="inlineStr">
        <is>
          <t>Talla Calzado MX – Mujer (con ancho)</t>
        </is>
      </c>
      <c r="B582" s="123" t="n">
        <v>26</v>
      </c>
      <c r="C582" s="123" t="inlineStr">
        <is>
          <t>9 SS</t>
        </is>
      </c>
      <c r="D582" s="122" t="inlineStr">
        <is>
          <t>Igual regla</t>
        </is>
      </c>
      <c r="E582" s="183" t="n"/>
      <c r="F582" s="84" t="n"/>
      <c r="G582" s="84" t="n"/>
      <c r="H582" s="84" t="n"/>
      <c r="I582" s="84" t="n"/>
      <c r="J582" s="84" t="n"/>
      <c r="K582" s="84" t="n"/>
      <c r="L582" s="84" t="n"/>
      <c r="M582" s="84" t="n"/>
      <c r="N582" s="84" t="n"/>
      <c r="O582" s="84" t="n"/>
      <c r="P582" s="84" t="n"/>
      <c r="Q582" s="84" t="n"/>
      <c r="R582" s="84" t="n"/>
      <c r="S582" s="84" t="n"/>
      <c r="T582" s="84" t="n"/>
      <c r="U582" s="84" t="n"/>
      <c r="V582" s="84" t="n"/>
      <c r="W582" s="84" t="n"/>
      <c r="X582" s="84" t="n"/>
      <c r="Y582" s="84" t="n"/>
      <c r="Z582" s="84" t="n"/>
      <c r="AA582" s="84" t="n"/>
      <c r="AB582" s="84" t="n"/>
      <c r="AC582" s="84" t="n"/>
      <c r="AD582" s="84" t="n"/>
    </row>
    <row r="583" ht="30" customHeight="1" s="176">
      <c r="A583" s="122" t="inlineStr">
        <is>
          <t>Talla Calzado MX – Mujer (con ancho)</t>
        </is>
      </c>
      <c r="B583" s="123" t="n">
        <v>26</v>
      </c>
      <c r="C583" s="123" t="inlineStr">
        <is>
          <t>9 ST</t>
        </is>
      </c>
      <c r="D583" s="122" t="inlineStr">
        <is>
          <t>Igual regla</t>
        </is>
      </c>
      <c r="E583" s="183" t="n"/>
      <c r="F583" s="84" t="n"/>
      <c r="G583" s="84" t="n"/>
      <c r="H583" s="84" t="n"/>
      <c r="I583" s="84" t="n"/>
      <c r="J583" s="84" t="n"/>
      <c r="K583" s="84" t="n"/>
      <c r="L583" s="84" t="n"/>
      <c r="M583" s="84" t="n"/>
      <c r="N583" s="84" t="n"/>
      <c r="O583" s="84" t="n"/>
      <c r="P583" s="84" t="n"/>
      <c r="Q583" s="84" t="n"/>
      <c r="R583" s="84" t="n"/>
      <c r="S583" s="84" t="n"/>
      <c r="T583" s="84" t="n"/>
      <c r="U583" s="84" t="n"/>
      <c r="V583" s="84" t="n"/>
      <c r="W583" s="84" t="n"/>
      <c r="X583" s="84" t="n"/>
      <c r="Y583" s="84" t="n"/>
      <c r="Z583" s="84" t="n"/>
      <c r="AA583" s="84" t="n"/>
      <c r="AB583" s="84" t="n"/>
      <c r="AC583" s="84" t="n"/>
      <c r="AD583" s="84" t="n"/>
    </row>
    <row r="584" ht="30" customHeight="1" s="176">
      <c r="A584" s="122" t="inlineStr">
        <is>
          <t>Talla Calzado MX – Mujer (con ancho)</t>
        </is>
      </c>
      <c r="B584" s="123" t="n">
        <v>26</v>
      </c>
      <c r="C584" s="123" t="inlineStr">
        <is>
          <t>9 WM</t>
        </is>
      </c>
      <c r="D584" s="122" t="inlineStr">
        <is>
          <t>Igual regla</t>
        </is>
      </c>
      <c r="E584" s="183" t="n"/>
      <c r="F584" s="84" t="n"/>
      <c r="G584" s="84" t="n"/>
      <c r="H584" s="84" t="n"/>
      <c r="I584" s="84" t="n"/>
      <c r="J584" s="84" t="n"/>
      <c r="K584" s="84" t="n"/>
      <c r="L584" s="84" t="n"/>
      <c r="M584" s="84" t="n"/>
      <c r="N584" s="84" t="n"/>
      <c r="O584" s="84" t="n"/>
      <c r="P584" s="84" t="n"/>
      <c r="Q584" s="84" t="n"/>
      <c r="R584" s="84" t="n"/>
      <c r="S584" s="84" t="n"/>
      <c r="T584" s="84" t="n"/>
      <c r="U584" s="84" t="n"/>
      <c r="V584" s="84" t="n"/>
      <c r="W584" s="84" t="n"/>
      <c r="X584" s="84" t="n"/>
      <c r="Y584" s="84" t="n"/>
      <c r="Z584" s="84" t="n"/>
      <c r="AA584" s="84" t="n"/>
      <c r="AB584" s="84" t="n"/>
      <c r="AC584" s="84" t="n"/>
      <c r="AD584" s="84" t="n"/>
    </row>
    <row r="585" ht="30" customHeight="1" s="176">
      <c r="A585" s="122" t="inlineStr">
        <is>
          <t>Talla Calzado MX – Mujer (con ancho)</t>
        </is>
      </c>
      <c r="B585" s="123" t="n">
        <v>26</v>
      </c>
      <c r="C585" s="123" t="inlineStr">
        <is>
          <t>9 WS</t>
        </is>
      </c>
      <c r="D585" s="122" t="inlineStr">
        <is>
          <t>Igual regla</t>
        </is>
      </c>
      <c r="E585" s="183" t="n"/>
      <c r="F585" s="84" t="n"/>
      <c r="G585" s="84" t="n"/>
      <c r="H585" s="84" t="n"/>
      <c r="I585" s="84" t="n"/>
      <c r="J585" s="84" t="n"/>
      <c r="K585" s="84" t="n"/>
      <c r="L585" s="84" t="n"/>
      <c r="M585" s="84" t="n"/>
      <c r="N585" s="84" t="n"/>
      <c r="O585" s="84" t="n"/>
      <c r="P585" s="84" t="n"/>
      <c r="Q585" s="84" t="n"/>
      <c r="R585" s="84" t="n"/>
      <c r="S585" s="84" t="n"/>
      <c r="T585" s="84" t="n"/>
      <c r="U585" s="84" t="n"/>
      <c r="V585" s="84" t="n"/>
      <c r="W585" s="84" t="n"/>
      <c r="X585" s="84" t="n"/>
      <c r="Y585" s="84" t="n"/>
      <c r="Z585" s="84" t="n"/>
      <c r="AA585" s="84" t="n"/>
      <c r="AB585" s="84" t="n"/>
      <c r="AC585" s="84" t="n"/>
      <c r="AD585" s="84" t="n"/>
    </row>
    <row r="586" ht="30" customHeight="1" s="176">
      <c r="A586" s="122" t="inlineStr">
        <is>
          <t>Talla Calzado MX – Mujer (con ancho)</t>
        </is>
      </c>
      <c r="B586" s="123" t="n">
        <v>26</v>
      </c>
      <c r="C586" s="123" t="inlineStr">
        <is>
          <t>9 WT</t>
        </is>
      </c>
      <c r="D586" s="122" t="inlineStr">
        <is>
          <t>Igual regla</t>
        </is>
      </c>
      <c r="E586" s="183" t="n"/>
      <c r="F586" s="84" t="n"/>
      <c r="G586" s="84" t="n"/>
      <c r="H586" s="84" t="n"/>
      <c r="I586" s="84" t="n"/>
      <c r="J586" s="84" t="n"/>
      <c r="K586" s="84" t="n"/>
      <c r="L586" s="84" t="n"/>
      <c r="M586" s="84" t="n"/>
      <c r="N586" s="84" t="n"/>
      <c r="O586" s="84" t="n"/>
      <c r="P586" s="84" t="n"/>
      <c r="Q586" s="84" t="n"/>
      <c r="R586" s="84" t="n"/>
      <c r="S586" s="84" t="n"/>
      <c r="T586" s="84" t="n"/>
      <c r="U586" s="84" t="n"/>
      <c r="V586" s="84" t="n"/>
      <c r="W586" s="84" t="n"/>
      <c r="X586" s="84" t="n"/>
      <c r="Y586" s="84" t="n"/>
      <c r="Z586" s="84" t="n"/>
      <c r="AA586" s="84" t="n"/>
      <c r="AB586" s="84" t="n"/>
      <c r="AC586" s="84" t="n"/>
      <c r="AD586" s="84" t="n"/>
    </row>
    <row r="587" ht="30" customHeight="1" s="176">
      <c r="A587" s="122" t="inlineStr">
        <is>
          <t>Talla Calzado MX – Mujer (con ancho)</t>
        </is>
      </c>
      <c r="B587" s="123" t="n">
        <v>26</v>
      </c>
      <c r="C587" s="123" t="inlineStr">
        <is>
          <t>9 XSM</t>
        </is>
      </c>
      <c r="D587" s="122" t="inlineStr">
        <is>
          <t>Igual regla</t>
        </is>
      </c>
      <c r="E587" s="183" t="n"/>
      <c r="F587" s="84" t="n"/>
      <c r="G587" s="84" t="n"/>
      <c r="H587" s="84" t="n"/>
      <c r="I587" s="84" t="n"/>
      <c r="J587" s="84" t="n"/>
      <c r="K587" s="84" t="n"/>
      <c r="L587" s="84" t="n"/>
      <c r="M587" s="84" t="n"/>
      <c r="N587" s="84" t="n"/>
      <c r="O587" s="84" t="n"/>
      <c r="P587" s="84" t="n"/>
      <c r="Q587" s="84" t="n"/>
      <c r="R587" s="84" t="n"/>
      <c r="S587" s="84" t="n"/>
      <c r="T587" s="84" t="n"/>
      <c r="U587" s="84" t="n"/>
      <c r="V587" s="84" t="n"/>
      <c r="W587" s="84" t="n"/>
      <c r="X587" s="84" t="n"/>
      <c r="Y587" s="84" t="n"/>
      <c r="Z587" s="84" t="n"/>
      <c r="AA587" s="84" t="n"/>
      <c r="AB587" s="84" t="n"/>
      <c r="AC587" s="84" t="n"/>
      <c r="AD587" s="84" t="n"/>
    </row>
    <row r="588" ht="30" customHeight="1" s="176">
      <c r="A588" s="122" t="inlineStr">
        <is>
          <t>Talla Calzado MX – Mujer (con ancho)</t>
        </is>
      </c>
      <c r="B588" s="123" t="n">
        <v>26</v>
      </c>
      <c r="C588" s="123" t="inlineStr">
        <is>
          <t>9 XST</t>
        </is>
      </c>
      <c r="D588" s="122" t="inlineStr">
        <is>
          <t>Igual regla</t>
        </is>
      </c>
      <c r="E588" s="183" t="n"/>
      <c r="F588" s="84" t="n"/>
      <c r="G588" s="84" t="n"/>
      <c r="H588" s="84" t="n"/>
      <c r="I588" s="84" t="n"/>
      <c r="J588" s="84" t="n"/>
      <c r="K588" s="84" t="n"/>
      <c r="L588" s="84" t="n"/>
      <c r="M588" s="84" t="n"/>
      <c r="N588" s="84" t="n"/>
      <c r="O588" s="84" t="n"/>
      <c r="P588" s="84" t="n"/>
      <c r="Q588" s="84" t="n"/>
      <c r="R588" s="84" t="n"/>
      <c r="S588" s="84" t="n"/>
      <c r="T588" s="84" t="n"/>
      <c r="U588" s="84" t="n"/>
      <c r="V588" s="84" t="n"/>
      <c r="W588" s="84" t="n"/>
      <c r="X588" s="84" t="n"/>
      <c r="Y588" s="84" t="n"/>
      <c r="Z588" s="84" t="n"/>
      <c r="AA588" s="84" t="n"/>
      <c r="AB588" s="84" t="n"/>
      <c r="AC588" s="84" t="n"/>
      <c r="AD588" s="84" t="n"/>
    </row>
    <row r="589" ht="30" customHeight="1" s="176">
      <c r="A589" s="122" t="inlineStr">
        <is>
          <t>Talla Calzado MX – Mujer (con ancho)</t>
        </is>
      </c>
      <c r="B589" s="123" t="n">
        <v>26</v>
      </c>
      <c r="C589" s="123" t="inlineStr">
        <is>
          <t>9 XWM</t>
        </is>
      </c>
      <c r="D589" s="122" t="inlineStr">
        <is>
          <t>Igual regla</t>
        </is>
      </c>
      <c r="E589" s="183" t="n"/>
      <c r="F589" s="84" t="n"/>
      <c r="G589" s="84" t="n"/>
      <c r="H589" s="84" t="n"/>
      <c r="I589" s="84" t="n"/>
      <c r="J589" s="84" t="n"/>
      <c r="K589" s="84" t="n"/>
      <c r="L589" s="84" t="n"/>
      <c r="M589" s="84" t="n"/>
      <c r="N589" s="84" t="n"/>
      <c r="O589" s="84" t="n"/>
      <c r="P589" s="84" t="n"/>
      <c r="Q589" s="84" t="n"/>
      <c r="R589" s="84" t="n"/>
      <c r="S589" s="84" t="n"/>
      <c r="T589" s="84" t="n"/>
      <c r="U589" s="84" t="n"/>
      <c r="V589" s="84" t="n"/>
      <c r="W589" s="84" t="n"/>
      <c r="X589" s="84" t="n"/>
      <c r="Y589" s="84" t="n"/>
      <c r="Z589" s="84" t="n"/>
      <c r="AA589" s="84" t="n"/>
      <c r="AB589" s="84" t="n"/>
      <c r="AC589" s="84" t="n"/>
      <c r="AD589" s="84" t="n"/>
    </row>
    <row r="590" ht="30" customHeight="1" s="176">
      <c r="A590" s="122" t="inlineStr">
        <is>
          <t>Talla Calzado MX – Mujer (con ancho)</t>
        </is>
      </c>
      <c r="B590" s="123" t="n">
        <v>26.5</v>
      </c>
      <c r="C590" s="123" t="inlineStr">
        <is>
          <t>9.5 B</t>
        </is>
      </c>
      <c r="D590" s="122" t="inlineStr">
        <is>
          <t>Igual regla</t>
        </is>
      </c>
      <c r="E590" s="183" t="n"/>
      <c r="F590" s="84" t="n"/>
      <c r="G590" s="84" t="n"/>
      <c r="H590" s="84" t="n"/>
      <c r="I590" s="84" t="n"/>
      <c r="J590" s="84" t="n"/>
      <c r="K590" s="84" t="n"/>
      <c r="L590" s="84" t="n"/>
      <c r="M590" s="84" t="n"/>
      <c r="N590" s="84" t="n"/>
      <c r="O590" s="84" t="n"/>
      <c r="P590" s="84" t="n"/>
      <c r="Q590" s="84" t="n"/>
      <c r="R590" s="84" t="n"/>
      <c r="S590" s="84" t="n"/>
      <c r="T590" s="84" t="n"/>
      <c r="U590" s="84" t="n"/>
      <c r="V590" s="84" t="n"/>
      <c r="W590" s="84" t="n"/>
      <c r="X590" s="84" t="n"/>
      <c r="Y590" s="84" t="n"/>
      <c r="Z590" s="84" t="n"/>
      <c r="AA590" s="84" t="n"/>
      <c r="AB590" s="84" t="n"/>
      <c r="AC590" s="84" t="n"/>
      <c r="AD590" s="84" t="n"/>
    </row>
    <row r="591" ht="30" customHeight="1" s="176">
      <c r="A591" s="122" t="inlineStr">
        <is>
          <t>Talla Calzado MX – Mujer (con ancho)</t>
        </is>
      </c>
      <c r="B591" s="123" t="n">
        <v>26.5</v>
      </c>
      <c r="C591" s="123" t="inlineStr">
        <is>
          <t>9.5 C</t>
        </is>
      </c>
      <c r="D591" s="122" t="inlineStr">
        <is>
          <t>Igual regla</t>
        </is>
      </c>
      <c r="E591" s="183" t="n"/>
      <c r="F591" s="84" t="n"/>
      <c r="G591" s="84" t="n"/>
      <c r="H591" s="84" t="n"/>
      <c r="I591" s="84" t="n"/>
      <c r="J591" s="84" t="n"/>
      <c r="K591" s="84" t="n"/>
      <c r="L591" s="84" t="n"/>
      <c r="M591" s="84" t="n"/>
      <c r="N591" s="84" t="n"/>
      <c r="O591" s="84" t="n"/>
      <c r="P591" s="84" t="n"/>
      <c r="Q591" s="84" t="n"/>
      <c r="R591" s="84" t="n"/>
      <c r="S591" s="84" t="n"/>
      <c r="T591" s="84" t="n"/>
      <c r="U591" s="84" t="n"/>
      <c r="V591" s="84" t="n"/>
      <c r="W591" s="84" t="n"/>
      <c r="X591" s="84" t="n"/>
      <c r="Y591" s="84" t="n"/>
      <c r="Z591" s="84" t="n"/>
      <c r="AA591" s="84" t="n"/>
      <c r="AB591" s="84" t="n"/>
      <c r="AC591" s="84" t="n"/>
      <c r="AD591" s="84" t="n"/>
    </row>
    <row r="592" ht="30" customHeight="1" s="176">
      <c r="A592" s="122" t="inlineStr">
        <is>
          <t>Talla Calzado MX – Mujer (con ancho)</t>
        </is>
      </c>
      <c r="B592" s="123" t="n">
        <v>26.5</v>
      </c>
      <c r="C592" s="123" t="inlineStr">
        <is>
          <t>9.5 FM</t>
        </is>
      </c>
      <c r="D592" s="122" t="inlineStr">
        <is>
          <t>Igual regla</t>
        </is>
      </c>
      <c r="E592" s="183" t="n"/>
      <c r="F592" s="84" t="n"/>
      <c r="G592" s="84" t="n"/>
      <c r="H592" s="84" t="n"/>
      <c r="I592" s="84" t="n"/>
      <c r="J592" s="84" t="n"/>
      <c r="K592" s="84" t="n"/>
      <c r="L592" s="84" t="n"/>
      <c r="M592" s="84" t="n"/>
      <c r="N592" s="84" t="n"/>
      <c r="O592" s="84" t="n"/>
      <c r="P592" s="84" t="n"/>
      <c r="Q592" s="84" t="n"/>
      <c r="R592" s="84" t="n"/>
      <c r="S592" s="84" t="n"/>
      <c r="T592" s="84" t="n"/>
      <c r="U592" s="84" t="n"/>
      <c r="V592" s="84" t="n"/>
      <c r="W592" s="84" t="n"/>
      <c r="X592" s="84" t="n"/>
      <c r="Y592" s="84" t="n"/>
      <c r="Z592" s="84" t="n"/>
      <c r="AA592" s="84" t="n"/>
      <c r="AB592" s="84" t="n"/>
      <c r="AC592" s="84" t="n"/>
      <c r="AD592" s="84" t="n"/>
    </row>
    <row r="593" ht="30" customHeight="1" s="176">
      <c r="A593" s="122" t="inlineStr">
        <is>
          <t>Talla Calzado MX – Mujer (con ancho)</t>
        </is>
      </c>
      <c r="B593" s="123" t="n">
        <v>26.5</v>
      </c>
      <c r="C593" s="123" t="inlineStr">
        <is>
          <t>9.5 FS</t>
        </is>
      </c>
      <c r="D593" s="122" t="inlineStr">
        <is>
          <t>Igual regla</t>
        </is>
      </c>
      <c r="E593" s="183" t="n"/>
      <c r="F593" s="84" t="n"/>
      <c r="G593" s="84" t="n"/>
      <c r="H593" s="84" t="n"/>
      <c r="I593" s="84" t="n"/>
      <c r="J593" s="84" t="n"/>
      <c r="K593" s="84" t="n"/>
      <c r="L593" s="84" t="n"/>
      <c r="M593" s="84" t="n"/>
      <c r="N593" s="84" t="n"/>
      <c r="O593" s="84" t="n"/>
      <c r="P593" s="84" t="n"/>
      <c r="Q593" s="84" t="n"/>
      <c r="R593" s="84" t="n"/>
      <c r="S593" s="84" t="n"/>
      <c r="T593" s="84" t="n"/>
      <c r="U593" s="84" t="n"/>
      <c r="V593" s="84" t="n"/>
      <c r="W593" s="84" t="n"/>
      <c r="X593" s="84" t="n"/>
      <c r="Y593" s="84" t="n"/>
      <c r="Z593" s="84" t="n"/>
      <c r="AA593" s="84" t="n"/>
      <c r="AB593" s="84" t="n"/>
      <c r="AC593" s="84" t="n"/>
      <c r="AD593" s="84" t="n"/>
    </row>
    <row r="594" ht="30" customHeight="1" s="176">
      <c r="A594" s="122" t="inlineStr">
        <is>
          <t>Talla Calzado MX – Mujer (con ancho)</t>
        </is>
      </c>
      <c r="B594" s="123" t="n">
        <v>26.5</v>
      </c>
      <c r="C594" s="123" t="inlineStr">
        <is>
          <t>9.5 FT</t>
        </is>
      </c>
      <c r="D594" s="122" t="inlineStr">
        <is>
          <t>Igual regla</t>
        </is>
      </c>
      <c r="E594" s="183" t="n"/>
      <c r="F594" s="84" t="n"/>
      <c r="G594" s="84" t="n"/>
      <c r="H594" s="84" t="n"/>
      <c r="I594" s="84" t="n"/>
      <c r="J594" s="84" t="n"/>
      <c r="K594" s="84" t="n"/>
      <c r="L594" s="84" t="n"/>
      <c r="M594" s="84" t="n"/>
      <c r="N594" s="84" t="n"/>
      <c r="O594" s="84" t="n"/>
      <c r="P594" s="84" t="n"/>
      <c r="Q594" s="84" t="n"/>
      <c r="R594" s="84" t="n"/>
      <c r="S594" s="84" t="n"/>
      <c r="T594" s="84" t="n"/>
      <c r="U594" s="84" t="n"/>
      <c r="V594" s="84" t="n"/>
      <c r="W594" s="84" t="n"/>
      <c r="X594" s="84" t="n"/>
      <c r="Y594" s="84" t="n"/>
      <c r="Z594" s="84" t="n"/>
      <c r="AA594" s="84" t="n"/>
      <c r="AB594" s="84" t="n"/>
      <c r="AC594" s="84" t="n"/>
      <c r="AD594" s="84" t="n"/>
    </row>
    <row r="595" ht="30" customHeight="1" s="176">
      <c r="A595" s="122" t="inlineStr">
        <is>
          <t>Talla Calzado MX – Mujer (con ancho)</t>
        </is>
      </c>
      <c r="B595" s="123" t="n">
        <v>26.5</v>
      </c>
      <c r="C595" s="123" t="inlineStr">
        <is>
          <t>9.5 RM</t>
        </is>
      </c>
      <c r="D595" s="122" t="inlineStr">
        <is>
          <t>Igual regla</t>
        </is>
      </c>
      <c r="E595" s="183" t="n"/>
      <c r="F595" s="84" t="n"/>
      <c r="G595" s="84" t="n"/>
      <c r="H595" s="84" t="n"/>
      <c r="I595" s="84" t="n"/>
      <c r="J595" s="84" t="n"/>
      <c r="K595" s="84" t="n"/>
      <c r="L595" s="84" t="n"/>
      <c r="M595" s="84" t="n"/>
      <c r="N595" s="84" t="n"/>
      <c r="O595" s="84" t="n"/>
      <c r="P595" s="84" t="n"/>
      <c r="Q595" s="84" t="n"/>
      <c r="R595" s="84" t="n"/>
      <c r="S595" s="84" t="n"/>
      <c r="T595" s="84" t="n"/>
      <c r="U595" s="84" t="n"/>
      <c r="V595" s="84" t="n"/>
      <c r="W595" s="84" t="n"/>
      <c r="X595" s="84" t="n"/>
      <c r="Y595" s="84" t="n"/>
      <c r="Z595" s="84" t="n"/>
      <c r="AA595" s="84" t="n"/>
      <c r="AB595" s="84" t="n"/>
      <c r="AC595" s="84" t="n"/>
      <c r="AD595" s="84" t="n"/>
    </row>
    <row r="596" ht="30" customHeight="1" s="176">
      <c r="A596" s="122" t="inlineStr">
        <is>
          <t>Talla Calzado MX – Mujer (con ancho)</t>
        </is>
      </c>
      <c r="B596" s="123" t="n">
        <v>26.5</v>
      </c>
      <c r="C596" s="123" t="inlineStr">
        <is>
          <t>9.5 RS</t>
        </is>
      </c>
      <c r="D596" s="122" t="inlineStr">
        <is>
          <t>Igual regla</t>
        </is>
      </c>
      <c r="E596" s="183" t="n"/>
      <c r="F596" s="84" t="n"/>
      <c r="G596" s="84" t="n"/>
      <c r="H596" s="84" t="n"/>
      <c r="I596" s="84" t="n"/>
      <c r="J596" s="84" t="n"/>
      <c r="K596" s="84" t="n"/>
      <c r="L596" s="84" t="n"/>
      <c r="M596" s="84" t="n"/>
      <c r="N596" s="84" t="n"/>
      <c r="O596" s="84" t="n"/>
      <c r="P596" s="84" t="n"/>
      <c r="Q596" s="84" t="n"/>
      <c r="R596" s="84" t="n"/>
      <c r="S596" s="84" t="n"/>
      <c r="T596" s="84" t="n"/>
      <c r="U596" s="84" t="n"/>
      <c r="V596" s="84" t="n"/>
      <c r="W596" s="84" t="n"/>
      <c r="X596" s="84" t="n"/>
      <c r="Y596" s="84" t="n"/>
      <c r="Z596" s="84" t="n"/>
      <c r="AA596" s="84" t="n"/>
      <c r="AB596" s="84" t="n"/>
      <c r="AC596" s="84" t="n"/>
      <c r="AD596" s="84" t="n"/>
    </row>
    <row r="597" ht="30" customHeight="1" s="176">
      <c r="A597" s="122" t="inlineStr">
        <is>
          <t>Talla Calzado MX – Mujer (con ancho)</t>
        </is>
      </c>
      <c r="B597" s="123" t="n">
        <v>26.5</v>
      </c>
      <c r="C597" s="123" t="inlineStr">
        <is>
          <t>9.5 RT</t>
        </is>
      </c>
      <c r="D597" s="122" t="inlineStr">
        <is>
          <t>Igual regla</t>
        </is>
      </c>
      <c r="E597" s="183" t="n"/>
      <c r="F597" s="84" t="n"/>
      <c r="G597" s="84" t="n"/>
      <c r="H597" s="84" t="n"/>
      <c r="I597" s="84" t="n"/>
      <c r="J597" s="84" t="n"/>
      <c r="K597" s="84" t="n"/>
      <c r="L597" s="84" t="n"/>
      <c r="M597" s="84" t="n"/>
      <c r="N597" s="84" t="n"/>
      <c r="O597" s="84" t="n"/>
      <c r="P597" s="84" t="n"/>
      <c r="Q597" s="84" t="n"/>
      <c r="R597" s="84" t="n"/>
      <c r="S597" s="84" t="n"/>
      <c r="T597" s="84" t="n"/>
      <c r="U597" s="84" t="n"/>
      <c r="V597" s="84" t="n"/>
      <c r="W597" s="84" t="n"/>
      <c r="X597" s="84" t="n"/>
      <c r="Y597" s="84" t="n"/>
      <c r="Z597" s="84" t="n"/>
      <c r="AA597" s="84" t="n"/>
      <c r="AB597" s="84" t="n"/>
      <c r="AC597" s="84" t="n"/>
      <c r="AD597" s="84" t="n"/>
    </row>
    <row r="598" ht="30" customHeight="1" s="176">
      <c r="A598" s="122" t="inlineStr">
        <is>
          <t>Talla Calzado MX – Mujer (con ancho)</t>
        </is>
      </c>
      <c r="B598" s="123" t="n">
        <v>26.5</v>
      </c>
      <c r="C598" s="123" t="inlineStr">
        <is>
          <t>9.5 SM</t>
        </is>
      </c>
      <c r="D598" s="122" t="inlineStr">
        <is>
          <t>Igual regla</t>
        </is>
      </c>
      <c r="E598" s="183" t="n"/>
      <c r="F598" s="84" t="n"/>
      <c r="G598" s="84" t="n"/>
      <c r="H598" s="84" t="n"/>
      <c r="I598" s="84" t="n"/>
      <c r="J598" s="84" t="n"/>
      <c r="K598" s="84" t="n"/>
      <c r="L598" s="84" t="n"/>
      <c r="M598" s="84" t="n"/>
      <c r="N598" s="84" t="n"/>
      <c r="O598" s="84" t="n"/>
      <c r="P598" s="84" t="n"/>
      <c r="Q598" s="84" t="n"/>
      <c r="R598" s="84" t="n"/>
      <c r="S598" s="84" t="n"/>
      <c r="T598" s="84" t="n"/>
      <c r="U598" s="84" t="n"/>
      <c r="V598" s="84" t="n"/>
      <c r="W598" s="84" t="n"/>
      <c r="X598" s="84" t="n"/>
      <c r="Y598" s="84" t="n"/>
      <c r="Z598" s="84" t="n"/>
      <c r="AA598" s="84" t="n"/>
      <c r="AB598" s="84" t="n"/>
      <c r="AC598" s="84" t="n"/>
      <c r="AD598" s="84" t="n"/>
    </row>
    <row r="599" ht="30" customHeight="1" s="176">
      <c r="A599" s="122" t="inlineStr">
        <is>
          <t>Talla Calzado MX – Mujer (con ancho)</t>
        </is>
      </c>
      <c r="B599" s="123" t="n">
        <v>26.5</v>
      </c>
      <c r="C599" s="123" t="inlineStr">
        <is>
          <t>9.5 SS</t>
        </is>
      </c>
      <c r="D599" s="122" t="inlineStr">
        <is>
          <t>Igual regla</t>
        </is>
      </c>
      <c r="E599" s="183" t="n"/>
      <c r="F599" s="84" t="n"/>
      <c r="G599" s="84" t="n"/>
      <c r="H599" s="84" t="n"/>
      <c r="I599" s="84" t="n"/>
      <c r="J599" s="84" t="n"/>
      <c r="K599" s="84" t="n"/>
      <c r="L599" s="84" t="n"/>
      <c r="M599" s="84" t="n"/>
      <c r="N599" s="84" t="n"/>
      <c r="O599" s="84" t="n"/>
      <c r="P599" s="84" t="n"/>
      <c r="Q599" s="84" t="n"/>
      <c r="R599" s="84" t="n"/>
      <c r="S599" s="84" t="n"/>
      <c r="T599" s="84" t="n"/>
      <c r="U599" s="84" t="n"/>
      <c r="V599" s="84" t="n"/>
      <c r="W599" s="84" t="n"/>
      <c r="X599" s="84" t="n"/>
      <c r="Y599" s="84" t="n"/>
      <c r="Z599" s="84" t="n"/>
      <c r="AA599" s="84" t="n"/>
      <c r="AB599" s="84" t="n"/>
      <c r="AC599" s="84" t="n"/>
      <c r="AD599" s="84" t="n"/>
    </row>
    <row r="600" ht="30" customHeight="1" s="176">
      <c r="A600" s="122" t="inlineStr">
        <is>
          <t>Talla Calzado MX – Mujer (con ancho)</t>
        </is>
      </c>
      <c r="B600" s="123" t="n">
        <v>26.5</v>
      </c>
      <c r="C600" s="123" t="inlineStr">
        <is>
          <t>9.5 ST</t>
        </is>
      </c>
      <c r="D600" s="122" t="inlineStr">
        <is>
          <t>Igual regla</t>
        </is>
      </c>
      <c r="E600" s="183" t="n"/>
      <c r="F600" s="84" t="n"/>
      <c r="G600" s="84" t="n"/>
      <c r="H600" s="84" t="n"/>
      <c r="I600" s="84" t="n"/>
      <c r="J600" s="84" t="n"/>
      <c r="K600" s="84" t="n"/>
      <c r="L600" s="84" t="n"/>
      <c r="M600" s="84" t="n"/>
      <c r="N600" s="84" t="n"/>
      <c r="O600" s="84" t="n"/>
      <c r="P600" s="84" t="n"/>
      <c r="Q600" s="84" t="n"/>
      <c r="R600" s="84" t="n"/>
      <c r="S600" s="84" t="n"/>
      <c r="T600" s="84" t="n"/>
      <c r="U600" s="84" t="n"/>
      <c r="V600" s="84" t="n"/>
      <c r="W600" s="84" t="n"/>
      <c r="X600" s="84" t="n"/>
      <c r="Y600" s="84" t="n"/>
      <c r="Z600" s="84" t="n"/>
      <c r="AA600" s="84" t="n"/>
      <c r="AB600" s="84" t="n"/>
      <c r="AC600" s="84" t="n"/>
      <c r="AD600" s="84" t="n"/>
    </row>
    <row r="601" ht="30" customHeight="1" s="176">
      <c r="A601" s="122" t="inlineStr">
        <is>
          <t>Talla Calzado MX – Mujer (con ancho)</t>
        </is>
      </c>
      <c r="B601" s="123" t="n">
        <v>26.5</v>
      </c>
      <c r="C601" s="123" t="inlineStr">
        <is>
          <t>9.5 WM</t>
        </is>
      </c>
      <c r="D601" s="122" t="inlineStr">
        <is>
          <t>Igual regla</t>
        </is>
      </c>
      <c r="E601" s="183" t="n"/>
      <c r="F601" s="84" t="n"/>
      <c r="G601" s="84" t="n"/>
      <c r="H601" s="84" t="n"/>
      <c r="I601" s="84" t="n"/>
      <c r="J601" s="84" t="n"/>
      <c r="K601" s="84" t="n"/>
      <c r="L601" s="84" t="n"/>
      <c r="M601" s="84" t="n"/>
      <c r="N601" s="84" t="n"/>
      <c r="O601" s="84" t="n"/>
      <c r="P601" s="84" t="n"/>
      <c r="Q601" s="84" t="n"/>
      <c r="R601" s="84" t="n"/>
      <c r="S601" s="84" t="n"/>
      <c r="T601" s="84" t="n"/>
      <c r="U601" s="84" t="n"/>
      <c r="V601" s="84" t="n"/>
      <c r="W601" s="84" t="n"/>
      <c r="X601" s="84" t="n"/>
      <c r="Y601" s="84" t="n"/>
      <c r="Z601" s="84" t="n"/>
      <c r="AA601" s="84" t="n"/>
      <c r="AB601" s="84" t="n"/>
      <c r="AC601" s="84" t="n"/>
      <c r="AD601" s="84" t="n"/>
    </row>
    <row r="602" ht="30" customHeight="1" s="176">
      <c r="A602" s="122" t="inlineStr">
        <is>
          <t>Talla Calzado MX – Mujer (con ancho)</t>
        </is>
      </c>
      <c r="B602" s="123" t="n">
        <v>26.5</v>
      </c>
      <c r="C602" s="123" t="inlineStr">
        <is>
          <t>9.5 WS</t>
        </is>
      </c>
      <c r="D602" s="122" t="inlineStr">
        <is>
          <t>Igual regla</t>
        </is>
      </c>
      <c r="E602" s="183" t="n"/>
      <c r="F602" s="84" t="n"/>
      <c r="G602" s="84" t="n"/>
      <c r="H602" s="84" t="n"/>
      <c r="I602" s="84" t="n"/>
      <c r="J602" s="84" t="n"/>
      <c r="K602" s="84" t="n"/>
      <c r="L602" s="84" t="n"/>
      <c r="M602" s="84" t="n"/>
      <c r="N602" s="84" t="n"/>
      <c r="O602" s="84" t="n"/>
      <c r="P602" s="84" t="n"/>
      <c r="Q602" s="84" t="n"/>
      <c r="R602" s="84" t="n"/>
      <c r="S602" s="84" t="n"/>
      <c r="T602" s="84" t="n"/>
      <c r="U602" s="84" t="n"/>
      <c r="V602" s="84" t="n"/>
      <c r="W602" s="84" t="n"/>
      <c r="X602" s="84" t="n"/>
      <c r="Y602" s="84" t="n"/>
      <c r="Z602" s="84" t="n"/>
      <c r="AA602" s="84" t="n"/>
      <c r="AB602" s="84" t="n"/>
      <c r="AC602" s="84" t="n"/>
      <c r="AD602" s="84" t="n"/>
    </row>
    <row r="603" ht="30" customHeight="1" s="176">
      <c r="A603" s="122" t="inlineStr">
        <is>
          <t>Talla Calzado MX – Mujer (con ancho)</t>
        </is>
      </c>
      <c r="B603" s="123" t="n">
        <v>26.5</v>
      </c>
      <c r="C603" s="123" t="inlineStr">
        <is>
          <t>9.5 WT</t>
        </is>
      </c>
      <c r="D603" s="122" t="inlineStr">
        <is>
          <t>Igual regla</t>
        </is>
      </c>
      <c r="E603" s="183" t="n"/>
      <c r="F603" s="84" t="n"/>
      <c r="G603" s="84" t="n"/>
      <c r="H603" s="84" t="n"/>
      <c r="I603" s="84" t="n"/>
      <c r="J603" s="84" t="n"/>
      <c r="K603" s="84" t="n"/>
      <c r="L603" s="84" t="n"/>
      <c r="M603" s="84" t="n"/>
      <c r="N603" s="84" t="n"/>
      <c r="O603" s="84" t="n"/>
      <c r="P603" s="84" t="n"/>
      <c r="Q603" s="84" t="n"/>
      <c r="R603" s="84" t="n"/>
      <c r="S603" s="84" t="n"/>
      <c r="T603" s="84" t="n"/>
      <c r="U603" s="84" t="n"/>
      <c r="V603" s="84" t="n"/>
      <c r="W603" s="84" t="n"/>
      <c r="X603" s="84" t="n"/>
      <c r="Y603" s="84" t="n"/>
      <c r="Z603" s="84" t="n"/>
      <c r="AA603" s="84" t="n"/>
      <c r="AB603" s="84" t="n"/>
      <c r="AC603" s="84" t="n"/>
      <c r="AD603" s="84" t="n"/>
    </row>
    <row r="604" ht="30" customHeight="1" s="176">
      <c r="A604" s="122" t="inlineStr">
        <is>
          <t>Talla Calzado MX – Mujer (con ancho)</t>
        </is>
      </c>
      <c r="B604" s="123" t="n">
        <v>26.5</v>
      </c>
      <c r="C604" s="123" t="inlineStr">
        <is>
          <t>9.5 XSM</t>
        </is>
      </c>
      <c r="D604" s="122" t="inlineStr">
        <is>
          <t>Igual regla</t>
        </is>
      </c>
      <c r="E604" s="183" t="n"/>
      <c r="F604" s="84" t="n"/>
      <c r="G604" s="84" t="n"/>
      <c r="H604" s="84" t="n"/>
      <c r="I604" s="84" t="n"/>
      <c r="J604" s="84" t="n"/>
      <c r="K604" s="84" t="n"/>
      <c r="L604" s="84" t="n"/>
      <c r="M604" s="84" t="n"/>
      <c r="N604" s="84" t="n"/>
      <c r="O604" s="84" t="n"/>
      <c r="P604" s="84" t="n"/>
      <c r="Q604" s="84" t="n"/>
      <c r="R604" s="84" t="n"/>
      <c r="S604" s="84" t="n"/>
      <c r="T604" s="84" t="n"/>
      <c r="U604" s="84" t="n"/>
      <c r="V604" s="84" t="n"/>
      <c r="W604" s="84" t="n"/>
      <c r="X604" s="84" t="n"/>
      <c r="Y604" s="84" t="n"/>
      <c r="Z604" s="84" t="n"/>
      <c r="AA604" s="84" t="n"/>
      <c r="AB604" s="84" t="n"/>
      <c r="AC604" s="84" t="n"/>
      <c r="AD604" s="84" t="n"/>
    </row>
    <row r="605" ht="30" customHeight="1" s="176">
      <c r="A605" s="122" t="inlineStr">
        <is>
          <t>Talla Calzado MX – Mujer (con ancho)</t>
        </is>
      </c>
      <c r="B605" s="123" t="n">
        <v>26.5</v>
      </c>
      <c r="C605" s="123" t="inlineStr">
        <is>
          <t>9.5 XST</t>
        </is>
      </c>
      <c r="D605" s="122" t="inlineStr">
        <is>
          <t>Igual regla</t>
        </is>
      </c>
      <c r="E605" s="183" t="n"/>
      <c r="F605" s="84" t="n"/>
      <c r="G605" s="84" t="n"/>
      <c r="H605" s="84" t="n"/>
      <c r="I605" s="84" t="n"/>
      <c r="J605" s="84" t="n"/>
      <c r="K605" s="84" t="n"/>
      <c r="L605" s="84" t="n"/>
      <c r="M605" s="84" t="n"/>
      <c r="N605" s="84" t="n"/>
      <c r="O605" s="84" t="n"/>
      <c r="P605" s="84" t="n"/>
      <c r="Q605" s="84" t="n"/>
      <c r="R605" s="84" t="n"/>
      <c r="S605" s="84" t="n"/>
      <c r="T605" s="84" t="n"/>
      <c r="U605" s="84" t="n"/>
      <c r="V605" s="84" t="n"/>
      <c r="W605" s="84" t="n"/>
      <c r="X605" s="84" t="n"/>
      <c r="Y605" s="84" t="n"/>
      <c r="Z605" s="84" t="n"/>
      <c r="AA605" s="84" t="n"/>
      <c r="AB605" s="84" t="n"/>
      <c r="AC605" s="84" t="n"/>
      <c r="AD605" s="84" t="n"/>
    </row>
    <row r="606" ht="30" customHeight="1" s="176">
      <c r="A606" s="122" t="inlineStr">
        <is>
          <t>Talla Calzado MX – Mujer (con ancho)</t>
        </is>
      </c>
      <c r="B606" s="123" t="n">
        <v>26.5</v>
      </c>
      <c r="C606" s="123" t="inlineStr">
        <is>
          <t>9.5 XWM</t>
        </is>
      </c>
      <c r="D606" s="122" t="inlineStr">
        <is>
          <t>Igual regla</t>
        </is>
      </c>
      <c r="E606" s="183" t="n"/>
      <c r="F606" s="84" t="n"/>
      <c r="G606" s="84" t="n"/>
      <c r="H606" s="84" t="n"/>
      <c r="I606" s="84" t="n"/>
      <c r="J606" s="84" t="n"/>
      <c r="K606" s="84" t="n"/>
      <c r="L606" s="84" t="n"/>
      <c r="M606" s="84" t="n"/>
      <c r="N606" s="84" t="n"/>
      <c r="O606" s="84" t="n"/>
      <c r="P606" s="84" t="n"/>
      <c r="Q606" s="84" t="n"/>
      <c r="R606" s="84" t="n"/>
      <c r="S606" s="84" t="n"/>
      <c r="T606" s="84" t="n"/>
      <c r="U606" s="84" t="n"/>
      <c r="V606" s="84" t="n"/>
      <c r="W606" s="84" t="n"/>
      <c r="X606" s="84" t="n"/>
      <c r="Y606" s="84" t="n"/>
      <c r="Z606" s="84" t="n"/>
      <c r="AA606" s="84" t="n"/>
      <c r="AB606" s="84" t="n"/>
      <c r="AC606" s="84" t="n"/>
      <c r="AD606" s="84" t="n"/>
    </row>
    <row r="607" ht="30" customHeight="1" s="176">
      <c r="A607" s="122" t="inlineStr">
        <is>
          <t>Talla Calzado MX – Mujer (con ancho)</t>
        </is>
      </c>
      <c r="B607" s="123" t="n">
        <v>27</v>
      </c>
      <c r="C607" s="123" t="inlineStr">
        <is>
          <t>10 B</t>
        </is>
      </c>
      <c r="D607" s="122" t="inlineStr">
        <is>
          <t>Igual regla</t>
        </is>
      </c>
      <c r="E607" s="183" t="n"/>
      <c r="F607" s="84" t="n"/>
      <c r="G607" s="84" t="n"/>
      <c r="H607" s="84" t="n"/>
      <c r="I607" s="84" t="n"/>
      <c r="J607" s="84" t="n"/>
      <c r="K607" s="84" t="n"/>
      <c r="L607" s="84" t="n"/>
      <c r="M607" s="84" t="n"/>
      <c r="N607" s="84" t="n"/>
      <c r="O607" s="84" t="n"/>
      <c r="P607" s="84" t="n"/>
      <c r="Q607" s="84" t="n"/>
      <c r="R607" s="84" t="n"/>
      <c r="S607" s="84" t="n"/>
      <c r="T607" s="84" t="n"/>
      <c r="U607" s="84" t="n"/>
      <c r="V607" s="84" t="n"/>
      <c r="W607" s="84" t="n"/>
      <c r="X607" s="84" t="n"/>
      <c r="Y607" s="84" t="n"/>
      <c r="Z607" s="84" t="n"/>
      <c r="AA607" s="84" t="n"/>
      <c r="AB607" s="84" t="n"/>
      <c r="AC607" s="84" t="n"/>
      <c r="AD607" s="84" t="n"/>
    </row>
    <row r="608" ht="30" customHeight="1" s="176">
      <c r="A608" s="122" t="inlineStr">
        <is>
          <t>Talla Calzado MX – Mujer (con ancho)</t>
        </is>
      </c>
      <c r="B608" s="123" t="n">
        <v>27</v>
      </c>
      <c r="C608" s="123" t="inlineStr">
        <is>
          <t>10 C</t>
        </is>
      </c>
      <c r="D608" s="122" t="inlineStr">
        <is>
          <t>Igual regla</t>
        </is>
      </c>
      <c r="E608" s="183" t="n"/>
      <c r="F608" s="84" t="n"/>
      <c r="G608" s="84" t="n"/>
      <c r="H608" s="84" t="n"/>
      <c r="I608" s="84" t="n"/>
      <c r="J608" s="84" t="n"/>
      <c r="K608" s="84" t="n"/>
      <c r="L608" s="84" t="n"/>
      <c r="M608" s="84" t="n"/>
      <c r="N608" s="84" t="n"/>
      <c r="O608" s="84" t="n"/>
      <c r="P608" s="84" t="n"/>
      <c r="Q608" s="84" t="n"/>
      <c r="R608" s="84" t="n"/>
      <c r="S608" s="84" t="n"/>
      <c r="T608" s="84" t="n"/>
      <c r="U608" s="84" t="n"/>
      <c r="V608" s="84" t="n"/>
      <c r="W608" s="84" t="n"/>
      <c r="X608" s="84" t="n"/>
      <c r="Y608" s="84" t="n"/>
      <c r="Z608" s="84" t="n"/>
      <c r="AA608" s="84" t="n"/>
      <c r="AB608" s="84" t="n"/>
      <c r="AC608" s="84" t="n"/>
      <c r="AD608" s="84" t="n"/>
    </row>
    <row r="609" ht="30" customHeight="1" s="176">
      <c r="A609" s="122" t="inlineStr">
        <is>
          <t>Talla Calzado MX – Mujer (con ancho)</t>
        </is>
      </c>
      <c r="B609" s="123" t="n">
        <v>27</v>
      </c>
      <c r="C609" s="123" t="inlineStr">
        <is>
          <t>10 FM</t>
        </is>
      </c>
      <c r="D609" s="122" t="inlineStr">
        <is>
          <t>Igual regla</t>
        </is>
      </c>
      <c r="E609" s="183" t="n"/>
      <c r="F609" s="84" t="n"/>
      <c r="G609" s="84" t="n"/>
      <c r="H609" s="84" t="n"/>
      <c r="I609" s="84" t="n"/>
      <c r="J609" s="84" t="n"/>
      <c r="K609" s="84" t="n"/>
      <c r="L609" s="84" t="n"/>
      <c r="M609" s="84" t="n"/>
      <c r="N609" s="84" t="n"/>
      <c r="O609" s="84" t="n"/>
      <c r="P609" s="84" t="n"/>
      <c r="Q609" s="84" t="n"/>
      <c r="R609" s="84" t="n"/>
      <c r="S609" s="84" t="n"/>
      <c r="T609" s="84" t="n"/>
      <c r="U609" s="84" t="n"/>
      <c r="V609" s="84" t="n"/>
      <c r="W609" s="84" t="n"/>
      <c r="X609" s="84" t="n"/>
      <c r="Y609" s="84" t="n"/>
      <c r="Z609" s="84" t="n"/>
      <c r="AA609" s="84" t="n"/>
      <c r="AB609" s="84" t="n"/>
      <c r="AC609" s="84" t="n"/>
      <c r="AD609" s="84" t="n"/>
    </row>
    <row r="610" ht="30" customHeight="1" s="176">
      <c r="A610" s="122" t="inlineStr">
        <is>
          <t>Talla Calzado MX – Mujer (con ancho)</t>
        </is>
      </c>
      <c r="B610" s="123" t="n">
        <v>27</v>
      </c>
      <c r="C610" s="123" t="inlineStr">
        <is>
          <t>10 FT</t>
        </is>
      </c>
      <c r="D610" s="122" t="inlineStr">
        <is>
          <t>Igual regla</t>
        </is>
      </c>
      <c r="E610" s="183" t="n"/>
      <c r="F610" s="84" t="n"/>
      <c r="G610" s="84" t="n"/>
      <c r="H610" s="84" t="n"/>
      <c r="I610" s="84" t="n"/>
      <c r="J610" s="84" t="n"/>
      <c r="K610" s="84" t="n"/>
      <c r="L610" s="84" t="n"/>
      <c r="M610" s="84" t="n"/>
      <c r="N610" s="84" t="n"/>
      <c r="O610" s="84" t="n"/>
      <c r="P610" s="84" t="n"/>
      <c r="Q610" s="84" t="n"/>
      <c r="R610" s="84" t="n"/>
      <c r="S610" s="84" t="n"/>
      <c r="T610" s="84" t="n"/>
      <c r="U610" s="84" t="n"/>
      <c r="V610" s="84" t="n"/>
      <c r="W610" s="84" t="n"/>
      <c r="X610" s="84" t="n"/>
      <c r="Y610" s="84" t="n"/>
      <c r="Z610" s="84" t="n"/>
      <c r="AA610" s="84" t="n"/>
      <c r="AB610" s="84" t="n"/>
      <c r="AC610" s="84" t="n"/>
      <c r="AD610" s="84" t="n"/>
    </row>
    <row r="611" ht="30" customHeight="1" s="176">
      <c r="A611" s="122" t="inlineStr">
        <is>
          <t>Talla Calzado MX – Mujer (con ancho)</t>
        </is>
      </c>
      <c r="B611" s="123" t="n">
        <v>27</v>
      </c>
      <c r="C611" s="123" t="inlineStr">
        <is>
          <t>10 RM</t>
        </is>
      </c>
      <c r="D611" s="122" t="inlineStr">
        <is>
          <t>Igual regla</t>
        </is>
      </c>
      <c r="E611" s="183" t="n"/>
      <c r="F611" s="84" t="n"/>
      <c r="G611" s="84" t="n"/>
      <c r="H611" s="84" t="n"/>
      <c r="I611" s="84" t="n"/>
      <c r="J611" s="84" t="n"/>
      <c r="K611" s="84" t="n"/>
      <c r="L611" s="84" t="n"/>
      <c r="M611" s="84" t="n"/>
      <c r="N611" s="84" t="n"/>
      <c r="O611" s="84" t="n"/>
      <c r="P611" s="84" t="n"/>
      <c r="Q611" s="84" t="n"/>
      <c r="R611" s="84" t="n"/>
      <c r="S611" s="84" t="n"/>
      <c r="T611" s="84" t="n"/>
      <c r="U611" s="84" t="n"/>
      <c r="V611" s="84" t="n"/>
      <c r="W611" s="84" t="n"/>
      <c r="X611" s="84" t="n"/>
      <c r="Y611" s="84" t="n"/>
      <c r="Z611" s="84" t="n"/>
      <c r="AA611" s="84" t="n"/>
      <c r="AB611" s="84" t="n"/>
      <c r="AC611" s="84" t="n"/>
      <c r="AD611" s="84" t="n"/>
    </row>
    <row r="612" ht="30" customHeight="1" s="176">
      <c r="A612" s="122" t="inlineStr">
        <is>
          <t>Talla Calzado MX – Mujer (con ancho)</t>
        </is>
      </c>
      <c r="B612" s="123" t="n">
        <v>27</v>
      </c>
      <c r="C612" s="123" t="inlineStr">
        <is>
          <t>10 RS</t>
        </is>
      </c>
      <c r="D612" s="122" t="inlineStr">
        <is>
          <t>Igual regla</t>
        </is>
      </c>
      <c r="E612" s="183" t="n"/>
      <c r="F612" s="84" t="n"/>
      <c r="G612" s="84" t="n"/>
      <c r="H612" s="84" t="n"/>
      <c r="I612" s="84" t="n"/>
      <c r="J612" s="84" t="n"/>
      <c r="K612" s="84" t="n"/>
      <c r="L612" s="84" t="n"/>
      <c r="M612" s="84" t="n"/>
      <c r="N612" s="84" t="n"/>
      <c r="O612" s="84" t="n"/>
      <c r="P612" s="84" t="n"/>
      <c r="Q612" s="84" t="n"/>
      <c r="R612" s="84" t="n"/>
      <c r="S612" s="84" t="n"/>
      <c r="T612" s="84" t="n"/>
      <c r="U612" s="84" t="n"/>
      <c r="V612" s="84" t="n"/>
      <c r="W612" s="84" t="n"/>
      <c r="X612" s="84" t="n"/>
      <c r="Y612" s="84" t="n"/>
      <c r="Z612" s="84" t="n"/>
      <c r="AA612" s="84" t="n"/>
      <c r="AB612" s="84" t="n"/>
      <c r="AC612" s="84" t="n"/>
      <c r="AD612" s="84" t="n"/>
    </row>
    <row r="613" ht="30" customHeight="1" s="176">
      <c r="A613" s="122" t="inlineStr">
        <is>
          <t>Talla Calzado MX – Mujer (con ancho)</t>
        </is>
      </c>
      <c r="B613" s="123" t="n">
        <v>27</v>
      </c>
      <c r="C613" s="123" t="inlineStr">
        <is>
          <t>10 RT</t>
        </is>
      </c>
      <c r="D613" s="122" t="inlineStr">
        <is>
          <t>Igual regla</t>
        </is>
      </c>
      <c r="E613" s="183" t="n"/>
      <c r="F613" s="84" t="n"/>
      <c r="G613" s="84" t="n"/>
      <c r="H613" s="84" t="n"/>
      <c r="I613" s="84" t="n"/>
      <c r="J613" s="84" t="n"/>
      <c r="K613" s="84" t="n"/>
      <c r="L613" s="84" t="n"/>
      <c r="M613" s="84" t="n"/>
      <c r="N613" s="84" t="n"/>
      <c r="O613" s="84" t="n"/>
      <c r="P613" s="84" t="n"/>
      <c r="Q613" s="84" t="n"/>
      <c r="R613" s="84" t="n"/>
      <c r="S613" s="84" t="n"/>
      <c r="T613" s="84" t="n"/>
      <c r="U613" s="84" t="n"/>
      <c r="V613" s="84" t="n"/>
      <c r="W613" s="84" t="n"/>
      <c r="X613" s="84" t="n"/>
      <c r="Y613" s="84" t="n"/>
      <c r="Z613" s="84" t="n"/>
      <c r="AA613" s="84" t="n"/>
      <c r="AB613" s="84" t="n"/>
      <c r="AC613" s="84" t="n"/>
      <c r="AD613" s="84" t="n"/>
    </row>
    <row r="614" ht="30" customHeight="1" s="176">
      <c r="A614" s="122" t="inlineStr">
        <is>
          <t>Talla Calzado MX – Mujer (con ancho)</t>
        </is>
      </c>
      <c r="B614" s="123" t="n">
        <v>27</v>
      </c>
      <c r="C614" s="123" t="inlineStr">
        <is>
          <t>10 SM</t>
        </is>
      </c>
      <c r="D614" s="122" t="inlineStr">
        <is>
          <t>Igual regla</t>
        </is>
      </c>
      <c r="E614" s="183" t="n"/>
      <c r="F614" s="84" t="n"/>
      <c r="G614" s="84" t="n"/>
      <c r="H614" s="84" t="n"/>
      <c r="I614" s="84" t="n"/>
      <c r="J614" s="84" t="n"/>
      <c r="K614" s="84" t="n"/>
      <c r="L614" s="84" t="n"/>
      <c r="M614" s="84" t="n"/>
      <c r="N614" s="84" t="n"/>
      <c r="O614" s="84" t="n"/>
      <c r="P614" s="84" t="n"/>
      <c r="Q614" s="84" t="n"/>
      <c r="R614" s="84" t="n"/>
      <c r="S614" s="84" t="n"/>
      <c r="T614" s="84" t="n"/>
      <c r="U614" s="84" t="n"/>
      <c r="V614" s="84" t="n"/>
      <c r="W614" s="84" t="n"/>
      <c r="X614" s="84" t="n"/>
      <c r="Y614" s="84" t="n"/>
      <c r="Z614" s="84" t="n"/>
      <c r="AA614" s="84" t="n"/>
      <c r="AB614" s="84" t="n"/>
      <c r="AC614" s="84" t="n"/>
      <c r="AD614" s="84" t="n"/>
    </row>
    <row r="615" ht="30" customHeight="1" s="176">
      <c r="A615" s="122" t="inlineStr">
        <is>
          <t>Talla Calzado MX – Mujer (con ancho)</t>
        </is>
      </c>
      <c r="B615" s="123" t="n">
        <v>27</v>
      </c>
      <c r="C615" s="123" t="inlineStr">
        <is>
          <t>10 ST</t>
        </is>
      </c>
      <c r="D615" s="122" t="inlineStr">
        <is>
          <t>Igual regla</t>
        </is>
      </c>
      <c r="E615" s="183" t="n"/>
      <c r="F615" s="84" t="n"/>
      <c r="G615" s="84" t="n"/>
      <c r="H615" s="84" t="n"/>
      <c r="I615" s="84" t="n"/>
      <c r="J615" s="84" t="n"/>
      <c r="K615" s="84" t="n"/>
      <c r="L615" s="84" t="n"/>
      <c r="M615" s="84" t="n"/>
      <c r="N615" s="84" t="n"/>
      <c r="O615" s="84" t="n"/>
      <c r="P615" s="84" t="n"/>
      <c r="Q615" s="84" t="n"/>
      <c r="R615" s="84" t="n"/>
      <c r="S615" s="84" t="n"/>
      <c r="T615" s="84" t="n"/>
      <c r="U615" s="84" t="n"/>
      <c r="V615" s="84" t="n"/>
      <c r="W615" s="84" t="n"/>
      <c r="X615" s="84" t="n"/>
      <c r="Y615" s="84" t="n"/>
      <c r="Z615" s="84" t="n"/>
      <c r="AA615" s="84" t="n"/>
      <c r="AB615" s="84" t="n"/>
      <c r="AC615" s="84" t="n"/>
      <c r="AD615" s="84" t="n"/>
    </row>
    <row r="616" ht="30" customHeight="1" s="176">
      <c r="A616" s="122" t="inlineStr">
        <is>
          <t>Talla Calzado MX – Mujer (con ancho)</t>
        </is>
      </c>
      <c r="B616" s="123" t="n">
        <v>27</v>
      </c>
      <c r="C616" s="123" t="inlineStr">
        <is>
          <t>10 WM</t>
        </is>
      </c>
      <c r="D616" s="122" t="inlineStr">
        <is>
          <t>Igual regla</t>
        </is>
      </c>
      <c r="E616" s="183" t="n"/>
      <c r="F616" s="84" t="n"/>
      <c r="G616" s="84" t="n"/>
      <c r="H616" s="84" t="n"/>
      <c r="I616" s="84" t="n"/>
      <c r="J616" s="84" t="n"/>
      <c r="K616" s="84" t="n"/>
      <c r="L616" s="84" t="n"/>
      <c r="M616" s="84" t="n"/>
      <c r="N616" s="84" t="n"/>
      <c r="O616" s="84" t="n"/>
      <c r="P616" s="84" t="n"/>
      <c r="Q616" s="84" t="n"/>
      <c r="R616" s="84" t="n"/>
      <c r="S616" s="84" t="n"/>
      <c r="T616" s="84" t="n"/>
      <c r="U616" s="84" t="n"/>
      <c r="V616" s="84" t="n"/>
      <c r="W616" s="84" t="n"/>
      <c r="X616" s="84" t="n"/>
      <c r="Y616" s="84" t="n"/>
      <c r="Z616" s="84" t="n"/>
      <c r="AA616" s="84" t="n"/>
      <c r="AB616" s="84" t="n"/>
      <c r="AC616" s="84" t="n"/>
      <c r="AD616" s="84" t="n"/>
    </row>
    <row r="617" ht="30" customHeight="1" s="176">
      <c r="A617" s="122" t="inlineStr">
        <is>
          <t>Talla Calzado MX – Mujer (con ancho)</t>
        </is>
      </c>
      <c r="B617" s="123" t="n">
        <v>27</v>
      </c>
      <c r="C617" s="123" t="inlineStr">
        <is>
          <t>10 WT</t>
        </is>
      </c>
      <c r="D617" s="122" t="inlineStr">
        <is>
          <t>Igual regla</t>
        </is>
      </c>
      <c r="E617" s="183" t="n"/>
      <c r="F617" s="84" t="n"/>
      <c r="G617" s="84" t="n"/>
      <c r="H617" s="84" t="n"/>
      <c r="I617" s="84" t="n"/>
      <c r="J617" s="84" t="n"/>
      <c r="K617" s="84" t="n"/>
      <c r="L617" s="84" t="n"/>
      <c r="M617" s="84" t="n"/>
      <c r="N617" s="84" t="n"/>
      <c r="O617" s="84" t="n"/>
      <c r="P617" s="84" t="n"/>
      <c r="Q617" s="84" t="n"/>
      <c r="R617" s="84" t="n"/>
      <c r="S617" s="84" t="n"/>
      <c r="T617" s="84" t="n"/>
      <c r="U617" s="84" t="n"/>
      <c r="V617" s="84" t="n"/>
      <c r="W617" s="84" t="n"/>
      <c r="X617" s="84" t="n"/>
      <c r="Y617" s="84" t="n"/>
      <c r="Z617" s="84" t="n"/>
      <c r="AA617" s="84" t="n"/>
      <c r="AB617" s="84" t="n"/>
      <c r="AC617" s="84" t="n"/>
      <c r="AD617" s="84" t="n"/>
    </row>
    <row r="618" ht="30" customHeight="1" s="176">
      <c r="A618" s="122" t="inlineStr">
        <is>
          <t>Talla Calzado MX – Mujer (con ancho)</t>
        </is>
      </c>
      <c r="B618" s="123" t="n">
        <v>27</v>
      </c>
      <c r="C618" s="123" t="inlineStr">
        <is>
          <t>10 XST</t>
        </is>
      </c>
      <c r="D618" s="122" t="inlineStr">
        <is>
          <t>Igual regla</t>
        </is>
      </c>
      <c r="E618" s="183" t="n"/>
      <c r="F618" s="84" t="n"/>
      <c r="G618" s="84" t="n"/>
      <c r="H618" s="84" t="n"/>
      <c r="I618" s="84" t="n"/>
      <c r="J618" s="84" t="n"/>
      <c r="K618" s="84" t="n"/>
      <c r="L618" s="84" t="n"/>
      <c r="M618" s="84" t="n"/>
      <c r="N618" s="84" t="n"/>
      <c r="O618" s="84" t="n"/>
      <c r="P618" s="84" t="n"/>
      <c r="Q618" s="84" t="n"/>
      <c r="R618" s="84" t="n"/>
      <c r="S618" s="84" t="n"/>
      <c r="T618" s="84" t="n"/>
      <c r="U618" s="84" t="n"/>
      <c r="V618" s="84" t="n"/>
      <c r="W618" s="84" t="n"/>
      <c r="X618" s="84" t="n"/>
      <c r="Y618" s="84" t="n"/>
      <c r="Z618" s="84" t="n"/>
      <c r="AA618" s="84" t="n"/>
      <c r="AB618" s="84" t="n"/>
      <c r="AC618" s="84" t="n"/>
      <c r="AD618" s="84" t="n"/>
    </row>
    <row r="619" ht="30" customHeight="1" s="176">
      <c r="A619" s="122" t="inlineStr">
        <is>
          <t>Talla Calzado MX – Mujer (con ancho)</t>
        </is>
      </c>
      <c r="B619" s="123" t="n">
        <v>27</v>
      </c>
      <c r="C619" s="123" t="inlineStr">
        <is>
          <t>10 XWM</t>
        </is>
      </c>
      <c r="D619" s="122" t="inlineStr">
        <is>
          <t>Igual regla</t>
        </is>
      </c>
      <c r="E619" s="183" t="n"/>
      <c r="F619" s="84" t="n"/>
      <c r="G619" s="84" t="n"/>
      <c r="H619" s="84" t="n"/>
      <c r="I619" s="84" t="n"/>
      <c r="J619" s="84" t="n"/>
      <c r="K619" s="84" t="n"/>
      <c r="L619" s="84" t="n"/>
      <c r="M619" s="84" t="n"/>
      <c r="N619" s="84" t="n"/>
      <c r="O619" s="84" t="n"/>
      <c r="P619" s="84" t="n"/>
      <c r="Q619" s="84" t="n"/>
      <c r="R619" s="84" t="n"/>
      <c r="S619" s="84" t="n"/>
      <c r="T619" s="84" t="n"/>
      <c r="U619" s="84" t="n"/>
      <c r="V619" s="84" t="n"/>
      <c r="W619" s="84" t="n"/>
      <c r="X619" s="84" t="n"/>
      <c r="Y619" s="84" t="n"/>
      <c r="Z619" s="84" t="n"/>
      <c r="AA619" s="84" t="n"/>
      <c r="AB619" s="84" t="n"/>
      <c r="AC619" s="84" t="n"/>
      <c r="AD619" s="84" t="n"/>
    </row>
    <row r="620" ht="30" customHeight="1" s="176">
      <c r="A620" s="122" t="inlineStr">
        <is>
          <t>Talla Calzado MX – Mujer (con ancho)</t>
        </is>
      </c>
      <c r="B620" s="123" t="n">
        <v>27.5</v>
      </c>
      <c r="C620" s="123" t="inlineStr">
        <is>
          <t>10.5 B</t>
        </is>
      </c>
      <c r="D620" s="122" t="inlineStr">
        <is>
          <t>Igual regla</t>
        </is>
      </c>
      <c r="E620" s="183" t="n"/>
      <c r="F620" s="84" t="n"/>
      <c r="G620" s="84" t="n"/>
      <c r="H620" s="84" t="n"/>
      <c r="I620" s="84" t="n"/>
      <c r="J620" s="84" t="n"/>
      <c r="K620" s="84" t="n"/>
      <c r="L620" s="84" t="n"/>
      <c r="M620" s="84" t="n"/>
      <c r="N620" s="84" t="n"/>
      <c r="O620" s="84" t="n"/>
      <c r="P620" s="84" t="n"/>
      <c r="Q620" s="84" t="n"/>
      <c r="R620" s="84" t="n"/>
      <c r="S620" s="84" t="n"/>
      <c r="T620" s="84" t="n"/>
      <c r="U620" s="84" t="n"/>
      <c r="V620" s="84" t="n"/>
      <c r="W620" s="84" t="n"/>
      <c r="X620" s="84" t="n"/>
      <c r="Y620" s="84" t="n"/>
      <c r="Z620" s="84" t="n"/>
      <c r="AA620" s="84" t="n"/>
      <c r="AB620" s="84" t="n"/>
      <c r="AC620" s="84" t="n"/>
      <c r="AD620" s="84" t="n"/>
    </row>
    <row r="621" ht="30" customHeight="1" s="176">
      <c r="A621" s="122" t="inlineStr">
        <is>
          <t>Talla Calzado MX – Mujer (con ancho)</t>
        </is>
      </c>
      <c r="B621" s="123" t="n">
        <v>28</v>
      </c>
      <c r="C621" s="123" t="inlineStr">
        <is>
          <t>11 B</t>
        </is>
      </c>
      <c r="D621" s="122" t="inlineStr">
        <is>
          <t>Igual regla</t>
        </is>
      </c>
      <c r="E621" s="183" t="n"/>
      <c r="F621" s="84" t="n"/>
      <c r="G621" s="84" t="n"/>
      <c r="H621" s="84" t="n"/>
      <c r="I621" s="84" t="n"/>
      <c r="J621" s="84" t="n"/>
      <c r="K621" s="84" t="n"/>
      <c r="L621" s="84" t="n"/>
      <c r="M621" s="84" t="n"/>
      <c r="N621" s="84" t="n"/>
      <c r="O621" s="84" t="n"/>
      <c r="P621" s="84" t="n"/>
      <c r="Q621" s="84" t="n"/>
      <c r="R621" s="84" t="n"/>
      <c r="S621" s="84" t="n"/>
      <c r="T621" s="84" t="n"/>
      <c r="U621" s="84" t="n"/>
      <c r="V621" s="84" t="n"/>
      <c r="W621" s="84" t="n"/>
      <c r="X621" s="84" t="n"/>
      <c r="Y621" s="84" t="n"/>
      <c r="Z621" s="84" t="n"/>
      <c r="AA621" s="84" t="n"/>
      <c r="AB621" s="84" t="n"/>
      <c r="AC621" s="84" t="n"/>
      <c r="AD621" s="84" t="n"/>
    </row>
    <row r="622" ht="30" customHeight="1" s="176">
      <c r="A622" s="122" t="inlineStr">
        <is>
          <t>Talla Calzado MX – Mujer (con ancho)</t>
        </is>
      </c>
      <c r="B622" s="123" t="n">
        <v>28</v>
      </c>
      <c r="C622" s="123" t="inlineStr">
        <is>
          <t>11 C</t>
        </is>
      </c>
      <c r="D622" s="122" t="inlineStr">
        <is>
          <t>Igual regla</t>
        </is>
      </c>
      <c r="E622" s="183" t="n"/>
      <c r="F622" s="84" t="n"/>
      <c r="G622" s="84" t="n"/>
      <c r="H622" s="84" t="n"/>
      <c r="I622" s="84" t="n"/>
      <c r="J622" s="84" t="n"/>
      <c r="K622" s="84" t="n"/>
      <c r="L622" s="84" t="n"/>
      <c r="M622" s="84" t="n"/>
      <c r="N622" s="84" t="n"/>
      <c r="O622" s="84" t="n"/>
      <c r="P622" s="84" t="n"/>
      <c r="Q622" s="84" t="n"/>
      <c r="R622" s="84" t="n"/>
      <c r="S622" s="84" t="n"/>
      <c r="T622" s="84" t="n"/>
      <c r="U622" s="84" t="n"/>
      <c r="V622" s="84" t="n"/>
      <c r="W622" s="84" t="n"/>
      <c r="X622" s="84" t="n"/>
      <c r="Y622" s="84" t="n"/>
      <c r="Z622" s="84" t="n"/>
      <c r="AA622" s="84" t="n"/>
      <c r="AB622" s="84" t="n"/>
      <c r="AC622" s="84" t="n"/>
      <c r="AD622" s="84" t="n"/>
    </row>
    <row r="623" ht="30" customHeight="1" s="176">
      <c r="A623" s="122" t="inlineStr">
        <is>
          <t>Talla Calzado MX – Mujer (con ancho)</t>
        </is>
      </c>
      <c r="B623" s="123" t="n">
        <v>28</v>
      </c>
      <c r="C623" s="123" t="inlineStr">
        <is>
          <t>11 FM</t>
        </is>
      </c>
      <c r="D623" s="122" t="inlineStr">
        <is>
          <t>Igual regla</t>
        </is>
      </c>
      <c r="E623" s="183" t="n"/>
      <c r="F623" s="84" t="n"/>
      <c r="G623" s="84" t="n"/>
      <c r="H623" s="84" t="n"/>
      <c r="I623" s="84" t="n"/>
      <c r="J623" s="84" t="n"/>
      <c r="K623" s="84" t="n"/>
      <c r="L623" s="84" t="n"/>
      <c r="M623" s="84" t="n"/>
      <c r="N623" s="84" t="n"/>
      <c r="O623" s="84" t="n"/>
      <c r="P623" s="84" t="n"/>
      <c r="Q623" s="84" t="n"/>
      <c r="R623" s="84" t="n"/>
      <c r="S623" s="84" t="n"/>
      <c r="T623" s="84" t="n"/>
      <c r="U623" s="84" t="n"/>
      <c r="V623" s="84" t="n"/>
      <c r="W623" s="84" t="n"/>
      <c r="X623" s="84" t="n"/>
      <c r="Y623" s="84" t="n"/>
      <c r="Z623" s="84" t="n"/>
      <c r="AA623" s="84" t="n"/>
      <c r="AB623" s="84" t="n"/>
      <c r="AC623" s="84" t="n"/>
      <c r="AD623" s="84" t="n"/>
    </row>
    <row r="624" ht="30" customHeight="1" s="176">
      <c r="A624" s="122" t="inlineStr">
        <is>
          <t>Talla Calzado MX – Mujer (con ancho)</t>
        </is>
      </c>
      <c r="B624" s="123" t="n">
        <v>28</v>
      </c>
      <c r="C624" s="123" t="inlineStr">
        <is>
          <t>11 FT</t>
        </is>
      </c>
      <c r="D624" s="122" t="inlineStr">
        <is>
          <t>Igual regla</t>
        </is>
      </c>
      <c r="E624" s="183" t="n"/>
      <c r="F624" s="84" t="n"/>
      <c r="G624" s="84" t="n"/>
      <c r="H624" s="84" t="n"/>
      <c r="I624" s="84" t="n"/>
      <c r="J624" s="84" t="n"/>
      <c r="K624" s="84" t="n"/>
      <c r="L624" s="84" t="n"/>
      <c r="M624" s="84" t="n"/>
      <c r="N624" s="84" t="n"/>
      <c r="O624" s="84" t="n"/>
      <c r="P624" s="84" t="n"/>
      <c r="Q624" s="84" t="n"/>
      <c r="R624" s="84" t="n"/>
      <c r="S624" s="84" t="n"/>
      <c r="T624" s="84" t="n"/>
      <c r="U624" s="84" t="n"/>
      <c r="V624" s="84" t="n"/>
      <c r="W624" s="84" t="n"/>
      <c r="X624" s="84" t="n"/>
      <c r="Y624" s="84" t="n"/>
      <c r="Z624" s="84" t="n"/>
      <c r="AA624" s="84" t="n"/>
      <c r="AB624" s="84" t="n"/>
      <c r="AC624" s="84" t="n"/>
      <c r="AD624" s="84" t="n"/>
    </row>
    <row r="625" ht="30" customHeight="1" s="176">
      <c r="A625" s="122" t="inlineStr">
        <is>
          <t>Talla Calzado MX – Mujer (con ancho)</t>
        </is>
      </c>
      <c r="B625" s="123" t="n">
        <v>28</v>
      </c>
      <c r="C625" s="123" t="inlineStr">
        <is>
          <t>11 RM</t>
        </is>
      </c>
      <c r="D625" s="122" t="inlineStr">
        <is>
          <t>Igual regla</t>
        </is>
      </c>
      <c r="E625" s="183" t="n"/>
      <c r="F625" s="84" t="n"/>
      <c r="G625" s="84" t="n"/>
      <c r="H625" s="84" t="n"/>
      <c r="I625" s="84" t="n"/>
      <c r="J625" s="84" t="n"/>
      <c r="K625" s="84" t="n"/>
      <c r="L625" s="84" t="n"/>
      <c r="M625" s="84" t="n"/>
      <c r="N625" s="84" t="n"/>
      <c r="O625" s="84" t="n"/>
      <c r="P625" s="84" t="n"/>
      <c r="Q625" s="84" t="n"/>
      <c r="R625" s="84" t="n"/>
      <c r="S625" s="84" t="n"/>
      <c r="T625" s="84" t="n"/>
      <c r="U625" s="84" t="n"/>
      <c r="V625" s="84" t="n"/>
      <c r="W625" s="84" t="n"/>
      <c r="X625" s="84" t="n"/>
      <c r="Y625" s="84" t="n"/>
      <c r="Z625" s="84" t="n"/>
      <c r="AA625" s="84" t="n"/>
      <c r="AB625" s="84" t="n"/>
      <c r="AC625" s="84" t="n"/>
      <c r="AD625" s="84" t="n"/>
    </row>
    <row r="626" ht="30" customHeight="1" s="176">
      <c r="A626" s="122" t="inlineStr">
        <is>
          <t>Talla Calzado MX – Mujer (con ancho)</t>
        </is>
      </c>
      <c r="B626" s="123" t="n">
        <v>28</v>
      </c>
      <c r="C626" s="123" t="inlineStr">
        <is>
          <t>11 RT</t>
        </is>
      </c>
      <c r="D626" s="122" t="inlineStr">
        <is>
          <t>Igual regla</t>
        </is>
      </c>
      <c r="E626" s="183" t="n"/>
      <c r="F626" s="84" t="n"/>
      <c r="G626" s="84" t="n"/>
      <c r="H626" s="84" t="n"/>
      <c r="I626" s="84" t="n"/>
      <c r="J626" s="84" t="n"/>
      <c r="K626" s="84" t="n"/>
      <c r="L626" s="84" t="n"/>
      <c r="M626" s="84" t="n"/>
      <c r="N626" s="84" t="n"/>
      <c r="O626" s="84" t="n"/>
      <c r="P626" s="84" t="n"/>
      <c r="Q626" s="84" t="n"/>
      <c r="R626" s="84" t="n"/>
      <c r="S626" s="84" t="n"/>
      <c r="T626" s="84" t="n"/>
      <c r="U626" s="84" t="n"/>
      <c r="V626" s="84" t="n"/>
      <c r="W626" s="84" t="n"/>
      <c r="X626" s="84" t="n"/>
      <c r="Y626" s="84" t="n"/>
      <c r="Z626" s="84" t="n"/>
      <c r="AA626" s="84" t="n"/>
      <c r="AB626" s="84" t="n"/>
      <c r="AC626" s="84" t="n"/>
      <c r="AD626" s="84" t="n"/>
    </row>
    <row r="627" ht="30" customHeight="1" s="176">
      <c r="A627" s="122" t="inlineStr">
        <is>
          <t>Talla Calzado MX – Mujer (con ancho)</t>
        </is>
      </c>
      <c r="B627" s="123" t="n">
        <v>28</v>
      </c>
      <c r="C627" s="123" t="inlineStr">
        <is>
          <t>11 SM</t>
        </is>
      </c>
      <c r="D627" s="122" t="inlineStr">
        <is>
          <t>Igual regla</t>
        </is>
      </c>
      <c r="E627" s="183" t="n"/>
      <c r="F627" s="84" t="n"/>
      <c r="G627" s="84" t="n"/>
      <c r="H627" s="84" t="n"/>
      <c r="I627" s="84" t="n"/>
      <c r="J627" s="84" t="n"/>
      <c r="K627" s="84" t="n"/>
      <c r="L627" s="84" t="n"/>
      <c r="M627" s="84" t="n"/>
      <c r="N627" s="84" t="n"/>
      <c r="O627" s="84" t="n"/>
      <c r="P627" s="84" t="n"/>
      <c r="Q627" s="84" t="n"/>
      <c r="R627" s="84" t="n"/>
      <c r="S627" s="84" t="n"/>
      <c r="T627" s="84" t="n"/>
      <c r="U627" s="84" t="n"/>
      <c r="V627" s="84" t="n"/>
      <c r="W627" s="84" t="n"/>
      <c r="X627" s="84" t="n"/>
      <c r="Y627" s="84" t="n"/>
      <c r="Z627" s="84" t="n"/>
      <c r="AA627" s="84" t="n"/>
      <c r="AB627" s="84" t="n"/>
      <c r="AC627" s="84" t="n"/>
      <c r="AD627" s="84" t="n"/>
    </row>
    <row r="628" ht="30" customHeight="1" s="176">
      <c r="A628" s="122" t="inlineStr">
        <is>
          <t>Talla Calzado MX – Mujer (con ancho)</t>
        </is>
      </c>
      <c r="B628" s="123" t="n">
        <v>28</v>
      </c>
      <c r="C628" s="123" t="inlineStr">
        <is>
          <t>11 ST</t>
        </is>
      </c>
      <c r="D628" s="122" t="inlineStr">
        <is>
          <t>Igual regla</t>
        </is>
      </c>
      <c r="E628" s="183" t="n"/>
      <c r="F628" s="84" t="n"/>
      <c r="G628" s="84" t="n"/>
      <c r="H628" s="84" t="n"/>
      <c r="I628" s="84" t="n"/>
      <c r="J628" s="84" t="n"/>
      <c r="K628" s="84" t="n"/>
      <c r="L628" s="84" t="n"/>
      <c r="M628" s="84" t="n"/>
      <c r="N628" s="84" t="n"/>
      <c r="O628" s="84" t="n"/>
      <c r="P628" s="84" t="n"/>
      <c r="Q628" s="84" t="n"/>
      <c r="R628" s="84" t="n"/>
      <c r="S628" s="84" t="n"/>
      <c r="T628" s="84" t="n"/>
      <c r="U628" s="84" t="n"/>
      <c r="V628" s="84" t="n"/>
      <c r="W628" s="84" t="n"/>
      <c r="X628" s="84" t="n"/>
      <c r="Y628" s="84" t="n"/>
      <c r="Z628" s="84" t="n"/>
      <c r="AA628" s="84" t="n"/>
      <c r="AB628" s="84" t="n"/>
      <c r="AC628" s="84" t="n"/>
      <c r="AD628" s="84" t="n"/>
    </row>
    <row r="629" ht="30" customHeight="1" s="176">
      <c r="A629" s="122" t="inlineStr">
        <is>
          <t>Talla Calzado MX – Mujer (con ancho)</t>
        </is>
      </c>
      <c r="B629" s="123" t="n">
        <v>28</v>
      </c>
      <c r="C629" s="123" t="inlineStr">
        <is>
          <t>11 WM</t>
        </is>
      </c>
      <c r="D629" s="122" t="inlineStr">
        <is>
          <t>Igual regla</t>
        </is>
      </c>
      <c r="E629" s="183" t="n"/>
      <c r="F629" s="84" t="n"/>
      <c r="G629" s="84" t="n"/>
      <c r="H629" s="84" t="n"/>
      <c r="I629" s="84" t="n"/>
      <c r="J629" s="84" t="n"/>
      <c r="K629" s="84" t="n"/>
      <c r="L629" s="84" t="n"/>
      <c r="M629" s="84" t="n"/>
      <c r="N629" s="84" t="n"/>
      <c r="O629" s="84" t="n"/>
      <c r="P629" s="84" t="n"/>
      <c r="Q629" s="84" t="n"/>
      <c r="R629" s="84" t="n"/>
      <c r="S629" s="84" t="n"/>
      <c r="T629" s="84" t="n"/>
      <c r="U629" s="84" t="n"/>
      <c r="V629" s="84" t="n"/>
      <c r="W629" s="84" t="n"/>
      <c r="X629" s="84" t="n"/>
      <c r="Y629" s="84" t="n"/>
      <c r="Z629" s="84" t="n"/>
      <c r="AA629" s="84" t="n"/>
      <c r="AB629" s="84" t="n"/>
      <c r="AC629" s="84" t="n"/>
      <c r="AD629" s="84" t="n"/>
    </row>
    <row r="630" ht="30" customHeight="1" s="176">
      <c r="A630" s="122" t="inlineStr">
        <is>
          <t>Talla Calzado MX – Mujer (con ancho)</t>
        </is>
      </c>
      <c r="B630" s="123" t="n">
        <v>28</v>
      </c>
      <c r="C630" s="123" t="inlineStr">
        <is>
          <t>11 WT</t>
        </is>
      </c>
      <c r="D630" s="122" t="inlineStr">
        <is>
          <t>Igual regla</t>
        </is>
      </c>
      <c r="E630" s="183" t="n"/>
      <c r="F630" s="84" t="n"/>
      <c r="G630" s="84" t="n"/>
      <c r="H630" s="84" t="n"/>
      <c r="I630" s="84" t="n"/>
      <c r="J630" s="84" t="n"/>
      <c r="K630" s="84" t="n"/>
      <c r="L630" s="84" t="n"/>
      <c r="M630" s="84" t="n"/>
      <c r="N630" s="84" t="n"/>
      <c r="O630" s="84" t="n"/>
      <c r="P630" s="84" t="n"/>
      <c r="Q630" s="84" t="n"/>
      <c r="R630" s="84" t="n"/>
      <c r="S630" s="84" t="n"/>
      <c r="T630" s="84" t="n"/>
      <c r="U630" s="84" t="n"/>
      <c r="V630" s="84" t="n"/>
      <c r="W630" s="84" t="n"/>
      <c r="X630" s="84" t="n"/>
      <c r="Y630" s="84" t="n"/>
      <c r="Z630" s="84" t="n"/>
      <c r="AA630" s="84" t="n"/>
      <c r="AB630" s="84" t="n"/>
      <c r="AC630" s="84" t="n"/>
      <c r="AD630" s="84" t="n"/>
    </row>
    <row r="631" ht="30" customHeight="1" s="176">
      <c r="A631" s="122" t="inlineStr">
        <is>
          <t>Talla Calzado MX – Mujer (con ancho)</t>
        </is>
      </c>
      <c r="B631" s="123" t="n">
        <v>28</v>
      </c>
      <c r="C631" s="123" t="inlineStr">
        <is>
          <t>11 XWM</t>
        </is>
      </c>
      <c r="D631" s="122" t="inlineStr">
        <is>
          <t>Igual regla</t>
        </is>
      </c>
      <c r="E631" s="183" t="n"/>
      <c r="F631" s="84" t="n"/>
      <c r="G631" s="84" t="n"/>
      <c r="H631" s="84" t="n"/>
      <c r="I631" s="84" t="n"/>
      <c r="J631" s="84" t="n"/>
      <c r="K631" s="84" t="n"/>
      <c r="L631" s="84" t="n"/>
      <c r="M631" s="84" t="n"/>
      <c r="N631" s="84" t="n"/>
      <c r="O631" s="84" t="n"/>
      <c r="P631" s="84" t="n"/>
      <c r="Q631" s="84" t="n"/>
      <c r="R631" s="84" t="n"/>
      <c r="S631" s="84" t="n"/>
      <c r="T631" s="84" t="n"/>
      <c r="U631" s="84" t="n"/>
      <c r="V631" s="84" t="n"/>
      <c r="W631" s="84" t="n"/>
      <c r="X631" s="84" t="n"/>
      <c r="Y631" s="84" t="n"/>
      <c r="Z631" s="84" t="n"/>
      <c r="AA631" s="84" t="n"/>
      <c r="AB631" s="84" t="n"/>
      <c r="AC631" s="84" t="n"/>
      <c r="AD631" s="84" t="n"/>
    </row>
    <row r="632" ht="30" customHeight="1" s="176">
      <c r="A632" s="122" t="inlineStr">
        <is>
          <t>Talla Calzado MX – Mujer (con ancho)</t>
        </is>
      </c>
      <c r="B632" s="123" t="n">
        <v>29</v>
      </c>
      <c r="C632" s="123" t="inlineStr">
        <is>
          <t>12 B</t>
        </is>
      </c>
      <c r="D632" s="122" t="inlineStr">
        <is>
          <t>Igual regla</t>
        </is>
      </c>
      <c r="E632" s="183" t="n"/>
      <c r="F632" s="84" t="n"/>
      <c r="G632" s="84" t="n"/>
      <c r="H632" s="84" t="n"/>
      <c r="I632" s="84" t="n"/>
      <c r="J632" s="84" t="n"/>
      <c r="K632" s="84" t="n"/>
      <c r="L632" s="84" t="n"/>
      <c r="M632" s="84" t="n"/>
      <c r="N632" s="84" t="n"/>
      <c r="O632" s="84" t="n"/>
      <c r="P632" s="84" t="n"/>
      <c r="Q632" s="84" t="n"/>
      <c r="R632" s="84" t="n"/>
      <c r="S632" s="84" t="n"/>
      <c r="T632" s="84" t="n"/>
      <c r="U632" s="84" t="n"/>
      <c r="V632" s="84" t="n"/>
      <c r="W632" s="84" t="n"/>
      <c r="X632" s="84" t="n"/>
      <c r="Y632" s="84" t="n"/>
      <c r="Z632" s="84" t="n"/>
      <c r="AA632" s="84" t="n"/>
      <c r="AB632" s="84" t="n"/>
      <c r="AC632" s="84" t="n"/>
      <c r="AD632" s="84" t="n"/>
    </row>
    <row r="633" ht="16.5" customHeight="1" s="176">
      <c r="A633" s="122" t="inlineStr">
        <is>
          <t>Talla Cinturón – Hombre</t>
        </is>
      </c>
      <c r="B633" s="123" t="n">
        <v>28</v>
      </c>
      <c r="C633" s="123" t="n">
        <v>28</v>
      </c>
      <c r="D633" s="122" t="inlineStr">
        <is>
          <t>Igual</t>
        </is>
      </c>
      <c r="E633" s="183" t="n"/>
      <c r="F633" s="84" t="n"/>
      <c r="G633" s="84" t="n"/>
      <c r="H633" s="84" t="n"/>
      <c r="I633" s="84" t="n"/>
      <c r="J633" s="84" t="n"/>
      <c r="K633" s="84" t="n"/>
      <c r="L633" s="84" t="n"/>
      <c r="M633" s="84" t="n"/>
      <c r="N633" s="84" t="n"/>
      <c r="O633" s="84" t="n"/>
      <c r="P633" s="84" t="n"/>
      <c r="Q633" s="84" t="n"/>
      <c r="R633" s="84" t="n"/>
      <c r="S633" s="84" t="n"/>
      <c r="T633" s="84" t="n"/>
      <c r="U633" s="84" t="n"/>
      <c r="V633" s="84" t="n"/>
      <c r="W633" s="84" t="n"/>
      <c r="X633" s="84" t="n"/>
      <c r="Y633" s="84" t="n"/>
      <c r="Z633" s="84" t="n"/>
      <c r="AA633" s="84" t="n"/>
      <c r="AB633" s="84" t="n"/>
      <c r="AC633" s="84" t="n"/>
      <c r="AD633" s="84" t="n"/>
    </row>
    <row r="634" ht="16.5" customHeight="1" s="176">
      <c r="A634" s="122" t="inlineStr">
        <is>
          <t>Talla Cinturón – Hombre</t>
        </is>
      </c>
      <c r="B634" s="123" t="n">
        <v>30</v>
      </c>
      <c r="C634" s="123" t="n">
        <v>30</v>
      </c>
      <c r="D634" s="122" t="inlineStr">
        <is>
          <t>Igual</t>
        </is>
      </c>
      <c r="E634" s="183" t="n"/>
      <c r="F634" s="84" t="n"/>
      <c r="G634" s="84" t="n"/>
      <c r="H634" s="84" t="n"/>
      <c r="I634" s="84" t="n"/>
      <c r="J634" s="84" t="n"/>
      <c r="K634" s="84" t="n"/>
      <c r="L634" s="84" t="n"/>
      <c r="M634" s="84" t="n"/>
      <c r="N634" s="84" t="n"/>
      <c r="O634" s="84" t="n"/>
      <c r="P634" s="84" t="n"/>
      <c r="Q634" s="84" t="n"/>
      <c r="R634" s="84" t="n"/>
      <c r="S634" s="84" t="n"/>
      <c r="T634" s="84" t="n"/>
      <c r="U634" s="84" t="n"/>
      <c r="V634" s="84" t="n"/>
      <c r="W634" s="84" t="n"/>
      <c r="X634" s="84" t="n"/>
      <c r="Y634" s="84" t="n"/>
      <c r="Z634" s="84" t="n"/>
      <c r="AA634" s="84" t="n"/>
      <c r="AB634" s="84" t="n"/>
      <c r="AC634" s="84" t="n"/>
      <c r="AD634" s="84" t="n"/>
    </row>
    <row r="635" ht="16.5" customHeight="1" s="176">
      <c r="A635" s="122" t="inlineStr">
        <is>
          <t>Talla Cinturón – Hombre</t>
        </is>
      </c>
      <c r="B635" s="123" t="n">
        <v>32</v>
      </c>
      <c r="C635" s="123" t="n">
        <v>32</v>
      </c>
      <c r="D635" s="122" t="inlineStr">
        <is>
          <t>Igual (pulgadas)</t>
        </is>
      </c>
      <c r="E635" s="183" t="n"/>
      <c r="F635" s="84" t="n"/>
      <c r="G635" s="84" t="n"/>
      <c r="H635" s="84" t="n"/>
      <c r="I635" s="84" t="n"/>
      <c r="J635" s="84" t="n"/>
      <c r="K635" s="84" t="n"/>
      <c r="L635" s="84" t="n"/>
      <c r="M635" s="84" t="n"/>
      <c r="N635" s="84" t="n"/>
      <c r="O635" s="84" t="n"/>
      <c r="P635" s="84" t="n"/>
      <c r="Q635" s="84" t="n"/>
      <c r="R635" s="84" t="n"/>
      <c r="S635" s="84" t="n"/>
      <c r="T635" s="84" t="n"/>
      <c r="U635" s="84" t="n"/>
      <c r="V635" s="84" t="n"/>
      <c r="W635" s="84" t="n"/>
      <c r="X635" s="84" t="n"/>
      <c r="Y635" s="84" t="n"/>
      <c r="Z635" s="84" t="n"/>
      <c r="AA635" s="84" t="n"/>
      <c r="AB635" s="84" t="n"/>
      <c r="AC635" s="84" t="n"/>
      <c r="AD635" s="84" t="n"/>
    </row>
    <row r="636" ht="16.5" customHeight="1" s="176">
      <c r="A636" s="122" t="inlineStr">
        <is>
          <t>Talla Cinturón – Hombre</t>
        </is>
      </c>
      <c r="B636" s="123" t="n">
        <v>34</v>
      </c>
      <c r="C636" s="123" t="n">
        <v>34</v>
      </c>
      <c r="D636" s="122" t="inlineStr">
        <is>
          <t>Igual (pulgadas)</t>
        </is>
      </c>
      <c r="E636" s="183" t="n"/>
      <c r="F636" s="84" t="n"/>
      <c r="G636" s="84" t="n"/>
      <c r="H636" s="84" t="n"/>
      <c r="I636" s="84" t="n"/>
      <c r="J636" s="84" t="n"/>
      <c r="K636" s="84" t="n"/>
      <c r="L636" s="84" t="n"/>
      <c r="M636" s="84" t="n"/>
      <c r="N636" s="84" t="n"/>
      <c r="O636" s="84" t="n"/>
      <c r="P636" s="84" t="n"/>
      <c r="Q636" s="84" t="n"/>
      <c r="R636" s="84" t="n"/>
      <c r="S636" s="84" t="n"/>
      <c r="T636" s="84" t="n"/>
      <c r="U636" s="84" t="n"/>
      <c r="V636" s="84" t="n"/>
      <c r="W636" s="84" t="n"/>
      <c r="X636" s="84" t="n"/>
      <c r="Y636" s="84" t="n"/>
      <c r="Z636" s="84" t="n"/>
      <c r="AA636" s="84" t="n"/>
      <c r="AB636" s="84" t="n"/>
      <c r="AC636" s="84" t="n"/>
      <c r="AD636" s="84" t="n"/>
    </row>
    <row r="637" ht="16.5" customHeight="1" s="176">
      <c r="A637" s="122" t="inlineStr">
        <is>
          <t>Talla Cinturón – Hombre</t>
        </is>
      </c>
      <c r="B637" s="123" t="n">
        <v>36</v>
      </c>
      <c r="C637" s="123" t="n">
        <v>36</v>
      </c>
      <c r="D637" s="122" t="inlineStr">
        <is>
          <t>Igual (pulgadas)</t>
        </is>
      </c>
      <c r="E637" s="183" t="n"/>
      <c r="F637" s="84" t="n"/>
      <c r="G637" s="84" t="n"/>
      <c r="H637" s="84" t="n"/>
      <c r="I637" s="84" t="n"/>
      <c r="J637" s="84" t="n"/>
      <c r="K637" s="84" t="n"/>
      <c r="L637" s="84" t="n"/>
      <c r="M637" s="84" t="n"/>
      <c r="N637" s="84" t="n"/>
      <c r="O637" s="84" t="n"/>
      <c r="P637" s="84" t="n"/>
      <c r="Q637" s="84" t="n"/>
      <c r="R637" s="84" t="n"/>
      <c r="S637" s="84" t="n"/>
      <c r="T637" s="84" t="n"/>
      <c r="U637" s="84" t="n"/>
      <c r="V637" s="84" t="n"/>
      <c r="W637" s="84" t="n"/>
      <c r="X637" s="84" t="n"/>
      <c r="Y637" s="84" t="n"/>
      <c r="Z637" s="84" t="n"/>
      <c r="AA637" s="84" t="n"/>
      <c r="AB637" s="84" t="n"/>
      <c r="AC637" s="84" t="n"/>
      <c r="AD637" s="84" t="n"/>
    </row>
    <row r="638" ht="16.5" customHeight="1" s="176">
      <c r="A638" s="122" t="inlineStr">
        <is>
          <t>Talla Cinturón – Hombre</t>
        </is>
      </c>
      <c r="B638" s="123" t="n">
        <v>38</v>
      </c>
      <c r="C638" s="123" t="n">
        <v>38</v>
      </c>
      <c r="D638" s="122" t="inlineStr">
        <is>
          <t>Igual (pulgadas)</t>
        </is>
      </c>
      <c r="E638" s="183" t="n"/>
      <c r="F638" s="84" t="n"/>
      <c r="G638" s="84" t="n"/>
      <c r="H638" s="84" t="n"/>
      <c r="I638" s="84" t="n"/>
      <c r="J638" s="84" t="n"/>
      <c r="K638" s="84" t="n"/>
      <c r="L638" s="84" t="n"/>
      <c r="M638" s="84" t="n"/>
      <c r="N638" s="84" t="n"/>
      <c r="O638" s="84" t="n"/>
      <c r="P638" s="84" t="n"/>
      <c r="Q638" s="84" t="n"/>
      <c r="R638" s="84" t="n"/>
      <c r="S638" s="84" t="n"/>
      <c r="T638" s="84" t="n"/>
      <c r="U638" s="84" t="n"/>
      <c r="V638" s="84" t="n"/>
      <c r="W638" s="84" t="n"/>
      <c r="X638" s="84" t="n"/>
      <c r="Y638" s="84" t="n"/>
      <c r="Z638" s="84" t="n"/>
      <c r="AA638" s="84" t="n"/>
      <c r="AB638" s="84" t="n"/>
      <c r="AC638" s="84" t="n"/>
      <c r="AD638" s="84" t="n"/>
    </row>
    <row r="639" ht="16.5" customHeight="1" s="176">
      <c r="A639" s="122" t="inlineStr">
        <is>
          <t>Talla Cinturón – Hombre</t>
        </is>
      </c>
      <c r="B639" s="123" t="n">
        <v>40</v>
      </c>
      <c r="C639" s="123" t="n">
        <v>40</v>
      </c>
      <c r="D639" s="122" t="inlineStr">
        <is>
          <t>Igual (pulgadas)</t>
        </is>
      </c>
      <c r="E639" s="183" t="n"/>
      <c r="F639" s="84" t="n"/>
      <c r="G639" s="84" t="n"/>
      <c r="H639" s="84" t="n"/>
      <c r="I639" s="84" t="n"/>
      <c r="J639" s="84" t="n"/>
      <c r="K639" s="84" t="n"/>
      <c r="L639" s="84" t="n"/>
      <c r="M639" s="84" t="n"/>
      <c r="N639" s="84" t="n"/>
      <c r="O639" s="84" t="n"/>
      <c r="P639" s="84" t="n"/>
      <c r="Q639" s="84" t="n"/>
      <c r="R639" s="84" t="n"/>
      <c r="S639" s="84" t="n"/>
      <c r="T639" s="84" t="n"/>
      <c r="U639" s="84" t="n"/>
      <c r="V639" s="84" t="n"/>
      <c r="W639" s="84" t="n"/>
      <c r="X639" s="84" t="n"/>
      <c r="Y639" s="84" t="n"/>
      <c r="Z639" s="84" t="n"/>
      <c r="AA639" s="84" t="n"/>
      <c r="AB639" s="84" t="n"/>
      <c r="AC639" s="84" t="n"/>
      <c r="AD639" s="84" t="n"/>
    </row>
    <row r="640" ht="16.5" customHeight="1" s="176">
      <c r="A640" s="122" t="inlineStr">
        <is>
          <t>Talla Cinturón – Hombre</t>
        </is>
      </c>
      <c r="B640" s="123" t="n">
        <v>42</v>
      </c>
      <c r="C640" s="123" t="n">
        <v>42</v>
      </c>
      <c r="D640" s="122" t="inlineStr">
        <is>
          <t>Igual (pulgadas)</t>
        </is>
      </c>
      <c r="E640" s="183" t="n"/>
      <c r="F640" s="84" t="n"/>
      <c r="G640" s="84" t="n"/>
      <c r="H640" s="84" t="n"/>
      <c r="I640" s="84" t="n"/>
      <c r="J640" s="84" t="n"/>
      <c r="K640" s="84" t="n"/>
      <c r="L640" s="84" t="n"/>
      <c r="M640" s="84" t="n"/>
      <c r="N640" s="84" t="n"/>
      <c r="O640" s="84" t="n"/>
      <c r="P640" s="84" t="n"/>
      <c r="Q640" s="84" t="n"/>
      <c r="R640" s="84" t="n"/>
      <c r="S640" s="84" t="n"/>
      <c r="T640" s="84" t="n"/>
      <c r="U640" s="84" t="n"/>
      <c r="V640" s="84" t="n"/>
      <c r="W640" s="84" t="n"/>
      <c r="X640" s="84" t="n"/>
      <c r="Y640" s="84" t="n"/>
      <c r="Z640" s="84" t="n"/>
      <c r="AA640" s="84" t="n"/>
      <c r="AB640" s="84" t="n"/>
      <c r="AC640" s="84" t="n"/>
      <c r="AD640" s="84" t="n"/>
    </row>
    <row r="641" ht="16.5" customHeight="1" s="176">
      <c r="A641" s="122" t="inlineStr">
        <is>
          <t>Talla Cinturón – Hombre</t>
        </is>
      </c>
      <c r="B641" s="123" t="n">
        <v>44</v>
      </c>
      <c r="C641" s="123" t="n">
        <v>44</v>
      </c>
      <c r="D641" s="122" t="inlineStr">
        <is>
          <t>Igual (pulgadas)</t>
        </is>
      </c>
      <c r="E641" s="183" t="n"/>
      <c r="F641" s="84" t="n"/>
      <c r="G641" s="84" t="n"/>
      <c r="H641" s="84" t="n"/>
      <c r="I641" s="84" t="n"/>
      <c r="J641" s="84" t="n"/>
      <c r="K641" s="84" t="n"/>
      <c r="L641" s="84" t="n"/>
      <c r="M641" s="84" t="n"/>
      <c r="N641" s="84" t="n"/>
      <c r="O641" s="84" t="n"/>
      <c r="P641" s="84" t="n"/>
      <c r="Q641" s="84" t="n"/>
      <c r="R641" s="84" t="n"/>
      <c r="S641" s="84" t="n"/>
      <c r="T641" s="84" t="n"/>
      <c r="U641" s="84" t="n"/>
      <c r="V641" s="84" t="n"/>
      <c r="W641" s="84" t="n"/>
      <c r="X641" s="84" t="n"/>
      <c r="Y641" s="84" t="n"/>
      <c r="Z641" s="84" t="n"/>
      <c r="AA641" s="84" t="n"/>
      <c r="AB641" s="84" t="n"/>
      <c r="AC641" s="84" t="n"/>
      <c r="AD641" s="84" t="n"/>
    </row>
    <row r="642" ht="16.5" customHeight="1" s="176">
      <c r="A642" s="122" t="inlineStr">
        <is>
          <t>Talla Cinturón – Hombre</t>
        </is>
      </c>
      <c r="B642" s="123" t="n">
        <v>46</v>
      </c>
      <c r="C642" s="123" t="n">
        <v>46</v>
      </c>
      <c r="D642" s="122" t="inlineStr">
        <is>
          <t>Igual (pulgadas)</t>
        </is>
      </c>
      <c r="E642" s="183" t="n"/>
      <c r="F642" s="84" t="n"/>
      <c r="G642" s="84" t="n"/>
      <c r="H642" s="84" t="n"/>
      <c r="I642" s="84" t="n"/>
      <c r="J642" s="84" t="n"/>
      <c r="K642" s="84" t="n"/>
      <c r="L642" s="84" t="n"/>
      <c r="M642" s="84" t="n"/>
      <c r="N642" s="84" t="n"/>
      <c r="O642" s="84" t="n"/>
      <c r="P642" s="84" t="n"/>
      <c r="Q642" s="84" t="n"/>
      <c r="R642" s="84" t="n"/>
      <c r="S642" s="84" t="n"/>
      <c r="T642" s="84" t="n"/>
      <c r="U642" s="84" t="n"/>
      <c r="V642" s="84" t="n"/>
      <c r="W642" s="84" t="n"/>
      <c r="X642" s="84" t="n"/>
      <c r="Y642" s="84" t="n"/>
      <c r="Z642" s="84" t="n"/>
      <c r="AA642" s="84" t="n"/>
      <c r="AB642" s="84" t="n"/>
      <c r="AC642" s="84" t="n"/>
      <c r="AD642" s="84" t="n"/>
    </row>
    <row r="643" ht="16.5" customHeight="1" s="176">
      <c r="A643" s="122" t="inlineStr">
        <is>
          <t>Talla Cinturón – Hombre</t>
        </is>
      </c>
      <c r="B643" s="123" t="n">
        <v>48</v>
      </c>
      <c r="C643" s="123" t="n">
        <v>48</v>
      </c>
      <c r="D643" s="122" t="inlineStr">
        <is>
          <t>Igual</t>
        </is>
      </c>
      <c r="E643" s="183" t="n"/>
      <c r="F643" s="84" t="n"/>
      <c r="G643" s="84" t="n"/>
      <c r="H643" s="84" t="n"/>
      <c r="I643" s="84" t="n"/>
      <c r="J643" s="84" t="n"/>
      <c r="K643" s="84" t="n"/>
      <c r="L643" s="84" t="n"/>
      <c r="M643" s="84" t="n"/>
      <c r="N643" s="84" t="n"/>
      <c r="O643" s="84" t="n"/>
      <c r="P643" s="84" t="n"/>
      <c r="Q643" s="84" t="n"/>
      <c r="R643" s="84" t="n"/>
      <c r="S643" s="84" t="n"/>
      <c r="T643" s="84" t="n"/>
      <c r="U643" s="84" t="n"/>
      <c r="V643" s="84" t="n"/>
      <c r="W643" s="84" t="n"/>
      <c r="X643" s="84" t="n"/>
      <c r="Y643" s="84" t="n"/>
      <c r="Z643" s="84" t="n"/>
      <c r="AA643" s="84" t="n"/>
      <c r="AB643" s="84" t="n"/>
      <c r="AC643" s="84" t="n"/>
      <c r="AD643" s="84" t="n"/>
    </row>
    <row r="644" ht="16.5" customHeight="1" s="176">
      <c r="A644" s="122" t="inlineStr">
        <is>
          <t>Talla Cinturón – Hombre</t>
        </is>
      </c>
      <c r="B644" s="123" t="n">
        <v>50</v>
      </c>
      <c r="C644" s="123" t="n">
        <v>50</v>
      </c>
      <c r="D644" s="122" t="inlineStr">
        <is>
          <t>Igual</t>
        </is>
      </c>
      <c r="E644" s="183" t="n"/>
      <c r="F644" s="84" t="n"/>
      <c r="G644" s="84" t="n"/>
      <c r="H644" s="84" t="n"/>
      <c r="I644" s="84" t="n"/>
      <c r="J644" s="84" t="n"/>
      <c r="K644" s="84" t="n"/>
      <c r="L644" s="84" t="n"/>
      <c r="M644" s="84" t="n"/>
      <c r="N644" s="84" t="n"/>
      <c r="O644" s="84" t="n"/>
      <c r="P644" s="84" t="n"/>
      <c r="Q644" s="84" t="n"/>
      <c r="R644" s="84" t="n"/>
      <c r="S644" s="84" t="n"/>
      <c r="T644" s="84" t="n"/>
      <c r="U644" s="84" t="n"/>
      <c r="V644" s="84" t="n"/>
      <c r="W644" s="84" t="n"/>
      <c r="X644" s="84" t="n"/>
      <c r="Y644" s="84" t="n"/>
      <c r="Z644" s="84" t="n"/>
      <c r="AA644" s="84" t="n"/>
      <c r="AB644" s="84" t="n"/>
      <c r="AC644" s="84" t="n"/>
      <c r="AD644" s="84" t="n"/>
    </row>
    <row r="645" ht="16.5" customHeight="1" s="176">
      <c r="A645" s="122" t="inlineStr">
        <is>
          <t>Talla Cinturón – Hombre</t>
        </is>
      </c>
      <c r="B645" s="123" t="n">
        <v>52</v>
      </c>
      <c r="C645" s="123" t="n">
        <v>52</v>
      </c>
      <c r="D645" s="122" t="inlineStr">
        <is>
          <t>Igual</t>
        </is>
      </c>
      <c r="E645" s="183" t="n"/>
      <c r="F645" s="84" t="n"/>
      <c r="G645" s="84" t="n"/>
      <c r="H645" s="84" t="n"/>
      <c r="I645" s="84" t="n"/>
      <c r="J645" s="84" t="n"/>
      <c r="K645" s="84" t="n"/>
      <c r="L645" s="84" t="n"/>
      <c r="M645" s="84" t="n"/>
      <c r="N645" s="84" t="n"/>
      <c r="O645" s="84" t="n"/>
      <c r="P645" s="84" t="n"/>
      <c r="Q645" s="84" t="n"/>
      <c r="R645" s="84" t="n"/>
      <c r="S645" s="84" t="n"/>
      <c r="T645" s="84" t="n"/>
      <c r="U645" s="84" t="n"/>
      <c r="V645" s="84" t="n"/>
      <c r="W645" s="84" t="n"/>
      <c r="X645" s="84" t="n"/>
      <c r="Y645" s="84" t="n"/>
      <c r="Z645" s="84" t="n"/>
      <c r="AA645" s="84" t="n"/>
      <c r="AB645" s="84" t="n"/>
      <c r="AC645" s="84" t="n"/>
      <c r="AD645" s="84" t="n"/>
    </row>
    <row r="646" ht="16.5" customHeight="1" s="176">
      <c r="A646" s="122" t="inlineStr">
        <is>
          <t>Talla Cinturón – Hombre</t>
        </is>
      </c>
      <c r="B646" s="123" t="n">
        <v>54</v>
      </c>
      <c r="C646" s="123" t="n">
        <v>54</v>
      </c>
      <c r="D646" s="122" t="inlineStr">
        <is>
          <t>Igual</t>
        </is>
      </c>
      <c r="E646" s="183" t="n"/>
      <c r="F646" s="84" t="n"/>
      <c r="G646" s="84" t="n"/>
      <c r="H646" s="84" t="n"/>
      <c r="I646" s="84" t="n"/>
      <c r="J646" s="84" t="n"/>
      <c r="K646" s="84" t="n"/>
      <c r="L646" s="84" t="n"/>
      <c r="M646" s="84" t="n"/>
      <c r="N646" s="84" t="n"/>
      <c r="O646" s="84" t="n"/>
      <c r="P646" s="84" t="n"/>
      <c r="Q646" s="84" t="n"/>
      <c r="R646" s="84" t="n"/>
      <c r="S646" s="84" t="n"/>
      <c r="T646" s="84" t="n"/>
      <c r="U646" s="84" t="n"/>
      <c r="V646" s="84" t="n"/>
      <c r="W646" s="84" t="n"/>
      <c r="X646" s="84" t="n"/>
      <c r="Y646" s="84" t="n"/>
      <c r="Z646" s="84" t="n"/>
      <c r="AA646" s="84" t="n"/>
      <c r="AB646" s="84" t="n"/>
      <c r="AC646" s="84" t="n"/>
      <c r="AD646" s="84" t="n"/>
    </row>
    <row r="647" ht="16.5" customHeight="1" s="176">
      <c r="A647" s="122" t="inlineStr">
        <is>
          <t>Talla Cinturón – Hombre</t>
        </is>
      </c>
      <c r="B647" s="123" t="n">
        <v>56</v>
      </c>
      <c r="C647" s="123" t="n">
        <v>56</v>
      </c>
      <c r="D647" s="122" t="inlineStr">
        <is>
          <t>Igual</t>
        </is>
      </c>
      <c r="E647" s="183" t="n"/>
      <c r="F647" s="84" t="n"/>
      <c r="G647" s="84" t="n"/>
      <c r="H647" s="84" t="n"/>
      <c r="I647" s="84" t="n"/>
      <c r="J647" s="84" t="n"/>
      <c r="K647" s="84" t="n"/>
      <c r="L647" s="84" t="n"/>
      <c r="M647" s="84" t="n"/>
      <c r="N647" s="84" t="n"/>
      <c r="O647" s="84" t="n"/>
      <c r="P647" s="84" t="n"/>
      <c r="Q647" s="84" t="n"/>
      <c r="R647" s="84" t="n"/>
      <c r="S647" s="84" t="n"/>
      <c r="T647" s="84" t="n"/>
      <c r="U647" s="84" t="n"/>
      <c r="V647" s="84" t="n"/>
      <c r="W647" s="84" t="n"/>
      <c r="X647" s="84" t="n"/>
      <c r="Y647" s="84" t="n"/>
      <c r="Z647" s="84" t="n"/>
      <c r="AA647" s="84" t="n"/>
      <c r="AB647" s="84" t="n"/>
      <c r="AC647" s="84" t="n"/>
      <c r="AD647" s="84" t="n"/>
    </row>
    <row r="648" ht="16.5" customHeight="1" s="176">
      <c r="A648" s="122" t="inlineStr">
        <is>
          <t>Talla Cinturón – Hombre</t>
        </is>
      </c>
      <c r="B648" s="123" t="n">
        <v>58</v>
      </c>
      <c r="C648" s="123" t="n">
        <v>58</v>
      </c>
      <c r="D648" s="122" t="inlineStr">
        <is>
          <t>Igual</t>
        </is>
      </c>
      <c r="E648" s="183" t="n"/>
      <c r="F648" s="84" t="n"/>
      <c r="G648" s="84" t="n"/>
      <c r="H648" s="84" t="n"/>
      <c r="I648" s="84" t="n"/>
      <c r="J648" s="84" t="n"/>
      <c r="K648" s="84" t="n"/>
      <c r="L648" s="84" t="n"/>
      <c r="M648" s="84" t="n"/>
      <c r="N648" s="84" t="n"/>
      <c r="O648" s="84" t="n"/>
      <c r="P648" s="84" t="n"/>
      <c r="Q648" s="84" t="n"/>
      <c r="R648" s="84" t="n"/>
      <c r="S648" s="84" t="n"/>
      <c r="T648" s="84" t="n"/>
      <c r="U648" s="84" t="n"/>
      <c r="V648" s="84" t="n"/>
      <c r="W648" s="84" t="n"/>
      <c r="X648" s="84" t="n"/>
      <c r="Y648" s="84" t="n"/>
      <c r="Z648" s="84" t="n"/>
      <c r="AA648" s="84" t="n"/>
      <c r="AB648" s="84" t="n"/>
      <c r="AC648" s="84" t="n"/>
      <c r="AD648" s="84" t="n"/>
    </row>
    <row r="649" ht="16.5" customHeight="1" s="176">
      <c r="A649" s="122" t="inlineStr">
        <is>
          <t>Talla Cinturón – Hombre</t>
        </is>
      </c>
      <c r="B649" s="123" t="n">
        <v>60</v>
      </c>
      <c r="C649" s="123" t="n">
        <v>60</v>
      </c>
      <c r="D649" s="122" t="inlineStr">
        <is>
          <t>Igual</t>
        </is>
      </c>
      <c r="E649" s="183" t="n"/>
      <c r="F649" s="84" t="n"/>
      <c r="G649" s="84" t="n"/>
      <c r="H649" s="84" t="n"/>
      <c r="I649" s="84" t="n"/>
      <c r="J649" s="84" t="n"/>
      <c r="K649" s="84" t="n"/>
      <c r="L649" s="84" t="n"/>
      <c r="M649" s="84" t="n"/>
      <c r="N649" s="84" t="n"/>
      <c r="O649" s="84" t="n"/>
      <c r="P649" s="84" t="n"/>
      <c r="Q649" s="84" t="n"/>
      <c r="R649" s="84" t="n"/>
      <c r="S649" s="84" t="n"/>
      <c r="T649" s="84" t="n"/>
      <c r="U649" s="84" t="n"/>
      <c r="V649" s="84" t="n"/>
      <c r="W649" s="84" t="n"/>
      <c r="X649" s="84" t="n"/>
      <c r="Y649" s="84" t="n"/>
      <c r="Z649" s="84" t="n"/>
      <c r="AA649" s="84" t="n"/>
      <c r="AB649" s="84" t="n"/>
      <c r="AC649" s="84" t="n"/>
      <c r="AD649" s="84" t="n"/>
    </row>
    <row r="650" ht="16.5" customHeight="1" s="176">
      <c r="A650" s="122" t="inlineStr">
        <is>
          <t>Talla Cinturón – Mujer</t>
        </is>
      </c>
      <c r="B650" s="123" t="inlineStr">
        <is>
          <t>S</t>
        </is>
      </c>
      <c r="C650" s="123" t="inlineStr">
        <is>
          <t>S</t>
        </is>
      </c>
      <c r="D650" s="122" t="inlineStr">
        <is>
          <t>Igual</t>
        </is>
      </c>
      <c r="E650" s="183" t="n"/>
      <c r="F650" s="84" t="n"/>
      <c r="G650" s="84" t="n"/>
      <c r="H650" s="84" t="n"/>
      <c r="I650" s="84" t="n"/>
      <c r="J650" s="84" t="n"/>
      <c r="K650" s="84" t="n"/>
      <c r="L650" s="84" t="n"/>
      <c r="M650" s="84" t="n"/>
      <c r="N650" s="84" t="n"/>
      <c r="O650" s="84" t="n"/>
      <c r="P650" s="84" t="n"/>
      <c r="Q650" s="84" t="n"/>
      <c r="R650" s="84" t="n"/>
      <c r="S650" s="84" t="n"/>
      <c r="T650" s="84" t="n"/>
      <c r="U650" s="84" t="n"/>
      <c r="V650" s="84" t="n"/>
      <c r="W650" s="84" t="n"/>
      <c r="X650" s="84" t="n"/>
      <c r="Y650" s="84" t="n"/>
      <c r="Z650" s="84" t="n"/>
      <c r="AA650" s="84" t="n"/>
      <c r="AB650" s="84" t="n"/>
      <c r="AC650" s="84" t="n"/>
      <c r="AD650" s="84" t="n"/>
    </row>
    <row r="651" ht="16.5" customHeight="1" s="176">
      <c r="A651" s="122" t="inlineStr">
        <is>
          <t>Talla Cinturón – Mujer</t>
        </is>
      </c>
      <c r="B651" s="123" t="inlineStr">
        <is>
          <t>M</t>
        </is>
      </c>
      <c r="C651" s="123" t="inlineStr">
        <is>
          <t>M</t>
        </is>
      </c>
      <c r="D651" s="122" t="inlineStr">
        <is>
          <t>Igual</t>
        </is>
      </c>
      <c r="E651" s="183" t="n"/>
      <c r="F651" s="84" t="n"/>
      <c r="G651" s="84" t="n"/>
      <c r="H651" s="84" t="n"/>
      <c r="I651" s="84" t="n"/>
      <c r="J651" s="84" t="n"/>
      <c r="K651" s="84" t="n"/>
      <c r="L651" s="84" t="n"/>
      <c r="M651" s="84" t="n"/>
      <c r="N651" s="84" t="n"/>
      <c r="O651" s="84" t="n"/>
      <c r="P651" s="84" t="n"/>
      <c r="Q651" s="84" t="n"/>
      <c r="R651" s="84" t="n"/>
      <c r="S651" s="84" t="n"/>
      <c r="T651" s="84" t="n"/>
      <c r="U651" s="84" t="n"/>
      <c r="V651" s="84" t="n"/>
      <c r="W651" s="84" t="n"/>
      <c r="X651" s="84" t="n"/>
      <c r="Y651" s="84" t="n"/>
      <c r="Z651" s="84" t="n"/>
      <c r="AA651" s="84" t="n"/>
      <c r="AB651" s="84" t="n"/>
      <c r="AC651" s="84" t="n"/>
      <c r="AD651" s="84" t="n"/>
    </row>
    <row r="652" ht="16.5" customHeight="1" s="176">
      <c r="A652" s="122" t="inlineStr">
        <is>
          <t>Talla Cinturón – Mujer</t>
        </is>
      </c>
      <c r="B652" s="123" t="inlineStr">
        <is>
          <t>L</t>
        </is>
      </c>
      <c r="C652" s="123" t="inlineStr">
        <is>
          <t>L</t>
        </is>
      </c>
      <c r="D652" s="122" t="inlineStr">
        <is>
          <t>Igual</t>
        </is>
      </c>
      <c r="E652" s="183" t="n"/>
      <c r="F652" s="84" t="n"/>
      <c r="G652" s="84" t="n"/>
      <c r="H652" s="84" t="n"/>
      <c r="I652" s="84" t="n"/>
      <c r="J652" s="84" t="n"/>
      <c r="K652" s="84" t="n"/>
      <c r="L652" s="84" t="n"/>
      <c r="M652" s="84" t="n"/>
      <c r="N652" s="84" t="n"/>
      <c r="O652" s="84" t="n"/>
      <c r="P652" s="84" t="n"/>
      <c r="Q652" s="84" t="n"/>
      <c r="R652" s="84" t="n"/>
      <c r="S652" s="84" t="n"/>
      <c r="T652" s="84" t="n"/>
      <c r="U652" s="84" t="n"/>
      <c r="V652" s="84" t="n"/>
      <c r="W652" s="84" t="n"/>
      <c r="X652" s="84" t="n"/>
      <c r="Y652" s="84" t="n"/>
      <c r="Z652" s="84" t="n"/>
      <c r="AA652" s="84" t="n"/>
      <c r="AB652" s="84" t="n"/>
      <c r="AC652" s="84" t="n"/>
      <c r="AD652" s="84" t="n"/>
    </row>
    <row r="653" ht="16.5" customHeight="1" s="176">
      <c r="A653" s="122" t="inlineStr">
        <is>
          <t>Talla Cinturón – Mujer</t>
        </is>
      </c>
      <c r="B653" s="123" t="inlineStr">
        <is>
          <t>XL</t>
        </is>
      </c>
      <c r="C653" s="123" t="inlineStr">
        <is>
          <t>XL</t>
        </is>
      </c>
      <c r="D653" s="122" t="inlineStr">
        <is>
          <t>Igual</t>
        </is>
      </c>
      <c r="E653" s="183" t="n"/>
      <c r="F653" s="84" t="n"/>
      <c r="G653" s="84" t="n"/>
      <c r="H653" s="84" t="n"/>
      <c r="I653" s="84" t="n"/>
      <c r="J653" s="84" t="n"/>
      <c r="K653" s="84" t="n"/>
      <c r="L653" s="84" t="n"/>
      <c r="M653" s="84" t="n"/>
      <c r="N653" s="84" t="n"/>
      <c r="O653" s="84" t="n"/>
      <c r="P653" s="84" t="n"/>
      <c r="Q653" s="84" t="n"/>
      <c r="R653" s="84" t="n"/>
      <c r="S653" s="84" t="n"/>
      <c r="T653" s="84" t="n"/>
      <c r="U653" s="84" t="n"/>
      <c r="V653" s="84" t="n"/>
      <c r="W653" s="84" t="n"/>
      <c r="X653" s="84" t="n"/>
      <c r="Y653" s="84" t="n"/>
      <c r="Z653" s="84" t="n"/>
      <c r="AA653" s="84" t="n"/>
      <c r="AB653" s="84" t="n"/>
      <c r="AC653" s="84" t="n"/>
      <c r="AD653" s="84" t="n"/>
    </row>
    <row r="654" ht="16.5" customHeight="1" s="176">
      <c r="A654" s="122" t="inlineStr">
        <is>
          <t>Talla Cinturón – Niño</t>
        </is>
      </c>
      <c r="B654" s="123" t="n">
        <v>18</v>
      </c>
      <c r="C654" s="123" t="n">
        <v>18</v>
      </c>
      <c r="D654" s="122" t="inlineStr">
        <is>
          <t>Cinturones infantiles numéricos (cintura en pulgadas). Igual</t>
        </is>
      </c>
      <c r="E654" s="183" t="n"/>
      <c r="F654" s="84" t="n"/>
      <c r="G654" s="84" t="n"/>
      <c r="H654" s="84" t="n"/>
      <c r="I654" s="84" t="n"/>
      <c r="J654" s="84" t="n"/>
      <c r="K654" s="84" t="n"/>
      <c r="L654" s="84" t="n"/>
      <c r="M654" s="84" t="n"/>
      <c r="N654" s="84" t="n"/>
      <c r="O654" s="84" t="n"/>
      <c r="P654" s="84" t="n"/>
      <c r="Q654" s="84" t="n"/>
      <c r="R654" s="84" t="n"/>
      <c r="S654" s="84" t="n"/>
      <c r="T654" s="84" t="n"/>
      <c r="U654" s="84" t="n"/>
      <c r="V654" s="84" t="n"/>
      <c r="W654" s="84" t="n"/>
      <c r="X654" s="84" t="n"/>
      <c r="Y654" s="84" t="n"/>
      <c r="Z654" s="84" t="n"/>
      <c r="AA654" s="84" t="n"/>
      <c r="AB654" s="84" t="n"/>
      <c r="AC654" s="84" t="n"/>
      <c r="AD654" s="84" t="n"/>
    </row>
    <row r="655" ht="16.5" customHeight="1" s="176">
      <c r="A655" s="122" t="inlineStr">
        <is>
          <t>Talla Cinturón – Niño</t>
        </is>
      </c>
      <c r="B655" s="123" t="n">
        <v>20</v>
      </c>
      <c r="C655" s="123" t="n">
        <v>20</v>
      </c>
      <c r="D655" s="122" t="inlineStr">
        <is>
          <t>Igual</t>
        </is>
      </c>
      <c r="E655" s="183" t="n"/>
      <c r="F655" s="84" t="n"/>
      <c r="G655" s="84" t="n"/>
      <c r="H655" s="84" t="n"/>
      <c r="I655" s="84" t="n"/>
      <c r="J655" s="84" t="n"/>
      <c r="K655" s="84" t="n"/>
      <c r="L655" s="84" t="n"/>
      <c r="M655" s="84" t="n"/>
      <c r="N655" s="84" t="n"/>
      <c r="O655" s="84" t="n"/>
      <c r="P655" s="84" t="n"/>
      <c r="Q655" s="84" t="n"/>
      <c r="R655" s="84" t="n"/>
      <c r="S655" s="84" t="n"/>
      <c r="T655" s="84" t="n"/>
      <c r="U655" s="84" t="n"/>
      <c r="V655" s="84" t="n"/>
      <c r="W655" s="84" t="n"/>
      <c r="X655" s="84" t="n"/>
      <c r="Y655" s="84" t="n"/>
      <c r="Z655" s="84" t="n"/>
      <c r="AA655" s="84" t="n"/>
      <c r="AB655" s="84" t="n"/>
      <c r="AC655" s="84" t="n"/>
      <c r="AD655" s="84" t="n"/>
    </row>
    <row r="656" ht="16.5" customHeight="1" s="176">
      <c r="A656" s="122" t="inlineStr">
        <is>
          <t>Talla Cinturón – Niño</t>
        </is>
      </c>
      <c r="B656" s="123" t="n">
        <v>22</v>
      </c>
      <c r="C656" s="123" t="n">
        <v>22</v>
      </c>
      <c r="D656" s="122" t="inlineStr">
        <is>
          <t>Igual</t>
        </is>
      </c>
      <c r="E656" s="183" t="n"/>
      <c r="F656" s="84" t="n"/>
      <c r="G656" s="84" t="n"/>
      <c r="H656" s="84" t="n"/>
      <c r="I656" s="84" t="n"/>
      <c r="J656" s="84" t="n"/>
      <c r="K656" s="84" t="n"/>
      <c r="L656" s="84" t="n"/>
      <c r="M656" s="84" t="n"/>
      <c r="N656" s="84" t="n"/>
      <c r="O656" s="84" t="n"/>
      <c r="P656" s="84" t="n"/>
      <c r="Q656" s="84" t="n"/>
      <c r="R656" s="84" t="n"/>
      <c r="S656" s="84" t="n"/>
      <c r="T656" s="84" t="n"/>
      <c r="U656" s="84" t="n"/>
      <c r="V656" s="84" t="n"/>
      <c r="W656" s="84" t="n"/>
      <c r="X656" s="84" t="n"/>
      <c r="Y656" s="84" t="n"/>
      <c r="Z656" s="84" t="n"/>
      <c r="AA656" s="84" t="n"/>
      <c r="AB656" s="84" t="n"/>
      <c r="AC656" s="84" t="n"/>
      <c r="AD656" s="84" t="n"/>
    </row>
    <row r="657" ht="16.5" customHeight="1" s="176">
      <c r="A657" s="122" t="inlineStr">
        <is>
          <t>Talla Cinturón – Niño</t>
        </is>
      </c>
      <c r="B657" s="123" t="n">
        <v>24</v>
      </c>
      <c r="C657" s="123" t="n">
        <v>24</v>
      </c>
      <c r="D657" s="122" t="inlineStr">
        <is>
          <t>Igual</t>
        </is>
      </c>
      <c r="E657" s="183" t="n"/>
      <c r="F657" s="84" t="n"/>
      <c r="G657" s="84" t="n"/>
      <c r="H657" s="84" t="n"/>
      <c r="I657" s="84" t="n"/>
      <c r="J657" s="84" t="n"/>
      <c r="K657" s="84" t="n"/>
      <c r="L657" s="84" t="n"/>
      <c r="M657" s="84" t="n"/>
      <c r="N657" s="84" t="n"/>
      <c r="O657" s="84" t="n"/>
      <c r="P657" s="84" t="n"/>
      <c r="Q657" s="84" t="n"/>
      <c r="R657" s="84" t="n"/>
      <c r="S657" s="84" t="n"/>
      <c r="T657" s="84" t="n"/>
      <c r="U657" s="84" t="n"/>
      <c r="V657" s="84" t="n"/>
      <c r="W657" s="84" t="n"/>
      <c r="X657" s="84" t="n"/>
      <c r="Y657" s="84" t="n"/>
      <c r="Z657" s="84" t="n"/>
      <c r="AA657" s="84" t="n"/>
      <c r="AB657" s="84" t="n"/>
      <c r="AC657" s="84" t="n"/>
      <c r="AD657" s="84" t="n"/>
    </row>
    <row r="658" ht="16.5" customHeight="1" s="176">
      <c r="A658" s="122" t="inlineStr">
        <is>
          <t>Talla Cinturón – Niño</t>
        </is>
      </c>
      <c r="B658" s="123" t="n">
        <v>26</v>
      </c>
      <c r="C658" s="123" t="n">
        <v>26</v>
      </c>
      <c r="D658" s="122" t="inlineStr">
        <is>
          <t>Igual</t>
        </is>
      </c>
      <c r="E658" s="183" t="n"/>
      <c r="F658" s="84" t="n"/>
      <c r="G658" s="84" t="n"/>
      <c r="H658" s="84" t="n"/>
      <c r="I658" s="84" t="n"/>
      <c r="J658" s="84" t="n"/>
      <c r="K658" s="84" t="n"/>
      <c r="L658" s="84" t="n"/>
      <c r="M658" s="84" t="n"/>
      <c r="N658" s="84" t="n"/>
      <c r="O658" s="84" t="n"/>
      <c r="P658" s="84" t="n"/>
      <c r="Q658" s="84" t="n"/>
      <c r="R658" s="84" t="n"/>
      <c r="S658" s="84" t="n"/>
      <c r="T658" s="84" t="n"/>
      <c r="U658" s="84" t="n"/>
      <c r="V658" s="84" t="n"/>
      <c r="W658" s="84" t="n"/>
      <c r="X658" s="84" t="n"/>
      <c r="Y658" s="84" t="n"/>
      <c r="Z658" s="84" t="n"/>
      <c r="AA658" s="84" t="n"/>
      <c r="AB658" s="84" t="n"/>
      <c r="AC658" s="84" t="n"/>
      <c r="AD658" s="84" t="n"/>
    </row>
    <row r="659" ht="16.5" customHeight="1" s="176">
      <c r="A659" s="122" t="inlineStr">
        <is>
          <t>Talla Niño (numérica)</t>
        </is>
      </c>
      <c r="B659" s="123" t="n">
        <v>2</v>
      </c>
      <c r="C659" s="123" t="n">
        <v>2</v>
      </c>
      <c r="D659" s="122" t="inlineStr">
        <is>
          <t>Talla por EDAD como principal (años pares).</t>
        </is>
      </c>
      <c r="E659" s="183" t="n"/>
      <c r="F659" s="84" t="n"/>
      <c r="G659" s="84" t="n"/>
      <c r="H659" s="84" t="n"/>
      <c r="I659" s="84" t="n"/>
      <c r="J659" s="84" t="n"/>
      <c r="K659" s="84" t="n"/>
      <c r="L659" s="84" t="n"/>
      <c r="M659" s="84" t="n"/>
      <c r="N659" s="84" t="n"/>
      <c r="O659" s="84" t="n"/>
      <c r="P659" s="84" t="n"/>
      <c r="Q659" s="84" t="n"/>
      <c r="R659" s="84" t="n"/>
      <c r="S659" s="84" t="n"/>
      <c r="T659" s="84" t="n"/>
      <c r="U659" s="84" t="n"/>
      <c r="V659" s="84" t="n"/>
      <c r="W659" s="84" t="n"/>
      <c r="X659" s="84" t="n"/>
      <c r="Y659" s="84" t="n"/>
      <c r="Z659" s="84" t="n"/>
      <c r="AA659" s="84" t="n"/>
      <c r="AB659" s="84" t="n"/>
      <c r="AC659" s="84" t="n"/>
      <c r="AD659" s="84" t="n"/>
    </row>
    <row r="660" ht="16.5" customHeight="1" s="176">
      <c r="A660" s="122" t="inlineStr">
        <is>
          <t>Talla Niño (numérica)</t>
        </is>
      </c>
      <c r="B660" s="123" t="n">
        <v>4</v>
      </c>
      <c r="C660" s="123" t="n">
        <v>4</v>
      </c>
      <c r="D660" s="122" t="inlineStr">
        <is>
          <t>Igual</t>
        </is>
      </c>
      <c r="E660" s="183" t="n"/>
      <c r="F660" s="84" t="n"/>
      <c r="G660" s="84" t="n"/>
      <c r="H660" s="84" t="n"/>
      <c r="I660" s="84" t="n"/>
      <c r="J660" s="84" t="n"/>
      <c r="K660" s="84" t="n"/>
      <c r="L660" s="84" t="n"/>
      <c r="M660" s="84" t="n"/>
      <c r="N660" s="84" t="n"/>
      <c r="O660" s="84" t="n"/>
      <c r="P660" s="84" t="n"/>
      <c r="Q660" s="84" t="n"/>
      <c r="R660" s="84" t="n"/>
      <c r="S660" s="84" t="n"/>
      <c r="T660" s="84" t="n"/>
      <c r="U660" s="84" t="n"/>
      <c r="V660" s="84" t="n"/>
      <c r="W660" s="84" t="n"/>
      <c r="X660" s="84" t="n"/>
      <c r="Y660" s="84" t="n"/>
      <c r="Z660" s="84" t="n"/>
      <c r="AA660" s="84" t="n"/>
      <c r="AB660" s="84" t="n"/>
      <c r="AC660" s="84" t="n"/>
      <c r="AD660" s="84" t="n"/>
    </row>
    <row r="661" ht="16.5" customHeight="1" s="176">
      <c r="A661" s="122" t="inlineStr">
        <is>
          <t>Talla Niño (numérica)</t>
        </is>
      </c>
      <c r="B661" s="123" t="n">
        <v>6</v>
      </c>
      <c r="C661" s="123" t="n">
        <v>6</v>
      </c>
      <c r="D661" s="122" t="inlineStr">
        <is>
          <t>Igual</t>
        </is>
      </c>
      <c r="E661" s="183" t="n"/>
      <c r="F661" s="84" t="n"/>
      <c r="G661" s="84" t="n"/>
      <c r="H661" s="84" t="n"/>
      <c r="I661" s="84" t="n"/>
      <c r="J661" s="84" t="n"/>
      <c r="K661" s="84" t="n"/>
      <c r="L661" s="84" t="n"/>
      <c r="M661" s="84" t="n"/>
      <c r="N661" s="84" t="n"/>
      <c r="O661" s="84" t="n"/>
      <c r="P661" s="84" t="n"/>
      <c r="Q661" s="84" t="n"/>
      <c r="R661" s="84" t="n"/>
      <c r="S661" s="84" t="n"/>
      <c r="T661" s="84" t="n"/>
      <c r="U661" s="84" t="n"/>
      <c r="V661" s="84" t="n"/>
      <c r="W661" s="84" t="n"/>
      <c r="X661" s="84" t="n"/>
      <c r="Y661" s="84" t="n"/>
      <c r="Z661" s="84" t="n"/>
      <c r="AA661" s="84" t="n"/>
      <c r="AB661" s="84" t="n"/>
      <c r="AC661" s="84" t="n"/>
      <c r="AD661" s="84" t="n"/>
    </row>
    <row r="662" ht="16.5" customHeight="1" s="176">
      <c r="A662" s="122" t="inlineStr">
        <is>
          <t>Talla Niño (numérica)</t>
        </is>
      </c>
      <c r="B662" s="123" t="n">
        <v>8</v>
      </c>
      <c r="C662" s="123" t="n">
        <v>8</v>
      </c>
      <c r="D662" s="122" t="inlineStr">
        <is>
          <t>Igual</t>
        </is>
      </c>
      <c r="E662" s="183" t="n"/>
      <c r="F662" s="84" t="n"/>
      <c r="G662" s="84" t="n"/>
      <c r="H662" s="84" t="n"/>
      <c r="I662" s="84" t="n"/>
      <c r="J662" s="84" t="n"/>
      <c r="K662" s="84" t="n"/>
      <c r="L662" s="84" t="n"/>
      <c r="M662" s="84" t="n"/>
      <c r="N662" s="84" t="n"/>
      <c r="O662" s="84" t="n"/>
      <c r="P662" s="84" t="n"/>
      <c r="Q662" s="84" t="n"/>
      <c r="R662" s="84" t="n"/>
      <c r="S662" s="84" t="n"/>
      <c r="T662" s="84" t="n"/>
      <c r="U662" s="84" t="n"/>
      <c r="V662" s="84" t="n"/>
      <c r="W662" s="84" t="n"/>
      <c r="X662" s="84" t="n"/>
      <c r="Y662" s="84" t="n"/>
      <c r="Z662" s="84" t="n"/>
      <c r="AA662" s="84" t="n"/>
      <c r="AB662" s="84" t="n"/>
      <c r="AC662" s="84" t="n"/>
      <c r="AD662" s="84" t="n"/>
    </row>
    <row r="663" ht="16.5" customHeight="1" s="176">
      <c r="A663" s="122" t="inlineStr">
        <is>
          <t>Talla Niño (numérica)</t>
        </is>
      </c>
      <c r="B663" s="123" t="n">
        <v>10</v>
      </c>
      <c r="C663" s="123" t="n">
        <v>10</v>
      </c>
      <c r="D663" s="122" t="inlineStr">
        <is>
          <t>Igual</t>
        </is>
      </c>
      <c r="E663" s="183" t="n"/>
      <c r="F663" s="84" t="n"/>
      <c r="G663" s="84" t="n"/>
      <c r="H663" s="84" t="n"/>
      <c r="I663" s="84" t="n"/>
      <c r="J663" s="84" t="n"/>
      <c r="K663" s="84" t="n"/>
      <c r="L663" s="84" t="n"/>
      <c r="M663" s="84" t="n"/>
      <c r="N663" s="84" t="n"/>
      <c r="O663" s="84" t="n"/>
      <c r="P663" s="84" t="n"/>
      <c r="Q663" s="84" t="n"/>
      <c r="R663" s="84" t="n"/>
      <c r="S663" s="84" t="n"/>
      <c r="T663" s="84" t="n"/>
      <c r="U663" s="84" t="n"/>
      <c r="V663" s="84" t="n"/>
      <c r="W663" s="84" t="n"/>
      <c r="X663" s="84" t="n"/>
      <c r="Y663" s="84" t="n"/>
      <c r="Z663" s="84" t="n"/>
      <c r="AA663" s="84" t="n"/>
      <c r="AB663" s="84" t="n"/>
      <c r="AC663" s="84" t="n"/>
      <c r="AD663" s="84" t="n"/>
    </row>
    <row r="664" ht="16.5" customHeight="1" s="176">
      <c r="A664" s="122" t="inlineStr">
        <is>
          <t>Talla Niño (numérica)</t>
        </is>
      </c>
      <c r="B664" s="123" t="n">
        <v>12</v>
      </c>
      <c r="C664" s="123" t="n">
        <v>12</v>
      </c>
      <c r="D664" s="122" t="inlineStr">
        <is>
          <t>Igual</t>
        </is>
      </c>
      <c r="E664" s="183" t="n"/>
      <c r="F664" s="84" t="n"/>
      <c r="G664" s="84" t="n"/>
      <c r="H664" s="84" t="n"/>
      <c r="I664" s="84" t="n"/>
      <c r="J664" s="84" t="n"/>
      <c r="K664" s="84" t="n"/>
      <c r="L664" s="84" t="n"/>
      <c r="M664" s="84" t="n"/>
      <c r="N664" s="84" t="n"/>
      <c r="O664" s="84" t="n"/>
      <c r="P664" s="84" t="n"/>
      <c r="Q664" s="84" t="n"/>
      <c r="R664" s="84" t="n"/>
      <c r="S664" s="84" t="n"/>
      <c r="T664" s="84" t="n"/>
      <c r="U664" s="84" t="n"/>
      <c r="V664" s="84" t="n"/>
      <c r="W664" s="84" t="n"/>
      <c r="X664" s="84" t="n"/>
      <c r="Y664" s="84" t="n"/>
      <c r="Z664" s="84" t="n"/>
      <c r="AA664" s="84" t="n"/>
      <c r="AB664" s="84" t="n"/>
      <c r="AC664" s="84" t="n"/>
      <c r="AD664" s="84" t="n"/>
    </row>
    <row r="665" ht="16.5" customHeight="1" s="176">
      <c r="A665" s="122" t="inlineStr">
        <is>
          <t>Talla Niño (numérica)</t>
        </is>
      </c>
      <c r="B665" s="123" t="n">
        <v>14</v>
      </c>
      <c r="C665" s="123" t="n">
        <v>14</v>
      </c>
      <c r="D665" s="122" t="inlineStr">
        <is>
          <t>Igual</t>
        </is>
      </c>
      <c r="E665" s="183" t="n"/>
      <c r="F665" s="84" t="n"/>
      <c r="G665" s="84" t="n"/>
      <c r="H665" s="84" t="n"/>
      <c r="I665" s="84" t="n"/>
      <c r="J665" s="84" t="n"/>
      <c r="K665" s="84" t="n"/>
      <c r="L665" s="84" t="n"/>
      <c r="M665" s="84" t="n"/>
      <c r="N665" s="84" t="n"/>
      <c r="O665" s="84" t="n"/>
      <c r="P665" s="84" t="n"/>
      <c r="Q665" s="84" t="n"/>
      <c r="R665" s="84" t="n"/>
      <c r="S665" s="84" t="n"/>
      <c r="T665" s="84" t="n"/>
      <c r="U665" s="84" t="n"/>
      <c r="V665" s="84" t="n"/>
      <c r="W665" s="84" t="n"/>
      <c r="X665" s="84" t="n"/>
      <c r="Y665" s="84" t="n"/>
      <c r="Z665" s="84" t="n"/>
      <c r="AA665" s="84" t="n"/>
      <c r="AB665" s="84" t="n"/>
      <c r="AC665" s="84" t="n"/>
      <c r="AD665" s="84" t="n"/>
    </row>
    <row r="666" ht="16.5" customHeight="1" s="176">
      <c r="A666" s="122" t="inlineStr">
        <is>
          <t>Talla Niño (numérica)</t>
        </is>
      </c>
      <c r="B666" s="123" t="n">
        <v>16</v>
      </c>
      <c r="C666" s="123" t="n">
        <v>16</v>
      </c>
      <c r="D666" s="122" t="inlineStr">
        <is>
          <t>Igual</t>
        </is>
      </c>
      <c r="E666" s="183" t="n"/>
      <c r="F666" s="84" t="n"/>
      <c r="G666" s="84" t="n"/>
      <c r="H666" s="84" t="n"/>
      <c r="I666" s="84" t="n"/>
      <c r="J666" s="84" t="n"/>
      <c r="K666" s="84" t="n"/>
      <c r="L666" s="84" t="n"/>
      <c r="M666" s="84" t="n"/>
      <c r="N666" s="84" t="n"/>
      <c r="O666" s="84" t="n"/>
      <c r="P666" s="84" t="n"/>
      <c r="Q666" s="84" t="n"/>
      <c r="R666" s="84" t="n"/>
      <c r="S666" s="84" t="n"/>
      <c r="T666" s="84" t="n"/>
      <c r="U666" s="84" t="n"/>
      <c r="V666" s="84" t="n"/>
      <c r="W666" s="84" t="n"/>
      <c r="X666" s="84" t="n"/>
      <c r="Y666" s="84" t="n"/>
      <c r="Z666" s="84" t="n"/>
      <c r="AA666" s="84" t="n"/>
      <c r="AB666" s="84" t="n"/>
      <c r="AC666" s="84" t="n"/>
      <c r="AD666" s="84" t="n"/>
    </row>
    <row r="667" ht="16.5" customHeight="1" s="176">
      <c r="A667" s="122" t="inlineStr">
        <is>
          <t>Talla Niño (alfa US Youth)</t>
        </is>
      </c>
      <c r="B667" s="123" t="n">
        <v>4</v>
      </c>
      <c r="C667" s="123" t="inlineStr">
        <is>
          <t>XS</t>
        </is>
      </c>
      <c r="D667" s="122" t="inlineStr">
        <is>
          <t>Etiqueta US Youth XS = 4-5 años. En WB Talla va la edad; en US la letra.</t>
        </is>
      </c>
      <c r="E667" s="183" t="n"/>
      <c r="F667" s="84" t="n"/>
      <c r="G667" s="84" t="n"/>
      <c r="H667" s="84" t="n"/>
      <c r="I667" s="84" t="n"/>
      <c r="J667" s="84" t="n"/>
      <c r="K667" s="84" t="n"/>
      <c r="L667" s="84" t="n"/>
      <c r="M667" s="84" t="n"/>
      <c r="N667" s="84" t="n"/>
      <c r="O667" s="84" t="n"/>
      <c r="P667" s="84" t="n"/>
      <c r="Q667" s="84" t="n"/>
      <c r="R667" s="84" t="n"/>
      <c r="S667" s="84" t="n"/>
      <c r="T667" s="84" t="n"/>
      <c r="U667" s="84" t="n"/>
      <c r="V667" s="84" t="n"/>
      <c r="W667" s="84" t="n"/>
      <c r="X667" s="84" t="n"/>
      <c r="Y667" s="84" t="n"/>
      <c r="Z667" s="84" t="n"/>
      <c r="AA667" s="84" t="n"/>
      <c r="AB667" s="84" t="n"/>
      <c r="AC667" s="84" t="n"/>
      <c r="AD667" s="84" t="n"/>
    </row>
    <row r="668" ht="16.5" customHeight="1" s="176">
      <c r="A668" s="122" t="inlineStr">
        <is>
          <t>Talla Niño (alfa US Youth)</t>
        </is>
      </c>
      <c r="B668" s="123" t="n">
        <v>6</v>
      </c>
      <c r="C668" s="123" t="inlineStr">
        <is>
          <t>S</t>
        </is>
      </c>
      <c r="D668" s="122" t="inlineStr">
        <is>
          <t>Etiqueta US Youth S = 6-7 años. En WB Talla va la edad; en US la letra.</t>
        </is>
      </c>
      <c r="E668" s="183" t="n"/>
      <c r="F668" s="84" t="n"/>
      <c r="G668" s="84" t="n"/>
      <c r="H668" s="84" t="n"/>
      <c r="I668" s="84" t="n"/>
      <c r="J668" s="84" t="n"/>
      <c r="K668" s="84" t="n"/>
      <c r="L668" s="84" t="n"/>
      <c r="M668" s="84" t="n"/>
      <c r="N668" s="84" t="n"/>
      <c r="O668" s="84" t="n"/>
      <c r="P668" s="84" t="n"/>
      <c r="Q668" s="84" t="n"/>
      <c r="R668" s="84" t="n"/>
      <c r="S668" s="84" t="n"/>
      <c r="T668" s="84" t="n"/>
      <c r="U668" s="84" t="n"/>
      <c r="V668" s="84" t="n"/>
      <c r="W668" s="84" t="n"/>
      <c r="X668" s="84" t="n"/>
      <c r="Y668" s="84" t="n"/>
      <c r="Z668" s="84" t="n"/>
      <c r="AA668" s="84" t="n"/>
      <c r="AB668" s="84" t="n"/>
      <c r="AC668" s="84" t="n"/>
      <c r="AD668" s="84" t="n"/>
    </row>
    <row r="669" ht="16.5" customHeight="1" s="176">
      <c r="A669" s="122" t="inlineStr">
        <is>
          <t>Talla Niño (alfa US Youth)</t>
        </is>
      </c>
      <c r="B669" s="123" t="n">
        <v>8</v>
      </c>
      <c r="C669" s="123" t="inlineStr">
        <is>
          <t>M</t>
        </is>
      </c>
      <c r="D669" s="122" t="inlineStr">
        <is>
          <t>Etiqueta US Youth M = 8-9 años. En WB Talla va la edad; en US la letra.</t>
        </is>
      </c>
      <c r="E669" s="183" t="n"/>
      <c r="F669" s="84" t="n"/>
      <c r="G669" s="84" t="n"/>
      <c r="H669" s="84" t="n"/>
      <c r="I669" s="84" t="n"/>
      <c r="J669" s="84" t="n"/>
      <c r="K669" s="84" t="n"/>
      <c r="L669" s="84" t="n"/>
      <c r="M669" s="84" t="n"/>
      <c r="N669" s="84" t="n"/>
      <c r="O669" s="84" t="n"/>
      <c r="P669" s="84" t="n"/>
      <c r="Q669" s="84" t="n"/>
      <c r="R669" s="84" t="n"/>
      <c r="S669" s="84" t="n"/>
      <c r="T669" s="84" t="n"/>
      <c r="U669" s="84" t="n"/>
      <c r="V669" s="84" t="n"/>
      <c r="W669" s="84" t="n"/>
      <c r="X669" s="84" t="n"/>
      <c r="Y669" s="84" t="n"/>
      <c r="Z669" s="84" t="n"/>
      <c r="AA669" s="84" t="n"/>
      <c r="AB669" s="84" t="n"/>
      <c r="AC669" s="84" t="n"/>
      <c r="AD669" s="84" t="n"/>
    </row>
    <row r="670" ht="16.5" customHeight="1" s="176">
      <c r="A670" s="122" t="inlineStr">
        <is>
          <t>Talla Niño (alfa US Youth)</t>
        </is>
      </c>
      <c r="B670" s="124" t="inlineStr">
        <is>
          <t>10-12</t>
        </is>
      </c>
      <c r="C670" s="123" t="inlineStr">
        <is>
          <t>L</t>
        </is>
      </c>
      <c r="D670" s="122" t="inlineStr">
        <is>
          <t>Etiqueta US Youth L = 10-12 años. En WB Talla va la edad; en US la letra.</t>
        </is>
      </c>
      <c r="E670" s="183" t="n"/>
      <c r="F670" s="84" t="n"/>
      <c r="G670" s="84" t="n"/>
      <c r="H670" s="84" t="n"/>
      <c r="I670" s="84" t="n"/>
      <c r="J670" s="84" t="n"/>
      <c r="K670" s="84" t="n"/>
      <c r="L670" s="84" t="n"/>
      <c r="M670" s="84" t="n"/>
      <c r="N670" s="84" t="n"/>
      <c r="O670" s="84" t="n"/>
      <c r="P670" s="84" t="n"/>
      <c r="Q670" s="84" t="n"/>
      <c r="R670" s="84" t="n"/>
      <c r="S670" s="84" t="n"/>
      <c r="T670" s="84" t="n"/>
      <c r="U670" s="84" t="n"/>
      <c r="V670" s="84" t="n"/>
      <c r="W670" s="84" t="n"/>
      <c r="X670" s="84" t="n"/>
      <c r="Y670" s="84" t="n"/>
      <c r="Z670" s="84" t="n"/>
      <c r="AA670" s="84" t="n"/>
      <c r="AB670" s="84" t="n"/>
      <c r="AC670" s="84" t="n"/>
      <c r="AD670" s="84" t="n"/>
    </row>
    <row r="671" ht="16.5" customHeight="1" s="176">
      <c r="A671" s="122" t="inlineStr">
        <is>
          <t>Talla Niño (alfa US Youth)</t>
        </is>
      </c>
      <c r="B671" s="123" t="inlineStr">
        <is>
          <t>14-16</t>
        </is>
      </c>
      <c r="C671" s="123" t="inlineStr">
        <is>
          <t>XL</t>
        </is>
      </c>
      <c r="D671" s="122" t="inlineStr">
        <is>
          <t>Etiqueta US Youth XL = 14-16 años. En WB Talla va la edad; en US la letra.</t>
        </is>
      </c>
      <c r="E671" s="183" t="n"/>
      <c r="F671" s="84" t="n"/>
      <c r="G671" s="84" t="n"/>
      <c r="H671" s="84" t="n"/>
      <c r="I671" s="84" t="n"/>
      <c r="J671" s="84" t="n"/>
      <c r="K671" s="84" t="n"/>
      <c r="L671" s="84" t="n"/>
      <c r="M671" s="84" t="n"/>
      <c r="N671" s="84" t="n"/>
      <c r="O671" s="84" t="n"/>
      <c r="P671" s="84" t="n"/>
      <c r="Q671" s="84" t="n"/>
      <c r="R671" s="84" t="n"/>
      <c r="S671" s="84" t="n"/>
      <c r="T671" s="84" t="n"/>
      <c r="U671" s="84" t="n"/>
      <c r="V671" s="84" t="n"/>
      <c r="W671" s="84" t="n"/>
      <c r="X671" s="84" t="n"/>
      <c r="Y671" s="84" t="n"/>
      <c r="Z671" s="84" t="n"/>
      <c r="AA671" s="84" t="n"/>
      <c r="AB671" s="84" t="n"/>
      <c r="AC671" s="84" t="n"/>
      <c r="AD671" s="84" t="n"/>
    </row>
    <row r="672" ht="16.5" customHeight="1" s="176">
      <c r="A672" s="122" t="inlineStr">
        <is>
          <t>Talla Niño (jeans cintura)</t>
        </is>
      </c>
      <c r="B672" s="123" t="n">
        <v>22</v>
      </c>
      <c r="C672" s="123" t="inlineStr">
        <is>
          <t>22W</t>
        </is>
      </c>
      <c r="D672" s="122" t="inlineStr">
        <is>
          <t>Solo si la etiqueta trae cintura en pulgadas; mostrar la edad como apoyo.</t>
        </is>
      </c>
      <c r="E672" s="183" t="n"/>
      <c r="F672" s="84" t="n"/>
      <c r="G672" s="84" t="n"/>
      <c r="H672" s="84" t="n"/>
      <c r="I672" s="84" t="n"/>
      <c r="J672" s="84" t="n"/>
      <c r="K672" s="84" t="n"/>
      <c r="L672" s="84" t="n"/>
      <c r="M672" s="84" t="n"/>
      <c r="N672" s="84" t="n"/>
      <c r="O672" s="84" t="n"/>
      <c r="P672" s="84" t="n"/>
      <c r="Q672" s="84" t="n"/>
      <c r="R672" s="84" t="n"/>
      <c r="S672" s="84" t="n"/>
      <c r="T672" s="84" t="n"/>
      <c r="U672" s="84" t="n"/>
      <c r="V672" s="84" t="n"/>
      <c r="W672" s="84" t="n"/>
      <c r="X672" s="84" t="n"/>
      <c r="Y672" s="84" t="n"/>
      <c r="Z672" s="84" t="n"/>
      <c r="AA672" s="84" t="n"/>
      <c r="AB672" s="84" t="n"/>
      <c r="AC672" s="84" t="n"/>
      <c r="AD672" s="84" t="n"/>
    </row>
    <row r="673" ht="16.5" customHeight="1" s="176">
      <c r="A673" s="122" t="inlineStr">
        <is>
          <t>Talla Niño (jeans cintura)</t>
        </is>
      </c>
      <c r="B673" s="123" t="n">
        <v>23</v>
      </c>
      <c r="C673" s="123" t="inlineStr">
        <is>
          <t>23W</t>
        </is>
      </c>
      <c r="D673" s="122" t="inlineStr">
        <is>
          <t>Igual</t>
        </is>
      </c>
      <c r="E673" s="183" t="n"/>
      <c r="F673" s="84" t="n"/>
      <c r="G673" s="84" t="n"/>
      <c r="H673" s="84" t="n"/>
      <c r="I673" s="84" t="n"/>
      <c r="J673" s="84" t="n"/>
      <c r="K673" s="84" t="n"/>
      <c r="L673" s="84" t="n"/>
      <c r="M673" s="84" t="n"/>
      <c r="N673" s="84" t="n"/>
      <c r="O673" s="84" t="n"/>
      <c r="P673" s="84" t="n"/>
      <c r="Q673" s="84" t="n"/>
      <c r="R673" s="84" t="n"/>
      <c r="S673" s="84" t="n"/>
      <c r="T673" s="84" t="n"/>
      <c r="U673" s="84" t="n"/>
      <c r="V673" s="84" t="n"/>
      <c r="W673" s="84" t="n"/>
      <c r="X673" s="84" t="n"/>
      <c r="Y673" s="84" t="n"/>
      <c r="Z673" s="84" t="n"/>
      <c r="AA673" s="84" t="n"/>
      <c r="AB673" s="84" t="n"/>
      <c r="AC673" s="84" t="n"/>
      <c r="AD673" s="84" t="n"/>
    </row>
    <row r="674" ht="16.5" customHeight="1" s="176">
      <c r="A674" s="122" t="inlineStr">
        <is>
          <t>Talla Niño (jeans cintura)</t>
        </is>
      </c>
      <c r="B674" s="123" t="n">
        <v>24</v>
      </c>
      <c r="C674" s="123" t="inlineStr">
        <is>
          <t>24W</t>
        </is>
      </c>
      <c r="D674" s="122" t="inlineStr">
        <is>
          <t>Igual</t>
        </is>
      </c>
      <c r="E674" s="183" t="n"/>
      <c r="F674" s="84" t="n"/>
      <c r="G674" s="84" t="n"/>
      <c r="H674" s="84" t="n"/>
      <c r="I674" s="84" t="n"/>
      <c r="J674" s="84" t="n"/>
      <c r="K674" s="84" t="n"/>
      <c r="L674" s="84" t="n"/>
      <c r="M674" s="84" t="n"/>
      <c r="N674" s="84" t="n"/>
      <c r="O674" s="84" t="n"/>
      <c r="P674" s="84" t="n"/>
      <c r="Q674" s="84" t="n"/>
      <c r="R674" s="84" t="n"/>
      <c r="S674" s="84" t="n"/>
      <c r="T674" s="84" t="n"/>
      <c r="U674" s="84" t="n"/>
      <c r="V674" s="84" t="n"/>
      <c r="W674" s="84" t="n"/>
      <c r="X674" s="84" t="n"/>
      <c r="Y674" s="84" t="n"/>
      <c r="Z674" s="84" t="n"/>
      <c r="AA674" s="84" t="n"/>
      <c r="AB674" s="84" t="n"/>
      <c r="AC674" s="84" t="n"/>
      <c r="AD674" s="84" t="n"/>
    </row>
    <row r="675" ht="16.5" customHeight="1" s="176">
      <c r="A675" s="122" t="inlineStr">
        <is>
          <t>Talla Niño (jeans cintura)</t>
        </is>
      </c>
      <c r="B675" s="123" t="n">
        <v>25</v>
      </c>
      <c r="C675" s="123" t="inlineStr">
        <is>
          <t>25W</t>
        </is>
      </c>
      <c r="D675" s="122" t="inlineStr">
        <is>
          <t>Igual</t>
        </is>
      </c>
      <c r="E675" s="183" t="n"/>
      <c r="F675" s="84" t="n"/>
      <c r="G675" s="84" t="n"/>
      <c r="H675" s="84" t="n"/>
      <c r="I675" s="84" t="n"/>
      <c r="J675" s="84" t="n"/>
      <c r="K675" s="84" t="n"/>
      <c r="L675" s="84" t="n"/>
      <c r="M675" s="84" t="n"/>
      <c r="N675" s="84" t="n"/>
      <c r="O675" s="84" t="n"/>
      <c r="P675" s="84" t="n"/>
      <c r="Q675" s="84" t="n"/>
      <c r="R675" s="84" t="n"/>
      <c r="S675" s="84" t="n"/>
      <c r="T675" s="84" t="n"/>
      <c r="U675" s="84" t="n"/>
      <c r="V675" s="84" t="n"/>
      <c r="W675" s="84" t="n"/>
      <c r="X675" s="84" t="n"/>
      <c r="Y675" s="84" t="n"/>
      <c r="Z675" s="84" t="n"/>
      <c r="AA675" s="84" t="n"/>
      <c r="AB675" s="84" t="n"/>
      <c r="AC675" s="84" t="n"/>
      <c r="AD675" s="84" t="n"/>
    </row>
    <row r="676" ht="16.5" customHeight="1" s="176">
      <c r="A676" s="122" t="inlineStr">
        <is>
          <t>Talla Niño (jeans cintura)</t>
        </is>
      </c>
      <c r="B676" s="123" t="n">
        <v>26</v>
      </c>
      <c r="C676" s="123" t="inlineStr">
        <is>
          <t>26W</t>
        </is>
      </c>
      <c r="D676" s="122" t="inlineStr">
        <is>
          <t>Igual</t>
        </is>
      </c>
      <c r="E676" s="183" t="n"/>
      <c r="F676" s="84" t="n"/>
      <c r="G676" s="84" t="n"/>
      <c r="H676" s="84" t="n"/>
      <c r="I676" s="84" t="n"/>
      <c r="J676" s="84" t="n"/>
      <c r="K676" s="84" t="n"/>
      <c r="L676" s="84" t="n"/>
      <c r="M676" s="84" t="n"/>
      <c r="N676" s="84" t="n"/>
      <c r="O676" s="84" t="n"/>
      <c r="P676" s="84" t="n"/>
      <c r="Q676" s="84" t="n"/>
      <c r="R676" s="84" t="n"/>
      <c r="S676" s="84" t="n"/>
      <c r="T676" s="84" t="n"/>
      <c r="U676" s="84" t="n"/>
      <c r="V676" s="84" t="n"/>
      <c r="W676" s="84" t="n"/>
      <c r="X676" s="84" t="n"/>
      <c r="Y676" s="84" t="n"/>
      <c r="Z676" s="84" t="n"/>
      <c r="AA676" s="84" t="n"/>
      <c r="AB676" s="84" t="n"/>
      <c r="AC676" s="84" t="n"/>
      <c r="AD676" s="84" t="n"/>
    </row>
    <row r="677" ht="30" customHeight="1" s="176">
      <c r="A677" s="122" t="inlineStr">
        <is>
          <t>Talla Calcetín</t>
        </is>
      </c>
      <c r="B677" s="123" t="inlineStr">
        <is>
          <t>S</t>
        </is>
      </c>
      <c r="C677" s="123" t="inlineStr">
        <is>
          <t>S</t>
        </is>
      </c>
      <c r="D677" s="122" t="inlineStr">
        <is>
          <t>Por rango de calzado: MX 21–23 (Calzado Dama US 4–6). Calcetín sin talla → Talla única / One Size.</t>
        </is>
      </c>
      <c r="E677" s="183" t="n"/>
      <c r="F677" s="84" t="n"/>
      <c r="G677" s="84" t="n"/>
      <c r="H677" s="84" t="n"/>
      <c r="I677" s="84" t="n"/>
      <c r="J677" s="84" t="n"/>
      <c r="K677" s="84" t="n"/>
      <c r="L677" s="84" t="n"/>
      <c r="M677" s="84" t="n"/>
      <c r="N677" s="84" t="n"/>
      <c r="O677" s="84" t="n"/>
      <c r="P677" s="84" t="n"/>
      <c r="Q677" s="84" t="n"/>
      <c r="R677" s="84" t="n"/>
      <c r="S677" s="84" t="n"/>
      <c r="T677" s="84" t="n"/>
      <c r="U677" s="84" t="n"/>
      <c r="V677" s="84" t="n"/>
      <c r="W677" s="84" t="n"/>
      <c r="X677" s="84" t="n"/>
      <c r="Y677" s="84" t="n"/>
      <c r="Z677" s="84" t="n"/>
      <c r="AA677" s="84" t="n"/>
      <c r="AB677" s="84" t="n"/>
      <c r="AC677" s="84" t="n"/>
      <c r="AD677" s="84" t="n"/>
    </row>
    <row r="678" ht="30" customHeight="1" s="176">
      <c r="A678" s="122" t="inlineStr">
        <is>
          <t>Talla Calcetín</t>
        </is>
      </c>
      <c r="B678" s="123" t="inlineStr">
        <is>
          <t>M</t>
        </is>
      </c>
      <c r="C678" s="123" t="inlineStr">
        <is>
          <t>M</t>
        </is>
      </c>
      <c r="D678" s="122" t="inlineStr">
        <is>
          <t>Por rango de calzado: MX 23–26 (Dama US 6–10 / Caballero US 6–8). Calcetín sin talla → Talla única / One Size.</t>
        </is>
      </c>
      <c r="E678" s="183" t="n"/>
      <c r="F678" s="84" t="n"/>
      <c r="G678" s="84" t="n"/>
      <c r="H678" s="84" t="n"/>
      <c r="I678" s="84" t="n"/>
      <c r="J678" s="84" t="n"/>
      <c r="K678" s="84" t="n"/>
      <c r="L678" s="84" t="n"/>
      <c r="M678" s="84" t="n"/>
      <c r="N678" s="84" t="n"/>
      <c r="O678" s="84" t="n"/>
      <c r="P678" s="84" t="n"/>
      <c r="Q678" s="84" t="n"/>
      <c r="R678" s="84" t="n"/>
      <c r="S678" s="84" t="n"/>
      <c r="T678" s="84" t="n"/>
      <c r="U678" s="84" t="n"/>
      <c r="V678" s="84" t="n"/>
      <c r="W678" s="84" t="n"/>
      <c r="X678" s="84" t="n"/>
      <c r="Y678" s="84" t="n"/>
      <c r="Z678" s="84" t="n"/>
      <c r="AA678" s="84" t="n"/>
      <c r="AB678" s="84" t="n"/>
      <c r="AC678" s="84" t="n"/>
      <c r="AD678" s="84" t="n"/>
    </row>
    <row r="679" ht="30" customHeight="1" s="176">
      <c r="A679" s="122" t="inlineStr">
        <is>
          <t>Talla Calcetín</t>
        </is>
      </c>
      <c r="B679" s="123" t="inlineStr">
        <is>
          <t>L</t>
        </is>
      </c>
      <c r="C679" s="123" t="inlineStr">
        <is>
          <t>L</t>
        </is>
      </c>
      <c r="D679" s="122" t="inlineStr">
        <is>
          <t>Por rango de calzado: MX 26–30 (Dama US 10–13 / Caballero US 8–12). Calcetín sin talla → Talla única / One Size.</t>
        </is>
      </c>
      <c r="E679" s="183" t="n"/>
      <c r="F679" s="84" t="n"/>
      <c r="G679" s="84" t="n"/>
      <c r="H679" s="84" t="n"/>
      <c r="I679" s="84" t="n"/>
      <c r="J679" s="84" t="n"/>
      <c r="K679" s="84" t="n"/>
      <c r="L679" s="84" t="n"/>
      <c r="M679" s="84" t="n"/>
      <c r="N679" s="84" t="n"/>
      <c r="O679" s="84" t="n"/>
      <c r="P679" s="84" t="n"/>
      <c r="Q679" s="84" t="n"/>
      <c r="R679" s="84" t="n"/>
      <c r="S679" s="84" t="n"/>
      <c r="T679" s="84" t="n"/>
      <c r="U679" s="84" t="n"/>
      <c r="V679" s="84" t="n"/>
      <c r="W679" s="84" t="n"/>
      <c r="X679" s="84" t="n"/>
      <c r="Y679" s="84" t="n"/>
      <c r="Z679" s="84" t="n"/>
      <c r="AA679" s="84" t="n"/>
      <c r="AB679" s="84" t="n"/>
      <c r="AC679" s="84" t="n"/>
      <c r="AD679" s="84" t="n"/>
    </row>
    <row r="680" ht="30" customHeight="1" s="176">
      <c r="A680" s="122" t="inlineStr">
        <is>
          <t>Talla Calcetín</t>
        </is>
      </c>
      <c r="B680" s="123" t="inlineStr">
        <is>
          <t>XL</t>
        </is>
      </c>
      <c r="C680" s="123" t="inlineStr">
        <is>
          <t>XL</t>
        </is>
      </c>
      <c r="D680" s="122" t="inlineStr">
        <is>
          <t>Por rango de calzado: MX 30–33 (Caballero US 12–15). Calcetín sin talla → Talla única / One Size.</t>
        </is>
      </c>
      <c r="E680" s="183" t="n"/>
      <c r="F680" s="84" t="n"/>
      <c r="G680" s="84" t="n"/>
      <c r="H680" s="84" t="n"/>
      <c r="I680" s="84" t="n"/>
      <c r="J680" s="84" t="n"/>
      <c r="K680" s="84" t="n"/>
      <c r="L680" s="84" t="n"/>
      <c r="M680" s="84" t="n"/>
      <c r="N680" s="84" t="n"/>
      <c r="O680" s="84" t="n"/>
      <c r="P680" s="84" t="n"/>
      <c r="Q680" s="84" t="n"/>
      <c r="R680" s="84" t="n"/>
      <c r="S680" s="84" t="n"/>
      <c r="T680" s="84" t="n"/>
      <c r="U680" s="84" t="n"/>
      <c r="V680" s="84" t="n"/>
      <c r="W680" s="84" t="n"/>
      <c r="X680" s="84" t="n"/>
      <c r="Y680" s="84" t="n"/>
      <c r="Z680" s="84" t="n"/>
      <c r="AA680" s="84" t="n"/>
      <c r="AB680" s="84" t="n"/>
      <c r="AC680" s="84" t="n"/>
      <c r="AD680" s="84" t="n"/>
    </row>
    <row r="681" ht="16.5" customHeight="1" s="176">
      <c r="A681" s="122" t="inlineStr">
        <is>
          <t>Talla Short Hombre</t>
        </is>
      </c>
      <c r="B681" s="123" t="n">
        <v>27</v>
      </c>
      <c r="C681" s="123" t="inlineStr">
        <is>
          <t>27W</t>
        </is>
      </c>
      <c r="D681" s="122" t="inlineStr">
        <is>
          <t>Igual</t>
        </is>
      </c>
      <c r="E681" s="183" t="n"/>
      <c r="F681" s="84" t="n"/>
      <c r="G681" s="84" t="n"/>
      <c r="H681" s="84" t="n"/>
      <c r="I681" s="84" t="n"/>
      <c r="J681" s="84" t="n"/>
      <c r="K681" s="84" t="n"/>
      <c r="L681" s="84" t="n"/>
      <c r="M681" s="84" t="n"/>
      <c r="N681" s="84" t="n"/>
      <c r="O681" s="84" t="n"/>
      <c r="P681" s="84" t="n"/>
      <c r="Q681" s="84" t="n"/>
      <c r="R681" s="84" t="n"/>
      <c r="S681" s="84" t="n"/>
      <c r="T681" s="84" t="n"/>
      <c r="U681" s="84" t="n"/>
      <c r="V681" s="84" t="n"/>
      <c r="W681" s="84" t="n"/>
      <c r="X681" s="84" t="n"/>
      <c r="Y681" s="84" t="n"/>
      <c r="Z681" s="84" t="n"/>
      <c r="AA681" s="84" t="n"/>
      <c r="AB681" s="84" t="n"/>
      <c r="AC681" s="84" t="n"/>
      <c r="AD681" s="84" t="n"/>
    </row>
    <row r="682" ht="16.5" customHeight="1" s="176">
      <c r="A682" s="122" t="inlineStr">
        <is>
          <t>Talla Short Hombre</t>
        </is>
      </c>
      <c r="B682" s="123" t="n">
        <v>28</v>
      </c>
      <c r="C682" s="123" t="inlineStr">
        <is>
          <t>28W</t>
        </is>
      </c>
      <c r="D682" s="122" t="inlineStr">
        <is>
          <t>Solo cintura en pulgadas (el short no lleva largo).</t>
        </is>
      </c>
      <c r="E682" s="183" t="n"/>
      <c r="F682" s="84" t="n"/>
      <c r="G682" s="84" t="n"/>
      <c r="H682" s="84" t="n"/>
      <c r="I682" s="84" t="n"/>
      <c r="J682" s="84" t="n"/>
      <c r="K682" s="84" t="n"/>
      <c r="L682" s="84" t="n"/>
      <c r="M682" s="84" t="n"/>
      <c r="N682" s="84" t="n"/>
      <c r="O682" s="84" t="n"/>
      <c r="P682" s="84" t="n"/>
      <c r="Q682" s="84" t="n"/>
      <c r="R682" s="84" t="n"/>
      <c r="S682" s="84" t="n"/>
      <c r="T682" s="84" t="n"/>
      <c r="U682" s="84" t="n"/>
      <c r="V682" s="84" t="n"/>
      <c r="W682" s="84" t="n"/>
      <c r="X682" s="84" t="n"/>
      <c r="Y682" s="84" t="n"/>
      <c r="Z682" s="84" t="n"/>
      <c r="AA682" s="84" t="n"/>
      <c r="AB682" s="84" t="n"/>
      <c r="AC682" s="84" t="n"/>
      <c r="AD682" s="84" t="n"/>
    </row>
    <row r="683" ht="16.5" customHeight="1" s="176">
      <c r="A683" s="122" t="inlineStr">
        <is>
          <t>Talla Short Hombre</t>
        </is>
      </c>
      <c r="B683" s="123" t="n">
        <v>29</v>
      </c>
      <c r="C683" s="123" t="inlineStr">
        <is>
          <t>29W</t>
        </is>
      </c>
      <c r="D683" s="122" t="inlineStr">
        <is>
          <t>Igual</t>
        </is>
      </c>
      <c r="E683" s="183" t="n"/>
      <c r="F683" s="84" t="n"/>
      <c r="G683" s="84" t="n"/>
      <c r="H683" s="84" t="n"/>
      <c r="I683" s="84" t="n"/>
      <c r="J683" s="84" t="n"/>
      <c r="K683" s="84" t="n"/>
      <c r="L683" s="84" t="n"/>
      <c r="M683" s="84" t="n"/>
      <c r="N683" s="84" t="n"/>
      <c r="O683" s="84" t="n"/>
      <c r="P683" s="84" t="n"/>
      <c r="Q683" s="84" t="n"/>
      <c r="R683" s="84" t="n"/>
      <c r="S683" s="84" t="n"/>
      <c r="T683" s="84" t="n"/>
      <c r="U683" s="84" t="n"/>
      <c r="V683" s="84" t="n"/>
      <c r="W683" s="84" t="n"/>
      <c r="X683" s="84" t="n"/>
      <c r="Y683" s="84" t="n"/>
      <c r="Z683" s="84" t="n"/>
      <c r="AA683" s="84" t="n"/>
      <c r="AB683" s="84" t="n"/>
      <c r="AC683" s="84" t="n"/>
      <c r="AD683" s="84" t="n"/>
    </row>
    <row r="684" ht="16.5" customHeight="1" s="176">
      <c r="A684" s="122" t="inlineStr">
        <is>
          <t>Talla Short Hombre</t>
        </is>
      </c>
      <c r="B684" s="123" t="n">
        <v>30</v>
      </c>
      <c r="C684" s="123" t="inlineStr">
        <is>
          <t>30W</t>
        </is>
      </c>
      <c r="D684" s="122" t="inlineStr">
        <is>
          <t>Igual</t>
        </is>
      </c>
      <c r="E684" s="183" t="n"/>
      <c r="F684" s="84" t="n"/>
      <c r="G684" s="84" t="n"/>
      <c r="H684" s="84" t="n"/>
      <c r="I684" s="84" t="n"/>
      <c r="J684" s="84" t="n"/>
      <c r="K684" s="84" t="n"/>
      <c r="L684" s="84" t="n"/>
      <c r="M684" s="84" t="n"/>
      <c r="N684" s="84" t="n"/>
      <c r="O684" s="84" t="n"/>
      <c r="P684" s="84" t="n"/>
      <c r="Q684" s="84" t="n"/>
      <c r="R684" s="84" t="n"/>
      <c r="S684" s="84" t="n"/>
      <c r="T684" s="84" t="n"/>
      <c r="U684" s="84" t="n"/>
      <c r="V684" s="84" t="n"/>
      <c r="W684" s="84" t="n"/>
      <c r="X684" s="84" t="n"/>
      <c r="Y684" s="84" t="n"/>
      <c r="Z684" s="84" t="n"/>
      <c r="AA684" s="84" t="n"/>
      <c r="AB684" s="84" t="n"/>
      <c r="AC684" s="84" t="n"/>
      <c r="AD684" s="84" t="n"/>
    </row>
    <row r="685" ht="16.5" customHeight="1" s="176">
      <c r="A685" s="122" t="inlineStr">
        <is>
          <t>Talla Short Hombre</t>
        </is>
      </c>
      <c r="B685" s="123" t="n">
        <v>31</v>
      </c>
      <c r="C685" s="123" t="inlineStr">
        <is>
          <t>31W</t>
        </is>
      </c>
      <c r="D685" s="122" t="inlineStr">
        <is>
          <t>Igual</t>
        </is>
      </c>
      <c r="E685" s="183" t="n"/>
      <c r="F685" s="84" t="n"/>
      <c r="G685" s="84" t="n"/>
      <c r="H685" s="84" t="n"/>
      <c r="I685" s="84" t="n"/>
      <c r="J685" s="84" t="n"/>
      <c r="K685" s="84" t="n"/>
      <c r="L685" s="84" t="n"/>
      <c r="M685" s="84" t="n"/>
      <c r="N685" s="84" t="n"/>
      <c r="O685" s="84" t="n"/>
      <c r="P685" s="84" t="n"/>
      <c r="Q685" s="84" t="n"/>
      <c r="R685" s="84" t="n"/>
      <c r="S685" s="84" t="n"/>
      <c r="T685" s="84" t="n"/>
      <c r="U685" s="84" t="n"/>
      <c r="V685" s="84" t="n"/>
      <c r="W685" s="84" t="n"/>
      <c r="X685" s="84" t="n"/>
      <c r="Y685" s="84" t="n"/>
      <c r="Z685" s="84" t="n"/>
      <c r="AA685" s="84" t="n"/>
      <c r="AB685" s="84" t="n"/>
      <c r="AC685" s="84" t="n"/>
      <c r="AD685" s="84" t="n"/>
    </row>
    <row r="686" ht="16.5" customHeight="1" s="176">
      <c r="A686" s="122" t="inlineStr">
        <is>
          <t>Talla Short Hombre</t>
        </is>
      </c>
      <c r="B686" s="123" t="n">
        <v>32</v>
      </c>
      <c r="C686" s="123" t="inlineStr">
        <is>
          <t>32W</t>
        </is>
      </c>
      <c r="D686" s="122" t="inlineStr">
        <is>
          <t>Igual</t>
        </is>
      </c>
      <c r="E686" s="183" t="n"/>
      <c r="F686" s="84" t="n"/>
      <c r="G686" s="84" t="n"/>
      <c r="H686" s="84" t="n"/>
      <c r="I686" s="84" t="n"/>
      <c r="J686" s="84" t="n"/>
      <c r="K686" s="84" t="n"/>
      <c r="L686" s="84" t="n"/>
      <c r="M686" s="84" t="n"/>
      <c r="N686" s="84" t="n"/>
      <c r="O686" s="84" t="n"/>
      <c r="P686" s="84" t="n"/>
      <c r="Q686" s="84" t="n"/>
      <c r="R686" s="84" t="n"/>
      <c r="S686" s="84" t="n"/>
      <c r="T686" s="84" t="n"/>
      <c r="U686" s="84" t="n"/>
      <c r="V686" s="84" t="n"/>
      <c r="W686" s="84" t="n"/>
      <c r="X686" s="84" t="n"/>
      <c r="Y686" s="84" t="n"/>
      <c r="Z686" s="84" t="n"/>
      <c r="AA686" s="84" t="n"/>
      <c r="AB686" s="84" t="n"/>
      <c r="AC686" s="84" t="n"/>
      <c r="AD686" s="84" t="n"/>
    </row>
    <row r="687" ht="16.5" customHeight="1" s="176">
      <c r="A687" s="122" t="inlineStr">
        <is>
          <t>Talla Short Hombre</t>
        </is>
      </c>
      <c r="B687" s="123" t="n">
        <v>33</v>
      </c>
      <c r="C687" s="123" t="inlineStr">
        <is>
          <t>33W</t>
        </is>
      </c>
      <c r="D687" s="122" t="inlineStr">
        <is>
          <t>Igual</t>
        </is>
      </c>
      <c r="E687" s="183" t="n"/>
      <c r="F687" s="84" t="n"/>
      <c r="G687" s="84" t="n"/>
      <c r="H687" s="84" t="n"/>
      <c r="I687" s="84" t="n"/>
      <c r="J687" s="84" t="n"/>
      <c r="K687" s="84" t="n"/>
      <c r="L687" s="84" t="n"/>
      <c r="M687" s="84" t="n"/>
      <c r="N687" s="84" t="n"/>
      <c r="O687" s="84" t="n"/>
      <c r="P687" s="84" t="n"/>
      <c r="Q687" s="84" t="n"/>
      <c r="R687" s="84" t="n"/>
      <c r="S687" s="84" t="n"/>
      <c r="T687" s="84" t="n"/>
      <c r="U687" s="84" t="n"/>
      <c r="V687" s="84" t="n"/>
      <c r="W687" s="84" t="n"/>
      <c r="X687" s="84" t="n"/>
      <c r="Y687" s="84" t="n"/>
      <c r="Z687" s="84" t="n"/>
      <c r="AA687" s="84" t="n"/>
      <c r="AB687" s="84" t="n"/>
      <c r="AC687" s="84" t="n"/>
      <c r="AD687" s="84" t="n"/>
    </row>
    <row r="688" ht="16.5" customHeight="1" s="176">
      <c r="A688" s="122" t="inlineStr">
        <is>
          <t>Talla Short Hombre</t>
        </is>
      </c>
      <c r="B688" s="123" t="n">
        <v>34</v>
      </c>
      <c r="C688" s="123" t="inlineStr">
        <is>
          <t>34W</t>
        </is>
      </c>
      <c r="D688" s="122" t="inlineStr">
        <is>
          <t>Igual</t>
        </is>
      </c>
      <c r="E688" s="183" t="n"/>
      <c r="F688" s="84" t="n"/>
      <c r="G688" s="84" t="n"/>
      <c r="H688" s="84" t="n"/>
      <c r="I688" s="84" t="n"/>
      <c r="J688" s="84" t="n"/>
      <c r="K688" s="84" t="n"/>
      <c r="L688" s="84" t="n"/>
      <c r="M688" s="84" t="n"/>
      <c r="N688" s="84" t="n"/>
      <c r="O688" s="84" t="n"/>
      <c r="P688" s="84" t="n"/>
      <c r="Q688" s="84" t="n"/>
      <c r="R688" s="84" t="n"/>
      <c r="S688" s="84" t="n"/>
      <c r="T688" s="84" t="n"/>
      <c r="U688" s="84" t="n"/>
      <c r="V688" s="84" t="n"/>
      <c r="W688" s="84" t="n"/>
      <c r="X688" s="84" t="n"/>
      <c r="Y688" s="84" t="n"/>
      <c r="Z688" s="84" t="n"/>
      <c r="AA688" s="84" t="n"/>
      <c r="AB688" s="84" t="n"/>
      <c r="AC688" s="84" t="n"/>
      <c r="AD688" s="84" t="n"/>
    </row>
    <row r="689" ht="16.5" customHeight="1" s="176">
      <c r="A689" s="122" t="inlineStr">
        <is>
          <t>Talla Short Hombre</t>
        </is>
      </c>
      <c r="B689" s="123" t="n">
        <v>35</v>
      </c>
      <c r="C689" s="123" t="inlineStr">
        <is>
          <t>35W</t>
        </is>
      </c>
      <c r="D689" s="122" t="inlineStr">
        <is>
          <t>Igual</t>
        </is>
      </c>
      <c r="E689" s="183" t="n"/>
      <c r="F689" s="84" t="n"/>
      <c r="G689" s="84" t="n"/>
      <c r="H689" s="84" t="n"/>
      <c r="I689" s="84" t="n"/>
      <c r="J689" s="84" t="n"/>
      <c r="K689" s="84" t="n"/>
      <c r="L689" s="84" t="n"/>
      <c r="M689" s="84" t="n"/>
      <c r="N689" s="84" t="n"/>
      <c r="O689" s="84" t="n"/>
      <c r="P689" s="84" t="n"/>
      <c r="Q689" s="84" t="n"/>
      <c r="R689" s="84" t="n"/>
      <c r="S689" s="84" t="n"/>
      <c r="T689" s="84" t="n"/>
      <c r="U689" s="84" t="n"/>
      <c r="V689" s="84" t="n"/>
      <c r="W689" s="84" t="n"/>
      <c r="X689" s="84" t="n"/>
      <c r="Y689" s="84" t="n"/>
      <c r="Z689" s="84" t="n"/>
      <c r="AA689" s="84" t="n"/>
      <c r="AB689" s="84" t="n"/>
      <c r="AC689" s="84" t="n"/>
      <c r="AD689" s="84" t="n"/>
    </row>
    <row r="690" ht="16.5" customHeight="1" s="176">
      <c r="A690" s="122" t="inlineStr">
        <is>
          <t>Talla Short Hombre</t>
        </is>
      </c>
      <c r="B690" s="123" t="n">
        <v>36</v>
      </c>
      <c r="C690" s="123" t="inlineStr">
        <is>
          <t>36W</t>
        </is>
      </c>
      <c r="D690" s="122" t="inlineStr">
        <is>
          <t>Igual</t>
        </is>
      </c>
      <c r="E690" s="183" t="n"/>
      <c r="F690" s="84" t="n"/>
      <c r="G690" s="84" t="n"/>
      <c r="H690" s="84" t="n"/>
      <c r="I690" s="84" t="n"/>
      <c r="J690" s="84" t="n"/>
      <c r="K690" s="84" t="n"/>
      <c r="L690" s="84" t="n"/>
      <c r="M690" s="84" t="n"/>
      <c r="N690" s="84" t="n"/>
      <c r="O690" s="84" t="n"/>
      <c r="P690" s="84" t="n"/>
      <c r="Q690" s="84" t="n"/>
      <c r="R690" s="84" t="n"/>
      <c r="S690" s="84" t="n"/>
      <c r="T690" s="84" t="n"/>
      <c r="U690" s="84" t="n"/>
      <c r="V690" s="84" t="n"/>
      <c r="W690" s="84" t="n"/>
      <c r="X690" s="84" t="n"/>
      <c r="Y690" s="84" t="n"/>
      <c r="Z690" s="84" t="n"/>
      <c r="AA690" s="84" t="n"/>
      <c r="AB690" s="84" t="n"/>
      <c r="AC690" s="84" t="n"/>
      <c r="AD690" s="84" t="n"/>
    </row>
    <row r="691" ht="16.5" customHeight="1" s="176">
      <c r="A691" s="122" t="inlineStr">
        <is>
          <t>Talla Short Hombre</t>
        </is>
      </c>
      <c r="B691" s="123" t="n">
        <v>37</v>
      </c>
      <c r="C691" s="123" t="inlineStr">
        <is>
          <t>37W</t>
        </is>
      </c>
      <c r="D691" s="122" t="inlineStr">
        <is>
          <t>Igual</t>
        </is>
      </c>
      <c r="E691" s="183" t="n"/>
      <c r="F691" s="84" t="n"/>
      <c r="G691" s="84" t="n"/>
      <c r="H691" s="84" t="n"/>
      <c r="I691" s="84" t="n"/>
      <c r="J691" s="84" t="n"/>
      <c r="K691" s="84" t="n"/>
      <c r="L691" s="84" t="n"/>
      <c r="M691" s="84" t="n"/>
      <c r="N691" s="84" t="n"/>
      <c r="O691" s="84" t="n"/>
      <c r="P691" s="84" t="n"/>
      <c r="Q691" s="84" t="n"/>
      <c r="R691" s="84" t="n"/>
      <c r="S691" s="84" t="n"/>
      <c r="T691" s="84" t="n"/>
      <c r="U691" s="84" t="n"/>
      <c r="V691" s="84" t="n"/>
      <c r="W691" s="84" t="n"/>
      <c r="X691" s="84" t="n"/>
      <c r="Y691" s="84" t="n"/>
      <c r="Z691" s="84" t="n"/>
      <c r="AA691" s="84" t="n"/>
      <c r="AB691" s="84" t="n"/>
      <c r="AC691" s="84" t="n"/>
      <c r="AD691" s="84" t="n"/>
    </row>
    <row r="692" ht="16.5" customHeight="1" s="176">
      <c r="A692" s="122" t="inlineStr">
        <is>
          <t>Talla Short Hombre</t>
        </is>
      </c>
      <c r="B692" s="123" t="n">
        <v>38</v>
      </c>
      <c r="C692" s="123" t="inlineStr">
        <is>
          <t>38W</t>
        </is>
      </c>
      <c r="D692" s="122" t="inlineStr">
        <is>
          <t>Igual</t>
        </is>
      </c>
      <c r="E692" s="183" t="n"/>
      <c r="F692" s="84" t="n"/>
      <c r="G692" s="84" t="n"/>
      <c r="H692" s="84" t="n"/>
      <c r="I692" s="84" t="n"/>
      <c r="J692" s="84" t="n"/>
      <c r="K692" s="84" t="n"/>
      <c r="L692" s="84" t="n"/>
      <c r="M692" s="84" t="n"/>
      <c r="N692" s="84" t="n"/>
      <c r="O692" s="84" t="n"/>
      <c r="P692" s="84" t="n"/>
      <c r="Q692" s="84" t="n"/>
      <c r="R692" s="84" t="n"/>
      <c r="S692" s="84" t="n"/>
      <c r="T692" s="84" t="n"/>
      <c r="U692" s="84" t="n"/>
      <c r="V692" s="84" t="n"/>
      <c r="W692" s="84" t="n"/>
      <c r="X692" s="84" t="n"/>
      <c r="Y692" s="84" t="n"/>
      <c r="Z692" s="84" t="n"/>
      <c r="AA692" s="84" t="n"/>
      <c r="AB692" s="84" t="n"/>
      <c r="AC692" s="84" t="n"/>
      <c r="AD692" s="84" t="n"/>
    </row>
    <row r="693" ht="16.5" customHeight="1" s="176">
      <c r="A693" s="122" t="inlineStr">
        <is>
          <t>Talla Short Hombre</t>
        </is>
      </c>
      <c r="B693" s="123" t="n">
        <v>39</v>
      </c>
      <c r="C693" s="123" t="inlineStr">
        <is>
          <t>39W</t>
        </is>
      </c>
      <c r="D693" s="122" t="inlineStr">
        <is>
          <t>Igual</t>
        </is>
      </c>
      <c r="E693" s="183" t="n"/>
      <c r="F693" s="84" t="n"/>
      <c r="G693" s="84" t="n"/>
      <c r="H693" s="84" t="n"/>
      <c r="I693" s="84" t="n"/>
      <c r="J693" s="84" t="n"/>
      <c r="K693" s="84" t="n"/>
      <c r="L693" s="84" t="n"/>
      <c r="M693" s="84" t="n"/>
      <c r="N693" s="84" t="n"/>
      <c r="O693" s="84" t="n"/>
      <c r="P693" s="84" t="n"/>
      <c r="Q693" s="84" t="n"/>
      <c r="R693" s="84" t="n"/>
      <c r="S693" s="84" t="n"/>
      <c r="T693" s="84" t="n"/>
      <c r="U693" s="84" t="n"/>
      <c r="V693" s="84" t="n"/>
      <c r="W693" s="84" t="n"/>
      <c r="X693" s="84" t="n"/>
      <c r="Y693" s="84" t="n"/>
      <c r="Z693" s="84" t="n"/>
      <c r="AA693" s="84" t="n"/>
      <c r="AB693" s="84" t="n"/>
      <c r="AC693" s="84" t="n"/>
      <c r="AD693" s="84" t="n"/>
    </row>
    <row r="694" ht="16.5" customHeight="1" s="176">
      <c r="A694" s="122" t="inlineStr">
        <is>
          <t>Talla Short Hombre</t>
        </is>
      </c>
      <c r="B694" s="123" t="n">
        <v>40</v>
      </c>
      <c r="C694" s="123" t="inlineStr">
        <is>
          <t>40W</t>
        </is>
      </c>
      <c r="D694" s="122" t="inlineStr">
        <is>
          <t>Igual</t>
        </is>
      </c>
      <c r="E694" s="183" t="n"/>
      <c r="F694" s="84" t="n"/>
      <c r="G694" s="84" t="n"/>
      <c r="H694" s="84" t="n"/>
      <c r="I694" s="84" t="n"/>
      <c r="J694" s="84" t="n"/>
      <c r="K694" s="84" t="n"/>
      <c r="L694" s="84" t="n"/>
      <c r="M694" s="84" t="n"/>
      <c r="N694" s="84" t="n"/>
      <c r="O694" s="84" t="n"/>
      <c r="P694" s="84" t="n"/>
      <c r="Q694" s="84" t="n"/>
      <c r="R694" s="84" t="n"/>
      <c r="S694" s="84" t="n"/>
      <c r="T694" s="84" t="n"/>
      <c r="U694" s="84" t="n"/>
      <c r="V694" s="84" t="n"/>
      <c r="W694" s="84" t="n"/>
      <c r="X694" s="84" t="n"/>
      <c r="Y694" s="84" t="n"/>
      <c r="Z694" s="84" t="n"/>
      <c r="AA694" s="84" t="n"/>
      <c r="AB694" s="84" t="n"/>
      <c r="AC694" s="84" t="n"/>
      <c r="AD694" s="84" t="n"/>
    </row>
    <row r="695" ht="16.5" customHeight="1" s="176">
      <c r="A695" s="122" t="inlineStr">
        <is>
          <t>Talla Short Hombre</t>
        </is>
      </c>
      <c r="B695" s="123" t="n">
        <v>41</v>
      </c>
      <c r="C695" s="123" t="inlineStr">
        <is>
          <t>41W</t>
        </is>
      </c>
      <c r="D695" s="122" t="inlineStr">
        <is>
          <t>Igual</t>
        </is>
      </c>
      <c r="E695" s="183" t="n"/>
      <c r="F695" s="84" t="n"/>
      <c r="G695" s="84" t="n"/>
      <c r="H695" s="84" t="n"/>
      <c r="I695" s="84" t="n"/>
      <c r="J695" s="84" t="n"/>
      <c r="K695" s="84" t="n"/>
      <c r="L695" s="84" t="n"/>
      <c r="M695" s="84" t="n"/>
      <c r="N695" s="84" t="n"/>
      <c r="O695" s="84" t="n"/>
      <c r="P695" s="84" t="n"/>
      <c r="Q695" s="84" t="n"/>
      <c r="R695" s="84" t="n"/>
      <c r="S695" s="84" t="n"/>
      <c r="T695" s="84" t="n"/>
      <c r="U695" s="84" t="n"/>
      <c r="V695" s="84" t="n"/>
      <c r="W695" s="84" t="n"/>
      <c r="X695" s="84" t="n"/>
      <c r="Y695" s="84" t="n"/>
      <c r="Z695" s="84" t="n"/>
      <c r="AA695" s="84" t="n"/>
      <c r="AB695" s="84" t="n"/>
      <c r="AC695" s="84" t="n"/>
      <c r="AD695" s="84" t="n"/>
    </row>
    <row r="696" ht="16.5" customHeight="1" s="176">
      <c r="A696" s="122" t="inlineStr">
        <is>
          <t>Talla Short Hombre</t>
        </is>
      </c>
      <c r="B696" s="123" t="n">
        <v>42</v>
      </c>
      <c r="C696" s="123" t="inlineStr">
        <is>
          <t>42W</t>
        </is>
      </c>
      <c r="D696" s="122" t="inlineStr">
        <is>
          <t>Igual</t>
        </is>
      </c>
      <c r="E696" s="183" t="n"/>
      <c r="F696" s="84" t="n"/>
      <c r="G696" s="84" t="n"/>
      <c r="H696" s="84" t="n"/>
      <c r="I696" s="84" t="n"/>
      <c r="J696" s="84" t="n"/>
      <c r="K696" s="84" t="n"/>
      <c r="L696" s="84" t="n"/>
      <c r="M696" s="84" t="n"/>
      <c r="N696" s="84" t="n"/>
      <c r="O696" s="84" t="n"/>
      <c r="P696" s="84" t="n"/>
      <c r="Q696" s="84" t="n"/>
      <c r="R696" s="84" t="n"/>
      <c r="S696" s="84" t="n"/>
      <c r="T696" s="84" t="n"/>
      <c r="U696" s="84" t="n"/>
      <c r="V696" s="84" t="n"/>
      <c r="W696" s="84" t="n"/>
      <c r="X696" s="84" t="n"/>
      <c r="Y696" s="84" t="n"/>
      <c r="Z696" s="84" t="n"/>
      <c r="AA696" s="84" t="n"/>
      <c r="AB696" s="84" t="n"/>
      <c r="AC696" s="84" t="n"/>
      <c r="AD696" s="84" t="n"/>
    </row>
    <row r="697" ht="16.5" customHeight="1" s="176">
      <c r="A697" s="122" t="inlineStr">
        <is>
          <t>Talla Pantalón Dama Plus (W)</t>
        </is>
      </c>
      <c r="B697" s="123" t="n">
        <v>10</v>
      </c>
      <c r="C697" s="123" t="inlineStr">
        <is>
          <t>10W</t>
        </is>
      </c>
      <c r="D697" s="122" t="inlineStr">
        <is>
          <t>MX numérica; EE. UU. = número + W (Women's plus)</t>
        </is>
      </c>
      <c r="E697" s="183" t="n"/>
      <c r="F697" s="84" t="n"/>
      <c r="G697" s="84" t="n"/>
      <c r="H697" s="84" t="n"/>
      <c r="I697" s="84" t="n"/>
      <c r="J697" s="84" t="n"/>
      <c r="K697" s="84" t="n"/>
      <c r="L697" s="84" t="n"/>
      <c r="M697" s="84" t="n"/>
      <c r="N697" s="84" t="n"/>
      <c r="O697" s="84" t="n"/>
      <c r="P697" s="84" t="n"/>
      <c r="Q697" s="84" t="n"/>
      <c r="R697" s="84" t="n"/>
      <c r="S697" s="84" t="n"/>
      <c r="T697" s="84" t="n"/>
      <c r="U697" s="84" t="n"/>
      <c r="V697" s="84" t="n"/>
      <c r="W697" s="84" t="n"/>
      <c r="X697" s="84" t="n"/>
      <c r="Y697" s="84" t="n"/>
      <c r="Z697" s="84" t="n"/>
      <c r="AA697" s="84" t="n"/>
      <c r="AB697" s="84" t="n"/>
      <c r="AC697" s="84" t="n"/>
      <c r="AD697" s="84" t="n"/>
    </row>
    <row r="698" ht="16.5" customHeight="1" s="176">
      <c r="A698" s="122" t="inlineStr">
        <is>
          <t>Talla Pantalón Dama Plus (W)</t>
        </is>
      </c>
      <c r="B698" s="123" t="n">
        <v>12</v>
      </c>
      <c r="C698" s="123" t="inlineStr">
        <is>
          <t>12W</t>
        </is>
      </c>
      <c r="D698" s="122" t="inlineStr">
        <is>
          <t>Igual formato</t>
        </is>
      </c>
      <c r="E698" s="183" t="n"/>
      <c r="F698" s="84" t="n"/>
      <c r="G698" s="84" t="n"/>
      <c r="H698" s="84" t="n"/>
      <c r="I698" s="84" t="n"/>
      <c r="J698" s="84" t="n"/>
      <c r="K698" s="84" t="n"/>
      <c r="L698" s="84" t="n"/>
      <c r="M698" s="84" t="n"/>
      <c r="N698" s="84" t="n"/>
      <c r="O698" s="84" t="n"/>
      <c r="P698" s="84" t="n"/>
      <c r="Q698" s="84" t="n"/>
      <c r="R698" s="84" t="n"/>
      <c r="S698" s="84" t="n"/>
      <c r="T698" s="84" t="n"/>
      <c r="U698" s="84" t="n"/>
      <c r="V698" s="84" t="n"/>
      <c r="W698" s="84" t="n"/>
      <c r="X698" s="84" t="n"/>
      <c r="Y698" s="84" t="n"/>
      <c r="Z698" s="84" t="n"/>
      <c r="AA698" s="84" t="n"/>
      <c r="AB698" s="84" t="n"/>
      <c r="AC698" s="84" t="n"/>
      <c r="AD698" s="84" t="n"/>
    </row>
    <row r="699" ht="16.5" customHeight="1" s="176">
      <c r="A699" s="122" t="inlineStr">
        <is>
          <t>Talla Pantalón Dama Plus (W)</t>
        </is>
      </c>
      <c r="B699" s="123" t="n">
        <v>14</v>
      </c>
      <c r="C699" s="123" t="inlineStr">
        <is>
          <t>14W</t>
        </is>
      </c>
      <c r="D699" s="122" t="inlineStr">
        <is>
          <t>Igual formato</t>
        </is>
      </c>
      <c r="E699" s="183" t="n"/>
      <c r="F699" s="84" t="n"/>
      <c r="G699" s="84" t="n"/>
      <c r="H699" s="84" t="n"/>
      <c r="I699" s="84" t="n"/>
      <c r="J699" s="84" t="n"/>
      <c r="K699" s="84" t="n"/>
      <c r="L699" s="84" t="n"/>
      <c r="M699" s="84" t="n"/>
      <c r="N699" s="84" t="n"/>
      <c r="O699" s="84" t="n"/>
      <c r="P699" s="84" t="n"/>
      <c r="Q699" s="84" t="n"/>
      <c r="R699" s="84" t="n"/>
      <c r="S699" s="84" t="n"/>
      <c r="T699" s="84" t="n"/>
      <c r="U699" s="84" t="n"/>
      <c r="V699" s="84" t="n"/>
      <c r="W699" s="84" t="n"/>
      <c r="X699" s="84" t="n"/>
      <c r="Y699" s="84" t="n"/>
      <c r="Z699" s="84" t="n"/>
      <c r="AA699" s="84" t="n"/>
      <c r="AB699" s="84" t="n"/>
      <c r="AC699" s="84" t="n"/>
      <c r="AD699" s="84" t="n"/>
    </row>
    <row r="700" ht="16.5" customHeight="1" s="176">
      <c r="A700" s="122" t="inlineStr">
        <is>
          <t>Talla Pantalón Dama Plus (W)</t>
        </is>
      </c>
      <c r="B700" s="123" t="n">
        <v>16</v>
      </c>
      <c r="C700" s="123" t="inlineStr">
        <is>
          <t>16W</t>
        </is>
      </c>
      <c r="D700" s="122" t="inlineStr">
        <is>
          <t>Igual formato</t>
        </is>
      </c>
      <c r="E700" s="183" t="n"/>
      <c r="F700" s="84" t="n"/>
      <c r="G700" s="84" t="n"/>
      <c r="H700" s="84" t="n"/>
      <c r="I700" s="84" t="n"/>
      <c r="J700" s="84" t="n"/>
      <c r="K700" s="84" t="n"/>
      <c r="L700" s="84" t="n"/>
      <c r="M700" s="84" t="n"/>
      <c r="N700" s="84" t="n"/>
      <c r="O700" s="84" t="n"/>
      <c r="P700" s="84" t="n"/>
      <c r="Q700" s="84" t="n"/>
      <c r="R700" s="84" t="n"/>
      <c r="S700" s="84" t="n"/>
      <c r="T700" s="84" t="n"/>
      <c r="U700" s="84" t="n"/>
      <c r="V700" s="84" t="n"/>
      <c r="W700" s="84" t="n"/>
      <c r="X700" s="84" t="n"/>
      <c r="Y700" s="84" t="n"/>
      <c r="Z700" s="84" t="n"/>
      <c r="AA700" s="84" t="n"/>
      <c r="AB700" s="84" t="n"/>
      <c r="AC700" s="84" t="n"/>
      <c r="AD700" s="84" t="n"/>
    </row>
    <row r="701" ht="16.5" customHeight="1" s="176">
      <c r="A701" s="122" t="inlineStr">
        <is>
          <t>Talla Pantalón Hombre Big (W)</t>
        </is>
      </c>
      <c r="B701" s="123" t="n">
        <v>46</v>
      </c>
      <c r="C701" s="123" t="inlineStr">
        <is>
          <t>46W</t>
        </is>
      </c>
      <c r="D701" s="122" t="inlineStr">
        <is>
          <t>Cintura grande; EE. UU. = cintura + W</t>
        </is>
      </c>
      <c r="E701" s="183" t="n"/>
      <c r="F701" s="84" t="n"/>
      <c r="G701" s="84" t="n"/>
      <c r="H701" s="84" t="n"/>
      <c r="I701" s="84" t="n"/>
      <c r="J701" s="84" t="n"/>
      <c r="K701" s="84" t="n"/>
      <c r="L701" s="84" t="n"/>
      <c r="M701" s="84" t="n"/>
      <c r="N701" s="84" t="n"/>
      <c r="O701" s="84" t="n"/>
      <c r="P701" s="84" t="n"/>
      <c r="Q701" s="84" t="n"/>
      <c r="R701" s="84" t="n"/>
      <c r="S701" s="84" t="n"/>
      <c r="T701" s="84" t="n"/>
      <c r="U701" s="84" t="n"/>
      <c r="V701" s="84" t="n"/>
      <c r="W701" s="84" t="n"/>
      <c r="X701" s="84" t="n"/>
      <c r="Y701" s="84" t="n"/>
      <c r="Z701" s="84" t="n"/>
      <c r="AA701" s="84" t="n"/>
      <c r="AB701" s="84" t="n"/>
      <c r="AC701" s="84" t="n"/>
      <c r="AD701" s="84" t="n"/>
    </row>
    <row r="702" ht="16.5" customHeight="1" s="176">
      <c r="A702" s="122" t="inlineStr">
        <is>
          <t>Talla Pantalón Hombre Big (W)</t>
        </is>
      </c>
      <c r="B702" s="123" t="n">
        <v>48</v>
      </c>
      <c r="C702" s="123" t="inlineStr">
        <is>
          <t>48W</t>
        </is>
      </c>
      <c r="D702" s="122" t="inlineStr">
        <is>
          <t>Igual formato</t>
        </is>
      </c>
      <c r="E702" s="183" t="n"/>
      <c r="F702" s="84" t="n"/>
      <c r="G702" s="84" t="n"/>
      <c r="H702" s="84" t="n"/>
      <c r="I702" s="84" t="n"/>
      <c r="J702" s="84" t="n"/>
      <c r="K702" s="84" t="n"/>
      <c r="L702" s="84" t="n"/>
      <c r="M702" s="84" t="n"/>
      <c r="N702" s="84" t="n"/>
      <c r="O702" s="84" t="n"/>
      <c r="P702" s="84" t="n"/>
      <c r="Q702" s="84" t="n"/>
      <c r="R702" s="84" t="n"/>
      <c r="S702" s="84" t="n"/>
      <c r="T702" s="84" t="n"/>
      <c r="U702" s="84" t="n"/>
      <c r="V702" s="84" t="n"/>
      <c r="W702" s="84" t="n"/>
      <c r="X702" s="84" t="n"/>
      <c r="Y702" s="84" t="n"/>
      <c r="Z702" s="84" t="n"/>
      <c r="AA702" s="84" t="n"/>
      <c r="AB702" s="84" t="n"/>
      <c r="AC702" s="84" t="n"/>
      <c r="AD702" s="84" t="n"/>
    </row>
    <row r="703" ht="16.5" customHeight="1" s="176">
      <c r="A703" s="122" t="inlineStr">
        <is>
          <t>Talla Pantalón Hombre Big (W)</t>
        </is>
      </c>
      <c r="B703" s="123" t="n">
        <v>50</v>
      </c>
      <c r="C703" s="123" t="inlineStr">
        <is>
          <t>50W</t>
        </is>
      </c>
      <c r="D703" s="122" t="inlineStr">
        <is>
          <t>Igual formato</t>
        </is>
      </c>
      <c r="E703" s="183" t="n"/>
      <c r="F703" s="84" t="n"/>
      <c r="G703" s="84" t="n"/>
      <c r="H703" s="84" t="n"/>
      <c r="I703" s="84" t="n"/>
      <c r="J703" s="84" t="n"/>
      <c r="K703" s="84" t="n"/>
      <c r="L703" s="84" t="n"/>
      <c r="M703" s="84" t="n"/>
      <c r="N703" s="84" t="n"/>
      <c r="O703" s="84" t="n"/>
      <c r="P703" s="84" t="n"/>
      <c r="Q703" s="84" t="n"/>
      <c r="R703" s="84" t="n"/>
      <c r="S703" s="84" t="n"/>
      <c r="T703" s="84" t="n"/>
      <c r="U703" s="84" t="n"/>
      <c r="V703" s="84" t="n"/>
      <c r="W703" s="84" t="n"/>
      <c r="X703" s="84" t="n"/>
      <c r="Y703" s="84" t="n"/>
      <c r="Z703" s="84" t="n"/>
      <c r="AA703" s="84" t="n"/>
      <c r="AB703" s="84" t="n"/>
      <c r="AC703" s="84" t="n"/>
      <c r="AD703" s="84" t="n"/>
    </row>
    <row r="704" ht="30" customHeight="1" s="176">
      <c r="A704" s="122" t="inlineStr">
        <is>
          <t>Talla Cintura numérica (Faldas / Shorts dama)</t>
        </is>
      </c>
      <c r="B704" s="123" t="n">
        <v>24</v>
      </c>
      <c r="C704" s="123" t="n">
        <v>24</v>
      </c>
      <c r="D704" s="122" t="inlineStr">
        <is>
          <t>Cintura en pulgadas; MX y EE. UU. iguales</t>
        </is>
      </c>
      <c r="E704" s="183" t="n"/>
      <c r="F704" s="84" t="n"/>
      <c r="G704" s="84" t="n"/>
      <c r="H704" s="84" t="n"/>
      <c r="I704" s="84" t="n"/>
      <c r="J704" s="84" t="n"/>
      <c r="K704" s="84" t="n"/>
      <c r="L704" s="84" t="n"/>
      <c r="M704" s="84" t="n"/>
      <c r="N704" s="84" t="n"/>
      <c r="O704" s="84" t="n"/>
      <c r="P704" s="84" t="n"/>
      <c r="Q704" s="84" t="n"/>
      <c r="R704" s="84" t="n"/>
      <c r="S704" s="84" t="n"/>
      <c r="T704" s="84" t="n"/>
      <c r="U704" s="84" t="n"/>
      <c r="V704" s="84" t="n"/>
      <c r="W704" s="84" t="n"/>
      <c r="X704" s="84" t="n"/>
      <c r="Y704" s="84" t="n"/>
      <c r="Z704" s="84" t="n"/>
      <c r="AA704" s="84" t="n"/>
      <c r="AB704" s="84" t="n"/>
      <c r="AC704" s="84" t="n"/>
      <c r="AD704" s="84" t="n"/>
    </row>
    <row r="705" ht="30" customHeight="1" s="176">
      <c r="A705" s="122" t="inlineStr">
        <is>
          <t>Talla Cintura numérica (Faldas / Shorts dama)</t>
        </is>
      </c>
      <c r="B705" s="123" t="n">
        <v>25</v>
      </c>
      <c r="C705" s="123" t="n">
        <v>25</v>
      </c>
      <c r="D705" s="122" t="inlineStr">
        <is>
          <t>Igual</t>
        </is>
      </c>
      <c r="E705" s="183" t="n"/>
      <c r="F705" s="84" t="n"/>
      <c r="G705" s="84" t="n"/>
      <c r="H705" s="84" t="n"/>
      <c r="I705" s="84" t="n"/>
      <c r="J705" s="84" t="n"/>
      <c r="K705" s="84" t="n"/>
      <c r="L705" s="84" t="n"/>
      <c r="M705" s="84" t="n"/>
      <c r="N705" s="84" t="n"/>
      <c r="O705" s="84" t="n"/>
      <c r="P705" s="84" t="n"/>
      <c r="Q705" s="84" t="n"/>
      <c r="R705" s="84" t="n"/>
      <c r="S705" s="84" t="n"/>
      <c r="T705" s="84" t="n"/>
      <c r="U705" s="84" t="n"/>
      <c r="V705" s="84" t="n"/>
      <c r="W705" s="84" t="n"/>
      <c r="X705" s="84" t="n"/>
      <c r="Y705" s="84" t="n"/>
      <c r="Z705" s="84" t="n"/>
      <c r="AA705" s="84" t="n"/>
      <c r="AB705" s="84" t="n"/>
      <c r="AC705" s="84" t="n"/>
      <c r="AD705" s="84" t="n"/>
    </row>
    <row r="706" ht="30" customHeight="1" s="176">
      <c r="A706" s="122" t="inlineStr">
        <is>
          <t>Talla Cintura numérica (Faldas / Shorts dama)</t>
        </is>
      </c>
      <c r="B706" s="123" t="n">
        <v>26</v>
      </c>
      <c r="C706" s="123" t="n">
        <v>26</v>
      </c>
      <c r="D706" s="122" t="inlineStr">
        <is>
          <t>Igual</t>
        </is>
      </c>
      <c r="E706" s="183" t="n"/>
      <c r="F706" s="84" t="n"/>
      <c r="G706" s="84" t="n"/>
      <c r="H706" s="84" t="n"/>
      <c r="I706" s="84" t="n"/>
      <c r="J706" s="84" t="n"/>
      <c r="K706" s="84" t="n"/>
      <c r="L706" s="84" t="n"/>
      <c r="M706" s="84" t="n"/>
      <c r="N706" s="84" t="n"/>
      <c r="O706" s="84" t="n"/>
      <c r="P706" s="84" t="n"/>
      <c r="Q706" s="84" t="n"/>
      <c r="R706" s="84" t="n"/>
      <c r="S706" s="84" t="n"/>
      <c r="T706" s="84" t="n"/>
      <c r="U706" s="84" t="n"/>
      <c r="V706" s="84" t="n"/>
      <c r="W706" s="84" t="n"/>
      <c r="X706" s="84" t="n"/>
      <c r="Y706" s="84" t="n"/>
      <c r="Z706" s="84" t="n"/>
      <c r="AA706" s="84" t="n"/>
      <c r="AB706" s="84" t="n"/>
      <c r="AC706" s="84" t="n"/>
      <c r="AD706" s="84" t="n"/>
    </row>
    <row r="707" ht="30" customHeight="1" s="176">
      <c r="A707" s="122" t="inlineStr">
        <is>
          <t>Talla Cintura numérica (Faldas / Shorts dama)</t>
        </is>
      </c>
      <c r="B707" s="123" t="n">
        <v>27</v>
      </c>
      <c r="C707" s="123" t="n">
        <v>27</v>
      </c>
      <c r="D707" s="122" t="inlineStr">
        <is>
          <t>Igual</t>
        </is>
      </c>
      <c r="E707" s="183" t="n"/>
      <c r="F707" s="84" t="n"/>
      <c r="G707" s="84" t="n"/>
      <c r="H707" s="84" t="n"/>
      <c r="I707" s="84" t="n"/>
      <c r="J707" s="84" t="n"/>
      <c r="K707" s="84" t="n"/>
      <c r="L707" s="84" t="n"/>
      <c r="M707" s="84" t="n"/>
      <c r="N707" s="84" t="n"/>
      <c r="O707" s="84" t="n"/>
      <c r="P707" s="84" t="n"/>
      <c r="Q707" s="84" t="n"/>
      <c r="R707" s="84" t="n"/>
      <c r="S707" s="84" t="n"/>
      <c r="T707" s="84" t="n"/>
      <c r="U707" s="84" t="n"/>
      <c r="V707" s="84" t="n"/>
      <c r="W707" s="84" t="n"/>
      <c r="X707" s="84" t="n"/>
      <c r="Y707" s="84" t="n"/>
      <c r="Z707" s="84" t="n"/>
      <c r="AA707" s="84" t="n"/>
      <c r="AB707" s="84" t="n"/>
      <c r="AC707" s="84" t="n"/>
      <c r="AD707" s="84" t="n"/>
    </row>
    <row r="708" ht="30" customHeight="1" s="176">
      <c r="A708" s="122" t="inlineStr">
        <is>
          <t>Talla Cintura numérica (Faldas / Shorts dama)</t>
        </is>
      </c>
      <c r="B708" s="123" t="n">
        <v>28</v>
      </c>
      <c r="C708" s="123" t="n">
        <v>28</v>
      </c>
      <c r="D708" s="122" t="inlineStr">
        <is>
          <t>Igual</t>
        </is>
      </c>
      <c r="E708" s="183" t="n"/>
      <c r="F708" s="84" t="n"/>
      <c r="G708" s="84" t="n"/>
      <c r="H708" s="84" t="n"/>
      <c r="I708" s="84" t="n"/>
      <c r="J708" s="84" t="n"/>
      <c r="K708" s="84" t="n"/>
      <c r="L708" s="84" t="n"/>
      <c r="M708" s="84" t="n"/>
      <c r="N708" s="84" t="n"/>
      <c r="O708" s="84" t="n"/>
      <c r="P708" s="84" t="n"/>
      <c r="Q708" s="84" t="n"/>
      <c r="R708" s="84" t="n"/>
      <c r="S708" s="84" t="n"/>
      <c r="T708" s="84" t="n"/>
      <c r="U708" s="84" t="n"/>
      <c r="V708" s="84" t="n"/>
      <c r="W708" s="84" t="n"/>
      <c r="X708" s="84" t="n"/>
      <c r="Y708" s="84" t="n"/>
      <c r="Z708" s="84" t="n"/>
      <c r="AA708" s="84" t="n"/>
      <c r="AB708" s="84" t="n"/>
      <c r="AC708" s="84" t="n"/>
      <c r="AD708" s="84" t="n"/>
    </row>
    <row r="709" ht="30" customHeight="1" s="176">
      <c r="A709" s="122" t="inlineStr">
        <is>
          <t>Talla Cintura numérica (Faldas / Shorts dama)</t>
        </is>
      </c>
      <c r="B709" s="123" t="n">
        <v>30</v>
      </c>
      <c r="C709" s="123" t="n">
        <v>30</v>
      </c>
      <c r="D709" s="122" t="inlineStr">
        <is>
          <t>Igual</t>
        </is>
      </c>
      <c r="E709" s="183" t="n"/>
      <c r="F709" s="84" t="n"/>
      <c r="G709" s="84" t="n"/>
      <c r="H709" s="84" t="n"/>
      <c r="I709" s="84" t="n"/>
      <c r="J709" s="84" t="n"/>
      <c r="K709" s="84" t="n"/>
      <c r="L709" s="84" t="n"/>
      <c r="M709" s="84" t="n"/>
      <c r="N709" s="84" t="n"/>
      <c r="O709" s="84" t="n"/>
      <c r="P709" s="84" t="n"/>
      <c r="Q709" s="84" t="n"/>
      <c r="R709" s="84" t="n"/>
      <c r="S709" s="84" t="n"/>
      <c r="T709" s="84" t="n"/>
      <c r="U709" s="84" t="n"/>
      <c r="V709" s="84" t="n"/>
      <c r="W709" s="84" t="n"/>
      <c r="X709" s="84" t="n"/>
      <c r="Y709" s="84" t="n"/>
      <c r="Z709" s="84" t="n"/>
      <c r="AA709" s="84" t="n"/>
      <c r="AB709" s="84" t="n"/>
      <c r="AC709" s="84" t="n"/>
      <c r="AD709" s="84" t="n"/>
    </row>
    <row r="710" ht="16.5" customHeight="1" s="176">
      <c r="A710" s="122" t="inlineStr">
        <is>
          <t>Contenido</t>
        </is>
      </c>
      <c r="B710" s="123" t="inlineStr">
        <is>
          <t>22 ml</t>
        </is>
      </c>
      <c r="C710" s="123" t="inlineStr">
        <is>
          <t>0.75 fl oz</t>
        </is>
      </c>
      <c r="D710" s="122" t="inlineStr">
        <is>
          <t>WB Talla en ml; US en fl oz como lo declara el envase (≈ ml ÷ 29.57)</t>
        </is>
      </c>
      <c r="E710" s="183" t="n"/>
      <c r="F710" s="84" t="n"/>
      <c r="G710" s="84" t="n"/>
      <c r="H710" s="84" t="n"/>
      <c r="I710" s="84" t="n"/>
      <c r="J710" s="84" t="n"/>
      <c r="K710" s="84" t="n"/>
      <c r="L710" s="84" t="n"/>
      <c r="M710" s="84" t="n"/>
      <c r="N710" s="84" t="n"/>
      <c r="O710" s="84" t="n"/>
      <c r="P710" s="84" t="n"/>
      <c r="Q710" s="84" t="n"/>
      <c r="R710" s="84" t="n"/>
      <c r="S710" s="84" t="n"/>
      <c r="T710" s="84" t="n"/>
      <c r="U710" s="84" t="n"/>
      <c r="V710" s="84" t="n"/>
      <c r="W710" s="84" t="n"/>
      <c r="X710" s="84" t="n"/>
      <c r="Y710" s="84" t="n"/>
      <c r="Z710" s="84" t="n"/>
      <c r="AA710" s="84" t="n"/>
      <c r="AB710" s="84" t="n"/>
      <c r="AC710" s="84" t="n"/>
      <c r="AD710" s="84" t="n"/>
    </row>
    <row r="711" ht="16.5" customHeight="1" s="176">
      <c r="A711" s="122" t="inlineStr">
        <is>
          <t>Contenido</t>
        </is>
      </c>
      <c r="B711" s="123" t="inlineStr">
        <is>
          <t>30 ml</t>
        </is>
      </c>
      <c r="C711" s="123" t="inlineStr">
        <is>
          <t>1.0 fl oz</t>
        </is>
      </c>
      <c r="D711" s="122" t="inlineStr">
        <is>
          <t>Igual regla</t>
        </is>
      </c>
      <c r="E711" s="183" t="n"/>
      <c r="F711" s="84" t="n"/>
      <c r="G711" s="84" t="n"/>
      <c r="H711" s="84" t="n"/>
      <c r="I711" s="84" t="n"/>
      <c r="J711" s="84" t="n"/>
      <c r="K711" s="84" t="n"/>
      <c r="L711" s="84" t="n"/>
      <c r="M711" s="84" t="n"/>
      <c r="N711" s="84" t="n"/>
      <c r="O711" s="84" t="n"/>
      <c r="P711" s="84" t="n"/>
      <c r="Q711" s="84" t="n"/>
      <c r="R711" s="84" t="n"/>
      <c r="S711" s="84" t="n"/>
      <c r="T711" s="84" t="n"/>
      <c r="U711" s="84" t="n"/>
      <c r="V711" s="84" t="n"/>
      <c r="W711" s="84" t="n"/>
      <c r="X711" s="84" t="n"/>
      <c r="Y711" s="84" t="n"/>
      <c r="Z711" s="84" t="n"/>
      <c r="AA711" s="84" t="n"/>
      <c r="AB711" s="84" t="n"/>
      <c r="AC711" s="84" t="n"/>
      <c r="AD711" s="84" t="n"/>
    </row>
    <row r="712" ht="16.5" customHeight="1" s="176">
      <c r="A712" s="122" t="inlineStr">
        <is>
          <t>Contenido</t>
        </is>
      </c>
      <c r="B712" s="123" t="inlineStr">
        <is>
          <t>44 ml</t>
        </is>
      </c>
      <c r="C712" s="123" t="inlineStr">
        <is>
          <t>1.5 fl oz</t>
        </is>
      </c>
      <c r="D712" s="122" t="inlineStr">
        <is>
          <t>Igual regla</t>
        </is>
      </c>
      <c r="E712" s="183" t="n"/>
      <c r="F712" s="84" t="n"/>
      <c r="G712" s="84" t="n"/>
      <c r="H712" s="84" t="n"/>
      <c r="I712" s="84" t="n"/>
      <c r="J712" s="84" t="n"/>
      <c r="K712" s="84" t="n"/>
      <c r="L712" s="84" t="n"/>
      <c r="M712" s="84" t="n"/>
      <c r="N712" s="84" t="n"/>
      <c r="O712" s="84" t="n"/>
      <c r="P712" s="84" t="n"/>
      <c r="Q712" s="84" t="n"/>
      <c r="R712" s="84" t="n"/>
      <c r="S712" s="84" t="n"/>
      <c r="T712" s="84" t="n"/>
      <c r="U712" s="84" t="n"/>
      <c r="V712" s="84" t="n"/>
      <c r="W712" s="84" t="n"/>
      <c r="X712" s="84" t="n"/>
      <c r="Y712" s="84" t="n"/>
      <c r="Z712" s="84" t="n"/>
      <c r="AA712" s="84" t="n"/>
      <c r="AB712" s="84" t="n"/>
      <c r="AC712" s="84" t="n"/>
      <c r="AD712" s="84" t="n"/>
    </row>
    <row r="713" ht="16.5" customHeight="1" s="176">
      <c r="A713" s="122" t="inlineStr">
        <is>
          <t>Contenido</t>
        </is>
      </c>
      <c r="B713" s="123" t="inlineStr">
        <is>
          <t>50 ml</t>
        </is>
      </c>
      <c r="C713" s="123" t="inlineStr">
        <is>
          <t>1.7 fl oz</t>
        </is>
      </c>
      <c r="D713" s="122" t="inlineStr">
        <is>
          <t>Igual regla</t>
        </is>
      </c>
      <c r="E713" s="183" t="n"/>
      <c r="F713" s="84" t="n"/>
      <c r="G713" s="84" t="n"/>
      <c r="H713" s="84" t="n"/>
      <c r="I713" s="84" t="n"/>
      <c r="J713" s="84" t="n"/>
      <c r="K713" s="84" t="n"/>
      <c r="L713" s="84" t="n"/>
      <c r="M713" s="84" t="n"/>
      <c r="N713" s="84" t="n"/>
      <c r="O713" s="84" t="n"/>
      <c r="P713" s="84" t="n"/>
      <c r="Q713" s="84" t="n"/>
      <c r="R713" s="84" t="n"/>
      <c r="S713" s="84" t="n"/>
      <c r="T713" s="84" t="n"/>
      <c r="U713" s="84" t="n"/>
      <c r="V713" s="84" t="n"/>
      <c r="W713" s="84" t="n"/>
      <c r="X713" s="84" t="n"/>
      <c r="Y713" s="84" t="n"/>
      <c r="Z713" s="84" t="n"/>
      <c r="AA713" s="84" t="n"/>
      <c r="AB713" s="84" t="n"/>
      <c r="AC713" s="84" t="n"/>
      <c r="AD713" s="84" t="n"/>
    </row>
    <row r="714" ht="16.5" customHeight="1" s="176">
      <c r="A714" s="122" t="inlineStr">
        <is>
          <t>Contenido</t>
        </is>
      </c>
      <c r="B714" s="123" t="inlineStr">
        <is>
          <t>67 ml</t>
        </is>
      </c>
      <c r="C714" s="123" t="inlineStr">
        <is>
          <t>2.25 fl oz</t>
        </is>
      </c>
      <c r="D714" s="122" t="inlineStr">
        <is>
          <t>Igual regla</t>
        </is>
      </c>
      <c r="E714" s="183" t="n"/>
      <c r="F714" s="84" t="n"/>
      <c r="G714" s="84" t="n"/>
      <c r="H714" s="84" t="n"/>
      <c r="I714" s="84" t="n"/>
      <c r="J714" s="84" t="n"/>
      <c r="K714" s="84" t="n"/>
      <c r="L714" s="84" t="n"/>
      <c r="M714" s="84" t="n"/>
      <c r="N714" s="84" t="n"/>
      <c r="O714" s="84" t="n"/>
      <c r="P714" s="84" t="n"/>
      <c r="Q714" s="84" t="n"/>
      <c r="R714" s="84" t="n"/>
      <c r="S714" s="84" t="n"/>
      <c r="T714" s="84" t="n"/>
      <c r="U714" s="84" t="n"/>
      <c r="V714" s="84" t="n"/>
      <c r="W714" s="84" t="n"/>
      <c r="X714" s="84" t="n"/>
      <c r="Y714" s="84" t="n"/>
      <c r="Z714" s="84" t="n"/>
      <c r="AA714" s="84" t="n"/>
      <c r="AB714" s="84" t="n"/>
      <c r="AC714" s="84" t="n"/>
      <c r="AD714" s="84" t="n"/>
    </row>
    <row r="715" ht="16.5" customHeight="1" s="176">
      <c r="A715" s="122" t="inlineStr">
        <is>
          <t>Contenido</t>
        </is>
      </c>
      <c r="B715" s="123" t="inlineStr">
        <is>
          <t>75 ml</t>
        </is>
      </c>
      <c r="C715" s="123" t="inlineStr">
        <is>
          <t>2.5 fl oz</t>
        </is>
      </c>
      <c r="D715" s="122" t="inlineStr">
        <is>
          <t>Igual regla</t>
        </is>
      </c>
      <c r="E715" s="183" t="n"/>
      <c r="F715" s="84" t="n"/>
      <c r="G715" s="84" t="n"/>
      <c r="H715" s="84" t="n"/>
      <c r="I715" s="84" t="n"/>
      <c r="J715" s="84" t="n"/>
      <c r="K715" s="84" t="n"/>
      <c r="L715" s="84" t="n"/>
      <c r="M715" s="84" t="n"/>
      <c r="N715" s="84" t="n"/>
      <c r="O715" s="84" t="n"/>
      <c r="P715" s="84" t="n"/>
      <c r="Q715" s="84" t="n"/>
      <c r="R715" s="84" t="n"/>
      <c r="S715" s="84" t="n"/>
      <c r="T715" s="84" t="n"/>
      <c r="U715" s="84" t="n"/>
      <c r="V715" s="84" t="n"/>
      <c r="W715" s="84" t="n"/>
      <c r="X715" s="84" t="n"/>
      <c r="Y715" s="84" t="n"/>
      <c r="Z715" s="84" t="n"/>
      <c r="AA715" s="84" t="n"/>
      <c r="AB715" s="84" t="n"/>
      <c r="AC715" s="84" t="n"/>
      <c r="AD715" s="84" t="n"/>
    </row>
    <row r="716" ht="16.5" customHeight="1" s="176">
      <c r="A716" s="122" t="inlineStr">
        <is>
          <t>Contenido</t>
        </is>
      </c>
      <c r="B716" s="123" t="inlineStr">
        <is>
          <t>80 ml</t>
        </is>
      </c>
      <c r="C716" s="123" t="inlineStr">
        <is>
          <t>2.7 fl oz</t>
        </is>
      </c>
      <c r="D716" s="122" t="inlineStr">
        <is>
          <t>Igual regla</t>
        </is>
      </c>
      <c r="E716" s="183" t="n"/>
      <c r="F716" s="84" t="n"/>
      <c r="G716" s="84" t="n"/>
      <c r="H716" s="84" t="n"/>
      <c r="I716" s="84" t="n"/>
      <c r="J716" s="84" t="n"/>
      <c r="K716" s="84" t="n"/>
      <c r="L716" s="84" t="n"/>
      <c r="M716" s="84" t="n"/>
      <c r="N716" s="84" t="n"/>
      <c r="O716" s="84" t="n"/>
      <c r="P716" s="84" t="n"/>
      <c r="Q716" s="84" t="n"/>
      <c r="R716" s="84" t="n"/>
      <c r="S716" s="84" t="n"/>
      <c r="T716" s="84" t="n"/>
      <c r="U716" s="84" t="n"/>
      <c r="V716" s="84" t="n"/>
      <c r="W716" s="84" t="n"/>
      <c r="X716" s="84" t="n"/>
      <c r="Y716" s="84" t="n"/>
      <c r="Z716" s="84" t="n"/>
      <c r="AA716" s="84" t="n"/>
      <c r="AB716" s="84" t="n"/>
      <c r="AC716" s="84" t="n"/>
      <c r="AD716" s="84" t="n"/>
    </row>
    <row r="717" ht="16.5" customHeight="1" s="176">
      <c r="A717" s="122" t="inlineStr">
        <is>
          <t>Contenido</t>
        </is>
      </c>
      <c r="B717" s="123" t="inlineStr">
        <is>
          <t>100 ml</t>
        </is>
      </c>
      <c r="C717" s="123" t="inlineStr">
        <is>
          <t>3.4 fl oz</t>
        </is>
      </c>
      <c r="D717" s="122" t="inlineStr">
        <is>
          <t>Se respeta lo que declara el envase (3.4 o 3.5 fl oz)</t>
        </is>
      </c>
      <c r="E717" s="183" t="n"/>
      <c r="F717" s="84" t="n"/>
      <c r="G717" s="84" t="n"/>
      <c r="H717" s="84" t="n"/>
      <c r="I717" s="84" t="n"/>
      <c r="J717" s="84" t="n"/>
      <c r="K717" s="84" t="n"/>
      <c r="L717" s="84" t="n"/>
      <c r="M717" s="84" t="n"/>
      <c r="N717" s="84" t="n"/>
      <c r="O717" s="84" t="n"/>
      <c r="P717" s="84" t="n"/>
      <c r="Q717" s="84" t="n"/>
      <c r="R717" s="84" t="n"/>
      <c r="S717" s="84" t="n"/>
      <c r="T717" s="84" t="n"/>
      <c r="U717" s="84" t="n"/>
      <c r="V717" s="84" t="n"/>
      <c r="W717" s="84" t="n"/>
      <c r="X717" s="84" t="n"/>
      <c r="Y717" s="84" t="n"/>
      <c r="Z717" s="84" t="n"/>
      <c r="AA717" s="84" t="n"/>
      <c r="AB717" s="84" t="n"/>
      <c r="AC717" s="84" t="n"/>
      <c r="AD717" s="84" t="n"/>
    </row>
    <row r="718" ht="16.5" customHeight="1" s="176">
      <c r="A718" s="122" t="inlineStr">
        <is>
          <t>Contenido</t>
        </is>
      </c>
      <c r="B718" s="123" t="inlineStr">
        <is>
          <t>100 ml</t>
        </is>
      </c>
      <c r="C718" s="123" t="inlineStr">
        <is>
          <t>3.5 fl oz</t>
        </is>
      </c>
      <c r="D718" s="122" t="inlineStr">
        <is>
          <t>Igual regla (envase declara 3.5)</t>
        </is>
      </c>
      <c r="E718" s="183" t="n"/>
      <c r="F718" s="84" t="n"/>
      <c r="G718" s="84" t="n"/>
      <c r="H718" s="84" t="n"/>
      <c r="I718" s="84" t="n"/>
      <c r="J718" s="84" t="n"/>
      <c r="K718" s="84" t="n"/>
      <c r="L718" s="84" t="n"/>
      <c r="M718" s="84" t="n"/>
      <c r="N718" s="84" t="n"/>
      <c r="O718" s="84" t="n"/>
      <c r="P718" s="84" t="n"/>
      <c r="Q718" s="84" t="n"/>
      <c r="R718" s="84" t="n"/>
      <c r="S718" s="84" t="n"/>
      <c r="T718" s="84" t="n"/>
      <c r="U718" s="84" t="n"/>
      <c r="V718" s="84" t="n"/>
      <c r="W718" s="84" t="n"/>
      <c r="X718" s="84" t="n"/>
      <c r="Y718" s="84" t="n"/>
      <c r="Z718" s="84" t="n"/>
      <c r="AA718" s="84" t="n"/>
      <c r="AB718" s="84" t="n"/>
      <c r="AC718" s="84" t="n"/>
      <c r="AD718" s="84" t="n"/>
    </row>
    <row r="719" ht="16.5" customHeight="1" s="176">
      <c r="A719" s="122" t="inlineStr">
        <is>
          <t>Contenido</t>
        </is>
      </c>
      <c r="B719" s="123" t="inlineStr">
        <is>
          <t>100 ml</t>
        </is>
      </c>
      <c r="C719" s="123" t="inlineStr">
        <is>
          <t>3.4 / 3.5 fl oz</t>
        </is>
      </c>
      <c r="D719" s="122" t="inlineStr">
        <is>
          <t>Cuando el registro no especifica cuál de los dos declara el envase</t>
        </is>
      </c>
      <c r="E719" s="183" t="n"/>
      <c r="F719" s="84" t="n"/>
      <c r="G719" s="84" t="n"/>
      <c r="H719" s="84" t="n"/>
      <c r="I719" s="84" t="n"/>
      <c r="J719" s="84" t="n"/>
      <c r="K719" s="84" t="n"/>
      <c r="L719" s="84" t="n"/>
      <c r="M719" s="84" t="n"/>
      <c r="N719" s="84" t="n"/>
      <c r="O719" s="84" t="n"/>
      <c r="P719" s="84" t="n"/>
      <c r="Q719" s="84" t="n"/>
      <c r="R719" s="84" t="n"/>
      <c r="S719" s="84" t="n"/>
      <c r="T719" s="84" t="n"/>
      <c r="U719" s="84" t="n"/>
      <c r="V719" s="84" t="n"/>
      <c r="W719" s="84" t="n"/>
      <c r="X719" s="84" t="n"/>
      <c r="Y719" s="84" t="n"/>
      <c r="Z719" s="84" t="n"/>
      <c r="AA719" s="84" t="n"/>
      <c r="AB719" s="84" t="n"/>
      <c r="AC719" s="84" t="n"/>
      <c r="AD719" s="84" t="n"/>
    </row>
    <row r="720" ht="16.5" customHeight="1" s="176">
      <c r="A720" s="122" t="inlineStr">
        <is>
          <t>Contenido</t>
        </is>
      </c>
      <c r="B720" s="123" t="inlineStr">
        <is>
          <t>163 ml</t>
        </is>
      </c>
      <c r="C720" s="123" t="inlineStr">
        <is>
          <t>5.5 fl oz</t>
        </is>
      </c>
      <c r="D720" s="122" t="inlineStr">
        <is>
          <t>Igual regla</t>
        </is>
      </c>
      <c r="E720" s="183" t="n"/>
      <c r="F720" s="84" t="n"/>
      <c r="G720" s="84" t="n"/>
      <c r="H720" s="84" t="n"/>
      <c r="I720" s="84" t="n"/>
      <c r="J720" s="84" t="n"/>
      <c r="K720" s="84" t="n"/>
      <c r="L720" s="84" t="n"/>
      <c r="M720" s="84" t="n"/>
      <c r="N720" s="84" t="n"/>
      <c r="O720" s="84" t="n"/>
      <c r="P720" s="84" t="n"/>
      <c r="Q720" s="84" t="n"/>
      <c r="R720" s="84" t="n"/>
      <c r="S720" s="84" t="n"/>
      <c r="T720" s="84" t="n"/>
      <c r="U720" s="84" t="n"/>
      <c r="V720" s="84" t="n"/>
      <c r="W720" s="84" t="n"/>
      <c r="X720" s="84" t="n"/>
      <c r="Y720" s="84" t="n"/>
      <c r="Z720" s="84" t="n"/>
      <c r="AA720" s="84" t="n"/>
      <c r="AB720" s="84" t="n"/>
      <c r="AC720" s="84" t="n"/>
      <c r="AD720" s="84" t="n"/>
    </row>
    <row r="721" ht="16.5" customHeight="1" s="176">
      <c r="A721" s="122" t="inlineStr">
        <is>
          <t>Contenido</t>
        </is>
      </c>
      <c r="B721" s="123" t="inlineStr">
        <is>
          <t>237 ml</t>
        </is>
      </c>
      <c r="C721" s="123" t="inlineStr">
        <is>
          <t>8 fl oz</t>
        </is>
      </c>
      <c r="D721" s="122" t="inlineStr">
        <is>
          <t>Igual regla</t>
        </is>
      </c>
      <c r="E721" s="183" t="n"/>
      <c r="F721" s="84" t="n"/>
      <c r="G721" s="84" t="n"/>
      <c r="H721" s="84" t="n"/>
      <c r="I721" s="84" t="n"/>
      <c r="J721" s="84" t="n"/>
      <c r="K721" s="84" t="n"/>
      <c r="L721" s="84" t="n"/>
      <c r="M721" s="84" t="n"/>
      <c r="N721" s="84" t="n"/>
      <c r="O721" s="84" t="n"/>
      <c r="P721" s="84" t="n"/>
      <c r="Q721" s="84" t="n"/>
      <c r="R721" s="84" t="n"/>
      <c r="S721" s="84" t="n"/>
      <c r="T721" s="84" t="n"/>
      <c r="U721" s="84" t="n"/>
      <c r="V721" s="84" t="n"/>
      <c r="W721" s="84" t="n"/>
      <c r="X721" s="84" t="n"/>
      <c r="Y721" s="84" t="n"/>
      <c r="Z721" s="84" t="n"/>
      <c r="AA721" s="84" t="n"/>
      <c r="AB721" s="84" t="n"/>
      <c r="AC721" s="84" t="n"/>
      <c r="AD721" s="84" t="n"/>
    </row>
    <row r="722" ht="15.75" customHeight="1" s="176"/>
    <row r="723" ht="15.75" customHeight="1" s="176"/>
    <row r="724" ht="15.75" customHeight="1" s="176"/>
    <row r="725" ht="15.75" customHeight="1" s="176"/>
    <row r="726" ht="15.75" customHeight="1" s="176"/>
    <row r="727" ht="15.75" customHeight="1" s="176"/>
    <row r="728" ht="15.75" customHeight="1" s="176"/>
    <row r="729" ht="15.75" customHeight="1" s="176"/>
    <row r="730" ht="15.75" customHeight="1" s="176"/>
    <row r="731" ht="15.75" customHeight="1" s="176"/>
    <row r="732" ht="15.75" customHeight="1" s="176"/>
    <row r="733" ht="15.75" customHeight="1" s="176"/>
    <row r="734" ht="15.75" customHeight="1" s="176"/>
    <row r="735" ht="15.75" customHeight="1" s="176"/>
    <row r="736" ht="15.75" customHeight="1" s="176"/>
    <row r="737" ht="15.75" customHeight="1" s="176"/>
    <row r="738" ht="15.75" customHeight="1" s="176"/>
    <row r="739" ht="15.75" customHeight="1" s="176"/>
    <row r="740" ht="15.75" customHeight="1" s="176"/>
    <row r="741" ht="15.75" customHeight="1" s="176"/>
    <row r="742" ht="15.75" customHeight="1" s="176"/>
    <row r="743" ht="15.75" customHeight="1" s="176"/>
    <row r="744" ht="15.75" customHeight="1" s="176"/>
    <row r="745" ht="15.75" customHeight="1" s="176"/>
    <row r="746" ht="15.75" customHeight="1" s="176"/>
    <row r="747" ht="15.75" customHeight="1" s="176"/>
    <row r="748" ht="15.75" customHeight="1" s="176"/>
    <row r="749" ht="15.75" customHeight="1" s="176"/>
    <row r="750" ht="15.75" customHeight="1" s="176"/>
    <row r="751" ht="15.75" customHeight="1" s="176"/>
    <row r="752" ht="15.75" customHeight="1" s="176"/>
    <row r="753" ht="15.75" customHeight="1" s="176"/>
    <row r="754" ht="15.75" customHeight="1" s="176"/>
    <row r="755" ht="15.75" customHeight="1" s="176"/>
    <row r="756" ht="15.75" customHeight="1" s="176"/>
    <row r="757" ht="15.75" customHeight="1" s="176"/>
    <row r="758" ht="15.75" customHeight="1" s="176"/>
    <row r="759" ht="15.75" customHeight="1" s="176"/>
    <row r="760" ht="15.75" customHeight="1" s="176"/>
    <row r="761" ht="15.75" customHeight="1" s="176"/>
    <row r="762" ht="15.75" customHeight="1" s="176"/>
    <row r="763" ht="15.75" customHeight="1" s="176"/>
    <row r="764" ht="15.75" customHeight="1" s="176"/>
    <row r="765" ht="15.75" customHeight="1" s="176"/>
    <row r="766" ht="15.75" customHeight="1" s="176"/>
    <row r="767" ht="15.75" customHeight="1" s="176"/>
    <row r="768" ht="15.75" customHeight="1" s="176"/>
    <row r="769" ht="15.75" customHeight="1" s="176"/>
    <row r="770" ht="15.75" customHeight="1" s="176"/>
    <row r="771" ht="15.75" customHeight="1" s="176"/>
    <row r="772" ht="15.75" customHeight="1" s="176"/>
    <row r="773" ht="15.75" customHeight="1" s="176"/>
    <row r="774" ht="15.75" customHeight="1" s="176"/>
    <row r="775" ht="15.75" customHeight="1" s="176"/>
    <row r="776" ht="15.75" customHeight="1" s="176"/>
    <row r="777" ht="15.75" customHeight="1" s="176"/>
    <row r="778" ht="15.75" customHeight="1" s="176"/>
    <row r="779" ht="15.75" customHeight="1" s="176"/>
    <row r="780" ht="15.75" customHeight="1" s="176"/>
    <row r="781" ht="15.75" customHeight="1" s="176"/>
    <row r="782" ht="15.75" customHeight="1" s="176"/>
    <row r="783" ht="15.75" customHeight="1" s="176"/>
    <row r="784" ht="15.75" customHeight="1" s="176"/>
    <row r="785" ht="15.75" customHeight="1" s="176"/>
    <row r="786" ht="15.75" customHeight="1" s="176"/>
    <row r="787" ht="15.75" customHeight="1" s="176"/>
    <row r="788" ht="15.75" customHeight="1" s="176"/>
    <row r="789" ht="15.75" customHeight="1" s="176"/>
    <row r="790" ht="15.75" customHeight="1" s="176"/>
    <row r="791" ht="15.75" customHeight="1" s="176"/>
    <row r="792" ht="15.75" customHeight="1" s="176"/>
    <row r="793" ht="15.75" customHeight="1" s="176"/>
    <row r="794" ht="15.75" customHeight="1" s="176"/>
    <row r="795" ht="15.75" customHeight="1" s="176"/>
    <row r="796" ht="15.75" customHeight="1" s="176"/>
    <row r="797" ht="15.75" customHeight="1" s="176"/>
    <row r="798" ht="15.75" customHeight="1" s="176"/>
    <row r="799" ht="15.75" customHeight="1" s="176"/>
    <row r="800" ht="15.75" customHeight="1" s="176"/>
    <row r="801" ht="15.75" customHeight="1" s="176"/>
    <row r="802" ht="15.75" customHeight="1" s="176"/>
    <row r="803" ht="15.75" customHeight="1" s="176"/>
    <row r="804" ht="15.75" customHeight="1" s="176"/>
    <row r="805" ht="15.75" customHeight="1" s="176"/>
    <row r="806" ht="15.75" customHeight="1" s="176"/>
    <row r="807" ht="15.75" customHeight="1" s="176"/>
    <row r="808" ht="15.75" customHeight="1" s="176"/>
    <row r="809" ht="15.75" customHeight="1" s="176"/>
    <row r="810" ht="15.75" customHeight="1" s="176"/>
    <row r="811" ht="15.75" customHeight="1" s="176"/>
    <row r="812" ht="15.75" customHeight="1" s="176"/>
    <row r="813" ht="15.75" customHeight="1" s="176"/>
    <row r="814" ht="15.75" customHeight="1" s="176"/>
    <row r="815" ht="15.75" customHeight="1" s="176"/>
    <row r="816" ht="15.75" customHeight="1" s="176"/>
    <row r="817" ht="15.75" customHeight="1" s="176"/>
    <row r="818" ht="15.75" customHeight="1" s="176"/>
    <row r="819" ht="15.75" customHeight="1" s="176"/>
    <row r="820" ht="15.75" customHeight="1" s="176"/>
    <row r="821" ht="15.75" customHeight="1" s="176"/>
    <row r="822" ht="15.75" customHeight="1" s="176"/>
    <row r="823" ht="15.75" customHeight="1" s="176"/>
    <row r="824" ht="15.75" customHeight="1" s="176"/>
    <row r="825" ht="15.75" customHeight="1" s="176"/>
    <row r="826" ht="15.75" customHeight="1" s="176"/>
    <row r="827" ht="15.75" customHeight="1" s="176"/>
    <row r="828" ht="15.75" customHeight="1" s="176"/>
    <row r="829" ht="15.75" customHeight="1" s="176"/>
    <row r="830" ht="15.75" customHeight="1" s="176"/>
    <row r="831" ht="15.75" customHeight="1" s="176"/>
    <row r="832" ht="15.75" customHeight="1" s="176"/>
    <row r="833" ht="15.75" customHeight="1" s="176"/>
    <row r="834" ht="15.75" customHeight="1" s="176"/>
    <row r="835" ht="15.75" customHeight="1" s="176"/>
    <row r="836" ht="15.75" customHeight="1" s="176"/>
    <row r="837" ht="15.75" customHeight="1" s="176"/>
    <row r="838" ht="15.75" customHeight="1" s="176"/>
    <row r="839" ht="15.75" customHeight="1" s="176"/>
    <row r="840" ht="15.75" customHeight="1" s="176"/>
    <row r="841" ht="15.75" customHeight="1" s="176"/>
    <row r="842" ht="15.75" customHeight="1" s="176"/>
    <row r="843" ht="15.75" customHeight="1" s="176"/>
    <row r="844" ht="15.75" customHeight="1" s="176"/>
    <row r="845" ht="15.75" customHeight="1" s="176"/>
    <row r="846" ht="15.75" customHeight="1" s="176"/>
    <row r="847" ht="15.75" customHeight="1" s="176"/>
    <row r="848" ht="15.75" customHeight="1" s="176"/>
    <row r="849" ht="15.75" customHeight="1" s="176"/>
    <row r="850" ht="15.75" customHeight="1" s="176"/>
    <row r="851" ht="15.75" customHeight="1" s="176"/>
    <row r="852" ht="15.75" customHeight="1" s="176"/>
    <row r="853" ht="15.75" customHeight="1" s="176"/>
    <row r="854" ht="15.75" customHeight="1" s="176"/>
    <row r="855" ht="15.75" customHeight="1" s="176"/>
    <row r="856" ht="15.75" customHeight="1" s="176"/>
    <row r="857" ht="15.75" customHeight="1" s="176"/>
    <row r="858" ht="15.75" customHeight="1" s="176"/>
    <row r="859" ht="15.75" customHeight="1" s="176"/>
    <row r="860" ht="15.75" customHeight="1" s="176"/>
    <row r="861" ht="15.75" customHeight="1" s="176"/>
    <row r="862" ht="15.75" customHeight="1" s="176"/>
    <row r="863" ht="15.75" customHeight="1" s="176"/>
    <row r="864" ht="15.75" customHeight="1" s="176"/>
    <row r="865" ht="15.75" customHeight="1" s="176"/>
    <row r="866" ht="15.75" customHeight="1" s="176"/>
    <row r="867" ht="15.75" customHeight="1" s="176"/>
    <row r="868" ht="15.75" customHeight="1" s="176"/>
    <row r="869" ht="15.75" customHeight="1" s="176"/>
    <row r="870" ht="15.75" customHeight="1" s="176"/>
    <row r="871" ht="15.75" customHeight="1" s="176"/>
    <row r="872" ht="15.75" customHeight="1" s="176"/>
    <row r="873" ht="15.75" customHeight="1" s="176"/>
    <row r="874" ht="15.75" customHeight="1" s="176"/>
    <row r="875" ht="15.75" customHeight="1" s="176"/>
    <row r="876" ht="15.75" customHeight="1" s="176"/>
    <row r="877" ht="15.75" customHeight="1" s="176"/>
    <row r="878" ht="15.75" customHeight="1" s="176"/>
    <row r="879" ht="15.75" customHeight="1" s="176"/>
    <row r="880" ht="15.75" customHeight="1" s="176"/>
    <row r="881" ht="15.75" customHeight="1" s="176"/>
    <row r="882" ht="15.75" customHeight="1" s="176"/>
    <row r="883" ht="15.75" customHeight="1" s="176"/>
    <row r="884" ht="15.75" customHeight="1" s="176"/>
    <row r="885" ht="15.75" customHeight="1" s="176"/>
    <row r="886" ht="15.75" customHeight="1" s="176"/>
    <row r="887" ht="15.75" customHeight="1" s="176"/>
    <row r="888" ht="15.75" customHeight="1" s="176"/>
    <row r="889" ht="15.75" customHeight="1" s="176"/>
    <row r="890" ht="15.75" customHeight="1" s="176"/>
    <row r="891" ht="15.75" customHeight="1" s="176"/>
    <row r="892" ht="15.75" customHeight="1" s="176"/>
    <row r="893" ht="15.75" customHeight="1" s="176"/>
    <row r="894" ht="15.75" customHeight="1" s="176"/>
    <row r="895" ht="15.75" customHeight="1" s="176"/>
    <row r="896" ht="15.75" customHeight="1" s="176"/>
    <row r="897" ht="15.75" customHeight="1" s="176"/>
    <row r="898" ht="15.75" customHeight="1" s="176"/>
    <row r="899" ht="15.75" customHeight="1" s="176"/>
    <row r="900" ht="15.75" customHeight="1" s="176"/>
    <row r="901" ht="15.75" customHeight="1" s="176"/>
    <row r="902" ht="15.75" customHeight="1" s="176"/>
    <row r="903" ht="15.75" customHeight="1" s="176"/>
    <row r="904" ht="15.75" customHeight="1" s="176"/>
    <row r="905" ht="15.75" customHeight="1" s="176"/>
    <row r="906" ht="15.75" customHeight="1" s="176"/>
    <row r="907" ht="15.75" customHeight="1" s="176"/>
    <row r="908" ht="15.75" customHeight="1" s="176"/>
    <row r="909" ht="15.75" customHeight="1" s="176"/>
    <row r="910" ht="15.75" customHeight="1" s="176"/>
    <row r="911" ht="15.75" customHeight="1" s="176"/>
    <row r="912" ht="15.75" customHeight="1" s="176"/>
    <row r="913" ht="15.75" customHeight="1" s="176"/>
    <row r="914" ht="15.75" customHeight="1" s="176"/>
    <row r="915" ht="15.75" customHeight="1" s="176"/>
    <row r="916" ht="15.75" customHeight="1" s="176"/>
    <row r="917" ht="15.75" customHeight="1" s="176"/>
    <row r="918" ht="15.75" customHeight="1" s="176"/>
    <row r="919" ht="15.75" customHeight="1" s="176"/>
    <row r="920" ht="15.75" customHeight="1" s="176"/>
    <row r="921" ht="15.75" customHeight="1" s="176"/>
    <row r="922" ht="15.75" customHeight="1" s="176"/>
    <row r="923" ht="15.75" customHeight="1" s="176"/>
    <row r="924" ht="15.75" customHeight="1" s="176"/>
    <row r="925" ht="15.75" customHeight="1" s="176"/>
    <row r="926" ht="15.75" customHeight="1" s="176"/>
    <row r="927" ht="15.75" customHeight="1" s="176"/>
    <row r="928" ht="15.75" customHeight="1" s="176"/>
    <row r="929" ht="15.75" customHeight="1" s="176"/>
    <row r="930" ht="15.75" customHeight="1" s="176"/>
    <row r="931" ht="15.75" customHeight="1" s="176"/>
    <row r="932" ht="15.75" customHeight="1" s="176"/>
    <row r="933" ht="15.75" customHeight="1" s="176"/>
    <row r="934" ht="15.75" customHeight="1" s="176"/>
    <row r="935" ht="15.75" customHeight="1" s="176"/>
    <row r="936" ht="15.75" customHeight="1" s="176"/>
    <row r="937" ht="15.75" customHeight="1" s="176"/>
    <row r="938" ht="15.75" customHeight="1" s="176"/>
    <row r="939" ht="15.75" customHeight="1" s="176"/>
    <row r="940" ht="15.75" customHeight="1" s="176"/>
    <row r="941" ht="15.75" customHeight="1" s="176"/>
    <row r="942" ht="15.75" customHeight="1" s="176"/>
    <row r="943" ht="15.75" customHeight="1" s="176"/>
    <row r="944" ht="15.75" customHeight="1" s="176"/>
    <row r="945" ht="15.75" customHeight="1" s="176"/>
    <row r="946" ht="15.75" customHeight="1" s="176"/>
    <row r="947" ht="15.75" customHeight="1" s="176"/>
    <row r="948" ht="15.75" customHeight="1" s="176"/>
    <row r="949" ht="15.75" customHeight="1" s="176"/>
    <row r="950" ht="15.75" customHeight="1" s="176"/>
    <row r="951" ht="15.75" customHeight="1" s="176"/>
    <row r="952" ht="15.75" customHeight="1" s="176"/>
    <row r="953" ht="15.75" customHeight="1" s="176"/>
    <row r="954" ht="15.75" customHeight="1" s="176"/>
    <row r="955" ht="15.75" customHeight="1" s="176"/>
    <row r="956" ht="15.75" customHeight="1" s="176"/>
    <row r="957" ht="15.75" customHeight="1" s="176"/>
    <row r="958" ht="15.75" customHeight="1" s="176"/>
    <row r="959" ht="15.75" customHeight="1" s="176"/>
    <row r="960" ht="15.75" customHeight="1" s="176"/>
    <row r="961" ht="15.75" customHeight="1" s="176"/>
    <row r="962" ht="15.75" customHeight="1" s="176"/>
    <row r="963" ht="15.75" customHeight="1" s="176"/>
    <row r="964" ht="15.75" customHeight="1" s="176"/>
    <row r="965" ht="15.75" customHeight="1" s="176"/>
    <row r="966" ht="15.75" customHeight="1" s="176"/>
    <row r="967" ht="15.75" customHeight="1" s="176"/>
    <row r="968" ht="15.75" customHeight="1" s="176"/>
    <row r="969" ht="15.75" customHeight="1" s="176"/>
    <row r="970" ht="15.75" customHeight="1" s="176"/>
    <row r="971" ht="15.75" customHeight="1" s="176"/>
    <row r="972" ht="15.75" customHeight="1" s="176"/>
    <row r="973" ht="15.75" customHeight="1" s="176"/>
    <row r="974" ht="15.75" customHeight="1" s="176"/>
    <row r="975" ht="15.75" customHeight="1" s="176"/>
    <row r="976" ht="15.75" customHeight="1" s="176"/>
    <row r="977" ht="15.75" customHeight="1" s="176"/>
    <row r="978" ht="15.75" customHeight="1" s="176"/>
    <row r="979" ht="15.75" customHeight="1" s="176"/>
    <row r="980" ht="15.75" customHeight="1" s="176"/>
    <row r="981" ht="15.75" customHeight="1" s="176"/>
    <row r="982" ht="15.75" customHeight="1" s="176"/>
    <row r="983" ht="15.75" customHeight="1" s="176"/>
    <row r="984" ht="15.75" customHeight="1" s="176"/>
    <row r="985" ht="15.75" customHeight="1" s="176"/>
    <row r="986" ht="15.75" customHeight="1" s="176"/>
    <row r="987" ht="15.75" customHeight="1" s="176"/>
    <row r="988" ht="15.75" customHeight="1" s="176"/>
    <row r="989" ht="15.75" customHeight="1" s="176"/>
    <row r="990" ht="15.75" customHeight="1" s="176"/>
    <row r="991" ht="15.75" customHeight="1" s="176"/>
    <row r="992" ht="15.75" customHeight="1" s="176"/>
    <row r="993" ht="15.75" customHeight="1" s="176"/>
    <row r="994" ht="15.75" customHeight="1" s="176"/>
    <row r="995" ht="15.75" customHeight="1" s="176"/>
    <row r="996" ht="15.75" customHeight="1" s="176"/>
    <row r="997" ht="15.75" customHeight="1" s="176"/>
    <row r="998" ht="15.75" customHeight="1" s="176"/>
    <row r="999" ht="15.75" customHeight="1" s="176"/>
    <row r="1000" ht="15.75" customHeight="1" s="176"/>
  </sheetData>
  <mergeCells count="634">
    <mergeCell ref="D535:E535"/>
    <mergeCell ref="D473:E473"/>
    <mergeCell ref="D644:E644"/>
    <mergeCell ref="D187:E187"/>
    <mergeCell ref="D619:E619"/>
    <mergeCell ref="D423:E423"/>
    <mergeCell ref="D472:E472"/>
    <mergeCell ref="D410:E410"/>
    <mergeCell ref="D708:E708"/>
    <mergeCell ref="C21:E21"/>
    <mergeCell ref="D281:E281"/>
    <mergeCell ref="D297:E297"/>
    <mergeCell ref="D568:E568"/>
    <mergeCell ref="C23:E23"/>
    <mergeCell ref="D660:E660"/>
    <mergeCell ref="D263:E263"/>
    <mergeCell ref="D312:E312"/>
    <mergeCell ref="D505:E505"/>
    <mergeCell ref="D499:E499"/>
    <mergeCell ref="D238:E238"/>
    <mergeCell ref="D597:E597"/>
    <mergeCell ref="D426:E426"/>
    <mergeCell ref="D486:E486"/>
    <mergeCell ref="D572:E572"/>
    <mergeCell ref="D205:E205"/>
    <mergeCell ref="D376:E376"/>
    <mergeCell ref="D563:E563"/>
    <mergeCell ref="D363:E363"/>
    <mergeCell ref="D357:E357"/>
    <mergeCell ref="D599:E599"/>
    <mergeCell ref="D332:E332"/>
    <mergeCell ref="D307:E307"/>
    <mergeCell ref="D574:E574"/>
    <mergeCell ref="D638:E638"/>
    <mergeCell ref="C113:E113"/>
    <mergeCell ref="C103:E103"/>
    <mergeCell ref="C94:E94"/>
    <mergeCell ref="C118:E118"/>
    <mergeCell ref="D479:E479"/>
    <mergeCell ref="D650:E650"/>
    <mergeCell ref="D258:E258"/>
    <mergeCell ref="D556:E556"/>
    <mergeCell ref="D494:E494"/>
    <mergeCell ref="D543:E543"/>
    <mergeCell ref="D518:E518"/>
    <mergeCell ref="D714:E714"/>
    <mergeCell ref="D195:E195"/>
    <mergeCell ref="D610:E610"/>
    <mergeCell ref="D493:E493"/>
    <mergeCell ref="D189:E189"/>
    <mergeCell ref="D431:E431"/>
    <mergeCell ref="B16:E16"/>
    <mergeCell ref="D287:E287"/>
    <mergeCell ref="D558:E558"/>
    <mergeCell ref="D360:E360"/>
    <mergeCell ref="D585:E585"/>
    <mergeCell ref="D474:E474"/>
    <mergeCell ref="D716:E716"/>
    <mergeCell ref="D197:E197"/>
    <mergeCell ref="D253:E253"/>
    <mergeCell ref="D351:E351"/>
    <mergeCell ref="D289:E289"/>
    <mergeCell ref="D411:E411"/>
    <mergeCell ref="D482:E482"/>
    <mergeCell ref="D587:E587"/>
    <mergeCell ref="C87:E87"/>
    <mergeCell ref="B11:E11"/>
    <mergeCell ref="C24:E24"/>
    <mergeCell ref="C89:E89"/>
    <mergeCell ref="C116:E116"/>
    <mergeCell ref="C88:E88"/>
    <mergeCell ref="D378:E378"/>
    <mergeCell ref="C26:E26"/>
    <mergeCell ref="D365:E365"/>
    <mergeCell ref="D536:E536"/>
    <mergeCell ref="D663:E663"/>
    <mergeCell ref="D315:E315"/>
    <mergeCell ref="D442:E442"/>
    <mergeCell ref="D613:E613"/>
    <mergeCell ref="D502:E502"/>
    <mergeCell ref="D302:E302"/>
    <mergeCell ref="C117:E117"/>
    <mergeCell ref="B158:E158"/>
    <mergeCell ref="D600:E600"/>
    <mergeCell ref="D429:E429"/>
    <mergeCell ref="B6:E6"/>
    <mergeCell ref="D665:E665"/>
    <mergeCell ref="D208:E208"/>
    <mergeCell ref="D379:E379"/>
    <mergeCell ref="D677:E677"/>
    <mergeCell ref="D640:E640"/>
    <mergeCell ref="D615:E615"/>
    <mergeCell ref="D366:E366"/>
    <mergeCell ref="D300:E300"/>
    <mergeCell ref="D664:E664"/>
    <mergeCell ref="B160:E160"/>
    <mergeCell ref="C115:E115"/>
    <mergeCell ref="D406:E406"/>
    <mergeCell ref="D704:E704"/>
    <mergeCell ref="B153:E153"/>
    <mergeCell ref="D666:E666"/>
    <mergeCell ref="D470:E470"/>
    <mergeCell ref="D214:E214"/>
    <mergeCell ref="D284:E284"/>
    <mergeCell ref="D520:E520"/>
    <mergeCell ref="D259:E259"/>
    <mergeCell ref="D501:E501"/>
    <mergeCell ref="D495:E495"/>
    <mergeCell ref="D326:E326"/>
    <mergeCell ref="D593:E593"/>
    <mergeCell ref="D313:E313"/>
    <mergeCell ref="D584:E584"/>
    <mergeCell ref="D432:E432"/>
    <mergeCell ref="D236:E236"/>
    <mergeCell ref="D559:E559"/>
    <mergeCell ref="D524:E524"/>
    <mergeCell ref="D353:E353"/>
    <mergeCell ref="D595:E595"/>
    <mergeCell ref="D651:E651"/>
    <mergeCell ref="D303:E303"/>
    <mergeCell ref="D496:E496"/>
    <mergeCell ref="D290:E290"/>
    <mergeCell ref="D361:E361"/>
    <mergeCell ref="D588:E588"/>
    <mergeCell ref="L3:N3"/>
    <mergeCell ref="D659:E659"/>
    <mergeCell ref="D417:E417"/>
    <mergeCell ref="D653:E653"/>
    <mergeCell ref="D498:E498"/>
    <mergeCell ref="D603:E603"/>
    <mergeCell ref="D354:E354"/>
    <mergeCell ref="D590:E590"/>
    <mergeCell ref="C90:E90"/>
    <mergeCell ref="D527:E527"/>
    <mergeCell ref="D356:E356"/>
    <mergeCell ref="C27:E27"/>
    <mergeCell ref="C119:E119"/>
    <mergeCell ref="D316:E316"/>
    <mergeCell ref="D387:E387"/>
    <mergeCell ref="D443:E443"/>
    <mergeCell ref="D272:E272"/>
    <mergeCell ref="D514:E514"/>
    <mergeCell ref="D685:E685"/>
    <mergeCell ref="D210:E210"/>
    <mergeCell ref="D679:E679"/>
    <mergeCell ref="B159:E159"/>
    <mergeCell ref="D308:E308"/>
    <mergeCell ref="D381:E381"/>
    <mergeCell ref="D606:E606"/>
    <mergeCell ref="D209:E209"/>
    <mergeCell ref="D380:E380"/>
    <mergeCell ref="D445:E445"/>
    <mergeCell ref="D616:E616"/>
    <mergeCell ref="D516:E516"/>
    <mergeCell ref="D687:E687"/>
    <mergeCell ref="B167:E167"/>
    <mergeCell ref="B161:E161"/>
    <mergeCell ref="D245:E245"/>
    <mergeCell ref="D274:E274"/>
    <mergeCell ref="D301:E301"/>
    <mergeCell ref="D608:E608"/>
    <mergeCell ref="D224:E224"/>
    <mergeCell ref="D250:E250"/>
    <mergeCell ref="D211:E211"/>
    <mergeCell ref="D382:E382"/>
    <mergeCell ref="C108:E108"/>
    <mergeCell ref="G3:J3"/>
    <mergeCell ref="B175:E175"/>
    <mergeCell ref="D240:E240"/>
    <mergeCell ref="D511:E511"/>
    <mergeCell ref="D682:E682"/>
    <mergeCell ref="B162:E162"/>
    <mergeCell ref="D334:E334"/>
    <mergeCell ref="C109:E109"/>
    <mergeCell ref="D634:E634"/>
    <mergeCell ref="D523:E523"/>
    <mergeCell ref="D621:E621"/>
    <mergeCell ref="D329:E329"/>
    <mergeCell ref="D229:E229"/>
    <mergeCell ref="D400:E400"/>
    <mergeCell ref="D565:E565"/>
    <mergeCell ref="D698:E698"/>
    <mergeCell ref="D375:E375"/>
    <mergeCell ref="D369:E369"/>
    <mergeCell ref="D598:E598"/>
    <mergeCell ref="D629:E629"/>
    <mergeCell ref="D306:E306"/>
    <mergeCell ref="D377:E377"/>
    <mergeCell ref="D675:E675"/>
    <mergeCell ref="B155:E155"/>
    <mergeCell ref="D662:E662"/>
    <mergeCell ref="D235:E235"/>
    <mergeCell ref="D451:E451"/>
    <mergeCell ref="D255:E255"/>
    <mergeCell ref="D322:E322"/>
    <mergeCell ref="D260:E260"/>
    <mergeCell ref="D453:E453"/>
    <mergeCell ref="D624:E624"/>
    <mergeCell ref="D309:E309"/>
    <mergeCell ref="D545:E545"/>
    <mergeCell ref="D324:E324"/>
    <mergeCell ref="D517:E517"/>
    <mergeCell ref="D622:E622"/>
    <mergeCell ref="D688:E688"/>
    <mergeCell ref="C99:E99"/>
    <mergeCell ref="D311:E311"/>
    <mergeCell ref="D609:E609"/>
    <mergeCell ref="D680:E680"/>
    <mergeCell ref="D261:E261"/>
    <mergeCell ref="D388:E388"/>
    <mergeCell ref="B177:E177"/>
    <mergeCell ref="D448:E448"/>
    <mergeCell ref="D690:E690"/>
    <mergeCell ref="D546:E546"/>
    <mergeCell ref="B164:E164"/>
    <mergeCell ref="D611:E611"/>
    <mergeCell ref="D561:E561"/>
    <mergeCell ref="D390:E390"/>
    <mergeCell ref="D548:E548"/>
    <mergeCell ref="D337:E337"/>
    <mergeCell ref="D464:E464"/>
    <mergeCell ref="D635:E635"/>
    <mergeCell ref="D573:E573"/>
    <mergeCell ref="D706:E706"/>
    <mergeCell ref="D402:E402"/>
    <mergeCell ref="D230:E230"/>
    <mergeCell ref="D401:E401"/>
    <mergeCell ref="D643:E643"/>
    <mergeCell ref="D339:E339"/>
    <mergeCell ref="D466:E466"/>
    <mergeCell ref="D637:E637"/>
    <mergeCell ref="D683:E683"/>
    <mergeCell ref="B132:E132"/>
    <mergeCell ref="D232:E232"/>
    <mergeCell ref="D403:E403"/>
    <mergeCell ref="D530:E530"/>
    <mergeCell ref="D701:E701"/>
    <mergeCell ref="D532:E532"/>
    <mergeCell ref="D703:E703"/>
    <mergeCell ref="D507:E507"/>
    <mergeCell ref="D678:E678"/>
    <mergeCell ref="D330:E330"/>
    <mergeCell ref="D492:E492"/>
    <mergeCell ref="D630:E630"/>
    <mergeCell ref="D350:E350"/>
    <mergeCell ref="D617:E617"/>
    <mergeCell ref="D325:E325"/>
    <mergeCell ref="D567:E567"/>
    <mergeCell ref="D396:E396"/>
    <mergeCell ref="D456:E456"/>
    <mergeCell ref="D632:E632"/>
    <mergeCell ref="D414:E414"/>
    <mergeCell ref="D681:E681"/>
    <mergeCell ref="D352:E352"/>
    <mergeCell ref="D460:E460"/>
    <mergeCell ref="D631:E631"/>
    <mergeCell ref="D398:E398"/>
    <mergeCell ref="D569:E569"/>
    <mergeCell ref="D454:E454"/>
    <mergeCell ref="D625:E625"/>
    <mergeCell ref="D696:E696"/>
    <mergeCell ref="B176:E176"/>
    <mergeCell ref="D327:E327"/>
    <mergeCell ref="D612:E612"/>
    <mergeCell ref="D416:E416"/>
    <mergeCell ref="C96:E96"/>
    <mergeCell ref="D264:E264"/>
    <mergeCell ref="D220:E220"/>
    <mergeCell ref="D391:E391"/>
    <mergeCell ref="C98:E98"/>
    <mergeCell ref="D328:E328"/>
    <mergeCell ref="D251:E251"/>
    <mergeCell ref="D487:E487"/>
    <mergeCell ref="D343:E343"/>
    <mergeCell ref="D480:E480"/>
    <mergeCell ref="B9:E9"/>
    <mergeCell ref="D551:E551"/>
    <mergeCell ref="D280:E280"/>
    <mergeCell ref="D467:E467"/>
    <mergeCell ref="C93:E93"/>
    <mergeCell ref="D538:E538"/>
    <mergeCell ref="D709:E709"/>
    <mergeCell ref="D345:E345"/>
    <mergeCell ref="D190:E190"/>
    <mergeCell ref="D246:E246"/>
    <mergeCell ref="D488:E488"/>
    <mergeCell ref="D233:E233"/>
    <mergeCell ref="D282:E282"/>
    <mergeCell ref="D338:E338"/>
    <mergeCell ref="D580:E580"/>
    <mergeCell ref="D409:E409"/>
    <mergeCell ref="D469:E469"/>
    <mergeCell ref="D711:E711"/>
    <mergeCell ref="D183:E183"/>
    <mergeCell ref="D444:E444"/>
    <mergeCell ref="D248:E248"/>
    <mergeCell ref="D219:E219"/>
    <mergeCell ref="D275:E275"/>
    <mergeCell ref="D419:E419"/>
    <mergeCell ref="D340:E340"/>
    <mergeCell ref="D533:E533"/>
    <mergeCell ref="D582:E582"/>
    <mergeCell ref="D185:E185"/>
    <mergeCell ref="C82:E82"/>
    <mergeCell ref="D277:E277"/>
    <mergeCell ref="D719:E719"/>
    <mergeCell ref="D371:E371"/>
    <mergeCell ref="D564:E564"/>
    <mergeCell ref="C19:E19"/>
    <mergeCell ref="D485:E485"/>
    <mergeCell ref="D656:E656"/>
    <mergeCell ref="C111:E111"/>
    <mergeCell ref="C86:E86"/>
    <mergeCell ref="C83:E83"/>
    <mergeCell ref="D422:E422"/>
    <mergeCell ref="D658:E658"/>
    <mergeCell ref="D201:E201"/>
    <mergeCell ref="D335:E335"/>
    <mergeCell ref="D372:E372"/>
    <mergeCell ref="D633:E633"/>
    <mergeCell ref="D188:E188"/>
    <mergeCell ref="D424:E424"/>
    <mergeCell ref="D399:E399"/>
    <mergeCell ref="D697:E697"/>
    <mergeCell ref="D295:E295"/>
    <mergeCell ref="D463:E463"/>
    <mergeCell ref="D699:E699"/>
    <mergeCell ref="D555:E555"/>
    <mergeCell ref="D254:E254"/>
    <mergeCell ref="D490:E490"/>
    <mergeCell ref="D346:E346"/>
    <mergeCell ref="D477:E477"/>
    <mergeCell ref="B12:E12"/>
    <mergeCell ref="D283:E283"/>
    <mergeCell ref="D554:E554"/>
    <mergeCell ref="D581:E581"/>
    <mergeCell ref="D519:E519"/>
    <mergeCell ref="D652:E652"/>
    <mergeCell ref="D348:E348"/>
    <mergeCell ref="D646:E646"/>
    <mergeCell ref="C101:E101"/>
    <mergeCell ref="D717:E717"/>
    <mergeCell ref="D193:E193"/>
    <mergeCell ref="D491:E491"/>
    <mergeCell ref="D347:E347"/>
    <mergeCell ref="B14:E14"/>
    <mergeCell ref="D285:E285"/>
    <mergeCell ref="D583:E583"/>
    <mergeCell ref="D412:E412"/>
    <mergeCell ref="D710:E710"/>
    <mergeCell ref="D648:E648"/>
    <mergeCell ref="B13:E13"/>
    <mergeCell ref="D362:E362"/>
    <mergeCell ref="D349:E349"/>
    <mergeCell ref="D476:E476"/>
    <mergeCell ref="D647:E647"/>
    <mergeCell ref="D712:E712"/>
    <mergeCell ref="C20:E20"/>
    <mergeCell ref="C25:E25"/>
    <mergeCell ref="C85:E85"/>
    <mergeCell ref="C112:E112"/>
    <mergeCell ref="C84:E84"/>
    <mergeCell ref="D203:E203"/>
    <mergeCell ref="C22:E22"/>
    <mergeCell ref="D672:E672"/>
    <mergeCell ref="D374:E374"/>
    <mergeCell ref="C114:E114"/>
    <mergeCell ref="D438:E438"/>
    <mergeCell ref="D267:E267"/>
    <mergeCell ref="D509:E509"/>
    <mergeCell ref="D674:E674"/>
    <mergeCell ref="B154:E154"/>
    <mergeCell ref="D359:E359"/>
    <mergeCell ref="D425:E425"/>
    <mergeCell ref="D601:E601"/>
    <mergeCell ref="D661:E661"/>
    <mergeCell ref="D204:E204"/>
    <mergeCell ref="D198:E198"/>
    <mergeCell ref="D465:E465"/>
    <mergeCell ref="D440:E440"/>
    <mergeCell ref="D707:E707"/>
    <mergeCell ref="D636:E636"/>
    <mergeCell ref="D269:E269"/>
    <mergeCell ref="D489:E489"/>
    <mergeCell ref="B156:E156"/>
    <mergeCell ref="D296:E296"/>
    <mergeCell ref="D427:E427"/>
    <mergeCell ref="D206:E206"/>
    <mergeCell ref="D700:E700"/>
    <mergeCell ref="D504:E504"/>
    <mergeCell ref="D298:E298"/>
    <mergeCell ref="D596:E596"/>
    <mergeCell ref="D273:E273"/>
    <mergeCell ref="D627:E627"/>
    <mergeCell ref="C104:E104"/>
    <mergeCell ref="D418:E418"/>
    <mergeCell ref="D393:E393"/>
    <mergeCell ref="D654:E654"/>
    <mergeCell ref="D591:E591"/>
    <mergeCell ref="D420:E420"/>
    <mergeCell ref="D718:E718"/>
    <mergeCell ref="D199:E199"/>
    <mergeCell ref="D497:E497"/>
    <mergeCell ref="B15:E15"/>
    <mergeCell ref="D435:E435"/>
    <mergeCell ref="D186:E186"/>
    <mergeCell ref="D364:E364"/>
    <mergeCell ref="D217:E217"/>
    <mergeCell ref="D484:E484"/>
    <mergeCell ref="D655:E655"/>
    <mergeCell ref="D413:E413"/>
    <mergeCell ref="D649:E649"/>
    <mergeCell ref="D720:E720"/>
    <mergeCell ref="D428:E428"/>
    <mergeCell ref="D586:E586"/>
    <mergeCell ref="D415:E415"/>
    <mergeCell ref="D194:E194"/>
    <mergeCell ref="D715:E715"/>
    <mergeCell ref="D446:E446"/>
    <mergeCell ref="C28:E28"/>
    <mergeCell ref="D367:E367"/>
    <mergeCell ref="D212:E212"/>
    <mergeCell ref="D439:E439"/>
    <mergeCell ref="D317:E317"/>
    <mergeCell ref="D510:E510"/>
    <mergeCell ref="C92:E92"/>
    <mergeCell ref="D304:E304"/>
    <mergeCell ref="D602:E602"/>
    <mergeCell ref="D540:E540"/>
    <mergeCell ref="D667:E667"/>
    <mergeCell ref="D441:E441"/>
    <mergeCell ref="D319:E319"/>
    <mergeCell ref="D512:E512"/>
    <mergeCell ref="D368:E368"/>
    <mergeCell ref="D506:E506"/>
    <mergeCell ref="B157:E157"/>
    <mergeCell ref="D604:E604"/>
    <mergeCell ref="D481:E481"/>
    <mergeCell ref="D207:E207"/>
    <mergeCell ref="D256:E256"/>
    <mergeCell ref="D383:E383"/>
    <mergeCell ref="B172:E172"/>
    <mergeCell ref="D299:E299"/>
    <mergeCell ref="D541:E541"/>
    <mergeCell ref="D370:E370"/>
    <mergeCell ref="D668:E668"/>
    <mergeCell ref="D222:E222"/>
    <mergeCell ref="D314:E314"/>
    <mergeCell ref="B5:E5"/>
    <mergeCell ref="C105:E105"/>
    <mergeCell ref="D693:E693"/>
    <mergeCell ref="D645:E645"/>
    <mergeCell ref="C120:E120"/>
    <mergeCell ref="C110:E110"/>
    <mergeCell ref="D459:E459"/>
    <mergeCell ref="D288:E288"/>
    <mergeCell ref="D434:E434"/>
    <mergeCell ref="D670:E670"/>
    <mergeCell ref="D225:E225"/>
    <mergeCell ref="D657:E657"/>
    <mergeCell ref="D461:E461"/>
    <mergeCell ref="D200:E200"/>
    <mergeCell ref="D436:E436"/>
    <mergeCell ref="D292:E292"/>
    <mergeCell ref="D534:E534"/>
    <mergeCell ref="B152:E152"/>
    <mergeCell ref="D227:E227"/>
    <mergeCell ref="D721:E721"/>
    <mergeCell ref="D525:E525"/>
    <mergeCell ref="D202:E202"/>
    <mergeCell ref="D373:E373"/>
    <mergeCell ref="D500:E500"/>
    <mergeCell ref="D294:E294"/>
    <mergeCell ref="D592:E592"/>
    <mergeCell ref="D231:E231"/>
    <mergeCell ref="D673:E673"/>
    <mergeCell ref="D529:E529"/>
    <mergeCell ref="D358:E358"/>
    <mergeCell ref="D408:E408"/>
    <mergeCell ref="D594:E594"/>
    <mergeCell ref="C29:E29"/>
    <mergeCell ref="C100:E100"/>
    <mergeCell ref="D318:E318"/>
    <mergeCell ref="D389:E389"/>
    <mergeCell ref="C80:E80"/>
    <mergeCell ref="D320:E320"/>
    <mergeCell ref="D447:E447"/>
    <mergeCell ref="D618:E618"/>
    <mergeCell ref="D689:E689"/>
    <mergeCell ref="C95:E95"/>
    <mergeCell ref="D385:E385"/>
    <mergeCell ref="B163:E163"/>
    <mergeCell ref="D605:E605"/>
    <mergeCell ref="D676:E676"/>
    <mergeCell ref="D257:E257"/>
    <mergeCell ref="D213:E213"/>
    <mergeCell ref="B173:E173"/>
    <mergeCell ref="D384:E384"/>
    <mergeCell ref="D449:E449"/>
    <mergeCell ref="D620:E620"/>
    <mergeCell ref="B165:E165"/>
    <mergeCell ref="D607:E607"/>
    <mergeCell ref="C91:E91"/>
    <mergeCell ref="D321:E321"/>
    <mergeCell ref="D557:E557"/>
    <mergeCell ref="D215:E215"/>
    <mergeCell ref="D386:E386"/>
    <mergeCell ref="D513:E513"/>
    <mergeCell ref="D684:E684"/>
    <mergeCell ref="D671:E671"/>
    <mergeCell ref="D531:E531"/>
    <mergeCell ref="D702:E702"/>
    <mergeCell ref="D226:E226"/>
    <mergeCell ref="D462:E462"/>
    <mergeCell ref="D579:E579"/>
    <mergeCell ref="D589:E589"/>
    <mergeCell ref="D560:E560"/>
    <mergeCell ref="B178:E178"/>
    <mergeCell ref="D437:E437"/>
    <mergeCell ref="S3:AD3"/>
    <mergeCell ref="D508:E508"/>
    <mergeCell ref="D241:E241"/>
    <mergeCell ref="D539:E539"/>
    <mergeCell ref="D228:E228"/>
    <mergeCell ref="D333:E333"/>
    <mergeCell ref="D526:E526"/>
    <mergeCell ref="D575:E575"/>
    <mergeCell ref="D404:E404"/>
    <mergeCell ref="D562:E562"/>
    <mergeCell ref="D305:E305"/>
    <mergeCell ref="D544:E544"/>
    <mergeCell ref="D243:E243"/>
    <mergeCell ref="D270:E270"/>
    <mergeCell ref="D397:E397"/>
    <mergeCell ref="D528:E528"/>
    <mergeCell ref="D310:E310"/>
    <mergeCell ref="D503:E503"/>
    <mergeCell ref="D570:E570"/>
    <mergeCell ref="C106:E106"/>
    <mergeCell ref="D455:E455"/>
    <mergeCell ref="D626:E626"/>
    <mergeCell ref="C81:E81"/>
    <mergeCell ref="D430:E430"/>
    <mergeCell ref="D691:E691"/>
    <mergeCell ref="D221:E221"/>
    <mergeCell ref="D392:E392"/>
    <mergeCell ref="D457:E457"/>
    <mergeCell ref="D628:E628"/>
    <mergeCell ref="D475:E475"/>
    <mergeCell ref="D323:E323"/>
    <mergeCell ref="B179:E179"/>
    <mergeCell ref="D450:E450"/>
    <mergeCell ref="D223:E223"/>
    <mergeCell ref="D521:E521"/>
    <mergeCell ref="D692:E692"/>
    <mergeCell ref="D279:E279"/>
    <mergeCell ref="D686:E686"/>
    <mergeCell ref="B166:E166"/>
    <mergeCell ref="D394:E394"/>
    <mergeCell ref="D216:E216"/>
    <mergeCell ref="D265:E265"/>
    <mergeCell ref="D452:E452"/>
    <mergeCell ref="D623:E623"/>
    <mergeCell ref="D694:E694"/>
    <mergeCell ref="B174:E174"/>
    <mergeCell ref="D550:E550"/>
    <mergeCell ref="B168:E168"/>
    <mergeCell ref="D252:E252"/>
    <mergeCell ref="D218:E218"/>
    <mergeCell ref="D247:E247"/>
    <mergeCell ref="B169:E169"/>
    <mergeCell ref="D249:E249"/>
    <mergeCell ref="D276:E276"/>
    <mergeCell ref="D547:E547"/>
    <mergeCell ref="D341:E341"/>
    <mergeCell ref="D468:E468"/>
    <mergeCell ref="D639:E639"/>
    <mergeCell ref="D577:E577"/>
    <mergeCell ref="D242:E242"/>
    <mergeCell ref="D478:E478"/>
    <mergeCell ref="B7:E7"/>
    <mergeCell ref="D549:E549"/>
    <mergeCell ref="D278:E278"/>
    <mergeCell ref="D576:E576"/>
    <mergeCell ref="D234:E234"/>
    <mergeCell ref="D405:E405"/>
    <mergeCell ref="D641:E641"/>
    <mergeCell ref="D244:E244"/>
    <mergeCell ref="D342:E342"/>
    <mergeCell ref="D336:E336"/>
    <mergeCell ref="D578:E578"/>
    <mergeCell ref="D407:E407"/>
    <mergeCell ref="D705:E705"/>
    <mergeCell ref="D196:E196"/>
    <mergeCell ref="P3:Q3"/>
    <mergeCell ref="C107:E107"/>
    <mergeCell ref="D669:E669"/>
    <mergeCell ref="D483:E483"/>
    <mergeCell ref="D271:E271"/>
    <mergeCell ref="D191:E191"/>
    <mergeCell ref="D458:E458"/>
    <mergeCell ref="D433:E433"/>
    <mergeCell ref="D262:E262"/>
    <mergeCell ref="D237:E237"/>
    <mergeCell ref="D522:E522"/>
    <mergeCell ref="D571:E571"/>
    <mergeCell ref="D291:E291"/>
    <mergeCell ref="D614:E614"/>
    <mergeCell ref="D552:E552"/>
    <mergeCell ref="D239:E239"/>
    <mergeCell ref="D266:E266"/>
    <mergeCell ref="D537:E537"/>
    <mergeCell ref="D331:E331"/>
    <mergeCell ref="D695:E695"/>
    <mergeCell ref="D355:E355"/>
    <mergeCell ref="D293:E293"/>
    <mergeCell ref="D268:E268"/>
    <mergeCell ref="D566:E566"/>
    <mergeCell ref="D395:E395"/>
    <mergeCell ref="D553:E553"/>
    <mergeCell ref="C102:E102"/>
    <mergeCell ref="D184:E184"/>
    <mergeCell ref="D192:E192"/>
    <mergeCell ref="B8:E8"/>
    <mergeCell ref="D515:E515"/>
    <mergeCell ref="D344:E344"/>
    <mergeCell ref="D471:E471"/>
    <mergeCell ref="D642:E642"/>
    <mergeCell ref="D542:E542"/>
    <mergeCell ref="D713:E713"/>
    <mergeCell ref="C97:E97"/>
    <mergeCell ref="D421:E421"/>
    <mergeCell ref="B10:E10"/>
    <mergeCell ref="D286:E286"/>
  </mergeCells>
  <conditionalFormatting sqref="A133:A149">
    <cfRule type="expression" priority="1" dxfId="11">
      <formula>MOD(ROW(),2)=0</formula>
    </cfRule>
  </conditionalFormatting>
  <conditionalFormatting sqref="A34:C76">
    <cfRule type="expression" priority="2" dxfId="11">
      <formula>MOD(ROW(),2)=0</formula>
    </cfRule>
  </conditionalFormatting>
  <conditionalFormatting sqref="A81:E120">
    <cfRule type="expression" priority="3" dxfId="11">
      <formula>MOD(ROW(),2)=0</formula>
    </cfRule>
  </conditionalFormatting>
  <conditionalFormatting sqref="A123:E128">
    <cfRule type="expression" priority="4" dxfId="11">
      <formula>MOD(ROW(),2)=0</formula>
    </cfRule>
  </conditionalFormatting>
  <conditionalFormatting sqref="A153:E169">
    <cfRule type="expression" priority="5" dxfId="11">
      <formula>MOD(ROW(),2)=0</formula>
    </cfRule>
  </conditionalFormatting>
  <conditionalFormatting sqref="A184:E721">
    <cfRule type="expression" priority="6" dxfId="11">
      <formula>MOD(ROW(),2)=0</formula>
    </cfRule>
    <cfRule type="expression" priority="7" dxfId="12">
      <formula>$A184&lt;&gt;$A183</formula>
    </cfRule>
  </conditionalFormatting>
  <conditionalFormatting sqref="J6:J300">
    <cfRule type="cellIs" priority="8" operator="lessThan" dxfId="13">
      <formula>0</formula>
    </cfRule>
  </conditionalFormatting>
  <dataValidations count="2">
    <dataValidation sqref="K6:K200" showDropDown="0" showInputMessage="0" showErrorMessage="1" allowBlank="1" type="list">
      <formula1>"Bodega 25,Bodega 43"</formula1>
    </dataValidation>
    <dataValidation sqref="H6:H300" showDropDown="0" showInputMessage="0" showErrorMessage="1" allowBlank="1" type="list">
      <formula1>"Rack físico,NetSuite"</formula1>
    </dataValidation>
  </dataValidations>
  <hyperlinks>
    <hyperlink ref="B5" location="Criterios!A18" display="Ruta de llenado — los 10 pasos para capturar un producto"/>
    <hyperlink ref="B6" location="Criterios!A31" display="Palabra clave → Categoría — qué categoría asignar según el nombre"/>
    <hyperlink ref="B7" location="Criterios!A78" display="Categorías — división y familia de talla de cada categoría"/>
    <hyperlink ref="B8" location="Criterios!A121" display="Listas básicas — División, Género, Temporada, Ciclo de vida, Unidad"/>
    <hyperlink ref="B9" location="Criterios!A131" display="Marcas"/>
    <hyperlink ref="B10" location="Criterios!A151" display="Colores y sinónimos — color base y cómo traducir nombres comerciales"/>
    <hyperlink ref="B11" location="Criterios!A171" display="Fit y Silueta — valores por tipo de prenda"/>
    <hyperlink ref="B12" location="Criterios!A181" display="Catálogo de tallas — WB Talla → Talla de EE. UU. (con filtro por familia)"/>
    <hyperlink ref="B13" location="Criterios!G4" display="Ubicaciones / Racks  (columna G)"/>
    <hyperlink ref="B14" location="Criterios!L4" display="Auditores  (columna L)"/>
    <hyperlink ref="B15" location="Criterios!P4" display="Estados de conteo / Dictamen  (columna P)"/>
    <hyperlink ref="B16" location="Criterios!S4" display="Listas automáticas para desplegables  (columna S, no editar)"/>
    <hyperlink ref="E18" location="Criterios!A4" display="↑ Volver al índice"/>
    <hyperlink ref="E31" location="Criterios!A4" display="↑ Volver al índice"/>
    <hyperlink ref="E78" location="Criterios!A4" display="↑ Volver al índice"/>
    <hyperlink ref="E121" location="Criterios!A4" display="↑ Volver al índice"/>
    <hyperlink ref="E131" location="Criterios!A4" display="↑ Volver al índice"/>
    <hyperlink ref="E151" location="Criterios!A4" display="↑ Volver al índice"/>
    <hyperlink ref="E171" location="Criterios!A4" display="↑ Volver al índice"/>
    <hyperlink ref="E181" location="Criterios!A4" display="↑ Volver al índice"/>
  </hyperlink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AU11"/>
  <sheetViews>
    <sheetView workbookViewId="0">
      <pane ySplit="6" topLeftCell="A7" activePane="bottomLeft" state="frozen"/>
      <selection pane="bottomLeft" activeCell="B8" sqref="B8"/>
    </sheetView>
  </sheetViews>
  <sheetFormatPr baseColWidth="8" defaultColWidth="12.63" defaultRowHeight="15" customHeight="1"/>
  <cols>
    <col width="3.88" customWidth="1" style="176" min="1" max="1"/>
    <col width="18.88" customWidth="1" style="176" min="2" max="2"/>
    <col width="16.38" customWidth="1" style="176" min="3" max="3"/>
    <col width="23.88" customWidth="1" style="176" min="4" max="4"/>
    <col width="18.88" customWidth="1" style="176" min="5" max="5"/>
    <col width="23.88" customWidth="1" style="176" min="6" max="6"/>
    <col width="17.63" customWidth="1" style="176" min="7" max="7"/>
    <col width="21.38" customWidth="1" style="176" min="8" max="8"/>
    <col width="15.13" customWidth="1" style="176" min="9" max="9"/>
    <col width="32.63" customWidth="1" style="176" min="10" max="10"/>
    <col width="32.63" customWidth="1" style="176" min="29" max="29"/>
  </cols>
  <sheetData>
    <row r="1" ht="15.75" customHeight="1" s="176">
      <c r="A1" s="48" t="inlineStr">
        <is>
          <t>Grupo</t>
        </is>
      </c>
      <c r="B1" s="48" t="inlineStr">
        <is>
          <t>Fuente</t>
        </is>
      </c>
      <c r="C1" s="48" t="inlineStr">
        <is>
          <t>Motivo</t>
        </is>
      </c>
      <c r="D1" s="48" t="inlineStr">
        <is>
          <t>Código de barras</t>
        </is>
      </c>
      <c r="E1" s="48" t="inlineStr">
        <is>
          <t>Identificador interno</t>
        </is>
      </c>
      <c r="F1" s="48" t="inlineStr">
        <is>
          <t>Marca principal</t>
        </is>
      </c>
      <c r="G1" s="48" t="inlineStr">
        <is>
          <t>WB N.º de estilo</t>
        </is>
      </c>
      <c r="H1" s="48" t="inlineStr">
        <is>
          <t>WB SKU</t>
        </is>
      </c>
      <c r="I1" s="48" t="inlineStr">
        <is>
          <t>WB Talla</t>
        </is>
      </c>
      <c r="J1" s="48" t="inlineStr">
        <is>
          <t>WB Talla de EE. UU.</t>
        </is>
      </c>
      <c r="K1" s="48" t="inlineStr">
        <is>
          <t>WB Marca</t>
        </is>
      </c>
      <c r="L1" s="48" t="inlineStr">
        <is>
          <t>WB Descripcion</t>
        </is>
      </c>
      <c r="M1" s="48" t="inlineStr">
        <is>
          <t>WB División</t>
        </is>
      </c>
      <c r="N1" s="48" t="inlineStr">
        <is>
          <t>WB Categoría</t>
        </is>
      </c>
      <c r="O1" s="48" t="inlineStr">
        <is>
          <t>WB Género</t>
        </is>
      </c>
      <c r="P1" s="48" t="inlineStr">
        <is>
          <t>WB Licencia</t>
        </is>
      </c>
      <c r="Q1" s="48" t="inlineStr">
        <is>
          <t>WB Temporada</t>
        </is>
      </c>
      <c r="R1" s="48" t="inlineStr">
        <is>
          <t>WB Ciclo de vida</t>
        </is>
      </c>
      <c r="S1" s="48" t="inlineStr">
        <is>
          <t>WB Color</t>
        </is>
      </c>
      <c r="T1" s="48" t="inlineStr">
        <is>
          <t>WB Fit</t>
        </is>
      </c>
      <c r="U1" s="48" t="inlineStr">
        <is>
          <t>WB Silueta</t>
        </is>
      </c>
      <c r="V1" s="48" t="inlineStr">
        <is>
          <t>WB Composición</t>
        </is>
      </c>
      <c r="W1" s="48" t="inlineStr">
        <is>
          <t>WB Descripción larga</t>
        </is>
      </c>
      <c r="X1" s="48" t="inlineStr">
        <is>
          <t>WB País de origen</t>
        </is>
      </c>
      <c r="Y1" s="48" t="inlineStr">
        <is>
          <t>Unidad</t>
        </is>
      </c>
      <c r="Z1" s="48" t="inlineStr">
        <is>
          <t>SAT Clave de producto</t>
        </is>
      </c>
      <c r="AA1" s="48" t="inlineStr">
        <is>
          <t>Enlace de imagen</t>
        </is>
      </c>
      <c r="AB1" s="48" t="inlineStr">
        <is>
          <t>Precio de compra</t>
        </is>
      </c>
      <c r="AC1" s="48" t="inlineStr">
        <is>
          <t>Precio de venta</t>
        </is>
      </c>
      <c r="AD1" s="33" t="inlineStr">
        <is>
          <t>Estatus de Validación</t>
        </is>
      </c>
      <c r="AE1" s="33" t="inlineStr">
        <is>
          <t>Detalle de Discrepancias</t>
        </is>
      </c>
      <c r="AF1" s="49" t="inlineStr">
        <is>
          <t>🔍 Panel de Duplicados</t>
        </is>
      </c>
      <c r="AG1" s="33" t="inlineStr">
        <is>
          <t>Stock Sistema NetSuite</t>
        </is>
      </c>
      <c r="AH1" s="33" t="inlineStr">
        <is>
          <t>Ubicaciones con stock (NetSuite)</t>
        </is>
      </c>
      <c r="AI1" s="33" t="inlineStr">
        <is>
          <t>Disponible NetSuite</t>
        </is>
      </c>
      <c r="AJ1" s="33" t="inlineStr">
        <is>
          <t>Origen del registro</t>
        </is>
      </c>
      <c r="AK1" s="33" t="inlineStr">
        <is>
          <t>Notas de enriquecimiento / revisión</t>
        </is>
      </c>
      <c r="AL1" s="33" t="inlineStr">
        <is>
          <t>¿Alguna ubicación en negativo?</t>
        </is>
      </c>
      <c r="AM1" s="33" t="inlineStr">
        <is>
          <t>Ubicaciones con existencia negativa</t>
        </is>
      </c>
      <c r="AN1" s="33" t="inlineStr">
        <is>
          <t>Fuentes de consulta</t>
        </is>
      </c>
      <c r="AO1" s="33" t="inlineStr">
        <is>
          <t>Precio compra vigente</t>
        </is>
      </c>
      <c r="AP1" s="33" t="inlineStr">
        <is>
          <t>Precio venta vigente</t>
        </is>
      </c>
      <c r="AQ1" s="33" t="inlineStr">
        <is>
          <t>📍 Ubicación en plataformas (Plataforma + Marca)</t>
        </is>
      </c>
      <c r="AR1" s="33" t="inlineStr">
        <is>
          <t>Stock Shopify Stetson México</t>
        </is>
      </c>
      <c r="AS1" s="33" t="inlineStr">
        <is>
          <t>Stock Shopify Western Brothers</t>
        </is>
      </c>
      <c r="AT1" s="33" t="inlineStr">
        <is>
          <t>Stock Odoo Universal Unique Brands</t>
        </is>
      </c>
      <c r="AU1" s="33" t="inlineStr">
        <is>
          <t>Ubicaciones con stock (plataformas)</t>
        </is>
      </c>
    </row>
    <row r="2">
      <c r="A2" s="51" t="inlineStr">
        <is>
          <t>1</t>
        </is>
      </c>
      <c r="B2" s="156" t="inlineStr">
        <is>
          <t>Productos (NetSuite) — fila original 1978</t>
        </is>
      </c>
      <c r="C2" s="125" t="inlineStr">
        <is>
          <t>Mismo código de barras que Shopify Stetson México pero es un artículo distinto: estilo distinto (11-001-0425-0731GY vs 11-001-0425-0733); descripciones sin relación («CAMISA MANGA LARGA MINI FULAR 2145» vs «Camisa Stetson Medallon Frontera»)</t>
        </is>
      </c>
      <c r="D2" s="60" t="inlineStr">
        <is>
          <t>196070700541</t>
        </is>
      </c>
      <c r="E2" s="59" t="n"/>
      <c r="F2" s="155" t="inlineStr">
        <is>
          <t>Multimarca</t>
        </is>
      </c>
      <c r="G2" s="155" t="inlineStr">
        <is>
          <t>11-001-0425-0733</t>
        </is>
      </c>
      <c r="H2" s="155" t="inlineStr">
        <is>
          <t>11-001-0425-0733_3XL</t>
        </is>
      </c>
      <c r="I2" s="155" t="inlineStr">
        <is>
          <t>XXXL</t>
        </is>
      </c>
      <c r="J2" s="155" t="inlineStr">
        <is>
          <t>XXXL</t>
        </is>
      </c>
      <c r="K2" s="155" t="inlineStr">
        <is>
          <t>Stetson</t>
        </is>
      </c>
      <c r="L2" s="155" t="inlineStr">
        <is>
          <t>Camisa Stetson Medallon Frontera</t>
        </is>
      </c>
      <c r="M2" s="155" t="inlineStr">
        <is>
          <t>Ropa</t>
        </is>
      </c>
      <c r="N2" s="155" t="inlineStr">
        <is>
          <t>Camisas</t>
        </is>
      </c>
      <c r="O2" s="155" t="inlineStr">
        <is>
          <t>Hombre</t>
        </is>
      </c>
      <c r="P2" s="155" t="inlineStr">
        <is>
          <t>Stetson</t>
        </is>
      </c>
      <c r="Q2" s="155" t="n"/>
      <c r="R2" s="155" t="n"/>
      <c r="S2" s="155" t="inlineStr">
        <is>
          <t>Azul</t>
        </is>
      </c>
      <c r="T2" s="155" t="inlineStr">
        <is>
          <t>Clásico</t>
        </is>
      </c>
      <c r="U2" s="155" t="inlineStr">
        <is>
          <t>No Aplica</t>
        </is>
      </c>
      <c r="V2" s="155" t="n"/>
      <c r="W2"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2" s="155" t="n"/>
      <c r="Y2" s="155" t="inlineStr">
        <is>
          <t>PZS</t>
        </is>
      </c>
      <c r="Z2" s="59" t="inlineStr">
        <is>
          <t>53101602</t>
        </is>
      </c>
      <c r="AA2" s="126" t="inlineStr">
        <is>
          <t>https://cdn.shopify.com/s/files/1/0888/3250/8267/files/1100104250732a.jpg?v=1744144083</t>
        </is>
      </c>
      <c r="AB2" s="61" t="n"/>
      <c r="AC2" s="61" t="n">
        <v>1850</v>
      </c>
      <c r="AD2" s="62" t="n"/>
      <c r="AE2" s="64" t="n"/>
      <c r="AF2" s="64" t="n"/>
      <c r="AG2" s="59" t="n">
        <v>0</v>
      </c>
      <c r="AH2" s="155" t="inlineStr">
        <is>
          <t>Sin coincidencia en NetSuite</t>
        </is>
      </c>
      <c r="AI2" s="59" t="n"/>
      <c r="AJ2" s="155" t="inlineStr">
        <is>
          <t>Catálogo existente</t>
        </is>
      </c>
      <c r="AK2" s="155" t="inlineStr">
        <is>
          <t>No se encontró en Hoja a Revisar por ID interno ni por código de barras | 01/10/2026: complementado desde Shopify Stetson México (match por código de barras): WB Color, WB Silueta, Enlace de imagen | 01/10/2026: Shopify Stetson México trae SKU 11-001-0425-0732 BU_3XL — se conservó el valor de Productos</t>
        </is>
      </c>
      <c r="AL2" s="155" t="n"/>
      <c r="AM2" s="155" t="n"/>
      <c r="AN2" s="155" t="inlineStr">
        <is>
          <t>Shopify Stetson: producto 14693730287979 / variante 51992673354091 | Shopify Stetson: producto 14693730779499 / variante 51992677482859</t>
        </is>
      </c>
      <c r="AO2" s="58" t="n"/>
      <c r="AP2" s="58" t="n">
        <v>1850</v>
      </c>
      <c r="AQ2" s="155" t="inlineStr">
        <is>
          <t>Shopify Stetson México</t>
        </is>
      </c>
      <c r="AR2" s="59" t="n">
        <v>0</v>
      </c>
      <c r="AS2" s="59" t="n"/>
      <c r="AT2" s="59" t="n"/>
      <c r="AU2" s="155" t="n"/>
    </row>
    <row r="3">
      <c r="A3" s="51" t="inlineStr">
        <is>
          <t>1</t>
        </is>
      </c>
      <c r="B3" s="156" t="inlineStr">
        <is>
          <t>Shopify Stetson México</t>
        </is>
      </c>
      <c r="C3" s="125" t="inlineStr">
        <is>
          <t>Artículo distinto con el mismo código de barras que la fila de Productos de este grupo</t>
        </is>
      </c>
      <c r="D3" s="60" t="inlineStr">
        <is>
          <t>196070700541</t>
        </is>
      </c>
      <c r="E3" s="59" t="inlineStr">
        <is>
          <t>51992496275819</t>
        </is>
      </c>
      <c r="F3" s="155" t="inlineStr">
        <is>
          <t>Stetson</t>
        </is>
      </c>
      <c r="G3" s="155" t="n"/>
      <c r="H3" s="155" t="inlineStr">
        <is>
          <t>11-001-0425-0731 GY_3XL</t>
        </is>
      </c>
      <c r="I3" s="155" t="inlineStr">
        <is>
          <t>XXXL</t>
        </is>
      </c>
      <c r="J3" s="155" t="inlineStr">
        <is>
          <t>XXXL</t>
        </is>
      </c>
      <c r="K3" s="155" t="inlineStr">
        <is>
          <t>Stetson</t>
        </is>
      </c>
      <c r="L3" s="155" t="inlineStr">
        <is>
          <t>CAMISA MANGA LARGA MINI FULAR 2145</t>
        </is>
      </c>
      <c r="M3" s="155" t="inlineStr">
        <is>
          <t>Ropa</t>
        </is>
      </c>
      <c r="N3" s="155" t="inlineStr">
        <is>
          <t>Camisas</t>
        </is>
      </c>
      <c r="O3" s="155" t="inlineStr">
        <is>
          <t>Hombre</t>
        </is>
      </c>
      <c r="P3" s="155" t="n"/>
      <c r="Q3" s="155" t="n"/>
      <c r="R3" s="155" t="n"/>
      <c r="S3" s="155" t="n"/>
      <c r="T3" s="155" t="inlineStr">
        <is>
          <t>Clásico</t>
        </is>
      </c>
      <c r="U3" s="155" t="inlineStr">
        <is>
          <t>No Aplica</t>
        </is>
      </c>
      <c r="V3" s="155" t="n"/>
      <c r="W3" s="155" t="inlineStr">
        <is>
          <t>Camisa Stetson para Caballero – Manga Larga con Estampado Mini Fular Con un diseño atemporal que fusiona tradición y carácter, esta camisa de la colección Stetson Men's está confeccionada en suave popelina de algodón con estampado integral estilo Mini Fular.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Mini Fular 2145 • Material: Popelina de algodón, de tacto suave y alta durabilidad • Diseño: Estampado integral estilo Mini Fular,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3" s="155" t="n"/>
      <c r="Y3" s="155" t="inlineStr">
        <is>
          <t>PZS</t>
        </is>
      </c>
      <c r="Z3" s="59" t="n"/>
      <c r="AA3" s="126" t="inlineStr">
        <is>
          <t>https://cdn.shopify.com/s/files/1/0888/3250/8267/files/1100104250731a.jpg?v=1744134201</t>
        </is>
      </c>
      <c r="AB3" s="61" t="n"/>
      <c r="AC3" s="61" t="n">
        <v>1850</v>
      </c>
      <c r="AD3" s="62" t="n"/>
      <c r="AE3" s="64" t="n"/>
      <c r="AF3" s="64" t="inlineStr">
        <is>
          <t>Código de barras repetido ×3 (otros: 11-001-0425-0732 BU_3XL, 11-001-0425-0733_3XL) · No encontrado en otros sistemas</t>
        </is>
      </c>
      <c r="AG3" s="59" t="n"/>
      <c r="AH3" s="155" t="n"/>
      <c r="AI3" s="59" t="n"/>
      <c r="AJ3" s="155" t="inlineStr">
        <is>
          <t>Shopify · Stetson México · No listado</t>
        </is>
      </c>
      <c r="AK3" s="155" t="inlineStr">
        <is>
          <t>Género: descripción; Talla: 3XL→XXXL</t>
        </is>
      </c>
      <c r="AL3" s="155" t="n"/>
      <c r="AM3" s="155" t="n"/>
      <c r="AN3" s="155" t="inlineStr">
        <is>
          <t>Shopify Stetson: producto 14693698109803 / variante 51992496275819</t>
        </is>
      </c>
      <c r="AO3" s="58" t="n"/>
      <c r="AP3" s="58" t="n">
        <v>1850</v>
      </c>
      <c r="AQ3" s="155" t="inlineStr">
        <is>
          <t>Shopify Stetson México</t>
        </is>
      </c>
      <c r="AR3" s="59" t="n">
        <v>0</v>
      </c>
      <c r="AS3" s="59" t="n"/>
      <c r="AT3" s="59" t="n"/>
      <c r="AU3" s="155" t="n"/>
    </row>
    <row r="4">
      <c r="A4" s="51" t="inlineStr">
        <is>
          <t>2</t>
        </is>
      </c>
      <c r="B4" s="156" t="inlineStr">
        <is>
          <t>Productos (NetSuite) — fila original 1975</t>
        </is>
      </c>
      <c r="C4" s="125" t="inlineStr">
        <is>
          <t>Mismo código de barras que Shopify Stetson México pero es un artículo distinto: estilo distinto (11-001-0425-0733 vs 11-001-0425-1029BR); descripciones sin relación («Camisa Stetson Medallon Frontera» vs «CAMISA MANGA LARGA DIAMANTES LINEA AZUL 2234»)</t>
        </is>
      </c>
      <c r="D4" s="60" t="inlineStr">
        <is>
          <t>196070700503</t>
        </is>
      </c>
      <c r="E4" s="59" t="n"/>
      <c r="F4" s="155" t="inlineStr">
        <is>
          <t>Multimarca</t>
        </is>
      </c>
      <c r="G4" s="155" t="inlineStr">
        <is>
          <t>11-001-0425-1029 BR</t>
        </is>
      </c>
      <c r="H4" s="155" t="inlineStr">
        <is>
          <t>11-001-0425-1029 BR_MED</t>
        </is>
      </c>
      <c r="I4" s="155" t="inlineStr">
        <is>
          <t>M</t>
        </is>
      </c>
      <c r="J4" s="155" t="inlineStr">
        <is>
          <t>M</t>
        </is>
      </c>
      <c r="K4" s="155" t="inlineStr">
        <is>
          <t>Stetson</t>
        </is>
      </c>
      <c r="L4" s="155" t="inlineStr">
        <is>
          <t>CAMISA MANGA LARGA DIAMANTES LINEA AZUL 2234</t>
        </is>
      </c>
      <c r="M4" s="155" t="inlineStr">
        <is>
          <t>Ropa</t>
        </is>
      </c>
      <c r="N4" s="155" t="inlineStr">
        <is>
          <t>Camisas</t>
        </is>
      </c>
      <c r="O4" s="155" t="inlineStr">
        <is>
          <t>Hombre</t>
        </is>
      </c>
      <c r="P4" s="155" t="inlineStr">
        <is>
          <t>Stetson</t>
        </is>
      </c>
      <c r="Q4" s="155" t="n"/>
      <c r="R4" s="155" t="n"/>
      <c r="S4" s="155" t="inlineStr">
        <is>
          <t>Azul</t>
        </is>
      </c>
      <c r="T4" s="155" t="inlineStr">
        <is>
          <t>Clásico</t>
        </is>
      </c>
      <c r="U4" s="155" t="inlineStr">
        <is>
          <t>No Aplica</t>
        </is>
      </c>
      <c r="V4" s="155" t="n"/>
      <c r="W4"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4" s="155" t="n"/>
      <c r="Y4" s="155" t="inlineStr">
        <is>
          <t>PZS</t>
        </is>
      </c>
      <c r="Z4" s="59" t="inlineStr">
        <is>
          <t>53101602</t>
        </is>
      </c>
      <c r="AA4" s="126" t="inlineStr">
        <is>
          <t>https://cdn.shopify.com/s/files/1/0888/3250/8267/files/1100104251029a.jpg?v=1744145850</t>
        </is>
      </c>
      <c r="AB4" s="61" t="n"/>
      <c r="AC4" s="61" t="n">
        <v>1850</v>
      </c>
      <c r="AD4" s="62" t="n"/>
      <c r="AE4" s="64" t="n"/>
      <c r="AF4" s="64" t="n"/>
      <c r="AG4" s="59" t="n">
        <v>0</v>
      </c>
      <c r="AH4" s="155" t="inlineStr">
        <is>
          <t>Sin coincidencia en NetSuite</t>
        </is>
      </c>
      <c r="AI4" s="59" t="n"/>
      <c r="AJ4" s="155" t="inlineStr">
        <is>
          <t>Catálogo existente</t>
        </is>
      </c>
      <c r="AK4" s="155" t="inlineStr">
        <is>
          <t>No se encontró en Hoja a Revisar por ID interno ni por código de barras | 01/10/2026: complementado desde Shopify Stetson México (match por código de barras): WB Silueta | 01/10/2026: Shopify Stetson México trae SKU 11-001-0425-0731 GY_MED — se conservó el valor de Productos | 01/10/2026: Shopify Stetson México trae SKU 11-001-0425-0732 BU_MED — se conservó el valor de Productos</t>
        </is>
      </c>
      <c r="AL4" s="155" t="n"/>
      <c r="AM4" s="155" t="n"/>
      <c r="AN4" s="155" t="inlineStr">
        <is>
          <t>Shopify Stetson: producto 14693698109803 / variante 51992496177515 | Shopify Stetson: producto 14693730287979 / variante 51992673255787 | Shopify Stetson: producto 14693731598699 / variante 51992683381099</t>
        </is>
      </c>
      <c r="AO4" s="58" t="n"/>
      <c r="AP4" s="58" t="n">
        <v>1850</v>
      </c>
      <c r="AQ4" s="155" t="inlineStr">
        <is>
          <t>Shopify Stetson México</t>
        </is>
      </c>
      <c r="AR4" s="59" t="n">
        <v>0</v>
      </c>
      <c r="AS4" s="59" t="n"/>
      <c r="AT4" s="59" t="n"/>
      <c r="AU4" s="155" t="n"/>
    </row>
    <row r="5">
      <c r="A5" s="51" t="inlineStr">
        <is>
          <t>2</t>
        </is>
      </c>
      <c r="B5" s="156" t="inlineStr">
        <is>
          <t>Shopify Stetson México</t>
        </is>
      </c>
      <c r="C5" s="125" t="inlineStr">
        <is>
          <t>Artículo distinto con el mismo código de barras que la fila de Productos de este grupo</t>
        </is>
      </c>
      <c r="D5" s="60" t="inlineStr">
        <is>
          <t>196070700503</t>
        </is>
      </c>
      <c r="E5" s="59" t="inlineStr">
        <is>
          <t>51992677351787</t>
        </is>
      </c>
      <c r="F5" s="155" t="inlineStr">
        <is>
          <t>Stetson</t>
        </is>
      </c>
      <c r="G5" s="155" t="n"/>
      <c r="H5" s="155" t="inlineStr">
        <is>
          <t>11-001-0425-0733_MED</t>
        </is>
      </c>
      <c r="I5" s="155" t="inlineStr">
        <is>
          <t>M</t>
        </is>
      </c>
      <c r="J5" s="155" t="inlineStr">
        <is>
          <t>M</t>
        </is>
      </c>
      <c r="K5" s="155" t="inlineStr">
        <is>
          <t>Stetson</t>
        </is>
      </c>
      <c r="L5" s="155" t="inlineStr">
        <is>
          <t>Camisa Stetson Medallon Frontera</t>
        </is>
      </c>
      <c r="M5" s="155" t="inlineStr">
        <is>
          <t>Ropa</t>
        </is>
      </c>
      <c r="N5" s="155" t="inlineStr">
        <is>
          <t>Camisas</t>
        </is>
      </c>
      <c r="O5" s="155" t="inlineStr">
        <is>
          <t>Hombre</t>
        </is>
      </c>
      <c r="P5" s="155" t="n"/>
      <c r="Q5" s="155" t="n"/>
      <c r="R5" s="155" t="n"/>
      <c r="S5" s="155" t="n"/>
      <c r="T5" s="155" t="inlineStr">
        <is>
          <t>Clásico</t>
        </is>
      </c>
      <c r="U5" s="155" t="inlineStr">
        <is>
          <t>No Aplica</t>
        </is>
      </c>
      <c r="V5" s="155" t="n"/>
      <c r="W5"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5" s="155" t="n"/>
      <c r="Y5" s="155" t="inlineStr">
        <is>
          <t>PZS</t>
        </is>
      </c>
      <c r="Z5" s="59" t="n"/>
      <c r="AA5" s="126" t="inlineStr">
        <is>
          <t>https://cdn.shopify.com/s/files/1/0888/3250/8267/files/1100104252066a_419b24cd-9c2d-486a-a8c2-ad76ada0594d.jpg?v=1764613553</t>
        </is>
      </c>
      <c r="AB5" s="61" t="n"/>
      <c r="AC5" s="61" t="n">
        <v>1850</v>
      </c>
      <c r="AD5" s="62" t="n"/>
      <c r="AE5" s="64" t="n"/>
      <c r="AF5" s="64" t="inlineStr">
        <is>
          <t>Código de barras repetido ×4 (otros: 11-001-0425-0731 GY_MED, 11-001-0425-0732 BU_MED, 11-001-0425-1029 BR_MED) · No encontrado en otros sistemas</t>
        </is>
      </c>
      <c r="AG5" s="59" t="n"/>
      <c r="AH5" s="155" t="n"/>
      <c r="AI5" s="59" t="n"/>
      <c r="AJ5" s="155" t="inlineStr">
        <is>
          <t>Shopify · Stetson México · Activo</t>
        </is>
      </c>
      <c r="AK5" s="155" t="inlineStr">
        <is>
          <t>Género: descripción</t>
        </is>
      </c>
      <c r="AL5" s="155" t="n"/>
      <c r="AM5" s="155" t="n"/>
      <c r="AN5" s="155" t="inlineStr">
        <is>
          <t>Shopify Stetson: producto 14693730779499 / variante 51992677351787</t>
        </is>
      </c>
      <c r="AO5" s="58" t="n"/>
      <c r="AP5" s="58" t="n">
        <v>1850</v>
      </c>
      <c r="AQ5" s="155" t="inlineStr">
        <is>
          <t>Shopify Stetson México</t>
        </is>
      </c>
      <c r="AR5" s="59" t="n">
        <v>0</v>
      </c>
      <c r="AS5" s="59" t="n"/>
      <c r="AT5" s="59" t="n"/>
      <c r="AU5" s="155" t="n"/>
    </row>
    <row r="6">
      <c r="A6" s="51" t="inlineStr">
        <is>
          <t>3</t>
        </is>
      </c>
      <c r="B6" s="156" t="inlineStr">
        <is>
          <t>Productos (NetSuite) — fila original 1974</t>
        </is>
      </c>
      <c r="C6" s="125" t="inlineStr">
        <is>
          <t>Mismo código de barras que Shopify Stetson México pero es un artículo distinto: estilo distinto (11-001-0425-0733 vs 11-001-0425-1029BR); descripciones sin relación («Camisa Stetson Medallon Frontera» vs «CAMISA MANGA LARGA DIAMANTES LINEA AZUL 2234»)</t>
        </is>
      </c>
      <c r="D6" s="60" t="inlineStr">
        <is>
          <t>196070700497</t>
        </is>
      </c>
      <c r="E6" s="59" t="n"/>
      <c r="F6" s="155" t="inlineStr">
        <is>
          <t>Multimarca</t>
        </is>
      </c>
      <c r="G6" s="155" t="inlineStr">
        <is>
          <t>11-001-0425-1029 BR</t>
        </is>
      </c>
      <c r="H6" s="155" t="inlineStr">
        <is>
          <t>11-001-0425-1029 BR_GDE</t>
        </is>
      </c>
      <c r="I6" s="155" t="inlineStr">
        <is>
          <t>L</t>
        </is>
      </c>
      <c r="J6" s="155" t="inlineStr">
        <is>
          <t>L</t>
        </is>
      </c>
      <c r="K6" s="155" t="inlineStr">
        <is>
          <t>Stetson</t>
        </is>
      </c>
      <c r="L6" s="155" t="inlineStr">
        <is>
          <t>CAMISA MANGA LARGA DIAMANTES LINEA AZUL 2234</t>
        </is>
      </c>
      <c r="M6" s="155" t="inlineStr">
        <is>
          <t>Ropa</t>
        </is>
      </c>
      <c r="N6" s="155" t="inlineStr">
        <is>
          <t>Camisas</t>
        </is>
      </c>
      <c r="O6" s="155" t="inlineStr">
        <is>
          <t>Hombre</t>
        </is>
      </c>
      <c r="P6" s="155" t="inlineStr">
        <is>
          <t>Stetson</t>
        </is>
      </c>
      <c r="Q6" s="155" t="n"/>
      <c r="R6" s="155" t="n"/>
      <c r="S6" s="155" t="inlineStr">
        <is>
          <t>Azul</t>
        </is>
      </c>
      <c r="T6" s="155" t="inlineStr">
        <is>
          <t>Clásico</t>
        </is>
      </c>
      <c r="U6" s="155" t="inlineStr">
        <is>
          <t>No Aplica</t>
        </is>
      </c>
      <c r="V6" s="155" t="n"/>
      <c r="W6"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6" s="155" t="n"/>
      <c r="Y6" s="155" t="inlineStr">
        <is>
          <t>PZS</t>
        </is>
      </c>
      <c r="Z6" s="59" t="inlineStr">
        <is>
          <t>53101602</t>
        </is>
      </c>
      <c r="AA6" s="126" t="inlineStr">
        <is>
          <t>https://cdn.shopify.com/s/files/1/0888/3250/8267/files/1100104251029b.jpg?v=1744145854</t>
        </is>
      </c>
      <c r="AB6" s="61" t="n"/>
      <c r="AC6" s="61" t="n">
        <v>1850</v>
      </c>
      <c r="AD6" s="62" t="n"/>
      <c r="AE6" s="64" t="n"/>
      <c r="AF6" s="64" t="n"/>
      <c r="AG6" s="59" t="n">
        <v>0</v>
      </c>
      <c r="AH6" s="155" t="inlineStr">
        <is>
          <t>Sin coincidencia en NetSuite</t>
        </is>
      </c>
      <c r="AI6" s="59" t="n"/>
      <c r="AJ6" s="155" t="inlineStr">
        <is>
          <t>Catálogo existente</t>
        </is>
      </c>
      <c r="AK6" s="155" t="inlineStr">
        <is>
          <t>No se encontró en Hoja a Revisar por ID interno ni por código de barras | 01/10/2026: complementado desde Shopify Stetson México (match por código de barras): WB Silueta | 01/10/2026: Shopify Stetson México trae SKU 11-001-0425-0731 GY_GDE — se conservó el valor de Productos | 01/10/2026: Shopify Stetson México trae SKU 11-001-0425-0732 BU_GDE — se conservó el valor de Productos</t>
        </is>
      </c>
      <c r="AL6" s="155" t="n"/>
      <c r="AM6" s="155" t="n"/>
      <c r="AN6" s="155" t="inlineStr">
        <is>
          <t>Shopify Stetson: producto 14693698109803 / variante 51992496210283 | Shopify Stetson: producto 14693730287979 / variante 51992673288555 | Shopify Stetson: producto 14693731598699 / variante 51992683413867</t>
        </is>
      </c>
      <c r="AO6" s="58" t="n"/>
      <c r="AP6" s="58" t="n">
        <v>1850</v>
      </c>
      <c r="AQ6" s="155" t="inlineStr">
        <is>
          <t>Shopify Stetson México</t>
        </is>
      </c>
      <c r="AR6" s="59" t="n">
        <v>0</v>
      </c>
      <c r="AS6" s="59" t="n"/>
      <c r="AT6" s="59" t="n"/>
      <c r="AU6" s="155" t="n"/>
    </row>
    <row r="7">
      <c r="A7" s="51" t="inlineStr">
        <is>
          <t>3</t>
        </is>
      </c>
      <c r="B7" s="156" t="inlineStr">
        <is>
          <t>Shopify Stetson México</t>
        </is>
      </c>
      <c r="C7" s="125" t="inlineStr">
        <is>
          <t>Artículo distinto con el mismo código de barras que la fila de Productos de este grupo</t>
        </is>
      </c>
      <c r="D7" s="60" t="inlineStr">
        <is>
          <t>196070700497</t>
        </is>
      </c>
      <c r="E7" s="59" t="inlineStr">
        <is>
          <t>51992677384555</t>
        </is>
      </c>
      <c r="F7" s="155" t="inlineStr">
        <is>
          <t>Stetson</t>
        </is>
      </c>
      <c r="G7" s="155" t="n"/>
      <c r="H7" s="155" t="inlineStr">
        <is>
          <t>11-001-0425-0733_GDE</t>
        </is>
      </c>
      <c r="I7" s="155" t="inlineStr">
        <is>
          <t>L</t>
        </is>
      </c>
      <c r="J7" s="155" t="inlineStr">
        <is>
          <t>L</t>
        </is>
      </c>
      <c r="K7" s="155" t="inlineStr">
        <is>
          <t>Stetson</t>
        </is>
      </c>
      <c r="L7" s="155" t="inlineStr">
        <is>
          <t>Camisa Stetson Medallon Frontera</t>
        </is>
      </c>
      <c r="M7" s="155" t="inlineStr">
        <is>
          <t>Ropa</t>
        </is>
      </c>
      <c r="N7" s="155" t="inlineStr">
        <is>
          <t>Camisas</t>
        </is>
      </c>
      <c r="O7" s="155" t="inlineStr">
        <is>
          <t>Hombre</t>
        </is>
      </c>
      <c r="P7" s="155" t="n"/>
      <c r="Q7" s="155" t="n"/>
      <c r="R7" s="155" t="n"/>
      <c r="S7" s="155" t="n"/>
      <c r="T7" s="155" t="inlineStr">
        <is>
          <t>Clásico</t>
        </is>
      </c>
      <c r="U7" s="155" t="inlineStr">
        <is>
          <t>No Aplica</t>
        </is>
      </c>
      <c r="V7" s="155" t="n"/>
      <c r="W7"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7" s="155" t="n"/>
      <c r="Y7" s="155" t="inlineStr">
        <is>
          <t>PZS</t>
        </is>
      </c>
      <c r="Z7" s="59" t="n"/>
      <c r="AA7" s="126" t="inlineStr">
        <is>
          <t>https://cdn.shopify.com/s/files/1/0888/3250/8267/files/1100104252066a_419b24cd-9c2d-486a-a8c2-ad76ada0594d.jpg?v=1764613553</t>
        </is>
      </c>
      <c r="AB7" s="61" t="n"/>
      <c r="AC7" s="61" t="n">
        <v>1850</v>
      </c>
      <c r="AD7" s="62" t="n"/>
      <c r="AE7" s="64" t="n"/>
      <c r="AF7" s="64" t="inlineStr">
        <is>
          <t>Código de barras repetido ×4 (otros: 11-001-0425-0731 GY_GDE, 11-001-0425-0732 BU_GDE, 11-001-0425-1029 BR_GDE) · No encontrado en otros sistemas</t>
        </is>
      </c>
      <c r="AG7" s="59" t="n"/>
      <c r="AH7" s="155" t="n"/>
      <c r="AI7" s="59" t="n"/>
      <c r="AJ7" s="155" t="inlineStr">
        <is>
          <t>Shopify · Stetson México · Activo</t>
        </is>
      </c>
      <c r="AK7" s="155" t="inlineStr">
        <is>
          <t>Género: descripción</t>
        </is>
      </c>
      <c r="AL7" s="155" t="n"/>
      <c r="AM7" s="155" t="n"/>
      <c r="AN7" s="155" t="inlineStr">
        <is>
          <t>Shopify Stetson: producto 14693730779499 / variante 51992677384555</t>
        </is>
      </c>
      <c r="AO7" s="58" t="n"/>
      <c r="AP7" s="58" t="n">
        <v>1850</v>
      </c>
      <c r="AQ7" s="155" t="inlineStr">
        <is>
          <t>Shopify Stetson México</t>
        </is>
      </c>
      <c r="AR7" s="59" t="n">
        <v>0</v>
      </c>
      <c r="AS7" s="59" t="n"/>
      <c r="AT7" s="59" t="n"/>
      <c r="AU7" s="155" t="n"/>
    </row>
    <row r="8">
      <c r="A8" s="51" t="inlineStr">
        <is>
          <t>4</t>
        </is>
      </c>
      <c r="B8" s="156" t="inlineStr">
        <is>
          <t>Productos (NetSuite) — fila original 1977</t>
        </is>
      </c>
      <c r="C8" s="125" t="inlineStr">
        <is>
          <t>Mismo código de barras que Shopify Stetson México pero es un artículo distinto: estilo distinto (11-001-0425-0733 vs 11-001-0425-1029BR); descripciones sin relación («Camisa Stetson Medallon Frontera» vs «CAMISA MANGA LARGA DIAMANTES LINEA AZUL 2234»)</t>
        </is>
      </c>
      <c r="D8" s="60" t="inlineStr">
        <is>
          <t>196070700534</t>
        </is>
      </c>
      <c r="E8" s="59" t="n"/>
      <c r="F8" s="155" t="inlineStr">
        <is>
          <t>Multimarca</t>
        </is>
      </c>
      <c r="G8" s="155" t="inlineStr">
        <is>
          <t>11-001-0425-1029 BR</t>
        </is>
      </c>
      <c r="H8" s="155" t="inlineStr">
        <is>
          <t>11-001-0425-1029 BR_2XL</t>
        </is>
      </c>
      <c r="I8" s="155" t="inlineStr">
        <is>
          <t>XXL</t>
        </is>
      </c>
      <c r="J8" s="155" t="inlineStr">
        <is>
          <t>XXL</t>
        </is>
      </c>
      <c r="K8" s="155" t="inlineStr">
        <is>
          <t>Stetson</t>
        </is>
      </c>
      <c r="L8" s="155" t="inlineStr">
        <is>
          <t>CAMISA MANGA LARGA DIAMANTES LINEA AZUL 2234</t>
        </is>
      </c>
      <c r="M8" s="155" t="inlineStr">
        <is>
          <t>Ropa</t>
        </is>
      </c>
      <c r="N8" s="155" t="inlineStr">
        <is>
          <t>Camisas</t>
        </is>
      </c>
      <c r="O8" s="155" t="inlineStr">
        <is>
          <t>Hombre</t>
        </is>
      </c>
      <c r="P8" s="155" t="inlineStr">
        <is>
          <t>Stetson</t>
        </is>
      </c>
      <c r="Q8" s="155" t="n"/>
      <c r="R8" s="155" t="n"/>
      <c r="S8" s="155" t="inlineStr">
        <is>
          <t>Azul</t>
        </is>
      </c>
      <c r="T8" s="155" t="inlineStr">
        <is>
          <t>Clásico</t>
        </is>
      </c>
      <c r="U8" s="155" t="inlineStr">
        <is>
          <t>No Aplica</t>
        </is>
      </c>
      <c r="V8" s="155" t="n"/>
      <c r="W8"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8" s="155" t="n"/>
      <c r="Y8" s="155" t="inlineStr">
        <is>
          <t>PZS</t>
        </is>
      </c>
      <c r="Z8" s="59" t="inlineStr">
        <is>
          <t>53101602</t>
        </is>
      </c>
      <c r="AA8" s="126" t="inlineStr">
        <is>
          <t>https://cdn.shopify.com/s/files/1/0888/3250/8267/files/1100104250731a.jpg?v=1744134201</t>
        </is>
      </c>
      <c r="AB8" s="61" t="n"/>
      <c r="AC8" s="61" t="n">
        <v>1850</v>
      </c>
      <c r="AD8" s="62" t="n"/>
      <c r="AE8" s="64" t="n"/>
      <c r="AF8" s="64" t="n"/>
      <c r="AG8" s="59" t="n">
        <v>0</v>
      </c>
      <c r="AH8" s="155" t="inlineStr">
        <is>
          <t>Sin coincidencia en NetSuite</t>
        </is>
      </c>
      <c r="AI8" s="59" t="n"/>
      <c r="AJ8" s="155" t="inlineStr">
        <is>
          <t>Catálogo existente</t>
        </is>
      </c>
      <c r="AK8" s="155" t="inlineStr">
        <is>
          <t>No se encontró en Hoja a Revisar por ID interno ni por código de barras | 01/10/2026: complementado desde Shopify Stetson México (match por código de barras): WB Silueta, Enlace de imagen | 01/10/2026: Shopify Stetson México trae SKU 11-001-0425-0731 GY_2XL — se conservó el valor de Productos | 01/10/2026: Shopify Stetson México trae SKU 11-001-0425-0732 BU_2XL — se conservó el valor de Productos</t>
        </is>
      </c>
      <c r="AL8" s="155" t="n"/>
      <c r="AM8" s="155" t="n"/>
      <c r="AN8" s="155" t="inlineStr">
        <is>
          <t>Shopify Stetson: producto 14693698109803 / variante 51992496243051 | Shopify Stetson: producto 14693730287979 / variante 51992673321323 | Shopify Stetson: producto 14693731598699 / variante 51992683479403</t>
        </is>
      </c>
      <c r="AO8" s="58" t="n"/>
      <c r="AP8" s="58" t="n">
        <v>1850</v>
      </c>
      <c r="AQ8" s="155" t="inlineStr">
        <is>
          <t>Shopify Stetson México</t>
        </is>
      </c>
      <c r="AR8" s="59" t="n">
        <v>0</v>
      </c>
      <c r="AS8" s="59" t="n"/>
      <c r="AT8" s="59" t="n"/>
      <c r="AU8" s="155" t="n"/>
    </row>
    <row r="9">
      <c r="A9" s="51" t="inlineStr">
        <is>
          <t>4</t>
        </is>
      </c>
      <c r="B9" s="156" t="inlineStr">
        <is>
          <t>Shopify Stetson México</t>
        </is>
      </c>
      <c r="C9" s="125" t="inlineStr">
        <is>
          <t>Artículo distinto con el mismo código de barras que la fila de Productos de este grupo</t>
        </is>
      </c>
      <c r="D9" s="60" t="inlineStr">
        <is>
          <t>196070700534</t>
        </is>
      </c>
      <c r="E9" s="59" t="inlineStr">
        <is>
          <t>51992677450091</t>
        </is>
      </c>
      <c r="F9" s="155" t="inlineStr">
        <is>
          <t>Stetson</t>
        </is>
      </c>
      <c r="G9" s="155" t="n"/>
      <c r="H9" s="155" t="inlineStr">
        <is>
          <t>11-001-0425-0733_2XL</t>
        </is>
      </c>
      <c r="I9" s="155" t="inlineStr">
        <is>
          <t>XXL</t>
        </is>
      </c>
      <c r="J9" s="155" t="inlineStr">
        <is>
          <t>XXL</t>
        </is>
      </c>
      <c r="K9" s="155" t="inlineStr">
        <is>
          <t>Stetson</t>
        </is>
      </c>
      <c r="L9" s="155" t="inlineStr">
        <is>
          <t>Camisa Stetson Medallon Frontera</t>
        </is>
      </c>
      <c r="M9" s="155" t="inlineStr">
        <is>
          <t>Ropa</t>
        </is>
      </c>
      <c r="N9" s="155" t="inlineStr">
        <is>
          <t>Camisas</t>
        </is>
      </c>
      <c r="O9" s="155" t="inlineStr">
        <is>
          <t>Hombre</t>
        </is>
      </c>
      <c r="P9" s="155" t="n"/>
      <c r="Q9" s="155" t="n"/>
      <c r="R9" s="155" t="n"/>
      <c r="S9" s="155" t="n"/>
      <c r="T9" s="155" t="inlineStr">
        <is>
          <t>Clásico</t>
        </is>
      </c>
      <c r="U9" s="155" t="inlineStr">
        <is>
          <t>No Aplica</t>
        </is>
      </c>
      <c r="V9" s="155" t="n"/>
      <c r="W9"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9" s="155" t="n"/>
      <c r="Y9" s="155" t="inlineStr">
        <is>
          <t>PZS</t>
        </is>
      </c>
      <c r="Z9" s="59" t="n"/>
      <c r="AA9" s="126" t="inlineStr">
        <is>
          <t>https://cdn.shopify.com/s/files/1/0888/3250/8267/files/1100104252066a_419b24cd-9c2d-486a-a8c2-ad76ada0594d.jpg?v=1764613553</t>
        </is>
      </c>
      <c r="AB9" s="61" t="n"/>
      <c r="AC9" s="61" t="n">
        <v>1850</v>
      </c>
      <c r="AD9" s="62" t="n"/>
      <c r="AE9" s="64" t="n"/>
      <c r="AF9" s="64" t="inlineStr">
        <is>
          <t>Código de barras repetido ×4 (otros: 11-001-0425-0731 GY_2XL, 11-001-0425-0732 BU_2XL, 11-001-0425-1029 BR_2XL) · No encontrado en otros sistemas</t>
        </is>
      </c>
      <c r="AG9" s="59" t="n"/>
      <c r="AH9" s="155" t="n"/>
      <c r="AI9" s="59" t="n"/>
      <c r="AJ9" s="155" t="inlineStr">
        <is>
          <t>Shopify · Stetson México · Activo</t>
        </is>
      </c>
      <c r="AK9" s="155" t="inlineStr">
        <is>
          <t>Género: descripción; Talla: 2XL→XXL</t>
        </is>
      </c>
      <c r="AL9" s="155" t="n"/>
      <c r="AM9" s="155" t="n"/>
      <c r="AN9" s="155" t="inlineStr">
        <is>
          <t>Shopify Stetson: producto 14693730779499 / variante 51992677450091</t>
        </is>
      </c>
      <c r="AO9" s="58" t="n"/>
      <c r="AP9" s="58" t="n">
        <v>1850</v>
      </c>
      <c r="AQ9" s="155" t="inlineStr">
        <is>
          <t>Shopify Stetson México</t>
        </is>
      </c>
      <c r="AR9" s="59" t="n">
        <v>0</v>
      </c>
      <c r="AS9" s="59" t="n"/>
      <c r="AT9" s="59" t="n"/>
      <c r="AU9" s="155" t="n"/>
    </row>
    <row r="10">
      <c r="A10" s="51" t="inlineStr">
        <is>
          <t>6</t>
        </is>
      </c>
      <c r="B10" s="156" t="inlineStr">
        <is>
          <t>Productos (NetSuite) — fila original 2344</t>
        </is>
      </c>
      <c r="C10" s="125" t="inlineStr">
        <is>
          <t>Mismo código de barras que Shopify Western Brothers pero es un artículo distinto: marca y categoría distintas (Denver/Playeras vs Stetson/Camisas); descripciones sin relación («Playera Denver dama negro corazon toros» vs «Camisa Stetson Vintage Range Sable Crest»)</t>
        </is>
      </c>
      <c r="D10" s="60" t="inlineStr">
        <is>
          <t>7506499570848</t>
        </is>
      </c>
      <c r="E10" s="59" t="inlineStr">
        <is>
          <t>108374</t>
        </is>
      </c>
      <c r="F10" s="155" t="inlineStr">
        <is>
          <t>Multimarca</t>
        </is>
      </c>
      <c r="G10" s="155" t="inlineStr">
        <is>
          <t>ST-VR-P-017-FW25-SC</t>
        </is>
      </c>
      <c r="H10" s="155" t="inlineStr">
        <is>
          <t>ST-VR-P-017-FW25-SC-2XL</t>
        </is>
      </c>
      <c r="I10" s="155" t="inlineStr">
        <is>
          <t>XXL</t>
        </is>
      </c>
      <c r="J10" s="155" t="inlineStr">
        <is>
          <t>XXL</t>
        </is>
      </c>
      <c r="K10" s="155" t="inlineStr">
        <is>
          <t>Stetson</t>
        </is>
      </c>
      <c r="L10" s="155" t="inlineStr">
        <is>
          <t>Camisa Stetson Vintage Range Sable Crest</t>
        </is>
      </c>
      <c r="M10" s="155" t="inlineStr">
        <is>
          <t>Ropa</t>
        </is>
      </c>
      <c r="N10" s="155" t="inlineStr">
        <is>
          <t>Camisas</t>
        </is>
      </c>
      <c r="O10" s="155" t="inlineStr">
        <is>
          <t>Hombre</t>
        </is>
      </c>
      <c r="P10" s="155" t="inlineStr">
        <is>
          <t>Stetson</t>
        </is>
      </c>
      <c r="Q10" s="155" t="inlineStr">
        <is>
          <t>SS26</t>
        </is>
      </c>
      <c r="R10" s="155" t="inlineStr">
        <is>
          <t>Seasonal</t>
        </is>
      </c>
      <c r="S10" s="155" t="inlineStr">
        <is>
          <t>Negro</t>
        </is>
      </c>
      <c r="T10" s="155" t="inlineStr">
        <is>
          <t>Regular</t>
        </is>
      </c>
      <c r="U10" s="155" t="inlineStr">
        <is>
          <t>No Aplica</t>
        </is>
      </c>
      <c r="V10" s="155" t="inlineStr">
        <is>
          <t>100% Algodón</t>
        </is>
      </c>
      <c r="W10" s="155"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X10" s="155" t="inlineStr">
        <is>
          <t>México</t>
        </is>
      </c>
      <c r="Y10" s="155" t="inlineStr">
        <is>
          <t>PZS</t>
        </is>
      </c>
      <c r="Z10" s="59" t="inlineStr">
        <is>
          <t>53101600</t>
        </is>
      </c>
      <c r="AA10" s="126" t="inlineStr">
        <is>
          <t>https://cdn.shopify.com/s/files/1/0888/3250/8267/files/ST-VR-P-017-SC-01.jpg?v=1762366868</t>
        </is>
      </c>
      <c r="AB10" s="61" t="n">
        <v>678.8793103</v>
      </c>
      <c r="AC10" s="61" t="n">
        <v>1508.62069</v>
      </c>
      <c r="AD10" s="62" t="n"/>
      <c r="AE10" s="64" t="n"/>
      <c r="AF10" s="64" t="n"/>
      <c r="AG10" s="59" t="n">
        <v>3</v>
      </c>
      <c r="AH10" s="155" t="inlineStr">
        <is>
          <t>WB OUTLET LERMA (3)</t>
        </is>
      </c>
      <c r="AI10" s="59" t="n">
        <v>3</v>
      </c>
      <c r="AJ10" s="155" t="inlineStr">
        <is>
          <t>Catálogo existente</t>
        </is>
      </c>
      <c r="AK10" s="155" t="inlineStr">
        <is>
          <t>Revisión 29/09/2026: Campos sin respaldo: X | ID alternativo de Hoja a Revisar 108374 (UPC coincidente); se conserva ID principal; Auditoría NetSuite 30/09/2026: llenado desde NetSuite [Q,V,S]; Vinculado por código de barras al ID NetSuite 108374 (antes en Identificador interno: '110911') | 01/10/2026: complementado desde Shopify Stetson México (match por código de barras): WB Silueta, Enlace de imagen</t>
        </is>
      </c>
      <c r="AL10" s="155" t="inlineStr">
        <is>
          <t>No</t>
        </is>
      </c>
      <c r="AM10" s="155" t="n"/>
      <c r="AN10" s="155" t="inlineStr">
        <is>
          <t>ProductosCatalogoEstandar907.xlsx: fila 6251 [P,U] | Criterios: J [R] | Hoja a Revisar: fila 366224 (ID 108374, misma clave UPC); G1522_Extraccion_Articulos_NetSuite_2026-09-30.xlsx: fila 56533 [Q,V,S] | Shopify Stetson: producto 14819773317483 / variante 53350596018539</t>
        </is>
      </c>
      <c r="AO10" s="58" t="n">
        <v>678.8793103</v>
      </c>
      <c r="AP10" s="58" t="n">
        <v>1508.62069</v>
      </c>
      <c r="AQ10" s="155" t="inlineStr">
        <is>
          <t>Shopify Stetson México</t>
        </is>
      </c>
      <c r="AR10" s="59" t="n">
        <v>5</v>
      </c>
      <c r="AS10" s="59" t="n"/>
      <c r="AT10" s="59" t="n"/>
      <c r="AU10" s="155" t="inlineStr">
        <is>
          <t>Shopify Stetson México › Stetson México: 2 | Shopify Stetson México › Stetson Americas: 3</t>
        </is>
      </c>
    </row>
    <row r="11">
      <c r="A11" s="51" t="inlineStr">
        <is>
          <t>6</t>
        </is>
      </c>
      <c r="B11" s="156" t="inlineStr">
        <is>
          <t>Shopify Western Brothers</t>
        </is>
      </c>
      <c r="C11" s="125" t="inlineStr">
        <is>
          <t>Artículo distinto con el mismo código de barras que la fila de Productos de este grupo</t>
        </is>
      </c>
      <c r="D11" s="60" t="inlineStr">
        <is>
          <t>7506499570848</t>
        </is>
      </c>
      <c r="E11" s="59" t="inlineStr">
        <is>
          <t>47621315788985</t>
        </is>
      </c>
      <c r="F11" s="155" t="inlineStr">
        <is>
          <t>Denver</t>
        </is>
      </c>
      <c r="G11" s="155" t="inlineStr">
        <is>
          <t>02-TDAG012-0007</t>
        </is>
      </c>
      <c r="H11" s="155" t="inlineStr">
        <is>
          <t>7506499570848</t>
        </is>
      </c>
      <c r="I11" s="155" t="inlineStr">
        <is>
          <t>S</t>
        </is>
      </c>
      <c r="J11" s="155" t="inlineStr">
        <is>
          <t>S</t>
        </is>
      </c>
      <c r="K11" s="155" t="inlineStr">
        <is>
          <t>Denver</t>
        </is>
      </c>
      <c r="L11" s="155" t="inlineStr">
        <is>
          <t>Playera Denver dama negro corazon toros</t>
        </is>
      </c>
      <c r="M11" s="155" t="inlineStr">
        <is>
          <t>Ropa</t>
        </is>
      </c>
      <c r="N11" s="155" t="inlineStr">
        <is>
          <t>Playeras</t>
        </is>
      </c>
      <c r="O11" s="155" t="inlineStr">
        <is>
          <t>Mujer</t>
        </is>
      </c>
      <c r="P11" s="155" t="inlineStr">
        <is>
          <t>Denver</t>
        </is>
      </c>
      <c r="Q11" s="155" t="inlineStr">
        <is>
          <t>SS26</t>
        </is>
      </c>
      <c r="R11" s="155" t="inlineStr">
        <is>
          <t>Seasonal</t>
        </is>
      </c>
      <c r="S11" s="155" t="inlineStr">
        <is>
          <t>Negro</t>
        </is>
      </c>
      <c r="T11" s="155" t="n"/>
      <c r="U11" s="155" t="inlineStr">
        <is>
          <t>No Aplica</t>
        </is>
      </c>
      <c r="V11" s="155" t="inlineStr">
        <is>
          <t>100% Algodón</t>
        </is>
      </c>
      <c r="W11" s="155" t="n"/>
      <c r="X11" s="155" t="n"/>
      <c r="Y11" s="155" t="inlineStr">
        <is>
          <t>PZS</t>
        </is>
      </c>
      <c r="Z11" s="59" t="n"/>
      <c r="AA11" s="126" t="inlineStr">
        <is>
          <t>https://cdn.shopify.com/s/files/1/0888/3250/8267/files/ST-VR-P-017-SC-01.jpg?v=1762366868</t>
        </is>
      </c>
      <c r="AB11" s="61" t="n"/>
      <c r="AC11" s="61" t="n">
        <v>649</v>
      </c>
      <c r="AD11" s="62" t="n"/>
      <c r="AE11" s="64" t="n"/>
      <c r="AF11" s="64" t="inlineStr">
        <is>
          <t>Sin duplicados en el catálogo · También en: Shopify Stetson (por código de barras)</t>
        </is>
      </c>
      <c r="AG11" s="59" t="n"/>
      <c r="AH11" s="155" t="n"/>
      <c r="AI11" s="59" t="n"/>
      <c r="AJ11" s="155" t="inlineStr">
        <is>
          <t>Shopify · Western Brothers · Activo · Tipo: Ropa</t>
        </is>
      </c>
      <c r="AK11" s="155" t="inlineStr">
        <is>
          <t>Color detectado en el nombre (negro); Enlace de imagen tomado de Shopify Stetson (match por código de barras)</t>
        </is>
      </c>
      <c r="AL11" s="155" t="n"/>
      <c r="AM11" s="155" t="n"/>
      <c r="AN11" s="155" t="inlineStr">
        <is>
          <t>Shopify WB: producto 8569956139193 / variante 47621315788985; Shopify Stetson: id 53350596018539 (match por código de barras)</t>
        </is>
      </c>
      <c r="AO11" s="58" t="n"/>
      <c r="AP11" s="58" t="n">
        <v>649</v>
      </c>
      <c r="AQ11" s="155" t="inlineStr">
        <is>
          <t>Shopify Western Brothers</t>
        </is>
      </c>
      <c r="AR11" s="59" t="n"/>
      <c r="AS11" s="59" t="n">
        <v>2</v>
      </c>
      <c r="AT11" s="59" t="n"/>
      <c r="AU11" s="155" t="inlineStr">
        <is>
          <t>Shopify Western Brothers › Western Brothers Outlet Lerma: 2</t>
        </is>
      </c>
    </row>
  </sheetData>
  <autoFilter ref="A1:AU11"/>
  <conditionalFormatting sqref="AC7:AC1000">
    <cfRule type="containsText" priority="1" operator="containsText" dxfId="14" stopIfTrue="1" text="duplicado">
      <formula>NOT(ISERROR(SEARCH(("duplicado"),(AC7))))</formula>
    </cfRule>
  </conditionalFormatting>
  <dataValidations count="2">
    <dataValidation sqref="D4" showDropDown="0" showInputMessage="0" showErrorMessage="0" allowBlank="1" type="list">
      <formula1>"Todos los duplicados,Solo código de barras duplicado,Solo SKU duplicado"</formula1>
    </dataValidation>
    <dataValidation sqref="H4" showDropDown="0" showInputMessage="0" showErrorMessage="0" allowBlank="1" type="list">
      <formula1>"Todos los estilos,11-001-0425-2057,11-001-0425-2058 GY,11-001-0425-2061,11-001-0425-2061 BU,11-001-0425-2062,11-001-0425-5020,11-001-0425-5020 BU,11-001-0526-1042,11-002-0425-2061,11-002-0425-2061 BU,11-060-0594-6012,9501000,9501000-200-NZ,9502000,9502000"&amp;"-600-NZ,9807003,9807003-232-NZ,9808003-19-NZ"</formula1>
    </dataValidation>
  </dataValidations>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J3971"/>
  <sheetViews>
    <sheetView workbookViewId="0">
      <pane ySplit="1" topLeftCell="A2" activePane="bottomLeft" state="frozen"/>
      <selection pane="bottomLeft" activeCell="B3" sqref="B3"/>
    </sheetView>
  </sheetViews>
  <sheetFormatPr baseColWidth="8" defaultColWidth="12.63" defaultRowHeight="15" customHeight="1"/>
  <cols>
    <col width="64.38" customWidth="1" style="176" min="1" max="1"/>
    <col width="18" customWidth="1" style="176" min="2" max="2"/>
    <col width="26" customWidth="1" style="176" min="3" max="3"/>
    <col width="14" customWidth="1" style="176" min="4" max="5"/>
    <col width="55" customWidth="1" style="176" min="6" max="6"/>
    <col width="14" customWidth="1" style="176" min="7" max="7"/>
    <col width="20" customWidth="1" style="176" min="8" max="8"/>
    <col width="12" customWidth="1" style="176" min="9" max="9"/>
    <col width="14.75" customWidth="1" style="176" min="10" max="10"/>
  </cols>
  <sheetData>
    <row r="1" ht="30" customHeight="1" s="176">
      <c r="A1" s="48" t="inlineStr">
        <is>
          <t>Ubicación (NetSuite / Plataforma)</t>
        </is>
      </c>
      <c r="B1" s="48" t="inlineStr">
        <is>
          <t>Código de barras</t>
        </is>
      </c>
      <c r="C1" s="48" t="inlineStr">
        <is>
          <t>WB SKU</t>
        </is>
      </c>
      <c r="D1" s="48" t="inlineStr">
        <is>
          <t>Identificador interno</t>
        </is>
      </c>
      <c r="E1" s="48" t="inlineStr">
        <is>
          <t>WB Marca</t>
        </is>
      </c>
      <c r="F1" s="48" t="inlineStr">
        <is>
          <t>WB Descripción</t>
        </is>
      </c>
      <c r="G1" s="48" t="inlineStr">
        <is>
          <t>Stock en ubicación (Físico)</t>
        </is>
      </c>
      <c r="H1" s="48" t="inlineStr">
        <is>
          <t>Origen en Productos</t>
        </is>
      </c>
      <c r="I1" s="48" t="inlineStr">
        <is>
          <t>Fila en Productos</t>
        </is>
      </c>
      <c r="J1" s="48" t="inlineStr">
        <is>
          <t>Sistema</t>
        </is>
      </c>
    </row>
    <row r="2">
      <c r="A2" s="5" t="inlineStr">
        <is>
          <t>B25 CEDIS</t>
        </is>
      </c>
      <c r="B2" s="5">
        <f>IF($I2="","",INDEX(Productos!$A:$A,$I2))</f>
        <v/>
      </c>
      <c r="C2" s="134" t="inlineStr">
        <is>
          <t>12-020-BS000-10-1018-028</t>
        </is>
      </c>
      <c r="D2" s="5">
        <f>IF($I2="","",INDEX(Productos!$B:$B,$I2))</f>
        <v/>
      </c>
      <c r="E2" s="5">
        <f>IF($I2="","",INDEX(Productos!$H:$H,$I2))</f>
        <v/>
      </c>
      <c r="F2" s="5">
        <f>IF($I2="","",INDEX(Productos!$I:$I,$I2))</f>
        <v/>
      </c>
      <c r="G2" s="135" t="n">
        <v>1</v>
      </c>
      <c r="H2" s="5">
        <f>IF($I2="","",INDEX(Productos!$AG:$AG,$I2))</f>
        <v/>
      </c>
      <c r="I2" s="136">
        <f>LET(_xlpm.r,Productos!$E$2:$E$2509,_xlpm.m,IFERROR(_xlfn.XMATCH(C2,_xlpm.r),IFERROR(_xlfn.XMATCH(VALUE(C2),_xlpm.r),0)),IF(_xlpm.m=0,"",_xlpm.m+1))</f>
        <v/>
      </c>
      <c r="J2" s="137" t="inlineStr">
        <is>
          <t>NetSuite</t>
        </is>
      </c>
    </row>
    <row r="3">
      <c r="A3" s="5" t="inlineStr">
        <is>
          <t>B25 CEDIS</t>
        </is>
      </c>
      <c r="B3" s="5">
        <f>IF($I2="","",INDEX(Productos!$A:$A,$I2))</f>
        <v/>
      </c>
      <c r="C3" s="134" t="inlineStr">
        <is>
          <t>12-021-BS002-13-1034-235</t>
        </is>
      </c>
      <c r="D3" s="5">
        <f>IF($I2="","",INDEX(Productos!$B:$B,$I2))</f>
        <v/>
      </c>
      <c r="E3" s="5">
        <f>IF($I2="","",INDEX(Productos!$H:$H,$I2))</f>
        <v/>
      </c>
      <c r="F3" s="5">
        <f>IF($I2="","",INDEX(Productos!$I:$I,$I2))</f>
        <v/>
      </c>
      <c r="G3" s="135" t="n">
        <v>1</v>
      </c>
      <c r="H3" s="5">
        <f>IF($I2="","",INDEX(Productos!$AG:$AG,$I2))</f>
        <v/>
      </c>
      <c r="I3" s="136">
        <f>LET(_xlpm.r,Productos!$E$2:$E$2509,_xlpm.m,IFERROR(_xlfn.XMATCH(C3,_xlpm.r),IFERROR(_xlfn.XMATCH(VALUE(C3),_xlpm.r),0)),IF(_xlpm.m=0,"",_xlpm.m+1))</f>
        <v/>
      </c>
      <c r="J3" s="137" t="inlineStr">
        <is>
          <t>NetSuite</t>
        </is>
      </c>
    </row>
    <row r="4">
      <c r="A4" s="5" t="inlineStr">
        <is>
          <t>B25 CEDIS</t>
        </is>
      </c>
      <c r="B4" s="5">
        <f>IF($I2="","",INDEX(Productos!$A:$A,$I2))</f>
        <v/>
      </c>
      <c r="C4" s="134" t="inlineStr">
        <is>
          <t>1360002</t>
        </is>
      </c>
      <c r="D4" s="5">
        <f>IF($I2="","",INDEX(Productos!$B:$B,$I2))</f>
        <v/>
      </c>
      <c r="E4" s="5">
        <f>IF($I2="","",INDEX(Productos!$H:$H,$I2))</f>
        <v/>
      </c>
      <c r="F4" s="5">
        <f>IF($I2="","",INDEX(Productos!$I:$I,$I2))</f>
        <v/>
      </c>
      <c r="G4" s="135" t="n">
        <v>-1</v>
      </c>
      <c r="H4" s="5">
        <f>IF($I2="","",INDEX(Productos!$AG:$AG,$I2))</f>
        <v/>
      </c>
      <c r="I4" s="136">
        <f>LET(_xlpm.r,Productos!$E$2:$E$2509,_xlpm.m,IFERROR(_xlfn.XMATCH(C4,_xlpm.r),IFERROR(_xlfn.XMATCH(VALUE(C4),_xlpm.r),0)),IF(_xlpm.m=0,"",_xlpm.m+1))</f>
        <v/>
      </c>
      <c r="J4" s="137" t="inlineStr">
        <is>
          <t>NetSuite</t>
        </is>
      </c>
    </row>
    <row r="5">
      <c r="A5" s="5" t="inlineStr">
        <is>
          <t>B25 CEDIS</t>
        </is>
      </c>
      <c r="B5" s="5">
        <f>IF($I2="","",INDEX(Productos!$A:$A,$I2))</f>
        <v/>
      </c>
      <c r="C5" s="134" t="inlineStr">
        <is>
          <t>SBBBOW-69432467</t>
        </is>
      </c>
      <c r="D5" s="5">
        <f>IF($I2="","",INDEX(Productos!$B:$B,$I2))</f>
        <v/>
      </c>
      <c r="E5" s="5">
        <f>IF($I2="","",INDEX(Productos!$H:$H,$I2))</f>
        <v/>
      </c>
      <c r="F5" s="5">
        <f>IF($I2="","",INDEX(Productos!$I:$I,$I2))</f>
        <v/>
      </c>
      <c r="G5" s="135" t="n">
        <v>-1</v>
      </c>
      <c r="H5" s="5">
        <f>IF($I2="","",INDEX(Productos!$AG:$AG,$I2))</f>
        <v/>
      </c>
      <c r="I5" s="136">
        <f>LET(_xlpm.r,Productos!$E$2:$E$2509,_xlpm.m,IFERROR(_xlfn.XMATCH(C5,_xlpm.r),IFERROR(_xlfn.XMATCH(VALUE(C5),_xlpm.r),0)),IF(_xlpm.m=0,"",_xlpm.m+1))</f>
        <v/>
      </c>
      <c r="J5" s="137" t="inlineStr">
        <is>
          <t>NetSuite</t>
        </is>
      </c>
    </row>
    <row r="6">
      <c r="A6" s="5" t="inlineStr">
        <is>
          <t>B25 CEDIS</t>
        </is>
      </c>
      <c r="B6" s="5">
        <f>IF($I2="","",INDEX(Productos!$A:$A,$I2))</f>
        <v/>
      </c>
      <c r="C6" s="134" t="inlineStr">
        <is>
          <t>SBBBOW-69432470</t>
        </is>
      </c>
      <c r="D6" s="5">
        <f>IF($I2="","",INDEX(Productos!$B:$B,$I2))</f>
        <v/>
      </c>
      <c r="E6" s="5">
        <f>IF($I2="","",INDEX(Productos!$H:$H,$I2))</f>
        <v/>
      </c>
      <c r="F6" s="5">
        <f>IF($I2="","",INDEX(Productos!$I:$I,$I2))</f>
        <v/>
      </c>
      <c r="G6" s="135" t="n">
        <v>-1</v>
      </c>
      <c r="H6" s="5">
        <f>IF($I2="","",INDEX(Productos!$AG:$AG,$I2))</f>
        <v/>
      </c>
      <c r="I6" s="136">
        <f>LET(_xlpm.r,Productos!$E$2:$E$2509,_xlpm.m,IFERROR(_xlfn.XMATCH(C6,_xlpm.r),IFERROR(_xlfn.XMATCH(VALUE(C6),_xlpm.r),0)),IF(_xlpm.m=0,"",_xlpm.m+1))</f>
        <v/>
      </c>
      <c r="J6" s="137" t="inlineStr">
        <is>
          <t>NetSuite</t>
        </is>
      </c>
    </row>
    <row r="7">
      <c r="A7" s="5" t="inlineStr">
        <is>
          <t>B25 CEDIS</t>
        </is>
      </c>
      <c r="B7" s="5">
        <f>IF($I2="","",INDEX(Productos!$A:$A,$I2))</f>
        <v/>
      </c>
      <c r="C7" s="134" t="inlineStr">
        <is>
          <t>SBBBOW-69432471</t>
        </is>
      </c>
      <c r="D7" s="5">
        <f>IF($I2="","",INDEX(Productos!$B:$B,$I2))</f>
        <v/>
      </c>
      <c r="E7" s="5">
        <f>IF($I2="","",INDEX(Productos!$H:$H,$I2))</f>
        <v/>
      </c>
      <c r="F7" s="5">
        <f>IF($I2="","",INDEX(Productos!$I:$I,$I2))</f>
        <v/>
      </c>
      <c r="G7" s="135" t="n">
        <v>-1</v>
      </c>
      <c r="H7" s="5">
        <f>IF($I2="","",INDEX(Productos!$AG:$AG,$I2))</f>
        <v/>
      </c>
      <c r="I7" s="136">
        <f>LET(_xlpm.r,Productos!$E$2:$E$2509,_xlpm.m,IFERROR(_xlfn.XMATCH(C7,_xlpm.r),IFERROR(_xlfn.XMATCH(VALUE(C7),_xlpm.r),0)),IF(_xlpm.m=0,"",_xlpm.m+1))</f>
        <v/>
      </c>
      <c r="J7" s="137" t="inlineStr">
        <is>
          <t>NetSuite</t>
        </is>
      </c>
    </row>
    <row r="8">
      <c r="A8" s="5" t="inlineStr">
        <is>
          <t>B25 CEDIS</t>
        </is>
      </c>
      <c r="B8" s="5">
        <f>IF($I2="","",INDEX(Productos!$A:$A,$I2))</f>
        <v/>
      </c>
      <c r="C8" s="134" t="inlineStr">
        <is>
          <t>SBBBOW-69432472</t>
        </is>
      </c>
      <c r="D8" s="5">
        <f>IF($I2="","",INDEX(Productos!$B:$B,$I2))</f>
        <v/>
      </c>
      <c r="E8" s="5">
        <f>IF($I2="","",INDEX(Productos!$H:$H,$I2))</f>
        <v/>
      </c>
      <c r="F8" s="5">
        <f>IF($I2="","",INDEX(Productos!$I:$I,$I2))</f>
        <v/>
      </c>
      <c r="G8" s="135" t="n">
        <v>-1</v>
      </c>
      <c r="H8" s="5">
        <f>IF($I2="","",INDEX(Productos!$AG:$AG,$I2))</f>
        <v/>
      </c>
      <c r="I8" s="136">
        <f>LET(_xlpm.r,Productos!$E$2:$E$2509,_xlpm.m,IFERROR(_xlfn.XMATCH(C8,_xlpm.r),IFERROR(_xlfn.XMATCH(VALUE(C8),_xlpm.r),0)),IF(_xlpm.m=0,"",_xlpm.m+1))</f>
        <v/>
      </c>
      <c r="J8" s="137" t="inlineStr">
        <is>
          <t>NetSuite</t>
        </is>
      </c>
    </row>
    <row r="9">
      <c r="A9" s="5" t="inlineStr">
        <is>
          <t>B25 CEDIS</t>
        </is>
      </c>
      <c r="B9" s="5">
        <f>IF($I2="","",INDEX(Productos!$A:$A,$I2))</f>
        <v/>
      </c>
      <c r="C9" s="134" t="inlineStr">
        <is>
          <t>SFASPN-41342272</t>
        </is>
      </c>
      <c r="D9" s="5">
        <f>IF($I2="","",INDEX(Productos!$B:$B,$I2))</f>
        <v/>
      </c>
      <c r="E9" s="5">
        <f>IF($I2="","",INDEX(Productos!$H:$H,$I2))</f>
        <v/>
      </c>
      <c r="F9" s="5">
        <f>IF($I2="","",INDEX(Productos!$I:$I,$I2))</f>
        <v/>
      </c>
      <c r="G9" s="135" t="n">
        <v>-1</v>
      </c>
      <c r="H9" s="5">
        <f>IF($I2="","",INDEX(Productos!$AG:$AG,$I2))</f>
        <v/>
      </c>
      <c r="I9" s="136">
        <f>LET(_xlpm.r,Productos!$E$2:$E$2509,_xlpm.m,IFERROR(_xlfn.XMATCH(C9,_xlpm.r),IFERROR(_xlfn.XMATCH(VALUE(C9),_xlpm.r),0)),IF(_xlpm.m=0,"",_xlpm.m+1))</f>
        <v/>
      </c>
      <c r="J9" s="137" t="inlineStr">
        <is>
          <t>NetSuite</t>
        </is>
      </c>
    </row>
    <row r="10">
      <c r="A10" s="5" t="inlineStr">
        <is>
          <t>B25 CEDIS</t>
        </is>
      </c>
      <c r="B10" s="5">
        <f>IF($I2="","",INDEX(Productos!$A:$A,$I2))</f>
        <v/>
      </c>
      <c r="C10" s="134" t="inlineStr">
        <is>
          <t>SFASPN-41342273</t>
        </is>
      </c>
      <c r="D10" s="5">
        <f>IF($I2="","",INDEX(Productos!$B:$B,$I2))</f>
        <v/>
      </c>
      <c r="E10" s="5">
        <f>IF($I2="","",INDEX(Productos!$H:$H,$I2))</f>
        <v/>
      </c>
      <c r="F10" s="5">
        <f>IF($I2="","",INDEX(Productos!$I:$I,$I2))</f>
        <v/>
      </c>
      <c r="G10" s="135" t="n">
        <v>-1</v>
      </c>
      <c r="H10" s="5">
        <f>IF($I2="","",INDEX(Productos!$AG:$AG,$I2))</f>
        <v/>
      </c>
      <c r="I10" s="136">
        <f>LET(_xlpm.r,Productos!$E$2:$E$2509,_xlpm.m,IFERROR(_xlfn.XMATCH(C10,_xlpm.r),IFERROR(_xlfn.XMATCH(VALUE(C10),_xlpm.r),0)),IF(_xlpm.m=0,"",_xlpm.m+1))</f>
        <v/>
      </c>
      <c r="J10" s="137" t="inlineStr">
        <is>
          <t>NetSuite</t>
        </is>
      </c>
    </row>
    <row r="11">
      <c r="A11" s="5" t="inlineStr">
        <is>
          <t>B25 CEDIS</t>
        </is>
      </c>
      <c r="B11" s="5">
        <f>IF($I2="","",INDEX(Productos!$A:$A,$I2))</f>
        <v/>
      </c>
      <c r="C11" s="134" t="inlineStr">
        <is>
          <t>SFCRSN-40340767</t>
        </is>
      </c>
      <c r="D11" s="5">
        <f>IF($I2="","",INDEX(Productos!$B:$B,$I2))</f>
        <v/>
      </c>
      <c r="E11" s="5">
        <f>IF($I2="","",INDEX(Productos!$H:$H,$I2))</f>
        <v/>
      </c>
      <c r="F11" s="5">
        <f>IF($I2="","",INDEX(Productos!$I:$I,$I2))</f>
        <v/>
      </c>
      <c r="G11" s="135" t="n">
        <v>-1</v>
      </c>
      <c r="H11" s="5">
        <f>IF($I2="","",INDEX(Productos!$AG:$AG,$I2))</f>
        <v/>
      </c>
      <c r="I11" s="136">
        <f>LET(_xlpm.r,Productos!$E$2:$E$2509,_xlpm.m,IFERROR(_xlfn.XMATCH(C11,_xlpm.r),IFERROR(_xlfn.XMATCH(VALUE(C11),_xlpm.r),0)),IF(_xlpm.m=0,"",_xlpm.m+1))</f>
        <v/>
      </c>
      <c r="J11" s="137" t="inlineStr">
        <is>
          <t>NetSuite</t>
        </is>
      </c>
    </row>
    <row r="12">
      <c r="A12" s="5" t="inlineStr">
        <is>
          <t>B25 CEDIS</t>
        </is>
      </c>
      <c r="B12" s="5">
        <f>IF($I2="","",INDEX(Productos!$A:$A,$I2))</f>
        <v/>
      </c>
      <c r="C12" s="134" t="inlineStr">
        <is>
          <t>SFCRSN-40340770</t>
        </is>
      </c>
      <c r="D12" s="5">
        <f>IF($I2="","",INDEX(Productos!$B:$B,$I2))</f>
        <v/>
      </c>
      <c r="E12" s="5">
        <f>IF($I2="","",INDEX(Productos!$H:$H,$I2))</f>
        <v/>
      </c>
      <c r="F12" s="5">
        <f>IF($I2="","",INDEX(Productos!$I:$I,$I2))</f>
        <v/>
      </c>
      <c r="G12" s="135" t="n">
        <v>-1</v>
      </c>
      <c r="H12" s="5">
        <f>IF($I2="","",INDEX(Productos!$AG:$AG,$I2))</f>
        <v/>
      </c>
      <c r="I12" s="136">
        <f>LET(_xlpm.r,Productos!$E$2:$E$2509,_xlpm.m,IFERROR(_xlfn.XMATCH(C12,_xlpm.r),IFERROR(_xlfn.XMATCH(VALUE(C12),_xlpm.r),0)),IF(_xlpm.m=0,"",_xlpm.m+1))</f>
        <v/>
      </c>
      <c r="J12" s="137" t="inlineStr">
        <is>
          <t>NetSuite</t>
        </is>
      </c>
    </row>
    <row r="13">
      <c r="A13" s="5" t="inlineStr">
        <is>
          <t>B25 CEDIS</t>
        </is>
      </c>
      <c r="B13" s="5">
        <f>IF($I2="","",INDEX(Productos!$A:$A,$I2))</f>
        <v/>
      </c>
      <c r="C13" s="134" t="inlineStr">
        <is>
          <t>SFCRSN-40340771</t>
        </is>
      </c>
      <c r="D13" s="5">
        <f>IF($I2="","",INDEX(Productos!$B:$B,$I2))</f>
        <v/>
      </c>
      <c r="E13" s="5">
        <f>IF($I2="","",INDEX(Productos!$H:$H,$I2))</f>
        <v/>
      </c>
      <c r="F13" s="5">
        <f>IF($I2="","",INDEX(Productos!$I:$I,$I2))</f>
        <v/>
      </c>
      <c r="G13" s="135" t="n">
        <v>-1</v>
      </c>
      <c r="H13" s="5">
        <f>IF($I2="","",INDEX(Productos!$AG:$AG,$I2))</f>
        <v/>
      </c>
      <c r="I13" s="136">
        <f>LET(_xlpm.r,Productos!$E$2:$E$2509,_xlpm.m,IFERROR(_xlfn.XMATCH(C13,_xlpm.r),IFERROR(_xlfn.XMATCH(VALUE(C13),_xlpm.r),0)),IF(_xlpm.m=0,"",_xlpm.m+1))</f>
        <v/>
      </c>
      <c r="J13" s="137" t="inlineStr">
        <is>
          <t>NetSuite</t>
        </is>
      </c>
    </row>
    <row r="14">
      <c r="A14" s="5" t="inlineStr">
        <is>
          <t>B25 CEDIS</t>
        </is>
      </c>
      <c r="B14" s="5">
        <f>IF($I2="","",INDEX(Productos!$A:$A,$I2))</f>
        <v/>
      </c>
      <c r="C14" s="134" t="inlineStr">
        <is>
          <t>SFCRSN-40340772</t>
        </is>
      </c>
      <c r="D14" s="5">
        <f>IF($I2="","",INDEX(Productos!$B:$B,$I2))</f>
        <v/>
      </c>
      <c r="E14" s="5">
        <f>IF($I2="","",INDEX(Productos!$H:$H,$I2))</f>
        <v/>
      </c>
      <c r="F14" s="5">
        <f>IF($I2="","",INDEX(Productos!$I:$I,$I2))</f>
        <v/>
      </c>
      <c r="G14" s="135" t="n">
        <v>-1</v>
      </c>
      <c r="H14" s="5">
        <f>IF($I2="","",INDEX(Productos!$AG:$AG,$I2))</f>
        <v/>
      </c>
      <c r="I14" s="136">
        <f>LET(_xlpm.r,Productos!$E$2:$E$2509,_xlpm.m,IFERROR(_xlfn.XMATCH(C14,_xlpm.r),IFERROR(_xlfn.XMATCH(VALUE(C14),_xlpm.r),0)),IF(_xlpm.m=0,"",_xlpm.m+1))</f>
        <v/>
      </c>
      <c r="J14" s="137" t="inlineStr">
        <is>
          <t>NetSuite</t>
        </is>
      </c>
    </row>
    <row r="15">
      <c r="A15" s="5" t="inlineStr">
        <is>
          <t>B25 CEDIS</t>
        </is>
      </c>
      <c r="B15" s="5">
        <f>IF($I2="","",INDEX(Productos!$A:$A,$I2))</f>
        <v/>
      </c>
      <c r="C15" s="134" t="inlineStr">
        <is>
          <t>SFCRSN-40340773</t>
        </is>
      </c>
      <c r="D15" s="5">
        <f>IF($I2="","",INDEX(Productos!$B:$B,$I2))</f>
        <v/>
      </c>
      <c r="E15" s="5">
        <f>IF($I2="","",INDEX(Productos!$H:$H,$I2))</f>
        <v/>
      </c>
      <c r="F15" s="5">
        <f>IF($I2="","",INDEX(Productos!$I:$I,$I2))</f>
        <v/>
      </c>
      <c r="G15" s="135" t="n">
        <v>-1</v>
      </c>
      <c r="H15" s="5">
        <f>IF($I2="","",INDEX(Productos!$AG:$AG,$I2))</f>
        <v/>
      </c>
      <c r="I15" s="136">
        <f>LET(_xlpm.r,Productos!$E$2:$E$2509,_xlpm.m,IFERROR(_xlfn.XMATCH(C15,_xlpm.r),IFERROR(_xlfn.XMATCH(VALUE(C15),_xlpm.r),0)),IF(_xlpm.m=0,"",_xlpm.m+1))</f>
        <v/>
      </c>
      <c r="J15" s="137" t="inlineStr">
        <is>
          <t>NetSuite</t>
        </is>
      </c>
    </row>
    <row r="16">
      <c r="A16" s="5" t="inlineStr">
        <is>
          <t>B25 CEDIS</t>
        </is>
      </c>
      <c r="B16" s="5">
        <f>IF($I2="","",INDEX(Productos!$A:$A,$I2))</f>
        <v/>
      </c>
      <c r="C16" s="134" t="inlineStr">
        <is>
          <t>SFCRSN-40341166</t>
        </is>
      </c>
      <c r="D16" s="5">
        <f>IF($I2="","",INDEX(Productos!$B:$B,$I2))</f>
        <v/>
      </c>
      <c r="E16" s="5">
        <f>IF($I2="","",INDEX(Productos!$H:$H,$I2))</f>
        <v/>
      </c>
      <c r="F16" s="5">
        <f>IF($I2="","",INDEX(Productos!$I:$I,$I2))</f>
        <v/>
      </c>
      <c r="G16" s="135" t="n">
        <v>-1</v>
      </c>
      <c r="H16" s="5">
        <f>IF($I2="","",INDEX(Productos!$AG:$AG,$I2))</f>
        <v/>
      </c>
      <c r="I16" s="136">
        <f>LET(_xlpm.r,Productos!$E$2:$E$2509,_xlpm.m,IFERROR(_xlfn.XMATCH(C16,_xlpm.r),IFERROR(_xlfn.XMATCH(VALUE(C16),_xlpm.r),0)),IF(_xlpm.m=0,"",_xlpm.m+1))</f>
        <v/>
      </c>
      <c r="J16" s="137" t="inlineStr">
        <is>
          <t>NetSuite</t>
        </is>
      </c>
    </row>
    <row r="17">
      <c r="A17" s="5" t="inlineStr">
        <is>
          <t>B25 CEDIS</t>
        </is>
      </c>
      <c r="B17" s="5">
        <f>IF($I2="","",INDEX(Productos!$A:$A,$I2))</f>
        <v/>
      </c>
      <c r="C17" s="134" t="inlineStr">
        <is>
          <t>SFCRSN-40341167</t>
        </is>
      </c>
      <c r="D17" s="5">
        <f>IF($I2="","",INDEX(Productos!$B:$B,$I2))</f>
        <v/>
      </c>
      <c r="E17" s="5">
        <f>IF($I2="","",INDEX(Productos!$H:$H,$I2))</f>
        <v/>
      </c>
      <c r="F17" s="5">
        <f>IF($I2="","",INDEX(Productos!$I:$I,$I2))</f>
        <v/>
      </c>
      <c r="G17" s="135" t="n">
        <v>-1</v>
      </c>
      <c r="H17" s="5">
        <f>IF($I2="","",INDEX(Productos!$AG:$AG,$I2))</f>
        <v/>
      </c>
      <c r="I17" s="136">
        <f>LET(_xlpm.r,Productos!$E$2:$E$2509,_xlpm.m,IFERROR(_xlfn.XMATCH(C17,_xlpm.r),IFERROR(_xlfn.XMATCH(VALUE(C17),_xlpm.r),0)),IF(_xlpm.m=0,"",_xlpm.m+1))</f>
        <v/>
      </c>
      <c r="J17" s="137" t="inlineStr">
        <is>
          <t>NetSuite</t>
        </is>
      </c>
    </row>
    <row r="18">
      <c r="A18" s="5" t="inlineStr">
        <is>
          <t>B25 CEDIS</t>
        </is>
      </c>
      <c r="B18" s="5">
        <f>IF($I2="","",INDEX(Productos!$A:$A,$I2))</f>
        <v/>
      </c>
      <c r="C18" s="134" t="inlineStr">
        <is>
          <t>SFCRSN-40341170</t>
        </is>
      </c>
      <c r="D18" s="5">
        <f>IF($I2="","",INDEX(Productos!$B:$B,$I2))</f>
        <v/>
      </c>
      <c r="E18" s="5">
        <f>IF($I2="","",INDEX(Productos!$H:$H,$I2))</f>
        <v/>
      </c>
      <c r="F18" s="5">
        <f>IF($I2="","",INDEX(Productos!$I:$I,$I2))</f>
        <v/>
      </c>
      <c r="G18" s="135" t="n">
        <v>-1</v>
      </c>
      <c r="H18" s="5">
        <f>IF($I2="","",INDEX(Productos!$AG:$AG,$I2))</f>
        <v/>
      </c>
      <c r="I18" s="136">
        <f>LET(_xlpm.r,Productos!$E$2:$E$2509,_xlpm.m,IFERROR(_xlfn.XMATCH(C18,_xlpm.r),IFERROR(_xlfn.XMATCH(VALUE(C18),_xlpm.r),0)),IF(_xlpm.m=0,"",_xlpm.m+1))</f>
        <v/>
      </c>
      <c r="J18" s="137" t="inlineStr">
        <is>
          <t>NetSuite</t>
        </is>
      </c>
    </row>
    <row r="19">
      <c r="A19" s="5" t="inlineStr">
        <is>
          <t>B25 CEDIS</t>
        </is>
      </c>
      <c r="B19" s="5">
        <f>IF($I2="","",INDEX(Productos!$A:$A,$I2))</f>
        <v/>
      </c>
      <c r="C19" s="134" t="inlineStr">
        <is>
          <t>SFCRSN-40341171</t>
        </is>
      </c>
      <c r="D19" s="5">
        <f>IF($I2="","",INDEX(Productos!$B:$B,$I2))</f>
        <v/>
      </c>
      <c r="E19" s="5">
        <f>IF($I2="","",INDEX(Productos!$H:$H,$I2))</f>
        <v/>
      </c>
      <c r="F19" s="5">
        <f>IF($I2="","",INDEX(Productos!$I:$I,$I2))</f>
        <v/>
      </c>
      <c r="G19" s="135" t="n">
        <v>-1</v>
      </c>
      <c r="H19" s="5">
        <f>IF($I2="","",INDEX(Productos!$AG:$AG,$I2))</f>
        <v/>
      </c>
      <c r="I19" s="136">
        <f>LET(_xlpm.r,Productos!$E$2:$E$2509,_xlpm.m,IFERROR(_xlfn.XMATCH(C19,_xlpm.r),IFERROR(_xlfn.XMATCH(VALUE(C19),_xlpm.r),0)),IF(_xlpm.m=0,"",_xlpm.m+1))</f>
        <v/>
      </c>
      <c r="J19" s="137" t="inlineStr">
        <is>
          <t>NetSuite</t>
        </is>
      </c>
    </row>
    <row r="20">
      <c r="A20" s="5" t="inlineStr">
        <is>
          <t>B25 CEDIS</t>
        </is>
      </c>
      <c r="B20" s="5">
        <f>IF($I2="","",INDEX(Productos!$A:$A,$I2))</f>
        <v/>
      </c>
      <c r="C20" s="134" t="inlineStr">
        <is>
          <t>SFCRSN-40341172</t>
        </is>
      </c>
      <c r="D20" s="5">
        <f>IF($I2="","",INDEX(Productos!$B:$B,$I2))</f>
        <v/>
      </c>
      <c r="E20" s="5">
        <f>IF($I2="","",INDEX(Productos!$H:$H,$I2))</f>
        <v/>
      </c>
      <c r="F20" s="5">
        <f>IF($I2="","",INDEX(Productos!$I:$I,$I2))</f>
        <v/>
      </c>
      <c r="G20" s="135" t="n">
        <v>-1</v>
      </c>
      <c r="H20" s="5">
        <f>IF($I2="","",INDEX(Productos!$AG:$AG,$I2))</f>
        <v/>
      </c>
      <c r="I20" s="136">
        <f>LET(_xlpm.r,Productos!$E$2:$E$2509,_xlpm.m,IFERROR(_xlfn.XMATCH(C20,_xlpm.r),IFERROR(_xlfn.XMATCH(VALUE(C20),_xlpm.r),0)),IF(_xlpm.m=0,"",_xlpm.m+1))</f>
        <v/>
      </c>
      <c r="J20" s="137" t="inlineStr">
        <is>
          <t>NetSuite</t>
        </is>
      </c>
    </row>
    <row r="21">
      <c r="A21" s="5" t="inlineStr">
        <is>
          <t>B25 CEDIS</t>
        </is>
      </c>
      <c r="B21" s="5">
        <f>IF($I2="","",INDEX(Productos!$A:$A,$I2))</f>
        <v/>
      </c>
      <c r="C21" s="134" t="inlineStr">
        <is>
          <t>SFCRSN-40341173</t>
        </is>
      </c>
      <c r="D21" s="5">
        <f>IF($I2="","",INDEX(Productos!$B:$B,$I2))</f>
        <v/>
      </c>
      <c r="E21" s="5">
        <f>IF($I2="","",INDEX(Productos!$H:$H,$I2))</f>
        <v/>
      </c>
      <c r="F21" s="5">
        <f>IF($I2="","",INDEX(Productos!$I:$I,$I2))</f>
        <v/>
      </c>
      <c r="G21" s="135" t="n">
        <v>-1</v>
      </c>
      <c r="H21" s="5">
        <f>IF($I2="","",INDEX(Productos!$AG:$AG,$I2))</f>
        <v/>
      </c>
      <c r="I21" s="136">
        <f>LET(_xlpm.r,Productos!$E$2:$E$2509,_xlpm.m,IFERROR(_xlfn.XMATCH(C21,_xlpm.r),IFERROR(_xlfn.XMATCH(VALUE(C21),_xlpm.r),0)),IF(_xlpm.m=0,"",_xlpm.m+1))</f>
        <v/>
      </c>
      <c r="J21" s="137" t="inlineStr">
        <is>
          <t>NetSuite</t>
        </is>
      </c>
    </row>
    <row r="22">
      <c r="A22" s="5" t="inlineStr">
        <is>
          <t>B25 CEDIS</t>
        </is>
      </c>
      <c r="B22" s="5">
        <f>IF($I2="","",INDEX(Productos!$A:$A,$I2))</f>
        <v/>
      </c>
      <c r="C22" s="134" t="inlineStr">
        <is>
          <t>SFCRSN-40346167</t>
        </is>
      </c>
      <c r="D22" s="5">
        <f>IF($I2="","",INDEX(Productos!$B:$B,$I2))</f>
        <v/>
      </c>
      <c r="E22" s="5">
        <f>IF($I2="","",INDEX(Productos!$H:$H,$I2))</f>
        <v/>
      </c>
      <c r="F22" s="5">
        <f>IF($I2="","",INDEX(Productos!$I:$I,$I2))</f>
        <v/>
      </c>
      <c r="G22" s="135" t="n">
        <v>-1</v>
      </c>
      <c r="H22" s="5">
        <f>IF($I2="","",INDEX(Productos!$AG:$AG,$I2))</f>
        <v/>
      </c>
      <c r="I22" s="136">
        <f>LET(_xlpm.r,Productos!$E$2:$E$2509,_xlpm.m,IFERROR(_xlfn.XMATCH(C22,_xlpm.r),IFERROR(_xlfn.XMATCH(VALUE(C22),_xlpm.r),0)),IF(_xlpm.m=0,"",_xlpm.m+1))</f>
        <v/>
      </c>
      <c r="J22" s="137" t="inlineStr">
        <is>
          <t>NetSuite</t>
        </is>
      </c>
    </row>
    <row r="23">
      <c r="A23" s="5" t="inlineStr">
        <is>
          <t>B25 CEDIS</t>
        </is>
      </c>
      <c r="B23" s="5">
        <f>IF($I2="","",INDEX(Productos!$A:$A,$I2))</f>
        <v/>
      </c>
      <c r="C23" s="134" t="inlineStr">
        <is>
          <t>SFCRSN-40346170</t>
        </is>
      </c>
      <c r="D23" s="5">
        <f>IF($I2="","",INDEX(Productos!$B:$B,$I2))</f>
        <v/>
      </c>
      <c r="E23" s="5">
        <f>IF($I2="","",INDEX(Productos!$H:$H,$I2))</f>
        <v/>
      </c>
      <c r="F23" s="5">
        <f>IF($I2="","",INDEX(Productos!$I:$I,$I2))</f>
        <v/>
      </c>
      <c r="G23" s="135" t="n">
        <v>-1</v>
      </c>
      <c r="H23" s="5">
        <f>IF($I2="","",INDEX(Productos!$AG:$AG,$I2))</f>
        <v/>
      </c>
      <c r="I23" s="136">
        <f>LET(_xlpm.r,Productos!$E$2:$E$2509,_xlpm.m,IFERROR(_xlfn.XMATCH(C23,_xlpm.r),IFERROR(_xlfn.XMATCH(VALUE(C23),_xlpm.r),0)),IF(_xlpm.m=0,"",_xlpm.m+1))</f>
        <v/>
      </c>
      <c r="J23" s="137" t="inlineStr">
        <is>
          <t>NetSuite</t>
        </is>
      </c>
    </row>
    <row r="24">
      <c r="A24" s="5" t="inlineStr">
        <is>
          <t>B25 CEDIS</t>
        </is>
      </c>
      <c r="B24" s="5">
        <f>IF($I2="","",INDEX(Productos!$A:$A,$I2))</f>
        <v/>
      </c>
      <c r="C24" s="134" t="inlineStr">
        <is>
          <t>SFCRSN-40346171</t>
        </is>
      </c>
      <c r="D24" s="5">
        <f>IF($I2="","",INDEX(Productos!$B:$B,$I2))</f>
        <v/>
      </c>
      <c r="E24" s="5">
        <f>IF($I2="","",INDEX(Productos!$H:$H,$I2))</f>
        <v/>
      </c>
      <c r="F24" s="5">
        <f>IF($I2="","",INDEX(Productos!$I:$I,$I2))</f>
        <v/>
      </c>
      <c r="G24" s="135" t="n">
        <v>-1</v>
      </c>
      <c r="H24" s="5">
        <f>IF($I2="","",INDEX(Productos!$AG:$AG,$I2))</f>
        <v/>
      </c>
      <c r="I24" s="136">
        <f>LET(_xlpm.r,Productos!$E$2:$E$2509,_xlpm.m,IFERROR(_xlfn.XMATCH(C24,_xlpm.r),IFERROR(_xlfn.XMATCH(VALUE(C24),_xlpm.r),0)),IF(_xlpm.m=0,"",_xlpm.m+1))</f>
        <v/>
      </c>
      <c r="J24" s="137" t="inlineStr">
        <is>
          <t>NetSuite</t>
        </is>
      </c>
    </row>
    <row r="25">
      <c r="A25" s="5" t="inlineStr">
        <is>
          <t>B25 CEDIS</t>
        </is>
      </c>
      <c r="B25" s="5">
        <f>IF($I2="","",INDEX(Productos!$A:$A,$I2))</f>
        <v/>
      </c>
      <c r="C25" s="134" t="inlineStr">
        <is>
          <t>SFCRSN-40346172</t>
        </is>
      </c>
      <c r="D25" s="5">
        <f>IF($I2="","",INDEX(Productos!$B:$B,$I2))</f>
        <v/>
      </c>
      <c r="E25" s="5">
        <f>IF($I2="","",INDEX(Productos!$H:$H,$I2))</f>
        <v/>
      </c>
      <c r="F25" s="5">
        <f>IF($I2="","",INDEX(Productos!$I:$I,$I2))</f>
        <v/>
      </c>
      <c r="G25" s="135" t="n">
        <v>-1</v>
      </c>
      <c r="H25" s="5">
        <f>IF($I2="","",INDEX(Productos!$AG:$AG,$I2))</f>
        <v/>
      </c>
      <c r="I25" s="136">
        <f>LET(_xlpm.r,Productos!$E$2:$E$2509,_xlpm.m,IFERROR(_xlfn.XMATCH(C25,_xlpm.r),IFERROR(_xlfn.XMATCH(VALUE(C25),_xlpm.r),0)),IF(_xlpm.m=0,"",_xlpm.m+1))</f>
        <v/>
      </c>
      <c r="J25" s="137" t="inlineStr">
        <is>
          <t>NetSuite</t>
        </is>
      </c>
    </row>
    <row r="26">
      <c r="A26" s="5" t="inlineStr">
        <is>
          <t>B25 CEDIS</t>
        </is>
      </c>
      <c r="B26" s="5">
        <f>IF($I2="","",INDEX(Productos!$A:$A,$I2))</f>
        <v/>
      </c>
      <c r="C26" s="134" t="inlineStr">
        <is>
          <t>SFCRSN-40346173</t>
        </is>
      </c>
      <c r="D26" s="5">
        <f>IF($I2="","",INDEX(Productos!$B:$B,$I2))</f>
        <v/>
      </c>
      <c r="E26" s="5">
        <f>IF($I2="","",INDEX(Productos!$H:$H,$I2))</f>
        <v/>
      </c>
      <c r="F26" s="5">
        <f>IF($I2="","",INDEX(Productos!$I:$I,$I2))</f>
        <v/>
      </c>
      <c r="G26" s="135" t="n">
        <v>-1</v>
      </c>
      <c r="H26" s="5">
        <f>IF($I2="","",INDEX(Productos!$AG:$AG,$I2))</f>
        <v/>
      </c>
      <c r="I26" s="136">
        <f>LET(_xlpm.r,Productos!$E$2:$E$2509,_xlpm.m,IFERROR(_xlfn.XMATCH(C26,_xlpm.r),IFERROR(_xlfn.XMATCH(VALUE(C26),_xlpm.r),0)),IF(_xlpm.m=0,"",_xlpm.m+1))</f>
        <v/>
      </c>
      <c r="J26" s="137" t="inlineStr">
        <is>
          <t>NetSuite</t>
        </is>
      </c>
    </row>
    <row r="27">
      <c r="A27" s="5" t="inlineStr">
        <is>
          <t>B25 CEDIS</t>
        </is>
      </c>
      <c r="B27" s="5">
        <f>IF($I2="","",INDEX(Productos!$A:$A,$I2))</f>
        <v/>
      </c>
      <c r="C27" s="134" t="inlineStr">
        <is>
          <t>SFELAM-48406171</t>
        </is>
      </c>
      <c r="D27" s="5">
        <f>IF($I2="","",INDEX(Productos!$B:$B,$I2))</f>
        <v/>
      </c>
      <c r="E27" s="5">
        <f>IF($I2="","",INDEX(Productos!$H:$H,$I2))</f>
        <v/>
      </c>
      <c r="F27" s="5">
        <f>IF($I2="","",INDEX(Productos!$I:$I,$I2))</f>
        <v/>
      </c>
      <c r="G27" s="135" t="n">
        <v>-1</v>
      </c>
      <c r="H27" s="5">
        <f>IF($I2="","",INDEX(Productos!$AG:$AG,$I2))</f>
        <v/>
      </c>
      <c r="I27" s="136">
        <f>LET(_xlpm.r,Productos!$E$2:$E$2509,_xlpm.m,IFERROR(_xlfn.XMATCH(C27,_xlpm.r),IFERROR(_xlfn.XMATCH(VALUE(C27),_xlpm.r),0)),IF(_xlpm.m=0,"",_xlpm.m+1))</f>
        <v/>
      </c>
      <c r="J27" s="137" t="inlineStr">
        <is>
          <t>NetSuite</t>
        </is>
      </c>
    </row>
    <row r="28">
      <c r="A28" s="5" t="inlineStr">
        <is>
          <t>B25 CEDIS</t>
        </is>
      </c>
      <c r="B28" s="5">
        <f>IF($I2="","",INDEX(Productos!$A:$A,$I2))</f>
        <v/>
      </c>
      <c r="C28" s="134" t="inlineStr">
        <is>
          <t>SFELAM-48406172</t>
        </is>
      </c>
      <c r="D28" s="5">
        <f>IF($I2="","",INDEX(Productos!$B:$B,$I2))</f>
        <v/>
      </c>
      <c r="E28" s="5">
        <f>IF($I2="","",INDEX(Productos!$H:$H,$I2))</f>
        <v/>
      </c>
      <c r="F28" s="5">
        <f>IF($I2="","",INDEX(Productos!$I:$I,$I2))</f>
        <v/>
      </c>
      <c r="G28" s="135" t="n">
        <v>-1</v>
      </c>
      <c r="H28" s="5">
        <f>IF($I2="","",INDEX(Productos!$AG:$AG,$I2))</f>
        <v/>
      </c>
      <c r="I28" s="136">
        <f>LET(_xlpm.r,Productos!$E$2:$E$2509,_xlpm.m,IFERROR(_xlfn.XMATCH(C28,_xlpm.r),IFERROR(_xlfn.XMATCH(VALUE(C28),_xlpm.r),0)),IF(_xlpm.m=0,"",_xlpm.m+1))</f>
        <v/>
      </c>
      <c r="J28" s="137" t="inlineStr">
        <is>
          <t>NetSuite</t>
        </is>
      </c>
    </row>
    <row r="29">
      <c r="A29" s="5" t="inlineStr">
        <is>
          <t>B25 CEDIS</t>
        </is>
      </c>
      <c r="B29" s="5">
        <f>IF($I2="","",INDEX(Productos!$A:$A,$I2))</f>
        <v/>
      </c>
      <c r="C29" s="134" t="inlineStr">
        <is>
          <t>SFELAM-48406173</t>
        </is>
      </c>
      <c r="D29" s="5">
        <f>IF($I2="","",INDEX(Productos!$B:$B,$I2))</f>
        <v/>
      </c>
      <c r="E29" s="5">
        <f>IF($I2="","",INDEX(Productos!$H:$H,$I2))</f>
        <v/>
      </c>
      <c r="F29" s="5">
        <f>IF($I2="","",INDEX(Productos!$I:$I,$I2))</f>
        <v/>
      </c>
      <c r="G29" s="135" t="n">
        <v>-1</v>
      </c>
      <c r="H29" s="5">
        <f>IF($I2="","",INDEX(Productos!$AG:$AG,$I2))</f>
        <v/>
      </c>
      <c r="I29" s="136">
        <f>LET(_xlpm.r,Productos!$E$2:$E$2509,_xlpm.m,IFERROR(_xlfn.XMATCH(C29,_xlpm.r),IFERROR(_xlfn.XMATCH(VALUE(C29),_xlpm.r),0)),IF(_xlpm.m=0,"",_xlpm.m+1))</f>
        <v/>
      </c>
      <c r="J29" s="137" t="inlineStr">
        <is>
          <t>NetSuite</t>
        </is>
      </c>
    </row>
    <row r="30">
      <c r="A30" s="5" t="inlineStr">
        <is>
          <t>B25 CEDIS</t>
        </is>
      </c>
      <c r="B30" s="5">
        <f>IF($I2="","",INDEX(Productos!$A:$A,$I2))</f>
        <v/>
      </c>
      <c r="C30" s="134" t="inlineStr">
        <is>
          <t>SFGRFN-9142DU70</t>
        </is>
      </c>
      <c r="D30" s="5">
        <f>IF($I2="","",INDEX(Productos!$B:$B,$I2))</f>
        <v/>
      </c>
      <c r="E30" s="5">
        <f>IF($I2="","",INDEX(Productos!$H:$H,$I2))</f>
        <v/>
      </c>
      <c r="F30" s="5">
        <f>IF($I2="","",INDEX(Productos!$I:$I,$I2))</f>
        <v/>
      </c>
      <c r="G30" s="135" t="n">
        <v>-1</v>
      </c>
      <c r="H30" s="5">
        <f>IF($I2="","",INDEX(Productos!$AG:$AG,$I2))</f>
        <v/>
      </c>
      <c r="I30" s="136">
        <f>LET(_xlpm.r,Productos!$E$2:$E$2509,_xlpm.m,IFERROR(_xlfn.XMATCH(C30,_xlpm.r),IFERROR(_xlfn.XMATCH(VALUE(C30),_xlpm.r),0)),IF(_xlpm.m=0,"",_xlpm.m+1))</f>
        <v/>
      </c>
      <c r="J30" s="137" t="inlineStr">
        <is>
          <t>NetSuite</t>
        </is>
      </c>
    </row>
    <row r="31">
      <c r="A31" s="5" t="inlineStr">
        <is>
          <t>B25 CEDIS</t>
        </is>
      </c>
      <c r="B31" s="5">
        <f>IF($I2="","",INDEX(Productos!$A:$A,$I2))</f>
        <v/>
      </c>
      <c r="C31" s="134" t="inlineStr">
        <is>
          <t>SFGRFN-9142DU71</t>
        </is>
      </c>
      <c r="D31" s="5">
        <f>IF($I2="","",INDEX(Productos!$B:$B,$I2))</f>
        <v/>
      </c>
      <c r="E31" s="5">
        <f>IF($I2="","",INDEX(Productos!$H:$H,$I2))</f>
        <v/>
      </c>
      <c r="F31" s="5">
        <f>IF($I2="","",INDEX(Productos!$I:$I,$I2))</f>
        <v/>
      </c>
      <c r="G31" s="135" t="n">
        <v>-1</v>
      </c>
      <c r="H31" s="5">
        <f>IF($I2="","",INDEX(Productos!$AG:$AG,$I2))</f>
        <v/>
      </c>
      <c r="I31" s="136">
        <f>LET(_xlpm.r,Productos!$E$2:$E$2509,_xlpm.m,IFERROR(_xlfn.XMATCH(C31,_xlpm.r),IFERROR(_xlfn.XMATCH(VALUE(C31),_xlpm.r),0)),IF(_xlpm.m=0,"",_xlpm.m+1))</f>
        <v/>
      </c>
      <c r="J31" s="137" t="inlineStr">
        <is>
          <t>NetSuite</t>
        </is>
      </c>
    </row>
    <row r="32">
      <c r="A32" s="5" t="inlineStr">
        <is>
          <t>B25 CEDIS</t>
        </is>
      </c>
      <c r="B32" s="5">
        <f>IF($I2="","",INDEX(Productos!$A:$A,$I2))</f>
        <v/>
      </c>
      <c r="C32" s="134" t="inlineStr">
        <is>
          <t>SFGRFN-9142DU72</t>
        </is>
      </c>
      <c r="D32" s="5">
        <f>IF($I2="","",INDEX(Productos!$B:$B,$I2))</f>
        <v/>
      </c>
      <c r="E32" s="5">
        <f>IF($I2="","",INDEX(Productos!$H:$H,$I2))</f>
        <v/>
      </c>
      <c r="F32" s="5">
        <f>IF($I2="","",INDEX(Productos!$I:$I,$I2))</f>
        <v/>
      </c>
      <c r="G32" s="135" t="n">
        <v>-1</v>
      </c>
      <c r="H32" s="5">
        <f>IF($I2="","",INDEX(Productos!$AG:$AG,$I2))</f>
        <v/>
      </c>
      <c r="I32" s="136">
        <f>LET(_xlpm.r,Productos!$E$2:$E$2509,_xlpm.m,IFERROR(_xlfn.XMATCH(C32,_xlpm.r),IFERROR(_xlfn.XMATCH(VALUE(C32),_xlpm.r),0)),IF(_xlpm.m=0,"",_xlpm.m+1))</f>
        <v/>
      </c>
      <c r="J32" s="137" t="inlineStr">
        <is>
          <t>NetSuite</t>
        </is>
      </c>
    </row>
    <row r="33">
      <c r="A33" s="5" t="inlineStr">
        <is>
          <t>B25 CEDIS</t>
        </is>
      </c>
      <c r="B33" s="5">
        <f>IF($I2="","",INDEX(Productos!$A:$A,$I2))</f>
        <v/>
      </c>
      <c r="C33" s="134" t="inlineStr">
        <is>
          <t>SFGRFN-9142DU73</t>
        </is>
      </c>
      <c r="D33" s="5">
        <f>IF($I2="","",INDEX(Productos!$B:$B,$I2))</f>
        <v/>
      </c>
      <c r="E33" s="5">
        <f>IF($I2="","",INDEX(Productos!$H:$H,$I2))</f>
        <v/>
      </c>
      <c r="F33" s="5">
        <f>IF($I2="","",INDEX(Productos!$I:$I,$I2))</f>
        <v/>
      </c>
      <c r="G33" s="135" t="n">
        <v>-1</v>
      </c>
      <c r="H33" s="5">
        <f>IF($I2="","",INDEX(Productos!$AG:$AG,$I2))</f>
        <v/>
      </c>
      <c r="I33" s="136">
        <f>LET(_xlpm.r,Productos!$E$2:$E$2509,_xlpm.m,IFERROR(_xlfn.XMATCH(C33,_xlpm.r),IFERROR(_xlfn.XMATCH(VALUE(C33),_xlpm.r),0)),IF(_xlpm.m=0,"",_xlpm.m+1))</f>
        <v/>
      </c>
      <c r="J33" s="137" t="inlineStr">
        <is>
          <t>NetSuite</t>
        </is>
      </c>
    </row>
    <row r="34">
      <c r="A34" s="5" t="inlineStr">
        <is>
          <t>B25 CEDIS</t>
        </is>
      </c>
      <c r="B34" s="5">
        <f>IF($I2="","",INDEX(Productos!$A:$A,$I2))</f>
        <v/>
      </c>
      <c r="C34" s="134" t="inlineStr">
        <is>
          <t>SFGUSS-50400766</t>
        </is>
      </c>
      <c r="D34" s="5">
        <f>IF($I2="","",INDEX(Productos!$B:$B,$I2))</f>
        <v/>
      </c>
      <c r="E34" s="5">
        <f>IF($I2="","",INDEX(Productos!$H:$H,$I2))</f>
        <v/>
      </c>
      <c r="F34" s="5">
        <f>IF($I2="","",INDEX(Productos!$I:$I,$I2))</f>
        <v/>
      </c>
      <c r="G34" s="135" t="n">
        <v>-1</v>
      </c>
      <c r="H34" s="5">
        <f>IF($I2="","",INDEX(Productos!$AG:$AG,$I2))</f>
        <v/>
      </c>
      <c r="I34" s="136">
        <f>LET(_xlpm.r,Productos!$E$2:$E$2509,_xlpm.m,IFERROR(_xlfn.XMATCH(C34,_xlpm.r),IFERROR(_xlfn.XMATCH(VALUE(C34),_xlpm.r),0)),IF(_xlpm.m=0,"",_xlpm.m+1))</f>
        <v/>
      </c>
      <c r="J34" s="137" t="inlineStr">
        <is>
          <t>NetSuite</t>
        </is>
      </c>
    </row>
    <row r="35">
      <c r="A35" s="5" t="inlineStr">
        <is>
          <t>B25 CEDIS</t>
        </is>
      </c>
      <c r="B35" s="5">
        <f>IF($I2="","",INDEX(Productos!$A:$A,$I2))</f>
        <v/>
      </c>
      <c r="C35" s="134" t="inlineStr">
        <is>
          <t>SFGUSS-50400767</t>
        </is>
      </c>
      <c r="D35" s="5">
        <f>IF($I2="","",INDEX(Productos!$B:$B,$I2))</f>
        <v/>
      </c>
      <c r="E35" s="5">
        <f>IF($I2="","",INDEX(Productos!$H:$H,$I2))</f>
        <v/>
      </c>
      <c r="F35" s="5">
        <f>IF($I2="","",INDEX(Productos!$I:$I,$I2))</f>
        <v/>
      </c>
      <c r="G35" s="135" t="n">
        <v>-1</v>
      </c>
      <c r="H35" s="5">
        <f>IF($I2="","",INDEX(Productos!$AG:$AG,$I2))</f>
        <v/>
      </c>
      <c r="I35" s="136">
        <f>LET(_xlpm.r,Productos!$E$2:$E$2509,_xlpm.m,IFERROR(_xlfn.XMATCH(C35,_xlpm.r),IFERROR(_xlfn.XMATCH(VALUE(C35),_xlpm.r),0)),IF(_xlpm.m=0,"",_xlpm.m+1))</f>
        <v/>
      </c>
      <c r="J35" s="137" t="inlineStr">
        <is>
          <t>NetSuite</t>
        </is>
      </c>
    </row>
    <row r="36">
      <c r="A36" s="5" t="inlineStr">
        <is>
          <t>B25 CEDIS</t>
        </is>
      </c>
      <c r="B36" s="5">
        <f>IF($I2="","",INDEX(Productos!$A:$A,$I2))</f>
        <v/>
      </c>
      <c r="C36" s="134" t="inlineStr">
        <is>
          <t>SFGUSS-50400770</t>
        </is>
      </c>
      <c r="D36" s="5">
        <f>IF($I2="","",INDEX(Productos!$B:$B,$I2))</f>
        <v/>
      </c>
      <c r="E36" s="5">
        <f>IF($I2="","",INDEX(Productos!$H:$H,$I2))</f>
        <v/>
      </c>
      <c r="F36" s="5">
        <f>IF($I2="","",INDEX(Productos!$I:$I,$I2))</f>
        <v/>
      </c>
      <c r="G36" s="135" t="n">
        <v>-1</v>
      </c>
      <c r="H36" s="5">
        <f>IF($I2="","",INDEX(Productos!$AG:$AG,$I2))</f>
        <v/>
      </c>
      <c r="I36" s="136">
        <f>LET(_xlpm.r,Productos!$E$2:$E$2509,_xlpm.m,IFERROR(_xlfn.XMATCH(C36,_xlpm.r),IFERROR(_xlfn.XMATCH(VALUE(C36),_xlpm.r),0)),IF(_xlpm.m=0,"",_xlpm.m+1))</f>
        <v/>
      </c>
      <c r="J36" s="137" t="inlineStr">
        <is>
          <t>NetSuite</t>
        </is>
      </c>
    </row>
    <row r="37">
      <c r="A37" s="5" t="inlineStr">
        <is>
          <t>B25 CEDIS</t>
        </is>
      </c>
      <c r="B37" s="5">
        <f>IF($I2="","",INDEX(Productos!$A:$A,$I2))</f>
        <v/>
      </c>
      <c r="C37" s="134" t="inlineStr">
        <is>
          <t>SFGUSS-50400771</t>
        </is>
      </c>
      <c r="D37" s="5">
        <f>IF($I2="","",INDEX(Productos!$B:$B,$I2))</f>
        <v/>
      </c>
      <c r="E37" s="5">
        <f>IF($I2="","",INDEX(Productos!$H:$H,$I2))</f>
        <v/>
      </c>
      <c r="F37" s="5">
        <f>IF($I2="","",INDEX(Productos!$I:$I,$I2))</f>
        <v/>
      </c>
      <c r="G37" s="135" t="n">
        <v>-1</v>
      </c>
      <c r="H37" s="5">
        <f>IF($I2="","",INDEX(Productos!$AG:$AG,$I2))</f>
        <v/>
      </c>
      <c r="I37" s="136">
        <f>LET(_xlpm.r,Productos!$E$2:$E$2509,_xlpm.m,IFERROR(_xlfn.XMATCH(C37,_xlpm.r),IFERROR(_xlfn.XMATCH(VALUE(C37),_xlpm.r),0)),IF(_xlpm.m=0,"",_xlpm.m+1))</f>
        <v/>
      </c>
      <c r="J37" s="137" t="inlineStr">
        <is>
          <t>NetSuite</t>
        </is>
      </c>
    </row>
    <row r="38">
      <c r="A38" s="5" t="inlineStr">
        <is>
          <t>B25 CEDIS</t>
        </is>
      </c>
      <c r="B38" s="5">
        <f>IF($I2="","",INDEX(Productos!$A:$A,$I2))</f>
        <v/>
      </c>
      <c r="C38" s="134" t="inlineStr">
        <is>
          <t>SFGUSS-50404267</t>
        </is>
      </c>
      <c r="D38" s="5">
        <f>IF($I2="","",INDEX(Productos!$B:$B,$I2))</f>
        <v/>
      </c>
      <c r="E38" s="5">
        <f>IF($I2="","",INDEX(Productos!$H:$H,$I2))</f>
        <v/>
      </c>
      <c r="F38" s="5">
        <f>IF($I2="","",INDEX(Productos!$I:$I,$I2))</f>
        <v/>
      </c>
      <c r="G38" s="135" t="n">
        <v>-1</v>
      </c>
      <c r="H38" s="5">
        <f>IF($I2="","",INDEX(Productos!$AG:$AG,$I2))</f>
        <v/>
      </c>
      <c r="I38" s="136">
        <f>LET(_xlpm.r,Productos!$E$2:$E$2509,_xlpm.m,IFERROR(_xlfn.XMATCH(C38,_xlpm.r),IFERROR(_xlfn.XMATCH(VALUE(C38),_xlpm.r),0)),IF(_xlpm.m=0,"",_xlpm.m+1))</f>
        <v/>
      </c>
      <c r="J38" s="137" t="inlineStr">
        <is>
          <t>NetSuite</t>
        </is>
      </c>
    </row>
    <row r="39">
      <c r="A39" s="5" t="inlineStr">
        <is>
          <t>B25 CEDIS</t>
        </is>
      </c>
      <c r="B39" s="5">
        <f>IF($I2="","",INDEX(Productos!$A:$A,$I2))</f>
        <v/>
      </c>
      <c r="C39" s="134" t="inlineStr">
        <is>
          <t>SFGUSS-50404270</t>
        </is>
      </c>
      <c r="D39" s="5">
        <f>IF($I2="","",INDEX(Productos!$B:$B,$I2))</f>
        <v/>
      </c>
      <c r="E39" s="5">
        <f>IF($I2="","",INDEX(Productos!$H:$H,$I2))</f>
        <v/>
      </c>
      <c r="F39" s="5">
        <f>IF($I2="","",INDEX(Productos!$I:$I,$I2))</f>
        <v/>
      </c>
      <c r="G39" s="135" t="n">
        <v>-1</v>
      </c>
      <c r="H39" s="5">
        <f>IF($I2="","",INDEX(Productos!$AG:$AG,$I2))</f>
        <v/>
      </c>
      <c r="I39" s="136">
        <f>LET(_xlpm.r,Productos!$E$2:$E$2509,_xlpm.m,IFERROR(_xlfn.XMATCH(C39,_xlpm.r),IFERROR(_xlfn.XMATCH(VALUE(C39),_xlpm.r),0)),IF(_xlpm.m=0,"",_xlpm.m+1))</f>
        <v/>
      </c>
      <c r="J39" s="137" t="inlineStr">
        <is>
          <t>NetSuite</t>
        </is>
      </c>
    </row>
    <row r="40">
      <c r="A40" s="5" t="inlineStr">
        <is>
          <t>B25 CEDIS</t>
        </is>
      </c>
      <c r="B40" s="5">
        <f>IF($I2="","",INDEX(Productos!$A:$A,$I2))</f>
        <v/>
      </c>
      <c r="C40" s="134" t="inlineStr">
        <is>
          <t>SFGUSS-50404271</t>
        </is>
      </c>
      <c r="D40" s="5">
        <f>IF($I2="","",INDEX(Productos!$B:$B,$I2))</f>
        <v/>
      </c>
      <c r="E40" s="5">
        <f>IF($I2="","",INDEX(Productos!$H:$H,$I2))</f>
        <v/>
      </c>
      <c r="F40" s="5">
        <f>IF($I2="","",INDEX(Productos!$I:$I,$I2))</f>
        <v/>
      </c>
      <c r="G40" s="135" t="n">
        <v>-1</v>
      </c>
      <c r="H40" s="5">
        <f>IF($I2="","",INDEX(Productos!$AG:$AG,$I2))</f>
        <v/>
      </c>
      <c r="I40" s="136">
        <f>LET(_xlpm.r,Productos!$E$2:$E$2509,_xlpm.m,IFERROR(_xlfn.XMATCH(C40,_xlpm.r),IFERROR(_xlfn.XMATCH(VALUE(C40),_xlpm.r),0)),IF(_xlpm.m=0,"",_xlpm.m+1))</f>
        <v/>
      </c>
      <c r="J40" s="137" t="inlineStr">
        <is>
          <t>NetSuite</t>
        </is>
      </c>
    </row>
    <row r="41">
      <c r="A41" s="5" t="inlineStr">
        <is>
          <t>B25 CEDIS</t>
        </is>
      </c>
      <c r="B41" s="5">
        <f>IF($I2="","",INDEX(Productos!$A:$A,$I2))</f>
        <v/>
      </c>
      <c r="C41" s="134" t="inlineStr">
        <is>
          <t>SFGUSS-50406167</t>
        </is>
      </c>
      <c r="D41" s="5">
        <f>IF($I2="","",INDEX(Productos!$B:$B,$I2))</f>
        <v/>
      </c>
      <c r="E41" s="5">
        <f>IF($I2="","",INDEX(Productos!$H:$H,$I2))</f>
        <v/>
      </c>
      <c r="F41" s="5">
        <f>IF($I2="","",INDEX(Productos!$I:$I,$I2))</f>
        <v/>
      </c>
      <c r="G41" s="135" t="n">
        <v>-1</v>
      </c>
      <c r="H41" s="5">
        <f>IF($I2="","",INDEX(Productos!$AG:$AG,$I2))</f>
        <v/>
      </c>
      <c r="I41" s="136">
        <f>LET(_xlpm.r,Productos!$E$2:$E$2509,_xlpm.m,IFERROR(_xlfn.XMATCH(C41,_xlpm.r),IFERROR(_xlfn.XMATCH(VALUE(C41),_xlpm.r),0)),IF(_xlpm.m=0,"",_xlpm.m+1))</f>
        <v/>
      </c>
      <c r="J41" s="137" t="inlineStr">
        <is>
          <t>NetSuite</t>
        </is>
      </c>
    </row>
    <row r="42">
      <c r="A42" s="5" t="inlineStr">
        <is>
          <t>B25 CEDIS</t>
        </is>
      </c>
      <c r="B42" s="5">
        <f>IF($I2="","",INDEX(Productos!$A:$A,$I2))</f>
        <v/>
      </c>
      <c r="C42" s="134" t="inlineStr">
        <is>
          <t>SFGUSS-50406170</t>
        </is>
      </c>
      <c r="D42" s="5">
        <f>IF($I2="","",INDEX(Productos!$B:$B,$I2))</f>
        <v/>
      </c>
      <c r="E42" s="5">
        <f>IF($I2="","",INDEX(Productos!$H:$H,$I2))</f>
        <v/>
      </c>
      <c r="F42" s="5">
        <f>IF($I2="","",INDEX(Productos!$I:$I,$I2))</f>
        <v/>
      </c>
      <c r="G42" s="135" t="n">
        <v>-1</v>
      </c>
      <c r="H42" s="5">
        <f>IF($I2="","",INDEX(Productos!$AG:$AG,$I2))</f>
        <v/>
      </c>
      <c r="I42" s="136">
        <f>LET(_xlpm.r,Productos!$E$2:$E$2509,_xlpm.m,IFERROR(_xlfn.XMATCH(C42,_xlpm.r),IFERROR(_xlfn.XMATCH(VALUE(C42),_xlpm.r),0)),IF(_xlpm.m=0,"",_xlpm.m+1))</f>
        <v/>
      </c>
      <c r="J42" s="137" t="inlineStr">
        <is>
          <t>NetSuite</t>
        </is>
      </c>
    </row>
    <row r="43">
      <c r="A43" s="5" t="inlineStr">
        <is>
          <t>B25 CEDIS</t>
        </is>
      </c>
      <c r="B43" s="5">
        <f>IF($I2="","",INDEX(Productos!$A:$A,$I2))</f>
        <v/>
      </c>
      <c r="C43" s="134" t="inlineStr">
        <is>
          <t>SFGUSS-50406171</t>
        </is>
      </c>
      <c r="D43" s="5">
        <f>IF($I2="","",INDEX(Productos!$B:$B,$I2))</f>
        <v/>
      </c>
      <c r="E43" s="5">
        <f>IF($I2="","",INDEX(Productos!$H:$H,$I2))</f>
        <v/>
      </c>
      <c r="F43" s="5">
        <f>IF($I2="","",INDEX(Productos!$I:$I,$I2))</f>
        <v/>
      </c>
      <c r="G43" s="135" t="n">
        <v>-1</v>
      </c>
      <c r="H43" s="5">
        <f>IF($I2="","",INDEX(Productos!$AG:$AG,$I2))</f>
        <v/>
      </c>
      <c r="I43" s="136">
        <f>LET(_xlpm.r,Productos!$E$2:$E$2509,_xlpm.m,IFERROR(_xlfn.XMATCH(C43,_xlpm.r),IFERROR(_xlfn.XMATCH(VALUE(C43),_xlpm.r),0)),IF(_xlpm.m=0,"",_xlpm.m+1))</f>
        <v/>
      </c>
      <c r="J43" s="137" t="inlineStr">
        <is>
          <t>NetSuite</t>
        </is>
      </c>
    </row>
    <row r="44">
      <c r="A44" s="5" t="inlineStr">
        <is>
          <t>B25 CEDIS</t>
        </is>
      </c>
      <c r="B44" s="5">
        <f>IF($I2="","",INDEX(Productos!$A:$A,$I2))</f>
        <v/>
      </c>
      <c r="C44" s="134" t="inlineStr">
        <is>
          <t>SFMCKN-72420770</t>
        </is>
      </c>
      <c r="D44" s="5">
        <f>IF($I2="","",INDEX(Productos!$B:$B,$I2))</f>
        <v/>
      </c>
      <c r="E44" s="5">
        <f>IF($I2="","",INDEX(Productos!$H:$H,$I2))</f>
        <v/>
      </c>
      <c r="F44" s="5">
        <f>IF($I2="","",INDEX(Productos!$I:$I,$I2))</f>
        <v/>
      </c>
      <c r="G44" s="135" t="n">
        <v>-1</v>
      </c>
      <c r="H44" s="5">
        <f>IF($I2="","",INDEX(Productos!$AG:$AG,$I2))</f>
        <v/>
      </c>
      <c r="I44" s="136">
        <f>LET(_xlpm.r,Productos!$E$2:$E$2509,_xlpm.m,IFERROR(_xlfn.XMATCH(C44,_xlpm.r),IFERROR(_xlfn.XMATCH(VALUE(C44),_xlpm.r),0)),IF(_xlpm.m=0,"",_xlpm.m+1))</f>
        <v/>
      </c>
      <c r="J44" s="137" t="inlineStr">
        <is>
          <t>NetSuite</t>
        </is>
      </c>
    </row>
    <row r="45">
      <c r="A45" s="5" t="inlineStr">
        <is>
          <t>B25 CEDIS</t>
        </is>
      </c>
      <c r="B45" s="5">
        <f>IF($I2="","",INDEX(Productos!$A:$A,$I2))</f>
        <v/>
      </c>
      <c r="C45" s="134" t="inlineStr">
        <is>
          <t>SFMCKN-72420771</t>
        </is>
      </c>
      <c r="D45" s="5">
        <f>IF($I2="","",INDEX(Productos!$B:$B,$I2))</f>
        <v/>
      </c>
      <c r="E45" s="5">
        <f>IF($I2="","",INDEX(Productos!$H:$H,$I2))</f>
        <v/>
      </c>
      <c r="F45" s="5">
        <f>IF($I2="","",INDEX(Productos!$I:$I,$I2))</f>
        <v/>
      </c>
      <c r="G45" s="135" t="n">
        <v>-1</v>
      </c>
      <c r="H45" s="5">
        <f>IF($I2="","",INDEX(Productos!$AG:$AG,$I2))</f>
        <v/>
      </c>
      <c r="I45" s="136">
        <f>LET(_xlpm.r,Productos!$E$2:$E$2509,_xlpm.m,IFERROR(_xlfn.XMATCH(C45,_xlpm.r),IFERROR(_xlfn.XMATCH(VALUE(C45),_xlpm.r),0)),IF(_xlpm.m=0,"",_xlpm.m+1))</f>
        <v/>
      </c>
      <c r="J45" s="137" t="inlineStr">
        <is>
          <t>NetSuite</t>
        </is>
      </c>
    </row>
    <row r="46">
      <c r="A46" s="5" t="inlineStr">
        <is>
          <t>B25 CEDIS</t>
        </is>
      </c>
      <c r="B46" s="5">
        <f>IF($I2="","",INDEX(Productos!$A:$A,$I2))</f>
        <v/>
      </c>
      <c r="C46" s="134" t="inlineStr">
        <is>
          <t>SFMCKN-72420772</t>
        </is>
      </c>
      <c r="D46" s="5">
        <f>IF($I2="","",INDEX(Productos!$B:$B,$I2))</f>
        <v/>
      </c>
      <c r="E46" s="5">
        <f>IF($I2="","",INDEX(Productos!$H:$H,$I2))</f>
        <v/>
      </c>
      <c r="F46" s="5">
        <f>IF($I2="","",INDEX(Productos!$I:$I,$I2))</f>
        <v/>
      </c>
      <c r="G46" s="135" t="n">
        <v>-1</v>
      </c>
      <c r="H46" s="5">
        <f>IF($I2="","",INDEX(Productos!$AG:$AG,$I2))</f>
        <v/>
      </c>
      <c r="I46" s="136">
        <f>LET(_xlpm.r,Productos!$E$2:$E$2509,_xlpm.m,IFERROR(_xlfn.XMATCH(C46,_xlpm.r),IFERROR(_xlfn.XMATCH(VALUE(C46),_xlpm.r),0)),IF(_xlpm.m=0,"",_xlpm.m+1))</f>
        <v/>
      </c>
      <c r="J46" s="137" t="inlineStr">
        <is>
          <t>NetSuite</t>
        </is>
      </c>
    </row>
    <row r="47">
      <c r="A47" s="5" t="inlineStr">
        <is>
          <t>B25 CEDIS</t>
        </is>
      </c>
      <c r="B47" s="5">
        <f>IF($I2="","",INDEX(Productos!$A:$A,$I2))</f>
        <v/>
      </c>
      <c r="C47" s="134" t="inlineStr">
        <is>
          <t>SFMCKN-72420773</t>
        </is>
      </c>
      <c r="D47" s="5">
        <f>IF($I2="","",INDEX(Productos!$B:$B,$I2))</f>
        <v/>
      </c>
      <c r="E47" s="5">
        <f>IF($I2="","",INDEX(Productos!$H:$H,$I2))</f>
        <v/>
      </c>
      <c r="F47" s="5">
        <f>IF($I2="","",INDEX(Productos!$I:$I,$I2))</f>
        <v/>
      </c>
      <c r="G47" s="135" t="n">
        <v>-1</v>
      </c>
      <c r="H47" s="5">
        <f>IF($I2="","",INDEX(Productos!$AG:$AG,$I2))</f>
        <v/>
      </c>
      <c r="I47" s="136">
        <f>LET(_xlpm.r,Productos!$E$2:$E$2509,_xlpm.m,IFERROR(_xlfn.XMATCH(C47,_xlpm.r),IFERROR(_xlfn.XMATCH(VALUE(C47),_xlpm.r),0)),IF(_xlpm.m=0,"",_xlpm.m+1))</f>
        <v/>
      </c>
      <c r="J47" s="137" t="inlineStr">
        <is>
          <t>NetSuite</t>
        </is>
      </c>
    </row>
    <row r="48">
      <c r="A48" s="5" t="inlineStr">
        <is>
          <t>B25 CEDIS</t>
        </is>
      </c>
      <c r="B48" s="5">
        <f>IF($I2="","",INDEX(Productos!$A:$A,$I2))</f>
        <v/>
      </c>
      <c r="C48" s="134" t="inlineStr">
        <is>
          <t>SFMEDL-72420766</t>
        </is>
      </c>
      <c r="D48" s="5">
        <f>IF($I2="","",INDEX(Productos!$B:$B,$I2))</f>
        <v/>
      </c>
      <c r="E48" s="5">
        <f>IF($I2="","",INDEX(Productos!$H:$H,$I2))</f>
        <v/>
      </c>
      <c r="F48" s="5">
        <f>IF($I2="","",INDEX(Productos!$I:$I,$I2))</f>
        <v/>
      </c>
      <c r="G48" s="135" t="n">
        <v>-1</v>
      </c>
      <c r="H48" s="5">
        <f>IF($I2="","",INDEX(Productos!$AG:$AG,$I2))</f>
        <v/>
      </c>
      <c r="I48" s="136">
        <f>LET(_xlpm.r,Productos!$E$2:$E$2509,_xlpm.m,IFERROR(_xlfn.XMATCH(C48,_xlpm.r),IFERROR(_xlfn.XMATCH(VALUE(C48),_xlpm.r),0)),IF(_xlpm.m=0,"",_xlpm.m+1))</f>
        <v/>
      </c>
      <c r="J48" s="137" t="inlineStr">
        <is>
          <t>NetSuite</t>
        </is>
      </c>
    </row>
    <row r="49">
      <c r="A49" s="5" t="inlineStr">
        <is>
          <t>B25 CEDIS</t>
        </is>
      </c>
      <c r="B49" s="5">
        <f>IF($I2="","",INDEX(Productos!$A:$A,$I2))</f>
        <v/>
      </c>
      <c r="C49" s="134" t="inlineStr">
        <is>
          <t>SFO250B05260770</t>
        </is>
      </c>
      <c r="D49" s="5">
        <f>IF($I2="","",INDEX(Productos!$B:$B,$I2))</f>
        <v/>
      </c>
      <c r="E49" s="5">
        <f>IF($I2="","",INDEX(Productos!$H:$H,$I2))</f>
        <v/>
      </c>
      <c r="F49" s="5">
        <f>IF($I2="","",INDEX(Productos!$I:$I,$I2))</f>
        <v/>
      </c>
      <c r="G49" s="135" t="n">
        <v>-1</v>
      </c>
      <c r="H49" s="5">
        <f>IF($I2="","",INDEX(Productos!$AG:$AG,$I2))</f>
        <v/>
      </c>
      <c r="I49" s="136">
        <f>LET(_xlpm.r,Productos!$E$2:$E$2509,_xlpm.m,IFERROR(_xlfn.XMATCH(C49,_xlpm.r),IFERROR(_xlfn.XMATCH(VALUE(C49),_xlpm.r),0)),IF(_xlpm.m=0,"",_xlpm.m+1))</f>
        <v/>
      </c>
      <c r="J49" s="137" t="inlineStr">
        <is>
          <t>NetSuite</t>
        </is>
      </c>
    </row>
    <row r="50">
      <c r="A50" s="5" t="inlineStr">
        <is>
          <t>B25 CEDIS</t>
        </is>
      </c>
      <c r="B50" s="5">
        <f>IF($I2="","",INDEX(Productos!$A:$A,$I2))</f>
        <v/>
      </c>
      <c r="C50" s="134" t="inlineStr">
        <is>
          <t>SFO250B05260772</t>
        </is>
      </c>
      <c r="D50" s="5">
        <f>IF($I2="","",INDEX(Productos!$B:$B,$I2))</f>
        <v/>
      </c>
      <c r="E50" s="5">
        <f>IF($I2="","",INDEX(Productos!$H:$H,$I2))</f>
        <v/>
      </c>
      <c r="F50" s="5">
        <f>IF($I2="","",INDEX(Productos!$I:$I,$I2))</f>
        <v/>
      </c>
      <c r="G50" s="135" t="n">
        <v>-1</v>
      </c>
      <c r="H50" s="5">
        <f>IF($I2="","",INDEX(Productos!$AG:$AG,$I2))</f>
        <v/>
      </c>
      <c r="I50" s="136">
        <f>LET(_xlpm.r,Productos!$E$2:$E$2509,_xlpm.m,IFERROR(_xlfn.XMATCH(C50,_xlpm.r),IFERROR(_xlfn.XMATCH(VALUE(C50),_xlpm.r),0)),IF(_xlpm.m=0,"",_xlpm.m+1))</f>
        <v/>
      </c>
      <c r="J50" s="137" t="inlineStr">
        <is>
          <t>NetSuite</t>
        </is>
      </c>
    </row>
    <row r="51">
      <c r="A51" s="5" t="inlineStr">
        <is>
          <t>B25 CEDIS</t>
        </is>
      </c>
      <c r="B51" s="5">
        <f>IF($I2="","",INDEX(Productos!$A:$A,$I2))</f>
        <v/>
      </c>
      <c r="C51" s="134" t="inlineStr">
        <is>
          <t>SFO250B05266167</t>
        </is>
      </c>
      <c r="D51" s="5">
        <f>IF($I2="","",INDEX(Productos!$B:$B,$I2))</f>
        <v/>
      </c>
      <c r="E51" s="5">
        <f>IF($I2="","",INDEX(Productos!$H:$H,$I2))</f>
        <v/>
      </c>
      <c r="F51" s="5">
        <f>IF($I2="","",INDEX(Productos!$I:$I,$I2))</f>
        <v/>
      </c>
      <c r="G51" s="135" t="n">
        <v>-1</v>
      </c>
      <c r="H51" s="5">
        <f>IF($I2="","",INDEX(Productos!$AG:$AG,$I2))</f>
        <v/>
      </c>
      <c r="I51" s="136">
        <f>LET(_xlpm.r,Productos!$E$2:$E$2509,_xlpm.m,IFERROR(_xlfn.XMATCH(C51,_xlpm.r),IFERROR(_xlfn.XMATCH(VALUE(C51),_xlpm.r),0)),IF(_xlpm.m=0,"",_xlpm.m+1))</f>
        <v/>
      </c>
      <c r="J51" s="137" t="inlineStr">
        <is>
          <t>NetSuite</t>
        </is>
      </c>
    </row>
    <row r="52">
      <c r="A52" s="5" t="inlineStr">
        <is>
          <t>B25 CEDIS</t>
        </is>
      </c>
      <c r="B52" s="5">
        <f>IF($I2="","",INDEX(Productos!$A:$A,$I2))</f>
        <v/>
      </c>
      <c r="C52" s="134" t="inlineStr">
        <is>
          <t>SFO250B05266170</t>
        </is>
      </c>
      <c r="D52" s="5">
        <f>IF($I2="","",INDEX(Productos!$B:$B,$I2))</f>
        <v/>
      </c>
      <c r="E52" s="5">
        <f>IF($I2="","",INDEX(Productos!$H:$H,$I2))</f>
        <v/>
      </c>
      <c r="F52" s="5">
        <f>IF($I2="","",INDEX(Productos!$I:$I,$I2))</f>
        <v/>
      </c>
      <c r="G52" s="135" t="n">
        <v>-1</v>
      </c>
      <c r="H52" s="5">
        <f>IF($I2="","",INDEX(Productos!$AG:$AG,$I2))</f>
        <v/>
      </c>
      <c r="I52" s="136">
        <f>LET(_xlpm.r,Productos!$E$2:$E$2509,_xlpm.m,IFERROR(_xlfn.XMATCH(C52,_xlpm.r),IFERROR(_xlfn.XMATCH(VALUE(C52),_xlpm.r),0)),IF(_xlpm.m=0,"",_xlpm.m+1))</f>
        <v/>
      </c>
      <c r="J52" s="137" t="inlineStr">
        <is>
          <t>NetSuite</t>
        </is>
      </c>
    </row>
    <row r="53">
      <c r="A53" s="5" t="inlineStr">
        <is>
          <t>B25 CEDIS</t>
        </is>
      </c>
      <c r="B53" s="5">
        <f>IF($I2="","",INDEX(Productos!$A:$A,$I2))</f>
        <v/>
      </c>
      <c r="C53" s="134" t="inlineStr">
        <is>
          <t>SFO250B05266171</t>
        </is>
      </c>
      <c r="D53" s="5">
        <f>IF($I2="","",INDEX(Productos!$B:$B,$I2))</f>
        <v/>
      </c>
      <c r="E53" s="5">
        <f>IF($I2="","",INDEX(Productos!$H:$H,$I2))</f>
        <v/>
      </c>
      <c r="F53" s="5">
        <f>IF($I2="","",INDEX(Productos!$I:$I,$I2))</f>
        <v/>
      </c>
      <c r="G53" s="135" t="n">
        <v>-1</v>
      </c>
      <c r="H53" s="5">
        <f>IF($I2="","",INDEX(Productos!$AG:$AG,$I2))</f>
        <v/>
      </c>
      <c r="I53" s="136">
        <f>LET(_xlpm.r,Productos!$E$2:$E$2509,_xlpm.m,IFERROR(_xlfn.XMATCH(C53,_xlpm.r),IFERROR(_xlfn.XMATCH(VALUE(C53),_xlpm.r),0)),IF(_xlpm.m=0,"",_xlpm.m+1))</f>
        <v/>
      </c>
      <c r="J53" s="137" t="inlineStr">
        <is>
          <t>NetSuite</t>
        </is>
      </c>
    </row>
    <row r="54">
      <c r="A54" s="5" t="inlineStr">
        <is>
          <t>B25 CEDIS</t>
        </is>
      </c>
      <c r="B54" s="5">
        <f>IF($I2="","",INDEX(Productos!$A:$A,$I2))</f>
        <v/>
      </c>
      <c r="C54" s="134" t="inlineStr">
        <is>
          <t>SFO250B05266172</t>
        </is>
      </c>
      <c r="D54" s="5">
        <f>IF($I2="","",INDEX(Productos!$B:$B,$I2))</f>
        <v/>
      </c>
      <c r="E54" s="5">
        <f>IF($I2="","",INDEX(Productos!$H:$H,$I2))</f>
        <v/>
      </c>
      <c r="F54" s="5">
        <f>IF($I2="","",INDEX(Productos!$I:$I,$I2))</f>
        <v/>
      </c>
      <c r="G54" s="135" t="n">
        <v>-1</v>
      </c>
      <c r="H54" s="5">
        <f>IF($I2="","",INDEX(Productos!$AG:$AG,$I2))</f>
        <v/>
      </c>
      <c r="I54" s="136">
        <f>LET(_xlpm.r,Productos!$E$2:$E$2509,_xlpm.m,IFERROR(_xlfn.XMATCH(C54,_xlpm.r),IFERROR(_xlfn.XMATCH(VALUE(C54),_xlpm.r),0)),IF(_xlpm.m=0,"",_xlpm.m+1))</f>
        <v/>
      </c>
      <c r="J54" s="137" t="inlineStr">
        <is>
          <t>NetSuite</t>
        </is>
      </c>
    </row>
    <row r="55">
      <c r="A55" s="5" t="inlineStr">
        <is>
          <t>B25 CEDIS</t>
        </is>
      </c>
      <c r="B55" s="5">
        <f>IF($I2="","",INDEX(Productos!$A:$A,$I2))</f>
        <v/>
      </c>
      <c r="C55" s="134" t="inlineStr">
        <is>
          <t>SFO250B05266267</t>
        </is>
      </c>
      <c r="D55" s="5">
        <f>IF($I2="","",INDEX(Productos!$B:$B,$I2))</f>
        <v/>
      </c>
      <c r="E55" s="5">
        <f>IF($I2="","",INDEX(Productos!$H:$H,$I2))</f>
        <v/>
      </c>
      <c r="F55" s="5">
        <f>IF($I2="","",INDEX(Productos!$I:$I,$I2))</f>
        <v/>
      </c>
      <c r="G55" s="135" t="n">
        <v>-1</v>
      </c>
      <c r="H55" s="5">
        <f>IF($I2="","",INDEX(Productos!$AG:$AG,$I2))</f>
        <v/>
      </c>
      <c r="I55" s="136">
        <f>LET(_xlpm.r,Productos!$E$2:$E$2509,_xlpm.m,IFERROR(_xlfn.XMATCH(C55,_xlpm.r),IFERROR(_xlfn.XMATCH(VALUE(C55),_xlpm.r),0)),IF(_xlpm.m=0,"",_xlpm.m+1))</f>
        <v/>
      </c>
      <c r="J55" s="137" t="inlineStr">
        <is>
          <t>NetSuite</t>
        </is>
      </c>
    </row>
    <row r="56">
      <c r="A56" s="5" t="inlineStr">
        <is>
          <t>B25 CEDIS</t>
        </is>
      </c>
      <c r="B56" s="5">
        <f>IF($I2="","",INDEX(Productos!$A:$A,$I2))</f>
        <v/>
      </c>
      <c r="C56" s="134" t="inlineStr">
        <is>
          <t>SFO250B05266270</t>
        </is>
      </c>
      <c r="D56" s="5">
        <f>IF($I2="","",INDEX(Productos!$B:$B,$I2))</f>
        <v/>
      </c>
      <c r="E56" s="5">
        <f>IF($I2="","",INDEX(Productos!$H:$H,$I2))</f>
        <v/>
      </c>
      <c r="F56" s="5">
        <f>IF($I2="","",INDEX(Productos!$I:$I,$I2))</f>
        <v/>
      </c>
      <c r="G56" s="135" t="n">
        <v>-1</v>
      </c>
      <c r="H56" s="5">
        <f>IF($I2="","",INDEX(Productos!$AG:$AG,$I2))</f>
        <v/>
      </c>
      <c r="I56" s="136">
        <f>LET(_xlpm.r,Productos!$E$2:$E$2509,_xlpm.m,IFERROR(_xlfn.XMATCH(C56,_xlpm.r),IFERROR(_xlfn.XMATCH(VALUE(C56),_xlpm.r),0)),IF(_xlpm.m=0,"",_xlpm.m+1))</f>
        <v/>
      </c>
      <c r="J56" s="137" t="inlineStr">
        <is>
          <t>NetSuite</t>
        </is>
      </c>
    </row>
    <row r="57">
      <c r="A57" s="5" t="inlineStr">
        <is>
          <t>B25 CEDIS</t>
        </is>
      </c>
      <c r="B57" s="5">
        <f>IF($I2="","",INDEX(Productos!$A:$A,$I2))</f>
        <v/>
      </c>
      <c r="C57" s="134" t="inlineStr">
        <is>
          <t>SFO250B05266271</t>
        </is>
      </c>
      <c r="D57" s="5">
        <f>IF($I2="","",INDEX(Productos!$B:$B,$I2))</f>
        <v/>
      </c>
      <c r="E57" s="5">
        <f>IF($I2="","",INDEX(Productos!$H:$H,$I2))</f>
        <v/>
      </c>
      <c r="F57" s="5">
        <f>IF($I2="","",INDEX(Productos!$I:$I,$I2))</f>
        <v/>
      </c>
      <c r="G57" s="135" t="n">
        <v>-1</v>
      </c>
      <c r="H57" s="5">
        <f>IF($I2="","",INDEX(Productos!$AG:$AG,$I2))</f>
        <v/>
      </c>
      <c r="I57" s="136">
        <f>LET(_xlpm.r,Productos!$E$2:$E$2509,_xlpm.m,IFERROR(_xlfn.XMATCH(C57,_xlpm.r),IFERROR(_xlfn.XMATCH(VALUE(C57),_xlpm.r),0)),IF(_xlpm.m=0,"",_xlpm.m+1))</f>
        <v/>
      </c>
      <c r="J57" s="137" t="inlineStr">
        <is>
          <t>NetSuite</t>
        </is>
      </c>
    </row>
    <row r="58">
      <c r="A58" s="5" t="inlineStr">
        <is>
          <t>B25 CEDIS</t>
        </is>
      </c>
      <c r="B58" s="5">
        <f>IF($I2="","",INDEX(Productos!$A:$A,$I2))</f>
        <v/>
      </c>
      <c r="C58" s="134" t="inlineStr">
        <is>
          <t>SFO250B05266272</t>
        </is>
      </c>
      <c r="D58" s="5">
        <f>IF($I2="","",INDEX(Productos!$B:$B,$I2))</f>
        <v/>
      </c>
      <c r="E58" s="5">
        <f>IF($I2="","",INDEX(Productos!$H:$H,$I2))</f>
        <v/>
      </c>
      <c r="F58" s="5">
        <f>IF($I2="","",INDEX(Productos!$I:$I,$I2))</f>
        <v/>
      </c>
      <c r="G58" s="135" t="n">
        <v>-1</v>
      </c>
      <c r="H58" s="5">
        <f>IF($I2="","",INDEX(Productos!$AG:$AG,$I2))</f>
        <v/>
      </c>
      <c r="I58" s="136">
        <f>LET(_xlpm.r,Productos!$E$2:$E$2509,_xlpm.m,IFERROR(_xlfn.XMATCH(C58,_xlpm.r),IFERROR(_xlfn.XMATCH(VALUE(C58),_xlpm.r),0)),IF(_xlpm.m=0,"",_xlpm.m+1))</f>
        <v/>
      </c>
      <c r="J58" s="137" t="inlineStr">
        <is>
          <t>NetSuite</t>
        </is>
      </c>
    </row>
    <row r="59">
      <c r="A59" s="5" t="inlineStr">
        <is>
          <t>B25 CEDIS</t>
        </is>
      </c>
      <c r="B59" s="5">
        <f>IF($I2="","",INDEX(Productos!$A:$A,$I2))</f>
        <v/>
      </c>
      <c r="C59" s="134" t="inlineStr">
        <is>
          <t>SFRN30-01402270</t>
        </is>
      </c>
      <c r="D59" s="5">
        <f>IF($I2="","",INDEX(Productos!$B:$B,$I2))</f>
        <v/>
      </c>
      <c r="E59" s="5">
        <f>IF($I2="","",INDEX(Productos!$H:$H,$I2))</f>
        <v/>
      </c>
      <c r="F59" s="5">
        <f>IF($I2="","",INDEX(Productos!$I:$I,$I2))</f>
        <v/>
      </c>
      <c r="G59" s="135" t="n">
        <v>-1</v>
      </c>
      <c r="H59" s="5">
        <f>IF($I2="","",INDEX(Productos!$AG:$AG,$I2))</f>
        <v/>
      </c>
      <c r="I59" s="136">
        <f>LET(_xlpm.r,Productos!$E$2:$E$2509,_xlpm.m,IFERROR(_xlfn.XMATCH(C59,_xlpm.r),IFERROR(_xlfn.XMATCH(VALUE(C59),_xlpm.r),0)),IF(_xlpm.m=0,"",_xlpm.m+1))</f>
        <v/>
      </c>
      <c r="J59" s="137" t="inlineStr">
        <is>
          <t>NetSuite</t>
        </is>
      </c>
    </row>
    <row r="60">
      <c r="A60" s="5" t="inlineStr">
        <is>
          <t>B25 CEDIS</t>
        </is>
      </c>
      <c r="B60" s="5">
        <f>IF($I2="","",INDEX(Productos!$A:$A,$I2))</f>
        <v/>
      </c>
      <c r="C60" s="134" t="inlineStr">
        <is>
          <t>SFRN30-01402271</t>
        </is>
      </c>
      <c r="D60" s="5">
        <f>IF($I2="","",INDEX(Productos!$B:$B,$I2))</f>
        <v/>
      </c>
      <c r="E60" s="5">
        <f>IF($I2="","",INDEX(Productos!$H:$H,$I2))</f>
        <v/>
      </c>
      <c r="F60" s="5">
        <f>IF($I2="","",INDEX(Productos!$I:$I,$I2))</f>
        <v/>
      </c>
      <c r="G60" s="135" t="n">
        <v>-1</v>
      </c>
      <c r="H60" s="5">
        <f>IF($I2="","",INDEX(Productos!$AG:$AG,$I2))</f>
        <v/>
      </c>
      <c r="I60" s="136">
        <f>LET(_xlpm.r,Productos!$E$2:$E$2509,_xlpm.m,IFERROR(_xlfn.XMATCH(C60,_xlpm.r),IFERROR(_xlfn.XMATCH(VALUE(C60),_xlpm.r),0)),IF(_xlpm.m=0,"",_xlpm.m+1))</f>
        <v/>
      </c>
      <c r="J60" s="137" t="inlineStr">
        <is>
          <t>NetSuite</t>
        </is>
      </c>
    </row>
    <row r="61">
      <c r="A61" s="5" t="inlineStr">
        <is>
          <t>B25 CEDIS</t>
        </is>
      </c>
      <c r="B61" s="5">
        <f>IF($I2="","",INDEX(Productos!$A:$A,$I2))</f>
        <v/>
      </c>
      <c r="C61" s="134" t="inlineStr">
        <is>
          <t>SFRN30-01402272</t>
        </is>
      </c>
      <c r="D61" s="5">
        <f>IF($I2="","",INDEX(Productos!$B:$B,$I2))</f>
        <v/>
      </c>
      <c r="E61" s="5">
        <f>IF($I2="","",INDEX(Productos!$H:$H,$I2))</f>
        <v/>
      </c>
      <c r="F61" s="5">
        <f>IF($I2="","",INDEX(Productos!$I:$I,$I2))</f>
        <v/>
      </c>
      <c r="G61" s="135" t="n">
        <v>-1</v>
      </c>
      <c r="H61" s="5">
        <f>IF($I2="","",INDEX(Productos!$AG:$AG,$I2))</f>
        <v/>
      </c>
      <c r="I61" s="136">
        <f>LET(_xlpm.r,Productos!$E$2:$E$2509,_xlpm.m,IFERROR(_xlfn.XMATCH(C61,_xlpm.r),IFERROR(_xlfn.XMATCH(VALUE(C61),_xlpm.r),0)),IF(_xlpm.m=0,"",_xlpm.m+1))</f>
        <v/>
      </c>
      <c r="J61" s="137" t="inlineStr">
        <is>
          <t>NetSuite</t>
        </is>
      </c>
    </row>
    <row r="62">
      <c r="A62" s="5" t="inlineStr">
        <is>
          <t>B25 CEDIS</t>
        </is>
      </c>
      <c r="B62" s="5">
        <f>IF($I2="","",INDEX(Productos!$A:$A,$I2))</f>
        <v/>
      </c>
      <c r="C62" s="134" t="inlineStr">
        <is>
          <t>SFRN30-01402273</t>
        </is>
      </c>
      <c r="D62" s="5">
        <f>IF($I2="","",INDEX(Productos!$B:$B,$I2))</f>
        <v/>
      </c>
      <c r="E62" s="5">
        <f>IF($I2="","",INDEX(Productos!$H:$H,$I2))</f>
        <v/>
      </c>
      <c r="F62" s="5">
        <f>IF($I2="","",INDEX(Productos!$I:$I,$I2))</f>
        <v/>
      </c>
      <c r="G62" s="135" t="n">
        <v>-1</v>
      </c>
      <c r="H62" s="5">
        <f>IF($I2="","",INDEX(Productos!$AG:$AG,$I2))</f>
        <v/>
      </c>
      <c r="I62" s="136">
        <f>LET(_xlpm.r,Productos!$E$2:$E$2509,_xlpm.m,IFERROR(_xlfn.XMATCH(C62,_xlpm.r),IFERROR(_xlfn.XMATCH(VALUE(C62),_xlpm.r),0)),IF(_xlpm.m=0,"",_xlpm.m+1))</f>
        <v/>
      </c>
      <c r="J62" s="137" t="inlineStr">
        <is>
          <t>NetSuite</t>
        </is>
      </c>
    </row>
    <row r="63">
      <c r="A63" s="5" t="inlineStr">
        <is>
          <t>B25 CEDIS</t>
        </is>
      </c>
      <c r="B63" s="5">
        <f>IF($I2="","",INDEX(Productos!$A:$A,$I2))</f>
        <v/>
      </c>
      <c r="C63" s="134" t="inlineStr">
        <is>
          <t>SFS250-75420770</t>
        </is>
      </c>
      <c r="D63" s="5">
        <f>IF($I2="","",INDEX(Productos!$B:$B,$I2))</f>
        <v/>
      </c>
      <c r="E63" s="5">
        <f>IF($I2="","",INDEX(Productos!$H:$H,$I2))</f>
        <v/>
      </c>
      <c r="F63" s="5">
        <f>IF($I2="","",INDEX(Productos!$I:$I,$I2))</f>
        <v/>
      </c>
      <c r="G63" s="135" t="n">
        <v>-1</v>
      </c>
      <c r="H63" s="5">
        <f>IF($I2="","",INDEX(Productos!$AG:$AG,$I2))</f>
        <v/>
      </c>
      <c r="I63" s="136">
        <f>LET(_xlpm.r,Productos!$E$2:$E$2509,_xlpm.m,IFERROR(_xlfn.XMATCH(C63,_xlpm.r),IFERROR(_xlfn.XMATCH(VALUE(C63),_xlpm.r),0)),IF(_xlpm.m=0,"",_xlpm.m+1))</f>
        <v/>
      </c>
      <c r="J63" s="137" t="inlineStr">
        <is>
          <t>NetSuite</t>
        </is>
      </c>
    </row>
    <row r="64">
      <c r="A64" s="5" t="inlineStr">
        <is>
          <t>B25 CEDIS</t>
        </is>
      </c>
      <c r="B64" s="5">
        <f>IF($I2="","",INDEX(Productos!$A:$A,$I2))</f>
        <v/>
      </c>
      <c r="C64" s="134" t="inlineStr">
        <is>
          <t>SFS250-75420771</t>
        </is>
      </c>
      <c r="D64" s="5">
        <f>IF($I2="","",INDEX(Productos!$B:$B,$I2))</f>
        <v/>
      </c>
      <c r="E64" s="5">
        <f>IF($I2="","",INDEX(Productos!$H:$H,$I2))</f>
        <v/>
      </c>
      <c r="F64" s="5">
        <f>IF($I2="","",INDEX(Productos!$I:$I,$I2))</f>
        <v/>
      </c>
      <c r="G64" s="135" t="n">
        <v>-1</v>
      </c>
      <c r="H64" s="5">
        <f>IF($I2="","",INDEX(Productos!$AG:$AG,$I2))</f>
        <v/>
      </c>
      <c r="I64" s="136">
        <f>LET(_xlpm.r,Productos!$E$2:$E$2509,_xlpm.m,IFERROR(_xlfn.XMATCH(C64,_xlpm.r),IFERROR(_xlfn.XMATCH(VALUE(C64),_xlpm.r),0)),IF(_xlpm.m=0,"",_xlpm.m+1))</f>
        <v/>
      </c>
      <c r="J64" s="137" t="inlineStr">
        <is>
          <t>NetSuite</t>
        </is>
      </c>
    </row>
    <row r="65">
      <c r="A65" s="5" t="inlineStr">
        <is>
          <t>B25 CEDIS</t>
        </is>
      </c>
      <c r="B65" s="5">
        <f>IF($I2="","",INDEX(Productos!$A:$A,$I2))</f>
        <v/>
      </c>
      <c r="C65" s="134" t="inlineStr">
        <is>
          <t>SFS250-75420772</t>
        </is>
      </c>
      <c r="D65" s="5">
        <f>IF($I2="","",INDEX(Productos!$B:$B,$I2))</f>
        <v/>
      </c>
      <c r="E65" s="5">
        <f>IF($I2="","",INDEX(Productos!$H:$H,$I2))</f>
        <v/>
      </c>
      <c r="F65" s="5">
        <f>IF($I2="","",INDEX(Productos!$I:$I,$I2))</f>
        <v/>
      </c>
      <c r="G65" s="135" t="n">
        <v>-1</v>
      </c>
      <c r="H65" s="5">
        <f>IF($I2="","",INDEX(Productos!$AG:$AG,$I2))</f>
        <v/>
      </c>
      <c r="I65" s="136">
        <f>LET(_xlpm.r,Productos!$E$2:$E$2509,_xlpm.m,IFERROR(_xlfn.XMATCH(C65,_xlpm.r),IFERROR(_xlfn.XMATCH(VALUE(C65),_xlpm.r),0)),IF(_xlpm.m=0,"",_xlpm.m+1))</f>
        <v/>
      </c>
      <c r="J65" s="137" t="inlineStr">
        <is>
          <t>NetSuite</t>
        </is>
      </c>
    </row>
    <row r="66">
      <c r="A66" s="5" t="inlineStr">
        <is>
          <t>B25 CEDIS</t>
        </is>
      </c>
      <c r="B66" s="5">
        <f>IF($I2="","",INDEX(Productos!$A:$A,$I2))</f>
        <v/>
      </c>
      <c r="C66" s="134" t="inlineStr">
        <is>
          <t>SFS250-75420773</t>
        </is>
      </c>
      <c r="D66" s="5">
        <f>IF($I2="","",INDEX(Productos!$B:$B,$I2))</f>
        <v/>
      </c>
      <c r="E66" s="5">
        <f>IF($I2="","",INDEX(Productos!$H:$H,$I2))</f>
        <v/>
      </c>
      <c r="F66" s="5">
        <f>IF($I2="","",INDEX(Productos!$I:$I,$I2))</f>
        <v/>
      </c>
      <c r="G66" s="135" t="n">
        <v>-1</v>
      </c>
      <c r="H66" s="5">
        <f>IF($I2="","",INDEX(Productos!$AG:$AG,$I2))</f>
        <v/>
      </c>
      <c r="I66" s="136">
        <f>LET(_xlpm.r,Productos!$E$2:$E$2509,_xlpm.m,IFERROR(_xlfn.XMATCH(C66,_xlpm.r),IFERROR(_xlfn.XMATCH(VALUE(C66),_xlpm.r),0)),IF(_xlpm.m=0,"",_xlpm.m+1))</f>
        <v/>
      </c>
      <c r="J66" s="137" t="inlineStr">
        <is>
          <t>NetSuite</t>
        </is>
      </c>
    </row>
    <row r="67">
      <c r="A67" s="5" t="inlineStr">
        <is>
          <t>B25 CEDIS</t>
        </is>
      </c>
      <c r="B67" s="5">
        <f>IF($I2="","",INDEX(Productos!$A:$A,$I2))</f>
        <v/>
      </c>
      <c r="C67" s="134" t="inlineStr">
        <is>
          <t>SFS250-75420774</t>
        </is>
      </c>
      <c r="D67" s="5">
        <f>IF($I2="","",INDEX(Productos!$B:$B,$I2))</f>
        <v/>
      </c>
      <c r="E67" s="5">
        <f>IF($I2="","",INDEX(Productos!$H:$H,$I2))</f>
        <v/>
      </c>
      <c r="F67" s="5">
        <f>IF($I2="","",INDEX(Productos!$I:$I,$I2))</f>
        <v/>
      </c>
      <c r="G67" s="135" t="n">
        <v>-1</v>
      </c>
      <c r="H67" s="5">
        <f>IF($I2="","",INDEX(Productos!$AG:$AG,$I2))</f>
        <v/>
      </c>
      <c r="I67" s="136">
        <f>LET(_xlpm.r,Productos!$E$2:$E$2509,_xlpm.m,IFERROR(_xlfn.XMATCH(C67,_xlpm.r),IFERROR(_xlfn.XMATCH(VALUE(C67),_xlpm.r),0)),IF(_xlpm.m=0,"",_xlpm.m+1))</f>
        <v/>
      </c>
      <c r="J67" s="137" t="inlineStr">
        <is>
          <t>NetSuite</t>
        </is>
      </c>
    </row>
    <row r="68">
      <c r="A68" s="5" t="inlineStr">
        <is>
          <t>B25 CEDIS</t>
        </is>
      </c>
      <c r="B68" s="5">
        <f>IF($I2="","",INDEX(Productos!$A:$A,$I2))</f>
        <v/>
      </c>
      <c r="C68" s="134" t="inlineStr">
        <is>
          <t>SFS250-75426170</t>
        </is>
      </c>
      <c r="D68" s="5">
        <f>IF($I2="","",INDEX(Productos!$B:$B,$I2))</f>
        <v/>
      </c>
      <c r="E68" s="5">
        <f>IF($I2="","",INDEX(Productos!$H:$H,$I2))</f>
        <v/>
      </c>
      <c r="F68" s="5">
        <f>IF($I2="","",INDEX(Productos!$I:$I,$I2))</f>
        <v/>
      </c>
      <c r="G68" s="135" t="n">
        <v>-1</v>
      </c>
      <c r="H68" s="5">
        <f>IF($I2="","",INDEX(Productos!$AG:$AG,$I2))</f>
        <v/>
      </c>
      <c r="I68" s="136">
        <f>LET(_xlpm.r,Productos!$E$2:$E$2509,_xlpm.m,IFERROR(_xlfn.XMATCH(C68,_xlpm.r),IFERROR(_xlfn.XMATCH(VALUE(C68),_xlpm.r),0)),IF(_xlpm.m=0,"",_xlpm.m+1))</f>
        <v/>
      </c>
      <c r="J68" s="137" t="inlineStr">
        <is>
          <t>NetSuite</t>
        </is>
      </c>
    </row>
    <row r="69">
      <c r="A69" s="5" t="inlineStr">
        <is>
          <t>B25 CEDIS</t>
        </is>
      </c>
      <c r="B69" s="5">
        <f>IF($I2="","",INDEX(Productos!$A:$A,$I2))</f>
        <v/>
      </c>
      <c r="C69" s="134" t="inlineStr">
        <is>
          <t>SFS250-75426171</t>
        </is>
      </c>
      <c r="D69" s="5">
        <f>IF($I2="","",INDEX(Productos!$B:$B,$I2))</f>
        <v/>
      </c>
      <c r="E69" s="5">
        <f>IF($I2="","",INDEX(Productos!$H:$H,$I2))</f>
        <v/>
      </c>
      <c r="F69" s="5">
        <f>IF($I2="","",INDEX(Productos!$I:$I,$I2))</f>
        <v/>
      </c>
      <c r="G69" s="135" t="n">
        <v>-1</v>
      </c>
      <c r="H69" s="5">
        <f>IF($I2="","",INDEX(Productos!$AG:$AG,$I2))</f>
        <v/>
      </c>
      <c r="I69" s="136">
        <f>LET(_xlpm.r,Productos!$E$2:$E$2509,_xlpm.m,IFERROR(_xlfn.XMATCH(C69,_xlpm.r),IFERROR(_xlfn.XMATCH(VALUE(C69),_xlpm.r),0)),IF(_xlpm.m=0,"",_xlpm.m+1))</f>
        <v/>
      </c>
      <c r="J69" s="137" t="inlineStr">
        <is>
          <t>NetSuite</t>
        </is>
      </c>
    </row>
    <row r="70">
      <c r="A70" s="5" t="inlineStr">
        <is>
          <t>B25 CEDIS</t>
        </is>
      </c>
      <c r="B70" s="5">
        <f>IF($I2="","",INDEX(Productos!$A:$A,$I2))</f>
        <v/>
      </c>
      <c r="C70" s="134" t="inlineStr">
        <is>
          <t>SFS250-75426172</t>
        </is>
      </c>
      <c r="D70" s="5">
        <f>IF($I2="","",INDEX(Productos!$B:$B,$I2))</f>
        <v/>
      </c>
      <c r="E70" s="5">
        <f>IF($I2="","",INDEX(Productos!$H:$H,$I2))</f>
        <v/>
      </c>
      <c r="F70" s="5">
        <f>IF($I2="","",INDEX(Productos!$I:$I,$I2))</f>
        <v/>
      </c>
      <c r="G70" s="135" t="n">
        <v>-1</v>
      </c>
      <c r="H70" s="5">
        <f>IF($I2="","",INDEX(Productos!$AG:$AG,$I2))</f>
        <v/>
      </c>
      <c r="I70" s="136">
        <f>LET(_xlpm.r,Productos!$E$2:$E$2509,_xlpm.m,IFERROR(_xlfn.XMATCH(C70,_xlpm.r),IFERROR(_xlfn.XMATCH(VALUE(C70),_xlpm.r),0)),IF(_xlpm.m=0,"",_xlpm.m+1))</f>
        <v/>
      </c>
      <c r="J70" s="137" t="inlineStr">
        <is>
          <t>NetSuite</t>
        </is>
      </c>
    </row>
    <row r="71">
      <c r="A71" s="5" t="inlineStr">
        <is>
          <t>B25 CEDIS</t>
        </is>
      </c>
      <c r="B71" s="5">
        <f>IF($I2="","",INDEX(Productos!$A:$A,$I2))</f>
        <v/>
      </c>
      <c r="C71" s="134" t="inlineStr">
        <is>
          <t>SFS250-75426173</t>
        </is>
      </c>
      <c r="D71" s="5">
        <f>IF($I2="","",INDEX(Productos!$B:$B,$I2))</f>
        <v/>
      </c>
      <c r="E71" s="5">
        <f>IF($I2="","",INDEX(Productos!$H:$H,$I2))</f>
        <v/>
      </c>
      <c r="F71" s="5">
        <f>IF($I2="","",INDEX(Productos!$I:$I,$I2))</f>
        <v/>
      </c>
      <c r="G71" s="135" t="n">
        <v>-1</v>
      </c>
      <c r="H71" s="5">
        <f>IF($I2="","",INDEX(Productos!$AG:$AG,$I2))</f>
        <v/>
      </c>
      <c r="I71" s="136">
        <f>LET(_xlpm.r,Productos!$E$2:$E$2509,_xlpm.m,IFERROR(_xlfn.XMATCH(C71,_xlpm.r),IFERROR(_xlfn.XMATCH(VALUE(C71),_xlpm.r),0)),IF(_xlpm.m=0,"",_xlpm.m+1))</f>
        <v/>
      </c>
      <c r="J71" s="137" t="inlineStr">
        <is>
          <t>NetSuite</t>
        </is>
      </c>
    </row>
    <row r="72">
      <c r="A72" s="5" t="inlineStr">
        <is>
          <t>B25 CEDIS</t>
        </is>
      </c>
      <c r="B72" s="5">
        <f>IF($I2="","",INDEX(Productos!$A:$A,$I2))</f>
        <v/>
      </c>
      <c r="C72" s="134" t="inlineStr">
        <is>
          <t>SFS250-7542E570</t>
        </is>
      </c>
      <c r="D72" s="5">
        <f>IF($I2="","",INDEX(Productos!$B:$B,$I2))</f>
        <v/>
      </c>
      <c r="E72" s="5">
        <f>IF($I2="","",INDEX(Productos!$H:$H,$I2))</f>
        <v/>
      </c>
      <c r="F72" s="5">
        <f>IF($I2="","",INDEX(Productos!$I:$I,$I2))</f>
        <v/>
      </c>
      <c r="G72" s="135" t="n">
        <v>-1</v>
      </c>
      <c r="H72" s="5">
        <f>IF($I2="","",INDEX(Productos!$AG:$AG,$I2))</f>
        <v/>
      </c>
      <c r="I72" s="136">
        <f>LET(_xlpm.r,Productos!$E$2:$E$2509,_xlpm.m,IFERROR(_xlfn.XMATCH(C72,_xlpm.r),IFERROR(_xlfn.XMATCH(VALUE(C72),_xlpm.r),0)),IF(_xlpm.m=0,"",_xlpm.m+1))</f>
        <v/>
      </c>
      <c r="J72" s="137" t="inlineStr">
        <is>
          <t>NetSuite</t>
        </is>
      </c>
    </row>
    <row r="73">
      <c r="A73" s="5" t="inlineStr">
        <is>
          <t>B25 CEDIS</t>
        </is>
      </c>
      <c r="B73" s="5">
        <f>IF($I2="","",INDEX(Productos!$A:$A,$I2))</f>
        <v/>
      </c>
      <c r="C73" s="134" t="inlineStr">
        <is>
          <t>SFS250-7542E571</t>
        </is>
      </c>
      <c r="D73" s="5">
        <f>IF($I2="","",INDEX(Productos!$B:$B,$I2))</f>
        <v/>
      </c>
      <c r="E73" s="5">
        <f>IF($I2="","",INDEX(Productos!$H:$H,$I2))</f>
        <v/>
      </c>
      <c r="F73" s="5">
        <f>IF($I2="","",INDEX(Productos!$I:$I,$I2))</f>
        <v/>
      </c>
      <c r="G73" s="135" t="n">
        <v>-1</v>
      </c>
      <c r="H73" s="5">
        <f>IF($I2="","",INDEX(Productos!$AG:$AG,$I2))</f>
        <v/>
      </c>
      <c r="I73" s="136">
        <f>LET(_xlpm.r,Productos!$E$2:$E$2509,_xlpm.m,IFERROR(_xlfn.XMATCH(C73,_xlpm.r),IFERROR(_xlfn.XMATCH(VALUE(C73),_xlpm.r),0)),IF(_xlpm.m=0,"",_xlpm.m+1))</f>
        <v/>
      </c>
      <c r="J73" s="137" t="inlineStr">
        <is>
          <t>NetSuite</t>
        </is>
      </c>
    </row>
    <row r="74">
      <c r="A74" s="5" t="inlineStr">
        <is>
          <t>B25 CEDIS</t>
        </is>
      </c>
      <c r="B74" s="5">
        <f>IF($I2="","",INDEX(Productos!$A:$A,$I2))</f>
        <v/>
      </c>
      <c r="C74" s="134" t="inlineStr">
        <is>
          <t>SFS250-7542E572</t>
        </is>
      </c>
      <c r="D74" s="5">
        <f>IF($I2="","",INDEX(Productos!$B:$B,$I2))</f>
        <v/>
      </c>
      <c r="E74" s="5">
        <f>IF($I2="","",INDEX(Productos!$H:$H,$I2))</f>
        <v/>
      </c>
      <c r="F74" s="5">
        <f>IF($I2="","",INDEX(Productos!$I:$I,$I2))</f>
        <v/>
      </c>
      <c r="G74" s="135" t="n">
        <v>-1</v>
      </c>
      <c r="H74" s="5">
        <f>IF($I2="","",INDEX(Productos!$AG:$AG,$I2))</f>
        <v/>
      </c>
      <c r="I74" s="136">
        <f>LET(_xlpm.r,Productos!$E$2:$E$2509,_xlpm.m,IFERROR(_xlfn.XMATCH(C74,_xlpm.r),IFERROR(_xlfn.XMATCH(VALUE(C74),_xlpm.r),0)),IF(_xlpm.m=0,"",_xlpm.m+1))</f>
        <v/>
      </c>
      <c r="J74" s="137" t="inlineStr">
        <is>
          <t>NetSuite</t>
        </is>
      </c>
    </row>
    <row r="75">
      <c r="A75" s="5" t="inlineStr">
        <is>
          <t>B25 CEDIS</t>
        </is>
      </c>
      <c r="B75" s="5">
        <f>IF($I2="","",INDEX(Productos!$A:$A,$I2))</f>
        <v/>
      </c>
      <c r="C75" s="134" t="inlineStr">
        <is>
          <t>SFTMIXB28506167</t>
        </is>
      </c>
      <c r="D75" s="5">
        <f>IF($I2="","",INDEX(Productos!$B:$B,$I2))</f>
        <v/>
      </c>
      <c r="E75" s="5">
        <f>IF($I2="","",INDEX(Productos!$H:$H,$I2))</f>
        <v/>
      </c>
      <c r="F75" s="5">
        <f>IF($I2="","",INDEX(Productos!$I:$I,$I2))</f>
        <v/>
      </c>
      <c r="G75" s="135" t="n">
        <v>-1</v>
      </c>
      <c r="H75" s="5">
        <f>IF($I2="","",INDEX(Productos!$AG:$AG,$I2))</f>
        <v/>
      </c>
      <c r="I75" s="136">
        <f>LET(_xlpm.r,Productos!$E$2:$E$2509,_xlpm.m,IFERROR(_xlfn.XMATCH(C75,_xlpm.r),IFERROR(_xlfn.XMATCH(VALUE(C75),_xlpm.r),0)),IF(_xlpm.m=0,"",_xlpm.m+1))</f>
        <v/>
      </c>
      <c r="J75" s="137" t="inlineStr">
        <is>
          <t>NetSuite</t>
        </is>
      </c>
    </row>
    <row r="76">
      <c r="A76" s="5" t="inlineStr">
        <is>
          <t>B25 CEDIS</t>
        </is>
      </c>
      <c r="B76" s="5">
        <f>IF($I2="","",INDEX(Productos!$A:$A,$I2))</f>
        <v/>
      </c>
      <c r="C76" s="134" t="inlineStr">
        <is>
          <t>SFTMIXB28506170</t>
        </is>
      </c>
      <c r="D76" s="5">
        <f>IF($I2="","",INDEX(Productos!$B:$B,$I2))</f>
        <v/>
      </c>
      <c r="E76" s="5">
        <f>IF($I2="","",INDEX(Productos!$H:$H,$I2))</f>
        <v/>
      </c>
      <c r="F76" s="5">
        <f>IF($I2="","",INDEX(Productos!$I:$I,$I2))</f>
        <v/>
      </c>
      <c r="G76" s="135" t="n">
        <v>-1</v>
      </c>
      <c r="H76" s="5">
        <f>IF($I2="","",INDEX(Productos!$AG:$AG,$I2))</f>
        <v/>
      </c>
      <c r="I76" s="136">
        <f>LET(_xlpm.r,Productos!$E$2:$E$2509,_xlpm.m,IFERROR(_xlfn.XMATCH(C76,_xlpm.r),IFERROR(_xlfn.XMATCH(VALUE(C76),_xlpm.r),0)),IF(_xlpm.m=0,"",_xlpm.m+1))</f>
        <v/>
      </c>
      <c r="J76" s="137" t="inlineStr">
        <is>
          <t>NetSuite</t>
        </is>
      </c>
    </row>
    <row r="77">
      <c r="A77" s="5" t="inlineStr">
        <is>
          <t>B25 CEDIS</t>
        </is>
      </c>
      <c r="B77" s="5">
        <f>IF($I2="","",INDEX(Productos!$A:$A,$I2))</f>
        <v/>
      </c>
      <c r="C77" s="134" t="inlineStr">
        <is>
          <t>SFTMIXB28506171</t>
        </is>
      </c>
      <c r="D77" s="5">
        <f>IF($I2="","",INDEX(Productos!$B:$B,$I2))</f>
        <v/>
      </c>
      <c r="E77" s="5">
        <f>IF($I2="","",INDEX(Productos!$H:$H,$I2))</f>
        <v/>
      </c>
      <c r="F77" s="5">
        <f>IF($I2="","",INDEX(Productos!$I:$I,$I2))</f>
        <v/>
      </c>
      <c r="G77" s="135" t="n">
        <v>-1</v>
      </c>
      <c r="H77" s="5">
        <f>IF($I2="","",INDEX(Productos!$AG:$AG,$I2))</f>
        <v/>
      </c>
      <c r="I77" s="136">
        <f>LET(_xlpm.r,Productos!$E$2:$E$2509,_xlpm.m,IFERROR(_xlfn.XMATCH(C77,_xlpm.r),IFERROR(_xlfn.XMATCH(VALUE(C77),_xlpm.r),0)),IF(_xlpm.m=0,"",_xlpm.m+1))</f>
        <v/>
      </c>
      <c r="J77" s="137" t="inlineStr">
        <is>
          <t>NetSuite</t>
        </is>
      </c>
    </row>
    <row r="78">
      <c r="A78" s="5" t="inlineStr">
        <is>
          <t>B25 CEDIS</t>
        </is>
      </c>
      <c r="B78" s="5">
        <f>IF($I2="","",INDEX(Productos!$A:$A,$I2))</f>
        <v/>
      </c>
      <c r="C78" s="134" t="inlineStr">
        <is>
          <t>SFTMIXB28506172</t>
        </is>
      </c>
      <c r="D78" s="5">
        <f>IF($I2="","",INDEX(Productos!$B:$B,$I2))</f>
        <v/>
      </c>
      <c r="E78" s="5">
        <f>IF($I2="","",INDEX(Productos!$H:$H,$I2))</f>
        <v/>
      </c>
      <c r="F78" s="5">
        <f>IF($I2="","",INDEX(Productos!$I:$I,$I2))</f>
        <v/>
      </c>
      <c r="G78" s="135" t="n">
        <v>-1</v>
      </c>
      <c r="H78" s="5">
        <f>IF($I2="","",INDEX(Productos!$AG:$AG,$I2))</f>
        <v/>
      </c>
      <c r="I78" s="136">
        <f>LET(_xlpm.r,Productos!$E$2:$E$2509,_xlpm.m,IFERROR(_xlfn.XMATCH(C78,_xlpm.r),IFERROR(_xlfn.XMATCH(VALUE(C78),_xlpm.r),0)),IF(_xlpm.m=0,"",_xlpm.m+1))</f>
        <v/>
      </c>
      <c r="J78" s="137" t="inlineStr">
        <is>
          <t>NetSuite</t>
        </is>
      </c>
    </row>
    <row r="79">
      <c r="A79" s="5" t="inlineStr">
        <is>
          <t>B25 CEDIS</t>
        </is>
      </c>
      <c r="B79" s="5">
        <f>IF($I2="","",INDEX(Productos!$A:$A,$I2))</f>
        <v/>
      </c>
      <c r="C79" s="134" t="inlineStr">
        <is>
          <t>SSEVOR-48408167</t>
        </is>
      </c>
      <c r="D79" s="5">
        <f>IF($I2="","",INDEX(Productos!$B:$B,$I2))</f>
        <v/>
      </c>
      <c r="E79" s="5">
        <f>IF($I2="","",INDEX(Productos!$H:$H,$I2))</f>
        <v/>
      </c>
      <c r="F79" s="5">
        <f>IF($I2="","",INDEX(Productos!$I:$I,$I2))</f>
        <v/>
      </c>
      <c r="G79" s="135" t="n">
        <v>-1</v>
      </c>
      <c r="H79" s="5">
        <f>IF($I2="","",INDEX(Productos!$AG:$AG,$I2))</f>
        <v/>
      </c>
      <c r="I79" s="136">
        <f>LET(_xlpm.r,Productos!$E$2:$E$2509,_xlpm.m,IFERROR(_xlfn.XMATCH(C79,_xlpm.r),IFERROR(_xlfn.XMATCH(VALUE(C79),_xlpm.r),0)),IF(_xlpm.m=0,"",_xlpm.m+1))</f>
        <v/>
      </c>
      <c r="J79" s="137" t="inlineStr">
        <is>
          <t>NetSuite</t>
        </is>
      </c>
    </row>
    <row r="80">
      <c r="A80" s="5" t="inlineStr">
        <is>
          <t>B25 CEDIS</t>
        </is>
      </c>
      <c r="B80" s="5">
        <f>IF($I2="","",INDEX(Productos!$A:$A,$I2))</f>
        <v/>
      </c>
      <c r="C80" s="134" t="inlineStr">
        <is>
          <t>SSEVOR-48408170</t>
        </is>
      </c>
      <c r="D80" s="5">
        <f>IF($I2="","",INDEX(Productos!$B:$B,$I2))</f>
        <v/>
      </c>
      <c r="E80" s="5">
        <f>IF($I2="","",INDEX(Productos!$H:$H,$I2))</f>
        <v/>
      </c>
      <c r="F80" s="5">
        <f>IF($I2="","",INDEX(Productos!$I:$I,$I2))</f>
        <v/>
      </c>
      <c r="G80" s="135" t="n">
        <v>-1</v>
      </c>
      <c r="H80" s="5">
        <f>IF($I2="","",INDEX(Productos!$AG:$AG,$I2))</f>
        <v/>
      </c>
      <c r="I80" s="136">
        <f>LET(_xlpm.r,Productos!$E$2:$E$2509,_xlpm.m,IFERROR(_xlfn.XMATCH(C80,_xlpm.r),IFERROR(_xlfn.XMATCH(VALUE(C80),_xlpm.r),0)),IF(_xlpm.m=0,"",_xlpm.m+1))</f>
        <v/>
      </c>
      <c r="J80" s="137" t="inlineStr">
        <is>
          <t>NetSuite</t>
        </is>
      </c>
    </row>
    <row r="81">
      <c r="A81" s="5" t="inlineStr">
        <is>
          <t>B25 CEDIS</t>
        </is>
      </c>
      <c r="B81" s="5">
        <f>IF($I2="","",INDEX(Productos!$A:$A,$I2))</f>
        <v/>
      </c>
      <c r="C81" s="134" t="inlineStr">
        <is>
          <t>SSEVOR-48408172</t>
        </is>
      </c>
      <c r="D81" s="5">
        <f>IF($I2="","",INDEX(Productos!$B:$B,$I2))</f>
        <v/>
      </c>
      <c r="E81" s="5">
        <f>IF($I2="","",INDEX(Productos!$H:$H,$I2))</f>
        <v/>
      </c>
      <c r="F81" s="5">
        <f>IF($I2="","",INDEX(Productos!$I:$I,$I2))</f>
        <v/>
      </c>
      <c r="G81" s="135" t="n">
        <v>-1</v>
      </c>
      <c r="H81" s="5">
        <f>IF($I2="","",INDEX(Productos!$AG:$AG,$I2))</f>
        <v/>
      </c>
      <c r="I81" s="136">
        <f>LET(_xlpm.r,Productos!$E$2:$E$2509,_xlpm.m,IFERROR(_xlfn.XMATCH(C81,_xlpm.r),IFERROR(_xlfn.XMATCH(VALUE(C81),_xlpm.r),0)),IF(_xlpm.m=0,"",_xlpm.m+1))</f>
        <v/>
      </c>
      <c r="J81" s="137" t="inlineStr">
        <is>
          <t>NetSuite</t>
        </is>
      </c>
    </row>
    <row r="82">
      <c r="A82" s="5" t="inlineStr">
        <is>
          <t>B25 CEDIS</t>
        </is>
      </c>
      <c r="B82" s="5">
        <f>IF($I2="","",INDEX(Productos!$A:$A,$I2))</f>
        <v/>
      </c>
      <c r="C82" s="134" t="inlineStr">
        <is>
          <t>SSEVOR-48408173</t>
        </is>
      </c>
      <c r="D82" s="5">
        <f>IF($I2="","",INDEX(Productos!$B:$B,$I2))</f>
        <v/>
      </c>
      <c r="E82" s="5">
        <f>IF($I2="","",INDEX(Productos!$H:$H,$I2))</f>
        <v/>
      </c>
      <c r="F82" s="5">
        <f>IF($I2="","",INDEX(Productos!$I:$I,$I2))</f>
        <v/>
      </c>
      <c r="G82" s="135" t="n">
        <v>-1</v>
      </c>
      <c r="H82" s="5">
        <f>IF($I2="","",INDEX(Productos!$AG:$AG,$I2))</f>
        <v/>
      </c>
      <c r="I82" s="136">
        <f>LET(_xlpm.r,Productos!$E$2:$E$2509,_xlpm.m,IFERROR(_xlfn.XMATCH(C82,_xlpm.r),IFERROR(_xlfn.XMATCH(VALUE(C82),_xlpm.r),0)),IF(_xlpm.m=0,"",_xlpm.m+1))</f>
        <v/>
      </c>
      <c r="J82" s="137" t="inlineStr">
        <is>
          <t>NetSuite</t>
        </is>
      </c>
    </row>
    <row r="83">
      <c r="A83" s="5" t="inlineStr">
        <is>
          <t>B25 CEDIS</t>
        </is>
      </c>
      <c r="B83" s="5">
        <f>IF($I2="","",INDEX(Productos!$A:$A,$I2))</f>
        <v/>
      </c>
      <c r="C83" s="134" t="inlineStr">
        <is>
          <t>SSGAIN-68428172</t>
        </is>
      </c>
      <c r="D83" s="5">
        <f>IF($I2="","",INDEX(Productos!$B:$B,$I2))</f>
        <v/>
      </c>
      <c r="E83" s="5">
        <f>IF($I2="","",INDEX(Productos!$H:$H,$I2))</f>
        <v/>
      </c>
      <c r="F83" s="5">
        <f>IF($I2="","",INDEX(Productos!$I:$I,$I2))</f>
        <v/>
      </c>
      <c r="G83" s="135" t="n">
        <v>-1</v>
      </c>
      <c r="H83" s="5">
        <f>IF($I2="","",INDEX(Productos!$AG:$AG,$I2))</f>
        <v/>
      </c>
      <c r="I83" s="136">
        <f>LET(_xlpm.r,Productos!$E$2:$E$2509,_xlpm.m,IFERROR(_xlfn.XMATCH(C83,_xlpm.r),IFERROR(_xlfn.XMATCH(VALUE(C83),_xlpm.r),0)),IF(_xlpm.m=0,"",_xlpm.m+1))</f>
        <v/>
      </c>
      <c r="J83" s="137" t="inlineStr">
        <is>
          <t>NetSuite</t>
        </is>
      </c>
    </row>
    <row r="84">
      <c r="A84" s="5" t="inlineStr">
        <is>
          <t>B25 CEDIS</t>
        </is>
      </c>
      <c r="B84" s="5">
        <f>IF($I2="","",INDEX(Productos!$A:$A,$I2))</f>
        <v/>
      </c>
      <c r="C84" s="134" t="inlineStr">
        <is>
          <t>SSGRFN-30428170</t>
        </is>
      </c>
      <c r="D84" s="5">
        <f>IF($I2="","",INDEX(Productos!$B:$B,$I2))</f>
        <v/>
      </c>
      <c r="E84" s="5">
        <f>IF($I2="","",INDEX(Productos!$H:$H,$I2))</f>
        <v/>
      </c>
      <c r="F84" s="5">
        <f>IF($I2="","",INDEX(Productos!$I:$I,$I2))</f>
        <v/>
      </c>
      <c r="G84" s="135" t="n">
        <v>-1</v>
      </c>
      <c r="H84" s="5">
        <f>IF($I2="","",INDEX(Productos!$AG:$AG,$I2))</f>
        <v/>
      </c>
      <c r="I84" s="136">
        <f>LET(_xlpm.r,Productos!$E$2:$E$2509,_xlpm.m,IFERROR(_xlfn.XMATCH(C84,_xlpm.r),IFERROR(_xlfn.XMATCH(VALUE(C84),_xlpm.r),0)),IF(_xlpm.m=0,"",_xlpm.m+1))</f>
        <v/>
      </c>
      <c r="J84" s="137" t="inlineStr">
        <is>
          <t>NetSuite</t>
        </is>
      </c>
    </row>
    <row r="85">
      <c r="A85" s="5" t="inlineStr">
        <is>
          <t>B25 CEDIS</t>
        </is>
      </c>
      <c r="B85" s="5">
        <f>IF($I2="","",INDEX(Productos!$A:$A,$I2))</f>
        <v/>
      </c>
      <c r="C85" s="134" t="inlineStr">
        <is>
          <t>SSGRFN-30428171</t>
        </is>
      </c>
      <c r="D85" s="5">
        <f>IF($I2="","",INDEX(Productos!$B:$B,$I2))</f>
        <v/>
      </c>
      <c r="E85" s="5">
        <f>IF($I2="","",INDEX(Productos!$H:$H,$I2))</f>
        <v/>
      </c>
      <c r="F85" s="5">
        <f>IF($I2="","",INDEX(Productos!$I:$I,$I2))</f>
        <v/>
      </c>
      <c r="G85" s="135" t="n">
        <v>-1</v>
      </c>
      <c r="H85" s="5">
        <f>IF($I2="","",INDEX(Productos!$AG:$AG,$I2))</f>
        <v/>
      </c>
      <c r="I85" s="136">
        <f>LET(_xlpm.r,Productos!$E$2:$E$2509,_xlpm.m,IFERROR(_xlfn.XMATCH(C85,_xlpm.r),IFERROR(_xlfn.XMATCH(VALUE(C85),_xlpm.r),0)),IF(_xlpm.m=0,"",_xlpm.m+1))</f>
        <v/>
      </c>
      <c r="J85" s="137" t="inlineStr">
        <is>
          <t>NetSuite</t>
        </is>
      </c>
    </row>
    <row r="86">
      <c r="A86" s="5" t="inlineStr">
        <is>
          <t>B25 CEDIS</t>
        </is>
      </c>
      <c r="B86" s="5">
        <f>IF($I2="","",INDEX(Productos!$A:$A,$I2))</f>
        <v/>
      </c>
      <c r="C86" s="134" t="inlineStr">
        <is>
          <t>SSGRFN-30428172</t>
        </is>
      </c>
      <c r="D86" s="5">
        <f>IF($I2="","",INDEX(Productos!$B:$B,$I2))</f>
        <v/>
      </c>
      <c r="E86" s="5">
        <f>IF($I2="","",INDEX(Productos!$H:$H,$I2))</f>
        <v/>
      </c>
      <c r="F86" s="5">
        <f>IF($I2="","",INDEX(Productos!$I:$I,$I2))</f>
        <v/>
      </c>
      <c r="G86" s="135" t="n">
        <v>-1</v>
      </c>
      <c r="H86" s="5">
        <f>IF($I2="","",INDEX(Productos!$AG:$AG,$I2))</f>
        <v/>
      </c>
      <c r="I86" s="136">
        <f>LET(_xlpm.r,Productos!$E$2:$E$2509,_xlpm.m,IFERROR(_xlfn.XMATCH(C86,_xlpm.r),IFERROR(_xlfn.XMATCH(VALUE(C86),_xlpm.r),0)),IF(_xlpm.m=0,"",_xlpm.m+1))</f>
        <v/>
      </c>
      <c r="J86" s="137" t="inlineStr">
        <is>
          <t>NetSuite</t>
        </is>
      </c>
    </row>
    <row r="87">
      <c r="A87" s="5" t="inlineStr">
        <is>
          <t>B25 CEDIS</t>
        </is>
      </c>
      <c r="B87" s="5">
        <f>IF($I2="","",INDEX(Productos!$A:$A,$I2))</f>
        <v/>
      </c>
      <c r="C87" s="134" t="inlineStr">
        <is>
          <t>SSGRFN-30428173</t>
        </is>
      </c>
      <c r="D87" s="5">
        <f>IF($I2="","",INDEX(Productos!$B:$B,$I2))</f>
        <v/>
      </c>
      <c r="E87" s="5">
        <f>IF($I2="","",INDEX(Productos!$H:$H,$I2))</f>
        <v/>
      </c>
      <c r="F87" s="5">
        <f>IF($I2="","",INDEX(Productos!$I:$I,$I2))</f>
        <v/>
      </c>
      <c r="G87" s="135" t="n">
        <v>-1</v>
      </c>
      <c r="H87" s="5">
        <f>IF($I2="","",INDEX(Productos!$AG:$AG,$I2))</f>
        <v/>
      </c>
      <c r="I87" s="136">
        <f>LET(_xlpm.r,Productos!$E$2:$E$2509,_xlpm.m,IFERROR(_xlfn.XMATCH(C87,_xlpm.r),IFERROR(_xlfn.XMATCH(VALUE(C87),_xlpm.r),0)),IF(_xlpm.m=0,"",_xlpm.m+1))</f>
        <v/>
      </c>
      <c r="J87" s="137" t="inlineStr">
        <is>
          <t>NetSuite</t>
        </is>
      </c>
    </row>
    <row r="88">
      <c r="A88" s="5" t="inlineStr">
        <is>
          <t>B25 CEDIS</t>
        </is>
      </c>
      <c r="B88" s="5">
        <f>IF($I2="","",INDEX(Productos!$A:$A,$I2))</f>
        <v/>
      </c>
      <c r="C88" s="134" t="inlineStr">
        <is>
          <t>SWMARS-6240D467</t>
        </is>
      </c>
      <c r="D88" s="5">
        <f>IF($I2="","",INDEX(Productos!$B:$B,$I2))</f>
        <v/>
      </c>
      <c r="E88" s="5">
        <f>IF($I2="","",INDEX(Productos!$H:$H,$I2))</f>
        <v/>
      </c>
      <c r="F88" s="5">
        <f>IF($I2="","",INDEX(Productos!$I:$I,$I2))</f>
        <v/>
      </c>
      <c r="G88" s="135" t="n">
        <v>-1</v>
      </c>
      <c r="H88" s="5">
        <f>IF($I2="","",INDEX(Productos!$AG:$AG,$I2))</f>
        <v/>
      </c>
      <c r="I88" s="136">
        <f>LET(_xlpm.r,Productos!$E$2:$E$2509,_xlpm.m,IFERROR(_xlfn.XMATCH(C88,_xlpm.r),IFERROR(_xlfn.XMATCH(VALUE(C88),_xlpm.r),0)),IF(_xlpm.m=0,"",_xlpm.m+1))</f>
        <v/>
      </c>
      <c r="J88" s="137" t="inlineStr">
        <is>
          <t>NetSuite</t>
        </is>
      </c>
    </row>
    <row r="89">
      <c r="A89" s="5" t="inlineStr">
        <is>
          <t>B25 CEDIS</t>
        </is>
      </c>
      <c r="B89" s="5">
        <f>IF($I2="","",INDEX(Productos!$A:$A,$I2))</f>
        <v/>
      </c>
      <c r="C89" s="134" t="inlineStr">
        <is>
          <t>SWMARS-6240D470</t>
        </is>
      </c>
      <c r="D89" s="5">
        <f>IF($I2="","",INDEX(Productos!$B:$B,$I2))</f>
        <v/>
      </c>
      <c r="E89" s="5">
        <f>IF($I2="","",INDEX(Productos!$H:$H,$I2))</f>
        <v/>
      </c>
      <c r="F89" s="5">
        <f>IF($I2="","",INDEX(Productos!$I:$I,$I2))</f>
        <v/>
      </c>
      <c r="G89" s="135" t="n">
        <v>-1</v>
      </c>
      <c r="H89" s="5">
        <f>IF($I2="","",INDEX(Productos!$AG:$AG,$I2))</f>
        <v/>
      </c>
      <c r="I89" s="136">
        <f>LET(_xlpm.r,Productos!$E$2:$E$2509,_xlpm.m,IFERROR(_xlfn.XMATCH(C89,_xlpm.r),IFERROR(_xlfn.XMATCH(VALUE(C89),_xlpm.r),0)),IF(_xlpm.m=0,"",_xlpm.m+1))</f>
        <v/>
      </c>
      <c r="J89" s="137" t="inlineStr">
        <is>
          <t>NetSuite</t>
        </is>
      </c>
    </row>
    <row r="90">
      <c r="A90" s="5" t="inlineStr">
        <is>
          <t>B25 CEDIS</t>
        </is>
      </c>
      <c r="B90" s="5">
        <f>IF($I2="","",INDEX(Productos!$A:$A,$I2))</f>
        <v/>
      </c>
      <c r="C90" s="134" t="inlineStr">
        <is>
          <t>TWBOZE-813085L0</t>
        </is>
      </c>
      <c r="D90" s="5">
        <f>IF($I2="","",INDEX(Productos!$B:$B,$I2))</f>
        <v/>
      </c>
      <c r="E90" s="5">
        <f>IF($I2="","",INDEX(Productos!$H:$H,$I2))</f>
        <v/>
      </c>
      <c r="F90" s="5">
        <f>IF($I2="","",INDEX(Productos!$I:$I,$I2))</f>
        <v/>
      </c>
      <c r="G90" s="135" t="n">
        <v>-1</v>
      </c>
      <c r="H90" s="5">
        <f>IF($I2="","",INDEX(Productos!$AG:$AG,$I2))</f>
        <v/>
      </c>
      <c r="I90" s="136">
        <f>LET(_xlpm.r,Productos!$E$2:$E$2509,_xlpm.m,IFERROR(_xlfn.XMATCH(C90,_xlpm.r),IFERROR(_xlfn.XMATCH(VALUE(C90),_xlpm.r),0)),IF(_xlpm.m=0,"",_xlpm.m+1))</f>
        <v/>
      </c>
      <c r="J90" s="137" t="inlineStr">
        <is>
          <t>NetSuite</t>
        </is>
      </c>
    </row>
    <row r="91">
      <c r="A91" s="5" t="inlineStr">
        <is>
          <t>B25 CEDIS</t>
        </is>
      </c>
      <c r="B91" s="5">
        <f>IF($I2="","",INDEX(Productos!$A:$A,$I2))</f>
        <v/>
      </c>
      <c r="C91" s="134" t="inlineStr">
        <is>
          <t>TWBOZE-813085M0</t>
        </is>
      </c>
      <c r="D91" s="5">
        <f>IF($I2="","",INDEX(Productos!$B:$B,$I2))</f>
        <v/>
      </c>
      <c r="E91" s="5">
        <f>IF($I2="","",INDEX(Productos!$H:$H,$I2))</f>
        <v/>
      </c>
      <c r="F91" s="5">
        <f>IF($I2="","",INDEX(Productos!$I:$I,$I2))</f>
        <v/>
      </c>
      <c r="G91" s="135" t="n">
        <v>-1</v>
      </c>
      <c r="H91" s="5">
        <f>IF($I2="","",INDEX(Productos!$AG:$AG,$I2))</f>
        <v/>
      </c>
      <c r="I91" s="136">
        <f>LET(_xlpm.r,Productos!$E$2:$E$2509,_xlpm.m,IFERROR(_xlfn.XMATCH(C91,_xlpm.r),IFERROR(_xlfn.XMATCH(VALUE(C91),_xlpm.r),0)),IF(_xlpm.m=0,"",_xlpm.m+1))</f>
        <v/>
      </c>
      <c r="J91" s="137" t="inlineStr">
        <is>
          <t>NetSuite</t>
        </is>
      </c>
    </row>
    <row r="92">
      <c r="A92" s="5" t="inlineStr">
        <is>
          <t>B25 CEDIS</t>
        </is>
      </c>
      <c r="B92" s="5">
        <f>IF($I2="","",INDEX(Productos!$A:$A,$I2))</f>
        <v/>
      </c>
      <c r="C92" s="134" t="inlineStr">
        <is>
          <t>TWBOZE-8130C7L0</t>
        </is>
      </c>
      <c r="D92" s="5">
        <f>IF($I2="","",INDEX(Productos!$B:$B,$I2))</f>
        <v/>
      </c>
      <c r="E92" s="5">
        <f>IF($I2="","",INDEX(Productos!$H:$H,$I2))</f>
        <v/>
      </c>
      <c r="F92" s="5">
        <f>IF($I2="","",INDEX(Productos!$I:$I,$I2))</f>
        <v/>
      </c>
      <c r="G92" s="135" t="n">
        <v>-1</v>
      </c>
      <c r="H92" s="5">
        <f>IF($I2="","",INDEX(Productos!$AG:$AG,$I2))</f>
        <v/>
      </c>
      <c r="I92" s="136">
        <f>LET(_xlpm.r,Productos!$E$2:$E$2509,_xlpm.m,IFERROR(_xlfn.XMATCH(C92,_xlpm.r),IFERROR(_xlfn.XMATCH(VALUE(C92),_xlpm.r),0)),IF(_xlpm.m=0,"",_xlpm.m+1))</f>
        <v/>
      </c>
      <c r="J92" s="137" t="inlineStr">
        <is>
          <t>NetSuite</t>
        </is>
      </c>
    </row>
    <row r="93">
      <c r="A93" s="5" t="inlineStr">
        <is>
          <t>B25 CEDIS</t>
        </is>
      </c>
      <c r="B93" s="5">
        <f>IF($I2="","",INDEX(Productos!$A:$A,$I2))</f>
        <v/>
      </c>
      <c r="C93" s="134" t="inlineStr">
        <is>
          <t>TWBOZE-8130C7M0</t>
        </is>
      </c>
      <c r="D93" s="5">
        <f>IF($I2="","",INDEX(Productos!$B:$B,$I2))</f>
        <v/>
      </c>
      <c r="E93" s="5">
        <f>IF($I2="","",INDEX(Productos!$H:$H,$I2))</f>
        <v/>
      </c>
      <c r="F93" s="5">
        <f>IF($I2="","",INDEX(Productos!$I:$I,$I2))</f>
        <v/>
      </c>
      <c r="G93" s="135" t="n">
        <v>-1</v>
      </c>
      <c r="H93" s="5">
        <f>IF($I2="","",INDEX(Productos!$AG:$AG,$I2))</f>
        <v/>
      </c>
      <c r="I93" s="136">
        <f>LET(_xlpm.r,Productos!$E$2:$E$2509,_xlpm.m,IFERROR(_xlfn.XMATCH(C93,_xlpm.r),IFERROR(_xlfn.XMATCH(VALUE(C93),_xlpm.r),0)),IF(_xlpm.m=0,"",_xlpm.m+1))</f>
        <v/>
      </c>
      <c r="J93" s="137" t="inlineStr">
        <is>
          <t>NetSuite</t>
        </is>
      </c>
    </row>
    <row r="94">
      <c r="A94" s="5" t="inlineStr">
        <is>
          <t>B25 CEDIS</t>
        </is>
      </c>
      <c r="B94" s="5">
        <f>IF($I2="","",INDEX(Productos!$A:$A,$I2))</f>
        <v/>
      </c>
      <c r="C94" s="134" t="inlineStr">
        <is>
          <t>TWMDNTB103607L0</t>
        </is>
      </c>
      <c r="D94" s="5">
        <f>IF($I2="","",INDEX(Productos!$B:$B,$I2))</f>
        <v/>
      </c>
      <c r="E94" s="5">
        <f>IF($I2="","",INDEX(Productos!$H:$H,$I2))</f>
        <v/>
      </c>
      <c r="F94" s="5">
        <f>IF($I2="","",INDEX(Productos!$I:$I,$I2))</f>
        <v/>
      </c>
      <c r="G94" s="135" t="n">
        <v>-1</v>
      </c>
      <c r="H94" s="5">
        <f>IF($I2="","",INDEX(Productos!$AG:$AG,$I2))</f>
        <v/>
      </c>
      <c r="I94" s="136">
        <f>LET(_xlpm.r,Productos!$E$2:$E$2509,_xlpm.m,IFERROR(_xlfn.XMATCH(C94,_xlpm.r),IFERROR(_xlfn.XMATCH(VALUE(C94),_xlpm.r),0)),IF(_xlpm.m=0,"",_xlpm.m+1))</f>
        <v/>
      </c>
      <c r="J94" s="137" t="inlineStr">
        <is>
          <t>NetSuite</t>
        </is>
      </c>
    </row>
    <row r="95">
      <c r="A95" s="5" t="inlineStr">
        <is>
          <t>B25 CEDIS</t>
        </is>
      </c>
      <c r="B95" s="5">
        <f>IF($I2="","",INDEX(Productos!$A:$A,$I2))</f>
        <v/>
      </c>
      <c r="C95" s="134" t="inlineStr">
        <is>
          <t>TWMDNTB103607M0</t>
        </is>
      </c>
      <c r="D95" s="5">
        <f>IF($I2="","",INDEX(Productos!$B:$B,$I2))</f>
        <v/>
      </c>
      <c r="E95" s="5">
        <f>IF($I2="","",INDEX(Productos!$H:$H,$I2))</f>
        <v/>
      </c>
      <c r="F95" s="5">
        <f>IF($I2="","",INDEX(Productos!$I:$I,$I2))</f>
        <v/>
      </c>
      <c r="G95" s="135" t="n">
        <v>-1</v>
      </c>
      <c r="H95" s="5">
        <f>IF($I2="","",INDEX(Productos!$AG:$AG,$I2))</f>
        <v/>
      </c>
      <c r="I95" s="136">
        <f>LET(_xlpm.r,Productos!$E$2:$E$2509,_xlpm.m,IFERROR(_xlfn.XMATCH(C95,_xlpm.r),IFERROR(_xlfn.XMATCH(VALUE(C95),_xlpm.r),0)),IF(_xlpm.m=0,"",_xlpm.m+1))</f>
        <v/>
      </c>
      <c r="J95" s="137" t="inlineStr">
        <is>
          <t>NetSuite</t>
        </is>
      </c>
    </row>
    <row r="96">
      <c r="A96" s="5" t="inlineStr">
        <is>
          <t>B25 CEDIS</t>
        </is>
      </c>
      <c r="B96" s="5">
        <f>IF($I2="","",INDEX(Productos!$A:$A,$I2))</f>
        <v/>
      </c>
      <c r="C96" s="134" t="inlineStr">
        <is>
          <t>TWMDNTB103674L0</t>
        </is>
      </c>
      <c r="D96" s="5">
        <f>IF($I2="","",INDEX(Productos!$B:$B,$I2))</f>
        <v/>
      </c>
      <c r="E96" s="5">
        <f>IF($I2="","",INDEX(Productos!$H:$H,$I2))</f>
        <v/>
      </c>
      <c r="F96" s="5">
        <f>IF($I2="","",INDEX(Productos!$I:$I,$I2))</f>
        <v/>
      </c>
      <c r="G96" s="135" t="n">
        <v>-1</v>
      </c>
      <c r="H96" s="5">
        <f>IF($I2="","",INDEX(Productos!$AG:$AG,$I2))</f>
        <v/>
      </c>
      <c r="I96" s="136">
        <f>LET(_xlpm.r,Productos!$E$2:$E$2509,_xlpm.m,IFERROR(_xlfn.XMATCH(C96,_xlpm.r),IFERROR(_xlfn.XMATCH(VALUE(C96),_xlpm.r),0)),IF(_xlpm.m=0,"",_xlpm.m+1))</f>
        <v/>
      </c>
      <c r="J96" s="137" t="inlineStr">
        <is>
          <t>NetSuite</t>
        </is>
      </c>
    </row>
    <row r="97">
      <c r="A97" s="5" t="inlineStr">
        <is>
          <t>B25 CEDIS</t>
        </is>
      </c>
      <c r="B97" s="5">
        <f>IF($I2="","",INDEX(Productos!$A:$A,$I2))</f>
        <v/>
      </c>
      <c r="C97" s="134" t="inlineStr">
        <is>
          <t>TWMDNTB103674M0</t>
        </is>
      </c>
      <c r="D97" s="5">
        <f>IF($I2="","",INDEX(Productos!$B:$B,$I2))</f>
        <v/>
      </c>
      <c r="E97" s="5">
        <f>IF($I2="","",INDEX(Productos!$H:$H,$I2))</f>
        <v/>
      </c>
      <c r="F97" s="5">
        <f>IF($I2="","",INDEX(Productos!$I:$I,$I2))</f>
        <v/>
      </c>
      <c r="G97" s="135" t="n">
        <v>-1</v>
      </c>
      <c r="H97" s="5">
        <f>IF($I2="","",INDEX(Productos!$AG:$AG,$I2))</f>
        <v/>
      </c>
      <c r="I97" s="136">
        <f>LET(_xlpm.r,Productos!$E$2:$E$2509,_xlpm.m,IFERROR(_xlfn.XMATCH(C97,_xlpm.r),IFERROR(_xlfn.XMATCH(VALUE(C97),_xlpm.r),0)),IF(_xlpm.m=0,"",_xlpm.m+1))</f>
        <v/>
      </c>
      <c r="J97" s="137" t="inlineStr">
        <is>
          <t>NetSuite</t>
        </is>
      </c>
    </row>
    <row r="98">
      <c r="A98" s="5" t="inlineStr">
        <is>
          <t>B25 CEDIS</t>
        </is>
      </c>
      <c r="B98" s="5">
        <f>IF($I2="","",INDEX(Productos!$A:$A,$I2))</f>
        <v/>
      </c>
      <c r="C98" s="134" t="inlineStr">
        <is>
          <t>TWMDNTB1036KBL0</t>
        </is>
      </c>
      <c r="D98" s="5">
        <f>IF($I2="","",INDEX(Productos!$B:$B,$I2))</f>
        <v/>
      </c>
      <c r="E98" s="5">
        <f>IF($I2="","",INDEX(Productos!$H:$H,$I2))</f>
        <v/>
      </c>
      <c r="F98" s="5">
        <f>IF($I2="","",INDEX(Productos!$I:$I,$I2))</f>
        <v/>
      </c>
      <c r="G98" s="135" t="n">
        <v>-1</v>
      </c>
      <c r="H98" s="5">
        <f>IF($I2="","",INDEX(Productos!$AG:$AG,$I2))</f>
        <v/>
      </c>
      <c r="I98" s="136">
        <f>LET(_xlpm.r,Productos!$E$2:$E$2509,_xlpm.m,IFERROR(_xlfn.XMATCH(C98,_xlpm.r),IFERROR(_xlfn.XMATCH(VALUE(C98),_xlpm.r),0)),IF(_xlpm.m=0,"",_xlpm.m+1))</f>
        <v/>
      </c>
      <c r="J98" s="137" t="inlineStr">
        <is>
          <t>NetSuite</t>
        </is>
      </c>
    </row>
    <row r="99">
      <c r="A99" s="5" t="inlineStr">
        <is>
          <t>B25 CEDIS</t>
        </is>
      </c>
      <c r="B99" s="5">
        <f>IF($I2="","",INDEX(Productos!$A:$A,$I2))</f>
        <v/>
      </c>
      <c r="C99" s="134" t="inlineStr">
        <is>
          <t>TWMDNTB1036KBM0</t>
        </is>
      </c>
      <c r="D99" s="5">
        <f>IF($I2="","",INDEX(Productos!$B:$B,$I2))</f>
        <v/>
      </c>
      <c r="E99" s="5">
        <f>IF($I2="","",INDEX(Productos!$H:$H,$I2))</f>
        <v/>
      </c>
      <c r="F99" s="5">
        <f>IF($I2="","",INDEX(Productos!$I:$I,$I2))</f>
        <v/>
      </c>
      <c r="G99" s="135" t="n">
        <v>-1</v>
      </c>
      <c r="H99" s="5">
        <f>IF($I2="","",INDEX(Productos!$AG:$AG,$I2))</f>
        <v/>
      </c>
      <c r="I99" s="136">
        <f>LET(_xlpm.r,Productos!$E$2:$E$2509,_xlpm.m,IFERROR(_xlfn.XMATCH(C99,_xlpm.r),IFERROR(_xlfn.XMATCH(VALUE(C99),_xlpm.r),0)),IF(_xlpm.m=0,"",_xlpm.m+1))</f>
        <v/>
      </c>
      <c r="J99" s="137" t="inlineStr">
        <is>
          <t>NetSuite</t>
        </is>
      </c>
    </row>
    <row r="100">
      <c r="A100" s="5" t="inlineStr">
        <is>
          <t>B25 CEDIS</t>
        </is>
      </c>
      <c r="B100" s="5">
        <f>IF($I2="","",INDEX(Productos!$A:$A,$I2))</f>
        <v/>
      </c>
      <c r="C100" s="134" t="inlineStr">
        <is>
          <t>XWESWD-974048L0</t>
        </is>
      </c>
      <c r="D100" s="5">
        <f>IF($I2="","",INDEX(Productos!$B:$B,$I2))</f>
        <v/>
      </c>
      <c r="E100" s="5">
        <f>IF($I2="","",INDEX(Productos!$H:$H,$I2))</f>
        <v/>
      </c>
      <c r="F100" s="5">
        <f>IF($I2="","",INDEX(Productos!$I:$I,$I2))</f>
        <v/>
      </c>
      <c r="G100" s="135" t="n">
        <v>-1</v>
      </c>
      <c r="H100" s="5">
        <f>IF($I2="","",INDEX(Productos!$AG:$AG,$I2))</f>
        <v/>
      </c>
      <c r="I100" s="136">
        <f>LET(_xlpm.r,Productos!$E$2:$E$2509,_xlpm.m,IFERROR(_xlfn.XMATCH(C100,_xlpm.r),IFERROR(_xlfn.XMATCH(VALUE(C100),_xlpm.r),0)),IF(_xlpm.m=0,"",_xlpm.m+1))</f>
        <v/>
      </c>
      <c r="J100" s="137" t="inlineStr">
        <is>
          <t>NetSuite</t>
        </is>
      </c>
    </row>
    <row r="101">
      <c r="A101" s="5" t="inlineStr">
        <is>
          <t>B25 CEDIS</t>
        </is>
      </c>
      <c r="B101" s="5">
        <f>IF($I2="","",INDEX(Productos!$A:$A,$I2))</f>
        <v/>
      </c>
      <c r="C101" s="134" t="inlineStr">
        <is>
          <t>XWESWD-974048M0</t>
        </is>
      </c>
      <c r="D101" s="5">
        <f>IF($I2="","",INDEX(Productos!$B:$B,$I2))</f>
        <v/>
      </c>
      <c r="E101" s="5">
        <f>IF($I2="","",INDEX(Productos!$H:$H,$I2))</f>
        <v/>
      </c>
      <c r="F101" s="5">
        <f>IF($I2="","",INDEX(Productos!$I:$I,$I2))</f>
        <v/>
      </c>
      <c r="G101" s="135" t="n">
        <v>-1</v>
      </c>
      <c r="H101" s="5">
        <f>IF($I2="","",INDEX(Productos!$AG:$AG,$I2))</f>
        <v/>
      </c>
      <c r="I101" s="136">
        <f>LET(_xlpm.r,Productos!$E$2:$E$2509,_xlpm.m,IFERROR(_xlfn.XMATCH(C101,_xlpm.r),IFERROR(_xlfn.XMATCH(VALUE(C101),_xlpm.r),0)),IF(_xlpm.m=0,"",_xlpm.m+1))</f>
        <v/>
      </c>
      <c r="J101" s="137" t="inlineStr">
        <is>
          <t>NetSuite</t>
        </is>
      </c>
    </row>
    <row r="102">
      <c r="A102" s="5" t="inlineStr">
        <is>
          <t>B25 CEDIS</t>
        </is>
      </c>
      <c r="B102" s="5">
        <f>IF($I2="","",INDEX(Productos!$A:$A,$I2))</f>
        <v/>
      </c>
      <c r="C102" s="134" t="inlineStr">
        <is>
          <t>XWESWD-974048S0</t>
        </is>
      </c>
      <c r="D102" s="5">
        <f>IF($I2="","",INDEX(Productos!$B:$B,$I2))</f>
        <v/>
      </c>
      <c r="E102" s="5">
        <f>IF($I2="","",INDEX(Productos!$H:$H,$I2))</f>
        <v/>
      </c>
      <c r="F102" s="5">
        <f>IF($I2="","",INDEX(Productos!$I:$I,$I2))</f>
        <v/>
      </c>
      <c r="G102" s="135" t="n">
        <v>-1</v>
      </c>
      <c r="H102" s="5">
        <f>IF($I2="","",INDEX(Productos!$AG:$AG,$I2))</f>
        <v/>
      </c>
      <c r="I102" s="136">
        <f>LET(_xlpm.r,Productos!$E$2:$E$2509,_xlpm.m,IFERROR(_xlfn.XMATCH(C102,_xlpm.r),IFERROR(_xlfn.XMATCH(VALUE(C102),_xlpm.r),0)),IF(_xlpm.m=0,"",_xlpm.m+1))</f>
        <v/>
      </c>
      <c r="J102" s="137" t="inlineStr">
        <is>
          <t>NetSuite</t>
        </is>
      </c>
    </row>
    <row r="103">
      <c r="A103" s="5" t="inlineStr">
        <is>
          <t>B25 CEDIS</t>
        </is>
      </c>
      <c r="B103" s="5">
        <f>IF($I2="","",INDEX(Productos!$A:$A,$I2))</f>
        <v/>
      </c>
      <c r="C103" s="134" t="inlineStr">
        <is>
          <t>XWESWD-974048XL</t>
        </is>
      </c>
      <c r="D103" s="5">
        <f>IF($I2="","",INDEX(Productos!$B:$B,$I2))</f>
        <v/>
      </c>
      <c r="E103" s="5">
        <f>IF($I2="","",INDEX(Productos!$H:$H,$I2))</f>
        <v/>
      </c>
      <c r="F103" s="5">
        <f>IF($I2="","",INDEX(Productos!$I:$I,$I2))</f>
        <v/>
      </c>
      <c r="G103" s="135" t="n">
        <v>-1</v>
      </c>
      <c r="H103" s="5">
        <f>IF($I2="","",INDEX(Productos!$AG:$AG,$I2))</f>
        <v/>
      </c>
      <c r="I103" s="136">
        <f>LET(_xlpm.r,Productos!$E$2:$E$2509,_xlpm.m,IFERROR(_xlfn.XMATCH(C103,_xlpm.r),IFERROR(_xlfn.XMATCH(VALUE(C103),_xlpm.r),0)),IF(_xlpm.m=0,"",_xlpm.m+1))</f>
        <v/>
      </c>
      <c r="J103" s="137" t="inlineStr">
        <is>
          <t>NetSuite</t>
        </is>
      </c>
    </row>
    <row r="104">
      <c r="A104" s="5" t="inlineStr">
        <is>
          <t>B25 CEDIS</t>
        </is>
      </c>
      <c r="B104" s="5">
        <f>IF($I2="","",INDEX(Productos!$A:$A,$I2))</f>
        <v/>
      </c>
      <c r="C104" s="134" t="inlineStr">
        <is>
          <t>XWLRLH-0336S9L0</t>
        </is>
      </c>
      <c r="D104" s="5">
        <f>IF($I2="","",INDEX(Productos!$B:$B,$I2))</f>
        <v/>
      </c>
      <c r="E104" s="5">
        <f>IF($I2="","",INDEX(Productos!$H:$H,$I2))</f>
        <v/>
      </c>
      <c r="F104" s="5">
        <f>IF($I2="","",INDEX(Productos!$I:$I,$I2))</f>
        <v/>
      </c>
      <c r="G104" s="135" t="n">
        <v>-1</v>
      </c>
      <c r="H104" s="5">
        <f>IF($I2="","",INDEX(Productos!$AG:$AG,$I2))</f>
        <v/>
      </c>
      <c r="I104" s="136">
        <f>LET(_xlpm.r,Productos!$E$2:$E$2509,_xlpm.m,IFERROR(_xlfn.XMATCH(C104,_xlpm.r),IFERROR(_xlfn.XMATCH(VALUE(C104),_xlpm.r),0)),IF(_xlpm.m=0,"",_xlpm.m+1))</f>
        <v/>
      </c>
      <c r="J104" s="137" t="inlineStr">
        <is>
          <t>NetSuite</t>
        </is>
      </c>
    </row>
    <row r="105">
      <c r="A105" s="5" t="inlineStr">
        <is>
          <t>B25 CEDIS</t>
        </is>
      </c>
      <c r="B105" s="5">
        <f>IF($I2="","",INDEX(Productos!$A:$A,$I2))</f>
        <v/>
      </c>
      <c r="C105" s="134" t="inlineStr">
        <is>
          <t>XWLRLH-0336S9M0</t>
        </is>
      </c>
      <c r="D105" s="5">
        <f>IF($I2="","",INDEX(Productos!$B:$B,$I2))</f>
        <v/>
      </c>
      <c r="E105" s="5">
        <f>IF($I2="","",INDEX(Productos!$H:$H,$I2))</f>
        <v/>
      </c>
      <c r="F105" s="5">
        <f>IF($I2="","",INDEX(Productos!$I:$I,$I2))</f>
        <v/>
      </c>
      <c r="G105" s="135" t="n">
        <v>-1</v>
      </c>
      <c r="H105" s="5">
        <f>IF($I2="","",INDEX(Productos!$AG:$AG,$I2))</f>
        <v/>
      </c>
      <c r="I105" s="136">
        <f>LET(_xlpm.r,Productos!$E$2:$E$2509,_xlpm.m,IFERROR(_xlfn.XMATCH(C105,_xlpm.r),IFERROR(_xlfn.XMATCH(VALUE(C105),_xlpm.r),0)),IF(_xlpm.m=0,"",_xlpm.m+1))</f>
        <v/>
      </c>
      <c r="J105" s="137" t="inlineStr">
        <is>
          <t>NetSuite</t>
        </is>
      </c>
    </row>
    <row r="106">
      <c r="A106" s="5" t="inlineStr">
        <is>
          <t>B25 CEDIS</t>
        </is>
      </c>
      <c r="B106" s="5">
        <f>IF($I2="","",INDEX(Productos!$A:$A,$I2))</f>
        <v/>
      </c>
      <c r="C106" s="134" t="inlineStr">
        <is>
          <t>XWLRLH-0336S9S0</t>
        </is>
      </c>
      <c r="D106" s="5">
        <f>IF($I2="","",INDEX(Productos!$B:$B,$I2))</f>
        <v/>
      </c>
      <c r="E106" s="5">
        <f>IF($I2="","",INDEX(Productos!$H:$H,$I2))</f>
        <v/>
      </c>
      <c r="F106" s="5">
        <f>IF($I2="","",INDEX(Productos!$I:$I,$I2))</f>
        <v/>
      </c>
      <c r="G106" s="135" t="n">
        <v>-1</v>
      </c>
      <c r="H106" s="5">
        <f>IF($I2="","",INDEX(Productos!$AG:$AG,$I2))</f>
        <v/>
      </c>
      <c r="I106" s="136">
        <f>LET(_xlpm.r,Productos!$E$2:$E$2509,_xlpm.m,IFERROR(_xlfn.XMATCH(C106,_xlpm.r),IFERROR(_xlfn.XMATCH(VALUE(C106),_xlpm.r),0)),IF(_xlpm.m=0,"",_xlpm.m+1))</f>
        <v/>
      </c>
      <c r="J106" s="137" t="inlineStr">
        <is>
          <t>NetSuite</t>
        </is>
      </c>
    </row>
    <row r="107">
      <c r="A107" s="5" t="inlineStr">
        <is>
          <t>B25 CEDIS</t>
        </is>
      </c>
      <c r="B107" s="5">
        <f>IF($I2="","",INDEX(Productos!$A:$A,$I2))</f>
        <v/>
      </c>
      <c r="C107" s="134" t="inlineStr">
        <is>
          <t>XWLRLH-0336S9XL</t>
        </is>
      </c>
      <c r="D107" s="5">
        <f>IF($I2="","",INDEX(Productos!$B:$B,$I2))</f>
        <v/>
      </c>
      <c r="E107" s="5">
        <f>IF($I2="","",INDEX(Productos!$H:$H,$I2))</f>
        <v/>
      </c>
      <c r="F107" s="5">
        <f>IF($I2="","",INDEX(Productos!$I:$I,$I2))</f>
        <v/>
      </c>
      <c r="G107" s="135" t="n">
        <v>-1</v>
      </c>
      <c r="H107" s="5">
        <f>IF($I2="","",INDEX(Productos!$AG:$AG,$I2))</f>
        <v/>
      </c>
      <c r="I107" s="136">
        <f>LET(_xlpm.r,Productos!$E$2:$E$2509,_xlpm.m,IFERROR(_xlfn.XMATCH(C107,_xlpm.r),IFERROR(_xlfn.XMATCH(VALUE(C107),_xlpm.r),0)),IF(_xlpm.m=0,"",_xlpm.m+1))</f>
        <v/>
      </c>
      <c r="J107" s="137" t="inlineStr">
        <is>
          <t>NetSuite</t>
        </is>
      </c>
    </row>
    <row r="108">
      <c r="A108" s="5" t="inlineStr">
        <is>
          <t>B25 STETSON.MX</t>
        </is>
      </c>
      <c r="B108" s="5">
        <f>IF($I2="","",INDEX(Productos!$A:$A,$I2))</f>
        <v/>
      </c>
      <c r="C108" s="134" t="inlineStr">
        <is>
          <t>11-001-0425-2051-2XL</t>
        </is>
      </c>
      <c r="D108" s="5">
        <f>IF($I2="","",INDEX(Productos!$B:$B,$I2))</f>
        <v/>
      </c>
      <c r="E108" s="5">
        <f>IF($I2="","",INDEX(Productos!$H:$H,$I2))</f>
        <v/>
      </c>
      <c r="F108" s="5">
        <f>IF($I2="","",INDEX(Productos!$I:$I,$I2))</f>
        <v/>
      </c>
      <c r="G108" s="135" t="n">
        <v>1</v>
      </c>
      <c r="H108" s="5">
        <f>IF($I2="","",INDEX(Productos!$AG:$AG,$I2))</f>
        <v/>
      </c>
      <c r="I108" s="136">
        <f>LET(_xlpm.r,Productos!$E$2:$E$2509,_xlpm.m,IFERROR(_xlfn.XMATCH(C108,_xlpm.r),IFERROR(_xlfn.XMATCH(VALUE(C108),_xlpm.r),0)),IF(_xlpm.m=0,"",_xlpm.m+1))</f>
        <v/>
      </c>
      <c r="J108" s="137" t="inlineStr">
        <is>
          <t>NetSuite</t>
        </is>
      </c>
    </row>
    <row r="109">
      <c r="A109" s="5" t="inlineStr">
        <is>
          <t>B25 STETSON.MX</t>
        </is>
      </c>
      <c r="B109" s="5">
        <f>IF($I2="","",INDEX(Productos!$A:$A,$I2))</f>
        <v/>
      </c>
      <c r="C109" s="134" t="inlineStr">
        <is>
          <t>11-001-0425-2051-L</t>
        </is>
      </c>
      <c r="D109" s="5">
        <f>IF($I2="","",INDEX(Productos!$B:$B,$I2))</f>
        <v/>
      </c>
      <c r="E109" s="5">
        <f>IF($I2="","",INDEX(Productos!$H:$H,$I2))</f>
        <v/>
      </c>
      <c r="F109" s="5">
        <f>IF($I2="","",INDEX(Productos!$I:$I,$I2))</f>
        <v/>
      </c>
      <c r="G109" s="135" t="n">
        <v>1</v>
      </c>
      <c r="H109" s="5">
        <f>IF($I2="","",INDEX(Productos!$AG:$AG,$I2))</f>
        <v/>
      </c>
      <c r="I109" s="136">
        <f>LET(_xlpm.r,Productos!$E$2:$E$2509,_xlpm.m,IFERROR(_xlfn.XMATCH(C109,_xlpm.r),IFERROR(_xlfn.XMATCH(VALUE(C109),_xlpm.r),0)),IF(_xlpm.m=0,"",_xlpm.m+1))</f>
        <v/>
      </c>
      <c r="J109" s="137" t="inlineStr">
        <is>
          <t>NetSuite</t>
        </is>
      </c>
    </row>
    <row r="110">
      <c r="A110" s="5" t="inlineStr">
        <is>
          <t>B25 STETSON.MX</t>
        </is>
      </c>
      <c r="B110" s="5">
        <f>IF($I2="","",INDEX(Productos!$A:$A,$I2))</f>
        <v/>
      </c>
      <c r="C110" s="134" t="inlineStr">
        <is>
          <t>11-001-0425-2051-M</t>
        </is>
      </c>
      <c r="D110" s="5">
        <f>IF($I2="","",INDEX(Productos!$B:$B,$I2))</f>
        <v/>
      </c>
      <c r="E110" s="5">
        <f>IF($I2="","",INDEX(Productos!$H:$H,$I2))</f>
        <v/>
      </c>
      <c r="F110" s="5">
        <f>IF($I2="","",INDEX(Productos!$I:$I,$I2))</f>
        <v/>
      </c>
      <c r="G110" s="135" t="n">
        <v>1</v>
      </c>
      <c r="H110" s="5">
        <f>IF($I2="","",INDEX(Productos!$AG:$AG,$I2))</f>
        <v/>
      </c>
      <c r="I110" s="136">
        <f>LET(_xlpm.r,Productos!$E$2:$E$2509,_xlpm.m,IFERROR(_xlfn.XMATCH(C110,_xlpm.r),IFERROR(_xlfn.XMATCH(VALUE(C110),_xlpm.r),0)),IF(_xlpm.m=0,"",_xlpm.m+1))</f>
        <v/>
      </c>
      <c r="J110" s="137" t="inlineStr">
        <is>
          <t>NetSuite</t>
        </is>
      </c>
    </row>
    <row r="111">
      <c r="A111" s="5" t="inlineStr">
        <is>
          <t>B25 STETSON.MX</t>
        </is>
      </c>
      <c r="B111" s="5">
        <f>IF($I2="","",INDEX(Productos!$A:$A,$I2))</f>
        <v/>
      </c>
      <c r="C111" s="134" t="inlineStr">
        <is>
          <t>11-001-0425-2051-S</t>
        </is>
      </c>
      <c r="D111" s="5">
        <f>IF($I2="","",INDEX(Productos!$B:$B,$I2))</f>
        <v/>
      </c>
      <c r="E111" s="5">
        <f>IF($I2="","",INDEX(Productos!$H:$H,$I2))</f>
        <v/>
      </c>
      <c r="F111" s="5">
        <f>IF($I2="","",INDEX(Productos!$I:$I,$I2))</f>
        <v/>
      </c>
      <c r="G111" s="135" t="n">
        <v>1</v>
      </c>
      <c r="H111" s="5">
        <f>IF($I2="","",INDEX(Productos!$AG:$AG,$I2))</f>
        <v/>
      </c>
      <c r="I111" s="136">
        <f>LET(_xlpm.r,Productos!$E$2:$E$2509,_xlpm.m,IFERROR(_xlfn.XMATCH(C111,_xlpm.r),IFERROR(_xlfn.XMATCH(VALUE(C111),_xlpm.r),0)),IF(_xlpm.m=0,"",_xlpm.m+1))</f>
        <v/>
      </c>
      <c r="J111" s="137" t="inlineStr">
        <is>
          <t>NetSuite</t>
        </is>
      </c>
    </row>
    <row r="112">
      <c r="A112" s="5" t="inlineStr">
        <is>
          <t>B25 STETSON.MX</t>
        </is>
      </c>
      <c r="B112" s="5">
        <f>IF($I2="","",INDEX(Productos!$A:$A,$I2))</f>
        <v/>
      </c>
      <c r="C112" s="134" t="inlineStr">
        <is>
          <t>11-001-0425-2051-XL</t>
        </is>
      </c>
      <c r="D112" s="5">
        <f>IF($I2="","",INDEX(Productos!$B:$B,$I2))</f>
        <v/>
      </c>
      <c r="E112" s="5">
        <f>IF($I2="","",INDEX(Productos!$H:$H,$I2))</f>
        <v/>
      </c>
      <c r="F112" s="5">
        <f>IF($I2="","",INDEX(Productos!$I:$I,$I2))</f>
        <v/>
      </c>
      <c r="G112" s="135" t="n">
        <v>1</v>
      </c>
      <c r="H112" s="5">
        <f>IF($I2="","",INDEX(Productos!$AG:$AG,$I2))</f>
        <v/>
      </c>
      <c r="I112" s="136">
        <f>LET(_xlpm.r,Productos!$E$2:$E$2509,_xlpm.m,IFERROR(_xlfn.XMATCH(C112,_xlpm.r),IFERROR(_xlfn.XMATCH(VALUE(C112),_xlpm.r),0)),IF(_xlpm.m=0,"",_xlpm.m+1))</f>
        <v/>
      </c>
      <c r="J112" s="137" t="inlineStr">
        <is>
          <t>NetSuite</t>
        </is>
      </c>
    </row>
    <row r="113">
      <c r="A113" s="5" t="inlineStr">
        <is>
          <t>B25 STETSON.MX</t>
        </is>
      </c>
      <c r="B113" s="5">
        <f>IF($I2="","",INDEX(Productos!$A:$A,$I2))</f>
        <v/>
      </c>
      <c r="C113" s="134" t="inlineStr">
        <is>
          <t>11-001-0425-2063-2XL</t>
        </is>
      </c>
      <c r="D113" s="5">
        <f>IF($I2="","",INDEX(Productos!$B:$B,$I2))</f>
        <v/>
      </c>
      <c r="E113" s="5">
        <f>IF($I2="","",INDEX(Productos!$H:$H,$I2))</f>
        <v/>
      </c>
      <c r="F113" s="5">
        <f>IF($I2="","",INDEX(Productos!$I:$I,$I2))</f>
        <v/>
      </c>
      <c r="G113" s="135" t="n">
        <v>2</v>
      </c>
      <c r="H113" s="5">
        <f>IF($I2="","",INDEX(Productos!$AG:$AG,$I2))</f>
        <v/>
      </c>
      <c r="I113" s="136">
        <f>LET(_xlpm.r,Productos!$E$2:$E$2509,_xlpm.m,IFERROR(_xlfn.XMATCH(C113,_xlpm.r),IFERROR(_xlfn.XMATCH(VALUE(C113),_xlpm.r),0)),IF(_xlpm.m=0,"",_xlpm.m+1))</f>
        <v/>
      </c>
      <c r="J113" s="137" t="inlineStr">
        <is>
          <t>NetSuite</t>
        </is>
      </c>
    </row>
    <row r="114">
      <c r="A114" s="5" t="inlineStr">
        <is>
          <t>B25 STETSON.MX</t>
        </is>
      </c>
      <c r="B114" s="5">
        <f>IF($I2="","",INDEX(Productos!$A:$A,$I2))</f>
        <v/>
      </c>
      <c r="C114" s="134" t="inlineStr">
        <is>
          <t>11-001-0425-2063-S</t>
        </is>
      </c>
      <c r="D114" s="5">
        <f>IF($I2="","",INDEX(Productos!$B:$B,$I2))</f>
        <v/>
      </c>
      <c r="E114" s="5">
        <f>IF($I2="","",INDEX(Productos!$H:$H,$I2))</f>
        <v/>
      </c>
      <c r="F114" s="5">
        <f>IF($I2="","",INDEX(Productos!$I:$I,$I2))</f>
        <v/>
      </c>
      <c r="G114" s="135" t="n">
        <v>1</v>
      </c>
      <c r="H114" s="5">
        <f>IF($I2="","",INDEX(Productos!$AG:$AG,$I2))</f>
        <v/>
      </c>
      <c r="I114" s="136">
        <f>LET(_xlpm.r,Productos!$E$2:$E$2509,_xlpm.m,IFERROR(_xlfn.XMATCH(C114,_xlpm.r),IFERROR(_xlfn.XMATCH(VALUE(C114),_xlpm.r),0)),IF(_xlpm.m=0,"",_xlpm.m+1))</f>
        <v/>
      </c>
      <c r="J114" s="137" t="inlineStr">
        <is>
          <t>NetSuite</t>
        </is>
      </c>
    </row>
    <row r="115">
      <c r="A115" s="5" t="inlineStr">
        <is>
          <t>B25 STETSON.MX</t>
        </is>
      </c>
      <c r="B115" s="5">
        <f>IF($I2="","",INDEX(Productos!$A:$A,$I2))</f>
        <v/>
      </c>
      <c r="C115" s="134" t="inlineStr">
        <is>
          <t>11-001-0425-2063-XL</t>
        </is>
      </c>
      <c r="D115" s="5">
        <f>IF($I2="","",INDEX(Productos!$B:$B,$I2))</f>
        <v/>
      </c>
      <c r="E115" s="5">
        <f>IF($I2="","",INDEX(Productos!$H:$H,$I2))</f>
        <v/>
      </c>
      <c r="F115" s="5">
        <f>IF($I2="","",INDEX(Productos!$I:$I,$I2))</f>
        <v/>
      </c>
      <c r="G115" s="135" t="n">
        <v>1</v>
      </c>
      <c r="H115" s="5">
        <f>IF($I2="","",INDEX(Productos!$AG:$AG,$I2))</f>
        <v/>
      </c>
      <c r="I115" s="136">
        <f>LET(_xlpm.r,Productos!$E$2:$E$2509,_xlpm.m,IFERROR(_xlfn.XMATCH(C115,_xlpm.r),IFERROR(_xlfn.XMATCH(VALUE(C115),_xlpm.r),0)),IF(_xlpm.m=0,"",_xlpm.m+1))</f>
        <v/>
      </c>
      <c r="J115" s="137" t="inlineStr">
        <is>
          <t>NetSuite</t>
        </is>
      </c>
    </row>
    <row r="116">
      <c r="A116" s="5" t="inlineStr">
        <is>
          <t>B25 STETSON.MX</t>
        </is>
      </c>
      <c r="B116" s="5">
        <f>IF($I2="","",INDEX(Productos!$A:$A,$I2))</f>
        <v/>
      </c>
      <c r="C116" s="134" t="inlineStr">
        <is>
          <t>11-001-0425-2066-2XL</t>
        </is>
      </c>
      <c r="D116" s="5">
        <f>IF($I2="","",INDEX(Productos!$B:$B,$I2))</f>
        <v/>
      </c>
      <c r="E116" s="5">
        <f>IF($I2="","",INDEX(Productos!$H:$H,$I2))</f>
        <v/>
      </c>
      <c r="F116" s="5">
        <f>IF($I2="","",INDEX(Productos!$I:$I,$I2))</f>
        <v/>
      </c>
      <c r="G116" s="135" t="n">
        <v>2</v>
      </c>
      <c r="H116" s="5">
        <f>IF($I2="","",INDEX(Productos!$AG:$AG,$I2))</f>
        <v/>
      </c>
      <c r="I116" s="136">
        <f>LET(_xlpm.r,Productos!$E$2:$E$2509,_xlpm.m,IFERROR(_xlfn.XMATCH(C116,_xlpm.r),IFERROR(_xlfn.XMATCH(VALUE(C116),_xlpm.r),0)),IF(_xlpm.m=0,"",_xlpm.m+1))</f>
        <v/>
      </c>
      <c r="J116" s="137" t="inlineStr">
        <is>
          <t>NetSuite</t>
        </is>
      </c>
    </row>
    <row r="117">
      <c r="A117" s="5" t="inlineStr">
        <is>
          <t>B25 STETSON.MX</t>
        </is>
      </c>
      <c r="B117" s="5">
        <f>IF($I2="","",INDEX(Productos!$A:$A,$I2))</f>
        <v/>
      </c>
      <c r="C117" s="134" t="inlineStr">
        <is>
          <t>11-001-0425-2066-M</t>
        </is>
      </c>
      <c r="D117" s="5">
        <f>IF($I2="","",INDEX(Productos!$B:$B,$I2))</f>
        <v/>
      </c>
      <c r="E117" s="5">
        <f>IF($I2="","",INDEX(Productos!$H:$H,$I2))</f>
        <v/>
      </c>
      <c r="F117" s="5">
        <f>IF($I2="","",INDEX(Productos!$I:$I,$I2))</f>
        <v/>
      </c>
      <c r="G117" s="135" t="n">
        <v>1</v>
      </c>
      <c r="H117" s="5">
        <f>IF($I2="","",INDEX(Productos!$AG:$AG,$I2))</f>
        <v/>
      </c>
      <c r="I117" s="136">
        <f>LET(_xlpm.r,Productos!$E$2:$E$2509,_xlpm.m,IFERROR(_xlfn.XMATCH(C117,_xlpm.r),IFERROR(_xlfn.XMATCH(VALUE(C117),_xlpm.r),0)),IF(_xlpm.m=0,"",_xlpm.m+1))</f>
        <v/>
      </c>
      <c r="J117" s="137" t="inlineStr">
        <is>
          <t>NetSuite</t>
        </is>
      </c>
    </row>
    <row r="118">
      <c r="A118" s="5" t="inlineStr">
        <is>
          <t>B25 STETSON.MX</t>
        </is>
      </c>
      <c r="B118" s="5">
        <f>IF($I2="","",INDEX(Productos!$A:$A,$I2))</f>
        <v/>
      </c>
      <c r="C118" s="134" t="inlineStr">
        <is>
          <t>11-001-0425-2066-S</t>
        </is>
      </c>
      <c r="D118" s="5">
        <f>IF($I2="","",INDEX(Productos!$B:$B,$I2))</f>
        <v/>
      </c>
      <c r="E118" s="5">
        <f>IF($I2="","",INDEX(Productos!$H:$H,$I2))</f>
        <v/>
      </c>
      <c r="F118" s="5">
        <f>IF($I2="","",INDEX(Productos!$I:$I,$I2))</f>
        <v/>
      </c>
      <c r="G118" s="135" t="n">
        <v>2</v>
      </c>
      <c r="H118" s="5">
        <f>IF($I2="","",INDEX(Productos!$AG:$AG,$I2))</f>
        <v/>
      </c>
      <c r="I118" s="136">
        <f>LET(_xlpm.r,Productos!$E$2:$E$2509,_xlpm.m,IFERROR(_xlfn.XMATCH(C118,_xlpm.r),IFERROR(_xlfn.XMATCH(VALUE(C118),_xlpm.r),0)),IF(_xlpm.m=0,"",_xlpm.m+1))</f>
        <v/>
      </c>
      <c r="J118" s="137" t="inlineStr">
        <is>
          <t>NetSuite</t>
        </is>
      </c>
    </row>
    <row r="119">
      <c r="A119" s="5" t="inlineStr">
        <is>
          <t>B25 STETSON.MX</t>
        </is>
      </c>
      <c r="B119" s="5">
        <f>IF($I2="","",INDEX(Productos!$A:$A,$I2))</f>
        <v/>
      </c>
      <c r="C119" s="134" t="inlineStr">
        <is>
          <t>11-001-0425-2066-XL</t>
        </is>
      </c>
      <c r="D119" s="5">
        <f>IF($I2="","",INDEX(Productos!$B:$B,$I2))</f>
        <v/>
      </c>
      <c r="E119" s="5">
        <f>IF($I2="","",INDEX(Productos!$H:$H,$I2))</f>
        <v/>
      </c>
      <c r="F119" s="5">
        <f>IF($I2="","",INDEX(Productos!$I:$I,$I2))</f>
        <v/>
      </c>
      <c r="G119" s="135" t="n">
        <v>2</v>
      </c>
      <c r="H119" s="5">
        <f>IF($I2="","",INDEX(Productos!$AG:$AG,$I2))</f>
        <v/>
      </c>
      <c r="I119" s="136">
        <f>LET(_xlpm.r,Productos!$E$2:$E$2509,_xlpm.m,IFERROR(_xlfn.XMATCH(C119,_xlpm.r),IFERROR(_xlfn.XMATCH(VALUE(C119),_xlpm.r),0)),IF(_xlpm.m=0,"",_xlpm.m+1))</f>
        <v/>
      </c>
      <c r="J119" s="137" t="inlineStr">
        <is>
          <t>NetSuite</t>
        </is>
      </c>
    </row>
    <row r="120">
      <c r="A120" s="5" t="inlineStr">
        <is>
          <t>B25 STETSON.MX</t>
        </is>
      </c>
      <c r="B120" s="5">
        <f>IF($I2="","",INDEX(Productos!$A:$A,$I2))</f>
        <v/>
      </c>
      <c r="C120" s="134" t="inlineStr">
        <is>
          <t>11-001-0425-5019-S</t>
        </is>
      </c>
      <c r="D120" s="5">
        <f>IF($I2="","",INDEX(Productos!$B:$B,$I2))</f>
        <v/>
      </c>
      <c r="E120" s="5">
        <f>IF($I2="","",INDEX(Productos!$H:$H,$I2))</f>
        <v/>
      </c>
      <c r="F120" s="5">
        <f>IF($I2="","",INDEX(Productos!$I:$I,$I2))</f>
        <v/>
      </c>
      <c r="G120" s="135" t="n">
        <v>1</v>
      </c>
      <c r="H120" s="5">
        <f>IF($I2="","",INDEX(Productos!$AG:$AG,$I2))</f>
        <v/>
      </c>
      <c r="I120" s="136">
        <f>LET(_xlpm.r,Productos!$E$2:$E$2509,_xlpm.m,IFERROR(_xlfn.XMATCH(C120,_xlpm.r),IFERROR(_xlfn.XMATCH(VALUE(C120),_xlpm.r),0)),IF(_xlpm.m=0,"",_xlpm.m+1))</f>
        <v/>
      </c>
      <c r="J120" s="137" t="inlineStr">
        <is>
          <t>NetSuite</t>
        </is>
      </c>
    </row>
    <row r="121">
      <c r="A121" s="5" t="inlineStr">
        <is>
          <t>B25 STETSON.MX</t>
        </is>
      </c>
      <c r="B121" s="5">
        <f>IF($I2="","",INDEX(Productos!$A:$A,$I2))</f>
        <v/>
      </c>
      <c r="C121" s="134" t="inlineStr">
        <is>
          <t>11-001-0465-0031-2XL</t>
        </is>
      </c>
      <c r="D121" s="5">
        <f>IF($I2="","",INDEX(Productos!$B:$B,$I2))</f>
        <v/>
      </c>
      <c r="E121" s="5">
        <f>IF($I2="","",INDEX(Productos!$H:$H,$I2))</f>
        <v/>
      </c>
      <c r="F121" s="5">
        <f>IF($I2="","",INDEX(Productos!$I:$I,$I2))</f>
        <v/>
      </c>
      <c r="G121" s="135" t="n">
        <v>2</v>
      </c>
      <c r="H121" s="5">
        <f>IF($I2="","",INDEX(Productos!$AG:$AG,$I2))</f>
        <v/>
      </c>
      <c r="I121" s="136">
        <f>LET(_xlpm.r,Productos!$E$2:$E$2509,_xlpm.m,IFERROR(_xlfn.XMATCH(C121,_xlpm.r),IFERROR(_xlfn.XMATCH(VALUE(C121),_xlpm.r),0)),IF(_xlpm.m=0,"",_xlpm.m+1))</f>
        <v/>
      </c>
      <c r="J121" s="137" t="inlineStr">
        <is>
          <t>NetSuite</t>
        </is>
      </c>
    </row>
    <row r="122">
      <c r="A122" s="5" t="inlineStr">
        <is>
          <t>B25 STETSON.MX</t>
        </is>
      </c>
      <c r="B122" s="5">
        <f>IF($I2="","",INDEX(Productos!$A:$A,$I2))</f>
        <v/>
      </c>
      <c r="C122" s="134" t="inlineStr">
        <is>
          <t>11-001-0465-0031-L</t>
        </is>
      </c>
      <c r="D122" s="5">
        <f>IF($I2="","",INDEX(Productos!$B:$B,$I2))</f>
        <v/>
      </c>
      <c r="E122" s="5">
        <f>IF($I2="","",INDEX(Productos!$H:$H,$I2))</f>
        <v/>
      </c>
      <c r="F122" s="5">
        <f>IF($I2="","",INDEX(Productos!$I:$I,$I2))</f>
        <v/>
      </c>
      <c r="G122" s="135" t="n">
        <v>2</v>
      </c>
      <c r="H122" s="5">
        <f>IF($I2="","",INDEX(Productos!$AG:$AG,$I2))</f>
        <v/>
      </c>
      <c r="I122" s="136">
        <f>LET(_xlpm.r,Productos!$E$2:$E$2509,_xlpm.m,IFERROR(_xlfn.XMATCH(C122,_xlpm.r),IFERROR(_xlfn.XMATCH(VALUE(C122),_xlpm.r),0)),IF(_xlpm.m=0,"",_xlpm.m+1))</f>
        <v/>
      </c>
      <c r="J122" s="137" t="inlineStr">
        <is>
          <t>NetSuite</t>
        </is>
      </c>
    </row>
    <row r="123">
      <c r="A123" s="5" t="inlineStr">
        <is>
          <t>B25 STETSON.MX</t>
        </is>
      </c>
      <c r="B123" s="5">
        <f>IF($I2="","",INDEX(Productos!$A:$A,$I2))</f>
        <v/>
      </c>
      <c r="C123" s="134" t="inlineStr">
        <is>
          <t>11-001-0465-0031-M</t>
        </is>
      </c>
      <c r="D123" s="5">
        <f>IF($I2="","",INDEX(Productos!$B:$B,$I2))</f>
        <v/>
      </c>
      <c r="E123" s="5">
        <f>IF($I2="","",INDEX(Productos!$H:$H,$I2))</f>
        <v/>
      </c>
      <c r="F123" s="5">
        <f>IF($I2="","",INDEX(Productos!$I:$I,$I2))</f>
        <v/>
      </c>
      <c r="G123" s="135" t="n">
        <v>2</v>
      </c>
      <c r="H123" s="5">
        <f>IF($I2="","",INDEX(Productos!$AG:$AG,$I2))</f>
        <v/>
      </c>
      <c r="I123" s="136">
        <f>LET(_xlpm.r,Productos!$E$2:$E$2509,_xlpm.m,IFERROR(_xlfn.XMATCH(C123,_xlpm.r),IFERROR(_xlfn.XMATCH(VALUE(C123),_xlpm.r),0)),IF(_xlpm.m=0,"",_xlpm.m+1))</f>
        <v/>
      </c>
      <c r="J123" s="137" t="inlineStr">
        <is>
          <t>NetSuite</t>
        </is>
      </c>
    </row>
    <row r="124">
      <c r="A124" s="5" t="inlineStr">
        <is>
          <t>B25 STETSON.MX</t>
        </is>
      </c>
      <c r="B124" s="5">
        <f>IF($I2="","",INDEX(Productos!$A:$A,$I2))</f>
        <v/>
      </c>
      <c r="C124" s="134" t="inlineStr">
        <is>
          <t>11-001-0465-0031-S</t>
        </is>
      </c>
      <c r="D124" s="5">
        <f>IF($I2="","",INDEX(Productos!$B:$B,$I2))</f>
        <v/>
      </c>
      <c r="E124" s="5">
        <f>IF($I2="","",INDEX(Productos!$H:$H,$I2))</f>
        <v/>
      </c>
      <c r="F124" s="5">
        <f>IF($I2="","",INDEX(Productos!$I:$I,$I2))</f>
        <v/>
      </c>
      <c r="G124" s="135" t="n">
        <v>2</v>
      </c>
      <c r="H124" s="5">
        <f>IF($I2="","",INDEX(Productos!$AG:$AG,$I2))</f>
        <v/>
      </c>
      <c r="I124" s="136">
        <f>LET(_xlpm.r,Productos!$E$2:$E$2509,_xlpm.m,IFERROR(_xlfn.XMATCH(C124,_xlpm.r),IFERROR(_xlfn.XMATCH(VALUE(C124),_xlpm.r),0)),IF(_xlpm.m=0,"",_xlpm.m+1))</f>
        <v/>
      </c>
      <c r="J124" s="137" t="inlineStr">
        <is>
          <t>NetSuite</t>
        </is>
      </c>
    </row>
    <row r="125">
      <c r="A125" s="5" t="inlineStr">
        <is>
          <t>B25 STETSON.MX</t>
        </is>
      </c>
      <c r="B125" s="5">
        <f>IF($I2="","",INDEX(Productos!$A:$A,$I2))</f>
        <v/>
      </c>
      <c r="C125" s="134" t="inlineStr">
        <is>
          <t>11-001-0465-0031-XL</t>
        </is>
      </c>
      <c r="D125" s="5">
        <f>IF($I2="","",INDEX(Productos!$B:$B,$I2))</f>
        <v/>
      </c>
      <c r="E125" s="5">
        <f>IF($I2="","",INDEX(Productos!$H:$H,$I2))</f>
        <v/>
      </c>
      <c r="F125" s="5">
        <f>IF($I2="","",INDEX(Productos!$I:$I,$I2))</f>
        <v/>
      </c>
      <c r="G125" s="135" t="n">
        <v>2</v>
      </c>
      <c r="H125" s="5">
        <f>IF($I2="","",INDEX(Productos!$AG:$AG,$I2))</f>
        <v/>
      </c>
      <c r="I125" s="136">
        <f>LET(_xlpm.r,Productos!$E$2:$E$2509,_xlpm.m,IFERROR(_xlfn.XMATCH(C125,_xlpm.r),IFERROR(_xlfn.XMATCH(VALUE(C125),_xlpm.r),0)),IF(_xlpm.m=0,"",_xlpm.m+1))</f>
        <v/>
      </c>
      <c r="J125" s="137" t="inlineStr">
        <is>
          <t>NetSuite</t>
        </is>
      </c>
    </row>
    <row r="126">
      <c r="A126" s="5" t="inlineStr">
        <is>
          <t>B25 STETSON.MX</t>
        </is>
      </c>
      <c r="B126" s="5">
        <f>IF($I2="","",INDEX(Productos!$A:$A,$I2))</f>
        <v/>
      </c>
      <c r="C126" s="134" t="inlineStr">
        <is>
          <t>11-001-0478-2030-2XL</t>
        </is>
      </c>
      <c r="D126" s="5">
        <f>IF($I2="","",INDEX(Productos!$B:$B,$I2))</f>
        <v/>
      </c>
      <c r="E126" s="5">
        <f>IF($I2="","",INDEX(Productos!$H:$H,$I2))</f>
        <v/>
      </c>
      <c r="F126" s="5">
        <f>IF($I2="","",INDEX(Productos!$I:$I,$I2))</f>
        <v/>
      </c>
      <c r="G126" s="135" t="n">
        <v>2</v>
      </c>
      <c r="H126" s="5">
        <f>IF($I2="","",INDEX(Productos!$AG:$AG,$I2))</f>
        <v/>
      </c>
      <c r="I126" s="136">
        <f>LET(_xlpm.r,Productos!$E$2:$E$2509,_xlpm.m,IFERROR(_xlfn.XMATCH(C126,_xlpm.r),IFERROR(_xlfn.XMATCH(VALUE(C126),_xlpm.r),0)),IF(_xlpm.m=0,"",_xlpm.m+1))</f>
        <v/>
      </c>
      <c r="J126" s="137" t="inlineStr">
        <is>
          <t>NetSuite</t>
        </is>
      </c>
    </row>
    <row r="127">
      <c r="A127" s="5" t="inlineStr">
        <is>
          <t>B25 STETSON.MX</t>
        </is>
      </c>
      <c r="B127" s="5">
        <f>IF($I2="","",INDEX(Productos!$A:$A,$I2))</f>
        <v/>
      </c>
      <c r="C127" s="134" t="inlineStr">
        <is>
          <t>11-001-0478-2030-L</t>
        </is>
      </c>
      <c r="D127" s="5">
        <f>IF($I2="","",INDEX(Productos!$B:$B,$I2))</f>
        <v/>
      </c>
      <c r="E127" s="5">
        <f>IF($I2="","",INDEX(Productos!$H:$H,$I2))</f>
        <v/>
      </c>
      <c r="F127" s="5">
        <f>IF($I2="","",INDEX(Productos!$I:$I,$I2))</f>
        <v/>
      </c>
      <c r="G127" s="135" t="n">
        <v>1</v>
      </c>
      <c r="H127" s="5">
        <f>IF($I2="","",INDEX(Productos!$AG:$AG,$I2))</f>
        <v/>
      </c>
      <c r="I127" s="136">
        <f>LET(_xlpm.r,Productos!$E$2:$E$2509,_xlpm.m,IFERROR(_xlfn.XMATCH(C127,_xlpm.r),IFERROR(_xlfn.XMATCH(VALUE(C127),_xlpm.r),0)),IF(_xlpm.m=0,"",_xlpm.m+1))</f>
        <v/>
      </c>
      <c r="J127" s="137" t="inlineStr">
        <is>
          <t>NetSuite</t>
        </is>
      </c>
    </row>
    <row r="128">
      <c r="A128" s="5" t="inlineStr">
        <is>
          <t>B25 STETSON.MX</t>
        </is>
      </c>
      <c r="B128" s="5">
        <f>IF($I2="","",INDEX(Productos!$A:$A,$I2))</f>
        <v/>
      </c>
      <c r="C128" s="134" t="inlineStr">
        <is>
          <t>11-001-0478-2030-S</t>
        </is>
      </c>
      <c r="D128" s="5">
        <f>IF($I2="","",INDEX(Productos!$B:$B,$I2))</f>
        <v/>
      </c>
      <c r="E128" s="5">
        <f>IF($I2="","",INDEX(Productos!$H:$H,$I2))</f>
        <v/>
      </c>
      <c r="F128" s="5">
        <f>IF($I2="","",INDEX(Productos!$I:$I,$I2))</f>
        <v/>
      </c>
      <c r="G128" s="135" t="n">
        <v>2</v>
      </c>
      <c r="H128" s="5">
        <f>IF($I2="","",INDEX(Productos!$AG:$AG,$I2))</f>
        <v/>
      </c>
      <c r="I128" s="136">
        <f>LET(_xlpm.r,Productos!$E$2:$E$2509,_xlpm.m,IFERROR(_xlfn.XMATCH(C128,_xlpm.r),IFERROR(_xlfn.XMATCH(VALUE(C128),_xlpm.r),0)),IF(_xlpm.m=0,"",_xlpm.m+1))</f>
        <v/>
      </c>
      <c r="J128" s="137" t="inlineStr">
        <is>
          <t>NetSuite</t>
        </is>
      </c>
    </row>
    <row r="129">
      <c r="A129" s="5" t="inlineStr">
        <is>
          <t>B25 STETSON.MX</t>
        </is>
      </c>
      <c r="B129" s="5">
        <f>IF($I2="","",INDEX(Productos!$A:$A,$I2))</f>
        <v/>
      </c>
      <c r="C129" s="134" t="inlineStr">
        <is>
          <t>11-001-0478-2030-XL</t>
        </is>
      </c>
      <c r="D129" s="5">
        <f>IF($I2="","",INDEX(Productos!$B:$B,$I2))</f>
        <v/>
      </c>
      <c r="E129" s="5">
        <f>IF($I2="","",INDEX(Productos!$H:$H,$I2))</f>
        <v/>
      </c>
      <c r="F129" s="5">
        <f>IF($I2="","",INDEX(Productos!$I:$I,$I2))</f>
        <v/>
      </c>
      <c r="G129" s="135" t="n">
        <v>1</v>
      </c>
      <c r="H129" s="5">
        <f>IF($I2="","",INDEX(Productos!$AG:$AG,$I2))</f>
        <v/>
      </c>
      <c r="I129" s="136">
        <f>LET(_xlpm.r,Productos!$E$2:$E$2509,_xlpm.m,IFERROR(_xlfn.XMATCH(C129,_xlpm.r),IFERROR(_xlfn.XMATCH(VALUE(C129),_xlpm.r),0)),IF(_xlpm.m=0,"",_xlpm.m+1))</f>
        <v/>
      </c>
      <c r="J129" s="137" t="inlineStr">
        <is>
          <t>NetSuite</t>
        </is>
      </c>
    </row>
    <row r="130">
      <c r="A130" s="5" t="inlineStr">
        <is>
          <t>B25 STETSON.MX</t>
        </is>
      </c>
      <c r="B130" s="5">
        <f>IF($I2="","",INDEX(Productos!$A:$A,$I2))</f>
        <v/>
      </c>
      <c r="C130" s="134" t="inlineStr">
        <is>
          <t>11-001-0478-2031-2XL</t>
        </is>
      </c>
      <c r="D130" s="5">
        <f>IF($I2="","",INDEX(Productos!$B:$B,$I2))</f>
        <v/>
      </c>
      <c r="E130" s="5">
        <f>IF($I2="","",INDEX(Productos!$H:$H,$I2))</f>
        <v/>
      </c>
      <c r="F130" s="5">
        <f>IF($I2="","",INDEX(Productos!$I:$I,$I2))</f>
        <v/>
      </c>
      <c r="G130" s="135" t="n">
        <v>2</v>
      </c>
      <c r="H130" s="5">
        <f>IF($I2="","",INDEX(Productos!$AG:$AG,$I2))</f>
        <v/>
      </c>
      <c r="I130" s="136">
        <f>LET(_xlpm.r,Productos!$E$2:$E$2509,_xlpm.m,IFERROR(_xlfn.XMATCH(C130,_xlpm.r),IFERROR(_xlfn.XMATCH(VALUE(C130),_xlpm.r),0)),IF(_xlpm.m=0,"",_xlpm.m+1))</f>
        <v/>
      </c>
      <c r="J130" s="137" t="inlineStr">
        <is>
          <t>NetSuite</t>
        </is>
      </c>
    </row>
    <row r="131">
      <c r="A131" s="5" t="inlineStr">
        <is>
          <t>B25 STETSON.MX</t>
        </is>
      </c>
      <c r="B131" s="5">
        <f>IF($I2="","",INDEX(Productos!$A:$A,$I2))</f>
        <v/>
      </c>
      <c r="C131" s="134" t="inlineStr">
        <is>
          <t>11-001-0478-2031-S</t>
        </is>
      </c>
      <c r="D131" s="5">
        <f>IF($I2="","",INDEX(Productos!$B:$B,$I2))</f>
        <v/>
      </c>
      <c r="E131" s="5">
        <f>IF($I2="","",INDEX(Productos!$H:$H,$I2))</f>
        <v/>
      </c>
      <c r="F131" s="5">
        <f>IF($I2="","",INDEX(Productos!$I:$I,$I2))</f>
        <v/>
      </c>
      <c r="G131" s="135" t="n">
        <v>1</v>
      </c>
      <c r="H131" s="5">
        <f>IF($I2="","",INDEX(Productos!$AG:$AG,$I2))</f>
        <v/>
      </c>
      <c r="I131" s="136">
        <f>LET(_xlpm.r,Productos!$E$2:$E$2509,_xlpm.m,IFERROR(_xlfn.XMATCH(C131,_xlpm.r),IFERROR(_xlfn.XMATCH(VALUE(C131),_xlpm.r),0)),IF(_xlpm.m=0,"",_xlpm.m+1))</f>
        <v/>
      </c>
      <c r="J131" s="137" t="inlineStr">
        <is>
          <t>NetSuite</t>
        </is>
      </c>
    </row>
    <row r="132">
      <c r="A132" s="5" t="inlineStr">
        <is>
          <t>B25 STETSON.MX</t>
        </is>
      </c>
      <c r="B132" s="5">
        <f>IF($I2="","",INDEX(Productos!$A:$A,$I2))</f>
        <v/>
      </c>
      <c r="C132" s="134" t="inlineStr">
        <is>
          <t>11-001-0478-2031-XL</t>
        </is>
      </c>
      <c r="D132" s="5">
        <f>IF($I2="","",INDEX(Productos!$B:$B,$I2))</f>
        <v/>
      </c>
      <c r="E132" s="5">
        <f>IF($I2="","",INDEX(Productos!$H:$H,$I2))</f>
        <v/>
      </c>
      <c r="F132" s="5">
        <f>IF($I2="","",INDEX(Productos!$I:$I,$I2))</f>
        <v/>
      </c>
      <c r="G132" s="135" t="n">
        <v>2</v>
      </c>
      <c r="H132" s="5">
        <f>IF($I2="","",INDEX(Productos!$AG:$AG,$I2))</f>
        <v/>
      </c>
      <c r="I132" s="136">
        <f>LET(_xlpm.r,Productos!$E$2:$E$2509,_xlpm.m,IFERROR(_xlfn.XMATCH(C132,_xlpm.r),IFERROR(_xlfn.XMATCH(VALUE(C132),_xlpm.r),0)),IF(_xlpm.m=0,"",_xlpm.m+1))</f>
        <v/>
      </c>
      <c r="J132" s="137" t="inlineStr">
        <is>
          <t>NetSuite</t>
        </is>
      </c>
    </row>
    <row r="133">
      <c r="A133" s="5" t="inlineStr">
        <is>
          <t>B25 STETSON.MX</t>
        </is>
      </c>
      <c r="B133" s="5">
        <f>IF($I2="","",INDEX(Productos!$A:$A,$I2))</f>
        <v/>
      </c>
      <c r="C133" s="134" t="inlineStr">
        <is>
          <t>11-001-0478-2033-2XL</t>
        </is>
      </c>
      <c r="D133" s="5">
        <f>IF($I2="","",INDEX(Productos!$B:$B,$I2))</f>
        <v/>
      </c>
      <c r="E133" s="5">
        <f>IF($I2="","",INDEX(Productos!$H:$H,$I2))</f>
        <v/>
      </c>
      <c r="F133" s="5">
        <f>IF($I2="","",INDEX(Productos!$I:$I,$I2))</f>
        <v/>
      </c>
      <c r="G133" s="135" t="n">
        <v>2</v>
      </c>
      <c r="H133" s="5">
        <f>IF($I2="","",INDEX(Productos!$AG:$AG,$I2))</f>
        <v/>
      </c>
      <c r="I133" s="136">
        <f>LET(_xlpm.r,Productos!$E$2:$E$2509,_xlpm.m,IFERROR(_xlfn.XMATCH(C133,_xlpm.r),IFERROR(_xlfn.XMATCH(VALUE(C133),_xlpm.r),0)),IF(_xlpm.m=0,"",_xlpm.m+1))</f>
        <v/>
      </c>
      <c r="J133" s="137" t="inlineStr">
        <is>
          <t>NetSuite</t>
        </is>
      </c>
    </row>
    <row r="134">
      <c r="A134" s="5" t="inlineStr">
        <is>
          <t>B25 STETSON.MX</t>
        </is>
      </c>
      <c r="B134" s="5">
        <f>IF($I2="","",INDEX(Productos!$A:$A,$I2))</f>
        <v/>
      </c>
      <c r="C134" s="134" t="inlineStr">
        <is>
          <t>11-001-0478-2033-XL</t>
        </is>
      </c>
      <c r="D134" s="5">
        <f>IF($I2="","",INDEX(Productos!$B:$B,$I2))</f>
        <v/>
      </c>
      <c r="E134" s="5">
        <f>IF($I2="","",INDEX(Productos!$H:$H,$I2))</f>
        <v/>
      </c>
      <c r="F134" s="5">
        <f>IF($I2="","",INDEX(Productos!$I:$I,$I2))</f>
        <v/>
      </c>
      <c r="G134" s="135" t="n">
        <v>1</v>
      </c>
      <c r="H134" s="5">
        <f>IF($I2="","",INDEX(Productos!$AG:$AG,$I2))</f>
        <v/>
      </c>
      <c r="I134" s="136">
        <f>LET(_xlpm.r,Productos!$E$2:$E$2509,_xlpm.m,IFERROR(_xlfn.XMATCH(C134,_xlpm.r),IFERROR(_xlfn.XMATCH(VALUE(C134),_xlpm.r),0)),IF(_xlpm.m=0,"",_xlpm.m+1))</f>
        <v/>
      </c>
      <c r="J134" s="137" t="inlineStr">
        <is>
          <t>NetSuite</t>
        </is>
      </c>
    </row>
    <row r="135">
      <c r="A135" s="5" t="inlineStr">
        <is>
          <t>B25 STETSON.MX</t>
        </is>
      </c>
      <c r="B135" s="5">
        <f>IF($I2="","",INDEX(Productos!$A:$A,$I2))</f>
        <v/>
      </c>
      <c r="C135" s="134" t="inlineStr">
        <is>
          <t>11-001-0526-2051-2XL</t>
        </is>
      </c>
      <c r="D135" s="5">
        <f>IF($I2="","",INDEX(Productos!$B:$B,$I2))</f>
        <v/>
      </c>
      <c r="E135" s="5">
        <f>IF($I2="","",INDEX(Productos!$H:$H,$I2))</f>
        <v/>
      </c>
      <c r="F135" s="5">
        <f>IF($I2="","",INDEX(Productos!$I:$I,$I2))</f>
        <v/>
      </c>
      <c r="G135" s="135" t="n">
        <v>1</v>
      </c>
      <c r="H135" s="5">
        <f>IF($I2="","",INDEX(Productos!$AG:$AG,$I2))</f>
        <v/>
      </c>
      <c r="I135" s="136">
        <f>LET(_xlpm.r,Productos!$E$2:$E$2509,_xlpm.m,IFERROR(_xlfn.XMATCH(C135,_xlpm.r),IFERROR(_xlfn.XMATCH(VALUE(C135),_xlpm.r),0)),IF(_xlpm.m=0,"",_xlpm.m+1))</f>
        <v/>
      </c>
      <c r="J135" s="137" t="inlineStr">
        <is>
          <t>NetSuite</t>
        </is>
      </c>
    </row>
    <row r="136">
      <c r="A136" s="5" t="inlineStr">
        <is>
          <t>B25 STETSON.MX</t>
        </is>
      </c>
      <c r="B136" s="5">
        <f>IF($I2="","",INDEX(Productos!$A:$A,$I2))</f>
        <v/>
      </c>
      <c r="C136" s="134" t="inlineStr">
        <is>
          <t>11-001-0526-2051-L</t>
        </is>
      </c>
      <c r="D136" s="5">
        <f>IF($I2="","",INDEX(Productos!$B:$B,$I2))</f>
        <v/>
      </c>
      <c r="E136" s="5">
        <f>IF($I2="","",INDEX(Productos!$H:$H,$I2))</f>
        <v/>
      </c>
      <c r="F136" s="5">
        <f>IF($I2="","",INDEX(Productos!$I:$I,$I2))</f>
        <v/>
      </c>
      <c r="G136" s="135" t="n">
        <v>1</v>
      </c>
      <c r="H136" s="5">
        <f>IF($I2="","",INDEX(Productos!$AG:$AG,$I2))</f>
        <v/>
      </c>
      <c r="I136" s="136">
        <f>LET(_xlpm.r,Productos!$E$2:$E$2509,_xlpm.m,IFERROR(_xlfn.XMATCH(C136,_xlpm.r),IFERROR(_xlfn.XMATCH(VALUE(C136),_xlpm.r),0)),IF(_xlpm.m=0,"",_xlpm.m+1))</f>
        <v/>
      </c>
      <c r="J136" s="137" t="inlineStr">
        <is>
          <t>NetSuite</t>
        </is>
      </c>
    </row>
    <row r="137">
      <c r="A137" s="5" t="inlineStr">
        <is>
          <t>B25 STETSON.MX</t>
        </is>
      </c>
      <c r="B137" s="5">
        <f>IF($I2="","",INDEX(Productos!$A:$A,$I2))</f>
        <v/>
      </c>
      <c r="C137" s="134" t="inlineStr">
        <is>
          <t>11-001-0526-2051-M</t>
        </is>
      </c>
      <c r="D137" s="5">
        <f>IF($I2="","",INDEX(Productos!$B:$B,$I2))</f>
        <v/>
      </c>
      <c r="E137" s="5">
        <f>IF($I2="","",INDEX(Productos!$H:$H,$I2))</f>
        <v/>
      </c>
      <c r="F137" s="5">
        <f>IF($I2="","",INDEX(Productos!$I:$I,$I2))</f>
        <v/>
      </c>
      <c r="G137" s="135" t="n">
        <v>1</v>
      </c>
      <c r="H137" s="5">
        <f>IF($I2="","",INDEX(Productos!$AG:$AG,$I2))</f>
        <v/>
      </c>
      <c r="I137" s="136">
        <f>LET(_xlpm.r,Productos!$E$2:$E$2509,_xlpm.m,IFERROR(_xlfn.XMATCH(C137,_xlpm.r),IFERROR(_xlfn.XMATCH(VALUE(C137),_xlpm.r),0)),IF(_xlpm.m=0,"",_xlpm.m+1))</f>
        <v/>
      </c>
      <c r="J137" s="137" t="inlineStr">
        <is>
          <t>NetSuite</t>
        </is>
      </c>
    </row>
    <row r="138">
      <c r="A138" s="5" t="inlineStr">
        <is>
          <t>B25 STETSON.MX</t>
        </is>
      </c>
      <c r="B138" s="5">
        <f>IF($I2="","",INDEX(Productos!$A:$A,$I2))</f>
        <v/>
      </c>
      <c r="C138" s="134" t="inlineStr">
        <is>
          <t>11-001-0526-2051-S</t>
        </is>
      </c>
      <c r="D138" s="5">
        <f>IF($I2="","",INDEX(Productos!$B:$B,$I2))</f>
        <v/>
      </c>
      <c r="E138" s="5">
        <f>IF($I2="","",INDEX(Productos!$H:$H,$I2))</f>
        <v/>
      </c>
      <c r="F138" s="5">
        <f>IF($I2="","",INDEX(Productos!$I:$I,$I2))</f>
        <v/>
      </c>
      <c r="G138" s="135" t="n">
        <v>1</v>
      </c>
      <c r="H138" s="5">
        <f>IF($I2="","",INDEX(Productos!$AG:$AG,$I2))</f>
        <v/>
      </c>
      <c r="I138" s="136">
        <f>LET(_xlpm.r,Productos!$E$2:$E$2509,_xlpm.m,IFERROR(_xlfn.XMATCH(C138,_xlpm.r),IFERROR(_xlfn.XMATCH(VALUE(C138),_xlpm.r),0)),IF(_xlpm.m=0,"",_xlpm.m+1))</f>
        <v/>
      </c>
      <c r="J138" s="137" t="inlineStr">
        <is>
          <t>NetSuite</t>
        </is>
      </c>
    </row>
    <row r="139">
      <c r="A139" s="5" t="inlineStr">
        <is>
          <t>B25 STETSON.MX</t>
        </is>
      </c>
      <c r="B139" s="5">
        <f>IF($I2="","",INDEX(Productos!$A:$A,$I2))</f>
        <v/>
      </c>
      <c r="C139" s="134" t="inlineStr">
        <is>
          <t>11-001-0526-2067-2XL</t>
        </is>
      </c>
      <c r="D139" s="5">
        <f>IF($I2="","",INDEX(Productos!$B:$B,$I2))</f>
        <v/>
      </c>
      <c r="E139" s="5">
        <f>IF($I2="","",INDEX(Productos!$H:$H,$I2))</f>
        <v/>
      </c>
      <c r="F139" s="5">
        <f>IF($I2="","",INDEX(Productos!$I:$I,$I2))</f>
        <v/>
      </c>
      <c r="G139" s="135" t="n">
        <v>2</v>
      </c>
      <c r="H139" s="5">
        <f>IF($I2="","",INDEX(Productos!$AG:$AG,$I2))</f>
        <v/>
      </c>
      <c r="I139" s="136">
        <f>LET(_xlpm.r,Productos!$E$2:$E$2509,_xlpm.m,IFERROR(_xlfn.XMATCH(C139,_xlpm.r),IFERROR(_xlfn.XMATCH(VALUE(C139),_xlpm.r),0)),IF(_xlpm.m=0,"",_xlpm.m+1))</f>
        <v/>
      </c>
      <c r="J139" s="137" t="inlineStr">
        <is>
          <t>NetSuite</t>
        </is>
      </c>
    </row>
    <row r="140">
      <c r="A140" s="5" t="inlineStr">
        <is>
          <t>B25 STETSON.MX</t>
        </is>
      </c>
      <c r="B140" s="5">
        <f>IF($I2="","",INDEX(Productos!$A:$A,$I2))</f>
        <v/>
      </c>
      <c r="C140" s="134" t="inlineStr">
        <is>
          <t>11-001-0526-2067-L</t>
        </is>
      </c>
      <c r="D140" s="5">
        <f>IF($I2="","",INDEX(Productos!$B:$B,$I2))</f>
        <v/>
      </c>
      <c r="E140" s="5">
        <f>IF($I2="","",INDEX(Productos!$H:$H,$I2))</f>
        <v/>
      </c>
      <c r="F140" s="5">
        <f>IF($I2="","",INDEX(Productos!$I:$I,$I2))</f>
        <v/>
      </c>
      <c r="G140" s="135" t="n">
        <v>2</v>
      </c>
      <c r="H140" s="5">
        <f>IF($I2="","",INDEX(Productos!$AG:$AG,$I2))</f>
        <v/>
      </c>
      <c r="I140" s="136">
        <f>LET(_xlpm.r,Productos!$E$2:$E$2509,_xlpm.m,IFERROR(_xlfn.XMATCH(C140,_xlpm.r),IFERROR(_xlfn.XMATCH(VALUE(C140),_xlpm.r),0)),IF(_xlpm.m=0,"",_xlpm.m+1))</f>
        <v/>
      </c>
      <c r="J140" s="137" t="inlineStr">
        <is>
          <t>NetSuite</t>
        </is>
      </c>
    </row>
    <row r="141">
      <c r="A141" s="5" t="inlineStr">
        <is>
          <t>B25 STETSON.MX</t>
        </is>
      </c>
      <c r="B141" s="5">
        <f>IF($I2="","",INDEX(Productos!$A:$A,$I2))</f>
        <v/>
      </c>
      <c r="C141" s="134" t="inlineStr">
        <is>
          <t>11-001-0526-2067-M</t>
        </is>
      </c>
      <c r="D141" s="5">
        <f>IF($I2="","",INDEX(Productos!$B:$B,$I2))</f>
        <v/>
      </c>
      <c r="E141" s="5">
        <f>IF($I2="","",INDEX(Productos!$H:$H,$I2))</f>
        <v/>
      </c>
      <c r="F141" s="5">
        <f>IF($I2="","",INDEX(Productos!$I:$I,$I2))</f>
        <v/>
      </c>
      <c r="G141" s="135" t="n">
        <v>3</v>
      </c>
      <c r="H141" s="5">
        <f>IF($I2="","",INDEX(Productos!$AG:$AG,$I2))</f>
        <v/>
      </c>
      <c r="I141" s="136">
        <f>LET(_xlpm.r,Productos!$E$2:$E$2509,_xlpm.m,IFERROR(_xlfn.XMATCH(C141,_xlpm.r),IFERROR(_xlfn.XMATCH(VALUE(C141),_xlpm.r),0)),IF(_xlpm.m=0,"",_xlpm.m+1))</f>
        <v/>
      </c>
      <c r="J141" s="137" t="inlineStr">
        <is>
          <t>NetSuite</t>
        </is>
      </c>
    </row>
    <row r="142">
      <c r="A142" s="5" t="inlineStr">
        <is>
          <t>B25 STETSON.MX</t>
        </is>
      </c>
      <c r="B142" s="5">
        <f>IF($I2="","",INDEX(Productos!$A:$A,$I2))</f>
        <v/>
      </c>
      <c r="C142" s="134" t="inlineStr">
        <is>
          <t>11-001-0526-2067-S</t>
        </is>
      </c>
      <c r="D142" s="5">
        <f>IF($I2="","",INDEX(Productos!$B:$B,$I2))</f>
        <v/>
      </c>
      <c r="E142" s="5">
        <f>IF($I2="","",INDEX(Productos!$H:$H,$I2))</f>
        <v/>
      </c>
      <c r="F142" s="5">
        <f>IF($I2="","",INDEX(Productos!$I:$I,$I2))</f>
        <v/>
      </c>
      <c r="G142" s="135" t="n">
        <v>2</v>
      </c>
      <c r="H142" s="5">
        <f>IF($I2="","",INDEX(Productos!$AG:$AG,$I2))</f>
        <v/>
      </c>
      <c r="I142" s="136">
        <f>LET(_xlpm.r,Productos!$E$2:$E$2509,_xlpm.m,IFERROR(_xlfn.XMATCH(C142,_xlpm.r),IFERROR(_xlfn.XMATCH(VALUE(C142),_xlpm.r),0)),IF(_xlpm.m=0,"",_xlpm.m+1))</f>
        <v/>
      </c>
      <c r="J142" s="137" t="inlineStr">
        <is>
          <t>NetSuite</t>
        </is>
      </c>
    </row>
    <row r="143">
      <c r="A143" s="5" t="inlineStr">
        <is>
          <t>B25 STETSON.MX</t>
        </is>
      </c>
      <c r="B143" s="5">
        <f>IF($I2="","",INDEX(Productos!$A:$A,$I2))</f>
        <v/>
      </c>
      <c r="C143" s="134" t="inlineStr">
        <is>
          <t>11-001-0526-2067-XL</t>
        </is>
      </c>
      <c r="D143" s="5">
        <f>IF($I2="","",INDEX(Productos!$B:$B,$I2))</f>
        <v/>
      </c>
      <c r="E143" s="5">
        <f>IF($I2="","",INDEX(Productos!$H:$H,$I2))</f>
        <v/>
      </c>
      <c r="F143" s="5">
        <f>IF($I2="","",INDEX(Productos!$I:$I,$I2))</f>
        <v/>
      </c>
      <c r="G143" s="135" t="n">
        <v>2</v>
      </c>
      <c r="H143" s="5">
        <f>IF($I2="","",INDEX(Productos!$AG:$AG,$I2))</f>
        <v/>
      </c>
      <c r="I143" s="136">
        <f>LET(_xlpm.r,Productos!$E$2:$E$2509,_xlpm.m,IFERROR(_xlfn.XMATCH(C143,_xlpm.r),IFERROR(_xlfn.XMATCH(VALUE(C143),_xlpm.r),0)),IF(_xlpm.m=0,"",_xlpm.m+1))</f>
        <v/>
      </c>
      <c r="J143" s="137" t="inlineStr">
        <is>
          <t>NetSuite</t>
        </is>
      </c>
    </row>
    <row r="144">
      <c r="A144" s="5" t="inlineStr">
        <is>
          <t>B25 STETSON.MX</t>
        </is>
      </c>
      <c r="B144" s="5">
        <f>IF($I2="","",INDEX(Productos!$A:$A,$I2))</f>
        <v/>
      </c>
      <c r="C144" s="134" t="inlineStr">
        <is>
          <t>11-002-0478-2030-2XL</t>
        </is>
      </c>
      <c r="D144" s="5">
        <f>IF($I2="","",INDEX(Productos!$B:$B,$I2))</f>
        <v/>
      </c>
      <c r="E144" s="5">
        <f>IF($I2="","",INDEX(Productos!$H:$H,$I2))</f>
        <v/>
      </c>
      <c r="F144" s="5">
        <f>IF($I2="","",INDEX(Productos!$I:$I,$I2))</f>
        <v/>
      </c>
      <c r="G144" s="135" t="n">
        <v>2</v>
      </c>
      <c r="H144" s="5">
        <f>IF($I2="","",INDEX(Productos!$AG:$AG,$I2))</f>
        <v/>
      </c>
      <c r="I144" s="136">
        <f>LET(_xlpm.r,Productos!$E$2:$E$2509,_xlpm.m,IFERROR(_xlfn.XMATCH(C144,_xlpm.r),IFERROR(_xlfn.XMATCH(VALUE(C144),_xlpm.r),0)),IF(_xlpm.m=0,"",_xlpm.m+1))</f>
        <v/>
      </c>
      <c r="J144" s="137" t="inlineStr">
        <is>
          <t>NetSuite</t>
        </is>
      </c>
    </row>
    <row r="145">
      <c r="A145" s="5" t="inlineStr">
        <is>
          <t>B25 STETSON.MX</t>
        </is>
      </c>
      <c r="B145" s="5">
        <f>IF($I2="","",INDEX(Productos!$A:$A,$I2))</f>
        <v/>
      </c>
      <c r="C145" s="134" t="inlineStr">
        <is>
          <t>11-002-0478-2030-M</t>
        </is>
      </c>
      <c r="D145" s="5">
        <f>IF($I2="","",INDEX(Productos!$B:$B,$I2))</f>
        <v/>
      </c>
      <c r="E145" s="5">
        <f>IF($I2="","",INDEX(Productos!$H:$H,$I2))</f>
        <v/>
      </c>
      <c r="F145" s="5">
        <f>IF($I2="","",INDEX(Productos!$I:$I,$I2))</f>
        <v/>
      </c>
      <c r="G145" s="135" t="n">
        <v>2</v>
      </c>
      <c r="H145" s="5">
        <f>IF($I2="","",INDEX(Productos!$AG:$AG,$I2))</f>
        <v/>
      </c>
      <c r="I145" s="136">
        <f>LET(_xlpm.r,Productos!$E$2:$E$2509,_xlpm.m,IFERROR(_xlfn.XMATCH(C145,_xlpm.r),IFERROR(_xlfn.XMATCH(VALUE(C145),_xlpm.r),0)),IF(_xlpm.m=0,"",_xlpm.m+1))</f>
        <v/>
      </c>
      <c r="J145" s="137" t="inlineStr">
        <is>
          <t>NetSuite</t>
        </is>
      </c>
    </row>
    <row r="146">
      <c r="A146" s="5" t="inlineStr">
        <is>
          <t>B25 STETSON.MX</t>
        </is>
      </c>
      <c r="B146" s="5">
        <f>IF($I2="","",INDEX(Productos!$A:$A,$I2))</f>
        <v/>
      </c>
      <c r="C146" s="134" t="inlineStr">
        <is>
          <t>11-002-0478-2030-S</t>
        </is>
      </c>
      <c r="D146" s="5">
        <f>IF($I2="","",INDEX(Productos!$B:$B,$I2))</f>
        <v/>
      </c>
      <c r="E146" s="5">
        <f>IF($I2="","",INDEX(Productos!$H:$H,$I2))</f>
        <v/>
      </c>
      <c r="F146" s="5">
        <f>IF($I2="","",INDEX(Productos!$I:$I,$I2))</f>
        <v/>
      </c>
      <c r="G146" s="135" t="n">
        <v>1</v>
      </c>
      <c r="H146" s="5">
        <f>IF($I2="","",INDEX(Productos!$AG:$AG,$I2))</f>
        <v/>
      </c>
      <c r="I146" s="136">
        <f>LET(_xlpm.r,Productos!$E$2:$E$2509,_xlpm.m,IFERROR(_xlfn.XMATCH(C146,_xlpm.r),IFERROR(_xlfn.XMATCH(VALUE(C146),_xlpm.r),0)),IF(_xlpm.m=0,"",_xlpm.m+1))</f>
        <v/>
      </c>
      <c r="J146" s="137" t="inlineStr">
        <is>
          <t>NetSuite</t>
        </is>
      </c>
    </row>
    <row r="147">
      <c r="A147" s="5" t="inlineStr">
        <is>
          <t>B25 STETSON.MX</t>
        </is>
      </c>
      <c r="B147" s="5">
        <f>IF($I2="","",INDEX(Productos!$A:$A,$I2))</f>
        <v/>
      </c>
      <c r="C147" s="134" t="inlineStr">
        <is>
          <t>11-002-0478-2030-XL</t>
        </is>
      </c>
      <c r="D147" s="5">
        <f>IF($I2="","",INDEX(Productos!$B:$B,$I2))</f>
        <v/>
      </c>
      <c r="E147" s="5">
        <f>IF($I2="","",INDEX(Productos!$H:$H,$I2))</f>
        <v/>
      </c>
      <c r="F147" s="5">
        <f>IF($I2="","",INDEX(Productos!$I:$I,$I2))</f>
        <v/>
      </c>
      <c r="G147" s="135" t="n">
        <v>2</v>
      </c>
      <c r="H147" s="5">
        <f>IF($I2="","",INDEX(Productos!$AG:$AG,$I2))</f>
        <v/>
      </c>
      <c r="I147" s="136">
        <f>LET(_xlpm.r,Productos!$E$2:$E$2509,_xlpm.m,IFERROR(_xlfn.XMATCH(C147,_xlpm.r),IFERROR(_xlfn.XMATCH(VALUE(C147),_xlpm.r),0)),IF(_xlpm.m=0,"",_xlpm.m+1))</f>
        <v/>
      </c>
      <c r="J147" s="137" t="inlineStr">
        <is>
          <t>NetSuite</t>
        </is>
      </c>
    </row>
    <row r="148">
      <c r="A148" s="5" t="inlineStr">
        <is>
          <t>B25 STETSON.MX</t>
        </is>
      </c>
      <c r="B148" s="5">
        <f>IF($I2="","",INDEX(Productos!$A:$A,$I2))</f>
        <v/>
      </c>
      <c r="C148" s="134" t="inlineStr">
        <is>
          <t>11-002-0526-2067-2XL</t>
        </is>
      </c>
      <c r="D148" s="5">
        <f>IF($I2="","",INDEX(Productos!$B:$B,$I2))</f>
        <v/>
      </c>
      <c r="E148" s="5">
        <f>IF($I2="","",INDEX(Productos!$H:$H,$I2))</f>
        <v/>
      </c>
      <c r="F148" s="5">
        <f>IF($I2="","",INDEX(Productos!$I:$I,$I2))</f>
        <v/>
      </c>
      <c r="G148" s="135" t="n">
        <v>2</v>
      </c>
      <c r="H148" s="5">
        <f>IF($I2="","",INDEX(Productos!$AG:$AG,$I2))</f>
        <v/>
      </c>
      <c r="I148" s="136">
        <f>LET(_xlpm.r,Productos!$E$2:$E$2509,_xlpm.m,IFERROR(_xlfn.XMATCH(C148,_xlpm.r),IFERROR(_xlfn.XMATCH(VALUE(C148),_xlpm.r),0)),IF(_xlpm.m=0,"",_xlpm.m+1))</f>
        <v/>
      </c>
      <c r="J148" s="137" t="inlineStr">
        <is>
          <t>NetSuite</t>
        </is>
      </c>
    </row>
    <row r="149">
      <c r="A149" s="5" t="inlineStr">
        <is>
          <t>B25 STETSON.MX</t>
        </is>
      </c>
      <c r="B149" s="5">
        <f>IF($I2="","",INDEX(Productos!$A:$A,$I2))</f>
        <v/>
      </c>
      <c r="C149" s="134" t="inlineStr">
        <is>
          <t>11-002-0526-2067-M</t>
        </is>
      </c>
      <c r="D149" s="5">
        <f>IF($I2="","",INDEX(Productos!$B:$B,$I2))</f>
        <v/>
      </c>
      <c r="E149" s="5">
        <f>IF($I2="","",INDEX(Productos!$H:$H,$I2))</f>
        <v/>
      </c>
      <c r="F149" s="5">
        <f>IF($I2="","",INDEX(Productos!$I:$I,$I2))</f>
        <v/>
      </c>
      <c r="G149" s="135" t="n">
        <v>1</v>
      </c>
      <c r="H149" s="5">
        <f>IF($I2="","",INDEX(Productos!$AG:$AG,$I2))</f>
        <v/>
      </c>
      <c r="I149" s="136">
        <f>LET(_xlpm.r,Productos!$E$2:$E$2509,_xlpm.m,IFERROR(_xlfn.XMATCH(C149,_xlpm.r),IFERROR(_xlfn.XMATCH(VALUE(C149),_xlpm.r),0)),IF(_xlpm.m=0,"",_xlpm.m+1))</f>
        <v/>
      </c>
      <c r="J149" s="137" t="inlineStr">
        <is>
          <t>NetSuite</t>
        </is>
      </c>
    </row>
    <row r="150">
      <c r="A150" s="5" t="inlineStr">
        <is>
          <t>B25 STETSON.MX</t>
        </is>
      </c>
      <c r="B150" s="5">
        <f>IF($I2="","",INDEX(Productos!$A:$A,$I2))</f>
        <v/>
      </c>
      <c r="C150" s="134" t="inlineStr">
        <is>
          <t>11-002-0526-2067-S</t>
        </is>
      </c>
      <c r="D150" s="5">
        <f>IF($I2="","",INDEX(Productos!$B:$B,$I2))</f>
        <v/>
      </c>
      <c r="E150" s="5">
        <f>IF($I2="","",INDEX(Productos!$H:$H,$I2))</f>
        <v/>
      </c>
      <c r="F150" s="5">
        <f>IF($I2="","",INDEX(Productos!$I:$I,$I2))</f>
        <v/>
      </c>
      <c r="G150" s="135" t="n">
        <v>2</v>
      </c>
      <c r="H150" s="5">
        <f>IF($I2="","",INDEX(Productos!$AG:$AG,$I2))</f>
        <v/>
      </c>
      <c r="I150" s="136">
        <f>LET(_xlpm.r,Productos!$E$2:$E$2509,_xlpm.m,IFERROR(_xlfn.XMATCH(C150,_xlpm.r),IFERROR(_xlfn.XMATCH(VALUE(C150),_xlpm.r),0)),IF(_xlpm.m=0,"",_xlpm.m+1))</f>
        <v/>
      </c>
      <c r="J150" s="137" t="inlineStr">
        <is>
          <t>NetSuite</t>
        </is>
      </c>
    </row>
    <row r="151">
      <c r="A151" s="5" t="inlineStr">
        <is>
          <t>B25 STETSON.MX</t>
        </is>
      </c>
      <c r="B151" s="5">
        <f>IF($I2="","",INDEX(Productos!$A:$A,$I2))</f>
        <v/>
      </c>
      <c r="C151" s="134" t="inlineStr">
        <is>
          <t>11-002-0526-2067-XL</t>
        </is>
      </c>
      <c r="D151" s="5">
        <f>IF($I2="","",INDEX(Productos!$B:$B,$I2))</f>
        <v/>
      </c>
      <c r="E151" s="5">
        <f>IF($I2="","",INDEX(Productos!$H:$H,$I2))</f>
        <v/>
      </c>
      <c r="F151" s="5">
        <f>IF($I2="","",INDEX(Productos!$I:$I,$I2))</f>
        <v/>
      </c>
      <c r="G151" s="135" t="n">
        <v>2</v>
      </c>
      <c r="H151" s="5">
        <f>IF($I2="","",INDEX(Productos!$AG:$AG,$I2))</f>
        <v/>
      </c>
      <c r="I151" s="136">
        <f>LET(_xlpm.r,Productos!$E$2:$E$2509,_xlpm.m,IFERROR(_xlfn.XMATCH(C151,_xlpm.r),IFERROR(_xlfn.XMATCH(VALUE(C151),_xlpm.r),0)),IF(_xlpm.m=0,"",_xlpm.m+1))</f>
        <v/>
      </c>
      <c r="J151" s="137" t="inlineStr">
        <is>
          <t>NetSuite</t>
        </is>
      </c>
    </row>
    <row r="152">
      <c r="A152" s="5" t="inlineStr">
        <is>
          <t>B25 STETSON.MX</t>
        </is>
      </c>
      <c r="B152" s="5">
        <f>IF($I2="","",INDEX(Productos!$A:$A,$I2))</f>
        <v/>
      </c>
      <c r="C152" s="134" t="inlineStr">
        <is>
          <t>11-030-0489-0025-L</t>
        </is>
      </c>
      <c r="D152" s="5">
        <f>IF($I2="","",INDEX(Productos!$B:$B,$I2))</f>
        <v/>
      </c>
      <c r="E152" s="5">
        <f>IF($I2="","",INDEX(Productos!$H:$H,$I2))</f>
        <v/>
      </c>
      <c r="F152" s="5">
        <f>IF($I2="","",INDEX(Productos!$I:$I,$I2))</f>
        <v/>
      </c>
      <c r="G152" s="135" t="n">
        <v>2</v>
      </c>
      <c r="H152" s="5">
        <f>IF($I2="","",INDEX(Productos!$AG:$AG,$I2))</f>
        <v/>
      </c>
      <c r="I152" s="136">
        <f>LET(_xlpm.r,Productos!$E$2:$E$2509,_xlpm.m,IFERROR(_xlfn.XMATCH(C152,_xlpm.r),IFERROR(_xlfn.XMATCH(VALUE(C152),_xlpm.r),0)),IF(_xlpm.m=0,"",_xlpm.m+1))</f>
        <v/>
      </c>
      <c r="J152" s="137" t="inlineStr">
        <is>
          <t>NetSuite</t>
        </is>
      </c>
    </row>
    <row r="153">
      <c r="A153" s="5" t="inlineStr">
        <is>
          <t>B25 STETSON.MX</t>
        </is>
      </c>
      <c r="B153" s="5">
        <f>IF($I2="","",INDEX(Productos!$A:$A,$I2))</f>
        <v/>
      </c>
      <c r="C153" s="134" t="inlineStr">
        <is>
          <t>11-030-0489-0025-S</t>
        </is>
      </c>
      <c r="D153" s="5">
        <f>IF($I2="","",INDEX(Productos!$B:$B,$I2))</f>
        <v/>
      </c>
      <c r="E153" s="5">
        <f>IF($I2="","",INDEX(Productos!$H:$H,$I2))</f>
        <v/>
      </c>
      <c r="F153" s="5">
        <f>IF($I2="","",INDEX(Productos!$I:$I,$I2))</f>
        <v/>
      </c>
      <c r="G153" s="135" t="n">
        <v>2</v>
      </c>
      <c r="H153" s="5">
        <f>IF($I2="","",INDEX(Productos!$AG:$AG,$I2))</f>
        <v/>
      </c>
      <c r="I153" s="136">
        <f>LET(_xlpm.r,Productos!$E$2:$E$2509,_xlpm.m,IFERROR(_xlfn.XMATCH(C153,_xlpm.r),IFERROR(_xlfn.XMATCH(VALUE(C153),_xlpm.r),0)),IF(_xlpm.m=0,"",_xlpm.m+1))</f>
        <v/>
      </c>
      <c r="J153" s="137" t="inlineStr">
        <is>
          <t>NetSuite</t>
        </is>
      </c>
    </row>
    <row r="154">
      <c r="A154" s="5" t="inlineStr">
        <is>
          <t>B25 STETSON.MX</t>
        </is>
      </c>
      <c r="B154" s="5">
        <f>IF($I2="","",INDEX(Productos!$A:$A,$I2))</f>
        <v/>
      </c>
      <c r="C154" s="134" t="inlineStr">
        <is>
          <t>11-030-0489-0025-XL</t>
        </is>
      </c>
      <c r="D154" s="5">
        <f>IF($I2="","",INDEX(Productos!$B:$B,$I2))</f>
        <v/>
      </c>
      <c r="E154" s="5">
        <f>IF($I2="","",INDEX(Productos!$H:$H,$I2))</f>
        <v/>
      </c>
      <c r="F154" s="5">
        <f>IF($I2="","",INDEX(Productos!$I:$I,$I2))</f>
        <v/>
      </c>
      <c r="G154" s="135" t="n">
        <v>2</v>
      </c>
      <c r="H154" s="5">
        <f>IF($I2="","",INDEX(Productos!$AG:$AG,$I2))</f>
        <v/>
      </c>
      <c r="I154" s="136">
        <f>LET(_xlpm.r,Productos!$E$2:$E$2509,_xlpm.m,IFERROR(_xlfn.XMATCH(C154,_xlpm.r),IFERROR(_xlfn.XMATCH(VALUE(C154),_xlpm.r),0)),IF(_xlpm.m=0,"",_xlpm.m+1))</f>
        <v/>
      </c>
      <c r="J154" s="137" t="inlineStr">
        <is>
          <t>NetSuite</t>
        </is>
      </c>
    </row>
    <row r="155">
      <c r="A155" s="5" t="inlineStr">
        <is>
          <t>B25 STETSON.MX</t>
        </is>
      </c>
      <c r="B155" s="5">
        <f>IF($I2="","",INDEX(Productos!$A:$A,$I2))</f>
        <v/>
      </c>
      <c r="C155" s="134" t="inlineStr">
        <is>
          <t>11-030-0489-1022-L</t>
        </is>
      </c>
      <c r="D155" s="5">
        <f>IF($I2="","",INDEX(Productos!$B:$B,$I2))</f>
        <v/>
      </c>
      <c r="E155" s="5">
        <f>IF($I2="","",INDEX(Productos!$H:$H,$I2))</f>
        <v/>
      </c>
      <c r="F155" s="5">
        <f>IF($I2="","",INDEX(Productos!$I:$I,$I2))</f>
        <v/>
      </c>
      <c r="G155" s="135" t="n">
        <v>2</v>
      </c>
      <c r="H155" s="5">
        <f>IF($I2="","",INDEX(Productos!$AG:$AG,$I2))</f>
        <v/>
      </c>
      <c r="I155" s="136">
        <f>LET(_xlpm.r,Productos!$E$2:$E$2509,_xlpm.m,IFERROR(_xlfn.XMATCH(C155,_xlpm.r),IFERROR(_xlfn.XMATCH(VALUE(C155),_xlpm.r),0)),IF(_xlpm.m=0,"",_xlpm.m+1))</f>
        <v/>
      </c>
      <c r="J155" s="137" t="inlineStr">
        <is>
          <t>NetSuite</t>
        </is>
      </c>
    </row>
    <row r="156">
      <c r="A156" s="5" t="inlineStr">
        <is>
          <t>B25 STETSON.MX</t>
        </is>
      </c>
      <c r="B156" s="5">
        <f>IF($I2="","",INDEX(Productos!$A:$A,$I2))</f>
        <v/>
      </c>
      <c r="C156" s="134" t="inlineStr">
        <is>
          <t>11-030-0489-1022-M</t>
        </is>
      </c>
      <c r="D156" s="5">
        <f>IF($I2="","",INDEX(Productos!$B:$B,$I2))</f>
        <v/>
      </c>
      <c r="E156" s="5">
        <f>IF($I2="","",INDEX(Productos!$H:$H,$I2))</f>
        <v/>
      </c>
      <c r="F156" s="5">
        <f>IF($I2="","",INDEX(Productos!$I:$I,$I2))</f>
        <v/>
      </c>
      <c r="G156" s="135" t="n">
        <v>2</v>
      </c>
      <c r="H156" s="5">
        <f>IF($I2="","",INDEX(Productos!$AG:$AG,$I2))</f>
        <v/>
      </c>
      <c r="I156" s="136">
        <f>LET(_xlpm.r,Productos!$E$2:$E$2509,_xlpm.m,IFERROR(_xlfn.XMATCH(C156,_xlpm.r),IFERROR(_xlfn.XMATCH(VALUE(C156),_xlpm.r),0)),IF(_xlpm.m=0,"",_xlpm.m+1))</f>
        <v/>
      </c>
      <c r="J156" s="137" t="inlineStr">
        <is>
          <t>NetSuite</t>
        </is>
      </c>
    </row>
    <row r="157">
      <c r="A157" s="5" t="inlineStr">
        <is>
          <t>B25 STETSON.MX</t>
        </is>
      </c>
      <c r="B157" s="5">
        <f>IF($I2="","",INDEX(Productos!$A:$A,$I2))</f>
        <v/>
      </c>
      <c r="C157" s="134" t="inlineStr">
        <is>
          <t>11-030-0489-1022-S</t>
        </is>
      </c>
      <c r="D157" s="5">
        <f>IF($I2="","",INDEX(Productos!$B:$B,$I2))</f>
        <v/>
      </c>
      <c r="E157" s="5">
        <f>IF($I2="","",INDEX(Productos!$H:$H,$I2))</f>
        <v/>
      </c>
      <c r="F157" s="5">
        <f>IF($I2="","",INDEX(Productos!$I:$I,$I2))</f>
        <v/>
      </c>
      <c r="G157" s="135" t="n">
        <v>2</v>
      </c>
      <c r="H157" s="5">
        <f>IF($I2="","",INDEX(Productos!$AG:$AG,$I2))</f>
        <v/>
      </c>
      <c r="I157" s="136">
        <f>LET(_xlpm.r,Productos!$E$2:$E$2509,_xlpm.m,IFERROR(_xlfn.XMATCH(C157,_xlpm.r),IFERROR(_xlfn.XMATCH(VALUE(C157),_xlpm.r),0)),IF(_xlpm.m=0,"",_xlpm.m+1))</f>
        <v/>
      </c>
      <c r="J157" s="137" t="inlineStr">
        <is>
          <t>NetSuite</t>
        </is>
      </c>
    </row>
    <row r="158">
      <c r="A158" s="5" t="inlineStr">
        <is>
          <t>B25 STETSON.MX</t>
        </is>
      </c>
      <c r="B158" s="5">
        <f>IF($I2="","",INDEX(Productos!$A:$A,$I2))</f>
        <v/>
      </c>
      <c r="C158" s="134" t="inlineStr">
        <is>
          <t>11-030-0489-1022-XL</t>
        </is>
      </c>
      <c r="D158" s="5">
        <f>IF($I2="","",INDEX(Productos!$B:$B,$I2))</f>
        <v/>
      </c>
      <c r="E158" s="5">
        <f>IF($I2="","",INDEX(Productos!$H:$H,$I2))</f>
        <v/>
      </c>
      <c r="F158" s="5">
        <f>IF($I2="","",INDEX(Productos!$I:$I,$I2))</f>
        <v/>
      </c>
      <c r="G158" s="135" t="n">
        <v>1</v>
      </c>
      <c r="H158" s="5">
        <f>IF($I2="","",INDEX(Productos!$AG:$AG,$I2))</f>
        <v/>
      </c>
      <c r="I158" s="136">
        <f>LET(_xlpm.r,Productos!$E$2:$E$2509,_xlpm.m,IFERROR(_xlfn.XMATCH(C158,_xlpm.r),IFERROR(_xlfn.XMATCH(VALUE(C158),_xlpm.r),0)),IF(_xlpm.m=0,"",_xlpm.m+1))</f>
        <v/>
      </c>
      <c r="J158" s="137" t="inlineStr">
        <is>
          <t>NetSuite</t>
        </is>
      </c>
    </row>
    <row r="159">
      <c r="A159" s="5" t="inlineStr">
        <is>
          <t>B25 STETSON.MX</t>
        </is>
      </c>
      <c r="B159" s="5">
        <f>IF($I2="","",INDEX(Productos!$A:$A,$I2))</f>
        <v/>
      </c>
      <c r="C159" s="134" t="inlineStr">
        <is>
          <t>11-050-0594-2051-L</t>
        </is>
      </c>
      <c r="D159" s="5">
        <f>IF($I2="","",INDEX(Productos!$B:$B,$I2))</f>
        <v/>
      </c>
      <c r="E159" s="5">
        <f>IF($I2="","",INDEX(Productos!$H:$H,$I2))</f>
        <v/>
      </c>
      <c r="F159" s="5">
        <f>IF($I2="","",INDEX(Productos!$I:$I,$I2))</f>
        <v/>
      </c>
      <c r="G159" s="135" t="n">
        <v>2</v>
      </c>
      <c r="H159" s="5">
        <f>IF($I2="","",INDEX(Productos!$AG:$AG,$I2))</f>
        <v/>
      </c>
      <c r="I159" s="136">
        <f>LET(_xlpm.r,Productos!$E$2:$E$2509,_xlpm.m,IFERROR(_xlfn.XMATCH(C159,_xlpm.r),IFERROR(_xlfn.XMATCH(VALUE(C159),_xlpm.r),0)),IF(_xlpm.m=0,"",_xlpm.m+1))</f>
        <v/>
      </c>
      <c r="J159" s="137" t="inlineStr">
        <is>
          <t>NetSuite</t>
        </is>
      </c>
    </row>
    <row r="160">
      <c r="A160" s="5" t="inlineStr">
        <is>
          <t>B25 STETSON.MX</t>
        </is>
      </c>
      <c r="B160" s="5">
        <f>IF($I2="","",INDEX(Productos!$A:$A,$I2))</f>
        <v/>
      </c>
      <c r="C160" s="134" t="inlineStr">
        <is>
          <t>11-050-0594-2051-M</t>
        </is>
      </c>
      <c r="D160" s="5">
        <f>IF($I2="","",INDEX(Productos!$B:$B,$I2))</f>
        <v/>
      </c>
      <c r="E160" s="5">
        <f>IF($I2="","",INDEX(Productos!$H:$H,$I2))</f>
        <v/>
      </c>
      <c r="F160" s="5">
        <f>IF($I2="","",INDEX(Productos!$I:$I,$I2))</f>
        <v/>
      </c>
      <c r="G160" s="135" t="n">
        <v>2</v>
      </c>
      <c r="H160" s="5">
        <f>IF($I2="","",INDEX(Productos!$AG:$AG,$I2))</f>
        <v/>
      </c>
      <c r="I160" s="136">
        <f>LET(_xlpm.r,Productos!$E$2:$E$2509,_xlpm.m,IFERROR(_xlfn.XMATCH(C160,_xlpm.r),IFERROR(_xlfn.XMATCH(VALUE(C160),_xlpm.r),0)),IF(_xlpm.m=0,"",_xlpm.m+1))</f>
        <v/>
      </c>
      <c r="J160" s="137" t="inlineStr">
        <is>
          <t>NetSuite</t>
        </is>
      </c>
    </row>
    <row r="161">
      <c r="A161" s="5" t="inlineStr">
        <is>
          <t>B25 STETSON.MX</t>
        </is>
      </c>
      <c r="B161" s="5">
        <f>IF($I2="","",INDEX(Productos!$A:$A,$I2))</f>
        <v/>
      </c>
      <c r="C161" s="134" t="inlineStr">
        <is>
          <t>11-050-0594-2051-XL</t>
        </is>
      </c>
      <c r="D161" s="5">
        <f>IF($I2="","",INDEX(Productos!$B:$B,$I2))</f>
        <v/>
      </c>
      <c r="E161" s="5">
        <f>IF($I2="","",INDEX(Productos!$H:$H,$I2))</f>
        <v/>
      </c>
      <c r="F161" s="5">
        <f>IF($I2="","",INDEX(Productos!$I:$I,$I2))</f>
        <v/>
      </c>
      <c r="G161" s="135" t="n">
        <v>2</v>
      </c>
      <c r="H161" s="5">
        <f>IF($I2="","",INDEX(Productos!$AG:$AG,$I2))</f>
        <v/>
      </c>
      <c r="I161" s="136">
        <f>LET(_xlpm.r,Productos!$E$2:$E$2509,_xlpm.m,IFERROR(_xlfn.XMATCH(C161,_xlpm.r),IFERROR(_xlfn.XMATCH(VALUE(C161),_xlpm.r),0)),IF(_xlpm.m=0,"",_xlpm.m+1))</f>
        <v/>
      </c>
      <c r="J161" s="137" t="inlineStr">
        <is>
          <t>NetSuite</t>
        </is>
      </c>
    </row>
    <row r="162">
      <c r="A162" s="5" t="inlineStr">
        <is>
          <t>B25 STETSON.MX</t>
        </is>
      </c>
      <c r="B162" s="5">
        <f>IF($I2="","",INDEX(Productos!$A:$A,$I2))</f>
        <v/>
      </c>
      <c r="C162" s="134" t="inlineStr">
        <is>
          <t>11-050-0594-2051-XS</t>
        </is>
      </c>
      <c r="D162" s="5">
        <f>IF($I2="","",INDEX(Productos!$B:$B,$I2))</f>
        <v/>
      </c>
      <c r="E162" s="5">
        <f>IF($I2="","",INDEX(Productos!$H:$H,$I2))</f>
        <v/>
      </c>
      <c r="F162" s="5">
        <f>IF($I2="","",INDEX(Productos!$I:$I,$I2))</f>
        <v/>
      </c>
      <c r="G162" s="135" t="n">
        <v>2</v>
      </c>
      <c r="H162" s="5">
        <f>IF($I2="","",INDEX(Productos!$AG:$AG,$I2))</f>
        <v/>
      </c>
      <c r="I162" s="136">
        <f>LET(_xlpm.r,Productos!$E$2:$E$2509,_xlpm.m,IFERROR(_xlfn.XMATCH(C162,_xlpm.r),IFERROR(_xlfn.XMATCH(VALUE(C162),_xlpm.r),0)),IF(_xlpm.m=0,"",_xlpm.m+1))</f>
        <v/>
      </c>
      <c r="J162" s="137" t="inlineStr">
        <is>
          <t>NetSuite</t>
        </is>
      </c>
    </row>
    <row r="163">
      <c r="A163" s="5" t="inlineStr">
        <is>
          <t>B25 STETSON.MX</t>
        </is>
      </c>
      <c r="B163" s="5">
        <f>IF($I2="","",INDEX(Productos!$A:$A,$I2))</f>
        <v/>
      </c>
      <c r="C163" s="134" t="inlineStr">
        <is>
          <t>11-050-0594-2076-L</t>
        </is>
      </c>
      <c r="D163" s="5">
        <f>IF($I2="","",INDEX(Productos!$B:$B,$I2))</f>
        <v/>
      </c>
      <c r="E163" s="5">
        <f>IF($I2="","",INDEX(Productos!$H:$H,$I2))</f>
        <v/>
      </c>
      <c r="F163" s="5">
        <f>IF($I2="","",INDEX(Productos!$I:$I,$I2))</f>
        <v/>
      </c>
      <c r="G163" s="135" t="n">
        <v>2</v>
      </c>
      <c r="H163" s="5">
        <f>IF($I2="","",INDEX(Productos!$AG:$AG,$I2))</f>
        <v/>
      </c>
      <c r="I163" s="136">
        <f>LET(_xlpm.r,Productos!$E$2:$E$2509,_xlpm.m,IFERROR(_xlfn.XMATCH(C163,_xlpm.r),IFERROR(_xlfn.XMATCH(VALUE(C163),_xlpm.r),0)),IF(_xlpm.m=0,"",_xlpm.m+1))</f>
        <v/>
      </c>
      <c r="J163" s="137" t="inlineStr">
        <is>
          <t>NetSuite</t>
        </is>
      </c>
    </row>
    <row r="164">
      <c r="A164" s="5" t="inlineStr">
        <is>
          <t>B25 STETSON.MX</t>
        </is>
      </c>
      <c r="B164" s="5">
        <f>IF($I2="","",INDEX(Productos!$A:$A,$I2))</f>
        <v/>
      </c>
      <c r="C164" s="134" t="inlineStr">
        <is>
          <t>11-050-0594-2076-M</t>
        </is>
      </c>
      <c r="D164" s="5">
        <f>IF($I2="","",INDEX(Productos!$B:$B,$I2))</f>
        <v/>
      </c>
      <c r="E164" s="5">
        <f>IF($I2="","",INDEX(Productos!$H:$H,$I2))</f>
        <v/>
      </c>
      <c r="F164" s="5">
        <f>IF($I2="","",INDEX(Productos!$I:$I,$I2))</f>
        <v/>
      </c>
      <c r="G164" s="135" t="n">
        <v>2</v>
      </c>
      <c r="H164" s="5">
        <f>IF($I2="","",INDEX(Productos!$AG:$AG,$I2))</f>
        <v/>
      </c>
      <c r="I164" s="136">
        <f>LET(_xlpm.r,Productos!$E$2:$E$2509,_xlpm.m,IFERROR(_xlfn.XMATCH(C164,_xlpm.r),IFERROR(_xlfn.XMATCH(VALUE(C164),_xlpm.r),0)),IF(_xlpm.m=0,"",_xlpm.m+1))</f>
        <v/>
      </c>
      <c r="J164" s="137" t="inlineStr">
        <is>
          <t>NetSuite</t>
        </is>
      </c>
    </row>
    <row r="165">
      <c r="A165" s="5" t="inlineStr">
        <is>
          <t>B25 STETSON.MX</t>
        </is>
      </c>
      <c r="B165" s="5">
        <f>IF($I2="","",INDEX(Productos!$A:$A,$I2))</f>
        <v/>
      </c>
      <c r="C165" s="134" t="inlineStr">
        <is>
          <t>11-050-0594-2076-S</t>
        </is>
      </c>
      <c r="D165" s="5">
        <f>IF($I2="","",INDEX(Productos!$B:$B,$I2))</f>
        <v/>
      </c>
      <c r="E165" s="5">
        <f>IF($I2="","",INDEX(Productos!$H:$H,$I2))</f>
        <v/>
      </c>
      <c r="F165" s="5">
        <f>IF($I2="","",INDEX(Productos!$I:$I,$I2))</f>
        <v/>
      </c>
      <c r="G165" s="135" t="n">
        <v>1</v>
      </c>
      <c r="H165" s="5">
        <f>IF($I2="","",INDEX(Productos!$AG:$AG,$I2))</f>
        <v/>
      </c>
      <c r="I165" s="136">
        <f>LET(_xlpm.r,Productos!$E$2:$E$2509,_xlpm.m,IFERROR(_xlfn.XMATCH(C165,_xlpm.r),IFERROR(_xlfn.XMATCH(VALUE(C165),_xlpm.r),0)),IF(_xlpm.m=0,"",_xlpm.m+1))</f>
        <v/>
      </c>
      <c r="J165" s="137" t="inlineStr">
        <is>
          <t>NetSuite</t>
        </is>
      </c>
    </row>
    <row r="166">
      <c r="A166" s="5" t="inlineStr">
        <is>
          <t>B25 STETSON.MX</t>
        </is>
      </c>
      <c r="B166" s="5">
        <f>IF($I2="","",INDEX(Productos!$A:$A,$I2))</f>
        <v/>
      </c>
      <c r="C166" s="134" t="inlineStr">
        <is>
          <t>11-050-0594-2076-XL</t>
        </is>
      </c>
      <c r="D166" s="5">
        <f>IF($I2="","",INDEX(Productos!$B:$B,$I2))</f>
        <v/>
      </c>
      <c r="E166" s="5">
        <f>IF($I2="","",INDEX(Productos!$H:$H,$I2))</f>
        <v/>
      </c>
      <c r="F166" s="5">
        <f>IF($I2="","",INDEX(Productos!$I:$I,$I2))</f>
        <v/>
      </c>
      <c r="G166" s="135" t="n">
        <v>2</v>
      </c>
      <c r="H166" s="5">
        <f>IF($I2="","",INDEX(Productos!$AG:$AG,$I2))</f>
        <v/>
      </c>
      <c r="I166" s="136">
        <f>LET(_xlpm.r,Productos!$E$2:$E$2509,_xlpm.m,IFERROR(_xlfn.XMATCH(C166,_xlpm.r),IFERROR(_xlfn.XMATCH(VALUE(C166),_xlpm.r),0)),IF(_xlpm.m=0,"",_xlpm.m+1))</f>
        <v/>
      </c>
      <c r="J166" s="137" t="inlineStr">
        <is>
          <t>NetSuite</t>
        </is>
      </c>
    </row>
    <row r="167">
      <c r="A167" s="5" t="inlineStr">
        <is>
          <t>B25 STETSON.MX</t>
        </is>
      </c>
      <c r="B167" s="5">
        <f>IF($I2="","",INDEX(Productos!$A:$A,$I2))</f>
        <v/>
      </c>
      <c r="C167" s="134" t="inlineStr">
        <is>
          <t>11-050-0594-2076-XS</t>
        </is>
      </c>
      <c r="D167" s="5">
        <f>IF($I2="","",INDEX(Productos!$B:$B,$I2))</f>
        <v/>
      </c>
      <c r="E167" s="5">
        <f>IF($I2="","",INDEX(Productos!$H:$H,$I2))</f>
        <v/>
      </c>
      <c r="F167" s="5">
        <f>IF($I2="","",INDEX(Productos!$I:$I,$I2))</f>
        <v/>
      </c>
      <c r="G167" s="135" t="n">
        <v>2</v>
      </c>
      <c r="H167" s="5">
        <f>IF($I2="","",INDEX(Productos!$AG:$AG,$I2))</f>
        <v/>
      </c>
      <c r="I167" s="136">
        <f>LET(_xlpm.r,Productos!$E$2:$E$2509,_xlpm.m,IFERROR(_xlfn.XMATCH(C167,_xlpm.r),IFERROR(_xlfn.XMATCH(VALUE(C167),_xlpm.r),0)),IF(_xlpm.m=0,"",_xlpm.m+1))</f>
        <v/>
      </c>
      <c r="J167" s="137" t="inlineStr">
        <is>
          <t>NetSuite</t>
        </is>
      </c>
    </row>
    <row r="168">
      <c r="A168" s="5" t="inlineStr">
        <is>
          <t>B25 STETSON.MX</t>
        </is>
      </c>
      <c r="B168" s="5">
        <f>IF($I2="","",INDEX(Productos!$A:$A,$I2))</f>
        <v/>
      </c>
      <c r="C168" s="134" t="inlineStr">
        <is>
          <t>11-052-0565-2052-L</t>
        </is>
      </c>
      <c r="D168" s="5">
        <f>IF($I2="","",INDEX(Productos!$B:$B,$I2))</f>
        <v/>
      </c>
      <c r="E168" s="5">
        <f>IF($I2="","",INDEX(Productos!$H:$H,$I2))</f>
        <v/>
      </c>
      <c r="F168" s="5">
        <f>IF($I2="","",INDEX(Productos!$I:$I,$I2))</f>
        <v/>
      </c>
      <c r="G168" s="135" t="n">
        <v>2</v>
      </c>
      <c r="H168" s="5">
        <f>IF($I2="","",INDEX(Productos!$AG:$AG,$I2))</f>
        <v/>
      </c>
      <c r="I168" s="136">
        <f>LET(_xlpm.r,Productos!$E$2:$E$2509,_xlpm.m,IFERROR(_xlfn.XMATCH(C168,_xlpm.r),IFERROR(_xlfn.XMATCH(VALUE(C168),_xlpm.r),0)),IF(_xlpm.m=0,"",_xlpm.m+1))</f>
        <v/>
      </c>
      <c r="J168" s="137" t="inlineStr">
        <is>
          <t>NetSuite</t>
        </is>
      </c>
    </row>
    <row r="169">
      <c r="A169" s="5" t="inlineStr">
        <is>
          <t>B25 STETSON.MX</t>
        </is>
      </c>
      <c r="B169" s="5">
        <f>IF($I2="","",INDEX(Productos!$A:$A,$I2))</f>
        <v/>
      </c>
      <c r="C169" s="134" t="inlineStr">
        <is>
          <t>11-052-0565-2052-M</t>
        </is>
      </c>
      <c r="D169" s="5">
        <f>IF($I2="","",INDEX(Productos!$B:$B,$I2))</f>
        <v/>
      </c>
      <c r="E169" s="5">
        <f>IF($I2="","",INDEX(Productos!$H:$H,$I2))</f>
        <v/>
      </c>
      <c r="F169" s="5">
        <f>IF($I2="","",INDEX(Productos!$I:$I,$I2))</f>
        <v/>
      </c>
      <c r="G169" s="135" t="n">
        <v>2</v>
      </c>
      <c r="H169" s="5">
        <f>IF($I2="","",INDEX(Productos!$AG:$AG,$I2))</f>
        <v/>
      </c>
      <c r="I169" s="136">
        <f>LET(_xlpm.r,Productos!$E$2:$E$2509,_xlpm.m,IFERROR(_xlfn.XMATCH(C169,_xlpm.r),IFERROR(_xlfn.XMATCH(VALUE(C169),_xlpm.r),0)),IF(_xlpm.m=0,"",_xlpm.m+1))</f>
        <v/>
      </c>
      <c r="J169" s="137" t="inlineStr">
        <is>
          <t>NetSuite</t>
        </is>
      </c>
    </row>
    <row r="170">
      <c r="A170" s="5" t="inlineStr">
        <is>
          <t>B25 STETSON.MX</t>
        </is>
      </c>
      <c r="B170" s="5">
        <f>IF($I2="","",INDEX(Productos!$A:$A,$I2))</f>
        <v/>
      </c>
      <c r="C170" s="134" t="inlineStr">
        <is>
          <t>11-052-0565-2052-S</t>
        </is>
      </c>
      <c r="D170" s="5">
        <f>IF($I2="","",INDEX(Productos!$B:$B,$I2))</f>
        <v/>
      </c>
      <c r="E170" s="5">
        <f>IF($I2="","",INDEX(Productos!$H:$H,$I2))</f>
        <v/>
      </c>
      <c r="F170" s="5">
        <f>IF($I2="","",INDEX(Productos!$I:$I,$I2))</f>
        <v/>
      </c>
      <c r="G170" s="135" t="n">
        <v>2</v>
      </c>
      <c r="H170" s="5">
        <f>IF($I2="","",INDEX(Productos!$AG:$AG,$I2))</f>
        <v/>
      </c>
      <c r="I170" s="136">
        <f>LET(_xlpm.r,Productos!$E$2:$E$2509,_xlpm.m,IFERROR(_xlfn.XMATCH(C170,_xlpm.r),IFERROR(_xlfn.XMATCH(VALUE(C170),_xlpm.r),0)),IF(_xlpm.m=0,"",_xlpm.m+1))</f>
        <v/>
      </c>
      <c r="J170" s="137" t="inlineStr">
        <is>
          <t>NetSuite</t>
        </is>
      </c>
    </row>
    <row r="171">
      <c r="A171" s="5" t="inlineStr">
        <is>
          <t>B25 STETSON.MX</t>
        </is>
      </c>
      <c r="B171" s="5">
        <f>IF($I2="","",INDEX(Productos!$A:$A,$I2))</f>
        <v/>
      </c>
      <c r="C171" s="134" t="inlineStr">
        <is>
          <t>11-052-0565-2052-XL</t>
        </is>
      </c>
      <c r="D171" s="5">
        <f>IF($I2="","",INDEX(Productos!$B:$B,$I2))</f>
        <v/>
      </c>
      <c r="E171" s="5">
        <f>IF($I2="","",INDEX(Productos!$H:$H,$I2))</f>
        <v/>
      </c>
      <c r="F171" s="5">
        <f>IF($I2="","",INDEX(Productos!$I:$I,$I2))</f>
        <v/>
      </c>
      <c r="G171" s="135" t="n">
        <v>2</v>
      </c>
      <c r="H171" s="5">
        <f>IF($I2="","",INDEX(Productos!$AG:$AG,$I2))</f>
        <v/>
      </c>
      <c r="I171" s="136">
        <f>LET(_xlpm.r,Productos!$E$2:$E$2509,_xlpm.m,IFERROR(_xlfn.XMATCH(C171,_xlpm.r),IFERROR(_xlfn.XMATCH(VALUE(C171),_xlpm.r),0)),IF(_xlpm.m=0,"",_xlpm.m+1))</f>
        <v/>
      </c>
      <c r="J171" s="137" t="inlineStr">
        <is>
          <t>NetSuite</t>
        </is>
      </c>
    </row>
    <row r="172">
      <c r="A172" s="5" t="inlineStr">
        <is>
          <t>B25 STETSON.MX</t>
        </is>
      </c>
      <c r="B172" s="5">
        <f>IF($I2="","",INDEX(Productos!$A:$A,$I2))</f>
        <v/>
      </c>
      <c r="C172" s="134" t="inlineStr">
        <is>
          <t>11-052-0565-2052-XS</t>
        </is>
      </c>
      <c r="D172" s="5">
        <f>IF($I2="","",INDEX(Productos!$B:$B,$I2))</f>
        <v/>
      </c>
      <c r="E172" s="5">
        <f>IF($I2="","",INDEX(Productos!$H:$H,$I2))</f>
        <v/>
      </c>
      <c r="F172" s="5">
        <f>IF($I2="","",INDEX(Productos!$I:$I,$I2))</f>
        <v/>
      </c>
      <c r="G172" s="135" t="n">
        <v>2</v>
      </c>
      <c r="H172" s="5">
        <f>IF($I2="","",INDEX(Productos!$AG:$AG,$I2))</f>
        <v/>
      </c>
      <c r="I172" s="136">
        <f>LET(_xlpm.r,Productos!$E$2:$E$2509,_xlpm.m,IFERROR(_xlfn.XMATCH(C172,_xlpm.r),IFERROR(_xlfn.XMATCH(VALUE(C172),_xlpm.r),0)),IF(_xlpm.m=0,"",_xlpm.m+1))</f>
        <v/>
      </c>
      <c r="J172" s="137" t="inlineStr">
        <is>
          <t>NetSuite</t>
        </is>
      </c>
    </row>
    <row r="173">
      <c r="A173" s="5" t="inlineStr">
        <is>
          <t>B25 STETSON.MX</t>
        </is>
      </c>
      <c r="B173" s="5">
        <f>IF($I2="","",INDEX(Productos!$A:$A,$I2))</f>
        <v/>
      </c>
      <c r="C173" s="134" t="inlineStr">
        <is>
          <t>11-097-0562-0883-2XL</t>
        </is>
      </c>
      <c r="D173" s="5">
        <f>IF($I2="","",INDEX(Productos!$B:$B,$I2))</f>
        <v/>
      </c>
      <c r="E173" s="5">
        <f>IF($I2="","",INDEX(Productos!$H:$H,$I2))</f>
        <v/>
      </c>
      <c r="F173" s="5">
        <f>IF($I2="","",INDEX(Productos!$I:$I,$I2))</f>
        <v/>
      </c>
      <c r="G173" s="135" t="n">
        <v>2</v>
      </c>
      <c r="H173" s="5">
        <f>IF($I2="","",INDEX(Productos!$AG:$AG,$I2))</f>
        <v/>
      </c>
      <c r="I173" s="136">
        <f>LET(_xlpm.r,Productos!$E$2:$E$2509,_xlpm.m,IFERROR(_xlfn.XMATCH(C173,_xlpm.r),IFERROR(_xlfn.XMATCH(VALUE(C173),_xlpm.r),0)),IF(_xlpm.m=0,"",_xlpm.m+1))</f>
        <v/>
      </c>
      <c r="J173" s="137" t="inlineStr">
        <is>
          <t>NetSuite</t>
        </is>
      </c>
    </row>
    <row r="174">
      <c r="A174" s="5" t="inlineStr">
        <is>
          <t>B25 STETSON.MX</t>
        </is>
      </c>
      <c r="B174" s="5">
        <f>IF($I2="","",INDEX(Productos!$A:$A,$I2))</f>
        <v/>
      </c>
      <c r="C174" s="134" t="inlineStr">
        <is>
          <t>11-097-0562-0883-L</t>
        </is>
      </c>
      <c r="D174" s="5">
        <f>IF($I2="","",INDEX(Productos!$B:$B,$I2))</f>
        <v/>
      </c>
      <c r="E174" s="5">
        <f>IF($I2="","",INDEX(Productos!$H:$H,$I2))</f>
        <v/>
      </c>
      <c r="F174" s="5">
        <f>IF($I2="","",INDEX(Productos!$I:$I,$I2))</f>
        <v/>
      </c>
      <c r="G174" s="135" t="n">
        <v>2</v>
      </c>
      <c r="H174" s="5">
        <f>IF($I2="","",INDEX(Productos!$AG:$AG,$I2))</f>
        <v/>
      </c>
      <c r="I174" s="136">
        <f>LET(_xlpm.r,Productos!$E$2:$E$2509,_xlpm.m,IFERROR(_xlfn.XMATCH(C174,_xlpm.r),IFERROR(_xlfn.XMATCH(VALUE(C174),_xlpm.r),0)),IF(_xlpm.m=0,"",_xlpm.m+1))</f>
        <v/>
      </c>
      <c r="J174" s="137" t="inlineStr">
        <is>
          <t>NetSuite</t>
        </is>
      </c>
    </row>
    <row r="175">
      <c r="A175" s="5" t="inlineStr">
        <is>
          <t>B25 STETSON.MX</t>
        </is>
      </c>
      <c r="B175" s="5">
        <f>IF($I2="","",INDEX(Productos!$A:$A,$I2))</f>
        <v/>
      </c>
      <c r="C175" s="134" t="inlineStr">
        <is>
          <t>11-097-0562-0883-M</t>
        </is>
      </c>
      <c r="D175" s="5">
        <f>IF($I2="","",INDEX(Productos!$B:$B,$I2))</f>
        <v/>
      </c>
      <c r="E175" s="5">
        <f>IF($I2="","",INDEX(Productos!$H:$H,$I2))</f>
        <v/>
      </c>
      <c r="F175" s="5">
        <f>IF($I2="","",INDEX(Productos!$I:$I,$I2))</f>
        <v/>
      </c>
      <c r="G175" s="135" t="n">
        <v>2</v>
      </c>
      <c r="H175" s="5">
        <f>IF($I2="","",INDEX(Productos!$AG:$AG,$I2))</f>
        <v/>
      </c>
      <c r="I175" s="136">
        <f>LET(_xlpm.r,Productos!$E$2:$E$2509,_xlpm.m,IFERROR(_xlfn.XMATCH(C175,_xlpm.r),IFERROR(_xlfn.XMATCH(VALUE(C175),_xlpm.r),0)),IF(_xlpm.m=0,"",_xlpm.m+1))</f>
        <v/>
      </c>
      <c r="J175" s="137" t="inlineStr">
        <is>
          <t>NetSuite</t>
        </is>
      </c>
    </row>
    <row r="176">
      <c r="A176" s="5" t="inlineStr">
        <is>
          <t>B25 STETSON.MX</t>
        </is>
      </c>
      <c r="B176" s="5">
        <f>IF($I2="","",INDEX(Productos!$A:$A,$I2))</f>
        <v/>
      </c>
      <c r="C176" s="134" t="inlineStr">
        <is>
          <t>11-097-0562-0883-S</t>
        </is>
      </c>
      <c r="D176" s="5">
        <f>IF($I2="","",INDEX(Productos!$B:$B,$I2))</f>
        <v/>
      </c>
      <c r="E176" s="5">
        <f>IF($I2="","",INDEX(Productos!$H:$H,$I2))</f>
        <v/>
      </c>
      <c r="F176" s="5">
        <f>IF($I2="","",INDEX(Productos!$I:$I,$I2))</f>
        <v/>
      </c>
      <c r="G176" s="135" t="n">
        <v>2</v>
      </c>
      <c r="H176" s="5">
        <f>IF($I2="","",INDEX(Productos!$AG:$AG,$I2))</f>
        <v/>
      </c>
      <c r="I176" s="136">
        <f>LET(_xlpm.r,Productos!$E$2:$E$2509,_xlpm.m,IFERROR(_xlfn.XMATCH(C176,_xlpm.r),IFERROR(_xlfn.XMATCH(VALUE(C176),_xlpm.r),0)),IF(_xlpm.m=0,"",_xlpm.m+1))</f>
        <v/>
      </c>
      <c r="J176" s="137" t="inlineStr">
        <is>
          <t>NetSuite</t>
        </is>
      </c>
    </row>
    <row r="177">
      <c r="A177" s="5" t="inlineStr">
        <is>
          <t>B25 STETSON.MX</t>
        </is>
      </c>
      <c r="B177" s="5">
        <f>IF($I2="","",INDEX(Productos!$A:$A,$I2))</f>
        <v/>
      </c>
      <c r="C177" s="134" t="inlineStr">
        <is>
          <t>11-097-0562-0883-XL</t>
        </is>
      </c>
      <c r="D177" s="5">
        <f>IF($I2="","",INDEX(Productos!$B:$B,$I2))</f>
        <v/>
      </c>
      <c r="E177" s="5">
        <f>IF($I2="","",INDEX(Productos!$H:$H,$I2))</f>
        <v/>
      </c>
      <c r="F177" s="5">
        <f>IF($I2="","",INDEX(Productos!$I:$I,$I2))</f>
        <v/>
      </c>
      <c r="G177" s="135" t="n">
        <v>2</v>
      </c>
      <c r="H177" s="5">
        <f>IF($I2="","",INDEX(Productos!$AG:$AG,$I2))</f>
        <v/>
      </c>
      <c r="I177" s="136">
        <f>LET(_xlpm.r,Productos!$E$2:$E$2509,_xlpm.m,IFERROR(_xlfn.XMATCH(C177,_xlpm.r),IFERROR(_xlfn.XMATCH(VALUE(C177),_xlpm.r),0)),IF(_xlpm.m=0,"",_xlpm.m+1))</f>
        <v/>
      </c>
      <c r="J177" s="137" t="inlineStr">
        <is>
          <t>NetSuite</t>
        </is>
      </c>
    </row>
    <row r="178">
      <c r="A178" s="5" t="inlineStr">
        <is>
          <t>B25 STETSON.MX</t>
        </is>
      </c>
      <c r="B178" s="5">
        <f>IF($I2="","",INDEX(Productos!$A:$A,$I2))</f>
        <v/>
      </c>
      <c r="C178" s="134" t="inlineStr">
        <is>
          <t>11-097-0562-0886-2XL</t>
        </is>
      </c>
      <c r="D178" s="5">
        <f>IF($I2="","",INDEX(Productos!$B:$B,$I2))</f>
        <v/>
      </c>
      <c r="E178" s="5">
        <f>IF($I2="","",INDEX(Productos!$H:$H,$I2))</f>
        <v/>
      </c>
      <c r="F178" s="5">
        <f>IF($I2="","",INDEX(Productos!$I:$I,$I2))</f>
        <v/>
      </c>
      <c r="G178" s="135" t="n">
        <v>2</v>
      </c>
      <c r="H178" s="5">
        <f>IF($I2="","",INDEX(Productos!$AG:$AG,$I2))</f>
        <v/>
      </c>
      <c r="I178" s="136">
        <f>LET(_xlpm.r,Productos!$E$2:$E$2509,_xlpm.m,IFERROR(_xlfn.XMATCH(C178,_xlpm.r),IFERROR(_xlfn.XMATCH(VALUE(C178),_xlpm.r),0)),IF(_xlpm.m=0,"",_xlpm.m+1))</f>
        <v/>
      </c>
      <c r="J178" s="137" t="inlineStr">
        <is>
          <t>NetSuite</t>
        </is>
      </c>
    </row>
    <row r="179">
      <c r="A179" s="5" t="inlineStr">
        <is>
          <t>B25 STETSON.MX</t>
        </is>
      </c>
      <c r="B179" s="5">
        <f>IF($I2="","",INDEX(Productos!$A:$A,$I2))</f>
        <v/>
      </c>
      <c r="C179" s="134" t="inlineStr">
        <is>
          <t>11-097-0562-0886-L</t>
        </is>
      </c>
      <c r="D179" s="5">
        <f>IF($I2="","",INDEX(Productos!$B:$B,$I2))</f>
        <v/>
      </c>
      <c r="E179" s="5">
        <f>IF($I2="","",INDEX(Productos!$H:$H,$I2))</f>
        <v/>
      </c>
      <c r="F179" s="5">
        <f>IF($I2="","",INDEX(Productos!$I:$I,$I2))</f>
        <v/>
      </c>
      <c r="G179" s="135" t="n">
        <v>2</v>
      </c>
      <c r="H179" s="5">
        <f>IF($I2="","",INDEX(Productos!$AG:$AG,$I2))</f>
        <v/>
      </c>
      <c r="I179" s="136">
        <f>LET(_xlpm.r,Productos!$E$2:$E$2509,_xlpm.m,IFERROR(_xlfn.XMATCH(C179,_xlpm.r),IFERROR(_xlfn.XMATCH(VALUE(C179),_xlpm.r),0)),IF(_xlpm.m=0,"",_xlpm.m+1))</f>
        <v/>
      </c>
      <c r="J179" s="137" t="inlineStr">
        <is>
          <t>NetSuite</t>
        </is>
      </c>
    </row>
    <row r="180">
      <c r="A180" s="5" t="inlineStr">
        <is>
          <t>B25 STETSON.MX</t>
        </is>
      </c>
      <c r="B180" s="5">
        <f>IF($I2="","",INDEX(Productos!$A:$A,$I2))</f>
        <v/>
      </c>
      <c r="C180" s="134" t="inlineStr">
        <is>
          <t>11-097-0562-0886-M</t>
        </is>
      </c>
      <c r="D180" s="5">
        <f>IF($I2="","",INDEX(Productos!$B:$B,$I2))</f>
        <v/>
      </c>
      <c r="E180" s="5">
        <f>IF($I2="","",INDEX(Productos!$H:$H,$I2))</f>
        <v/>
      </c>
      <c r="F180" s="5">
        <f>IF($I2="","",INDEX(Productos!$I:$I,$I2))</f>
        <v/>
      </c>
      <c r="G180" s="135" t="n">
        <v>2</v>
      </c>
      <c r="H180" s="5">
        <f>IF($I2="","",INDEX(Productos!$AG:$AG,$I2))</f>
        <v/>
      </c>
      <c r="I180" s="136">
        <f>LET(_xlpm.r,Productos!$E$2:$E$2509,_xlpm.m,IFERROR(_xlfn.XMATCH(C180,_xlpm.r),IFERROR(_xlfn.XMATCH(VALUE(C180),_xlpm.r),0)),IF(_xlpm.m=0,"",_xlpm.m+1))</f>
        <v/>
      </c>
      <c r="J180" s="137" t="inlineStr">
        <is>
          <t>NetSuite</t>
        </is>
      </c>
    </row>
    <row r="181">
      <c r="A181" s="5" t="inlineStr">
        <is>
          <t>B25 STETSON.MX</t>
        </is>
      </c>
      <c r="B181" s="5">
        <f>IF($I2="","",INDEX(Productos!$A:$A,$I2))</f>
        <v/>
      </c>
      <c r="C181" s="134" t="inlineStr">
        <is>
          <t>11-097-0562-0886-S</t>
        </is>
      </c>
      <c r="D181" s="5">
        <f>IF($I2="","",INDEX(Productos!$B:$B,$I2))</f>
        <v/>
      </c>
      <c r="E181" s="5">
        <f>IF($I2="","",INDEX(Productos!$H:$H,$I2))</f>
        <v/>
      </c>
      <c r="F181" s="5">
        <f>IF($I2="","",INDEX(Productos!$I:$I,$I2))</f>
        <v/>
      </c>
      <c r="G181" s="135" t="n">
        <v>2</v>
      </c>
      <c r="H181" s="5">
        <f>IF($I2="","",INDEX(Productos!$AG:$AG,$I2))</f>
        <v/>
      </c>
      <c r="I181" s="136">
        <f>LET(_xlpm.r,Productos!$E$2:$E$2509,_xlpm.m,IFERROR(_xlfn.XMATCH(C181,_xlpm.r),IFERROR(_xlfn.XMATCH(VALUE(C181),_xlpm.r),0)),IF(_xlpm.m=0,"",_xlpm.m+1))</f>
        <v/>
      </c>
      <c r="J181" s="137" t="inlineStr">
        <is>
          <t>NetSuite</t>
        </is>
      </c>
    </row>
    <row r="182">
      <c r="A182" s="5" t="inlineStr">
        <is>
          <t>B25 STETSON.MX</t>
        </is>
      </c>
      <c r="B182" s="5">
        <f>IF($I2="","",INDEX(Productos!$A:$A,$I2))</f>
        <v/>
      </c>
      <c r="C182" s="134" t="inlineStr">
        <is>
          <t>11-097-0562-0886-XL</t>
        </is>
      </c>
      <c r="D182" s="5">
        <f>IF($I2="","",INDEX(Productos!$B:$B,$I2))</f>
        <v/>
      </c>
      <c r="E182" s="5">
        <f>IF($I2="","",INDEX(Productos!$H:$H,$I2))</f>
        <v/>
      </c>
      <c r="F182" s="5">
        <f>IF($I2="","",INDEX(Productos!$I:$I,$I2))</f>
        <v/>
      </c>
      <c r="G182" s="135" t="n">
        <v>2</v>
      </c>
      <c r="H182" s="5">
        <f>IF($I2="","",INDEX(Productos!$AG:$AG,$I2))</f>
        <v/>
      </c>
      <c r="I182" s="136">
        <f>LET(_xlpm.r,Productos!$E$2:$E$2509,_xlpm.m,IFERROR(_xlfn.XMATCH(C182,_xlpm.r),IFERROR(_xlfn.XMATCH(VALUE(C182),_xlpm.r),0)),IF(_xlpm.m=0,"",_xlpm.m+1))</f>
        <v/>
      </c>
      <c r="J182" s="137" t="inlineStr">
        <is>
          <t>NetSuite</t>
        </is>
      </c>
    </row>
    <row r="183">
      <c r="A183" s="5" t="inlineStr">
        <is>
          <t>B25 STETSON.MX</t>
        </is>
      </c>
      <c r="B183" s="5">
        <f>IF($I2="","",INDEX(Productos!$A:$A,$I2))</f>
        <v/>
      </c>
      <c r="C183" s="134" t="inlineStr">
        <is>
          <t>11-097-0562-0920-L</t>
        </is>
      </c>
      <c r="D183" s="5">
        <f>IF($I2="","",INDEX(Productos!$B:$B,$I2))</f>
        <v/>
      </c>
      <c r="E183" s="5">
        <f>IF($I2="","",INDEX(Productos!$H:$H,$I2))</f>
        <v/>
      </c>
      <c r="F183" s="5">
        <f>IF($I2="","",INDEX(Productos!$I:$I,$I2))</f>
        <v/>
      </c>
      <c r="G183" s="135" t="n">
        <v>1</v>
      </c>
      <c r="H183" s="5">
        <f>IF($I2="","",INDEX(Productos!$AG:$AG,$I2))</f>
        <v/>
      </c>
      <c r="I183" s="136">
        <f>LET(_xlpm.r,Productos!$E$2:$E$2509,_xlpm.m,IFERROR(_xlfn.XMATCH(C183,_xlpm.r),IFERROR(_xlfn.XMATCH(VALUE(C183),_xlpm.r),0)),IF(_xlpm.m=0,"",_xlpm.m+1))</f>
        <v/>
      </c>
      <c r="J183" s="137" t="inlineStr">
        <is>
          <t>NetSuite</t>
        </is>
      </c>
    </row>
    <row r="184">
      <c r="A184" s="5" t="inlineStr">
        <is>
          <t>B25 STETSON.MX</t>
        </is>
      </c>
      <c r="B184" s="5">
        <f>IF($I2="","",INDEX(Productos!$A:$A,$I2))</f>
        <v/>
      </c>
      <c r="C184" s="134" t="inlineStr">
        <is>
          <t>11-097-0562-0920-M</t>
        </is>
      </c>
      <c r="D184" s="5">
        <f>IF($I2="","",INDEX(Productos!$B:$B,$I2))</f>
        <v/>
      </c>
      <c r="E184" s="5">
        <f>IF($I2="","",INDEX(Productos!$H:$H,$I2))</f>
        <v/>
      </c>
      <c r="F184" s="5">
        <f>IF($I2="","",INDEX(Productos!$I:$I,$I2))</f>
        <v/>
      </c>
      <c r="G184" s="135" t="n">
        <v>2</v>
      </c>
      <c r="H184" s="5">
        <f>IF($I2="","",INDEX(Productos!$AG:$AG,$I2))</f>
        <v/>
      </c>
      <c r="I184" s="136">
        <f>LET(_xlpm.r,Productos!$E$2:$E$2509,_xlpm.m,IFERROR(_xlfn.XMATCH(C184,_xlpm.r),IFERROR(_xlfn.XMATCH(VALUE(C184),_xlpm.r),0)),IF(_xlpm.m=0,"",_xlpm.m+1))</f>
        <v/>
      </c>
      <c r="J184" s="137" t="inlineStr">
        <is>
          <t>NetSuite</t>
        </is>
      </c>
    </row>
    <row r="185">
      <c r="A185" s="5" t="inlineStr">
        <is>
          <t>B25 STETSON.MX</t>
        </is>
      </c>
      <c r="B185" s="5">
        <f>IF($I2="","",INDEX(Productos!$A:$A,$I2))</f>
        <v/>
      </c>
      <c r="C185" s="134" t="inlineStr">
        <is>
          <t>9401790-204-L</t>
        </is>
      </c>
      <c r="D185" s="5">
        <f>IF($I2="","",INDEX(Productos!$B:$B,$I2))</f>
        <v/>
      </c>
      <c r="E185" s="5">
        <f>IF($I2="","",INDEX(Productos!$H:$H,$I2))</f>
        <v/>
      </c>
      <c r="F185" s="5">
        <f>IF($I2="","",INDEX(Productos!$I:$I,$I2))</f>
        <v/>
      </c>
      <c r="G185" s="135" t="n">
        <v>2</v>
      </c>
      <c r="H185" s="5">
        <f>IF($I2="","",INDEX(Productos!$AG:$AG,$I2))</f>
        <v/>
      </c>
      <c r="I185" s="136">
        <f>LET(_xlpm.r,Productos!$E$2:$E$2509,_xlpm.m,IFERROR(_xlfn.XMATCH(C185,_xlpm.r),IFERROR(_xlfn.XMATCH(VALUE(C185),_xlpm.r),0)),IF(_xlpm.m=0,"",_xlpm.m+1))</f>
        <v/>
      </c>
      <c r="J185" s="137" t="inlineStr">
        <is>
          <t>NetSuite</t>
        </is>
      </c>
    </row>
    <row r="186">
      <c r="A186" s="5" t="inlineStr">
        <is>
          <t>B25 STETSON.MX</t>
        </is>
      </c>
      <c r="B186" s="5">
        <f>IF($I2="","",INDEX(Productos!$A:$A,$I2))</f>
        <v/>
      </c>
      <c r="C186" s="134" t="inlineStr">
        <is>
          <t>9405790-210-L</t>
        </is>
      </c>
      <c r="D186" s="5">
        <f>IF($I2="","",INDEX(Productos!$B:$B,$I2))</f>
        <v/>
      </c>
      <c r="E186" s="5">
        <f>IF($I2="","",INDEX(Productos!$H:$H,$I2))</f>
        <v/>
      </c>
      <c r="F186" s="5">
        <f>IF($I2="","",INDEX(Productos!$I:$I,$I2))</f>
        <v/>
      </c>
      <c r="G186" s="135" t="n">
        <v>1</v>
      </c>
      <c r="H186" s="5">
        <f>IF($I2="","",INDEX(Productos!$AG:$AG,$I2))</f>
        <v/>
      </c>
      <c r="I186" s="136">
        <f>LET(_xlpm.r,Productos!$E$2:$E$2509,_xlpm.m,IFERROR(_xlfn.XMATCH(C186,_xlpm.r),IFERROR(_xlfn.XMATCH(VALUE(C186),_xlpm.r),0)),IF(_xlpm.m=0,"",_xlpm.m+1))</f>
        <v/>
      </c>
      <c r="J186" s="137" t="inlineStr">
        <is>
          <t>NetSuite</t>
        </is>
      </c>
    </row>
    <row r="187">
      <c r="A187" s="5" t="inlineStr">
        <is>
          <t>B25 STETSON.MX</t>
        </is>
      </c>
      <c r="B187" s="5">
        <f>IF($I2="","",INDEX(Productos!$A:$A,$I2))</f>
        <v/>
      </c>
      <c r="C187" s="134" t="inlineStr">
        <is>
          <t>9405790-210-M</t>
        </is>
      </c>
      <c r="D187" s="5">
        <f>IF($I2="","",INDEX(Productos!$B:$B,$I2))</f>
        <v/>
      </c>
      <c r="E187" s="5">
        <f>IF($I2="","",INDEX(Productos!$H:$H,$I2))</f>
        <v/>
      </c>
      <c r="F187" s="5">
        <f>IF($I2="","",INDEX(Productos!$I:$I,$I2))</f>
        <v/>
      </c>
      <c r="G187" s="135" t="n">
        <v>2</v>
      </c>
      <c r="H187" s="5">
        <f>IF($I2="","",INDEX(Productos!$AG:$AG,$I2))</f>
        <v/>
      </c>
      <c r="I187" s="136">
        <f>LET(_xlpm.r,Productos!$E$2:$E$2509,_xlpm.m,IFERROR(_xlfn.XMATCH(C187,_xlpm.r),IFERROR(_xlfn.XMATCH(VALUE(C187),_xlpm.r),0)),IF(_xlpm.m=0,"",_xlpm.m+1))</f>
        <v/>
      </c>
      <c r="J187" s="137" t="inlineStr">
        <is>
          <t>NetSuite</t>
        </is>
      </c>
    </row>
    <row r="188">
      <c r="A188" s="5" t="inlineStr">
        <is>
          <t>B25 STETSON.MX</t>
        </is>
      </c>
      <c r="B188" s="5">
        <f>IF($I2="","",INDEX(Productos!$A:$A,$I2))</f>
        <v/>
      </c>
      <c r="C188" s="134" t="inlineStr">
        <is>
          <t>9405790-210-S</t>
        </is>
      </c>
      <c r="D188" s="5">
        <f>IF($I2="","",INDEX(Productos!$B:$B,$I2))</f>
        <v/>
      </c>
      <c r="E188" s="5">
        <f>IF($I2="","",INDEX(Productos!$H:$H,$I2))</f>
        <v/>
      </c>
      <c r="F188" s="5">
        <f>IF($I2="","",INDEX(Productos!$I:$I,$I2))</f>
        <v/>
      </c>
      <c r="G188" s="135" t="n">
        <v>1</v>
      </c>
      <c r="H188" s="5">
        <f>IF($I2="","",INDEX(Productos!$AG:$AG,$I2))</f>
        <v/>
      </c>
      <c r="I188" s="136">
        <f>LET(_xlpm.r,Productos!$E$2:$E$2509,_xlpm.m,IFERROR(_xlfn.XMATCH(C188,_xlpm.r),IFERROR(_xlfn.XMATCH(VALUE(C188),_xlpm.r),0)),IF(_xlpm.m=0,"",_xlpm.m+1))</f>
        <v/>
      </c>
      <c r="J188" s="137" t="inlineStr">
        <is>
          <t>NetSuite</t>
        </is>
      </c>
    </row>
    <row r="189">
      <c r="A189" s="5" t="inlineStr">
        <is>
          <t>B25 STETSON.MX</t>
        </is>
      </c>
      <c r="B189" s="5">
        <f>IF($I2="","",INDEX(Productos!$A:$A,$I2))</f>
        <v/>
      </c>
      <c r="C189" s="134" t="inlineStr">
        <is>
          <t>9408790-001-L</t>
        </is>
      </c>
      <c r="D189" s="5">
        <f>IF($I2="","",INDEX(Productos!$B:$B,$I2))</f>
        <v/>
      </c>
      <c r="E189" s="5">
        <f>IF($I2="","",INDEX(Productos!$H:$H,$I2))</f>
        <v/>
      </c>
      <c r="F189" s="5">
        <f>IF($I2="","",INDEX(Productos!$I:$I,$I2))</f>
        <v/>
      </c>
      <c r="G189" s="135" t="n">
        <v>3</v>
      </c>
      <c r="H189" s="5">
        <f>IF($I2="","",INDEX(Productos!$AG:$AG,$I2))</f>
        <v/>
      </c>
      <c r="I189" s="136">
        <f>LET(_xlpm.r,Productos!$E$2:$E$2509,_xlpm.m,IFERROR(_xlfn.XMATCH(C189,_xlpm.r),IFERROR(_xlfn.XMATCH(VALUE(C189),_xlpm.r),0)),IF(_xlpm.m=0,"",_xlpm.m+1))</f>
        <v/>
      </c>
      <c r="J189" s="137" t="inlineStr">
        <is>
          <t>NetSuite</t>
        </is>
      </c>
    </row>
    <row r="190">
      <c r="A190" s="5" t="inlineStr">
        <is>
          <t>B25 STETSON.MX</t>
        </is>
      </c>
      <c r="B190" s="5">
        <f>IF($I2="","",INDEX(Productos!$A:$A,$I2))</f>
        <v/>
      </c>
      <c r="C190" s="134" t="inlineStr">
        <is>
          <t>9408790-001-M</t>
        </is>
      </c>
      <c r="D190" s="5">
        <f>IF($I2="","",INDEX(Productos!$B:$B,$I2))</f>
        <v/>
      </c>
      <c r="E190" s="5">
        <f>IF($I2="","",INDEX(Productos!$H:$H,$I2))</f>
        <v/>
      </c>
      <c r="F190" s="5">
        <f>IF($I2="","",INDEX(Productos!$I:$I,$I2))</f>
        <v/>
      </c>
      <c r="G190" s="135" t="n">
        <v>3</v>
      </c>
      <c r="H190" s="5">
        <f>IF($I2="","",INDEX(Productos!$AG:$AG,$I2))</f>
        <v/>
      </c>
      <c r="I190" s="136">
        <f>LET(_xlpm.r,Productos!$E$2:$E$2509,_xlpm.m,IFERROR(_xlfn.XMATCH(C190,_xlpm.r),IFERROR(_xlfn.XMATCH(VALUE(C190),_xlpm.r),0)),IF(_xlpm.m=0,"",_xlpm.m+1))</f>
        <v/>
      </c>
      <c r="J190" s="137" t="inlineStr">
        <is>
          <t>NetSuite</t>
        </is>
      </c>
    </row>
    <row r="191">
      <c r="A191" s="5" t="inlineStr">
        <is>
          <t>B25 STETSON.MX</t>
        </is>
      </c>
      <c r="B191" s="5">
        <f>IF($I2="","",INDEX(Productos!$A:$A,$I2))</f>
        <v/>
      </c>
      <c r="C191" s="134" t="inlineStr">
        <is>
          <t>9408790-001-S</t>
        </is>
      </c>
      <c r="D191" s="5">
        <f>IF($I2="","",INDEX(Productos!$B:$B,$I2))</f>
        <v/>
      </c>
      <c r="E191" s="5">
        <f>IF($I2="","",INDEX(Productos!$H:$H,$I2))</f>
        <v/>
      </c>
      <c r="F191" s="5">
        <f>IF($I2="","",INDEX(Productos!$I:$I,$I2))</f>
        <v/>
      </c>
      <c r="G191" s="135" t="n">
        <v>1</v>
      </c>
      <c r="H191" s="5">
        <f>IF($I2="","",INDEX(Productos!$AG:$AG,$I2))</f>
        <v/>
      </c>
      <c r="I191" s="136">
        <f>LET(_xlpm.r,Productos!$E$2:$E$2509,_xlpm.m,IFERROR(_xlfn.XMATCH(C191,_xlpm.r),IFERROR(_xlfn.XMATCH(VALUE(C191),_xlpm.r),0)),IF(_xlpm.m=0,"",_xlpm.m+1))</f>
        <v/>
      </c>
      <c r="J191" s="137" t="inlineStr">
        <is>
          <t>NetSuite</t>
        </is>
      </c>
    </row>
    <row r="192">
      <c r="A192" s="5" t="inlineStr">
        <is>
          <t>B25 STETSON.MX</t>
        </is>
      </c>
      <c r="B192" s="5">
        <f>IF($I2="","",INDEX(Productos!$A:$A,$I2))</f>
        <v/>
      </c>
      <c r="C192" s="134" t="inlineStr">
        <is>
          <t>9408790-233-L</t>
        </is>
      </c>
      <c r="D192" s="5">
        <f>IF($I2="","",INDEX(Productos!$B:$B,$I2))</f>
        <v/>
      </c>
      <c r="E192" s="5">
        <f>IF($I2="","",INDEX(Productos!$H:$H,$I2))</f>
        <v/>
      </c>
      <c r="F192" s="5">
        <f>IF($I2="","",INDEX(Productos!$I:$I,$I2))</f>
        <v/>
      </c>
      <c r="G192" s="135" t="n">
        <v>2</v>
      </c>
      <c r="H192" s="5">
        <f>IF($I2="","",INDEX(Productos!$AG:$AG,$I2))</f>
        <v/>
      </c>
      <c r="I192" s="136">
        <f>LET(_xlpm.r,Productos!$E$2:$E$2509,_xlpm.m,IFERROR(_xlfn.XMATCH(C192,_xlpm.r),IFERROR(_xlfn.XMATCH(VALUE(C192),_xlpm.r),0)),IF(_xlpm.m=0,"",_xlpm.m+1))</f>
        <v/>
      </c>
      <c r="J192" s="137" t="inlineStr">
        <is>
          <t>NetSuite</t>
        </is>
      </c>
    </row>
    <row r="193">
      <c r="A193" s="5" t="inlineStr">
        <is>
          <t>B25 STETSON.MX</t>
        </is>
      </c>
      <c r="B193" s="5">
        <f>IF($I2="","",INDEX(Productos!$A:$A,$I2))</f>
        <v/>
      </c>
      <c r="C193" s="134" t="inlineStr">
        <is>
          <t>9409790-001-M</t>
        </is>
      </c>
      <c r="D193" s="5">
        <f>IF($I2="","",INDEX(Productos!$B:$B,$I2))</f>
        <v/>
      </c>
      <c r="E193" s="5">
        <f>IF($I2="","",INDEX(Productos!$H:$H,$I2))</f>
        <v/>
      </c>
      <c r="F193" s="5">
        <f>IF($I2="","",INDEX(Productos!$I:$I,$I2))</f>
        <v/>
      </c>
      <c r="G193" s="135" t="n">
        <v>1</v>
      </c>
      <c r="H193" s="5">
        <f>IF($I2="","",INDEX(Productos!$AG:$AG,$I2))</f>
        <v/>
      </c>
      <c r="I193" s="136">
        <f>LET(_xlpm.r,Productos!$E$2:$E$2509,_xlpm.m,IFERROR(_xlfn.XMATCH(C193,_xlpm.r),IFERROR(_xlfn.XMATCH(VALUE(C193),_xlpm.r),0)),IF(_xlpm.m=0,"",_xlpm.m+1))</f>
        <v/>
      </c>
      <c r="J193" s="137" t="inlineStr">
        <is>
          <t>NetSuite</t>
        </is>
      </c>
    </row>
    <row r="194">
      <c r="A194" s="5" t="inlineStr">
        <is>
          <t>B25 STETSON.MX</t>
        </is>
      </c>
      <c r="B194" s="5">
        <f>IF($I2="","",INDEX(Productos!$A:$A,$I2))</f>
        <v/>
      </c>
      <c r="C194" s="134" t="inlineStr">
        <is>
          <t>9409790-600-L</t>
        </is>
      </c>
      <c r="D194" s="5">
        <f>IF($I2="","",INDEX(Productos!$B:$B,$I2))</f>
        <v/>
      </c>
      <c r="E194" s="5">
        <f>IF($I2="","",INDEX(Productos!$H:$H,$I2))</f>
        <v/>
      </c>
      <c r="F194" s="5">
        <f>IF($I2="","",INDEX(Productos!$I:$I,$I2))</f>
        <v/>
      </c>
      <c r="G194" s="135" t="n">
        <v>4</v>
      </c>
      <c r="H194" s="5">
        <f>IF($I2="","",INDEX(Productos!$AG:$AG,$I2))</f>
        <v/>
      </c>
      <c r="I194" s="136">
        <f>LET(_xlpm.r,Productos!$E$2:$E$2509,_xlpm.m,IFERROR(_xlfn.XMATCH(C194,_xlpm.r),IFERROR(_xlfn.XMATCH(VALUE(C194),_xlpm.r),0)),IF(_xlpm.m=0,"",_xlpm.m+1))</f>
        <v/>
      </c>
      <c r="J194" s="137" t="inlineStr">
        <is>
          <t>NetSuite</t>
        </is>
      </c>
    </row>
    <row r="195">
      <c r="A195" s="5" t="inlineStr">
        <is>
          <t>B25 STETSON.MX</t>
        </is>
      </c>
      <c r="B195" s="5">
        <f>IF($I2="","",INDEX(Productos!$A:$A,$I2))</f>
        <v/>
      </c>
      <c r="C195" s="134" t="inlineStr">
        <is>
          <t>9409790-600-M</t>
        </is>
      </c>
      <c r="D195" s="5">
        <f>IF($I2="","",INDEX(Productos!$B:$B,$I2))</f>
        <v/>
      </c>
      <c r="E195" s="5">
        <f>IF($I2="","",INDEX(Productos!$H:$H,$I2))</f>
        <v/>
      </c>
      <c r="F195" s="5">
        <f>IF($I2="","",INDEX(Productos!$I:$I,$I2))</f>
        <v/>
      </c>
      <c r="G195" s="135" t="n">
        <v>1</v>
      </c>
      <c r="H195" s="5">
        <f>IF($I2="","",INDEX(Productos!$AG:$AG,$I2))</f>
        <v/>
      </c>
      <c r="I195" s="136">
        <f>LET(_xlpm.r,Productos!$E$2:$E$2509,_xlpm.m,IFERROR(_xlfn.XMATCH(C195,_xlpm.r),IFERROR(_xlfn.XMATCH(VALUE(C195),_xlpm.r),0)),IF(_xlpm.m=0,"",_xlpm.m+1))</f>
        <v/>
      </c>
      <c r="J195" s="137" t="inlineStr">
        <is>
          <t>NetSuite</t>
        </is>
      </c>
    </row>
    <row r="196">
      <c r="A196" s="5" t="inlineStr">
        <is>
          <t>B25 STETSON.MX</t>
        </is>
      </c>
      <c r="B196" s="5">
        <f>IF($I2="","",INDEX(Productos!$A:$A,$I2))</f>
        <v/>
      </c>
      <c r="C196" s="134" t="inlineStr">
        <is>
          <t>9409790-600-XL</t>
        </is>
      </c>
      <c r="D196" s="5">
        <f>IF($I2="","",INDEX(Productos!$B:$B,$I2))</f>
        <v/>
      </c>
      <c r="E196" s="5">
        <f>IF($I2="","",INDEX(Productos!$H:$H,$I2))</f>
        <v/>
      </c>
      <c r="F196" s="5">
        <f>IF($I2="","",INDEX(Productos!$I:$I,$I2))</f>
        <v/>
      </c>
      <c r="G196" s="135" t="n">
        <v>2</v>
      </c>
      <c r="H196" s="5">
        <f>IF($I2="","",INDEX(Productos!$AG:$AG,$I2))</f>
        <v/>
      </c>
      <c r="I196" s="136">
        <f>LET(_xlpm.r,Productos!$E$2:$E$2509,_xlpm.m,IFERROR(_xlfn.XMATCH(C196,_xlpm.r),IFERROR(_xlfn.XMATCH(VALUE(C196),_xlpm.r),0)),IF(_xlpm.m=0,"",_xlpm.m+1))</f>
        <v/>
      </c>
      <c r="J196" s="137" t="inlineStr">
        <is>
          <t>NetSuite</t>
        </is>
      </c>
    </row>
    <row r="197">
      <c r="A197" s="5" t="inlineStr">
        <is>
          <t>B25 STETSON.MX</t>
        </is>
      </c>
      <c r="B197" s="5">
        <f>IF($I2="","",INDEX(Productos!$A:$A,$I2))</f>
        <v/>
      </c>
      <c r="C197" s="134" t="inlineStr">
        <is>
          <t>9411790-909-L</t>
        </is>
      </c>
      <c r="D197" s="5">
        <f>IF($I2="","",INDEX(Productos!$B:$B,$I2))</f>
        <v/>
      </c>
      <c r="E197" s="5">
        <f>IF($I2="","",INDEX(Productos!$H:$H,$I2))</f>
        <v/>
      </c>
      <c r="F197" s="5">
        <f>IF($I2="","",INDEX(Productos!$I:$I,$I2))</f>
        <v/>
      </c>
      <c r="G197" s="135" t="n">
        <v>3</v>
      </c>
      <c r="H197" s="5">
        <f>IF($I2="","",INDEX(Productos!$AG:$AG,$I2))</f>
        <v/>
      </c>
      <c r="I197" s="136">
        <f>LET(_xlpm.r,Productos!$E$2:$E$2509,_xlpm.m,IFERROR(_xlfn.XMATCH(C197,_xlpm.r),IFERROR(_xlfn.XMATCH(VALUE(C197),_xlpm.r),0)),IF(_xlpm.m=0,"",_xlpm.m+1))</f>
        <v/>
      </c>
      <c r="J197" s="137" t="inlineStr">
        <is>
          <t>NetSuite</t>
        </is>
      </c>
    </row>
    <row r="198">
      <c r="A198" s="5" t="inlineStr">
        <is>
          <t>B25 STETSON.MX</t>
        </is>
      </c>
      <c r="B198" s="5">
        <f>IF($I2="","",INDEX(Productos!$A:$A,$I2))</f>
        <v/>
      </c>
      <c r="C198" s="134" t="inlineStr">
        <is>
          <t>9411790-909-M</t>
        </is>
      </c>
      <c r="D198" s="5">
        <f>IF($I2="","",INDEX(Productos!$B:$B,$I2))</f>
        <v/>
      </c>
      <c r="E198" s="5">
        <f>IF($I2="","",INDEX(Productos!$H:$H,$I2))</f>
        <v/>
      </c>
      <c r="F198" s="5">
        <f>IF($I2="","",INDEX(Productos!$I:$I,$I2))</f>
        <v/>
      </c>
      <c r="G198" s="135" t="n">
        <v>7</v>
      </c>
      <c r="H198" s="5">
        <f>IF($I2="","",INDEX(Productos!$AG:$AG,$I2))</f>
        <v/>
      </c>
      <c r="I198" s="136">
        <f>LET(_xlpm.r,Productos!$E$2:$E$2509,_xlpm.m,IFERROR(_xlfn.XMATCH(C198,_xlpm.r),IFERROR(_xlfn.XMATCH(VALUE(C198),_xlpm.r),0)),IF(_xlpm.m=0,"",_xlpm.m+1))</f>
        <v/>
      </c>
      <c r="J198" s="137" t="inlineStr">
        <is>
          <t>NetSuite</t>
        </is>
      </c>
    </row>
    <row r="199">
      <c r="A199" s="5" t="inlineStr">
        <is>
          <t>B25 STETSON.MX</t>
        </is>
      </c>
      <c r="B199" s="5">
        <f>IF($I2="","",INDEX(Productos!$A:$A,$I2))</f>
        <v/>
      </c>
      <c r="C199" s="134" t="inlineStr">
        <is>
          <t>9412790-100-L</t>
        </is>
      </c>
      <c r="D199" s="5">
        <f>IF($I2="","",INDEX(Productos!$B:$B,$I2))</f>
        <v/>
      </c>
      <c r="E199" s="5">
        <f>IF($I2="","",INDEX(Productos!$H:$H,$I2))</f>
        <v/>
      </c>
      <c r="F199" s="5">
        <f>IF($I2="","",INDEX(Productos!$I:$I,$I2))</f>
        <v/>
      </c>
      <c r="G199" s="135" t="n">
        <v>4</v>
      </c>
      <c r="H199" s="5">
        <f>IF($I2="","",INDEX(Productos!$AG:$AG,$I2))</f>
        <v/>
      </c>
      <c r="I199" s="136">
        <f>LET(_xlpm.r,Productos!$E$2:$E$2509,_xlpm.m,IFERROR(_xlfn.XMATCH(C199,_xlpm.r),IFERROR(_xlfn.XMATCH(VALUE(C199),_xlpm.r),0)),IF(_xlpm.m=0,"",_xlpm.m+1))</f>
        <v/>
      </c>
      <c r="J199" s="137" t="inlineStr">
        <is>
          <t>NetSuite</t>
        </is>
      </c>
    </row>
    <row r="200">
      <c r="A200" s="5" t="inlineStr">
        <is>
          <t>B25 STETSON.MX</t>
        </is>
      </c>
      <c r="B200" s="5">
        <f>IF($I2="","",INDEX(Productos!$A:$A,$I2))</f>
        <v/>
      </c>
      <c r="C200" s="134" t="inlineStr">
        <is>
          <t>9412790-100-M</t>
        </is>
      </c>
      <c r="D200" s="5">
        <f>IF($I2="","",INDEX(Productos!$B:$B,$I2))</f>
        <v/>
      </c>
      <c r="E200" s="5">
        <f>IF($I2="","",INDEX(Productos!$H:$H,$I2))</f>
        <v/>
      </c>
      <c r="F200" s="5">
        <f>IF($I2="","",INDEX(Productos!$I:$I,$I2))</f>
        <v/>
      </c>
      <c r="G200" s="135" t="n">
        <v>2</v>
      </c>
      <c r="H200" s="5">
        <f>IF($I2="","",INDEX(Productos!$AG:$AG,$I2))</f>
        <v/>
      </c>
      <c r="I200" s="136">
        <f>LET(_xlpm.r,Productos!$E$2:$E$2509,_xlpm.m,IFERROR(_xlfn.XMATCH(C200,_xlpm.r),IFERROR(_xlfn.XMATCH(VALUE(C200),_xlpm.r),0)),IF(_xlpm.m=0,"",_xlpm.m+1))</f>
        <v/>
      </c>
      <c r="J200" s="137" t="inlineStr">
        <is>
          <t>NetSuite</t>
        </is>
      </c>
    </row>
    <row r="201">
      <c r="A201" s="5" t="inlineStr">
        <is>
          <t>B25 STETSON.MX</t>
        </is>
      </c>
      <c r="B201" s="5">
        <f>IF($I2="","",INDEX(Productos!$A:$A,$I2))</f>
        <v/>
      </c>
      <c r="C201" s="134" t="inlineStr">
        <is>
          <t>9412790-100-S</t>
        </is>
      </c>
      <c r="D201" s="5">
        <f>IF($I2="","",INDEX(Productos!$B:$B,$I2))</f>
        <v/>
      </c>
      <c r="E201" s="5">
        <f>IF($I2="","",INDEX(Productos!$H:$H,$I2))</f>
        <v/>
      </c>
      <c r="F201" s="5">
        <f>IF($I2="","",INDEX(Productos!$I:$I,$I2))</f>
        <v/>
      </c>
      <c r="G201" s="135" t="n">
        <v>2</v>
      </c>
      <c r="H201" s="5">
        <f>IF($I2="","",INDEX(Productos!$AG:$AG,$I2))</f>
        <v/>
      </c>
      <c r="I201" s="136">
        <f>LET(_xlpm.r,Productos!$E$2:$E$2509,_xlpm.m,IFERROR(_xlfn.XMATCH(C201,_xlpm.r),IFERROR(_xlfn.XMATCH(VALUE(C201),_xlpm.r),0)),IF(_xlpm.m=0,"",_xlpm.m+1))</f>
        <v/>
      </c>
      <c r="J201" s="137" t="inlineStr">
        <is>
          <t>NetSuite</t>
        </is>
      </c>
    </row>
    <row r="202">
      <c r="A202" s="5" t="inlineStr">
        <is>
          <t>B25 STETSON.MX</t>
        </is>
      </c>
      <c r="B202" s="5">
        <f>IF($I2="","",INDEX(Productos!$A:$A,$I2))</f>
        <v/>
      </c>
      <c r="C202" s="134" t="inlineStr">
        <is>
          <t>9412790-100-XL</t>
        </is>
      </c>
      <c r="D202" s="5">
        <f>IF($I2="","",INDEX(Productos!$B:$B,$I2))</f>
        <v/>
      </c>
      <c r="E202" s="5">
        <f>IF($I2="","",INDEX(Productos!$H:$H,$I2))</f>
        <v/>
      </c>
      <c r="F202" s="5">
        <f>IF($I2="","",INDEX(Productos!$I:$I,$I2))</f>
        <v/>
      </c>
      <c r="G202" s="135" t="n">
        <v>2</v>
      </c>
      <c r="H202" s="5">
        <f>IF($I2="","",INDEX(Productos!$AG:$AG,$I2))</f>
        <v/>
      </c>
      <c r="I202" s="136">
        <f>LET(_xlpm.r,Productos!$E$2:$E$2509,_xlpm.m,IFERROR(_xlfn.XMATCH(C202,_xlpm.r),IFERROR(_xlfn.XMATCH(VALUE(C202),_xlpm.r),0)),IF(_xlpm.m=0,"",_xlpm.m+1))</f>
        <v/>
      </c>
      <c r="J202" s="137" t="inlineStr">
        <is>
          <t>NetSuite</t>
        </is>
      </c>
    </row>
    <row r="203">
      <c r="A203" s="5" t="inlineStr">
        <is>
          <t>B25 STETSON.MX</t>
        </is>
      </c>
      <c r="B203" s="5">
        <f>IF($I2="","",INDEX(Productos!$A:$A,$I2))</f>
        <v/>
      </c>
      <c r="C203" s="134" t="inlineStr">
        <is>
          <t>9501000-200-NZ</t>
        </is>
      </c>
      <c r="D203" s="5">
        <f>IF($I2="","",INDEX(Productos!$B:$B,$I2))</f>
        <v/>
      </c>
      <c r="E203" s="5">
        <f>IF($I2="","",INDEX(Productos!$H:$H,$I2))</f>
        <v/>
      </c>
      <c r="F203" s="5">
        <f>IF($I2="","",INDEX(Productos!$I:$I,$I2))</f>
        <v/>
      </c>
      <c r="G203" s="135" t="n">
        <v>7</v>
      </c>
      <c r="H203" s="5">
        <f>IF($I2="","",INDEX(Productos!$AG:$AG,$I2))</f>
        <v/>
      </c>
      <c r="I203" s="136">
        <f>LET(_xlpm.r,Productos!$E$2:$E$2509,_xlpm.m,IFERROR(_xlfn.XMATCH(C203,_xlpm.r),IFERROR(_xlfn.XMATCH(VALUE(C203),_xlpm.r),0)),IF(_xlpm.m=0,"",_xlpm.m+1))</f>
        <v/>
      </c>
      <c r="J203" s="137" t="inlineStr">
        <is>
          <t>NetSuite</t>
        </is>
      </c>
    </row>
    <row r="204">
      <c r="A204" s="5" t="inlineStr">
        <is>
          <t>B25 STETSON.MX</t>
        </is>
      </c>
      <c r="B204" s="5">
        <f>IF($I2="","",INDEX(Productos!$A:$A,$I2))</f>
        <v/>
      </c>
      <c r="C204" s="134" t="inlineStr">
        <is>
          <t>9502000-600-NZ</t>
        </is>
      </c>
      <c r="D204" s="5">
        <f>IF($I2="","",INDEX(Productos!$B:$B,$I2))</f>
        <v/>
      </c>
      <c r="E204" s="5">
        <f>IF($I2="","",INDEX(Productos!$H:$H,$I2))</f>
        <v/>
      </c>
      <c r="F204" s="5">
        <f>IF($I2="","",INDEX(Productos!$I:$I,$I2))</f>
        <v/>
      </c>
      <c r="G204" s="135" t="n">
        <v>9</v>
      </c>
      <c r="H204" s="5">
        <f>IF($I2="","",INDEX(Productos!$AG:$AG,$I2))</f>
        <v/>
      </c>
      <c r="I204" s="136">
        <f>LET(_xlpm.r,Productos!$E$2:$E$2509,_xlpm.m,IFERROR(_xlfn.XMATCH(C204,_xlpm.r),IFERROR(_xlfn.XMATCH(VALUE(C204),_xlpm.r),0)),IF(_xlpm.m=0,"",_xlpm.m+1))</f>
        <v/>
      </c>
      <c r="J204" s="137" t="inlineStr">
        <is>
          <t>NetSuite</t>
        </is>
      </c>
    </row>
    <row r="205">
      <c r="A205" s="5" t="inlineStr">
        <is>
          <t>B25 STETSON.MX</t>
        </is>
      </c>
      <c r="B205" s="5">
        <f>IF($I2="","",INDEX(Productos!$A:$A,$I2))</f>
        <v/>
      </c>
      <c r="C205" s="134" t="inlineStr">
        <is>
          <t>9506000-600-NZ</t>
        </is>
      </c>
      <c r="D205" s="5">
        <f>IF($I2="","",INDEX(Productos!$B:$B,$I2))</f>
        <v/>
      </c>
      <c r="E205" s="5">
        <f>IF($I2="","",INDEX(Productos!$H:$H,$I2))</f>
        <v/>
      </c>
      <c r="F205" s="5">
        <f>IF($I2="","",INDEX(Productos!$I:$I,$I2))</f>
        <v/>
      </c>
      <c r="G205" s="135" t="n">
        <v>9</v>
      </c>
      <c r="H205" s="5">
        <f>IF($I2="","",INDEX(Productos!$AG:$AG,$I2))</f>
        <v/>
      </c>
      <c r="I205" s="136">
        <f>LET(_xlpm.r,Productos!$E$2:$E$2509,_xlpm.m,IFERROR(_xlfn.XMATCH(C205,_xlpm.r),IFERROR(_xlfn.XMATCH(VALUE(C205),_xlpm.r),0)),IF(_xlpm.m=0,"",_xlpm.m+1))</f>
        <v/>
      </c>
      <c r="J205" s="137" t="inlineStr">
        <is>
          <t>NetSuite</t>
        </is>
      </c>
    </row>
    <row r="206">
      <c r="A206" s="5" t="inlineStr">
        <is>
          <t>B25 STETSON.MX</t>
        </is>
      </c>
      <c r="B206" s="5">
        <f>IF($I2="","",INDEX(Productos!$A:$A,$I2))</f>
        <v/>
      </c>
      <c r="C206" s="134" t="inlineStr">
        <is>
          <t>9508000-001-NZ</t>
        </is>
      </c>
      <c r="D206" s="5">
        <f>IF($I2="","",INDEX(Productos!$B:$B,$I2))</f>
        <v/>
      </c>
      <c r="E206" s="5">
        <f>IF($I2="","",INDEX(Productos!$H:$H,$I2))</f>
        <v/>
      </c>
      <c r="F206" s="5">
        <f>IF($I2="","",INDEX(Productos!$I:$I,$I2))</f>
        <v/>
      </c>
      <c r="G206" s="135" t="n">
        <v>11</v>
      </c>
      <c r="H206" s="5">
        <f>IF($I2="","",INDEX(Productos!$AG:$AG,$I2))</f>
        <v/>
      </c>
      <c r="I206" s="136">
        <f>LET(_xlpm.r,Productos!$E$2:$E$2509,_xlpm.m,IFERROR(_xlfn.XMATCH(C206,_xlpm.r),IFERROR(_xlfn.XMATCH(VALUE(C206),_xlpm.r),0)),IF(_xlpm.m=0,"",_xlpm.m+1))</f>
        <v/>
      </c>
      <c r="J206" s="137" t="inlineStr">
        <is>
          <t>NetSuite</t>
        </is>
      </c>
    </row>
    <row r="207">
      <c r="A207" s="5" t="inlineStr">
        <is>
          <t>B25 STETSON.MX</t>
        </is>
      </c>
      <c r="B207" s="5">
        <f>IF($I2="","",INDEX(Productos!$A:$A,$I2))</f>
        <v/>
      </c>
      <c r="C207" s="134" t="inlineStr">
        <is>
          <t>9509000-001-NZ</t>
        </is>
      </c>
      <c r="D207" s="5">
        <f>IF($I2="","",INDEX(Productos!$B:$B,$I2))</f>
        <v/>
      </c>
      <c r="E207" s="5">
        <f>IF($I2="","",INDEX(Productos!$H:$H,$I2))</f>
        <v/>
      </c>
      <c r="F207" s="5">
        <f>IF($I2="","",INDEX(Productos!$I:$I,$I2))</f>
        <v/>
      </c>
      <c r="G207" s="135" t="n">
        <v>7</v>
      </c>
      <c r="H207" s="5">
        <f>IF($I2="","",INDEX(Productos!$AG:$AG,$I2))</f>
        <v/>
      </c>
      <c r="I207" s="136">
        <f>LET(_xlpm.r,Productos!$E$2:$E$2509,_xlpm.m,IFERROR(_xlfn.XMATCH(C207,_xlpm.r),IFERROR(_xlfn.XMATCH(VALUE(C207),_xlpm.r),0)),IF(_xlpm.m=0,"",_xlpm.m+1))</f>
        <v/>
      </c>
      <c r="J207" s="137" t="inlineStr">
        <is>
          <t>NetSuite</t>
        </is>
      </c>
    </row>
    <row r="208">
      <c r="A208" s="5" t="inlineStr">
        <is>
          <t>B25 STETSON.MX</t>
        </is>
      </c>
      <c r="B208" s="5">
        <f>IF($I2="","",INDEX(Productos!$A:$A,$I2))</f>
        <v/>
      </c>
      <c r="C208" s="134" t="inlineStr">
        <is>
          <t>9510000-200-NZ</t>
        </is>
      </c>
      <c r="D208" s="5">
        <f>IF($I2="","",INDEX(Productos!$B:$B,$I2))</f>
        <v/>
      </c>
      <c r="E208" s="5">
        <f>IF($I2="","",INDEX(Productos!$H:$H,$I2))</f>
        <v/>
      </c>
      <c r="F208" s="5">
        <f>IF($I2="","",INDEX(Productos!$I:$I,$I2))</f>
        <v/>
      </c>
      <c r="G208" s="135" t="n">
        <v>3</v>
      </c>
      <c r="H208" s="5">
        <f>IF($I2="","",INDEX(Productos!$AG:$AG,$I2))</f>
        <v/>
      </c>
      <c r="I208" s="136">
        <f>LET(_xlpm.r,Productos!$E$2:$E$2509,_xlpm.m,IFERROR(_xlfn.XMATCH(C208,_xlpm.r),IFERROR(_xlfn.XMATCH(VALUE(C208),_xlpm.r),0)),IF(_xlpm.m=0,"",_xlpm.m+1))</f>
        <v/>
      </c>
      <c r="J208" s="137" t="inlineStr">
        <is>
          <t>NetSuite</t>
        </is>
      </c>
    </row>
    <row r="209">
      <c r="A209" s="5" t="inlineStr">
        <is>
          <t>B25 STETSON.MX</t>
        </is>
      </c>
      <c r="B209" s="5">
        <f>IF($I2="","",INDEX(Productos!$A:$A,$I2))</f>
        <v/>
      </c>
      <c r="C209" s="134" t="inlineStr">
        <is>
          <t>9510000-219-NZ</t>
        </is>
      </c>
      <c r="D209" s="5">
        <f>IF($I2="","",INDEX(Productos!$B:$B,$I2))</f>
        <v/>
      </c>
      <c r="E209" s="5">
        <f>IF($I2="","",INDEX(Productos!$H:$H,$I2))</f>
        <v/>
      </c>
      <c r="F209" s="5">
        <f>IF($I2="","",INDEX(Productos!$I:$I,$I2))</f>
        <v/>
      </c>
      <c r="G209" s="135" t="n">
        <v>11</v>
      </c>
      <c r="H209" s="5">
        <f>IF($I2="","",INDEX(Productos!$AG:$AG,$I2))</f>
        <v/>
      </c>
      <c r="I209" s="136">
        <f>LET(_xlpm.r,Productos!$E$2:$E$2509,_xlpm.m,IFERROR(_xlfn.XMATCH(C209,_xlpm.r),IFERROR(_xlfn.XMATCH(VALUE(C209),_xlpm.r),0)),IF(_xlpm.m=0,"",_xlpm.m+1))</f>
        <v/>
      </c>
      <c r="J209" s="137" t="inlineStr">
        <is>
          <t>NetSuite</t>
        </is>
      </c>
    </row>
    <row r="210">
      <c r="A210" s="5" t="inlineStr">
        <is>
          <t>B25 STETSON.MX</t>
        </is>
      </c>
      <c r="B210" s="5">
        <f>IF($I2="","",INDEX(Productos!$A:$A,$I2))</f>
        <v/>
      </c>
      <c r="C210" s="134" t="inlineStr">
        <is>
          <t>9511000-200-NZ</t>
        </is>
      </c>
      <c r="D210" s="5">
        <f>IF($I2="","",INDEX(Productos!$B:$B,$I2))</f>
        <v/>
      </c>
      <c r="E210" s="5">
        <f>IF($I2="","",INDEX(Productos!$H:$H,$I2))</f>
        <v/>
      </c>
      <c r="F210" s="5">
        <f>IF($I2="","",INDEX(Productos!$I:$I,$I2))</f>
        <v/>
      </c>
      <c r="G210" s="135" t="n">
        <v>9</v>
      </c>
      <c r="H210" s="5">
        <f>IF($I2="","",INDEX(Productos!$AG:$AG,$I2))</f>
        <v/>
      </c>
      <c r="I210" s="136">
        <f>LET(_xlpm.r,Productos!$E$2:$E$2509,_xlpm.m,IFERROR(_xlfn.XMATCH(C210,_xlpm.r),IFERROR(_xlfn.XMATCH(VALUE(C210),_xlpm.r),0)),IF(_xlpm.m=0,"",_xlpm.m+1))</f>
        <v/>
      </c>
      <c r="J210" s="137" t="inlineStr">
        <is>
          <t>NetSuite</t>
        </is>
      </c>
    </row>
    <row r="211">
      <c r="A211" s="5" t="inlineStr">
        <is>
          <t>B25 STETSON.MX</t>
        </is>
      </c>
      <c r="B211" s="5">
        <f>IF($I2="","",INDEX(Productos!$A:$A,$I2))</f>
        <v/>
      </c>
      <c r="C211" s="134" t="inlineStr">
        <is>
          <t>9512000-600-NZ</t>
        </is>
      </c>
      <c r="D211" s="5">
        <f>IF($I2="","",INDEX(Productos!$B:$B,$I2))</f>
        <v/>
      </c>
      <c r="E211" s="5">
        <f>IF($I2="","",INDEX(Productos!$H:$H,$I2))</f>
        <v/>
      </c>
      <c r="F211" s="5">
        <f>IF($I2="","",INDEX(Productos!$I:$I,$I2))</f>
        <v/>
      </c>
      <c r="G211" s="135" t="n">
        <v>8</v>
      </c>
      <c r="H211" s="5">
        <f>IF($I2="","",INDEX(Productos!$AG:$AG,$I2))</f>
        <v/>
      </c>
      <c r="I211" s="136">
        <f>LET(_xlpm.r,Productos!$E$2:$E$2509,_xlpm.m,IFERROR(_xlfn.XMATCH(C211,_xlpm.r),IFERROR(_xlfn.XMATCH(VALUE(C211),_xlpm.r),0)),IF(_xlpm.m=0,"",_xlpm.m+1))</f>
        <v/>
      </c>
      <c r="J211" s="137" t="inlineStr">
        <is>
          <t>NetSuite</t>
        </is>
      </c>
    </row>
    <row r="212">
      <c r="A212" s="5" t="inlineStr">
        <is>
          <t>B25 STETSON.MX</t>
        </is>
      </c>
      <c r="B212" s="5">
        <f>IF($I2="","",INDEX(Productos!$A:$A,$I2))</f>
        <v/>
      </c>
      <c r="C212" s="134" t="inlineStr">
        <is>
          <t>9513000-001-NZ</t>
        </is>
      </c>
      <c r="D212" s="5">
        <f>IF($I2="","",INDEX(Productos!$B:$B,$I2))</f>
        <v/>
      </c>
      <c r="E212" s="5">
        <f>IF($I2="","",INDEX(Productos!$H:$H,$I2))</f>
        <v/>
      </c>
      <c r="F212" s="5">
        <f>IF($I2="","",INDEX(Productos!$I:$I,$I2))</f>
        <v/>
      </c>
      <c r="G212" s="135" t="n">
        <v>3</v>
      </c>
      <c r="H212" s="5">
        <f>IF($I2="","",INDEX(Productos!$AG:$AG,$I2))</f>
        <v/>
      </c>
      <c r="I212" s="136">
        <f>LET(_xlpm.r,Productos!$E$2:$E$2509,_xlpm.m,IFERROR(_xlfn.XMATCH(C212,_xlpm.r),IFERROR(_xlfn.XMATCH(VALUE(C212),_xlpm.r),0)),IF(_xlpm.m=0,"",_xlpm.m+1))</f>
        <v/>
      </c>
      <c r="J212" s="137" t="inlineStr">
        <is>
          <t>NetSuite</t>
        </is>
      </c>
    </row>
    <row r="213">
      <c r="A213" s="5" t="inlineStr">
        <is>
          <t>B25 STETSON.MX</t>
        </is>
      </c>
      <c r="B213" s="5">
        <f>IF($I2="","",INDEX(Productos!$A:$A,$I2))</f>
        <v/>
      </c>
      <c r="C213" s="134" t="inlineStr">
        <is>
          <t>9804002-203-NZ</t>
        </is>
      </c>
      <c r="D213" s="5">
        <f>IF($I2="","",INDEX(Productos!$B:$B,$I2))</f>
        <v/>
      </c>
      <c r="E213" s="5">
        <f>IF($I2="","",INDEX(Productos!$H:$H,$I2))</f>
        <v/>
      </c>
      <c r="F213" s="5">
        <f>IF($I2="","",INDEX(Productos!$I:$I,$I2))</f>
        <v/>
      </c>
      <c r="G213" s="135" t="n">
        <v>3</v>
      </c>
      <c r="H213" s="5">
        <f>IF($I2="","",INDEX(Productos!$AG:$AG,$I2))</f>
        <v/>
      </c>
      <c r="I213" s="136">
        <f>LET(_xlpm.r,Productos!$E$2:$E$2509,_xlpm.m,IFERROR(_xlfn.XMATCH(C213,_xlpm.r),IFERROR(_xlfn.XMATCH(VALUE(C213),_xlpm.r),0)),IF(_xlpm.m=0,"",_xlpm.m+1))</f>
        <v/>
      </c>
      <c r="J213" s="137" t="inlineStr">
        <is>
          <t>NetSuite</t>
        </is>
      </c>
    </row>
    <row r="214">
      <c r="A214" s="5" t="inlineStr">
        <is>
          <t>B25 STETSON.MX</t>
        </is>
      </c>
      <c r="B214" s="5">
        <f>IF($I2="","",INDEX(Productos!$A:$A,$I2))</f>
        <v/>
      </c>
      <c r="C214" s="134" t="inlineStr">
        <is>
          <t>9805001-200-NZ</t>
        </is>
      </c>
      <c r="D214" s="5">
        <f>IF($I2="","",INDEX(Productos!$B:$B,$I2))</f>
        <v/>
      </c>
      <c r="E214" s="5">
        <f>IF($I2="","",INDEX(Productos!$H:$H,$I2))</f>
        <v/>
      </c>
      <c r="F214" s="5">
        <f>IF($I2="","",INDEX(Productos!$I:$I,$I2))</f>
        <v/>
      </c>
      <c r="G214" s="135" t="n">
        <v>1</v>
      </c>
      <c r="H214" s="5">
        <f>IF($I2="","",INDEX(Productos!$AG:$AG,$I2))</f>
        <v/>
      </c>
      <c r="I214" s="136">
        <f>LET(_xlpm.r,Productos!$E$2:$E$2509,_xlpm.m,IFERROR(_xlfn.XMATCH(C214,_xlpm.r),IFERROR(_xlfn.XMATCH(VALUE(C214),_xlpm.r),0)),IF(_xlpm.m=0,"",_xlpm.m+1))</f>
        <v/>
      </c>
      <c r="J214" s="137" t="inlineStr">
        <is>
          <t>NetSuite</t>
        </is>
      </c>
    </row>
    <row r="215">
      <c r="A215" s="5" t="inlineStr">
        <is>
          <t>B25 STETSON.MX</t>
        </is>
      </c>
      <c r="B215" s="5">
        <f>IF($I2="","",INDEX(Productos!$A:$A,$I2))</f>
        <v/>
      </c>
      <c r="C215" s="134" t="inlineStr">
        <is>
          <t>9805002-200-NZ</t>
        </is>
      </c>
      <c r="D215" s="5">
        <f>IF($I2="","",INDEX(Productos!$B:$B,$I2))</f>
        <v/>
      </c>
      <c r="E215" s="5">
        <f>IF($I2="","",INDEX(Productos!$H:$H,$I2))</f>
        <v/>
      </c>
      <c r="F215" s="5">
        <f>IF($I2="","",INDEX(Productos!$I:$I,$I2))</f>
        <v/>
      </c>
      <c r="G215" s="135" t="n">
        <v>4</v>
      </c>
      <c r="H215" s="5">
        <f>IF($I2="","",INDEX(Productos!$AG:$AG,$I2))</f>
        <v/>
      </c>
      <c r="I215" s="136">
        <f>LET(_xlpm.r,Productos!$E$2:$E$2509,_xlpm.m,IFERROR(_xlfn.XMATCH(C215,_xlpm.r),IFERROR(_xlfn.XMATCH(VALUE(C215),_xlpm.r),0)),IF(_xlpm.m=0,"",_xlpm.m+1))</f>
        <v/>
      </c>
      <c r="J215" s="137" t="inlineStr">
        <is>
          <t>NetSuite</t>
        </is>
      </c>
    </row>
    <row r="216">
      <c r="A216" s="5" t="inlineStr">
        <is>
          <t>B25 STETSON.MX</t>
        </is>
      </c>
      <c r="B216" s="5">
        <f>IF($I2="","",INDEX(Productos!$A:$A,$I2))</f>
        <v/>
      </c>
      <c r="C216" s="134" t="inlineStr">
        <is>
          <t>9806001-625-NZ</t>
        </is>
      </c>
      <c r="D216" s="5">
        <f>IF($I2="","",INDEX(Productos!$B:$B,$I2))</f>
        <v/>
      </c>
      <c r="E216" s="5">
        <f>IF($I2="","",INDEX(Productos!$H:$H,$I2))</f>
        <v/>
      </c>
      <c r="F216" s="5">
        <f>IF($I2="","",INDEX(Productos!$I:$I,$I2))</f>
        <v/>
      </c>
      <c r="G216" s="135" t="n">
        <v>13</v>
      </c>
      <c r="H216" s="5">
        <f>IF($I2="","",INDEX(Productos!$AG:$AG,$I2))</f>
        <v/>
      </c>
      <c r="I216" s="136">
        <f>LET(_xlpm.r,Productos!$E$2:$E$2509,_xlpm.m,IFERROR(_xlfn.XMATCH(C216,_xlpm.r),IFERROR(_xlfn.XMATCH(VALUE(C216),_xlpm.r),0)),IF(_xlpm.m=0,"",_xlpm.m+1))</f>
        <v/>
      </c>
      <c r="J216" s="137" t="inlineStr">
        <is>
          <t>NetSuite</t>
        </is>
      </c>
    </row>
    <row r="217">
      <c r="A217" s="5" t="inlineStr">
        <is>
          <t>B25 STETSON.MX</t>
        </is>
      </c>
      <c r="B217" s="5">
        <f>IF($I2="","",INDEX(Productos!$A:$A,$I2))</f>
        <v/>
      </c>
      <c r="C217" s="134" t="inlineStr">
        <is>
          <t>9806002-625-NZ</t>
        </is>
      </c>
      <c r="D217" s="5">
        <f>IF($I2="","",INDEX(Productos!$B:$B,$I2))</f>
        <v/>
      </c>
      <c r="E217" s="5">
        <f>IF($I2="","",INDEX(Productos!$H:$H,$I2))</f>
        <v/>
      </c>
      <c r="F217" s="5">
        <f>IF($I2="","",INDEX(Productos!$I:$I,$I2))</f>
        <v/>
      </c>
      <c r="G217" s="135" t="n">
        <v>12</v>
      </c>
      <c r="H217" s="5">
        <f>IF($I2="","",INDEX(Productos!$AG:$AG,$I2))</f>
        <v/>
      </c>
      <c r="I217" s="136">
        <f>LET(_xlpm.r,Productos!$E$2:$E$2509,_xlpm.m,IFERROR(_xlfn.XMATCH(C217,_xlpm.r),IFERROR(_xlfn.XMATCH(VALUE(C217),_xlpm.r),0)),IF(_xlpm.m=0,"",_xlpm.m+1))</f>
        <v/>
      </c>
      <c r="J217" s="137" t="inlineStr">
        <is>
          <t>NetSuite</t>
        </is>
      </c>
    </row>
    <row r="218">
      <c r="A218" s="5" t="inlineStr">
        <is>
          <t>B25 STETSON.MX</t>
        </is>
      </c>
      <c r="B218" s="5">
        <f>IF($I2="","",INDEX(Productos!$A:$A,$I2))</f>
        <v/>
      </c>
      <c r="C218" s="134" t="inlineStr">
        <is>
          <t>9806003-625-NZ</t>
        </is>
      </c>
      <c r="D218" s="5">
        <f>IF($I2="","",INDEX(Productos!$B:$B,$I2))</f>
        <v/>
      </c>
      <c r="E218" s="5">
        <f>IF($I2="","",INDEX(Productos!$H:$H,$I2))</f>
        <v/>
      </c>
      <c r="F218" s="5">
        <f>IF($I2="","",INDEX(Productos!$I:$I,$I2))</f>
        <v/>
      </c>
      <c r="G218" s="135" t="n">
        <v>3</v>
      </c>
      <c r="H218" s="5">
        <f>IF($I2="","",INDEX(Productos!$AG:$AG,$I2))</f>
        <v/>
      </c>
      <c r="I218" s="136">
        <f>LET(_xlpm.r,Productos!$E$2:$E$2509,_xlpm.m,IFERROR(_xlfn.XMATCH(C218,_xlpm.r),IFERROR(_xlfn.XMATCH(VALUE(C218),_xlpm.r),0)),IF(_xlpm.m=0,"",_xlpm.m+1))</f>
        <v/>
      </c>
      <c r="J218" s="137" t="inlineStr">
        <is>
          <t>NetSuite</t>
        </is>
      </c>
    </row>
    <row r="219">
      <c r="A219" s="5" t="inlineStr">
        <is>
          <t>B25 STETSON.MX</t>
        </is>
      </c>
      <c r="B219" s="5">
        <f>IF($I2="","",INDEX(Productos!$A:$A,$I2))</f>
        <v/>
      </c>
      <c r="C219" s="134" t="inlineStr">
        <is>
          <t>9807001-14-NZ</t>
        </is>
      </c>
      <c r="D219" s="5">
        <f>IF($I2="","",INDEX(Productos!$B:$B,$I2))</f>
        <v/>
      </c>
      <c r="E219" s="5">
        <f>IF($I2="","",INDEX(Productos!$H:$H,$I2))</f>
        <v/>
      </c>
      <c r="F219" s="5">
        <f>IF($I2="","",INDEX(Productos!$I:$I,$I2))</f>
        <v/>
      </c>
      <c r="G219" s="135" t="n">
        <v>3</v>
      </c>
      <c r="H219" s="5">
        <f>IF($I2="","",INDEX(Productos!$AG:$AG,$I2))</f>
        <v/>
      </c>
      <c r="I219" s="136">
        <f>LET(_xlpm.r,Productos!$E$2:$E$2509,_xlpm.m,IFERROR(_xlfn.XMATCH(C219,_xlpm.r),IFERROR(_xlfn.XMATCH(VALUE(C219),_xlpm.r),0)),IF(_xlpm.m=0,"",_xlpm.m+1))</f>
        <v/>
      </c>
      <c r="J219" s="137" t="inlineStr">
        <is>
          <t>NetSuite</t>
        </is>
      </c>
    </row>
    <row r="220">
      <c r="A220" s="5" t="inlineStr">
        <is>
          <t>B25 STETSON.MX</t>
        </is>
      </c>
      <c r="B220" s="5">
        <f>IF($I2="","",INDEX(Productos!$A:$A,$I2))</f>
        <v/>
      </c>
      <c r="C220" s="134" t="inlineStr">
        <is>
          <t>9807002-14-NZ</t>
        </is>
      </c>
      <c r="D220" s="5">
        <f>IF($I2="","",INDEX(Productos!$B:$B,$I2))</f>
        <v/>
      </c>
      <c r="E220" s="5">
        <f>IF($I2="","",INDEX(Productos!$H:$H,$I2))</f>
        <v/>
      </c>
      <c r="F220" s="5">
        <f>IF($I2="","",INDEX(Productos!$I:$I,$I2))</f>
        <v/>
      </c>
      <c r="G220" s="135" t="n">
        <v>3</v>
      </c>
      <c r="H220" s="5">
        <f>IF($I2="","",INDEX(Productos!$AG:$AG,$I2))</f>
        <v/>
      </c>
      <c r="I220" s="136">
        <f>LET(_xlpm.r,Productos!$E$2:$E$2509,_xlpm.m,IFERROR(_xlfn.XMATCH(C220,_xlpm.r),IFERROR(_xlfn.XMATCH(VALUE(C220),_xlpm.r),0)),IF(_xlpm.m=0,"",_xlpm.m+1))</f>
        <v/>
      </c>
      <c r="J220" s="137" t="inlineStr">
        <is>
          <t>NetSuite</t>
        </is>
      </c>
    </row>
    <row r="221">
      <c r="A221" s="5" t="inlineStr">
        <is>
          <t>B25 STETSON.MX</t>
        </is>
      </c>
      <c r="B221" s="5">
        <f>IF($I2="","",INDEX(Productos!$A:$A,$I2))</f>
        <v/>
      </c>
      <c r="C221" s="134" t="inlineStr">
        <is>
          <t>9808003-19-NZ</t>
        </is>
      </c>
      <c r="D221" s="5">
        <f>IF($I2="","",INDEX(Productos!$B:$B,$I2))</f>
        <v/>
      </c>
      <c r="E221" s="5">
        <f>IF($I2="","",INDEX(Productos!$H:$H,$I2))</f>
        <v/>
      </c>
      <c r="F221" s="5">
        <f>IF($I2="","",INDEX(Productos!$I:$I,$I2))</f>
        <v/>
      </c>
      <c r="G221" s="135" t="n">
        <v>1</v>
      </c>
      <c r="H221" s="5">
        <f>IF($I2="","",INDEX(Productos!$AG:$AG,$I2))</f>
        <v/>
      </c>
      <c r="I221" s="136">
        <f>LET(_xlpm.r,Productos!$E$2:$E$2509,_xlpm.m,IFERROR(_xlfn.XMATCH(C221,_xlpm.r),IFERROR(_xlfn.XMATCH(VALUE(C221),_xlpm.r),0)),IF(_xlpm.m=0,"",_xlpm.m+1))</f>
        <v/>
      </c>
      <c r="J221" s="137" t="inlineStr">
        <is>
          <t>NetSuite</t>
        </is>
      </c>
    </row>
    <row r="222">
      <c r="A222" s="5" t="inlineStr">
        <is>
          <t>B25 STETSON.MX</t>
        </is>
      </c>
      <c r="B222" s="5">
        <f>IF($I2="","",INDEX(Productos!$A:$A,$I2))</f>
        <v/>
      </c>
      <c r="C222" s="134" t="inlineStr">
        <is>
          <t>9901500-204-36</t>
        </is>
      </c>
      <c r="D222" s="5">
        <f>IF($I2="","",INDEX(Productos!$B:$B,$I2))</f>
        <v/>
      </c>
      <c r="E222" s="5">
        <f>IF($I2="","",INDEX(Productos!$H:$H,$I2))</f>
        <v/>
      </c>
      <c r="F222" s="5">
        <f>IF($I2="","",INDEX(Productos!$I:$I,$I2))</f>
        <v/>
      </c>
      <c r="G222" s="135" t="n">
        <v>3</v>
      </c>
      <c r="H222" s="5">
        <f>IF($I2="","",INDEX(Productos!$AG:$AG,$I2))</f>
        <v/>
      </c>
      <c r="I222" s="136">
        <f>LET(_xlpm.r,Productos!$E$2:$E$2509,_xlpm.m,IFERROR(_xlfn.XMATCH(C222,_xlpm.r),IFERROR(_xlfn.XMATCH(VALUE(C222),_xlpm.r),0)),IF(_xlpm.m=0,"",_xlpm.m+1))</f>
        <v/>
      </c>
      <c r="J222" s="137" t="inlineStr">
        <is>
          <t>NetSuite</t>
        </is>
      </c>
    </row>
    <row r="223">
      <c r="A223" s="5" t="inlineStr">
        <is>
          <t>B25 STETSON.MX</t>
        </is>
      </c>
      <c r="B223" s="5">
        <f>IF($I2="","",INDEX(Productos!$A:$A,$I2))</f>
        <v/>
      </c>
      <c r="C223" s="134" t="inlineStr">
        <is>
          <t>9901500-204-38</t>
        </is>
      </c>
      <c r="D223" s="5">
        <f>IF($I2="","",INDEX(Productos!$B:$B,$I2))</f>
        <v/>
      </c>
      <c r="E223" s="5">
        <f>IF($I2="","",INDEX(Productos!$H:$H,$I2))</f>
        <v/>
      </c>
      <c r="F223" s="5">
        <f>IF($I2="","",INDEX(Productos!$I:$I,$I2))</f>
        <v/>
      </c>
      <c r="G223" s="135" t="n">
        <v>11</v>
      </c>
      <c r="H223" s="5">
        <f>IF($I2="","",INDEX(Productos!$AG:$AG,$I2))</f>
        <v/>
      </c>
      <c r="I223" s="136">
        <f>LET(_xlpm.r,Productos!$E$2:$E$2509,_xlpm.m,IFERROR(_xlfn.XMATCH(C223,_xlpm.r),IFERROR(_xlfn.XMATCH(VALUE(C223),_xlpm.r),0)),IF(_xlpm.m=0,"",_xlpm.m+1))</f>
        <v/>
      </c>
      <c r="J223" s="137" t="inlineStr">
        <is>
          <t>NetSuite</t>
        </is>
      </c>
    </row>
    <row r="224">
      <c r="A224" s="5" t="inlineStr">
        <is>
          <t>B25 STETSON.MX</t>
        </is>
      </c>
      <c r="B224" s="5">
        <f>IF($I2="","",INDEX(Productos!$A:$A,$I2))</f>
        <v/>
      </c>
      <c r="C224" s="134" t="inlineStr">
        <is>
          <t>9901500-204-40</t>
        </is>
      </c>
      <c r="D224" s="5">
        <f>IF($I2="","",INDEX(Productos!$B:$B,$I2))</f>
        <v/>
      </c>
      <c r="E224" s="5">
        <f>IF($I2="","",INDEX(Productos!$H:$H,$I2))</f>
        <v/>
      </c>
      <c r="F224" s="5">
        <f>IF($I2="","",INDEX(Productos!$I:$I,$I2))</f>
        <v/>
      </c>
      <c r="G224" s="135" t="n">
        <v>8</v>
      </c>
      <c r="H224" s="5">
        <f>IF($I2="","",INDEX(Productos!$AG:$AG,$I2))</f>
        <v/>
      </c>
      <c r="I224" s="136">
        <f>LET(_xlpm.r,Productos!$E$2:$E$2509,_xlpm.m,IFERROR(_xlfn.XMATCH(C224,_xlpm.r),IFERROR(_xlfn.XMATCH(VALUE(C224),_xlpm.r),0)),IF(_xlpm.m=0,"",_xlpm.m+1))</f>
        <v/>
      </c>
      <c r="J224" s="137" t="inlineStr">
        <is>
          <t>NetSuite</t>
        </is>
      </c>
    </row>
    <row r="225">
      <c r="A225" s="5" t="inlineStr">
        <is>
          <t>B25 STETSON.MX</t>
        </is>
      </c>
      <c r="B225" s="5">
        <f>IF($I2="","",INDEX(Productos!$A:$A,$I2))</f>
        <v/>
      </c>
      <c r="C225" s="134" t="inlineStr">
        <is>
          <t>9901500-204-42</t>
        </is>
      </c>
      <c r="D225" s="5">
        <f>IF($I2="","",INDEX(Productos!$B:$B,$I2))</f>
        <v/>
      </c>
      <c r="E225" s="5">
        <f>IF($I2="","",INDEX(Productos!$H:$H,$I2))</f>
        <v/>
      </c>
      <c r="F225" s="5">
        <f>IF($I2="","",INDEX(Productos!$I:$I,$I2))</f>
        <v/>
      </c>
      <c r="G225" s="135" t="n">
        <v>11</v>
      </c>
      <c r="H225" s="5">
        <f>IF($I2="","",INDEX(Productos!$AG:$AG,$I2))</f>
        <v/>
      </c>
      <c r="I225" s="136">
        <f>LET(_xlpm.r,Productos!$E$2:$E$2509,_xlpm.m,IFERROR(_xlfn.XMATCH(C225,_xlpm.r),IFERROR(_xlfn.XMATCH(VALUE(C225),_xlpm.r),0)),IF(_xlpm.m=0,"",_xlpm.m+1))</f>
        <v/>
      </c>
      <c r="J225" s="137" t="inlineStr">
        <is>
          <t>NetSuite</t>
        </is>
      </c>
    </row>
    <row r="226">
      <c r="A226" s="5" t="inlineStr">
        <is>
          <t>B25 STETSON.MX</t>
        </is>
      </c>
      <c r="B226" s="5">
        <f>IF($I2="","",INDEX(Productos!$A:$A,$I2))</f>
        <v/>
      </c>
      <c r="C226" s="134" t="inlineStr">
        <is>
          <t>9901500-204-44</t>
        </is>
      </c>
      <c r="D226" s="5">
        <f>IF($I2="","",INDEX(Productos!$B:$B,$I2))</f>
        <v/>
      </c>
      <c r="E226" s="5">
        <f>IF($I2="","",INDEX(Productos!$H:$H,$I2))</f>
        <v/>
      </c>
      <c r="F226" s="5">
        <f>IF($I2="","",INDEX(Productos!$I:$I,$I2))</f>
        <v/>
      </c>
      <c r="G226" s="135" t="n">
        <v>7</v>
      </c>
      <c r="H226" s="5">
        <f>IF($I2="","",INDEX(Productos!$AG:$AG,$I2))</f>
        <v/>
      </c>
      <c r="I226" s="136">
        <f>LET(_xlpm.r,Productos!$E$2:$E$2509,_xlpm.m,IFERROR(_xlfn.XMATCH(C226,_xlpm.r),IFERROR(_xlfn.XMATCH(VALUE(C226),_xlpm.r),0)),IF(_xlpm.m=0,"",_xlpm.m+1))</f>
        <v/>
      </c>
      <c r="J226" s="137" t="inlineStr">
        <is>
          <t>NetSuite</t>
        </is>
      </c>
    </row>
    <row r="227">
      <c r="A227" s="5" t="inlineStr">
        <is>
          <t>B25 STETSON.MX</t>
        </is>
      </c>
      <c r="B227" s="5">
        <f>IF($I2="","",INDEX(Productos!$A:$A,$I2))</f>
        <v/>
      </c>
      <c r="C227" s="134" t="inlineStr">
        <is>
          <t>9901500-204-46</t>
        </is>
      </c>
      <c r="D227" s="5">
        <f>IF($I2="","",INDEX(Productos!$B:$B,$I2))</f>
        <v/>
      </c>
      <c r="E227" s="5">
        <f>IF($I2="","",INDEX(Productos!$H:$H,$I2))</f>
        <v/>
      </c>
      <c r="F227" s="5">
        <f>IF($I2="","",INDEX(Productos!$I:$I,$I2))</f>
        <v/>
      </c>
      <c r="G227" s="135" t="n">
        <v>2</v>
      </c>
      <c r="H227" s="5">
        <f>IF($I2="","",INDEX(Productos!$AG:$AG,$I2))</f>
        <v/>
      </c>
      <c r="I227" s="136">
        <f>LET(_xlpm.r,Productos!$E$2:$E$2509,_xlpm.m,IFERROR(_xlfn.XMATCH(C227,_xlpm.r),IFERROR(_xlfn.XMATCH(VALUE(C227),_xlpm.r),0)),IF(_xlpm.m=0,"",_xlpm.m+1))</f>
        <v/>
      </c>
      <c r="J227" s="137" t="inlineStr">
        <is>
          <t>NetSuite</t>
        </is>
      </c>
    </row>
    <row r="228">
      <c r="A228" s="5" t="inlineStr">
        <is>
          <t>B25 STETSON.MX</t>
        </is>
      </c>
      <c r="B228" s="5">
        <f>IF($I2="","",INDEX(Productos!$A:$A,$I2))</f>
        <v/>
      </c>
      <c r="C228" s="134" t="inlineStr">
        <is>
          <t>9903500-109-36</t>
        </is>
      </c>
      <c r="D228" s="5">
        <f>IF($I2="","",INDEX(Productos!$B:$B,$I2))</f>
        <v/>
      </c>
      <c r="E228" s="5">
        <f>IF($I2="","",INDEX(Productos!$H:$H,$I2))</f>
        <v/>
      </c>
      <c r="F228" s="5">
        <f>IF($I2="","",INDEX(Productos!$I:$I,$I2))</f>
        <v/>
      </c>
      <c r="G228" s="135" t="n">
        <v>2</v>
      </c>
      <c r="H228" s="5">
        <f>IF($I2="","",INDEX(Productos!$AG:$AG,$I2))</f>
        <v/>
      </c>
      <c r="I228" s="136">
        <f>LET(_xlpm.r,Productos!$E$2:$E$2509,_xlpm.m,IFERROR(_xlfn.XMATCH(C228,_xlpm.r),IFERROR(_xlfn.XMATCH(VALUE(C228),_xlpm.r),0)),IF(_xlpm.m=0,"",_xlpm.m+1))</f>
        <v/>
      </c>
      <c r="J228" s="137" t="inlineStr">
        <is>
          <t>NetSuite</t>
        </is>
      </c>
    </row>
    <row r="229">
      <c r="A229" s="5" t="inlineStr">
        <is>
          <t>B25 STETSON.MX</t>
        </is>
      </c>
      <c r="B229" s="5">
        <f>IF($I2="","",INDEX(Productos!$A:$A,$I2))</f>
        <v/>
      </c>
      <c r="C229" s="134" t="inlineStr">
        <is>
          <t>9903500-109-38</t>
        </is>
      </c>
      <c r="D229" s="5">
        <f>IF($I2="","",INDEX(Productos!$B:$B,$I2))</f>
        <v/>
      </c>
      <c r="E229" s="5">
        <f>IF($I2="","",INDEX(Productos!$H:$H,$I2))</f>
        <v/>
      </c>
      <c r="F229" s="5">
        <f>IF($I2="","",INDEX(Productos!$I:$I,$I2))</f>
        <v/>
      </c>
      <c r="G229" s="135" t="n">
        <v>6</v>
      </c>
      <c r="H229" s="5">
        <f>IF($I2="","",INDEX(Productos!$AG:$AG,$I2))</f>
        <v/>
      </c>
      <c r="I229" s="136">
        <f>LET(_xlpm.r,Productos!$E$2:$E$2509,_xlpm.m,IFERROR(_xlfn.XMATCH(C229,_xlpm.r),IFERROR(_xlfn.XMATCH(VALUE(C229),_xlpm.r),0)),IF(_xlpm.m=0,"",_xlpm.m+1))</f>
        <v/>
      </c>
      <c r="J229" s="137" t="inlineStr">
        <is>
          <t>NetSuite</t>
        </is>
      </c>
    </row>
    <row r="230">
      <c r="A230" s="5" t="inlineStr">
        <is>
          <t>B25 STETSON.MX</t>
        </is>
      </c>
      <c r="B230" s="5">
        <f>IF($I2="","",INDEX(Productos!$A:$A,$I2))</f>
        <v/>
      </c>
      <c r="C230" s="134" t="inlineStr">
        <is>
          <t>9903500-109-40</t>
        </is>
      </c>
      <c r="D230" s="5">
        <f>IF($I2="","",INDEX(Productos!$B:$B,$I2))</f>
        <v/>
      </c>
      <c r="E230" s="5">
        <f>IF($I2="","",INDEX(Productos!$H:$H,$I2))</f>
        <v/>
      </c>
      <c r="F230" s="5">
        <f>IF($I2="","",INDEX(Productos!$I:$I,$I2))</f>
        <v/>
      </c>
      <c r="G230" s="135" t="n">
        <v>1</v>
      </c>
      <c r="H230" s="5">
        <f>IF($I2="","",INDEX(Productos!$AG:$AG,$I2))</f>
        <v/>
      </c>
      <c r="I230" s="136">
        <f>LET(_xlpm.r,Productos!$E$2:$E$2509,_xlpm.m,IFERROR(_xlfn.XMATCH(C230,_xlpm.r),IFERROR(_xlfn.XMATCH(VALUE(C230),_xlpm.r),0)),IF(_xlpm.m=0,"",_xlpm.m+1))</f>
        <v/>
      </c>
      <c r="J230" s="137" t="inlineStr">
        <is>
          <t>NetSuite</t>
        </is>
      </c>
    </row>
    <row r="231">
      <c r="A231" s="5" t="inlineStr">
        <is>
          <t>B25 STETSON.MX</t>
        </is>
      </c>
      <c r="B231" s="5">
        <f>IF($I2="","",INDEX(Productos!$A:$A,$I2))</f>
        <v/>
      </c>
      <c r="C231" s="134" t="inlineStr">
        <is>
          <t>9903500-109-42</t>
        </is>
      </c>
      <c r="D231" s="5">
        <f>IF($I2="","",INDEX(Productos!$B:$B,$I2))</f>
        <v/>
      </c>
      <c r="E231" s="5">
        <f>IF($I2="","",INDEX(Productos!$H:$H,$I2))</f>
        <v/>
      </c>
      <c r="F231" s="5">
        <f>IF($I2="","",INDEX(Productos!$I:$I,$I2))</f>
        <v/>
      </c>
      <c r="G231" s="135" t="n">
        <v>4</v>
      </c>
      <c r="H231" s="5">
        <f>IF($I2="","",INDEX(Productos!$AG:$AG,$I2))</f>
        <v/>
      </c>
      <c r="I231" s="136">
        <f>LET(_xlpm.r,Productos!$E$2:$E$2509,_xlpm.m,IFERROR(_xlfn.XMATCH(C231,_xlpm.r),IFERROR(_xlfn.XMATCH(VALUE(C231),_xlpm.r),0)),IF(_xlpm.m=0,"",_xlpm.m+1))</f>
        <v/>
      </c>
      <c r="J231" s="137" t="inlineStr">
        <is>
          <t>NetSuite</t>
        </is>
      </c>
    </row>
    <row r="232">
      <c r="A232" s="5" t="inlineStr">
        <is>
          <t>B25 STETSON.MX</t>
        </is>
      </c>
      <c r="B232" s="5">
        <f>IF($I2="","",INDEX(Productos!$A:$A,$I2))</f>
        <v/>
      </c>
      <c r="C232" s="134" t="inlineStr">
        <is>
          <t>9903500-109-44</t>
        </is>
      </c>
      <c r="D232" s="5">
        <f>IF($I2="","",INDEX(Productos!$B:$B,$I2))</f>
        <v/>
      </c>
      <c r="E232" s="5">
        <f>IF($I2="","",INDEX(Productos!$H:$H,$I2))</f>
        <v/>
      </c>
      <c r="F232" s="5">
        <f>IF($I2="","",INDEX(Productos!$I:$I,$I2))</f>
        <v/>
      </c>
      <c r="G232" s="135" t="n">
        <v>2</v>
      </c>
      <c r="H232" s="5">
        <f>IF($I2="","",INDEX(Productos!$AG:$AG,$I2))</f>
        <v/>
      </c>
      <c r="I232" s="136">
        <f>LET(_xlpm.r,Productos!$E$2:$E$2509,_xlpm.m,IFERROR(_xlfn.XMATCH(C232,_xlpm.r),IFERROR(_xlfn.XMATCH(VALUE(C232),_xlpm.r),0)),IF(_xlpm.m=0,"",_xlpm.m+1))</f>
        <v/>
      </c>
      <c r="J232" s="137" t="inlineStr">
        <is>
          <t>NetSuite</t>
        </is>
      </c>
    </row>
    <row r="233">
      <c r="A233" s="5" t="inlineStr">
        <is>
          <t>B25 STETSON.MX</t>
        </is>
      </c>
      <c r="B233" s="5">
        <f>IF($I2="","",INDEX(Productos!$A:$A,$I2))</f>
        <v/>
      </c>
      <c r="C233" s="134" t="inlineStr">
        <is>
          <t>9907500-204-38</t>
        </is>
      </c>
      <c r="D233" s="5">
        <f>IF($I2="","",INDEX(Productos!$B:$B,$I2))</f>
        <v/>
      </c>
      <c r="E233" s="5">
        <f>IF($I2="","",INDEX(Productos!$H:$H,$I2))</f>
        <v/>
      </c>
      <c r="F233" s="5">
        <f>IF($I2="","",INDEX(Productos!$I:$I,$I2))</f>
        <v/>
      </c>
      <c r="G233" s="135" t="n">
        <v>6</v>
      </c>
      <c r="H233" s="5">
        <f>IF($I2="","",INDEX(Productos!$AG:$AG,$I2))</f>
        <v/>
      </c>
      <c r="I233" s="136">
        <f>LET(_xlpm.r,Productos!$E$2:$E$2509,_xlpm.m,IFERROR(_xlfn.XMATCH(C233,_xlpm.r),IFERROR(_xlfn.XMATCH(VALUE(C233),_xlpm.r),0)),IF(_xlpm.m=0,"",_xlpm.m+1))</f>
        <v/>
      </c>
      <c r="J233" s="137" t="inlineStr">
        <is>
          <t>NetSuite</t>
        </is>
      </c>
    </row>
    <row r="234">
      <c r="A234" s="5" t="inlineStr">
        <is>
          <t>B25 STETSON.MX</t>
        </is>
      </c>
      <c r="B234" s="5">
        <f>IF($I2="","",INDEX(Productos!$A:$A,$I2))</f>
        <v/>
      </c>
      <c r="C234" s="134" t="inlineStr">
        <is>
          <t>9907500-204-40</t>
        </is>
      </c>
      <c r="D234" s="5">
        <f>IF($I2="","",INDEX(Productos!$B:$B,$I2))</f>
        <v/>
      </c>
      <c r="E234" s="5">
        <f>IF($I2="","",INDEX(Productos!$H:$H,$I2))</f>
        <v/>
      </c>
      <c r="F234" s="5">
        <f>IF($I2="","",INDEX(Productos!$I:$I,$I2))</f>
        <v/>
      </c>
      <c r="G234" s="135" t="n">
        <v>13</v>
      </c>
      <c r="H234" s="5">
        <f>IF($I2="","",INDEX(Productos!$AG:$AG,$I2))</f>
        <v/>
      </c>
      <c r="I234" s="136">
        <f>LET(_xlpm.r,Productos!$E$2:$E$2509,_xlpm.m,IFERROR(_xlfn.XMATCH(C234,_xlpm.r),IFERROR(_xlfn.XMATCH(VALUE(C234),_xlpm.r),0)),IF(_xlpm.m=0,"",_xlpm.m+1))</f>
        <v/>
      </c>
      <c r="J234" s="137" t="inlineStr">
        <is>
          <t>NetSuite</t>
        </is>
      </c>
    </row>
    <row r="235">
      <c r="A235" s="5" t="inlineStr">
        <is>
          <t>B25 STETSON.MX</t>
        </is>
      </c>
      <c r="B235" s="5">
        <f>IF($I2="","",INDEX(Productos!$A:$A,$I2))</f>
        <v/>
      </c>
      <c r="C235" s="134" t="inlineStr">
        <is>
          <t>9907500-204-42</t>
        </is>
      </c>
      <c r="D235" s="5">
        <f>IF($I2="","",INDEX(Productos!$B:$B,$I2))</f>
        <v/>
      </c>
      <c r="E235" s="5">
        <f>IF($I2="","",INDEX(Productos!$H:$H,$I2))</f>
        <v/>
      </c>
      <c r="F235" s="5">
        <f>IF($I2="","",INDEX(Productos!$I:$I,$I2))</f>
        <v/>
      </c>
      <c r="G235" s="135" t="n">
        <v>11</v>
      </c>
      <c r="H235" s="5">
        <f>IF($I2="","",INDEX(Productos!$AG:$AG,$I2))</f>
        <v/>
      </c>
      <c r="I235" s="136">
        <f>LET(_xlpm.r,Productos!$E$2:$E$2509,_xlpm.m,IFERROR(_xlfn.XMATCH(C235,_xlpm.r),IFERROR(_xlfn.XMATCH(VALUE(C235),_xlpm.r),0)),IF(_xlpm.m=0,"",_xlpm.m+1))</f>
        <v/>
      </c>
      <c r="J235" s="137" t="inlineStr">
        <is>
          <t>NetSuite</t>
        </is>
      </c>
    </row>
    <row r="236">
      <c r="A236" s="5" t="inlineStr">
        <is>
          <t>B25 STETSON.MX</t>
        </is>
      </c>
      <c r="B236" s="5">
        <f>IF($I2="","",INDEX(Productos!$A:$A,$I2))</f>
        <v/>
      </c>
      <c r="C236" s="134" t="inlineStr">
        <is>
          <t>9907500-204-44</t>
        </is>
      </c>
      <c r="D236" s="5">
        <f>IF($I2="","",INDEX(Productos!$B:$B,$I2))</f>
        <v/>
      </c>
      <c r="E236" s="5">
        <f>IF($I2="","",INDEX(Productos!$H:$H,$I2))</f>
        <v/>
      </c>
      <c r="F236" s="5">
        <f>IF($I2="","",INDEX(Productos!$I:$I,$I2))</f>
        <v/>
      </c>
      <c r="G236" s="135" t="n">
        <v>4</v>
      </c>
      <c r="H236" s="5">
        <f>IF($I2="","",INDEX(Productos!$AG:$AG,$I2))</f>
        <v/>
      </c>
      <c r="I236" s="136">
        <f>LET(_xlpm.r,Productos!$E$2:$E$2509,_xlpm.m,IFERROR(_xlfn.XMATCH(C236,_xlpm.r),IFERROR(_xlfn.XMATCH(VALUE(C236),_xlpm.r),0)),IF(_xlpm.m=0,"",_xlpm.m+1))</f>
        <v/>
      </c>
      <c r="J236" s="137" t="inlineStr">
        <is>
          <t>NetSuite</t>
        </is>
      </c>
    </row>
    <row r="237">
      <c r="A237" s="5" t="inlineStr">
        <is>
          <t>B25 STETSON.MX</t>
        </is>
      </c>
      <c r="B237" s="5">
        <f>IF($I2="","",INDEX(Productos!$A:$A,$I2))</f>
        <v/>
      </c>
      <c r="C237" s="134" t="inlineStr">
        <is>
          <t>9908500-233-36</t>
        </is>
      </c>
      <c r="D237" s="5">
        <f>IF($I2="","",INDEX(Productos!$B:$B,$I2))</f>
        <v/>
      </c>
      <c r="E237" s="5">
        <f>IF($I2="","",INDEX(Productos!$H:$H,$I2))</f>
        <v/>
      </c>
      <c r="F237" s="5">
        <f>IF($I2="","",INDEX(Productos!$I:$I,$I2))</f>
        <v/>
      </c>
      <c r="G237" s="135" t="n">
        <v>3</v>
      </c>
      <c r="H237" s="5">
        <f>IF($I2="","",INDEX(Productos!$AG:$AG,$I2))</f>
        <v/>
      </c>
      <c r="I237" s="136">
        <f>LET(_xlpm.r,Productos!$E$2:$E$2509,_xlpm.m,IFERROR(_xlfn.XMATCH(C237,_xlpm.r),IFERROR(_xlfn.XMATCH(VALUE(C237),_xlpm.r),0)),IF(_xlpm.m=0,"",_xlpm.m+1))</f>
        <v/>
      </c>
      <c r="J237" s="137" t="inlineStr">
        <is>
          <t>NetSuite</t>
        </is>
      </c>
    </row>
    <row r="238">
      <c r="A238" s="5" t="inlineStr">
        <is>
          <t>B25 STETSON.MX</t>
        </is>
      </c>
      <c r="B238" s="5">
        <f>IF($I2="","",INDEX(Productos!$A:$A,$I2))</f>
        <v/>
      </c>
      <c r="C238" s="134" t="inlineStr">
        <is>
          <t>9908500-233-38</t>
        </is>
      </c>
      <c r="D238" s="5">
        <f>IF($I2="","",INDEX(Productos!$B:$B,$I2))</f>
        <v/>
      </c>
      <c r="E238" s="5">
        <f>IF($I2="","",INDEX(Productos!$H:$H,$I2))</f>
        <v/>
      </c>
      <c r="F238" s="5">
        <f>IF($I2="","",INDEX(Productos!$I:$I,$I2))</f>
        <v/>
      </c>
      <c r="G238" s="135" t="n">
        <v>6</v>
      </c>
      <c r="H238" s="5">
        <f>IF($I2="","",INDEX(Productos!$AG:$AG,$I2))</f>
        <v/>
      </c>
      <c r="I238" s="136">
        <f>LET(_xlpm.r,Productos!$E$2:$E$2509,_xlpm.m,IFERROR(_xlfn.XMATCH(C238,_xlpm.r),IFERROR(_xlfn.XMATCH(VALUE(C238),_xlpm.r),0)),IF(_xlpm.m=0,"",_xlpm.m+1))</f>
        <v/>
      </c>
      <c r="J238" s="137" t="inlineStr">
        <is>
          <t>NetSuite</t>
        </is>
      </c>
    </row>
    <row r="239">
      <c r="A239" s="5" t="inlineStr">
        <is>
          <t>B25 STETSON.MX</t>
        </is>
      </c>
      <c r="B239" s="5">
        <f>IF($I2="","",INDEX(Productos!$A:$A,$I2))</f>
        <v/>
      </c>
      <c r="C239" s="134" t="inlineStr">
        <is>
          <t>9908500-233-40</t>
        </is>
      </c>
      <c r="D239" s="5">
        <f>IF($I2="","",INDEX(Productos!$B:$B,$I2))</f>
        <v/>
      </c>
      <c r="E239" s="5">
        <f>IF($I2="","",INDEX(Productos!$H:$H,$I2))</f>
        <v/>
      </c>
      <c r="F239" s="5">
        <f>IF($I2="","",INDEX(Productos!$I:$I,$I2))</f>
        <v/>
      </c>
      <c r="G239" s="135" t="n">
        <v>4</v>
      </c>
      <c r="H239" s="5">
        <f>IF($I2="","",INDEX(Productos!$AG:$AG,$I2))</f>
        <v/>
      </c>
      <c r="I239" s="136">
        <f>LET(_xlpm.r,Productos!$E$2:$E$2509,_xlpm.m,IFERROR(_xlfn.XMATCH(C239,_xlpm.r),IFERROR(_xlfn.XMATCH(VALUE(C239),_xlpm.r),0)),IF(_xlpm.m=0,"",_xlpm.m+1))</f>
        <v/>
      </c>
      <c r="J239" s="137" t="inlineStr">
        <is>
          <t>NetSuite</t>
        </is>
      </c>
    </row>
    <row r="240">
      <c r="A240" s="5" t="inlineStr">
        <is>
          <t>B25 STETSON.MX</t>
        </is>
      </c>
      <c r="B240" s="5">
        <f>IF($I2="","",INDEX(Productos!$A:$A,$I2))</f>
        <v/>
      </c>
      <c r="C240" s="134" t="inlineStr">
        <is>
          <t>9908500-233-42</t>
        </is>
      </c>
      <c r="D240" s="5">
        <f>IF($I2="","",INDEX(Productos!$B:$B,$I2))</f>
        <v/>
      </c>
      <c r="E240" s="5">
        <f>IF($I2="","",INDEX(Productos!$H:$H,$I2))</f>
        <v/>
      </c>
      <c r="F240" s="5">
        <f>IF($I2="","",INDEX(Productos!$I:$I,$I2))</f>
        <v/>
      </c>
      <c r="G240" s="135" t="n">
        <v>5</v>
      </c>
      <c r="H240" s="5">
        <f>IF($I2="","",INDEX(Productos!$AG:$AG,$I2))</f>
        <v/>
      </c>
      <c r="I240" s="136">
        <f>LET(_xlpm.r,Productos!$E$2:$E$2509,_xlpm.m,IFERROR(_xlfn.XMATCH(C240,_xlpm.r),IFERROR(_xlfn.XMATCH(VALUE(C240),_xlpm.r),0)),IF(_xlpm.m=0,"",_xlpm.m+1))</f>
        <v/>
      </c>
      <c r="J240" s="137" t="inlineStr">
        <is>
          <t>NetSuite</t>
        </is>
      </c>
    </row>
    <row r="241">
      <c r="A241" s="5" t="inlineStr">
        <is>
          <t>B25 STETSON.MX</t>
        </is>
      </c>
      <c r="B241" s="5">
        <f>IF($I2="","",INDEX(Productos!$A:$A,$I2))</f>
        <v/>
      </c>
      <c r="C241" s="134" t="inlineStr">
        <is>
          <t>9908500-233-44</t>
        </is>
      </c>
      <c r="D241" s="5">
        <f>IF($I2="","",INDEX(Productos!$B:$B,$I2))</f>
        <v/>
      </c>
      <c r="E241" s="5">
        <f>IF($I2="","",INDEX(Productos!$H:$H,$I2))</f>
        <v/>
      </c>
      <c r="F241" s="5">
        <f>IF($I2="","",INDEX(Productos!$I:$I,$I2))</f>
        <v/>
      </c>
      <c r="G241" s="135" t="n">
        <v>3</v>
      </c>
      <c r="H241" s="5">
        <f>IF($I2="","",INDEX(Productos!$AG:$AG,$I2))</f>
        <v/>
      </c>
      <c r="I241" s="136">
        <f>LET(_xlpm.r,Productos!$E$2:$E$2509,_xlpm.m,IFERROR(_xlfn.XMATCH(C241,_xlpm.r),IFERROR(_xlfn.XMATCH(VALUE(C241),_xlpm.r),0)),IF(_xlpm.m=0,"",_xlpm.m+1))</f>
        <v/>
      </c>
      <c r="J241" s="137" t="inlineStr">
        <is>
          <t>NetSuite</t>
        </is>
      </c>
    </row>
    <row r="242">
      <c r="A242" s="5" t="inlineStr">
        <is>
          <t>B25 STETSON.MX</t>
        </is>
      </c>
      <c r="B242" s="5">
        <f>IF($I2="","",INDEX(Productos!$A:$A,$I2))</f>
        <v/>
      </c>
      <c r="C242" s="134" t="inlineStr">
        <is>
          <t>9908500-233-46</t>
        </is>
      </c>
      <c r="D242" s="5">
        <f>IF($I2="","",INDEX(Productos!$B:$B,$I2))</f>
        <v/>
      </c>
      <c r="E242" s="5">
        <f>IF($I2="","",INDEX(Productos!$H:$H,$I2))</f>
        <v/>
      </c>
      <c r="F242" s="5">
        <f>IF($I2="","",INDEX(Productos!$I:$I,$I2))</f>
        <v/>
      </c>
      <c r="G242" s="135" t="n">
        <v>1</v>
      </c>
      <c r="H242" s="5">
        <f>IF($I2="","",INDEX(Productos!$AG:$AG,$I2))</f>
        <v/>
      </c>
      <c r="I242" s="136">
        <f>LET(_xlpm.r,Productos!$E$2:$E$2509,_xlpm.m,IFERROR(_xlfn.XMATCH(C242,_xlpm.r),IFERROR(_xlfn.XMATCH(VALUE(C242),_xlpm.r),0)),IF(_xlpm.m=0,"",_xlpm.m+1))</f>
        <v/>
      </c>
      <c r="J242" s="137" t="inlineStr">
        <is>
          <t>NetSuite</t>
        </is>
      </c>
    </row>
    <row r="243">
      <c r="A243" s="5" t="inlineStr">
        <is>
          <t>B25 STETSON.MX</t>
        </is>
      </c>
      <c r="B243" s="5">
        <f>IF($I2="","",INDEX(Productos!$A:$A,$I2))</f>
        <v/>
      </c>
      <c r="C243" s="134" t="inlineStr">
        <is>
          <t>9910500-233-36</t>
        </is>
      </c>
      <c r="D243" s="5">
        <f>IF($I2="","",INDEX(Productos!$B:$B,$I2))</f>
        <v/>
      </c>
      <c r="E243" s="5">
        <f>IF($I2="","",INDEX(Productos!$H:$H,$I2))</f>
        <v/>
      </c>
      <c r="F243" s="5">
        <f>IF($I2="","",INDEX(Productos!$I:$I,$I2))</f>
        <v/>
      </c>
      <c r="G243" s="135" t="n">
        <v>1</v>
      </c>
      <c r="H243" s="5">
        <f>IF($I2="","",INDEX(Productos!$AG:$AG,$I2))</f>
        <v/>
      </c>
      <c r="I243" s="136">
        <f>LET(_xlpm.r,Productos!$E$2:$E$2509,_xlpm.m,IFERROR(_xlfn.XMATCH(C243,_xlpm.r),IFERROR(_xlfn.XMATCH(VALUE(C243),_xlpm.r),0)),IF(_xlpm.m=0,"",_xlpm.m+1))</f>
        <v/>
      </c>
      <c r="J243" s="137" t="inlineStr">
        <is>
          <t>NetSuite</t>
        </is>
      </c>
    </row>
    <row r="244">
      <c r="A244" s="5" t="inlineStr">
        <is>
          <t>B25 STETSON.MX</t>
        </is>
      </c>
      <c r="B244" s="5">
        <f>IF($I2="","",INDEX(Productos!$A:$A,$I2))</f>
        <v/>
      </c>
      <c r="C244" s="134" t="inlineStr">
        <is>
          <t>9910500-233-38</t>
        </is>
      </c>
      <c r="D244" s="5">
        <f>IF($I2="","",INDEX(Productos!$B:$B,$I2))</f>
        <v/>
      </c>
      <c r="E244" s="5">
        <f>IF($I2="","",INDEX(Productos!$H:$H,$I2))</f>
        <v/>
      </c>
      <c r="F244" s="5">
        <f>IF($I2="","",INDEX(Productos!$I:$I,$I2))</f>
        <v/>
      </c>
      <c r="G244" s="135" t="n">
        <v>6</v>
      </c>
      <c r="H244" s="5">
        <f>IF($I2="","",INDEX(Productos!$AG:$AG,$I2))</f>
        <v/>
      </c>
      <c r="I244" s="136">
        <f>LET(_xlpm.r,Productos!$E$2:$E$2509,_xlpm.m,IFERROR(_xlfn.XMATCH(C244,_xlpm.r),IFERROR(_xlfn.XMATCH(VALUE(C244),_xlpm.r),0)),IF(_xlpm.m=0,"",_xlpm.m+1))</f>
        <v/>
      </c>
      <c r="J244" s="137" t="inlineStr">
        <is>
          <t>NetSuite</t>
        </is>
      </c>
    </row>
    <row r="245">
      <c r="A245" s="5" t="inlineStr">
        <is>
          <t>B25 STETSON.MX</t>
        </is>
      </c>
      <c r="B245" s="5">
        <f>IF($I2="","",INDEX(Productos!$A:$A,$I2))</f>
        <v/>
      </c>
      <c r="C245" s="134" t="inlineStr">
        <is>
          <t>9910500-233-40</t>
        </is>
      </c>
      <c r="D245" s="5">
        <f>IF($I2="","",INDEX(Productos!$B:$B,$I2))</f>
        <v/>
      </c>
      <c r="E245" s="5">
        <f>IF($I2="","",INDEX(Productos!$H:$H,$I2))</f>
        <v/>
      </c>
      <c r="F245" s="5">
        <f>IF($I2="","",INDEX(Productos!$I:$I,$I2))</f>
        <v/>
      </c>
      <c r="G245" s="135" t="n">
        <v>7</v>
      </c>
      <c r="H245" s="5">
        <f>IF($I2="","",INDEX(Productos!$AG:$AG,$I2))</f>
        <v/>
      </c>
      <c r="I245" s="136">
        <f>LET(_xlpm.r,Productos!$E$2:$E$2509,_xlpm.m,IFERROR(_xlfn.XMATCH(C245,_xlpm.r),IFERROR(_xlfn.XMATCH(VALUE(C245),_xlpm.r),0)),IF(_xlpm.m=0,"",_xlpm.m+1))</f>
        <v/>
      </c>
      <c r="J245" s="137" t="inlineStr">
        <is>
          <t>NetSuite</t>
        </is>
      </c>
    </row>
    <row r="246">
      <c r="A246" s="5" t="inlineStr">
        <is>
          <t>B25 STETSON.MX</t>
        </is>
      </c>
      <c r="B246" s="5">
        <f>IF($I2="","",INDEX(Productos!$A:$A,$I2))</f>
        <v/>
      </c>
      <c r="C246" s="134" t="inlineStr">
        <is>
          <t>9910500-233-42</t>
        </is>
      </c>
      <c r="D246" s="5">
        <f>IF($I2="","",INDEX(Productos!$B:$B,$I2))</f>
        <v/>
      </c>
      <c r="E246" s="5">
        <f>IF($I2="","",INDEX(Productos!$H:$H,$I2))</f>
        <v/>
      </c>
      <c r="F246" s="5">
        <f>IF($I2="","",INDEX(Productos!$I:$I,$I2))</f>
        <v/>
      </c>
      <c r="G246" s="135" t="n">
        <v>4</v>
      </c>
      <c r="H246" s="5">
        <f>IF($I2="","",INDEX(Productos!$AG:$AG,$I2))</f>
        <v/>
      </c>
      <c r="I246" s="136">
        <f>LET(_xlpm.r,Productos!$E$2:$E$2509,_xlpm.m,IFERROR(_xlfn.XMATCH(C246,_xlpm.r),IFERROR(_xlfn.XMATCH(VALUE(C246),_xlpm.r),0)),IF(_xlpm.m=0,"",_xlpm.m+1))</f>
        <v/>
      </c>
      <c r="J246" s="137" t="inlineStr">
        <is>
          <t>NetSuite</t>
        </is>
      </c>
    </row>
    <row r="247">
      <c r="A247" s="5" t="inlineStr">
        <is>
          <t>B25 STETSON.MX</t>
        </is>
      </c>
      <c r="B247" s="5">
        <f>IF($I2="","",INDEX(Productos!$A:$A,$I2))</f>
        <v/>
      </c>
      <c r="C247" s="134" t="inlineStr">
        <is>
          <t>9910500-233-44</t>
        </is>
      </c>
      <c r="D247" s="5">
        <f>IF($I2="","",INDEX(Productos!$B:$B,$I2))</f>
        <v/>
      </c>
      <c r="E247" s="5">
        <f>IF($I2="","",INDEX(Productos!$H:$H,$I2))</f>
        <v/>
      </c>
      <c r="F247" s="5">
        <f>IF($I2="","",INDEX(Productos!$I:$I,$I2))</f>
        <v/>
      </c>
      <c r="G247" s="135" t="n">
        <v>4</v>
      </c>
      <c r="H247" s="5">
        <f>IF($I2="","",INDEX(Productos!$AG:$AG,$I2))</f>
        <v/>
      </c>
      <c r="I247" s="136">
        <f>LET(_xlpm.r,Productos!$E$2:$E$2509,_xlpm.m,IFERROR(_xlfn.XMATCH(C247,_xlpm.r),IFERROR(_xlfn.XMATCH(VALUE(C247),_xlpm.r),0)),IF(_xlpm.m=0,"",_xlpm.m+1))</f>
        <v/>
      </c>
      <c r="J247" s="137" t="inlineStr">
        <is>
          <t>NetSuite</t>
        </is>
      </c>
    </row>
    <row r="248">
      <c r="A248" s="5" t="inlineStr">
        <is>
          <t>B25 STETSON.MX</t>
        </is>
      </c>
      <c r="B248" s="5">
        <f>IF($I2="","",INDEX(Productos!$A:$A,$I2))</f>
        <v/>
      </c>
      <c r="C248" s="134" t="inlineStr">
        <is>
          <t>9912500-203-38</t>
        </is>
      </c>
      <c r="D248" s="5">
        <f>IF($I2="","",INDEX(Productos!$B:$B,$I2))</f>
        <v/>
      </c>
      <c r="E248" s="5">
        <f>IF($I2="","",INDEX(Productos!$H:$H,$I2))</f>
        <v/>
      </c>
      <c r="F248" s="5">
        <f>IF($I2="","",INDEX(Productos!$I:$I,$I2))</f>
        <v/>
      </c>
      <c r="G248" s="135" t="n">
        <v>3</v>
      </c>
      <c r="H248" s="5">
        <f>IF($I2="","",INDEX(Productos!$AG:$AG,$I2))</f>
        <v/>
      </c>
      <c r="I248" s="136">
        <f>LET(_xlpm.r,Productos!$E$2:$E$2509,_xlpm.m,IFERROR(_xlfn.XMATCH(C248,_xlpm.r),IFERROR(_xlfn.XMATCH(VALUE(C248),_xlpm.r),0)),IF(_xlpm.m=0,"",_xlpm.m+1))</f>
        <v/>
      </c>
      <c r="J248" s="137" t="inlineStr">
        <is>
          <t>NetSuite</t>
        </is>
      </c>
    </row>
    <row r="249">
      <c r="A249" s="5" t="inlineStr">
        <is>
          <t>B25 STETSON.MX</t>
        </is>
      </c>
      <c r="B249" s="5">
        <f>IF($I2="","",INDEX(Productos!$A:$A,$I2))</f>
        <v/>
      </c>
      <c r="C249" s="134" t="inlineStr">
        <is>
          <t>9912500-203-40</t>
        </is>
      </c>
      <c r="D249" s="5">
        <f>IF($I2="","",INDEX(Productos!$B:$B,$I2))</f>
        <v/>
      </c>
      <c r="E249" s="5">
        <f>IF($I2="","",INDEX(Productos!$H:$H,$I2))</f>
        <v/>
      </c>
      <c r="F249" s="5">
        <f>IF($I2="","",INDEX(Productos!$I:$I,$I2))</f>
        <v/>
      </c>
      <c r="G249" s="135" t="n">
        <v>5</v>
      </c>
      <c r="H249" s="5">
        <f>IF($I2="","",INDEX(Productos!$AG:$AG,$I2))</f>
        <v/>
      </c>
      <c r="I249" s="136">
        <f>LET(_xlpm.r,Productos!$E$2:$E$2509,_xlpm.m,IFERROR(_xlfn.XMATCH(C249,_xlpm.r),IFERROR(_xlfn.XMATCH(VALUE(C249),_xlpm.r),0)),IF(_xlpm.m=0,"",_xlpm.m+1))</f>
        <v/>
      </c>
      <c r="J249" s="137" t="inlineStr">
        <is>
          <t>NetSuite</t>
        </is>
      </c>
    </row>
    <row r="250">
      <c r="A250" s="5" t="inlineStr">
        <is>
          <t>B25 STETSON.MX</t>
        </is>
      </c>
      <c r="B250" s="5">
        <f>IF($I2="","",INDEX(Productos!$A:$A,$I2))</f>
        <v/>
      </c>
      <c r="C250" s="134" t="inlineStr">
        <is>
          <t>9912500-203-42</t>
        </is>
      </c>
      <c r="D250" s="5">
        <f>IF($I2="","",INDEX(Productos!$B:$B,$I2))</f>
        <v/>
      </c>
      <c r="E250" s="5">
        <f>IF($I2="","",INDEX(Productos!$H:$H,$I2))</f>
        <v/>
      </c>
      <c r="F250" s="5">
        <f>IF($I2="","",INDEX(Productos!$I:$I,$I2))</f>
        <v/>
      </c>
      <c r="G250" s="135" t="n">
        <v>3</v>
      </c>
      <c r="H250" s="5">
        <f>IF($I2="","",INDEX(Productos!$AG:$AG,$I2))</f>
        <v/>
      </c>
      <c r="I250" s="136">
        <f>LET(_xlpm.r,Productos!$E$2:$E$2509,_xlpm.m,IFERROR(_xlfn.XMATCH(C250,_xlpm.r),IFERROR(_xlfn.XMATCH(VALUE(C250),_xlpm.r),0)),IF(_xlpm.m=0,"",_xlpm.m+1))</f>
        <v/>
      </c>
      <c r="J250" s="137" t="inlineStr">
        <is>
          <t>NetSuite</t>
        </is>
      </c>
    </row>
    <row r="251">
      <c r="A251" s="5" t="inlineStr">
        <is>
          <t>B25 STETSON.MX</t>
        </is>
      </c>
      <c r="B251" s="5">
        <f>IF($I2="","",INDEX(Productos!$A:$A,$I2))</f>
        <v/>
      </c>
      <c r="C251" s="134" t="inlineStr">
        <is>
          <t>9912500-203-46</t>
        </is>
      </c>
      <c r="D251" s="5">
        <f>IF($I2="","",INDEX(Productos!$B:$B,$I2))</f>
        <v/>
      </c>
      <c r="E251" s="5">
        <f>IF($I2="","",INDEX(Productos!$H:$H,$I2))</f>
        <v/>
      </c>
      <c r="F251" s="5">
        <f>IF($I2="","",INDEX(Productos!$I:$I,$I2))</f>
        <v/>
      </c>
      <c r="G251" s="135" t="n">
        <v>3</v>
      </c>
      <c r="H251" s="5">
        <f>IF($I2="","",INDEX(Productos!$AG:$AG,$I2))</f>
        <v/>
      </c>
      <c r="I251" s="136">
        <f>LET(_xlpm.r,Productos!$E$2:$E$2509,_xlpm.m,IFERROR(_xlfn.XMATCH(C251,_xlpm.r),IFERROR(_xlfn.XMATCH(VALUE(C251),_xlpm.r),0)),IF(_xlpm.m=0,"",_xlpm.m+1))</f>
        <v/>
      </c>
      <c r="J251" s="137" t="inlineStr">
        <is>
          <t>NetSuite</t>
        </is>
      </c>
    </row>
    <row r="252">
      <c r="A252" s="5" t="inlineStr">
        <is>
          <t>B25 STETSON.MX</t>
        </is>
      </c>
      <c r="B252" s="5">
        <f>IF($I2="","",INDEX(Productos!$A:$A,$I2))</f>
        <v/>
      </c>
      <c r="C252" s="134" t="inlineStr">
        <is>
          <t>9914500-001-36</t>
        </is>
      </c>
      <c r="D252" s="5">
        <f>IF($I2="","",INDEX(Productos!$B:$B,$I2))</f>
        <v/>
      </c>
      <c r="E252" s="5">
        <f>IF($I2="","",INDEX(Productos!$H:$H,$I2))</f>
        <v/>
      </c>
      <c r="F252" s="5">
        <f>IF($I2="","",INDEX(Productos!$I:$I,$I2))</f>
        <v/>
      </c>
      <c r="G252" s="135" t="n">
        <v>3</v>
      </c>
      <c r="H252" s="5">
        <f>IF($I2="","",INDEX(Productos!$AG:$AG,$I2))</f>
        <v/>
      </c>
      <c r="I252" s="136">
        <f>LET(_xlpm.r,Productos!$E$2:$E$2509,_xlpm.m,IFERROR(_xlfn.XMATCH(C252,_xlpm.r),IFERROR(_xlfn.XMATCH(VALUE(C252),_xlpm.r),0)),IF(_xlpm.m=0,"",_xlpm.m+1))</f>
        <v/>
      </c>
      <c r="J252" s="137" t="inlineStr">
        <is>
          <t>NetSuite</t>
        </is>
      </c>
    </row>
    <row r="253">
      <c r="A253" s="5" t="inlineStr">
        <is>
          <t>B25 STETSON.MX</t>
        </is>
      </c>
      <c r="B253" s="5">
        <f>IF($I2="","",INDEX(Productos!$A:$A,$I2))</f>
        <v/>
      </c>
      <c r="C253" s="134" t="inlineStr">
        <is>
          <t>9914500-001-38</t>
        </is>
      </c>
      <c r="D253" s="5">
        <f>IF($I2="","",INDEX(Productos!$B:$B,$I2))</f>
        <v/>
      </c>
      <c r="E253" s="5">
        <f>IF($I2="","",INDEX(Productos!$H:$H,$I2))</f>
        <v/>
      </c>
      <c r="F253" s="5">
        <f>IF($I2="","",INDEX(Productos!$I:$I,$I2))</f>
        <v/>
      </c>
      <c r="G253" s="135" t="n">
        <v>4</v>
      </c>
      <c r="H253" s="5">
        <f>IF($I2="","",INDEX(Productos!$AG:$AG,$I2))</f>
        <v/>
      </c>
      <c r="I253" s="136">
        <f>LET(_xlpm.r,Productos!$E$2:$E$2509,_xlpm.m,IFERROR(_xlfn.XMATCH(C253,_xlpm.r),IFERROR(_xlfn.XMATCH(VALUE(C253),_xlpm.r),0)),IF(_xlpm.m=0,"",_xlpm.m+1))</f>
        <v/>
      </c>
      <c r="J253" s="137" t="inlineStr">
        <is>
          <t>NetSuite</t>
        </is>
      </c>
    </row>
    <row r="254">
      <c r="A254" s="5" t="inlineStr">
        <is>
          <t>B25 STETSON.MX</t>
        </is>
      </c>
      <c r="B254" s="5">
        <f>IF($I2="","",INDEX(Productos!$A:$A,$I2))</f>
        <v/>
      </c>
      <c r="C254" s="134" t="inlineStr">
        <is>
          <t>9914500-001-40</t>
        </is>
      </c>
      <c r="D254" s="5">
        <f>IF($I2="","",INDEX(Productos!$B:$B,$I2))</f>
        <v/>
      </c>
      <c r="E254" s="5">
        <f>IF($I2="","",INDEX(Productos!$H:$H,$I2))</f>
        <v/>
      </c>
      <c r="F254" s="5">
        <f>IF($I2="","",INDEX(Productos!$I:$I,$I2))</f>
        <v/>
      </c>
      <c r="G254" s="135" t="n">
        <v>8</v>
      </c>
      <c r="H254" s="5">
        <f>IF($I2="","",INDEX(Productos!$AG:$AG,$I2))</f>
        <v/>
      </c>
      <c r="I254" s="136">
        <f>LET(_xlpm.r,Productos!$E$2:$E$2509,_xlpm.m,IFERROR(_xlfn.XMATCH(C254,_xlpm.r),IFERROR(_xlfn.XMATCH(VALUE(C254),_xlpm.r),0)),IF(_xlpm.m=0,"",_xlpm.m+1))</f>
        <v/>
      </c>
      <c r="J254" s="137" t="inlineStr">
        <is>
          <t>NetSuite</t>
        </is>
      </c>
    </row>
    <row r="255">
      <c r="A255" s="5" t="inlineStr">
        <is>
          <t>B25 STETSON.MX</t>
        </is>
      </c>
      <c r="B255" s="5">
        <f>IF($I2="","",INDEX(Productos!$A:$A,$I2))</f>
        <v/>
      </c>
      <c r="C255" s="134" t="inlineStr">
        <is>
          <t>9914500-001-42</t>
        </is>
      </c>
      <c r="D255" s="5">
        <f>IF($I2="","",INDEX(Productos!$B:$B,$I2))</f>
        <v/>
      </c>
      <c r="E255" s="5">
        <f>IF($I2="","",INDEX(Productos!$H:$H,$I2))</f>
        <v/>
      </c>
      <c r="F255" s="5">
        <f>IF($I2="","",INDEX(Productos!$I:$I,$I2))</f>
        <v/>
      </c>
      <c r="G255" s="135" t="n">
        <v>8</v>
      </c>
      <c r="H255" s="5">
        <f>IF($I2="","",INDEX(Productos!$AG:$AG,$I2))</f>
        <v/>
      </c>
      <c r="I255" s="136">
        <f>LET(_xlpm.r,Productos!$E$2:$E$2509,_xlpm.m,IFERROR(_xlfn.XMATCH(C255,_xlpm.r),IFERROR(_xlfn.XMATCH(VALUE(C255),_xlpm.r),0)),IF(_xlpm.m=0,"",_xlpm.m+1))</f>
        <v/>
      </c>
      <c r="J255" s="137" t="inlineStr">
        <is>
          <t>NetSuite</t>
        </is>
      </c>
    </row>
    <row r="256">
      <c r="A256" s="5" t="inlineStr">
        <is>
          <t>B25 STETSON.MX</t>
        </is>
      </c>
      <c r="B256" s="5">
        <f>IF($I2="","",INDEX(Productos!$A:$A,$I2))</f>
        <v/>
      </c>
      <c r="C256" s="134" t="inlineStr">
        <is>
          <t>9914500-001-44</t>
        </is>
      </c>
      <c r="D256" s="5">
        <f>IF($I2="","",INDEX(Productos!$B:$B,$I2))</f>
        <v/>
      </c>
      <c r="E256" s="5">
        <f>IF($I2="","",INDEX(Productos!$H:$H,$I2))</f>
        <v/>
      </c>
      <c r="F256" s="5">
        <f>IF($I2="","",INDEX(Productos!$I:$I,$I2))</f>
        <v/>
      </c>
      <c r="G256" s="135" t="n">
        <v>2</v>
      </c>
      <c r="H256" s="5">
        <f>IF($I2="","",INDEX(Productos!$AG:$AG,$I2))</f>
        <v/>
      </c>
      <c r="I256" s="136">
        <f>LET(_xlpm.r,Productos!$E$2:$E$2509,_xlpm.m,IFERROR(_xlfn.XMATCH(C256,_xlpm.r),IFERROR(_xlfn.XMATCH(VALUE(C256),_xlpm.r),0)),IF(_xlpm.m=0,"",_xlpm.m+1))</f>
        <v/>
      </c>
      <c r="J256" s="137" t="inlineStr">
        <is>
          <t>NetSuite</t>
        </is>
      </c>
    </row>
    <row r="257">
      <c r="A257" s="5" t="inlineStr">
        <is>
          <t>B25 STETSON.MX</t>
        </is>
      </c>
      <c r="B257" s="5">
        <f>IF($I2="","",INDEX(Productos!$A:$A,$I2))</f>
        <v/>
      </c>
      <c r="C257" s="134" t="inlineStr">
        <is>
          <t>9914500-001-46</t>
        </is>
      </c>
      <c r="D257" s="5">
        <f>IF($I2="","",INDEX(Productos!$B:$B,$I2))</f>
        <v/>
      </c>
      <c r="E257" s="5">
        <f>IF($I2="","",INDEX(Productos!$H:$H,$I2))</f>
        <v/>
      </c>
      <c r="F257" s="5">
        <f>IF($I2="","",INDEX(Productos!$I:$I,$I2))</f>
        <v/>
      </c>
      <c r="G257" s="135" t="n">
        <v>3</v>
      </c>
      <c r="H257" s="5">
        <f>IF($I2="","",INDEX(Productos!$AG:$AG,$I2))</f>
        <v/>
      </c>
      <c r="I257" s="136">
        <f>LET(_xlpm.r,Productos!$E$2:$E$2509,_xlpm.m,IFERROR(_xlfn.XMATCH(C257,_xlpm.r),IFERROR(_xlfn.XMATCH(VALUE(C257),_xlpm.r),0)),IF(_xlpm.m=0,"",_xlpm.m+1))</f>
        <v/>
      </c>
      <c r="J257" s="137" t="inlineStr">
        <is>
          <t>NetSuite</t>
        </is>
      </c>
    </row>
    <row r="258">
      <c r="A258" s="5" t="inlineStr">
        <is>
          <t>B25 STETSON.MX</t>
        </is>
      </c>
      <c r="B258" s="5">
        <f>IF($I2="","",INDEX(Productos!$A:$A,$I2))</f>
        <v/>
      </c>
      <c r="C258" s="134" t="inlineStr">
        <is>
          <t>9914500-625-36</t>
        </is>
      </c>
      <c r="D258" s="5">
        <f>IF($I2="","",INDEX(Productos!$B:$B,$I2))</f>
        <v/>
      </c>
      <c r="E258" s="5">
        <f>IF($I2="","",INDEX(Productos!$H:$H,$I2))</f>
        <v/>
      </c>
      <c r="F258" s="5">
        <f>IF($I2="","",INDEX(Productos!$I:$I,$I2))</f>
        <v/>
      </c>
      <c r="G258" s="135" t="n">
        <v>3</v>
      </c>
      <c r="H258" s="5">
        <f>IF($I2="","",INDEX(Productos!$AG:$AG,$I2))</f>
        <v/>
      </c>
      <c r="I258" s="136">
        <f>LET(_xlpm.r,Productos!$E$2:$E$2509,_xlpm.m,IFERROR(_xlfn.XMATCH(C258,_xlpm.r),IFERROR(_xlfn.XMATCH(VALUE(C258),_xlpm.r),0)),IF(_xlpm.m=0,"",_xlpm.m+1))</f>
        <v/>
      </c>
      <c r="J258" s="137" t="inlineStr">
        <is>
          <t>NetSuite</t>
        </is>
      </c>
    </row>
    <row r="259">
      <c r="A259" s="5" t="inlineStr">
        <is>
          <t>B25 STETSON.MX</t>
        </is>
      </c>
      <c r="B259" s="5">
        <f>IF($I2="","",INDEX(Productos!$A:$A,$I2))</f>
        <v/>
      </c>
      <c r="C259" s="134" t="inlineStr">
        <is>
          <t>9914500-625-38</t>
        </is>
      </c>
      <c r="D259" s="5">
        <f>IF($I2="","",INDEX(Productos!$B:$B,$I2))</f>
        <v/>
      </c>
      <c r="E259" s="5">
        <f>IF($I2="","",INDEX(Productos!$H:$H,$I2))</f>
        <v/>
      </c>
      <c r="F259" s="5">
        <f>IF($I2="","",INDEX(Productos!$I:$I,$I2))</f>
        <v/>
      </c>
      <c r="G259" s="135" t="n">
        <v>7</v>
      </c>
      <c r="H259" s="5">
        <f>IF($I2="","",INDEX(Productos!$AG:$AG,$I2))</f>
        <v/>
      </c>
      <c r="I259" s="136">
        <f>LET(_xlpm.r,Productos!$E$2:$E$2509,_xlpm.m,IFERROR(_xlfn.XMATCH(C259,_xlpm.r),IFERROR(_xlfn.XMATCH(VALUE(C259),_xlpm.r),0)),IF(_xlpm.m=0,"",_xlpm.m+1))</f>
        <v/>
      </c>
      <c r="J259" s="137" t="inlineStr">
        <is>
          <t>NetSuite</t>
        </is>
      </c>
    </row>
    <row r="260">
      <c r="A260" s="5" t="inlineStr">
        <is>
          <t>B25 STETSON.MX</t>
        </is>
      </c>
      <c r="B260" s="5">
        <f>IF($I2="","",INDEX(Productos!$A:$A,$I2))</f>
        <v/>
      </c>
      <c r="C260" s="134" t="inlineStr">
        <is>
          <t>9914500-625-40</t>
        </is>
      </c>
      <c r="D260" s="5">
        <f>IF($I2="","",INDEX(Productos!$B:$B,$I2))</f>
        <v/>
      </c>
      <c r="E260" s="5">
        <f>IF($I2="","",INDEX(Productos!$H:$H,$I2))</f>
        <v/>
      </c>
      <c r="F260" s="5">
        <f>IF($I2="","",INDEX(Productos!$I:$I,$I2))</f>
        <v/>
      </c>
      <c r="G260" s="135" t="n">
        <v>8</v>
      </c>
      <c r="H260" s="5">
        <f>IF($I2="","",INDEX(Productos!$AG:$AG,$I2))</f>
        <v/>
      </c>
      <c r="I260" s="136">
        <f>LET(_xlpm.r,Productos!$E$2:$E$2509,_xlpm.m,IFERROR(_xlfn.XMATCH(C260,_xlpm.r),IFERROR(_xlfn.XMATCH(VALUE(C260),_xlpm.r),0)),IF(_xlpm.m=0,"",_xlpm.m+1))</f>
        <v/>
      </c>
      <c r="J260" s="137" t="inlineStr">
        <is>
          <t>NetSuite</t>
        </is>
      </c>
    </row>
    <row r="261">
      <c r="A261" s="5" t="inlineStr">
        <is>
          <t>B25 STETSON.MX</t>
        </is>
      </c>
      <c r="B261" s="5">
        <f>IF($I2="","",INDEX(Productos!$A:$A,$I2))</f>
        <v/>
      </c>
      <c r="C261" s="134" t="inlineStr">
        <is>
          <t>9914500-625-42</t>
        </is>
      </c>
      <c r="D261" s="5">
        <f>IF($I2="","",INDEX(Productos!$B:$B,$I2))</f>
        <v/>
      </c>
      <c r="E261" s="5">
        <f>IF($I2="","",INDEX(Productos!$H:$H,$I2))</f>
        <v/>
      </c>
      <c r="F261" s="5">
        <f>IF($I2="","",INDEX(Productos!$I:$I,$I2))</f>
        <v/>
      </c>
      <c r="G261" s="135" t="n">
        <v>3</v>
      </c>
      <c r="H261" s="5">
        <f>IF($I2="","",INDEX(Productos!$AG:$AG,$I2))</f>
        <v/>
      </c>
      <c r="I261" s="136">
        <f>LET(_xlpm.r,Productos!$E$2:$E$2509,_xlpm.m,IFERROR(_xlfn.XMATCH(C261,_xlpm.r),IFERROR(_xlfn.XMATCH(VALUE(C261),_xlpm.r),0)),IF(_xlpm.m=0,"",_xlpm.m+1))</f>
        <v/>
      </c>
      <c r="J261" s="137" t="inlineStr">
        <is>
          <t>NetSuite</t>
        </is>
      </c>
    </row>
    <row r="262">
      <c r="A262" s="5" t="inlineStr">
        <is>
          <t>B25 STETSON.MX</t>
        </is>
      </c>
      <c r="B262" s="5">
        <f>IF($I2="","",INDEX(Productos!$A:$A,$I2))</f>
        <v/>
      </c>
      <c r="C262" s="134" t="inlineStr">
        <is>
          <t>9914500-625-46</t>
        </is>
      </c>
      <c r="D262" s="5">
        <f>IF($I2="","",INDEX(Productos!$B:$B,$I2))</f>
        <v/>
      </c>
      <c r="E262" s="5">
        <f>IF($I2="","",INDEX(Productos!$H:$H,$I2))</f>
        <v/>
      </c>
      <c r="F262" s="5">
        <f>IF($I2="","",INDEX(Productos!$I:$I,$I2))</f>
        <v/>
      </c>
      <c r="G262" s="135" t="n">
        <v>1</v>
      </c>
      <c r="H262" s="5">
        <f>IF($I2="","",INDEX(Productos!$AG:$AG,$I2))</f>
        <v/>
      </c>
      <c r="I262" s="136">
        <f>LET(_xlpm.r,Productos!$E$2:$E$2509,_xlpm.m,IFERROR(_xlfn.XMATCH(C262,_xlpm.r),IFERROR(_xlfn.XMATCH(VALUE(C262),_xlpm.r),0)),IF(_xlpm.m=0,"",_xlpm.m+1))</f>
        <v/>
      </c>
      <c r="J262" s="137" t="inlineStr">
        <is>
          <t>NetSuite</t>
        </is>
      </c>
    </row>
    <row r="263">
      <c r="A263" s="5" t="inlineStr">
        <is>
          <t>B25 STETSON.MX</t>
        </is>
      </c>
      <c r="B263" s="5">
        <f>IF($I2="","",INDEX(Productos!$A:$A,$I2))</f>
        <v/>
      </c>
      <c r="C263" s="134" t="inlineStr">
        <is>
          <t>9915500-625-36</t>
        </is>
      </c>
      <c r="D263" s="5">
        <f>IF($I2="","",INDEX(Productos!$B:$B,$I2))</f>
        <v/>
      </c>
      <c r="E263" s="5">
        <f>IF($I2="","",INDEX(Productos!$H:$H,$I2))</f>
        <v/>
      </c>
      <c r="F263" s="5">
        <f>IF($I2="","",INDEX(Productos!$I:$I,$I2))</f>
        <v/>
      </c>
      <c r="G263" s="135" t="n">
        <v>5</v>
      </c>
      <c r="H263" s="5">
        <f>IF($I2="","",INDEX(Productos!$AG:$AG,$I2))</f>
        <v/>
      </c>
      <c r="I263" s="136">
        <f>LET(_xlpm.r,Productos!$E$2:$E$2509,_xlpm.m,IFERROR(_xlfn.XMATCH(C263,_xlpm.r),IFERROR(_xlfn.XMATCH(VALUE(C263),_xlpm.r),0)),IF(_xlpm.m=0,"",_xlpm.m+1))</f>
        <v/>
      </c>
      <c r="J263" s="137" t="inlineStr">
        <is>
          <t>NetSuite</t>
        </is>
      </c>
    </row>
    <row r="264">
      <c r="A264" s="5" t="inlineStr">
        <is>
          <t>B25 STETSON.MX</t>
        </is>
      </c>
      <c r="B264" s="5">
        <f>IF($I2="","",INDEX(Productos!$A:$A,$I2))</f>
        <v/>
      </c>
      <c r="C264" s="134" t="inlineStr">
        <is>
          <t>9915500-625-38</t>
        </is>
      </c>
      <c r="D264" s="5">
        <f>IF($I2="","",INDEX(Productos!$B:$B,$I2))</f>
        <v/>
      </c>
      <c r="E264" s="5">
        <f>IF($I2="","",INDEX(Productos!$H:$H,$I2))</f>
        <v/>
      </c>
      <c r="F264" s="5">
        <f>IF($I2="","",INDEX(Productos!$I:$I,$I2))</f>
        <v/>
      </c>
      <c r="G264" s="135" t="n">
        <v>11</v>
      </c>
      <c r="H264" s="5">
        <f>IF($I2="","",INDEX(Productos!$AG:$AG,$I2))</f>
        <v/>
      </c>
      <c r="I264" s="136">
        <f>LET(_xlpm.r,Productos!$E$2:$E$2509,_xlpm.m,IFERROR(_xlfn.XMATCH(C264,_xlpm.r),IFERROR(_xlfn.XMATCH(VALUE(C264),_xlpm.r),0)),IF(_xlpm.m=0,"",_xlpm.m+1))</f>
        <v/>
      </c>
      <c r="J264" s="137" t="inlineStr">
        <is>
          <t>NetSuite</t>
        </is>
      </c>
    </row>
    <row r="265">
      <c r="A265" s="5" t="inlineStr">
        <is>
          <t>B25 STETSON.MX</t>
        </is>
      </c>
      <c r="B265" s="5">
        <f>IF($I2="","",INDEX(Productos!$A:$A,$I2))</f>
        <v/>
      </c>
      <c r="C265" s="134" t="inlineStr">
        <is>
          <t>9915500-625-40</t>
        </is>
      </c>
      <c r="D265" s="5">
        <f>IF($I2="","",INDEX(Productos!$B:$B,$I2))</f>
        <v/>
      </c>
      <c r="E265" s="5">
        <f>IF($I2="","",INDEX(Productos!$H:$H,$I2))</f>
        <v/>
      </c>
      <c r="F265" s="5">
        <f>IF($I2="","",INDEX(Productos!$I:$I,$I2))</f>
        <v/>
      </c>
      <c r="G265" s="135" t="n">
        <v>10</v>
      </c>
      <c r="H265" s="5">
        <f>IF($I2="","",INDEX(Productos!$AG:$AG,$I2))</f>
        <v/>
      </c>
      <c r="I265" s="136">
        <f>LET(_xlpm.r,Productos!$E$2:$E$2509,_xlpm.m,IFERROR(_xlfn.XMATCH(C265,_xlpm.r),IFERROR(_xlfn.XMATCH(VALUE(C265),_xlpm.r),0)),IF(_xlpm.m=0,"",_xlpm.m+1))</f>
        <v/>
      </c>
      <c r="J265" s="137" t="inlineStr">
        <is>
          <t>NetSuite</t>
        </is>
      </c>
    </row>
    <row r="266">
      <c r="A266" s="5" t="inlineStr">
        <is>
          <t>B25 STETSON.MX</t>
        </is>
      </c>
      <c r="B266" s="5">
        <f>IF($I2="","",INDEX(Productos!$A:$A,$I2))</f>
        <v/>
      </c>
      <c r="C266" s="134" t="inlineStr">
        <is>
          <t>9915500-625-42</t>
        </is>
      </c>
      <c r="D266" s="5">
        <f>IF($I2="","",INDEX(Productos!$B:$B,$I2))</f>
        <v/>
      </c>
      <c r="E266" s="5">
        <f>IF($I2="","",INDEX(Productos!$H:$H,$I2))</f>
        <v/>
      </c>
      <c r="F266" s="5">
        <f>IF($I2="","",INDEX(Productos!$I:$I,$I2))</f>
        <v/>
      </c>
      <c r="G266" s="135" t="n">
        <v>10</v>
      </c>
      <c r="H266" s="5">
        <f>IF($I2="","",INDEX(Productos!$AG:$AG,$I2))</f>
        <v/>
      </c>
      <c r="I266" s="136">
        <f>LET(_xlpm.r,Productos!$E$2:$E$2509,_xlpm.m,IFERROR(_xlfn.XMATCH(C266,_xlpm.r),IFERROR(_xlfn.XMATCH(VALUE(C266),_xlpm.r),0)),IF(_xlpm.m=0,"",_xlpm.m+1))</f>
        <v/>
      </c>
      <c r="J266" s="137" t="inlineStr">
        <is>
          <t>NetSuite</t>
        </is>
      </c>
    </row>
    <row r="267">
      <c r="A267" s="5" t="inlineStr">
        <is>
          <t>B25 STETSON.MX</t>
        </is>
      </c>
      <c r="B267" s="5">
        <f>IF($I2="","",INDEX(Productos!$A:$A,$I2))</f>
        <v/>
      </c>
      <c r="C267" s="134" t="inlineStr">
        <is>
          <t>9915500-625-44</t>
        </is>
      </c>
      <c r="D267" s="5">
        <f>IF($I2="","",INDEX(Productos!$B:$B,$I2))</f>
        <v/>
      </c>
      <c r="E267" s="5">
        <f>IF($I2="","",INDEX(Productos!$H:$H,$I2))</f>
        <v/>
      </c>
      <c r="F267" s="5">
        <f>IF($I2="","",INDEX(Productos!$I:$I,$I2))</f>
        <v/>
      </c>
      <c r="G267" s="135" t="n">
        <v>8</v>
      </c>
      <c r="H267" s="5">
        <f>IF($I2="","",INDEX(Productos!$AG:$AG,$I2))</f>
        <v/>
      </c>
      <c r="I267" s="136">
        <f>LET(_xlpm.r,Productos!$E$2:$E$2509,_xlpm.m,IFERROR(_xlfn.XMATCH(C267,_xlpm.r),IFERROR(_xlfn.XMATCH(VALUE(C267),_xlpm.r),0)),IF(_xlpm.m=0,"",_xlpm.m+1))</f>
        <v/>
      </c>
      <c r="J267" s="137" t="inlineStr">
        <is>
          <t>NetSuite</t>
        </is>
      </c>
    </row>
    <row r="268">
      <c r="A268" s="5" t="inlineStr">
        <is>
          <t>B25 STETSON.MX</t>
        </is>
      </c>
      <c r="B268" s="5">
        <f>IF($I2="","",INDEX(Productos!$A:$A,$I2))</f>
        <v/>
      </c>
      <c r="C268" s="134" t="inlineStr">
        <is>
          <t>9915500-625-46</t>
        </is>
      </c>
      <c r="D268" s="5">
        <f>IF($I2="","",INDEX(Productos!$B:$B,$I2))</f>
        <v/>
      </c>
      <c r="E268" s="5">
        <f>IF($I2="","",INDEX(Productos!$H:$H,$I2))</f>
        <v/>
      </c>
      <c r="F268" s="5">
        <f>IF($I2="","",INDEX(Productos!$I:$I,$I2))</f>
        <v/>
      </c>
      <c r="G268" s="135" t="n">
        <v>4</v>
      </c>
      <c r="H268" s="5">
        <f>IF($I2="","",INDEX(Productos!$AG:$AG,$I2))</f>
        <v/>
      </c>
      <c r="I268" s="136">
        <f>LET(_xlpm.r,Productos!$E$2:$E$2509,_xlpm.m,IFERROR(_xlfn.XMATCH(C268,_xlpm.r),IFERROR(_xlfn.XMATCH(VALUE(C268),_xlpm.r),0)),IF(_xlpm.m=0,"",_xlpm.m+1))</f>
        <v/>
      </c>
      <c r="J268" s="137" t="inlineStr">
        <is>
          <t>NetSuite</t>
        </is>
      </c>
    </row>
    <row r="269">
      <c r="A269" s="5" t="inlineStr">
        <is>
          <t>B25 STETSON.MX</t>
        </is>
      </c>
      <c r="B269" s="5">
        <f>IF($I2="","",INDEX(Productos!$A:$A,$I2))</f>
        <v/>
      </c>
      <c r="C269" s="134" t="inlineStr">
        <is>
          <t>9916500-19-38</t>
        </is>
      </c>
      <c r="D269" s="5">
        <f>IF($I2="","",INDEX(Productos!$B:$B,$I2))</f>
        <v/>
      </c>
      <c r="E269" s="5">
        <f>IF($I2="","",INDEX(Productos!$H:$H,$I2))</f>
        <v/>
      </c>
      <c r="F269" s="5">
        <f>IF($I2="","",INDEX(Productos!$I:$I,$I2))</f>
        <v/>
      </c>
      <c r="G269" s="135" t="n">
        <v>3</v>
      </c>
      <c r="H269" s="5">
        <f>IF($I2="","",INDEX(Productos!$AG:$AG,$I2))</f>
        <v/>
      </c>
      <c r="I269" s="136">
        <f>LET(_xlpm.r,Productos!$E$2:$E$2509,_xlpm.m,IFERROR(_xlfn.XMATCH(C269,_xlpm.r),IFERROR(_xlfn.XMATCH(VALUE(C269),_xlpm.r),0)),IF(_xlpm.m=0,"",_xlpm.m+1))</f>
        <v/>
      </c>
      <c r="J269" s="137" t="inlineStr">
        <is>
          <t>NetSuite</t>
        </is>
      </c>
    </row>
    <row r="270">
      <c r="A270" s="5" t="inlineStr">
        <is>
          <t>B25 STETSON.MX</t>
        </is>
      </c>
      <c r="B270" s="5">
        <f>IF($I2="","",INDEX(Productos!$A:$A,$I2))</f>
        <v/>
      </c>
      <c r="C270" s="134" t="inlineStr">
        <is>
          <t>9916500-19-40</t>
        </is>
      </c>
      <c r="D270" s="5">
        <f>IF($I2="","",INDEX(Productos!$B:$B,$I2))</f>
        <v/>
      </c>
      <c r="E270" s="5">
        <f>IF($I2="","",INDEX(Productos!$H:$H,$I2))</f>
        <v/>
      </c>
      <c r="F270" s="5">
        <f>IF($I2="","",INDEX(Productos!$I:$I,$I2))</f>
        <v/>
      </c>
      <c r="G270" s="135" t="n">
        <v>3</v>
      </c>
      <c r="H270" s="5">
        <f>IF($I2="","",INDEX(Productos!$AG:$AG,$I2))</f>
        <v/>
      </c>
      <c r="I270" s="136">
        <f>LET(_xlpm.r,Productos!$E$2:$E$2509,_xlpm.m,IFERROR(_xlfn.XMATCH(C270,_xlpm.r),IFERROR(_xlfn.XMATCH(VALUE(C270),_xlpm.r),0)),IF(_xlpm.m=0,"",_xlpm.m+1))</f>
        <v/>
      </c>
      <c r="J270" s="137" t="inlineStr">
        <is>
          <t>NetSuite</t>
        </is>
      </c>
    </row>
    <row r="271">
      <c r="A271" s="5" t="inlineStr">
        <is>
          <t>B25 STETSON.MX</t>
        </is>
      </c>
      <c r="B271" s="5">
        <f>IF($I2="","",INDEX(Productos!$A:$A,$I2))</f>
        <v/>
      </c>
      <c r="C271" s="134" t="inlineStr">
        <is>
          <t>9916500-19-42</t>
        </is>
      </c>
      <c r="D271" s="5">
        <f>IF($I2="","",INDEX(Productos!$B:$B,$I2))</f>
        <v/>
      </c>
      <c r="E271" s="5">
        <f>IF($I2="","",INDEX(Productos!$H:$H,$I2))</f>
        <v/>
      </c>
      <c r="F271" s="5">
        <f>IF($I2="","",INDEX(Productos!$I:$I,$I2))</f>
        <v/>
      </c>
      <c r="G271" s="135" t="n">
        <v>4</v>
      </c>
      <c r="H271" s="5">
        <f>IF($I2="","",INDEX(Productos!$AG:$AG,$I2))</f>
        <v/>
      </c>
      <c r="I271" s="136">
        <f>LET(_xlpm.r,Productos!$E$2:$E$2509,_xlpm.m,IFERROR(_xlfn.XMATCH(C271,_xlpm.r),IFERROR(_xlfn.XMATCH(VALUE(C271),_xlpm.r),0)),IF(_xlpm.m=0,"",_xlpm.m+1))</f>
        <v/>
      </c>
      <c r="J271" s="137" t="inlineStr">
        <is>
          <t>NetSuite</t>
        </is>
      </c>
    </row>
    <row r="272">
      <c r="A272" s="5" t="inlineStr">
        <is>
          <t>B25 STETSON.MX</t>
        </is>
      </c>
      <c r="B272" s="5">
        <f>IF($I2="","",INDEX(Productos!$A:$A,$I2))</f>
        <v/>
      </c>
      <c r="C272" s="134" t="inlineStr">
        <is>
          <t>9916500-19-46</t>
        </is>
      </c>
      <c r="D272" s="5">
        <f>IF($I2="","",INDEX(Productos!$B:$B,$I2))</f>
        <v/>
      </c>
      <c r="E272" s="5">
        <f>IF($I2="","",INDEX(Productos!$H:$H,$I2))</f>
        <v/>
      </c>
      <c r="F272" s="5">
        <f>IF($I2="","",INDEX(Productos!$I:$I,$I2))</f>
        <v/>
      </c>
      <c r="G272" s="135" t="n">
        <v>1</v>
      </c>
      <c r="H272" s="5">
        <f>IF($I2="","",INDEX(Productos!$AG:$AG,$I2))</f>
        <v/>
      </c>
      <c r="I272" s="136">
        <f>LET(_xlpm.r,Productos!$E$2:$E$2509,_xlpm.m,IFERROR(_xlfn.XMATCH(C272,_xlpm.r),IFERROR(_xlfn.XMATCH(VALUE(C272),_xlpm.r),0)),IF(_xlpm.m=0,"",_xlpm.m+1))</f>
        <v/>
      </c>
      <c r="J272" s="137" t="inlineStr">
        <is>
          <t>NetSuite</t>
        </is>
      </c>
    </row>
    <row r="273">
      <c r="A273" s="5" t="inlineStr">
        <is>
          <t>B25 STETSON.MX</t>
        </is>
      </c>
      <c r="B273" s="5">
        <f>IF($I2="","",INDEX(Productos!$A:$A,$I2))</f>
        <v/>
      </c>
      <c r="C273" s="134" t="inlineStr">
        <is>
          <t>9916500-260-38</t>
        </is>
      </c>
      <c r="D273" s="5">
        <f>IF($I2="","",INDEX(Productos!$B:$B,$I2))</f>
        <v/>
      </c>
      <c r="E273" s="5">
        <f>IF($I2="","",INDEX(Productos!$H:$H,$I2))</f>
        <v/>
      </c>
      <c r="F273" s="5">
        <f>IF($I2="","",INDEX(Productos!$I:$I,$I2))</f>
        <v/>
      </c>
      <c r="G273" s="135" t="n">
        <v>4</v>
      </c>
      <c r="H273" s="5">
        <f>IF($I2="","",INDEX(Productos!$AG:$AG,$I2))</f>
        <v/>
      </c>
      <c r="I273" s="136">
        <f>LET(_xlpm.r,Productos!$E$2:$E$2509,_xlpm.m,IFERROR(_xlfn.XMATCH(C273,_xlpm.r),IFERROR(_xlfn.XMATCH(VALUE(C273),_xlpm.r),0)),IF(_xlpm.m=0,"",_xlpm.m+1))</f>
        <v/>
      </c>
      <c r="J273" s="137" t="inlineStr">
        <is>
          <t>NetSuite</t>
        </is>
      </c>
    </row>
    <row r="274">
      <c r="A274" s="5" t="inlineStr">
        <is>
          <t>B25 STETSON.MX</t>
        </is>
      </c>
      <c r="B274" s="5">
        <f>IF($I2="","",INDEX(Productos!$A:$A,$I2))</f>
        <v/>
      </c>
      <c r="C274" s="134" t="inlineStr">
        <is>
          <t>9916500-260-42</t>
        </is>
      </c>
      <c r="D274" s="5">
        <f>IF($I2="","",INDEX(Productos!$B:$B,$I2))</f>
        <v/>
      </c>
      <c r="E274" s="5">
        <f>IF($I2="","",INDEX(Productos!$H:$H,$I2))</f>
        <v/>
      </c>
      <c r="F274" s="5">
        <f>IF($I2="","",INDEX(Productos!$I:$I,$I2))</f>
        <v/>
      </c>
      <c r="G274" s="135" t="n">
        <v>3</v>
      </c>
      <c r="H274" s="5">
        <f>IF($I2="","",INDEX(Productos!$AG:$AG,$I2))</f>
        <v/>
      </c>
      <c r="I274" s="136">
        <f>LET(_xlpm.r,Productos!$E$2:$E$2509,_xlpm.m,IFERROR(_xlfn.XMATCH(C274,_xlpm.r),IFERROR(_xlfn.XMATCH(VALUE(C274),_xlpm.r),0)),IF(_xlpm.m=0,"",_xlpm.m+1))</f>
        <v/>
      </c>
      <c r="J274" s="137" t="inlineStr">
        <is>
          <t>NetSuite</t>
        </is>
      </c>
    </row>
    <row r="275">
      <c r="A275" s="5" t="inlineStr">
        <is>
          <t>B25 STETSON.MX</t>
        </is>
      </c>
      <c r="B275" s="5">
        <f>IF($I2="","",INDEX(Productos!$A:$A,$I2))</f>
        <v/>
      </c>
      <c r="C275" s="134" t="inlineStr">
        <is>
          <t>9916500-260-44</t>
        </is>
      </c>
      <c r="D275" s="5">
        <f>IF($I2="","",INDEX(Productos!$B:$B,$I2))</f>
        <v/>
      </c>
      <c r="E275" s="5">
        <f>IF($I2="","",INDEX(Productos!$H:$H,$I2))</f>
        <v/>
      </c>
      <c r="F275" s="5">
        <f>IF($I2="","",INDEX(Productos!$I:$I,$I2))</f>
        <v/>
      </c>
      <c r="G275" s="135" t="n">
        <v>3</v>
      </c>
      <c r="H275" s="5">
        <f>IF($I2="","",INDEX(Productos!$AG:$AG,$I2))</f>
        <v/>
      </c>
      <c r="I275" s="136">
        <f>LET(_xlpm.r,Productos!$E$2:$E$2509,_xlpm.m,IFERROR(_xlfn.XMATCH(C275,_xlpm.r),IFERROR(_xlfn.XMATCH(VALUE(C275),_xlpm.r),0)),IF(_xlpm.m=0,"",_xlpm.m+1))</f>
        <v/>
      </c>
      <c r="J275" s="137" t="inlineStr">
        <is>
          <t>NetSuite</t>
        </is>
      </c>
    </row>
    <row r="276">
      <c r="A276" s="5" t="inlineStr">
        <is>
          <t>B25 STETSON.MX</t>
        </is>
      </c>
      <c r="B276" s="5">
        <f>IF($I2="","",INDEX(Productos!$A:$A,$I2))</f>
        <v/>
      </c>
      <c r="C276" s="134" t="inlineStr">
        <is>
          <t>9916500-260-46</t>
        </is>
      </c>
      <c r="D276" s="5">
        <f>IF($I2="","",INDEX(Productos!$B:$B,$I2))</f>
        <v/>
      </c>
      <c r="E276" s="5">
        <f>IF($I2="","",INDEX(Productos!$H:$H,$I2))</f>
        <v/>
      </c>
      <c r="F276" s="5">
        <f>IF($I2="","",INDEX(Productos!$I:$I,$I2))</f>
        <v/>
      </c>
      <c r="G276" s="135" t="n">
        <v>2</v>
      </c>
      <c r="H276" s="5">
        <f>IF($I2="","",INDEX(Productos!$AG:$AG,$I2))</f>
        <v/>
      </c>
      <c r="I276" s="136">
        <f>LET(_xlpm.r,Productos!$E$2:$E$2509,_xlpm.m,IFERROR(_xlfn.XMATCH(C276,_xlpm.r),IFERROR(_xlfn.XMATCH(VALUE(C276),_xlpm.r),0)),IF(_xlpm.m=0,"",_xlpm.m+1))</f>
        <v/>
      </c>
      <c r="J276" s="137" t="inlineStr">
        <is>
          <t>NetSuite</t>
        </is>
      </c>
    </row>
    <row r="277">
      <c r="A277" s="5" t="inlineStr">
        <is>
          <t>B25 STETSON.MX</t>
        </is>
      </c>
      <c r="B277" s="5">
        <f>IF($I2="","",INDEX(Productos!$A:$A,$I2))</f>
        <v/>
      </c>
      <c r="C277" s="134" t="inlineStr">
        <is>
          <t>9917500-232-38</t>
        </is>
      </c>
      <c r="D277" s="5">
        <f>IF($I2="","",INDEX(Productos!$B:$B,$I2))</f>
        <v/>
      </c>
      <c r="E277" s="5">
        <f>IF($I2="","",INDEX(Productos!$H:$H,$I2))</f>
        <v/>
      </c>
      <c r="F277" s="5">
        <f>IF($I2="","",INDEX(Productos!$I:$I,$I2))</f>
        <v/>
      </c>
      <c r="G277" s="135" t="n">
        <v>1</v>
      </c>
      <c r="H277" s="5">
        <f>IF($I2="","",INDEX(Productos!$AG:$AG,$I2))</f>
        <v/>
      </c>
      <c r="I277" s="136">
        <f>LET(_xlpm.r,Productos!$E$2:$E$2509,_xlpm.m,IFERROR(_xlfn.XMATCH(C277,_xlpm.r),IFERROR(_xlfn.XMATCH(VALUE(C277),_xlpm.r),0)),IF(_xlpm.m=0,"",_xlpm.m+1))</f>
        <v/>
      </c>
      <c r="J277" s="137" t="inlineStr">
        <is>
          <t>NetSuite</t>
        </is>
      </c>
    </row>
    <row r="278">
      <c r="A278" s="5" t="inlineStr">
        <is>
          <t>B25 STETSON.MX</t>
        </is>
      </c>
      <c r="B278" s="5">
        <f>IF($I2="","",INDEX(Productos!$A:$A,$I2))</f>
        <v/>
      </c>
      <c r="C278" s="134" t="inlineStr">
        <is>
          <t>9917500-232-40</t>
        </is>
      </c>
      <c r="D278" s="5">
        <f>IF($I2="","",INDEX(Productos!$B:$B,$I2))</f>
        <v/>
      </c>
      <c r="E278" s="5">
        <f>IF($I2="","",INDEX(Productos!$H:$H,$I2))</f>
        <v/>
      </c>
      <c r="F278" s="5">
        <f>IF($I2="","",INDEX(Productos!$I:$I,$I2))</f>
        <v/>
      </c>
      <c r="G278" s="135" t="n">
        <v>2</v>
      </c>
      <c r="H278" s="5">
        <f>IF($I2="","",INDEX(Productos!$AG:$AG,$I2))</f>
        <v/>
      </c>
      <c r="I278" s="136">
        <f>LET(_xlpm.r,Productos!$E$2:$E$2509,_xlpm.m,IFERROR(_xlfn.XMATCH(C278,_xlpm.r),IFERROR(_xlfn.XMATCH(VALUE(C278),_xlpm.r),0)),IF(_xlpm.m=0,"",_xlpm.m+1))</f>
        <v/>
      </c>
      <c r="J278" s="137" t="inlineStr">
        <is>
          <t>NetSuite</t>
        </is>
      </c>
    </row>
    <row r="279">
      <c r="A279" s="5" t="inlineStr">
        <is>
          <t>B25 STETSON.MX</t>
        </is>
      </c>
      <c r="B279" s="5">
        <f>IF($I2="","",INDEX(Productos!$A:$A,$I2))</f>
        <v/>
      </c>
      <c r="C279" s="134" t="inlineStr">
        <is>
          <t>9917500-232-42</t>
        </is>
      </c>
      <c r="D279" s="5">
        <f>IF($I2="","",INDEX(Productos!$B:$B,$I2))</f>
        <v/>
      </c>
      <c r="E279" s="5">
        <f>IF($I2="","",INDEX(Productos!$H:$H,$I2))</f>
        <v/>
      </c>
      <c r="F279" s="5">
        <f>IF($I2="","",INDEX(Productos!$I:$I,$I2))</f>
        <v/>
      </c>
      <c r="G279" s="135" t="n">
        <v>5</v>
      </c>
      <c r="H279" s="5">
        <f>IF($I2="","",INDEX(Productos!$AG:$AG,$I2))</f>
        <v/>
      </c>
      <c r="I279" s="136">
        <f>LET(_xlpm.r,Productos!$E$2:$E$2509,_xlpm.m,IFERROR(_xlfn.XMATCH(C279,_xlpm.r),IFERROR(_xlfn.XMATCH(VALUE(C279),_xlpm.r),0)),IF(_xlpm.m=0,"",_xlpm.m+1))</f>
        <v/>
      </c>
      <c r="J279" s="137" t="inlineStr">
        <is>
          <t>NetSuite</t>
        </is>
      </c>
    </row>
    <row r="280">
      <c r="A280" s="5" t="inlineStr">
        <is>
          <t>B25 STETSON.MX</t>
        </is>
      </c>
      <c r="B280" s="5">
        <f>IF($I2="","",INDEX(Productos!$A:$A,$I2))</f>
        <v/>
      </c>
      <c r="C280" s="134" t="inlineStr">
        <is>
          <t>9917500-232-44</t>
        </is>
      </c>
      <c r="D280" s="5">
        <f>IF($I2="","",INDEX(Productos!$B:$B,$I2))</f>
        <v/>
      </c>
      <c r="E280" s="5">
        <f>IF($I2="","",INDEX(Productos!$H:$H,$I2))</f>
        <v/>
      </c>
      <c r="F280" s="5">
        <f>IF($I2="","",INDEX(Productos!$I:$I,$I2))</f>
        <v/>
      </c>
      <c r="G280" s="135" t="n">
        <v>1</v>
      </c>
      <c r="H280" s="5">
        <f>IF($I2="","",INDEX(Productos!$AG:$AG,$I2))</f>
        <v/>
      </c>
      <c r="I280" s="136">
        <f>LET(_xlpm.r,Productos!$E$2:$E$2509,_xlpm.m,IFERROR(_xlfn.XMATCH(C280,_xlpm.r),IFERROR(_xlfn.XMATCH(VALUE(C280),_xlpm.r),0)),IF(_xlpm.m=0,"",_xlpm.m+1))</f>
        <v/>
      </c>
      <c r="J280" s="137" t="inlineStr">
        <is>
          <t>NetSuite</t>
        </is>
      </c>
    </row>
    <row r="281">
      <c r="A281" s="5" t="inlineStr">
        <is>
          <t>B25 STETSON.MX</t>
        </is>
      </c>
      <c r="B281" s="5">
        <f>IF($I2="","",INDEX(Productos!$A:$A,$I2))</f>
        <v/>
      </c>
      <c r="C281" s="134" t="inlineStr">
        <is>
          <t>9918500-203-38</t>
        </is>
      </c>
      <c r="D281" s="5">
        <f>IF($I2="","",INDEX(Productos!$B:$B,$I2))</f>
        <v/>
      </c>
      <c r="E281" s="5">
        <f>IF($I2="","",INDEX(Productos!$H:$H,$I2))</f>
        <v/>
      </c>
      <c r="F281" s="5">
        <f>IF($I2="","",INDEX(Productos!$I:$I,$I2))</f>
        <v/>
      </c>
      <c r="G281" s="135" t="n">
        <v>10</v>
      </c>
      <c r="H281" s="5">
        <f>IF($I2="","",INDEX(Productos!$AG:$AG,$I2))</f>
        <v/>
      </c>
      <c r="I281" s="136">
        <f>LET(_xlpm.r,Productos!$E$2:$E$2509,_xlpm.m,IFERROR(_xlfn.XMATCH(C281,_xlpm.r),IFERROR(_xlfn.XMATCH(VALUE(C281),_xlpm.r),0)),IF(_xlpm.m=0,"",_xlpm.m+1))</f>
        <v/>
      </c>
      <c r="J281" s="137" t="inlineStr">
        <is>
          <t>NetSuite</t>
        </is>
      </c>
    </row>
    <row r="282">
      <c r="A282" s="5" t="inlineStr">
        <is>
          <t>B25 STETSON.MX</t>
        </is>
      </c>
      <c r="B282" s="5">
        <f>IF($I2="","",INDEX(Productos!$A:$A,$I2))</f>
        <v/>
      </c>
      <c r="C282" s="134" t="inlineStr">
        <is>
          <t>9918500-203-40</t>
        </is>
      </c>
      <c r="D282" s="5">
        <f>IF($I2="","",INDEX(Productos!$B:$B,$I2))</f>
        <v/>
      </c>
      <c r="E282" s="5">
        <f>IF($I2="","",INDEX(Productos!$H:$H,$I2))</f>
        <v/>
      </c>
      <c r="F282" s="5">
        <f>IF($I2="","",INDEX(Productos!$I:$I,$I2))</f>
        <v/>
      </c>
      <c r="G282" s="135" t="n">
        <v>10</v>
      </c>
      <c r="H282" s="5">
        <f>IF($I2="","",INDEX(Productos!$AG:$AG,$I2))</f>
        <v/>
      </c>
      <c r="I282" s="136">
        <f>LET(_xlpm.r,Productos!$E$2:$E$2509,_xlpm.m,IFERROR(_xlfn.XMATCH(C282,_xlpm.r),IFERROR(_xlfn.XMATCH(VALUE(C282),_xlpm.r),0)),IF(_xlpm.m=0,"",_xlpm.m+1))</f>
        <v/>
      </c>
      <c r="J282" s="137" t="inlineStr">
        <is>
          <t>NetSuite</t>
        </is>
      </c>
    </row>
    <row r="283">
      <c r="A283" s="5" t="inlineStr">
        <is>
          <t>B25 STETSON.MX</t>
        </is>
      </c>
      <c r="B283" s="5">
        <f>IF($I2="","",INDEX(Productos!$A:$A,$I2))</f>
        <v/>
      </c>
      <c r="C283" s="134" t="inlineStr">
        <is>
          <t>9918500-203-42</t>
        </is>
      </c>
      <c r="D283" s="5">
        <f>IF($I2="","",INDEX(Productos!$B:$B,$I2))</f>
        <v/>
      </c>
      <c r="E283" s="5">
        <f>IF($I2="","",INDEX(Productos!$H:$H,$I2))</f>
        <v/>
      </c>
      <c r="F283" s="5">
        <f>IF($I2="","",INDEX(Productos!$I:$I,$I2))</f>
        <v/>
      </c>
      <c r="G283" s="135" t="n">
        <v>13</v>
      </c>
      <c r="H283" s="5">
        <f>IF($I2="","",INDEX(Productos!$AG:$AG,$I2))</f>
        <v/>
      </c>
      <c r="I283" s="136">
        <f>LET(_xlpm.r,Productos!$E$2:$E$2509,_xlpm.m,IFERROR(_xlfn.XMATCH(C283,_xlpm.r),IFERROR(_xlfn.XMATCH(VALUE(C283),_xlpm.r),0)),IF(_xlpm.m=0,"",_xlpm.m+1))</f>
        <v/>
      </c>
      <c r="J283" s="137" t="inlineStr">
        <is>
          <t>NetSuite</t>
        </is>
      </c>
    </row>
    <row r="284">
      <c r="A284" s="5" t="inlineStr">
        <is>
          <t>B25 STETSON.MX</t>
        </is>
      </c>
      <c r="B284" s="5">
        <f>IF($I2="","",INDEX(Productos!$A:$A,$I2))</f>
        <v/>
      </c>
      <c r="C284" s="134" t="inlineStr">
        <is>
          <t>9918500-203-44</t>
        </is>
      </c>
      <c r="D284" s="5">
        <f>IF($I2="","",INDEX(Productos!$B:$B,$I2))</f>
        <v/>
      </c>
      <c r="E284" s="5">
        <f>IF($I2="","",INDEX(Productos!$H:$H,$I2))</f>
        <v/>
      </c>
      <c r="F284" s="5">
        <f>IF($I2="","",INDEX(Productos!$I:$I,$I2))</f>
        <v/>
      </c>
      <c r="G284" s="135" t="n">
        <v>7</v>
      </c>
      <c r="H284" s="5">
        <f>IF($I2="","",INDEX(Productos!$AG:$AG,$I2))</f>
        <v/>
      </c>
      <c r="I284" s="136">
        <f>LET(_xlpm.r,Productos!$E$2:$E$2509,_xlpm.m,IFERROR(_xlfn.XMATCH(C284,_xlpm.r),IFERROR(_xlfn.XMATCH(VALUE(C284),_xlpm.r),0)),IF(_xlpm.m=0,"",_xlpm.m+1))</f>
        <v/>
      </c>
      <c r="J284" s="137" t="inlineStr">
        <is>
          <t>NetSuite</t>
        </is>
      </c>
    </row>
    <row r="285">
      <c r="A285" s="5" t="inlineStr">
        <is>
          <t>B25 STETSON.MX</t>
        </is>
      </c>
      <c r="B285" s="5">
        <f>IF($I2="","",INDEX(Productos!$A:$A,$I2))</f>
        <v/>
      </c>
      <c r="C285" s="134" t="inlineStr">
        <is>
          <t>9918500-203-46</t>
        </is>
      </c>
      <c r="D285" s="5">
        <f>IF($I2="","",INDEX(Productos!$B:$B,$I2))</f>
        <v/>
      </c>
      <c r="E285" s="5">
        <f>IF($I2="","",INDEX(Productos!$H:$H,$I2))</f>
        <v/>
      </c>
      <c r="F285" s="5">
        <f>IF($I2="","",INDEX(Productos!$I:$I,$I2))</f>
        <v/>
      </c>
      <c r="G285" s="135" t="n">
        <v>3</v>
      </c>
      <c r="H285" s="5">
        <f>IF($I2="","",INDEX(Productos!$AG:$AG,$I2))</f>
        <v/>
      </c>
      <c r="I285" s="136">
        <f>LET(_xlpm.r,Productos!$E$2:$E$2509,_xlpm.m,IFERROR(_xlfn.XMATCH(C285,_xlpm.r),IFERROR(_xlfn.XMATCH(VALUE(C285),_xlpm.r),0)),IF(_xlpm.m=0,"",_xlpm.m+1))</f>
        <v/>
      </c>
      <c r="J285" s="137" t="inlineStr">
        <is>
          <t>NetSuite</t>
        </is>
      </c>
    </row>
    <row r="286">
      <c r="A286" s="5" t="inlineStr">
        <is>
          <t>B25 STETSON.MX</t>
        </is>
      </c>
      <c r="B286" s="5">
        <f>IF($I2="","",INDEX(Productos!$A:$A,$I2))</f>
        <v/>
      </c>
      <c r="C286" s="134" t="inlineStr">
        <is>
          <t>9921500-97-36</t>
        </is>
      </c>
      <c r="D286" s="5">
        <f>IF($I2="","",INDEX(Productos!$B:$B,$I2))</f>
        <v/>
      </c>
      <c r="E286" s="5">
        <f>IF($I2="","",INDEX(Productos!$H:$H,$I2))</f>
        <v/>
      </c>
      <c r="F286" s="5">
        <f>IF($I2="","",INDEX(Productos!$I:$I,$I2))</f>
        <v/>
      </c>
      <c r="G286" s="135" t="n">
        <v>2</v>
      </c>
      <c r="H286" s="5">
        <f>IF($I2="","",INDEX(Productos!$AG:$AG,$I2))</f>
        <v/>
      </c>
      <c r="I286" s="136">
        <f>LET(_xlpm.r,Productos!$E$2:$E$2509,_xlpm.m,IFERROR(_xlfn.XMATCH(C286,_xlpm.r),IFERROR(_xlfn.XMATCH(VALUE(C286),_xlpm.r),0)),IF(_xlpm.m=0,"",_xlpm.m+1))</f>
        <v/>
      </c>
      <c r="J286" s="137" t="inlineStr">
        <is>
          <t>NetSuite</t>
        </is>
      </c>
    </row>
    <row r="287">
      <c r="A287" s="5" t="inlineStr">
        <is>
          <t>B25 STETSON.MX</t>
        </is>
      </c>
      <c r="B287" s="5">
        <f>IF($I2="","",INDEX(Productos!$A:$A,$I2))</f>
        <v/>
      </c>
      <c r="C287" s="134" t="inlineStr">
        <is>
          <t>9921500-97-38</t>
        </is>
      </c>
      <c r="D287" s="5">
        <f>IF($I2="","",INDEX(Productos!$B:$B,$I2))</f>
        <v/>
      </c>
      <c r="E287" s="5">
        <f>IF($I2="","",INDEX(Productos!$H:$H,$I2))</f>
        <v/>
      </c>
      <c r="F287" s="5">
        <f>IF($I2="","",INDEX(Productos!$I:$I,$I2))</f>
        <v/>
      </c>
      <c r="G287" s="135" t="n">
        <v>8</v>
      </c>
      <c r="H287" s="5">
        <f>IF($I2="","",INDEX(Productos!$AG:$AG,$I2))</f>
        <v/>
      </c>
      <c r="I287" s="136">
        <f>LET(_xlpm.r,Productos!$E$2:$E$2509,_xlpm.m,IFERROR(_xlfn.XMATCH(C287,_xlpm.r),IFERROR(_xlfn.XMATCH(VALUE(C287),_xlpm.r),0)),IF(_xlpm.m=0,"",_xlpm.m+1))</f>
        <v/>
      </c>
      <c r="J287" s="137" t="inlineStr">
        <is>
          <t>NetSuite</t>
        </is>
      </c>
    </row>
    <row r="288">
      <c r="A288" s="5" t="inlineStr">
        <is>
          <t>B25 STETSON.MX</t>
        </is>
      </c>
      <c r="B288" s="5">
        <f>IF($I2="","",INDEX(Productos!$A:$A,$I2))</f>
        <v/>
      </c>
      <c r="C288" s="134" t="inlineStr">
        <is>
          <t>9921500-97-40</t>
        </is>
      </c>
      <c r="D288" s="5">
        <f>IF($I2="","",INDEX(Productos!$B:$B,$I2))</f>
        <v/>
      </c>
      <c r="E288" s="5">
        <f>IF($I2="","",INDEX(Productos!$H:$H,$I2))</f>
        <v/>
      </c>
      <c r="F288" s="5">
        <f>IF($I2="","",INDEX(Productos!$I:$I,$I2))</f>
        <v/>
      </c>
      <c r="G288" s="135" t="n">
        <v>9</v>
      </c>
      <c r="H288" s="5">
        <f>IF($I2="","",INDEX(Productos!$AG:$AG,$I2))</f>
        <v/>
      </c>
      <c r="I288" s="136">
        <f>LET(_xlpm.r,Productos!$E$2:$E$2509,_xlpm.m,IFERROR(_xlfn.XMATCH(C288,_xlpm.r),IFERROR(_xlfn.XMATCH(VALUE(C288),_xlpm.r),0)),IF(_xlpm.m=0,"",_xlpm.m+1))</f>
        <v/>
      </c>
      <c r="J288" s="137" t="inlineStr">
        <is>
          <t>NetSuite</t>
        </is>
      </c>
    </row>
    <row r="289">
      <c r="A289" s="5" t="inlineStr">
        <is>
          <t>B25 STETSON.MX</t>
        </is>
      </c>
      <c r="B289" s="5">
        <f>IF($I2="","",INDEX(Productos!$A:$A,$I2))</f>
        <v/>
      </c>
      <c r="C289" s="134" t="inlineStr">
        <is>
          <t>9921500-97-42</t>
        </is>
      </c>
      <c r="D289" s="5">
        <f>IF($I2="","",INDEX(Productos!$B:$B,$I2))</f>
        <v/>
      </c>
      <c r="E289" s="5">
        <f>IF($I2="","",INDEX(Productos!$H:$H,$I2))</f>
        <v/>
      </c>
      <c r="F289" s="5">
        <f>IF($I2="","",INDEX(Productos!$I:$I,$I2))</f>
        <v/>
      </c>
      <c r="G289" s="135" t="n">
        <v>8</v>
      </c>
      <c r="H289" s="5">
        <f>IF($I2="","",INDEX(Productos!$AG:$AG,$I2))</f>
        <v/>
      </c>
      <c r="I289" s="136">
        <f>LET(_xlpm.r,Productos!$E$2:$E$2509,_xlpm.m,IFERROR(_xlfn.XMATCH(C289,_xlpm.r),IFERROR(_xlfn.XMATCH(VALUE(C289),_xlpm.r),0)),IF(_xlpm.m=0,"",_xlpm.m+1))</f>
        <v/>
      </c>
      <c r="J289" s="137" t="inlineStr">
        <is>
          <t>NetSuite</t>
        </is>
      </c>
    </row>
    <row r="290">
      <c r="A290" s="5" t="inlineStr">
        <is>
          <t>B25 STETSON.MX</t>
        </is>
      </c>
      <c r="B290" s="5">
        <f>IF($I2="","",INDEX(Productos!$A:$A,$I2))</f>
        <v/>
      </c>
      <c r="C290" s="134" t="inlineStr">
        <is>
          <t>9921500-97-44</t>
        </is>
      </c>
      <c r="D290" s="5">
        <f>IF($I2="","",INDEX(Productos!$B:$B,$I2))</f>
        <v/>
      </c>
      <c r="E290" s="5">
        <f>IF($I2="","",INDEX(Productos!$H:$H,$I2))</f>
        <v/>
      </c>
      <c r="F290" s="5">
        <f>IF($I2="","",INDEX(Productos!$I:$I,$I2))</f>
        <v/>
      </c>
      <c r="G290" s="135" t="n">
        <v>5</v>
      </c>
      <c r="H290" s="5">
        <f>IF($I2="","",INDEX(Productos!$AG:$AG,$I2))</f>
        <v/>
      </c>
      <c r="I290" s="136">
        <f>LET(_xlpm.r,Productos!$E$2:$E$2509,_xlpm.m,IFERROR(_xlfn.XMATCH(C290,_xlpm.r),IFERROR(_xlfn.XMATCH(VALUE(C290),_xlpm.r),0)),IF(_xlpm.m=0,"",_xlpm.m+1))</f>
        <v/>
      </c>
      <c r="J290" s="137" t="inlineStr">
        <is>
          <t>NetSuite</t>
        </is>
      </c>
    </row>
    <row r="291">
      <c r="A291" s="5" t="inlineStr">
        <is>
          <t>B25 STETSON.MX</t>
        </is>
      </c>
      <c r="B291" s="5">
        <f>IF($I2="","",INDEX(Productos!$A:$A,$I2))</f>
        <v/>
      </c>
      <c r="C291" s="134" t="inlineStr">
        <is>
          <t>9921500-97-46</t>
        </is>
      </c>
      <c r="D291" s="5">
        <f>IF($I2="","",INDEX(Productos!$B:$B,$I2))</f>
        <v/>
      </c>
      <c r="E291" s="5">
        <f>IF($I2="","",INDEX(Productos!$H:$H,$I2))</f>
        <v/>
      </c>
      <c r="F291" s="5">
        <f>IF($I2="","",INDEX(Productos!$I:$I,$I2))</f>
        <v/>
      </c>
      <c r="G291" s="135" t="n">
        <v>2</v>
      </c>
      <c r="H291" s="5">
        <f>IF($I2="","",INDEX(Productos!$AG:$AG,$I2))</f>
        <v/>
      </c>
      <c r="I291" s="136">
        <f>LET(_xlpm.r,Productos!$E$2:$E$2509,_xlpm.m,IFERROR(_xlfn.XMATCH(C291,_xlpm.r),IFERROR(_xlfn.XMATCH(VALUE(C291),_xlpm.r),0)),IF(_xlpm.m=0,"",_xlpm.m+1))</f>
        <v/>
      </c>
      <c r="J291" s="137" t="inlineStr">
        <is>
          <t>NetSuite</t>
        </is>
      </c>
    </row>
    <row r="292">
      <c r="A292" s="5" t="inlineStr">
        <is>
          <t>B25 STETSON.MX</t>
        </is>
      </c>
      <c r="B292" s="5">
        <f>IF($I2="","",INDEX(Productos!$A:$A,$I2))</f>
        <v/>
      </c>
      <c r="C292" s="134" t="inlineStr">
        <is>
          <t>9923500-104-36</t>
        </is>
      </c>
      <c r="D292" s="5">
        <f>IF($I2="","",INDEX(Productos!$B:$B,$I2))</f>
        <v/>
      </c>
      <c r="E292" s="5">
        <f>IF($I2="","",INDEX(Productos!$H:$H,$I2))</f>
        <v/>
      </c>
      <c r="F292" s="5">
        <f>IF($I2="","",INDEX(Productos!$I:$I,$I2))</f>
        <v/>
      </c>
      <c r="G292" s="135" t="n">
        <v>2</v>
      </c>
      <c r="H292" s="5">
        <f>IF($I2="","",INDEX(Productos!$AG:$AG,$I2))</f>
        <v/>
      </c>
      <c r="I292" s="136">
        <f>LET(_xlpm.r,Productos!$E$2:$E$2509,_xlpm.m,IFERROR(_xlfn.XMATCH(C292,_xlpm.r),IFERROR(_xlfn.XMATCH(VALUE(C292),_xlpm.r),0)),IF(_xlpm.m=0,"",_xlpm.m+1))</f>
        <v/>
      </c>
      <c r="J292" s="137" t="inlineStr">
        <is>
          <t>NetSuite</t>
        </is>
      </c>
    </row>
    <row r="293">
      <c r="A293" s="5" t="inlineStr">
        <is>
          <t>B25 STETSON.MX</t>
        </is>
      </c>
      <c r="B293" s="5">
        <f>IF($I2="","",INDEX(Productos!$A:$A,$I2))</f>
        <v/>
      </c>
      <c r="C293" s="134" t="inlineStr">
        <is>
          <t>9923500-104-38</t>
        </is>
      </c>
      <c r="D293" s="5">
        <f>IF($I2="","",INDEX(Productos!$B:$B,$I2))</f>
        <v/>
      </c>
      <c r="E293" s="5">
        <f>IF($I2="","",INDEX(Productos!$H:$H,$I2))</f>
        <v/>
      </c>
      <c r="F293" s="5">
        <f>IF($I2="","",INDEX(Productos!$I:$I,$I2))</f>
        <v/>
      </c>
      <c r="G293" s="135" t="n">
        <v>12</v>
      </c>
      <c r="H293" s="5">
        <f>IF($I2="","",INDEX(Productos!$AG:$AG,$I2))</f>
        <v/>
      </c>
      <c r="I293" s="136">
        <f>LET(_xlpm.r,Productos!$E$2:$E$2509,_xlpm.m,IFERROR(_xlfn.XMATCH(C293,_xlpm.r),IFERROR(_xlfn.XMATCH(VALUE(C293),_xlpm.r),0)),IF(_xlpm.m=0,"",_xlpm.m+1))</f>
        <v/>
      </c>
      <c r="J293" s="137" t="inlineStr">
        <is>
          <t>NetSuite</t>
        </is>
      </c>
    </row>
    <row r="294">
      <c r="A294" s="5" t="inlineStr">
        <is>
          <t>B25 STETSON.MX</t>
        </is>
      </c>
      <c r="B294" s="5">
        <f>IF($I2="","",INDEX(Productos!$A:$A,$I2))</f>
        <v/>
      </c>
      <c r="C294" s="134" t="inlineStr">
        <is>
          <t>9923500-104-40</t>
        </is>
      </c>
      <c r="D294" s="5">
        <f>IF($I2="","",INDEX(Productos!$B:$B,$I2))</f>
        <v/>
      </c>
      <c r="E294" s="5">
        <f>IF($I2="","",INDEX(Productos!$H:$H,$I2))</f>
        <v/>
      </c>
      <c r="F294" s="5">
        <f>IF($I2="","",INDEX(Productos!$I:$I,$I2))</f>
        <v/>
      </c>
      <c r="G294" s="135" t="n">
        <v>14</v>
      </c>
      <c r="H294" s="5">
        <f>IF($I2="","",INDEX(Productos!$AG:$AG,$I2))</f>
        <v/>
      </c>
      <c r="I294" s="136">
        <f>LET(_xlpm.r,Productos!$E$2:$E$2509,_xlpm.m,IFERROR(_xlfn.XMATCH(C294,_xlpm.r),IFERROR(_xlfn.XMATCH(VALUE(C294),_xlpm.r),0)),IF(_xlpm.m=0,"",_xlpm.m+1))</f>
        <v/>
      </c>
      <c r="J294" s="137" t="inlineStr">
        <is>
          <t>NetSuite</t>
        </is>
      </c>
    </row>
    <row r="295">
      <c r="A295" s="5" t="inlineStr">
        <is>
          <t>B25 STETSON.MX</t>
        </is>
      </c>
      <c r="B295" s="5">
        <f>IF($I2="","",INDEX(Productos!$A:$A,$I2))</f>
        <v/>
      </c>
      <c r="C295" s="134" t="inlineStr">
        <is>
          <t>9923500-104-42</t>
        </is>
      </c>
      <c r="D295" s="5">
        <f>IF($I2="","",INDEX(Productos!$B:$B,$I2))</f>
        <v/>
      </c>
      <c r="E295" s="5">
        <f>IF($I2="","",INDEX(Productos!$H:$H,$I2))</f>
        <v/>
      </c>
      <c r="F295" s="5">
        <f>IF($I2="","",INDEX(Productos!$I:$I,$I2))</f>
        <v/>
      </c>
      <c r="G295" s="135" t="n">
        <v>15</v>
      </c>
      <c r="H295" s="5">
        <f>IF($I2="","",INDEX(Productos!$AG:$AG,$I2))</f>
        <v/>
      </c>
      <c r="I295" s="136">
        <f>LET(_xlpm.r,Productos!$E$2:$E$2509,_xlpm.m,IFERROR(_xlfn.XMATCH(C295,_xlpm.r),IFERROR(_xlfn.XMATCH(VALUE(C295),_xlpm.r),0)),IF(_xlpm.m=0,"",_xlpm.m+1))</f>
        <v/>
      </c>
      <c r="J295" s="137" t="inlineStr">
        <is>
          <t>NetSuite</t>
        </is>
      </c>
    </row>
    <row r="296">
      <c r="A296" s="5" t="inlineStr">
        <is>
          <t>B25 STETSON.MX</t>
        </is>
      </c>
      <c r="B296" s="5">
        <f>IF($I2="","",INDEX(Productos!$A:$A,$I2))</f>
        <v/>
      </c>
      <c r="C296" s="134" t="inlineStr">
        <is>
          <t>9923500-104-44</t>
        </is>
      </c>
      <c r="D296" s="5">
        <f>IF($I2="","",INDEX(Productos!$B:$B,$I2))</f>
        <v/>
      </c>
      <c r="E296" s="5">
        <f>IF($I2="","",INDEX(Productos!$H:$H,$I2))</f>
        <v/>
      </c>
      <c r="F296" s="5">
        <f>IF($I2="","",INDEX(Productos!$I:$I,$I2))</f>
        <v/>
      </c>
      <c r="G296" s="135" t="n">
        <v>10</v>
      </c>
      <c r="H296" s="5">
        <f>IF($I2="","",INDEX(Productos!$AG:$AG,$I2))</f>
        <v/>
      </c>
      <c r="I296" s="136">
        <f>LET(_xlpm.r,Productos!$E$2:$E$2509,_xlpm.m,IFERROR(_xlfn.XMATCH(C296,_xlpm.r),IFERROR(_xlfn.XMATCH(VALUE(C296),_xlpm.r),0)),IF(_xlpm.m=0,"",_xlpm.m+1))</f>
        <v/>
      </c>
      <c r="J296" s="137" t="inlineStr">
        <is>
          <t>NetSuite</t>
        </is>
      </c>
    </row>
    <row r="297">
      <c r="A297" s="5" t="inlineStr">
        <is>
          <t>B25 STETSON.MX</t>
        </is>
      </c>
      <c r="B297" s="5">
        <f>IF($I2="","",INDEX(Productos!$A:$A,$I2))</f>
        <v/>
      </c>
      <c r="C297" s="134" t="inlineStr">
        <is>
          <t>9923500-104-46</t>
        </is>
      </c>
      <c r="D297" s="5">
        <f>IF($I2="","",INDEX(Productos!$B:$B,$I2))</f>
        <v/>
      </c>
      <c r="E297" s="5">
        <f>IF($I2="","",INDEX(Productos!$H:$H,$I2))</f>
        <v/>
      </c>
      <c r="F297" s="5">
        <f>IF($I2="","",INDEX(Productos!$I:$I,$I2))</f>
        <v/>
      </c>
      <c r="G297" s="135" t="n">
        <v>5</v>
      </c>
      <c r="H297" s="5">
        <f>IF($I2="","",INDEX(Productos!$AG:$AG,$I2))</f>
        <v/>
      </c>
      <c r="I297" s="136">
        <f>LET(_xlpm.r,Productos!$E$2:$E$2509,_xlpm.m,IFERROR(_xlfn.XMATCH(C297,_xlpm.r),IFERROR(_xlfn.XMATCH(VALUE(C297),_xlpm.r),0)),IF(_xlpm.m=0,"",_xlpm.m+1))</f>
        <v/>
      </c>
      <c r="J297" s="137" t="inlineStr">
        <is>
          <t>NetSuite</t>
        </is>
      </c>
    </row>
    <row r="298">
      <c r="A298" s="5" t="inlineStr">
        <is>
          <t>B25 STETSON.MX</t>
        </is>
      </c>
      <c r="B298" s="5">
        <f>IF($I2="","",INDEX(Productos!$A:$A,$I2))</f>
        <v/>
      </c>
      <c r="C298" s="134" t="inlineStr">
        <is>
          <t>9927500-001-36</t>
        </is>
      </c>
      <c r="D298" s="5">
        <f>IF($I2="","",INDEX(Productos!$B:$B,$I2))</f>
        <v/>
      </c>
      <c r="E298" s="5">
        <f>IF($I2="","",INDEX(Productos!$H:$H,$I2))</f>
        <v/>
      </c>
      <c r="F298" s="5">
        <f>IF($I2="","",INDEX(Productos!$I:$I,$I2))</f>
        <v/>
      </c>
      <c r="G298" s="135" t="n">
        <v>4</v>
      </c>
      <c r="H298" s="5">
        <f>IF($I2="","",INDEX(Productos!$AG:$AG,$I2))</f>
        <v/>
      </c>
      <c r="I298" s="136">
        <f>LET(_xlpm.r,Productos!$E$2:$E$2509,_xlpm.m,IFERROR(_xlfn.XMATCH(C298,_xlpm.r),IFERROR(_xlfn.XMATCH(VALUE(C298),_xlpm.r),0)),IF(_xlpm.m=0,"",_xlpm.m+1))</f>
        <v/>
      </c>
      <c r="J298" s="137" t="inlineStr">
        <is>
          <t>NetSuite</t>
        </is>
      </c>
    </row>
    <row r="299">
      <c r="A299" s="5" t="inlineStr">
        <is>
          <t>B25 STETSON.MX</t>
        </is>
      </c>
      <c r="B299" s="5">
        <f>IF($I2="","",INDEX(Productos!$A:$A,$I2))</f>
        <v/>
      </c>
      <c r="C299" s="134" t="inlineStr">
        <is>
          <t>9927500-001-38</t>
        </is>
      </c>
      <c r="D299" s="5">
        <f>IF($I2="","",INDEX(Productos!$B:$B,$I2))</f>
        <v/>
      </c>
      <c r="E299" s="5">
        <f>IF($I2="","",INDEX(Productos!$H:$H,$I2))</f>
        <v/>
      </c>
      <c r="F299" s="5">
        <f>IF($I2="","",INDEX(Productos!$I:$I,$I2))</f>
        <v/>
      </c>
      <c r="G299" s="135" t="n">
        <v>12</v>
      </c>
      <c r="H299" s="5">
        <f>IF($I2="","",INDEX(Productos!$AG:$AG,$I2))</f>
        <v/>
      </c>
      <c r="I299" s="136">
        <f>LET(_xlpm.r,Productos!$E$2:$E$2509,_xlpm.m,IFERROR(_xlfn.XMATCH(C299,_xlpm.r),IFERROR(_xlfn.XMATCH(VALUE(C299),_xlpm.r),0)),IF(_xlpm.m=0,"",_xlpm.m+1))</f>
        <v/>
      </c>
      <c r="J299" s="137" t="inlineStr">
        <is>
          <t>NetSuite</t>
        </is>
      </c>
    </row>
    <row r="300">
      <c r="A300" s="5" t="inlineStr">
        <is>
          <t>B25 STETSON.MX</t>
        </is>
      </c>
      <c r="B300" s="5">
        <f>IF($I2="","",INDEX(Productos!$A:$A,$I2))</f>
        <v/>
      </c>
      <c r="C300" s="134" t="inlineStr">
        <is>
          <t>9927500-001-40</t>
        </is>
      </c>
      <c r="D300" s="5">
        <f>IF($I2="","",INDEX(Productos!$B:$B,$I2))</f>
        <v/>
      </c>
      <c r="E300" s="5">
        <f>IF($I2="","",INDEX(Productos!$H:$H,$I2))</f>
        <v/>
      </c>
      <c r="F300" s="5">
        <f>IF($I2="","",INDEX(Productos!$I:$I,$I2))</f>
        <v/>
      </c>
      <c r="G300" s="135" t="n">
        <v>11</v>
      </c>
      <c r="H300" s="5">
        <f>IF($I2="","",INDEX(Productos!$AG:$AG,$I2))</f>
        <v/>
      </c>
      <c r="I300" s="136">
        <f>LET(_xlpm.r,Productos!$E$2:$E$2509,_xlpm.m,IFERROR(_xlfn.XMATCH(C300,_xlpm.r),IFERROR(_xlfn.XMATCH(VALUE(C300),_xlpm.r),0)),IF(_xlpm.m=0,"",_xlpm.m+1))</f>
        <v/>
      </c>
      <c r="J300" s="137" t="inlineStr">
        <is>
          <t>NetSuite</t>
        </is>
      </c>
    </row>
    <row r="301">
      <c r="A301" s="5" t="inlineStr">
        <is>
          <t>B25 STETSON.MX</t>
        </is>
      </c>
      <c r="B301" s="5">
        <f>IF($I2="","",INDEX(Productos!$A:$A,$I2))</f>
        <v/>
      </c>
      <c r="C301" s="134" t="inlineStr">
        <is>
          <t>9927500-001-42</t>
        </is>
      </c>
      <c r="D301" s="5">
        <f>IF($I2="","",INDEX(Productos!$B:$B,$I2))</f>
        <v/>
      </c>
      <c r="E301" s="5">
        <f>IF($I2="","",INDEX(Productos!$H:$H,$I2))</f>
        <v/>
      </c>
      <c r="F301" s="5">
        <f>IF($I2="","",INDEX(Productos!$I:$I,$I2))</f>
        <v/>
      </c>
      <c r="G301" s="135" t="n">
        <v>12</v>
      </c>
      <c r="H301" s="5">
        <f>IF($I2="","",INDEX(Productos!$AG:$AG,$I2))</f>
        <v/>
      </c>
      <c r="I301" s="136">
        <f>LET(_xlpm.r,Productos!$E$2:$E$2509,_xlpm.m,IFERROR(_xlfn.XMATCH(C301,_xlpm.r),IFERROR(_xlfn.XMATCH(VALUE(C301),_xlpm.r),0)),IF(_xlpm.m=0,"",_xlpm.m+1))</f>
        <v/>
      </c>
      <c r="J301" s="137" t="inlineStr">
        <is>
          <t>NetSuite</t>
        </is>
      </c>
    </row>
    <row r="302">
      <c r="A302" s="5" t="inlineStr">
        <is>
          <t>B25 STETSON.MX</t>
        </is>
      </c>
      <c r="B302" s="5">
        <f>IF($I2="","",INDEX(Productos!$A:$A,$I2))</f>
        <v/>
      </c>
      <c r="C302" s="134" t="inlineStr">
        <is>
          <t>9927500-001-44</t>
        </is>
      </c>
      <c r="D302" s="5">
        <f>IF($I2="","",INDEX(Productos!$B:$B,$I2))</f>
        <v/>
      </c>
      <c r="E302" s="5">
        <f>IF($I2="","",INDEX(Productos!$H:$H,$I2))</f>
        <v/>
      </c>
      <c r="F302" s="5">
        <f>IF($I2="","",INDEX(Productos!$I:$I,$I2))</f>
        <v/>
      </c>
      <c r="G302" s="135" t="n">
        <v>6</v>
      </c>
      <c r="H302" s="5">
        <f>IF($I2="","",INDEX(Productos!$AG:$AG,$I2))</f>
        <v/>
      </c>
      <c r="I302" s="136">
        <f>LET(_xlpm.r,Productos!$E$2:$E$2509,_xlpm.m,IFERROR(_xlfn.XMATCH(C302,_xlpm.r),IFERROR(_xlfn.XMATCH(VALUE(C302),_xlpm.r),0)),IF(_xlpm.m=0,"",_xlpm.m+1))</f>
        <v/>
      </c>
      <c r="J302" s="137" t="inlineStr">
        <is>
          <t>NetSuite</t>
        </is>
      </c>
    </row>
    <row r="303">
      <c r="A303" s="5" t="inlineStr">
        <is>
          <t>B25 STETSON.MX</t>
        </is>
      </c>
      <c r="B303" s="5">
        <f>IF($I2="","",INDEX(Productos!$A:$A,$I2))</f>
        <v/>
      </c>
      <c r="C303" s="134" t="inlineStr">
        <is>
          <t>9927500-001-46</t>
        </is>
      </c>
      <c r="D303" s="5">
        <f>IF($I2="","",INDEX(Productos!$B:$B,$I2))</f>
        <v/>
      </c>
      <c r="E303" s="5">
        <f>IF($I2="","",INDEX(Productos!$H:$H,$I2))</f>
        <v/>
      </c>
      <c r="F303" s="5">
        <f>IF($I2="","",INDEX(Productos!$I:$I,$I2))</f>
        <v/>
      </c>
      <c r="G303" s="135" t="n">
        <v>4</v>
      </c>
      <c r="H303" s="5">
        <f>IF($I2="","",INDEX(Productos!$AG:$AG,$I2))</f>
        <v/>
      </c>
      <c r="I303" s="136">
        <f>LET(_xlpm.r,Productos!$E$2:$E$2509,_xlpm.m,IFERROR(_xlfn.XMATCH(C303,_xlpm.r),IFERROR(_xlfn.XMATCH(VALUE(C303),_xlpm.r),0)),IF(_xlpm.m=0,"",_xlpm.m+1))</f>
        <v/>
      </c>
      <c r="J303" s="137" t="inlineStr">
        <is>
          <t>NetSuite</t>
        </is>
      </c>
    </row>
    <row r="304">
      <c r="A304" s="5" t="inlineStr">
        <is>
          <t>B25 STETSON.MX</t>
        </is>
      </c>
      <c r="B304" s="5">
        <f>IF($I2="","",INDEX(Productos!$A:$A,$I2))</f>
        <v/>
      </c>
      <c r="C304" s="134" t="inlineStr">
        <is>
          <t>9928500-104-40</t>
        </is>
      </c>
      <c r="D304" s="5">
        <f>IF($I2="","",INDEX(Productos!$B:$B,$I2))</f>
        <v/>
      </c>
      <c r="E304" s="5">
        <f>IF($I2="","",INDEX(Productos!$H:$H,$I2))</f>
        <v/>
      </c>
      <c r="F304" s="5">
        <f>IF($I2="","",INDEX(Productos!$I:$I,$I2))</f>
        <v/>
      </c>
      <c r="G304" s="135" t="n">
        <v>10</v>
      </c>
      <c r="H304" s="5">
        <f>IF($I2="","",INDEX(Productos!$AG:$AG,$I2))</f>
        <v/>
      </c>
      <c r="I304" s="136">
        <f>LET(_xlpm.r,Productos!$E$2:$E$2509,_xlpm.m,IFERROR(_xlfn.XMATCH(C304,_xlpm.r),IFERROR(_xlfn.XMATCH(VALUE(C304),_xlpm.r),0)),IF(_xlpm.m=0,"",_xlpm.m+1))</f>
        <v/>
      </c>
      <c r="J304" s="137" t="inlineStr">
        <is>
          <t>NetSuite</t>
        </is>
      </c>
    </row>
    <row r="305">
      <c r="A305" s="5" t="inlineStr">
        <is>
          <t>B25 STETSON.MX</t>
        </is>
      </c>
      <c r="B305" s="5">
        <f>IF($I2="","",INDEX(Productos!$A:$A,$I2))</f>
        <v/>
      </c>
      <c r="C305" s="134" t="inlineStr">
        <is>
          <t>9928500-104-44</t>
        </is>
      </c>
      <c r="D305" s="5">
        <f>IF($I2="","",INDEX(Productos!$B:$B,$I2))</f>
        <v/>
      </c>
      <c r="E305" s="5">
        <f>IF($I2="","",INDEX(Productos!$H:$H,$I2))</f>
        <v/>
      </c>
      <c r="F305" s="5">
        <f>IF($I2="","",INDEX(Productos!$I:$I,$I2))</f>
        <v/>
      </c>
      <c r="G305" s="135" t="n">
        <v>6</v>
      </c>
      <c r="H305" s="5">
        <f>IF($I2="","",INDEX(Productos!$AG:$AG,$I2))</f>
        <v/>
      </c>
      <c r="I305" s="136">
        <f>LET(_xlpm.r,Productos!$E$2:$E$2509,_xlpm.m,IFERROR(_xlfn.XMATCH(C305,_xlpm.r),IFERROR(_xlfn.XMATCH(VALUE(C305),_xlpm.r),0)),IF(_xlpm.m=0,"",_xlpm.m+1))</f>
        <v/>
      </c>
      <c r="J305" s="137" t="inlineStr">
        <is>
          <t>NetSuite</t>
        </is>
      </c>
    </row>
    <row r="306">
      <c r="A306" s="5" t="inlineStr">
        <is>
          <t>B25 STETSON.MX</t>
        </is>
      </c>
      <c r="B306" s="5">
        <f>IF($I2="","",INDEX(Productos!$A:$A,$I2))</f>
        <v/>
      </c>
      <c r="C306" s="134" t="inlineStr">
        <is>
          <t>9928500-104-46</t>
        </is>
      </c>
      <c r="D306" s="5">
        <f>IF($I2="","",INDEX(Productos!$B:$B,$I2))</f>
        <v/>
      </c>
      <c r="E306" s="5">
        <f>IF($I2="","",INDEX(Productos!$H:$H,$I2))</f>
        <v/>
      </c>
      <c r="F306" s="5">
        <f>IF($I2="","",INDEX(Productos!$I:$I,$I2))</f>
        <v/>
      </c>
      <c r="G306" s="135" t="n">
        <v>3</v>
      </c>
      <c r="H306" s="5">
        <f>IF($I2="","",INDEX(Productos!$AG:$AG,$I2))</f>
        <v/>
      </c>
      <c r="I306" s="136">
        <f>LET(_xlpm.r,Productos!$E$2:$E$2509,_xlpm.m,IFERROR(_xlfn.XMATCH(C306,_xlpm.r),IFERROR(_xlfn.XMATCH(VALUE(C306),_xlpm.r),0)),IF(_xlpm.m=0,"",_xlpm.m+1))</f>
        <v/>
      </c>
      <c r="J306" s="137" t="inlineStr">
        <is>
          <t>NetSuite</t>
        </is>
      </c>
    </row>
    <row r="307">
      <c r="A307" s="5" t="inlineStr">
        <is>
          <t>B25 STETSON.MX</t>
        </is>
      </c>
      <c r="B307" s="5">
        <f>IF($I2="","",INDEX(Productos!$A:$A,$I2))</f>
        <v/>
      </c>
      <c r="C307" s="134" t="inlineStr">
        <is>
          <t>SBAPCH-75400767</t>
        </is>
      </c>
      <c r="D307" s="5">
        <f>IF($I2="","",INDEX(Productos!$B:$B,$I2))</f>
        <v/>
      </c>
      <c r="E307" s="5">
        <f>IF($I2="","",INDEX(Productos!$H:$H,$I2))</f>
        <v/>
      </c>
      <c r="F307" s="5">
        <f>IF($I2="","",INDEX(Productos!$I:$I,$I2))</f>
        <v/>
      </c>
      <c r="G307" s="135" t="n">
        <v>1</v>
      </c>
      <c r="H307" s="5">
        <f>IF($I2="","",INDEX(Productos!$AG:$AG,$I2))</f>
        <v/>
      </c>
      <c r="I307" s="136">
        <f>LET(_xlpm.r,Productos!$E$2:$E$2509,_xlpm.m,IFERROR(_xlfn.XMATCH(C307,_xlpm.r),IFERROR(_xlfn.XMATCH(VALUE(C307),_xlpm.r),0)),IF(_xlpm.m=0,"",_xlpm.m+1))</f>
        <v/>
      </c>
      <c r="J307" s="137" t="inlineStr">
        <is>
          <t>NetSuite</t>
        </is>
      </c>
    </row>
    <row r="308">
      <c r="A308" s="5" t="inlineStr">
        <is>
          <t>B25 STETSON.MX</t>
        </is>
      </c>
      <c r="B308" s="5">
        <f>IF($I2="","",INDEX(Productos!$A:$A,$I2))</f>
        <v/>
      </c>
      <c r="C308" s="134" t="inlineStr">
        <is>
          <t>SBAPCH-75400770</t>
        </is>
      </c>
      <c r="D308" s="5">
        <f>IF($I2="","",INDEX(Productos!$B:$B,$I2))</f>
        <v/>
      </c>
      <c r="E308" s="5">
        <f>IF($I2="","",INDEX(Productos!$H:$H,$I2))</f>
        <v/>
      </c>
      <c r="F308" s="5">
        <f>IF($I2="","",INDEX(Productos!$I:$I,$I2))</f>
        <v/>
      </c>
      <c r="G308" s="135" t="n">
        <v>1</v>
      </c>
      <c r="H308" s="5">
        <f>IF($I2="","",INDEX(Productos!$AG:$AG,$I2))</f>
        <v/>
      </c>
      <c r="I308" s="136">
        <f>LET(_xlpm.r,Productos!$E$2:$E$2509,_xlpm.m,IFERROR(_xlfn.XMATCH(C308,_xlpm.r),IFERROR(_xlfn.XMATCH(VALUE(C308),_xlpm.r),0)),IF(_xlpm.m=0,"",_xlpm.m+1))</f>
        <v/>
      </c>
      <c r="J308" s="137" t="inlineStr">
        <is>
          <t>NetSuite</t>
        </is>
      </c>
    </row>
    <row r="309">
      <c r="A309" s="5" t="inlineStr">
        <is>
          <t>B25 STETSON.MX</t>
        </is>
      </c>
      <c r="B309" s="5">
        <f>IF($I2="","",INDEX(Productos!$A:$A,$I2))</f>
        <v/>
      </c>
      <c r="C309" s="134" t="inlineStr">
        <is>
          <t>SBAPCH-75400771</t>
        </is>
      </c>
      <c r="D309" s="5">
        <f>IF($I2="","",INDEX(Productos!$B:$B,$I2))</f>
        <v/>
      </c>
      <c r="E309" s="5">
        <f>IF($I2="","",INDEX(Productos!$H:$H,$I2))</f>
        <v/>
      </c>
      <c r="F309" s="5">
        <f>IF($I2="","",INDEX(Productos!$I:$I,$I2))</f>
        <v/>
      </c>
      <c r="G309" s="135" t="n">
        <v>2</v>
      </c>
      <c r="H309" s="5">
        <f>IF($I2="","",INDEX(Productos!$AG:$AG,$I2))</f>
        <v/>
      </c>
      <c r="I309" s="136">
        <f>LET(_xlpm.r,Productos!$E$2:$E$2509,_xlpm.m,IFERROR(_xlfn.XMATCH(C309,_xlpm.r),IFERROR(_xlfn.XMATCH(VALUE(C309),_xlpm.r),0)),IF(_xlpm.m=0,"",_xlpm.m+1))</f>
        <v/>
      </c>
      <c r="J309" s="137" t="inlineStr">
        <is>
          <t>NetSuite</t>
        </is>
      </c>
    </row>
    <row r="310">
      <c r="A310" s="5" t="inlineStr">
        <is>
          <t>B25 STETSON.MX</t>
        </is>
      </c>
      <c r="B310" s="5">
        <f>IF($I2="","",INDEX(Productos!$A:$A,$I2))</f>
        <v/>
      </c>
      <c r="C310" s="134" t="inlineStr">
        <is>
          <t>SBAPCH-75400772</t>
        </is>
      </c>
      <c r="D310" s="5">
        <f>IF($I2="","",INDEX(Productos!$B:$B,$I2))</f>
        <v/>
      </c>
      <c r="E310" s="5">
        <f>IF($I2="","",INDEX(Productos!$H:$H,$I2))</f>
        <v/>
      </c>
      <c r="F310" s="5">
        <f>IF($I2="","",INDEX(Productos!$I:$I,$I2))</f>
        <v/>
      </c>
      <c r="G310" s="135" t="n">
        <v>1</v>
      </c>
      <c r="H310" s="5">
        <f>IF($I2="","",INDEX(Productos!$AG:$AG,$I2))</f>
        <v/>
      </c>
      <c r="I310" s="136">
        <f>LET(_xlpm.r,Productos!$E$2:$E$2509,_xlpm.m,IFERROR(_xlfn.XMATCH(C310,_xlpm.r),IFERROR(_xlfn.XMATCH(VALUE(C310),_xlpm.r),0)),IF(_xlpm.m=0,"",_xlpm.m+1))</f>
        <v/>
      </c>
      <c r="J310" s="137" t="inlineStr">
        <is>
          <t>NetSuite</t>
        </is>
      </c>
    </row>
    <row r="311">
      <c r="A311" s="5" t="inlineStr">
        <is>
          <t>B25 STETSON.MX</t>
        </is>
      </c>
      <c r="B311" s="5">
        <f>IF($I2="","",INDEX(Productos!$A:$A,$I2))</f>
        <v/>
      </c>
      <c r="C311" s="134" t="inlineStr">
        <is>
          <t>SBAPCH-75402367</t>
        </is>
      </c>
      <c r="D311" s="5">
        <f>IF($I2="","",INDEX(Productos!$B:$B,$I2))</f>
        <v/>
      </c>
      <c r="E311" s="5">
        <f>IF($I2="","",INDEX(Productos!$H:$H,$I2))</f>
        <v/>
      </c>
      <c r="F311" s="5">
        <f>IF($I2="","",INDEX(Productos!$I:$I,$I2))</f>
        <v/>
      </c>
      <c r="G311" s="135" t="n">
        <v>1</v>
      </c>
      <c r="H311" s="5">
        <f>IF($I2="","",INDEX(Productos!$AG:$AG,$I2))</f>
        <v/>
      </c>
      <c r="I311" s="136">
        <f>LET(_xlpm.r,Productos!$E$2:$E$2509,_xlpm.m,IFERROR(_xlfn.XMATCH(C311,_xlpm.r),IFERROR(_xlfn.XMATCH(VALUE(C311),_xlpm.r),0)),IF(_xlpm.m=0,"",_xlpm.m+1))</f>
        <v/>
      </c>
      <c r="J311" s="137" t="inlineStr">
        <is>
          <t>NetSuite</t>
        </is>
      </c>
    </row>
    <row r="312">
      <c r="A312" s="5" t="inlineStr">
        <is>
          <t>B25 STETSON.MX</t>
        </is>
      </c>
      <c r="B312" s="5">
        <f>IF($I2="","",INDEX(Productos!$A:$A,$I2))</f>
        <v/>
      </c>
      <c r="C312" s="134" t="inlineStr">
        <is>
          <t>SBAPCH-75402370</t>
        </is>
      </c>
      <c r="D312" s="5">
        <f>IF($I2="","",INDEX(Productos!$B:$B,$I2))</f>
        <v/>
      </c>
      <c r="E312" s="5">
        <f>IF($I2="","",INDEX(Productos!$H:$H,$I2))</f>
        <v/>
      </c>
      <c r="F312" s="5">
        <f>IF($I2="","",INDEX(Productos!$I:$I,$I2))</f>
        <v/>
      </c>
      <c r="G312" s="135" t="n">
        <v>1</v>
      </c>
      <c r="H312" s="5">
        <f>IF($I2="","",INDEX(Productos!$AG:$AG,$I2))</f>
        <v/>
      </c>
      <c r="I312" s="136">
        <f>LET(_xlpm.r,Productos!$E$2:$E$2509,_xlpm.m,IFERROR(_xlfn.XMATCH(C312,_xlpm.r),IFERROR(_xlfn.XMATCH(VALUE(C312),_xlpm.r),0)),IF(_xlpm.m=0,"",_xlpm.m+1))</f>
        <v/>
      </c>
      <c r="J312" s="137" t="inlineStr">
        <is>
          <t>NetSuite</t>
        </is>
      </c>
    </row>
    <row r="313">
      <c r="A313" s="5" t="inlineStr">
        <is>
          <t>B25 STETSON.MX</t>
        </is>
      </c>
      <c r="B313" s="5">
        <f>IF($I2="","",INDEX(Productos!$A:$A,$I2))</f>
        <v/>
      </c>
      <c r="C313" s="134" t="inlineStr">
        <is>
          <t>SBAPCH-75402371</t>
        </is>
      </c>
      <c r="D313" s="5">
        <f>IF($I2="","",INDEX(Productos!$B:$B,$I2))</f>
        <v/>
      </c>
      <c r="E313" s="5">
        <f>IF($I2="","",INDEX(Productos!$H:$H,$I2))</f>
        <v/>
      </c>
      <c r="F313" s="5">
        <f>IF($I2="","",INDEX(Productos!$I:$I,$I2))</f>
        <v/>
      </c>
      <c r="G313" s="135" t="n">
        <v>1</v>
      </c>
      <c r="H313" s="5">
        <f>IF($I2="","",INDEX(Productos!$AG:$AG,$I2))</f>
        <v/>
      </c>
      <c r="I313" s="136">
        <f>LET(_xlpm.r,Productos!$E$2:$E$2509,_xlpm.m,IFERROR(_xlfn.XMATCH(C313,_xlpm.r),IFERROR(_xlfn.XMATCH(VALUE(C313),_xlpm.r),0)),IF(_xlpm.m=0,"",_xlpm.m+1))</f>
        <v/>
      </c>
      <c r="J313" s="137" t="inlineStr">
        <is>
          <t>NetSuite</t>
        </is>
      </c>
    </row>
    <row r="314">
      <c r="A314" s="5" t="inlineStr">
        <is>
          <t>B25 STETSON.MX</t>
        </is>
      </c>
      <c r="B314" s="5">
        <f>IF($I2="","",INDEX(Productos!$A:$A,$I2))</f>
        <v/>
      </c>
      <c r="C314" s="134" t="inlineStr">
        <is>
          <t>SBAPCH-75402372</t>
        </is>
      </c>
      <c r="D314" s="5">
        <f>IF($I2="","",INDEX(Productos!$B:$B,$I2))</f>
        <v/>
      </c>
      <c r="E314" s="5">
        <f>IF($I2="","",INDEX(Productos!$H:$H,$I2))</f>
        <v/>
      </c>
      <c r="F314" s="5">
        <f>IF($I2="","",INDEX(Productos!$I:$I,$I2))</f>
        <v/>
      </c>
      <c r="G314" s="135" t="n">
        <v>1</v>
      </c>
      <c r="H314" s="5">
        <f>IF($I2="","",INDEX(Productos!$AG:$AG,$I2))</f>
        <v/>
      </c>
      <c r="I314" s="136">
        <f>LET(_xlpm.r,Productos!$E$2:$E$2509,_xlpm.m,IFERROR(_xlfn.XMATCH(C314,_xlpm.r),IFERROR(_xlfn.XMATCH(VALUE(C314),_xlpm.r),0)),IF(_xlpm.m=0,"",_xlpm.m+1))</f>
        <v/>
      </c>
      <c r="J314" s="137" t="inlineStr">
        <is>
          <t>NetSuite</t>
        </is>
      </c>
    </row>
    <row r="315">
      <c r="A315" s="5" t="inlineStr">
        <is>
          <t>B25 STETSON.MX</t>
        </is>
      </c>
      <c r="B315" s="5">
        <f>IF($I2="","",INDEX(Productos!$A:$A,$I2))</f>
        <v/>
      </c>
      <c r="C315" s="134" t="inlineStr">
        <is>
          <t>SBCRAL-75402267</t>
        </is>
      </c>
      <c r="D315" s="5">
        <f>IF($I2="","",INDEX(Productos!$B:$B,$I2))</f>
        <v/>
      </c>
      <c r="E315" s="5">
        <f>IF($I2="","",INDEX(Productos!$H:$H,$I2))</f>
        <v/>
      </c>
      <c r="F315" s="5">
        <f>IF($I2="","",INDEX(Productos!$I:$I,$I2))</f>
        <v/>
      </c>
      <c r="G315" s="135" t="n">
        <v>1</v>
      </c>
      <c r="H315" s="5">
        <f>IF($I2="","",INDEX(Productos!$AG:$AG,$I2))</f>
        <v/>
      </c>
      <c r="I315" s="136">
        <f>LET(_xlpm.r,Productos!$E$2:$E$2509,_xlpm.m,IFERROR(_xlfn.XMATCH(C315,_xlpm.r),IFERROR(_xlfn.XMATCH(VALUE(C315),_xlpm.r),0)),IF(_xlpm.m=0,"",_xlpm.m+1))</f>
        <v/>
      </c>
      <c r="J315" s="137" t="inlineStr">
        <is>
          <t>NetSuite</t>
        </is>
      </c>
    </row>
    <row r="316">
      <c r="A316" s="5" t="inlineStr">
        <is>
          <t>B25 STETSON.MX</t>
        </is>
      </c>
      <c r="B316" s="5">
        <f>IF($I2="","",INDEX(Productos!$A:$A,$I2))</f>
        <v/>
      </c>
      <c r="C316" s="134" t="inlineStr">
        <is>
          <t>SBCRAL-75402270</t>
        </is>
      </c>
      <c r="D316" s="5">
        <f>IF($I2="","",INDEX(Productos!$B:$B,$I2))</f>
        <v/>
      </c>
      <c r="E316" s="5">
        <f>IF($I2="","",INDEX(Productos!$H:$H,$I2))</f>
        <v/>
      </c>
      <c r="F316" s="5">
        <f>IF($I2="","",INDEX(Productos!$I:$I,$I2))</f>
        <v/>
      </c>
      <c r="G316" s="135" t="n">
        <v>1</v>
      </c>
      <c r="H316" s="5">
        <f>IF($I2="","",INDEX(Productos!$AG:$AG,$I2))</f>
        <v/>
      </c>
      <c r="I316" s="136">
        <f>LET(_xlpm.r,Productos!$E$2:$E$2509,_xlpm.m,IFERROR(_xlfn.XMATCH(C316,_xlpm.r),IFERROR(_xlfn.XMATCH(VALUE(C316),_xlpm.r),0)),IF(_xlpm.m=0,"",_xlpm.m+1))</f>
        <v/>
      </c>
      <c r="J316" s="137" t="inlineStr">
        <is>
          <t>NetSuite</t>
        </is>
      </c>
    </row>
    <row r="317">
      <c r="A317" s="5" t="inlineStr">
        <is>
          <t>B25 STETSON.MX</t>
        </is>
      </c>
      <c r="B317" s="5">
        <f>IF($I2="","",INDEX(Productos!$A:$A,$I2))</f>
        <v/>
      </c>
      <c r="C317" s="134" t="inlineStr">
        <is>
          <t>SBCRAL-75402271</t>
        </is>
      </c>
      <c r="D317" s="5">
        <f>IF($I2="","",INDEX(Productos!$B:$B,$I2))</f>
        <v/>
      </c>
      <c r="E317" s="5">
        <f>IF($I2="","",INDEX(Productos!$H:$H,$I2))</f>
        <v/>
      </c>
      <c r="F317" s="5">
        <f>IF($I2="","",INDEX(Productos!$I:$I,$I2))</f>
        <v/>
      </c>
      <c r="G317" s="135" t="n">
        <v>1</v>
      </c>
      <c r="H317" s="5">
        <f>IF($I2="","",INDEX(Productos!$AG:$AG,$I2))</f>
        <v/>
      </c>
      <c r="I317" s="136">
        <f>LET(_xlpm.r,Productos!$E$2:$E$2509,_xlpm.m,IFERROR(_xlfn.XMATCH(C317,_xlpm.r),IFERROR(_xlfn.XMATCH(VALUE(C317),_xlpm.r),0)),IF(_xlpm.m=0,"",_xlpm.m+1))</f>
        <v/>
      </c>
      <c r="J317" s="137" t="inlineStr">
        <is>
          <t>NetSuite</t>
        </is>
      </c>
    </row>
    <row r="318">
      <c r="A318" s="5" t="inlineStr">
        <is>
          <t>B25 STETSON.MX</t>
        </is>
      </c>
      <c r="B318" s="5">
        <f>IF($I2="","",INDEX(Productos!$A:$A,$I2))</f>
        <v/>
      </c>
      <c r="C318" s="134" t="inlineStr">
        <is>
          <t>SBCRAL-75409867</t>
        </is>
      </c>
      <c r="D318" s="5">
        <f>IF($I2="","",INDEX(Productos!$B:$B,$I2))</f>
        <v/>
      </c>
      <c r="E318" s="5">
        <f>IF($I2="","",INDEX(Productos!$H:$H,$I2))</f>
        <v/>
      </c>
      <c r="F318" s="5">
        <f>IF($I2="","",INDEX(Productos!$I:$I,$I2))</f>
        <v/>
      </c>
      <c r="G318" s="135" t="n">
        <v>2</v>
      </c>
      <c r="H318" s="5">
        <f>IF($I2="","",INDEX(Productos!$AG:$AG,$I2))</f>
        <v/>
      </c>
      <c r="I318" s="136">
        <f>LET(_xlpm.r,Productos!$E$2:$E$2509,_xlpm.m,IFERROR(_xlfn.XMATCH(C318,_xlpm.r),IFERROR(_xlfn.XMATCH(VALUE(C318),_xlpm.r),0)),IF(_xlpm.m=0,"",_xlpm.m+1))</f>
        <v/>
      </c>
      <c r="J318" s="137" t="inlineStr">
        <is>
          <t>NetSuite</t>
        </is>
      </c>
    </row>
    <row r="319">
      <c r="A319" s="5" t="inlineStr">
        <is>
          <t>B25 STETSON.MX</t>
        </is>
      </c>
      <c r="B319" s="5">
        <f>IF($I2="","",INDEX(Productos!$A:$A,$I2))</f>
        <v/>
      </c>
      <c r="C319" s="134" t="inlineStr">
        <is>
          <t>SBCRAL-75409870</t>
        </is>
      </c>
      <c r="D319" s="5">
        <f>IF($I2="","",INDEX(Productos!$B:$B,$I2))</f>
        <v/>
      </c>
      <c r="E319" s="5">
        <f>IF($I2="","",INDEX(Productos!$H:$H,$I2))</f>
        <v/>
      </c>
      <c r="F319" s="5">
        <f>IF($I2="","",INDEX(Productos!$I:$I,$I2))</f>
        <v/>
      </c>
      <c r="G319" s="135" t="n">
        <v>2</v>
      </c>
      <c r="H319" s="5">
        <f>IF($I2="","",INDEX(Productos!$AG:$AG,$I2))</f>
        <v/>
      </c>
      <c r="I319" s="136">
        <f>LET(_xlpm.r,Productos!$E$2:$E$2509,_xlpm.m,IFERROR(_xlfn.XMATCH(C319,_xlpm.r),IFERROR(_xlfn.XMATCH(VALUE(C319),_xlpm.r),0)),IF(_xlpm.m=0,"",_xlpm.m+1))</f>
        <v/>
      </c>
      <c r="J319" s="137" t="inlineStr">
        <is>
          <t>NetSuite</t>
        </is>
      </c>
    </row>
    <row r="320">
      <c r="A320" s="5" t="inlineStr">
        <is>
          <t>B25 STETSON.MX</t>
        </is>
      </c>
      <c r="B320" s="5">
        <f>IF($I2="","",INDEX(Productos!$A:$A,$I2))</f>
        <v/>
      </c>
      <c r="C320" s="134" t="inlineStr">
        <is>
          <t>SBCRAL-75409871</t>
        </is>
      </c>
      <c r="D320" s="5">
        <f>IF($I2="","",INDEX(Productos!$B:$B,$I2))</f>
        <v/>
      </c>
      <c r="E320" s="5">
        <f>IF($I2="","",INDEX(Productos!$H:$H,$I2))</f>
        <v/>
      </c>
      <c r="F320" s="5">
        <f>IF($I2="","",INDEX(Productos!$I:$I,$I2))</f>
        <v/>
      </c>
      <c r="G320" s="135" t="n">
        <v>2</v>
      </c>
      <c r="H320" s="5">
        <f>IF($I2="","",INDEX(Productos!$AG:$AG,$I2))</f>
        <v/>
      </c>
      <c r="I320" s="136">
        <f>LET(_xlpm.r,Productos!$E$2:$E$2509,_xlpm.m,IFERROR(_xlfn.XMATCH(C320,_xlpm.r),IFERROR(_xlfn.XMATCH(VALUE(C320),_xlpm.r),0)),IF(_xlpm.m=0,"",_xlpm.m+1))</f>
        <v/>
      </c>
      <c r="J320" s="137" t="inlineStr">
        <is>
          <t>NetSuite</t>
        </is>
      </c>
    </row>
    <row r="321">
      <c r="A321" s="5" t="inlineStr">
        <is>
          <t>B25 STETSON.MX</t>
        </is>
      </c>
      <c r="B321" s="5">
        <f>IF($I2="","",INDEX(Productos!$A:$A,$I2))</f>
        <v/>
      </c>
      <c r="C321" s="134" t="inlineStr">
        <is>
          <t>SBCRAL-75409872</t>
        </is>
      </c>
      <c r="D321" s="5">
        <f>IF($I2="","",INDEX(Productos!$B:$B,$I2))</f>
        <v/>
      </c>
      <c r="E321" s="5">
        <f>IF($I2="","",INDEX(Productos!$H:$H,$I2))</f>
        <v/>
      </c>
      <c r="F321" s="5">
        <f>IF($I2="","",INDEX(Productos!$I:$I,$I2))</f>
        <v/>
      </c>
      <c r="G321" s="135" t="n">
        <v>2</v>
      </c>
      <c r="H321" s="5">
        <f>IF($I2="","",INDEX(Productos!$AG:$AG,$I2))</f>
        <v/>
      </c>
      <c r="I321" s="136">
        <f>LET(_xlpm.r,Productos!$E$2:$E$2509,_xlpm.m,IFERROR(_xlfn.XMATCH(C321,_xlpm.r),IFERROR(_xlfn.XMATCH(VALUE(C321),_xlpm.r),0)),IF(_xlpm.m=0,"",_xlpm.m+1))</f>
        <v/>
      </c>
      <c r="J321" s="137" t="inlineStr">
        <is>
          <t>NetSuite</t>
        </is>
      </c>
    </row>
    <row r="322">
      <c r="A322" s="5" t="inlineStr">
        <is>
          <t>B25 STETSON.MX</t>
        </is>
      </c>
      <c r="B322" s="5">
        <f>IF($I2="","",INDEX(Productos!$A:$A,$I2))</f>
        <v/>
      </c>
      <c r="C322" s="134" t="inlineStr">
        <is>
          <t>SBCRAL-75409873</t>
        </is>
      </c>
      <c r="D322" s="5">
        <f>IF($I2="","",INDEX(Productos!$B:$B,$I2))</f>
        <v/>
      </c>
      <c r="E322" s="5">
        <f>IF($I2="","",INDEX(Productos!$H:$H,$I2))</f>
        <v/>
      </c>
      <c r="F322" s="5">
        <f>IF($I2="","",INDEX(Productos!$I:$I,$I2))</f>
        <v/>
      </c>
      <c r="G322" s="135" t="n">
        <v>2</v>
      </c>
      <c r="H322" s="5">
        <f>IF($I2="","",INDEX(Productos!$AG:$AG,$I2))</f>
        <v/>
      </c>
      <c r="I322" s="136">
        <f>LET(_xlpm.r,Productos!$E$2:$E$2509,_xlpm.m,IFERROR(_xlfn.XMATCH(C322,_xlpm.r),IFERROR(_xlfn.XMATCH(VALUE(C322),_xlpm.r),0)),IF(_xlpm.m=0,"",_xlpm.m+1))</f>
        <v/>
      </c>
      <c r="J322" s="137" t="inlineStr">
        <is>
          <t>NetSuite</t>
        </is>
      </c>
    </row>
    <row r="323">
      <c r="A323" s="5" t="inlineStr">
        <is>
          <t>B25 STETSON.MX</t>
        </is>
      </c>
      <c r="B323" s="5">
        <f>IF($I2="","",INDEX(Productos!$A:$A,$I2))</f>
        <v/>
      </c>
      <c r="C323" s="134" t="inlineStr">
        <is>
          <t>SFEPTN-48400767</t>
        </is>
      </c>
      <c r="D323" s="5">
        <f>IF($I2="","",INDEX(Productos!$B:$B,$I2))</f>
        <v/>
      </c>
      <c r="E323" s="5">
        <f>IF($I2="","",INDEX(Productos!$H:$H,$I2))</f>
        <v/>
      </c>
      <c r="F323" s="5">
        <f>IF($I2="","",INDEX(Productos!$I:$I,$I2))</f>
        <v/>
      </c>
      <c r="G323" s="135" t="n">
        <v>1</v>
      </c>
      <c r="H323" s="5">
        <f>IF($I2="","",INDEX(Productos!$AG:$AG,$I2))</f>
        <v/>
      </c>
      <c r="I323" s="136">
        <f>LET(_xlpm.r,Productos!$E$2:$E$2509,_xlpm.m,IFERROR(_xlfn.XMATCH(C323,_xlpm.r),IFERROR(_xlfn.XMATCH(VALUE(C323),_xlpm.r),0)),IF(_xlpm.m=0,"",_xlpm.m+1))</f>
        <v/>
      </c>
      <c r="J323" s="137" t="inlineStr">
        <is>
          <t>NetSuite</t>
        </is>
      </c>
    </row>
    <row r="324">
      <c r="A324" s="5" t="inlineStr">
        <is>
          <t>B25 STETSON.MX</t>
        </is>
      </c>
      <c r="B324" s="5">
        <f>IF($I2="","",INDEX(Productos!$A:$A,$I2))</f>
        <v/>
      </c>
      <c r="C324" s="134" t="inlineStr">
        <is>
          <t>SFEPTN-48406171</t>
        </is>
      </c>
      <c r="D324" s="5">
        <f>IF($I2="","",INDEX(Productos!$B:$B,$I2))</f>
        <v/>
      </c>
      <c r="E324" s="5">
        <f>IF($I2="","",INDEX(Productos!$H:$H,$I2))</f>
        <v/>
      </c>
      <c r="F324" s="5">
        <f>IF($I2="","",INDEX(Productos!$I:$I,$I2))</f>
        <v/>
      </c>
      <c r="G324" s="135" t="n">
        <v>1</v>
      </c>
      <c r="H324" s="5">
        <f>IF($I2="","",INDEX(Productos!$AG:$AG,$I2))</f>
        <v/>
      </c>
      <c r="I324" s="136">
        <f>LET(_xlpm.r,Productos!$E$2:$E$2509,_xlpm.m,IFERROR(_xlfn.XMATCH(C324,_xlpm.r),IFERROR(_xlfn.XMATCH(VALUE(C324),_xlpm.r),0)),IF(_xlpm.m=0,"",_xlpm.m+1))</f>
        <v/>
      </c>
      <c r="J324" s="137" t="inlineStr">
        <is>
          <t>NetSuite</t>
        </is>
      </c>
    </row>
    <row r="325">
      <c r="A325" s="5" t="inlineStr">
        <is>
          <t>B25 STETSON.MX</t>
        </is>
      </c>
      <c r="B325" s="5">
        <f>IF($I2="","",INDEX(Productos!$A:$A,$I2))</f>
        <v/>
      </c>
      <c r="C325" s="134" t="inlineStr">
        <is>
          <t>SFEPTN-48406172</t>
        </is>
      </c>
      <c r="D325" s="5">
        <f>IF($I2="","",INDEX(Productos!$B:$B,$I2))</f>
        <v/>
      </c>
      <c r="E325" s="5">
        <f>IF($I2="","",INDEX(Productos!$H:$H,$I2))</f>
        <v/>
      </c>
      <c r="F325" s="5">
        <f>IF($I2="","",INDEX(Productos!$I:$I,$I2))</f>
        <v/>
      </c>
      <c r="G325" s="135" t="n">
        <v>1</v>
      </c>
      <c r="H325" s="5">
        <f>IF($I2="","",INDEX(Productos!$AG:$AG,$I2))</f>
        <v/>
      </c>
      <c r="I325" s="136">
        <f>LET(_xlpm.r,Productos!$E$2:$E$2509,_xlpm.m,IFERROR(_xlfn.XMATCH(C325,_xlpm.r),IFERROR(_xlfn.XMATCH(VALUE(C325),_xlpm.r),0)),IF(_xlpm.m=0,"",_xlpm.m+1))</f>
        <v/>
      </c>
      <c r="J325" s="137" t="inlineStr">
        <is>
          <t>NetSuite</t>
        </is>
      </c>
    </row>
    <row r="326">
      <c r="A326" s="5" t="inlineStr">
        <is>
          <t>B25 STETSON.MX</t>
        </is>
      </c>
      <c r="B326" s="5">
        <f>IF($I2="","",INDEX(Productos!$A:$A,$I2))</f>
        <v/>
      </c>
      <c r="C326" s="134" t="inlineStr">
        <is>
          <t>SFEPTN-48407271</t>
        </is>
      </c>
      <c r="D326" s="5">
        <f>IF($I2="","",INDEX(Productos!$B:$B,$I2))</f>
        <v/>
      </c>
      <c r="E326" s="5">
        <f>IF($I2="","",INDEX(Productos!$H:$H,$I2))</f>
        <v/>
      </c>
      <c r="F326" s="5">
        <f>IF($I2="","",INDEX(Productos!$I:$I,$I2))</f>
        <v/>
      </c>
      <c r="G326" s="135" t="n">
        <v>1</v>
      </c>
      <c r="H326" s="5">
        <f>IF($I2="","",INDEX(Productos!$AG:$AG,$I2))</f>
        <v/>
      </c>
      <c r="I326" s="136">
        <f>LET(_xlpm.r,Productos!$E$2:$E$2509,_xlpm.m,IFERROR(_xlfn.XMATCH(C326,_xlpm.r),IFERROR(_xlfn.XMATCH(VALUE(C326),_xlpm.r),0)),IF(_xlpm.m=0,"",_xlpm.m+1))</f>
        <v/>
      </c>
      <c r="J326" s="137" t="inlineStr">
        <is>
          <t>NetSuite</t>
        </is>
      </c>
    </row>
    <row r="327">
      <c r="A327" s="5" t="inlineStr">
        <is>
          <t>B25 STETSON.MX</t>
        </is>
      </c>
      <c r="B327" s="5">
        <f>IF($I2="","",INDEX(Productos!$A:$A,$I2))</f>
        <v/>
      </c>
      <c r="C327" s="134" t="inlineStr">
        <is>
          <t>SFG160-01400770</t>
        </is>
      </c>
      <c r="D327" s="5">
        <f>IF($I2="","",INDEX(Productos!$B:$B,$I2))</f>
        <v/>
      </c>
      <c r="E327" s="5">
        <f>IF($I2="","",INDEX(Productos!$H:$H,$I2))</f>
        <v/>
      </c>
      <c r="F327" s="5">
        <f>IF($I2="","",INDEX(Productos!$I:$I,$I2))</f>
        <v/>
      </c>
      <c r="G327" s="135" t="n">
        <v>1</v>
      </c>
      <c r="H327" s="5">
        <f>IF($I2="","",INDEX(Productos!$AG:$AG,$I2))</f>
        <v/>
      </c>
      <c r="I327" s="136">
        <f>LET(_xlpm.r,Productos!$E$2:$E$2509,_xlpm.m,IFERROR(_xlfn.XMATCH(C327,_xlpm.r),IFERROR(_xlfn.XMATCH(VALUE(C327),_xlpm.r),0)),IF(_xlpm.m=0,"",_xlpm.m+1))</f>
        <v/>
      </c>
      <c r="J327" s="137" t="inlineStr">
        <is>
          <t>NetSuite</t>
        </is>
      </c>
    </row>
    <row r="328">
      <c r="A328" s="5" t="inlineStr">
        <is>
          <t>B25 STETSON.MX</t>
        </is>
      </c>
      <c r="B328" s="5">
        <f>IF($I2="","",INDEX(Productos!$A:$A,$I2))</f>
        <v/>
      </c>
      <c r="C328" s="134" t="inlineStr">
        <is>
          <t>SFG160-01400771</t>
        </is>
      </c>
      <c r="D328" s="5">
        <f>IF($I2="","",INDEX(Productos!$B:$B,$I2))</f>
        <v/>
      </c>
      <c r="E328" s="5">
        <f>IF($I2="","",INDEX(Productos!$H:$H,$I2))</f>
        <v/>
      </c>
      <c r="F328" s="5">
        <f>IF($I2="","",INDEX(Productos!$I:$I,$I2))</f>
        <v/>
      </c>
      <c r="G328" s="135" t="n">
        <v>4</v>
      </c>
      <c r="H328" s="5">
        <f>IF($I2="","",INDEX(Productos!$AG:$AG,$I2))</f>
        <v/>
      </c>
      <c r="I328" s="136">
        <f>LET(_xlpm.r,Productos!$E$2:$E$2509,_xlpm.m,IFERROR(_xlfn.XMATCH(C328,_xlpm.r),IFERROR(_xlfn.XMATCH(VALUE(C328),_xlpm.r),0)),IF(_xlpm.m=0,"",_xlpm.m+1))</f>
        <v/>
      </c>
      <c r="J328" s="137" t="inlineStr">
        <is>
          <t>NetSuite</t>
        </is>
      </c>
    </row>
    <row r="329">
      <c r="A329" s="5" t="inlineStr">
        <is>
          <t>B25 STETSON.MX</t>
        </is>
      </c>
      <c r="B329" s="5">
        <f>IF($I2="","",INDEX(Productos!$A:$A,$I2))</f>
        <v/>
      </c>
      <c r="C329" s="134" t="inlineStr">
        <is>
          <t>SFG160-01400772</t>
        </is>
      </c>
      <c r="D329" s="5">
        <f>IF($I2="","",INDEX(Productos!$B:$B,$I2))</f>
        <v/>
      </c>
      <c r="E329" s="5">
        <f>IF($I2="","",INDEX(Productos!$H:$H,$I2))</f>
        <v/>
      </c>
      <c r="F329" s="5">
        <f>IF($I2="","",INDEX(Productos!$I:$I,$I2))</f>
        <v/>
      </c>
      <c r="G329" s="135" t="n">
        <v>2</v>
      </c>
      <c r="H329" s="5">
        <f>IF($I2="","",INDEX(Productos!$AG:$AG,$I2))</f>
        <v/>
      </c>
      <c r="I329" s="136">
        <f>LET(_xlpm.r,Productos!$E$2:$E$2509,_xlpm.m,IFERROR(_xlfn.XMATCH(C329,_xlpm.r),IFERROR(_xlfn.XMATCH(VALUE(C329),_xlpm.r),0)),IF(_xlpm.m=0,"",_xlpm.m+1))</f>
        <v/>
      </c>
      <c r="J329" s="137" t="inlineStr">
        <is>
          <t>NetSuite</t>
        </is>
      </c>
    </row>
    <row r="330">
      <c r="A330" s="5" t="inlineStr">
        <is>
          <t>B25 STETSON.MX</t>
        </is>
      </c>
      <c r="B330" s="5">
        <f>IF($I2="","",INDEX(Productos!$A:$A,$I2))</f>
        <v/>
      </c>
      <c r="C330" s="134" t="inlineStr">
        <is>
          <t>SFG160-01400773</t>
        </is>
      </c>
      <c r="D330" s="5">
        <f>IF($I2="","",INDEX(Productos!$B:$B,$I2))</f>
        <v/>
      </c>
      <c r="E330" s="5">
        <f>IF($I2="","",INDEX(Productos!$H:$H,$I2))</f>
        <v/>
      </c>
      <c r="F330" s="5">
        <f>IF($I2="","",INDEX(Productos!$I:$I,$I2))</f>
        <v/>
      </c>
      <c r="G330" s="135" t="n">
        <v>1</v>
      </c>
      <c r="H330" s="5">
        <f>IF($I2="","",INDEX(Productos!$AG:$AG,$I2))</f>
        <v/>
      </c>
      <c r="I330" s="136">
        <f>LET(_xlpm.r,Productos!$E$2:$E$2509,_xlpm.m,IFERROR(_xlfn.XMATCH(C330,_xlpm.r),IFERROR(_xlfn.XMATCH(VALUE(C330),_xlpm.r),0)),IF(_xlpm.m=0,"",_xlpm.m+1))</f>
        <v/>
      </c>
      <c r="J330" s="137" t="inlineStr">
        <is>
          <t>NetSuite</t>
        </is>
      </c>
    </row>
    <row r="331">
      <c r="A331" s="5" t="inlineStr">
        <is>
          <t>B25 STETSON.MX</t>
        </is>
      </c>
      <c r="B331" s="5">
        <f>IF($I2="","",INDEX(Productos!$A:$A,$I2))</f>
        <v/>
      </c>
      <c r="C331" s="134" t="inlineStr">
        <is>
          <t>SFG160-01402271</t>
        </is>
      </c>
      <c r="D331" s="5">
        <f>IF($I2="","",INDEX(Productos!$B:$B,$I2))</f>
        <v/>
      </c>
      <c r="E331" s="5">
        <f>IF($I2="","",INDEX(Productos!$H:$H,$I2))</f>
        <v/>
      </c>
      <c r="F331" s="5">
        <f>IF($I2="","",INDEX(Productos!$I:$I,$I2))</f>
        <v/>
      </c>
      <c r="G331" s="135" t="n">
        <v>1</v>
      </c>
      <c r="H331" s="5">
        <f>IF($I2="","",INDEX(Productos!$AG:$AG,$I2))</f>
        <v/>
      </c>
      <c r="I331" s="136">
        <f>LET(_xlpm.r,Productos!$E$2:$E$2509,_xlpm.m,IFERROR(_xlfn.XMATCH(C331,_xlpm.r),IFERROR(_xlfn.XMATCH(VALUE(C331),_xlpm.r),0)),IF(_xlpm.m=0,"",_xlpm.m+1))</f>
        <v/>
      </c>
      <c r="J331" s="137" t="inlineStr">
        <is>
          <t>NetSuite</t>
        </is>
      </c>
    </row>
    <row r="332">
      <c r="A332" s="5" t="inlineStr">
        <is>
          <t>B25 STETSON.MX</t>
        </is>
      </c>
      <c r="B332" s="5">
        <f>IF($I2="","",INDEX(Productos!$A:$A,$I2))</f>
        <v/>
      </c>
      <c r="C332" s="134" t="inlineStr">
        <is>
          <t>SFG160-01402273</t>
        </is>
      </c>
      <c r="D332" s="5">
        <f>IF($I2="","",INDEX(Productos!$B:$B,$I2))</f>
        <v/>
      </c>
      <c r="E332" s="5">
        <f>IF($I2="","",INDEX(Productos!$H:$H,$I2))</f>
        <v/>
      </c>
      <c r="F332" s="5">
        <f>IF($I2="","",INDEX(Productos!$I:$I,$I2))</f>
        <v/>
      </c>
      <c r="G332" s="135" t="n">
        <v>1</v>
      </c>
      <c r="H332" s="5">
        <f>IF($I2="","",INDEX(Productos!$AG:$AG,$I2))</f>
        <v/>
      </c>
      <c r="I332" s="136">
        <f>LET(_xlpm.r,Productos!$E$2:$E$2509,_xlpm.m,IFERROR(_xlfn.XMATCH(C332,_xlpm.r),IFERROR(_xlfn.XMATCH(VALUE(C332),_xlpm.r),0)),IF(_xlpm.m=0,"",_xlpm.m+1))</f>
        <v/>
      </c>
      <c r="J332" s="137" t="inlineStr">
        <is>
          <t>NetSuite</t>
        </is>
      </c>
    </row>
    <row r="333">
      <c r="A333" s="5" t="inlineStr">
        <is>
          <t>B25 STETSON.MX</t>
        </is>
      </c>
      <c r="B333" s="5">
        <f>IF($I2="","",INDEX(Productos!$A:$A,$I2))</f>
        <v/>
      </c>
      <c r="C333" s="134" t="inlineStr">
        <is>
          <t>SFGUDL-48400770</t>
        </is>
      </c>
      <c r="D333" s="5">
        <f>IF($I2="","",INDEX(Productos!$B:$B,$I2))</f>
        <v/>
      </c>
      <c r="E333" s="5">
        <f>IF($I2="","",INDEX(Productos!$H:$H,$I2))</f>
        <v/>
      </c>
      <c r="F333" s="5">
        <f>IF($I2="","",INDEX(Productos!$I:$I,$I2))</f>
        <v/>
      </c>
      <c r="G333" s="135" t="n">
        <v>1</v>
      </c>
      <c r="H333" s="5">
        <f>IF($I2="","",INDEX(Productos!$AG:$AG,$I2))</f>
        <v/>
      </c>
      <c r="I333" s="136">
        <f>LET(_xlpm.r,Productos!$E$2:$E$2509,_xlpm.m,IFERROR(_xlfn.XMATCH(C333,_xlpm.r),IFERROR(_xlfn.XMATCH(VALUE(C333),_xlpm.r),0)),IF(_xlpm.m=0,"",_xlpm.m+1))</f>
        <v/>
      </c>
      <c r="J333" s="137" t="inlineStr">
        <is>
          <t>NetSuite</t>
        </is>
      </c>
    </row>
    <row r="334">
      <c r="A334" s="5" t="inlineStr">
        <is>
          <t>B25 STETSON.MX</t>
        </is>
      </c>
      <c r="B334" s="5">
        <f>IF($I2="","",INDEX(Productos!$A:$A,$I2))</f>
        <v/>
      </c>
      <c r="C334" s="134" t="inlineStr">
        <is>
          <t>SFGUDL-48400771</t>
        </is>
      </c>
      <c r="D334" s="5">
        <f>IF($I2="","",INDEX(Productos!$B:$B,$I2))</f>
        <v/>
      </c>
      <c r="E334" s="5">
        <f>IF($I2="","",INDEX(Productos!$H:$H,$I2))</f>
        <v/>
      </c>
      <c r="F334" s="5">
        <f>IF($I2="","",INDEX(Productos!$I:$I,$I2))</f>
        <v/>
      </c>
      <c r="G334" s="135" t="n">
        <v>1</v>
      </c>
      <c r="H334" s="5">
        <f>IF($I2="","",INDEX(Productos!$AG:$AG,$I2))</f>
        <v/>
      </c>
      <c r="I334" s="136">
        <f>LET(_xlpm.r,Productos!$E$2:$E$2509,_xlpm.m,IFERROR(_xlfn.XMATCH(C334,_xlpm.r),IFERROR(_xlfn.XMATCH(VALUE(C334),_xlpm.r),0)),IF(_xlpm.m=0,"",_xlpm.m+1))</f>
        <v/>
      </c>
      <c r="J334" s="137" t="inlineStr">
        <is>
          <t>NetSuite</t>
        </is>
      </c>
    </row>
    <row r="335">
      <c r="A335" s="5" t="inlineStr">
        <is>
          <t>B25 STETSON.MX</t>
        </is>
      </c>
      <c r="B335" s="5">
        <f>IF($I2="","",INDEX(Productos!$A:$A,$I2))</f>
        <v/>
      </c>
      <c r="C335" s="134" t="inlineStr">
        <is>
          <t>SFGUDL-48400772</t>
        </is>
      </c>
      <c r="D335" s="5">
        <f>IF($I2="","",INDEX(Productos!$B:$B,$I2))</f>
        <v/>
      </c>
      <c r="E335" s="5">
        <f>IF($I2="","",INDEX(Productos!$H:$H,$I2))</f>
        <v/>
      </c>
      <c r="F335" s="5">
        <f>IF($I2="","",INDEX(Productos!$I:$I,$I2))</f>
        <v/>
      </c>
      <c r="G335" s="135" t="n">
        <v>2</v>
      </c>
      <c r="H335" s="5">
        <f>IF($I2="","",INDEX(Productos!$AG:$AG,$I2))</f>
        <v/>
      </c>
      <c r="I335" s="136">
        <f>LET(_xlpm.r,Productos!$E$2:$E$2509,_xlpm.m,IFERROR(_xlfn.XMATCH(C335,_xlpm.r),IFERROR(_xlfn.XMATCH(VALUE(C335),_xlpm.r),0)),IF(_xlpm.m=0,"",_xlpm.m+1))</f>
        <v/>
      </c>
      <c r="J335" s="137" t="inlineStr">
        <is>
          <t>NetSuite</t>
        </is>
      </c>
    </row>
    <row r="336">
      <c r="A336" s="5" t="inlineStr">
        <is>
          <t>B25 STETSON.MX</t>
        </is>
      </c>
      <c r="B336" s="5">
        <f>IF($I2="","",INDEX(Productos!$A:$A,$I2))</f>
        <v/>
      </c>
      <c r="C336" s="134" t="inlineStr">
        <is>
          <t>SFGUDL-48400774</t>
        </is>
      </c>
      <c r="D336" s="5">
        <f>IF($I2="","",INDEX(Productos!$B:$B,$I2))</f>
        <v/>
      </c>
      <c r="E336" s="5">
        <f>IF($I2="","",INDEX(Productos!$H:$H,$I2))</f>
        <v/>
      </c>
      <c r="F336" s="5">
        <f>IF($I2="","",INDEX(Productos!$I:$I,$I2))</f>
        <v/>
      </c>
      <c r="G336" s="135" t="n">
        <v>1</v>
      </c>
      <c r="H336" s="5">
        <f>IF($I2="","",INDEX(Productos!$AG:$AG,$I2))</f>
        <v/>
      </c>
      <c r="I336" s="136">
        <f>LET(_xlpm.r,Productos!$E$2:$E$2509,_xlpm.m,IFERROR(_xlfn.XMATCH(C336,_xlpm.r),IFERROR(_xlfn.XMATCH(VALUE(C336),_xlpm.r),0)),IF(_xlpm.m=0,"",_xlpm.m+1))</f>
        <v/>
      </c>
      <c r="J336" s="137" t="inlineStr">
        <is>
          <t>NetSuite</t>
        </is>
      </c>
    </row>
    <row r="337">
      <c r="A337" s="5" t="inlineStr">
        <is>
          <t>B25 STETSON.MX</t>
        </is>
      </c>
      <c r="B337" s="5">
        <f>IF($I2="","",INDEX(Productos!$A:$A,$I2))</f>
        <v/>
      </c>
      <c r="C337" s="134" t="inlineStr">
        <is>
          <t>SFGUDL-48406170</t>
        </is>
      </c>
      <c r="D337" s="5">
        <f>IF($I2="","",INDEX(Productos!$B:$B,$I2))</f>
        <v/>
      </c>
      <c r="E337" s="5">
        <f>IF($I2="","",INDEX(Productos!$H:$H,$I2))</f>
        <v/>
      </c>
      <c r="F337" s="5">
        <f>IF($I2="","",INDEX(Productos!$I:$I,$I2))</f>
        <v/>
      </c>
      <c r="G337" s="135" t="n">
        <v>1</v>
      </c>
      <c r="H337" s="5">
        <f>IF($I2="","",INDEX(Productos!$AG:$AG,$I2))</f>
        <v/>
      </c>
      <c r="I337" s="136">
        <f>LET(_xlpm.r,Productos!$E$2:$E$2509,_xlpm.m,IFERROR(_xlfn.XMATCH(C337,_xlpm.r),IFERROR(_xlfn.XMATCH(VALUE(C337),_xlpm.r),0)),IF(_xlpm.m=0,"",_xlpm.m+1))</f>
        <v/>
      </c>
      <c r="J337" s="137" t="inlineStr">
        <is>
          <t>NetSuite</t>
        </is>
      </c>
    </row>
    <row r="338">
      <c r="A338" s="5" t="inlineStr">
        <is>
          <t>B25 STETSON.MX</t>
        </is>
      </c>
      <c r="B338" s="5">
        <f>IF($I2="","",INDEX(Productos!$A:$A,$I2))</f>
        <v/>
      </c>
      <c r="C338" s="134" t="inlineStr">
        <is>
          <t>SFMZCL-01404867</t>
        </is>
      </c>
      <c r="D338" s="5">
        <f>IF($I2="","",INDEX(Productos!$B:$B,$I2))</f>
        <v/>
      </c>
      <c r="E338" s="5">
        <f>IF($I2="","",INDEX(Productos!$H:$H,$I2))</f>
        <v/>
      </c>
      <c r="F338" s="5">
        <f>IF($I2="","",INDEX(Productos!$I:$I,$I2))</f>
        <v/>
      </c>
      <c r="G338" s="135" t="n">
        <v>2</v>
      </c>
      <c r="H338" s="5">
        <f>IF($I2="","",INDEX(Productos!$AG:$AG,$I2))</f>
        <v/>
      </c>
      <c r="I338" s="136">
        <f>LET(_xlpm.r,Productos!$E$2:$E$2509,_xlpm.m,IFERROR(_xlfn.XMATCH(C338,_xlpm.r),IFERROR(_xlfn.XMATCH(VALUE(C338),_xlpm.r),0)),IF(_xlpm.m=0,"",_xlpm.m+1))</f>
        <v/>
      </c>
      <c r="J338" s="137" t="inlineStr">
        <is>
          <t>NetSuite</t>
        </is>
      </c>
    </row>
    <row r="339">
      <c r="A339" s="5" t="inlineStr">
        <is>
          <t>B25 STETSON.MX</t>
        </is>
      </c>
      <c r="B339" s="5">
        <f>IF($I2="","",INDEX(Productos!$A:$A,$I2))</f>
        <v/>
      </c>
      <c r="C339" s="134" t="inlineStr">
        <is>
          <t>SFMZCL-01404870</t>
        </is>
      </c>
      <c r="D339" s="5">
        <f>IF($I2="","",INDEX(Productos!$B:$B,$I2))</f>
        <v/>
      </c>
      <c r="E339" s="5">
        <f>IF($I2="","",INDEX(Productos!$H:$H,$I2))</f>
        <v/>
      </c>
      <c r="F339" s="5">
        <f>IF($I2="","",INDEX(Productos!$I:$I,$I2))</f>
        <v/>
      </c>
      <c r="G339" s="135" t="n">
        <v>3</v>
      </c>
      <c r="H339" s="5">
        <f>IF($I2="","",INDEX(Productos!$AG:$AG,$I2))</f>
        <v/>
      </c>
      <c r="I339" s="136">
        <f>LET(_xlpm.r,Productos!$E$2:$E$2509,_xlpm.m,IFERROR(_xlfn.XMATCH(C339,_xlpm.r),IFERROR(_xlfn.XMATCH(VALUE(C339),_xlpm.r),0)),IF(_xlpm.m=0,"",_xlpm.m+1))</f>
        <v/>
      </c>
      <c r="J339" s="137" t="inlineStr">
        <is>
          <t>NetSuite</t>
        </is>
      </c>
    </row>
    <row r="340">
      <c r="A340" s="5" t="inlineStr">
        <is>
          <t>B25 STETSON.MX</t>
        </is>
      </c>
      <c r="B340" s="5">
        <f>IF($I2="","",INDEX(Productos!$A:$A,$I2))</f>
        <v/>
      </c>
      <c r="C340" s="134" t="inlineStr">
        <is>
          <t>SFMZCL-01404871</t>
        </is>
      </c>
      <c r="D340" s="5">
        <f>IF($I2="","",INDEX(Productos!$B:$B,$I2))</f>
        <v/>
      </c>
      <c r="E340" s="5">
        <f>IF($I2="","",INDEX(Productos!$H:$H,$I2))</f>
        <v/>
      </c>
      <c r="F340" s="5">
        <f>IF($I2="","",INDEX(Productos!$I:$I,$I2))</f>
        <v/>
      </c>
      <c r="G340" s="135" t="n">
        <v>3</v>
      </c>
      <c r="H340" s="5">
        <f>IF($I2="","",INDEX(Productos!$AG:$AG,$I2))</f>
        <v/>
      </c>
      <c r="I340" s="136">
        <f>LET(_xlpm.r,Productos!$E$2:$E$2509,_xlpm.m,IFERROR(_xlfn.XMATCH(C340,_xlpm.r),IFERROR(_xlfn.XMATCH(VALUE(C340),_xlpm.r),0)),IF(_xlpm.m=0,"",_xlpm.m+1))</f>
        <v/>
      </c>
      <c r="J340" s="137" t="inlineStr">
        <is>
          <t>NetSuite</t>
        </is>
      </c>
    </row>
    <row r="341">
      <c r="A341" s="5" t="inlineStr">
        <is>
          <t>B25 STETSON.MX</t>
        </is>
      </c>
      <c r="B341" s="5">
        <f>IF($I2="","",INDEX(Productos!$A:$A,$I2))</f>
        <v/>
      </c>
      <c r="C341" s="134" t="inlineStr">
        <is>
          <t>SFPALC-01400767</t>
        </is>
      </c>
      <c r="D341" s="5">
        <f>IF($I2="","",INDEX(Productos!$B:$B,$I2))</f>
        <v/>
      </c>
      <c r="E341" s="5">
        <f>IF($I2="","",INDEX(Productos!$H:$H,$I2))</f>
        <v/>
      </c>
      <c r="F341" s="5">
        <f>IF($I2="","",INDEX(Productos!$I:$I,$I2))</f>
        <v/>
      </c>
      <c r="G341" s="135" t="n">
        <v>2</v>
      </c>
      <c r="H341" s="5">
        <f>IF($I2="","",INDEX(Productos!$AG:$AG,$I2))</f>
        <v/>
      </c>
      <c r="I341" s="136">
        <f>LET(_xlpm.r,Productos!$E$2:$E$2509,_xlpm.m,IFERROR(_xlfn.XMATCH(C341,_xlpm.r),IFERROR(_xlfn.XMATCH(VALUE(C341),_xlpm.r),0)),IF(_xlpm.m=0,"",_xlpm.m+1))</f>
        <v/>
      </c>
      <c r="J341" s="137" t="inlineStr">
        <is>
          <t>NetSuite</t>
        </is>
      </c>
    </row>
    <row r="342">
      <c r="A342" s="5" t="inlineStr">
        <is>
          <t>B25 STETSON.MX</t>
        </is>
      </c>
      <c r="B342" s="5">
        <f>IF($I2="","",INDEX(Productos!$A:$A,$I2))</f>
        <v/>
      </c>
      <c r="C342" s="134" t="inlineStr">
        <is>
          <t>SFPALC-01406170</t>
        </is>
      </c>
      <c r="D342" s="5">
        <f>IF($I2="","",INDEX(Productos!$B:$B,$I2))</f>
        <v/>
      </c>
      <c r="E342" s="5">
        <f>IF($I2="","",INDEX(Productos!$H:$H,$I2))</f>
        <v/>
      </c>
      <c r="F342" s="5">
        <f>IF($I2="","",INDEX(Productos!$I:$I,$I2))</f>
        <v/>
      </c>
      <c r="G342" s="135" t="n">
        <v>2</v>
      </c>
      <c r="H342" s="5">
        <f>IF($I2="","",INDEX(Productos!$AG:$AG,$I2))</f>
        <v/>
      </c>
      <c r="I342" s="136">
        <f>LET(_xlpm.r,Productos!$E$2:$E$2509,_xlpm.m,IFERROR(_xlfn.XMATCH(C342,_xlpm.r),IFERROR(_xlfn.XMATCH(VALUE(C342),_xlpm.r),0)),IF(_xlpm.m=0,"",_xlpm.m+1))</f>
        <v/>
      </c>
      <c r="J342" s="137" t="inlineStr">
        <is>
          <t>NetSuite</t>
        </is>
      </c>
    </row>
    <row r="343">
      <c r="A343" s="5" t="inlineStr">
        <is>
          <t>B25 STETSON.MX</t>
        </is>
      </c>
      <c r="B343" s="5">
        <f>IF($I2="","",INDEX(Productos!$A:$A,$I2))</f>
        <v/>
      </c>
      <c r="C343" s="134" t="inlineStr">
        <is>
          <t>SFPALC-01406171</t>
        </is>
      </c>
      <c r="D343" s="5">
        <f>IF($I2="","",INDEX(Productos!$B:$B,$I2))</f>
        <v/>
      </c>
      <c r="E343" s="5">
        <f>IF($I2="","",INDEX(Productos!$H:$H,$I2))</f>
        <v/>
      </c>
      <c r="F343" s="5">
        <f>IF($I2="","",INDEX(Productos!$I:$I,$I2))</f>
        <v/>
      </c>
      <c r="G343" s="135" t="n">
        <v>3</v>
      </c>
      <c r="H343" s="5">
        <f>IF($I2="","",INDEX(Productos!$AG:$AG,$I2))</f>
        <v/>
      </c>
      <c r="I343" s="136">
        <f>LET(_xlpm.r,Productos!$E$2:$E$2509,_xlpm.m,IFERROR(_xlfn.XMATCH(C343,_xlpm.r),IFERROR(_xlfn.XMATCH(VALUE(C343),_xlpm.r),0)),IF(_xlpm.m=0,"",_xlpm.m+1))</f>
        <v/>
      </c>
      <c r="J343" s="137" t="inlineStr">
        <is>
          <t>NetSuite</t>
        </is>
      </c>
    </row>
    <row r="344">
      <c r="A344" s="5" t="inlineStr">
        <is>
          <t>B25 STETSON.MX</t>
        </is>
      </c>
      <c r="B344" s="5">
        <f>IF($I2="","",INDEX(Productos!$A:$A,$I2))</f>
        <v/>
      </c>
      <c r="C344" s="134" t="inlineStr">
        <is>
          <t>SFPALC-01406172</t>
        </is>
      </c>
      <c r="D344" s="5">
        <f>IF($I2="","",INDEX(Productos!$B:$B,$I2))</f>
        <v/>
      </c>
      <c r="E344" s="5">
        <f>IF($I2="","",INDEX(Productos!$H:$H,$I2))</f>
        <v/>
      </c>
      <c r="F344" s="5">
        <f>IF($I2="","",INDEX(Productos!$I:$I,$I2))</f>
        <v/>
      </c>
      <c r="G344" s="135" t="n">
        <v>3</v>
      </c>
      <c r="H344" s="5">
        <f>IF($I2="","",INDEX(Productos!$AG:$AG,$I2))</f>
        <v/>
      </c>
      <c r="I344" s="136">
        <f>LET(_xlpm.r,Productos!$E$2:$E$2509,_xlpm.m,IFERROR(_xlfn.XMATCH(C344,_xlpm.r),IFERROR(_xlfn.XMATCH(VALUE(C344),_xlpm.r),0)),IF(_xlpm.m=0,"",_xlpm.m+1))</f>
        <v/>
      </c>
      <c r="J344" s="137" t="inlineStr">
        <is>
          <t>NetSuite</t>
        </is>
      </c>
    </row>
    <row r="345">
      <c r="A345" s="5" t="inlineStr">
        <is>
          <t>B25 STETSON.MX</t>
        </is>
      </c>
      <c r="B345" s="5">
        <f>IF($I2="","",INDEX(Productos!$A:$A,$I2))</f>
        <v/>
      </c>
      <c r="C345" s="134" t="inlineStr">
        <is>
          <t>SFPALC-01406173</t>
        </is>
      </c>
      <c r="D345" s="5">
        <f>IF($I2="","",INDEX(Productos!$B:$B,$I2))</f>
        <v/>
      </c>
      <c r="E345" s="5">
        <f>IF($I2="","",INDEX(Productos!$H:$H,$I2))</f>
        <v/>
      </c>
      <c r="F345" s="5">
        <f>IF($I2="","",INDEX(Productos!$I:$I,$I2))</f>
        <v/>
      </c>
      <c r="G345" s="135" t="n">
        <v>4</v>
      </c>
      <c r="H345" s="5">
        <f>IF($I2="","",INDEX(Productos!$AG:$AG,$I2))</f>
        <v/>
      </c>
      <c r="I345" s="136">
        <f>LET(_xlpm.r,Productos!$E$2:$E$2509,_xlpm.m,IFERROR(_xlfn.XMATCH(C345,_xlpm.r),IFERROR(_xlfn.XMATCH(VALUE(C345),_xlpm.r),0)),IF(_xlpm.m=0,"",_xlpm.m+1))</f>
        <v/>
      </c>
      <c r="J345" s="137" t="inlineStr">
        <is>
          <t>NetSuite</t>
        </is>
      </c>
    </row>
    <row r="346">
      <c r="A346" s="5" t="inlineStr">
        <is>
          <t>B25 STETSON.MX</t>
        </is>
      </c>
      <c r="B346" s="5">
        <f>IF($I2="","",INDEX(Productos!$A:$A,$I2))</f>
        <v/>
      </c>
      <c r="C346" s="134" t="inlineStr">
        <is>
          <t>SFPRES-48406172</t>
        </is>
      </c>
      <c r="D346" s="5">
        <f>IF($I2="","",INDEX(Productos!$B:$B,$I2))</f>
        <v/>
      </c>
      <c r="E346" s="5">
        <f>IF($I2="","",INDEX(Productos!$H:$H,$I2))</f>
        <v/>
      </c>
      <c r="F346" s="5">
        <f>IF($I2="","",INDEX(Productos!$I:$I,$I2))</f>
        <v/>
      </c>
      <c r="G346" s="135" t="n">
        <v>1</v>
      </c>
      <c r="H346" s="5">
        <f>IF($I2="","",INDEX(Productos!$AG:$AG,$I2))</f>
        <v/>
      </c>
      <c r="I346" s="136">
        <f>LET(_xlpm.r,Productos!$E$2:$E$2509,_xlpm.m,IFERROR(_xlfn.XMATCH(C346,_xlpm.r),IFERROR(_xlfn.XMATCH(VALUE(C346),_xlpm.r),0)),IF(_xlpm.m=0,"",_xlpm.m+1))</f>
        <v/>
      </c>
      <c r="J346" s="137" t="inlineStr">
        <is>
          <t>NetSuite</t>
        </is>
      </c>
    </row>
    <row r="347">
      <c r="A347" s="5" t="inlineStr">
        <is>
          <t>B25 STETSON.MX</t>
        </is>
      </c>
      <c r="B347" s="5">
        <f>IF($I2="","",INDEX(Productos!$A:$A,$I2))</f>
        <v/>
      </c>
      <c r="C347" s="134" t="inlineStr">
        <is>
          <t>SFR160-01400770</t>
        </is>
      </c>
      <c r="D347" s="5">
        <f>IF($I2="","",INDEX(Productos!$B:$B,$I2))</f>
        <v/>
      </c>
      <c r="E347" s="5">
        <f>IF($I2="","",INDEX(Productos!$H:$H,$I2))</f>
        <v/>
      </c>
      <c r="F347" s="5">
        <f>IF($I2="","",INDEX(Productos!$I:$I,$I2))</f>
        <v/>
      </c>
      <c r="G347" s="135" t="n">
        <v>1</v>
      </c>
      <c r="H347" s="5">
        <f>IF($I2="","",INDEX(Productos!$AG:$AG,$I2))</f>
        <v/>
      </c>
      <c r="I347" s="136">
        <f>LET(_xlpm.r,Productos!$E$2:$E$2509,_xlpm.m,IFERROR(_xlfn.XMATCH(C347,_xlpm.r),IFERROR(_xlfn.XMATCH(VALUE(C347),_xlpm.r),0)),IF(_xlpm.m=0,"",_xlpm.m+1))</f>
        <v/>
      </c>
      <c r="J347" s="137" t="inlineStr">
        <is>
          <t>NetSuite</t>
        </is>
      </c>
    </row>
    <row r="348">
      <c r="A348" s="5" t="inlineStr">
        <is>
          <t>B25 STETSON.MX</t>
        </is>
      </c>
      <c r="B348" s="5">
        <f>IF($I2="","",INDEX(Productos!$A:$A,$I2))</f>
        <v/>
      </c>
      <c r="C348" s="134" t="inlineStr">
        <is>
          <t>SFR160-01400771</t>
        </is>
      </c>
      <c r="D348" s="5">
        <f>IF($I2="","",INDEX(Productos!$B:$B,$I2))</f>
        <v/>
      </c>
      <c r="E348" s="5">
        <f>IF($I2="","",INDEX(Productos!$H:$H,$I2))</f>
        <v/>
      </c>
      <c r="F348" s="5">
        <f>IF($I2="","",INDEX(Productos!$I:$I,$I2))</f>
        <v/>
      </c>
      <c r="G348" s="135" t="n">
        <v>3</v>
      </c>
      <c r="H348" s="5">
        <f>IF($I2="","",INDEX(Productos!$AG:$AG,$I2))</f>
        <v/>
      </c>
      <c r="I348" s="136">
        <f>LET(_xlpm.r,Productos!$E$2:$E$2509,_xlpm.m,IFERROR(_xlfn.XMATCH(C348,_xlpm.r),IFERROR(_xlfn.XMATCH(VALUE(C348),_xlpm.r),0)),IF(_xlpm.m=0,"",_xlpm.m+1))</f>
        <v/>
      </c>
      <c r="J348" s="137" t="inlineStr">
        <is>
          <t>NetSuite</t>
        </is>
      </c>
    </row>
    <row r="349">
      <c r="A349" s="5" t="inlineStr">
        <is>
          <t>B25 STETSON.MX</t>
        </is>
      </c>
      <c r="B349" s="5">
        <f>IF($I2="","",INDEX(Productos!$A:$A,$I2))</f>
        <v/>
      </c>
      <c r="C349" s="134" t="inlineStr">
        <is>
          <t>SFR160-01400773</t>
        </is>
      </c>
      <c r="D349" s="5">
        <f>IF($I2="","",INDEX(Productos!$B:$B,$I2))</f>
        <v/>
      </c>
      <c r="E349" s="5">
        <f>IF($I2="","",INDEX(Productos!$H:$H,$I2))</f>
        <v/>
      </c>
      <c r="F349" s="5">
        <f>IF($I2="","",INDEX(Productos!$I:$I,$I2))</f>
        <v/>
      </c>
      <c r="G349" s="135" t="n">
        <v>3</v>
      </c>
      <c r="H349" s="5">
        <f>IF($I2="","",INDEX(Productos!$AG:$AG,$I2))</f>
        <v/>
      </c>
      <c r="I349" s="136">
        <f>LET(_xlpm.r,Productos!$E$2:$E$2509,_xlpm.m,IFERROR(_xlfn.XMATCH(C349,_xlpm.r),IFERROR(_xlfn.XMATCH(VALUE(C349),_xlpm.r),0)),IF(_xlpm.m=0,"",_xlpm.m+1))</f>
        <v/>
      </c>
      <c r="J349" s="137" t="inlineStr">
        <is>
          <t>NetSuite</t>
        </is>
      </c>
    </row>
    <row r="350">
      <c r="A350" s="5" t="inlineStr">
        <is>
          <t>B25 STETSON.MX</t>
        </is>
      </c>
      <c r="B350" s="5">
        <f>IF($I2="","",INDEX(Productos!$A:$A,$I2))</f>
        <v/>
      </c>
      <c r="C350" s="134" t="inlineStr">
        <is>
          <t>SFR160-01406172</t>
        </is>
      </c>
      <c r="D350" s="5">
        <f>IF($I2="","",INDEX(Productos!$B:$B,$I2))</f>
        <v/>
      </c>
      <c r="E350" s="5">
        <f>IF($I2="","",INDEX(Productos!$H:$H,$I2))</f>
        <v/>
      </c>
      <c r="F350" s="5">
        <f>IF($I2="","",INDEX(Productos!$I:$I,$I2))</f>
        <v/>
      </c>
      <c r="G350" s="135" t="n">
        <v>2</v>
      </c>
      <c r="H350" s="5">
        <f>IF($I2="","",INDEX(Productos!$AG:$AG,$I2))</f>
        <v/>
      </c>
      <c r="I350" s="136">
        <f>LET(_xlpm.r,Productos!$E$2:$E$2509,_xlpm.m,IFERROR(_xlfn.XMATCH(C350,_xlpm.r),IFERROR(_xlfn.XMATCH(VALUE(C350),_xlpm.r),0)),IF(_xlpm.m=0,"",_xlpm.m+1))</f>
        <v/>
      </c>
      <c r="J350" s="137" t="inlineStr">
        <is>
          <t>NetSuite</t>
        </is>
      </c>
    </row>
    <row r="351">
      <c r="A351" s="5" t="inlineStr">
        <is>
          <t>B25 STETSON.MX</t>
        </is>
      </c>
      <c r="B351" s="5">
        <f>IF($I2="","",INDEX(Productos!$A:$A,$I2))</f>
        <v/>
      </c>
      <c r="C351" s="134" t="inlineStr">
        <is>
          <t>SFR160-01406173</t>
        </is>
      </c>
      <c r="D351" s="5">
        <f>IF($I2="","",INDEX(Productos!$B:$B,$I2))</f>
        <v/>
      </c>
      <c r="E351" s="5">
        <f>IF($I2="","",INDEX(Productos!$H:$H,$I2))</f>
        <v/>
      </c>
      <c r="F351" s="5">
        <f>IF($I2="","",INDEX(Productos!$I:$I,$I2))</f>
        <v/>
      </c>
      <c r="G351" s="135" t="n">
        <v>1</v>
      </c>
      <c r="H351" s="5">
        <f>IF($I2="","",INDEX(Productos!$AG:$AG,$I2))</f>
        <v/>
      </c>
      <c r="I351" s="136">
        <f>LET(_xlpm.r,Productos!$E$2:$E$2509,_xlpm.m,IFERROR(_xlfn.XMATCH(C351,_xlpm.r),IFERROR(_xlfn.XMATCH(VALUE(C351),_xlpm.r),0)),IF(_xlpm.m=0,"",_xlpm.m+1))</f>
        <v/>
      </c>
      <c r="J351" s="137" t="inlineStr">
        <is>
          <t>NetSuite</t>
        </is>
      </c>
    </row>
    <row r="352">
      <c r="A352" s="5" t="inlineStr">
        <is>
          <t>B25 STETSON.MX</t>
        </is>
      </c>
      <c r="B352" s="5">
        <f>IF($I2="","",INDEX(Productos!$A:$A,$I2))</f>
        <v/>
      </c>
      <c r="C352" s="134" t="inlineStr">
        <is>
          <t>SFRNCH-01400770</t>
        </is>
      </c>
      <c r="D352" s="5">
        <f>IF($I2="","",INDEX(Productos!$B:$B,$I2))</f>
        <v/>
      </c>
      <c r="E352" s="5">
        <f>IF($I2="","",INDEX(Productos!$H:$H,$I2))</f>
        <v/>
      </c>
      <c r="F352" s="5">
        <f>IF($I2="","",INDEX(Productos!$I:$I,$I2))</f>
        <v/>
      </c>
      <c r="G352" s="135" t="n">
        <v>1</v>
      </c>
      <c r="H352" s="5">
        <f>IF($I2="","",INDEX(Productos!$AG:$AG,$I2))</f>
        <v/>
      </c>
      <c r="I352" s="136">
        <f>LET(_xlpm.r,Productos!$E$2:$E$2509,_xlpm.m,IFERROR(_xlfn.XMATCH(C352,_xlpm.r),IFERROR(_xlfn.XMATCH(VALUE(C352),_xlpm.r),0)),IF(_xlpm.m=0,"",_xlpm.m+1))</f>
        <v/>
      </c>
      <c r="J352" s="137" t="inlineStr">
        <is>
          <t>NetSuite</t>
        </is>
      </c>
    </row>
    <row r="353">
      <c r="A353" s="5" t="inlineStr">
        <is>
          <t>B25 STETSON.MX</t>
        </is>
      </c>
      <c r="B353" s="5">
        <f>IF($I2="","",INDEX(Productos!$A:$A,$I2))</f>
        <v/>
      </c>
      <c r="C353" s="134" t="inlineStr">
        <is>
          <t>SFRNCH-01400771</t>
        </is>
      </c>
      <c r="D353" s="5">
        <f>IF($I2="","",INDEX(Productos!$B:$B,$I2))</f>
        <v/>
      </c>
      <c r="E353" s="5">
        <f>IF($I2="","",INDEX(Productos!$H:$H,$I2))</f>
        <v/>
      </c>
      <c r="F353" s="5">
        <f>IF($I2="","",INDEX(Productos!$I:$I,$I2))</f>
        <v/>
      </c>
      <c r="G353" s="135" t="n">
        <v>2</v>
      </c>
      <c r="H353" s="5">
        <f>IF($I2="","",INDEX(Productos!$AG:$AG,$I2))</f>
        <v/>
      </c>
      <c r="I353" s="136">
        <f>LET(_xlpm.r,Productos!$E$2:$E$2509,_xlpm.m,IFERROR(_xlfn.XMATCH(C353,_xlpm.r),IFERROR(_xlfn.XMATCH(VALUE(C353),_xlpm.r),0)),IF(_xlpm.m=0,"",_xlpm.m+1))</f>
        <v/>
      </c>
      <c r="J353" s="137" t="inlineStr">
        <is>
          <t>NetSuite</t>
        </is>
      </c>
    </row>
    <row r="354">
      <c r="A354" s="5" t="inlineStr">
        <is>
          <t>B25 STETSON.MX</t>
        </is>
      </c>
      <c r="B354" s="5">
        <f>IF($I2="","",INDEX(Productos!$A:$A,$I2))</f>
        <v/>
      </c>
      <c r="C354" s="134" t="inlineStr">
        <is>
          <t>SFRNCH-01400772</t>
        </is>
      </c>
      <c r="D354" s="5">
        <f>IF($I2="","",INDEX(Productos!$B:$B,$I2))</f>
        <v/>
      </c>
      <c r="E354" s="5">
        <f>IF($I2="","",INDEX(Productos!$H:$H,$I2))</f>
        <v/>
      </c>
      <c r="F354" s="5">
        <f>IF($I2="","",INDEX(Productos!$I:$I,$I2))</f>
        <v/>
      </c>
      <c r="G354" s="135" t="n">
        <v>1</v>
      </c>
      <c r="H354" s="5">
        <f>IF($I2="","",INDEX(Productos!$AG:$AG,$I2))</f>
        <v/>
      </c>
      <c r="I354" s="136">
        <f>LET(_xlpm.r,Productos!$E$2:$E$2509,_xlpm.m,IFERROR(_xlfn.XMATCH(C354,_xlpm.r),IFERROR(_xlfn.XMATCH(VALUE(C354),_xlpm.r),0)),IF(_xlpm.m=0,"",_xlpm.m+1))</f>
        <v/>
      </c>
      <c r="J354" s="137" t="inlineStr">
        <is>
          <t>NetSuite</t>
        </is>
      </c>
    </row>
    <row r="355">
      <c r="A355" s="5" t="inlineStr">
        <is>
          <t>B25 STETSON.MX</t>
        </is>
      </c>
      <c r="B355" s="5">
        <f>IF($I2="","",INDEX(Productos!$A:$A,$I2))</f>
        <v/>
      </c>
      <c r="C355" s="134" t="inlineStr">
        <is>
          <t>SFRNCH-01400773</t>
        </is>
      </c>
      <c r="D355" s="5">
        <f>IF($I2="","",INDEX(Productos!$B:$B,$I2))</f>
        <v/>
      </c>
      <c r="E355" s="5">
        <f>IF($I2="","",INDEX(Productos!$H:$H,$I2))</f>
        <v/>
      </c>
      <c r="F355" s="5">
        <f>IF($I2="","",INDEX(Productos!$I:$I,$I2))</f>
        <v/>
      </c>
      <c r="G355" s="135" t="n">
        <v>3</v>
      </c>
      <c r="H355" s="5">
        <f>IF($I2="","",INDEX(Productos!$AG:$AG,$I2))</f>
        <v/>
      </c>
      <c r="I355" s="136">
        <f>LET(_xlpm.r,Productos!$E$2:$E$2509,_xlpm.m,IFERROR(_xlfn.XMATCH(C355,_xlpm.r),IFERROR(_xlfn.XMATCH(VALUE(C355),_xlpm.r),0)),IF(_xlpm.m=0,"",_xlpm.m+1))</f>
        <v/>
      </c>
      <c r="J355" s="137" t="inlineStr">
        <is>
          <t>NetSuite</t>
        </is>
      </c>
    </row>
    <row r="356">
      <c r="A356" s="5" t="inlineStr">
        <is>
          <t>B25 STETSON.MX</t>
        </is>
      </c>
      <c r="B356" s="5">
        <f>IF($I2="","",INDEX(Productos!$A:$A,$I2))</f>
        <v/>
      </c>
      <c r="C356" s="134" t="inlineStr">
        <is>
          <t>SFRNCH-01400774</t>
        </is>
      </c>
      <c r="D356" s="5">
        <f>IF($I2="","",INDEX(Productos!$B:$B,$I2))</f>
        <v/>
      </c>
      <c r="E356" s="5">
        <f>IF($I2="","",INDEX(Productos!$H:$H,$I2))</f>
        <v/>
      </c>
      <c r="F356" s="5">
        <f>IF($I2="","",INDEX(Productos!$I:$I,$I2))</f>
        <v/>
      </c>
      <c r="G356" s="135" t="n">
        <v>1</v>
      </c>
      <c r="H356" s="5">
        <f>IF($I2="","",INDEX(Productos!$AG:$AG,$I2))</f>
        <v/>
      </c>
      <c r="I356" s="136">
        <f>LET(_xlpm.r,Productos!$E$2:$E$2509,_xlpm.m,IFERROR(_xlfn.XMATCH(C356,_xlpm.r),IFERROR(_xlfn.XMATCH(VALUE(C356),_xlpm.r),0)),IF(_xlpm.m=0,"",_xlpm.m+1))</f>
        <v/>
      </c>
      <c r="J356" s="137" t="inlineStr">
        <is>
          <t>NetSuite</t>
        </is>
      </c>
    </row>
    <row r="357">
      <c r="A357" s="5" t="inlineStr">
        <is>
          <t>B25 STETSON.MX</t>
        </is>
      </c>
      <c r="B357" s="5">
        <f>IF($I2="","",INDEX(Productos!$A:$A,$I2))</f>
        <v/>
      </c>
      <c r="C357" s="134" t="inlineStr">
        <is>
          <t>SFRNCH-01402270</t>
        </is>
      </c>
      <c r="D357" s="5">
        <f>IF($I2="","",INDEX(Productos!$B:$B,$I2))</f>
        <v/>
      </c>
      <c r="E357" s="5">
        <f>IF($I2="","",INDEX(Productos!$H:$H,$I2))</f>
        <v/>
      </c>
      <c r="F357" s="5">
        <f>IF($I2="","",INDEX(Productos!$I:$I,$I2))</f>
        <v/>
      </c>
      <c r="G357" s="135" t="n">
        <v>1</v>
      </c>
      <c r="H357" s="5">
        <f>IF($I2="","",INDEX(Productos!$AG:$AG,$I2))</f>
        <v/>
      </c>
      <c r="I357" s="136">
        <f>LET(_xlpm.r,Productos!$E$2:$E$2509,_xlpm.m,IFERROR(_xlfn.XMATCH(C357,_xlpm.r),IFERROR(_xlfn.XMATCH(VALUE(C357),_xlpm.r),0)),IF(_xlpm.m=0,"",_xlpm.m+1))</f>
        <v/>
      </c>
      <c r="J357" s="137" t="inlineStr">
        <is>
          <t>NetSuite</t>
        </is>
      </c>
    </row>
    <row r="358">
      <c r="A358" s="5" t="inlineStr">
        <is>
          <t>B25 STETSON.MX</t>
        </is>
      </c>
      <c r="B358" s="5">
        <f>IF($I2="","",INDEX(Productos!$A:$A,$I2))</f>
        <v/>
      </c>
      <c r="C358" s="134" t="inlineStr">
        <is>
          <t>SFRNCH-01402271</t>
        </is>
      </c>
      <c r="D358" s="5">
        <f>IF($I2="","",INDEX(Productos!$B:$B,$I2))</f>
        <v/>
      </c>
      <c r="E358" s="5">
        <f>IF($I2="","",INDEX(Productos!$H:$H,$I2))</f>
        <v/>
      </c>
      <c r="F358" s="5">
        <f>IF($I2="","",INDEX(Productos!$I:$I,$I2))</f>
        <v/>
      </c>
      <c r="G358" s="135" t="n">
        <v>2</v>
      </c>
      <c r="H358" s="5">
        <f>IF($I2="","",INDEX(Productos!$AG:$AG,$I2))</f>
        <v/>
      </c>
      <c r="I358" s="136">
        <f>LET(_xlpm.r,Productos!$E$2:$E$2509,_xlpm.m,IFERROR(_xlfn.XMATCH(C358,_xlpm.r),IFERROR(_xlfn.XMATCH(VALUE(C358),_xlpm.r),0)),IF(_xlpm.m=0,"",_xlpm.m+1))</f>
        <v/>
      </c>
      <c r="J358" s="137" t="inlineStr">
        <is>
          <t>NetSuite</t>
        </is>
      </c>
    </row>
    <row r="359">
      <c r="A359" s="5" t="inlineStr">
        <is>
          <t>B25 STETSON.MX</t>
        </is>
      </c>
      <c r="B359" s="5">
        <f>IF($I2="","",INDEX(Productos!$A:$A,$I2))</f>
        <v/>
      </c>
      <c r="C359" s="134" t="inlineStr">
        <is>
          <t>SFRNCH-01402272</t>
        </is>
      </c>
      <c r="D359" s="5">
        <f>IF($I2="","",INDEX(Productos!$B:$B,$I2))</f>
        <v/>
      </c>
      <c r="E359" s="5">
        <f>IF($I2="","",INDEX(Productos!$H:$H,$I2))</f>
        <v/>
      </c>
      <c r="F359" s="5">
        <f>IF($I2="","",INDEX(Productos!$I:$I,$I2))</f>
        <v/>
      </c>
      <c r="G359" s="135" t="n">
        <v>2</v>
      </c>
      <c r="H359" s="5">
        <f>IF($I2="","",INDEX(Productos!$AG:$AG,$I2))</f>
        <v/>
      </c>
      <c r="I359" s="136">
        <f>LET(_xlpm.r,Productos!$E$2:$E$2509,_xlpm.m,IFERROR(_xlfn.XMATCH(C359,_xlpm.r),IFERROR(_xlfn.XMATCH(VALUE(C359),_xlpm.r),0)),IF(_xlpm.m=0,"",_xlpm.m+1))</f>
        <v/>
      </c>
      <c r="J359" s="137" t="inlineStr">
        <is>
          <t>NetSuite</t>
        </is>
      </c>
    </row>
    <row r="360">
      <c r="A360" s="5" t="inlineStr">
        <is>
          <t>B25 STETSON.MX</t>
        </is>
      </c>
      <c r="B360" s="5">
        <f>IF($I2="","",INDEX(Productos!$A:$A,$I2))</f>
        <v/>
      </c>
      <c r="C360" s="134" t="inlineStr">
        <is>
          <t>SFRNCH-01402273</t>
        </is>
      </c>
      <c r="D360" s="5">
        <f>IF($I2="","",INDEX(Productos!$B:$B,$I2))</f>
        <v/>
      </c>
      <c r="E360" s="5">
        <f>IF($I2="","",INDEX(Productos!$H:$H,$I2))</f>
        <v/>
      </c>
      <c r="F360" s="5">
        <f>IF($I2="","",INDEX(Productos!$I:$I,$I2))</f>
        <v/>
      </c>
      <c r="G360" s="135" t="n">
        <v>2</v>
      </c>
      <c r="H360" s="5">
        <f>IF($I2="","",INDEX(Productos!$AG:$AG,$I2))</f>
        <v/>
      </c>
      <c r="I360" s="136">
        <f>LET(_xlpm.r,Productos!$E$2:$E$2509,_xlpm.m,IFERROR(_xlfn.XMATCH(C360,_xlpm.r),IFERROR(_xlfn.XMATCH(VALUE(C360),_xlpm.r),0)),IF(_xlpm.m=0,"",_xlpm.m+1))</f>
        <v/>
      </c>
      <c r="J360" s="137" t="inlineStr">
        <is>
          <t>NetSuite</t>
        </is>
      </c>
    </row>
    <row r="361">
      <c r="A361" s="5" t="inlineStr">
        <is>
          <t>B25 STETSON.MX</t>
        </is>
      </c>
      <c r="B361" s="5">
        <f>IF($I2="","",INDEX(Productos!$A:$A,$I2))</f>
        <v/>
      </c>
      <c r="C361" s="134" t="inlineStr">
        <is>
          <t>SFRNCH-01402274</t>
        </is>
      </c>
      <c r="D361" s="5">
        <f>IF($I2="","",INDEX(Productos!$B:$B,$I2))</f>
        <v/>
      </c>
      <c r="E361" s="5">
        <f>IF($I2="","",INDEX(Productos!$H:$H,$I2))</f>
        <v/>
      </c>
      <c r="F361" s="5">
        <f>IF($I2="","",INDEX(Productos!$I:$I,$I2))</f>
        <v/>
      </c>
      <c r="G361" s="135" t="n">
        <v>1</v>
      </c>
      <c r="H361" s="5">
        <f>IF($I2="","",INDEX(Productos!$AG:$AG,$I2))</f>
        <v/>
      </c>
      <c r="I361" s="136">
        <f>LET(_xlpm.r,Productos!$E$2:$E$2509,_xlpm.m,IFERROR(_xlfn.XMATCH(C361,_xlpm.r),IFERROR(_xlfn.XMATCH(VALUE(C361),_xlpm.r),0)),IF(_xlpm.m=0,"",_xlpm.m+1))</f>
        <v/>
      </c>
      <c r="J361" s="137" t="inlineStr">
        <is>
          <t>NetSuite</t>
        </is>
      </c>
    </row>
    <row r="362">
      <c r="A362" s="5" t="inlineStr">
        <is>
          <t>B25 STETSON.MX</t>
        </is>
      </c>
      <c r="B362" s="5">
        <f>IF($I2="","",INDEX(Productos!$A:$A,$I2))</f>
        <v/>
      </c>
      <c r="C362" s="134" t="inlineStr">
        <is>
          <t>SFRNCH-01403572</t>
        </is>
      </c>
      <c r="D362" s="5">
        <f>IF($I2="","",INDEX(Productos!$B:$B,$I2))</f>
        <v/>
      </c>
      <c r="E362" s="5">
        <f>IF($I2="","",INDEX(Productos!$H:$H,$I2))</f>
        <v/>
      </c>
      <c r="F362" s="5">
        <f>IF($I2="","",INDEX(Productos!$I:$I,$I2))</f>
        <v/>
      </c>
      <c r="G362" s="135" t="n">
        <v>1</v>
      </c>
      <c r="H362" s="5">
        <f>IF($I2="","",INDEX(Productos!$AG:$AG,$I2))</f>
        <v/>
      </c>
      <c r="I362" s="136">
        <f>LET(_xlpm.r,Productos!$E$2:$E$2509,_xlpm.m,IFERROR(_xlfn.XMATCH(C362,_xlpm.r),IFERROR(_xlfn.XMATCH(VALUE(C362),_xlpm.r),0)),IF(_xlpm.m=0,"",_xlpm.m+1))</f>
        <v/>
      </c>
      <c r="J362" s="137" t="inlineStr">
        <is>
          <t>NetSuite</t>
        </is>
      </c>
    </row>
    <row r="363">
      <c r="A363" s="5" t="inlineStr">
        <is>
          <t>B25 STETSON.MX</t>
        </is>
      </c>
      <c r="B363" s="5">
        <f>IF($I2="","",INDEX(Productos!$A:$A,$I2))</f>
        <v/>
      </c>
      <c r="C363" s="134" t="inlineStr">
        <is>
          <t>SFRNCH-01406170</t>
        </is>
      </c>
      <c r="D363" s="5">
        <f>IF($I2="","",INDEX(Productos!$B:$B,$I2))</f>
        <v/>
      </c>
      <c r="E363" s="5">
        <f>IF($I2="","",INDEX(Productos!$H:$H,$I2))</f>
        <v/>
      </c>
      <c r="F363" s="5">
        <f>IF($I2="","",INDEX(Productos!$I:$I,$I2))</f>
        <v/>
      </c>
      <c r="G363" s="135" t="n">
        <v>1</v>
      </c>
      <c r="H363" s="5">
        <f>IF($I2="","",INDEX(Productos!$AG:$AG,$I2))</f>
        <v/>
      </c>
      <c r="I363" s="136">
        <f>LET(_xlpm.r,Productos!$E$2:$E$2509,_xlpm.m,IFERROR(_xlfn.XMATCH(C363,_xlpm.r),IFERROR(_xlfn.XMATCH(VALUE(C363),_xlpm.r),0)),IF(_xlpm.m=0,"",_xlpm.m+1))</f>
        <v/>
      </c>
      <c r="J363" s="137" t="inlineStr">
        <is>
          <t>NetSuite</t>
        </is>
      </c>
    </row>
    <row r="364">
      <c r="A364" s="5" t="inlineStr">
        <is>
          <t>B25 STETSON.MX</t>
        </is>
      </c>
      <c r="B364" s="5">
        <f>IF($I2="","",INDEX(Productos!$A:$A,$I2))</f>
        <v/>
      </c>
      <c r="C364" s="134" t="inlineStr">
        <is>
          <t>SFRNCH-01408873</t>
        </is>
      </c>
      <c r="D364" s="5">
        <f>IF($I2="","",INDEX(Productos!$B:$B,$I2))</f>
        <v/>
      </c>
      <c r="E364" s="5">
        <f>IF($I2="","",INDEX(Productos!$H:$H,$I2))</f>
        <v/>
      </c>
      <c r="F364" s="5">
        <f>IF($I2="","",INDEX(Productos!$I:$I,$I2))</f>
        <v/>
      </c>
      <c r="G364" s="135" t="n">
        <v>2</v>
      </c>
      <c r="H364" s="5">
        <f>IF($I2="","",INDEX(Productos!$AG:$AG,$I2))</f>
        <v/>
      </c>
      <c r="I364" s="136">
        <f>LET(_xlpm.r,Productos!$E$2:$E$2509,_xlpm.m,IFERROR(_xlfn.XMATCH(C364,_xlpm.r),IFERROR(_xlfn.XMATCH(VALUE(C364),_xlpm.r),0)),IF(_xlpm.m=0,"",_xlpm.m+1))</f>
        <v/>
      </c>
      <c r="J364" s="137" t="inlineStr">
        <is>
          <t>NetSuite</t>
        </is>
      </c>
    </row>
    <row r="365">
      <c r="A365" s="5" t="inlineStr">
        <is>
          <t>B25 STETSON.MX</t>
        </is>
      </c>
      <c r="B365" s="5">
        <f>IF($I2="","",INDEX(Productos!$A:$A,$I2))</f>
        <v/>
      </c>
      <c r="C365" s="134" t="inlineStr">
        <is>
          <t>SFROPR-75400767</t>
        </is>
      </c>
      <c r="D365" s="5">
        <f>IF($I2="","",INDEX(Productos!$B:$B,$I2))</f>
        <v/>
      </c>
      <c r="E365" s="5">
        <f>IF($I2="","",INDEX(Productos!$H:$H,$I2))</f>
        <v/>
      </c>
      <c r="F365" s="5">
        <f>IF($I2="","",INDEX(Productos!$I:$I,$I2))</f>
        <v/>
      </c>
      <c r="G365" s="135" t="n">
        <v>2</v>
      </c>
      <c r="H365" s="5">
        <f>IF($I2="","",INDEX(Productos!$AG:$AG,$I2))</f>
        <v/>
      </c>
      <c r="I365" s="136">
        <f>LET(_xlpm.r,Productos!$E$2:$E$2509,_xlpm.m,IFERROR(_xlfn.XMATCH(C365,_xlpm.r),IFERROR(_xlfn.XMATCH(VALUE(C365),_xlpm.r),0)),IF(_xlpm.m=0,"",_xlpm.m+1))</f>
        <v/>
      </c>
      <c r="J365" s="137" t="inlineStr">
        <is>
          <t>NetSuite</t>
        </is>
      </c>
    </row>
    <row r="366">
      <c r="A366" s="5" t="inlineStr">
        <is>
          <t>B25 STETSON.MX</t>
        </is>
      </c>
      <c r="B366" s="5">
        <f>IF($I2="","",INDEX(Productos!$A:$A,$I2))</f>
        <v/>
      </c>
      <c r="C366" s="134" t="inlineStr">
        <is>
          <t>SFROPR-75400770</t>
        </is>
      </c>
      <c r="D366" s="5">
        <f>IF($I2="","",INDEX(Productos!$B:$B,$I2))</f>
        <v/>
      </c>
      <c r="E366" s="5">
        <f>IF($I2="","",INDEX(Productos!$H:$H,$I2))</f>
        <v/>
      </c>
      <c r="F366" s="5">
        <f>IF($I2="","",INDEX(Productos!$I:$I,$I2))</f>
        <v/>
      </c>
      <c r="G366" s="135" t="n">
        <v>2</v>
      </c>
      <c r="H366" s="5">
        <f>IF($I2="","",INDEX(Productos!$AG:$AG,$I2))</f>
        <v/>
      </c>
      <c r="I366" s="136">
        <f>LET(_xlpm.r,Productos!$E$2:$E$2509,_xlpm.m,IFERROR(_xlfn.XMATCH(C366,_xlpm.r),IFERROR(_xlfn.XMATCH(VALUE(C366),_xlpm.r),0)),IF(_xlpm.m=0,"",_xlpm.m+1))</f>
        <v/>
      </c>
      <c r="J366" s="137" t="inlineStr">
        <is>
          <t>NetSuite</t>
        </is>
      </c>
    </row>
    <row r="367">
      <c r="A367" s="5" t="inlineStr">
        <is>
          <t>B25 STETSON.MX</t>
        </is>
      </c>
      <c r="B367" s="5">
        <f>IF($I2="","",INDEX(Productos!$A:$A,$I2))</f>
        <v/>
      </c>
      <c r="C367" s="134" t="inlineStr">
        <is>
          <t>SFROPR-75400771</t>
        </is>
      </c>
      <c r="D367" s="5">
        <f>IF($I2="","",INDEX(Productos!$B:$B,$I2))</f>
        <v/>
      </c>
      <c r="E367" s="5">
        <f>IF($I2="","",INDEX(Productos!$H:$H,$I2))</f>
        <v/>
      </c>
      <c r="F367" s="5">
        <f>IF($I2="","",INDEX(Productos!$I:$I,$I2))</f>
        <v/>
      </c>
      <c r="G367" s="135" t="n">
        <v>2</v>
      </c>
      <c r="H367" s="5">
        <f>IF($I2="","",INDEX(Productos!$AG:$AG,$I2))</f>
        <v/>
      </c>
      <c r="I367" s="136">
        <f>LET(_xlpm.r,Productos!$E$2:$E$2509,_xlpm.m,IFERROR(_xlfn.XMATCH(C367,_xlpm.r),IFERROR(_xlfn.XMATCH(VALUE(C367),_xlpm.r),0)),IF(_xlpm.m=0,"",_xlpm.m+1))</f>
        <v/>
      </c>
      <c r="J367" s="137" t="inlineStr">
        <is>
          <t>NetSuite</t>
        </is>
      </c>
    </row>
    <row r="368">
      <c r="A368" s="5" t="inlineStr">
        <is>
          <t>B25 STETSON.MX</t>
        </is>
      </c>
      <c r="B368" s="5">
        <f>IF($I2="","",INDEX(Productos!$A:$A,$I2))</f>
        <v/>
      </c>
      <c r="C368" s="134" t="inlineStr">
        <is>
          <t>SFROPR-75400772</t>
        </is>
      </c>
      <c r="D368" s="5">
        <f>IF($I2="","",INDEX(Productos!$B:$B,$I2))</f>
        <v/>
      </c>
      <c r="E368" s="5">
        <f>IF($I2="","",INDEX(Productos!$H:$H,$I2))</f>
        <v/>
      </c>
      <c r="F368" s="5">
        <f>IF($I2="","",INDEX(Productos!$I:$I,$I2))</f>
        <v/>
      </c>
      <c r="G368" s="135" t="n">
        <v>2</v>
      </c>
      <c r="H368" s="5">
        <f>IF($I2="","",INDEX(Productos!$AG:$AG,$I2))</f>
        <v/>
      </c>
      <c r="I368" s="136">
        <f>LET(_xlpm.r,Productos!$E$2:$E$2509,_xlpm.m,IFERROR(_xlfn.XMATCH(C368,_xlpm.r),IFERROR(_xlfn.XMATCH(VALUE(C368),_xlpm.r),0)),IF(_xlpm.m=0,"",_xlpm.m+1))</f>
        <v/>
      </c>
      <c r="J368" s="137" t="inlineStr">
        <is>
          <t>NetSuite</t>
        </is>
      </c>
    </row>
    <row r="369">
      <c r="A369" s="5" t="inlineStr">
        <is>
          <t>B25 STETSON.MX</t>
        </is>
      </c>
      <c r="B369" s="5">
        <f>IF($I2="","",INDEX(Productos!$A:$A,$I2))</f>
        <v/>
      </c>
      <c r="C369" s="134" t="inlineStr">
        <is>
          <t>SFROPR-75400773</t>
        </is>
      </c>
      <c r="D369" s="5">
        <f>IF($I2="","",INDEX(Productos!$B:$B,$I2))</f>
        <v/>
      </c>
      <c r="E369" s="5">
        <f>IF($I2="","",INDEX(Productos!$H:$H,$I2))</f>
        <v/>
      </c>
      <c r="F369" s="5">
        <f>IF($I2="","",INDEX(Productos!$I:$I,$I2))</f>
        <v/>
      </c>
      <c r="G369" s="135" t="n">
        <v>4</v>
      </c>
      <c r="H369" s="5">
        <f>IF($I2="","",INDEX(Productos!$AG:$AG,$I2))</f>
        <v/>
      </c>
      <c r="I369" s="136">
        <f>LET(_xlpm.r,Productos!$E$2:$E$2509,_xlpm.m,IFERROR(_xlfn.XMATCH(C369,_xlpm.r),IFERROR(_xlfn.XMATCH(VALUE(C369),_xlpm.r),0)),IF(_xlpm.m=0,"",_xlpm.m+1))</f>
        <v/>
      </c>
      <c r="J369" s="137" t="inlineStr">
        <is>
          <t>NetSuite</t>
        </is>
      </c>
    </row>
    <row r="370">
      <c r="A370" s="5" t="inlineStr">
        <is>
          <t>B25 STETSON.MX</t>
        </is>
      </c>
      <c r="B370" s="5">
        <f>IF($I2="","",INDEX(Productos!$A:$A,$I2))</f>
        <v/>
      </c>
      <c r="C370" s="134" t="inlineStr">
        <is>
          <t>SFROPR-75400774</t>
        </is>
      </c>
      <c r="D370" s="5">
        <f>IF($I2="","",INDEX(Productos!$B:$B,$I2))</f>
        <v/>
      </c>
      <c r="E370" s="5">
        <f>IF($I2="","",INDEX(Productos!$H:$H,$I2))</f>
        <v/>
      </c>
      <c r="F370" s="5">
        <f>IF($I2="","",INDEX(Productos!$I:$I,$I2))</f>
        <v/>
      </c>
      <c r="G370" s="135" t="n">
        <v>1</v>
      </c>
      <c r="H370" s="5">
        <f>IF($I2="","",INDEX(Productos!$AG:$AG,$I2))</f>
        <v/>
      </c>
      <c r="I370" s="136">
        <f>LET(_xlpm.r,Productos!$E$2:$E$2509,_xlpm.m,IFERROR(_xlfn.XMATCH(C370,_xlpm.r),IFERROR(_xlfn.XMATCH(VALUE(C370),_xlpm.r),0)),IF(_xlpm.m=0,"",_xlpm.m+1))</f>
        <v/>
      </c>
      <c r="J370" s="137" t="inlineStr">
        <is>
          <t>NetSuite</t>
        </is>
      </c>
    </row>
    <row r="371">
      <c r="A371" s="5" t="inlineStr">
        <is>
          <t>B25 STETSON.MX</t>
        </is>
      </c>
      <c r="B371" s="5">
        <f>IF($I2="","",INDEX(Productos!$A:$A,$I2))</f>
        <v/>
      </c>
      <c r="C371" s="134" t="inlineStr">
        <is>
          <t>SFROPR-75406167</t>
        </is>
      </c>
      <c r="D371" s="5">
        <f>IF($I2="","",INDEX(Productos!$B:$B,$I2))</f>
        <v/>
      </c>
      <c r="E371" s="5">
        <f>IF($I2="","",INDEX(Productos!$H:$H,$I2))</f>
        <v/>
      </c>
      <c r="F371" s="5">
        <f>IF($I2="","",INDEX(Productos!$I:$I,$I2))</f>
        <v/>
      </c>
      <c r="G371" s="135" t="n">
        <v>1</v>
      </c>
      <c r="H371" s="5">
        <f>IF($I2="","",INDEX(Productos!$AG:$AG,$I2))</f>
        <v/>
      </c>
      <c r="I371" s="136">
        <f>LET(_xlpm.r,Productos!$E$2:$E$2509,_xlpm.m,IFERROR(_xlfn.XMATCH(C371,_xlpm.r),IFERROR(_xlfn.XMATCH(VALUE(C371),_xlpm.r),0)),IF(_xlpm.m=0,"",_xlpm.m+1))</f>
        <v/>
      </c>
      <c r="J371" s="137" t="inlineStr">
        <is>
          <t>NetSuite</t>
        </is>
      </c>
    </row>
    <row r="372">
      <c r="A372" s="5" t="inlineStr">
        <is>
          <t>B25 STETSON.MX</t>
        </is>
      </c>
      <c r="B372" s="5">
        <f>IF($I2="","",INDEX(Productos!$A:$A,$I2))</f>
        <v/>
      </c>
      <c r="C372" s="134" t="inlineStr">
        <is>
          <t>SFROPR-75406170</t>
        </is>
      </c>
      <c r="D372" s="5">
        <f>IF($I2="","",INDEX(Productos!$B:$B,$I2))</f>
        <v/>
      </c>
      <c r="E372" s="5">
        <f>IF($I2="","",INDEX(Productos!$H:$H,$I2))</f>
        <v/>
      </c>
      <c r="F372" s="5">
        <f>IF($I2="","",INDEX(Productos!$I:$I,$I2))</f>
        <v/>
      </c>
      <c r="G372" s="135" t="n">
        <v>1</v>
      </c>
      <c r="H372" s="5">
        <f>IF($I2="","",INDEX(Productos!$AG:$AG,$I2))</f>
        <v/>
      </c>
      <c r="I372" s="136">
        <f>LET(_xlpm.r,Productos!$E$2:$E$2509,_xlpm.m,IFERROR(_xlfn.XMATCH(C372,_xlpm.r),IFERROR(_xlfn.XMATCH(VALUE(C372),_xlpm.r),0)),IF(_xlpm.m=0,"",_xlpm.m+1))</f>
        <v/>
      </c>
      <c r="J372" s="137" t="inlineStr">
        <is>
          <t>NetSuite</t>
        </is>
      </c>
    </row>
    <row r="373">
      <c r="A373" s="5" t="inlineStr">
        <is>
          <t>B25 STETSON.MX</t>
        </is>
      </c>
      <c r="B373" s="5">
        <f>IF($I2="","",INDEX(Productos!$A:$A,$I2))</f>
        <v/>
      </c>
      <c r="C373" s="134" t="inlineStr">
        <is>
          <t>SFROPR-75406171</t>
        </is>
      </c>
      <c r="D373" s="5">
        <f>IF($I2="","",INDEX(Productos!$B:$B,$I2))</f>
        <v/>
      </c>
      <c r="E373" s="5">
        <f>IF($I2="","",INDEX(Productos!$H:$H,$I2))</f>
        <v/>
      </c>
      <c r="F373" s="5">
        <f>IF($I2="","",INDEX(Productos!$I:$I,$I2))</f>
        <v/>
      </c>
      <c r="G373" s="135" t="n">
        <v>3</v>
      </c>
      <c r="H373" s="5">
        <f>IF($I2="","",INDEX(Productos!$AG:$AG,$I2))</f>
        <v/>
      </c>
      <c r="I373" s="136">
        <f>LET(_xlpm.r,Productos!$E$2:$E$2509,_xlpm.m,IFERROR(_xlfn.XMATCH(C373,_xlpm.r),IFERROR(_xlfn.XMATCH(VALUE(C373),_xlpm.r),0)),IF(_xlpm.m=0,"",_xlpm.m+1))</f>
        <v/>
      </c>
      <c r="J373" s="137" t="inlineStr">
        <is>
          <t>NetSuite</t>
        </is>
      </c>
    </row>
    <row r="374">
      <c r="A374" s="5" t="inlineStr">
        <is>
          <t>B25 STETSON.MX</t>
        </is>
      </c>
      <c r="B374" s="5">
        <f>IF($I2="","",INDEX(Productos!$A:$A,$I2))</f>
        <v/>
      </c>
      <c r="C374" s="134" t="inlineStr">
        <is>
          <t>SFROPR-75406172</t>
        </is>
      </c>
      <c r="D374" s="5">
        <f>IF($I2="","",INDEX(Productos!$B:$B,$I2))</f>
        <v/>
      </c>
      <c r="E374" s="5">
        <f>IF($I2="","",INDEX(Productos!$H:$H,$I2))</f>
        <v/>
      </c>
      <c r="F374" s="5">
        <f>IF($I2="","",INDEX(Productos!$I:$I,$I2))</f>
        <v/>
      </c>
      <c r="G374" s="135" t="n">
        <v>3</v>
      </c>
      <c r="H374" s="5">
        <f>IF($I2="","",INDEX(Productos!$AG:$AG,$I2))</f>
        <v/>
      </c>
      <c r="I374" s="136">
        <f>LET(_xlpm.r,Productos!$E$2:$E$2509,_xlpm.m,IFERROR(_xlfn.XMATCH(C374,_xlpm.r),IFERROR(_xlfn.XMATCH(VALUE(C374),_xlpm.r),0)),IF(_xlpm.m=0,"",_xlpm.m+1))</f>
        <v/>
      </c>
      <c r="J374" s="137" t="inlineStr">
        <is>
          <t>NetSuite</t>
        </is>
      </c>
    </row>
    <row r="375">
      <c r="A375" s="5" t="inlineStr">
        <is>
          <t>B25 STETSON.MX</t>
        </is>
      </c>
      <c r="B375" s="5">
        <f>IF($I2="","",INDEX(Productos!$A:$A,$I2))</f>
        <v/>
      </c>
      <c r="C375" s="134" t="inlineStr">
        <is>
          <t>SFROPR-75406173</t>
        </is>
      </c>
      <c r="D375" s="5">
        <f>IF($I2="","",INDEX(Productos!$B:$B,$I2))</f>
        <v/>
      </c>
      <c r="E375" s="5">
        <f>IF($I2="","",INDEX(Productos!$H:$H,$I2))</f>
        <v/>
      </c>
      <c r="F375" s="5">
        <f>IF($I2="","",INDEX(Productos!$I:$I,$I2))</f>
        <v/>
      </c>
      <c r="G375" s="135" t="n">
        <v>4</v>
      </c>
      <c r="H375" s="5">
        <f>IF($I2="","",INDEX(Productos!$AG:$AG,$I2))</f>
        <v/>
      </c>
      <c r="I375" s="136">
        <f>LET(_xlpm.r,Productos!$E$2:$E$2509,_xlpm.m,IFERROR(_xlfn.XMATCH(C375,_xlpm.r),IFERROR(_xlfn.XMATCH(VALUE(C375),_xlpm.r),0)),IF(_xlpm.m=0,"",_xlpm.m+1))</f>
        <v/>
      </c>
      <c r="J375" s="137" t="inlineStr">
        <is>
          <t>NetSuite</t>
        </is>
      </c>
    </row>
    <row r="376">
      <c r="A376" s="5" t="inlineStr">
        <is>
          <t>B25 STETSON.MX</t>
        </is>
      </c>
      <c r="B376" s="5">
        <f>IF($I2="","",INDEX(Productos!$A:$A,$I2))</f>
        <v/>
      </c>
      <c r="C376" s="134" t="inlineStr">
        <is>
          <t>SFROPR-75406174</t>
        </is>
      </c>
      <c r="D376" s="5">
        <f>IF($I2="","",INDEX(Productos!$B:$B,$I2))</f>
        <v/>
      </c>
      <c r="E376" s="5">
        <f>IF($I2="","",INDEX(Productos!$H:$H,$I2))</f>
        <v/>
      </c>
      <c r="F376" s="5">
        <f>IF($I2="","",INDEX(Productos!$I:$I,$I2))</f>
        <v/>
      </c>
      <c r="G376" s="135" t="n">
        <v>1</v>
      </c>
      <c r="H376" s="5">
        <f>IF($I2="","",INDEX(Productos!$AG:$AG,$I2))</f>
        <v/>
      </c>
      <c r="I376" s="136">
        <f>LET(_xlpm.r,Productos!$E$2:$E$2509,_xlpm.m,IFERROR(_xlfn.XMATCH(C376,_xlpm.r),IFERROR(_xlfn.XMATCH(VALUE(C376),_xlpm.r),0)),IF(_xlpm.m=0,"",_xlpm.m+1))</f>
        <v/>
      </c>
      <c r="J376" s="137" t="inlineStr">
        <is>
          <t>NetSuite</t>
        </is>
      </c>
    </row>
    <row r="377">
      <c r="A377" s="5" t="inlineStr">
        <is>
          <t>B25 STETSON.MX</t>
        </is>
      </c>
      <c r="B377" s="5">
        <f>IF($I2="","",INDEX(Productos!$A:$A,$I2))</f>
        <v/>
      </c>
      <c r="C377" s="134" t="inlineStr">
        <is>
          <t>SFSHAS-01400767</t>
        </is>
      </c>
      <c r="D377" s="5">
        <f>IF($I2="","",INDEX(Productos!$B:$B,$I2))</f>
        <v/>
      </c>
      <c r="E377" s="5">
        <f>IF($I2="","",INDEX(Productos!$H:$H,$I2))</f>
        <v/>
      </c>
      <c r="F377" s="5">
        <f>IF($I2="","",INDEX(Productos!$I:$I,$I2))</f>
        <v/>
      </c>
      <c r="G377" s="135" t="n">
        <v>1</v>
      </c>
      <c r="H377" s="5">
        <f>IF($I2="","",INDEX(Productos!$AG:$AG,$I2))</f>
        <v/>
      </c>
      <c r="I377" s="136">
        <f>LET(_xlpm.r,Productos!$E$2:$E$2509,_xlpm.m,IFERROR(_xlfn.XMATCH(C377,_xlpm.r),IFERROR(_xlfn.XMATCH(VALUE(C377),_xlpm.r),0)),IF(_xlpm.m=0,"",_xlpm.m+1))</f>
        <v/>
      </c>
      <c r="J377" s="137" t="inlineStr">
        <is>
          <t>NetSuite</t>
        </is>
      </c>
    </row>
    <row r="378">
      <c r="A378" s="5" t="inlineStr">
        <is>
          <t>B25 STETSON.MX</t>
        </is>
      </c>
      <c r="B378" s="5">
        <f>IF($I2="","",INDEX(Productos!$A:$A,$I2))</f>
        <v/>
      </c>
      <c r="C378" s="134" t="inlineStr">
        <is>
          <t>SFSHAS-01400770</t>
        </is>
      </c>
      <c r="D378" s="5">
        <f>IF($I2="","",INDEX(Productos!$B:$B,$I2))</f>
        <v/>
      </c>
      <c r="E378" s="5">
        <f>IF($I2="","",INDEX(Productos!$H:$H,$I2))</f>
        <v/>
      </c>
      <c r="F378" s="5">
        <f>IF($I2="","",INDEX(Productos!$I:$I,$I2))</f>
        <v/>
      </c>
      <c r="G378" s="135" t="n">
        <v>1</v>
      </c>
      <c r="H378" s="5">
        <f>IF($I2="","",INDEX(Productos!$AG:$AG,$I2))</f>
        <v/>
      </c>
      <c r="I378" s="136">
        <f>LET(_xlpm.r,Productos!$E$2:$E$2509,_xlpm.m,IFERROR(_xlfn.XMATCH(C378,_xlpm.r),IFERROR(_xlfn.XMATCH(VALUE(C378),_xlpm.r),0)),IF(_xlpm.m=0,"",_xlpm.m+1))</f>
        <v/>
      </c>
      <c r="J378" s="137" t="inlineStr">
        <is>
          <t>NetSuite</t>
        </is>
      </c>
    </row>
    <row r="379">
      <c r="A379" s="5" t="inlineStr">
        <is>
          <t>B25 STETSON.MX</t>
        </is>
      </c>
      <c r="B379" s="5">
        <f>IF($I2="","",INDEX(Productos!$A:$A,$I2))</f>
        <v/>
      </c>
      <c r="C379" s="134" t="inlineStr">
        <is>
          <t>SFSHAS-01400771</t>
        </is>
      </c>
      <c r="D379" s="5">
        <f>IF($I2="","",INDEX(Productos!$B:$B,$I2))</f>
        <v/>
      </c>
      <c r="E379" s="5">
        <f>IF($I2="","",INDEX(Productos!$H:$H,$I2))</f>
        <v/>
      </c>
      <c r="F379" s="5">
        <f>IF($I2="","",INDEX(Productos!$I:$I,$I2))</f>
        <v/>
      </c>
      <c r="G379" s="135" t="n">
        <v>1</v>
      </c>
      <c r="H379" s="5">
        <f>IF($I2="","",INDEX(Productos!$AG:$AG,$I2))</f>
        <v/>
      </c>
      <c r="I379" s="136">
        <f>LET(_xlpm.r,Productos!$E$2:$E$2509,_xlpm.m,IFERROR(_xlfn.XMATCH(C379,_xlpm.r),IFERROR(_xlfn.XMATCH(VALUE(C379),_xlpm.r),0)),IF(_xlpm.m=0,"",_xlpm.m+1))</f>
        <v/>
      </c>
      <c r="J379" s="137" t="inlineStr">
        <is>
          <t>NetSuite</t>
        </is>
      </c>
    </row>
    <row r="380">
      <c r="A380" s="5" t="inlineStr">
        <is>
          <t>B25 STETSON.MX</t>
        </is>
      </c>
      <c r="B380" s="5">
        <f>IF($I2="","",INDEX(Productos!$A:$A,$I2))</f>
        <v/>
      </c>
      <c r="C380" s="134" t="inlineStr">
        <is>
          <t>SFSHAS-01400772</t>
        </is>
      </c>
      <c r="D380" s="5">
        <f>IF($I2="","",INDEX(Productos!$B:$B,$I2))</f>
        <v/>
      </c>
      <c r="E380" s="5">
        <f>IF($I2="","",INDEX(Productos!$H:$H,$I2))</f>
        <v/>
      </c>
      <c r="F380" s="5">
        <f>IF($I2="","",INDEX(Productos!$I:$I,$I2))</f>
        <v/>
      </c>
      <c r="G380" s="135" t="n">
        <v>3</v>
      </c>
      <c r="H380" s="5">
        <f>IF($I2="","",INDEX(Productos!$AG:$AG,$I2))</f>
        <v/>
      </c>
      <c r="I380" s="136">
        <f>LET(_xlpm.r,Productos!$E$2:$E$2509,_xlpm.m,IFERROR(_xlfn.XMATCH(C380,_xlpm.r),IFERROR(_xlfn.XMATCH(VALUE(C380),_xlpm.r),0)),IF(_xlpm.m=0,"",_xlpm.m+1))</f>
        <v/>
      </c>
      <c r="J380" s="137" t="inlineStr">
        <is>
          <t>NetSuite</t>
        </is>
      </c>
    </row>
    <row r="381">
      <c r="A381" s="5" t="inlineStr">
        <is>
          <t>B25 STETSON.MX</t>
        </is>
      </c>
      <c r="B381" s="5">
        <f>IF($I2="","",INDEX(Productos!$A:$A,$I2))</f>
        <v/>
      </c>
      <c r="C381" s="134" t="inlineStr">
        <is>
          <t>SFSHAS-01400773</t>
        </is>
      </c>
      <c r="D381" s="5">
        <f>IF($I2="","",INDEX(Productos!$B:$B,$I2))</f>
        <v/>
      </c>
      <c r="E381" s="5">
        <f>IF($I2="","",INDEX(Productos!$H:$H,$I2))</f>
        <v/>
      </c>
      <c r="F381" s="5">
        <f>IF($I2="","",INDEX(Productos!$I:$I,$I2))</f>
        <v/>
      </c>
      <c r="G381" s="135" t="n">
        <v>2</v>
      </c>
      <c r="H381" s="5">
        <f>IF($I2="","",INDEX(Productos!$AG:$AG,$I2))</f>
        <v/>
      </c>
      <c r="I381" s="136">
        <f>LET(_xlpm.r,Productos!$E$2:$E$2509,_xlpm.m,IFERROR(_xlfn.XMATCH(C381,_xlpm.r),IFERROR(_xlfn.XMATCH(VALUE(C381),_xlpm.r),0)),IF(_xlpm.m=0,"",_xlpm.m+1))</f>
        <v/>
      </c>
      <c r="J381" s="137" t="inlineStr">
        <is>
          <t>NetSuite</t>
        </is>
      </c>
    </row>
    <row r="382">
      <c r="A382" s="5" t="inlineStr">
        <is>
          <t>B25 STETSON.MX</t>
        </is>
      </c>
      <c r="B382" s="5">
        <f>IF($I2="","",INDEX(Productos!$A:$A,$I2))</f>
        <v/>
      </c>
      <c r="C382" s="134" t="inlineStr">
        <is>
          <t>SFSHAS-01400774</t>
        </is>
      </c>
      <c r="D382" s="5">
        <f>IF($I2="","",INDEX(Productos!$B:$B,$I2))</f>
        <v/>
      </c>
      <c r="E382" s="5">
        <f>IF($I2="","",INDEX(Productos!$H:$H,$I2))</f>
        <v/>
      </c>
      <c r="F382" s="5">
        <f>IF($I2="","",INDEX(Productos!$I:$I,$I2))</f>
        <v/>
      </c>
      <c r="G382" s="135" t="n">
        <v>1</v>
      </c>
      <c r="H382" s="5">
        <f>IF($I2="","",INDEX(Productos!$AG:$AG,$I2))</f>
        <v/>
      </c>
      <c r="I382" s="136">
        <f>LET(_xlpm.r,Productos!$E$2:$E$2509,_xlpm.m,IFERROR(_xlfn.XMATCH(C382,_xlpm.r),IFERROR(_xlfn.XMATCH(VALUE(C382),_xlpm.r),0)),IF(_xlpm.m=0,"",_xlpm.m+1))</f>
        <v/>
      </c>
      <c r="J382" s="137" t="inlineStr">
        <is>
          <t>NetSuite</t>
        </is>
      </c>
    </row>
    <row r="383">
      <c r="A383" s="5" t="inlineStr">
        <is>
          <t>B25 STETSON.MX</t>
        </is>
      </c>
      <c r="B383" s="5">
        <f>IF($I2="","",INDEX(Productos!$A:$A,$I2))</f>
        <v/>
      </c>
      <c r="C383" s="134" t="inlineStr">
        <is>
          <t>SFSHAS-75400773</t>
        </is>
      </c>
      <c r="D383" s="5">
        <f>IF($I2="","",INDEX(Productos!$B:$B,$I2))</f>
        <v/>
      </c>
      <c r="E383" s="5">
        <f>IF($I2="","",INDEX(Productos!$H:$H,$I2))</f>
        <v/>
      </c>
      <c r="F383" s="5">
        <f>IF($I2="","",INDEX(Productos!$I:$I,$I2))</f>
        <v/>
      </c>
      <c r="G383" s="135" t="n">
        <v>2</v>
      </c>
      <c r="H383" s="5">
        <f>IF($I2="","",INDEX(Productos!$AG:$AG,$I2))</f>
        <v/>
      </c>
      <c r="I383" s="136">
        <f>LET(_xlpm.r,Productos!$E$2:$E$2509,_xlpm.m,IFERROR(_xlfn.XMATCH(C383,_xlpm.r),IFERROR(_xlfn.XMATCH(VALUE(C383),_xlpm.r),0)),IF(_xlpm.m=0,"",_xlpm.m+1))</f>
        <v/>
      </c>
      <c r="J383" s="137" t="inlineStr">
        <is>
          <t>NetSuite</t>
        </is>
      </c>
    </row>
    <row r="384">
      <c r="A384" s="5" t="inlineStr">
        <is>
          <t>B25 STETSON.MX</t>
        </is>
      </c>
      <c r="B384" s="5">
        <f>IF($I2="","",INDEX(Productos!$A:$A,$I2))</f>
        <v/>
      </c>
      <c r="C384" s="134" t="inlineStr">
        <is>
          <t>SFSHAS-75403470</t>
        </is>
      </c>
      <c r="D384" s="5">
        <f>IF($I2="","",INDEX(Productos!$B:$B,$I2))</f>
        <v/>
      </c>
      <c r="E384" s="5">
        <f>IF($I2="","",INDEX(Productos!$H:$H,$I2))</f>
        <v/>
      </c>
      <c r="F384" s="5">
        <f>IF($I2="","",INDEX(Productos!$I:$I,$I2))</f>
        <v/>
      </c>
      <c r="G384" s="135" t="n">
        <v>2</v>
      </c>
      <c r="H384" s="5">
        <f>IF($I2="","",INDEX(Productos!$AG:$AG,$I2))</f>
        <v/>
      </c>
      <c r="I384" s="136">
        <f>LET(_xlpm.r,Productos!$E$2:$E$2509,_xlpm.m,IFERROR(_xlfn.XMATCH(C384,_xlpm.r),IFERROR(_xlfn.XMATCH(VALUE(C384),_xlpm.r),0)),IF(_xlpm.m=0,"",_xlpm.m+1))</f>
        <v/>
      </c>
      <c r="J384" s="137" t="inlineStr">
        <is>
          <t>NetSuite</t>
        </is>
      </c>
    </row>
    <row r="385">
      <c r="A385" s="5" t="inlineStr">
        <is>
          <t>B25 STETSON.MX</t>
        </is>
      </c>
      <c r="B385" s="5">
        <f>IF($I2="","",INDEX(Productos!$A:$A,$I2))</f>
        <v/>
      </c>
      <c r="C385" s="134" t="inlineStr">
        <is>
          <t>SFSHAS-75403473</t>
        </is>
      </c>
      <c r="D385" s="5">
        <f>IF($I2="","",INDEX(Productos!$B:$B,$I2))</f>
        <v/>
      </c>
      <c r="E385" s="5">
        <f>IF($I2="","",INDEX(Productos!$H:$H,$I2))</f>
        <v/>
      </c>
      <c r="F385" s="5">
        <f>IF($I2="","",INDEX(Productos!$I:$I,$I2))</f>
        <v/>
      </c>
      <c r="G385" s="135" t="n">
        <v>1</v>
      </c>
      <c r="H385" s="5">
        <f>IF($I2="","",INDEX(Productos!$AG:$AG,$I2))</f>
        <v/>
      </c>
      <c r="I385" s="136">
        <f>LET(_xlpm.r,Productos!$E$2:$E$2509,_xlpm.m,IFERROR(_xlfn.XMATCH(C385,_xlpm.r),IFERROR(_xlfn.XMATCH(VALUE(C385),_xlpm.r),0)),IF(_xlpm.m=0,"",_xlpm.m+1))</f>
        <v/>
      </c>
      <c r="J385" s="137" t="inlineStr">
        <is>
          <t>NetSuite</t>
        </is>
      </c>
    </row>
    <row r="386">
      <c r="A386" s="5" t="inlineStr">
        <is>
          <t>B25 STETSON.MX</t>
        </is>
      </c>
      <c r="B386" s="5">
        <f>IF($I2="","",INDEX(Productos!$A:$A,$I2))</f>
        <v/>
      </c>
      <c r="C386" s="134" t="inlineStr">
        <is>
          <t>SFSHAS-75406170</t>
        </is>
      </c>
      <c r="D386" s="5">
        <f>IF($I2="","",INDEX(Productos!$B:$B,$I2))</f>
        <v/>
      </c>
      <c r="E386" s="5">
        <f>IF($I2="","",INDEX(Productos!$H:$H,$I2))</f>
        <v/>
      </c>
      <c r="F386" s="5">
        <f>IF($I2="","",INDEX(Productos!$I:$I,$I2))</f>
        <v/>
      </c>
      <c r="G386" s="135" t="n">
        <v>1</v>
      </c>
      <c r="H386" s="5">
        <f>IF($I2="","",INDEX(Productos!$AG:$AG,$I2))</f>
        <v/>
      </c>
      <c r="I386" s="136">
        <f>LET(_xlpm.r,Productos!$E$2:$E$2509,_xlpm.m,IFERROR(_xlfn.XMATCH(C386,_xlpm.r),IFERROR(_xlfn.XMATCH(VALUE(C386),_xlpm.r),0)),IF(_xlpm.m=0,"",_xlpm.m+1))</f>
        <v/>
      </c>
      <c r="J386" s="137" t="inlineStr">
        <is>
          <t>NetSuite</t>
        </is>
      </c>
    </row>
    <row r="387">
      <c r="A387" s="5" t="inlineStr">
        <is>
          <t>B25 STETSON.MX</t>
        </is>
      </c>
      <c r="B387" s="5">
        <f>IF($I2="","",INDEX(Productos!$A:$A,$I2))</f>
        <v/>
      </c>
      <c r="C387" s="134" t="inlineStr">
        <is>
          <t>SFSHAS-75406173</t>
        </is>
      </c>
      <c r="D387" s="5">
        <f>IF($I2="","",INDEX(Productos!$B:$B,$I2))</f>
        <v/>
      </c>
      <c r="E387" s="5">
        <f>IF($I2="","",INDEX(Productos!$H:$H,$I2))</f>
        <v/>
      </c>
      <c r="F387" s="5">
        <f>IF($I2="","",INDEX(Productos!$I:$I,$I2))</f>
        <v/>
      </c>
      <c r="G387" s="135" t="n">
        <v>3</v>
      </c>
      <c r="H387" s="5">
        <f>IF($I2="","",INDEX(Productos!$AG:$AG,$I2))</f>
        <v/>
      </c>
      <c r="I387" s="136">
        <f>LET(_xlpm.r,Productos!$E$2:$E$2509,_xlpm.m,IFERROR(_xlfn.XMATCH(C387,_xlpm.r),IFERROR(_xlfn.XMATCH(VALUE(C387),_xlpm.r),0)),IF(_xlpm.m=0,"",_xlpm.m+1))</f>
        <v/>
      </c>
      <c r="J387" s="137" t="inlineStr">
        <is>
          <t>NetSuite</t>
        </is>
      </c>
    </row>
    <row r="388">
      <c r="A388" s="5" t="inlineStr">
        <is>
          <t>B25 STETSON.MX</t>
        </is>
      </c>
      <c r="B388" s="5">
        <f>IF($I2="","",INDEX(Productos!$A:$A,$I2))</f>
        <v/>
      </c>
      <c r="C388" s="134" t="inlineStr">
        <is>
          <t>SFSHAS-75406174</t>
        </is>
      </c>
      <c r="D388" s="5">
        <f>IF($I2="","",INDEX(Productos!$B:$B,$I2))</f>
        <v/>
      </c>
      <c r="E388" s="5">
        <f>IF($I2="","",INDEX(Productos!$H:$H,$I2))</f>
        <v/>
      </c>
      <c r="F388" s="5">
        <f>IF($I2="","",INDEX(Productos!$I:$I,$I2))</f>
        <v/>
      </c>
      <c r="G388" s="135" t="n">
        <v>1</v>
      </c>
      <c r="H388" s="5">
        <f>IF($I2="","",INDEX(Productos!$AG:$AG,$I2))</f>
        <v/>
      </c>
      <c r="I388" s="136">
        <f>LET(_xlpm.r,Productos!$E$2:$E$2509,_xlpm.m,IFERROR(_xlfn.XMATCH(C388,_xlpm.r),IFERROR(_xlfn.XMATCH(VALUE(C388),_xlpm.r),0)),IF(_xlpm.m=0,"",_xlpm.m+1))</f>
        <v/>
      </c>
      <c r="J388" s="137" t="inlineStr">
        <is>
          <t>NetSuite</t>
        </is>
      </c>
    </row>
    <row r="389">
      <c r="A389" s="5" t="inlineStr">
        <is>
          <t>B25 STETSON.MX</t>
        </is>
      </c>
      <c r="B389" s="5">
        <f>IF($I2="","",INDEX(Productos!$A:$A,$I2))</f>
        <v/>
      </c>
      <c r="C389" s="134" t="inlineStr">
        <is>
          <t>SFSKYL-72400771</t>
        </is>
      </c>
      <c r="D389" s="5">
        <f>IF($I2="","",INDEX(Productos!$B:$B,$I2))</f>
        <v/>
      </c>
      <c r="E389" s="5">
        <f>IF($I2="","",INDEX(Productos!$H:$H,$I2))</f>
        <v/>
      </c>
      <c r="F389" s="5">
        <f>IF($I2="","",INDEX(Productos!$I:$I,$I2))</f>
        <v/>
      </c>
      <c r="G389" s="135" t="n">
        <v>1</v>
      </c>
      <c r="H389" s="5">
        <f>IF($I2="","",INDEX(Productos!$AG:$AG,$I2))</f>
        <v/>
      </c>
      <c r="I389" s="136">
        <f>LET(_xlpm.r,Productos!$E$2:$E$2509,_xlpm.m,IFERROR(_xlfn.XMATCH(C389,_xlpm.r),IFERROR(_xlfn.XMATCH(VALUE(C389),_xlpm.r),0)),IF(_xlpm.m=0,"",_xlpm.m+1))</f>
        <v/>
      </c>
      <c r="J389" s="137" t="inlineStr">
        <is>
          <t>NetSuite</t>
        </is>
      </c>
    </row>
    <row r="390">
      <c r="A390" s="5" t="inlineStr">
        <is>
          <t>B25 STETSON.MX</t>
        </is>
      </c>
      <c r="B390" s="5">
        <f>IF($I2="","",INDEX(Productos!$A:$A,$I2))</f>
        <v/>
      </c>
      <c r="C390" s="134" t="inlineStr">
        <is>
          <t>SFSKYL-72404971</t>
        </is>
      </c>
      <c r="D390" s="5">
        <f>IF($I2="","",INDEX(Productos!$B:$B,$I2))</f>
        <v/>
      </c>
      <c r="E390" s="5">
        <f>IF($I2="","",INDEX(Productos!$H:$H,$I2))</f>
        <v/>
      </c>
      <c r="F390" s="5">
        <f>IF($I2="","",INDEX(Productos!$I:$I,$I2))</f>
        <v/>
      </c>
      <c r="G390" s="135" t="n">
        <v>1</v>
      </c>
      <c r="H390" s="5">
        <f>IF($I2="","",INDEX(Productos!$AG:$AG,$I2))</f>
        <v/>
      </c>
      <c r="I390" s="136">
        <f>LET(_xlpm.r,Productos!$E$2:$E$2509,_xlpm.m,IFERROR(_xlfn.XMATCH(C390,_xlpm.r),IFERROR(_xlfn.XMATCH(VALUE(C390),_xlpm.r),0)),IF(_xlpm.m=0,"",_xlpm.m+1))</f>
        <v/>
      </c>
      <c r="J390" s="137" t="inlineStr">
        <is>
          <t>NetSuite</t>
        </is>
      </c>
    </row>
    <row r="391">
      <c r="A391" s="5" t="inlineStr">
        <is>
          <t>B25 STETSON.MX</t>
        </is>
      </c>
      <c r="B391" s="5">
        <f>IF($I2="","",INDEX(Productos!$A:$A,$I2))</f>
        <v/>
      </c>
      <c r="C391" s="134" t="inlineStr">
        <is>
          <t>SFSKYL-72404972</t>
        </is>
      </c>
      <c r="D391" s="5">
        <f>IF($I2="","",INDEX(Productos!$B:$B,$I2))</f>
        <v/>
      </c>
      <c r="E391" s="5">
        <f>IF($I2="","",INDEX(Productos!$H:$H,$I2))</f>
        <v/>
      </c>
      <c r="F391" s="5">
        <f>IF($I2="","",INDEX(Productos!$I:$I,$I2))</f>
        <v/>
      </c>
      <c r="G391" s="135" t="n">
        <v>1</v>
      </c>
      <c r="H391" s="5">
        <f>IF($I2="","",INDEX(Productos!$AG:$AG,$I2))</f>
        <v/>
      </c>
      <c r="I391" s="136">
        <f>LET(_xlpm.r,Productos!$E$2:$E$2509,_xlpm.m,IFERROR(_xlfn.XMATCH(C391,_xlpm.r),IFERROR(_xlfn.XMATCH(VALUE(C391),_xlpm.r),0)),IF(_xlpm.m=0,"",_xlpm.m+1))</f>
        <v/>
      </c>
      <c r="J391" s="137" t="inlineStr">
        <is>
          <t>NetSuite</t>
        </is>
      </c>
    </row>
    <row r="392">
      <c r="A392" s="5" t="inlineStr">
        <is>
          <t>B25 STETSON.MX</t>
        </is>
      </c>
      <c r="B392" s="5">
        <f>IF($I2="","",INDEX(Productos!$A:$A,$I2))</f>
        <v/>
      </c>
      <c r="C392" s="134" t="inlineStr">
        <is>
          <t>SFSKYL-72404973</t>
        </is>
      </c>
      <c r="D392" s="5">
        <f>IF($I2="","",INDEX(Productos!$B:$B,$I2))</f>
        <v/>
      </c>
      <c r="E392" s="5">
        <f>IF($I2="","",INDEX(Productos!$H:$H,$I2))</f>
        <v/>
      </c>
      <c r="F392" s="5">
        <f>IF($I2="","",INDEX(Productos!$I:$I,$I2))</f>
        <v/>
      </c>
      <c r="G392" s="135" t="n">
        <v>2</v>
      </c>
      <c r="H392" s="5">
        <f>IF($I2="","",INDEX(Productos!$AG:$AG,$I2))</f>
        <v/>
      </c>
      <c r="I392" s="136">
        <f>LET(_xlpm.r,Productos!$E$2:$E$2509,_xlpm.m,IFERROR(_xlfn.XMATCH(C392,_xlpm.r),IFERROR(_xlfn.XMATCH(VALUE(C392),_xlpm.r),0)),IF(_xlpm.m=0,"",_xlpm.m+1))</f>
        <v/>
      </c>
      <c r="J392" s="137" t="inlineStr">
        <is>
          <t>NetSuite</t>
        </is>
      </c>
    </row>
    <row r="393">
      <c r="A393" s="5" t="inlineStr">
        <is>
          <t>B25 STETSON.MX</t>
        </is>
      </c>
      <c r="B393" s="5">
        <f>IF($I2="","",INDEX(Productos!$A:$A,$I2))</f>
        <v/>
      </c>
      <c r="C393" s="134" t="inlineStr">
        <is>
          <t>SFSKYL-72406173</t>
        </is>
      </c>
      <c r="D393" s="5">
        <f>IF($I2="","",INDEX(Productos!$B:$B,$I2))</f>
        <v/>
      </c>
      <c r="E393" s="5">
        <f>IF($I2="","",INDEX(Productos!$H:$H,$I2))</f>
        <v/>
      </c>
      <c r="F393" s="5">
        <f>IF($I2="","",INDEX(Productos!$I:$I,$I2))</f>
        <v/>
      </c>
      <c r="G393" s="135" t="n">
        <v>1</v>
      </c>
      <c r="H393" s="5">
        <f>IF($I2="","",INDEX(Productos!$AG:$AG,$I2))</f>
        <v/>
      </c>
      <c r="I393" s="136">
        <f>LET(_xlpm.r,Productos!$E$2:$E$2509,_xlpm.m,IFERROR(_xlfn.XMATCH(C393,_xlpm.r),IFERROR(_xlfn.XMATCH(VALUE(C393),_xlpm.r),0)),IF(_xlpm.m=0,"",_xlpm.m+1))</f>
        <v/>
      </c>
      <c r="J393" s="137" t="inlineStr">
        <is>
          <t>NetSuite</t>
        </is>
      </c>
    </row>
    <row r="394">
      <c r="A394" s="5" t="inlineStr">
        <is>
          <t>B25 STETSON.MX</t>
        </is>
      </c>
      <c r="B394" s="5">
        <f>IF($I2="","",INDEX(Productos!$A:$A,$I2))</f>
        <v/>
      </c>
      <c r="C394" s="134" t="inlineStr">
        <is>
          <t>SFSKYL-75402270</t>
        </is>
      </c>
      <c r="D394" s="5">
        <f>IF($I2="","",INDEX(Productos!$B:$B,$I2))</f>
        <v/>
      </c>
      <c r="E394" s="5">
        <f>IF($I2="","",INDEX(Productos!$H:$H,$I2))</f>
        <v/>
      </c>
      <c r="F394" s="5">
        <f>IF($I2="","",INDEX(Productos!$I:$I,$I2))</f>
        <v/>
      </c>
      <c r="G394" s="135" t="n">
        <v>1</v>
      </c>
      <c r="H394" s="5">
        <f>IF($I2="","",INDEX(Productos!$AG:$AG,$I2))</f>
        <v/>
      </c>
      <c r="I394" s="136">
        <f>LET(_xlpm.r,Productos!$E$2:$E$2509,_xlpm.m,IFERROR(_xlfn.XMATCH(C394,_xlpm.r),IFERROR(_xlfn.XMATCH(VALUE(C394),_xlpm.r),0)),IF(_xlpm.m=0,"",_xlpm.m+1))</f>
        <v/>
      </c>
      <c r="J394" s="137" t="inlineStr">
        <is>
          <t>NetSuite</t>
        </is>
      </c>
    </row>
    <row r="395">
      <c r="A395" s="5" t="inlineStr">
        <is>
          <t>B25 STETSON.MX</t>
        </is>
      </c>
      <c r="B395" s="5">
        <f>IF($I2="","",INDEX(Productos!$A:$A,$I2))</f>
        <v/>
      </c>
      <c r="C395" s="134" t="inlineStr">
        <is>
          <t>SFSKYL-75404973</t>
        </is>
      </c>
      <c r="D395" s="5">
        <f>IF($I2="","",INDEX(Productos!$B:$B,$I2))</f>
        <v/>
      </c>
      <c r="E395" s="5">
        <f>IF($I2="","",INDEX(Productos!$H:$H,$I2))</f>
        <v/>
      </c>
      <c r="F395" s="5">
        <f>IF($I2="","",INDEX(Productos!$I:$I,$I2))</f>
        <v/>
      </c>
      <c r="G395" s="135" t="n">
        <v>2</v>
      </c>
      <c r="H395" s="5">
        <f>IF($I2="","",INDEX(Productos!$AG:$AG,$I2))</f>
        <v/>
      </c>
      <c r="I395" s="136">
        <f>LET(_xlpm.r,Productos!$E$2:$E$2509,_xlpm.m,IFERROR(_xlfn.XMATCH(C395,_xlpm.r),IFERROR(_xlfn.XMATCH(VALUE(C395),_xlpm.r),0)),IF(_xlpm.m=0,"",_xlpm.m+1))</f>
        <v/>
      </c>
      <c r="J395" s="137" t="inlineStr">
        <is>
          <t>NetSuite</t>
        </is>
      </c>
    </row>
    <row r="396">
      <c r="A396" s="5" t="inlineStr">
        <is>
          <t>B25 STETSON.MX</t>
        </is>
      </c>
      <c r="B396" s="5">
        <f>IF($I2="","",INDEX(Productos!$A:$A,$I2))</f>
        <v/>
      </c>
      <c r="C396" s="134" t="inlineStr">
        <is>
          <t>SFSKYL-7540E571</t>
        </is>
      </c>
      <c r="D396" s="5">
        <f>IF($I2="","",INDEX(Productos!$B:$B,$I2))</f>
        <v/>
      </c>
      <c r="E396" s="5">
        <f>IF($I2="","",INDEX(Productos!$H:$H,$I2))</f>
        <v/>
      </c>
      <c r="F396" s="5">
        <f>IF($I2="","",INDEX(Productos!$I:$I,$I2))</f>
        <v/>
      </c>
      <c r="G396" s="135" t="n">
        <v>1</v>
      </c>
      <c r="H396" s="5">
        <f>IF($I2="","",INDEX(Productos!$AG:$AG,$I2))</f>
        <v/>
      </c>
      <c r="I396" s="136">
        <f>LET(_xlpm.r,Productos!$E$2:$E$2509,_xlpm.m,IFERROR(_xlfn.XMATCH(C396,_xlpm.r),IFERROR(_xlfn.XMATCH(VALUE(C396),_xlpm.r),0)),IF(_xlpm.m=0,"",_xlpm.m+1))</f>
        <v/>
      </c>
      <c r="J396" s="137" t="inlineStr">
        <is>
          <t>NetSuite</t>
        </is>
      </c>
    </row>
    <row r="397">
      <c r="A397" s="5" t="inlineStr">
        <is>
          <t>B25 STETSON.MX</t>
        </is>
      </c>
      <c r="B397" s="5">
        <f>IF($I2="","",INDEX(Productos!$A:$A,$I2))</f>
        <v/>
      </c>
      <c r="C397" s="134" t="inlineStr">
        <is>
          <t>SSALMO-30408170</t>
        </is>
      </c>
      <c r="D397" s="5">
        <f>IF($I2="","",INDEX(Productos!$B:$B,$I2))</f>
        <v/>
      </c>
      <c r="E397" s="5">
        <f>IF($I2="","",INDEX(Productos!$H:$H,$I2))</f>
        <v/>
      </c>
      <c r="F397" s="5">
        <f>IF($I2="","",INDEX(Productos!$I:$I,$I2))</f>
        <v/>
      </c>
      <c r="G397" s="135" t="n">
        <v>2</v>
      </c>
      <c r="H397" s="5">
        <f>IF($I2="","",INDEX(Productos!$AG:$AG,$I2))</f>
        <v/>
      </c>
      <c r="I397" s="136">
        <f>LET(_xlpm.r,Productos!$E$2:$E$2509,_xlpm.m,IFERROR(_xlfn.XMATCH(C397,_xlpm.r),IFERROR(_xlfn.XMATCH(VALUE(C397),_xlpm.r),0)),IF(_xlpm.m=0,"",_xlpm.m+1))</f>
        <v/>
      </c>
      <c r="J397" s="137" t="inlineStr">
        <is>
          <t>NetSuite</t>
        </is>
      </c>
    </row>
    <row r="398">
      <c r="A398" s="5" t="inlineStr">
        <is>
          <t>B25 STETSON.MX</t>
        </is>
      </c>
      <c r="B398" s="5">
        <f>IF($I2="","",INDEX(Productos!$A:$A,$I2))</f>
        <v/>
      </c>
      <c r="C398" s="134" t="inlineStr">
        <is>
          <t>SSALMO-30408171</t>
        </is>
      </c>
      <c r="D398" s="5">
        <f>IF($I2="","",INDEX(Productos!$B:$B,$I2))</f>
        <v/>
      </c>
      <c r="E398" s="5">
        <f>IF($I2="","",INDEX(Productos!$H:$H,$I2))</f>
        <v/>
      </c>
      <c r="F398" s="5">
        <f>IF($I2="","",INDEX(Productos!$I:$I,$I2))</f>
        <v/>
      </c>
      <c r="G398" s="135" t="n">
        <v>3</v>
      </c>
      <c r="H398" s="5">
        <f>IF($I2="","",INDEX(Productos!$AG:$AG,$I2))</f>
        <v/>
      </c>
      <c r="I398" s="136">
        <f>LET(_xlpm.r,Productos!$E$2:$E$2509,_xlpm.m,IFERROR(_xlfn.XMATCH(C398,_xlpm.r),IFERROR(_xlfn.XMATCH(VALUE(C398),_xlpm.r),0)),IF(_xlpm.m=0,"",_xlpm.m+1))</f>
        <v/>
      </c>
      <c r="J398" s="137" t="inlineStr">
        <is>
          <t>NetSuite</t>
        </is>
      </c>
    </row>
    <row r="399">
      <c r="A399" s="5" t="inlineStr">
        <is>
          <t>B25 STETSON.MX</t>
        </is>
      </c>
      <c r="B399" s="5">
        <f>IF($I2="","",INDEX(Productos!$A:$A,$I2))</f>
        <v/>
      </c>
      <c r="C399" s="134" t="inlineStr">
        <is>
          <t>SSALMO-30408172</t>
        </is>
      </c>
      <c r="D399" s="5">
        <f>IF($I2="","",INDEX(Productos!$B:$B,$I2))</f>
        <v/>
      </c>
      <c r="E399" s="5">
        <f>IF($I2="","",INDEX(Productos!$H:$H,$I2))</f>
        <v/>
      </c>
      <c r="F399" s="5">
        <f>IF($I2="","",INDEX(Productos!$I:$I,$I2))</f>
        <v/>
      </c>
      <c r="G399" s="135" t="n">
        <v>2</v>
      </c>
      <c r="H399" s="5">
        <f>IF($I2="","",INDEX(Productos!$AG:$AG,$I2))</f>
        <v/>
      </c>
      <c r="I399" s="136">
        <f>LET(_xlpm.r,Productos!$E$2:$E$2509,_xlpm.m,IFERROR(_xlfn.XMATCH(C399,_xlpm.r),IFERROR(_xlfn.XMATCH(VALUE(C399),_xlpm.r),0)),IF(_xlpm.m=0,"",_xlpm.m+1))</f>
        <v/>
      </c>
      <c r="J399" s="137" t="inlineStr">
        <is>
          <t>NetSuite</t>
        </is>
      </c>
    </row>
    <row r="400">
      <c r="A400" s="5" t="inlineStr">
        <is>
          <t>B25 STETSON.MX</t>
        </is>
      </c>
      <c r="B400" s="5">
        <f>IF($I2="","",INDEX(Productos!$A:$A,$I2))</f>
        <v/>
      </c>
      <c r="C400" s="134" t="inlineStr">
        <is>
          <t>SSALMO-30408173</t>
        </is>
      </c>
      <c r="D400" s="5">
        <f>IF($I2="","",INDEX(Productos!$B:$B,$I2))</f>
        <v/>
      </c>
      <c r="E400" s="5">
        <f>IF($I2="","",INDEX(Productos!$H:$H,$I2))</f>
        <v/>
      </c>
      <c r="F400" s="5">
        <f>IF($I2="","",INDEX(Productos!$I:$I,$I2))</f>
        <v/>
      </c>
      <c r="G400" s="135" t="n">
        <v>3</v>
      </c>
      <c r="H400" s="5">
        <f>IF($I2="","",INDEX(Productos!$AG:$AG,$I2))</f>
        <v/>
      </c>
      <c r="I400" s="136">
        <f>LET(_xlpm.r,Productos!$E$2:$E$2509,_xlpm.m,IFERROR(_xlfn.XMATCH(C400,_xlpm.r),IFERROR(_xlfn.XMATCH(VALUE(C400),_xlpm.r),0)),IF(_xlpm.m=0,"",_xlpm.m+1))</f>
        <v/>
      </c>
      <c r="J400" s="137" t="inlineStr">
        <is>
          <t>NetSuite</t>
        </is>
      </c>
    </row>
    <row r="401">
      <c r="A401" s="5" t="inlineStr">
        <is>
          <t>B25 STETSON.MX</t>
        </is>
      </c>
      <c r="B401" s="5">
        <f>IF($I2="","",INDEX(Productos!$A:$A,$I2))</f>
        <v/>
      </c>
      <c r="C401" s="134" t="inlineStr">
        <is>
          <t>SSALMO-30408174</t>
        </is>
      </c>
      <c r="D401" s="5">
        <f>IF($I2="","",INDEX(Productos!$B:$B,$I2))</f>
        <v/>
      </c>
      <c r="E401" s="5">
        <f>IF($I2="","",INDEX(Productos!$H:$H,$I2))</f>
        <v/>
      </c>
      <c r="F401" s="5">
        <f>IF($I2="","",INDEX(Productos!$I:$I,$I2))</f>
        <v/>
      </c>
      <c r="G401" s="135" t="n">
        <v>2</v>
      </c>
      <c r="H401" s="5">
        <f>IF($I2="","",INDEX(Productos!$AG:$AG,$I2))</f>
        <v/>
      </c>
      <c r="I401" s="136">
        <f>LET(_xlpm.r,Productos!$E$2:$E$2509,_xlpm.m,IFERROR(_xlfn.XMATCH(C401,_xlpm.r),IFERROR(_xlfn.XMATCH(VALUE(C401),_xlpm.r),0)),IF(_xlpm.m=0,"",_xlpm.m+1))</f>
        <v/>
      </c>
      <c r="J401" s="137" t="inlineStr">
        <is>
          <t>NetSuite</t>
        </is>
      </c>
    </row>
    <row r="402">
      <c r="A402" s="5" t="inlineStr">
        <is>
          <t>B25 STETSON.MX</t>
        </is>
      </c>
      <c r="B402" s="5">
        <f>IF($I2="","",INDEX(Productos!$A:$A,$I2))</f>
        <v/>
      </c>
      <c r="C402" s="134" t="inlineStr">
        <is>
          <t>SSARPH-30428170</t>
        </is>
      </c>
      <c r="D402" s="5">
        <f>IF($I2="","",INDEX(Productos!$B:$B,$I2))</f>
        <v/>
      </c>
      <c r="E402" s="5">
        <f>IF($I2="","",INDEX(Productos!$H:$H,$I2))</f>
        <v/>
      </c>
      <c r="F402" s="5">
        <f>IF($I2="","",INDEX(Productos!$I:$I,$I2))</f>
        <v/>
      </c>
      <c r="G402" s="135" t="n">
        <v>1</v>
      </c>
      <c r="H402" s="5">
        <f>IF($I2="","",INDEX(Productos!$AG:$AG,$I2))</f>
        <v/>
      </c>
      <c r="I402" s="136">
        <f>LET(_xlpm.r,Productos!$E$2:$E$2509,_xlpm.m,IFERROR(_xlfn.XMATCH(C402,_xlpm.r),IFERROR(_xlfn.XMATCH(VALUE(C402),_xlpm.r),0)),IF(_xlpm.m=0,"",_xlpm.m+1))</f>
        <v/>
      </c>
      <c r="J402" s="137" t="inlineStr">
        <is>
          <t>NetSuite</t>
        </is>
      </c>
    </row>
    <row r="403">
      <c r="A403" s="5" t="inlineStr">
        <is>
          <t>B25 STETSON.MX</t>
        </is>
      </c>
      <c r="B403" s="5">
        <f>IF($I2="","",INDEX(Productos!$A:$A,$I2))</f>
        <v/>
      </c>
      <c r="C403" s="134" t="inlineStr">
        <is>
          <t>SSARPH-30428171</t>
        </is>
      </c>
      <c r="D403" s="5">
        <f>IF($I2="","",INDEX(Productos!$B:$B,$I2))</f>
        <v/>
      </c>
      <c r="E403" s="5">
        <f>IF($I2="","",INDEX(Productos!$H:$H,$I2))</f>
        <v/>
      </c>
      <c r="F403" s="5">
        <f>IF($I2="","",INDEX(Productos!$I:$I,$I2))</f>
        <v/>
      </c>
      <c r="G403" s="135" t="n">
        <v>2</v>
      </c>
      <c r="H403" s="5">
        <f>IF($I2="","",INDEX(Productos!$AG:$AG,$I2))</f>
        <v/>
      </c>
      <c r="I403" s="136">
        <f>LET(_xlpm.r,Productos!$E$2:$E$2509,_xlpm.m,IFERROR(_xlfn.XMATCH(C403,_xlpm.r),IFERROR(_xlfn.XMATCH(VALUE(C403),_xlpm.r),0)),IF(_xlpm.m=0,"",_xlpm.m+1))</f>
        <v/>
      </c>
      <c r="J403" s="137" t="inlineStr">
        <is>
          <t>NetSuite</t>
        </is>
      </c>
    </row>
    <row r="404">
      <c r="A404" s="5" t="inlineStr">
        <is>
          <t>B25 STETSON.MX</t>
        </is>
      </c>
      <c r="B404" s="5">
        <f>IF($I2="","",INDEX(Productos!$A:$A,$I2))</f>
        <v/>
      </c>
      <c r="C404" s="134" t="inlineStr">
        <is>
          <t>SSARPH-30428172</t>
        </is>
      </c>
      <c r="D404" s="5">
        <f>IF($I2="","",INDEX(Productos!$B:$B,$I2))</f>
        <v/>
      </c>
      <c r="E404" s="5">
        <f>IF($I2="","",INDEX(Productos!$H:$H,$I2))</f>
        <v/>
      </c>
      <c r="F404" s="5">
        <f>IF($I2="","",INDEX(Productos!$I:$I,$I2))</f>
        <v/>
      </c>
      <c r="G404" s="135" t="n">
        <v>1</v>
      </c>
      <c r="H404" s="5">
        <f>IF($I2="","",INDEX(Productos!$AG:$AG,$I2))</f>
        <v/>
      </c>
      <c r="I404" s="136">
        <f>LET(_xlpm.r,Productos!$E$2:$E$2509,_xlpm.m,IFERROR(_xlfn.XMATCH(C404,_xlpm.r),IFERROR(_xlfn.XMATCH(VALUE(C404),_xlpm.r),0)),IF(_xlpm.m=0,"",_xlpm.m+1))</f>
        <v/>
      </c>
      <c r="J404" s="137" t="inlineStr">
        <is>
          <t>NetSuite</t>
        </is>
      </c>
    </row>
    <row r="405">
      <c r="A405" s="5" t="inlineStr">
        <is>
          <t>B25 STETSON.MX</t>
        </is>
      </c>
      <c r="B405" s="5">
        <f>IF($I2="","",INDEX(Productos!$A:$A,$I2))</f>
        <v/>
      </c>
      <c r="C405" s="134" t="inlineStr">
        <is>
          <t>SSARPH-30428173</t>
        </is>
      </c>
      <c r="D405" s="5">
        <f>IF($I2="","",INDEX(Productos!$B:$B,$I2))</f>
        <v/>
      </c>
      <c r="E405" s="5">
        <f>IF($I2="","",INDEX(Productos!$H:$H,$I2))</f>
        <v/>
      </c>
      <c r="F405" s="5">
        <f>IF($I2="","",INDEX(Productos!$I:$I,$I2))</f>
        <v/>
      </c>
      <c r="G405" s="135" t="n">
        <v>4</v>
      </c>
      <c r="H405" s="5">
        <f>IF($I2="","",INDEX(Productos!$AG:$AG,$I2))</f>
        <v/>
      </c>
      <c r="I405" s="136">
        <f>LET(_xlpm.r,Productos!$E$2:$E$2509,_xlpm.m,IFERROR(_xlfn.XMATCH(C405,_xlpm.r),IFERROR(_xlfn.XMATCH(VALUE(C405),_xlpm.r),0)),IF(_xlpm.m=0,"",_xlpm.m+1))</f>
        <v/>
      </c>
      <c r="J405" s="137" t="inlineStr">
        <is>
          <t>NetSuite</t>
        </is>
      </c>
    </row>
    <row r="406">
      <c r="A406" s="5" t="inlineStr">
        <is>
          <t>B25 STETSON.MX</t>
        </is>
      </c>
      <c r="B406" s="5">
        <f>IF($I2="","",INDEX(Productos!$A:$A,$I2))</f>
        <v/>
      </c>
      <c r="C406" s="134" t="inlineStr">
        <is>
          <t>SSBKER-30428173</t>
        </is>
      </c>
      <c r="D406" s="5">
        <f>IF($I2="","",INDEX(Productos!$B:$B,$I2))</f>
        <v/>
      </c>
      <c r="E406" s="5">
        <f>IF($I2="","",INDEX(Productos!$H:$H,$I2))</f>
        <v/>
      </c>
      <c r="F406" s="5">
        <f>IF($I2="","",INDEX(Productos!$I:$I,$I2))</f>
        <v/>
      </c>
      <c r="G406" s="135" t="n">
        <v>1</v>
      </c>
      <c r="H406" s="5">
        <f>IF($I2="","",INDEX(Productos!$AG:$AG,$I2))</f>
        <v/>
      </c>
      <c r="I406" s="136">
        <f>LET(_xlpm.r,Productos!$E$2:$E$2509,_xlpm.m,IFERROR(_xlfn.XMATCH(C406,_xlpm.r),IFERROR(_xlfn.XMATCH(VALUE(C406),_xlpm.r),0)),IF(_xlpm.m=0,"",_xlpm.m+1))</f>
        <v/>
      </c>
      <c r="J406" s="137" t="inlineStr">
        <is>
          <t>NetSuite</t>
        </is>
      </c>
    </row>
    <row r="407">
      <c r="A407" s="5" t="inlineStr">
        <is>
          <t>B25 STETSON.MX</t>
        </is>
      </c>
      <c r="B407" s="5">
        <f>IF($I2="","",INDEX(Productos!$A:$A,$I2))</f>
        <v/>
      </c>
      <c r="C407" s="134" t="inlineStr">
        <is>
          <t>SSBKER-30428174</t>
        </is>
      </c>
      <c r="D407" s="5">
        <f>IF($I2="","",INDEX(Productos!$B:$B,$I2))</f>
        <v/>
      </c>
      <c r="E407" s="5">
        <f>IF($I2="","",INDEX(Productos!$H:$H,$I2))</f>
        <v/>
      </c>
      <c r="F407" s="5">
        <f>IF($I2="","",INDEX(Productos!$I:$I,$I2))</f>
        <v/>
      </c>
      <c r="G407" s="135" t="n">
        <v>1</v>
      </c>
      <c r="H407" s="5">
        <f>IF($I2="","",INDEX(Productos!$AG:$AG,$I2))</f>
        <v/>
      </c>
      <c r="I407" s="136">
        <f>LET(_xlpm.r,Productos!$E$2:$E$2509,_xlpm.m,IFERROR(_xlfn.XMATCH(C407,_xlpm.r),IFERROR(_xlfn.XMATCH(VALUE(C407),_xlpm.r),0)),IF(_xlpm.m=0,"",_xlpm.m+1))</f>
        <v/>
      </c>
      <c r="J407" s="137" t="inlineStr">
        <is>
          <t>NetSuite</t>
        </is>
      </c>
    </row>
    <row r="408">
      <c r="A408" s="5" t="inlineStr">
        <is>
          <t>B25 STETSON.MX</t>
        </is>
      </c>
      <c r="B408" s="5">
        <f>IF($I2="","",INDEX(Productos!$A:$A,$I2))</f>
        <v/>
      </c>
      <c r="C408" s="134" t="inlineStr">
        <is>
          <t>SSBKWD-WR428170</t>
        </is>
      </c>
      <c r="D408" s="5">
        <f>IF($I2="","",INDEX(Productos!$B:$B,$I2))</f>
        <v/>
      </c>
      <c r="E408" s="5">
        <f>IF($I2="","",INDEX(Productos!$H:$H,$I2))</f>
        <v/>
      </c>
      <c r="F408" s="5">
        <f>IF($I2="","",INDEX(Productos!$I:$I,$I2))</f>
        <v/>
      </c>
      <c r="G408" s="135" t="n">
        <v>1</v>
      </c>
      <c r="H408" s="5">
        <f>IF($I2="","",INDEX(Productos!$AG:$AG,$I2))</f>
        <v/>
      </c>
      <c r="I408" s="136">
        <f>LET(_xlpm.r,Productos!$E$2:$E$2509,_xlpm.m,IFERROR(_xlfn.XMATCH(C408,_xlpm.r),IFERROR(_xlfn.XMATCH(VALUE(C408),_xlpm.r),0)),IF(_xlpm.m=0,"",_xlpm.m+1))</f>
        <v/>
      </c>
      <c r="J408" s="137" t="inlineStr">
        <is>
          <t>NetSuite</t>
        </is>
      </c>
    </row>
    <row r="409">
      <c r="A409" s="5" t="inlineStr">
        <is>
          <t>B25 STETSON.MX</t>
        </is>
      </c>
      <c r="B409" s="5">
        <f>IF($I2="","",INDEX(Productos!$A:$A,$I2))</f>
        <v/>
      </c>
      <c r="C409" s="134" t="inlineStr">
        <is>
          <t>SSBKWD-WR428171</t>
        </is>
      </c>
      <c r="D409" s="5">
        <f>IF($I2="","",INDEX(Productos!$B:$B,$I2))</f>
        <v/>
      </c>
      <c r="E409" s="5">
        <f>IF($I2="","",INDEX(Productos!$H:$H,$I2))</f>
        <v/>
      </c>
      <c r="F409" s="5">
        <f>IF($I2="","",INDEX(Productos!$I:$I,$I2))</f>
        <v/>
      </c>
      <c r="G409" s="135" t="n">
        <v>1</v>
      </c>
      <c r="H409" s="5">
        <f>IF($I2="","",INDEX(Productos!$AG:$AG,$I2))</f>
        <v/>
      </c>
      <c r="I409" s="136">
        <f>LET(_xlpm.r,Productos!$E$2:$E$2509,_xlpm.m,IFERROR(_xlfn.XMATCH(C409,_xlpm.r),IFERROR(_xlfn.XMATCH(VALUE(C409),_xlpm.r),0)),IF(_xlpm.m=0,"",_xlpm.m+1))</f>
        <v/>
      </c>
      <c r="J409" s="137" t="inlineStr">
        <is>
          <t>NetSuite</t>
        </is>
      </c>
    </row>
    <row r="410">
      <c r="A410" s="5" t="inlineStr">
        <is>
          <t>B25 STETSON.MX</t>
        </is>
      </c>
      <c r="B410" s="5">
        <f>IF($I2="","",INDEX(Productos!$A:$A,$I2))</f>
        <v/>
      </c>
      <c r="C410" s="134" t="inlineStr">
        <is>
          <t>SSBKWD-WR428172</t>
        </is>
      </c>
      <c r="D410" s="5">
        <f>IF($I2="","",INDEX(Productos!$B:$B,$I2))</f>
        <v/>
      </c>
      <c r="E410" s="5">
        <f>IF($I2="","",INDEX(Productos!$H:$H,$I2))</f>
        <v/>
      </c>
      <c r="F410" s="5">
        <f>IF($I2="","",INDEX(Productos!$I:$I,$I2))</f>
        <v/>
      </c>
      <c r="G410" s="135" t="n">
        <v>2</v>
      </c>
      <c r="H410" s="5">
        <f>IF($I2="","",INDEX(Productos!$AG:$AG,$I2))</f>
        <v/>
      </c>
      <c r="I410" s="136">
        <f>LET(_xlpm.r,Productos!$E$2:$E$2509,_xlpm.m,IFERROR(_xlfn.XMATCH(C410,_xlpm.r),IFERROR(_xlfn.XMATCH(VALUE(C410),_xlpm.r),0)),IF(_xlpm.m=0,"",_xlpm.m+1))</f>
        <v/>
      </c>
      <c r="J410" s="137" t="inlineStr">
        <is>
          <t>NetSuite</t>
        </is>
      </c>
    </row>
    <row r="411">
      <c r="A411" s="5" t="inlineStr">
        <is>
          <t>B25 STETSON.MX</t>
        </is>
      </c>
      <c r="B411" s="5">
        <f>IF($I2="","",INDEX(Productos!$A:$A,$I2))</f>
        <v/>
      </c>
      <c r="C411" s="134" t="inlineStr">
        <is>
          <t>SSBKWD-WR428173</t>
        </is>
      </c>
      <c r="D411" s="5">
        <f>IF($I2="","",INDEX(Productos!$B:$B,$I2))</f>
        <v/>
      </c>
      <c r="E411" s="5">
        <f>IF($I2="","",INDEX(Productos!$H:$H,$I2))</f>
        <v/>
      </c>
      <c r="F411" s="5">
        <f>IF($I2="","",INDEX(Productos!$I:$I,$I2))</f>
        <v/>
      </c>
      <c r="G411" s="135" t="n">
        <v>4</v>
      </c>
      <c r="H411" s="5">
        <f>IF($I2="","",INDEX(Productos!$AG:$AG,$I2))</f>
        <v/>
      </c>
      <c r="I411" s="136">
        <f>LET(_xlpm.r,Productos!$E$2:$E$2509,_xlpm.m,IFERROR(_xlfn.XMATCH(C411,_xlpm.r),IFERROR(_xlfn.XMATCH(VALUE(C411),_xlpm.r),0)),IF(_xlpm.m=0,"",_xlpm.m+1))</f>
        <v/>
      </c>
      <c r="J411" s="137" t="inlineStr">
        <is>
          <t>NetSuite</t>
        </is>
      </c>
    </row>
    <row r="412">
      <c r="A412" s="5" t="inlineStr">
        <is>
          <t>B25 STETSON.MX</t>
        </is>
      </c>
      <c r="B412" s="5">
        <f>IF($I2="","",INDEX(Productos!$A:$A,$I2))</f>
        <v/>
      </c>
      <c r="C412" s="134" t="inlineStr">
        <is>
          <t>SSBKWD-WR428174</t>
        </is>
      </c>
      <c r="D412" s="5">
        <f>IF($I2="","",INDEX(Productos!$B:$B,$I2))</f>
        <v/>
      </c>
      <c r="E412" s="5">
        <f>IF($I2="","",INDEX(Productos!$H:$H,$I2))</f>
        <v/>
      </c>
      <c r="F412" s="5">
        <f>IF($I2="","",INDEX(Productos!$I:$I,$I2))</f>
        <v/>
      </c>
      <c r="G412" s="135" t="n">
        <v>2</v>
      </c>
      <c r="H412" s="5">
        <f>IF($I2="","",INDEX(Productos!$AG:$AG,$I2))</f>
        <v/>
      </c>
      <c r="I412" s="136">
        <f>LET(_xlpm.r,Productos!$E$2:$E$2509,_xlpm.m,IFERROR(_xlfn.XMATCH(C412,_xlpm.r),IFERROR(_xlfn.XMATCH(VALUE(C412),_xlpm.r),0)),IF(_xlpm.m=0,"",_xlpm.m+1))</f>
        <v/>
      </c>
      <c r="J412" s="137" t="inlineStr">
        <is>
          <t>NetSuite</t>
        </is>
      </c>
    </row>
    <row r="413">
      <c r="A413" s="5" t="inlineStr">
        <is>
          <t>B25 STETSON.MX</t>
        </is>
      </c>
      <c r="B413" s="5">
        <f>IF($I2="","",INDEX(Productos!$A:$A,$I2))</f>
        <v/>
      </c>
      <c r="C413" s="134" t="inlineStr">
        <is>
          <t>SSBLJR-733681AL</t>
        </is>
      </c>
      <c r="D413" s="5">
        <f>IF($I2="","",INDEX(Productos!$B:$B,$I2))</f>
        <v/>
      </c>
      <c r="E413" s="5">
        <f>IF($I2="","",INDEX(Productos!$H:$H,$I2))</f>
        <v/>
      </c>
      <c r="F413" s="5">
        <f>IF($I2="","",INDEX(Productos!$I:$I,$I2))</f>
        <v/>
      </c>
      <c r="G413" s="135" t="n">
        <v>10</v>
      </c>
      <c r="H413" s="5">
        <f>IF($I2="","",INDEX(Productos!$AG:$AG,$I2))</f>
        <v/>
      </c>
      <c r="I413" s="136">
        <f>LET(_xlpm.r,Productos!$E$2:$E$2509,_xlpm.m,IFERROR(_xlfn.XMATCH(C413,_xlpm.r),IFERROR(_xlfn.XMATCH(VALUE(C413),_xlpm.r),0)),IF(_xlpm.m=0,"",_xlpm.m+1))</f>
        <v/>
      </c>
      <c r="J413" s="137" t="inlineStr">
        <is>
          <t>NetSuite</t>
        </is>
      </c>
    </row>
    <row r="414">
      <c r="A414" s="5" t="inlineStr">
        <is>
          <t>B25 STETSON.MX</t>
        </is>
      </c>
      <c r="B414" s="5">
        <f>IF($I2="","",INDEX(Productos!$A:$A,$I2))</f>
        <v/>
      </c>
      <c r="C414" s="134" t="inlineStr">
        <is>
          <t>SSCRLY-30428171</t>
        </is>
      </c>
      <c r="D414" s="5">
        <f>IF($I2="","",INDEX(Productos!$B:$B,$I2))</f>
        <v/>
      </c>
      <c r="E414" s="5">
        <f>IF($I2="","",INDEX(Productos!$H:$H,$I2))</f>
        <v/>
      </c>
      <c r="F414" s="5">
        <f>IF($I2="","",INDEX(Productos!$I:$I,$I2))</f>
        <v/>
      </c>
      <c r="G414" s="135" t="n">
        <v>2</v>
      </c>
      <c r="H414" s="5">
        <f>IF($I2="","",INDEX(Productos!$AG:$AG,$I2))</f>
        <v/>
      </c>
      <c r="I414" s="136">
        <f>LET(_xlpm.r,Productos!$E$2:$E$2509,_xlpm.m,IFERROR(_xlfn.XMATCH(C414,_xlpm.r),IFERROR(_xlfn.XMATCH(VALUE(C414),_xlpm.r),0)),IF(_xlpm.m=0,"",_xlpm.m+1))</f>
        <v/>
      </c>
      <c r="J414" s="137" t="inlineStr">
        <is>
          <t>NetSuite</t>
        </is>
      </c>
    </row>
    <row r="415">
      <c r="A415" s="5" t="inlineStr">
        <is>
          <t>B25 STETSON.MX</t>
        </is>
      </c>
      <c r="B415" s="5">
        <f>IF($I2="","",INDEX(Productos!$A:$A,$I2))</f>
        <v/>
      </c>
      <c r="C415" s="134" t="inlineStr">
        <is>
          <t>SSCRLY-30428172</t>
        </is>
      </c>
      <c r="D415" s="5">
        <f>IF($I2="","",INDEX(Productos!$B:$B,$I2))</f>
        <v/>
      </c>
      <c r="E415" s="5">
        <f>IF($I2="","",INDEX(Productos!$H:$H,$I2))</f>
        <v/>
      </c>
      <c r="F415" s="5">
        <f>IF($I2="","",INDEX(Productos!$I:$I,$I2))</f>
        <v/>
      </c>
      <c r="G415" s="135" t="n">
        <v>2</v>
      </c>
      <c r="H415" s="5">
        <f>IF($I2="","",INDEX(Productos!$AG:$AG,$I2))</f>
        <v/>
      </c>
      <c r="I415" s="136">
        <f>LET(_xlpm.r,Productos!$E$2:$E$2509,_xlpm.m,IFERROR(_xlfn.XMATCH(C415,_xlpm.r),IFERROR(_xlfn.XMATCH(VALUE(C415),_xlpm.r),0)),IF(_xlpm.m=0,"",_xlpm.m+1))</f>
        <v/>
      </c>
      <c r="J415" s="137" t="inlineStr">
        <is>
          <t>NetSuite</t>
        </is>
      </c>
    </row>
    <row r="416">
      <c r="A416" s="5" t="inlineStr">
        <is>
          <t>B25 STETSON.MX</t>
        </is>
      </c>
      <c r="B416" s="5">
        <f>IF($I2="","",INDEX(Productos!$A:$A,$I2))</f>
        <v/>
      </c>
      <c r="C416" s="134" t="inlineStr">
        <is>
          <t>SSCRLY-30428173</t>
        </is>
      </c>
      <c r="D416" s="5">
        <f>IF($I2="","",INDEX(Productos!$B:$B,$I2))</f>
        <v/>
      </c>
      <c r="E416" s="5">
        <f>IF($I2="","",INDEX(Productos!$H:$H,$I2))</f>
        <v/>
      </c>
      <c r="F416" s="5">
        <f>IF($I2="","",INDEX(Productos!$I:$I,$I2))</f>
        <v/>
      </c>
      <c r="G416" s="135" t="n">
        <v>1</v>
      </c>
      <c r="H416" s="5">
        <f>IF($I2="","",INDEX(Productos!$AG:$AG,$I2))</f>
        <v/>
      </c>
      <c r="I416" s="136">
        <f>LET(_xlpm.r,Productos!$E$2:$E$2509,_xlpm.m,IFERROR(_xlfn.XMATCH(C416,_xlpm.r),IFERROR(_xlfn.XMATCH(VALUE(C416),_xlpm.r),0)),IF(_xlpm.m=0,"",_xlpm.m+1))</f>
        <v/>
      </c>
      <c r="J416" s="137" t="inlineStr">
        <is>
          <t>NetSuite</t>
        </is>
      </c>
    </row>
    <row r="417">
      <c r="A417" s="5" t="inlineStr">
        <is>
          <t>B25 STETSON.MX</t>
        </is>
      </c>
      <c r="B417" s="5">
        <f>IF($I2="","",INDEX(Productos!$A:$A,$I2))</f>
        <v/>
      </c>
      <c r="C417" s="134" t="inlineStr">
        <is>
          <t>SSELMW-30428170</t>
        </is>
      </c>
      <c r="D417" s="5">
        <f>IF($I2="","",INDEX(Productos!$B:$B,$I2))</f>
        <v/>
      </c>
      <c r="E417" s="5">
        <f>IF($I2="","",INDEX(Productos!$H:$H,$I2))</f>
        <v/>
      </c>
      <c r="F417" s="5">
        <f>IF($I2="","",INDEX(Productos!$I:$I,$I2))</f>
        <v/>
      </c>
      <c r="G417" s="135" t="n">
        <v>1</v>
      </c>
      <c r="H417" s="5">
        <f>IF($I2="","",INDEX(Productos!$AG:$AG,$I2))</f>
        <v/>
      </c>
      <c r="I417" s="136">
        <f>LET(_xlpm.r,Productos!$E$2:$E$2509,_xlpm.m,IFERROR(_xlfn.XMATCH(C417,_xlpm.r),IFERROR(_xlfn.XMATCH(VALUE(C417),_xlpm.r),0)),IF(_xlpm.m=0,"",_xlpm.m+1))</f>
        <v/>
      </c>
      <c r="J417" s="137" t="inlineStr">
        <is>
          <t>NetSuite</t>
        </is>
      </c>
    </row>
    <row r="418">
      <c r="A418" s="5" t="inlineStr">
        <is>
          <t>B25 STETSON.MX</t>
        </is>
      </c>
      <c r="B418" s="5">
        <f>IF($I2="","",INDEX(Productos!$A:$A,$I2))</f>
        <v/>
      </c>
      <c r="C418" s="134" t="inlineStr">
        <is>
          <t>SSELMW-30428171</t>
        </is>
      </c>
      <c r="D418" s="5">
        <f>IF($I2="","",INDEX(Productos!$B:$B,$I2))</f>
        <v/>
      </c>
      <c r="E418" s="5">
        <f>IF($I2="","",INDEX(Productos!$H:$H,$I2))</f>
        <v/>
      </c>
      <c r="F418" s="5">
        <f>IF($I2="","",INDEX(Productos!$I:$I,$I2))</f>
        <v/>
      </c>
      <c r="G418" s="135" t="n">
        <v>2</v>
      </c>
      <c r="H418" s="5">
        <f>IF($I2="","",INDEX(Productos!$AG:$AG,$I2))</f>
        <v/>
      </c>
      <c r="I418" s="136">
        <f>LET(_xlpm.r,Productos!$E$2:$E$2509,_xlpm.m,IFERROR(_xlfn.XMATCH(C418,_xlpm.r),IFERROR(_xlfn.XMATCH(VALUE(C418),_xlpm.r),0)),IF(_xlpm.m=0,"",_xlpm.m+1))</f>
        <v/>
      </c>
      <c r="J418" s="137" t="inlineStr">
        <is>
          <t>NetSuite</t>
        </is>
      </c>
    </row>
    <row r="419">
      <c r="A419" s="5" t="inlineStr">
        <is>
          <t>B25 STETSON.MX</t>
        </is>
      </c>
      <c r="B419" s="5">
        <f>IF($I2="","",INDEX(Productos!$A:$A,$I2))</f>
        <v/>
      </c>
      <c r="C419" s="134" t="inlineStr">
        <is>
          <t>SSELMW-30428172</t>
        </is>
      </c>
      <c r="D419" s="5">
        <f>IF($I2="","",INDEX(Productos!$B:$B,$I2))</f>
        <v/>
      </c>
      <c r="E419" s="5">
        <f>IF($I2="","",INDEX(Productos!$H:$H,$I2))</f>
        <v/>
      </c>
      <c r="F419" s="5">
        <f>IF($I2="","",INDEX(Productos!$I:$I,$I2))</f>
        <v/>
      </c>
      <c r="G419" s="135" t="n">
        <v>4</v>
      </c>
      <c r="H419" s="5">
        <f>IF($I2="","",INDEX(Productos!$AG:$AG,$I2))</f>
        <v/>
      </c>
      <c r="I419" s="136">
        <f>LET(_xlpm.r,Productos!$E$2:$E$2509,_xlpm.m,IFERROR(_xlfn.XMATCH(C419,_xlpm.r),IFERROR(_xlfn.XMATCH(VALUE(C419),_xlpm.r),0)),IF(_xlpm.m=0,"",_xlpm.m+1))</f>
        <v/>
      </c>
      <c r="J419" s="137" t="inlineStr">
        <is>
          <t>NetSuite</t>
        </is>
      </c>
    </row>
    <row r="420">
      <c r="A420" s="5" t="inlineStr">
        <is>
          <t>B25 STETSON.MX</t>
        </is>
      </c>
      <c r="B420" s="5">
        <f>IF($I2="","",INDEX(Productos!$A:$A,$I2))</f>
        <v/>
      </c>
      <c r="C420" s="134" t="inlineStr">
        <is>
          <t>SSELMW-30428173</t>
        </is>
      </c>
      <c r="D420" s="5">
        <f>IF($I2="","",INDEX(Productos!$B:$B,$I2))</f>
        <v/>
      </c>
      <c r="E420" s="5">
        <f>IF($I2="","",INDEX(Productos!$H:$H,$I2))</f>
        <v/>
      </c>
      <c r="F420" s="5">
        <f>IF($I2="","",INDEX(Productos!$I:$I,$I2))</f>
        <v/>
      </c>
      <c r="G420" s="135" t="n">
        <v>4</v>
      </c>
      <c r="H420" s="5">
        <f>IF($I2="","",INDEX(Productos!$AG:$AG,$I2))</f>
        <v/>
      </c>
      <c r="I420" s="136">
        <f>LET(_xlpm.r,Productos!$E$2:$E$2509,_xlpm.m,IFERROR(_xlfn.XMATCH(C420,_xlpm.r),IFERROR(_xlfn.XMATCH(VALUE(C420),_xlpm.r),0)),IF(_xlpm.m=0,"",_xlpm.m+1))</f>
        <v/>
      </c>
      <c r="J420" s="137" t="inlineStr">
        <is>
          <t>NetSuite</t>
        </is>
      </c>
    </row>
    <row r="421">
      <c r="A421" s="5" t="inlineStr">
        <is>
          <t>B25 STETSON.MX</t>
        </is>
      </c>
      <c r="B421" s="5">
        <f>IF($I2="","",INDEX(Productos!$A:$A,$I2))</f>
        <v/>
      </c>
      <c r="C421" s="134" t="inlineStr">
        <is>
          <t>SSELMW-30428174</t>
        </is>
      </c>
      <c r="D421" s="5">
        <f>IF($I2="","",INDEX(Productos!$B:$B,$I2))</f>
        <v/>
      </c>
      <c r="E421" s="5">
        <f>IF($I2="","",INDEX(Productos!$H:$H,$I2))</f>
        <v/>
      </c>
      <c r="F421" s="5">
        <f>IF($I2="","",INDEX(Productos!$I:$I,$I2))</f>
        <v/>
      </c>
      <c r="G421" s="135" t="n">
        <v>3</v>
      </c>
      <c r="H421" s="5">
        <f>IF($I2="","",INDEX(Productos!$AG:$AG,$I2))</f>
        <v/>
      </c>
      <c r="I421" s="136">
        <f>LET(_xlpm.r,Productos!$E$2:$E$2509,_xlpm.m,IFERROR(_xlfn.XMATCH(C421,_xlpm.r),IFERROR(_xlfn.XMATCH(VALUE(C421),_xlpm.r),0)),IF(_xlpm.m=0,"",_xlpm.m+1))</f>
        <v/>
      </c>
      <c r="J421" s="137" t="inlineStr">
        <is>
          <t>NetSuite</t>
        </is>
      </c>
    </row>
    <row r="422">
      <c r="A422" s="5" t="inlineStr">
        <is>
          <t>B25 STETSON.MX</t>
        </is>
      </c>
      <c r="B422" s="5">
        <f>IF($I2="","",INDEX(Productos!$A:$A,$I2))</f>
        <v/>
      </c>
      <c r="C422" s="134" t="inlineStr">
        <is>
          <t>SSGAIN-68428170</t>
        </is>
      </c>
      <c r="D422" s="5">
        <f>IF($I2="","",INDEX(Productos!$B:$B,$I2))</f>
        <v/>
      </c>
      <c r="E422" s="5">
        <f>IF($I2="","",INDEX(Productos!$H:$H,$I2))</f>
        <v/>
      </c>
      <c r="F422" s="5">
        <f>IF($I2="","",INDEX(Productos!$I:$I,$I2))</f>
        <v/>
      </c>
      <c r="G422" s="135" t="n">
        <v>1</v>
      </c>
      <c r="H422" s="5">
        <f>IF($I2="","",INDEX(Productos!$AG:$AG,$I2))</f>
        <v/>
      </c>
      <c r="I422" s="136">
        <f>LET(_xlpm.r,Productos!$E$2:$E$2509,_xlpm.m,IFERROR(_xlfn.XMATCH(C422,_xlpm.r),IFERROR(_xlfn.XMATCH(VALUE(C422),_xlpm.r),0)),IF(_xlpm.m=0,"",_xlpm.m+1))</f>
        <v/>
      </c>
      <c r="J422" s="137" t="inlineStr">
        <is>
          <t>NetSuite</t>
        </is>
      </c>
    </row>
    <row r="423">
      <c r="A423" s="5" t="inlineStr">
        <is>
          <t>B25 STETSON.MX</t>
        </is>
      </c>
      <c r="B423" s="5">
        <f>IF($I2="","",INDEX(Productos!$A:$A,$I2))</f>
        <v/>
      </c>
      <c r="C423" s="134" t="inlineStr">
        <is>
          <t>SSGAIN-68428171</t>
        </is>
      </c>
      <c r="D423" s="5">
        <f>IF($I2="","",INDEX(Productos!$B:$B,$I2))</f>
        <v/>
      </c>
      <c r="E423" s="5">
        <f>IF($I2="","",INDEX(Productos!$H:$H,$I2))</f>
        <v/>
      </c>
      <c r="F423" s="5">
        <f>IF($I2="","",INDEX(Productos!$I:$I,$I2))</f>
        <v/>
      </c>
      <c r="G423" s="135" t="n">
        <v>4</v>
      </c>
      <c r="H423" s="5">
        <f>IF($I2="","",INDEX(Productos!$AG:$AG,$I2))</f>
        <v/>
      </c>
      <c r="I423" s="136">
        <f>LET(_xlpm.r,Productos!$E$2:$E$2509,_xlpm.m,IFERROR(_xlfn.XMATCH(C423,_xlpm.r),IFERROR(_xlfn.XMATCH(VALUE(C423),_xlpm.r),0)),IF(_xlpm.m=0,"",_xlpm.m+1))</f>
        <v/>
      </c>
      <c r="J423" s="137" t="inlineStr">
        <is>
          <t>NetSuite</t>
        </is>
      </c>
    </row>
    <row r="424">
      <c r="A424" s="5" t="inlineStr">
        <is>
          <t>B25 STETSON.MX</t>
        </is>
      </c>
      <c r="B424" s="5">
        <f>IF($I2="","",INDEX(Productos!$A:$A,$I2))</f>
        <v/>
      </c>
      <c r="C424" s="134" t="inlineStr">
        <is>
          <t>SSGAIN-68428172</t>
        </is>
      </c>
      <c r="D424" s="5">
        <f>IF($I2="","",INDEX(Productos!$B:$B,$I2))</f>
        <v/>
      </c>
      <c r="E424" s="5">
        <f>IF($I2="","",INDEX(Productos!$H:$H,$I2))</f>
        <v/>
      </c>
      <c r="F424" s="5">
        <f>IF($I2="","",INDEX(Productos!$I:$I,$I2))</f>
        <v/>
      </c>
      <c r="G424" s="135" t="n">
        <v>1</v>
      </c>
      <c r="H424" s="5">
        <f>IF($I2="","",INDEX(Productos!$AG:$AG,$I2))</f>
        <v/>
      </c>
      <c r="I424" s="136">
        <f>LET(_xlpm.r,Productos!$E$2:$E$2509,_xlpm.m,IFERROR(_xlfn.XMATCH(C424,_xlpm.r),IFERROR(_xlfn.XMATCH(VALUE(C424),_xlpm.r),0)),IF(_xlpm.m=0,"",_xlpm.m+1))</f>
        <v/>
      </c>
      <c r="J424" s="137" t="inlineStr">
        <is>
          <t>NetSuite</t>
        </is>
      </c>
    </row>
    <row r="425">
      <c r="A425" s="5" t="inlineStr">
        <is>
          <t>B25 STETSON.MX</t>
        </is>
      </c>
      <c r="B425" s="5">
        <f>IF($I2="","",INDEX(Productos!$A:$A,$I2))</f>
        <v/>
      </c>
      <c r="C425" s="134" t="inlineStr">
        <is>
          <t>SSGAIN-68428173</t>
        </is>
      </c>
      <c r="D425" s="5">
        <f>IF($I2="","",INDEX(Productos!$B:$B,$I2))</f>
        <v/>
      </c>
      <c r="E425" s="5">
        <f>IF($I2="","",INDEX(Productos!$H:$H,$I2))</f>
        <v/>
      </c>
      <c r="F425" s="5">
        <f>IF($I2="","",INDEX(Productos!$I:$I,$I2))</f>
        <v/>
      </c>
      <c r="G425" s="135" t="n">
        <v>2</v>
      </c>
      <c r="H425" s="5">
        <f>IF($I2="","",INDEX(Productos!$AG:$AG,$I2))</f>
        <v/>
      </c>
      <c r="I425" s="136">
        <f>LET(_xlpm.r,Productos!$E$2:$E$2509,_xlpm.m,IFERROR(_xlfn.XMATCH(C425,_xlpm.r),IFERROR(_xlfn.XMATCH(VALUE(C425),_xlpm.r),0)),IF(_xlpm.m=0,"",_xlpm.m+1))</f>
        <v/>
      </c>
      <c r="J425" s="137" t="inlineStr">
        <is>
          <t>NetSuite</t>
        </is>
      </c>
    </row>
    <row r="426">
      <c r="A426" s="5" t="inlineStr">
        <is>
          <t>B25 STETSON.MX</t>
        </is>
      </c>
      <c r="B426" s="5">
        <f>IF($I2="","",INDEX(Productos!$A:$A,$I2))</f>
        <v/>
      </c>
      <c r="C426" s="134" t="inlineStr">
        <is>
          <t>SSGNFT-66428171</t>
        </is>
      </c>
      <c r="D426" s="5">
        <f>IF($I2="","",INDEX(Productos!$B:$B,$I2))</f>
        <v/>
      </c>
      <c r="E426" s="5">
        <f>IF($I2="","",INDEX(Productos!$H:$H,$I2))</f>
        <v/>
      </c>
      <c r="F426" s="5">
        <f>IF($I2="","",INDEX(Productos!$I:$I,$I2))</f>
        <v/>
      </c>
      <c r="G426" s="135" t="n">
        <v>1</v>
      </c>
      <c r="H426" s="5">
        <f>IF($I2="","",INDEX(Productos!$AG:$AG,$I2))</f>
        <v/>
      </c>
      <c r="I426" s="136">
        <f>LET(_xlpm.r,Productos!$E$2:$E$2509,_xlpm.m,IFERROR(_xlfn.XMATCH(C426,_xlpm.r),IFERROR(_xlfn.XMATCH(VALUE(C426),_xlpm.r),0)),IF(_xlpm.m=0,"",_xlpm.m+1))</f>
        <v/>
      </c>
      <c r="J426" s="137" t="inlineStr">
        <is>
          <t>NetSuite</t>
        </is>
      </c>
    </row>
    <row r="427">
      <c r="A427" s="5" t="inlineStr">
        <is>
          <t>B25 STETSON.MX</t>
        </is>
      </c>
      <c r="B427" s="5">
        <f>IF($I2="","",INDEX(Productos!$A:$A,$I2))</f>
        <v/>
      </c>
      <c r="C427" s="134" t="inlineStr">
        <is>
          <t>SSHGMN-30428167</t>
        </is>
      </c>
      <c r="D427" s="5">
        <f>IF($I2="","",INDEX(Productos!$B:$B,$I2))</f>
        <v/>
      </c>
      <c r="E427" s="5">
        <f>IF($I2="","",INDEX(Productos!$H:$H,$I2))</f>
        <v/>
      </c>
      <c r="F427" s="5">
        <f>IF($I2="","",INDEX(Productos!$I:$I,$I2))</f>
        <v/>
      </c>
      <c r="G427" s="135" t="n">
        <v>1</v>
      </c>
      <c r="H427" s="5">
        <f>IF($I2="","",INDEX(Productos!$AG:$AG,$I2))</f>
        <v/>
      </c>
      <c r="I427" s="136">
        <f>LET(_xlpm.r,Productos!$E$2:$E$2509,_xlpm.m,IFERROR(_xlfn.XMATCH(C427,_xlpm.r),IFERROR(_xlfn.XMATCH(VALUE(C427),_xlpm.r),0)),IF(_xlpm.m=0,"",_xlpm.m+1))</f>
        <v/>
      </c>
      <c r="J427" s="137" t="inlineStr">
        <is>
          <t>NetSuite</t>
        </is>
      </c>
    </row>
    <row r="428">
      <c r="A428" s="5" t="inlineStr">
        <is>
          <t>B25 STETSON.MX</t>
        </is>
      </c>
      <c r="B428" s="5">
        <f>IF($I2="","",INDEX(Productos!$A:$A,$I2))</f>
        <v/>
      </c>
      <c r="C428" s="134" t="inlineStr">
        <is>
          <t>SSHGMN-30428171</t>
        </is>
      </c>
      <c r="D428" s="5">
        <f>IF($I2="","",INDEX(Productos!$B:$B,$I2))</f>
        <v/>
      </c>
      <c r="E428" s="5">
        <f>IF($I2="","",INDEX(Productos!$H:$H,$I2))</f>
        <v/>
      </c>
      <c r="F428" s="5">
        <f>IF($I2="","",INDEX(Productos!$I:$I,$I2))</f>
        <v/>
      </c>
      <c r="G428" s="135" t="n">
        <v>3</v>
      </c>
      <c r="H428" s="5">
        <f>IF($I2="","",INDEX(Productos!$AG:$AG,$I2))</f>
        <v/>
      </c>
      <c r="I428" s="136">
        <f>LET(_xlpm.r,Productos!$E$2:$E$2509,_xlpm.m,IFERROR(_xlfn.XMATCH(C428,_xlpm.r),IFERROR(_xlfn.XMATCH(VALUE(C428),_xlpm.r),0)),IF(_xlpm.m=0,"",_xlpm.m+1))</f>
        <v/>
      </c>
      <c r="J428" s="137" t="inlineStr">
        <is>
          <t>NetSuite</t>
        </is>
      </c>
    </row>
    <row r="429">
      <c r="A429" s="5" t="inlineStr">
        <is>
          <t>B25 STETSON.MX</t>
        </is>
      </c>
      <c r="B429" s="5">
        <f>IF($I2="","",INDEX(Productos!$A:$A,$I2))</f>
        <v/>
      </c>
      <c r="C429" s="134" t="inlineStr">
        <is>
          <t>SSHGMN-30428172</t>
        </is>
      </c>
      <c r="D429" s="5">
        <f>IF($I2="","",INDEX(Productos!$B:$B,$I2))</f>
        <v/>
      </c>
      <c r="E429" s="5">
        <f>IF($I2="","",INDEX(Productos!$H:$H,$I2))</f>
        <v/>
      </c>
      <c r="F429" s="5">
        <f>IF($I2="","",INDEX(Productos!$I:$I,$I2))</f>
        <v/>
      </c>
      <c r="G429" s="135" t="n">
        <v>3</v>
      </c>
      <c r="H429" s="5">
        <f>IF($I2="","",INDEX(Productos!$AG:$AG,$I2))</f>
        <v/>
      </c>
      <c r="I429" s="136">
        <f>LET(_xlpm.r,Productos!$E$2:$E$2509,_xlpm.m,IFERROR(_xlfn.XMATCH(C429,_xlpm.r),IFERROR(_xlfn.XMATCH(VALUE(C429),_xlpm.r),0)),IF(_xlpm.m=0,"",_xlpm.m+1))</f>
        <v/>
      </c>
      <c r="J429" s="137" t="inlineStr">
        <is>
          <t>NetSuite</t>
        </is>
      </c>
    </row>
    <row r="430">
      <c r="A430" s="5" t="inlineStr">
        <is>
          <t>B25 STETSON.MX</t>
        </is>
      </c>
      <c r="B430" s="5">
        <f>IF($I2="","",INDEX(Productos!$A:$A,$I2))</f>
        <v/>
      </c>
      <c r="C430" s="134" t="inlineStr">
        <is>
          <t>SSHGMN-30428173</t>
        </is>
      </c>
      <c r="D430" s="5">
        <f>IF($I2="","",INDEX(Productos!$B:$B,$I2))</f>
        <v/>
      </c>
      <c r="E430" s="5">
        <f>IF($I2="","",INDEX(Productos!$H:$H,$I2))</f>
        <v/>
      </c>
      <c r="F430" s="5">
        <f>IF($I2="","",INDEX(Productos!$I:$I,$I2))</f>
        <v/>
      </c>
      <c r="G430" s="135" t="n">
        <v>2</v>
      </c>
      <c r="H430" s="5">
        <f>IF($I2="","",INDEX(Productos!$AG:$AG,$I2))</f>
        <v/>
      </c>
      <c r="I430" s="136">
        <f>LET(_xlpm.r,Productos!$E$2:$E$2509,_xlpm.m,IFERROR(_xlfn.XMATCH(C430,_xlpm.r),IFERROR(_xlfn.XMATCH(VALUE(C430),_xlpm.r),0)),IF(_xlpm.m=0,"",_xlpm.m+1))</f>
        <v/>
      </c>
      <c r="J430" s="137" t="inlineStr">
        <is>
          <t>NetSuite</t>
        </is>
      </c>
    </row>
    <row r="431">
      <c r="A431" s="5" t="inlineStr">
        <is>
          <t>B25 STETSON.MX</t>
        </is>
      </c>
      <c r="B431" s="5">
        <f>IF($I2="","",INDEX(Productos!$A:$A,$I2))</f>
        <v/>
      </c>
      <c r="C431" s="134" t="inlineStr">
        <is>
          <t>SSLLNO-30428171</t>
        </is>
      </c>
      <c r="D431" s="5">
        <f>IF($I2="","",INDEX(Productos!$B:$B,$I2))</f>
        <v/>
      </c>
      <c r="E431" s="5">
        <f>IF($I2="","",INDEX(Productos!$H:$H,$I2))</f>
        <v/>
      </c>
      <c r="F431" s="5">
        <f>IF($I2="","",INDEX(Productos!$I:$I,$I2))</f>
        <v/>
      </c>
      <c r="G431" s="135" t="n">
        <v>1</v>
      </c>
      <c r="H431" s="5">
        <f>IF($I2="","",INDEX(Productos!$AG:$AG,$I2))</f>
        <v/>
      </c>
      <c r="I431" s="136">
        <f>LET(_xlpm.r,Productos!$E$2:$E$2509,_xlpm.m,IFERROR(_xlfn.XMATCH(C431,_xlpm.r),IFERROR(_xlfn.XMATCH(VALUE(C431),_xlpm.r),0)),IF(_xlpm.m=0,"",_xlpm.m+1))</f>
        <v/>
      </c>
      <c r="J431" s="137" t="inlineStr">
        <is>
          <t>NetSuite</t>
        </is>
      </c>
    </row>
    <row r="432">
      <c r="A432" s="5" t="inlineStr">
        <is>
          <t>B25 STETSON.MX</t>
        </is>
      </c>
      <c r="B432" s="5">
        <f>IF($I2="","",INDEX(Productos!$A:$A,$I2))</f>
        <v/>
      </c>
      <c r="C432" s="134" t="inlineStr">
        <is>
          <t>SSLLNO-30428172</t>
        </is>
      </c>
      <c r="D432" s="5">
        <f>IF($I2="","",INDEX(Productos!$B:$B,$I2))</f>
        <v/>
      </c>
      <c r="E432" s="5">
        <f>IF($I2="","",INDEX(Productos!$H:$H,$I2))</f>
        <v/>
      </c>
      <c r="F432" s="5">
        <f>IF($I2="","",INDEX(Productos!$I:$I,$I2))</f>
        <v/>
      </c>
      <c r="G432" s="135" t="n">
        <v>2</v>
      </c>
      <c r="H432" s="5">
        <f>IF($I2="","",INDEX(Productos!$AG:$AG,$I2))</f>
        <v/>
      </c>
      <c r="I432" s="136">
        <f>LET(_xlpm.r,Productos!$E$2:$E$2509,_xlpm.m,IFERROR(_xlfn.XMATCH(C432,_xlpm.r),IFERROR(_xlfn.XMATCH(VALUE(C432),_xlpm.r),0)),IF(_xlpm.m=0,"",_xlpm.m+1))</f>
        <v/>
      </c>
      <c r="J432" s="137" t="inlineStr">
        <is>
          <t>NetSuite</t>
        </is>
      </c>
    </row>
    <row r="433">
      <c r="A433" s="5" t="inlineStr">
        <is>
          <t>B25 STETSON.MX</t>
        </is>
      </c>
      <c r="B433" s="5">
        <f>IF($I2="","",INDEX(Productos!$A:$A,$I2))</f>
        <v/>
      </c>
      <c r="C433" s="134" t="inlineStr">
        <is>
          <t>SSLLNO-30428174</t>
        </is>
      </c>
      <c r="D433" s="5">
        <f>IF($I2="","",INDEX(Productos!$B:$B,$I2))</f>
        <v/>
      </c>
      <c r="E433" s="5">
        <f>IF($I2="","",INDEX(Productos!$H:$H,$I2))</f>
        <v/>
      </c>
      <c r="F433" s="5">
        <f>IF($I2="","",INDEX(Productos!$I:$I,$I2))</f>
        <v/>
      </c>
      <c r="G433" s="135" t="n">
        <v>2</v>
      </c>
      <c r="H433" s="5">
        <f>IF($I2="","",INDEX(Productos!$AG:$AG,$I2))</f>
        <v/>
      </c>
      <c r="I433" s="136">
        <f>LET(_xlpm.r,Productos!$E$2:$E$2509,_xlpm.m,IFERROR(_xlfn.XMATCH(C433,_xlpm.r),IFERROR(_xlfn.XMATCH(VALUE(C433),_xlpm.r),0)),IF(_xlpm.m=0,"",_xlpm.m+1))</f>
        <v/>
      </c>
      <c r="J433" s="137" t="inlineStr">
        <is>
          <t>NetSuite</t>
        </is>
      </c>
    </row>
    <row r="434">
      <c r="A434" s="5" t="inlineStr">
        <is>
          <t>B25 STETSON.MX</t>
        </is>
      </c>
      <c r="B434" s="5">
        <f>IF($I2="","",INDEX(Productos!$A:$A,$I2))</f>
        <v/>
      </c>
      <c r="C434" s="134" t="inlineStr">
        <is>
          <t>SSLOBO-30428170</t>
        </is>
      </c>
      <c r="D434" s="5">
        <f>IF($I2="","",INDEX(Productos!$B:$B,$I2))</f>
        <v/>
      </c>
      <c r="E434" s="5">
        <f>IF($I2="","",INDEX(Productos!$H:$H,$I2))</f>
        <v/>
      </c>
      <c r="F434" s="5">
        <f>IF($I2="","",INDEX(Productos!$I:$I,$I2))</f>
        <v/>
      </c>
      <c r="G434" s="135" t="n">
        <v>1</v>
      </c>
      <c r="H434" s="5">
        <f>IF($I2="","",INDEX(Productos!$AG:$AG,$I2))</f>
        <v/>
      </c>
      <c r="I434" s="136">
        <f>LET(_xlpm.r,Productos!$E$2:$E$2509,_xlpm.m,IFERROR(_xlfn.XMATCH(C434,_xlpm.r),IFERROR(_xlfn.XMATCH(VALUE(C434),_xlpm.r),0)),IF(_xlpm.m=0,"",_xlpm.m+1))</f>
        <v/>
      </c>
      <c r="J434" s="137" t="inlineStr">
        <is>
          <t>NetSuite</t>
        </is>
      </c>
    </row>
    <row r="435">
      <c r="A435" s="5" t="inlineStr">
        <is>
          <t>B25 STETSON.MX</t>
        </is>
      </c>
      <c r="B435" s="5">
        <f>IF($I2="","",INDEX(Productos!$A:$A,$I2))</f>
        <v/>
      </c>
      <c r="C435" s="134" t="inlineStr">
        <is>
          <t>SSPLAT-30428170</t>
        </is>
      </c>
      <c r="D435" s="5">
        <f>IF($I2="","",INDEX(Productos!$B:$B,$I2))</f>
        <v/>
      </c>
      <c r="E435" s="5">
        <f>IF($I2="","",INDEX(Productos!$H:$H,$I2))</f>
        <v/>
      </c>
      <c r="F435" s="5">
        <f>IF($I2="","",INDEX(Productos!$I:$I,$I2))</f>
        <v/>
      </c>
      <c r="G435" s="135" t="n">
        <v>2</v>
      </c>
      <c r="H435" s="5">
        <f>IF($I2="","",INDEX(Productos!$AG:$AG,$I2))</f>
        <v/>
      </c>
      <c r="I435" s="136">
        <f>LET(_xlpm.r,Productos!$E$2:$E$2509,_xlpm.m,IFERROR(_xlfn.XMATCH(C435,_xlpm.r),IFERROR(_xlfn.XMATCH(VALUE(C435),_xlpm.r),0)),IF(_xlpm.m=0,"",_xlpm.m+1))</f>
        <v/>
      </c>
      <c r="J435" s="137" t="inlineStr">
        <is>
          <t>NetSuite</t>
        </is>
      </c>
    </row>
    <row r="436">
      <c r="A436" s="5" t="inlineStr">
        <is>
          <t>B25 STETSON.MX</t>
        </is>
      </c>
      <c r="B436" s="5">
        <f>IF($I2="","",INDEX(Productos!$A:$A,$I2))</f>
        <v/>
      </c>
      <c r="C436" s="134" t="inlineStr">
        <is>
          <t>SSPLAT-30428171</t>
        </is>
      </c>
      <c r="D436" s="5">
        <f>IF($I2="","",INDEX(Productos!$B:$B,$I2))</f>
        <v/>
      </c>
      <c r="E436" s="5">
        <f>IF($I2="","",INDEX(Productos!$H:$H,$I2))</f>
        <v/>
      </c>
      <c r="F436" s="5">
        <f>IF($I2="","",INDEX(Productos!$I:$I,$I2))</f>
        <v/>
      </c>
      <c r="G436" s="135" t="n">
        <v>1</v>
      </c>
      <c r="H436" s="5">
        <f>IF($I2="","",INDEX(Productos!$AG:$AG,$I2))</f>
        <v/>
      </c>
      <c r="I436" s="136">
        <f>LET(_xlpm.r,Productos!$E$2:$E$2509,_xlpm.m,IFERROR(_xlfn.XMATCH(C436,_xlpm.r),IFERROR(_xlfn.XMATCH(VALUE(C436),_xlpm.r),0)),IF(_xlpm.m=0,"",_xlpm.m+1))</f>
        <v/>
      </c>
      <c r="J436" s="137" t="inlineStr">
        <is>
          <t>NetSuite</t>
        </is>
      </c>
    </row>
    <row r="437">
      <c r="A437" s="5" t="inlineStr">
        <is>
          <t>B25 STETSON.MX</t>
        </is>
      </c>
      <c r="B437" s="5">
        <f>IF($I2="","",INDEX(Productos!$A:$A,$I2))</f>
        <v/>
      </c>
      <c r="C437" s="134" t="inlineStr">
        <is>
          <t>SSPLAT-30428172</t>
        </is>
      </c>
      <c r="D437" s="5">
        <f>IF($I2="","",INDEX(Productos!$B:$B,$I2))</f>
        <v/>
      </c>
      <c r="E437" s="5">
        <f>IF($I2="","",INDEX(Productos!$H:$H,$I2))</f>
        <v/>
      </c>
      <c r="F437" s="5">
        <f>IF($I2="","",INDEX(Productos!$I:$I,$I2))</f>
        <v/>
      </c>
      <c r="G437" s="135" t="n">
        <v>1</v>
      </c>
      <c r="H437" s="5">
        <f>IF($I2="","",INDEX(Productos!$AG:$AG,$I2))</f>
        <v/>
      </c>
      <c r="I437" s="136">
        <f>LET(_xlpm.r,Productos!$E$2:$E$2509,_xlpm.m,IFERROR(_xlfn.XMATCH(C437,_xlpm.r),IFERROR(_xlfn.XMATCH(VALUE(C437),_xlpm.r),0)),IF(_xlpm.m=0,"",_xlpm.m+1))</f>
        <v/>
      </c>
      <c r="J437" s="137" t="inlineStr">
        <is>
          <t>NetSuite</t>
        </is>
      </c>
    </row>
    <row r="438">
      <c r="A438" s="5" t="inlineStr">
        <is>
          <t>B25 STETSON.MX</t>
        </is>
      </c>
      <c r="B438" s="5">
        <f>IF($I2="","",INDEX(Productos!$A:$A,$I2))</f>
        <v/>
      </c>
      <c r="C438" s="134" t="inlineStr">
        <is>
          <t>SSPLAT-30428173</t>
        </is>
      </c>
      <c r="D438" s="5">
        <f>IF($I2="","",INDEX(Productos!$B:$B,$I2))</f>
        <v/>
      </c>
      <c r="E438" s="5">
        <f>IF($I2="","",INDEX(Productos!$H:$H,$I2))</f>
        <v/>
      </c>
      <c r="F438" s="5">
        <f>IF($I2="","",INDEX(Productos!$I:$I,$I2))</f>
        <v/>
      </c>
      <c r="G438" s="135" t="n">
        <v>2</v>
      </c>
      <c r="H438" s="5">
        <f>IF($I2="","",INDEX(Productos!$AG:$AG,$I2))</f>
        <v/>
      </c>
      <c r="I438" s="136">
        <f>LET(_xlpm.r,Productos!$E$2:$E$2509,_xlpm.m,IFERROR(_xlfn.XMATCH(C438,_xlpm.r),IFERROR(_xlfn.XMATCH(VALUE(C438),_xlpm.r),0)),IF(_xlpm.m=0,"",_xlpm.m+1))</f>
        <v/>
      </c>
      <c r="J438" s="137" t="inlineStr">
        <is>
          <t>NetSuite</t>
        </is>
      </c>
    </row>
    <row r="439">
      <c r="A439" s="5" t="inlineStr">
        <is>
          <t>B25 STETSON.MX</t>
        </is>
      </c>
      <c r="B439" s="5">
        <f>IF($I2="","",INDEX(Productos!$A:$A,$I2))</f>
        <v/>
      </c>
      <c r="C439" s="134" t="inlineStr">
        <is>
          <t>SSPLAT-30428174</t>
        </is>
      </c>
      <c r="D439" s="5">
        <f>IF($I2="","",INDEX(Productos!$B:$B,$I2))</f>
        <v/>
      </c>
      <c r="E439" s="5">
        <f>IF($I2="","",INDEX(Productos!$H:$H,$I2))</f>
        <v/>
      </c>
      <c r="F439" s="5">
        <f>IF($I2="","",INDEX(Productos!$I:$I,$I2))</f>
        <v/>
      </c>
      <c r="G439" s="135" t="n">
        <v>2</v>
      </c>
      <c r="H439" s="5">
        <f>IF($I2="","",INDEX(Productos!$AG:$AG,$I2))</f>
        <v/>
      </c>
      <c r="I439" s="136">
        <f>LET(_xlpm.r,Productos!$E$2:$E$2509,_xlpm.m,IFERROR(_xlfn.XMATCH(C439,_xlpm.r),IFERROR(_xlfn.XMATCH(VALUE(C439),_xlpm.r),0)),IF(_xlpm.m=0,"",_xlpm.m+1))</f>
        <v/>
      </c>
      <c r="J439" s="137" t="inlineStr">
        <is>
          <t>NetSuite</t>
        </is>
      </c>
    </row>
    <row r="440">
      <c r="A440" s="5" t="inlineStr">
        <is>
          <t>B25 STETSON.MX</t>
        </is>
      </c>
      <c r="B440" s="5">
        <f>IF($I2="","",INDEX(Productos!$A:$A,$I2))</f>
        <v/>
      </c>
      <c r="C440" s="134" t="inlineStr">
        <is>
          <t>SSRDEO-66428173</t>
        </is>
      </c>
      <c r="D440" s="5">
        <f>IF($I2="","",INDEX(Productos!$B:$B,$I2))</f>
        <v/>
      </c>
      <c r="E440" s="5">
        <f>IF($I2="","",INDEX(Productos!$H:$H,$I2))</f>
        <v/>
      </c>
      <c r="F440" s="5">
        <f>IF($I2="","",INDEX(Productos!$I:$I,$I2))</f>
        <v/>
      </c>
      <c r="G440" s="135" t="n">
        <v>1</v>
      </c>
      <c r="H440" s="5">
        <f>IF($I2="","",INDEX(Productos!$AG:$AG,$I2))</f>
        <v/>
      </c>
      <c r="I440" s="136">
        <f>LET(_xlpm.r,Productos!$E$2:$E$2509,_xlpm.m,IFERROR(_xlfn.XMATCH(C440,_xlpm.r),IFERROR(_xlfn.XMATCH(VALUE(C440),_xlpm.r),0)),IF(_xlpm.m=0,"",_xlpm.m+1))</f>
        <v/>
      </c>
      <c r="J440" s="137" t="inlineStr">
        <is>
          <t>NetSuite</t>
        </is>
      </c>
    </row>
    <row r="441">
      <c r="A441" s="5" t="inlineStr">
        <is>
          <t>B25 STETSON.MX</t>
        </is>
      </c>
      <c r="B441" s="5">
        <f>IF($I2="","",INDEX(Productos!$A:$A,$I2))</f>
        <v/>
      </c>
      <c r="C441" s="134" t="inlineStr">
        <is>
          <t>SSRNCHK01408170</t>
        </is>
      </c>
      <c r="D441" s="5">
        <f>IF($I2="","",INDEX(Productos!$B:$B,$I2))</f>
        <v/>
      </c>
      <c r="E441" s="5">
        <f>IF($I2="","",INDEX(Productos!$H:$H,$I2))</f>
        <v/>
      </c>
      <c r="F441" s="5">
        <f>IF($I2="","",INDEX(Productos!$I:$I,$I2))</f>
        <v/>
      </c>
      <c r="G441" s="135" t="n">
        <v>1</v>
      </c>
      <c r="H441" s="5">
        <f>IF($I2="","",INDEX(Productos!$AG:$AG,$I2))</f>
        <v/>
      </c>
      <c r="I441" s="136">
        <f>LET(_xlpm.r,Productos!$E$2:$E$2509,_xlpm.m,IFERROR(_xlfn.XMATCH(C441,_xlpm.r),IFERROR(_xlfn.XMATCH(VALUE(C441),_xlpm.r),0)),IF(_xlpm.m=0,"",_xlpm.m+1))</f>
        <v/>
      </c>
      <c r="J441" s="137" t="inlineStr">
        <is>
          <t>NetSuite</t>
        </is>
      </c>
    </row>
    <row r="442">
      <c r="A442" s="5" t="inlineStr">
        <is>
          <t>B25 STETSON.MX</t>
        </is>
      </c>
      <c r="B442" s="5">
        <f>IF($I2="","",INDEX(Productos!$A:$A,$I2))</f>
        <v/>
      </c>
      <c r="C442" s="134" t="inlineStr">
        <is>
          <t>SSRNCHK01408171</t>
        </is>
      </c>
      <c r="D442" s="5">
        <f>IF($I2="","",INDEX(Productos!$B:$B,$I2))</f>
        <v/>
      </c>
      <c r="E442" s="5">
        <f>IF($I2="","",INDEX(Productos!$H:$H,$I2))</f>
        <v/>
      </c>
      <c r="F442" s="5">
        <f>IF($I2="","",INDEX(Productos!$I:$I,$I2))</f>
        <v/>
      </c>
      <c r="G442" s="135" t="n">
        <v>2</v>
      </c>
      <c r="H442" s="5">
        <f>IF($I2="","",INDEX(Productos!$AG:$AG,$I2))</f>
        <v/>
      </c>
      <c r="I442" s="136">
        <f>LET(_xlpm.r,Productos!$E$2:$E$2509,_xlpm.m,IFERROR(_xlfn.XMATCH(C442,_xlpm.r),IFERROR(_xlfn.XMATCH(VALUE(C442),_xlpm.r),0)),IF(_xlpm.m=0,"",_xlpm.m+1))</f>
        <v/>
      </c>
      <c r="J442" s="137" t="inlineStr">
        <is>
          <t>NetSuite</t>
        </is>
      </c>
    </row>
    <row r="443">
      <c r="A443" s="5" t="inlineStr">
        <is>
          <t>B25 STETSON.MX</t>
        </is>
      </c>
      <c r="B443" s="5">
        <f>IF($I2="","",INDEX(Productos!$A:$A,$I2))</f>
        <v/>
      </c>
      <c r="C443" s="134" t="inlineStr">
        <is>
          <t>SSRNCHK01408172</t>
        </is>
      </c>
      <c r="D443" s="5">
        <f>IF($I2="","",INDEX(Productos!$B:$B,$I2))</f>
        <v/>
      </c>
      <c r="E443" s="5">
        <f>IF($I2="","",INDEX(Productos!$H:$H,$I2))</f>
        <v/>
      </c>
      <c r="F443" s="5">
        <f>IF($I2="","",INDEX(Productos!$I:$I,$I2))</f>
        <v/>
      </c>
      <c r="G443" s="135" t="n">
        <v>5</v>
      </c>
      <c r="H443" s="5">
        <f>IF($I2="","",INDEX(Productos!$AG:$AG,$I2))</f>
        <v/>
      </c>
      <c r="I443" s="136">
        <f>LET(_xlpm.r,Productos!$E$2:$E$2509,_xlpm.m,IFERROR(_xlfn.XMATCH(C443,_xlpm.r),IFERROR(_xlfn.XMATCH(VALUE(C443),_xlpm.r),0)),IF(_xlpm.m=0,"",_xlpm.m+1))</f>
        <v/>
      </c>
      <c r="J443" s="137" t="inlineStr">
        <is>
          <t>NetSuite</t>
        </is>
      </c>
    </row>
    <row r="444">
      <c r="A444" s="5" t="inlineStr">
        <is>
          <t>B25 STETSON.MX</t>
        </is>
      </c>
      <c r="B444" s="5">
        <f>IF($I2="","",INDEX(Productos!$A:$A,$I2))</f>
        <v/>
      </c>
      <c r="C444" s="134" t="inlineStr">
        <is>
          <t>SSRNCHK01408173</t>
        </is>
      </c>
      <c r="D444" s="5">
        <f>IF($I2="","",INDEX(Productos!$B:$B,$I2))</f>
        <v/>
      </c>
      <c r="E444" s="5">
        <f>IF($I2="","",INDEX(Productos!$H:$H,$I2))</f>
        <v/>
      </c>
      <c r="F444" s="5">
        <f>IF($I2="","",INDEX(Productos!$I:$I,$I2))</f>
        <v/>
      </c>
      <c r="G444" s="135" t="n">
        <v>4</v>
      </c>
      <c r="H444" s="5">
        <f>IF($I2="","",INDEX(Productos!$AG:$AG,$I2))</f>
        <v/>
      </c>
      <c r="I444" s="136">
        <f>LET(_xlpm.r,Productos!$E$2:$E$2509,_xlpm.m,IFERROR(_xlfn.XMATCH(C444,_xlpm.r),IFERROR(_xlfn.XMATCH(VALUE(C444),_xlpm.r),0)),IF(_xlpm.m=0,"",_xlpm.m+1))</f>
        <v/>
      </c>
      <c r="J444" s="137" t="inlineStr">
        <is>
          <t>NetSuite</t>
        </is>
      </c>
    </row>
    <row r="445">
      <c r="A445" s="5" t="inlineStr">
        <is>
          <t>B25 STETSON.MX</t>
        </is>
      </c>
      <c r="B445" s="5">
        <f>IF($I2="","",INDEX(Productos!$A:$A,$I2))</f>
        <v/>
      </c>
      <c r="C445" s="134" t="inlineStr">
        <is>
          <t>SSROJR-B23481AL</t>
        </is>
      </c>
      <c r="D445" s="5">
        <f>IF($I2="","",INDEX(Productos!$B:$B,$I2))</f>
        <v/>
      </c>
      <c r="E445" s="5">
        <f>IF($I2="","",INDEX(Productos!$H:$H,$I2))</f>
        <v/>
      </c>
      <c r="F445" s="5">
        <f>IF($I2="","",INDEX(Productos!$I:$I,$I2))</f>
        <v/>
      </c>
      <c r="G445" s="135" t="n">
        <v>1</v>
      </c>
      <c r="H445" s="5">
        <f>IF($I2="","",INDEX(Productos!$AG:$AG,$I2))</f>
        <v/>
      </c>
      <c r="I445" s="136">
        <f>LET(_xlpm.r,Productos!$E$2:$E$2509,_xlpm.m,IFERROR(_xlfn.XMATCH(C445,_xlpm.r),IFERROR(_xlfn.XMATCH(VALUE(C445),_xlpm.r),0)),IF(_xlpm.m=0,"",_xlpm.m+1))</f>
        <v/>
      </c>
      <c r="J445" s="137" t="inlineStr">
        <is>
          <t>NetSuite</t>
        </is>
      </c>
    </row>
    <row r="446">
      <c r="A446" s="5" t="inlineStr">
        <is>
          <t>B25 STETSON.MX</t>
        </is>
      </c>
      <c r="B446" s="5">
        <f>IF($I2="","",INDEX(Productos!$A:$A,$I2))</f>
        <v/>
      </c>
      <c r="C446" s="134" t="inlineStr">
        <is>
          <t>SSSDMN-30428173</t>
        </is>
      </c>
      <c r="D446" s="5">
        <f>IF($I2="","",INDEX(Productos!$B:$B,$I2))</f>
        <v/>
      </c>
      <c r="E446" s="5">
        <f>IF($I2="","",INDEX(Productos!$H:$H,$I2))</f>
        <v/>
      </c>
      <c r="F446" s="5">
        <f>IF($I2="","",INDEX(Productos!$I:$I,$I2))</f>
        <v/>
      </c>
      <c r="G446" s="135" t="n">
        <v>2</v>
      </c>
      <c r="H446" s="5">
        <f>IF($I2="","",INDEX(Productos!$AG:$AG,$I2))</f>
        <v/>
      </c>
      <c r="I446" s="136">
        <f>LET(_xlpm.r,Productos!$E$2:$E$2509,_xlpm.m,IFERROR(_xlfn.XMATCH(C446,_xlpm.r),IFERROR(_xlfn.XMATCH(VALUE(C446),_xlpm.r),0)),IF(_xlpm.m=0,"",_xlpm.m+1))</f>
        <v/>
      </c>
      <c r="J446" s="137" t="inlineStr">
        <is>
          <t>NetSuite</t>
        </is>
      </c>
    </row>
    <row r="447">
      <c r="A447" s="5" t="inlineStr">
        <is>
          <t>B25 STETSON.MX</t>
        </is>
      </c>
      <c r="B447" s="5">
        <f>IF($I2="","",INDEX(Productos!$A:$A,$I2))</f>
        <v/>
      </c>
      <c r="C447" s="134" t="inlineStr">
        <is>
          <t>SSSTGJ-703681AL</t>
        </is>
      </c>
      <c r="D447" s="5">
        <f>IF($I2="","",INDEX(Productos!$B:$B,$I2))</f>
        <v/>
      </c>
      <c r="E447" s="5">
        <f>IF($I2="","",INDEX(Productos!$H:$H,$I2))</f>
        <v/>
      </c>
      <c r="F447" s="5">
        <f>IF($I2="","",INDEX(Productos!$I:$I,$I2))</f>
        <v/>
      </c>
      <c r="G447" s="135" t="n">
        <v>7</v>
      </c>
      <c r="H447" s="5">
        <f>IF($I2="","",INDEX(Productos!$AG:$AG,$I2))</f>
        <v/>
      </c>
      <c r="I447" s="136">
        <f>LET(_xlpm.r,Productos!$E$2:$E$2509,_xlpm.m,IFERROR(_xlfn.XMATCH(C447,_xlpm.r),IFERROR(_xlfn.XMATCH(VALUE(C447),_xlpm.r),0)),IF(_xlpm.m=0,"",_xlpm.m+1))</f>
        <v/>
      </c>
      <c r="J447" s="137" t="inlineStr">
        <is>
          <t>NetSuite</t>
        </is>
      </c>
    </row>
    <row r="448">
      <c r="A448" s="5" t="inlineStr">
        <is>
          <t>B25 STETSON.MX</t>
        </is>
      </c>
      <c r="B448" s="5">
        <f>IF($I2="","",INDEX(Productos!$A:$A,$I2))</f>
        <v/>
      </c>
      <c r="C448" s="134" t="inlineStr">
        <is>
          <t>SSSTPT-68448171</t>
        </is>
      </c>
      <c r="D448" s="5">
        <f>IF($I2="","",INDEX(Productos!$B:$B,$I2))</f>
        <v/>
      </c>
      <c r="E448" s="5">
        <f>IF($I2="","",INDEX(Productos!$H:$H,$I2))</f>
        <v/>
      </c>
      <c r="F448" s="5">
        <f>IF($I2="","",INDEX(Productos!$I:$I,$I2))</f>
        <v/>
      </c>
      <c r="G448" s="135" t="n">
        <v>2</v>
      </c>
      <c r="H448" s="5">
        <f>IF($I2="","",INDEX(Productos!$AG:$AG,$I2))</f>
        <v/>
      </c>
      <c r="I448" s="136">
        <f>LET(_xlpm.r,Productos!$E$2:$E$2509,_xlpm.m,IFERROR(_xlfn.XMATCH(C448,_xlpm.r),IFERROR(_xlfn.XMATCH(VALUE(C448),_xlpm.r),0)),IF(_xlpm.m=0,"",_xlpm.m+1))</f>
        <v/>
      </c>
      <c r="J448" s="137" t="inlineStr">
        <is>
          <t>NetSuite</t>
        </is>
      </c>
    </row>
    <row r="449">
      <c r="A449" s="5" t="inlineStr">
        <is>
          <t>B25 STETSON.MX</t>
        </is>
      </c>
      <c r="B449" s="5">
        <f>IF($I2="","",INDEX(Productos!$A:$A,$I2))</f>
        <v/>
      </c>
      <c r="C449" s="134" t="inlineStr">
        <is>
          <t>SSSTPT-68448172</t>
        </is>
      </c>
      <c r="D449" s="5">
        <f>IF($I2="","",INDEX(Productos!$B:$B,$I2))</f>
        <v/>
      </c>
      <c r="E449" s="5">
        <f>IF($I2="","",INDEX(Productos!$H:$H,$I2))</f>
        <v/>
      </c>
      <c r="F449" s="5">
        <f>IF($I2="","",INDEX(Productos!$I:$I,$I2))</f>
        <v/>
      </c>
      <c r="G449" s="135" t="n">
        <v>1</v>
      </c>
      <c r="H449" s="5">
        <f>IF($I2="","",INDEX(Productos!$AG:$AG,$I2))</f>
        <v/>
      </c>
      <c r="I449" s="136">
        <f>LET(_xlpm.r,Productos!$E$2:$E$2509,_xlpm.m,IFERROR(_xlfn.XMATCH(C449,_xlpm.r),IFERROR(_xlfn.XMATCH(VALUE(C449),_xlpm.r),0)),IF(_xlpm.m=0,"",_xlpm.m+1))</f>
        <v/>
      </c>
      <c r="J449" s="137" t="inlineStr">
        <is>
          <t>NetSuite</t>
        </is>
      </c>
    </row>
    <row r="450">
      <c r="A450" s="5" t="inlineStr">
        <is>
          <t>B25 STETSON.MX</t>
        </is>
      </c>
      <c r="B450" s="5">
        <f>IF($I2="","",INDEX(Productos!$A:$A,$I2))</f>
        <v/>
      </c>
      <c r="C450" s="134" t="inlineStr">
        <is>
          <t>SSSTPT-68448174</t>
        </is>
      </c>
      <c r="D450" s="5">
        <f>IF($I2="","",INDEX(Productos!$B:$B,$I2))</f>
        <v/>
      </c>
      <c r="E450" s="5">
        <f>IF($I2="","",INDEX(Productos!$H:$H,$I2))</f>
        <v/>
      </c>
      <c r="F450" s="5">
        <f>IF($I2="","",INDEX(Productos!$I:$I,$I2))</f>
        <v/>
      </c>
      <c r="G450" s="135" t="n">
        <v>1</v>
      </c>
      <c r="H450" s="5">
        <f>IF($I2="","",INDEX(Productos!$AG:$AG,$I2))</f>
        <v/>
      </c>
      <c r="I450" s="136">
        <f>LET(_xlpm.r,Productos!$E$2:$E$2509,_xlpm.m,IFERROR(_xlfn.XMATCH(C450,_xlpm.r),IFERROR(_xlfn.XMATCH(VALUE(C450),_xlpm.r),0)),IF(_xlpm.m=0,"",_xlpm.m+1))</f>
        <v/>
      </c>
      <c r="J450" s="137" t="inlineStr">
        <is>
          <t>NetSuite</t>
        </is>
      </c>
    </row>
    <row r="451">
      <c r="A451" s="5" t="inlineStr">
        <is>
          <t>B25 STETSON.MX</t>
        </is>
      </c>
      <c r="B451" s="5">
        <f>IF($I2="","",INDEX(Productos!$A:$A,$I2))</f>
        <v/>
      </c>
      <c r="C451" s="134" t="inlineStr">
        <is>
          <t>SSTHDR-WR42P174</t>
        </is>
      </c>
      <c r="D451" s="5">
        <f>IF($I2="","",INDEX(Productos!$B:$B,$I2))</f>
        <v/>
      </c>
      <c r="E451" s="5">
        <f>IF($I2="","",INDEX(Productos!$H:$H,$I2))</f>
        <v/>
      </c>
      <c r="F451" s="5">
        <f>IF($I2="","",INDEX(Productos!$I:$I,$I2))</f>
        <v/>
      </c>
      <c r="G451" s="135" t="n">
        <v>1</v>
      </c>
      <c r="H451" s="5">
        <f>IF($I2="","",INDEX(Productos!$AG:$AG,$I2))</f>
        <v/>
      </c>
      <c r="I451" s="136">
        <f>LET(_xlpm.r,Productos!$E$2:$E$2509,_xlpm.m,IFERROR(_xlfn.XMATCH(C451,_xlpm.r),IFERROR(_xlfn.XMATCH(VALUE(C451),_xlpm.r),0)),IF(_xlpm.m=0,"",_xlpm.m+1))</f>
        <v/>
      </c>
      <c r="J451" s="137" t="inlineStr">
        <is>
          <t>NetSuite</t>
        </is>
      </c>
    </row>
    <row r="452">
      <c r="A452" s="5" t="inlineStr">
        <is>
          <t>B25 STETSON.MX</t>
        </is>
      </c>
      <c r="B452" s="5">
        <f>IF($I2="","",INDEX(Productos!$A:$A,$I2))</f>
        <v/>
      </c>
      <c r="C452" s="134" t="inlineStr">
        <is>
          <t>ST-LT-001-FW25-AF-2XL</t>
        </is>
      </c>
      <c r="D452" s="5">
        <f>IF($I2="","",INDEX(Productos!$B:$B,$I2))</f>
        <v/>
      </c>
      <c r="E452" s="5">
        <f>IF($I2="","",INDEX(Productos!$H:$H,$I2))</f>
        <v/>
      </c>
      <c r="F452" s="5">
        <f>IF($I2="","",INDEX(Productos!$I:$I,$I2))</f>
        <v/>
      </c>
      <c r="G452" s="135" t="n">
        <v>1</v>
      </c>
      <c r="H452" s="5">
        <f>IF($I2="","",INDEX(Productos!$AG:$AG,$I2))</f>
        <v/>
      </c>
      <c r="I452" s="136">
        <f>LET(_xlpm.r,Productos!$E$2:$E$2509,_xlpm.m,IFERROR(_xlfn.XMATCH(C452,_xlpm.r),IFERROR(_xlfn.XMATCH(VALUE(C452),_xlpm.r),0)),IF(_xlpm.m=0,"",_xlpm.m+1))</f>
        <v/>
      </c>
      <c r="J452" s="137" t="inlineStr">
        <is>
          <t>NetSuite</t>
        </is>
      </c>
    </row>
    <row r="453">
      <c r="A453" s="5" t="inlineStr">
        <is>
          <t>B25 STETSON.MX</t>
        </is>
      </c>
      <c r="B453" s="5">
        <f>IF($I2="","",INDEX(Productos!$A:$A,$I2))</f>
        <v/>
      </c>
      <c r="C453" s="134" t="inlineStr">
        <is>
          <t>ST-LT-001-FW25-AF-L</t>
        </is>
      </c>
      <c r="D453" s="5">
        <f>IF($I2="","",INDEX(Productos!$B:$B,$I2))</f>
        <v/>
      </c>
      <c r="E453" s="5">
        <f>IF($I2="","",INDEX(Productos!$H:$H,$I2))</f>
        <v/>
      </c>
      <c r="F453" s="5">
        <f>IF($I2="","",INDEX(Productos!$I:$I,$I2))</f>
        <v/>
      </c>
      <c r="G453" s="135" t="n">
        <v>2</v>
      </c>
      <c r="H453" s="5">
        <f>IF($I2="","",INDEX(Productos!$AG:$AG,$I2))</f>
        <v/>
      </c>
      <c r="I453" s="136">
        <f>LET(_xlpm.r,Productos!$E$2:$E$2509,_xlpm.m,IFERROR(_xlfn.XMATCH(C453,_xlpm.r),IFERROR(_xlfn.XMATCH(VALUE(C453),_xlpm.r),0)),IF(_xlpm.m=0,"",_xlpm.m+1))</f>
        <v/>
      </c>
      <c r="J453" s="137" t="inlineStr">
        <is>
          <t>NetSuite</t>
        </is>
      </c>
    </row>
    <row r="454">
      <c r="A454" s="5" t="inlineStr">
        <is>
          <t>B25 STETSON.MX</t>
        </is>
      </c>
      <c r="B454" s="5">
        <f>IF($I2="","",INDEX(Productos!$A:$A,$I2))</f>
        <v/>
      </c>
      <c r="C454" s="134" t="inlineStr">
        <is>
          <t>ST-LT-001-FW25-AF-M</t>
        </is>
      </c>
      <c r="D454" s="5">
        <f>IF($I2="","",INDEX(Productos!$B:$B,$I2))</f>
        <v/>
      </c>
      <c r="E454" s="5">
        <f>IF($I2="","",INDEX(Productos!$H:$H,$I2))</f>
        <v/>
      </c>
      <c r="F454" s="5">
        <f>IF($I2="","",INDEX(Productos!$I:$I,$I2))</f>
        <v/>
      </c>
      <c r="G454" s="135" t="n">
        <v>1</v>
      </c>
      <c r="H454" s="5">
        <f>IF($I2="","",INDEX(Productos!$AG:$AG,$I2))</f>
        <v/>
      </c>
      <c r="I454" s="136">
        <f>LET(_xlpm.r,Productos!$E$2:$E$2509,_xlpm.m,IFERROR(_xlfn.XMATCH(C454,_xlpm.r),IFERROR(_xlfn.XMATCH(VALUE(C454),_xlpm.r),0)),IF(_xlpm.m=0,"",_xlpm.m+1))</f>
        <v/>
      </c>
      <c r="J454" s="137" t="inlineStr">
        <is>
          <t>NetSuite</t>
        </is>
      </c>
    </row>
    <row r="455">
      <c r="A455" s="5" t="inlineStr">
        <is>
          <t>B25 STETSON.MX</t>
        </is>
      </c>
      <c r="B455" s="5">
        <f>IF($I2="","",INDEX(Productos!$A:$A,$I2))</f>
        <v/>
      </c>
      <c r="C455" s="134" t="inlineStr">
        <is>
          <t>ST-LT-001-FW25-AF-S</t>
        </is>
      </c>
      <c r="D455" s="5">
        <f>IF($I2="","",INDEX(Productos!$B:$B,$I2))</f>
        <v/>
      </c>
      <c r="E455" s="5">
        <f>IF($I2="","",INDEX(Productos!$H:$H,$I2))</f>
        <v/>
      </c>
      <c r="F455" s="5">
        <f>IF($I2="","",INDEX(Productos!$I:$I,$I2))</f>
        <v/>
      </c>
      <c r="G455" s="135" t="n">
        <v>1</v>
      </c>
      <c r="H455" s="5">
        <f>IF($I2="","",INDEX(Productos!$AG:$AG,$I2))</f>
        <v/>
      </c>
      <c r="I455" s="136">
        <f>LET(_xlpm.r,Productos!$E$2:$E$2509,_xlpm.m,IFERROR(_xlfn.XMATCH(C455,_xlpm.r),IFERROR(_xlfn.XMATCH(VALUE(C455),_xlpm.r),0)),IF(_xlpm.m=0,"",_xlpm.m+1))</f>
        <v/>
      </c>
      <c r="J455" s="137" t="inlineStr">
        <is>
          <t>NetSuite</t>
        </is>
      </c>
    </row>
    <row r="456">
      <c r="A456" s="5" t="inlineStr">
        <is>
          <t>B25 STETSON.MX</t>
        </is>
      </c>
      <c r="B456" s="5">
        <f>IF($I2="","",INDEX(Productos!$A:$A,$I2))</f>
        <v/>
      </c>
      <c r="C456" s="134" t="inlineStr">
        <is>
          <t>ST-LT-004-FW25-TR-2XL</t>
        </is>
      </c>
      <c r="D456" s="5">
        <f>IF($I2="","",INDEX(Productos!$B:$B,$I2))</f>
        <v/>
      </c>
      <c r="E456" s="5">
        <f>IF($I2="","",INDEX(Productos!$H:$H,$I2))</f>
        <v/>
      </c>
      <c r="F456" s="5">
        <f>IF($I2="","",INDEX(Productos!$I:$I,$I2))</f>
        <v/>
      </c>
      <c r="G456" s="135" t="n">
        <v>1</v>
      </c>
      <c r="H456" s="5">
        <f>IF($I2="","",INDEX(Productos!$AG:$AG,$I2))</f>
        <v/>
      </c>
      <c r="I456" s="136">
        <f>LET(_xlpm.r,Productos!$E$2:$E$2509,_xlpm.m,IFERROR(_xlfn.XMATCH(C456,_xlpm.r),IFERROR(_xlfn.XMATCH(VALUE(C456),_xlpm.r),0)),IF(_xlpm.m=0,"",_xlpm.m+1))</f>
        <v/>
      </c>
      <c r="J456" s="137" t="inlineStr">
        <is>
          <t>NetSuite</t>
        </is>
      </c>
    </row>
    <row r="457">
      <c r="A457" s="5" t="inlineStr">
        <is>
          <t>B25 STETSON.MX</t>
        </is>
      </c>
      <c r="B457" s="5">
        <f>IF($I2="","",INDEX(Productos!$A:$A,$I2))</f>
        <v/>
      </c>
      <c r="C457" s="134" t="inlineStr">
        <is>
          <t>ST-LT-004-FW25-TR-XL</t>
        </is>
      </c>
      <c r="D457" s="5">
        <f>IF($I2="","",INDEX(Productos!$B:$B,$I2))</f>
        <v/>
      </c>
      <c r="E457" s="5">
        <f>IF($I2="","",INDEX(Productos!$H:$H,$I2))</f>
        <v/>
      </c>
      <c r="F457" s="5">
        <f>IF($I2="","",INDEX(Productos!$I:$I,$I2))</f>
        <v/>
      </c>
      <c r="G457" s="135" t="n">
        <v>1</v>
      </c>
      <c r="H457" s="5">
        <f>IF($I2="","",INDEX(Productos!$AG:$AG,$I2))</f>
        <v/>
      </c>
      <c r="I457" s="136">
        <f>LET(_xlpm.r,Productos!$E$2:$E$2509,_xlpm.m,IFERROR(_xlfn.XMATCH(C457,_xlpm.r),IFERROR(_xlfn.XMATCH(VALUE(C457),_xlpm.r),0)),IF(_xlpm.m=0,"",_xlpm.m+1))</f>
        <v/>
      </c>
      <c r="J457" s="137" t="inlineStr">
        <is>
          <t>NetSuite</t>
        </is>
      </c>
    </row>
    <row r="458">
      <c r="A458" s="5" t="inlineStr">
        <is>
          <t>B25 STETSON.MX</t>
        </is>
      </c>
      <c r="B458" s="5">
        <f>IF($I2="","",INDEX(Productos!$A:$A,$I2))</f>
        <v/>
      </c>
      <c r="C458" s="134" t="inlineStr">
        <is>
          <t>ST-TI-001-FW25-TC-2XL</t>
        </is>
      </c>
      <c r="D458" s="5">
        <f>IF($I2="","",INDEX(Productos!$B:$B,$I2))</f>
        <v/>
      </c>
      <c r="E458" s="5">
        <f>IF($I2="","",INDEX(Productos!$H:$H,$I2))</f>
        <v/>
      </c>
      <c r="F458" s="5">
        <f>IF($I2="","",INDEX(Productos!$I:$I,$I2))</f>
        <v/>
      </c>
      <c r="G458" s="135" t="n">
        <v>3</v>
      </c>
      <c r="H458" s="5">
        <f>IF($I2="","",INDEX(Productos!$AG:$AG,$I2))</f>
        <v/>
      </c>
      <c r="I458" s="136">
        <f>LET(_xlpm.r,Productos!$E$2:$E$2509,_xlpm.m,IFERROR(_xlfn.XMATCH(C458,_xlpm.r),IFERROR(_xlfn.XMATCH(VALUE(C458),_xlpm.r),0)),IF(_xlpm.m=0,"",_xlpm.m+1))</f>
        <v/>
      </c>
      <c r="J458" s="137" t="inlineStr">
        <is>
          <t>NetSuite</t>
        </is>
      </c>
    </row>
    <row r="459">
      <c r="A459" s="5" t="inlineStr">
        <is>
          <t>B25 STETSON.MX</t>
        </is>
      </c>
      <c r="B459" s="5">
        <f>IF($I2="","",INDEX(Productos!$A:$A,$I2))</f>
        <v/>
      </c>
      <c r="C459" s="134" t="inlineStr">
        <is>
          <t>ST-TI-001-FW25-TC-L</t>
        </is>
      </c>
      <c r="D459" s="5">
        <f>IF($I2="","",INDEX(Productos!$B:$B,$I2))</f>
        <v/>
      </c>
      <c r="E459" s="5">
        <f>IF($I2="","",INDEX(Productos!$H:$H,$I2))</f>
        <v/>
      </c>
      <c r="F459" s="5">
        <f>IF($I2="","",INDEX(Productos!$I:$I,$I2))</f>
        <v/>
      </c>
      <c r="G459" s="135" t="n">
        <v>1</v>
      </c>
      <c r="H459" s="5">
        <f>IF($I2="","",INDEX(Productos!$AG:$AG,$I2))</f>
        <v/>
      </c>
      <c r="I459" s="136">
        <f>LET(_xlpm.r,Productos!$E$2:$E$2509,_xlpm.m,IFERROR(_xlfn.XMATCH(C459,_xlpm.r),IFERROR(_xlfn.XMATCH(VALUE(C459),_xlpm.r),0)),IF(_xlpm.m=0,"",_xlpm.m+1))</f>
        <v/>
      </c>
      <c r="J459" s="137" t="inlineStr">
        <is>
          <t>NetSuite</t>
        </is>
      </c>
    </row>
    <row r="460">
      <c r="A460" s="5" t="inlineStr">
        <is>
          <t>B25 STETSON.MX</t>
        </is>
      </c>
      <c r="B460" s="5">
        <f>IF($I2="","",INDEX(Productos!$A:$A,$I2))</f>
        <v/>
      </c>
      <c r="C460" s="134" t="inlineStr">
        <is>
          <t>ST-TI-001-FW25-TC-M</t>
        </is>
      </c>
      <c r="D460" s="5">
        <f>IF($I2="","",INDEX(Productos!$B:$B,$I2))</f>
        <v/>
      </c>
      <c r="E460" s="5">
        <f>IF($I2="","",INDEX(Productos!$H:$H,$I2))</f>
        <v/>
      </c>
      <c r="F460" s="5">
        <f>IF($I2="","",INDEX(Productos!$I:$I,$I2))</f>
        <v/>
      </c>
      <c r="G460" s="135" t="n">
        <v>6</v>
      </c>
      <c r="H460" s="5">
        <f>IF($I2="","",INDEX(Productos!$AG:$AG,$I2))</f>
        <v/>
      </c>
      <c r="I460" s="136">
        <f>LET(_xlpm.r,Productos!$E$2:$E$2509,_xlpm.m,IFERROR(_xlfn.XMATCH(C460,_xlpm.r),IFERROR(_xlfn.XMATCH(VALUE(C460),_xlpm.r),0)),IF(_xlpm.m=0,"",_xlpm.m+1))</f>
        <v/>
      </c>
      <c r="J460" s="137" t="inlineStr">
        <is>
          <t>NetSuite</t>
        </is>
      </c>
    </row>
    <row r="461">
      <c r="A461" s="5" t="inlineStr">
        <is>
          <t>B25 STETSON.MX</t>
        </is>
      </c>
      <c r="B461" s="5">
        <f>IF($I2="","",INDEX(Productos!$A:$A,$I2))</f>
        <v/>
      </c>
      <c r="C461" s="134" t="inlineStr">
        <is>
          <t>ST-TI-001-FW25-TC-S</t>
        </is>
      </c>
      <c r="D461" s="5">
        <f>IF($I2="","",INDEX(Productos!$B:$B,$I2))</f>
        <v/>
      </c>
      <c r="E461" s="5">
        <f>IF($I2="","",INDEX(Productos!$H:$H,$I2))</f>
        <v/>
      </c>
      <c r="F461" s="5">
        <f>IF($I2="","",INDEX(Productos!$I:$I,$I2))</f>
        <v/>
      </c>
      <c r="G461" s="135" t="n">
        <v>5</v>
      </c>
      <c r="H461" s="5">
        <f>IF($I2="","",INDEX(Productos!$AG:$AG,$I2))</f>
        <v/>
      </c>
      <c r="I461" s="136">
        <f>LET(_xlpm.r,Productos!$E$2:$E$2509,_xlpm.m,IFERROR(_xlfn.XMATCH(C461,_xlpm.r),IFERROR(_xlfn.XMATCH(VALUE(C461),_xlpm.r),0)),IF(_xlpm.m=0,"",_xlpm.m+1))</f>
        <v/>
      </c>
      <c r="J461" s="137" t="inlineStr">
        <is>
          <t>NetSuite</t>
        </is>
      </c>
    </row>
    <row r="462">
      <c r="A462" s="5" t="inlineStr">
        <is>
          <t>B25 STETSON.MX</t>
        </is>
      </c>
      <c r="B462" s="5">
        <f>IF($I2="","",INDEX(Productos!$A:$A,$I2))</f>
        <v/>
      </c>
      <c r="C462" s="134" t="inlineStr">
        <is>
          <t>ST-TI-002-FW25-AF-2XL</t>
        </is>
      </c>
      <c r="D462" s="5">
        <f>IF($I2="","",INDEX(Productos!$B:$B,$I2))</f>
        <v/>
      </c>
      <c r="E462" s="5">
        <f>IF($I2="","",INDEX(Productos!$H:$H,$I2))</f>
        <v/>
      </c>
      <c r="F462" s="5">
        <f>IF($I2="","",INDEX(Productos!$I:$I,$I2))</f>
        <v/>
      </c>
      <c r="G462" s="135" t="n">
        <v>2</v>
      </c>
      <c r="H462" s="5">
        <f>IF($I2="","",INDEX(Productos!$AG:$AG,$I2))</f>
        <v/>
      </c>
      <c r="I462" s="136">
        <f>LET(_xlpm.r,Productos!$E$2:$E$2509,_xlpm.m,IFERROR(_xlfn.XMATCH(C462,_xlpm.r),IFERROR(_xlfn.XMATCH(VALUE(C462),_xlpm.r),0)),IF(_xlpm.m=0,"",_xlpm.m+1))</f>
        <v/>
      </c>
      <c r="J462" s="137" t="inlineStr">
        <is>
          <t>NetSuite</t>
        </is>
      </c>
    </row>
    <row r="463">
      <c r="A463" s="5" t="inlineStr">
        <is>
          <t>B25 STETSON.MX</t>
        </is>
      </c>
      <c r="B463" s="5">
        <f>IF($I2="","",INDEX(Productos!$A:$A,$I2))</f>
        <v/>
      </c>
      <c r="C463" s="134" t="inlineStr">
        <is>
          <t>ST-TI-002-FW25-AF-M</t>
        </is>
      </c>
      <c r="D463" s="5">
        <f>IF($I2="","",INDEX(Productos!$B:$B,$I2))</f>
        <v/>
      </c>
      <c r="E463" s="5">
        <f>IF($I2="","",INDEX(Productos!$H:$H,$I2))</f>
        <v/>
      </c>
      <c r="F463" s="5">
        <f>IF($I2="","",INDEX(Productos!$I:$I,$I2))</f>
        <v/>
      </c>
      <c r="G463" s="135" t="n">
        <v>4</v>
      </c>
      <c r="H463" s="5">
        <f>IF($I2="","",INDEX(Productos!$AG:$AG,$I2))</f>
        <v/>
      </c>
      <c r="I463" s="136">
        <f>LET(_xlpm.r,Productos!$E$2:$E$2509,_xlpm.m,IFERROR(_xlfn.XMATCH(C463,_xlpm.r),IFERROR(_xlfn.XMATCH(VALUE(C463),_xlpm.r),0)),IF(_xlpm.m=0,"",_xlpm.m+1))</f>
        <v/>
      </c>
      <c r="J463" s="137" t="inlineStr">
        <is>
          <t>NetSuite</t>
        </is>
      </c>
    </row>
    <row r="464">
      <c r="A464" s="5" t="inlineStr">
        <is>
          <t>B25 STETSON.MX</t>
        </is>
      </c>
      <c r="B464" s="5">
        <f>IF($I2="","",INDEX(Productos!$A:$A,$I2))</f>
        <v/>
      </c>
      <c r="C464" s="134" t="inlineStr">
        <is>
          <t>ST-TI-002-FW25-AF-S</t>
        </is>
      </c>
      <c r="D464" s="5">
        <f>IF($I2="","",INDEX(Productos!$B:$B,$I2))</f>
        <v/>
      </c>
      <c r="E464" s="5">
        <f>IF($I2="","",INDEX(Productos!$H:$H,$I2))</f>
        <v/>
      </c>
      <c r="F464" s="5">
        <f>IF($I2="","",INDEX(Productos!$I:$I,$I2))</f>
        <v/>
      </c>
      <c r="G464" s="135" t="n">
        <v>5</v>
      </c>
      <c r="H464" s="5">
        <f>IF($I2="","",INDEX(Productos!$AG:$AG,$I2))</f>
        <v/>
      </c>
      <c r="I464" s="136">
        <f>LET(_xlpm.r,Productos!$E$2:$E$2509,_xlpm.m,IFERROR(_xlfn.XMATCH(C464,_xlpm.r),IFERROR(_xlfn.XMATCH(VALUE(C464),_xlpm.r),0)),IF(_xlpm.m=0,"",_xlpm.m+1))</f>
        <v/>
      </c>
      <c r="J464" s="137" t="inlineStr">
        <is>
          <t>NetSuite</t>
        </is>
      </c>
    </row>
    <row r="465">
      <c r="A465" s="5" t="inlineStr">
        <is>
          <t>B25 STETSON.MX</t>
        </is>
      </c>
      <c r="B465" s="5">
        <f>IF($I2="","",INDEX(Productos!$A:$A,$I2))</f>
        <v/>
      </c>
      <c r="C465" s="134" t="inlineStr">
        <is>
          <t>ST-TI-002-FW25-AF-XL</t>
        </is>
      </c>
      <c r="D465" s="5">
        <f>IF($I2="","",INDEX(Productos!$B:$B,$I2))</f>
        <v/>
      </c>
      <c r="E465" s="5">
        <f>IF($I2="","",INDEX(Productos!$H:$H,$I2))</f>
        <v/>
      </c>
      <c r="F465" s="5">
        <f>IF($I2="","",INDEX(Productos!$I:$I,$I2))</f>
        <v/>
      </c>
      <c r="G465" s="135" t="n">
        <v>2</v>
      </c>
      <c r="H465" s="5">
        <f>IF($I2="","",INDEX(Productos!$AG:$AG,$I2))</f>
        <v/>
      </c>
      <c r="I465" s="136">
        <f>LET(_xlpm.r,Productos!$E$2:$E$2509,_xlpm.m,IFERROR(_xlfn.XMATCH(C465,_xlpm.r),IFERROR(_xlfn.XMATCH(VALUE(C465),_xlpm.r),0)),IF(_xlpm.m=0,"",_xlpm.m+1))</f>
        <v/>
      </c>
      <c r="J465" s="137" t="inlineStr">
        <is>
          <t>NetSuite</t>
        </is>
      </c>
    </row>
    <row r="466">
      <c r="A466" s="5" t="inlineStr">
        <is>
          <t>B25 STETSON.MX</t>
        </is>
      </c>
      <c r="B466" s="5">
        <f>IF($I2="","",INDEX(Productos!$A:$A,$I2))</f>
        <v/>
      </c>
      <c r="C466" s="134" t="inlineStr">
        <is>
          <t>ST-TI-003-FW25-OR-2XL</t>
        </is>
      </c>
      <c r="D466" s="5">
        <f>IF($I2="","",INDEX(Productos!$B:$B,$I2))</f>
        <v/>
      </c>
      <c r="E466" s="5">
        <f>IF($I2="","",INDEX(Productos!$H:$H,$I2))</f>
        <v/>
      </c>
      <c r="F466" s="5">
        <f>IF($I2="","",INDEX(Productos!$I:$I,$I2))</f>
        <v/>
      </c>
      <c r="G466" s="135" t="n">
        <v>1</v>
      </c>
      <c r="H466" s="5">
        <f>IF($I2="","",INDEX(Productos!$AG:$AG,$I2))</f>
        <v/>
      </c>
      <c r="I466" s="136">
        <f>LET(_xlpm.r,Productos!$E$2:$E$2509,_xlpm.m,IFERROR(_xlfn.XMATCH(C466,_xlpm.r),IFERROR(_xlfn.XMATCH(VALUE(C466),_xlpm.r),0)),IF(_xlpm.m=0,"",_xlpm.m+1))</f>
        <v/>
      </c>
      <c r="J466" s="137" t="inlineStr">
        <is>
          <t>NetSuite</t>
        </is>
      </c>
    </row>
    <row r="467">
      <c r="A467" s="5" t="inlineStr">
        <is>
          <t>B25 STETSON.MX</t>
        </is>
      </c>
      <c r="B467" s="5">
        <f>IF($I2="","",INDEX(Productos!$A:$A,$I2))</f>
        <v/>
      </c>
      <c r="C467" s="134" t="inlineStr">
        <is>
          <t>ST-TI-003-FW25-OR-L</t>
        </is>
      </c>
      <c r="D467" s="5">
        <f>IF($I2="","",INDEX(Productos!$B:$B,$I2))</f>
        <v/>
      </c>
      <c r="E467" s="5">
        <f>IF($I2="","",INDEX(Productos!$H:$H,$I2))</f>
        <v/>
      </c>
      <c r="F467" s="5">
        <f>IF($I2="","",INDEX(Productos!$I:$I,$I2))</f>
        <v/>
      </c>
      <c r="G467" s="135" t="n">
        <v>1</v>
      </c>
      <c r="H467" s="5">
        <f>IF($I2="","",INDEX(Productos!$AG:$AG,$I2))</f>
        <v/>
      </c>
      <c r="I467" s="136">
        <f>LET(_xlpm.r,Productos!$E$2:$E$2509,_xlpm.m,IFERROR(_xlfn.XMATCH(C467,_xlpm.r),IFERROR(_xlfn.XMATCH(VALUE(C467),_xlpm.r),0)),IF(_xlpm.m=0,"",_xlpm.m+1))</f>
        <v/>
      </c>
      <c r="J467" s="137" t="inlineStr">
        <is>
          <t>NetSuite</t>
        </is>
      </c>
    </row>
    <row r="468">
      <c r="A468" s="5" t="inlineStr">
        <is>
          <t>B25 STETSON.MX</t>
        </is>
      </c>
      <c r="B468" s="5">
        <f>IF($I2="","",INDEX(Productos!$A:$A,$I2))</f>
        <v/>
      </c>
      <c r="C468" s="134" t="inlineStr">
        <is>
          <t>ST-TI-003-FW25-OR-M</t>
        </is>
      </c>
      <c r="D468" s="5">
        <f>IF($I2="","",INDEX(Productos!$B:$B,$I2))</f>
        <v/>
      </c>
      <c r="E468" s="5">
        <f>IF($I2="","",INDEX(Productos!$H:$H,$I2))</f>
        <v/>
      </c>
      <c r="F468" s="5">
        <f>IF($I2="","",INDEX(Productos!$I:$I,$I2))</f>
        <v/>
      </c>
      <c r="G468" s="135" t="n">
        <v>3</v>
      </c>
      <c r="H468" s="5">
        <f>IF($I2="","",INDEX(Productos!$AG:$AG,$I2))</f>
        <v/>
      </c>
      <c r="I468" s="136">
        <f>LET(_xlpm.r,Productos!$E$2:$E$2509,_xlpm.m,IFERROR(_xlfn.XMATCH(C468,_xlpm.r),IFERROR(_xlfn.XMATCH(VALUE(C468),_xlpm.r),0)),IF(_xlpm.m=0,"",_xlpm.m+1))</f>
        <v/>
      </c>
      <c r="J468" s="137" t="inlineStr">
        <is>
          <t>NetSuite</t>
        </is>
      </c>
    </row>
    <row r="469">
      <c r="A469" s="5" t="inlineStr">
        <is>
          <t>B25 STETSON.MX</t>
        </is>
      </c>
      <c r="B469" s="5">
        <f>IF($I2="","",INDEX(Productos!$A:$A,$I2))</f>
        <v/>
      </c>
      <c r="C469" s="134" t="inlineStr">
        <is>
          <t>ST-TI-003-FW25-OR-S</t>
        </is>
      </c>
      <c r="D469" s="5">
        <f>IF($I2="","",INDEX(Productos!$B:$B,$I2))</f>
        <v/>
      </c>
      <c r="E469" s="5">
        <f>IF($I2="","",INDEX(Productos!$H:$H,$I2))</f>
        <v/>
      </c>
      <c r="F469" s="5">
        <f>IF($I2="","",INDEX(Productos!$I:$I,$I2))</f>
        <v/>
      </c>
      <c r="G469" s="135" t="n">
        <v>1</v>
      </c>
      <c r="H469" s="5">
        <f>IF($I2="","",INDEX(Productos!$AG:$AG,$I2))</f>
        <v/>
      </c>
      <c r="I469" s="136">
        <f>LET(_xlpm.r,Productos!$E$2:$E$2509,_xlpm.m,IFERROR(_xlfn.XMATCH(C469,_xlpm.r),IFERROR(_xlfn.XMATCH(VALUE(C469),_xlpm.r),0)),IF(_xlpm.m=0,"",_xlpm.m+1))</f>
        <v/>
      </c>
      <c r="J469" s="137" t="inlineStr">
        <is>
          <t>NetSuite</t>
        </is>
      </c>
    </row>
    <row r="470">
      <c r="A470" s="5" t="inlineStr">
        <is>
          <t>B25 STETSON.MX</t>
        </is>
      </c>
      <c r="B470" s="5">
        <f>IF($I2="","",INDEX(Productos!$A:$A,$I2))</f>
        <v/>
      </c>
      <c r="C470" s="134" t="inlineStr">
        <is>
          <t>ST-VR-P-001-FW25-HE-2XL</t>
        </is>
      </c>
      <c r="D470" s="5">
        <f>IF($I2="","",INDEX(Productos!$B:$B,$I2))</f>
        <v/>
      </c>
      <c r="E470" s="5">
        <f>IF($I2="","",INDEX(Productos!$H:$H,$I2))</f>
        <v/>
      </c>
      <c r="F470" s="5">
        <f>IF($I2="","",INDEX(Productos!$I:$I,$I2))</f>
        <v/>
      </c>
      <c r="G470" s="135" t="n">
        <v>1</v>
      </c>
      <c r="H470" s="5">
        <f>IF($I2="","",INDEX(Productos!$AG:$AG,$I2))</f>
        <v/>
      </c>
      <c r="I470" s="136">
        <f>LET(_xlpm.r,Productos!$E$2:$E$2509,_xlpm.m,IFERROR(_xlfn.XMATCH(C470,_xlpm.r),IFERROR(_xlfn.XMATCH(VALUE(C470),_xlpm.r),0)),IF(_xlpm.m=0,"",_xlpm.m+1))</f>
        <v/>
      </c>
      <c r="J470" s="137" t="inlineStr">
        <is>
          <t>NetSuite</t>
        </is>
      </c>
    </row>
    <row r="471">
      <c r="A471" s="5" t="inlineStr">
        <is>
          <t>B25 STETSON.MX</t>
        </is>
      </c>
      <c r="B471" s="5">
        <f>IF($I2="","",INDEX(Productos!$A:$A,$I2))</f>
        <v/>
      </c>
      <c r="C471" s="134" t="inlineStr">
        <is>
          <t>ST-VR-P-001-FW25-HE-L</t>
        </is>
      </c>
      <c r="D471" s="5">
        <f>IF($I2="","",INDEX(Productos!$B:$B,$I2))</f>
        <v/>
      </c>
      <c r="E471" s="5">
        <f>IF($I2="","",INDEX(Productos!$H:$H,$I2))</f>
        <v/>
      </c>
      <c r="F471" s="5">
        <f>IF($I2="","",INDEX(Productos!$I:$I,$I2))</f>
        <v/>
      </c>
      <c r="G471" s="135" t="n">
        <v>1</v>
      </c>
      <c r="H471" s="5">
        <f>IF($I2="","",INDEX(Productos!$AG:$AG,$I2))</f>
        <v/>
      </c>
      <c r="I471" s="136">
        <f>LET(_xlpm.r,Productos!$E$2:$E$2509,_xlpm.m,IFERROR(_xlfn.XMATCH(C471,_xlpm.r),IFERROR(_xlfn.XMATCH(VALUE(C471),_xlpm.r),0)),IF(_xlpm.m=0,"",_xlpm.m+1))</f>
        <v/>
      </c>
      <c r="J471" s="137" t="inlineStr">
        <is>
          <t>NetSuite</t>
        </is>
      </c>
    </row>
    <row r="472">
      <c r="A472" s="5" t="inlineStr">
        <is>
          <t>B25 STETSON.MX</t>
        </is>
      </c>
      <c r="B472" s="5">
        <f>IF($I2="","",INDEX(Productos!$A:$A,$I2))</f>
        <v/>
      </c>
      <c r="C472" s="134" t="inlineStr">
        <is>
          <t>ST-VR-P-001-FW25-HE-M</t>
        </is>
      </c>
      <c r="D472" s="5">
        <f>IF($I2="","",INDEX(Productos!$B:$B,$I2))</f>
        <v/>
      </c>
      <c r="E472" s="5">
        <f>IF($I2="","",INDEX(Productos!$H:$H,$I2))</f>
        <v/>
      </c>
      <c r="F472" s="5">
        <f>IF($I2="","",INDEX(Productos!$I:$I,$I2))</f>
        <v/>
      </c>
      <c r="G472" s="135" t="n">
        <v>5</v>
      </c>
      <c r="H472" s="5">
        <f>IF($I2="","",INDEX(Productos!$AG:$AG,$I2))</f>
        <v/>
      </c>
      <c r="I472" s="136">
        <f>LET(_xlpm.r,Productos!$E$2:$E$2509,_xlpm.m,IFERROR(_xlfn.XMATCH(C472,_xlpm.r),IFERROR(_xlfn.XMATCH(VALUE(C472),_xlpm.r),0)),IF(_xlpm.m=0,"",_xlpm.m+1))</f>
        <v/>
      </c>
      <c r="J472" s="137" t="inlineStr">
        <is>
          <t>NetSuite</t>
        </is>
      </c>
    </row>
    <row r="473">
      <c r="A473" s="5" t="inlineStr">
        <is>
          <t>B25 STETSON.MX</t>
        </is>
      </c>
      <c r="B473" s="5">
        <f>IF($I2="","",INDEX(Productos!$A:$A,$I2))</f>
        <v/>
      </c>
      <c r="C473" s="134" t="inlineStr">
        <is>
          <t>ST-VR-P-001-FW25-HE-S</t>
        </is>
      </c>
      <c r="D473" s="5">
        <f>IF($I2="","",INDEX(Productos!$B:$B,$I2))</f>
        <v/>
      </c>
      <c r="E473" s="5">
        <f>IF($I2="","",INDEX(Productos!$H:$H,$I2))</f>
        <v/>
      </c>
      <c r="F473" s="5">
        <f>IF($I2="","",INDEX(Productos!$I:$I,$I2))</f>
        <v/>
      </c>
      <c r="G473" s="135" t="n">
        <v>5</v>
      </c>
      <c r="H473" s="5">
        <f>IF($I2="","",INDEX(Productos!$AG:$AG,$I2))</f>
        <v/>
      </c>
      <c r="I473" s="136">
        <f>LET(_xlpm.r,Productos!$E$2:$E$2509,_xlpm.m,IFERROR(_xlfn.XMATCH(C473,_xlpm.r),IFERROR(_xlfn.XMATCH(VALUE(C473),_xlpm.r),0)),IF(_xlpm.m=0,"",_xlpm.m+1))</f>
        <v/>
      </c>
      <c r="J473" s="137" t="inlineStr">
        <is>
          <t>NetSuite</t>
        </is>
      </c>
    </row>
    <row r="474">
      <c r="A474" s="5" t="inlineStr">
        <is>
          <t>B25 STETSON.MX</t>
        </is>
      </c>
      <c r="B474" s="5">
        <f>IF($I2="","",INDEX(Productos!$A:$A,$I2))</f>
        <v/>
      </c>
      <c r="C474" s="134" t="inlineStr">
        <is>
          <t>ST-VR-P-001-FW25-HE-XL</t>
        </is>
      </c>
      <c r="D474" s="5">
        <f>IF($I2="","",INDEX(Productos!$B:$B,$I2))</f>
        <v/>
      </c>
      <c r="E474" s="5">
        <f>IF($I2="","",INDEX(Productos!$H:$H,$I2))</f>
        <v/>
      </c>
      <c r="F474" s="5">
        <f>IF($I2="","",INDEX(Productos!$I:$I,$I2))</f>
        <v/>
      </c>
      <c r="G474" s="135" t="n">
        <v>1</v>
      </c>
      <c r="H474" s="5">
        <f>IF($I2="","",INDEX(Productos!$AG:$AG,$I2))</f>
        <v/>
      </c>
      <c r="I474" s="136">
        <f>LET(_xlpm.r,Productos!$E$2:$E$2509,_xlpm.m,IFERROR(_xlfn.XMATCH(C474,_xlpm.r),IFERROR(_xlfn.XMATCH(VALUE(C474),_xlpm.r),0)),IF(_xlpm.m=0,"",_xlpm.m+1))</f>
        <v/>
      </c>
      <c r="J474" s="137" t="inlineStr">
        <is>
          <t>NetSuite</t>
        </is>
      </c>
    </row>
    <row r="475">
      <c r="A475" s="5" t="inlineStr">
        <is>
          <t>B25 STETSON.MX</t>
        </is>
      </c>
      <c r="B475" s="5">
        <f>IF($I2="","",INDEX(Productos!$A:$A,$I2))</f>
        <v/>
      </c>
      <c r="C475" s="134" t="inlineStr">
        <is>
          <t>ST-VR-P-002-FW25-RP-L</t>
        </is>
      </c>
      <c r="D475" s="5">
        <f>IF($I2="","",INDEX(Productos!$B:$B,$I2))</f>
        <v/>
      </c>
      <c r="E475" s="5">
        <f>IF($I2="","",INDEX(Productos!$H:$H,$I2))</f>
        <v/>
      </c>
      <c r="F475" s="5">
        <f>IF($I2="","",INDEX(Productos!$I:$I,$I2))</f>
        <v/>
      </c>
      <c r="G475" s="135" t="n">
        <v>7</v>
      </c>
      <c r="H475" s="5">
        <f>IF($I2="","",INDEX(Productos!$AG:$AG,$I2))</f>
        <v/>
      </c>
      <c r="I475" s="136">
        <f>LET(_xlpm.r,Productos!$E$2:$E$2509,_xlpm.m,IFERROR(_xlfn.XMATCH(C475,_xlpm.r),IFERROR(_xlfn.XMATCH(VALUE(C475),_xlpm.r),0)),IF(_xlpm.m=0,"",_xlpm.m+1))</f>
        <v/>
      </c>
      <c r="J475" s="137" t="inlineStr">
        <is>
          <t>NetSuite</t>
        </is>
      </c>
    </row>
    <row r="476">
      <c r="A476" s="5" t="inlineStr">
        <is>
          <t>B25 STETSON.MX</t>
        </is>
      </c>
      <c r="B476" s="5">
        <f>IF($I2="","",INDEX(Productos!$A:$A,$I2))</f>
        <v/>
      </c>
      <c r="C476" s="134" t="inlineStr">
        <is>
          <t>ST-VR-P-002-FW25-RP-M</t>
        </is>
      </c>
      <c r="D476" s="5">
        <f>IF($I2="","",INDEX(Productos!$B:$B,$I2))</f>
        <v/>
      </c>
      <c r="E476" s="5">
        <f>IF($I2="","",INDEX(Productos!$H:$H,$I2))</f>
        <v/>
      </c>
      <c r="F476" s="5">
        <f>IF($I2="","",INDEX(Productos!$I:$I,$I2))</f>
        <v/>
      </c>
      <c r="G476" s="135" t="n">
        <v>6</v>
      </c>
      <c r="H476" s="5">
        <f>IF($I2="","",INDEX(Productos!$AG:$AG,$I2))</f>
        <v/>
      </c>
      <c r="I476" s="136">
        <f>LET(_xlpm.r,Productos!$E$2:$E$2509,_xlpm.m,IFERROR(_xlfn.XMATCH(C476,_xlpm.r),IFERROR(_xlfn.XMATCH(VALUE(C476),_xlpm.r),0)),IF(_xlpm.m=0,"",_xlpm.m+1))</f>
        <v/>
      </c>
      <c r="J476" s="137" t="inlineStr">
        <is>
          <t>NetSuite</t>
        </is>
      </c>
    </row>
    <row r="477">
      <c r="A477" s="5" t="inlineStr">
        <is>
          <t>B25 STETSON.MX</t>
        </is>
      </c>
      <c r="B477" s="5">
        <f>IF($I2="","",INDEX(Productos!$A:$A,$I2))</f>
        <v/>
      </c>
      <c r="C477" s="134" t="inlineStr">
        <is>
          <t>ST-VR-P-002-FW25-RP-S</t>
        </is>
      </c>
      <c r="D477" s="5">
        <f>IF($I2="","",INDEX(Productos!$B:$B,$I2))</f>
        <v/>
      </c>
      <c r="E477" s="5">
        <f>IF($I2="","",INDEX(Productos!$H:$H,$I2))</f>
        <v/>
      </c>
      <c r="F477" s="5">
        <f>IF($I2="","",INDEX(Productos!$I:$I,$I2))</f>
        <v/>
      </c>
      <c r="G477" s="135" t="n">
        <v>6</v>
      </c>
      <c r="H477" s="5">
        <f>IF($I2="","",INDEX(Productos!$AG:$AG,$I2))</f>
        <v/>
      </c>
      <c r="I477" s="136">
        <f>LET(_xlpm.r,Productos!$E$2:$E$2509,_xlpm.m,IFERROR(_xlfn.XMATCH(C477,_xlpm.r),IFERROR(_xlfn.XMATCH(VALUE(C477),_xlpm.r),0)),IF(_xlpm.m=0,"",_xlpm.m+1))</f>
        <v/>
      </c>
      <c r="J477" s="137" t="inlineStr">
        <is>
          <t>NetSuite</t>
        </is>
      </c>
    </row>
    <row r="478">
      <c r="A478" s="5" t="inlineStr">
        <is>
          <t>B25 STETSON.MX</t>
        </is>
      </c>
      <c r="B478" s="5">
        <f>IF($I2="","",INDEX(Productos!$A:$A,$I2))</f>
        <v/>
      </c>
      <c r="C478" s="134" t="inlineStr">
        <is>
          <t>ST-VR-P-002-FW25-RP-XL</t>
        </is>
      </c>
      <c r="D478" s="5">
        <f>IF($I2="","",INDEX(Productos!$B:$B,$I2))</f>
        <v/>
      </c>
      <c r="E478" s="5">
        <f>IF($I2="","",INDEX(Productos!$H:$H,$I2))</f>
        <v/>
      </c>
      <c r="F478" s="5">
        <f>IF($I2="","",INDEX(Productos!$I:$I,$I2))</f>
        <v/>
      </c>
      <c r="G478" s="135" t="n">
        <v>3</v>
      </c>
      <c r="H478" s="5">
        <f>IF($I2="","",INDEX(Productos!$AG:$AG,$I2))</f>
        <v/>
      </c>
      <c r="I478" s="136">
        <f>LET(_xlpm.r,Productos!$E$2:$E$2509,_xlpm.m,IFERROR(_xlfn.XMATCH(C478,_xlpm.r),IFERROR(_xlfn.XMATCH(VALUE(C478),_xlpm.r),0)),IF(_xlpm.m=0,"",_xlpm.m+1))</f>
        <v/>
      </c>
      <c r="J478" s="137" t="inlineStr">
        <is>
          <t>NetSuite</t>
        </is>
      </c>
    </row>
    <row r="479">
      <c r="A479" s="5" t="inlineStr">
        <is>
          <t>B25 STETSON.MX</t>
        </is>
      </c>
      <c r="B479" s="5">
        <f>IF($I2="","",INDEX(Productos!$A:$A,$I2))</f>
        <v/>
      </c>
      <c r="C479" s="134" t="inlineStr">
        <is>
          <t>ST-VR-P-003-FW25-QP-2XL</t>
        </is>
      </c>
      <c r="D479" s="5">
        <f>IF($I2="","",INDEX(Productos!$B:$B,$I2))</f>
        <v/>
      </c>
      <c r="E479" s="5">
        <f>IF($I2="","",INDEX(Productos!$H:$H,$I2))</f>
        <v/>
      </c>
      <c r="F479" s="5">
        <f>IF($I2="","",INDEX(Productos!$I:$I,$I2))</f>
        <v/>
      </c>
      <c r="G479" s="135" t="n">
        <v>1</v>
      </c>
      <c r="H479" s="5">
        <f>IF($I2="","",INDEX(Productos!$AG:$AG,$I2))</f>
        <v/>
      </c>
      <c r="I479" s="136">
        <f>LET(_xlpm.r,Productos!$E$2:$E$2509,_xlpm.m,IFERROR(_xlfn.XMATCH(C479,_xlpm.r),IFERROR(_xlfn.XMATCH(VALUE(C479),_xlpm.r),0)),IF(_xlpm.m=0,"",_xlpm.m+1))</f>
        <v/>
      </c>
      <c r="J479" s="137" t="inlineStr">
        <is>
          <t>NetSuite</t>
        </is>
      </c>
    </row>
    <row r="480">
      <c r="A480" s="5" t="inlineStr">
        <is>
          <t>B25 STETSON.MX</t>
        </is>
      </c>
      <c r="B480" s="5">
        <f>IF($I2="","",INDEX(Productos!$A:$A,$I2))</f>
        <v/>
      </c>
      <c r="C480" s="134" t="inlineStr">
        <is>
          <t>ST-VR-P-003-FW25-QP-L</t>
        </is>
      </c>
      <c r="D480" s="5">
        <f>IF($I2="","",INDEX(Productos!$B:$B,$I2))</f>
        <v/>
      </c>
      <c r="E480" s="5">
        <f>IF($I2="","",INDEX(Productos!$H:$H,$I2))</f>
        <v/>
      </c>
      <c r="F480" s="5">
        <f>IF($I2="","",INDEX(Productos!$I:$I,$I2))</f>
        <v/>
      </c>
      <c r="G480" s="135" t="n">
        <v>8</v>
      </c>
      <c r="H480" s="5">
        <f>IF($I2="","",INDEX(Productos!$AG:$AG,$I2))</f>
        <v/>
      </c>
      <c r="I480" s="136">
        <f>LET(_xlpm.r,Productos!$E$2:$E$2509,_xlpm.m,IFERROR(_xlfn.XMATCH(C480,_xlpm.r),IFERROR(_xlfn.XMATCH(VALUE(C480),_xlpm.r),0)),IF(_xlpm.m=0,"",_xlpm.m+1))</f>
        <v/>
      </c>
      <c r="J480" s="137" t="inlineStr">
        <is>
          <t>NetSuite</t>
        </is>
      </c>
    </row>
    <row r="481">
      <c r="A481" s="5" t="inlineStr">
        <is>
          <t>B25 STETSON.MX</t>
        </is>
      </c>
      <c r="B481" s="5">
        <f>IF($I2="","",INDEX(Productos!$A:$A,$I2))</f>
        <v/>
      </c>
      <c r="C481" s="134" t="inlineStr">
        <is>
          <t>ST-VR-P-003-FW25-QP-M</t>
        </is>
      </c>
      <c r="D481" s="5">
        <f>IF($I2="","",INDEX(Productos!$B:$B,$I2))</f>
        <v/>
      </c>
      <c r="E481" s="5">
        <f>IF($I2="","",INDEX(Productos!$H:$H,$I2))</f>
        <v/>
      </c>
      <c r="F481" s="5">
        <f>IF($I2="","",INDEX(Productos!$I:$I,$I2))</f>
        <v/>
      </c>
      <c r="G481" s="135" t="n">
        <v>8</v>
      </c>
      <c r="H481" s="5">
        <f>IF($I2="","",INDEX(Productos!$AG:$AG,$I2))</f>
        <v/>
      </c>
      <c r="I481" s="136">
        <f>LET(_xlpm.r,Productos!$E$2:$E$2509,_xlpm.m,IFERROR(_xlfn.XMATCH(C481,_xlpm.r),IFERROR(_xlfn.XMATCH(VALUE(C481),_xlpm.r),0)),IF(_xlpm.m=0,"",_xlpm.m+1))</f>
        <v/>
      </c>
      <c r="J481" s="137" t="inlineStr">
        <is>
          <t>NetSuite</t>
        </is>
      </c>
    </row>
    <row r="482">
      <c r="A482" s="5" t="inlineStr">
        <is>
          <t>B25 STETSON.MX</t>
        </is>
      </c>
      <c r="B482" s="5">
        <f>IF($I2="","",INDEX(Productos!$A:$A,$I2))</f>
        <v/>
      </c>
      <c r="C482" s="134" t="inlineStr">
        <is>
          <t>ST-VR-P-003-FW25-QP-S</t>
        </is>
      </c>
      <c r="D482" s="5">
        <f>IF($I2="","",INDEX(Productos!$B:$B,$I2))</f>
        <v/>
      </c>
      <c r="E482" s="5">
        <f>IF($I2="","",INDEX(Productos!$H:$H,$I2))</f>
        <v/>
      </c>
      <c r="F482" s="5">
        <f>IF($I2="","",INDEX(Productos!$I:$I,$I2))</f>
        <v/>
      </c>
      <c r="G482" s="135" t="n">
        <v>7</v>
      </c>
      <c r="H482" s="5">
        <f>IF($I2="","",INDEX(Productos!$AG:$AG,$I2))</f>
        <v/>
      </c>
      <c r="I482" s="136">
        <f>LET(_xlpm.r,Productos!$E$2:$E$2509,_xlpm.m,IFERROR(_xlfn.XMATCH(C482,_xlpm.r),IFERROR(_xlfn.XMATCH(VALUE(C482),_xlpm.r),0)),IF(_xlpm.m=0,"",_xlpm.m+1))</f>
        <v/>
      </c>
      <c r="J482" s="137" t="inlineStr">
        <is>
          <t>NetSuite</t>
        </is>
      </c>
    </row>
    <row r="483">
      <c r="A483" s="5" t="inlineStr">
        <is>
          <t>B25 STETSON.MX</t>
        </is>
      </c>
      <c r="B483" s="5">
        <f>IF($I2="","",INDEX(Productos!$A:$A,$I2))</f>
        <v/>
      </c>
      <c r="C483" s="134" t="inlineStr">
        <is>
          <t>ST-VR-P-003-FW25-QP-XL</t>
        </is>
      </c>
      <c r="D483" s="5">
        <f>IF($I2="","",INDEX(Productos!$B:$B,$I2))</f>
        <v/>
      </c>
      <c r="E483" s="5">
        <f>IF($I2="","",INDEX(Productos!$H:$H,$I2))</f>
        <v/>
      </c>
      <c r="F483" s="5">
        <f>IF($I2="","",INDEX(Productos!$I:$I,$I2))</f>
        <v/>
      </c>
      <c r="G483" s="135" t="n">
        <v>2</v>
      </c>
      <c r="H483" s="5">
        <f>IF($I2="","",INDEX(Productos!$AG:$AG,$I2))</f>
        <v/>
      </c>
      <c r="I483" s="136">
        <f>LET(_xlpm.r,Productos!$E$2:$E$2509,_xlpm.m,IFERROR(_xlfn.XMATCH(C483,_xlpm.r),IFERROR(_xlfn.XMATCH(VALUE(C483),_xlpm.r),0)),IF(_xlpm.m=0,"",_xlpm.m+1))</f>
        <v/>
      </c>
      <c r="J483" s="137" t="inlineStr">
        <is>
          <t>NetSuite</t>
        </is>
      </c>
    </row>
    <row r="484">
      <c r="A484" s="5" t="inlineStr">
        <is>
          <t>B25 STETSON.MX</t>
        </is>
      </c>
      <c r="B484" s="5">
        <f>IF($I2="","",INDEX(Productos!$A:$A,$I2))</f>
        <v/>
      </c>
      <c r="C484" s="134" t="inlineStr">
        <is>
          <t>ST-VR-P-005-FW25-AZF-2XL</t>
        </is>
      </c>
      <c r="D484" s="5">
        <f>IF($I2="","",INDEX(Productos!$B:$B,$I2))</f>
        <v/>
      </c>
      <c r="E484" s="5">
        <f>IF($I2="","",INDEX(Productos!$H:$H,$I2))</f>
        <v/>
      </c>
      <c r="F484" s="5">
        <f>IF($I2="","",INDEX(Productos!$I:$I,$I2))</f>
        <v/>
      </c>
      <c r="G484" s="135" t="n">
        <v>1</v>
      </c>
      <c r="H484" s="5">
        <f>IF($I2="","",INDEX(Productos!$AG:$AG,$I2))</f>
        <v/>
      </c>
      <c r="I484" s="136">
        <f>LET(_xlpm.r,Productos!$E$2:$E$2509,_xlpm.m,IFERROR(_xlfn.XMATCH(C484,_xlpm.r),IFERROR(_xlfn.XMATCH(VALUE(C484),_xlpm.r),0)),IF(_xlpm.m=0,"",_xlpm.m+1))</f>
        <v/>
      </c>
      <c r="J484" s="137" t="inlineStr">
        <is>
          <t>NetSuite</t>
        </is>
      </c>
    </row>
    <row r="485">
      <c r="A485" s="5" t="inlineStr">
        <is>
          <t>B25 STETSON.MX</t>
        </is>
      </c>
      <c r="B485" s="5">
        <f>IF($I2="","",INDEX(Productos!$A:$A,$I2))</f>
        <v/>
      </c>
      <c r="C485" s="134" t="inlineStr">
        <is>
          <t>ST-VR-P-005-FW25-AZF-L</t>
        </is>
      </c>
      <c r="D485" s="5">
        <f>IF($I2="","",INDEX(Productos!$B:$B,$I2))</f>
        <v/>
      </c>
      <c r="E485" s="5">
        <f>IF($I2="","",INDEX(Productos!$H:$H,$I2))</f>
        <v/>
      </c>
      <c r="F485" s="5">
        <f>IF($I2="","",INDEX(Productos!$I:$I,$I2))</f>
        <v/>
      </c>
      <c r="G485" s="135" t="n">
        <v>9</v>
      </c>
      <c r="H485" s="5">
        <f>IF($I2="","",INDEX(Productos!$AG:$AG,$I2))</f>
        <v/>
      </c>
      <c r="I485" s="136">
        <f>LET(_xlpm.r,Productos!$E$2:$E$2509,_xlpm.m,IFERROR(_xlfn.XMATCH(C485,_xlpm.r),IFERROR(_xlfn.XMATCH(VALUE(C485),_xlpm.r),0)),IF(_xlpm.m=0,"",_xlpm.m+1))</f>
        <v/>
      </c>
      <c r="J485" s="137" t="inlineStr">
        <is>
          <t>NetSuite</t>
        </is>
      </c>
    </row>
    <row r="486">
      <c r="A486" s="5" t="inlineStr">
        <is>
          <t>B25 STETSON.MX</t>
        </is>
      </c>
      <c r="B486" s="5">
        <f>IF($I2="","",INDEX(Productos!$A:$A,$I2))</f>
        <v/>
      </c>
      <c r="C486" s="134" t="inlineStr">
        <is>
          <t>ST-VR-P-005-FW25-AZF-M</t>
        </is>
      </c>
      <c r="D486" s="5">
        <f>IF($I2="","",INDEX(Productos!$B:$B,$I2))</f>
        <v/>
      </c>
      <c r="E486" s="5">
        <f>IF($I2="","",INDEX(Productos!$H:$H,$I2))</f>
        <v/>
      </c>
      <c r="F486" s="5">
        <f>IF($I2="","",INDEX(Productos!$I:$I,$I2))</f>
        <v/>
      </c>
      <c r="G486" s="135" t="n">
        <v>10</v>
      </c>
      <c r="H486" s="5">
        <f>IF($I2="","",INDEX(Productos!$AG:$AG,$I2))</f>
        <v/>
      </c>
      <c r="I486" s="136">
        <f>LET(_xlpm.r,Productos!$E$2:$E$2509,_xlpm.m,IFERROR(_xlfn.XMATCH(C486,_xlpm.r),IFERROR(_xlfn.XMATCH(VALUE(C486),_xlpm.r),0)),IF(_xlpm.m=0,"",_xlpm.m+1))</f>
        <v/>
      </c>
      <c r="J486" s="137" t="inlineStr">
        <is>
          <t>NetSuite</t>
        </is>
      </c>
    </row>
    <row r="487">
      <c r="A487" s="5" t="inlineStr">
        <is>
          <t>B25 STETSON.MX</t>
        </is>
      </c>
      <c r="B487" s="5">
        <f>IF($I2="","",INDEX(Productos!$A:$A,$I2))</f>
        <v/>
      </c>
      <c r="C487" s="134" t="inlineStr">
        <is>
          <t>ST-VR-P-005-FW25-AZF-S</t>
        </is>
      </c>
      <c r="D487" s="5">
        <f>IF($I2="","",INDEX(Productos!$B:$B,$I2))</f>
        <v/>
      </c>
      <c r="E487" s="5">
        <f>IF($I2="","",INDEX(Productos!$H:$H,$I2))</f>
        <v/>
      </c>
      <c r="F487" s="5">
        <f>IF($I2="","",INDEX(Productos!$I:$I,$I2))</f>
        <v/>
      </c>
      <c r="G487" s="135" t="n">
        <v>6</v>
      </c>
      <c r="H487" s="5">
        <f>IF($I2="","",INDEX(Productos!$AG:$AG,$I2))</f>
        <v/>
      </c>
      <c r="I487" s="136">
        <f>LET(_xlpm.r,Productos!$E$2:$E$2509,_xlpm.m,IFERROR(_xlfn.XMATCH(C487,_xlpm.r),IFERROR(_xlfn.XMATCH(VALUE(C487),_xlpm.r),0)),IF(_xlpm.m=0,"",_xlpm.m+1))</f>
        <v/>
      </c>
      <c r="J487" s="137" t="inlineStr">
        <is>
          <t>NetSuite</t>
        </is>
      </c>
    </row>
    <row r="488">
      <c r="A488" s="5" t="inlineStr">
        <is>
          <t>B25 STETSON.MX</t>
        </is>
      </c>
      <c r="B488" s="5">
        <f>IF($I2="","",INDEX(Productos!$A:$A,$I2))</f>
        <v/>
      </c>
      <c r="C488" s="134" t="inlineStr">
        <is>
          <t>ST-VR-P-005-FW25-AZF-XL</t>
        </is>
      </c>
      <c r="D488" s="5">
        <f>IF($I2="","",INDEX(Productos!$B:$B,$I2))</f>
        <v/>
      </c>
      <c r="E488" s="5">
        <f>IF($I2="","",INDEX(Productos!$H:$H,$I2))</f>
        <v/>
      </c>
      <c r="F488" s="5">
        <f>IF($I2="","",INDEX(Productos!$I:$I,$I2))</f>
        <v/>
      </c>
      <c r="G488" s="135" t="n">
        <v>3</v>
      </c>
      <c r="H488" s="5">
        <f>IF($I2="","",INDEX(Productos!$AG:$AG,$I2))</f>
        <v/>
      </c>
      <c r="I488" s="136">
        <f>LET(_xlpm.r,Productos!$E$2:$E$2509,_xlpm.m,IFERROR(_xlfn.XMATCH(C488,_xlpm.r),IFERROR(_xlfn.XMATCH(VALUE(C488),_xlpm.r),0)),IF(_xlpm.m=0,"",_xlpm.m+1))</f>
        <v/>
      </c>
      <c r="J488" s="137" t="inlineStr">
        <is>
          <t>NetSuite</t>
        </is>
      </c>
    </row>
    <row r="489">
      <c r="A489" s="5" t="inlineStr">
        <is>
          <t>B25 STETSON.MX</t>
        </is>
      </c>
      <c r="B489" s="5">
        <f>IF($I2="","",INDEX(Productos!$A:$A,$I2))</f>
        <v/>
      </c>
      <c r="C489" s="134" t="inlineStr">
        <is>
          <t>ST-VR-P-006-FW25-PD-L</t>
        </is>
      </c>
      <c r="D489" s="5">
        <f>IF($I2="","",INDEX(Productos!$B:$B,$I2))</f>
        <v/>
      </c>
      <c r="E489" s="5">
        <f>IF($I2="","",INDEX(Productos!$H:$H,$I2))</f>
        <v/>
      </c>
      <c r="F489" s="5">
        <f>IF($I2="","",INDEX(Productos!$I:$I,$I2))</f>
        <v/>
      </c>
      <c r="G489" s="135" t="n">
        <v>5</v>
      </c>
      <c r="H489" s="5">
        <f>IF($I2="","",INDEX(Productos!$AG:$AG,$I2))</f>
        <v/>
      </c>
      <c r="I489" s="136">
        <f>LET(_xlpm.r,Productos!$E$2:$E$2509,_xlpm.m,IFERROR(_xlfn.XMATCH(C489,_xlpm.r),IFERROR(_xlfn.XMATCH(VALUE(C489),_xlpm.r),0)),IF(_xlpm.m=0,"",_xlpm.m+1))</f>
        <v/>
      </c>
      <c r="J489" s="137" t="inlineStr">
        <is>
          <t>NetSuite</t>
        </is>
      </c>
    </row>
    <row r="490">
      <c r="A490" s="5" t="inlineStr">
        <is>
          <t>B25 STETSON.MX</t>
        </is>
      </c>
      <c r="B490" s="5">
        <f>IF($I2="","",INDEX(Productos!$A:$A,$I2))</f>
        <v/>
      </c>
      <c r="C490" s="134" t="inlineStr">
        <is>
          <t>ST-VR-P-006-FW25-PD-M</t>
        </is>
      </c>
      <c r="D490" s="5">
        <f>IF($I2="","",INDEX(Productos!$B:$B,$I2))</f>
        <v/>
      </c>
      <c r="E490" s="5">
        <f>IF($I2="","",INDEX(Productos!$H:$H,$I2))</f>
        <v/>
      </c>
      <c r="F490" s="5">
        <f>IF($I2="","",INDEX(Productos!$I:$I,$I2))</f>
        <v/>
      </c>
      <c r="G490" s="135" t="n">
        <v>3</v>
      </c>
      <c r="H490" s="5">
        <f>IF($I2="","",INDEX(Productos!$AG:$AG,$I2))</f>
        <v/>
      </c>
      <c r="I490" s="136">
        <f>LET(_xlpm.r,Productos!$E$2:$E$2509,_xlpm.m,IFERROR(_xlfn.XMATCH(C490,_xlpm.r),IFERROR(_xlfn.XMATCH(VALUE(C490),_xlpm.r),0)),IF(_xlpm.m=0,"",_xlpm.m+1))</f>
        <v/>
      </c>
      <c r="J490" s="137" t="inlineStr">
        <is>
          <t>NetSuite</t>
        </is>
      </c>
    </row>
    <row r="491">
      <c r="A491" s="5" t="inlineStr">
        <is>
          <t>B25 STETSON.MX</t>
        </is>
      </c>
      <c r="B491" s="5">
        <f>IF($I2="","",INDEX(Productos!$A:$A,$I2))</f>
        <v/>
      </c>
      <c r="C491" s="134" t="inlineStr">
        <is>
          <t>ST-VR-P-006-FW25-PD-S</t>
        </is>
      </c>
      <c r="D491" s="5">
        <f>IF($I2="","",INDEX(Productos!$B:$B,$I2))</f>
        <v/>
      </c>
      <c r="E491" s="5">
        <f>IF($I2="","",INDEX(Productos!$H:$H,$I2))</f>
        <v/>
      </c>
      <c r="F491" s="5">
        <f>IF($I2="","",INDEX(Productos!$I:$I,$I2))</f>
        <v/>
      </c>
      <c r="G491" s="135" t="n">
        <v>6</v>
      </c>
      <c r="H491" s="5">
        <f>IF($I2="","",INDEX(Productos!$AG:$AG,$I2))</f>
        <v/>
      </c>
      <c r="I491" s="136">
        <f>LET(_xlpm.r,Productos!$E$2:$E$2509,_xlpm.m,IFERROR(_xlfn.XMATCH(C491,_xlpm.r),IFERROR(_xlfn.XMATCH(VALUE(C491),_xlpm.r),0)),IF(_xlpm.m=0,"",_xlpm.m+1))</f>
        <v/>
      </c>
      <c r="J491" s="137" t="inlineStr">
        <is>
          <t>NetSuite</t>
        </is>
      </c>
    </row>
    <row r="492">
      <c r="A492" s="5" t="inlineStr">
        <is>
          <t>B25 STETSON.MX</t>
        </is>
      </c>
      <c r="B492" s="5">
        <f>IF($I2="","",INDEX(Productos!$A:$A,$I2))</f>
        <v/>
      </c>
      <c r="C492" s="134" t="inlineStr">
        <is>
          <t>ST-VR-P-006-FW25-PD-XL</t>
        </is>
      </c>
      <c r="D492" s="5">
        <f>IF($I2="","",INDEX(Productos!$B:$B,$I2))</f>
        <v/>
      </c>
      <c r="E492" s="5">
        <f>IF($I2="","",INDEX(Productos!$H:$H,$I2))</f>
        <v/>
      </c>
      <c r="F492" s="5">
        <f>IF($I2="","",INDEX(Productos!$I:$I,$I2))</f>
        <v/>
      </c>
      <c r="G492" s="135" t="n">
        <v>1</v>
      </c>
      <c r="H492" s="5">
        <f>IF($I2="","",INDEX(Productos!$AG:$AG,$I2))</f>
        <v/>
      </c>
      <c r="I492" s="136">
        <f>LET(_xlpm.r,Productos!$E$2:$E$2509,_xlpm.m,IFERROR(_xlfn.XMATCH(C492,_xlpm.r),IFERROR(_xlfn.XMATCH(VALUE(C492),_xlpm.r),0)),IF(_xlpm.m=0,"",_xlpm.m+1))</f>
        <v/>
      </c>
      <c r="J492" s="137" t="inlineStr">
        <is>
          <t>NetSuite</t>
        </is>
      </c>
    </row>
    <row r="493">
      <c r="A493" s="5" t="inlineStr">
        <is>
          <t>B25 STETSON.MX</t>
        </is>
      </c>
      <c r="B493" s="5">
        <f>IF($I2="","",INDEX(Productos!$A:$A,$I2))</f>
        <v/>
      </c>
      <c r="C493" s="134" t="inlineStr">
        <is>
          <t>ST-VR-P-007-FW25-SB-2XL</t>
        </is>
      </c>
      <c r="D493" s="5">
        <f>IF($I2="","",INDEX(Productos!$B:$B,$I2))</f>
        <v/>
      </c>
      <c r="E493" s="5">
        <f>IF($I2="","",INDEX(Productos!$H:$H,$I2))</f>
        <v/>
      </c>
      <c r="F493" s="5">
        <f>IF($I2="","",INDEX(Productos!$I:$I,$I2))</f>
        <v/>
      </c>
      <c r="G493" s="135" t="n">
        <v>1</v>
      </c>
      <c r="H493" s="5">
        <f>IF($I2="","",INDEX(Productos!$AG:$AG,$I2))</f>
        <v/>
      </c>
      <c r="I493" s="136">
        <f>LET(_xlpm.r,Productos!$E$2:$E$2509,_xlpm.m,IFERROR(_xlfn.XMATCH(C493,_xlpm.r),IFERROR(_xlfn.XMATCH(VALUE(C493),_xlpm.r),0)),IF(_xlpm.m=0,"",_xlpm.m+1))</f>
        <v/>
      </c>
      <c r="J493" s="137" t="inlineStr">
        <is>
          <t>NetSuite</t>
        </is>
      </c>
    </row>
    <row r="494">
      <c r="A494" s="5" t="inlineStr">
        <is>
          <t>B25 STETSON.MX</t>
        </is>
      </c>
      <c r="B494" s="5">
        <f>IF($I2="","",INDEX(Productos!$A:$A,$I2))</f>
        <v/>
      </c>
      <c r="C494" s="134" t="inlineStr">
        <is>
          <t>ST-VR-P-007-FW25-SB-M</t>
        </is>
      </c>
      <c r="D494" s="5">
        <f>IF($I2="","",INDEX(Productos!$B:$B,$I2))</f>
        <v/>
      </c>
      <c r="E494" s="5">
        <f>IF($I2="","",INDEX(Productos!$H:$H,$I2))</f>
        <v/>
      </c>
      <c r="F494" s="5">
        <f>IF($I2="","",INDEX(Productos!$I:$I,$I2))</f>
        <v/>
      </c>
      <c r="G494" s="135" t="n">
        <v>5</v>
      </c>
      <c r="H494" s="5">
        <f>IF($I2="","",INDEX(Productos!$AG:$AG,$I2))</f>
        <v/>
      </c>
      <c r="I494" s="136">
        <f>LET(_xlpm.r,Productos!$E$2:$E$2509,_xlpm.m,IFERROR(_xlfn.XMATCH(C494,_xlpm.r),IFERROR(_xlfn.XMATCH(VALUE(C494),_xlpm.r),0)),IF(_xlpm.m=0,"",_xlpm.m+1))</f>
        <v/>
      </c>
      <c r="J494" s="137" t="inlineStr">
        <is>
          <t>NetSuite</t>
        </is>
      </c>
    </row>
    <row r="495">
      <c r="A495" s="5" t="inlineStr">
        <is>
          <t>B25 STETSON.MX</t>
        </is>
      </c>
      <c r="B495" s="5">
        <f>IF($I2="","",INDEX(Productos!$A:$A,$I2))</f>
        <v/>
      </c>
      <c r="C495" s="134" t="inlineStr">
        <is>
          <t>ST-VR-P-007-FW25-SB-S</t>
        </is>
      </c>
      <c r="D495" s="5">
        <f>IF($I2="","",INDEX(Productos!$B:$B,$I2))</f>
        <v/>
      </c>
      <c r="E495" s="5">
        <f>IF($I2="","",INDEX(Productos!$H:$H,$I2))</f>
        <v/>
      </c>
      <c r="F495" s="5">
        <f>IF($I2="","",INDEX(Productos!$I:$I,$I2))</f>
        <v/>
      </c>
      <c r="G495" s="135" t="n">
        <v>5</v>
      </c>
      <c r="H495" s="5">
        <f>IF($I2="","",INDEX(Productos!$AG:$AG,$I2))</f>
        <v/>
      </c>
      <c r="I495" s="136">
        <f>LET(_xlpm.r,Productos!$E$2:$E$2509,_xlpm.m,IFERROR(_xlfn.XMATCH(C495,_xlpm.r),IFERROR(_xlfn.XMATCH(VALUE(C495),_xlpm.r),0)),IF(_xlpm.m=0,"",_xlpm.m+1))</f>
        <v/>
      </c>
      <c r="J495" s="137" t="inlineStr">
        <is>
          <t>NetSuite</t>
        </is>
      </c>
    </row>
    <row r="496">
      <c r="A496" s="5" t="inlineStr">
        <is>
          <t>B25 STETSON.MX</t>
        </is>
      </c>
      <c r="B496" s="5">
        <f>IF($I2="","",INDEX(Productos!$A:$A,$I2))</f>
        <v/>
      </c>
      <c r="C496" s="134" t="inlineStr">
        <is>
          <t>ST-VR-P-008-FW25-FN-L</t>
        </is>
      </c>
      <c r="D496" s="5">
        <f>IF($I2="","",INDEX(Productos!$B:$B,$I2))</f>
        <v/>
      </c>
      <c r="E496" s="5">
        <f>IF($I2="","",INDEX(Productos!$H:$H,$I2))</f>
        <v/>
      </c>
      <c r="F496" s="5">
        <f>IF($I2="","",INDEX(Productos!$I:$I,$I2))</f>
        <v/>
      </c>
      <c r="G496" s="135" t="n">
        <v>1</v>
      </c>
      <c r="H496" s="5">
        <f>IF($I2="","",INDEX(Productos!$AG:$AG,$I2))</f>
        <v/>
      </c>
      <c r="I496" s="136">
        <f>LET(_xlpm.r,Productos!$E$2:$E$2509,_xlpm.m,IFERROR(_xlfn.XMATCH(C496,_xlpm.r),IFERROR(_xlfn.XMATCH(VALUE(C496),_xlpm.r),0)),IF(_xlpm.m=0,"",_xlpm.m+1))</f>
        <v/>
      </c>
      <c r="J496" s="137" t="inlineStr">
        <is>
          <t>NetSuite</t>
        </is>
      </c>
    </row>
    <row r="497">
      <c r="A497" s="5" t="inlineStr">
        <is>
          <t>B25 STETSON.MX</t>
        </is>
      </c>
      <c r="B497" s="5">
        <f>IF($I2="","",INDEX(Productos!$A:$A,$I2))</f>
        <v/>
      </c>
      <c r="C497" s="134" t="inlineStr">
        <is>
          <t>ST-VR-P-008-FW25-FN-M</t>
        </is>
      </c>
      <c r="D497" s="5">
        <f>IF($I2="","",INDEX(Productos!$B:$B,$I2))</f>
        <v/>
      </c>
      <c r="E497" s="5">
        <f>IF($I2="","",INDEX(Productos!$H:$H,$I2))</f>
        <v/>
      </c>
      <c r="F497" s="5">
        <f>IF($I2="","",INDEX(Productos!$I:$I,$I2))</f>
        <v/>
      </c>
      <c r="G497" s="135" t="n">
        <v>5</v>
      </c>
      <c r="H497" s="5">
        <f>IF($I2="","",INDEX(Productos!$AG:$AG,$I2))</f>
        <v/>
      </c>
      <c r="I497" s="136">
        <f>LET(_xlpm.r,Productos!$E$2:$E$2509,_xlpm.m,IFERROR(_xlfn.XMATCH(C497,_xlpm.r),IFERROR(_xlfn.XMATCH(VALUE(C497),_xlpm.r),0)),IF(_xlpm.m=0,"",_xlpm.m+1))</f>
        <v/>
      </c>
      <c r="J497" s="137" t="inlineStr">
        <is>
          <t>NetSuite</t>
        </is>
      </c>
    </row>
    <row r="498">
      <c r="A498" s="5" t="inlineStr">
        <is>
          <t>B25 STETSON.MX</t>
        </is>
      </c>
      <c r="B498" s="5">
        <f>IF($I2="","",INDEX(Productos!$A:$A,$I2))</f>
        <v/>
      </c>
      <c r="C498" s="134" t="inlineStr">
        <is>
          <t>ST-VR-P-008-FW25-FN-S</t>
        </is>
      </c>
      <c r="D498" s="5">
        <f>IF($I2="","",INDEX(Productos!$B:$B,$I2))</f>
        <v/>
      </c>
      <c r="E498" s="5">
        <f>IF($I2="","",INDEX(Productos!$H:$H,$I2))</f>
        <v/>
      </c>
      <c r="F498" s="5">
        <f>IF($I2="","",INDEX(Productos!$I:$I,$I2))</f>
        <v/>
      </c>
      <c r="G498" s="135" t="n">
        <v>5</v>
      </c>
      <c r="H498" s="5">
        <f>IF($I2="","",INDEX(Productos!$AG:$AG,$I2))</f>
        <v/>
      </c>
      <c r="I498" s="136">
        <f>LET(_xlpm.r,Productos!$E$2:$E$2509,_xlpm.m,IFERROR(_xlfn.XMATCH(C498,_xlpm.r),IFERROR(_xlfn.XMATCH(VALUE(C498),_xlpm.r),0)),IF(_xlpm.m=0,"",_xlpm.m+1))</f>
        <v/>
      </c>
      <c r="J498" s="137" t="inlineStr">
        <is>
          <t>NetSuite</t>
        </is>
      </c>
    </row>
    <row r="499">
      <c r="A499" s="5" t="inlineStr">
        <is>
          <t>B25 STETSON.MX</t>
        </is>
      </c>
      <c r="B499" s="5">
        <f>IF($I2="","",INDEX(Productos!$A:$A,$I2))</f>
        <v/>
      </c>
      <c r="C499" s="134" t="inlineStr">
        <is>
          <t>ST-VR-P-008-FW25-FN-XL</t>
        </is>
      </c>
      <c r="D499" s="5">
        <f>IF($I2="","",INDEX(Productos!$B:$B,$I2))</f>
        <v/>
      </c>
      <c r="E499" s="5">
        <f>IF($I2="","",INDEX(Productos!$H:$H,$I2))</f>
        <v/>
      </c>
      <c r="F499" s="5">
        <f>IF($I2="","",INDEX(Productos!$I:$I,$I2))</f>
        <v/>
      </c>
      <c r="G499" s="135" t="n">
        <v>1</v>
      </c>
      <c r="H499" s="5">
        <f>IF($I2="","",INDEX(Productos!$AG:$AG,$I2))</f>
        <v/>
      </c>
      <c r="I499" s="136">
        <f>LET(_xlpm.r,Productos!$E$2:$E$2509,_xlpm.m,IFERROR(_xlfn.XMATCH(C499,_xlpm.r),IFERROR(_xlfn.XMATCH(VALUE(C499),_xlpm.r),0)),IF(_xlpm.m=0,"",_xlpm.m+1))</f>
        <v/>
      </c>
      <c r="J499" s="137" t="inlineStr">
        <is>
          <t>NetSuite</t>
        </is>
      </c>
    </row>
    <row r="500">
      <c r="A500" s="5" t="inlineStr">
        <is>
          <t>B25 STETSON.MX</t>
        </is>
      </c>
      <c r="B500" s="5">
        <f>IF($I2="","",INDEX(Productos!$A:$A,$I2))</f>
        <v/>
      </c>
      <c r="C500" s="134" t="inlineStr">
        <is>
          <t>ST-VR-P-009-FW25-TS-2XL</t>
        </is>
      </c>
      <c r="D500" s="5">
        <f>IF($I2="","",INDEX(Productos!$B:$B,$I2))</f>
        <v/>
      </c>
      <c r="E500" s="5">
        <f>IF($I2="","",INDEX(Productos!$H:$H,$I2))</f>
        <v/>
      </c>
      <c r="F500" s="5">
        <f>IF($I2="","",INDEX(Productos!$I:$I,$I2))</f>
        <v/>
      </c>
      <c r="G500" s="135" t="n">
        <v>3</v>
      </c>
      <c r="H500" s="5">
        <f>IF($I2="","",INDEX(Productos!$AG:$AG,$I2))</f>
        <v/>
      </c>
      <c r="I500" s="136">
        <f>LET(_xlpm.r,Productos!$E$2:$E$2509,_xlpm.m,IFERROR(_xlfn.XMATCH(C500,_xlpm.r),IFERROR(_xlfn.XMATCH(VALUE(C500),_xlpm.r),0)),IF(_xlpm.m=0,"",_xlpm.m+1))</f>
        <v/>
      </c>
      <c r="J500" s="137" t="inlineStr">
        <is>
          <t>NetSuite</t>
        </is>
      </c>
    </row>
    <row r="501">
      <c r="A501" s="5" t="inlineStr">
        <is>
          <t>B25 STETSON.MX</t>
        </is>
      </c>
      <c r="B501" s="5">
        <f>IF($I2="","",INDEX(Productos!$A:$A,$I2))</f>
        <v/>
      </c>
      <c r="C501" s="134" t="inlineStr">
        <is>
          <t>ST-VR-P-009-FW25-TS-L</t>
        </is>
      </c>
      <c r="D501" s="5">
        <f>IF($I2="","",INDEX(Productos!$B:$B,$I2))</f>
        <v/>
      </c>
      <c r="E501" s="5">
        <f>IF($I2="","",INDEX(Productos!$H:$H,$I2))</f>
        <v/>
      </c>
      <c r="F501" s="5">
        <f>IF($I2="","",INDEX(Productos!$I:$I,$I2))</f>
        <v/>
      </c>
      <c r="G501" s="135" t="n">
        <v>7</v>
      </c>
      <c r="H501" s="5">
        <f>IF($I2="","",INDEX(Productos!$AG:$AG,$I2))</f>
        <v/>
      </c>
      <c r="I501" s="136">
        <f>LET(_xlpm.r,Productos!$E$2:$E$2509,_xlpm.m,IFERROR(_xlfn.XMATCH(C501,_xlpm.r),IFERROR(_xlfn.XMATCH(VALUE(C501),_xlpm.r),0)),IF(_xlpm.m=0,"",_xlpm.m+1))</f>
        <v/>
      </c>
      <c r="J501" s="137" t="inlineStr">
        <is>
          <t>NetSuite</t>
        </is>
      </c>
    </row>
    <row r="502">
      <c r="A502" s="5" t="inlineStr">
        <is>
          <t>B25 STETSON.MX</t>
        </is>
      </c>
      <c r="B502" s="5">
        <f>IF($I2="","",INDEX(Productos!$A:$A,$I2))</f>
        <v/>
      </c>
      <c r="C502" s="134" t="inlineStr">
        <is>
          <t>ST-VR-P-009-FW25-TS-M</t>
        </is>
      </c>
      <c r="D502" s="5">
        <f>IF($I2="","",INDEX(Productos!$B:$B,$I2))</f>
        <v/>
      </c>
      <c r="E502" s="5">
        <f>IF($I2="","",INDEX(Productos!$H:$H,$I2))</f>
        <v/>
      </c>
      <c r="F502" s="5">
        <f>IF($I2="","",INDEX(Productos!$I:$I,$I2))</f>
        <v/>
      </c>
      <c r="G502" s="135" t="n">
        <v>9</v>
      </c>
      <c r="H502" s="5">
        <f>IF($I2="","",INDEX(Productos!$AG:$AG,$I2))</f>
        <v/>
      </c>
      <c r="I502" s="136">
        <f>LET(_xlpm.r,Productos!$E$2:$E$2509,_xlpm.m,IFERROR(_xlfn.XMATCH(C502,_xlpm.r),IFERROR(_xlfn.XMATCH(VALUE(C502),_xlpm.r),0)),IF(_xlpm.m=0,"",_xlpm.m+1))</f>
        <v/>
      </c>
      <c r="J502" s="137" t="inlineStr">
        <is>
          <t>NetSuite</t>
        </is>
      </c>
    </row>
    <row r="503">
      <c r="A503" s="5" t="inlineStr">
        <is>
          <t>B25 STETSON.MX</t>
        </is>
      </c>
      <c r="B503" s="5">
        <f>IF($I2="","",INDEX(Productos!$A:$A,$I2))</f>
        <v/>
      </c>
      <c r="C503" s="134" t="inlineStr">
        <is>
          <t>ST-VR-P-009-FW25-TS-S</t>
        </is>
      </c>
      <c r="D503" s="5">
        <f>IF($I2="","",INDEX(Productos!$B:$B,$I2))</f>
        <v/>
      </c>
      <c r="E503" s="5">
        <f>IF($I2="","",INDEX(Productos!$H:$H,$I2))</f>
        <v/>
      </c>
      <c r="F503" s="5">
        <f>IF($I2="","",INDEX(Productos!$I:$I,$I2))</f>
        <v/>
      </c>
      <c r="G503" s="135" t="n">
        <v>7</v>
      </c>
      <c r="H503" s="5">
        <f>IF($I2="","",INDEX(Productos!$AG:$AG,$I2))</f>
        <v/>
      </c>
      <c r="I503" s="136">
        <f>LET(_xlpm.r,Productos!$E$2:$E$2509,_xlpm.m,IFERROR(_xlfn.XMATCH(C503,_xlpm.r),IFERROR(_xlfn.XMATCH(VALUE(C503),_xlpm.r),0)),IF(_xlpm.m=0,"",_xlpm.m+1))</f>
        <v/>
      </c>
      <c r="J503" s="137" t="inlineStr">
        <is>
          <t>NetSuite</t>
        </is>
      </c>
    </row>
    <row r="504">
      <c r="A504" s="5" t="inlineStr">
        <is>
          <t>B25 STETSON.MX</t>
        </is>
      </c>
      <c r="B504" s="5">
        <f>IF($I2="","",INDEX(Productos!$A:$A,$I2))</f>
        <v/>
      </c>
      <c r="C504" s="134" t="inlineStr">
        <is>
          <t>ST-VR-P-009-FW25-TS-XL</t>
        </is>
      </c>
      <c r="D504" s="5">
        <f>IF($I2="","",INDEX(Productos!$B:$B,$I2))</f>
        <v/>
      </c>
      <c r="E504" s="5">
        <f>IF($I2="","",INDEX(Productos!$H:$H,$I2))</f>
        <v/>
      </c>
      <c r="F504" s="5">
        <f>IF($I2="","",INDEX(Productos!$I:$I,$I2))</f>
        <v/>
      </c>
      <c r="G504" s="135" t="n">
        <v>3</v>
      </c>
      <c r="H504" s="5">
        <f>IF($I2="","",INDEX(Productos!$AG:$AG,$I2))</f>
        <v/>
      </c>
      <c r="I504" s="136">
        <f>LET(_xlpm.r,Productos!$E$2:$E$2509,_xlpm.m,IFERROR(_xlfn.XMATCH(C504,_xlpm.r),IFERROR(_xlfn.XMATCH(VALUE(C504),_xlpm.r),0)),IF(_xlpm.m=0,"",_xlpm.m+1))</f>
        <v/>
      </c>
      <c r="J504" s="137" t="inlineStr">
        <is>
          <t>NetSuite</t>
        </is>
      </c>
    </row>
    <row r="505">
      <c r="A505" s="5" t="inlineStr">
        <is>
          <t>B25 STETSON.MX</t>
        </is>
      </c>
      <c r="B505" s="5">
        <f>IF($I2="","",INDEX(Productos!$A:$A,$I2))</f>
        <v/>
      </c>
      <c r="C505" s="134" t="inlineStr">
        <is>
          <t>ST-VR-P-010-FW25-SA-2XL</t>
        </is>
      </c>
      <c r="D505" s="5">
        <f>IF($I2="","",INDEX(Productos!$B:$B,$I2))</f>
        <v/>
      </c>
      <c r="E505" s="5">
        <f>IF($I2="","",INDEX(Productos!$H:$H,$I2))</f>
        <v/>
      </c>
      <c r="F505" s="5">
        <f>IF($I2="","",INDEX(Productos!$I:$I,$I2))</f>
        <v/>
      </c>
      <c r="G505" s="135" t="n">
        <v>1</v>
      </c>
      <c r="H505" s="5">
        <f>IF($I2="","",INDEX(Productos!$AG:$AG,$I2))</f>
        <v/>
      </c>
      <c r="I505" s="136">
        <f>LET(_xlpm.r,Productos!$E$2:$E$2509,_xlpm.m,IFERROR(_xlfn.XMATCH(C505,_xlpm.r),IFERROR(_xlfn.XMATCH(VALUE(C505),_xlpm.r),0)),IF(_xlpm.m=0,"",_xlpm.m+1))</f>
        <v/>
      </c>
      <c r="J505" s="137" t="inlineStr">
        <is>
          <t>NetSuite</t>
        </is>
      </c>
    </row>
    <row r="506">
      <c r="A506" s="5" t="inlineStr">
        <is>
          <t>B25 STETSON.MX</t>
        </is>
      </c>
      <c r="B506" s="5">
        <f>IF($I2="","",INDEX(Productos!$A:$A,$I2))</f>
        <v/>
      </c>
      <c r="C506" s="134" t="inlineStr">
        <is>
          <t>ST-VR-P-010-FW25-SA-L</t>
        </is>
      </c>
      <c r="D506" s="5">
        <f>IF($I2="","",INDEX(Productos!$B:$B,$I2))</f>
        <v/>
      </c>
      <c r="E506" s="5">
        <f>IF($I2="","",INDEX(Productos!$H:$H,$I2))</f>
        <v/>
      </c>
      <c r="F506" s="5">
        <f>IF($I2="","",INDEX(Productos!$I:$I,$I2))</f>
        <v/>
      </c>
      <c r="G506" s="135" t="n">
        <v>9</v>
      </c>
      <c r="H506" s="5">
        <f>IF($I2="","",INDEX(Productos!$AG:$AG,$I2))</f>
        <v/>
      </c>
      <c r="I506" s="136">
        <f>LET(_xlpm.r,Productos!$E$2:$E$2509,_xlpm.m,IFERROR(_xlfn.XMATCH(C506,_xlpm.r),IFERROR(_xlfn.XMATCH(VALUE(C506),_xlpm.r),0)),IF(_xlpm.m=0,"",_xlpm.m+1))</f>
        <v/>
      </c>
      <c r="J506" s="137" t="inlineStr">
        <is>
          <t>NetSuite</t>
        </is>
      </c>
    </row>
    <row r="507">
      <c r="A507" s="5" t="inlineStr">
        <is>
          <t>B25 STETSON.MX</t>
        </is>
      </c>
      <c r="B507" s="5">
        <f>IF($I2="","",INDEX(Productos!$A:$A,$I2))</f>
        <v/>
      </c>
      <c r="C507" s="134" t="inlineStr">
        <is>
          <t>ST-VR-P-010-FW25-SA-M</t>
        </is>
      </c>
      <c r="D507" s="5">
        <f>IF($I2="","",INDEX(Productos!$B:$B,$I2))</f>
        <v/>
      </c>
      <c r="E507" s="5">
        <f>IF($I2="","",INDEX(Productos!$H:$H,$I2))</f>
        <v/>
      </c>
      <c r="F507" s="5">
        <f>IF($I2="","",INDEX(Productos!$I:$I,$I2))</f>
        <v/>
      </c>
      <c r="G507" s="135" t="n">
        <v>7</v>
      </c>
      <c r="H507" s="5">
        <f>IF($I2="","",INDEX(Productos!$AG:$AG,$I2))</f>
        <v/>
      </c>
      <c r="I507" s="136">
        <f>LET(_xlpm.r,Productos!$E$2:$E$2509,_xlpm.m,IFERROR(_xlfn.XMATCH(C507,_xlpm.r),IFERROR(_xlfn.XMATCH(VALUE(C507),_xlpm.r),0)),IF(_xlpm.m=0,"",_xlpm.m+1))</f>
        <v/>
      </c>
      <c r="J507" s="137" t="inlineStr">
        <is>
          <t>NetSuite</t>
        </is>
      </c>
    </row>
    <row r="508">
      <c r="A508" s="5" t="inlineStr">
        <is>
          <t>B25 STETSON.MX</t>
        </is>
      </c>
      <c r="B508" s="5">
        <f>IF($I2="","",INDEX(Productos!$A:$A,$I2))</f>
        <v/>
      </c>
      <c r="C508" s="134" t="inlineStr">
        <is>
          <t>ST-VR-P-010-FW25-SA-S</t>
        </is>
      </c>
      <c r="D508" s="5">
        <f>IF($I2="","",INDEX(Productos!$B:$B,$I2))</f>
        <v/>
      </c>
      <c r="E508" s="5">
        <f>IF($I2="","",INDEX(Productos!$H:$H,$I2))</f>
        <v/>
      </c>
      <c r="F508" s="5">
        <f>IF($I2="","",INDEX(Productos!$I:$I,$I2))</f>
        <v/>
      </c>
      <c r="G508" s="135" t="n">
        <v>8</v>
      </c>
      <c r="H508" s="5">
        <f>IF($I2="","",INDEX(Productos!$AG:$AG,$I2))</f>
        <v/>
      </c>
      <c r="I508" s="136">
        <f>LET(_xlpm.r,Productos!$E$2:$E$2509,_xlpm.m,IFERROR(_xlfn.XMATCH(C508,_xlpm.r),IFERROR(_xlfn.XMATCH(VALUE(C508),_xlpm.r),0)),IF(_xlpm.m=0,"",_xlpm.m+1))</f>
        <v/>
      </c>
      <c r="J508" s="137" t="inlineStr">
        <is>
          <t>NetSuite</t>
        </is>
      </c>
    </row>
    <row r="509">
      <c r="A509" s="5" t="inlineStr">
        <is>
          <t>B25 STETSON.MX</t>
        </is>
      </c>
      <c r="B509" s="5">
        <f>IF($I2="","",INDEX(Productos!$A:$A,$I2))</f>
        <v/>
      </c>
      <c r="C509" s="134" t="inlineStr">
        <is>
          <t>ST-VR-P-010-FW25-SA-XL</t>
        </is>
      </c>
      <c r="D509" s="5">
        <f>IF($I2="","",INDEX(Productos!$B:$B,$I2))</f>
        <v/>
      </c>
      <c r="E509" s="5">
        <f>IF($I2="","",INDEX(Productos!$H:$H,$I2))</f>
        <v/>
      </c>
      <c r="F509" s="5">
        <f>IF($I2="","",INDEX(Productos!$I:$I,$I2))</f>
        <v/>
      </c>
      <c r="G509" s="135" t="n">
        <v>4</v>
      </c>
      <c r="H509" s="5">
        <f>IF($I2="","",INDEX(Productos!$AG:$AG,$I2))</f>
        <v/>
      </c>
      <c r="I509" s="136">
        <f>LET(_xlpm.r,Productos!$E$2:$E$2509,_xlpm.m,IFERROR(_xlfn.XMATCH(C509,_xlpm.r),IFERROR(_xlfn.XMATCH(VALUE(C509),_xlpm.r),0)),IF(_xlpm.m=0,"",_xlpm.m+1))</f>
        <v/>
      </c>
      <c r="J509" s="137" t="inlineStr">
        <is>
          <t>NetSuite</t>
        </is>
      </c>
    </row>
    <row r="510">
      <c r="A510" s="5" t="inlineStr">
        <is>
          <t>B25 STETSON.MX</t>
        </is>
      </c>
      <c r="B510" s="5">
        <f>IF($I2="","",INDEX(Productos!$A:$A,$I2))</f>
        <v/>
      </c>
      <c r="C510" s="134" t="inlineStr">
        <is>
          <t>ST-VR-P-011-FW25-TSAG-2XL</t>
        </is>
      </c>
      <c r="D510" s="5">
        <f>IF($I2="","",INDEX(Productos!$B:$B,$I2))</f>
        <v/>
      </c>
      <c r="E510" s="5">
        <f>IF($I2="","",INDEX(Productos!$H:$H,$I2))</f>
        <v/>
      </c>
      <c r="F510" s="5">
        <f>IF($I2="","",INDEX(Productos!$I:$I,$I2))</f>
        <v/>
      </c>
      <c r="G510" s="135" t="n">
        <v>1</v>
      </c>
      <c r="H510" s="5">
        <f>IF($I2="","",INDEX(Productos!$AG:$AG,$I2))</f>
        <v/>
      </c>
      <c r="I510" s="136">
        <f>LET(_xlpm.r,Productos!$E$2:$E$2509,_xlpm.m,IFERROR(_xlfn.XMATCH(C510,_xlpm.r),IFERROR(_xlfn.XMATCH(VALUE(C510),_xlpm.r),0)),IF(_xlpm.m=0,"",_xlpm.m+1))</f>
        <v/>
      </c>
      <c r="J510" s="137" t="inlineStr">
        <is>
          <t>NetSuite</t>
        </is>
      </c>
    </row>
    <row r="511">
      <c r="A511" s="5" t="inlineStr">
        <is>
          <t>B25 STETSON.MX</t>
        </is>
      </c>
      <c r="B511" s="5">
        <f>IF($I2="","",INDEX(Productos!$A:$A,$I2))</f>
        <v/>
      </c>
      <c r="C511" s="134" t="inlineStr">
        <is>
          <t>ST-VR-P-011-FW25-TSAG-L</t>
        </is>
      </c>
      <c r="D511" s="5">
        <f>IF($I2="","",INDEX(Productos!$B:$B,$I2))</f>
        <v/>
      </c>
      <c r="E511" s="5">
        <f>IF($I2="","",INDEX(Productos!$H:$H,$I2))</f>
        <v/>
      </c>
      <c r="F511" s="5">
        <f>IF($I2="","",INDEX(Productos!$I:$I,$I2))</f>
        <v/>
      </c>
      <c r="G511" s="135" t="n">
        <v>1</v>
      </c>
      <c r="H511" s="5">
        <f>IF($I2="","",INDEX(Productos!$AG:$AG,$I2))</f>
        <v/>
      </c>
      <c r="I511" s="136">
        <f>LET(_xlpm.r,Productos!$E$2:$E$2509,_xlpm.m,IFERROR(_xlfn.XMATCH(C511,_xlpm.r),IFERROR(_xlfn.XMATCH(VALUE(C511),_xlpm.r),0)),IF(_xlpm.m=0,"",_xlpm.m+1))</f>
        <v/>
      </c>
      <c r="J511" s="137" t="inlineStr">
        <is>
          <t>NetSuite</t>
        </is>
      </c>
    </row>
    <row r="512">
      <c r="A512" s="5" t="inlineStr">
        <is>
          <t>B25 STETSON.MX</t>
        </is>
      </c>
      <c r="B512" s="5">
        <f>IF($I2="","",INDEX(Productos!$A:$A,$I2))</f>
        <v/>
      </c>
      <c r="C512" s="134" t="inlineStr">
        <is>
          <t>ST-VR-P-011-FW25-TSAG-M</t>
        </is>
      </c>
      <c r="D512" s="5">
        <f>IF($I2="","",INDEX(Productos!$B:$B,$I2))</f>
        <v/>
      </c>
      <c r="E512" s="5">
        <f>IF($I2="","",INDEX(Productos!$H:$H,$I2))</f>
        <v/>
      </c>
      <c r="F512" s="5">
        <f>IF($I2="","",INDEX(Productos!$I:$I,$I2))</f>
        <v/>
      </c>
      <c r="G512" s="135" t="n">
        <v>6</v>
      </c>
      <c r="H512" s="5">
        <f>IF($I2="","",INDEX(Productos!$AG:$AG,$I2))</f>
        <v/>
      </c>
      <c r="I512" s="136">
        <f>LET(_xlpm.r,Productos!$E$2:$E$2509,_xlpm.m,IFERROR(_xlfn.XMATCH(C512,_xlpm.r),IFERROR(_xlfn.XMATCH(VALUE(C512),_xlpm.r),0)),IF(_xlpm.m=0,"",_xlpm.m+1))</f>
        <v/>
      </c>
      <c r="J512" s="137" t="inlineStr">
        <is>
          <t>NetSuite</t>
        </is>
      </c>
    </row>
    <row r="513">
      <c r="A513" s="5" t="inlineStr">
        <is>
          <t>B25 STETSON.MX</t>
        </is>
      </c>
      <c r="B513" s="5">
        <f>IF($I2="","",INDEX(Productos!$A:$A,$I2))</f>
        <v/>
      </c>
      <c r="C513" s="134" t="inlineStr">
        <is>
          <t>ST-VR-P-011-FW25-TSAG-S</t>
        </is>
      </c>
      <c r="D513" s="5">
        <f>IF($I2="","",INDEX(Productos!$B:$B,$I2))</f>
        <v/>
      </c>
      <c r="E513" s="5">
        <f>IF($I2="","",INDEX(Productos!$H:$H,$I2))</f>
        <v/>
      </c>
      <c r="F513" s="5">
        <f>IF($I2="","",INDEX(Productos!$I:$I,$I2))</f>
        <v/>
      </c>
      <c r="G513" s="135" t="n">
        <v>5</v>
      </c>
      <c r="H513" s="5">
        <f>IF($I2="","",INDEX(Productos!$AG:$AG,$I2))</f>
        <v/>
      </c>
      <c r="I513" s="136">
        <f>LET(_xlpm.r,Productos!$E$2:$E$2509,_xlpm.m,IFERROR(_xlfn.XMATCH(C513,_xlpm.r),IFERROR(_xlfn.XMATCH(VALUE(C513),_xlpm.r),0)),IF(_xlpm.m=0,"",_xlpm.m+1))</f>
        <v/>
      </c>
      <c r="J513" s="137" t="inlineStr">
        <is>
          <t>NetSuite</t>
        </is>
      </c>
    </row>
    <row r="514">
      <c r="A514" s="5" t="inlineStr">
        <is>
          <t>B25 STETSON.MX</t>
        </is>
      </c>
      <c r="B514" s="5">
        <f>IF($I2="","",INDEX(Productos!$A:$A,$I2))</f>
        <v/>
      </c>
      <c r="C514" s="134" t="inlineStr">
        <is>
          <t>ST-VR-P-011-FW25-TSAG-XL</t>
        </is>
      </c>
      <c r="D514" s="5">
        <f>IF($I2="","",INDEX(Productos!$B:$B,$I2))</f>
        <v/>
      </c>
      <c r="E514" s="5">
        <f>IF($I2="","",INDEX(Productos!$H:$H,$I2))</f>
        <v/>
      </c>
      <c r="F514" s="5">
        <f>IF($I2="","",INDEX(Productos!$I:$I,$I2))</f>
        <v/>
      </c>
      <c r="G514" s="135" t="n">
        <v>1</v>
      </c>
      <c r="H514" s="5">
        <f>IF($I2="","",INDEX(Productos!$AG:$AG,$I2))</f>
        <v/>
      </c>
      <c r="I514" s="136">
        <f>LET(_xlpm.r,Productos!$E$2:$E$2509,_xlpm.m,IFERROR(_xlfn.XMATCH(C514,_xlpm.r),IFERROR(_xlfn.XMATCH(VALUE(C514),_xlpm.r),0)),IF(_xlpm.m=0,"",_xlpm.m+1))</f>
        <v/>
      </c>
      <c r="J514" s="137" t="inlineStr">
        <is>
          <t>NetSuite</t>
        </is>
      </c>
    </row>
    <row r="515">
      <c r="A515" s="5" t="inlineStr">
        <is>
          <t>B25 STETSON.MX</t>
        </is>
      </c>
      <c r="B515" s="5">
        <f>IF($I2="","",INDEX(Productos!$A:$A,$I2))</f>
        <v/>
      </c>
      <c r="C515" s="134" t="inlineStr">
        <is>
          <t>ST-VR-P-012-FW25-IF-2XL</t>
        </is>
      </c>
      <c r="D515" s="5">
        <f>IF($I2="","",INDEX(Productos!$B:$B,$I2))</f>
        <v/>
      </c>
      <c r="E515" s="5">
        <f>IF($I2="","",INDEX(Productos!$H:$H,$I2))</f>
        <v/>
      </c>
      <c r="F515" s="5">
        <f>IF($I2="","",INDEX(Productos!$I:$I,$I2))</f>
        <v/>
      </c>
      <c r="G515" s="135" t="n">
        <v>1</v>
      </c>
      <c r="H515" s="5">
        <f>IF($I2="","",INDEX(Productos!$AG:$AG,$I2))</f>
        <v/>
      </c>
      <c r="I515" s="136">
        <f>LET(_xlpm.r,Productos!$E$2:$E$2509,_xlpm.m,IFERROR(_xlfn.XMATCH(C515,_xlpm.r),IFERROR(_xlfn.XMATCH(VALUE(C515),_xlpm.r),0)),IF(_xlpm.m=0,"",_xlpm.m+1))</f>
        <v/>
      </c>
      <c r="J515" s="137" t="inlineStr">
        <is>
          <t>NetSuite</t>
        </is>
      </c>
    </row>
    <row r="516">
      <c r="A516" s="5" t="inlineStr">
        <is>
          <t>B25 STETSON.MX</t>
        </is>
      </c>
      <c r="B516" s="5">
        <f>IF($I2="","",INDEX(Productos!$A:$A,$I2))</f>
        <v/>
      </c>
      <c r="C516" s="134" t="inlineStr">
        <is>
          <t>ST-VR-P-012-FW25-IF-L</t>
        </is>
      </c>
      <c r="D516" s="5">
        <f>IF($I2="","",INDEX(Productos!$B:$B,$I2))</f>
        <v/>
      </c>
      <c r="E516" s="5">
        <f>IF($I2="","",INDEX(Productos!$H:$H,$I2))</f>
        <v/>
      </c>
      <c r="F516" s="5">
        <f>IF($I2="","",INDEX(Productos!$I:$I,$I2))</f>
        <v/>
      </c>
      <c r="G516" s="135" t="n">
        <v>1</v>
      </c>
      <c r="H516" s="5">
        <f>IF($I2="","",INDEX(Productos!$AG:$AG,$I2))</f>
        <v/>
      </c>
      <c r="I516" s="136">
        <f>LET(_xlpm.r,Productos!$E$2:$E$2509,_xlpm.m,IFERROR(_xlfn.XMATCH(C516,_xlpm.r),IFERROR(_xlfn.XMATCH(VALUE(C516),_xlpm.r),0)),IF(_xlpm.m=0,"",_xlpm.m+1))</f>
        <v/>
      </c>
      <c r="J516" s="137" t="inlineStr">
        <is>
          <t>NetSuite</t>
        </is>
      </c>
    </row>
    <row r="517">
      <c r="A517" s="5" t="inlineStr">
        <is>
          <t>B25 STETSON.MX</t>
        </is>
      </c>
      <c r="B517" s="5">
        <f>IF($I2="","",INDEX(Productos!$A:$A,$I2))</f>
        <v/>
      </c>
      <c r="C517" s="134" t="inlineStr">
        <is>
          <t>ST-VR-P-012-FW25-IF-M</t>
        </is>
      </c>
      <c r="D517" s="5">
        <f>IF($I2="","",INDEX(Productos!$B:$B,$I2))</f>
        <v/>
      </c>
      <c r="E517" s="5">
        <f>IF($I2="","",INDEX(Productos!$H:$H,$I2))</f>
        <v/>
      </c>
      <c r="F517" s="5">
        <f>IF($I2="","",INDEX(Productos!$I:$I,$I2))</f>
        <v/>
      </c>
      <c r="G517" s="135" t="n">
        <v>4</v>
      </c>
      <c r="H517" s="5">
        <f>IF($I2="","",INDEX(Productos!$AG:$AG,$I2))</f>
        <v/>
      </c>
      <c r="I517" s="136">
        <f>LET(_xlpm.r,Productos!$E$2:$E$2509,_xlpm.m,IFERROR(_xlfn.XMATCH(C517,_xlpm.r),IFERROR(_xlfn.XMATCH(VALUE(C517),_xlpm.r),0)),IF(_xlpm.m=0,"",_xlpm.m+1))</f>
        <v/>
      </c>
      <c r="J517" s="137" t="inlineStr">
        <is>
          <t>NetSuite</t>
        </is>
      </c>
    </row>
    <row r="518">
      <c r="A518" s="5" t="inlineStr">
        <is>
          <t>B25 STETSON.MX</t>
        </is>
      </c>
      <c r="B518" s="5">
        <f>IF($I2="","",INDEX(Productos!$A:$A,$I2))</f>
        <v/>
      </c>
      <c r="C518" s="134" t="inlineStr">
        <is>
          <t>ST-VR-P-012-FW25-IF-S</t>
        </is>
      </c>
      <c r="D518" s="5">
        <f>IF($I2="","",INDEX(Productos!$B:$B,$I2))</f>
        <v/>
      </c>
      <c r="E518" s="5">
        <f>IF($I2="","",INDEX(Productos!$H:$H,$I2))</f>
        <v/>
      </c>
      <c r="F518" s="5">
        <f>IF($I2="","",INDEX(Productos!$I:$I,$I2))</f>
        <v/>
      </c>
      <c r="G518" s="135" t="n">
        <v>5</v>
      </c>
      <c r="H518" s="5">
        <f>IF($I2="","",INDEX(Productos!$AG:$AG,$I2))</f>
        <v/>
      </c>
      <c r="I518" s="136">
        <f>LET(_xlpm.r,Productos!$E$2:$E$2509,_xlpm.m,IFERROR(_xlfn.XMATCH(C518,_xlpm.r),IFERROR(_xlfn.XMATCH(VALUE(C518),_xlpm.r),0)),IF(_xlpm.m=0,"",_xlpm.m+1))</f>
        <v/>
      </c>
      <c r="J518" s="137" t="inlineStr">
        <is>
          <t>NetSuite</t>
        </is>
      </c>
    </row>
    <row r="519">
      <c r="A519" s="5" t="inlineStr">
        <is>
          <t>B25 STETSON.MX</t>
        </is>
      </c>
      <c r="B519" s="5">
        <f>IF($I2="","",INDEX(Productos!$A:$A,$I2))</f>
        <v/>
      </c>
      <c r="C519" s="134" t="inlineStr">
        <is>
          <t>ST-VR-P-013-FW25-SF-2XL</t>
        </is>
      </c>
      <c r="D519" s="5">
        <f>IF($I2="","",INDEX(Productos!$B:$B,$I2))</f>
        <v/>
      </c>
      <c r="E519" s="5">
        <f>IF($I2="","",INDEX(Productos!$H:$H,$I2))</f>
        <v/>
      </c>
      <c r="F519" s="5">
        <f>IF($I2="","",INDEX(Productos!$I:$I,$I2))</f>
        <v/>
      </c>
      <c r="G519" s="135" t="n">
        <v>1</v>
      </c>
      <c r="H519" s="5">
        <f>IF($I2="","",INDEX(Productos!$AG:$AG,$I2))</f>
        <v/>
      </c>
      <c r="I519" s="136">
        <f>LET(_xlpm.r,Productos!$E$2:$E$2509,_xlpm.m,IFERROR(_xlfn.XMATCH(C519,_xlpm.r),IFERROR(_xlfn.XMATCH(VALUE(C519),_xlpm.r),0)),IF(_xlpm.m=0,"",_xlpm.m+1))</f>
        <v/>
      </c>
      <c r="J519" s="137" t="inlineStr">
        <is>
          <t>NetSuite</t>
        </is>
      </c>
    </row>
    <row r="520">
      <c r="A520" s="5" t="inlineStr">
        <is>
          <t>B25 STETSON.MX</t>
        </is>
      </c>
      <c r="B520" s="5">
        <f>IF($I2="","",INDEX(Productos!$A:$A,$I2))</f>
        <v/>
      </c>
      <c r="C520" s="134" t="inlineStr">
        <is>
          <t>ST-VR-P-013-FW25-SF-L</t>
        </is>
      </c>
      <c r="D520" s="5">
        <f>IF($I2="","",INDEX(Productos!$B:$B,$I2))</f>
        <v/>
      </c>
      <c r="E520" s="5">
        <f>IF($I2="","",INDEX(Productos!$H:$H,$I2))</f>
        <v/>
      </c>
      <c r="F520" s="5">
        <f>IF($I2="","",INDEX(Productos!$I:$I,$I2))</f>
        <v/>
      </c>
      <c r="G520" s="135" t="n">
        <v>10</v>
      </c>
      <c r="H520" s="5">
        <f>IF($I2="","",INDEX(Productos!$AG:$AG,$I2))</f>
        <v/>
      </c>
      <c r="I520" s="136">
        <f>LET(_xlpm.r,Productos!$E$2:$E$2509,_xlpm.m,IFERROR(_xlfn.XMATCH(C520,_xlpm.r),IFERROR(_xlfn.XMATCH(VALUE(C520),_xlpm.r),0)),IF(_xlpm.m=0,"",_xlpm.m+1))</f>
        <v/>
      </c>
      <c r="J520" s="137" t="inlineStr">
        <is>
          <t>NetSuite</t>
        </is>
      </c>
    </row>
    <row r="521">
      <c r="A521" s="5" t="inlineStr">
        <is>
          <t>B25 STETSON.MX</t>
        </is>
      </c>
      <c r="B521" s="5">
        <f>IF($I2="","",INDEX(Productos!$A:$A,$I2))</f>
        <v/>
      </c>
      <c r="C521" s="134" t="inlineStr">
        <is>
          <t>ST-VR-P-013-FW25-SF-M</t>
        </is>
      </c>
      <c r="D521" s="5">
        <f>IF($I2="","",INDEX(Productos!$B:$B,$I2))</f>
        <v/>
      </c>
      <c r="E521" s="5">
        <f>IF($I2="","",INDEX(Productos!$H:$H,$I2))</f>
        <v/>
      </c>
      <c r="F521" s="5">
        <f>IF($I2="","",INDEX(Productos!$I:$I,$I2))</f>
        <v/>
      </c>
      <c r="G521" s="135" t="n">
        <v>9</v>
      </c>
      <c r="H521" s="5">
        <f>IF($I2="","",INDEX(Productos!$AG:$AG,$I2))</f>
        <v/>
      </c>
      <c r="I521" s="136">
        <f>LET(_xlpm.r,Productos!$E$2:$E$2509,_xlpm.m,IFERROR(_xlfn.XMATCH(C521,_xlpm.r),IFERROR(_xlfn.XMATCH(VALUE(C521),_xlpm.r),0)),IF(_xlpm.m=0,"",_xlpm.m+1))</f>
        <v/>
      </c>
      <c r="J521" s="137" t="inlineStr">
        <is>
          <t>NetSuite</t>
        </is>
      </c>
    </row>
    <row r="522">
      <c r="A522" s="5" t="inlineStr">
        <is>
          <t>B25 STETSON.MX</t>
        </is>
      </c>
      <c r="B522" s="5">
        <f>IF($I2="","",INDEX(Productos!$A:$A,$I2))</f>
        <v/>
      </c>
      <c r="C522" s="134" t="inlineStr">
        <is>
          <t>ST-VR-P-013-FW25-SF-S</t>
        </is>
      </c>
      <c r="D522" s="5">
        <f>IF($I2="","",INDEX(Productos!$B:$B,$I2))</f>
        <v/>
      </c>
      <c r="E522" s="5">
        <f>IF($I2="","",INDEX(Productos!$H:$H,$I2))</f>
        <v/>
      </c>
      <c r="F522" s="5">
        <f>IF($I2="","",INDEX(Productos!$I:$I,$I2))</f>
        <v/>
      </c>
      <c r="G522" s="135" t="n">
        <v>8</v>
      </c>
      <c r="H522" s="5">
        <f>IF($I2="","",INDEX(Productos!$AG:$AG,$I2))</f>
        <v/>
      </c>
      <c r="I522" s="136">
        <f>LET(_xlpm.r,Productos!$E$2:$E$2509,_xlpm.m,IFERROR(_xlfn.XMATCH(C522,_xlpm.r),IFERROR(_xlfn.XMATCH(VALUE(C522),_xlpm.r),0)),IF(_xlpm.m=0,"",_xlpm.m+1))</f>
        <v/>
      </c>
      <c r="J522" s="137" t="inlineStr">
        <is>
          <t>NetSuite</t>
        </is>
      </c>
    </row>
    <row r="523">
      <c r="A523" s="5" t="inlineStr">
        <is>
          <t>B25 STETSON.MX</t>
        </is>
      </c>
      <c r="B523" s="5">
        <f>IF($I2="","",INDEX(Productos!$A:$A,$I2))</f>
        <v/>
      </c>
      <c r="C523" s="134" t="inlineStr">
        <is>
          <t>ST-VR-P-013-FW25-SF-XL</t>
        </is>
      </c>
      <c r="D523" s="5">
        <f>IF($I2="","",INDEX(Productos!$B:$B,$I2))</f>
        <v/>
      </c>
      <c r="E523" s="5">
        <f>IF($I2="","",INDEX(Productos!$H:$H,$I2))</f>
        <v/>
      </c>
      <c r="F523" s="5">
        <f>IF($I2="","",INDEX(Productos!$I:$I,$I2))</f>
        <v/>
      </c>
      <c r="G523" s="135" t="n">
        <v>4</v>
      </c>
      <c r="H523" s="5">
        <f>IF($I2="","",INDEX(Productos!$AG:$AG,$I2))</f>
        <v/>
      </c>
      <c r="I523" s="136">
        <f>LET(_xlpm.r,Productos!$E$2:$E$2509,_xlpm.m,IFERROR(_xlfn.XMATCH(C523,_xlpm.r),IFERROR(_xlfn.XMATCH(VALUE(C523),_xlpm.r),0)),IF(_xlpm.m=0,"",_xlpm.m+1))</f>
        <v/>
      </c>
      <c r="J523" s="137" t="inlineStr">
        <is>
          <t>NetSuite</t>
        </is>
      </c>
    </row>
    <row r="524">
      <c r="A524" s="5" t="inlineStr">
        <is>
          <t>B25 STETSON.MX</t>
        </is>
      </c>
      <c r="B524" s="5">
        <f>IF($I2="","",INDEX(Productos!$A:$A,$I2))</f>
        <v/>
      </c>
      <c r="C524" s="134" t="inlineStr">
        <is>
          <t>ST-VR-P-014-FW25-BL-2XL</t>
        </is>
      </c>
      <c r="D524" s="5">
        <f>IF($I2="","",INDEX(Productos!$B:$B,$I2))</f>
        <v/>
      </c>
      <c r="E524" s="5">
        <f>IF($I2="","",INDEX(Productos!$H:$H,$I2))</f>
        <v/>
      </c>
      <c r="F524" s="5">
        <f>IF($I2="","",INDEX(Productos!$I:$I,$I2))</f>
        <v/>
      </c>
      <c r="G524" s="135" t="n">
        <v>1</v>
      </c>
      <c r="H524" s="5">
        <f>IF($I2="","",INDEX(Productos!$AG:$AG,$I2))</f>
        <v/>
      </c>
      <c r="I524" s="136">
        <f>LET(_xlpm.r,Productos!$E$2:$E$2509,_xlpm.m,IFERROR(_xlfn.XMATCH(C524,_xlpm.r),IFERROR(_xlfn.XMATCH(VALUE(C524),_xlpm.r),0)),IF(_xlpm.m=0,"",_xlpm.m+1))</f>
        <v/>
      </c>
      <c r="J524" s="137" t="inlineStr">
        <is>
          <t>NetSuite</t>
        </is>
      </c>
    </row>
    <row r="525">
      <c r="A525" s="5" t="inlineStr">
        <is>
          <t>B25 STETSON.MX</t>
        </is>
      </c>
      <c r="B525" s="5">
        <f>IF($I2="","",INDEX(Productos!$A:$A,$I2))</f>
        <v/>
      </c>
      <c r="C525" s="134" t="inlineStr">
        <is>
          <t>ST-VR-P-014-FW25-BL-L</t>
        </is>
      </c>
      <c r="D525" s="5">
        <f>IF($I2="","",INDEX(Productos!$B:$B,$I2))</f>
        <v/>
      </c>
      <c r="E525" s="5">
        <f>IF($I2="","",INDEX(Productos!$H:$H,$I2))</f>
        <v/>
      </c>
      <c r="F525" s="5">
        <f>IF($I2="","",INDEX(Productos!$I:$I,$I2))</f>
        <v/>
      </c>
      <c r="G525" s="135" t="n">
        <v>8</v>
      </c>
      <c r="H525" s="5">
        <f>IF($I2="","",INDEX(Productos!$AG:$AG,$I2))</f>
        <v/>
      </c>
      <c r="I525" s="136">
        <f>LET(_xlpm.r,Productos!$E$2:$E$2509,_xlpm.m,IFERROR(_xlfn.XMATCH(C525,_xlpm.r),IFERROR(_xlfn.XMATCH(VALUE(C525),_xlpm.r),0)),IF(_xlpm.m=0,"",_xlpm.m+1))</f>
        <v/>
      </c>
      <c r="J525" s="137" t="inlineStr">
        <is>
          <t>NetSuite</t>
        </is>
      </c>
    </row>
    <row r="526">
      <c r="A526" s="5" t="inlineStr">
        <is>
          <t>B25 STETSON.MX</t>
        </is>
      </c>
      <c r="B526" s="5">
        <f>IF($I2="","",INDEX(Productos!$A:$A,$I2))</f>
        <v/>
      </c>
      <c r="C526" s="134" t="inlineStr">
        <is>
          <t>ST-VR-P-014-FW25-BL-M</t>
        </is>
      </c>
      <c r="D526" s="5">
        <f>IF($I2="","",INDEX(Productos!$B:$B,$I2))</f>
        <v/>
      </c>
      <c r="E526" s="5">
        <f>IF($I2="","",INDEX(Productos!$H:$H,$I2))</f>
        <v/>
      </c>
      <c r="F526" s="5">
        <f>IF($I2="","",INDEX(Productos!$I:$I,$I2))</f>
        <v/>
      </c>
      <c r="G526" s="135" t="n">
        <v>10</v>
      </c>
      <c r="H526" s="5">
        <f>IF($I2="","",INDEX(Productos!$AG:$AG,$I2))</f>
        <v/>
      </c>
      <c r="I526" s="136">
        <f>LET(_xlpm.r,Productos!$E$2:$E$2509,_xlpm.m,IFERROR(_xlfn.XMATCH(C526,_xlpm.r),IFERROR(_xlfn.XMATCH(VALUE(C526),_xlpm.r),0)),IF(_xlpm.m=0,"",_xlpm.m+1))</f>
        <v/>
      </c>
      <c r="J526" s="137" t="inlineStr">
        <is>
          <t>NetSuite</t>
        </is>
      </c>
    </row>
    <row r="527">
      <c r="A527" s="5" t="inlineStr">
        <is>
          <t>B25 STETSON.MX</t>
        </is>
      </c>
      <c r="B527" s="5">
        <f>IF($I2="","",INDEX(Productos!$A:$A,$I2))</f>
        <v/>
      </c>
      <c r="C527" s="134" t="inlineStr">
        <is>
          <t>ST-VR-P-014-FW25-BL-S</t>
        </is>
      </c>
      <c r="D527" s="5">
        <f>IF($I2="","",INDEX(Productos!$B:$B,$I2))</f>
        <v/>
      </c>
      <c r="E527" s="5">
        <f>IF($I2="","",INDEX(Productos!$H:$H,$I2))</f>
        <v/>
      </c>
      <c r="F527" s="5">
        <f>IF($I2="","",INDEX(Productos!$I:$I,$I2))</f>
        <v/>
      </c>
      <c r="G527" s="135" t="n">
        <v>6</v>
      </c>
      <c r="H527" s="5">
        <f>IF($I2="","",INDEX(Productos!$AG:$AG,$I2))</f>
        <v/>
      </c>
      <c r="I527" s="136">
        <f>LET(_xlpm.r,Productos!$E$2:$E$2509,_xlpm.m,IFERROR(_xlfn.XMATCH(C527,_xlpm.r),IFERROR(_xlfn.XMATCH(VALUE(C527),_xlpm.r),0)),IF(_xlpm.m=0,"",_xlpm.m+1))</f>
        <v/>
      </c>
      <c r="J527" s="137" t="inlineStr">
        <is>
          <t>NetSuite</t>
        </is>
      </c>
    </row>
    <row r="528">
      <c r="A528" s="5" t="inlineStr">
        <is>
          <t>B25 STETSON.MX</t>
        </is>
      </c>
      <c r="B528" s="5">
        <f>IF($I2="","",INDEX(Productos!$A:$A,$I2))</f>
        <v/>
      </c>
      <c r="C528" s="134" t="inlineStr">
        <is>
          <t>ST-VR-P-014-FW25-BL-XL</t>
        </is>
      </c>
      <c r="D528" s="5">
        <f>IF($I2="","",INDEX(Productos!$B:$B,$I2))</f>
        <v/>
      </c>
      <c r="E528" s="5">
        <f>IF($I2="","",INDEX(Productos!$H:$H,$I2))</f>
        <v/>
      </c>
      <c r="F528" s="5">
        <f>IF($I2="","",INDEX(Productos!$I:$I,$I2))</f>
        <v/>
      </c>
      <c r="G528" s="135" t="n">
        <v>3</v>
      </c>
      <c r="H528" s="5">
        <f>IF($I2="","",INDEX(Productos!$AG:$AG,$I2))</f>
        <v/>
      </c>
      <c r="I528" s="136">
        <f>LET(_xlpm.r,Productos!$E$2:$E$2509,_xlpm.m,IFERROR(_xlfn.XMATCH(C528,_xlpm.r),IFERROR(_xlfn.XMATCH(VALUE(C528),_xlpm.r),0)),IF(_xlpm.m=0,"",_xlpm.m+1))</f>
        <v/>
      </c>
      <c r="J528" s="137" t="inlineStr">
        <is>
          <t>NetSuite</t>
        </is>
      </c>
    </row>
    <row r="529">
      <c r="A529" s="5" t="inlineStr">
        <is>
          <t>B25 STETSON.MX</t>
        </is>
      </c>
      <c r="B529" s="5">
        <f>IF($I2="","",INDEX(Productos!$A:$A,$I2))</f>
        <v/>
      </c>
      <c r="C529" s="134" t="inlineStr">
        <is>
          <t>ST-VR-P-015-FW25-SOB-2XL</t>
        </is>
      </c>
      <c r="D529" s="5">
        <f>IF($I2="","",INDEX(Productos!$B:$B,$I2))</f>
        <v/>
      </c>
      <c r="E529" s="5">
        <f>IF($I2="","",INDEX(Productos!$H:$H,$I2))</f>
        <v/>
      </c>
      <c r="F529" s="5">
        <f>IF($I2="","",INDEX(Productos!$I:$I,$I2))</f>
        <v/>
      </c>
      <c r="G529" s="135" t="n">
        <v>2</v>
      </c>
      <c r="H529" s="5">
        <f>IF($I2="","",INDEX(Productos!$AG:$AG,$I2))</f>
        <v/>
      </c>
      <c r="I529" s="136">
        <f>LET(_xlpm.r,Productos!$E$2:$E$2509,_xlpm.m,IFERROR(_xlfn.XMATCH(C529,_xlpm.r),IFERROR(_xlfn.XMATCH(VALUE(C529),_xlpm.r),0)),IF(_xlpm.m=0,"",_xlpm.m+1))</f>
        <v/>
      </c>
      <c r="J529" s="137" t="inlineStr">
        <is>
          <t>NetSuite</t>
        </is>
      </c>
    </row>
    <row r="530">
      <c r="A530" s="5" t="inlineStr">
        <is>
          <t>B25 STETSON.MX</t>
        </is>
      </c>
      <c r="B530" s="5">
        <f>IF($I2="","",INDEX(Productos!$A:$A,$I2))</f>
        <v/>
      </c>
      <c r="C530" s="134" t="inlineStr">
        <is>
          <t>ST-VR-P-015-FW25-SOB-L</t>
        </is>
      </c>
      <c r="D530" s="5">
        <f>IF($I2="","",INDEX(Productos!$B:$B,$I2))</f>
        <v/>
      </c>
      <c r="E530" s="5">
        <f>IF($I2="","",INDEX(Productos!$H:$H,$I2))</f>
        <v/>
      </c>
      <c r="F530" s="5">
        <f>IF($I2="","",INDEX(Productos!$I:$I,$I2))</f>
        <v/>
      </c>
      <c r="G530" s="135" t="n">
        <v>9</v>
      </c>
      <c r="H530" s="5">
        <f>IF($I2="","",INDEX(Productos!$AG:$AG,$I2))</f>
        <v/>
      </c>
      <c r="I530" s="136">
        <f>LET(_xlpm.r,Productos!$E$2:$E$2509,_xlpm.m,IFERROR(_xlfn.XMATCH(C530,_xlpm.r),IFERROR(_xlfn.XMATCH(VALUE(C530),_xlpm.r),0)),IF(_xlpm.m=0,"",_xlpm.m+1))</f>
        <v/>
      </c>
      <c r="J530" s="137" t="inlineStr">
        <is>
          <t>NetSuite</t>
        </is>
      </c>
    </row>
    <row r="531">
      <c r="A531" s="5" t="inlineStr">
        <is>
          <t>B25 STETSON.MX</t>
        </is>
      </c>
      <c r="B531" s="5">
        <f>IF($I2="","",INDEX(Productos!$A:$A,$I2))</f>
        <v/>
      </c>
      <c r="C531" s="134" t="inlineStr">
        <is>
          <t>ST-VR-P-015-FW25-SOB-M</t>
        </is>
      </c>
      <c r="D531" s="5">
        <f>IF($I2="","",INDEX(Productos!$B:$B,$I2))</f>
        <v/>
      </c>
      <c r="E531" s="5">
        <f>IF($I2="","",INDEX(Productos!$H:$H,$I2))</f>
        <v/>
      </c>
      <c r="F531" s="5">
        <f>IF($I2="","",INDEX(Productos!$I:$I,$I2))</f>
        <v/>
      </c>
      <c r="G531" s="135" t="n">
        <v>9</v>
      </c>
      <c r="H531" s="5">
        <f>IF($I2="","",INDEX(Productos!$AG:$AG,$I2))</f>
        <v/>
      </c>
      <c r="I531" s="136">
        <f>LET(_xlpm.r,Productos!$E$2:$E$2509,_xlpm.m,IFERROR(_xlfn.XMATCH(C531,_xlpm.r),IFERROR(_xlfn.XMATCH(VALUE(C531),_xlpm.r),0)),IF(_xlpm.m=0,"",_xlpm.m+1))</f>
        <v/>
      </c>
      <c r="J531" s="137" t="inlineStr">
        <is>
          <t>NetSuite</t>
        </is>
      </c>
    </row>
    <row r="532">
      <c r="A532" s="5" t="inlineStr">
        <is>
          <t>B25 STETSON.MX</t>
        </is>
      </c>
      <c r="B532" s="5">
        <f>IF($I2="","",INDEX(Productos!$A:$A,$I2))</f>
        <v/>
      </c>
      <c r="C532" s="134" t="inlineStr">
        <is>
          <t>ST-VR-P-015-FW25-SOB-S</t>
        </is>
      </c>
      <c r="D532" s="5">
        <f>IF($I2="","",INDEX(Productos!$B:$B,$I2))</f>
        <v/>
      </c>
      <c r="E532" s="5">
        <f>IF($I2="","",INDEX(Productos!$H:$H,$I2))</f>
        <v/>
      </c>
      <c r="F532" s="5">
        <f>IF($I2="","",INDEX(Productos!$I:$I,$I2))</f>
        <v/>
      </c>
      <c r="G532" s="135" t="n">
        <v>7</v>
      </c>
      <c r="H532" s="5">
        <f>IF($I2="","",INDEX(Productos!$AG:$AG,$I2))</f>
        <v/>
      </c>
      <c r="I532" s="136">
        <f>LET(_xlpm.r,Productos!$E$2:$E$2509,_xlpm.m,IFERROR(_xlfn.XMATCH(C532,_xlpm.r),IFERROR(_xlfn.XMATCH(VALUE(C532),_xlpm.r),0)),IF(_xlpm.m=0,"",_xlpm.m+1))</f>
        <v/>
      </c>
      <c r="J532" s="137" t="inlineStr">
        <is>
          <t>NetSuite</t>
        </is>
      </c>
    </row>
    <row r="533">
      <c r="A533" s="5" t="inlineStr">
        <is>
          <t>B25 STETSON.MX</t>
        </is>
      </c>
      <c r="B533" s="5">
        <f>IF($I2="","",INDEX(Productos!$A:$A,$I2))</f>
        <v/>
      </c>
      <c r="C533" s="134" t="inlineStr">
        <is>
          <t>ST-VR-P-015-FW25-SOB-XL</t>
        </is>
      </c>
      <c r="D533" s="5">
        <f>IF($I2="","",INDEX(Productos!$B:$B,$I2))</f>
        <v/>
      </c>
      <c r="E533" s="5">
        <f>IF($I2="","",INDEX(Productos!$H:$H,$I2))</f>
        <v/>
      </c>
      <c r="F533" s="5">
        <f>IF($I2="","",INDEX(Productos!$I:$I,$I2))</f>
        <v/>
      </c>
      <c r="G533" s="135" t="n">
        <v>3</v>
      </c>
      <c r="H533" s="5">
        <f>IF($I2="","",INDEX(Productos!$AG:$AG,$I2))</f>
        <v/>
      </c>
      <c r="I533" s="136">
        <f>LET(_xlpm.r,Productos!$E$2:$E$2509,_xlpm.m,IFERROR(_xlfn.XMATCH(C533,_xlpm.r),IFERROR(_xlfn.XMATCH(VALUE(C533),_xlpm.r),0)),IF(_xlpm.m=0,"",_xlpm.m+1))</f>
        <v/>
      </c>
      <c r="J533" s="137" t="inlineStr">
        <is>
          <t>NetSuite</t>
        </is>
      </c>
    </row>
    <row r="534">
      <c r="A534" s="5" t="inlineStr">
        <is>
          <t>B25 STETSON.MX</t>
        </is>
      </c>
      <c r="B534" s="5">
        <f>IF($I2="","",INDEX(Productos!$A:$A,$I2))</f>
        <v/>
      </c>
      <c r="C534" s="134" t="inlineStr">
        <is>
          <t>ST-VR-P-016-FW25-GS-2XL</t>
        </is>
      </c>
      <c r="D534" s="5">
        <f>IF($I2="","",INDEX(Productos!$B:$B,$I2))</f>
        <v/>
      </c>
      <c r="E534" s="5">
        <f>IF($I2="","",INDEX(Productos!$H:$H,$I2))</f>
        <v/>
      </c>
      <c r="F534" s="5">
        <f>IF($I2="","",INDEX(Productos!$I:$I,$I2))</f>
        <v/>
      </c>
      <c r="G534" s="135" t="n">
        <v>1</v>
      </c>
      <c r="H534" s="5">
        <f>IF($I2="","",INDEX(Productos!$AG:$AG,$I2))</f>
        <v/>
      </c>
      <c r="I534" s="136">
        <f>LET(_xlpm.r,Productos!$E$2:$E$2509,_xlpm.m,IFERROR(_xlfn.XMATCH(C534,_xlpm.r),IFERROR(_xlfn.XMATCH(VALUE(C534),_xlpm.r),0)),IF(_xlpm.m=0,"",_xlpm.m+1))</f>
        <v/>
      </c>
      <c r="J534" s="137" t="inlineStr">
        <is>
          <t>NetSuite</t>
        </is>
      </c>
    </row>
    <row r="535">
      <c r="A535" s="5" t="inlineStr">
        <is>
          <t>B25 STETSON.MX</t>
        </is>
      </c>
      <c r="B535" s="5">
        <f>IF($I2="","",INDEX(Productos!$A:$A,$I2))</f>
        <v/>
      </c>
      <c r="C535" s="134" t="inlineStr">
        <is>
          <t>ST-VR-P-016-FW25-GS-L</t>
        </is>
      </c>
      <c r="D535" s="5">
        <f>IF($I2="","",INDEX(Productos!$B:$B,$I2))</f>
        <v/>
      </c>
      <c r="E535" s="5">
        <f>IF($I2="","",INDEX(Productos!$H:$H,$I2))</f>
        <v/>
      </c>
      <c r="F535" s="5">
        <f>IF($I2="","",INDEX(Productos!$I:$I,$I2))</f>
        <v/>
      </c>
      <c r="G535" s="135" t="n">
        <v>8</v>
      </c>
      <c r="H535" s="5">
        <f>IF($I2="","",INDEX(Productos!$AG:$AG,$I2))</f>
        <v/>
      </c>
      <c r="I535" s="136">
        <f>LET(_xlpm.r,Productos!$E$2:$E$2509,_xlpm.m,IFERROR(_xlfn.XMATCH(C535,_xlpm.r),IFERROR(_xlfn.XMATCH(VALUE(C535),_xlpm.r),0)),IF(_xlpm.m=0,"",_xlpm.m+1))</f>
        <v/>
      </c>
      <c r="J535" s="137" t="inlineStr">
        <is>
          <t>NetSuite</t>
        </is>
      </c>
    </row>
    <row r="536">
      <c r="A536" s="5" t="inlineStr">
        <is>
          <t>B25 STETSON.MX</t>
        </is>
      </c>
      <c r="B536" s="5">
        <f>IF($I2="","",INDEX(Productos!$A:$A,$I2))</f>
        <v/>
      </c>
      <c r="C536" s="134" t="inlineStr">
        <is>
          <t>ST-VR-P-016-FW25-GS-M</t>
        </is>
      </c>
      <c r="D536" s="5">
        <f>IF($I2="","",INDEX(Productos!$B:$B,$I2))</f>
        <v/>
      </c>
      <c r="E536" s="5">
        <f>IF($I2="","",INDEX(Productos!$H:$H,$I2))</f>
        <v/>
      </c>
      <c r="F536" s="5">
        <f>IF($I2="","",INDEX(Productos!$I:$I,$I2))</f>
        <v/>
      </c>
      <c r="G536" s="135" t="n">
        <v>10</v>
      </c>
      <c r="H536" s="5">
        <f>IF($I2="","",INDEX(Productos!$AG:$AG,$I2))</f>
        <v/>
      </c>
      <c r="I536" s="136">
        <f>LET(_xlpm.r,Productos!$E$2:$E$2509,_xlpm.m,IFERROR(_xlfn.XMATCH(C536,_xlpm.r),IFERROR(_xlfn.XMATCH(VALUE(C536),_xlpm.r),0)),IF(_xlpm.m=0,"",_xlpm.m+1))</f>
        <v/>
      </c>
      <c r="J536" s="137" t="inlineStr">
        <is>
          <t>NetSuite</t>
        </is>
      </c>
    </row>
    <row r="537">
      <c r="A537" s="5" t="inlineStr">
        <is>
          <t>B25 STETSON.MX</t>
        </is>
      </c>
      <c r="B537" s="5">
        <f>IF($I2="","",INDEX(Productos!$A:$A,$I2))</f>
        <v/>
      </c>
      <c r="C537" s="134" t="inlineStr">
        <is>
          <t>ST-VR-P-016-FW25-GS-S</t>
        </is>
      </c>
      <c r="D537" s="5">
        <f>IF($I2="","",INDEX(Productos!$B:$B,$I2))</f>
        <v/>
      </c>
      <c r="E537" s="5">
        <f>IF($I2="","",INDEX(Productos!$H:$H,$I2))</f>
        <v/>
      </c>
      <c r="F537" s="5">
        <f>IF($I2="","",INDEX(Productos!$I:$I,$I2))</f>
        <v/>
      </c>
      <c r="G537" s="135" t="n">
        <v>6</v>
      </c>
      <c r="H537" s="5">
        <f>IF($I2="","",INDEX(Productos!$AG:$AG,$I2))</f>
        <v/>
      </c>
      <c r="I537" s="136">
        <f>LET(_xlpm.r,Productos!$E$2:$E$2509,_xlpm.m,IFERROR(_xlfn.XMATCH(C537,_xlpm.r),IFERROR(_xlfn.XMATCH(VALUE(C537),_xlpm.r),0)),IF(_xlpm.m=0,"",_xlpm.m+1))</f>
        <v/>
      </c>
      <c r="J537" s="137" t="inlineStr">
        <is>
          <t>NetSuite</t>
        </is>
      </c>
    </row>
    <row r="538">
      <c r="A538" s="5" t="inlineStr">
        <is>
          <t>B25 STETSON.MX</t>
        </is>
      </c>
      <c r="B538" s="5">
        <f>IF($I2="","",INDEX(Productos!$A:$A,$I2))</f>
        <v/>
      </c>
      <c r="C538" s="134" t="inlineStr">
        <is>
          <t>ST-VR-P-016-FW25-GS-XL</t>
        </is>
      </c>
      <c r="D538" s="5">
        <f>IF($I2="","",INDEX(Productos!$B:$B,$I2))</f>
        <v/>
      </c>
      <c r="E538" s="5">
        <f>IF($I2="","",INDEX(Productos!$H:$H,$I2))</f>
        <v/>
      </c>
      <c r="F538" s="5">
        <f>IF($I2="","",INDEX(Productos!$I:$I,$I2))</f>
        <v/>
      </c>
      <c r="G538" s="135" t="n">
        <v>2</v>
      </c>
      <c r="H538" s="5">
        <f>IF($I2="","",INDEX(Productos!$AG:$AG,$I2))</f>
        <v/>
      </c>
      <c r="I538" s="136">
        <f>LET(_xlpm.r,Productos!$E$2:$E$2509,_xlpm.m,IFERROR(_xlfn.XMATCH(C538,_xlpm.r),IFERROR(_xlfn.XMATCH(VALUE(C538),_xlpm.r),0)),IF(_xlpm.m=0,"",_xlpm.m+1))</f>
        <v/>
      </c>
      <c r="J538" s="137" t="inlineStr">
        <is>
          <t>NetSuite</t>
        </is>
      </c>
    </row>
    <row r="539">
      <c r="A539" s="5" t="inlineStr">
        <is>
          <t>B25 STETSON.MX</t>
        </is>
      </c>
      <c r="B539" s="5">
        <f>IF($I2="","",INDEX(Productos!$A:$A,$I2))</f>
        <v/>
      </c>
      <c r="C539" s="134" t="inlineStr">
        <is>
          <t>ST-VR-P-017-FW25-SC-M</t>
        </is>
      </c>
      <c r="D539" s="5">
        <f>IF($I2="","",INDEX(Productos!$B:$B,$I2))</f>
        <v/>
      </c>
      <c r="E539" s="5">
        <f>IF($I2="","",INDEX(Productos!$H:$H,$I2))</f>
        <v/>
      </c>
      <c r="F539" s="5">
        <f>IF($I2="","",INDEX(Productos!$I:$I,$I2))</f>
        <v/>
      </c>
      <c r="G539" s="135" t="n">
        <v>7</v>
      </c>
      <c r="H539" s="5">
        <f>IF($I2="","",INDEX(Productos!$AG:$AG,$I2))</f>
        <v/>
      </c>
      <c r="I539" s="136">
        <f>LET(_xlpm.r,Productos!$E$2:$E$2509,_xlpm.m,IFERROR(_xlfn.XMATCH(C539,_xlpm.r),IFERROR(_xlfn.XMATCH(VALUE(C539),_xlpm.r),0)),IF(_xlpm.m=0,"",_xlpm.m+1))</f>
        <v/>
      </c>
      <c r="J539" s="137" t="inlineStr">
        <is>
          <t>NetSuite</t>
        </is>
      </c>
    </row>
    <row r="540">
      <c r="A540" s="5" t="inlineStr">
        <is>
          <t>B25 STETSON.MX</t>
        </is>
      </c>
      <c r="B540" s="5">
        <f>IF($I2="","",INDEX(Productos!$A:$A,$I2))</f>
        <v/>
      </c>
      <c r="C540" s="134" t="inlineStr">
        <is>
          <t>ST-VR-P-017-FW25-SC-S</t>
        </is>
      </c>
      <c r="D540" s="5">
        <f>IF($I2="","",INDEX(Productos!$B:$B,$I2))</f>
        <v/>
      </c>
      <c r="E540" s="5">
        <f>IF($I2="","",INDEX(Productos!$H:$H,$I2))</f>
        <v/>
      </c>
      <c r="F540" s="5">
        <f>IF($I2="","",INDEX(Productos!$I:$I,$I2))</f>
        <v/>
      </c>
      <c r="G540" s="135" t="n">
        <v>6</v>
      </c>
      <c r="H540" s="5">
        <f>IF($I2="","",INDEX(Productos!$AG:$AG,$I2))</f>
        <v/>
      </c>
      <c r="I540" s="136">
        <f>LET(_xlpm.r,Productos!$E$2:$E$2509,_xlpm.m,IFERROR(_xlfn.XMATCH(C540,_xlpm.r),IFERROR(_xlfn.XMATCH(VALUE(C540),_xlpm.r),0)),IF(_xlpm.m=0,"",_xlpm.m+1))</f>
        <v/>
      </c>
      <c r="J540" s="137" t="inlineStr">
        <is>
          <t>NetSuite</t>
        </is>
      </c>
    </row>
    <row r="541">
      <c r="A541" s="5" t="inlineStr">
        <is>
          <t>B25 STETSON.MX</t>
        </is>
      </c>
      <c r="B541" s="5">
        <f>IF($I2="","",INDEX(Productos!$A:$A,$I2))</f>
        <v/>
      </c>
      <c r="C541" s="134" t="inlineStr">
        <is>
          <t>ST-VR-P-017-FW25-SC-XL</t>
        </is>
      </c>
      <c r="D541" s="5">
        <f>IF($I2="","",INDEX(Productos!$B:$B,$I2))</f>
        <v/>
      </c>
      <c r="E541" s="5">
        <f>IF($I2="","",INDEX(Productos!$H:$H,$I2))</f>
        <v/>
      </c>
      <c r="F541" s="5">
        <f>IF($I2="","",INDEX(Productos!$I:$I,$I2))</f>
        <v/>
      </c>
      <c r="G541" s="135" t="n">
        <v>2</v>
      </c>
      <c r="H541" s="5">
        <f>IF($I2="","",INDEX(Productos!$AG:$AG,$I2))</f>
        <v/>
      </c>
      <c r="I541" s="136">
        <f>LET(_xlpm.r,Productos!$E$2:$E$2509,_xlpm.m,IFERROR(_xlfn.XMATCH(C541,_xlpm.r),IFERROR(_xlfn.XMATCH(VALUE(C541),_xlpm.r),0)),IF(_xlpm.m=0,"",_xlpm.m+1))</f>
        <v/>
      </c>
      <c r="J541" s="137" t="inlineStr">
        <is>
          <t>NetSuite</t>
        </is>
      </c>
    </row>
    <row r="542">
      <c r="A542" s="5" t="inlineStr">
        <is>
          <t>B25 STETSON.MX</t>
        </is>
      </c>
      <c r="B542" s="5">
        <f>IF($I2="","",INDEX(Productos!$A:$A,$I2))</f>
        <v/>
      </c>
      <c r="C542" s="134" t="inlineStr">
        <is>
          <t>ST-VR-P-018-FW25-CS-2XL</t>
        </is>
      </c>
      <c r="D542" s="5">
        <f>IF($I2="","",INDEX(Productos!$B:$B,$I2))</f>
        <v/>
      </c>
      <c r="E542" s="5">
        <f>IF($I2="","",INDEX(Productos!$H:$H,$I2))</f>
        <v/>
      </c>
      <c r="F542" s="5">
        <f>IF($I2="","",INDEX(Productos!$I:$I,$I2))</f>
        <v/>
      </c>
      <c r="G542" s="135" t="n">
        <v>1</v>
      </c>
      <c r="H542" s="5">
        <f>IF($I2="","",INDEX(Productos!$AG:$AG,$I2))</f>
        <v/>
      </c>
      <c r="I542" s="136">
        <f>LET(_xlpm.r,Productos!$E$2:$E$2509,_xlpm.m,IFERROR(_xlfn.XMATCH(C542,_xlpm.r),IFERROR(_xlfn.XMATCH(VALUE(C542),_xlpm.r),0)),IF(_xlpm.m=0,"",_xlpm.m+1))</f>
        <v/>
      </c>
      <c r="J542" s="137" t="inlineStr">
        <is>
          <t>NetSuite</t>
        </is>
      </c>
    </row>
    <row r="543">
      <c r="A543" s="5" t="inlineStr">
        <is>
          <t>B25 STETSON.MX</t>
        </is>
      </c>
      <c r="B543" s="5">
        <f>IF($I2="","",INDEX(Productos!$A:$A,$I2))</f>
        <v/>
      </c>
      <c r="C543" s="134" t="inlineStr">
        <is>
          <t>ST-VR-P-018-FW25-CS-L</t>
        </is>
      </c>
      <c r="D543" s="5">
        <f>IF($I2="","",INDEX(Productos!$B:$B,$I2))</f>
        <v/>
      </c>
      <c r="E543" s="5">
        <f>IF($I2="","",INDEX(Productos!$H:$H,$I2))</f>
        <v/>
      </c>
      <c r="F543" s="5">
        <f>IF($I2="","",INDEX(Productos!$I:$I,$I2))</f>
        <v/>
      </c>
      <c r="G543" s="135" t="n">
        <v>10</v>
      </c>
      <c r="H543" s="5">
        <f>IF($I2="","",INDEX(Productos!$AG:$AG,$I2))</f>
        <v/>
      </c>
      <c r="I543" s="136">
        <f>LET(_xlpm.r,Productos!$E$2:$E$2509,_xlpm.m,IFERROR(_xlfn.XMATCH(C543,_xlpm.r),IFERROR(_xlfn.XMATCH(VALUE(C543),_xlpm.r),0)),IF(_xlpm.m=0,"",_xlpm.m+1))</f>
        <v/>
      </c>
      <c r="J543" s="137" t="inlineStr">
        <is>
          <t>NetSuite</t>
        </is>
      </c>
    </row>
    <row r="544">
      <c r="A544" s="5" t="inlineStr">
        <is>
          <t>B25 STETSON.MX</t>
        </is>
      </c>
      <c r="B544" s="5">
        <f>IF($I2="","",INDEX(Productos!$A:$A,$I2))</f>
        <v/>
      </c>
      <c r="C544" s="134" t="inlineStr">
        <is>
          <t>ST-VR-P-018-FW25-CS-M</t>
        </is>
      </c>
      <c r="D544" s="5">
        <f>IF($I2="","",INDEX(Productos!$B:$B,$I2))</f>
        <v/>
      </c>
      <c r="E544" s="5">
        <f>IF($I2="","",INDEX(Productos!$H:$H,$I2))</f>
        <v/>
      </c>
      <c r="F544" s="5">
        <f>IF($I2="","",INDEX(Productos!$I:$I,$I2))</f>
        <v/>
      </c>
      <c r="G544" s="135" t="n">
        <v>1</v>
      </c>
      <c r="H544" s="5">
        <f>IF($I2="","",INDEX(Productos!$AG:$AG,$I2))</f>
        <v/>
      </c>
      <c r="I544" s="136">
        <f>LET(_xlpm.r,Productos!$E$2:$E$2509,_xlpm.m,IFERROR(_xlfn.XMATCH(C544,_xlpm.r),IFERROR(_xlfn.XMATCH(VALUE(C544),_xlpm.r),0)),IF(_xlpm.m=0,"",_xlpm.m+1))</f>
        <v/>
      </c>
      <c r="J544" s="137" t="inlineStr">
        <is>
          <t>NetSuite</t>
        </is>
      </c>
    </row>
    <row r="545">
      <c r="A545" s="5" t="inlineStr">
        <is>
          <t>B25 STETSON.MX</t>
        </is>
      </c>
      <c r="B545" s="5">
        <f>IF($I2="","",INDEX(Productos!$A:$A,$I2))</f>
        <v/>
      </c>
      <c r="C545" s="134" t="inlineStr">
        <is>
          <t>ST-VR-P-018-FW25-CS-S</t>
        </is>
      </c>
      <c r="D545" s="5">
        <f>IF($I2="","",INDEX(Productos!$B:$B,$I2))</f>
        <v/>
      </c>
      <c r="E545" s="5">
        <f>IF($I2="","",INDEX(Productos!$H:$H,$I2))</f>
        <v/>
      </c>
      <c r="F545" s="5">
        <f>IF($I2="","",INDEX(Productos!$I:$I,$I2))</f>
        <v/>
      </c>
      <c r="G545" s="135" t="n">
        <v>1</v>
      </c>
      <c r="H545" s="5">
        <f>IF($I2="","",INDEX(Productos!$AG:$AG,$I2))</f>
        <v/>
      </c>
      <c r="I545" s="136">
        <f>LET(_xlpm.r,Productos!$E$2:$E$2509,_xlpm.m,IFERROR(_xlfn.XMATCH(C545,_xlpm.r),IFERROR(_xlfn.XMATCH(VALUE(C545),_xlpm.r),0)),IF(_xlpm.m=0,"",_xlpm.m+1))</f>
        <v/>
      </c>
      <c r="J545" s="137" t="inlineStr">
        <is>
          <t>NetSuite</t>
        </is>
      </c>
    </row>
    <row r="546">
      <c r="A546" s="5" t="inlineStr">
        <is>
          <t>B25 STETSON.MX</t>
        </is>
      </c>
      <c r="B546" s="5">
        <f>IF($I2="","",INDEX(Productos!$A:$A,$I2))</f>
        <v/>
      </c>
      <c r="C546" s="134" t="inlineStr">
        <is>
          <t>ST-VR-P-019-FW25-CM-2XL</t>
        </is>
      </c>
      <c r="D546" s="5">
        <f>IF($I2="","",INDEX(Productos!$B:$B,$I2))</f>
        <v/>
      </c>
      <c r="E546" s="5">
        <f>IF($I2="","",INDEX(Productos!$H:$H,$I2))</f>
        <v/>
      </c>
      <c r="F546" s="5">
        <f>IF($I2="","",INDEX(Productos!$I:$I,$I2))</f>
        <v/>
      </c>
      <c r="G546" s="135" t="n">
        <v>1</v>
      </c>
      <c r="H546" s="5">
        <f>IF($I2="","",INDEX(Productos!$AG:$AG,$I2))</f>
        <v/>
      </c>
      <c r="I546" s="136">
        <f>LET(_xlpm.r,Productos!$E$2:$E$2509,_xlpm.m,IFERROR(_xlfn.XMATCH(C546,_xlpm.r),IFERROR(_xlfn.XMATCH(VALUE(C546),_xlpm.r),0)),IF(_xlpm.m=0,"",_xlpm.m+1))</f>
        <v/>
      </c>
      <c r="J546" s="137" t="inlineStr">
        <is>
          <t>NetSuite</t>
        </is>
      </c>
    </row>
    <row r="547">
      <c r="A547" s="5" t="inlineStr">
        <is>
          <t>B25 STETSON.MX</t>
        </is>
      </c>
      <c r="B547" s="5">
        <f>IF($I2="","",INDEX(Productos!$A:$A,$I2))</f>
        <v/>
      </c>
      <c r="C547" s="134" t="inlineStr">
        <is>
          <t>ST-VR-P-019-FW25-CM-L</t>
        </is>
      </c>
      <c r="D547" s="5">
        <f>IF($I2="","",INDEX(Productos!$B:$B,$I2))</f>
        <v/>
      </c>
      <c r="E547" s="5">
        <f>IF($I2="","",INDEX(Productos!$H:$H,$I2))</f>
        <v/>
      </c>
      <c r="F547" s="5">
        <f>IF($I2="","",INDEX(Productos!$I:$I,$I2))</f>
        <v/>
      </c>
      <c r="G547" s="135" t="n">
        <v>9</v>
      </c>
      <c r="H547" s="5">
        <f>IF($I2="","",INDEX(Productos!$AG:$AG,$I2))</f>
        <v/>
      </c>
      <c r="I547" s="136">
        <f>LET(_xlpm.r,Productos!$E$2:$E$2509,_xlpm.m,IFERROR(_xlfn.XMATCH(C547,_xlpm.r),IFERROR(_xlfn.XMATCH(VALUE(C547),_xlpm.r),0)),IF(_xlpm.m=0,"",_xlpm.m+1))</f>
        <v/>
      </c>
      <c r="J547" s="137" t="inlineStr">
        <is>
          <t>NetSuite</t>
        </is>
      </c>
    </row>
    <row r="548">
      <c r="A548" s="5" t="inlineStr">
        <is>
          <t>B25 STETSON.MX</t>
        </is>
      </c>
      <c r="B548" s="5">
        <f>IF($I2="","",INDEX(Productos!$A:$A,$I2))</f>
        <v/>
      </c>
      <c r="C548" s="134" t="inlineStr">
        <is>
          <t>ST-VR-P-019-FW25-CM-M</t>
        </is>
      </c>
      <c r="D548" s="5">
        <f>IF($I2="","",INDEX(Productos!$B:$B,$I2))</f>
        <v/>
      </c>
      <c r="E548" s="5">
        <f>IF($I2="","",INDEX(Productos!$H:$H,$I2))</f>
        <v/>
      </c>
      <c r="F548" s="5">
        <f>IF($I2="","",INDEX(Productos!$I:$I,$I2))</f>
        <v/>
      </c>
      <c r="G548" s="135" t="n">
        <v>10</v>
      </c>
      <c r="H548" s="5">
        <f>IF($I2="","",INDEX(Productos!$AG:$AG,$I2))</f>
        <v/>
      </c>
      <c r="I548" s="136">
        <f>LET(_xlpm.r,Productos!$E$2:$E$2509,_xlpm.m,IFERROR(_xlfn.XMATCH(C548,_xlpm.r),IFERROR(_xlfn.XMATCH(VALUE(C548),_xlpm.r),0)),IF(_xlpm.m=0,"",_xlpm.m+1))</f>
        <v/>
      </c>
      <c r="J548" s="137" t="inlineStr">
        <is>
          <t>NetSuite</t>
        </is>
      </c>
    </row>
    <row r="549">
      <c r="A549" s="5" t="inlineStr">
        <is>
          <t>B25 STETSON.MX</t>
        </is>
      </c>
      <c r="B549" s="5">
        <f>IF($I2="","",INDEX(Productos!$A:$A,$I2))</f>
        <v/>
      </c>
      <c r="C549" s="134" t="inlineStr">
        <is>
          <t>ST-VR-P-019-FW25-CM-S</t>
        </is>
      </c>
      <c r="D549" s="5">
        <f>IF($I2="","",INDEX(Productos!$B:$B,$I2))</f>
        <v/>
      </c>
      <c r="E549" s="5">
        <f>IF($I2="","",INDEX(Productos!$H:$H,$I2))</f>
        <v/>
      </c>
      <c r="F549" s="5">
        <f>IF($I2="","",INDEX(Productos!$I:$I,$I2))</f>
        <v/>
      </c>
      <c r="G549" s="135" t="n">
        <v>7</v>
      </c>
      <c r="H549" s="5">
        <f>IF($I2="","",INDEX(Productos!$AG:$AG,$I2))</f>
        <v/>
      </c>
      <c r="I549" s="136">
        <f>LET(_xlpm.r,Productos!$E$2:$E$2509,_xlpm.m,IFERROR(_xlfn.XMATCH(C549,_xlpm.r),IFERROR(_xlfn.XMATCH(VALUE(C549),_xlpm.r),0)),IF(_xlpm.m=0,"",_xlpm.m+1))</f>
        <v/>
      </c>
      <c r="J549" s="137" t="inlineStr">
        <is>
          <t>NetSuite</t>
        </is>
      </c>
    </row>
    <row r="550">
      <c r="A550" s="5" t="inlineStr">
        <is>
          <t>B25 STETSON.MX</t>
        </is>
      </c>
      <c r="B550" s="5">
        <f>IF($I2="","",INDEX(Productos!$A:$A,$I2))</f>
        <v/>
      </c>
      <c r="C550" s="134" t="inlineStr">
        <is>
          <t>ST-VR-P-019-FW25-CM-XL</t>
        </is>
      </c>
      <c r="D550" s="5">
        <f>IF($I2="","",INDEX(Productos!$B:$B,$I2))</f>
        <v/>
      </c>
      <c r="E550" s="5">
        <f>IF($I2="","",INDEX(Productos!$H:$H,$I2))</f>
        <v/>
      </c>
      <c r="F550" s="5">
        <f>IF($I2="","",INDEX(Productos!$I:$I,$I2))</f>
        <v/>
      </c>
      <c r="G550" s="135" t="n">
        <v>2</v>
      </c>
      <c r="H550" s="5">
        <f>IF($I2="","",INDEX(Productos!$AG:$AG,$I2))</f>
        <v/>
      </c>
      <c r="I550" s="136">
        <f>LET(_xlpm.r,Productos!$E$2:$E$2509,_xlpm.m,IFERROR(_xlfn.XMATCH(C550,_xlpm.r),IFERROR(_xlfn.XMATCH(VALUE(C550),_xlpm.r),0)),IF(_xlpm.m=0,"",_xlpm.m+1))</f>
        <v/>
      </c>
      <c r="J550" s="137" t="inlineStr">
        <is>
          <t>NetSuite</t>
        </is>
      </c>
    </row>
    <row r="551">
      <c r="A551" s="5" t="inlineStr">
        <is>
          <t>B25 STETSON.MX</t>
        </is>
      </c>
      <c r="B551" s="5">
        <f>IF($I2="","",INDEX(Productos!$A:$A,$I2))</f>
        <v/>
      </c>
      <c r="C551" s="134" t="inlineStr">
        <is>
          <t>ST-VR-P-020-FW25-MT-L</t>
        </is>
      </c>
      <c r="D551" s="5">
        <f>IF($I2="","",INDEX(Productos!$B:$B,$I2))</f>
        <v/>
      </c>
      <c r="E551" s="5">
        <f>IF($I2="","",INDEX(Productos!$H:$H,$I2))</f>
        <v/>
      </c>
      <c r="F551" s="5">
        <f>IF($I2="","",INDEX(Productos!$I:$I,$I2))</f>
        <v/>
      </c>
      <c r="G551" s="135" t="n">
        <v>4</v>
      </c>
      <c r="H551" s="5">
        <f>IF($I2="","",INDEX(Productos!$AG:$AG,$I2))</f>
        <v/>
      </c>
      <c r="I551" s="136">
        <f>LET(_xlpm.r,Productos!$E$2:$E$2509,_xlpm.m,IFERROR(_xlfn.XMATCH(C551,_xlpm.r),IFERROR(_xlfn.XMATCH(VALUE(C551),_xlpm.r),0)),IF(_xlpm.m=0,"",_xlpm.m+1))</f>
        <v/>
      </c>
      <c r="J551" s="137" t="inlineStr">
        <is>
          <t>NetSuite</t>
        </is>
      </c>
    </row>
    <row r="552">
      <c r="A552" s="5" t="inlineStr">
        <is>
          <t>B25 STETSON.MX</t>
        </is>
      </c>
      <c r="B552" s="5">
        <f>IF($I2="","",INDEX(Productos!$A:$A,$I2))</f>
        <v/>
      </c>
      <c r="C552" s="134" t="inlineStr">
        <is>
          <t>ST-VR-P-021-FW25-DQ-2XL</t>
        </is>
      </c>
      <c r="D552" s="5">
        <f>IF($I2="","",INDEX(Productos!$B:$B,$I2))</f>
        <v/>
      </c>
      <c r="E552" s="5">
        <f>IF($I2="","",INDEX(Productos!$H:$H,$I2))</f>
        <v/>
      </c>
      <c r="F552" s="5">
        <f>IF($I2="","",INDEX(Productos!$I:$I,$I2))</f>
        <v/>
      </c>
      <c r="G552" s="135" t="n">
        <v>1</v>
      </c>
      <c r="H552" s="5">
        <f>IF($I2="","",INDEX(Productos!$AG:$AG,$I2))</f>
        <v/>
      </c>
      <c r="I552" s="136">
        <f>LET(_xlpm.r,Productos!$E$2:$E$2509,_xlpm.m,IFERROR(_xlfn.XMATCH(C552,_xlpm.r),IFERROR(_xlfn.XMATCH(VALUE(C552),_xlpm.r),0)),IF(_xlpm.m=0,"",_xlpm.m+1))</f>
        <v/>
      </c>
      <c r="J552" s="137" t="inlineStr">
        <is>
          <t>NetSuite</t>
        </is>
      </c>
    </row>
    <row r="553">
      <c r="A553" s="5" t="inlineStr">
        <is>
          <t>B25 STETSON.MX</t>
        </is>
      </c>
      <c r="B553" s="5">
        <f>IF($I2="","",INDEX(Productos!$A:$A,$I2))</f>
        <v/>
      </c>
      <c r="C553" s="134" t="inlineStr">
        <is>
          <t>ST-VR-P-021-FW25-DQ-L</t>
        </is>
      </c>
      <c r="D553" s="5">
        <f>IF($I2="","",INDEX(Productos!$B:$B,$I2))</f>
        <v/>
      </c>
      <c r="E553" s="5">
        <f>IF($I2="","",INDEX(Productos!$H:$H,$I2))</f>
        <v/>
      </c>
      <c r="F553" s="5">
        <f>IF($I2="","",INDEX(Productos!$I:$I,$I2))</f>
        <v/>
      </c>
      <c r="G553" s="135" t="n">
        <v>9</v>
      </c>
      <c r="H553" s="5">
        <f>IF($I2="","",INDEX(Productos!$AG:$AG,$I2))</f>
        <v/>
      </c>
      <c r="I553" s="136">
        <f>LET(_xlpm.r,Productos!$E$2:$E$2509,_xlpm.m,IFERROR(_xlfn.XMATCH(C553,_xlpm.r),IFERROR(_xlfn.XMATCH(VALUE(C553),_xlpm.r),0)),IF(_xlpm.m=0,"",_xlpm.m+1))</f>
        <v/>
      </c>
      <c r="J553" s="137" t="inlineStr">
        <is>
          <t>NetSuite</t>
        </is>
      </c>
    </row>
    <row r="554">
      <c r="A554" s="5" t="inlineStr">
        <is>
          <t>B25 STETSON.MX</t>
        </is>
      </c>
      <c r="B554" s="5">
        <f>IF($I2="","",INDEX(Productos!$A:$A,$I2))</f>
        <v/>
      </c>
      <c r="C554" s="134" t="inlineStr">
        <is>
          <t>ST-VR-P-021-FW25-DQ-M</t>
        </is>
      </c>
      <c r="D554" s="5">
        <f>IF($I2="","",INDEX(Productos!$B:$B,$I2))</f>
        <v/>
      </c>
      <c r="E554" s="5">
        <f>IF($I2="","",INDEX(Productos!$H:$H,$I2))</f>
        <v/>
      </c>
      <c r="F554" s="5">
        <f>IF($I2="","",INDEX(Productos!$I:$I,$I2))</f>
        <v/>
      </c>
      <c r="G554" s="135" t="n">
        <v>10</v>
      </c>
      <c r="H554" s="5">
        <f>IF($I2="","",INDEX(Productos!$AG:$AG,$I2))</f>
        <v/>
      </c>
      <c r="I554" s="136">
        <f>LET(_xlpm.r,Productos!$E$2:$E$2509,_xlpm.m,IFERROR(_xlfn.XMATCH(C554,_xlpm.r),IFERROR(_xlfn.XMATCH(VALUE(C554),_xlpm.r),0)),IF(_xlpm.m=0,"",_xlpm.m+1))</f>
        <v/>
      </c>
      <c r="J554" s="137" t="inlineStr">
        <is>
          <t>NetSuite</t>
        </is>
      </c>
    </row>
    <row r="555">
      <c r="A555" s="5" t="inlineStr">
        <is>
          <t>B25 STETSON.MX</t>
        </is>
      </c>
      <c r="B555" s="5">
        <f>IF($I2="","",INDEX(Productos!$A:$A,$I2))</f>
        <v/>
      </c>
      <c r="C555" s="134" t="inlineStr">
        <is>
          <t>ST-VR-P-021-FW25-DQ-S</t>
        </is>
      </c>
      <c r="D555" s="5">
        <f>IF($I2="","",INDEX(Productos!$B:$B,$I2))</f>
        <v/>
      </c>
      <c r="E555" s="5">
        <f>IF($I2="","",INDEX(Productos!$H:$H,$I2))</f>
        <v/>
      </c>
      <c r="F555" s="5">
        <f>IF($I2="","",INDEX(Productos!$I:$I,$I2))</f>
        <v/>
      </c>
      <c r="G555" s="135" t="n">
        <v>7</v>
      </c>
      <c r="H555" s="5">
        <f>IF($I2="","",INDEX(Productos!$AG:$AG,$I2))</f>
        <v/>
      </c>
      <c r="I555" s="136">
        <f>LET(_xlpm.r,Productos!$E$2:$E$2509,_xlpm.m,IFERROR(_xlfn.XMATCH(C555,_xlpm.r),IFERROR(_xlfn.XMATCH(VALUE(C555),_xlpm.r),0)),IF(_xlpm.m=0,"",_xlpm.m+1))</f>
        <v/>
      </c>
      <c r="J555" s="137" t="inlineStr">
        <is>
          <t>NetSuite</t>
        </is>
      </c>
    </row>
    <row r="556">
      <c r="A556" s="5" t="inlineStr">
        <is>
          <t>B25 STETSON.MX</t>
        </is>
      </c>
      <c r="B556" s="5">
        <f>IF($I2="","",INDEX(Productos!$A:$A,$I2))</f>
        <v/>
      </c>
      <c r="C556" s="134" t="inlineStr">
        <is>
          <t>ST-VR-P-021-FW25-DQ-XL</t>
        </is>
      </c>
      <c r="D556" s="5">
        <f>IF($I2="","",INDEX(Productos!$B:$B,$I2))</f>
        <v/>
      </c>
      <c r="E556" s="5">
        <f>IF($I2="","",INDEX(Productos!$H:$H,$I2))</f>
        <v/>
      </c>
      <c r="F556" s="5">
        <f>IF($I2="","",INDEX(Productos!$I:$I,$I2))</f>
        <v/>
      </c>
      <c r="G556" s="135" t="n">
        <v>2</v>
      </c>
      <c r="H556" s="5">
        <f>IF($I2="","",INDEX(Productos!$AG:$AG,$I2))</f>
        <v/>
      </c>
      <c r="I556" s="136">
        <f>LET(_xlpm.r,Productos!$E$2:$E$2509,_xlpm.m,IFERROR(_xlfn.XMATCH(C556,_xlpm.r),IFERROR(_xlfn.XMATCH(VALUE(C556),_xlpm.r),0)),IF(_xlpm.m=0,"",_xlpm.m+1))</f>
        <v/>
      </c>
      <c r="J556" s="137" t="inlineStr">
        <is>
          <t>NetSuite</t>
        </is>
      </c>
    </row>
    <row r="557">
      <c r="A557" s="5" t="inlineStr">
        <is>
          <t>B25 STETSON.MX</t>
        </is>
      </c>
      <c r="B557" s="5">
        <f>IF($I2="","",INDEX(Productos!$A:$A,$I2))</f>
        <v/>
      </c>
      <c r="C557" s="134" t="inlineStr">
        <is>
          <t>ST-VR-P-022-FW25-OG-M</t>
        </is>
      </c>
      <c r="D557" s="5">
        <f>IF($I2="","",INDEX(Productos!$B:$B,$I2))</f>
        <v/>
      </c>
      <c r="E557" s="5">
        <f>IF($I2="","",INDEX(Productos!$H:$H,$I2))</f>
        <v/>
      </c>
      <c r="F557" s="5">
        <f>IF($I2="","",INDEX(Productos!$I:$I,$I2))</f>
        <v/>
      </c>
      <c r="G557" s="135" t="n">
        <v>1</v>
      </c>
      <c r="H557" s="5">
        <f>IF($I2="","",INDEX(Productos!$AG:$AG,$I2))</f>
        <v/>
      </c>
      <c r="I557" s="136">
        <f>LET(_xlpm.r,Productos!$E$2:$E$2509,_xlpm.m,IFERROR(_xlfn.XMATCH(C557,_xlpm.r),IFERROR(_xlfn.XMATCH(VALUE(C557),_xlpm.r),0)),IF(_xlpm.m=0,"",_xlpm.m+1))</f>
        <v/>
      </c>
      <c r="J557" s="137" t="inlineStr">
        <is>
          <t>NetSuite</t>
        </is>
      </c>
    </row>
    <row r="558">
      <c r="A558" s="5" t="inlineStr">
        <is>
          <t>B25 STETSON.MX</t>
        </is>
      </c>
      <c r="B558" s="5">
        <f>IF($I2="","",INDEX(Productos!$A:$A,$I2))</f>
        <v/>
      </c>
      <c r="C558" s="134" t="inlineStr">
        <is>
          <t>ST-VR-S-001-FW25-AF-2XL</t>
        </is>
      </c>
      <c r="D558" s="5">
        <f>IF($I2="","",INDEX(Productos!$B:$B,$I2))</f>
        <v/>
      </c>
      <c r="E558" s="5">
        <f>IF($I2="","",INDEX(Productos!$H:$H,$I2))</f>
        <v/>
      </c>
      <c r="F558" s="5">
        <f>IF($I2="","",INDEX(Productos!$I:$I,$I2))</f>
        <v/>
      </c>
      <c r="G558" s="135" t="n">
        <v>1</v>
      </c>
      <c r="H558" s="5">
        <f>IF($I2="","",INDEX(Productos!$AG:$AG,$I2))</f>
        <v/>
      </c>
      <c r="I558" s="136">
        <f>LET(_xlpm.r,Productos!$E$2:$E$2509,_xlpm.m,IFERROR(_xlfn.XMATCH(C558,_xlpm.r),IFERROR(_xlfn.XMATCH(VALUE(C558),_xlpm.r),0)),IF(_xlpm.m=0,"",_xlpm.m+1))</f>
        <v/>
      </c>
      <c r="J558" s="137" t="inlineStr">
        <is>
          <t>NetSuite</t>
        </is>
      </c>
    </row>
    <row r="559">
      <c r="A559" s="5" t="inlineStr">
        <is>
          <t>B25 STETSON.MX</t>
        </is>
      </c>
      <c r="B559" s="5">
        <f>IF($I2="","",INDEX(Productos!$A:$A,$I2))</f>
        <v/>
      </c>
      <c r="C559" s="134" t="inlineStr">
        <is>
          <t>ST-VR-S-001-FW25-AF-M</t>
        </is>
      </c>
      <c r="D559" s="5">
        <f>IF($I2="","",INDEX(Productos!$B:$B,$I2))</f>
        <v/>
      </c>
      <c r="E559" s="5">
        <f>IF($I2="","",INDEX(Productos!$H:$H,$I2))</f>
        <v/>
      </c>
      <c r="F559" s="5">
        <f>IF($I2="","",INDEX(Productos!$I:$I,$I2))</f>
        <v/>
      </c>
      <c r="G559" s="135" t="n">
        <v>2</v>
      </c>
      <c r="H559" s="5">
        <f>IF($I2="","",INDEX(Productos!$AG:$AG,$I2))</f>
        <v/>
      </c>
      <c r="I559" s="136">
        <f>LET(_xlpm.r,Productos!$E$2:$E$2509,_xlpm.m,IFERROR(_xlfn.XMATCH(C559,_xlpm.r),IFERROR(_xlfn.XMATCH(VALUE(C559),_xlpm.r),0)),IF(_xlpm.m=0,"",_xlpm.m+1))</f>
        <v/>
      </c>
      <c r="J559" s="137" t="inlineStr">
        <is>
          <t>NetSuite</t>
        </is>
      </c>
    </row>
    <row r="560">
      <c r="A560" s="5" t="inlineStr">
        <is>
          <t>B25 STETSON.MX</t>
        </is>
      </c>
      <c r="B560" s="5">
        <f>IF($I2="","",INDEX(Productos!$A:$A,$I2))</f>
        <v/>
      </c>
      <c r="C560" s="134" t="inlineStr">
        <is>
          <t>ST-VR-S-001-FW25-AF-S</t>
        </is>
      </c>
      <c r="D560" s="5">
        <f>IF($I2="","",INDEX(Productos!$B:$B,$I2))</f>
        <v/>
      </c>
      <c r="E560" s="5">
        <f>IF($I2="","",INDEX(Productos!$H:$H,$I2))</f>
        <v/>
      </c>
      <c r="F560" s="5">
        <f>IF($I2="","",INDEX(Productos!$I:$I,$I2))</f>
        <v/>
      </c>
      <c r="G560" s="135" t="n">
        <v>5</v>
      </c>
      <c r="H560" s="5">
        <f>IF($I2="","",INDEX(Productos!$AG:$AG,$I2))</f>
        <v/>
      </c>
      <c r="I560" s="136">
        <f>LET(_xlpm.r,Productos!$E$2:$E$2509,_xlpm.m,IFERROR(_xlfn.XMATCH(C560,_xlpm.r),IFERROR(_xlfn.XMATCH(VALUE(C560),_xlpm.r),0)),IF(_xlpm.m=0,"",_xlpm.m+1))</f>
        <v/>
      </c>
      <c r="J560" s="137" t="inlineStr">
        <is>
          <t>NetSuite</t>
        </is>
      </c>
    </row>
    <row r="561">
      <c r="A561" s="5" t="inlineStr">
        <is>
          <t>B25 STETSON.MX</t>
        </is>
      </c>
      <c r="B561" s="5">
        <f>IF($I2="","",INDEX(Productos!$A:$A,$I2))</f>
        <v/>
      </c>
      <c r="C561" s="134" t="inlineStr">
        <is>
          <t>ST-VR-S-002-FW25-OR-L</t>
        </is>
      </c>
      <c r="D561" s="5">
        <f>IF($I2="","",INDEX(Productos!$B:$B,$I2))</f>
        <v/>
      </c>
      <c r="E561" s="5">
        <f>IF($I2="","",INDEX(Productos!$H:$H,$I2))</f>
        <v/>
      </c>
      <c r="F561" s="5">
        <f>IF($I2="","",INDEX(Productos!$I:$I,$I2))</f>
        <v/>
      </c>
      <c r="G561" s="135" t="n">
        <v>6</v>
      </c>
      <c r="H561" s="5">
        <f>IF($I2="","",INDEX(Productos!$AG:$AG,$I2))</f>
        <v/>
      </c>
      <c r="I561" s="136">
        <f>LET(_xlpm.r,Productos!$E$2:$E$2509,_xlpm.m,IFERROR(_xlfn.XMATCH(C561,_xlpm.r),IFERROR(_xlfn.XMATCH(VALUE(C561),_xlpm.r),0)),IF(_xlpm.m=0,"",_xlpm.m+1))</f>
        <v/>
      </c>
      <c r="J561" s="137" t="inlineStr">
        <is>
          <t>NetSuite</t>
        </is>
      </c>
    </row>
    <row r="562">
      <c r="A562" s="5" t="inlineStr">
        <is>
          <t>B25 STETSON.MX</t>
        </is>
      </c>
      <c r="B562" s="5">
        <f>IF($I2="","",INDEX(Productos!$A:$A,$I2))</f>
        <v/>
      </c>
      <c r="C562" s="134" t="inlineStr">
        <is>
          <t>ST-VR-S-002-FW25-OR-M</t>
        </is>
      </c>
      <c r="D562" s="5">
        <f>IF($I2="","",INDEX(Productos!$B:$B,$I2))</f>
        <v/>
      </c>
      <c r="E562" s="5">
        <f>IF($I2="","",INDEX(Productos!$H:$H,$I2))</f>
        <v/>
      </c>
      <c r="F562" s="5">
        <f>IF($I2="","",INDEX(Productos!$I:$I,$I2))</f>
        <v/>
      </c>
      <c r="G562" s="135" t="n">
        <v>7</v>
      </c>
      <c r="H562" s="5">
        <f>IF($I2="","",INDEX(Productos!$AG:$AG,$I2))</f>
        <v/>
      </c>
      <c r="I562" s="136">
        <f>LET(_xlpm.r,Productos!$E$2:$E$2509,_xlpm.m,IFERROR(_xlfn.XMATCH(C562,_xlpm.r),IFERROR(_xlfn.XMATCH(VALUE(C562),_xlpm.r),0)),IF(_xlpm.m=0,"",_xlpm.m+1))</f>
        <v/>
      </c>
      <c r="J562" s="137" t="inlineStr">
        <is>
          <t>NetSuite</t>
        </is>
      </c>
    </row>
    <row r="563">
      <c r="A563" s="5" t="inlineStr">
        <is>
          <t>B25 STETSON.MX</t>
        </is>
      </c>
      <c r="B563" s="5">
        <f>IF($I2="","",INDEX(Productos!$A:$A,$I2))</f>
        <v/>
      </c>
      <c r="C563" s="134" t="inlineStr">
        <is>
          <t>ST-VR-S-002-FW25-OR-S</t>
        </is>
      </c>
      <c r="D563" s="5">
        <f>IF($I2="","",INDEX(Productos!$B:$B,$I2))</f>
        <v/>
      </c>
      <c r="E563" s="5">
        <f>IF($I2="","",INDEX(Productos!$H:$H,$I2))</f>
        <v/>
      </c>
      <c r="F563" s="5">
        <f>IF($I2="","",INDEX(Productos!$I:$I,$I2))</f>
        <v/>
      </c>
      <c r="G563" s="135" t="n">
        <v>5</v>
      </c>
      <c r="H563" s="5">
        <f>IF($I2="","",INDEX(Productos!$AG:$AG,$I2))</f>
        <v/>
      </c>
      <c r="I563" s="136">
        <f>LET(_xlpm.r,Productos!$E$2:$E$2509,_xlpm.m,IFERROR(_xlfn.XMATCH(C563,_xlpm.r),IFERROR(_xlfn.XMATCH(VALUE(C563),_xlpm.r),0)),IF(_xlpm.m=0,"",_xlpm.m+1))</f>
        <v/>
      </c>
      <c r="J563" s="137" t="inlineStr">
        <is>
          <t>NetSuite</t>
        </is>
      </c>
    </row>
    <row r="564">
      <c r="A564" s="5" t="inlineStr">
        <is>
          <t>B25 STETSON.MX</t>
        </is>
      </c>
      <c r="B564" s="5">
        <f>IF($I2="","",INDEX(Productos!$A:$A,$I2))</f>
        <v/>
      </c>
      <c r="C564" s="134" t="inlineStr">
        <is>
          <t>ST-VR-S-003-FW25-WB-M</t>
        </is>
      </c>
      <c r="D564" s="5">
        <f>IF($I2="","",INDEX(Productos!$B:$B,$I2))</f>
        <v/>
      </c>
      <c r="E564" s="5">
        <f>IF($I2="","",INDEX(Productos!$H:$H,$I2))</f>
        <v/>
      </c>
      <c r="F564" s="5">
        <f>IF($I2="","",INDEX(Productos!$I:$I,$I2))</f>
        <v/>
      </c>
      <c r="G564" s="135" t="n">
        <v>3</v>
      </c>
      <c r="H564" s="5">
        <f>IF($I2="","",INDEX(Productos!$AG:$AG,$I2))</f>
        <v/>
      </c>
      <c r="I564" s="136">
        <f>LET(_xlpm.r,Productos!$E$2:$E$2509,_xlpm.m,IFERROR(_xlfn.XMATCH(C564,_xlpm.r),IFERROR(_xlfn.XMATCH(VALUE(C564),_xlpm.r),0)),IF(_xlpm.m=0,"",_xlpm.m+1))</f>
        <v/>
      </c>
      <c r="J564" s="137" t="inlineStr">
        <is>
          <t>NetSuite</t>
        </is>
      </c>
    </row>
    <row r="565">
      <c r="A565" s="5" t="inlineStr">
        <is>
          <t>B25 STETSON.MX</t>
        </is>
      </c>
      <c r="B565" s="5">
        <f>IF($I2="","",INDEX(Productos!$A:$A,$I2))</f>
        <v/>
      </c>
      <c r="C565" s="134" t="inlineStr">
        <is>
          <t>ST-VR-S-003-FW25-WB-S</t>
        </is>
      </c>
      <c r="D565" s="5">
        <f>IF($I2="","",INDEX(Productos!$B:$B,$I2))</f>
        <v/>
      </c>
      <c r="E565" s="5">
        <f>IF($I2="","",INDEX(Productos!$H:$H,$I2))</f>
        <v/>
      </c>
      <c r="F565" s="5">
        <f>IF($I2="","",INDEX(Productos!$I:$I,$I2))</f>
        <v/>
      </c>
      <c r="G565" s="135" t="n">
        <v>3</v>
      </c>
      <c r="H565" s="5">
        <f>IF($I2="","",INDEX(Productos!$AG:$AG,$I2))</f>
        <v/>
      </c>
      <c r="I565" s="136">
        <f>LET(_xlpm.r,Productos!$E$2:$E$2509,_xlpm.m,IFERROR(_xlfn.XMATCH(C565,_xlpm.r),IFERROR(_xlfn.XMATCH(VALUE(C565),_xlpm.r),0)),IF(_xlpm.m=0,"",_xlpm.m+1))</f>
        <v/>
      </c>
      <c r="J565" s="137" t="inlineStr">
        <is>
          <t>NetSuite</t>
        </is>
      </c>
    </row>
    <row r="566">
      <c r="A566" s="5" t="inlineStr">
        <is>
          <t>B25 STETSON.MX</t>
        </is>
      </c>
      <c r="B566" s="5">
        <f>IF($I2="","",INDEX(Productos!$A:$A,$I2))</f>
        <v/>
      </c>
      <c r="C566" s="134" t="inlineStr">
        <is>
          <t>ST-VR-S-004-FW25-HO-L</t>
        </is>
      </c>
      <c r="D566" s="5">
        <f>IF($I2="","",INDEX(Productos!$B:$B,$I2))</f>
        <v/>
      </c>
      <c r="E566" s="5">
        <f>IF($I2="","",INDEX(Productos!$H:$H,$I2))</f>
        <v/>
      </c>
      <c r="F566" s="5">
        <f>IF($I2="","",INDEX(Productos!$I:$I,$I2))</f>
        <v/>
      </c>
      <c r="G566" s="135" t="n">
        <v>7</v>
      </c>
      <c r="H566" s="5">
        <f>IF($I2="","",INDEX(Productos!$AG:$AG,$I2))</f>
        <v/>
      </c>
      <c r="I566" s="136">
        <f>LET(_xlpm.r,Productos!$E$2:$E$2509,_xlpm.m,IFERROR(_xlfn.XMATCH(C566,_xlpm.r),IFERROR(_xlfn.XMATCH(VALUE(C566),_xlpm.r),0)),IF(_xlpm.m=0,"",_xlpm.m+1))</f>
        <v/>
      </c>
      <c r="J566" s="137" t="inlineStr">
        <is>
          <t>NetSuite</t>
        </is>
      </c>
    </row>
    <row r="567">
      <c r="A567" s="5" t="inlineStr">
        <is>
          <t>B25 STETSON.MX</t>
        </is>
      </c>
      <c r="B567" s="5">
        <f>IF($I2="","",INDEX(Productos!$A:$A,$I2))</f>
        <v/>
      </c>
      <c r="C567" s="134" t="inlineStr">
        <is>
          <t>ST-VR-S-004-FW25-HO-M</t>
        </is>
      </c>
      <c r="D567" s="5">
        <f>IF($I2="","",INDEX(Productos!$B:$B,$I2))</f>
        <v/>
      </c>
      <c r="E567" s="5">
        <f>IF($I2="","",INDEX(Productos!$H:$H,$I2))</f>
        <v/>
      </c>
      <c r="F567" s="5">
        <f>IF($I2="","",INDEX(Productos!$I:$I,$I2))</f>
        <v/>
      </c>
      <c r="G567" s="135" t="n">
        <v>5</v>
      </c>
      <c r="H567" s="5">
        <f>IF($I2="","",INDEX(Productos!$AG:$AG,$I2))</f>
        <v/>
      </c>
      <c r="I567" s="136">
        <f>LET(_xlpm.r,Productos!$E$2:$E$2509,_xlpm.m,IFERROR(_xlfn.XMATCH(C567,_xlpm.r),IFERROR(_xlfn.XMATCH(VALUE(C567),_xlpm.r),0)),IF(_xlpm.m=0,"",_xlpm.m+1))</f>
        <v/>
      </c>
      <c r="J567" s="137" t="inlineStr">
        <is>
          <t>NetSuite</t>
        </is>
      </c>
    </row>
    <row r="568">
      <c r="A568" s="5" t="inlineStr">
        <is>
          <t>B25 STETSON.MX</t>
        </is>
      </c>
      <c r="B568" s="5">
        <f>IF($I2="","",INDEX(Productos!$A:$A,$I2))</f>
        <v/>
      </c>
      <c r="C568" s="134" t="inlineStr">
        <is>
          <t>ST-VR-S-004-FW25-HO-S</t>
        </is>
      </c>
      <c r="D568" s="5">
        <f>IF($I2="","",INDEX(Productos!$B:$B,$I2))</f>
        <v/>
      </c>
      <c r="E568" s="5">
        <f>IF($I2="","",INDEX(Productos!$H:$H,$I2))</f>
        <v/>
      </c>
      <c r="F568" s="5">
        <f>IF($I2="","",INDEX(Productos!$I:$I,$I2))</f>
        <v/>
      </c>
      <c r="G568" s="135" t="n">
        <v>5</v>
      </c>
      <c r="H568" s="5">
        <f>IF($I2="","",INDEX(Productos!$AG:$AG,$I2))</f>
        <v/>
      </c>
      <c r="I568" s="136">
        <f>LET(_xlpm.r,Productos!$E$2:$E$2509,_xlpm.m,IFERROR(_xlfn.XMATCH(C568,_xlpm.r),IFERROR(_xlfn.XMATCH(VALUE(C568),_xlpm.r),0)),IF(_xlpm.m=0,"",_xlpm.m+1))</f>
        <v/>
      </c>
      <c r="J568" s="137" t="inlineStr">
        <is>
          <t>NetSuite</t>
        </is>
      </c>
    </row>
    <row r="569">
      <c r="A569" s="5" t="inlineStr">
        <is>
          <t>B25 STETSON.MX</t>
        </is>
      </c>
      <c r="B569" s="5">
        <f>IF($I2="","",INDEX(Productos!$A:$A,$I2))</f>
        <v/>
      </c>
      <c r="C569" s="134" t="inlineStr">
        <is>
          <t>ST-VR-S-004-FW25-HO-XL</t>
        </is>
      </c>
      <c r="D569" s="5">
        <f>IF($I2="","",INDEX(Productos!$B:$B,$I2))</f>
        <v/>
      </c>
      <c r="E569" s="5">
        <f>IF($I2="","",INDEX(Productos!$H:$H,$I2))</f>
        <v/>
      </c>
      <c r="F569" s="5">
        <f>IF($I2="","",INDEX(Productos!$I:$I,$I2))</f>
        <v/>
      </c>
      <c r="G569" s="135" t="n">
        <v>1</v>
      </c>
      <c r="H569" s="5">
        <f>IF($I2="","",INDEX(Productos!$AG:$AG,$I2))</f>
        <v/>
      </c>
      <c r="I569" s="136">
        <f>LET(_xlpm.r,Productos!$E$2:$E$2509,_xlpm.m,IFERROR(_xlfn.XMATCH(C569,_xlpm.r),IFERROR(_xlfn.XMATCH(VALUE(C569),_xlpm.r),0)),IF(_xlpm.m=0,"",_xlpm.m+1))</f>
        <v/>
      </c>
      <c r="J569" s="137" t="inlineStr">
        <is>
          <t>NetSuite</t>
        </is>
      </c>
    </row>
    <row r="570">
      <c r="A570" s="5" t="inlineStr">
        <is>
          <t>B25 STETSON.MX</t>
        </is>
      </c>
      <c r="B570" s="5">
        <f>IF($I2="","",INDEX(Productos!$A:$A,$I2))</f>
        <v/>
      </c>
      <c r="C570" s="134" t="inlineStr">
        <is>
          <t>ST-VR-SD-001-FW25-BM-2XL</t>
        </is>
      </c>
      <c r="D570" s="5">
        <f>IF($I2="","",INDEX(Productos!$B:$B,$I2))</f>
        <v/>
      </c>
      <c r="E570" s="5">
        <f>IF($I2="","",INDEX(Productos!$H:$H,$I2))</f>
        <v/>
      </c>
      <c r="F570" s="5">
        <f>IF($I2="","",INDEX(Productos!$I:$I,$I2))</f>
        <v/>
      </c>
      <c r="G570" s="135" t="n">
        <v>1</v>
      </c>
      <c r="H570" s="5">
        <f>IF($I2="","",INDEX(Productos!$AG:$AG,$I2))</f>
        <v/>
      </c>
      <c r="I570" s="136">
        <f>LET(_xlpm.r,Productos!$E$2:$E$2509,_xlpm.m,IFERROR(_xlfn.XMATCH(C570,_xlpm.r),IFERROR(_xlfn.XMATCH(VALUE(C570),_xlpm.r),0)),IF(_xlpm.m=0,"",_xlpm.m+1))</f>
        <v/>
      </c>
      <c r="J570" s="137" t="inlineStr">
        <is>
          <t>NetSuite</t>
        </is>
      </c>
    </row>
    <row r="571">
      <c r="A571" s="5" t="inlineStr">
        <is>
          <t>B25 STETSON.MX</t>
        </is>
      </c>
      <c r="B571" s="5">
        <f>IF($I2="","",INDEX(Productos!$A:$A,$I2))</f>
        <v/>
      </c>
      <c r="C571" s="134" t="inlineStr">
        <is>
          <t>ST-VR-SD-001-FW25-BM-L</t>
        </is>
      </c>
      <c r="D571" s="5">
        <f>IF($I2="","",INDEX(Productos!$B:$B,$I2))</f>
        <v/>
      </c>
      <c r="E571" s="5">
        <f>IF($I2="","",INDEX(Productos!$H:$H,$I2))</f>
        <v/>
      </c>
      <c r="F571" s="5">
        <f>IF($I2="","",INDEX(Productos!$I:$I,$I2))</f>
        <v/>
      </c>
      <c r="G571" s="135" t="n">
        <v>6</v>
      </c>
      <c r="H571" s="5">
        <f>IF($I2="","",INDEX(Productos!$AG:$AG,$I2))</f>
        <v/>
      </c>
      <c r="I571" s="136">
        <f>LET(_xlpm.r,Productos!$E$2:$E$2509,_xlpm.m,IFERROR(_xlfn.XMATCH(C571,_xlpm.r),IFERROR(_xlfn.XMATCH(VALUE(C571),_xlpm.r),0)),IF(_xlpm.m=0,"",_xlpm.m+1))</f>
        <v/>
      </c>
      <c r="J571" s="137" t="inlineStr">
        <is>
          <t>NetSuite</t>
        </is>
      </c>
    </row>
    <row r="572">
      <c r="A572" s="5" t="inlineStr">
        <is>
          <t>B25 STETSON.MX</t>
        </is>
      </c>
      <c r="B572" s="5">
        <f>IF($I2="","",INDEX(Productos!$A:$A,$I2))</f>
        <v/>
      </c>
      <c r="C572" s="134" t="inlineStr">
        <is>
          <t>ST-VR-SD-001-FW25-BM-M</t>
        </is>
      </c>
      <c r="D572" s="5">
        <f>IF($I2="","",INDEX(Productos!$B:$B,$I2))</f>
        <v/>
      </c>
      <c r="E572" s="5">
        <f>IF($I2="","",INDEX(Productos!$H:$H,$I2))</f>
        <v/>
      </c>
      <c r="F572" s="5">
        <f>IF($I2="","",INDEX(Productos!$I:$I,$I2))</f>
        <v/>
      </c>
      <c r="G572" s="135" t="n">
        <v>5</v>
      </c>
      <c r="H572" s="5">
        <f>IF($I2="","",INDEX(Productos!$AG:$AG,$I2))</f>
        <v/>
      </c>
      <c r="I572" s="136">
        <f>LET(_xlpm.r,Productos!$E$2:$E$2509,_xlpm.m,IFERROR(_xlfn.XMATCH(C572,_xlpm.r),IFERROR(_xlfn.XMATCH(VALUE(C572),_xlpm.r),0)),IF(_xlpm.m=0,"",_xlpm.m+1))</f>
        <v/>
      </c>
      <c r="J572" s="137" t="inlineStr">
        <is>
          <t>NetSuite</t>
        </is>
      </c>
    </row>
    <row r="573">
      <c r="A573" s="5" t="inlineStr">
        <is>
          <t>B25 STETSON.MX</t>
        </is>
      </c>
      <c r="B573" s="5">
        <f>IF($I2="","",INDEX(Productos!$A:$A,$I2))</f>
        <v/>
      </c>
      <c r="C573" s="134" t="inlineStr">
        <is>
          <t>ST-VR-SD-001-FW25-BM-S</t>
        </is>
      </c>
      <c r="D573" s="5">
        <f>IF($I2="","",INDEX(Productos!$B:$B,$I2))</f>
        <v/>
      </c>
      <c r="E573" s="5">
        <f>IF($I2="","",INDEX(Productos!$H:$H,$I2))</f>
        <v/>
      </c>
      <c r="F573" s="5">
        <f>IF($I2="","",INDEX(Productos!$I:$I,$I2))</f>
        <v/>
      </c>
      <c r="G573" s="135" t="n">
        <v>4</v>
      </c>
      <c r="H573" s="5">
        <f>IF($I2="","",INDEX(Productos!$AG:$AG,$I2))</f>
        <v/>
      </c>
      <c r="I573" s="136">
        <f>LET(_xlpm.r,Productos!$E$2:$E$2509,_xlpm.m,IFERROR(_xlfn.XMATCH(C573,_xlpm.r),IFERROR(_xlfn.XMATCH(VALUE(C573),_xlpm.r),0)),IF(_xlpm.m=0,"",_xlpm.m+1))</f>
        <v/>
      </c>
      <c r="J573" s="137" t="inlineStr">
        <is>
          <t>NetSuite</t>
        </is>
      </c>
    </row>
    <row r="574">
      <c r="A574" s="5" t="inlineStr">
        <is>
          <t>B25 STETSON.MX</t>
        </is>
      </c>
      <c r="B574" s="5">
        <f>IF($I2="","",INDEX(Productos!$A:$A,$I2))</f>
        <v/>
      </c>
      <c r="C574" s="134" t="inlineStr">
        <is>
          <t>STS01</t>
        </is>
      </c>
      <c r="D574" s="5">
        <f>IF($I2="","",INDEX(Productos!$B:$B,$I2))</f>
        <v/>
      </c>
      <c r="E574" s="5">
        <f>IF($I2="","",INDEX(Productos!$H:$H,$I2))</f>
        <v/>
      </c>
      <c r="F574" s="5">
        <f>IF($I2="","",INDEX(Productos!$I:$I,$I2))</f>
        <v/>
      </c>
      <c r="G574" s="135" t="n">
        <v>2</v>
      </c>
      <c r="H574" s="5">
        <f>IF($I2="","",INDEX(Productos!$AG:$AG,$I2))</f>
        <v/>
      </c>
      <c r="I574" s="136">
        <f>LET(_xlpm.r,Productos!$E$2:$E$2509,_xlpm.m,IFERROR(_xlfn.XMATCH(C574,_xlpm.r),IFERROR(_xlfn.XMATCH(VALUE(C574),_xlpm.r),0)),IF(_xlpm.m=0,"",_xlpm.m+1))</f>
        <v/>
      </c>
      <c r="J574" s="137" t="inlineStr">
        <is>
          <t>NetSuite</t>
        </is>
      </c>
    </row>
    <row r="575">
      <c r="A575" s="5" t="inlineStr">
        <is>
          <t>B25 STETSON.MX</t>
        </is>
      </c>
      <c r="B575" s="5">
        <f>IF($I2="","",INDEX(Productos!$A:$A,$I2))</f>
        <v/>
      </c>
      <c r="C575" s="134" t="inlineStr">
        <is>
          <t>STS03</t>
        </is>
      </c>
      <c r="D575" s="5">
        <f>IF($I2="","",INDEX(Productos!$B:$B,$I2))</f>
        <v/>
      </c>
      <c r="E575" s="5">
        <f>IF($I2="","",INDEX(Productos!$H:$H,$I2))</f>
        <v/>
      </c>
      <c r="F575" s="5">
        <f>IF($I2="","",INDEX(Productos!$I:$I,$I2))</f>
        <v/>
      </c>
      <c r="G575" s="135" t="n">
        <v>7</v>
      </c>
      <c r="H575" s="5">
        <f>IF($I2="","",INDEX(Productos!$AG:$AG,$I2))</f>
        <v/>
      </c>
      <c r="I575" s="136">
        <f>LET(_xlpm.r,Productos!$E$2:$E$2509,_xlpm.m,IFERROR(_xlfn.XMATCH(C575,_xlpm.r),IFERROR(_xlfn.XMATCH(VALUE(C575),_xlpm.r),0)),IF(_xlpm.m=0,"",_xlpm.m+1))</f>
        <v/>
      </c>
      <c r="J575" s="137" t="inlineStr">
        <is>
          <t>NetSuite</t>
        </is>
      </c>
    </row>
    <row r="576">
      <c r="A576" s="5" t="inlineStr">
        <is>
          <t>B25 STETSON.MX</t>
        </is>
      </c>
      <c r="B576" s="5">
        <f>IF($I2="","",INDEX(Productos!$A:$A,$I2))</f>
        <v/>
      </c>
      <c r="C576" s="134" t="inlineStr">
        <is>
          <t>STS04</t>
        </is>
      </c>
      <c r="D576" s="5">
        <f>IF($I2="","",INDEX(Productos!$B:$B,$I2))</f>
        <v/>
      </c>
      <c r="E576" s="5">
        <f>IF($I2="","",INDEX(Productos!$H:$H,$I2))</f>
        <v/>
      </c>
      <c r="F576" s="5">
        <f>IF($I2="","",INDEX(Productos!$I:$I,$I2))</f>
        <v/>
      </c>
      <c r="G576" s="135" t="n">
        <v>3</v>
      </c>
      <c r="H576" s="5">
        <f>IF($I2="","",INDEX(Productos!$AG:$AG,$I2))</f>
        <v/>
      </c>
      <c r="I576" s="136">
        <f>LET(_xlpm.r,Productos!$E$2:$E$2509,_xlpm.m,IFERROR(_xlfn.XMATCH(C576,_xlpm.r),IFERROR(_xlfn.XMATCH(VALUE(C576),_xlpm.r),0)),IF(_xlpm.m=0,"",_xlpm.m+1))</f>
        <v/>
      </c>
      <c r="J576" s="137" t="inlineStr">
        <is>
          <t>NetSuite</t>
        </is>
      </c>
    </row>
    <row r="577">
      <c r="A577" s="5" t="inlineStr">
        <is>
          <t>B25 STETSON.MX</t>
        </is>
      </c>
      <c r="B577" s="5">
        <f>IF($I2="","",INDEX(Productos!$A:$A,$I2))</f>
        <v/>
      </c>
      <c r="C577" s="134" t="inlineStr">
        <is>
          <t>STS05</t>
        </is>
      </c>
      <c r="D577" s="5">
        <f>IF($I2="","",INDEX(Productos!$B:$B,$I2))</f>
        <v/>
      </c>
      <c r="E577" s="5">
        <f>IF($I2="","",INDEX(Productos!$H:$H,$I2))</f>
        <v/>
      </c>
      <c r="F577" s="5">
        <f>IF($I2="","",INDEX(Productos!$I:$I,$I2))</f>
        <v/>
      </c>
      <c r="G577" s="135" t="n">
        <v>11</v>
      </c>
      <c r="H577" s="5">
        <f>IF($I2="","",INDEX(Productos!$AG:$AG,$I2))</f>
        <v/>
      </c>
      <c r="I577" s="136">
        <f>LET(_xlpm.r,Productos!$E$2:$E$2509,_xlpm.m,IFERROR(_xlfn.XMATCH(C577,_xlpm.r),IFERROR(_xlfn.XMATCH(VALUE(C577),_xlpm.r),0)),IF(_xlpm.m=0,"",_xlpm.m+1))</f>
        <v/>
      </c>
      <c r="J577" s="137" t="inlineStr">
        <is>
          <t>NetSuite</t>
        </is>
      </c>
    </row>
    <row r="578">
      <c r="A578" s="5" t="inlineStr">
        <is>
          <t>B25 STETSON.MX</t>
        </is>
      </c>
      <c r="B578" s="5">
        <f>IF($I2="","",INDEX(Productos!$A:$A,$I2))</f>
        <v/>
      </c>
      <c r="C578" s="134" t="inlineStr">
        <is>
          <t>STS06</t>
        </is>
      </c>
      <c r="D578" s="5">
        <f>IF($I2="","",INDEX(Productos!$B:$B,$I2))</f>
        <v/>
      </c>
      <c r="E578" s="5">
        <f>IF($I2="","",INDEX(Productos!$H:$H,$I2))</f>
        <v/>
      </c>
      <c r="F578" s="5">
        <f>IF($I2="","",INDEX(Productos!$I:$I,$I2))</f>
        <v/>
      </c>
      <c r="G578" s="135" t="n">
        <v>1</v>
      </c>
      <c r="H578" s="5">
        <f>IF($I2="","",INDEX(Productos!$AG:$AG,$I2))</f>
        <v/>
      </c>
      <c r="I578" s="136">
        <f>LET(_xlpm.r,Productos!$E$2:$E$2509,_xlpm.m,IFERROR(_xlfn.XMATCH(C578,_xlpm.r),IFERROR(_xlfn.XMATCH(VALUE(C578),_xlpm.r),0)),IF(_xlpm.m=0,"",_xlpm.m+1))</f>
        <v/>
      </c>
      <c r="J578" s="137" t="inlineStr">
        <is>
          <t>NetSuite</t>
        </is>
      </c>
    </row>
    <row r="579">
      <c r="A579" s="5" t="inlineStr">
        <is>
          <t>B25 STETSON.MX</t>
        </is>
      </c>
      <c r="B579" s="5">
        <f>IF($I2="","",INDEX(Productos!$A:$A,$I2))</f>
        <v/>
      </c>
      <c r="C579" s="134" t="inlineStr">
        <is>
          <t>STS19</t>
        </is>
      </c>
      <c r="D579" s="5">
        <f>IF($I2="","",INDEX(Productos!$B:$B,$I2))</f>
        <v/>
      </c>
      <c r="E579" s="5">
        <f>IF($I2="","",INDEX(Productos!$H:$H,$I2))</f>
        <v/>
      </c>
      <c r="F579" s="5">
        <f>IF($I2="","",INDEX(Productos!$I:$I,$I2))</f>
        <v/>
      </c>
      <c r="G579" s="135" t="n">
        <v>3</v>
      </c>
      <c r="H579" s="5">
        <f>IF($I2="","",INDEX(Productos!$AG:$AG,$I2))</f>
        <v/>
      </c>
      <c r="I579" s="136">
        <f>LET(_xlpm.r,Productos!$E$2:$E$2509,_xlpm.m,IFERROR(_xlfn.XMATCH(C579,_xlpm.r),IFERROR(_xlfn.XMATCH(VALUE(C579),_xlpm.r),0)),IF(_xlpm.m=0,"",_xlpm.m+1))</f>
        <v/>
      </c>
      <c r="J579" s="137" t="inlineStr">
        <is>
          <t>NetSuite</t>
        </is>
      </c>
    </row>
    <row r="580">
      <c r="A580" s="5" t="inlineStr">
        <is>
          <t>B25 STETSON.MX</t>
        </is>
      </c>
      <c r="B580" s="5">
        <f>IF($I2="","",INDEX(Productos!$A:$A,$I2))</f>
        <v/>
      </c>
      <c r="C580" s="134" t="inlineStr">
        <is>
          <t>STS23</t>
        </is>
      </c>
      <c r="D580" s="5">
        <f>IF($I2="","",INDEX(Productos!$B:$B,$I2))</f>
        <v/>
      </c>
      <c r="E580" s="5">
        <f>IF($I2="","",INDEX(Productos!$H:$H,$I2))</f>
        <v/>
      </c>
      <c r="F580" s="5">
        <f>IF($I2="","",INDEX(Productos!$I:$I,$I2))</f>
        <v/>
      </c>
      <c r="G580" s="135" t="n">
        <v>3</v>
      </c>
      <c r="H580" s="5">
        <f>IF($I2="","",INDEX(Productos!$AG:$AG,$I2))</f>
        <v/>
      </c>
      <c r="I580" s="136">
        <f>LET(_xlpm.r,Productos!$E$2:$E$2509,_xlpm.m,IFERROR(_xlfn.XMATCH(C580,_xlpm.r),IFERROR(_xlfn.XMATCH(VALUE(C580),_xlpm.r),0)),IF(_xlpm.m=0,"",_xlpm.m+1))</f>
        <v/>
      </c>
      <c r="J580" s="137" t="inlineStr">
        <is>
          <t>NetSuite</t>
        </is>
      </c>
    </row>
    <row r="581">
      <c r="A581" s="5" t="inlineStr">
        <is>
          <t>B25 STETSON.MX</t>
        </is>
      </c>
      <c r="B581" s="5">
        <f>IF($I2="","",INDEX(Productos!$A:$A,$I2))</f>
        <v/>
      </c>
      <c r="C581" s="134" t="inlineStr">
        <is>
          <t>STS24</t>
        </is>
      </c>
      <c r="D581" s="5">
        <f>IF($I2="","",INDEX(Productos!$B:$B,$I2))</f>
        <v/>
      </c>
      <c r="E581" s="5">
        <f>IF($I2="","",INDEX(Productos!$H:$H,$I2))</f>
        <v/>
      </c>
      <c r="F581" s="5">
        <f>IF($I2="","",INDEX(Productos!$I:$I,$I2))</f>
        <v/>
      </c>
      <c r="G581" s="135" t="n">
        <v>3</v>
      </c>
      <c r="H581" s="5">
        <f>IF($I2="","",INDEX(Productos!$AG:$AG,$I2))</f>
        <v/>
      </c>
      <c r="I581" s="136">
        <f>LET(_xlpm.r,Productos!$E$2:$E$2509,_xlpm.m,IFERROR(_xlfn.XMATCH(C581,_xlpm.r),IFERROR(_xlfn.XMATCH(VALUE(C581),_xlpm.r),0)),IF(_xlpm.m=0,"",_xlpm.m+1))</f>
        <v/>
      </c>
      <c r="J581" s="137" t="inlineStr">
        <is>
          <t>NetSuite</t>
        </is>
      </c>
    </row>
    <row r="582">
      <c r="A582" s="5" t="inlineStr">
        <is>
          <t>B25 STETSON.MX</t>
        </is>
      </c>
      <c r="B582" s="5">
        <f>IF($I2="","",INDEX(Productos!$A:$A,$I2))</f>
        <v/>
      </c>
      <c r="C582" s="134" t="inlineStr">
        <is>
          <t>STS30</t>
        </is>
      </c>
      <c r="D582" s="5">
        <f>IF($I2="","",INDEX(Productos!$B:$B,$I2))</f>
        <v/>
      </c>
      <c r="E582" s="5">
        <f>IF($I2="","",INDEX(Productos!$H:$H,$I2))</f>
        <v/>
      </c>
      <c r="F582" s="5">
        <f>IF($I2="","",INDEX(Productos!$I:$I,$I2))</f>
        <v/>
      </c>
      <c r="G582" s="135" t="n">
        <v>2</v>
      </c>
      <c r="H582" s="5">
        <f>IF($I2="","",INDEX(Productos!$AG:$AG,$I2))</f>
        <v/>
      </c>
      <c r="I582" s="136">
        <f>LET(_xlpm.r,Productos!$E$2:$E$2509,_xlpm.m,IFERROR(_xlfn.XMATCH(C582,_xlpm.r),IFERROR(_xlfn.XMATCH(VALUE(C582),_xlpm.r),0)),IF(_xlpm.m=0,"",_xlpm.m+1))</f>
        <v/>
      </c>
      <c r="J582" s="137" t="inlineStr">
        <is>
          <t>NetSuite</t>
        </is>
      </c>
    </row>
    <row r="583">
      <c r="A583" s="5" t="inlineStr">
        <is>
          <t>B25 STETSON.MX</t>
        </is>
      </c>
      <c r="B583" s="5">
        <f>IF($I2="","",INDEX(Productos!$A:$A,$I2))</f>
        <v/>
      </c>
      <c r="C583" s="134" t="inlineStr">
        <is>
          <t>STS31</t>
        </is>
      </c>
      <c r="D583" s="5">
        <f>IF($I2="","",INDEX(Productos!$B:$B,$I2))</f>
        <v/>
      </c>
      <c r="E583" s="5">
        <f>IF($I2="","",INDEX(Productos!$H:$H,$I2))</f>
        <v/>
      </c>
      <c r="F583" s="5">
        <f>IF($I2="","",INDEX(Productos!$I:$I,$I2))</f>
        <v/>
      </c>
      <c r="G583" s="135" t="n">
        <v>3</v>
      </c>
      <c r="H583" s="5">
        <f>IF($I2="","",INDEX(Productos!$AG:$AG,$I2))</f>
        <v/>
      </c>
      <c r="I583" s="136">
        <f>LET(_xlpm.r,Productos!$E$2:$E$2509,_xlpm.m,IFERROR(_xlfn.XMATCH(C583,_xlpm.r),IFERROR(_xlfn.XMATCH(VALUE(C583),_xlpm.r),0)),IF(_xlpm.m=0,"",_xlpm.m+1))</f>
        <v/>
      </c>
      <c r="J583" s="137" t="inlineStr">
        <is>
          <t>NetSuite</t>
        </is>
      </c>
    </row>
    <row r="584">
      <c r="A584" s="5" t="inlineStr">
        <is>
          <t>B25 STETSON.MX</t>
        </is>
      </c>
      <c r="B584" s="5">
        <f>IF($I2="","",INDEX(Productos!$A:$A,$I2))</f>
        <v/>
      </c>
      <c r="C584" s="134" t="inlineStr">
        <is>
          <t>STS45</t>
        </is>
      </c>
      <c r="D584" s="5">
        <f>IF($I2="","",INDEX(Productos!$B:$B,$I2))</f>
        <v/>
      </c>
      <c r="E584" s="5">
        <f>IF($I2="","",INDEX(Productos!$H:$H,$I2))</f>
        <v/>
      </c>
      <c r="F584" s="5">
        <f>IF($I2="","",INDEX(Productos!$I:$I,$I2))</f>
        <v/>
      </c>
      <c r="G584" s="135" t="n">
        <v>3</v>
      </c>
      <c r="H584" s="5">
        <f>IF($I2="","",INDEX(Productos!$AG:$AG,$I2))</f>
        <v/>
      </c>
      <c r="I584" s="136">
        <f>LET(_xlpm.r,Productos!$E$2:$E$2509,_xlpm.m,IFERROR(_xlfn.XMATCH(C584,_xlpm.r),IFERROR(_xlfn.XMATCH(VALUE(C584),_xlpm.r),0)),IF(_xlpm.m=0,"",_xlpm.m+1))</f>
        <v/>
      </c>
      <c r="J584" s="137" t="inlineStr">
        <is>
          <t>NetSuite</t>
        </is>
      </c>
    </row>
    <row r="585">
      <c r="A585" s="5" t="inlineStr">
        <is>
          <t>B25 STETSON.MX</t>
        </is>
      </c>
      <c r="B585" s="5">
        <f>IF($I2="","",INDEX(Productos!$A:$A,$I2))</f>
        <v/>
      </c>
      <c r="C585" s="134" t="inlineStr">
        <is>
          <t>STS51</t>
        </is>
      </c>
      <c r="D585" s="5">
        <f>IF($I2="","",INDEX(Productos!$B:$B,$I2))</f>
        <v/>
      </c>
      <c r="E585" s="5">
        <f>IF($I2="","",INDEX(Productos!$H:$H,$I2))</f>
        <v/>
      </c>
      <c r="F585" s="5">
        <f>IF($I2="","",INDEX(Productos!$I:$I,$I2))</f>
        <v/>
      </c>
      <c r="G585" s="135" t="n">
        <v>1</v>
      </c>
      <c r="H585" s="5">
        <f>IF($I2="","",INDEX(Productos!$AG:$AG,$I2))</f>
        <v/>
      </c>
      <c r="I585" s="136">
        <f>LET(_xlpm.r,Productos!$E$2:$E$2509,_xlpm.m,IFERROR(_xlfn.XMATCH(C585,_xlpm.r),IFERROR(_xlfn.XMATCH(VALUE(C585),_xlpm.r),0)),IF(_xlpm.m=0,"",_xlpm.m+1))</f>
        <v/>
      </c>
      <c r="J585" s="137" t="inlineStr">
        <is>
          <t>NetSuite</t>
        </is>
      </c>
    </row>
    <row r="586">
      <c r="A586" s="5" t="inlineStr">
        <is>
          <t>B25 STETSON.MX</t>
        </is>
      </c>
      <c r="B586" s="5">
        <f>IF($I2="","",INDEX(Productos!$A:$A,$I2))</f>
        <v/>
      </c>
      <c r="C586" s="134" t="inlineStr">
        <is>
          <t>STS59</t>
        </is>
      </c>
      <c r="D586" s="5">
        <f>IF($I2="","",INDEX(Productos!$B:$B,$I2))</f>
        <v/>
      </c>
      <c r="E586" s="5">
        <f>IF($I2="","",INDEX(Productos!$H:$H,$I2))</f>
        <v/>
      </c>
      <c r="F586" s="5">
        <f>IF($I2="","",INDEX(Productos!$I:$I,$I2))</f>
        <v/>
      </c>
      <c r="G586" s="135" t="n">
        <v>1</v>
      </c>
      <c r="H586" s="5">
        <f>IF($I2="","",INDEX(Productos!$AG:$AG,$I2))</f>
        <v/>
      </c>
      <c r="I586" s="136">
        <f>LET(_xlpm.r,Productos!$E$2:$E$2509,_xlpm.m,IFERROR(_xlfn.XMATCH(C586,_xlpm.r),IFERROR(_xlfn.XMATCH(VALUE(C586),_xlpm.r),0)),IF(_xlpm.m=0,"",_xlpm.m+1))</f>
        <v/>
      </c>
      <c r="J586" s="137" t="inlineStr">
        <is>
          <t>NetSuite</t>
        </is>
      </c>
    </row>
    <row r="587">
      <c r="A587" s="5" t="inlineStr">
        <is>
          <t>B25 STETSON.MX</t>
        </is>
      </c>
      <c r="B587" s="5">
        <f>IF($I2="","",INDEX(Productos!$A:$A,$I2))</f>
        <v/>
      </c>
      <c r="C587" s="134" t="inlineStr">
        <is>
          <t>SWBRNM-72420767</t>
        </is>
      </c>
      <c r="D587" s="5">
        <f>IF($I2="","",INDEX(Productos!$B:$B,$I2))</f>
        <v/>
      </c>
      <c r="E587" s="5">
        <f>IF($I2="","",INDEX(Productos!$H:$H,$I2))</f>
        <v/>
      </c>
      <c r="F587" s="5">
        <f>IF($I2="","",INDEX(Productos!$I:$I,$I2))</f>
        <v/>
      </c>
      <c r="G587" s="135" t="n">
        <v>-1</v>
      </c>
      <c r="H587" s="5">
        <f>IF($I2="","",INDEX(Productos!$AG:$AG,$I2))</f>
        <v/>
      </c>
      <c r="I587" s="136">
        <f>LET(_xlpm.r,Productos!$E$2:$E$2509,_xlpm.m,IFERROR(_xlfn.XMATCH(C587,_xlpm.r),IFERROR(_xlfn.XMATCH(VALUE(C587),_xlpm.r),0)),IF(_xlpm.m=0,"",_xlpm.m+1))</f>
        <v/>
      </c>
      <c r="J587" s="137" t="inlineStr">
        <is>
          <t>NetSuite</t>
        </is>
      </c>
    </row>
    <row r="588">
      <c r="A588" s="5" t="inlineStr">
        <is>
          <t>B25 STETSON.MX</t>
        </is>
      </c>
      <c r="B588" s="5">
        <f>IF($I2="","",INDEX(Productos!$A:$A,$I2))</f>
        <v/>
      </c>
      <c r="C588" s="134" t="inlineStr">
        <is>
          <t>SWBRNM-72420770</t>
        </is>
      </c>
      <c r="D588" s="5">
        <f>IF($I2="","",INDEX(Productos!$B:$B,$I2))</f>
        <v/>
      </c>
      <c r="E588" s="5">
        <f>IF($I2="","",INDEX(Productos!$H:$H,$I2))</f>
        <v/>
      </c>
      <c r="F588" s="5">
        <f>IF($I2="","",INDEX(Productos!$I:$I,$I2))</f>
        <v/>
      </c>
      <c r="G588" s="135" t="n">
        <v>1</v>
      </c>
      <c r="H588" s="5">
        <f>IF($I2="","",INDEX(Productos!$AG:$AG,$I2))</f>
        <v/>
      </c>
      <c r="I588" s="136">
        <f>LET(_xlpm.r,Productos!$E$2:$E$2509,_xlpm.m,IFERROR(_xlfn.XMATCH(C588,_xlpm.r),IFERROR(_xlfn.XMATCH(VALUE(C588),_xlpm.r),0)),IF(_xlpm.m=0,"",_xlpm.m+1))</f>
        <v/>
      </c>
      <c r="J588" s="137" t="inlineStr">
        <is>
          <t>NetSuite</t>
        </is>
      </c>
    </row>
    <row r="589">
      <c r="A589" s="5" t="inlineStr">
        <is>
          <t>B25 STETSON.MX</t>
        </is>
      </c>
      <c r="B589" s="5">
        <f>IF($I2="","",INDEX(Productos!$A:$A,$I2))</f>
        <v/>
      </c>
      <c r="C589" s="134" t="inlineStr">
        <is>
          <t>SWBRNM-72420773</t>
        </is>
      </c>
      <c r="D589" s="5">
        <f>IF($I2="","",INDEX(Productos!$B:$B,$I2))</f>
        <v/>
      </c>
      <c r="E589" s="5">
        <f>IF($I2="","",INDEX(Productos!$H:$H,$I2))</f>
        <v/>
      </c>
      <c r="F589" s="5">
        <f>IF($I2="","",INDEX(Productos!$I:$I,$I2))</f>
        <v/>
      </c>
      <c r="G589" s="135" t="n">
        <v>6</v>
      </c>
      <c r="H589" s="5">
        <f>IF($I2="","",INDEX(Productos!$AG:$AG,$I2))</f>
        <v/>
      </c>
      <c r="I589" s="136">
        <f>LET(_xlpm.r,Productos!$E$2:$E$2509,_xlpm.m,IFERROR(_xlfn.XMATCH(C589,_xlpm.r),IFERROR(_xlfn.XMATCH(VALUE(C589),_xlpm.r),0)),IF(_xlpm.m=0,"",_xlpm.m+1))</f>
        <v/>
      </c>
      <c r="J589" s="137" t="inlineStr">
        <is>
          <t>NetSuite</t>
        </is>
      </c>
    </row>
    <row r="590">
      <c r="A590" s="5" t="inlineStr">
        <is>
          <t>B25 STETSON.MX</t>
        </is>
      </c>
      <c r="B590" s="5">
        <f>IF($I2="","",INDEX(Productos!$A:$A,$I2))</f>
        <v/>
      </c>
      <c r="C590" s="134" t="inlineStr">
        <is>
          <t>SWBRNM-75402267</t>
        </is>
      </c>
      <c r="D590" s="5">
        <f>IF($I2="","",INDEX(Productos!$B:$B,$I2))</f>
        <v/>
      </c>
      <c r="E590" s="5">
        <f>IF($I2="","",INDEX(Productos!$H:$H,$I2))</f>
        <v/>
      </c>
      <c r="F590" s="5">
        <f>IF($I2="","",INDEX(Productos!$I:$I,$I2))</f>
        <v/>
      </c>
      <c r="G590" s="135" t="n">
        <v>1</v>
      </c>
      <c r="H590" s="5">
        <f>IF($I2="","",INDEX(Productos!$AG:$AG,$I2))</f>
        <v/>
      </c>
      <c r="I590" s="136">
        <f>LET(_xlpm.r,Productos!$E$2:$E$2509,_xlpm.m,IFERROR(_xlfn.XMATCH(C590,_xlpm.r),IFERROR(_xlfn.XMATCH(VALUE(C590),_xlpm.r),0)),IF(_xlpm.m=0,"",_xlpm.m+1))</f>
        <v/>
      </c>
      <c r="J590" s="137" t="inlineStr">
        <is>
          <t>NetSuite</t>
        </is>
      </c>
    </row>
    <row r="591">
      <c r="A591" s="5" t="inlineStr">
        <is>
          <t>B25 STETSON.MX</t>
        </is>
      </c>
      <c r="B591" s="5">
        <f>IF($I2="","",INDEX(Productos!$A:$A,$I2))</f>
        <v/>
      </c>
      <c r="C591" s="134" t="inlineStr">
        <is>
          <t>SWBRNM-75402270</t>
        </is>
      </c>
      <c r="D591" s="5">
        <f>IF($I2="","",INDEX(Productos!$B:$B,$I2))</f>
        <v/>
      </c>
      <c r="E591" s="5">
        <f>IF($I2="","",INDEX(Productos!$H:$H,$I2))</f>
        <v/>
      </c>
      <c r="F591" s="5">
        <f>IF($I2="","",INDEX(Productos!$I:$I,$I2))</f>
        <v/>
      </c>
      <c r="G591" s="135" t="n">
        <v>1</v>
      </c>
      <c r="H591" s="5">
        <f>IF($I2="","",INDEX(Productos!$AG:$AG,$I2))</f>
        <v/>
      </c>
      <c r="I591" s="136">
        <f>LET(_xlpm.r,Productos!$E$2:$E$2509,_xlpm.m,IFERROR(_xlfn.XMATCH(C591,_xlpm.r),IFERROR(_xlfn.XMATCH(VALUE(C591),_xlpm.r),0)),IF(_xlpm.m=0,"",_xlpm.m+1))</f>
        <v/>
      </c>
      <c r="J591" s="137" t="inlineStr">
        <is>
          <t>NetSuite</t>
        </is>
      </c>
    </row>
    <row r="592">
      <c r="A592" s="5" t="inlineStr">
        <is>
          <t>B25 STETSON.MX</t>
        </is>
      </c>
      <c r="B592" s="5">
        <f>IF($I2="","",INDEX(Productos!$A:$A,$I2))</f>
        <v/>
      </c>
      <c r="C592" s="134" t="inlineStr">
        <is>
          <t>SWBRNM-75402271</t>
        </is>
      </c>
      <c r="D592" s="5">
        <f>IF($I2="","",INDEX(Productos!$B:$B,$I2))</f>
        <v/>
      </c>
      <c r="E592" s="5">
        <f>IF($I2="","",INDEX(Productos!$H:$H,$I2))</f>
        <v/>
      </c>
      <c r="F592" s="5">
        <f>IF($I2="","",INDEX(Productos!$I:$I,$I2))</f>
        <v/>
      </c>
      <c r="G592" s="135" t="n">
        <v>2</v>
      </c>
      <c r="H592" s="5">
        <f>IF($I2="","",INDEX(Productos!$AG:$AG,$I2))</f>
        <v/>
      </c>
      <c r="I592" s="136">
        <f>LET(_xlpm.r,Productos!$E$2:$E$2509,_xlpm.m,IFERROR(_xlfn.XMATCH(C592,_xlpm.r),IFERROR(_xlfn.XMATCH(VALUE(C592),_xlpm.r),0)),IF(_xlpm.m=0,"",_xlpm.m+1))</f>
        <v/>
      </c>
      <c r="J592" s="137" t="inlineStr">
        <is>
          <t>NetSuite</t>
        </is>
      </c>
    </row>
    <row r="593">
      <c r="A593" s="5" t="inlineStr">
        <is>
          <t>B25 STETSON.MX</t>
        </is>
      </c>
      <c r="B593" s="5">
        <f>IF($I2="","",INDEX(Productos!$A:$A,$I2))</f>
        <v/>
      </c>
      <c r="C593" s="134" t="inlineStr">
        <is>
          <t>SWBRNM-75402272</t>
        </is>
      </c>
      <c r="D593" s="5">
        <f>IF($I2="","",INDEX(Productos!$B:$B,$I2))</f>
        <v/>
      </c>
      <c r="E593" s="5">
        <f>IF($I2="","",INDEX(Productos!$H:$H,$I2))</f>
        <v/>
      </c>
      <c r="F593" s="5">
        <f>IF($I2="","",INDEX(Productos!$I:$I,$I2))</f>
        <v/>
      </c>
      <c r="G593" s="135" t="n">
        <v>4</v>
      </c>
      <c r="H593" s="5">
        <f>IF($I2="","",INDEX(Productos!$AG:$AG,$I2))</f>
        <v/>
      </c>
      <c r="I593" s="136">
        <f>LET(_xlpm.r,Productos!$E$2:$E$2509,_xlpm.m,IFERROR(_xlfn.XMATCH(C593,_xlpm.r),IFERROR(_xlfn.XMATCH(VALUE(C593),_xlpm.r),0)),IF(_xlpm.m=0,"",_xlpm.m+1))</f>
        <v/>
      </c>
      <c r="J593" s="137" t="inlineStr">
        <is>
          <t>NetSuite</t>
        </is>
      </c>
    </row>
    <row r="594">
      <c r="A594" s="5" t="inlineStr">
        <is>
          <t>B25 STETSON.MX</t>
        </is>
      </c>
      <c r="B594" s="5">
        <f>IF($I2="","",INDEX(Productos!$A:$A,$I2))</f>
        <v/>
      </c>
      <c r="C594" s="134" t="inlineStr">
        <is>
          <t>SWBRNM-75402273</t>
        </is>
      </c>
      <c r="D594" s="5">
        <f>IF($I2="","",INDEX(Productos!$B:$B,$I2))</f>
        <v/>
      </c>
      <c r="E594" s="5">
        <f>IF($I2="","",INDEX(Productos!$H:$H,$I2))</f>
        <v/>
      </c>
      <c r="F594" s="5">
        <f>IF($I2="","",INDEX(Productos!$I:$I,$I2))</f>
        <v/>
      </c>
      <c r="G594" s="135" t="n">
        <v>3</v>
      </c>
      <c r="H594" s="5">
        <f>IF($I2="","",INDEX(Productos!$AG:$AG,$I2))</f>
        <v/>
      </c>
      <c r="I594" s="136">
        <f>LET(_xlpm.r,Productos!$E$2:$E$2509,_xlpm.m,IFERROR(_xlfn.XMATCH(C594,_xlpm.r),IFERROR(_xlfn.XMATCH(VALUE(C594),_xlpm.r),0)),IF(_xlpm.m=0,"",_xlpm.m+1))</f>
        <v/>
      </c>
      <c r="J594" s="137" t="inlineStr">
        <is>
          <t>NetSuite</t>
        </is>
      </c>
    </row>
    <row r="595">
      <c r="A595" s="5" t="inlineStr">
        <is>
          <t>B25 STETSON.MX</t>
        </is>
      </c>
      <c r="B595" s="5">
        <f>IF($I2="","",INDEX(Productos!$A:$A,$I2))</f>
        <v/>
      </c>
      <c r="C595" s="134" t="inlineStr">
        <is>
          <t>SWMARS-6240D473</t>
        </is>
      </c>
      <c r="D595" s="5">
        <f>IF($I2="","",INDEX(Productos!$B:$B,$I2))</f>
        <v/>
      </c>
      <c r="E595" s="5">
        <f>IF($I2="","",INDEX(Productos!$H:$H,$I2))</f>
        <v/>
      </c>
      <c r="F595" s="5">
        <f>IF($I2="","",INDEX(Productos!$I:$I,$I2))</f>
        <v/>
      </c>
      <c r="G595" s="135" t="n">
        <v>2</v>
      </c>
      <c r="H595" s="5">
        <f>IF($I2="","",INDEX(Productos!$AG:$AG,$I2))</f>
        <v/>
      </c>
      <c r="I595" s="136">
        <f>LET(_xlpm.r,Productos!$E$2:$E$2509,_xlpm.m,IFERROR(_xlfn.XMATCH(C595,_xlpm.r),IFERROR(_xlfn.XMATCH(VALUE(C595),_xlpm.r),0)),IF(_xlpm.m=0,"",_xlpm.m+1))</f>
        <v/>
      </c>
      <c r="J595" s="137" t="inlineStr">
        <is>
          <t>NetSuite</t>
        </is>
      </c>
    </row>
    <row r="596">
      <c r="A596" s="5" t="inlineStr">
        <is>
          <t>B25 STETSON.MX</t>
        </is>
      </c>
      <c r="B596" s="5">
        <f>IF($I2="","",INDEX(Productos!$A:$A,$I2))</f>
        <v/>
      </c>
      <c r="C596" s="134" t="inlineStr">
        <is>
          <t>TSATCM-104061L0</t>
        </is>
      </c>
      <c r="D596" s="5">
        <f>IF($I2="","",INDEX(Productos!$B:$B,$I2))</f>
        <v/>
      </c>
      <c r="E596" s="5">
        <f>IF($I2="","",INDEX(Productos!$H:$H,$I2))</f>
        <v/>
      </c>
      <c r="F596" s="5">
        <f>IF($I2="","",INDEX(Productos!$I:$I,$I2))</f>
        <v/>
      </c>
      <c r="G596" s="135" t="n">
        <v>1</v>
      </c>
      <c r="H596" s="5">
        <f>IF($I2="","",INDEX(Productos!$AG:$AG,$I2))</f>
        <v/>
      </c>
      <c r="I596" s="136">
        <f>LET(_xlpm.r,Productos!$E$2:$E$2509,_xlpm.m,IFERROR(_xlfn.XMATCH(C596,_xlpm.r),IFERROR(_xlfn.XMATCH(VALUE(C596),_xlpm.r),0)),IF(_xlpm.m=0,"",_xlpm.m+1))</f>
        <v/>
      </c>
      <c r="J596" s="137" t="inlineStr">
        <is>
          <t>NetSuite</t>
        </is>
      </c>
    </row>
    <row r="597">
      <c r="A597" s="5" t="inlineStr">
        <is>
          <t>B25 STETSON.MX</t>
        </is>
      </c>
      <c r="B597" s="5">
        <f>IF($I2="","",INDEX(Productos!$A:$A,$I2))</f>
        <v/>
      </c>
      <c r="C597" s="134" t="inlineStr">
        <is>
          <t>TSATCM-104061M0</t>
        </is>
      </c>
      <c r="D597" s="5">
        <f>IF($I2="","",INDEX(Productos!$B:$B,$I2))</f>
        <v/>
      </c>
      <c r="E597" s="5">
        <f>IF($I2="","",INDEX(Productos!$H:$H,$I2))</f>
        <v/>
      </c>
      <c r="F597" s="5">
        <f>IF($I2="","",INDEX(Productos!$I:$I,$I2))</f>
        <v/>
      </c>
      <c r="G597" s="135" t="n">
        <v>1</v>
      </c>
      <c r="H597" s="5">
        <f>IF($I2="","",INDEX(Productos!$AG:$AG,$I2))</f>
        <v/>
      </c>
      <c r="I597" s="136">
        <f>LET(_xlpm.r,Productos!$E$2:$E$2509,_xlpm.m,IFERROR(_xlfn.XMATCH(C597,_xlpm.r),IFERROR(_xlfn.XMATCH(VALUE(C597),_xlpm.r),0)),IF(_xlpm.m=0,"",_xlpm.m+1))</f>
        <v/>
      </c>
      <c r="J597" s="137" t="inlineStr">
        <is>
          <t>NetSuite</t>
        </is>
      </c>
    </row>
    <row r="598">
      <c r="A598" s="5" t="inlineStr">
        <is>
          <t>B25 STETSON.MX</t>
        </is>
      </c>
      <c r="B598" s="5">
        <f>IF($I2="","",INDEX(Productos!$A:$A,$I2))</f>
        <v/>
      </c>
      <c r="C598" s="134" t="inlineStr">
        <is>
          <t>TSATCM-104081L0</t>
        </is>
      </c>
      <c r="D598" s="5">
        <f>IF($I2="","",INDEX(Productos!$B:$B,$I2))</f>
        <v/>
      </c>
      <c r="E598" s="5">
        <f>IF($I2="","",INDEX(Productos!$H:$H,$I2))</f>
        <v/>
      </c>
      <c r="F598" s="5">
        <f>IF($I2="","",INDEX(Productos!$I:$I,$I2))</f>
        <v/>
      </c>
      <c r="G598" s="135" t="n">
        <v>1</v>
      </c>
      <c r="H598" s="5">
        <f>IF($I2="","",INDEX(Productos!$AG:$AG,$I2))</f>
        <v/>
      </c>
      <c r="I598" s="136">
        <f>LET(_xlpm.r,Productos!$E$2:$E$2509,_xlpm.m,IFERROR(_xlfn.XMATCH(C598,_xlpm.r),IFERROR(_xlfn.XMATCH(VALUE(C598),_xlpm.r),0)),IF(_xlpm.m=0,"",_xlpm.m+1))</f>
        <v/>
      </c>
      <c r="J598" s="137" t="inlineStr">
        <is>
          <t>NetSuite</t>
        </is>
      </c>
    </row>
    <row r="599">
      <c r="A599" s="5" t="inlineStr">
        <is>
          <t>B25 STETSON.MX</t>
        </is>
      </c>
      <c r="B599" s="5">
        <f>IF($I2="","",INDEX(Productos!$A:$A,$I2))</f>
        <v/>
      </c>
      <c r="C599" s="134" t="inlineStr">
        <is>
          <t>TWDYLN-143407M0</t>
        </is>
      </c>
      <c r="D599" s="5">
        <f>IF($I2="","",INDEX(Productos!$B:$B,$I2))</f>
        <v/>
      </c>
      <c r="E599" s="5">
        <f>IF($I2="","",INDEX(Productos!$H:$H,$I2))</f>
        <v/>
      </c>
      <c r="F599" s="5">
        <f>IF($I2="","",INDEX(Productos!$I:$I,$I2))</f>
        <v/>
      </c>
      <c r="G599" s="135" t="n">
        <v>1</v>
      </c>
      <c r="H599" s="5">
        <f>IF($I2="","",INDEX(Productos!$AG:$AG,$I2))</f>
        <v/>
      </c>
      <c r="I599" s="136">
        <f>LET(_xlpm.r,Productos!$E$2:$E$2509,_xlpm.m,IFERROR(_xlfn.XMATCH(C599,_xlpm.r),IFERROR(_xlfn.XMATCH(VALUE(C599),_xlpm.r),0)),IF(_xlpm.m=0,"",_xlpm.m+1))</f>
        <v/>
      </c>
      <c r="J599" s="137" t="inlineStr">
        <is>
          <t>NetSuite</t>
        </is>
      </c>
    </row>
    <row r="600">
      <c r="A600" s="5" t="inlineStr">
        <is>
          <t>B25 STETSON.MX</t>
        </is>
      </c>
      <c r="B600" s="5">
        <f>IF($I2="","",INDEX(Productos!$A:$A,$I2))</f>
        <v/>
      </c>
      <c r="C600" s="134" t="inlineStr">
        <is>
          <t>TWDYLN-143448M0</t>
        </is>
      </c>
      <c r="D600" s="5">
        <f>IF($I2="","",INDEX(Productos!$B:$B,$I2))</f>
        <v/>
      </c>
      <c r="E600" s="5">
        <f>IF($I2="","",INDEX(Productos!$H:$H,$I2))</f>
        <v/>
      </c>
      <c r="F600" s="5">
        <f>IF($I2="","",INDEX(Productos!$I:$I,$I2))</f>
        <v/>
      </c>
      <c r="G600" s="135" t="n">
        <v>1</v>
      </c>
      <c r="H600" s="5">
        <f>IF($I2="","",INDEX(Productos!$AG:$AG,$I2))</f>
        <v/>
      </c>
      <c r="I600" s="136">
        <f>LET(_xlpm.r,Productos!$E$2:$E$2509,_xlpm.m,IFERROR(_xlfn.XMATCH(C600,_xlpm.r),IFERROR(_xlfn.XMATCH(VALUE(C600),_xlpm.r),0)),IF(_xlpm.m=0,"",_xlpm.m+1))</f>
        <v/>
      </c>
      <c r="J600" s="137" t="inlineStr">
        <is>
          <t>NetSuite</t>
        </is>
      </c>
    </row>
    <row r="601">
      <c r="A601" s="5" t="inlineStr">
        <is>
          <t>B25 STETSON.MX</t>
        </is>
      </c>
      <c r="B601" s="5">
        <f>IF($I2="","",INDEX(Productos!$A:$A,$I2))</f>
        <v/>
      </c>
      <c r="C601" s="134" t="inlineStr">
        <is>
          <t>TWFLKL-FT34P5M0</t>
        </is>
      </c>
      <c r="D601" s="5">
        <f>IF($I2="","",INDEX(Productos!$B:$B,$I2))</f>
        <v/>
      </c>
      <c r="E601" s="5">
        <f>IF($I2="","",INDEX(Productos!$H:$H,$I2))</f>
        <v/>
      </c>
      <c r="F601" s="5">
        <f>IF($I2="","",INDEX(Productos!$I:$I,$I2))</f>
        <v/>
      </c>
      <c r="G601" s="135" t="n">
        <v>1</v>
      </c>
      <c r="H601" s="5">
        <f>IF($I2="","",INDEX(Productos!$AG:$AG,$I2))</f>
        <v/>
      </c>
      <c r="I601" s="136">
        <f>LET(_xlpm.r,Productos!$E$2:$E$2509,_xlpm.m,IFERROR(_xlfn.XMATCH(C601,_xlpm.r),IFERROR(_xlfn.XMATCH(VALUE(C601),_xlpm.r),0)),IF(_xlpm.m=0,"",_xlpm.m+1))</f>
        <v/>
      </c>
      <c r="J601" s="137" t="inlineStr">
        <is>
          <t>NetSuite</t>
        </is>
      </c>
    </row>
    <row r="602">
      <c r="A602" s="5" t="inlineStr">
        <is>
          <t>B25 STETSON.MX</t>
        </is>
      </c>
      <c r="B602" s="5">
        <f>IF($I2="","",INDEX(Productos!$A:$A,$I2))</f>
        <v/>
      </c>
      <c r="C602" s="134" t="inlineStr">
        <is>
          <t>TWHDRKB104074L0</t>
        </is>
      </c>
      <c r="D602" s="5">
        <f>IF($I2="","",INDEX(Productos!$B:$B,$I2))</f>
        <v/>
      </c>
      <c r="E602" s="5">
        <f>IF($I2="","",INDEX(Productos!$H:$H,$I2))</f>
        <v/>
      </c>
      <c r="F602" s="5">
        <f>IF($I2="","",INDEX(Productos!$I:$I,$I2))</f>
        <v/>
      </c>
      <c r="G602" s="135" t="n">
        <v>1</v>
      </c>
      <c r="H602" s="5">
        <f>IF($I2="","",INDEX(Productos!$AG:$AG,$I2))</f>
        <v/>
      </c>
      <c r="I602" s="136">
        <f>LET(_xlpm.r,Productos!$E$2:$E$2509,_xlpm.m,IFERROR(_xlfn.XMATCH(C602,_xlpm.r),IFERROR(_xlfn.XMATCH(VALUE(C602),_xlpm.r),0)),IF(_xlpm.m=0,"",_xlpm.m+1))</f>
        <v/>
      </c>
      <c r="J602" s="137" t="inlineStr">
        <is>
          <t>NetSuite</t>
        </is>
      </c>
    </row>
    <row r="603">
      <c r="A603" s="5" t="inlineStr">
        <is>
          <t>B25 STETSON.MX</t>
        </is>
      </c>
      <c r="B603" s="5">
        <f>IF($I2="","",INDEX(Productos!$A:$A,$I2))</f>
        <v/>
      </c>
      <c r="C603" s="134" t="inlineStr">
        <is>
          <t>XSOSIS-254081L0</t>
        </is>
      </c>
      <c r="D603" s="5">
        <f>IF($I2="","",INDEX(Productos!$B:$B,$I2))</f>
        <v/>
      </c>
      <c r="E603" s="5">
        <f>IF($I2="","",INDEX(Productos!$H:$H,$I2))</f>
        <v/>
      </c>
      <c r="F603" s="5">
        <f>IF($I2="","",INDEX(Productos!$I:$I,$I2))</f>
        <v/>
      </c>
      <c r="G603" s="135" t="n">
        <v>1</v>
      </c>
      <c r="H603" s="5">
        <f>IF($I2="","",INDEX(Productos!$AG:$AG,$I2))</f>
        <v/>
      </c>
      <c r="I603" s="136">
        <f>LET(_xlpm.r,Productos!$E$2:$E$2509,_xlpm.m,IFERROR(_xlfn.XMATCH(C603,_xlpm.r),IFERROR(_xlfn.XMATCH(VALUE(C603),_xlpm.r),0)),IF(_xlpm.m=0,"",_xlpm.m+1))</f>
        <v/>
      </c>
      <c r="J603" s="137" t="inlineStr">
        <is>
          <t>NetSuite</t>
        </is>
      </c>
    </row>
    <row r="604">
      <c r="A604" s="5" t="inlineStr">
        <is>
          <t>B25 STETSON.MX</t>
        </is>
      </c>
      <c r="B604" s="5">
        <f>IF($I2="","",INDEX(Productos!$A:$A,$I2))</f>
        <v/>
      </c>
      <c r="C604" s="134" t="inlineStr">
        <is>
          <t>XSOSIS-254081M0</t>
        </is>
      </c>
      <c r="D604" s="5">
        <f>IF($I2="","",INDEX(Productos!$B:$B,$I2))</f>
        <v/>
      </c>
      <c r="E604" s="5">
        <f>IF($I2="","",INDEX(Productos!$H:$H,$I2))</f>
        <v/>
      </c>
      <c r="F604" s="5">
        <f>IF($I2="","",INDEX(Productos!$I:$I,$I2))</f>
        <v/>
      </c>
      <c r="G604" s="135" t="n">
        <v>2</v>
      </c>
      <c r="H604" s="5">
        <f>IF($I2="","",INDEX(Productos!$AG:$AG,$I2))</f>
        <v/>
      </c>
      <c r="I604" s="136">
        <f>LET(_xlpm.r,Productos!$E$2:$E$2509,_xlpm.m,IFERROR(_xlfn.XMATCH(C604,_xlpm.r),IFERROR(_xlfn.XMATCH(VALUE(C604),_xlpm.r),0)),IF(_xlpm.m=0,"",_xlpm.m+1))</f>
        <v/>
      </c>
      <c r="J604" s="137" t="inlineStr">
        <is>
          <t>NetSuite</t>
        </is>
      </c>
    </row>
    <row r="605">
      <c r="A605" s="5" t="inlineStr">
        <is>
          <t>B25 STETSON.MX</t>
        </is>
      </c>
      <c r="B605" s="5">
        <f>IF($I2="","",INDEX(Productos!$A:$A,$I2))</f>
        <v/>
      </c>
      <c r="C605" s="134" t="inlineStr">
        <is>
          <t>XSOSIS-254081S0</t>
        </is>
      </c>
      <c r="D605" s="5">
        <f>IF($I2="","",INDEX(Productos!$B:$B,$I2))</f>
        <v/>
      </c>
      <c r="E605" s="5">
        <f>IF($I2="","",INDEX(Productos!$H:$H,$I2))</f>
        <v/>
      </c>
      <c r="F605" s="5">
        <f>IF($I2="","",INDEX(Productos!$I:$I,$I2))</f>
        <v/>
      </c>
      <c r="G605" s="135" t="n">
        <v>1</v>
      </c>
      <c r="H605" s="5">
        <f>IF($I2="","",INDEX(Productos!$AG:$AG,$I2))</f>
        <v/>
      </c>
      <c r="I605" s="136">
        <f>LET(_xlpm.r,Productos!$E$2:$E$2509,_xlpm.m,IFERROR(_xlfn.XMATCH(C605,_xlpm.r),IFERROR(_xlfn.XMATCH(VALUE(C605),_xlpm.r),0)),IF(_xlpm.m=0,"",_xlpm.m+1))</f>
        <v/>
      </c>
      <c r="J605" s="137" t="inlineStr">
        <is>
          <t>NetSuite</t>
        </is>
      </c>
    </row>
    <row r="606">
      <c r="A606" s="5" t="inlineStr">
        <is>
          <t>B25 STETSON.MX</t>
        </is>
      </c>
      <c r="B606" s="5">
        <f>IF($I2="","",INDEX(Productos!$A:$A,$I2))</f>
        <v/>
      </c>
      <c r="C606" s="134" t="inlineStr">
        <is>
          <t>XSOSIS-254081XL</t>
        </is>
      </c>
      <c r="D606" s="5">
        <f>IF($I2="","",INDEX(Productos!$B:$B,$I2))</f>
        <v/>
      </c>
      <c r="E606" s="5">
        <f>IF($I2="","",INDEX(Productos!$H:$H,$I2))</f>
        <v/>
      </c>
      <c r="F606" s="5">
        <f>IF($I2="","",INDEX(Productos!$I:$I,$I2))</f>
        <v/>
      </c>
      <c r="G606" s="135" t="n">
        <v>1</v>
      </c>
      <c r="H606" s="5">
        <f>IF($I2="","",INDEX(Productos!$AG:$AG,$I2))</f>
        <v/>
      </c>
      <c r="I606" s="136">
        <f>LET(_xlpm.r,Productos!$E$2:$E$2509,_xlpm.m,IFERROR(_xlfn.XMATCH(C606,_xlpm.r),IFERROR(_xlfn.XMATCH(VALUE(C606),_xlpm.r),0)),IF(_xlpm.m=0,"",_xlpm.m+1))</f>
        <v/>
      </c>
      <c r="J606" s="137" t="inlineStr">
        <is>
          <t>NetSuite</t>
        </is>
      </c>
    </row>
    <row r="607">
      <c r="A607" s="5" t="inlineStr">
        <is>
          <t>B25 STETSON.MX</t>
        </is>
      </c>
      <c r="B607" s="5">
        <f>IF($I2="","",INDEX(Productos!$A:$A,$I2))</f>
        <v/>
      </c>
      <c r="C607" s="134" t="inlineStr">
        <is>
          <t>XWESWD-974048L0</t>
        </is>
      </c>
      <c r="D607" s="5">
        <f>IF($I2="","",INDEX(Productos!$B:$B,$I2))</f>
        <v/>
      </c>
      <c r="E607" s="5">
        <f>IF($I2="","",INDEX(Productos!$H:$H,$I2))</f>
        <v/>
      </c>
      <c r="F607" s="5">
        <f>IF($I2="","",INDEX(Productos!$I:$I,$I2))</f>
        <v/>
      </c>
      <c r="G607" s="135" t="n">
        <v>1</v>
      </c>
      <c r="H607" s="5">
        <f>IF($I2="","",INDEX(Productos!$AG:$AG,$I2))</f>
        <v/>
      </c>
      <c r="I607" s="136">
        <f>LET(_xlpm.r,Productos!$E$2:$E$2509,_xlpm.m,IFERROR(_xlfn.XMATCH(C607,_xlpm.r),IFERROR(_xlfn.XMATCH(VALUE(C607),_xlpm.r),0)),IF(_xlpm.m=0,"",_xlpm.m+1))</f>
        <v/>
      </c>
      <c r="J607" s="137" t="inlineStr">
        <is>
          <t>NetSuite</t>
        </is>
      </c>
    </row>
    <row r="608">
      <c r="A608" s="5" t="inlineStr">
        <is>
          <t>B25 STETSON.MX</t>
        </is>
      </c>
      <c r="B608" s="5">
        <f>IF($I2="","",INDEX(Productos!$A:$A,$I2))</f>
        <v/>
      </c>
      <c r="C608" s="134" t="inlineStr">
        <is>
          <t>XWESWD-974048XL</t>
        </is>
      </c>
      <c r="D608" s="5">
        <f>IF($I2="","",INDEX(Productos!$B:$B,$I2))</f>
        <v/>
      </c>
      <c r="E608" s="5">
        <f>IF($I2="","",INDEX(Productos!$H:$H,$I2))</f>
        <v/>
      </c>
      <c r="F608" s="5">
        <f>IF($I2="","",INDEX(Productos!$I:$I,$I2))</f>
        <v/>
      </c>
      <c r="G608" s="135" t="n">
        <v>1</v>
      </c>
      <c r="H608" s="5">
        <f>IF($I2="","",INDEX(Productos!$AG:$AG,$I2))</f>
        <v/>
      </c>
      <c r="I608" s="136">
        <f>LET(_xlpm.r,Productos!$E$2:$E$2509,_xlpm.m,IFERROR(_xlfn.XMATCH(C608,_xlpm.r),IFERROR(_xlfn.XMATCH(VALUE(C608),_xlpm.r),0)),IF(_xlpm.m=0,"",_xlpm.m+1))</f>
        <v/>
      </c>
      <c r="J608" s="137" t="inlineStr">
        <is>
          <t>NetSuite</t>
        </is>
      </c>
    </row>
    <row r="609">
      <c r="A609" s="5" t="inlineStr">
        <is>
          <t>B25 STETSON.MX</t>
        </is>
      </c>
      <c r="B609" s="5">
        <f>IF($I2="","",INDEX(Productos!$A:$A,$I2))</f>
        <v/>
      </c>
      <c r="C609" s="134" t="inlineStr">
        <is>
          <t>XWESWD-97405ML0</t>
        </is>
      </c>
      <c r="D609" s="5">
        <f>IF($I2="","",INDEX(Productos!$B:$B,$I2))</f>
        <v/>
      </c>
      <c r="E609" s="5">
        <f>IF($I2="","",INDEX(Productos!$H:$H,$I2))</f>
        <v/>
      </c>
      <c r="F609" s="5">
        <f>IF($I2="","",INDEX(Productos!$I:$I,$I2))</f>
        <v/>
      </c>
      <c r="G609" s="135" t="n">
        <v>2</v>
      </c>
      <c r="H609" s="5">
        <f>IF($I2="","",INDEX(Productos!$AG:$AG,$I2))</f>
        <v/>
      </c>
      <c r="I609" s="136">
        <f>LET(_xlpm.r,Productos!$E$2:$E$2509,_xlpm.m,IFERROR(_xlfn.XMATCH(C609,_xlpm.r),IFERROR(_xlfn.XMATCH(VALUE(C609),_xlpm.r),0)),IF(_xlpm.m=0,"",_xlpm.m+1))</f>
        <v/>
      </c>
      <c r="J609" s="137" t="inlineStr">
        <is>
          <t>NetSuite</t>
        </is>
      </c>
    </row>
    <row r="610">
      <c r="A610" s="5" t="inlineStr">
        <is>
          <t>B25 STETSON.MX</t>
        </is>
      </c>
      <c r="B610" s="5">
        <f>IF($I2="","",INDEX(Productos!$A:$A,$I2))</f>
        <v/>
      </c>
      <c r="C610" s="134" t="inlineStr">
        <is>
          <t>XWESWD-97405MM0</t>
        </is>
      </c>
      <c r="D610" s="5">
        <f>IF($I2="","",INDEX(Productos!$B:$B,$I2))</f>
        <v/>
      </c>
      <c r="E610" s="5">
        <f>IF($I2="","",INDEX(Productos!$H:$H,$I2))</f>
        <v/>
      </c>
      <c r="F610" s="5">
        <f>IF($I2="","",INDEX(Productos!$I:$I,$I2))</f>
        <v/>
      </c>
      <c r="G610" s="135" t="n">
        <v>1</v>
      </c>
      <c r="H610" s="5">
        <f>IF($I2="","",INDEX(Productos!$AG:$AG,$I2))</f>
        <v/>
      </c>
      <c r="I610" s="136">
        <f>LET(_xlpm.r,Productos!$E$2:$E$2509,_xlpm.m,IFERROR(_xlfn.XMATCH(C610,_xlpm.r),IFERROR(_xlfn.XMATCH(VALUE(C610),_xlpm.r),0)),IF(_xlpm.m=0,"",_xlpm.m+1))</f>
        <v/>
      </c>
      <c r="J610" s="137" t="inlineStr">
        <is>
          <t>NetSuite</t>
        </is>
      </c>
    </row>
    <row r="611">
      <c r="A611" s="5" t="inlineStr">
        <is>
          <t>B25 STETSON.MX</t>
        </is>
      </c>
      <c r="B611" s="5">
        <f>IF($I2="","",INDEX(Productos!$A:$A,$I2))</f>
        <v/>
      </c>
      <c r="C611" s="134" t="inlineStr">
        <is>
          <t>XWESWD-97405MS0</t>
        </is>
      </c>
      <c r="D611" s="5">
        <f>IF($I2="","",INDEX(Productos!$B:$B,$I2))</f>
        <v/>
      </c>
      <c r="E611" s="5">
        <f>IF($I2="","",INDEX(Productos!$H:$H,$I2))</f>
        <v/>
      </c>
      <c r="F611" s="5">
        <f>IF($I2="","",INDEX(Productos!$I:$I,$I2))</f>
        <v/>
      </c>
      <c r="G611" s="135" t="n">
        <v>1</v>
      </c>
      <c r="H611" s="5">
        <f>IF($I2="","",INDEX(Productos!$AG:$AG,$I2))</f>
        <v/>
      </c>
      <c r="I611" s="136">
        <f>LET(_xlpm.r,Productos!$E$2:$E$2509,_xlpm.m,IFERROR(_xlfn.XMATCH(C611,_xlpm.r),IFERROR(_xlfn.XMATCH(VALUE(C611),_xlpm.r),0)),IF(_xlpm.m=0,"",_xlpm.m+1))</f>
        <v/>
      </c>
      <c r="J611" s="137" t="inlineStr">
        <is>
          <t>NetSuite</t>
        </is>
      </c>
    </row>
    <row r="612">
      <c r="A612" s="5" t="inlineStr">
        <is>
          <t>B25 STETSON.MX</t>
        </is>
      </c>
      <c r="B612" s="5">
        <f>IF($I2="","",INDEX(Productos!$A:$A,$I2))</f>
        <v/>
      </c>
      <c r="C612" s="134" t="inlineStr">
        <is>
          <t>XWESWD-97405MXL</t>
        </is>
      </c>
      <c r="D612" s="5">
        <f>IF($I2="","",INDEX(Productos!$B:$B,$I2))</f>
        <v/>
      </c>
      <c r="E612" s="5">
        <f>IF($I2="","",INDEX(Productos!$H:$H,$I2))</f>
        <v/>
      </c>
      <c r="F612" s="5">
        <f>IF($I2="","",INDEX(Productos!$I:$I,$I2))</f>
        <v/>
      </c>
      <c r="G612" s="135" t="n">
        <v>1</v>
      </c>
      <c r="H612" s="5">
        <f>IF($I2="","",INDEX(Productos!$AG:$AG,$I2))</f>
        <v/>
      </c>
      <c r="I612" s="136">
        <f>LET(_xlpm.r,Productos!$E$2:$E$2509,_xlpm.m,IFERROR(_xlfn.XMATCH(C612,_xlpm.r),IFERROR(_xlfn.XMATCH(VALUE(C612),_xlpm.r),0)),IF(_xlpm.m=0,"",_xlpm.m+1))</f>
        <v/>
      </c>
      <c r="J612" s="137" t="inlineStr">
        <is>
          <t>NetSuite</t>
        </is>
      </c>
    </row>
    <row r="613">
      <c r="A613" s="5" t="inlineStr">
        <is>
          <t>B25 STETSON.MX</t>
        </is>
      </c>
      <c r="B613" s="5">
        <f>IF($I2="","",INDEX(Productos!$A:$A,$I2))</f>
        <v/>
      </c>
      <c r="C613" s="134" t="inlineStr">
        <is>
          <t>XWESWD-974074L0</t>
        </is>
      </c>
      <c r="D613" s="5">
        <f>IF($I2="","",INDEX(Productos!$B:$B,$I2))</f>
        <v/>
      </c>
      <c r="E613" s="5">
        <f>IF($I2="","",INDEX(Productos!$H:$H,$I2))</f>
        <v/>
      </c>
      <c r="F613" s="5">
        <f>IF($I2="","",INDEX(Productos!$I:$I,$I2))</f>
        <v/>
      </c>
      <c r="G613" s="135" t="n">
        <v>2</v>
      </c>
      <c r="H613" s="5">
        <f>IF($I2="","",INDEX(Productos!$AG:$AG,$I2))</f>
        <v/>
      </c>
      <c r="I613" s="136">
        <f>LET(_xlpm.r,Productos!$E$2:$E$2509,_xlpm.m,IFERROR(_xlfn.XMATCH(C613,_xlpm.r),IFERROR(_xlfn.XMATCH(VALUE(C613),_xlpm.r),0)),IF(_xlpm.m=0,"",_xlpm.m+1))</f>
        <v/>
      </c>
      <c r="J613" s="137" t="inlineStr">
        <is>
          <t>NetSuite</t>
        </is>
      </c>
    </row>
    <row r="614">
      <c r="A614" s="5" t="inlineStr">
        <is>
          <t>B25 STETSON.MX</t>
        </is>
      </c>
      <c r="B614" s="5">
        <f>IF($I2="","",INDEX(Productos!$A:$A,$I2))</f>
        <v/>
      </c>
      <c r="C614" s="134" t="inlineStr">
        <is>
          <t>XWESWD-974074M0</t>
        </is>
      </c>
      <c r="D614" s="5">
        <f>IF($I2="","",INDEX(Productos!$B:$B,$I2))</f>
        <v/>
      </c>
      <c r="E614" s="5">
        <f>IF($I2="","",INDEX(Productos!$H:$H,$I2))</f>
        <v/>
      </c>
      <c r="F614" s="5">
        <f>IF($I2="","",INDEX(Productos!$I:$I,$I2))</f>
        <v/>
      </c>
      <c r="G614" s="135" t="n">
        <v>1</v>
      </c>
      <c r="H614" s="5">
        <f>IF($I2="","",INDEX(Productos!$AG:$AG,$I2))</f>
        <v/>
      </c>
      <c r="I614" s="136">
        <f>LET(_xlpm.r,Productos!$E$2:$E$2509,_xlpm.m,IFERROR(_xlfn.XMATCH(C614,_xlpm.r),IFERROR(_xlfn.XMATCH(VALUE(C614),_xlpm.r),0)),IF(_xlpm.m=0,"",_xlpm.m+1))</f>
        <v/>
      </c>
      <c r="J614" s="137" t="inlineStr">
        <is>
          <t>NetSuite</t>
        </is>
      </c>
    </row>
    <row r="615">
      <c r="A615" s="5" t="inlineStr">
        <is>
          <t>B25 STETSON.MX</t>
        </is>
      </c>
      <c r="B615" s="5">
        <f>IF($I2="","",INDEX(Productos!$A:$A,$I2))</f>
        <v/>
      </c>
      <c r="C615" s="134" t="inlineStr">
        <is>
          <t>XWESWD-974074S0</t>
        </is>
      </c>
      <c r="D615" s="5">
        <f>IF($I2="","",INDEX(Productos!$B:$B,$I2))</f>
        <v/>
      </c>
      <c r="E615" s="5">
        <f>IF($I2="","",INDEX(Productos!$H:$H,$I2))</f>
        <v/>
      </c>
      <c r="F615" s="5">
        <f>IF($I2="","",INDEX(Productos!$I:$I,$I2))</f>
        <v/>
      </c>
      <c r="G615" s="135" t="n">
        <v>1</v>
      </c>
      <c r="H615" s="5">
        <f>IF($I2="","",INDEX(Productos!$AG:$AG,$I2))</f>
        <v/>
      </c>
      <c r="I615" s="136">
        <f>LET(_xlpm.r,Productos!$E$2:$E$2509,_xlpm.m,IFERROR(_xlfn.XMATCH(C615,_xlpm.r),IFERROR(_xlfn.XMATCH(VALUE(C615),_xlpm.r),0)),IF(_xlpm.m=0,"",_xlpm.m+1))</f>
        <v/>
      </c>
      <c r="J615" s="137" t="inlineStr">
        <is>
          <t>NetSuite</t>
        </is>
      </c>
    </row>
    <row r="616">
      <c r="A616" s="5" t="inlineStr">
        <is>
          <t>B25 STETSON.MX</t>
        </is>
      </c>
      <c r="B616" s="5">
        <f>IF($I2="","",INDEX(Productos!$A:$A,$I2))</f>
        <v/>
      </c>
      <c r="C616" s="134" t="inlineStr">
        <is>
          <t>XWESWD-974074XL</t>
        </is>
      </c>
      <c r="D616" s="5">
        <f>IF($I2="","",INDEX(Productos!$B:$B,$I2))</f>
        <v/>
      </c>
      <c r="E616" s="5">
        <f>IF($I2="","",INDEX(Productos!$H:$H,$I2))</f>
        <v/>
      </c>
      <c r="F616" s="5">
        <f>IF($I2="","",INDEX(Productos!$I:$I,$I2))</f>
        <v/>
      </c>
      <c r="G616" s="135" t="n">
        <v>1</v>
      </c>
      <c r="H616" s="5">
        <f>IF($I2="","",INDEX(Productos!$AG:$AG,$I2))</f>
        <v/>
      </c>
      <c r="I616" s="136">
        <f>LET(_xlpm.r,Productos!$E$2:$E$2509,_xlpm.m,IFERROR(_xlfn.XMATCH(C616,_xlpm.r),IFERROR(_xlfn.XMATCH(VALUE(C616),_xlpm.r),0)),IF(_xlpm.m=0,"",_xlpm.m+1))</f>
        <v/>
      </c>
      <c r="J616" s="137" t="inlineStr">
        <is>
          <t>NetSuite</t>
        </is>
      </c>
    </row>
    <row r="617">
      <c r="A617" s="5" t="inlineStr">
        <is>
          <t>B25 STETSON.MX</t>
        </is>
      </c>
      <c r="B617" s="5">
        <f>IF($I2="","",INDEX(Productos!$A:$A,$I2))</f>
        <v/>
      </c>
      <c r="C617" s="134" t="inlineStr">
        <is>
          <t>XWGDCR-9142DML0</t>
        </is>
      </c>
      <c r="D617" s="5">
        <f>IF($I2="","",INDEX(Productos!$B:$B,$I2))</f>
        <v/>
      </c>
      <c r="E617" s="5">
        <f>IF($I2="","",INDEX(Productos!$H:$H,$I2))</f>
        <v/>
      </c>
      <c r="F617" s="5">
        <f>IF($I2="","",INDEX(Productos!$I:$I,$I2))</f>
        <v/>
      </c>
      <c r="G617" s="135" t="n">
        <v>1</v>
      </c>
      <c r="H617" s="5">
        <f>IF($I2="","",INDEX(Productos!$AG:$AG,$I2))</f>
        <v/>
      </c>
      <c r="I617" s="136">
        <f>LET(_xlpm.r,Productos!$E$2:$E$2509,_xlpm.m,IFERROR(_xlfn.XMATCH(C617,_xlpm.r),IFERROR(_xlfn.XMATCH(VALUE(C617),_xlpm.r),0)),IF(_xlpm.m=0,"",_xlpm.m+1))</f>
        <v/>
      </c>
      <c r="J617" s="137" t="inlineStr">
        <is>
          <t>NetSuite</t>
        </is>
      </c>
    </row>
    <row r="618">
      <c r="A618" s="5" t="inlineStr">
        <is>
          <t>B25 STETSON.MX</t>
        </is>
      </c>
      <c r="B618" s="5">
        <f>IF($I2="","",INDEX(Productos!$A:$A,$I2))</f>
        <v/>
      </c>
      <c r="C618" s="134" t="inlineStr">
        <is>
          <t>XWNGSKS104074L0</t>
        </is>
      </c>
      <c r="D618" s="5">
        <f>IF($I2="","",INDEX(Productos!$B:$B,$I2))</f>
        <v/>
      </c>
      <c r="E618" s="5">
        <f>IF($I2="","",INDEX(Productos!$H:$H,$I2))</f>
        <v/>
      </c>
      <c r="F618" s="5">
        <f>IF($I2="","",INDEX(Productos!$I:$I,$I2))</f>
        <v/>
      </c>
      <c r="G618" s="135" t="n">
        <v>1</v>
      </c>
      <c r="H618" s="5">
        <f>IF($I2="","",INDEX(Productos!$AG:$AG,$I2))</f>
        <v/>
      </c>
      <c r="I618" s="136">
        <f>LET(_xlpm.r,Productos!$E$2:$E$2509,_xlpm.m,IFERROR(_xlfn.XMATCH(C618,_xlpm.r),IFERROR(_xlfn.XMATCH(VALUE(C618),_xlpm.r),0)),IF(_xlpm.m=0,"",_xlpm.m+1))</f>
        <v/>
      </c>
      <c r="J618" s="137" t="inlineStr">
        <is>
          <t>NetSuite</t>
        </is>
      </c>
    </row>
    <row r="619">
      <c r="A619" s="5" t="inlineStr">
        <is>
          <t>B25 STETSON.MX</t>
        </is>
      </c>
      <c r="B619" s="5">
        <f>IF($I2="","",INDEX(Productos!$A:$A,$I2))</f>
        <v/>
      </c>
      <c r="C619" s="134" t="inlineStr">
        <is>
          <t>XWNGSKS104074M0</t>
        </is>
      </c>
      <c r="D619" s="5">
        <f>IF($I2="","",INDEX(Productos!$B:$B,$I2))</f>
        <v/>
      </c>
      <c r="E619" s="5">
        <f>IF($I2="","",INDEX(Productos!$H:$H,$I2))</f>
        <v/>
      </c>
      <c r="F619" s="5">
        <f>IF($I2="","",INDEX(Productos!$I:$I,$I2))</f>
        <v/>
      </c>
      <c r="G619" s="135" t="n">
        <v>1</v>
      </c>
      <c r="H619" s="5">
        <f>IF($I2="","",INDEX(Productos!$AG:$AG,$I2))</f>
        <v/>
      </c>
      <c r="I619" s="136">
        <f>LET(_xlpm.r,Productos!$E$2:$E$2509,_xlpm.m,IFERROR(_xlfn.XMATCH(C619,_xlpm.r),IFERROR(_xlfn.XMATCH(VALUE(C619),_xlpm.r),0)),IF(_xlpm.m=0,"",_xlpm.m+1))</f>
        <v/>
      </c>
      <c r="J619" s="137" t="inlineStr">
        <is>
          <t>NetSuite</t>
        </is>
      </c>
    </row>
    <row r="620">
      <c r="A620" s="5" t="inlineStr">
        <is>
          <t>B25 STETSON.MX</t>
        </is>
      </c>
      <c r="B620" s="5">
        <f>IF($I2="","",INDEX(Productos!$A:$A,$I2))</f>
        <v/>
      </c>
      <c r="C620" s="134" t="inlineStr">
        <is>
          <t>XWNGSKS104078L0</t>
        </is>
      </c>
      <c r="D620" s="5">
        <f>IF($I2="","",INDEX(Productos!$B:$B,$I2))</f>
        <v/>
      </c>
      <c r="E620" s="5">
        <f>IF($I2="","",INDEX(Productos!$H:$H,$I2))</f>
        <v/>
      </c>
      <c r="F620" s="5">
        <f>IF($I2="","",INDEX(Productos!$I:$I,$I2))</f>
        <v/>
      </c>
      <c r="G620" s="135" t="n">
        <v>1</v>
      </c>
      <c r="H620" s="5">
        <f>IF($I2="","",INDEX(Productos!$AG:$AG,$I2))</f>
        <v/>
      </c>
      <c r="I620" s="136">
        <f>LET(_xlpm.r,Productos!$E$2:$E$2509,_xlpm.m,IFERROR(_xlfn.XMATCH(C620,_xlpm.r),IFERROR(_xlfn.XMATCH(VALUE(C620),_xlpm.r),0)),IF(_xlpm.m=0,"",_xlpm.m+1))</f>
        <v/>
      </c>
      <c r="J620" s="137" t="inlineStr">
        <is>
          <t>NetSuite</t>
        </is>
      </c>
    </row>
    <row r="621">
      <c r="A621" s="5" t="inlineStr">
        <is>
          <t>B25 STETSON.MX</t>
        </is>
      </c>
      <c r="B621" s="5">
        <f>IF($I2="","",INDEX(Productos!$A:$A,$I2))</f>
        <v/>
      </c>
      <c r="C621" s="134" t="inlineStr">
        <is>
          <t>XWNGSKS104078M0</t>
        </is>
      </c>
      <c r="D621" s="5">
        <f>IF($I2="","",INDEX(Productos!$B:$B,$I2))</f>
        <v/>
      </c>
      <c r="E621" s="5">
        <f>IF($I2="","",INDEX(Productos!$H:$H,$I2))</f>
        <v/>
      </c>
      <c r="F621" s="5">
        <f>IF($I2="","",INDEX(Productos!$I:$I,$I2))</f>
        <v/>
      </c>
      <c r="G621" s="135" t="n">
        <v>1</v>
      </c>
      <c r="H621" s="5">
        <f>IF($I2="","",INDEX(Productos!$AG:$AG,$I2))</f>
        <v/>
      </c>
      <c r="I621" s="136">
        <f>LET(_xlpm.r,Productos!$E$2:$E$2509,_xlpm.m,IFERROR(_xlfn.XMATCH(C621,_xlpm.r),IFERROR(_xlfn.XMATCH(VALUE(C621),_xlpm.r),0)),IF(_xlpm.m=0,"",_xlpm.m+1))</f>
        <v/>
      </c>
      <c r="J621" s="137" t="inlineStr">
        <is>
          <t>NetSuite</t>
        </is>
      </c>
    </row>
    <row r="622">
      <c r="A622" s="5" t="inlineStr">
        <is>
          <t>PUNTO DE VENTA</t>
        </is>
      </c>
      <c r="B622" s="5">
        <f>IF($I2="","",INDEX(Productos!$A:$A,$I2))</f>
        <v/>
      </c>
      <c r="C622" s="134" t="inlineStr">
        <is>
          <t>12-020-BS000-10-1017-028</t>
        </is>
      </c>
      <c r="D622" s="5">
        <f>IF($I2="","",INDEX(Productos!$B:$B,$I2))</f>
        <v/>
      </c>
      <c r="E622" s="5">
        <f>IF($I2="","",INDEX(Productos!$H:$H,$I2))</f>
        <v/>
      </c>
      <c r="F622" s="5">
        <f>IF($I2="","",INDEX(Productos!$I:$I,$I2))</f>
        <v/>
      </c>
      <c r="G622" s="135" t="n">
        <v>1</v>
      </c>
      <c r="H622" s="5">
        <f>IF($I2="","",INDEX(Productos!$AG:$AG,$I2))</f>
        <v/>
      </c>
      <c r="I622" s="136">
        <f>LET(_xlpm.r,Productos!$E$2:$E$2509,_xlpm.m,IFERROR(_xlfn.XMATCH(C622,_xlpm.r),IFERROR(_xlfn.XMATCH(VALUE(C622),_xlpm.r),0)),IF(_xlpm.m=0,"",_xlpm.m+1))</f>
        <v/>
      </c>
      <c r="J622" s="137" t="inlineStr">
        <is>
          <t>NetSuite</t>
        </is>
      </c>
    </row>
    <row r="623">
      <c r="A623" s="5" t="inlineStr">
        <is>
          <t>PUNTO DE VENTA</t>
        </is>
      </c>
      <c r="B623" s="5">
        <f>IF($I2="","",INDEX(Productos!$A:$A,$I2))</f>
        <v/>
      </c>
      <c r="C623" s="134" t="inlineStr">
        <is>
          <t>12-020-BS002-10-1007-028</t>
        </is>
      </c>
      <c r="D623" s="5">
        <f>IF($I2="","",INDEX(Productos!$B:$B,$I2))</f>
        <v/>
      </c>
      <c r="E623" s="5">
        <f>IF($I2="","",INDEX(Productos!$H:$H,$I2))</f>
        <v/>
      </c>
      <c r="F623" s="5">
        <f>IF($I2="","",INDEX(Productos!$I:$I,$I2))</f>
        <v/>
      </c>
      <c r="G623" s="135" t="n">
        <v>1</v>
      </c>
      <c r="H623" s="5">
        <f>IF($I2="","",INDEX(Productos!$AG:$AG,$I2))</f>
        <v/>
      </c>
      <c r="I623" s="136">
        <f>LET(_xlpm.r,Productos!$E$2:$E$2509,_xlpm.m,IFERROR(_xlfn.XMATCH(C623,_xlpm.r),IFERROR(_xlfn.XMATCH(VALUE(C623),_xlpm.r),0)),IF(_xlpm.m=0,"",_xlpm.m+1))</f>
        <v/>
      </c>
      <c r="J623" s="137" t="inlineStr">
        <is>
          <t>NetSuite</t>
        </is>
      </c>
    </row>
    <row r="624">
      <c r="A624" s="5" t="inlineStr">
        <is>
          <t>PUNTO DE VENTA</t>
        </is>
      </c>
      <c r="B624" s="5">
        <f>IF($I2="","",INDEX(Productos!$A:$A,$I2))</f>
        <v/>
      </c>
      <c r="C624" s="134" t="inlineStr">
        <is>
          <t>12-020-BS004-10-1014-028</t>
        </is>
      </c>
      <c r="D624" s="5">
        <f>IF($I2="","",INDEX(Productos!$B:$B,$I2))</f>
        <v/>
      </c>
      <c r="E624" s="5">
        <f>IF($I2="","",INDEX(Productos!$H:$H,$I2))</f>
        <v/>
      </c>
      <c r="F624" s="5">
        <f>IF($I2="","",INDEX(Productos!$I:$I,$I2))</f>
        <v/>
      </c>
      <c r="G624" s="135" t="n">
        <v>1</v>
      </c>
      <c r="H624" s="5">
        <f>IF($I2="","",INDEX(Productos!$AG:$AG,$I2))</f>
        <v/>
      </c>
      <c r="I624" s="136">
        <f>LET(_xlpm.r,Productos!$E$2:$E$2509,_xlpm.m,IFERROR(_xlfn.XMATCH(C624,_xlpm.r),IFERROR(_xlfn.XMATCH(VALUE(C624),_xlpm.r),0)),IF(_xlpm.m=0,"",_xlpm.m+1))</f>
        <v/>
      </c>
      <c r="J624" s="137" t="inlineStr">
        <is>
          <t>NetSuite</t>
        </is>
      </c>
    </row>
    <row r="625">
      <c r="A625" s="5" t="inlineStr">
        <is>
          <t>PUNTO DE VENTA</t>
        </is>
      </c>
      <c r="B625" s="5">
        <f>IF($I2="","",INDEX(Productos!$A:$A,$I2))</f>
        <v/>
      </c>
      <c r="C625" s="134" t="inlineStr">
        <is>
          <t>12-020-BS004-10-1015-028</t>
        </is>
      </c>
      <c r="D625" s="5">
        <f>IF($I2="","",INDEX(Productos!$B:$B,$I2))</f>
        <v/>
      </c>
      <c r="E625" s="5">
        <f>IF($I2="","",INDEX(Productos!$H:$H,$I2))</f>
        <v/>
      </c>
      <c r="F625" s="5">
        <f>IF($I2="","",INDEX(Productos!$I:$I,$I2))</f>
        <v/>
      </c>
      <c r="G625" s="135" t="n">
        <v>1</v>
      </c>
      <c r="H625" s="5">
        <f>IF($I2="","",INDEX(Productos!$AG:$AG,$I2))</f>
        <v/>
      </c>
      <c r="I625" s="136">
        <f>LET(_xlpm.r,Productos!$E$2:$E$2509,_xlpm.m,IFERROR(_xlfn.XMATCH(C625,_xlpm.r),IFERROR(_xlfn.XMATCH(VALUE(C625),_xlpm.r),0)),IF(_xlpm.m=0,"",_xlpm.m+1))</f>
        <v/>
      </c>
      <c r="J625" s="137" t="inlineStr">
        <is>
          <t>NetSuite</t>
        </is>
      </c>
    </row>
    <row r="626">
      <c r="A626" s="5" t="inlineStr">
        <is>
          <t>PUNTO DE VENTA</t>
        </is>
      </c>
      <c r="B626" s="5">
        <f>IF($I2="","",INDEX(Productos!$A:$A,$I2))</f>
        <v/>
      </c>
      <c r="C626" s="134" t="inlineStr">
        <is>
          <t>12-020-BS005-11-1019-028</t>
        </is>
      </c>
      <c r="D626" s="5">
        <f>IF($I2="","",INDEX(Productos!$B:$B,$I2))</f>
        <v/>
      </c>
      <c r="E626" s="5">
        <f>IF($I2="","",INDEX(Productos!$H:$H,$I2))</f>
        <v/>
      </c>
      <c r="F626" s="5">
        <f>IF($I2="","",INDEX(Productos!$I:$I,$I2))</f>
        <v/>
      </c>
      <c r="G626" s="135" t="n">
        <v>1</v>
      </c>
      <c r="H626" s="5">
        <f>IF($I2="","",INDEX(Productos!$AG:$AG,$I2))</f>
        <v/>
      </c>
      <c r="I626" s="136">
        <f>LET(_xlpm.r,Productos!$E$2:$E$2509,_xlpm.m,IFERROR(_xlfn.XMATCH(C626,_xlpm.r),IFERROR(_xlfn.XMATCH(VALUE(C626),_xlpm.r),0)),IF(_xlpm.m=0,"",_xlpm.m+1))</f>
        <v/>
      </c>
      <c r="J626" s="137" t="inlineStr">
        <is>
          <t>NetSuite</t>
        </is>
      </c>
    </row>
    <row r="627">
      <c r="A627" s="5" t="inlineStr">
        <is>
          <t>PUNTO DE VENTA</t>
        </is>
      </c>
      <c r="B627" s="5">
        <f>IF($I2="","",INDEX(Productos!$A:$A,$I2))</f>
        <v/>
      </c>
      <c r="C627" s="134" t="inlineStr">
        <is>
          <t>12-021-BS002-13-1035-235</t>
        </is>
      </c>
      <c r="D627" s="5">
        <f>IF($I2="","",INDEX(Productos!$B:$B,$I2))</f>
        <v/>
      </c>
      <c r="E627" s="5">
        <f>IF($I2="","",INDEX(Productos!$H:$H,$I2))</f>
        <v/>
      </c>
      <c r="F627" s="5">
        <f>IF($I2="","",INDEX(Productos!$I:$I,$I2))</f>
        <v/>
      </c>
      <c r="G627" s="135" t="n">
        <v>1</v>
      </c>
      <c r="H627" s="5">
        <f>IF($I2="","",INDEX(Productos!$AG:$AG,$I2))</f>
        <v/>
      </c>
      <c r="I627" s="136">
        <f>LET(_xlpm.r,Productos!$E$2:$E$2509,_xlpm.m,IFERROR(_xlfn.XMATCH(C627,_xlpm.r),IFERROR(_xlfn.XMATCH(VALUE(C627),_xlpm.r),0)),IF(_xlpm.m=0,"",_xlpm.m+1))</f>
        <v/>
      </c>
      <c r="J627" s="137" t="inlineStr">
        <is>
          <t>NetSuite</t>
        </is>
      </c>
    </row>
    <row r="628">
      <c r="A628" s="5" t="inlineStr">
        <is>
          <t>PUNTO DE VENTA</t>
        </is>
      </c>
      <c r="B628" s="5">
        <f>IF($I2="","",INDEX(Productos!$A:$A,$I2))</f>
        <v/>
      </c>
      <c r="C628" s="134" t="inlineStr">
        <is>
          <t>12-021-BS002-13-1036-235</t>
        </is>
      </c>
      <c r="D628" s="5">
        <f>IF($I2="","",INDEX(Productos!$B:$B,$I2))</f>
        <v/>
      </c>
      <c r="E628" s="5">
        <f>IF($I2="","",INDEX(Productos!$H:$H,$I2))</f>
        <v/>
      </c>
      <c r="F628" s="5">
        <f>IF($I2="","",INDEX(Productos!$I:$I,$I2))</f>
        <v/>
      </c>
      <c r="G628" s="135" t="n">
        <v>1</v>
      </c>
      <c r="H628" s="5">
        <f>IF($I2="","",INDEX(Productos!$AG:$AG,$I2))</f>
        <v/>
      </c>
      <c r="I628" s="136">
        <f>LET(_xlpm.r,Productos!$E$2:$E$2509,_xlpm.m,IFERROR(_xlfn.XMATCH(C628,_xlpm.r),IFERROR(_xlfn.XMATCH(VALUE(C628),_xlpm.r),0)),IF(_xlpm.m=0,"",_xlpm.m+1))</f>
        <v/>
      </c>
      <c r="J628" s="137" t="inlineStr">
        <is>
          <t>NetSuite</t>
        </is>
      </c>
    </row>
    <row r="629">
      <c r="A629" s="5" t="inlineStr">
        <is>
          <t>PUNTO DE VENTA</t>
        </is>
      </c>
      <c r="B629" s="5">
        <f>IF($I2="","",INDEX(Productos!$A:$A,$I2))</f>
        <v/>
      </c>
      <c r="C629" s="134" t="inlineStr">
        <is>
          <t>12-021-BS003-13-1039-235</t>
        </is>
      </c>
      <c r="D629" s="5">
        <f>IF($I2="","",INDEX(Productos!$B:$B,$I2))</f>
        <v/>
      </c>
      <c r="E629" s="5">
        <f>IF($I2="","",INDEX(Productos!$H:$H,$I2))</f>
        <v/>
      </c>
      <c r="F629" s="5">
        <f>IF($I2="","",INDEX(Productos!$I:$I,$I2))</f>
        <v/>
      </c>
      <c r="G629" s="135" t="n">
        <v>1</v>
      </c>
      <c r="H629" s="5">
        <f>IF($I2="","",INDEX(Productos!$AG:$AG,$I2))</f>
        <v/>
      </c>
      <c r="I629" s="136">
        <f>LET(_xlpm.r,Productos!$E$2:$E$2509,_xlpm.m,IFERROR(_xlfn.XMATCH(C629,_xlpm.r),IFERROR(_xlfn.XMATCH(VALUE(C629),_xlpm.r),0)),IF(_xlpm.m=0,"",_xlpm.m+1))</f>
        <v/>
      </c>
      <c r="J629" s="137" t="inlineStr">
        <is>
          <t>NetSuite</t>
        </is>
      </c>
    </row>
    <row r="630">
      <c r="A630" s="5" t="inlineStr">
        <is>
          <t>PUNTO DE VENTA</t>
        </is>
      </c>
      <c r="B630" s="5">
        <f>IF($I2="","",INDEX(Productos!$A:$A,$I2))</f>
        <v/>
      </c>
      <c r="C630" s="134" t="inlineStr">
        <is>
          <t>1360002</t>
        </is>
      </c>
      <c r="D630" s="5">
        <f>IF($I2="","",INDEX(Productos!$B:$B,$I2))</f>
        <v/>
      </c>
      <c r="E630" s="5">
        <f>IF($I2="","",INDEX(Productos!$H:$H,$I2))</f>
        <v/>
      </c>
      <c r="F630" s="5">
        <f>IF($I2="","",INDEX(Productos!$I:$I,$I2))</f>
        <v/>
      </c>
      <c r="G630" s="135" t="n">
        <v>-5</v>
      </c>
      <c r="H630" s="5">
        <f>IF($I2="","",INDEX(Productos!$AG:$AG,$I2))</f>
        <v/>
      </c>
      <c r="I630" s="136">
        <f>LET(_xlpm.r,Productos!$E$2:$E$2509,_xlpm.m,IFERROR(_xlfn.XMATCH(C630,_xlpm.r),IFERROR(_xlfn.XMATCH(VALUE(C630),_xlpm.r),0)),IF(_xlpm.m=0,"",_xlpm.m+1))</f>
        <v/>
      </c>
      <c r="J630" s="137" t="inlineStr">
        <is>
          <t>NetSuite</t>
        </is>
      </c>
    </row>
    <row r="631">
      <c r="A631" s="5" t="inlineStr">
        <is>
          <t>PUNTO DE VENTA</t>
        </is>
      </c>
      <c r="B631" s="5">
        <f>IF($I2="","",INDEX(Productos!$A:$A,$I2))</f>
        <v/>
      </c>
      <c r="C631" s="134" t="inlineStr">
        <is>
          <t>9402790-200-S</t>
        </is>
      </c>
      <c r="D631" s="5">
        <f>IF($I2="","",INDEX(Productos!$B:$B,$I2))</f>
        <v/>
      </c>
      <c r="E631" s="5">
        <f>IF($I2="","",INDEX(Productos!$H:$H,$I2))</f>
        <v/>
      </c>
      <c r="F631" s="5">
        <f>IF($I2="","",INDEX(Productos!$I:$I,$I2))</f>
        <v/>
      </c>
      <c r="G631" s="135" t="n">
        <v>-1</v>
      </c>
      <c r="H631" s="5">
        <f>IF($I2="","",INDEX(Productos!$AG:$AG,$I2))</f>
        <v/>
      </c>
      <c r="I631" s="136">
        <f>LET(_xlpm.r,Productos!$E$2:$E$2509,_xlpm.m,IFERROR(_xlfn.XMATCH(C631,_xlpm.r),IFERROR(_xlfn.XMATCH(VALUE(C631),_xlpm.r),0)),IF(_xlpm.m=0,"",_xlpm.m+1))</f>
        <v/>
      </c>
      <c r="J631" s="137" t="inlineStr">
        <is>
          <t>NetSuite</t>
        </is>
      </c>
    </row>
    <row r="632">
      <c r="A632" s="5" t="inlineStr">
        <is>
          <t>PUNTO DE VENTA</t>
        </is>
      </c>
      <c r="B632" s="5">
        <f>IF($I2="","",INDEX(Productos!$A:$A,$I2))</f>
        <v/>
      </c>
      <c r="C632" s="134" t="inlineStr">
        <is>
          <t>9409790-600-M</t>
        </is>
      </c>
      <c r="D632" s="5">
        <f>IF($I2="","",INDEX(Productos!$B:$B,$I2))</f>
        <v/>
      </c>
      <c r="E632" s="5">
        <f>IF($I2="","",INDEX(Productos!$H:$H,$I2))</f>
        <v/>
      </c>
      <c r="F632" s="5">
        <f>IF($I2="","",INDEX(Productos!$I:$I,$I2))</f>
        <v/>
      </c>
      <c r="G632" s="135" t="n">
        <v>1</v>
      </c>
      <c r="H632" s="5">
        <f>IF($I2="","",INDEX(Productos!$AG:$AG,$I2))</f>
        <v/>
      </c>
      <c r="I632" s="136">
        <f>LET(_xlpm.r,Productos!$E$2:$E$2509,_xlpm.m,IFERROR(_xlfn.XMATCH(C632,_xlpm.r),IFERROR(_xlfn.XMATCH(VALUE(C632),_xlpm.r),0)),IF(_xlpm.m=0,"",_xlpm.m+1))</f>
        <v/>
      </c>
      <c r="J632" s="137" t="inlineStr">
        <is>
          <t>NetSuite</t>
        </is>
      </c>
    </row>
    <row r="633">
      <c r="A633" s="5" t="inlineStr">
        <is>
          <t>PUNTO DE VENTA</t>
        </is>
      </c>
      <c r="B633" s="5">
        <f>IF($I2="","",INDEX(Productos!$A:$A,$I2))</f>
        <v/>
      </c>
      <c r="C633" s="134" t="inlineStr">
        <is>
          <t>9411790-909-L</t>
        </is>
      </c>
      <c r="D633" s="5">
        <f>IF($I2="","",INDEX(Productos!$B:$B,$I2))</f>
        <v/>
      </c>
      <c r="E633" s="5">
        <f>IF($I2="","",INDEX(Productos!$H:$H,$I2))</f>
        <v/>
      </c>
      <c r="F633" s="5">
        <f>IF($I2="","",INDEX(Productos!$I:$I,$I2))</f>
        <v/>
      </c>
      <c r="G633" s="135" t="n">
        <v>1</v>
      </c>
      <c r="H633" s="5">
        <f>IF($I2="","",INDEX(Productos!$AG:$AG,$I2))</f>
        <v/>
      </c>
      <c r="I633" s="136">
        <f>LET(_xlpm.r,Productos!$E$2:$E$2509,_xlpm.m,IFERROR(_xlfn.XMATCH(C633,_xlpm.r),IFERROR(_xlfn.XMATCH(VALUE(C633),_xlpm.r),0)),IF(_xlpm.m=0,"",_xlpm.m+1))</f>
        <v/>
      </c>
      <c r="J633" s="137" t="inlineStr">
        <is>
          <t>NetSuite</t>
        </is>
      </c>
    </row>
    <row r="634">
      <c r="A634" s="5" t="inlineStr">
        <is>
          <t>PUNTO DE VENTA</t>
        </is>
      </c>
      <c r="B634" s="5">
        <f>IF($I2="","",INDEX(Productos!$A:$A,$I2))</f>
        <v/>
      </c>
      <c r="C634" s="134" t="inlineStr">
        <is>
          <t>9411790-909-M</t>
        </is>
      </c>
      <c r="D634" s="5">
        <f>IF($I2="","",INDEX(Productos!$B:$B,$I2))</f>
        <v/>
      </c>
      <c r="E634" s="5">
        <f>IF($I2="","",INDEX(Productos!$H:$H,$I2))</f>
        <v/>
      </c>
      <c r="F634" s="5">
        <f>IF($I2="","",INDEX(Productos!$I:$I,$I2))</f>
        <v/>
      </c>
      <c r="G634" s="135" t="n">
        <v>1</v>
      </c>
      <c r="H634" s="5">
        <f>IF($I2="","",INDEX(Productos!$AG:$AG,$I2))</f>
        <v/>
      </c>
      <c r="I634" s="136">
        <f>LET(_xlpm.r,Productos!$E$2:$E$2509,_xlpm.m,IFERROR(_xlfn.XMATCH(C634,_xlpm.r),IFERROR(_xlfn.XMATCH(VALUE(C634),_xlpm.r),0)),IF(_xlpm.m=0,"",_xlpm.m+1))</f>
        <v/>
      </c>
      <c r="J634" s="137" t="inlineStr">
        <is>
          <t>NetSuite</t>
        </is>
      </c>
    </row>
    <row r="635">
      <c r="A635" s="5" t="inlineStr">
        <is>
          <t>PUNTO DE VENTA</t>
        </is>
      </c>
      <c r="B635" s="5">
        <f>IF($I2="","",INDEX(Productos!$A:$A,$I2))</f>
        <v/>
      </c>
      <c r="C635" s="134" t="inlineStr">
        <is>
          <t>9508000-001-NZ</t>
        </is>
      </c>
      <c r="D635" s="5">
        <f>IF($I2="","",INDEX(Productos!$B:$B,$I2))</f>
        <v/>
      </c>
      <c r="E635" s="5">
        <f>IF($I2="","",INDEX(Productos!$H:$H,$I2))</f>
        <v/>
      </c>
      <c r="F635" s="5">
        <f>IF($I2="","",INDEX(Productos!$I:$I,$I2))</f>
        <v/>
      </c>
      <c r="G635" s="135" t="n">
        <v>2</v>
      </c>
      <c r="H635" s="5">
        <f>IF($I2="","",INDEX(Productos!$AG:$AG,$I2))</f>
        <v/>
      </c>
      <c r="I635" s="136">
        <f>LET(_xlpm.r,Productos!$E$2:$E$2509,_xlpm.m,IFERROR(_xlfn.XMATCH(C635,_xlpm.r),IFERROR(_xlfn.XMATCH(VALUE(C635),_xlpm.r),0)),IF(_xlpm.m=0,"",_xlpm.m+1))</f>
        <v/>
      </c>
      <c r="J635" s="137" t="inlineStr">
        <is>
          <t>NetSuite</t>
        </is>
      </c>
    </row>
    <row r="636">
      <c r="A636" s="5" t="inlineStr">
        <is>
          <t>PUNTO DE VENTA</t>
        </is>
      </c>
      <c r="B636" s="5">
        <f>IF($I2="","",INDEX(Productos!$A:$A,$I2))</f>
        <v/>
      </c>
      <c r="C636" s="134" t="inlineStr">
        <is>
          <t>9509000-001-NZ</t>
        </is>
      </c>
      <c r="D636" s="5">
        <f>IF($I2="","",INDEX(Productos!$B:$B,$I2))</f>
        <v/>
      </c>
      <c r="E636" s="5">
        <f>IF($I2="","",INDEX(Productos!$H:$H,$I2))</f>
        <v/>
      </c>
      <c r="F636" s="5">
        <f>IF($I2="","",INDEX(Productos!$I:$I,$I2))</f>
        <v/>
      </c>
      <c r="G636" s="135" t="n">
        <v>2</v>
      </c>
      <c r="H636" s="5">
        <f>IF($I2="","",INDEX(Productos!$AG:$AG,$I2))</f>
        <v/>
      </c>
      <c r="I636" s="136">
        <f>LET(_xlpm.r,Productos!$E$2:$E$2509,_xlpm.m,IFERROR(_xlfn.XMATCH(C636,_xlpm.r),IFERROR(_xlfn.XMATCH(VALUE(C636),_xlpm.r),0)),IF(_xlpm.m=0,"",_xlpm.m+1))</f>
        <v/>
      </c>
      <c r="J636" s="137" t="inlineStr">
        <is>
          <t>NetSuite</t>
        </is>
      </c>
    </row>
    <row r="637">
      <c r="A637" s="5" t="inlineStr">
        <is>
          <t>PUNTO DE VENTA</t>
        </is>
      </c>
      <c r="B637" s="5">
        <f>IF($I2="","",INDEX(Productos!$A:$A,$I2))</f>
        <v/>
      </c>
      <c r="C637" s="134" t="inlineStr">
        <is>
          <t>9510000-200-NZ</t>
        </is>
      </c>
      <c r="D637" s="5">
        <f>IF($I2="","",INDEX(Productos!$B:$B,$I2))</f>
        <v/>
      </c>
      <c r="E637" s="5">
        <f>IF($I2="","",INDEX(Productos!$H:$H,$I2))</f>
        <v/>
      </c>
      <c r="F637" s="5">
        <f>IF($I2="","",INDEX(Productos!$I:$I,$I2))</f>
        <v/>
      </c>
      <c r="G637" s="135" t="n">
        <v>2</v>
      </c>
      <c r="H637" s="5">
        <f>IF($I2="","",INDEX(Productos!$AG:$AG,$I2))</f>
        <v/>
      </c>
      <c r="I637" s="136">
        <f>LET(_xlpm.r,Productos!$E$2:$E$2509,_xlpm.m,IFERROR(_xlfn.XMATCH(C637,_xlpm.r),IFERROR(_xlfn.XMATCH(VALUE(C637),_xlpm.r),0)),IF(_xlpm.m=0,"",_xlpm.m+1))</f>
        <v/>
      </c>
      <c r="J637" s="137" t="inlineStr">
        <is>
          <t>NetSuite</t>
        </is>
      </c>
    </row>
    <row r="638">
      <c r="A638" s="5" t="inlineStr">
        <is>
          <t>PUNTO DE VENTA</t>
        </is>
      </c>
      <c r="B638" s="5">
        <f>IF($I2="","",INDEX(Productos!$A:$A,$I2))</f>
        <v/>
      </c>
      <c r="C638" s="134" t="inlineStr">
        <is>
          <t>9510000-219-NZ</t>
        </is>
      </c>
      <c r="D638" s="5">
        <f>IF($I2="","",INDEX(Productos!$B:$B,$I2))</f>
        <v/>
      </c>
      <c r="E638" s="5">
        <f>IF($I2="","",INDEX(Productos!$H:$H,$I2))</f>
        <v/>
      </c>
      <c r="F638" s="5">
        <f>IF($I2="","",INDEX(Productos!$I:$I,$I2))</f>
        <v/>
      </c>
      <c r="G638" s="135" t="n">
        <v>2</v>
      </c>
      <c r="H638" s="5">
        <f>IF($I2="","",INDEX(Productos!$AG:$AG,$I2))</f>
        <v/>
      </c>
      <c r="I638" s="136">
        <f>LET(_xlpm.r,Productos!$E$2:$E$2509,_xlpm.m,IFERROR(_xlfn.XMATCH(C638,_xlpm.r),IFERROR(_xlfn.XMATCH(VALUE(C638),_xlpm.r),0)),IF(_xlpm.m=0,"",_xlpm.m+1))</f>
        <v/>
      </c>
      <c r="J638" s="137" t="inlineStr">
        <is>
          <t>NetSuite</t>
        </is>
      </c>
    </row>
    <row r="639">
      <c r="A639" s="5" t="inlineStr">
        <is>
          <t>PUNTO DE VENTA</t>
        </is>
      </c>
      <c r="B639" s="5">
        <f>IF($I2="","",INDEX(Productos!$A:$A,$I2))</f>
        <v/>
      </c>
      <c r="C639" s="134" t="inlineStr">
        <is>
          <t>9511000-200-NZ</t>
        </is>
      </c>
      <c r="D639" s="5">
        <f>IF($I2="","",INDEX(Productos!$B:$B,$I2))</f>
        <v/>
      </c>
      <c r="E639" s="5">
        <f>IF($I2="","",INDEX(Productos!$H:$H,$I2))</f>
        <v/>
      </c>
      <c r="F639" s="5">
        <f>IF($I2="","",INDEX(Productos!$I:$I,$I2))</f>
        <v/>
      </c>
      <c r="G639" s="135" t="n">
        <v>2</v>
      </c>
      <c r="H639" s="5">
        <f>IF($I2="","",INDEX(Productos!$AG:$AG,$I2))</f>
        <v/>
      </c>
      <c r="I639" s="136">
        <f>LET(_xlpm.r,Productos!$E$2:$E$2509,_xlpm.m,IFERROR(_xlfn.XMATCH(C639,_xlpm.r),IFERROR(_xlfn.XMATCH(VALUE(C639),_xlpm.r),0)),IF(_xlpm.m=0,"",_xlpm.m+1))</f>
        <v/>
      </c>
      <c r="J639" s="137" t="inlineStr">
        <is>
          <t>NetSuite</t>
        </is>
      </c>
    </row>
    <row r="640">
      <c r="A640" s="5" t="inlineStr">
        <is>
          <t>PUNTO DE VENTA</t>
        </is>
      </c>
      <c r="B640" s="5">
        <f>IF($I2="","",INDEX(Productos!$A:$A,$I2))</f>
        <v/>
      </c>
      <c r="C640" s="134" t="inlineStr">
        <is>
          <t>9512000-600-NZ</t>
        </is>
      </c>
      <c r="D640" s="5">
        <f>IF($I2="","",INDEX(Productos!$B:$B,$I2))</f>
        <v/>
      </c>
      <c r="E640" s="5">
        <f>IF($I2="","",INDEX(Productos!$H:$H,$I2))</f>
        <v/>
      </c>
      <c r="F640" s="5">
        <f>IF($I2="","",INDEX(Productos!$I:$I,$I2))</f>
        <v/>
      </c>
      <c r="G640" s="135" t="n">
        <v>2</v>
      </c>
      <c r="H640" s="5">
        <f>IF($I2="","",INDEX(Productos!$AG:$AG,$I2))</f>
        <v/>
      </c>
      <c r="I640" s="136">
        <f>LET(_xlpm.r,Productos!$E$2:$E$2509,_xlpm.m,IFERROR(_xlfn.XMATCH(C640,_xlpm.r),IFERROR(_xlfn.XMATCH(VALUE(C640),_xlpm.r),0)),IF(_xlpm.m=0,"",_xlpm.m+1))</f>
        <v/>
      </c>
      <c r="J640" s="137" t="inlineStr">
        <is>
          <t>NetSuite</t>
        </is>
      </c>
    </row>
    <row r="641">
      <c r="A641" s="5" t="inlineStr">
        <is>
          <t>PUNTO DE VENTA</t>
        </is>
      </c>
      <c r="B641" s="5">
        <f>IF($I2="","",INDEX(Productos!$A:$A,$I2))</f>
        <v/>
      </c>
      <c r="C641" s="134" t="inlineStr">
        <is>
          <t>9803002-255-NZ</t>
        </is>
      </c>
      <c r="D641" s="5">
        <f>IF($I2="","",INDEX(Productos!$B:$B,$I2))</f>
        <v/>
      </c>
      <c r="E641" s="5">
        <f>IF($I2="","",INDEX(Productos!$H:$H,$I2))</f>
        <v/>
      </c>
      <c r="F641" s="5">
        <f>IF($I2="","",INDEX(Productos!$I:$I,$I2))</f>
        <v/>
      </c>
      <c r="G641" s="135" t="n">
        <v>2</v>
      </c>
      <c r="H641" s="5">
        <f>IF($I2="","",INDEX(Productos!$AG:$AG,$I2))</f>
        <v/>
      </c>
      <c r="I641" s="136">
        <f>LET(_xlpm.r,Productos!$E$2:$E$2509,_xlpm.m,IFERROR(_xlfn.XMATCH(C641,_xlpm.r),IFERROR(_xlfn.XMATCH(VALUE(C641),_xlpm.r),0)),IF(_xlpm.m=0,"",_xlpm.m+1))</f>
        <v/>
      </c>
      <c r="J641" s="137" t="inlineStr">
        <is>
          <t>NetSuite</t>
        </is>
      </c>
    </row>
    <row r="642">
      <c r="A642" s="5" t="inlineStr">
        <is>
          <t>PUNTO DE VENTA</t>
        </is>
      </c>
      <c r="B642" s="5">
        <f>IF($I2="","",INDEX(Productos!$A:$A,$I2))</f>
        <v/>
      </c>
      <c r="C642" s="134" t="inlineStr">
        <is>
          <t>9805001-200-NZ</t>
        </is>
      </c>
      <c r="D642" s="5">
        <f>IF($I2="","",INDEX(Productos!$B:$B,$I2))</f>
        <v/>
      </c>
      <c r="E642" s="5">
        <f>IF($I2="","",INDEX(Productos!$H:$H,$I2))</f>
        <v/>
      </c>
      <c r="F642" s="5">
        <f>IF($I2="","",INDEX(Productos!$I:$I,$I2))</f>
        <v/>
      </c>
      <c r="G642" s="135" t="n">
        <v>2</v>
      </c>
      <c r="H642" s="5">
        <f>IF($I2="","",INDEX(Productos!$AG:$AG,$I2))</f>
        <v/>
      </c>
      <c r="I642" s="136">
        <f>LET(_xlpm.r,Productos!$E$2:$E$2509,_xlpm.m,IFERROR(_xlfn.XMATCH(C642,_xlpm.r),IFERROR(_xlfn.XMATCH(VALUE(C642),_xlpm.r),0)),IF(_xlpm.m=0,"",_xlpm.m+1))</f>
        <v/>
      </c>
      <c r="J642" s="137" t="inlineStr">
        <is>
          <t>NetSuite</t>
        </is>
      </c>
    </row>
    <row r="643">
      <c r="A643" s="5" t="inlineStr">
        <is>
          <t>PUNTO DE VENTA</t>
        </is>
      </c>
      <c r="B643" s="5">
        <f>IF($I2="","",INDEX(Productos!$A:$A,$I2))</f>
        <v/>
      </c>
      <c r="C643" s="134" t="inlineStr">
        <is>
          <t>9805002-200-NZ</t>
        </is>
      </c>
      <c r="D643" s="5">
        <f>IF($I2="","",INDEX(Productos!$B:$B,$I2))</f>
        <v/>
      </c>
      <c r="E643" s="5">
        <f>IF($I2="","",INDEX(Productos!$H:$H,$I2))</f>
        <v/>
      </c>
      <c r="F643" s="5">
        <f>IF($I2="","",INDEX(Productos!$I:$I,$I2))</f>
        <v/>
      </c>
      <c r="G643" s="135" t="n">
        <v>2</v>
      </c>
      <c r="H643" s="5">
        <f>IF($I2="","",INDEX(Productos!$AG:$AG,$I2))</f>
        <v/>
      </c>
      <c r="I643" s="136">
        <f>LET(_xlpm.r,Productos!$E$2:$E$2509,_xlpm.m,IFERROR(_xlfn.XMATCH(C643,_xlpm.r),IFERROR(_xlfn.XMATCH(VALUE(C643),_xlpm.r),0)),IF(_xlpm.m=0,"",_xlpm.m+1))</f>
        <v/>
      </c>
      <c r="J643" s="137" t="inlineStr">
        <is>
          <t>NetSuite</t>
        </is>
      </c>
    </row>
    <row r="644">
      <c r="A644" s="5" t="inlineStr">
        <is>
          <t>PUNTO DE VENTA</t>
        </is>
      </c>
      <c r="B644" s="5">
        <f>IF($I2="","",INDEX(Productos!$A:$A,$I2))</f>
        <v/>
      </c>
      <c r="C644" s="134" t="inlineStr">
        <is>
          <t>9805004-200-NZ</t>
        </is>
      </c>
      <c r="D644" s="5">
        <f>IF($I2="","",INDEX(Productos!$B:$B,$I2))</f>
        <v/>
      </c>
      <c r="E644" s="5">
        <f>IF($I2="","",INDEX(Productos!$H:$H,$I2))</f>
        <v/>
      </c>
      <c r="F644" s="5">
        <f>IF($I2="","",INDEX(Productos!$I:$I,$I2))</f>
        <v/>
      </c>
      <c r="G644" s="135" t="n">
        <v>1</v>
      </c>
      <c r="H644" s="5">
        <f>IF($I2="","",INDEX(Productos!$AG:$AG,$I2))</f>
        <v/>
      </c>
      <c r="I644" s="136">
        <f>LET(_xlpm.r,Productos!$E$2:$E$2509,_xlpm.m,IFERROR(_xlfn.XMATCH(C644,_xlpm.r),IFERROR(_xlfn.XMATCH(VALUE(C644),_xlpm.r),0)),IF(_xlpm.m=0,"",_xlpm.m+1))</f>
        <v/>
      </c>
      <c r="J644" s="137" t="inlineStr">
        <is>
          <t>NetSuite</t>
        </is>
      </c>
    </row>
    <row r="645">
      <c r="A645" s="5" t="inlineStr">
        <is>
          <t>PUNTO DE VENTA</t>
        </is>
      </c>
      <c r="B645" s="5">
        <f>IF($I2="","",INDEX(Productos!$A:$A,$I2))</f>
        <v/>
      </c>
      <c r="C645" s="134" t="inlineStr">
        <is>
          <t>9809001-200-NZ</t>
        </is>
      </c>
      <c r="D645" s="5">
        <f>IF($I2="","",INDEX(Productos!$B:$B,$I2))</f>
        <v/>
      </c>
      <c r="E645" s="5">
        <f>IF($I2="","",INDEX(Productos!$H:$H,$I2))</f>
        <v/>
      </c>
      <c r="F645" s="5">
        <f>IF($I2="","",INDEX(Productos!$I:$I,$I2))</f>
        <v/>
      </c>
      <c r="G645" s="135" t="n">
        <v>1</v>
      </c>
      <c r="H645" s="5">
        <f>IF($I2="","",INDEX(Productos!$AG:$AG,$I2))</f>
        <v/>
      </c>
      <c r="I645" s="136">
        <f>LET(_xlpm.r,Productos!$E$2:$E$2509,_xlpm.m,IFERROR(_xlfn.XMATCH(C645,_xlpm.r),IFERROR(_xlfn.XMATCH(VALUE(C645),_xlpm.r),0)),IF(_xlpm.m=0,"",_xlpm.m+1))</f>
        <v/>
      </c>
      <c r="J645" s="137" t="inlineStr">
        <is>
          <t>NetSuite</t>
        </is>
      </c>
    </row>
    <row r="646">
      <c r="A646" s="5" t="inlineStr">
        <is>
          <t>PUNTO DE VENTA</t>
        </is>
      </c>
      <c r="B646" s="5">
        <f>IF($I2="","",INDEX(Productos!$A:$A,$I2))</f>
        <v/>
      </c>
      <c r="C646" s="134" t="inlineStr">
        <is>
          <t>9901500-204-44</t>
        </is>
      </c>
      <c r="D646" s="5">
        <f>IF($I2="","",INDEX(Productos!$B:$B,$I2))</f>
        <v/>
      </c>
      <c r="E646" s="5">
        <f>IF($I2="","",INDEX(Productos!$H:$H,$I2))</f>
        <v/>
      </c>
      <c r="F646" s="5">
        <f>IF($I2="","",INDEX(Productos!$I:$I,$I2))</f>
        <v/>
      </c>
      <c r="G646" s="135" t="n">
        <v>1</v>
      </c>
      <c r="H646" s="5">
        <f>IF($I2="","",INDEX(Productos!$AG:$AG,$I2))</f>
        <v/>
      </c>
      <c r="I646" s="136">
        <f>LET(_xlpm.r,Productos!$E$2:$E$2509,_xlpm.m,IFERROR(_xlfn.XMATCH(C646,_xlpm.r),IFERROR(_xlfn.XMATCH(VALUE(C646),_xlpm.r),0)),IF(_xlpm.m=0,"",_xlpm.m+1))</f>
        <v/>
      </c>
      <c r="J646" s="137" t="inlineStr">
        <is>
          <t>NetSuite</t>
        </is>
      </c>
    </row>
    <row r="647">
      <c r="A647" s="5" t="inlineStr">
        <is>
          <t>PUNTO DE VENTA</t>
        </is>
      </c>
      <c r="B647" s="5">
        <f>IF($I2="","",INDEX(Productos!$A:$A,$I2))</f>
        <v/>
      </c>
      <c r="C647" s="134" t="inlineStr">
        <is>
          <t>9901500-204-46</t>
        </is>
      </c>
      <c r="D647" s="5">
        <f>IF($I2="","",INDEX(Productos!$B:$B,$I2))</f>
        <v/>
      </c>
      <c r="E647" s="5">
        <f>IF($I2="","",INDEX(Productos!$H:$H,$I2))</f>
        <v/>
      </c>
      <c r="F647" s="5">
        <f>IF($I2="","",INDEX(Productos!$I:$I,$I2))</f>
        <v/>
      </c>
      <c r="G647" s="135" t="n">
        <v>1</v>
      </c>
      <c r="H647" s="5">
        <f>IF($I2="","",INDEX(Productos!$AG:$AG,$I2))</f>
        <v/>
      </c>
      <c r="I647" s="136">
        <f>LET(_xlpm.r,Productos!$E$2:$E$2509,_xlpm.m,IFERROR(_xlfn.XMATCH(C647,_xlpm.r),IFERROR(_xlfn.XMATCH(VALUE(C647),_xlpm.r),0)),IF(_xlpm.m=0,"",_xlpm.m+1))</f>
        <v/>
      </c>
      <c r="J647" s="137" t="inlineStr">
        <is>
          <t>NetSuite</t>
        </is>
      </c>
    </row>
    <row r="648">
      <c r="A648" s="5" t="inlineStr">
        <is>
          <t>PUNTO DE VENTA</t>
        </is>
      </c>
      <c r="B648" s="5">
        <f>IF($I2="","",INDEX(Productos!$A:$A,$I2))</f>
        <v/>
      </c>
      <c r="C648" s="134" t="inlineStr">
        <is>
          <t>9903500-109-36</t>
        </is>
      </c>
      <c r="D648" s="5">
        <f>IF($I2="","",INDEX(Productos!$B:$B,$I2))</f>
        <v/>
      </c>
      <c r="E648" s="5">
        <f>IF($I2="","",INDEX(Productos!$H:$H,$I2))</f>
        <v/>
      </c>
      <c r="F648" s="5">
        <f>IF($I2="","",INDEX(Productos!$I:$I,$I2))</f>
        <v/>
      </c>
      <c r="G648" s="135" t="n">
        <v>1</v>
      </c>
      <c r="H648" s="5">
        <f>IF($I2="","",INDEX(Productos!$AG:$AG,$I2))</f>
        <v/>
      </c>
      <c r="I648" s="136">
        <f>LET(_xlpm.r,Productos!$E$2:$E$2509,_xlpm.m,IFERROR(_xlfn.XMATCH(C648,_xlpm.r),IFERROR(_xlfn.XMATCH(VALUE(C648),_xlpm.r),0)),IF(_xlpm.m=0,"",_xlpm.m+1))</f>
        <v/>
      </c>
      <c r="J648" s="137" t="inlineStr">
        <is>
          <t>NetSuite</t>
        </is>
      </c>
    </row>
    <row r="649">
      <c r="A649" s="5" t="inlineStr">
        <is>
          <t>PUNTO DE VENTA</t>
        </is>
      </c>
      <c r="B649" s="5">
        <f>IF($I2="","",INDEX(Productos!$A:$A,$I2))</f>
        <v/>
      </c>
      <c r="C649" s="134" t="inlineStr">
        <is>
          <t>9903500-109-38</t>
        </is>
      </c>
      <c r="D649" s="5">
        <f>IF($I2="","",INDEX(Productos!$B:$B,$I2))</f>
        <v/>
      </c>
      <c r="E649" s="5">
        <f>IF($I2="","",INDEX(Productos!$H:$H,$I2))</f>
        <v/>
      </c>
      <c r="F649" s="5">
        <f>IF($I2="","",INDEX(Productos!$I:$I,$I2))</f>
        <v/>
      </c>
      <c r="G649" s="135" t="n">
        <v>1</v>
      </c>
      <c r="H649" s="5">
        <f>IF($I2="","",INDEX(Productos!$AG:$AG,$I2))</f>
        <v/>
      </c>
      <c r="I649" s="136">
        <f>LET(_xlpm.r,Productos!$E$2:$E$2509,_xlpm.m,IFERROR(_xlfn.XMATCH(C649,_xlpm.r),IFERROR(_xlfn.XMATCH(VALUE(C649),_xlpm.r),0)),IF(_xlpm.m=0,"",_xlpm.m+1))</f>
        <v/>
      </c>
      <c r="J649" s="137" t="inlineStr">
        <is>
          <t>NetSuite</t>
        </is>
      </c>
    </row>
    <row r="650">
      <c r="A650" s="5" t="inlineStr">
        <is>
          <t>PUNTO DE VENTA</t>
        </is>
      </c>
      <c r="B650" s="5">
        <f>IF($I2="","",INDEX(Productos!$A:$A,$I2))</f>
        <v/>
      </c>
      <c r="C650" s="134" t="inlineStr">
        <is>
          <t>9903500-109-40</t>
        </is>
      </c>
      <c r="D650" s="5">
        <f>IF($I2="","",INDEX(Productos!$B:$B,$I2))</f>
        <v/>
      </c>
      <c r="E650" s="5">
        <f>IF($I2="","",INDEX(Productos!$H:$H,$I2))</f>
        <v/>
      </c>
      <c r="F650" s="5">
        <f>IF($I2="","",INDEX(Productos!$I:$I,$I2))</f>
        <v/>
      </c>
      <c r="G650" s="135" t="n">
        <v>1</v>
      </c>
      <c r="H650" s="5">
        <f>IF($I2="","",INDEX(Productos!$AG:$AG,$I2))</f>
        <v/>
      </c>
      <c r="I650" s="136">
        <f>LET(_xlpm.r,Productos!$E$2:$E$2509,_xlpm.m,IFERROR(_xlfn.XMATCH(C650,_xlpm.r),IFERROR(_xlfn.XMATCH(VALUE(C650),_xlpm.r),0)),IF(_xlpm.m=0,"",_xlpm.m+1))</f>
        <v/>
      </c>
      <c r="J650" s="137" t="inlineStr">
        <is>
          <t>NetSuite</t>
        </is>
      </c>
    </row>
    <row r="651">
      <c r="A651" s="5" t="inlineStr">
        <is>
          <t>PUNTO DE VENTA</t>
        </is>
      </c>
      <c r="B651" s="5">
        <f>IF($I2="","",INDEX(Productos!$A:$A,$I2))</f>
        <v/>
      </c>
      <c r="C651" s="134" t="inlineStr">
        <is>
          <t>9903500-109-42</t>
        </is>
      </c>
      <c r="D651" s="5">
        <f>IF($I2="","",INDEX(Productos!$B:$B,$I2))</f>
        <v/>
      </c>
      <c r="E651" s="5">
        <f>IF($I2="","",INDEX(Productos!$H:$H,$I2))</f>
        <v/>
      </c>
      <c r="F651" s="5">
        <f>IF($I2="","",INDEX(Productos!$I:$I,$I2))</f>
        <v/>
      </c>
      <c r="G651" s="135" t="n">
        <v>1</v>
      </c>
      <c r="H651" s="5">
        <f>IF($I2="","",INDEX(Productos!$AG:$AG,$I2))</f>
        <v/>
      </c>
      <c r="I651" s="136">
        <f>LET(_xlpm.r,Productos!$E$2:$E$2509,_xlpm.m,IFERROR(_xlfn.XMATCH(C651,_xlpm.r),IFERROR(_xlfn.XMATCH(VALUE(C651),_xlpm.r),0)),IF(_xlpm.m=0,"",_xlpm.m+1))</f>
        <v/>
      </c>
      <c r="J651" s="137" t="inlineStr">
        <is>
          <t>NetSuite</t>
        </is>
      </c>
    </row>
    <row r="652">
      <c r="A652" s="5" t="inlineStr">
        <is>
          <t>PUNTO DE VENTA</t>
        </is>
      </c>
      <c r="B652" s="5">
        <f>IF($I2="","",INDEX(Productos!$A:$A,$I2))</f>
        <v/>
      </c>
      <c r="C652" s="134" t="inlineStr">
        <is>
          <t>9903500-109-44</t>
        </is>
      </c>
      <c r="D652" s="5">
        <f>IF($I2="","",INDEX(Productos!$B:$B,$I2))</f>
        <v/>
      </c>
      <c r="E652" s="5">
        <f>IF($I2="","",INDEX(Productos!$H:$H,$I2))</f>
        <v/>
      </c>
      <c r="F652" s="5">
        <f>IF($I2="","",INDEX(Productos!$I:$I,$I2))</f>
        <v/>
      </c>
      <c r="G652" s="135" t="n">
        <v>1</v>
      </c>
      <c r="H652" s="5">
        <f>IF($I2="","",INDEX(Productos!$AG:$AG,$I2))</f>
        <v/>
      </c>
      <c r="I652" s="136">
        <f>LET(_xlpm.r,Productos!$E$2:$E$2509,_xlpm.m,IFERROR(_xlfn.XMATCH(C652,_xlpm.r),IFERROR(_xlfn.XMATCH(VALUE(C652),_xlpm.r),0)),IF(_xlpm.m=0,"",_xlpm.m+1))</f>
        <v/>
      </c>
      <c r="J652" s="137" t="inlineStr">
        <is>
          <t>NetSuite</t>
        </is>
      </c>
    </row>
    <row r="653">
      <c r="A653" s="5" t="inlineStr">
        <is>
          <t>PUNTO DE VENTA</t>
        </is>
      </c>
      <c r="B653" s="5">
        <f>IF($I2="","",INDEX(Productos!$A:$A,$I2))</f>
        <v/>
      </c>
      <c r="C653" s="134" t="inlineStr">
        <is>
          <t>9903500-109-46</t>
        </is>
      </c>
      <c r="D653" s="5">
        <f>IF($I2="","",INDEX(Productos!$B:$B,$I2))</f>
        <v/>
      </c>
      <c r="E653" s="5">
        <f>IF($I2="","",INDEX(Productos!$H:$H,$I2))</f>
        <v/>
      </c>
      <c r="F653" s="5">
        <f>IF($I2="","",INDEX(Productos!$I:$I,$I2))</f>
        <v/>
      </c>
      <c r="G653" s="135" t="n">
        <v>1</v>
      </c>
      <c r="H653" s="5">
        <f>IF($I2="","",INDEX(Productos!$AG:$AG,$I2))</f>
        <v/>
      </c>
      <c r="I653" s="136">
        <f>LET(_xlpm.r,Productos!$E$2:$E$2509,_xlpm.m,IFERROR(_xlfn.XMATCH(C653,_xlpm.r),IFERROR(_xlfn.XMATCH(VALUE(C653),_xlpm.r),0)),IF(_xlpm.m=0,"",_xlpm.m+1))</f>
        <v/>
      </c>
      <c r="J653" s="137" t="inlineStr">
        <is>
          <t>NetSuite</t>
        </is>
      </c>
    </row>
    <row r="654">
      <c r="A654" s="5" t="inlineStr">
        <is>
          <t>PUNTO DE VENTA</t>
        </is>
      </c>
      <c r="B654" s="5">
        <f>IF($I2="","",INDEX(Productos!$A:$A,$I2))</f>
        <v/>
      </c>
      <c r="C654" s="134" t="inlineStr">
        <is>
          <t>9907500-204-36</t>
        </is>
      </c>
      <c r="D654" s="5">
        <f>IF($I2="","",INDEX(Productos!$B:$B,$I2))</f>
        <v/>
      </c>
      <c r="E654" s="5">
        <f>IF($I2="","",INDEX(Productos!$H:$H,$I2))</f>
        <v/>
      </c>
      <c r="F654" s="5">
        <f>IF($I2="","",INDEX(Productos!$I:$I,$I2))</f>
        <v/>
      </c>
      <c r="G654" s="135" t="n">
        <v>-1</v>
      </c>
      <c r="H654" s="5">
        <f>IF($I2="","",INDEX(Productos!$AG:$AG,$I2))</f>
        <v/>
      </c>
      <c r="I654" s="136">
        <f>LET(_xlpm.r,Productos!$E$2:$E$2509,_xlpm.m,IFERROR(_xlfn.XMATCH(C654,_xlpm.r),IFERROR(_xlfn.XMATCH(VALUE(C654),_xlpm.r),0)),IF(_xlpm.m=0,"",_xlpm.m+1))</f>
        <v/>
      </c>
      <c r="J654" s="137" t="inlineStr">
        <is>
          <t>NetSuite</t>
        </is>
      </c>
    </row>
    <row r="655">
      <c r="A655" s="5" t="inlineStr">
        <is>
          <t>PUNTO DE VENTA</t>
        </is>
      </c>
      <c r="B655" s="5">
        <f>IF($I2="","",INDEX(Productos!$A:$A,$I2))</f>
        <v/>
      </c>
      <c r="C655" s="134" t="inlineStr">
        <is>
          <t>9907500-204-38</t>
        </is>
      </c>
      <c r="D655" s="5">
        <f>IF($I2="","",INDEX(Productos!$B:$B,$I2))</f>
        <v/>
      </c>
      <c r="E655" s="5">
        <f>IF($I2="","",INDEX(Productos!$H:$H,$I2))</f>
        <v/>
      </c>
      <c r="F655" s="5">
        <f>IF($I2="","",INDEX(Productos!$I:$I,$I2))</f>
        <v/>
      </c>
      <c r="G655" s="135" t="n">
        <v>1</v>
      </c>
      <c r="H655" s="5">
        <f>IF($I2="","",INDEX(Productos!$AG:$AG,$I2))</f>
        <v/>
      </c>
      <c r="I655" s="136">
        <f>LET(_xlpm.r,Productos!$E$2:$E$2509,_xlpm.m,IFERROR(_xlfn.XMATCH(C655,_xlpm.r),IFERROR(_xlfn.XMATCH(VALUE(C655),_xlpm.r),0)),IF(_xlpm.m=0,"",_xlpm.m+1))</f>
        <v/>
      </c>
      <c r="J655" s="137" t="inlineStr">
        <is>
          <t>NetSuite</t>
        </is>
      </c>
    </row>
    <row r="656">
      <c r="A656" s="5" t="inlineStr">
        <is>
          <t>PUNTO DE VENTA</t>
        </is>
      </c>
      <c r="B656" s="5">
        <f>IF($I2="","",INDEX(Productos!$A:$A,$I2))</f>
        <v/>
      </c>
      <c r="C656" s="134" t="inlineStr">
        <is>
          <t>9907500-204-40</t>
        </is>
      </c>
      <c r="D656" s="5">
        <f>IF($I2="","",INDEX(Productos!$B:$B,$I2))</f>
        <v/>
      </c>
      <c r="E656" s="5">
        <f>IF($I2="","",INDEX(Productos!$H:$H,$I2))</f>
        <v/>
      </c>
      <c r="F656" s="5">
        <f>IF($I2="","",INDEX(Productos!$I:$I,$I2))</f>
        <v/>
      </c>
      <c r="G656" s="135" t="n">
        <v>1</v>
      </c>
      <c r="H656" s="5">
        <f>IF($I2="","",INDEX(Productos!$AG:$AG,$I2))</f>
        <v/>
      </c>
      <c r="I656" s="136">
        <f>LET(_xlpm.r,Productos!$E$2:$E$2509,_xlpm.m,IFERROR(_xlfn.XMATCH(C656,_xlpm.r),IFERROR(_xlfn.XMATCH(VALUE(C656),_xlpm.r),0)),IF(_xlpm.m=0,"",_xlpm.m+1))</f>
        <v/>
      </c>
      <c r="J656" s="137" t="inlineStr">
        <is>
          <t>NetSuite</t>
        </is>
      </c>
    </row>
    <row r="657">
      <c r="A657" s="5" t="inlineStr">
        <is>
          <t>PUNTO DE VENTA</t>
        </is>
      </c>
      <c r="B657" s="5">
        <f>IF($I2="","",INDEX(Productos!$A:$A,$I2))</f>
        <v/>
      </c>
      <c r="C657" s="134" t="inlineStr">
        <is>
          <t>9907500-204-42</t>
        </is>
      </c>
      <c r="D657" s="5">
        <f>IF($I2="","",INDEX(Productos!$B:$B,$I2))</f>
        <v/>
      </c>
      <c r="E657" s="5">
        <f>IF($I2="","",INDEX(Productos!$H:$H,$I2))</f>
        <v/>
      </c>
      <c r="F657" s="5">
        <f>IF($I2="","",INDEX(Productos!$I:$I,$I2))</f>
        <v/>
      </c>
      <c r="G657" s="135" t="n">
        <v>1</v>
      </c>
      <c r="H657" s="5">
        <f>IF($I2="","",INDEX(Productos!$AG:$AG,$I2))</f>
        <v/>
      </c>
      <c r="I657" s="136">
        <f>LET(_xlpm.r,Productos!$E$2:$E$2509,_xlpm.m,IFERROR(_xlfn.XMATCH(C657,_xlpm.r),IFERROR(_xlfn.XMATCH(VALUE(C657),_xlpm.r),0)),IF(_xlpm.m=0,"",_xlpm.m+1))</f>
        <v/>
      </c>
      <c r="J657" s="137" t="inlineStr">
        <is>
          <t>NetSuite</t>
        </is>
      </c>
    </row>
    <row r="658">
      <c r="A658" s="5" t="inlineStr">
        <is>
          <t>PUNTO DE VENTA</t>
        </is>
      </c>
      <c r="B658" s="5">
        <f>IF($I2="","",INDEX(Productos!$A:$A,$I2))</f>
        <v/>
      </c>
      <c r="C658" s="134" t="inlineStr">
        <is>
          <t>9907500-204-44</t>
        </is>
      </c>
      <c r="D658" s="5">
        <f>IF($I2="","",INDEX(Productos!$B:$B,$I2))</f>
        <v/>
      </c>
      <c r="E658" s="5">
        <f>IF($I2="","",INDEX(Productos!$H:$H,$I2))</f>
        <v/>
      </c>
      <c r="F658" s="5">
        <f>IF($I2="","",INDEX(Productos!$I:$I,$I2))</f>
        <v/>
      </c>
      <c r="G658" s="135" t="n">
        <v>1</v>
      </c>
      <c r="H658" s="5">
        <f>IF($I2="","",INDEX(Productos!$AG:$AG,$I2))</f>
        <v/>
      </c>
      <c r="I658" s="136">
        <f>LET(_xlpm.r,Productos!$E$2:$E$2509,_xlpm.m,IFERROR(_xlfn.XMATCH(C658,_xlpm.r),IFERROR(_xlfn.XMATCH(VALUE(C658),_xlpm.r),0)),IF(_xlpm.m=0,"",_xlpm.m+1))</f>
        <v/>
      </c>
      <c r="J658" s="137" t="inlineStr">
        <is>
          <t>NetSuite</t>
        </is>
      </c>
    </row>
    <row r="659">
      <c r="A659" s="5" t="inlineStr">
        <is>
          <t>PUNTO DE VENTA</t>
        </is>
      </c>
      <c r="B659" s="5">
        <f>IF($I2="","",INDEX(Productos!$A:$A,$I2))</f>
        <v/>
      </c>
      <c r="C659" s="134" t="inlineStr">
        <is>
          <t>9907500-204-46</t>
        </is>
      </c>
      <c r="D659" s="5">
        <f>IF($I2="","",INDEX(Productos!$B:$B,$I2))</f>
        <v/>
      </c>
      <c r="E659" s="5">
        <f>IF($I2="","",INDEX(Productos!$H:$H,$I2))</f>
        <v/>
      </c>
      <c r="F659" s="5">
        <f>IF($I2="","",INDEX(Productos!$I:$I,$I2))</f>
        <v/>
      </c>
      <c r="G659" s="135" t="n">
        <v>1</v>
      </c>
      <c r="H659" s="5">
        <f>IF($I2="","",INDEX(Productos!$AG:$AG,$I2))</f>
        <v/>
      </c>
      <c r="I659" s="136">
        <f>LET(_xlpm.r,Productos!$E$2:$E$2509,_xlpm.m,IFERROR(_xlfn.XMATCH(C659,_xlpm.r),IFERROR(_xlfn.XMATCH(VALUE(C659),_xlpm.r),0)),IF(_xlpm.m=0,"",_xlpm.m+1))</f>
        <v/>
      </c>
      <c r="J659" s="137" t="inlineStr">
        <is>
          <t>NetSuite</t>
        </is>
      </c>
    </row>
    <row r="660">
      <c r="A660" s="5" t="inlineStr">
        <is>
          <t>PUNTO DE VENTA</t>
        </is>
      </c>
      <c r="B660" s="5">
        <f>IF($I2="","",INDEX(Productos!$A:$A,$I2))</f>
        <v/>
      </c>
      <c r="C660" s="134" t="inlineStr">
        <is>
          <t>9915500-625-44</t>
        </is>
      </c>
      <c r="D660" s="5">
        <f>IF($I2="","",INDEX(Productos!$B:$B,$I2))</f>
        <v/>
      </c>
      <c r="E660" s="5">
        <f>IF($I2="","",INDEX(Productos!$H:$H,$I2))</f>
        <v/>
      </c>
      <c r="F660" s="5">
        <f>IF($I2="","",INDEX(Productos!$I:$I,$I2))</f>
        <v/>
      </c>
      <c r="G660" s="135" t="n">
        <v>1</v>
      </c>
      <c r="H660" s="5">
        <f>IF($I2="","",INDEX(Productos!$AG:$AG,$I2))</f>
        <v/>
      </c>
      <c r="I660" s="136">
        <f>LET(_xlpm.r,Productos!$E$2:$E$2509,_xlpm.m,IFERROR(_xlfn.XMATCH(C660,_xlpm.r),IFERROR(_xlfn.XMATCH(VALUE(C660),_xlpm.r),0)),IF(_xlpm.m=0,"",_xlpm.m+1))</f>
        <v/>
      </c>
      <c r="J660" s="137" t="inlineStr">
        <is>
          <t>NetSuite</t>
        </is>
      </c>
    </row>
    <row r="661">
      <c r="A661" s="5" t="inlineStr">
        <is>
          <t>PUNTO DE VENTA</t>
        </is>
      </c>
      <c r="B661" s="5">
        <f>IF($I2="","",INDEX(Productos!$A:$A,$I2))</f>
        <v/>
      </c>
      <c r="C661" s="134" t="inlineStr">
        <is>
          <t>9918500-203-44</t>
        </is>
      </c>
      <c r="D661" s="5">
        <f>IF($I2="","",INDEX(Productos!$B:$B,$I2))</f>
        <v/>
      </c>
      <c r="E661" s="5">
        <f>IF($I2="","",INDEX(Productos!$H:$H,$I2))</f>
        <v/>
      </c>
      <c r="F661" s="5">
        <f>IF($I2="","",INDEX(Productos!$I:$I,$I2))</f>
        <v/>
      </c>
      <c r="G661" s="135" t="n">
        <v>1</v>
      </c>
      <c r="H661" s="5">
        <f>IF($I2="","",INDEX(Productos!$AG:$AG,$I2))</f>
        <v/>
      </c>
      <c r="I661" s="136">
        <f>LET(_xlpm.r,Productos!$E$2:$E$2509,_xlpm.m,IFERROR(_xlfn.XMATCH(C661,_xlpm.r),IFERROR(_xlfn.XMATCH(VALUE(C661),_xlpm.r),0)),IF(_xlpm.m=0,"",_xlpm.m+1))</f>
        <v/>
      </c>
      <c r="J661" s="137" t="inlineStr">
        <is>
          <t>NetSuite</t>
        </is>
      </c>
    </row>
    <row r="662">
      <c r="A662" s="5" t="inlineStr">
        <is>
          <t>PUNTO DE VENTA</t>
        </is>
      </c>
      <c r="B662" s="5">
        <f>IF($I2="","",INDEX(Productos!$A:$A,$I2))</f>
        <v/>
      </c>
      <c r="C662" s="134" t="inlineStr">
        <is>
          <t>9918500-203-46</t>
        </is>
      </c>
      <c r="D662" s="5">
        <f>IF($I2="","",INDEX(Productos!$B:$B,$I2))</f>
        <v/>
      </c>
      <c r="E662" s="5">
        <f>IF($I2="","",INDEX(Productos!$H:$H,$I2))</f>
        <v/>
      </c>
      <c r="F662" s="5">
        <f>IF($I2="","",INDEX(Productos!$I:$I,$I2))</f>
        <v/>
      </c>
      <c r="G662" s="135" t="n">
        <v>1</v>
      </c>
      <c r="H662" s="5">
        <f>IF($I2="","",INDEX(Productos!$AG:$AG,$I2))</f>
        <v/>
      </c>
      <c r="I662" s="136">
        <f>LET(_xlpm.r,Productos!$E$2:$E$2509,_xlpm.m,IFERROR(_xlfn.XMATCH(C662,_xlpm.r),IFERROR(_xlfn.XMATCH(VALUE(C662),_xlpm.r),0)),IF(_xlpm.m=0,"",_xlpm.m+1))</f>
        <v/>
      </c>
      <c r="J662" s="137" t="inlineStr">
        <is>
          <t>NetSuite</t>
        </is>
      </c>
    </row>
    <row r="663">
      <c r="A663" s="5" t="inlineStr">
        <is>
          <t>PUNTO DE VENTA</t>
        </is>
      </c>
      <c r="B663" s="5">
        <f>IF($I2="","",INDEX(Productos!$A:$A,$I2))</f>
        <v/>
      </c>
      <c r="C663" s="134" t="inlineStr">
        <is>
          <t>SBAPCH-75400767</t>
        </is>
      </c>
      <c r="D663" s="5">
        <f>IF($I2="","",INDEX(Productos!$B:$B,$I2))</f>
        <v/>
      </c>
      <c r="E663" s="5">
        <f>IF($I2="","",INDEX(Productos!$H:$H,$I2))</f>
        <v/>
      </c>
      <c r="F663" s="5">
        <f>IF($I2="","",INDEX(Productos!$I:$I,$I2))</f>
        <v/>
      </c>
      <c r="G663" s="135" t="n">
        <v>-1</v>
      </c>
      <c r="H663" s="5">
        <f>IF($I2="","",INDEX(Productos!$AG:$AG,$I2))</f>
        <v/>
      </c>
      <c r="I663" s="136">
        <f>LET(_xlpm.r,Productos!$E$2:$E$2509,_xlpm.m,IFERROR(_xlfn.XMATCH(C663,_xlpm.r),IFERROR(_xlfn.XMATCH(VALUE(C663),_xlpm.r),0)),IF(_xlpm.m=0,"",_xlpm.m+1))</f>
        <v/>
      </c>
      <c r="J663" s="137" t="inlineStr">
        <is>
          <t>NetSuite</t>
        </is>
      </c>
    </row>
    <row r="664">
      <c r="A664" s="5" t="inlineStr">
        <is>
          <t>PUNTO DE VENTA</t>
        </is>
      </c>
      <c r="B664" s="5">
        <f>IF($I2="","",INDEX(Productos!$A:$A,$I2))</f>
        <v/>
      </c>
      <c r="C664" s="134" t="inlineStr">
        <is>
          <t>SBAPCH-75400770</t>
        </is>
      </c>
      <c r="D664" s="5">
        <f>IF($I2="","",INDEX(Productos!$B:$B,$I2))</f>
        <v/>
      </c>
      <c r="E664" s="5">
        <f>IF($I2="","",INDEX(Productos!$H:$H,$I2))</f>
        <v/>
      </c>
      <c r="F664" s="5">
        <f>IF($I2="","",INDEX(Productos!$I:$I,$I2))</f>
        <v/>
      </c>
      <c r="G664" s="135" t="n">
        <v>-1</v>
      </c>
      <c r="H664" s="5">
        <f>IF($I2="","",INDEX(Productos!$AG:$AG,$I2))</f>
        <v/>
      </c>
      <c r="I664" s="136">
        <f>LET(_xlpm.r,Productos!$E$2:$E$2509,_xlpm.m,IFERROR(_xlfn.XMATCH(C664,_xlpm.r),IFERROR(_xlfn.XMATCH(VALUE(C664),_xlpm.r),0)),IF(_xlpm.m=0,"",_xlpm.m+1))</f>
        <v/>
      </c>
      <c r="J664" s="137" t="inlineStr">
        <is>
          <t>NetSuite</t>
        </is>
      </c>
    </row>
    <row r="665">
      <c r="A665" s="5" t="inlineStr">
        <is>
          <t>PUNTO DE VENTA</t>
        </is>
      </c>
      <c r="B665" s="5">
        <f>IF($I2="","",INDEX(Productos!$A:$A,$I2))</f>
        <v/>
      </c>
      <c r="C665" s="134" t="inlineStr">
        <is>
          <t>SBAPCH-75400771</t>
        </is>
      </c>
      <c r="D665" s="5">
        <f>IF($I2="","",INDEX(Productos!$B:$B,$I2))</f>
        <v/>
      </c>
      <c r="E665" s="5">
        <f>IF($I2="","",INDEX(Productos!$H:$H,$I2))</f>
        <v/>
      </c>
      <c r="F665" s="5">
        <f>IF($I2="","",INDEX(Productos!$I:$I,$I2))</f>
        <v/>
      </c>
      <c r="G665" s="135" t="n">
        <v>-1</v>
      </c>
      <c r="H665" s="5">
        <f>IF($I2="","",INDEX(Productos!$AG:$AG,$I2))</f>
        <v/>
      </c>
      <c r="I665" s="136">
        <f>LET(_xlpm.r,Productos!$E$2:$E$2509,_xlpm.m,IFERROR(_xlfn.XMATCH(C665,_xlpm.r),IFERROR(_xlfn.XMATCH(VALUE(C665),_xlpm.r),0)),IF(_xlpm.m=0,"",_xlpm.m+1))</f>
        <v/>
      </c>
      <c r="J665" s="137" t="inlineStr">
        <is>
          <t>NetSuite</t>
        </is>
      </c>
    </row>
    <row r="666">
      <c r="A666" s="5" t="inlineStr">
        <is>
          <t>PUNTO DE VENTA</t>
        </is>
      </c>
      <c r="B666" s="5">
        <f>IF($I2="","",INDEX(Productos!$A:$A,$I2))</f>
        <v/>
      </c>
      <c r="C666" s="134" t="inlineStr">
        <is>
          <t>SBAPCH-75400772</t>
        </is>
      </c>
      <c r="D666" s="5">
        <f>IF($I2="","",INDEX(Productos!$B:$B,$I2))</f>
        <v/>
      </c>
      <c r="E666" s="5">
        <f>IF($I2="","",INDEX(Productos!$H:$H,$I2))</f>
        <v/>
      </c>
      <c r="F666" s="5">
        <f>IF($I2="","",INDEX(Productos!$I:$I,$I2))</f>
        <v/>
      </c>
      <c r="G666" s="135" t="n">
        <v>-1</v>
      </c>
      <c r="H666" s="5">
        <f>IF($I2="","",INDEX(Productos!$AG:$AG,$I2))</f>
        <v/>
      </c>
      <c r="I666" s="136">
        <f>LET(_xlpm.r,Productos!$E$2:$E$2509,_xlpm.m,IFERROR(_xlfn.XMATCH(C666,_xlpm.r),IFERROR(_xlfn.XMATCH(VALUE(C666),_xlpm.r),0)),IF(_xlpm.m=0,"",_xlpm.m+1))</f>
        <v/>
      </c>
      <c r="J666" s="137" t="inlineStr">
        <is>
          <t>NetSuite</t>
        </is>
      </c>
    </row>
    <row r="667">
      <c r="A667" s="5" t="inlineStr">
        <is>
          <t>PUNTO DE VENTA</t>
        </is>
      </c>
      <c r="B667" s="5">
        <f>IF($I2="","",INDEX(Productos!$A:$A,$I2))</f>
        <v/>
      </c>
      <c r="C667" s="134" t="inlineStr">
        <is>
          <t>SBAPCH-75400773</t>
        </is>
      </c>
      <c r="D667" s="5">
        <f>IF($I2="","",INDEX(Productos!$B:$B,$I2))</f>
        <v/>
      </c>
      <c r="E667" s="5">
        <f>IF($I2="","",INDEX(Productos!$H:$H,$I2))</f>
        <v/>
      </c>
      <c r="F667" s="5">
        <f>IF($I2="","",INDEX(Productos!$I:$I,$I2))</f>
        <v/>
      </c>
      <c r="G667" s="135" t="n">
        <v>-1</v>
      </c>
      <c r="H667" s="5">
        <f>IF($I2="","",INDEX(Productos!$AG:$AG,$I2))</f>
        <v/>
      </c>
      <c r="I667" s="136">
        <f>LET(_xlpm.r,Productos!$E$2:$E$2509,_xlpm.m,IFERROR(_xlfn.XMATCH(C667,_xlpm.r),IFERROR(_xlfn.XMATCH(VALUE(C667),_xlpm.r),0)),IF(_xlpm.m=0,"",_xlpm.m+1))</f>
        <v/>
      </c>
      <c r="J667" s="137" t="inlineStr">
        <is>
          <t>NetSuite</t>
        </is>
      </c>
    </row>
    <row r="668">
      <c r="A668" s="5" t="inlineStr">
        <is>
          <t>PUNTO DE VENTA</t>
        </is>
      </c>
      <c r="B668" s="5">
        <f>IF($I2="","",INDEX(Productos!$A:$A,$I2))</f>
        <v/>
      </c>
      <c r="C668" s="134" t="inlineStr">
        <is>
          <t>SBAPCH-75402371</t>
        </is>
      </c>
      <c r="D668" s="5">
        <f>IF($I2="","",INDEX(Productos!$B:$B,$I2))</f>
        <v/>
      </c>
      <c r="E668" s="5">
        <f>IF($I2="","",INDEX(Productos!$H:$H,$I2))</f>
        <v/>
      </c>
      <c r="F668" s="5">
        <f>IF($I2="","",INDEX(Productos!$I:$I,$I2))</f>
        <v/>
      </c>
      <c r="G668" s="135" t="n">
        <v>-1</v>
      </c>
      <c r="H668" s="5">
        <f>IF($I2="","",INDEX(Productos!$AG:$AG,$I2))</f>
        <v/>
      </c>
      <c r="I668" s="136">
        <f>LET(_xlpm.r,Productos!$E$2:$E$2509,_xlpm.m,IFERROR(_xlfn.XMATCH(C668,_xlpm.r),IFERROR(_xlfn.XMATCH(VALUE(C668),_xlpm.r),0)),IF(_xlpm.m=0,"",_xlpm.m+1))</f>
        <v/>
      </c>
      <c r="J668" s="137" t="inlineStr">
        <is>
          <t>NetSuite</t>
        </is>
      </c>
    </row>
    <row r="669">
      <c r="A669" s="5" t="inlineStr">
        <is>
          <t>PUNTO DE VENTA</t>
        </is>
      </c>
      <c r="B669" s="5">
        <f>IF($I2="","",INDEX(Productos!$A:$A,$I2))</f>
        <v/>
      </c>
      <c r="C669" s="134" t="inlineStr">
        <is>
          <t>SBAPCH-75402372</t>
        </is>
      </c>
      <c r="D669" s="5">
        <f>IF($I2="","",INDEX(Productos!$B:$B,$I2))</f>
        <v/>
      </c>
      <c r="E669" s="5">
        <f>IF($I2="","",INDEX(Productos!$H:$H,$I2))</f>
        <v/>
      </c>
      <c r="F669" s="5">
        <f>IF($I2="","",INDEX(Productos!$I:$I,$I2))</f>
        <v/>
      </c>
      <c r="G669" s="135" t="n">
        <v>-1</v>
      </c>
      <c r="H669" s="5">
        <f>IF($I2="","",INDEX(Productos!$AG:$AG,$I2))</f>
        <v/>
      </c>
      <c r="I669" s="136">
        <f>LET(_xlpm.r,Productos!$E$2:$E$2509,_xlpm.m,IFERROR(_xlfn.XMATCH(C669,_xlpm.r),IFERROR(_xlfn.XMATCH(VALUE(C669),_xlpm.r),0)),IF(_xlpm.m=0,"",_xlpm.m+1))</f>
        <v/>
      </c>
      <c r="J669" s="137" t="inlineStr">
        <is>
          <t>NetSuite</t>
        </is>
      </c>
    </row>
    <row r="670">
      <c r="A670" s="5" t="inlineStr">
        <is>
          <t>PUNTO DE VENTA</t>
        </is>
      </c>
      <c r="B670" s="5">
        <f>IF($I2="","",INDEX(Productos!$A:$A,$I2))</f>
        <v/>
      </c>
      <c r="C670" s="134" t="inlineStr">
        <is>
          <t>SFASPN-41342272</t>
        </is>
      </c>
      <c r="D670" s="5">
        <f>IF($I2="","",INDEX(Productos!$B:$B,$I2))</f>
        <v/>
      </c>
      <c r="E670" s="5">
        <f>IF($I2="","",INDEX(Productos!$H:$H,$I2))</f>
        <v/>
      </c>
      <c r="F670" s="5">
        <f>IF($I2="","",INDEX(Productos!$I:$I,$I2))</f>
        <v/>
      </c>
      <c r="G670" s="135" t="n">
        <v>-1</v>
      </c>
      <c r="H670" s="5">
        <f>IF($I2="","",INDEX(Productos!$AG:$AG,$I2))</f>
        <v/>
      </c>
      <c r="I670" s="136">
        <f>LET(_xlpm.r,Productos!$E$2:$E$2509,_xlpm.m,IFERROR(_xlfn.XMATCH(C670,_xlpm.r),IFERROR(_xlfn.XMATCH(VALUE(C670),_xlpm.r),0)),IF(_xlpm.m=0,"",_xlpm.m+1))</f>
        <v/>
      </c>
      <c r="J670" s="137" t="inlineStr">
        <is>
          <t>NetSuite</t>
        </is>
      </c>
    </row>
    <row r="671">
      <c r="A671" s="5" t="inlineStr">
        <is>
          <t>PUNTO DE VENTA</t>
        </is>
      </c>
      <c r="B671" s="5">
        <f>IF($I2="","",INDEX(Productos!$A:$A,$I2))</f>
        <v/>
      </c>
      <c r="C671" s="134" t="inlineStr">
        <is>
          <t>SFASPN-41342273</t>
        </is>
      </c>
      <c r="D671" s="5">
        <f>IF($I2="","",INDEX(Productos!$B:$B,$I2))</f>
        <v/>
      </c>
      <c r="E671" s="5">
        <f>IF($I2="","",INDEX(Productos!$H:$H,$I2))</f>
        <v/>
      </c>
      <c r="F671" s="5">
        <f>IF($I2="","",INDEX(Productos!$I:$I,$I2))</f>
        <v/>
      </c>
      <c r="G671" s="135" t="n">
        <v>-1</v>
      </c>
      <c r="H671" s="5">
        <f>IF($I2="","",INDEX(Productos!$AG:$AG,$I2))</f>
        <v/>
      </c>
      <c r="I671" s="136">
        <f>LET(_xlpm.r,Productos!$E$2:$E$2509,_xlpm.m,IFERROR(_xlfn.XMATCH(C671,_xlpm.r),IFERROR(_xlfn.XMATCH(VALUE(C671),_xlpm.r),0)),IF(_xlpm.m=0,"",_xlpm.m+1))</f>
        <v/>
      </c>
      <c r="J671" s="137" t="inlineStr">
        <is>
          <t>NetSuite</t>
        </is>
      </c>
    </row>
    <row r="672">
      <c r="A672" s="5" t="inlineStr">
        <is>
          <t>PUNTO DE VENTA</t>
        </is>
      </c>
      <c r="B672" s="5">
        <f>IF($I2="","",INDEX(Productos!$A:$A,$I2))</f>
        <v/>
      </c>
      <c r="C672" s="134" t="inlineStr">
        <is>
          <t>SFCRSN-40346170</t>
        </is>
      </c>
      <c r="D672" s="5">
        <f>IF($I2="","",INDEX(Productos!$B:$B,$I2))</f>
        <v/>
      </c>
      <c r="E672" s="5">
        <f>IF($I2="","",INDEX(Productos!$H:$H,$I2))</f>
        <v/>
      </c>
      <c r="F672" s="5">
        <f>IF($I2="","",INDEX(Productos!$I:$I,$I2))</f>
        <v/>
      </c>
      <c r="G672" s="135" t="n">
        <v>-1</v>
      </c>
      <c r="H672" s="5">
        <f>IF($I2="","",INDEX(Productos!$AG:$AG,$I2))</f>
        <v/>
      </c>
      <c r="I672" s="136">
        <f>LET(_xlpm.r,Productos!$E$2:$E$2509,_xlpm.m,IFERROR(_xlfn.XMATCH(C672,_xlpm.r),IFERROR(_xlfn.XMATCH(VALUE(C672),_xlpm.r),0)),IF(_xlpm.m=0,"",_xlpm.m+1))</f>
        <v/>
      </c>
      <c r="J672" s="137" t="inlineStr">
        <is>
          <t>NetSuite</t>
        </is>
      </c>
    </row>
    <row r="673">
      <c r="A673" s="5" t="inlineStr">
        <is>
          <t>PUNTO DE VENTA</t>
        </is>
      </c>
      <c r="B673" s="5">
        <f>IF($I2="","",INDEX(Productos!$A:$A,$I2))</f>
        <v/>
      </c>
      <c r="C673" s="134" t="inlineStr">
        <is>
          <t>SFCRSN-40346171</t>
        </is>
      </c>
      <c r="D673" s="5">
        <f>IF($I2="","",INDEX(Productos!$B:$B,$I2))</f>
        <v/>
      </c>
      <c r="E673" s="5">
        <f>IF($I2="","",INDEX(Productos!$H:$H,$I2))</f>
        <v/>
      </c>
      <c r="F673" s="5">
        <f>IF($I2="","",INDEX(Productos!$I:$I,$I2))</f>
        <v/>
      </c>
      <c r="G673" s="135" t="n">
        <v>-1</v>
      </c>
      <c r="H673" s="5">
        <f>IF($I2="","",INDEX(Productos!$AG:$AG,$I2))</f>
        <v/>
      </c>
      <c r="I673" s="136">
        <f>LET(_xlpm.r,Productos!$E$2:$E$2509,_xlpm.m,IFERROR(_xlfn.XMATCH(C673,_xlpm.r),IFERROR(_xlfn.XMATCH(VALUE(C673),_xlpm.r),0)),IF(_xlpm.m=0,"",_xlpm.m+1))</f>
        <v/>
      </c>
      <c r="J673" s="137" t="inlineStr">
        <is>
          <t>NetSuite</t>
        </is>
      </c>
    </row>
    <row r="674">
      <c r="A674" s="5" t="inlineStr">
        <is>
          <t>PUNTO DE VENTA</t>
        </is>
      </c>
      <c r="B674" s="5">
        <f>IF($I2="","",INDEX(Productos!$A:$A,$I2))</f>
        <v/>
      </c>
      <c r="C674" s="134" t="inlineStr">
        <is>
          <t>SFDMTE-48406171</t>
        </is>
      </c>
      <c r="D674" s="5">
        <f>IF($I2="","",INDEX(Productos!$B:$B,$I2))</f>
        <v/>
      </c>
      <c r="E674" s="5">
        <f>IF($I2="","",INDEX(Productos!$H:$H,$I2))</f>
        <v/>
      </c>
      <c r="F674" s="5">
        <f>IF($I2="","",INDEX(Productos!$I:$I,$I2))</f>
        <v/>
      </c>
      <c r="G674" s="135" t="n">
        <v>-1</v>
      </c>
      <c r="H674" s="5">
        <f>IF($I2="","",INDEX(Productos!$AG:$AG,$I2))</f>
        <v/>
      </c>
      <c r="I674" s="136">
        <f>LET(_xlpm.r,Productos!$E$2:$E$2509,_xlpm.m,IFERROR(_xlfn.XMATCH(C674,_xlpm.r),IFERROR(_xlfn.XMATCH(VALUE(C674),_xlpm.r),0)),IF(_xlpm.m=0,"",_xlpm.m+1))</f>
        <v/>
      </c>
      <c r="J674" s="137" t="inlineStr">
        <is>
          <t>NetSuite</t>
        </is>
      </c>
    </row>
    <row r="675">
      <c r="A675" s="5" t="inlineStr">
        <is>
          <t>PUNTO DE VENTA</t>
        </is>
      </c>
      <c r="B675" s="5">
        <f>IF($I2="","",INDEX(Productos!$A:$A,$I2))</f>
        <v/>
      </c>
      <c r="C675" s="134" t="inlineStr">
        <is>
          <t>SFDMTE-48406172</t>
        </is>
      </c>
      <c r="D675" s="5">
        <f>IF($I2="","",INDEX(Productos!$B:$B,$I2))</f>
        <v/>
      </c>
      <c r="E675" s="5">
        <f>IF($I2="","",INDEX(Productos!$H:$H,$I2))</f>
        <v/>
      </c>
      <c r="F675" s="5">
        <f>IF($I2="","",INDEX(Productos!$I:$I,$I2))</f>
        <v/>
      </c>
      <c r="G675" s="135" t="n">
        <v>-1</v>
      </c>
      <c r="H675" s="5">
        <f>IF($I2="","",INDEX(Productos!$AG:$AG,$I2))</f>
        <v/>
      </c>
      <c r="I675" s="136">
        <f>LET(_xlpm.r,Productos!$E$2:$E$2509,_xlpm.m,IFERROR(_xlfn.XMATCH(C675,_xlpm.r),IFERROR(_xlfn.XMATCH(VALUE(C675),_xlpm.r),0)),IF(_xlpm.m=0,"",_xlpm.m+1))</f>
        <v/>
      </c>
      <c r="J675" s="137" t="inlineStr">
        <is>
          <t>NetSuite</t>
        </is>
      </c>
    </row>
    <row r="676">
      <c r="A676" s="5" t="inlineStr">
        <is>
          <t>PUNTO DE VENTA</t>
        </is>
      </c>
      <c r="B676" s="5">
        <f>IF($I2="","",INDEX(Productos!$A:$A,$I2))</f>
        <v/>
      </c>
      <c r="C676" s="134" t="inlineStr">
        <is>
          <t>SFELAM-48406171</t>
        </is>
      </c>
      <c r="D676" s="5">
        <f>IF($I2="","",INDEX(Productos!$B:$B,$I2))</f>
        <v/>
      </c>
      <c r="E676" s="5">
        <f>IF($I2="","",INDEX(Productos!$H:$H,$I2))</f>
        <v/>
      </c>
      <c r="F676" s="5">
        <f>IF($I2="","",INDEX(Productos!$I:$I,$I2))</f>
        <v/>
      </c>
      <c r="G676" s="135" t="n">
        <v>-1</v>
      </c>
      <c r="H676" s="5">
        <f>IF($I2="","",INDEX(Productos!$AG:$AG,$I2))</f>
        <v/>
      </c>
      <c r="I676" s="136">
        <f>LET(_xlpm.r,Productos!$E$2:$E$2509,_xlpm.m,IFERROR(_xlfn.XMATCH(C676,_xlpm.r),IFERROR(_xlfn.XMATCH(VALUE(C676),_xlpm.r),0)),IF(_xlpm.m=0,"",_xlpm.m+1))</f>
        <v/>
      </c>
      <c r="J676" s="137" t="inlineStr">
        <is>
          <t>NetSuite</t>
        </is>
      </c>
    </row>
    <row r="677">
      <c r="A677" s="5" t="inlineStr">
        <is>
          <t>PUNTO DE VENTA</t>
        </is>
      </c>
      <c r="B677" s="5">
        <f>IF($I2="","",INDEX(Productos!$A:$A,$I2))</f>
        <v/>
      </c>
      <c r="C677" s="134" t="inlineStr">
        <is>
          <t>SFEPTN-48400773</t>
        </is>
      </c>
      <c r="D677" s="5">
        <f>IF($I2="","",INDEX(Productos!$B:$B,$I2))</f>
        <v/>
      </c>
      <c r="E677" s="5">
        <f>IF($I2="","",INDEX(Productos!$H:$H,$I2))</f>
        <v/>
      </c>
      <c r="F677" s="5">
        <f>IF($I2="","",INDEX(Productos!$I:$I,$I2))</f>
        <v/>
      </c>
      <c r="G677" s="135" t="n">
        <v>-1</v>
      </c>
      <c r="H677" s="5">
        <f>IF($I2="","",INDEX(Productos!$AG:$AG,$I2))</f>
        <v/>
      </c>
      <c r="I677" s="136">
        <f>LET(_xlpm.r,Productos!$E$2:$E$2509,_xlpm.m,IFERROR(_xlfn.XMATCH(C677,_xlpm.r),IFERROR(_xlfn.XMATCH(VALUE(C677),_xlpm.r),0)),IF(_xlpm.m=0,"",_xlpm.m+1))</f>
        <v/>
      </c>
      <c r="J677" s="137" t="inlineStr">
        <is>
          <t>NetSuite</t>
        </is>
      </c>
    </row>
    <row r="678">
      <c r="A678" s="5" t="inlineStr">
        <is>
          <t>PUNTO DE VENTA</t>
        </is>
      </c>
      <c r="B678" s="5">
        <f>IF($I2="","",INDEX(Productos!$A:$A,$I2))</f>
        <v/>
      </c>
      <c r="C678" s="134" t="inlineStr">
        <is>
          <t>SFG160-01400773</t>
        </is>
      </c>
      <c r="D678" s="5">
        <f>IF($I2="","",INDEX(Productos!$B:$B,$I2))</f>
        <v/>
      </c>
      <c r="E678" s="5">
        <f>IF($I2="","",INDEX(Productos!$H:$H,$I2))</f>
        <v/>
      </c>
      <c r="F678" s="5">
        <f>IF($I2="","",INDEX(Productos!$I:$I,$I2))</f>
        <v/>
      </c>
      <c r="G678" s="135" t="n">
        <v>-1</v>
      </c>
      <c r="H678" s="5">
        <f>IF($I2="","",INDEX(Productos!$AG:$AG,$I2))</f>
        <v/>
      </c>
      <c r="I678" s="136">
        <f>LET(_xlpm.r,Productos!$E$2:$E$2509,_xlpm.m,IFERROR(_xlfn.XMATCH(C678,_xlpm.r),IFERROR(_xlfn.XMATCH(VALUE(C678),_xlpm.r),0)),IF(_xlpm.m=0,"",_xlpm.m+1))</f>
        <v/>
      </c>
      <c r="J678" s="137" t="inlineStr">
        <is>
          <t>NetSuite</t>
        </is>
      </c>
    </row>
    <row r="679">
      <c r="A679" s="5" t="inlineStr">
        <is>
          <t>PUNTO DE VENTA</t>
        </is>
      </c>
      <c r="B679" s="5">
        <f>IF($I2="","",INDEX(Productos!$A:$A,$I2))</f>
        <v/>
      </c>
      <c r="C679" s="134" t="inlineStr">
        <is>
          <t>SFGUDL-48400771</t>
        </is>
      </c>
      <c r="D679" s="5">
        <f>IF($I2="","",INDEX(Productos!$B:$B,$I2))</f>
        <v/>
      </c>
      <c r="E679" s="5">
        <f>IF($I2="","",INDEX(Productos!$H:$H,$I2))</f>
        <v/>
      </c>
      <c r="F679" s="5">
        <f>IF($I2="","",INDEX(Productos!$I:$I,$I2))</f>
        <v/>
      </c>
      <c r="G679" s="135" t="n">
        <v>-2</v>
      </c>
      <c r="H679" s="5">
        <f>IF($I2="","",INDEX(Productos!$AG:$AG,$I2))</f>
        <v/>
      </c>
      <c r="I679" s="136">
        <f>LET(_xlpm.r,Productos!$E$2:$E$2509,_xlpm.m,IFERROR(_xlfn.XMATCH(C679,_xlpm.r),IFERROR(_xlfn.XMATCH(VALUE(C679),_xlpm.r),0)),IF(_xlpm.m=0,"",_xlpm.m+1))</f>
        <v/>
      </c>
      <c r="J679" s="137" t="inlineStr">
        <is>
          <t>NetSuite</t>
        </is>
      </c>
    </row>
    <row r="680">
      <c r="A680" s="5" t="inlineStr">
        <is>
          <t>PUNTO DE VENTA</t>
        </is>
      </c>
      <c r="B680" s="5">
        <f>IF($I2="","",INDEX(Productos!$A:$A,$I2))</f>
        <v/>
      </c>
      <c r="C680" s="134" t="inlineStr">
        <is>
          <t>SFGUDL-48400772</t>
        </is>
      </c>
      <c r="D680" s="5">
        <f>IF($I2="","",INDEX(Productos!$B:$B,$I2))</f>
        <v/>
      </c>
      <c r="E680" s="5">
        <f>IF($I2="","",INDEX(Productos!$H:$H,$I2))</f>
        <v/>
      </c>
      <c r="F680" s="5">
        <f>IF($I2="","",INDEX(Productos!$I:$I,$I2))</f>
        <v/>
      </c>
      <c r="G680" s="135" t="n">
        <v>-2</v>
      </c>
      <c r="H680" s="5">
        <f>IF($I2="","",INDEX(Productos!$AG:$AG,$I2))</f>
        <v/>
      </c>
      <c r="I680" s="136">
        <f>LET(_xlpm.r,Productos!$E$2:$E$2509,_xlpm.m,IFERROR(_xlfn.XMATCH(C680,_xlpm.r),IFERROR(_xlfn.XMATCH(VALUE(C680),_xlpm.r),0)),IF(_xlpm.m=0,"",_xlpm.m+1))</f>
        <v/>
      </c>
      <c r="J680" s="137" t="inlineStr">
        <is>
          <t>NetSuite</t>
        </is>
      </c>
    </row>
    <row r="681">
      <c r="A681" s="5" t="inlineStr">
        <is>
          <t>PUNTO DE VENTA</t>
        </is>
      </c>
      <c r="B681" s="5">
        <f>IF($I2="","",INDEX(Productos!$A:$A,$I2))</f>
        <v/>
      </c>
      <c r="C681" s="134" t="inlineStr">
        <is>
          <t>SFGUDL-48400773</t>
        </is>
      </c>
      <c r="D681" s="5">
        <f>IF($I2="","",INDEX(Productos!$B:$B,$I2))</f>
        <v/>
      </c>
      <c r="E681" s="5">
        <f>IF($I2="","",INDEX(Productos!$H:$H,$I2))</f>
        <v/>
      </c>
      <c r="F681" s="5">
        <f>IF($I2="","",INDEX(Productos!$I:$I,$I2))</f>
        <v/>
      </c>
      <c r="G681" s="135" t="n">
        <v>-2</v>
      </c>
      <c r="H681" s="5">
        <f>IF($I2="","",INDEX(Productos!$AG:$AG,$I2))</f>
        <v/>
      </c>
      <c r="I681" s="136">
        <f>LET(_xlpm.r,Productos!$E$2:$E$2509,_xlpm.m,IFERROR(_xlfn.XMATCH(C681,_xlpm.r),IFERROR(_xlfn.XMATCH(VALUE(C681),_xlpm.r),0)),IF(_xlpm.m=0,"",_xlpm.m+1))</f>
        <v/>
      </c>
      <c r="J681" s="137" t="inlineStr">
        <is>
          <t>NetSuite</t>
        </is>
      </c>
    </row>
    <row r="682">
      <c r="A682" s="5" t="inlineStr">
        <is>
          <t>PUNTO DE VENTA</t>
        </is>
      </c>
      <c r="B682" s="5">
        <f>IF($I2="","",INDEX(Productos!$A:$A,$I2))</f>
        <v/>
      </c>
      <c r="C682" s="134" t="inlineStr">
        <is>
          <t>SFGUDL-48406170</t>
        </is>
      </c>
      <c r="D682" s="5">
        <f>IF($I2="","",INDEX(Productos!$B:$B,$I2))</f>
        <v/>
      </c>
      <c r="E682" s="5">
        <f>IF($I2="","",INDEX(Productos!$H:$H,$I2))</f>
        <v/>
      </c>
      <c r="F682" s="5">
        <f>IF($I2="","",INDEX(Productos!$I:$I,$I2))</f>
        <v/>
      </c>
      <c r="G682" s="135" t="n">
        <v>-1</v>
      </c>
      <c r="H682" s="5">
        <f>IF($I2="","",INDEX(Productos!$AG:$AG,$I2))</f>
        <v/>
      </c>
      <c r="I682" s="136">
        <f>LET(_xlpm.r,Productos!$E$2:$E$2509,_xlpm.m,IFERROR(_xlfn.XMATCH(C682,_xlpm.r),IFERROR(_xlfn.XMATCH(VALUE(C682),_xlpm.r),0)),IF(_xlpm.m=0,"",_xlpm.m+1))</f>
        <v/>
      </c>
      <c r="J682" s="137" t="inlineStr">
        <is>
          <t>NetSuite</t>
        </is>
      </c>
    </row>
    <row r="683">
      <c r="A683" s="5" t="inlineStr">
        <is>
          <t>PUNTO DE VENTA</t>
        </is>
      </c>
      <c r="B683" s="5">
        <f>IF($I2="","",INDEX(Productos!$A:$A,$I2))</f>
        <v/>
      </c>
      <c r="C683" s="134" t="inlineStr">
        <is>
          <t>SFGUDL-48406171</t>
        </is>
      </c>
      <c r="D683" s="5">
        <f>IF($I2="","",INDEX(Productos!$B:$B,$I2))</f>
        <v/>
      </c>
      <c r="E683" s="5">
        <f>IF($I2="","",INDEX(Productos!$H:$H,$I2))</f>
        <v/>
      </c>
      <c r="F683" s="5">
        <f>IF($I2="","",INDEX(Productos!$I:$I,$I2))</f>
        <v/>
      </c>
      <c r="G683" s="135" t="n">
        <v>-1</v>
      </c>
      <c r="H683" s="5">
        <f>IF($I2="","",INDEX(Productos!$AG:$AG,$I2))</f>
        <v/>
      </c>
      <c r="I683" s="136">
        <f>LET(_xlpm.r,Productos!$E$2:$E$2509,_xlpm.m,IFERROR(_xlfn.XMATCH(C683,_xlpm.r),IFERROR(_xlfn.XMATCH(VALUE(C683),_xlpm.r),0)),IF(_xlpm.m=0,"",_xlpm.m+1))</f>
        <v/>
      </c>
      <c r="J683" s="137" t="inlineStr">
        <is>
          <t>NetSuite</t>
        </is>
      </c>
    </row>
    <row r="684">
      <c r="A684" s="5" t="inlineStr">
        <is>
          <t>PUNTO DE VENTA</t>
        </is>
      </c>
      <c r="B684" s="5">
        <f>IF($I2="","",INDEX(Productos!$A:$A,$I2))</f>
        <v/>
      </c>
      <c r="C684" s="134" t="inlineStr">
        <is>
          <t>SFGUDL-48406172</t>
        </is>
      </c>
      <c r="D684" s="5">
        <f>IF($I2="","",INDEX(Productos!$B:$B,$I2))</f>
        <v/>
      </c>
      <c r="E684" s="5">
        <f>IF($I2="","",INDEX(Productos!$H:$H,$I2))</f>
        <v/>
      </c>
      <c r="F684" s="5">
        <f>IF($I2="","",INDEX(Productos!$I:$I,$I2))</f>
        <v/>
      </c>
      <c r="G684" s="135" t="n">
        <v>-1</v>
      </c>
      <c r="H684" s="5">
        <f>IF($I2="","",INDEX(Productos!$AG:$AG,$I2))</f>
        <v/>
      </c>
      <c r="I684" s="136">
        <f>LET(_xlpm.r,Productos!$E$2:$E$2509,_xlpm.m,IFERROR(_xlfn.XMATCH(C684,_xlpm.r),IFERROR(_xlfn.XMATCH(VALUE(C684),_xlpm.r),0)),IF(_xlpm.m=0,"",_xlpm.m+1))</f>
        <v/>
      </c>
      <c r="J684" s="137" t="inlineStr">
        <is>
          <t>NetSuite</t>
        </is>
      </c>
    </row>
    <row r="685">
      <c r="A685" s="5" t="inlineStr">
        <is>
          <t>PUNTO DE VENTA</t>
        </is>
      </c>
      <c r="B685" s="5">
        <f>IF($I2="","",INDEX(Productos!$A:$A,$I2))</f>
        <v/>
      </c>
      <c r="C685" s="134" t="inlineStr">
        <is>
          <t>SFGUDL-48406173</t>
        </is>
      </c>
      <c r="D685" s="5">
        <f>IF($I2="","",INDEX(Productos!$B:$B,$I2))</f>
        <v/>
      </c>
      <c r="E685" s="5">
        <f>IF($I2="","",INDEX(Productos!$H:$H,$I2))</f>
        <v/>
      </c>
      <c r="F685" s="5">
        <f>IF($I2="","",INDEX(Productos!$I:$I,$I2))</f>
        <v/>
      </c>
      <c r="G685" s="135" t="n">
        <v>-1</v>
      </c>
      <c r="H685" s="5">
        <f>IF($I2="","",INDEX(Productos!$AG:$AG,$I2))</f>
        <v/>
      </c>
      <c r="I685" s="136">
        <f>LET(_xlpm.r,Productos!$E$2:$E$2509,_xlpm.m,IFERROR(_xlfn.XMATCH(C685,_xlpm.r),IFERROR(_xlfn.XMATCH(VALUE(C685),_xlpm.r),0)),IF(_xlpm.m=0,"",_xlpm.m+1))</f>
        <v/>
      </c>
      <c r="J685" s="137" t="inlineStr">
        <is>
          <t>NetSuite</t>
        </is>
      </c>
    </row>
    <row r="686">
      <c r="A686" s="5" t="inlineStr">
        <is>
          <t>PUNTO DE VENTA</t>
        </is>
      </c>
      <c r="B686" s="5">
        <f>IF($I2="","",INDEX(Productos!$A:$A,$I2))</f>
        <v/>
      </c>
      <c r="C686" s="134" t="inlineStr">
        <is>
          <t>SFMZCL-01404872</t>
        </is>
      </c>
      <c r="D686" s="5">
        <f>IF($I2="","",INDEX(Productos!$B:$B,$I2))</f>
        <v/>
      </c>
      <c r="E686" s="5">
        <f>IF($I2="","",INDEX(Productos!$H:$H,$I2))</f>
        <v/>
      </c>
      <c r="F686" s="5">
        <f>IF($I2="","",INDEX(Productos!$I:$I,$I2))</f>
        <v/>
      </c>
      <c r="G686" s="135" t="n">
        <v>-1</v>
      </c>
      <c r="H686" s="5">
        <f>IF($I2="","",INDEX(Productos!$AG:$AG,$I2))</f>
        <v/>
      </c>
      <c r="I686" s="136">
        <f>LET(_xlpm.r,Productos!$E$2:$E$2509,_xlpm.m,IFERROR(_xlfn.XMATCH(C686,_xlpm.r),IFERROR(_xlfn.XMATCH(VALUE(C686),_xlpm.r),0)),IF(_xlpm.m=0,"",_xlpm.m+1))</f>
        <v/>
      </c>
      <c r="J686" s="137" t="inlineStr">
        <is>
          <t>NetSuite</t>
        </is>
      </c>
    </row>
    <row r="687">
      <c r="A687" s="5" t="inlineStr">
        <is>
          <t>PUNTO DE VENTA</t>
        </is>
      </c>
      <c r="B687" s="5">
        <f>IF($I2="","",INDEX(Productos!$A:$A,$I2))</f>
        <v/>
      </c>
      <c r="C687" s="134" t="inlineStr">
        <is>
          <t>SFMZCL-01404873</t>
        </is>
      </c>
      <c r="D687" s="5">
        <f>IF($I2="","",INDEX(Productos!$B:$B,$I2))</f>
        <v/>
      </c>
      <c r="E687" s="5">
        <f>IF($I2="","",INDEX(Productos!$H:$H,$I2))</f>
        <v/>
      </c>
      <c r="F687" s="5">
        <f>IF($I2="","",INDEX(Productos!$I:$I,$I2))</f>
        <v/>
      </c>
      <c r="G687" s="135" t="n">
        <v>-1</v>
      </c>
      <c r="H687" s="5">
        <f>IF($I2="","",INDEX(Productos!$AG:$AG,$I2))</f>
        <v/>
      </c>
      <c r="I687" s="136">
        <f>LET(_xlpm.r,Productos!$E$2:$E$2509,_xlpm.m,IFERROR(_xlfn.XMATCH(C687,_xlpm.r),IFERROR(_xlfn.XMATCH(VALUE(C687),_xlpm.r),0)),IF(_xlpm.m=0,"",_xlpm.m+1))</f>
        <v/>
      </c>
      <c r="J687" s="137" t="inlineStr">
        <is>
          <t>NetSuite</t>
        </is>
      </c>
    </row>
    <row r="688">
      <c r="A688" s="5" t="inlineStr">
        <is>
          <t>PUNTO DE VENTA</t>
        </is>
      </c>
      <c r="B688" s="5">
        <f>IF($I2="","",INDEX(Productos!$A:$A,$I2))</f>
        <v/>
      </c>
      <c r="C688" s="134" t="inlineStr">
        <is>
          <t>SFPALC-01400771</t>
        </is>
      </c>
      <c r="D688" s="5">
        <f>IF($I2="","",INDEX(Productos!$B:$B,$I2))</f>
        <v/>
      </c>
      <c r="E688" s="5">
        <f>IF($I2="","",INDEX(Productos!$H:$H,$I2))</f>
        <v/>
      </c>
      <c r="F688" s="5">
        <f>IF($I2="","",INDEX(Productos!$I:$I,$I2))</f>
        <v/>
      </c>
      <c r="G688" s="135" t="n">
        <v>-2</v>
      </c>
      <c r="H688" s="5">
        <f>IF($I2="","",INDEX(Productos!$AG:$AG,$I2))</f>
        <v/>
      </c>
      <c r="I688" s="136">
        <f>LET(_xlpm.r,Productos!$E$2:$E$2509,_xlpm.m,IFERROR(_xlfn.XMATCH(C688,_xlpm.r),IFERROR(_xlfn.XMATCH(VALUE(C688),_xlpm.r),0)),IF(_xlpm.m=0,"",_xlpm.m+1))</f>
        <v/>
      </c>
      <c r="J688" s="137" t="inlineStr">
        <is>
          <t>NetSuite</t>
        </is>
      </c>
    </row>
    <row r="689">
      <c r="A689" s="5" t="inlineStr">
        <is>
          <t>PUNTO DE VENTA</t>
        </is>
      </c>
      <c r="B689" s="5">
        <f>IF($I2="","",INDEX(Productos!$A:$A,$I2))</f>
        <v/>
      </c>
      <c r="C689" s="134" t="inlineStr">
        <is>
          <t>SFPALC-01400772</t>
        </is>
      </c>
      <c r="D689" s="5">
        <f>IF($I2="","",INDEX(Productos!$B:$B,$I2))</f>
        <v/>
      </c>
      <c r="E689" s="5">
        <f>IF($I2="","",INDEX(Productos!$H:$H,$I2))</f>
        <v/>
      </c>
      <c r="F689" s="5">
        <f>IF($I2="","",INDEX(Productos!$I:$I,$I2))</f>
        <v/>
      </c>
      <c r="G689" s="135" t="n">
        <v>-1</v>
      </c>
      <c r="H689" s="5">
        <f>IF($I2="","",INDEX(Productos!$AG:$AG,$I2))</f>
        <v/>
      </c>
      <c r="I689" s="136">
        <f>LET(_xlpm.r,Productos!$E$2:$E$2509,_xlpm.m,IFERROR(_xlfn.XMATCH(C689,_xlpm.r),IFERROR(_xlfn.XMATCH(VALUE(C689),_xlpm.r),0)),IF(_xlpm.m=0,"",_xlpm.m+1))</f>
        <v/>
      </c>
      <c r="J689" s="137" t="inlineStr">
        <is>
          <t>NetSuite</t>
        </is>
      </c>
    </row>
    <row r="690">
      <c r="A690" s="5" t="inlineStr">
        <is>
          <t>PUNTO DE VENTA</t>
        </is>
      </c>
      <c r="B690" s="5">
        <f>IF($I2="","",INDEX(Productos!$A:$A,$I2))</f>
        <v/>
      </c>
      <c r="C690" s="134" t="inlineStr">
        <is>
          <t>SFPALC-01400773</t>
        </is>
      </c>
      <c r="D690" s="5">
        <f>IF($I2="","",INDEX(Productos!$B:$B,$I2))</f>
        <v/>
      </c>
      <c r="E690" s="5">
        <f>IF($I2="","",INDEX(Productos!$H:$H,$I2))</f>
        <v/>
      </c>
      <c r="F690" s="5">
        <f>IF($I2="","",INDEX(Productos!$I:$I,$I2))</f>
        <v/>
      </c>
      <c r="G690" s="135" t="n">
        <v>-1</v>
      </c>
      <c r="H690" s="5">
        <f>IF($I2="","",INDEX(Productos!$AG:$AG,$I2))</f>
        <v/>
      </c>
      <c r="I690" s="136">
        <f>LET(_xlpm.r,Productos!$E$2:$E$2509,_xlpm.m,IFERROR(_xlfn.XMATCH(C690,_xlpm.r),IFERROR(_xlfn.XMATCH(VALUE(C690),_xlpm.r),0)),IF(_xlpm.m=0,"",_xlpm.m+1))</f>
        <v/>
      </c>
      <c r="J690" s="137" t="inlineStr">
        <is>
          <t>NetSuite</t>
        </is>
      </c>
    </row>
    <row r="691">
      <c r="A691" s="5" t="inlineStr">
        <is>
          <t>PUNTO DE VENTA</t>
        </is>
      </c>
      <c r="B691" s="5">
        <f>IF($I2="","",INDEX(Productos!$A:$A,$I2))</f>
        <v/>
      </c>
      <c r="C691" s="134" t="inlineStr">
        <is>
          <t>SFPALC-01400774</t>
        </is>
      </c>
      <c r="D691" s="5">
        <f>IF($I2="","",INDEX(Productos!$B:$B,$I2))</f>
        <v/>
      </c>
      <c r="E691" s="5">
        <f>IF($I2="","",INDEX(Productos!$H:$H,$I2))</f>
        <v/>
      </c>
      <c r="F691" s="5">
        <f>IF($I2="","",INDEX(Productos!$I:$I,$I2))</f>
        <v/>
      </c>
      <c r="G691" s="135" t="n">
        <v>-1</v>
      </c>
      <c r="H691" s="5">
        <f>IF($I2="","",INDEX(Productos!$AG:$AG,$I2))</f>
        <v/>
      </c>
      <c r="I691" s="136">
        <f>LET(_xlpm.r,Productos!$E$2:$E$2509,_xlpm.m,IFERROR(_xlfn.XMATCH(C691,_xlpm.r),IFERROR(_xlfn.XMATCH(VALUE(C691),_xlpm.r),0)),IF(_xlpm.m=0,"",_xlpm.m+1))</f>
        <v/>
      </c>
      <c r="J691" s="137" t="inlineStr">
        <is>
          <t>NetSuite</t>
        </is>
      </c>
    </row>
    <row r="692">
      <c r="A692" s="5" t="inlineStr">
        <is>
          <t>PUNTO DE VENTA</t>
        </is>
      </c>
      <c r="B692" s="5">
        <f>IF($I2="","",INDEX(Productos!$A:$A,$I2))</f>
        <v/>
      </c>
      <c r="C692" s="134" t="inlineStr">
        <is>
          <t>SFPALC-01406171</t>
        </is>
      </c>
      <c r="D692" s="5">
        <f>IF($I2="","",INDEX(Productos!$B:$B,$I2))</f>
        <v/>
      </c>
      <c r="E692" s="5">
        <f>IF($I2="","",INDEX(Productos!$H:$H,$I2))</f>
        <v/>
      </c>
      <c r="F692" s="5">
        <f>IF($I2="","",INDEX(Productos!$I:$I,$I2))</f>
        <v/>
      </c>
      <c r="G692" s="135" t="n">
        <v>-1</v>
      </c>
      <c r="H692" s="5">
        <f>IF($I2="","",INDEX(Productos!$AG:$AG,$I2))</f>
        <v/>
      </c>
      <c r="I692" s="136">
        <f>LET(_xlpm.r,Productos!$E$2:$E$2509,_xlpm.m,IFERROR(_xlfn.XMATCH(C692,_xlpm.r),IFERROR(_xlfn.XMATCH(VALUE(C692),_xlpm.r),0)),IF(_xlpm.m=0,"",_xlpm.m+1))</f>
        <v/>
      </c>
      <c r="J692" s="137" t="inlineStr">
        <is>
          <t>NetSuite</t>
        </is>
      </c>
    </row>
    <row r="693">
      <c r="A693" s="5" t="inlineStr">
        <is>
          <t>PUNTO DE VENTA</t>
        </is>
      </c>
      <c r="B693" s="5">
        <f>IF($I2="","",INDEX(Productos!$A:$A,$I2))</f>
        <v/>
      </c>
      <c r="C693" s="134" t="inlineStr">
        <is>
          <t>SFPALC-01406172</t>
        </is>
      </c>
      <c r="D693" s="5">
        <f>IF($I2="","",INDEX(Productos!$B:$B,$I2))</f>
        <v/>
      </c>
      <c r="E693" s="5">
        <f>IF($I2="","",INDEX(Productos!$H:$H,$I2))</f>
        <v/>
      </c>
      <c r="F693" s="5">
        <f>IF($I2="","",INDEX(Productos!$I:$I,$I2))</f>
        <v/>
      </c>
      <c r="G693" s="135" t="n">
        <v>-1</v>
      </c>
      <c r="H693" s="5">
        <f>IF($I2="","",INDEX(Productos!$AG:$AG,$I2))</f>
        <v/>
      </c>
      <c r="I693" s="136">
        <f>LET(_xlpm.r,Productos!$E$2:$E$2509,_xlpm.m,IFERROR(_xlfn.XMATCH(C693,_xlpm.r),IFERROR(_xlfn.XMATCH(VALUE(C693),_xlpm.r),0)),IF(_xlpm.m=0,"",_xlpm.m+1))</f>
        <v/>
      </c>
      <c r="J693" s="137" t="inlineStr">
        <is>
          <t>NetSuite</t>
        </is>
      </c>
    </row>
    <row r="694">
      <c r="A694" s="5" t="inlineStr">
        <is>
          <t>PUNTO DE VENTA</t>
        </is>
      </c>
      <c r="B694" s="5">
        <f>IF($I2="","",INDEX(Productos!$A:$A,$I2))</f>
        <v/>
      </c>
      <c r="C694" s="134" t="inlineStr">
        <is>
          <t>SFPALC-48400766</t>
        </is>
      </c>
      <c r="D694" s="5">
        <f>IF($I2="","",INDEX(Productos!$B:$B,$I2))</f>
        <v/>
      </c>
      <c r="E694" s="5">
        <f>IF($I2="","",INDEX(Productos!$H:$H,$I2))</f>
        <v/>
      </c>
      <c r="F694" s="5">
        <f>IF($I2="","",INDEX(Productos!$I:$I,$I2))</f>
        <v/>
      </c>
      <c r="G694" s="135" t="n">
        <v>-1</v>
      </c>
      <c r="H694" s="5">
        <f>IF($I2="","",INDEX(Productos!$AG:$AG,$I2))</f>
        <v/>
      </c>
      <c r="I694" s="136">
        <f>LET(_xlpm.r,Productos!$E$2:$E$2509,_xlpm.m,IFERROR(_xlfn.XMATCH(C694,_xlpm.r),IFERROR(_xlfn.XMATCH(VALUE(C694),_xlpm.r),0)),IF(_xlpm.m=0,"",_xlpm.m+1))</f>
        <v/>
      </c>
      <c r="J694" s="137" t="inlineStr">
        <is>
          <t>NetSuite</t>
        </is>
      </c>
    </row>
    <row r="695">
      <c r="A695" s="5" t="inlineStr">
        <is>
          <t>PUNTO DE VENTA</t>
        </is>
      </c>
      <c r="B695" s="5">
        <f>IF($I2="","",INDEX(Productos!$A:$A,$I2))</f>
        <v/>
      </c>
      <c r="C695" s="134" t="inlineStr">
        <is>
          <t>SFPALC-48400767</t>
        </is>
      </c>
      <c r="D695" s="5">
        <f>IF($I2="","",INDEX(Productos!$B:$B,$I2))</f>
        <v/>
      </c>
      <c r="E695" s="5">
        <f>IF($I2="","",INDEX(Productos!$H:$H,$I2))</f>
        <v/>
      </c>
      <c r="F695" s="5">
        <f>IF($I2="","",INDEX(Productos!$I:$I,$I2))</f>
        <v/>
      </c>
      <c r="G695" s="135" t="n">
        <v>-1</v>
      </c>
      <c r="H695" s="5">
        <f>IF($I2="","",INDEX(Productos!$AG:$AG,$I2))</f>
        <v/>
      </c>
      <c r="I695" s="136">
        <f>LET(_xlpm.r,Productos!$E$2:$E$2509,_xlpm.m,IFERROR(_xlfn.XMATCH(C695,_xlpm.r),IFERROR(_xlfn.XMATCH(VALUE(C695),_xlpm.r),0)),IF(_xlpm.m=0,"",_xlpm.m+1))</f>
        <v/>
      </c>
      <c r="J695" s="137" t="inlineStr">
        <is>
          <t>NetSuite</t>
        </is>
      </c>
    </row>
    <row r="696">
      <c r="A696" s="5" t="inlineStr">
        <is>
          <t>PUNTO DE VENTA</t>
        </is>
      </c>
      <c r="B696" s="5">
        <f>IF($I2="","",INDEX(Productos!$A:$A,$I2))</f>
        <v/>
      </c>
      <c r="C696" s="134" t="inlineStr">
        <is>
          <t>SFPALC-48400772</t>
        </is>
      </c>
      <c r="D696" s="5">
        <f>IF($I2="","",INDEX(Productos!$B:$B,$I2))</f>
        <v/>
      </c>
      <c r="E696" s="5">
        <f>IF($I2="","",INDEX(Productos!$H:$H,$I2))</f>
        <v/>
      </c>
      <c r="F696" s="5">
        <f>IF($I2="","",INDEX(Productos!$I:$I,$I2))</f>
        <v/>
      </c>
      <c r="G696" s="135" t="n">
        <v>-1</v>
      </c>
      <c r="H696" s="5">
        <f>IF($I2="","",INDEX(Productos!$AG:$AG,$I2))</f>
        <v/>
      </c>
      <c r="I696" s="136">
        <f>LET(_xlpm.r,Productos!$E$2:$E$2509,_xlpm.m,IFERROR(_xlfn.XMATCH(C696,_xlpm.r),IFERROR(_xlfn.XMATCH(VALUE(C696),_xlpm.r),0)),IF(_xlpm.m=0,"",_xlpm.m+1))</f>
        <v/>
      </c>
      <c r="J696" s="137" t="inlineStr">
        <is>
          <t>NetSuite</t>
        </is>
      </c>
    </row>
    <row r="697">
      <c r="A697" s="5" t="inlineStr">
        <is>
          <t>PUNTO DE VENTA</t>
        </is>
      </c>
      <c r="B697" s="5">
        <f>IF($I2="","",INDEX(Productos!$A:$A,$I2))</f>
        <v/>
      </c>
      <c r="C697" s="134" t="inlineStr">
        <is>
          <t>SFPALC-48400774</t>
        </is>
      </c>
      <c r="D697" s="5">
        <f>IF($I2="","",INDEX(Productos!$B:$B,$I2))</f>
        <v/>
      </c>
      <c r="E697" s="5">
        <f>IF($I2="","",INDEX(Productos!$H:$H,$I2))</f>
        <v/>
      </c>
      <c r="F697" s="5">
        <f>IF($I2="","",INDEX(Productos!$I:$I,$I2))</f>
        <v/>
      </c>
      <c r="G697" s="135" t="n">
        <v>-1</v>
      </c>
      <c r="H697" s="5">
        <f>IF($I2="","",INDEX(Productos!$AG:$AG,$I2))</f>
        <v/>
      </c>
      <c r="I697" s="136">
        <f>LET(_xlpm.r,Productos!$E$2:$E$2509,_xlpm.m,IFERROR(_xlfn.XMATCH(C697,_xlpm.r),IFERROR(_xlfn.XMATCH(VALUE(C697),_xlpm.r),0)),IF(_xlpm.m=0,"",_xlpm.m+1))</f>
        <v/>
      </c>
      <c r="J697" s="137" t="inlineStr">
        <is>
          <t>NetSuite</t>
        </is>
      </c>
    </row>
    <row r="698">
      <c r="A698" s="5" t="inlineStr">
        <is>
          <t>PUNTO DE VENTA</t>
        </is>
      </c>
      <c r="B698" s="5">
        <f>IF($I2="","",INDEX(Productos!$A:$A,$I2))</f>
        <v/>
      </c>
      <c r="C698" s="134" t="inlineStr">
        <is>
          <t>SFPRES-48402270</t>
        </is>
      </c>
      <c r="D698" s="5">
        <f>IF($I2="","",INDEX(Productos!$B:$B,$I2))</f>
        <v/>
      </c>
      <c r="E698" s="5">
        <f>IF($I2="","",INDEX(Productos!$H:$H,$I2))</f>
        <v/>
      </c>
      <c r="F698" s="5">
        <f>IF($I2="","",INDEX(Productos!$I:$I,$I2))</f>
        <v/>
      </c>
      <c r="G698" s="135" t="n">
        <v>-1</v>
      </c>
      <c r="H698" s="5">
        <f>IF($I2="","",INDEX(Productos!$AG:$AG,$I2))</f>
        <v/>
      </c>
      <c r="I698" s="136">
        <f>LET(_xlpm.r,Productos!$E$2:$E$2509,_xlpm.m,IFERROR(_xlfn.XMATCH(C698,_xlpm.r),IFERROR(_xlfn.XMATCH(VALUE(C698),_xlpm.r),0)),IF(_xlpm.m=0,"",_xlpm.m+1))</f>
        <v/>
      </c>
      <c r="J698" s="137" t="inlineStr">
        <is>
          <t>NetSuite</t>
        </is>
      </c>
    </row>
    <row r="699">
      <c r="A699" s="5" t="inlineStr">
        <is>
          <t>PUNTO DE VENTA</t>
        </is>
      </c>
      <c r="B699" s="5">
        <f>IF($I2="","",INDEX(Productos!$A:$A,$I2))</f>
        <v/>
      </c>
      <c r="C699" s="134" t="inlineStr">
        <is>
          <t>SFPRES-48402271</t>
        </is>
      </c>
      <c r="D699" s="5">
        <f>IF($I2="","",INDEX(Productos!$B:$B,$I2))</f>
        <v/>
      </c>
      <c r="E699" s="5">
        <f>IF($I2="","",INDEX(Productos!$H:$H,$I2))</f>
        <v/>
      </c>
      <c r="F699" s="5">
        <f>IF($I2="","",INDEX(Productos!$I:$I,$I2))</f>
        <v/>
      </c>
      <c r="G699" s="135" t="n">
        <v>-2</v>
      </c>
      <c r="H699" s="5">
        <f>IF($I2="","",INDEX(Productos!$AG:$AG,$I2))</f>
        <v/>
      </c>
      <c r="I699" s="136">
        <f>LET(_xlpm.r,Productos!$E$2:$E$2509,_xlpm.m,IFERROR(_xlfn.XMATCH(C699,_xlpm.r),IFERROR(_xlfn.XMATCH(VALUE(C699),_xlpm.r),0)),IF(_xlpm.m=0,"",_xlpm.m+1))</f>
        <v/>
      </c>
      <c r="J699" s="137" t="inlineStr">
        <is>
          <t>NetSuite</t>
        </is>
      </c>
    </row>
    <row r="700">
      <c r="A700" s="5" t="inlineStr">
        <is>
          <t>PUNTO DE VENTA</t>
        </is>
      </c>
      <c r="B700" s="5">
        <f>IF($I2="","",INDEX(Productos!$A:$A,$I2))</f>
        <v/>
      </c>
      <c r="C700" s="134" t="inlineStr">
        <is>
          <t>SFPRES-48402272</t>
        </is>
      </c>
      <c r="D700" s="5">
        <f>IF($I2="","",INDEX(Productos!$B:$B,$I2))</f>
        <v/>
      </c>
      <c r="E700" s="5">
        <f>IF($I2="","",INDEX(Productos!$H:$H,$I2))</f>
        <v/>
      </c>
      <c r="F700" s="5">
        <f>IF($I2="","",INDEX(Productos!$I:$I,$I2))</f>
        <v/>
      </c>
      <c r="G700" s="135" t="n">
        <v>-2</v>
      </c>
      <c r="H700" s="5">
        <f>IF($I2="","",INDEX(Productos!$AG:$AG,$I2))</f>
        <v/>
      </c>
      <c r="I700" s="136">
        <f>LET(_xlpm.r,Productos!$E$2:$E$2509,_xlpm.m,IFERROR(_xlfn.XMATCH(C700,_xlpm.r),IFERROR(_xlfn.XMATCH(VALUE(C700),_xlpm.r),0)),IF(_xlpm.m=0,"",_xlpm.m+1))</f>
        <v/>
      </c>
      <c r="J700" s="137" t="inlineStr">
        <is>
          <t>NetSuite</t>
        </is>
      </c>
    </row>
    <row r="701">
      <c r="A701" s="5" t="inlineStr">
        <is>
          <t>PUNTO DE VENTA</t>
        </is>
      </c>
      <c r="B701" s="5">
        <f>IF($I2="","",INDEX(Productos!$A:$A,$I2))</f>
        <v/>
      </c>
      <c r="C701" s="134" t="inlineStr">
        <is>
          <t>SFPRES-48402273</t>
        </is>
      </c>
      <c r="D701" s="5">
        <f>IF($I2="","",INDEX(Productos!$B:$B,$I2))</f>
        <v/>
      </c>
      <c r="E701" s="5">
        <f>IF($I2="","",INDEX(Productos!$H:$H,$I2))</f>
        <v/>
      </c>
      <c r="F701" s="5">
        <f>IF($I2="","",INDEX(Productos!$I:$I,$I2))</f>
        <v/>
      </c>
      <c r="G701" s="135" t="n">
        <v>-1</v>
      </c>
      <c r="H701" s="5">
        <f>IF($I2="","",INDEX(Productos!$AG:$AG,$I2))</f>
        <v/>
      </c>
      <c r="I701" s="136">
        <f>LET(_xlpm.r,Productos!$E$2:$E$2509,_xlpm.m,IFERROR(_xlfn.XMATCH(C701,_xlpm.r),IFERROR(_xlfn.XMATCH(VALUE(C701),_xlpm.r),0)),IF(_xlpm.m=0,"",_xlpm.m+1))</f>
        <v/>
      </c>
      <c r="J701" s="137" t="inlineStr">
        <is>
          <t>NetSuite</t>
        </is>
      </c>
    </row>
    <row r="702">
      <c r="A702" s="5" t="inlineStr">
        <is>
          <t>PUNTO DE VENTA</t>
        </is>
      </c>
      <c r="B702" s="5">
        <f>IF($I2="","",INDEX(Productos!$A:$A,$I2))</f>
        <v/>
      </c>
      <c r="C702" s="134" t="inlineStr">
        <is>
          <t>SFPRES-48403470</t>
        </is>
      </c>
      <c r="D702" s="5">
        <f>IF($I2="","",INDEX(Productos!$B:$B,$I2))</f>
        <v/>
      </c>
      <c r="E702" s="5">
        <f>IF($I2="","",INDEX(Productos!$H:$H,$I2))</f>
        <v/>
      </c>
      <c r="F702" s="5">
        <f>IF($I2="","",INDEX(Productos!$I:$I,$I2))</f>
        <v/>
      </c>
      <c r="G702" s="135" t="n">
        <v>-1</v>
      </c>
      <c r="H702" s="5">
        <f>IF($I2="","",INDEX(Productos!$AG:$AG,$I2))</f>
        <v/>
      </c>
      <c r="I702" s="136">
        <f>LET(_xlpm.r,Productos!$E$2:$E$2509,_xlpm.m,IFERROR(_xlfn.XMATCH(C702,_xlpm.r),IFERROR(_xlfn.XMATCH(VALUE(C702),_xlpm.r),0)),IF(_xlpm.m=0,"",_xlpm.m+1))</f>
        <v/>
      </c>
      <c r="J702" s="137" t="inlineStr">
        <is>
          <t>NetSuite</t>
        </is>
      </c>
    </row>
    <row r="703">
      <c r="A703" s="5" t="inlineStr">
        <is>
          <t>PUNTO DE VENTA</t>
        </is>
      </c>
      <c r="B703" s="5">
        <f>IF($I2="","",INDEX(Productos!$A:$A,$I2))</f>
        <v/>
      </c>
      <c r="C703" s="134" t="inlineStr">
        <is>
          <t>SFPRES-48403471</t>
        </is>
      </c>
      <c r="D703" s="5">
        <f>IF($I2="","",INDEX(Productos!$B:$B,$I2))</f>
        <v/>
      </c>
      <c r="E703" s="5">
        <f>IF($I2="","",INDEX(Productos!$H:$H,$I2))</f>
        <v/>
      </c>
      <c r="F703" s="5">
        <f>IF($I2="","",INDEX(Productos!$I:$I,$I2))</f>
        <v/>
      </c>
      <c r="G703" s="135" t="n">
        <v>-2</v>
      </c>
      <c r="H703" s="5">
        <f>IF($I2="","",INDEX(Productos!$AG:$AG,$I2))</f>
        <v/>
      </c>
      <c r="I703" s="136">
        <f>LET(_xlpm.r,Productos!$E$2:$E$2509,_xlpm.m,IFERROR(_xlfn.XMATCH(C703,_xlpm.r),IFERROR(_xlfn.XMATCH(VALUE(C703),_xlpm.r),0)),IF(_xlpm.m=0,"",_xlpm.m+1))</f>
        <v/>
      </c>
      <c r="J703" s="137" t="inlineStr">
        <is>
          <t>NetSuite</t>
        </is>
      </c>
    </row>
    <row r="704">
      <c r="A704" s="5" t="inlineStr">
        <is>
          <t>PUNTO DE VENTA</t>
        </is>
      </c>
      <c r="B704" s="5">
        <f>IF($I2="","",INDEX(Productos!$A:$A,$I2))</f>
        <v/>
      </c>
      <c r="C704" s="134" t="inlineStr">
        <is>
          <t>SFPRES-48403472</t>
        </is>
      </c>
      <c r="D704" s="5">
        <f>IF($I2="","",INDEX(Productos!$B:$B,$I2))</f>
        <v/>
      </c>
      <c r="E704" s="5">
        <f>IF($I2="","",INDEX(Productos!$H:$H,$I2))</f>
        <v/>
      </c>
      <c r="F704" s="5">
        <f>IF($I2="","",INDEX(Productos!$I:$I,$I2))</f>
        <v/>
      </c>
      <c r="G704" s="135" t="n">
        <v>-2</v>
      </c>
      <c r="H704" s="5">
        <f>IF($I2="","",INDEX(Productos!$AG:$AG,$I2))</f>
        <v/>
      </c>
      <c r="I704" s="136">
        <f>LET(_xlpm.r,Productos!$E$2:$E$2509,_xlpm.m,IFERROR(_xlfn.XMATCH(C704,_xlpm.r),IFERROR(_xlfn.XMATCH(VALUE(C704),_xlpm.r),0)),IF(_xlpm.m=0,"",_xlpm.m+1))</f>
        <v/>
      </c>
      <c r="J704" s="137" t="inlineStr">
        <is>
          <t>NetSuite</t>
        </is>
      </c>
    </row>
    <row r="705">
      <c r="A705" s="5" t="inlineStr">
        <is>
          <t>PUNTO DE VENTA</t>
        </is>
      </c>
      <c r="B705" s="5">
        <f>IF($I2="","",INDEX(Productos!$A:$A,$I2))</f>
        <v/>
      </c>
      <c r="C705" s="134" t="inlineStr">
        <is>
          <t>SFPRES-48403473</t>
        </is>
      </c>
      <c r="D705" s="5">
        <f>IF($I2="","",INDEX(Productos!$B:$B,$I2))</f>
        <v/>
      </c>
      <c r="E705" s="5">
        <f>IF($I2="","",INDEX(Productos!$H:$H,$I2))</f>
        <v/>
      </c>
      <c r="F705" s="5">
        <f>IF($I2="","",INDEX(Productos!$I:$I,$I2))</f>
        <v/>
      </c>
      <c r="G705" s="135" t="n">
        <v>-1</v>
      </c>
      <c r="H705" s="5">
        <f>IF($I2="","",INDEX(Productos!$AG:$AG,$I2))</f>
        <v/>
      </c>
      <c r="I705" s="136">
        <f>LET(_xlpm.r,Productos!$E$2:$E$2509,_xlpm.m,IFERROR(_xlfn.XMATCH(C705,_xlpm.r),IFERROR(_xlfn.XMATCH(VALUE(C705),_xlpm.r),0)),IF(_xlpm.m=0,"",_xlpm.m+1))</f>
        <v/>
      </c>
      <c r="J705" s="137" t="inlineStr">
        <is>
          <t>NetSuite</t>
        </is>
      </c>
    </row>
    <row r="706">
      <c r="A706" s="5" t="inlineStr">
        <is>
          <t>PUNTO DE VENTA</t>
        </is>
      </c>
      <c r="B706" s="5">
        <f>IF($I2="","",INDEX(Productos!$A:$A,$I2))</f>
        <v/>
      </c>
      <c r="C706" s="134" t="inlineStr">
        <is>
          <t>SFR160-01400770</t>
        </is>
      </c>
      <c r="D706" s="5">
        <f>IF($I2="","",INDEX(Productos!$B:$B,$I2))</f>
        <v/>
      </c>
      <c r="E706" s="5">
        <f>IF($I2="","",INDEX(Productos!$H:$H,$I2))</f>
        <v/>
      </c>
      <c r="F706" s="5">
        <f>IF($I2="","",INDEX(Productos!$I:$I,$I2))</f>
        <v/>
      </c>
      <c r="G706" s="135" t="n">
        <v>-1</v>
      </c>
      <c r="H706" s="5">
        <f>IF($I2="","",INDEX(Productos!$AG:$AG,$I2))</f>
        <v/>
      </c>
      <c r="I706" s="136">
        <f>LET(_xlpm.r,Productos!$E$2:$E$2509,_xlpm.m,IFERROR(_xlfn.XMATCH(C706,_xlpm.r),IFERROR(_xlfn.XMATCH(VALUE(C706),_xlpm.r),0)),IF(_xlpm.m=0,"",_xlpm.m+1))</f>
        <v/>
      </c>
      <c r="J706" s="137" t="inlineStr">
        <is>
          <t>NetSuite</t>
        </is>
      </c>
    </row>
    <row r="707">
      <c r="A707" s="5" t="inlineStr">
        <is>
          <t>PUNTO DE VENTA</t>
        </is>
      </c>
      <c r="B707" s="5">
        <f>IF($I2="","",INDEX(Productos!$A:$A,$I2))</f>
        <v/>
      </c>
      <c r="C707" s="134" t="inlineStr">
        <is>
          <t>SFR160-01400774</t>
        </is>
      </c>
      <c r="D707" s="5">
        <f>IF($I2="","",INDEX(Productos!$B:$B,$I2))</f>
        <v/>
      </c>
      <c r="E707" s="5">
        <f>IF($I2="","",INDEX(Productos!$H:$H,$I2))</f>
        <v/>
      </c>
      <c r="F707" s="5">
        <f>IF($I2="","",INDEX(Productos!$I:$I,$I2))</f>
        <v/>
      </c>
      <c r="G707" s="135" t="n">
        <v>-1</v>
      </c>
      <c r="H707" s="5">
        <f>IF($I2="","",INDEX(Productos!$AG:$AG,$I2))</f>
        <v/>
      </c>
      <c r="I707" s="136">
        <f>LET(_xlpm.r,Productos!$E$2:$E$2509,_xlpm.m,IFERROR(_xlfn.XMATCH(C707,_xlpm.r),IFERROR(_xlfn.XMATCH(VALUE(C707),_xlpm.r),0)),IF(_xlpm.m=0,"",_xlpm.m+1))</f>
        <v/>
      </c>
      <c r="J707" s="137" t="inlineStr">
        <is>
          <t>NetSuite</t>
        </is>
      </c>
    </row>
    <row r="708">
      <c r="A708" s="5" t="inlineStr">
        <is>
          <t>PUNTO DE VENTA</t>
        </is>
      </c>
      <c r="B708" s="5">
        <f>IF($I2="","",INDEX(Productos!$A:$A,$I2))</f>
        <v/>
      </c>
      <c r="C708" s="134" t="inlineStr">
        <is>
          <t>SFR160-01402270</t>
        </is>
      </c>
      <c r="D708" s="5">
        <f>IF($I2="","",INDEX(Productos!$B:$B,$I2))</f>
        <v/>
      </c>
      <c r="E708" s="5">
        <f>IF($I2="","",INDEX(Productos!$H:$H,$I2))</f>
        <v/>
      </c>
      <c r="F708" s="5">
        <f>IF($I2="","",INDEX(Productos!$I:$I,$I2))</f>
        <v/>
      </c>
      <c r="G708" s="135" t="n">
        <v>-1</v>
      </c>
      <c r="H708" s="5">
        <f>IF($I2="","",INDEX(Productos!$AG:$AG,$I2))</f>
        <v/>
      </c>
      <c r="I708" s="136">
        <f>LET(_xlpm.r,Productos!$E$2:$E$2509,_xlpm.m,IFERROR(_xlfn.XMATCH(C708,_xlpm.r),IFERROR(_xlfn.XMATCH(VALUE(C708),_xlpm.r),0)),IF(_xlpm.m=0,"",_xlpm.m+1))</f>
        <v/>
      </c>
      <c r="J708" s="137" t="inlineStr">
        <is>
          <t>NetSuite</t>
        </is>
      </c>
    </row>
    <row r="709">
      <c r="A709" s="5" t="inlineStr">
        <is>
          <t>PUNTO DE VENTA</t>
        </is>
      </c>
      <c r="B709" s="5">
        <f>IF($I2="","",INDEX(Productos!$A:$A,$I2))</f>
        <v/>
      </c>
      <c r="C709" s="134" t="inlineStr">
        <is>
          <t>SFR160-01406171</t>
        </is>
      </c>
      <c r="D709" s="5">
        <f>IF($I2="","",INDEX(Productos!$B:$B,$I2))</f>
        <v/>
      </c>
      <c r="E709" s="5">
        <f>IF($I2="","",INDEX(Productos!$H:$H,$I2))</f>
        <v/>
      </c>
      <c r="F709" s="5">
        <f>IF($I2="","",INDEX(Productos!$I:$I,$I2))</f>
        <v/>
      </c>
      <c r="G709" s="135" t="n">
        <v>1</v>
      </c>
      <c r="H709" s="5">
        <f>IF($I2="","",INDEX(Productos!$AG:$AG,$I2))</f>
        <v/>
      </c>
      <c r="I709" s="136">
        <f>LET(_xlpm.r,Productos!$E$2:$E$2509,_xlpm.m,IFERROR(_xlfn.XMATCH(C709,_xlpm.r),IFERROR(_xlfn.XMATCH(VALUE(C709),_xlpm.r),0)),IF(_xlpm.m=0,"",_xlpm.m+1))</f>
        <v/>
      </c>
      <c r="J709" s="137" t="inlineStr">
        <is>
          <t>NetSuite</t>
        </is>
      </c>
    </row>
    <row r="710">
      <c r="A710" s="5" t="inlineStr">
        <is>
          <t>PUNTO DE VENTA</t>
        </is>
      </c>
      <c r="B710" s="5">
        <f>IF($I2="","",INDEX(Productos!$A:$A,$I2))</f>
        <v/>
      </c>
      <c r="C710" s="134" t="inlineStr">
        <is>
          <t>SFRN30-01402270</t>
        </is>
      </c>
      <c r="D710" s="5">
        <f>IF($I2="","",INDEX(Productos!$B:$B,$I2))</f>
        <v/>
      </c>
      <c r="E710" s="5">
        <f>IF($I2="","",INDEX(Productos!$H:$H,$I2))</f>
        <v/>
      </c>
      <c r="F710" s="5">
        <f>IF($I2="","",INDEX(Productos!$I:$I,$I2))</f>
        <v/>
      </c>
      <c r="G710" s="135" t="n">
        <v>-1</v>
      </c>
      <c r="H710" s="5">
        <f>IF($I2="","",INDEX(Productos!$AG:$AG,$I2))</f>
        <v/>
      </c>
      <c r="I710" s="136">
        <f>LET(_xlpm.r,Productos!$E$2:$E$2509,_xlpm.m,IFERROR(_xlfn.XMATCH(C710,_xlpm.r),IFERROR(_xlfn.XMATCH(VALUE(C710),_xlpm.r),0)),IF(_xlpm.m=0,"",_xlpm.m+1))</f>
        <v/>
      </c>
      <c r="J710" s="137" t="inlineStr">
        <is>
          <t>NetSuite</t>
        </is>
      </c>
    </row>
    <row r="711">
      <c r="A711" s="5" t="inlineStr">
        <is>
          <t>PUNTO DE VENTA</t>
        </is>
      </c>
      <c r="B711" s="5">
        <f>IF($I2="","",INDEX(Productos!$A:$A,$I2))</f>
        <v/>
      </c>
      <c r="C711" s="134" t="inlineStr">
        <is>
          <t>SFRN30-01402271</t>
        </is>
      </c>
      <c r="D711" s="5">
        <f>IF($I2="","",INDEX(Productos!$B:$B,$I2))</f>
        <v/>
      </c>
      <c r="E711" s="5">
        <f>IF($I2="","",INDEX(Productos!$H:$H,$I2))</f>
        <v/>
      </c>
      <c r="F711" s="5">
        <f>IF($I2="","",INDEX(Productos!$I:$I,$I2))</f>
        <v/>
      </c>
      <c r="G711" s="135" t="n">
        <v>-1</v>
      </c>
      <c r="H711" s="5">
        <f>IF($I2="","",INDEX(Productos!$AG:$AG,$I2))</f>
        <v/>
      </c>
      <c r="I711" s="136">
        <f>LET(_xlpm.r,Productos!$E$2:$E$2509,_xlpm.m,IFERROR(_xlfn.XMATCH(C711,_xlpm.r),IFERROR(_xlfn.XMATCH(VALUE(C711),_xlpm.r),0)),IF(_xlpm.m=0,"",_xlpm.m+1))</f>
        <v/>
      </c>
      <c r="J711" s="137" t="inlineStr">
        <is>
          <t>NetSuite</t>
        </is>
      </c>
    </row>
    <row r="712">
      <c r="A712" s="5" t="inlineStr">
        <is>
          <t>PUNTO DE VENTA</t>
        </is>
      </c>
      <c r="B712" s="5">
        <f>IF($I2="","",INDEX(Productos!$A:$A,$I2))</f>
        <v/>
      </c>
      <c r="C712" s="134" t="inlineStr">
        <is>
          <t>SFRN30-01402272</t>
        </is>
      </c>
      <c r="D712" s="5">
        <f>IF($I2="","",INDEX(Productos!$B:$B,$I2))</f>
        <v/>
      </c>
      <c r="E712" s="5">
        <f>IF($I2="","",INDEX(Productos!$H:$H,$I2))</f>
        <v/>
      </c>
      <c r="F712" s="5">
        <f>IF($I2="","",INDEX(Productos!$I:$I,$I2))</f>
        <v/>
      </c>
      <c r="G712" s="135" t="n">
        <v>-1</v>
      </c>
      <c r="H712" s="5">
        <f>IF($I2="","",INDEX(Productos!$AG:$AG,$I2))</f>
        <v/>
      </c>
      <c r="I712" s="136">
        <f>LET(_xlpm.r,Productos!$E$2:$E$2509,_xlpm.m,IFERROR(_xlfn.XMATCH(C712,_xlpm.r),IFERROR(_xlfn.XMATCH(VALUE(C712),_xlpm.r),0)),IF(_xlpm.m=0,"",_xlpm.m+1))</f>
        <v/>
      </c>
      <c r="J712" s="137" t="inlineStr">
        <is>
          <t>NetSuite</t>
        </is>
      </c>
    </row>
    <row r="713">
      <c r="A713" s="5" t="inlineStr">
        <is>
          <t>PUNTO DE VENTA</t>
        </is>
      </c>
      <c r="B713" s="5">
        <f>IF($I2="","",INDEX(Productos!$A:$A,$I2))</f>
        <v/>
      </c>
      <c r="C713" s="134" t="inlineStr">
        <is>
          <t>SFRN30-01402273</t>
        </is>
      </c>
      <c r="D713" s="5">
        <f>IF($I2="","",INDEX(Productos!$B:$B,$I2))</f>
        <v/>
      </c>
      <c r="E713" s="5">
        <f>IF($I2="","",INDEX(Productos!$H:$H,$I2))</f>
        <v/>
      </c>
      <c r="F713" s="5">
        <f>IF($I2="","",INDEX(Productos!$I:$I,$I2))</f>
        <v/>
      </c>
      <c r="G713" s="135" t="n">
        <v>-1</v>
      </c>
      <c r="H713" s="5">
        <f>IF($I2="","",INDEX(Productos!$AG:$AG,$I2))</f>
        <v/>
      </c>
      <c r="I713" s="136">
        <f>LET(_xlpm.r,Productos!$E$2:$E$2509,_xlpm.m,IFERROR(_xlfn.XMATCH(C713,_xlpm.r),IFERROR(_xlfn.XMATCH(VALUE(C713),_xlpm.r),0)),IF(_xlpm.m=0,"",_xlpm.m+1))</f>
        <v/>
      </c>
      <c r="J713" s="137" t="inlineStr">
        <is>
          <t>NetSuite</t>
        </is>
      </c>
    </row>
    <row r="714">
      <c r="A714" s="5" t="inlineStr">
        <is>
          <t>PUNTO DE VENTA</t>
        </is>
      </c>
      <c r="B714" s="5">
        <f>IF($I2="","",INDEX(Productos!$A:$A,$I2))</f>
        <v/>
      </c>
      <c r="C714" s="134" t="inlineStr">
        <is>
          <t>SFRNCH-01401173</t>
        </is>
      </c>
      <c r="D714" s="5">
        <f>IF($I2="","",INDEX(Productos!$B:$B,$I2))</f>
        <v/>
      </c>
      <c r="E714" s="5">
        <f>IF($I2="","",INDEX(Productos!$H:$H,$I2))</f>
        <v/>
      </c>
      <c r="F714" s="5">
        <f>IF($I2="","",INDEX(Productos!$I:$I,$I2))</f>
        <v/>
      </c>
      <c r="G714" s="135" t="n">
        <v>-1</v>
      </c>
      <c r="H714" s="5">
        <f>IF($I2="","",INDEX(Productos!$AG:$AG,$I2))</f>
        <v/>
      </c>
      <c r="I714" s="136">
        <f>LET(_xlpm.r,Productos!$E$2:$E$2509,_xlpm.m,IFERROR(_xlfn.XMATCH(C714,_xlpm.r),IFERROR(_xlfn.XMATCH(VALUE(C714),_xlpm.r),0)),IF(_xlpm.m=0,"",_xlpm.m+1))</f>
        <v/>
      </c>
      <c r="J714" s="137" t="inlineStr">
        <is>
          <t>NetSuite</t>
        </is>
      </c>
    </row>
    <row r="715">
      <c r="A715" s="5" t="inlineStr">
        <is>
          <t>PUNTO DE VENTA</t>
        </is>
      </c>
      <c r="B715" s="5">
        <f>IF($I2="","",INDEX(Productos!$A:$A,$I2))</f>
        <v/>
      </c>
      <c r="C715" s="134" t="inlineStr">
        <is>
          <t>SFRNCH-01402267</t>
        </is>
      </c>
      <c r="D715" s="5">
        <f>IF($I2="","",INDEX(Productos!$B:$B,$I2))</f>
        <v/>
      </c>
      <c r="E715" s="5">
        <f>IF($I2="","",INDEX(Productos!$H:$H,$I2))</f>
        <v/>
      </c>
      <c r="F715" s="5">
        <f>IF($I2="","",INDEX(Productos!$I:$I,$I2))</f>
        <v/>
      </c>
      <c r="G715" s="135" t="n">
        <v>-1</v>
      </c>
      <c r="H715" s="5">
        <f>IF($I2="","",INDEX(Productos!$AG:$AG,$I2))</f>
        <v/>
      </c>
      <c r="I715" s="136">
        <f>LET(_xlpm.r,Productos!$E$2:$E$2509,_xlpm.m,IFERROR(_xlfn.XMATCH(C715,_xlpm.r),IFERROR(_xlfn.XMATCH(VALUE(C715),_xlpm.r),0)),IF(_xlpm.m=0,"",_xlpm.m+1))</f>
        <v/>
      </c>
      <c r="J715" s="137" t="inlineStr">
        <is>
          <t>NetSuite</t>
        </is>
      </c>
    </row>
    <row r="716">
      <c r="A716" s="5" t="inlineStr">
        <is>
          <t>PUNTO DE VENTA</t>
        </is>
      </c>
      <c r="B716" s="5">
        <f>IF($I2="","",INDEX(Productos!$A:$A,$I2))</f>
        <v/>
      </c>
      <c r="C716" s="134" t="inlineStr">
        <is>
          <t>SFRNCH-01402270</t>
        </is>
      </c>
      <c r="D716" s="5">
        <f>IF($I2="","",INDEX(Productos!$B:$B,$I2))</f>
        <v/>
      </c>
      <c r="E716" s="5">
        <f>IF($I2="","",INDEX(Productos!$H:$H,$I2))</f>
        <v/>
      </c>
      <c r="F716" s="5">
        <f>IF($I2="","",INDEX(Productos!$I:$I,$I2))</f>
        <v/>
      </c>
      <c r="G716" s="135" t="n">
        <v>1</v>
      </c>
      <c r="H716" s="5">
        <f>IF($I2="","",INDEX(Productos!$AG:$AG,$I2))</f>
        <v/>
      </c>
      <c r="I716" s="136">
        <f>LET(_xlpm.r,Productos!$E$2:$E$2509,_xlpm.m,IFERROR(_xlfn.XMATCH(C716,_xlpm.r),IFERROR(_xlfn.XMATCH(VALUE(C716),_xlpm.r),0)),IF(_xlpm.m=0,"",_xlpm.m+1))</f>
        <v/>
      </c>
      <c r="J716" s="137" t="inlineStr">
        <is>
          <t>NetSuite</t>
        </is>
      </c>
    </row>
    <row r="717">
      <c r="A717" s="5" t="inlineStr">
        <is>
          <t>PUNTO DE VENTA</t>
        </is>
      </c>
      <c r="B717" s="5">
        <f>IF($I2="","",INDEX(Productos!$A:$A,$I2))</f>
        <v/>
      </c>
      <c r="C717" s="134" t="inlineStr">
        <is>
          <t>SFRNCH-01402271</t>
        </is>
      </c>
      <c r="D717" s="5">
        <f>IF($I2="","",INDEX(Productos!$B:$B,$I2))</f>
        <v/>
      </c>
      <c r="E717" s="5">
        <f>IF($I2="","",INDEX(Productos!$H:$H,$I2))</f>
        <v/>
      </c>
      <c r="F717" s="5">
        <f>IF($I2="","",INDEX(Productos!$I:$I,$I2))</f>
        <v/>
      </c>
      <c r="G717" s="135" t="n">
        <v>1</v>
      </c>
      <c r="H717" s="5">
        <f>IF($I2="","",INDEX(Productos!$AG:$AG,$I2))</f>
        <v/>
      </c>
      <c r="I717" s="136">
        <f>LET(_xlpm.r,Productos!$E$2:$E$2509,_xlpm.m,IFERROR(_xlfn.XMATCH(C717,_xlpm.r),IFERROR(_xlfn.XMATCH(VALUE(C717),_xlpm.r),0)),IF(_xlpm.m=0,"",_xlpm.m+1))</f>
        <v/>
      </c>
      <c r="J717" s="137" t="inlineStr">
        <is>
          <t>NetSuite</t>
        </is>
      </c>
    </row>
    <row r="718">
      <c r="A718" s="5" t="inlineStr">
        <is>
          <t>PUNTO DE VENTA</t>
        </is>
      </c>
      <c r="B718" s="5">
        <f>IF($I2="","",INDEX(Productos!$A:$A,$I2))</f>
        <v/>
      </c>
      <c r="C718" s="134" t="inlineStr">
        <is>
          <t>SFRNCH-01402273</t>
        </is>
      </c>
      <c r="D718" s="5">
        <f>IF($I2="","",INDEX(Productos!$B:$B,$I2))</f>
        <v/>
      </c>
      <c r="E718" s="5">
        <f>IF($I2="","",INDEX(Productos!$H:$H,$I2))</f>
        <v/>
      </c>
      <c r="F718" s="5">
        <f>IF($I2="","",INDEX(Productos!$I:$I,$I2))</f>
        <v/>
      </c>
      <c r="G718" s="135" t="n">
        <v>-1</v>
      </c>
      <c r="H718" s="5">
        <f>IF($I2="","",INDEX(Productos!$AG:$AG,$I2))</f>
        <v/>
      </c>
      <c r="I718" s="136">
        <f>LET(_xlpm.r,Productos!$E$2:$E$2509,_xlpm.m,IFERROR(_xlfn.XMATCH(C718,_xlpm.r),IFERROR(_xlfn.XMATCH(VALUE(C718),_xlpm.r),0)),IF(_xlpm.m=0,"",_xlpm.m+1))</f>
        <v/>
      </c>
      <c r="J718" s="137" t="inlineStr">
        <is>
          <t>NetSuite</t>
        </is>
      </c>
    </row>
    <row r="719">
      <c r="A719" s="5" t="inlineStr">
        <is>
          <t>PUNTO DE VENTA</t>
        </is>
      </c>
      <c r="B719" s="5">
        <f>IF($I2="","",INDEX(Productos!$A:$A,$I2))</f>
        <v/>
      </c>
      <c r="C719" s="134" t="inlineStr">
        <is>
          <t>SFRNCH-01403570</t>
        </is>
      </c>
      <c r="D719" s="5">
        <f>IF($I2="","",INDEX(Productos!$B:$B,$I2))</f>
        <v/>
      </c>
      <c r="E719" s="5">
        <f>IF($I2="","",INDEX(Productos!$H:$H,$I2))</f>
        <v/>
      </c>
      <c r="F719" s="5">
        <f>IF($I2="","",INDEX(Productos!$I:$I,$I2))</f>
        <v/>
      </c>
      <c r="G719" s="135" t="n">
        <v>-1</v>
      </c>
      <c r="H719" s="5">
        <f>IF($I2="","",INDEX(Productos!$AG:$AG,$I2))</f>
        <v/>
      </c>
      <c r="I719" s="136">
        <f>LET(_xlpm.r,Productos!$E$2:$E$2509,_xlpm.m,IFERROR(_xlfn.XMATCH(C719,_xlpm.r),IFERROR(_xlfn.XMATCH(VALUE(C719),_xlpm.r),0)),IF(_xlpm.m=0,"",_xlpm.m+1))</f>
        <v/>
      </c>
      <c r="J719" s="137" t="inlineStr">
        <is>
          <t>NetSuite</t>
        </is>
      </c>
    </row>
    <row r="720">
      <c r="A720" s="5" t="inlineStr">
        <is>
          <t>PUNTO DE VENTA</t>
        </is>
      </c>
      <c r="B720" s="5">
        <f>IF($I2="","",INDEX(Productos!$A:$A,$I2))</f>
        <v/>
      </c>
      <c r="C720" s="134" t="inlineStr">
        <is>
          <t>SFRNCH-01403571</t>
        </is>
      </c>
      <c r="D720" s="5">
        <f>IF($I2="","",INDEX(Productos!$B:$B,$I2))</f>
        <v/>
      </c>
      <c r="E720" s="5">
        <f>IF($I2="","",INDEX(Productos!$H:$H,$I2))</f>
        <v/>
      </c>
      <c r="F720" s="5">
        <f>IF($I2="","",INDEX(Productos!$I:$I,$I2))</f>
        <v/>
      </c>
      <c r="G720" s="135" t="n">
        <v>-1</v>
      </c>
      <c r="H720" s="5">
        <f>IF($I2="","",INDEX(Productos!$AG:$AG,$I2))</f>
        <v/>
      </c>
      <c r="I720" s="136">
        <f>LET(_xlpm.r,Productos!$E$2:$E$2509,_xlpm.m,IFERROR(_xlfn.XMATCH(C720,_xlpm.r),IFERROR(_xlfn.XMATCH(VALUE(C720),_xlpm.r),0)),IF(_xlpm.m=0,"",_xlpm.m+1))</f>
        <v/>
      </c>
      <c r="J720" s="137" t="inlineStr">
        <is>
          <t>NetSuite</t>
        </is>
      </c>
    </row>
    <row r="721">
      <c r="A721" s="5" t="inlineStr">
        <is>
          <t>PUNTO DE VENTA</t>
        </is>
      </c>
      <c r="B721" s="5">
        <f>IF($I2="","",INDEX(Productos!$A:$A,$I2))</f>
        <v/>
      </c>
      <c r="C721" s="134" t="inlineStr">
        <is>
          <t>SFRNCH-01403572</t>
        </is>
      </c>
      <c r="D721" s="5">
        <f>IF($I2="","",INDEX(Productos!$B:$B,$I2))</f>
        <v/>
      </c>
      <c r="E721" s="5">
        <f>IF($I2="","",INDEX(Productos!$H:$H,$I2))</f>
        <v/>
      </c>
      <c r="F721" s="5">
        <f>IF($I2="","",INDEX(Productos!$I:$I,$I2))</f>
        <v/>
      </c>
      <c r="G721" s="135" t="n">
        <v>-1</v>
      </c>
      <c r="H721" s="5">
        <f>IF($I2="","",INDEX(Productos!$AG:$AG,$I2))</f>
        <v/>
      </c>
      <c r="I721" s="136">
        <f>LET(_xlpm.r,Productos!$E$2:$E$2509,_xlpm.m,IFERROR(_xlfn.XMATCH(C721,_xlpm.r),IFERROR(_xlfn.XMATCH(VALUE(C721),_xlpm.r),0)),IF(_xlpm.m=0,"",_xlpm.m+1))</f>
        <v/>
      </c>
      <c r="J721" s="137" t="inlineStr">
        <is>
          <t>NetSuite</t>
        </is>
      </c>
    </row>
    <row r="722">
      <c r="A722" s="5" t="inlineStr">
        <is>
          <t>PUNTO DE VENTA</t>
        </is>
      </c>
      <c r="B722" s="5">
        <f>IF($I2="","",INDEX(Productos!$A:$A,$I2))</f>
        <v/>
      </c>
      <c r="C722" s="134" t="inlineStr">
        <is>
          <t>SFRNCH-01403573</t>
        </is>
      </c>
      <c r="D722" s="5">
        <f>IF($I2="","",INDEX(Productos!$B:$B,$I2))</f>
        <v/>
      </c>
      <c r="E722" s="5">
        <f>IF($I2="","",INDEX(Productos!$H:$H,$I2))</f>
        <v/>
      </c>
      <c r="F722" s="5">
        <f>IF($I2="","",INDEX(Productos!$I:$I,$I2))</f>
        <v/>
      </c>
      <c r="G722" s="135" t="n">
        <v>-1</v>
      </c>
      <c r="H722" s="5">
        <f>IF($I2="","",INDEX(Productos!$AG:$AG,$I2))</f>
        <v/>
      </c>
      <c r="I722" s="136">
        <f>LET(_xlpm.r,Productos!$E$2:$E$2509,_xlpm.m,IFERROR(_xlfn.XMATCH(C722,_xlpm.r),IFERROR(_xlfn.XMATCH(VALUE(C722),_xlpm.r),0)),IF(_xlpm.m=0,"",_xlpm.m+1))</f>
        <v/>
      </c>
      <c r="J722" s="137" t="inlineStr">
        <is>
          <t>NetSuite</t>
        </is>
      </c>
    </row>
    <row r="723">
      <c r="A723" s="5" t="inlineStr">
        <is>
          <t>PUNTO DE VENTA</t>
        </is>
      </c>
      <c r="B723" s="5">
        <f>IF($I2="","",INDEX(Productos!$A:$A,$I2))</f>
        <v/>
      </c>
      <c r="C723" s="134" t="inlineStr">
        <is>
          <t>SFRNCH-01406170</t>
        </is>
      </c>
      <c r="D723" s="5">
        <f>IF($I2="","",INDEX(Productos!$B:$B,$I2))</f>
        <v/>
      </c>
      <c r="E723" s="5">
        <f>IF($I2="","",INDEX(Productos!$H:$H,$I2))</f>
        <v/>
      </c>
      <c r="F723" s="5">
        <f>IF($I2="","",INDEX(Productos!$I:$I,$I2))</f>
        <v/>
      </c>
      <c r="G723" s="135" t="n">
        <v>1</v>
      </c>
      <c r="H723" s="5">
        <f>IF($I2="","",INDEX(Productos!$AG:$AG,$I2))</f>
        <v/>
      </c>
      <c r="I723" s="136">
        <f>LET(_xlpm.r,Productos!$E$2:$E$2509,_xlpm.m,IFERROR(_xlfn.XMATCH(C723,_xlpm.r),IFERROR(_xlfn.XMATCH(VALUE(C723),_xlpm.r),0)),IF(_xlpm.m=0,"",_xlpm.m+1))</f>
        <v/>
      </c>
      <c r="J723" s="137" t="inlineStr">
        <is>
          <t>NetSuite</t>
        </is>
      </c>
    </row>
    <row r="724">
      <c r="A724" s="5" t="inlineStr">
        <is>
          <t>PUNTO DE VENTA</t>
        </is>
      </c>
      <c r="B724" s="5">
        <f>IF($I2="","",INDEX(Productos!$A:$A,$I2))</f>
        <v/>
      </c>
      <c r="C724" s="134" t="inlineStr">
        <is>
          <t>SFRNCH-01406171</t>
        </is>
      </c>
      <c r="D724" s="5">
        <f>IF($I2="","",INDEX(Productos!$B:$B,$I2))</f>
        <v/>
      </c>
      <c r="E724" s="5">
        <f>IF($I2="","",INDEX(Productos!$H:$H,$I2))</f>
        <v/>
      </c>
      <c r="F724" s="5">
        <f>IF($I2="","",INDEX(Productos!$I:$I,$I2))</f>
        <v/>
      </c>
      <c r="G724" s="135" t="n">
        <v>-1</v>
      </c>
      <c r="H724" s="5">
        <f>IF($I2="","",INDEX(Productos!$AG:$AG,$I2))</f>
        <v/>
      </c>
      <c r="I724" s="136">
        <f>LET(_xlpm.r,Productos!$E$2:$E$2509,_xlpm.m,IFERROR(_xlfn.XMATCH(C724,_xlpm.r),IFERROR(_xlfn.XMATCH(VALUE(C724),_xlpm.r),0)),IF(_xlpm.m=0,"",_xlpm.m+1))</f>
        <v/>
      </c>
      <c r="J724" s="137" t="inlineStr">
        <is>
          <t>NetSuite</t>
        </is>
      </c>
    </row>
    <row r="725">
      <c r="A725" s="5" t="inlineStr">
        <is>
          <t>PUNTO DE VENTA</t>
        </is>
      </c>
      <c r="B725" s="5">
        <f>IF($I2="","",INDEX(Productos!$A:$A,$I2))</f>
        <v/>
      </c>
      <c r="C725" s="134" t="inlineStr">
        <is>
          <t>SFRNCH-01406172</t>
        </is>
      </c>
      <c r="D725" s="5">
        <f>IF($I2="","",INDEX(Productos!$B:$B,$I2))</f>
        <v/>
      </c>
      <c r="E725" s="5">
        <f>IF($I2="","",INDEX(Productos!$H:$H,$I2))</f>
        <v/>
      </c>
      <c r="F725" s="5">
        <f>IF($I2="","",INDEX(Productos!$I:$I,$I2))</f>
        <v/>
      </c>
      <c r="G725" s="135" t="n">
        <v>-1</v>
      </c>
      <c r="H725" s="5">
        <f>IF($I2="","",INDEX(Productos!$AG:$AG,$I2))</f>
        <v/>
      </c>
      <c r="I725" s="136">
        <f>LET(_xlpm.r,Productos!$E$2:$E$2509,_xlpm.m,IFERROR(_xlfn.XMATCH(C725,_xlpm.r),IFERROR(_xlfn.XMATCH(VALUE(C725),_xlpm.r),0)),IF(_xlpm.m=0,"",_xlpm.m+1))</f>
        <v/>
      </c>
      <c r="J725" s="137" t="inlineStr">
        <is>
          <t>NetSuite</t>
        </is>
      </c>
    </row>
    <row r="726">
      <c r="A726" s="5" t="inlineStr">
        <is>
          <t>PUNTO DE VENTA</t>
        </is>
      </c>
      <c r="B726" s="5">
        <f>IF($I2="","",INDEX(Productos!$A:$A,$I2))</f>
        <v/>
      </c>
      <c r="C726" s="134" t="inlineStr">
        <is>
          <t>SFRNCH-01408870</t>
        </is>
      </c>
      <c r="D726" s="5">
        <f>IF($I2="","",INDEX(Productos!$B:$B,$I2))</f>
        <v/>
      </c>
      <c r="E726" s="5">
        <f>IF($I2="","",INDEX(Productos!$H:$H,$I2))</f>
        <v/>
      </c>
      <c r="F726" s="5">
        <f>IF($I2="","",INDEX(Productos!$I:$I,$I2))</f>
        <v/>
      </c>
      <c r="G726" s="135" t="n">
        <v>-1</v>
      </c>
      <c r="H726" s="5">
        <f>IF($I2="","",INDEX(Productos!$AG:$AG,$I2))</f>
        <v/>
      </c>
      <c r="I726" s="136">
        <f>LET(_xlpm.r,Productos!$E$2:$E$2509,_xlpm.m,IFERROR(_xlfn.XMATCH(C726,_xlpm.r),IFERROR(_xlfn.XMATCH(VALUE(C726),_xlpm.r),0)),IF(_xlpm.m=0,"",_xlpm.m+1))</f>
        <v/>
      </c>
      <c r="J726" s="137" t="inlineStr">
        <is>
          <t>NetSuite</t>
        </is>
      </c>
    </row>
    <row r="727">
      <c r="A727" s="5" t="inlineStr">
        <is>
          <t>PUNTO DE VENTA</t>
        </is>
      </c>
      <c r="B727" s="5">
        <f>IF($I2="","",INDEX(Productos!$A:$A,$I2))</f>
        <v/>
      </c>
      <c r="C727" s="134" t="inlineStr">
        <is>
          <t>SFRNCH-01408873</t>
        </is>
      </c>
      <c r="D727" s="5">
        <f>IF($I2="","",INDEX(Productos!$B:$B,$I2))</f>
        <v/>
      </c>
      <c r="E727" s="5">
        <f>IF($I2="","",INDEX(Productos!$H:$H,$I2))</f>
        <v/>
      </c>
      <c r="F727" s="5">
        <f>IF($I2="","",INDEX(Productos!$I:$I,$I2))</f>
        <v/>
      </c>
      <c r="G727" s="135" t="n">
        <v>-2</v>
      </c>
      <c r="H727" s="5">
        <f>IF($I2="","",INDEX(Productos!$AG:$AG,$I2))</f>
        <v/>
      </c>
      <c r="I727" s="136">
        <f>LET(_xlpm.r,Productos!$E$2:$E$2509,_xlpm.m,IFERROR(_xlfn.XMATCH(C727,_xlpm.r),IFERROR(_xlfn.XMATCH(VALUE(C727),_xlpm.r),0)),IF(_xlpm.m=0,"",_xlpm.m+1))</f>
        <v/>
      </c>
      <c r="J727" s="137" t="inlineStr">
        <is>
          <t>NetSuite</t>
        </is>
      </c>
    </row>
    <row r="728">
      <c r="A728" s="5" t="inlineStr">
        <is>
          <t>PUNTO DE VENTA</t>
        </is>
      </c>
      <c r="B728" s="5">
        <f>IF($I2="","",INDEX(Productos!$A:$A,$I2))</f>
        <v/>
      </c>
      <c r="C728" s="134" t="inlineStr">
        <is>
          <t>SFROPR-75400771</t>
        </is>
      </c>
      <c r="D728" s="5">
        <f>IF($I2="","",INDEX(Productos!$B:$B,$I2))</f>
        <v/>
      </c>
      <c r="E728" s="5">
        <f>IF($I2="","",INDEX(Productos!$H:$H,$I2))</f>
        <v/>
      </c>
      <c r="F728" s="5">
        <f>IF($I2="","",INDEX(Productos!$I:$I,$I2))</f>
        <v/>
      </c>
      <c r="G728" s="135" t="n">
        <v>-1</v>
      </c>
      <c r="H728" s="5">
        <f>IF($I2="","",INDEX(Productos!$AG:$AG,$I2))</f>
        <v/>
      </c>
      <c r="I728" s="136">
        <f>LET(_xlpm.r,Productos!$E$2:$E$2509,_xlpm.m,IFERROR(_xlfn.XMATCH(C728,_xlpm.r),IFERROR(_xlfn.XMATCH(VALUE(C728),_xlpm.r),0)),IF(_xlpm.m=0,"",_xlpm.m+1))</f>
        <v/>
      </c>
      <c r="J728" s="137" t="inlineStr">
        <is>
          <t>NetSuite</t>
        </is>
      </c>
    </row>
    <row r="729">
      <c r="A729" s="5" t="inlineStr">
        <is>
          <t>PUNTO DE VENTA</t>
        </is>
      </c>
      <c r="B729" s="5">
        <f>IF($I2="","",INDEX(Productos!$A:$A,$I2))</f>
        <v/>
      </c>
      <c r="C729" s="134" t="inlineStr">
        <is>
          <t>SFROPR-75400772</t>
        </is>
      </c>
      <c r="D729" s="5">
        <f>IF($I2="","",INDEX(Productos!$B:$B,$I2))</f>
        <v/>
      </c>
      <c r="E729" s="5">
        <f>IF($I2="","",INDEX(Productos!$H:$H,$I2))</f>
        <v/>
      </c>
      <c r="F729" s="5">
        <f>IF($I2="","",INDEX(Productos!$I:$I,$I2))</f>
        <v/>
      </c>
      <c r="G729" s="135" t="n">
        <v>-1</v>
      </c>
      <c r="H729" s="5">
        <f>IF($I2="","",INDEX(Productos!$AG:$AG,$I2))</f>
        <v/>
      </c>
      <c r="I729" s="136">
        <f>LET(_xlpm.r,Productos!$E$2:$E$2509,_xlpm.m,IFERROR(_xlfn.XMATCH(C729,_xlpm.r),IFERROR(_xlfn.XMATCH(VALUE(C729),_xlpm.r),0)),IF(_xlpm.m=0,"",_xlpm.m+1))</f>
        <v/>
      </c>
      <c r="J729" s="137" t="inlineStr">
        <is>
          <t>NetSuite</t>
        </is>
      </c>
    </row>
    <row r="730">
      <c r="A730" s="5" t="inlineStr">
        <is>
          <t>PUNTO DE VENTA</t>
        </is>
      </c>
      <c r="B730" s="5">
        <f>IF($I2="","",INDEX(Productos!$A:$A,$I2))</f>
        <v/>
      </c>
      <c r="C730" s="134" t="inlineStr">
        <is>
          <t>SFROPR-75406170</t>
        </is>
      </c>
      <c r="D730" s="5">
        <f>IF($I2="","",INDEX(Productos!$B:$B,$I2))</f>
        <v/>
      </c>
      <c r="E730" s="5">
        <f>IF($I2="","",INDEX(Productos!$H:$H,$I2))</f>
        <v/>
      </c>
      <c r="F730" s="5">
        <f>IF($I2="","",INDEX(Productos!$I:$I,$I2))</f>
        <v/>
      </c>
      <c r="G730" s="135" t="n">
        <v>-1</v>
      </c>
      <c r="H730" s="5">
        <f>IF($I2="","",INDEX(Productos!$AG:$AG,$I2))</f>
        <v/>
      </c>
      <c r="I730" s="136">
        <f>LET(_xlpm.r,Productos!$E$2:$E$2509,_xlpm.m,IFERROR(_xlfn.XMATCH(C730,_xlpm.r),IFERROR(_xlfn.XMATCH(VALUE(C730),_xlpm.r),0)),IF(_xlpm.m=0,"",_xlpm.m+1))</f>
        <v/>
      </c>
      <c r="J730" s="137" t="inlineStr">
        <is>
          <t>NetSuite</t>
        </is>
      </c>
    </row>
    <row r="731">
      <c r="A731" s="5" t="inlineStr">
        <is>
          <t>PUNTO DE VENTA</t>
        </is>
      </c>
      <c r="B731" s="5">
        <f>IF($I2="","",INDEX(Productos!$A:$A,$I2))</f>
        <v/>
      </c>
      <c r="C731" s="134" t="inlineStr">
        <is>
          <t>SFROPR-75406171</t>
        </is>
      </c>
      <c r="D731" s="5">
        <f>IF($I2="","",INDEX(Productos!$B:$B,$I2))</f>
        <v/>
      </c>
      <c r="E731" s="5">
        <f>IF($I2="","",INDEX(Productos!$H:$H,$I2))</f>
        <v/>
      </c>
      <c r="F731" s="5">
        <f>IF($I2="","",INDEX(Productos!$I:$I,$I2))</f>
        <v/>
      </c>
      <c r="G731" s="135" t="n">
        <v>-1</v>
      </c>
      <c r="H731" s="5">
        <f>IF($I2="","",INDEX(Productos!$AG:$AG,$I2))</f>
        <v/>
      </c>
      <c r="I731" s="136">
        <f>LET(_xlpm.r,Productos!$E$2:$E$2509,_xlpm.m,IFERROR(_xlfn.XMATCH(C731,_xlpm.r),IFERROR(_xlfn.XMATCH(VALUE(C731),_xlpm.r),0)),IF(_xlpm.m=0,"",_xlpm.m+1))</f>
        <v/>
      </c>
      <c r="J731" s="137" t="inlineStr">
        <is>
          <t>NetSuite</t>
        </is>
      </c>
    </row>
    <row r="732">
      <c r="A732" s="5" t="inlineStr">
        <is>
          <t>PUNTO DE VENTA</t>
        </is>
      </c>
      <c r="B732" s="5">
        <f>IF($I2="","",INDEX(Productos!$A:$A,$I2))</f>
        <v/>
      </c>
      <c r="C732" s="134" t="inlineStr">
        <is>
          <t>SFROPR-75406172</t>
        </is>
      </c>
      <c r="D732" s="5">
        <f>IF($I2="","",INDEX(Productos!$B:$B,$I2))</f>
        <v/>
      </c>
      <c r="E732" s="5">
        <f>IF($I2="","",INDEX(Productos!$H:$H,$I2))</f>
        <v/>
      </c>
      <c r="F732" s="5">
        <f>IF($I2="","",INDEX(Productos!$I:$I,$I2))</f>
        <v/>
      </c>
      <c r="G732" s="135" t="n">
        <v>-1</v>
      </c>
      <c r="H732" s="5">
        <f>IF($I2="","",INDEX(Productos!$AG:$AG,$I2))</f>
        <v/>
      </c>
      <c r="I732" s="136">
        <f>LET(_xlpm.r,Productos!$E$2:$E$2509,_xlpm.m,IFERROR(_xlfn.XMATCH(C732,_xlpm.r),IFERROR(_xlfn.XMATCH(VALUE(C732),_xlpm.r),0)),IF(_xlpm.m=0,"",_xlpm.m+1))</f>
        <v/>
      </c>
      <c r="J732" s="137" t="inlineStr">
        <is>
          <t>NetSuite</t>
        </is>
      </c>
    </row>
    <row r="733">
      <c r="A733" s="5" t="inlineStr">
        <is>
          <t>PUNTO DE VENTA</t>
        </is>
      </c>
      <c r="B733" s="5">
        <f>IF($I2="","",INDEX(Productos!$A:$A,$I2))</f>
        <v/>
      </c>
      <c r="C733" s="134" t="inlineStr">
        <is>
          <t>SFROPR-75406174</t>
        </is>
      </c>
      <c r="D733" s="5">
        <f>IF($I2="","",INDEX(Productos!$B:$B,$I2))</f>
        <v/>
      </c>
      <c r="E733" s="5">
        <f>IF($I2="","",INDEX(Productos!$H:$H,$I2))</f>
        <v/>
      </c>
      <c r="F733" s="5">
        <f>IF($I2="","",INDEX(Productos!$I:$I,$I2))</f>
        <v/>
      </c>
      <c r="G733" s="135" t="n">
        <v>-1</v>
      </c>
      <c r="H733" s="5">
        <f>IF($I2="","",INDEX(Productos!$AG:$AG,$I2))</f>
        <v/>
      </c>
      <c r="I733" s="136">
        <f>LET(_xlpm.r,Productos!$E$2:$E$2509,_xlpm.m,IFERROR(_xlfn.XMATCH(C733,_xlpm.r),IFERROR(_xlfn.XMATCH(VALUE(C733),_xlpm.r),0)),IF(_xlpm.m=0,"",_xlpm.m+1))</f>
        <v/>
      </c>
      <c r="J733" s="137" t="inlineStr">
        <is>
          <t>NetSuite</t>
        </is>
      </c>
    </row>
    <row r="734">
      <c r="A734" s="5" t="inlineStr">
        <is>
          <t>PUNTO DE VENTA</t>
        </is>
      </c>
      <c r="B734" s="5">
        <f>IF($I2="","",INDEX(Productos!$A:$A,$I2))</f>
        <v/>
      </c>
      <c r="C734" s="134" t="inlineStr">
        <is>
          <t>SFS250-75420770</t>
        </is>
      </c>
      <c r="D734" s="5">
        <f>IF($I2="","",INDEX(Productos!$B:$B,$I2))</f>
        <v/>
      </c>
      <c r="E734" s="5">
        <f>IF($I2="","",INDEX(Productos!$H:$H,$I2))</f>
        <v/>
      </c>
      <c r="F734" s="5">
        <f>IF($I2="","",INDEX(Productos!$I:$I,$I2))</f>
        <v/>
      </c>
      <c r="G734" s="135" t="n">
        <v>-1</v>
      </c>
      <c r="H734" s="5">
        <f>IF($I2="","",INDEX(Productos!$AG:$AG,$I2))</f>
        <v/>
      </c>
      <c r="I734" s="136">
        <f>LET(_xlpm.r,Productos!$E$2:$E$2509,_xlpm.m,IFERROR(_xlfn.XMATCH(C734,_xlpm.r),IFERROR(_xlfn.XMATCH(VALUE(C734),_xlpm.r),0)),IF(_xlpm.m=0,"",_xlpm.m+1))</f>
        <v/>
      </c>
      <c r="J734" s="137" t="inlineStr">
        <is>
          <t>NetSuite</t>
        </is>
      </c>
    </row>
    <row r="735">
      <c r="A735" s="5" t="inlineStr">
        <is>
          <t>PUNTO DE VENTA</t>
        </is>
      </c>
      <c r="B735" s="5">
        <f>IF($I2="","",INDEX(Productos!$A:$A,$I2))</f>
        <v/>
      </c>
      <c r="C735" s="134" t="inlineStr">
        <is>
          <t>SFS250-75420771</t>
        </is>
      </c>
      <c r="D735" s="5">
        <f>IF($I2="","",INDEX(Productos!$B:$B,$I2))</f>
        <v/>
      </c>
      <c r="E735" s="5">
        <f>IF($I2="","",INDEX(Productos!$H:$H,$I2))</f>
        <v/>
      </c>
      <c r="F735" s="5">
        <f>IF($I2="","",INDEX(Productos!$I:$I,$I2))</f>
        <v/>
      </c>
      <c r="G735" s="135" t="n">
        <v>-1</v>
      </c>
      <c r="H735" s="5">
        <f>IF($I2="","",INDEX(Productos!$AG:$AG,$I2))</f>
        <v/>
      </c>
      <c r="I735" s="136">
        <f>LET(_xlpm.r,Productos!$E$2:$E$2509,_xlpm.m,IFERROR(_xlfn.XMATCH(C735,_xlpm.r),IFERROR(_xlfn.XMATCH(VALUE(C735),_xlpm.r),0)),IF(_xlpm.m=0,"",_xlpm.m+1))</f>
        <v/>
      </c>
      <c r="J735" s="137" t="inlineStr">
        <is>
          <t>NetSuite</t>
        </is>
      </c>
    </row>
    <row r="736">
      <c r="A736" s="5" t="inlineStr">
        <is>
          <t>PUNTO DE VENTA</t>
        </is>
      </c>
      <c r="B736" s="5">
        <f>IF($I2="","",INDEX(Productos!$A:$A,$I2))</f>
        <v/>
      </c>
      <c r="C736" s="134" t="inlineStr">
        <is>
          <t>SFS250-75420772</t>
        </is>
      </c>
      <c r="D736" s="5">
        <f>IF($I2="","",INDEX(Productos!$B:$B,$I2))</f>
        <v/>
      </c>
      <c r="E736" s="5">
        <f>IF($I2="","",INDEX(Productos!$H:$H,$I2))</f>
        <v/>
      </c>
      <c r="F736" s="5">
        <f>IF($I2="","",INDEX(Productos!$I:$I,$I2))</f>
        <v/>
      </c>
      <c r="G736" s="135" t="n">
        <v>-1</v>
      </c>
      <c r="H736" s="5">
        <f>IF($I2="","",INDEX(Productos!$AG:$AG,$I2))</f>
        <v/>
      </c>
      <c r="I736" s="136">
        <f>LET(_xlpm.r,Productos!$E$2:$E$2509,_xlpm.m,IFERROR(_xlfn.XMATCH(C736,_xlpm.r),IFERROR(_xlfn.XMATCH(VALUE(C736),_xlpm.r),0)),IF(_xlpm.m=0,"",_xlpm.m+1))</f>
        <v/>
      </c>
      <c r="J736" s="137" t="inlineStr">
        <is>
          <t>NetSuite</t>
        </is>
      </c>
    </row>
    <row r="737">
      <c r="A737" s="5" t="inlineStr">
        <is>
          <t>PUNTO DE VENTA</t>
        </is>
      </c>
      <c r="B737" s="5">
        <f>IF($I2="","",INDEX(Productos!$A:$A,$I2))</f>
        <v/>
      </c>
      <c r="C737" s="134" t="inlineStr">
        <is>
          <t>SFS250-75420773</t>
        </is>
      </c>
      <c r="D737" s="5">
        <f>IF($I2="","",INDEX(Productos!$B:$B,$I2))</f>
        <v/>
      </c>
      <c r="E737" s="5">
        <f>IF($I2="","",INDEX(Productos!$H:$H,$I2))</f>
        <v/>
      </c>
      <c r="F737" s="5">
        <f>IF($I2="","",INDEX(Productos!$I:$I,$I2))</f>
        <v/>
      </c>
      <c r="G737" s="135" t="n">
        <v>-1</v>
      </c>
      <c r="H737" s="5">
        <f>IF($I2="","",INDEX(Productos!$AG:$AG,$I2))</f>
        <v/>
      </c>
      <c r="I737" s="136">
        <f>LET(_xlpm.r,Productos!$E$2:$E$2509,_xlpm.m,IFERROR(_xlfn.XMATCH(C737,_xlpm.r),IFERROR(_xlfn.XMATCH(VALUE(C737),_xlpm.r),0)),IF(_xlpm.m=0,"",_xlpm.m+1))</f>
        <v/>
      </c>
      <c r="J737" s="137" t="inlineStr">
        <is>
          <t>NetSuite</t>
        </is>
      </c>
    </row>
    <row r="738">
      <c r="A738" s="5" t="inlineStr">
        <is>
          <t>PUNTO DE VENTA</t>
        </is>
      </c>
      <c r="B738" s="5">
        <f>IF($I2="","",INDEX(Productos!$A:$A,$I2))</f>
        <v/>
      </c>
      <c r="C738" s="134" t="inlineStr">
        <is>
          <t>SFS250-75426170</t>
        </is>
      </c>
      <c r="D738" s="5">
        <f>IF($I2="","",INDEX(Productos!$B:$B,$I2))</f>
        <v/>
      </c>
      <c r="E738" s="5">
        <f>IF($I2="","",INDEX(Productos!$H:$H,$I2))</f>
        <v/>
      </c>
      <c r="F738" s="5">
        <f>IF($I2="","",INDEX(Productos!$I:$I,$I2))</f>
        <v/>
      </c>
      <c r="G738" s="135" t="n">
        <v>-1</v>
      </c>
      <c r="H738" s="5">
        <f>IF($I2="","",INDEX(Productos!$AG:$AG,$I2))</f>
        <v/>
      </c>
      <c r="I738" s="136">
        <f>LET(_xlpm.r,Productos!$E$2:$E$2509,_xlpm.m,IFERROR(_xlfn.XMATCH(C738,_xlpm.r),IFERROR(_xlfn.XMATCH(VALUE(C738),_xlpm.r),0)),IF(_xlpm.m=0,"",_xlpm.m+1))</f>
        <v/>
      </c>
      <c r="J738" s="137" t="inlineStr">
        <is>
          <t>NetSuite</t>
        </is>
      </c>
    </row>
    <row r="739">
      <c r="A739" s="5" t="inlineStr">
        <is>
          <t>PUNTO DE VENTA</t>
        </is>
      </c>
      <c r="B739" s="5">
        <f>IF($I2="","",INDEX(Productos!$A:$A,$I2))</f>
        <v/>
      </c>
      <c r="C739" s="134" t="inlineStr">
        <is>
          <t>SFS250-75426171</t>
        </is>
      </c>
      <c r="D739" s="5">
        <f>IF($I2="","",INDEX(Productos!$B:$B,$I2))</f>
        <v/>
      </c>
      <c r="E739" s="5">
        <f>IF($I2="","",INDEX(Productos!$H:$H,$I2))</f>
        <v/>
      </c>
      <c r="F739" s="5">
        <f>IF($I2="","",INDEX(Productos!$I:$I,$I2))</f>
        <v/>
      </c>
      <c r="G739" s="135" t="n">
        <v>-1</v>
      </c>
      <c r="H739" s="5">
        <f>IF($I2="","",INDEX(Productos!$AG:$AG,$I2))</f>
        <v/>
      </c>
      <c r="I739" s="136">
        <f>LET(_xlpm.r,Productos!$E$2:$E$2509,_xlpm.m,IFERROR(_xlfn.XMATCH(C739,_xlpm.r),IFERROR(_xlfn.XMATCH(VALUE(C739),_xlpm.r),0)),IF(_xlpm.m=0,"",_xlpm.m+1))</f>
        <v/>
      </c>
      <c r="J739" s="137" t="inlineStr">
        <is>
          <t>NetSuite</t>
        </is>
      </c>
    </row>
    <row r="740">
      <c r="A740" s="5" t="inlineStr">
        <is>
          <t>PUNTO DE VENTA</t>
        </is>
      </c>
      <c r="B740" s="5">
        <f>IF($I2="","",INDEX(Productos!$A:$A,$I2))</f>
        <v/>
      </c>
      <c r="C740" s="134" t="inlineStr">
        <is>
          <t>SFS250-75426172</t>
        </is>
      </c>
      <c r="D740" s="5">
        <f>IF($I2="","",INDEX(Productos!$B:$B,$I2))</f>
        <v/>
      </c>
      <c r="E740" s="5">
        <f>IF($I2="","",INDEX(Productos!$H:$H,$I2))</f>
        <v/>
      </c>
      <c r="F740" s="5">
        <f>IF($I2="","",INDEX(Productos!$I:$I,$I2))</f>
        <v/>
      </c>
      <c r="G740" s="135" t="n">
        <v>-1</v>
      </c>
      <c r="H740" s="5">
        <f>IF($I2="","",INDEX(Productos!$AG:$AG,$I2))</f>
        <v/>
      </c>
      <c r="I740" s="136">
        <f>LET(_xlpm.r,Productos!$E$2:$E$2509,_xlpm.m,IFERROR(_xlfn.XMATCH(C740,_xlpm.r),IFERROR(_xlfn.XMATCH(VALUE(C740),_xlpm.r),0)),IF(_xlpm.m=0,"",_xlpm.m+1))</f>
        <v/>
      </c>
      <c r="J740" s="137" t="inlineStr">
        <is>
          <t>NetSuite</t>
        </is>
      </c>
    </row>
    <row r="741">
      <c r="A741" s="5" t="inlineStr">
        <is>
          <t>PUNTO DE VENTA</t>
        </is>
      </c>
      <c r="B741" s="5">
        <f>IF($I2="","",INDEX(Productos!$A:$A,$I2))</f>
        <v/>
      </c>
      <c r="C741" s="134" t="inlineStr">
        <is>
          <t>SFSHAS-01400771</t>
        </is>
      </c>
      <c r="D741" s="5">
        <f>IF($I2="","",INDEX(Productos!$B:$B,$I2))</f>
        <v/>
      </c>
      <c r="E741" s="5">
        <f>IF($I2="","",INDEX(Productos!$H:$H,$I2))</f>
        <v/>
      </c>
      <c r="F741" s="5">
        <f>IF($I2="","",INDEX(Productos!$I:$I,$I2))</f>
        <v/>
      </c>
      <c r="G741" s="135" t="n">
        <v>-1</v>
      </c>
      <c r="H741" s="5">
        <f>IF($I2="","",INDEX(Productos!$AG:$AG,$I2))</f>
        <v/>
      </c>
      <c r="I741" s="136">
        <f>LET(_xlpm.r,Productos!$E$2:$E$2509,_xlpm.m,IFERROR(_xlfn.XMATCH(C741,_xlpm.r),IFERROR(_xlfn.XMATCH(VALUE(C741),_xlpm.r),0)),IF(_xlpm.m=0,"",_xlpm.m+1))</f>
        <v/>
      </c>
      <c r="J741" s="137" t="inlineStr">
        <is>
          <t>NetSuite</t>
        </is>
      </c>
    </row>
    <row r="742">
      <c r="A742" s="5" t="inlineStr">
        <is>
          <t>PUNTO DE VENTA</t>
        </is>
      </c>
      <c r="B742" s="5">
        <f>IF($I2="","",INDEX(Productos!$A:$A,$I2))</f>
        <v/>
      </c>
      <c r="C742" s="134" t="inlineStr">
        <is>
          <t>SFSHAS-75400770</t>
        </is>
      </c>
      <c r="D742" s="5">
        <f>IF($I2="","",INDEX(Productos!$B:$B,$I2))</f>
        <v/>
      </c>
      <c r="E742" s="5">
        <f>IF($I2="","",INDEX(Productos!$H:$H,$I2))</f>
        <v/>
      </c>
      <c r="F742" s="5">
        <f>IF($I2="","",INDEX(Productos!$I:$I,$I2))</f>
        <v/>
      </c>
      <c r="G742" s="135" t="n">
        <v>1</v>
      </c>
      <c r="H742" s="5">
        <f>IF($I2="","",INDEX(Productos!$AG:$AG,$I2))</f>
        <v/>
      </c>
      <c r="I742" s="136">
        <f>LET(_xlpm.r,Productos!$E$2:$E$2509,_xlpm.m,IFERROR(_xlfn.XMATCH(C742,_xlpm.r),IFERROR(_xlfn.XMATCH(VALUE(C742),_xlpm.r),0)),IF(_xlpm.m=0,"",_xlpm.m+1))</f>
        <v/>
      </c>
      <c r="J742" s="137" t="inlineStr">
        <is>
          <t>NetSuite</t>
        </is>
      </c>
    </row>
    <row r="743">
      <c r="A743" s="5" t="inlineStr">
        <is>
          <t>PUNTO DE VENTA</t>
        </is>
      </c>
      <c r="B743" s="5">
        <f>IF($I2="","",INDEX(Productos!$A:$A,$I2))</f>
        <v/>
      </c>
      <c r="C743" s="134" t="inlineStr">
        <is>
          <t>SFSHAS-75406170</t>
        </is>
      </c>
      <c r="D743" s="5">
        <f>IF($I2="","",INDEX(Productos!$B:$B,$I2))</f>
        <v/>
      </c>
      <c r="E743" s="5">
        <f>IF($I2="","",INDEX(Productos!$H:$H,$I2))</f>
        <v/>
      </c>
      <c r="F743" s="5">
        <f>IF($I2="","",INDEX(Productos!$I:$I,$I2))</f>
        <v/>
      </c>
      <c r="G743" s="135" t="n">
        <v>-1</v>
      </c>
      <c r="H743" s="5">
        <f>IF($I2="","",INDEX(Productos!$AG:$AG,$I2))</f>
        <v/>
      </c>
      <c r="I743" s="136">
        <f>LET(_xlpm.r,Productos!$E$2:$E$2509,_xlpm.m,IFERROR(_xlfn.XMATCH(C743,_xlpm.r),IFERROR(_xlfn.XMATCH(VALUE(C743),_xlpm.r),0)),IF(_xlpm.m=0,"",_xlpm.m+1))</f>
        <v/>
      </c>
      <c r="J743" s="137" t="inlineStr">
        <is>
          <t>NetSuite</t>
        </is>
      </c>
    </row>
    <row r="744">
      <c r="A744" s="5" t="inlineStr">
        <is>
          <t>PUNTO DE VENTA</t>
        </is>
      </c>
      <c r="B744" s="5">
        <f>IF($I2="","",INDEX(Productos!$A:$A,$I2))</f>
        <v/>
      </c>
      <c r="C744" s="134" t="inlineStr">
        <is>
          <t>SFSKYL-72400772</t>
        </is>
      </c>
      <c r="D744" s="5">
        <f>IF($I2="","",INDEX(Productos!$B:$B,$I2))</f>
        <v/>
      </c>
      <c r="E744" s="5">
        <f>IF($I2="","",INDEX(Productos!$H:$H,$I2))</f>
        <v/>
      </c>
      <c r="F744" s="5">
        <f>IF($I2="","",INDEX(Productos!$I:$I,$I2))</f>
        <v/>
      </c>
      <c r="G744" s="135" t="n">
        <v>-1</v>
      </c>
      <c r="H744" s="5">
        <f>IF($I2="","",INDEX(Productos!$AG:$AG,$I2))</f>
        <v/>
      </c>
      <c r="I744" s="136">
        <f>LET(_xlpm.r,Productos!$E$2:$E$2509,_xlpm.m,IFERROR(_xlfn.XMATCH(C744,_xlpm.r),IFERROR(_xlfn.XMATCH(VALUE(C744),_xlpm.r),0)),IF(_xlpm.m=0,"",_xlpm.m+1))</f>
        <v/>
      </c>
      <c r="J744" s="137" t="inlineStr">
        <is>
          <t>NetSuite</t>
        </is>
      </c>
    </row>
    <row r="745">
      <c r="A745" s="5" t="inlineStr">
        <is>
          <t>PUNTO DE VENTA</t>
        </is>
      </c>
      <c r="B745" s="5">
        <f>IF($I2="","",INDEX(Productos!$A:$A,$I2))</f>
        <v/>
      </c>
      <c r="C745" s="134" t="inlineStr">
        <is>
          <t>SFSKYL-72406167</t>
        </is>
      </c>
      <c r="D745" s="5">
        <f>IF($I2="","",INDEX(Productos!$B:$B,$I2))</f>
        <v/>
      </c>
      <c r="E745" s="5">
        <f>IF($I2="","",INDEX(Productos!$H:$H,$I2))</f>
        <v/>
      </c>
      <c r="F745" s="5">
        <f>IF($I2="","",INDEX(Productos!$I:$I,$I2))</f>
        <v/>
      </c>
      <c r="G745" s="135" t="n">
        <v>-1</v>
      </c>
      <c r="H745" s="5">
        <f>IF($I2="","",INDEX(Productos!$AG:$AG,$I2))</f>
        <v/>
      </c>
      <c r="I745" s="136">
        <f>LET(_xlpm.r,Productos!$E$2:$E$2509,_xlpm.m,IFERROR(_xlfn.XMATCH(C745,_xlpm.r),IFERROR(_xlfn.XMATCH(VALUE(C745),_xlpm.r),0)),IF(_xlpm.m=0,"",_xlpm.m+1))</f>
        <v/>
      </c>
      <c r="J745" s="137" t="inlineStr">
        <is>
          <t>NetSuite</t>
        </is>
      </c>
    </row>
    <row r="746">
      <c r="A746" s="5" t="inlineStr">
        <is>
          <t>PUNTO DE VENTA</t>
        </is>
      </c>
      <c r="B746" s="5">
        <f>IF($I2="","",INDEX(Productos!$A:$A,$I2))</f>
        <v/>
      </c>
      <c r="C746" s="134" t="inlineStr">
        <is>
          <t>SFSKYL-72406172</t>
        </is>
      </c>
      <c r="D746" s="5">
        <f>IF($I2="","",INDEX(Productos!$B:$B,$I2))</f>
        <v/>
      </c>
      <c r="E746" s="5">
        <f>IF($I2="","",INDEX(Productos!$H:$H,$I2))</f>
        <v/>
      </c>
      <c r="F746" s="5">
        <f>IF($I2="","",INDEX(Productos!$I:$I,$I2))</f>
        <v/>
      </c>
      <c r="G746" s="135" t="n">
        <v>-2</v>
      </c>
      <c r="H746" s="5">
        <f>IF($I2="","",INDEX(Productos!$AG:$AG,$I2))</f>
        <v/>
      </c>
      <c r="I746" s="136">
        <f>LET(_xlpm.r,Productos!$E$2:$E$2509,_xlpm.m,IFERROR(_xlfn.XMATCH(C746,_xlpm.r),IFERROR(_xlfn.XMATCH(VALUE(C746),_xlpm.r),0)),IF(_xlpm.m=0,"",_xlpm.m+1))</f>
        <v/>
      </c>
      <c r="J746" s="137" t="inlineStr">
        <is>
          <t>NetSuite</t>
        </is>
      </c>
    </row>
    <row r="747">
      <c r="A747" s="5" t="inlineStr">
        <is>
          <t>PUNTO DE VENTA</t>
        </is>
      </c>
      <c r="B747" s="5">
        <f>IF($I2="","",INDEX(Productos!$A:$A,$I2))</f>
        <v/>
      </c>
      <c r="C747" s="134" t="inlineStr">
        <is>
          <t>SFSKYL-72406173</t>
        </is>
      </c>
      <c r="D747" s="5">
        <f>IF($I2="","",INDEX(Productos!$B:$B,$I2))</f>
        <v/>
      </c>
      <c r="E747" s="5">
        <f>IF($I2="","",INDEX(Productos!$H:$H,$I2))</f>
        <v/>
      </c>
      <c r="F747" s="5">
        <f>IF($I2="","",INDEX(Productos!$I:$I,$I2))</f>
        <v/>
      </c>
      <c r="G747" s="135" t="n">
        <v>1</v>
      </c>
      <c r="H747" s="5">
        <f>IF($I2="","",INDEX(Productos!$AG:$AG,$I2))</f>
        <v/>
      </c>
      <c r="I747" s="136">
        <f>LET(_xlpm.r,Productos!$E$2:$E$2509,_xlpm.m,IFERROR(_xlfn.XMATCH(C747,_xlpm.r),IFERROR(_xlfn.XMATCH(VALUE(C747),_xlpm.r),0)),IF(_xlpm.m=0,"",_xlpm.m+1))</f>
        <v/>
      </c>
      <c r="J747" s="137" t="inlineStr">
        <is>
          <t>NetSuite</t>
        </is>
      </c>
    </row>
    <row r="748">
      <c r="A748" s="5" t="inlineStr">
        <is>
          <t>PUNTO DE VENTA</t>
        </is>
      </c>
      <c r="B748" s="5">
        <f>IF($I2="","",INDEX(Productos!$A:$A,$I2))</f>
        <v/>
      </c>
      <c r="C748" s="134" t="inlineStr">
        <is>
          <t>SFSKYL-75400770</t>
        </is>
      </c>
      <c r="D748" s="5">
        <f>IF($I2="","",INDEX(Productos!$B:$B,$I2))</f>
        <v/>
      </c>
      <c r="E748" s="5">
        <f>IF($I2="","",INDEX(Productos!$H:$H,$I2))</f>
        <v/>
      </c>
      <c r="F748" s="5">
        <f>IF($I2="","",INDEX(Productos!$I:$I,$I2))</f>
        <v/>
      </c>
      <c r="G748" s="135" t="n">
        <v>1</v>
      </c>
      <c r="H748" s="5">
        <f>IF($I2="","",INDEX(Productos!$AG:$AG,$I2))</f>
        <v/>
      </c>
      <c r="I748" s="136">
        <f>LET(_xlpm.r,Productos!$E$2:$E$2509,_xlpm.m,IFERROR(_xlfn.XMATCH(C748,_xlpm.r),IFERROR(_xlfn.XMATCH(VALUE(C748),_xlpm.r),0)),IF(_xlpm.m=0,"",_xlpm.m+1))</f>
        <v/>
      </c>
      <c r="J748" s="137" t="inlineStr">
        <is>
          <t>NetSuite</t>
        </is>
      </c>
    </row>
    <row r="749">
      <c r="A749" s="5" t="inlineStr">
        <is>
          <t>PUNTO DE VENTA</t>
        </is>
      </c>
      <c r="B749" s="5">
        <f>IF($I2="","",INDEX(Productos!$A:$A,$I2))</f>
        <v/>
      </c>
      <c r="C749" s="134" t="inlineStr">
        <is>
          <t>SFSKYL-75400771</t>
        </is>
      </c>
      <c r="D749" s="5">
        <f>IF($I2="","",INDEX(Productos!$B:$B,$I2))</f>
        <v/>
      </c>
      <c r="E749" s="5">
        <f>IF($I2="","",INDEX(Productos!$H:$H,$I2))</f>
        <v/>
      </c>
      <c r="F749" s="5">
        <f>IF($I2="","",INDEX(Productos!$I:$I,$I2))</f>
        <v/>
      </c>
      <c r="G749" s="135" t="n">
        <v>-1</v>
      </c>
      <c r="H749" s="5">
        <f>IF($I2="","",INDEX(Productos!$AG:$AG,$I2))</f>
        <v/>
      </c>
      <c r="I749" s="136">
        <f>LET(_xlpm.r,Productos!$E$2:$E$2509,_xlpm.m,IFERROR(_xlfn.XMATCH(C749,_xlpm.r),IFERROR(_xlfn.XMATCH(VALUE(C749),_xlpm.r),0)),IF(_xlpm.m=0,"",_xlpm.m+1))</f>
        <v/>
      </c>
      <c r="J749" s="137" t="inlineStr">
        <is>
          <t>NetSuite</t>
        </is>
      </c>
    </row>
    <row r="750">
      <c r="A750" s="5" t="inlineStr">
        <is>
          <t>PUNTO DE VENTA</t>
        </is>
      </c>
      <c r="B750" s="5">
        <f>IF($I2="","",INDEX(Productos!$A:$A,$I2))</f>
        <v/>
      </c>
      <c r="C750" s="134" t="inlineStr">
        <is>
          <t>SFSKYL-75402270</t>
        </is>
      </c>
      <c r="D750" s="5">
        <f>IF($I2="","",INDEX(Productos!$B:$B,$I2))</f>
        <v/>
      </c>
      <c r="E750" s="5">
        <f>IF($I2="","",INDEX(Productos!$H:$H,$I2))</f>
        <v/>
      </c>
      <c r="F750" s="5">
        <f>IF($I2="","",INDEX(Productos!$I:$I,$I2))</f>
        <v/>
      </c>
      <c r="G750" s="135" t="n">
        <v>-1</v>
      </c>
      <c r="H750" s="5">
        <f>IF($I2="","",INDEX(Productos!$AG:$AG,$I2))</f>
        <v/>
      </c>
      <c r="I750" s="136">
        <f>LET(_xlpm.r,Productos!$E$2:$E$2509,_xlpm.m,IFERROR(_xlfn.XMATCH(C750,_xlpm.r),IFERROR(_xlfn.XMATCH(VALUE(C750),_xlpm.r),0)),IF(_xlpm.m=0,"",_xlpm.m+1))</f>
        <v/>
      </c>
      <c r="J750" s="137" t="inlineStr">
        <is>
          <t>NetSuite</t>
        </is>
      </c>
    </row>
    <row r="751">
      <c r="A751" s="5" t="inlineStr">
        <is>
          <t>PUNTO DE VENTA</t>
        </is>
      </c>
      <c r="B751" s="5">
        <f>IF($I2="","",INDEX(Productos!$A:$A,$I2))</f>
        <v/>
      </c>
      <c r="C751" s="134" t="inlineStr">
        <is>
          <t>SFSKYL-75402272</t>
        </is>
      </c>
      <c r="D751" s="5">
        <f>IF($I2="","",INDEX(Productos!$B:$B,$I2))</f>
        <v/>
      </c>
      <c r="E751" s="5">
        <f>IF($I2="","",INDEX(Productos!$H:$H,$I2))</f>
        <v/>
      </c>
      <c r="F751" s="5">
        <f>IF($I2="","",INDEX(Productos!$I:$I,$I2))</f>
        <v/>
      </c>
      <c r="G751" s="135" t="n">
        <v>-1</v>
      </c>
      <c r="H751" s="5">
        <f>IF($I2="","",INDEX(Productos!$AG:$AG,$I2))</f>
        <v/>
      </c>
      <c r="I751" s="136">
        <f>LET(_xlpm.r,Productos!$E$2:$E$2509,_xlpm.m,IFERROR(_xlfn.XMATCH(C751,_xlpm.r),IFERROR(_xlfn.XMATCH(VALUE(C751),_xlpm.r),0)),IF(_xlpm.m=0,"",_xlpm.m+1))</f>
        <v/>
      </c>
      <c r="J751" s="137" t="inlineStr">
        <is>
          <t>NetSuite</t>
        </is>
      </c>
    </row>
    <row r="752">
      <c r="A752" s="5" t="inlineStr">
        <is>
          <t>PUNTO DE VENTA</t>
        </is>
      </c>
      <c r="B752" s="5">
        <f>IF($I2="","",INDEX(Productos!$A:$A,$I2))</f>
        <v/>
      </c>
      <c r="C752" s="134" t="inlineStr">
        <is>
          <t>SFSKYL-75404973</t>
        </is>
      </c>
      <c r="D752" s="5">
        <f>IF($I2="","",INDEX(Productos!$B:$B,$I2))</f>
        <v/>
      </c>
      <c r="E752" s="5">
        <f>IF($I2="","",INDEX(Productos!$H:$H,$I2))</f>
        <v/>
      </c>
      <c r="F752" s="5">
        <f>IF($I2="","",INDEX(Productos!$I:$I,$I2))</f>
        <v/>
      </c>
      <c r="G752" s="135" t="n">
        <v>2</v>
      </c>
      <c r="H752" s="5">
        <f>IF($I2="","",INDEX(Productos!$AG:$AG,$I2))</f>
        <v/>
      </c>
      <c r="I752" s="136">
        <f>LET(_xlpm.r,Productos!$E$2:$E$2509,_xlpm.m,IFERROR(_xlfn.XMATCH(C752,_xlpm.r),IFERROR(_xlfn.XMATCH(VALUE(C752),_xlpm.r),0)),IF(_xlpm.m=0,"",_xlpm.m+1))</f>
        <v/>
      </c>
      <c r="J752" s="137" t="inlineStr">
        <is>
          <t>NetSuite</t>
        </is>
      </c>
    </row>
    <row r="753">
      <c r="A753" s="5" t="inlineStr">
        <is>
          <t>PUNTO DE VENTA</t>
        </is>
      </c>
      <c r="B753" s="5">
        <f>IF($I2="","",INDEX(Productos!$A:$A,$I2))</f>
        <v/>
      </c>
      <c r="C753" s="134" t="inlineStr">
        <is>
          <t>SFSKYL-7540E571</t>
        </is>
      </c>
      <c r="D753" s="5">
        <f>IF($I2="","",INDEX(Productos!$B:$B,$I2))</f>
        <v/>
      </c>
      <c r="E753" s="5">
        <f>IF($I2="","",INDEX(Productos!$H:$H,$I2))</f>
        <v/>
      </c>
      <c r="F753" s="5">
        <f>IF($I2="","",INDEX(Productos!$I:$I,$I2))</f>
        <v/>
      </c>
      <c r="G753" s="135" t="n">
        <v>1</v>
      </c>
      <c r="H753" s="5">
        <f>IF($I2="","",INDEX(Productos!$AG:$AG,$I2))</f>
        <v/>
      </c>
      <c r="I753" s="136">
        <f>LET(_xlpm.r,Productos!$E$2:$E$2509,_xlpm.m,IFERROR(_xlfn.XMATCH(C753,_xlpm.r),IFERROR(_xlfn.XMATCH(VALUE(C753),_xlpm.r),0)),IF(_xlpm.m=0,"",_xlpm.m+1))</f>
        <v/>
      </c>
      <c r="J753" s="137" t="inlineStr">
        <is>
          <t>NetSuite</t>
        </is>
      </c>
    </row>
    <row r="754">
      <c r="A754" s="5" t="inlineStr">
        <is>
          <t>PUNTO DE VENTA</t>
        </is>
      </c>
      <c r="B754" s="5">
        <f>IF($I2="","",INDEX(Productos!$A:$A,$I2))</f>
        <v/>
      </c>
      <c r="C754" s="134" t="inlineStr">
        <is>
          <t>SSARPH-30428171</t>
        </is>
      </c>
      <c r="D754" s="5">
        <f>IF($I2="","",INDEX(Productos!$B:$B,$I2))</f>
        <v/>
      </c>
      <c r="E754" s="5">
        <f>IF($I2="","",INDEX(Productos!$H:$H,$I2))</f>
        <v/>
      </c>
      <c r="F754" s="5">
        <f>IF($I2="","",INDEX(Productos!$I:$I,$I2))</f>
        <v/>
      </c>
      <c r="G754" s="135" t="n">
        <v>-1</v>
      </c>
      <c r="H754" s="5">
        <f>IF($I2="","",INDEX(Productos!$AG:$AG,$I2))</f>
        <v/>
      </c>
      <c r="I754" s="136">
        <f>LET(_xlpm.r,Productos!$E$2:$E$2509,_xlpm.m,IFERROR(_xlfn.XMATCH(C754,_xlpm.r),IFERROR(_xlfn.XMATCH(VALUE(C754),_xlpm.r),0)),IF(_xlpm.m=0,"",_xlpm.m+1))</f>
        <v/>
      </c>
      <c r="J754" s="137" t="inlineStr">
        <is>
          <t>NetSuite</t>
        </is>
      </c>
    </row>
    <row r="755">
      <c r="A755" s="5" t="inlineStr">
        <is>
          <t>PUNTO DE VENTA</t>
        </is>
      </c>
      <c r="B755" s="5">
        <f>IF($I2="","",INDEX(Productos!$A:$A,$I2))</f>
        <v/>
      </c>
      <c r="C755" s="134" t="inlineStr">
        <is>
          <t>SSCRLY-30428173</t>
        </is>
      </c>
      <c r="D755" s="5">
        <f>IF($I2="","",INDEX(Productos!$B:$B,$I2))</f>
        <v/>
      </c>
      <c r="E755" s="5">
        <f>IF($I2="","",INDEX(Productos!$H:$H,$I2))</f>
        <v/>
      </c>
      <c r="F755" s="5">
        <f>IF($I2="","",INDEX(Productos!$I:$I,$I2))</f>
        <v/>
      </c>
      <c r="G755" s="135" t="n">
        <v>1</v>
      </c>
      <c r="H755" s="5">
        <f>IF($I2="","",INDEX(Productos!$AG:$AG,$I2))</f>
        <v/>
      </c>
      <c r="I755" s="136">
        <f>LET(_xlpm.r,Productos!$E$2:$E$2509,_xlpm.m,IFERROR(_xlfn.XMATCH(C755,_xlpm.r),IFERROR(_xlfn.XMATCH(VALUE(C755),_xlpm.r),0)),IF(_xlpm.m=0,"",_xlpm.m+1))</f>
        <v/>
      </c>
      <c r="J755" s="137" t="inlineStr">
        <is>
          <t>NetSuite</t>
        </is>
      </c>
    </row>
    <row r="756">
      <c r="A756" s="5" t="inlineStr">
        <is>
          <t>PUNTO DE VENTA</t>
        </is>
      </c>
      <c r="B756" s="5">
        <f>IF($I2="","",INDEX(Productos!$A:$A,$I2))</f>
        <v/>
      </c>
      <c r="C756" s="134" t="inlineStr">
        <is>
          <t>SSEVOR-48408170</t>
        </is>
      </c>
      <c r="D756" s="5">
        <f>IF($I2="","",INDEX(Productos!$B:$B,$I2))</f>
        <v/>
      </c>
      <c r="E756" s="5">
        <f>IF($I2="","",INDEX(Productos!$H:$H,$I2))</f>
        <v/>
      </c>
      <c r="F756" s="5">
        <f>IF($I2="","",INDEX(Productos!$I:$I,$I2))</f>
        <v/>
      </c>
      <c r="G756" s="135" t="n">
        <v>-1</v>
      </c>
      <c r="H756" s="5">
        <f>IF($I2="","",INDEX(Productos!$AG:$AG,$I2))</f>
        <v/>
      </c>
      <c r="I756" s="136">
        <f>LET(_xlpm.r,Productos!$E$2:$E$2509,_xlpm.m,IFERROR(_xlfn.XMATCH(C756,_xlpm.r),IFERROR(_xlfn.XMATCH(VALUE(C756),_xlpm.r),0)),IF(_xlpm.m=0,"",_xlpm.m+1))</f>
        <v/>
      </c>
      <c r="J756" s="137" t="inlineStr">
        <is>
          <t>NetSuite</t>
        </is>
      </c>
    </row>
    <row r="757">
      <c r="A757" s="5" t="inlineStr">
        <is>
          <t>PUNTO DE VENTA</t>
        </is>
      </c>
      <c r="B757" s="5">
        <f>IF($I2="","",INDEX(Productos!$A:$A,$I2))</f>
        <v/>
      </c>
      <c r="C757" s="134" t="inlineStr">
        <is>
          <t>SSGAIN-68428172</t>
        </is>
      </c>
      <c r="D757" s="5">
        <f>IF($I2="","",INDEX(Productos!$B:$B,$I2))</f>
        <v/>
      </c>
      <c r="E757" s="5">
        <f>IF($I2="","",INDEX(Productos!$H:$H,$I2))</f>
        <v/>
      </c>
      <c r="F757" s="5">
        <f>IF($I2="","",INDEX(Productos!$I:$I,$I2))</f>
        <v/>
      </c>
      <c r="G757" s="135" t="n">
        <v>-1</v>
      </c>
      <c r="H757" s="5">
        <f>IF($I2="","",INDEX(Productos!$AG:$AG,$I2))</f>
        <v/>
      </c>
      <c r="I757" s="136">
        <f>LET(_xlpm.r,Productos!$E$2:$E$2509,_xlpm.m,IFERROR(_xlfn.XMATCH(C757,_xlpm.r),IFERROR(_xlfn.XMATCH(VALUE(C757),_xlpm.r),0)),IF(_xlpm.m=0,"",_xlpm.m+1))</f>
        <v/>
      </c>
      <c r="J757" s="137" t="inlineStr">
        <is>
          <t>NetSuite</t>
        </is>
      </c>
    </row>
    <row r="758">
      <c r="A758" s="5" t="inlineStr">
        <is>
          <t>PUNTO DE VENTA</t>
        </is>
      </c>
      <c r="B758" s="5">
        <f>IF($I2="","",INDEX(Productos!$A:$A,$I2))</f>
        <v/>
      </c>
      <c r="C758" s="134" t="inlineStr">
        <is>
          <t>SSGAIN-68428173</t>
        </is>
      </c>
      <c r="D758" s="5">
        <f>IF($I2="","",INDEX(Productos!$B:$B,$I2))</f>
        <v/>
      </c>
      <c r="E758" s="5">
        <f>IF($I2="","",INDEX(Productos!$H:$H,$I2))</f>
        <v/>
      </c>
      <c r="F758" s="5">
        <f>IF($I2="","",INDEX(Productos!$I:$I,$I2))</f>
        <v/>
      </c>
      <c r="G758" s="135" t="n">
        <v>-1</v>
      </c>
      <c r="H758" s="5">
        <f>IF($I2="","",INDEX(Productos!$AG:$AG,$I2))</f>
        <v/>
      </c>
      <c r="I758" s="136">
        <f>LET(_xlpm.r,Productos!$E$2:$E$2509,_xlpm.m,IFERROR(_xlfn.XMATCH(C758,_xlpm.r),IFERROR(_xlfn.XMATCH(VALUE(C758),_xlpm.r),0)),IF(_xlpm.m=0,"",_xlpm.m+1))</f>
        <v/>
      </c>
      <c r="J758" s="137" t="inlineStr">
        <is>
          <t>NetSuite</t>
        </is>
      </c>
    </row>
    <row r="759">
      <c r="A759" s="5" t="inlineStr">
        <is>
          <t>PUNTO DE VENTA</t>
        </is>
      </c>
      <c r="B759" s="5">
        <f>IF($I2="","",INDEX(Productos!$A:$A,$I2))</f>
        <v/>
      </c>
      <c r="C759" s="134" t="inlineStr">
        <is>
          <t>SSLLNO-30428171</t>
        </is>
      </c>
      <c r="D759" s="5">
        <f>IF($I2="","",INDEX(Productos!$B:$B,$I2))</f>
        <v/>
      </c>
      <c r="E759" s="5">
        <f>IF($I2="","",INDEX(Productos!$H:$H,$I2))</f>
        <v/>
      </c>
      <c r="F759" s="5">
        <f>IF($I2="","",INDEX(Productos!$I:$I,$I2))</f>
        <v/>
      </c>
      <c r="G759" s="135" t="n">
        <v>-1</v>
      </c>
      <c r="H759" s="5">
        <f>IF($I2="","",INDEX(Productos!$AG:$AG,$I2))</f>
        <v/>
      </c>
      <c r="I759" s="136">
        <f>LET(_xlpm.r,Productos!$E$2:$E$2509,_xlpm.m,IFERROR(_xlfn.XMATCH(C759,_xlpm.r),IFERROR(_xlfn.XMATCH(VALUE(C759),_xlpm.r),0)),IF(_xlpm.m=0,"",_xlpm.m+1))</f>
        <v/>
      </c>
      <c r="J759" s="137" t="inlineStr">
        <is>
          <t>NetSuite</t>
        </is>
      </c>
    </row>
    <row r="760">
      <c r="A760" s="5" t="inlineStr">
        <is>
          <t>PUNTO DE VENTA</t>
        </is>
      </c>
      <c r="B760" s="5">
        <f>IF($I2="","",INDEX(Productos!$A:$A,$I2))</f>
        <v/>
      </c>
      <c r="C760" s="134" t="inlineStr">
        <is>
          <t>SSPLAT-30428172</t>
        </is>
      </c>
      <c r="D760" s="5">
        <f>IF($I2="","",INDEX(Productos!$B:$B,$I2))</f>
        <v/>
      </c>
      <c r="E760" s="5">
        <f>IF($I2="","",INDEX(Productos!$H:$H,$I2))</f>
        <v/>
      </c>
      <c r="F760" s="5">
        <f>IF($I2="","",INDEX(Productos!$I:$I,$I2))</f>
        <v/>
      </c>
      <c r="G760" s="135" t="n">
        <v>-1</v>
      </c>
      <c r="H760" s="5">
        <f>IF($I2="","",INDEX(Productos!$AG:$AG,$I2))</f>
        <v/>
      </c>
      <c r="I760" s="136">
        <f>LET(_xlpm.r,Productos!$E$2:$E$2509,_xlpm.m,IFERROR(_xlfn.XMATCH(C760,_xlpm.r),IFERROR(_xlfn.XMATCH(VALUE(C760),_xlpm.r),0)),IF(_xlpm.m=0,"",_xlpm.m+1))</f>
        <v/>
      </c>
      <c r="J760" s="137" t="inlineStr">
        <is>
          <t>NetSuite</t>
        </is>
      </c>
    </row>
    <row r="761">
      <c r="A761" s="5" t="inlineStr">
        <is>
          <t>PUNTO DE VENTA</t>
        </is>
      </c>
      <c r="B761" s="5">
        <f>IF($I2="","",INDEX(Productos!$A:$A,$I2))</f>
        <v/>
      </c>
      <c r="C761" s="134" t="inlineStr">
        <is>
          <t>SSSDMN-30428170</t>
        </is>
      </c>
      <c r="D761" s="5">
        <f>IF($I2="","",INDEX(Productos!$B:$B,$I2))</f>
        <v/>
      </c>
      <c r="E761" s="5">
        <f>IF($I2="","",INDEX(Productos!$H:$H,$I2))</f>
        <v/>
      </c>
      <c r="F761" s="5">
        <f>IF($I2="","",INDEX(Productos!$I:$I,$I2))</f>
        <v/>
      </c>
      <c r="G761" s="135" t="n">
        <v>-1</v>
      </c>
      <c r="H761" s="5">
        <f>IF($I2="","",INDEX(Productos!$AG:$AG,$I2))</f>
        <v/>
      </c>
      <c r="I761" s="136">
        <f>LET(_xlpm.r,Productos!$E$2:$E$2509,_xlpm.m,IFERROR(_xlfn.XMATCH(C761,_xlpm.r),IFERROR(_xlfn.XMATCH(VALUE(C761),_xlpm.r),0)),IF(_xlpm.m=0,"",_xlpm.m+1))</f>
        <v/>
      </c>
      <c r="J761" s="137" t="inlineStr">
        <is>
          <t>NetSuite</t>
        </is>
      </c>
    </row>
    <row r="762">
      <c r="A762" s="5" t="inlineStr">
        <is>
          <t>PUNTO DE VENTA</t>
        </is>
      </c>
      <c r="B762" s="5">
        <f>IF($I2="","",INDEX(Productos!$A:$A,$I2))</f>
        <v/>
      </c>
      <c r="C762" s="134" t="inlineStr">
        <is>
          <t>SSSDMN-30428171</t>
        </is>
      </c>
      <c r="D762" s="5">
        <f>IF($I2="","",INDEX(Productos!$B:$B,$I2))</f>
        <v/>
      </c>
      <c r="E762" s="5">
        <f>IF($I2="","",INDEX(Productos!$H:$H,$I2))</f>
        <v/>
      </c>
      <c r="F762" s="5">
        <f>IF($I2="","",INDEX(Productos!$I:$I,$I2))</f>
        <v/>
      </c>
      <c r="G762" s="135" t="n">
        <v>-2</v>
      </c>
      <c r="H762" s="5">
        <f>IF($I2="","",INDEX(Productos!$AG:$AG,$I2))</f>
        <v/>
      </c>
      <c r="I762" s="136">
        <f>LET(_xlpm.r,Productos!$E$2:$E$2509,_xlpm.m,IFERROR(_xlfn.XMATCH(C762,_xlpm.r),IFERROR(_xlfn.XMATCH(VALUE(C762),_xlpm.r),0)),IF(_xlpm.m=0,"",_xlpm.m+1))</f>
        <v/>
      </c>
      <c r="J762" s="137" t="inlineStr">
        <is>
          <t>NetSuite</t>
        </is>
      </c>
    </row>
    <row r="763">
      <c r="A763" s="5" t="inlineStr">
        <is>
          <t>PUNTO DE VENTA</t>
        </is>
      </c>
      <c r="B763" s="5">
        <f>IF($I2="","",INDEX(Productos!$A:$A,$I2))</f>
        <v/>
      </c>
      <c r="C763" s="134" t="inlineStr">
        <is>
          <t>SSSDMN-30428172</t>
        </is>
      </c>
      <c r="D763" s="5">
        <f>IF($I2="","",INDEX(Productos!$B:$B,$I2))</f>
        <v/>
      </c>
      <c r="E763" s="5">
        <f>IF($I2="","",INDEX(Productos!$H:$H,$I2))</f>
        <v/>
      </c>
      <c r="F763" s="5">
        <f>IF($I2="","",INDEX(Productos!$I:$I,$I2))</f>
        <v/>
      </c>
      <c r="G763" s="135" t="n">
        <v>-2</v>
      </c>
      <c r="H763" s="5">
        <f>IF($I2="","",INDEX(Productos!$AG:$AG,$I2))</f>
        <v/>
      </c>
      <c r="I763" s="136">
        <f>LET(_xlpm.r,Productos!$E$2:$E$2509,_xlpm.m,IFERROR(_xlfn.XMATCH(C763,_xlpm.r),IFERROR(_xlfn.XMATCH(VALUE(C763),_xlpm.r),0)),IF(_xlpm.m=0,"",_xlpm.m+1))</f>
        <v/>
      </c>
      <c r="J763" s="137" t="inlineStr">
        <is>
          <t>NetSuite</t>
        </is>
      </c>
    </row>
    <row r="764">
      <c r="A764" s="5" t="inlineStr">
        <is>
          <t>PUNTO DE VENTA</t>
        </is>
      </c>
      <c r="B764" s="5">
        <f>IF($I2="","",INDEX(Productos!$A:$A,$I2))</f>
        <v/>
      </c>
      <c r="C764" s="134" t="inlineStr">
        <is>
          <t>SSSDMN-30428173</t>
        </is>
      </c>
      <c r="D764" s="5">
        <f>IF($I2="","",INDEX(Productos!$B:$B,$I2))</f>
        <v/>
      </c>
      <c r="E764" s="5">
        <f>IF($I2="","",INDEX(Productos!$H:$H,$I2))</f>
        <v/>
      </c>
      <c r="F764" s="5">
        <f>IF($I2="","",INDEX(Productos!$I:$I,$I2))</f>
        <v/>
      </c>
      <c r="G764" s="135" t="n">
        <v>1</v>
      </c>
      <c r="H764" s="5">
        <f>IF($I2="","",INDEX(Productos!$AG:$AG,$I2))</f>
        <v/>
      </c>
      <c r="I764" s="136">
        <f>LET(_xlpm.r,Productos!$E$2:$E$2509,_xlpm.m,IFERROR(_xlfn.XMATCH(C764,_xlpm.r),IFERROR(_xlfn.XMATCH(VALUE(C764),_xlpm.r),0)),IF(_xlpm.m=0,"",_xlpm.m+1))</f>
        <v/>
      </c>
      <c r="J764" s="137" t="inlineStr">
        <is>
          <t>NetSuite</t>
        </is>
      </c>
    </row>
    <row r="765">
      <c r="A765" s="5" t="inlineStr">
        <is>
          <t>PUNTO DE VENTA</t>
        </is>
      </c>
      <c r="B765" s="5">
        <f>IF($I2="","",INDEX(Productos!$A:$A,$I2))</f>
        <v/>
      </c>
      <c r="C765" s="134" t="inlineStr">
        <is>
          <t>SSSDMN-30428174</t>
        </is>
      </c>
      <c r="D765" s="5">
        <f>IF($I2="","",INDEX(Productos!$B:$B,$I2))</f>
        <v/>
      </c>
      <c r="E765" s="5">
        <f>IF($I2="","",INDEX(Productos!$H:$H,$I2))</f>
        <v/>
      </c>
      <c r="F765" s="5">
        <f>IF($I2="","",INDEX(Productos!$I:$I,$I2))</f>
        <v/>
      </c>
      <c r="G765" s="135" t="n">
        <v>-1</v>
      </c>
      <c r="H765" s="5">
        <f>IF($I2="","",INDEX(Productos!$AG:$AG,$I2))</f>
        <v/>
      </c>
      <c r="I765" s="136">
        <f>LET(_xlpm.r,Productos!$E$2:$E$2509,_xlpm.m,IFERROR(_xlfn.XMATCH(C765,_xlpm.r),IFERROR(_xlfn.XMATCH(VALUE(C765),_xlpm.r),0)),IF(_xlpm.m=0,"",_xlpm.m+1))</f>
        <v/>
      </c>
      <c r="J765" s="137" t="inlineStr">
        <is>
          <t>NetSuite</t>
        </is>
      </c>
    </row>
    <row r="766">
      <c r="A766" s="5" t="inlineStr">
        <is>
          <t>PUNTO DE VENTA</t>
        </is>
      </c>
      <c r="B766" s="5">
        <f>IF($I2="","",INDEX(Productos!$A:$A,$I2))</f>
        <v/>
      </c>
      <c r="C766" s="134" t="inlineStr">
        <is>
          <t>SSSTPT-68448172</t>
        </is>
      </c>
      <c r="D766" s="5">
        <f>IF($I2="","",INDEX(Productos!$B:$B,$I2))</f>
        <v/>
      </c>
      <c r="E766" s="5">
        <f>IF($I2="","",INDEX(Productos!$H:$H,$I2))</f>
        <v/>
      </c>
      <c r="F766" s="5">
        <f>IF($I2="","",INDEX(Productos!$I:$I,$I2))</f>
        <v/>
      </c>
      <c r="G766" s="135" t="n">
        <v>1</v>
      </c>
      <c r="H766" s="5">
        <f>IF($I2="","",INDEX(Productos!$AG:$AG,$I2))</f>
        <v/>
      </c>
      <c r="I766" s="136">
        <f>LET(_xlpm.r,Productos!$E$2:$E$2509,_xlpm.m,IFERROR(_xlfn.XMATCH(C766,_xlpm.r),IFERROR(_xlfn.XMATCH(VALUE(C766),_xlpm.r),0)),IF(_xlpm.m=0,"",_xlpm.m+1))</f>
        <v/>
      </c>
      <c r="J766" s="137" t="inlineStr">
        <is>
          <t>NetSuite</t>
        </is>
      </c>
    </row>
    <row r="767">
      <c r="A767" s="5" t="inlineStr">
        <is>
          <t>PUNTO DE VENTA</t>
        </is>
      </c>
      <c r="B767" s="5">
        <f>IF($I2="","",INDEX(Productos!$A:$A,$I2))</f>
        <v/>
      </c>
      <c r="C767" s="134" t="inlineStr">
        <is>
          <t>SWBRNM-72420770</t>
        </is>
      </c>
      <c r="D767" s="5">
        <f>IF($I2="","",INDEX(Productos!$B:$B,$I2))</f>
        <v/>
      </c>
      <c r="E767" s="5">
        <f>IF($I2="","",INDEX(Productos!$H:$H,$I2))</f>
        <v/>
      </c>
      <c r="F767" s="5">
        <f>IF($I2="","",INDEX(Productos!$I:$I,$I2))</f>
        <v/>
      </c>
      <c r="G767" s="135" t="n">
        <v>-1</v>
      </c>
      <c r="H767" s="5">
        <f>IF($I2="","",INDEX(Productos!$AG:$AG,$I2))</f>
        <v/>
      </c>
      <c r="I767" s="136">
        <f>LET(_xlpm.r,Productos!$E$2:$E$2509,_xlpm.m,IFERROR(_xlfn.XMATCH(C767,_xlpm.r),IFERROR(_xlfn.XMATCH(VALUE(C767),_xlpm.r),0)),IF(_xlpm.m=0,"",_xlpm.m+1))</f>
        <v/>
      </c>
      <c r="J767" s="137" t="inlineStr">
        <is>
          <t>NetSuite</t>
        </is>
      </c>
    </row>
    <row r="768">
      <c r="A768" s="5" t="inlineStr">
        <is>
          <t>PUNTO DE VENTA</t>
        </is>
      </c>
      <c r="B768" s="5">
        <f>IF($I2="","",INDEX(Productos!$A:$A,$I2))</f>
        <v/>
      </c>
      <c r="C768" s="134" t="inlineStr">
        <is>
          <t>SWBRNM-72420775</t>
        </is>
      </c>
      <c r="D768" s="5">
        <f>IF($I2="","",INDEX(Productos!$B:$B,$I2))</f>
        <v/>
      </c>
      <c r="E768" s="5">
        <f>IF($I2="","",INDEX(Productos!$H:$H,$I2))</f>
        <v/>
      </c>
      <c r="F768" s="5">
        <f>IF($I2="","",INDEX(Productos!$I:$I,$I2))</f>
        <v/>
      </c>
      <c r="G768" s="135" t="n">
        <v>-1</v>
      </c>
      <c r="H768" s="5">
        <f>IF($I2="","",INDEX(Productos!$AG:$AG,$I2))</f>
        <v/>
      </c>
      <c r="I768" s="136">
        <f>LET(_xlpm.r,Productos!$E$2:$E$2509,_xlpm.m,IFERROR(_xlfn.XMATCH(C768,_xlpm.r),IFERROR(_xlfn.XMATCH(VALUE(C768),_xlpm.r),0)),IF(_xlpm.m=0,"",_xlpm.m+1))</f>
        <v/>
      </c>
      <c r="J768" s="137" t="inlineStr">
        <is>
          <t>NetSuite</t>
        </is>
      </c>
    </row>
    <row r="769">
      <c r="A769" s="5" t="inlineStr">
        <is>
          <t>PUNTO DE VENTA</t>
        </is>
      </c>
      <c r="B769" s="5">
        <f>IF($I2="","",INDEX(Productos!$A:$A,$I2))</f>
        <v/>
      </c>
      <c r="C769" s="134" t="inlineStr">
        <is>
          <t>SWBRNM-75402267</t>
        </is>
      </c>
      <c r="D769" s="5">
        <f>IF($I2="","",INDEX(Productos!$B:$B,$I2))</f>
        <v/>
      </c>
      <c r="E769" s="5">
        <f>IF($I2="","",INDEX(Productos!$H:$H,$I2))</f>
        <v/>
      </c>
      <c r="F769" s="5">
        <f>IF($I2="","",INDEX(Productos!$I:$I,$I2))</f>
        <v/>
      </c>
      <c r="G769" s="135" t="n">
        <v>-1</v>
      </c>
      <c r="H769" s="5">
        <f>IF($I2="","",INDEX(Productos!$AG:$AG,$I2))</f>
        <v/>
      </c>
      <c r="I769" s="136">
        <f>LET(_xlpm.r,Productos!$E$2:$E$2509,_xlpm.m,IFERROR(_xlfn.XMATCH(C769,_xlpm.r),IFERROR(_xlfn.XMATCH(VALUE(C769),_xlpm.r),0)),IF(_xlpm.m=0,"",_xlpm.m+1))</f>
        <v/>
      </c>
      <c r="J769" s="137" t="inlineStr">
        <is>
          <t>NetSuite</t>
        </is>
      </c>
    </row>
    <row r="770">
      <c r="A770" s="5" t="inlineStr">
        <is>
          <t>PUNTO DE VENTA</t>
        </is>
      </c>
      <c r="B770" s="5">
        <f>IF($I2="","",INDEX(Productos!$A:$A,$I2))</f>
        <v/>
      </c>
      <c r="C770" s="134" t="inlineStr">
        <is>
          <t>SWBRNM-75402270</t>
        </is>
      </c>
      <c r="D770" s="5">
        <f>IF($I2="","",INDEX(Productos!$B:$B,$I2))</f>
        <v/>
      </c>
      <c r="E770" s="5">
        <f>IF($I2="","",INDEX(Productos!$H:$H,$I2))</f>
        <v/>
      </c>
      <c r="F770" s="5">
        <f>IF($I2="","",INDEX(Productos!$I:$I,$I2))</f>
        <v/>
      </c>
      <c r="G770" s="135" t="n">
        <v>-1</v>
      </c>
      <c r="H770" s="5">
        <f>IF($I2="","",INDEX(Productos!$AG:$AG,$I2))</f>
        <v/>
      </c>
      <c r="I770" s="136">
        <f>LET(_xlpm.r,Productos!$E$2:$E$2509,_xlpm.m,IFERROR(_xlfn.XMATCH(C770,_xlpm.r),IFERROR(_xlfn.XMATCH(VALUE(C770),_xlpm.r),0)),IF(_xlpm.m=0,"",_xlpm.m+1))</f>
        <v/>
      </c>
      <c r="J770" s="137" t="inlineStr">
        <is>
          <t>NetSuite</t>
        </is>
      </c>
    </row>
    <row r="771">
      <c r="A771" s="5" t="inlineStr">
        <is>
          <t>PUNTO DE VENTA</t>
        </is>
      </c>
      <c r="B771" s="5">
        <f>IF($I2="","",INDEX(Productos!$A:$A,$I2))</f>
        <v/>
      </c>
      <c r="C771" s="134" t="inlineStr">
        <is>
          <t>SWBRNM-75402271</t>
        </is>
      </c>
      <c r="D771" s="5">
        <f>IF($I2="","",INDEX(Productos!$B:$B,$I2))</f>
        <v/>
      </c>
      <c r="E771" s="5">
        <f>IF($I2="","",INDEX(Productos!$H:$H,$I2))</f>
        <v/>
      </c>
      <c r="F771" s="5">
        <f>IF($I2="","",INDEX(Productos!$I:$I,$I2))</f>
        <v/>
      </c>
      <c r="G771" s="135" t="n">
        <v>-1</v>
      </c>
      <c r="H771" s="5">
        <f>IF($I2="","",INDEX(Productos!$AG:$AG,$I2))</f>
        <v/>
      </c>
      <c r="I771" s="136">
        <f>LET(_xlpm.r,Productos!$E$2:$E$2509,_xlpm.m,IFERROR(_xlfn.XMATCH(C771,_xlpm.r),IFERROR(_xlfn.XMATCH(VALUE(C771),_xlpm.r),0)),IF(_xlpm.m=0,"",_xlpm.m+1))</f>
        <v/>
      </c>
      <c r="J771" s="137" t="inlineStr">
        <is>
          <t>NetSuite</t>
        </is>
      </c>
    </row>
    <row r="772">
      <c r="A772" s="5" t="inlineStr">
        <is>
          <t>PUNTO DE VENTA</t>
        </is>
      </c>
      <c r="B772" s="5">
        <f>IF($I2="","",INDEX(Productos!$A:$A,$I2))</f>
        <v/>
      </c>
      <c r="C772" s="134" t="inlineStr">
        <is>
          <t>SWBRNM-75402274</t>
        </is>
      </c>
      <c r="D772" s="5">
        <f>IF($I2="","",INDEX(Productos!$B:$B,$I2))</f>
        <v/>
      </c>
      <c r="E772" s="5">
        <f>IF($I2="","",INDEX(Productos!$H:$H,$I2))</f>
        <v/>
      </c>
      <c r="F772" s="5">
        <f>IF($I2="","",INDEX(Productos!$I:$I,$I2))</f>
        <v/>
      </c>
      <c r="G772" s="135" t="n">
        <v>-1</v>
      </c>
      <c r="H772" s="5">
        <f>IF($I2="","",INDEX(Productos!$AG:$AG,$I2))</f>
        <v/>
      </c>
      <c r="I772" s="136">
        <f>LET(_xlpm.r,Productos!$E$2:$E$2509,_xlpm.m,IFERROR(_xlfn.XMATCH(C772,_xlpm.r),IFERROR(_xlfn.XMATCH(VALUE(C772),_xlpm.r),0)),IF(_xlpm.m=0,"",_xlpm.m+1))</f>
        <v/>
      </c>
      <c r="J772" s="137" t="inlineStr">
        <is>
          <t>NetSuite</t>
        </is>
      </c>
    </row>
    <row r="773">
      <c r="A773" s="5" t="inlineStr">
        <is>
          <t>PUNTO DE VENTA</t>
        </is>
      </c>
      <c r="B773" s="5">
        <f>IF($I2="","",INDEX(Productos!$A:$A,$I2))</f>
        <v/>
      </c>
      <c r="C773" s="134" t="inlineStr">
        <is>
          <t>SWBRNM-75402870</t>
        </is>
      </c>
      <c r="D773" s="5">
        <f>IF($I2="","",INDEX(Productos!$B:$B,$I2))</f>
        <v/>
      </c>
      <c r="E773" s="5">
        <f>IF($I2="","",INDEX(Productos!$H:$H,$I2))</f>
        <v/>
      </c>
      <c r="F773" s="5">
        <f>IF($I2="","",INDEX(Productos!$I:$I,$I2))</f>
        <v/>
      </c>
      <c r="G773" s="135" t="n">
        <v>-1</v>
      </c>
      <c r="H773" s="5">
        <f>IF($I2="","",INDEX(Productos!$AG:$AG,$I2))</f>
        <v/>
      </c>
      <c r="I773" s="136">
        <f>LET(_xlpm.r,Productos!$E$2:$E$2509,_xlpm.m,IFERROR(_xlfn.XMATCH(C773,_xlpm.r),IFERROR(_xlfn.XMATCH(VALUE(C773),_xlpm.r),0)),IF(_xlpm.m=0,"",_xlpm.m+1))</f>
        <v/>
      </c>
      <c r="J773" s="137" t="inlineStr">
        <is>
          <t>NetSuite</t>
        </is>
      </c>
    </row>
    <row r="774">
      <c r="A774" s="5" t="inlineStr">
        <is>
          <t>PUNTO DE VENTA</t>
        </is>
      </c>
      <c r="B774" s="5">
        <f>IF($I2="","",INDEX(Productos!$A:$A,$I2))</f>
        <v/>
      </c>
      <c r="C774" s="134" t="inlineStr">
        <is>
          <t>SWBRNM-75402871</t>
        </is>
      </c>
      <c r="D774" s="5">
        <f>IF($I2="","",INDEX(Productos!$B:$B,$I2))</f>
        <v/>
      </c>
      <c r="E774" s="5">
        <f>IF($I2="","",INDEX(Productos!$H:$H,$I2))</f>
        <v/>
      </c>
      <c r="F774" s="5">
        <f>IF($I2="","",INDEX(Productos!$I:$I,$I2))</f>
        <v/>
      </c>
      <c r="G774" s="135" t="n">
        <v>-1</v>
      </c>
      <c r="H774" s="5">
        <f>IF($I2="","",INDEX(Productos!$AG:$AG,$I2))</f>
        <v/>
      </c>
      <c r="I774" s="136">
        <f>LET(_xlpm.r,Productos!$E$2:$E$2509,_xlpm.m,IFERROR(_xlfn.XMATCH(C774,_xlpm.r),IFERROR(_xlfn.XMATCH(VALUE(C774),_xlpm.r),0)),IF(_xlpm.m=0,"",_xlpm.m+1))</f>
        <v/>
      </c>
      <c r="J774" s="137" t="inlineStr">
        <is>
          <t>NetSuite</t>
        </is>
      </c>
    </row>
    <row r="775">
      <c r="A775" s="5" t="inlineStr">
        <is>
          <t>PUNTO DE VENTA</t>
        </is>
      </c>
      <c r="B775" s="5">
        <f>IF($I2="","",INDEX(Productos!$A:$A,$I2))</f>
        <v/>
      </c>
      <c r="C775" s="134" t="inlineStr">
        <is>
          <t>SWBRNM-75402872</t>
        </is>
      </c>
      <c r="D775" s="5">
        <f>IF($I2="","",INDEX(Productos!$B:$B,$I2))</f>
        <v/>
      </c>
      <c r="E775" s="5">
        <f>IF($I2="","",INDEX(Productos!$H:$H,$I2))</f>
        <v/>
      </c>
      <c r="F775" s="5">
        <f>IF($I2="","",INDEX(Productos!$I:$I,$I2))</f>
        <v/>
      </c>
      <c r="G775" s="135" t="n">
        <v>-1</v>
      </c>
      <c r="H775" s="5">
        <f>IF($I2="","",INDEX(Productos!$AG:$AG,$I2))</f>
        <v/>
      </c>
      <c r="I775" s="136">
        <f>LET(_xlpm.r,Productos!$E$2:$E$2509,_xlpm.m,IFERROR(_xlfn.XMATCH(C775,_xlpm.r),IFERROR(_xlfn.XMATCH(VALUE(C775),_xlpm.r),0)),IF(_xlpm.m=0,"",_xlpm.m+1))</f>
        <v/>
      </c>
      <c r="J775" s="137" t="inlineStr">
        <is>
          <t>NetSuite</t>
        </is>
      </c>
    </row>
    <row r="776">
      <c r="A776" s="5" t="inlineStr">
        <is>
          <t>PUNTO DE VENTA</t>
        </is>
      </c>
      <c r="B776" s="5">
        <f>IF($I2="","",INDEX(Productos!$A:$A,$I2))</f>
        <v/>
      </c>
      <c r="C776" s="134" t="inlineStr">
        <is>
          <t>SWBRNM-75402873</t>
        </is>
      </c>
      <c r="D776" s="5">
        <f>IF($I2="","",INDEX(Productos!$B:$B,$I2))</f>
        <v/>
      </c>
      <c r="E776" s="5">
        <f>IF($I2="","",INDEX(Productos!$H:$H,$I2))</f>
        <v/>
      </c>
      <c r="F776" s="5">
        <f>IF($I2="","",INDEX(Productos!$I:$I,$I2))</f>
        <v/>
      </c>
      <c r="G776" s="135" t="n">
        <v>-1</v>
      </c>
      <c r="H776" s="5">
        <f>IF($I2="","",INDEX(Productos!$AG:$AG,$I2))</f>
        <v/>
      </c>
      <c r="I776" s="136">
        <f>LET(_xlpm.r,Productos!$E$2:$E$2509,_xlpm.m,IFERROR(_xlfn.XMATCH(C776,_xlpm.r),IFERROR(_xlfn.XMATCH(VALUE(C776),_xlpm.r),0)),IF(_xlpm.m=0,"",_xlpm.m+1))</f>
        <v/>
      </c>
      <c r="J776" s="137" t="inlineStr">
        <is>
          <t>NetSuite</t>
        </is>
      </c>
    </row>
    <row r="777">
      <c r="A777" s="5" t="inlineStr">
        <is>
          <t>PUNTO DE VENTA</t>
        </is>
      </c>
      <c r="B777" s="5">
        <f>IF($I2="","",INDEX(Productos!$A:$A,$I2))</f>
        <v/>
      </c>
      <c r="C777" s="134" t="inlineStr">
        <is>
          <t>TSATCM-104061L0</t>
        </is>
      </c>
      <c r="D777" s="5">
        <f>IF($I2="","",INDEX(Productos!$B:$B,$I2))</f>
        <v/>
      </c>
      <c r="E777" s="5">
        <f>IF($I2="","",INDEX(Productos!$H:$H,$I2))</f>
        <v/>
      </c>
      <c r="F777" s="5">
        <f>IF($I2="","",INDEX(Productos!$I:$I,$I2))</f>
        <v/>
      </c>
      <c r="G777" s="135" t="n">
        <v>-1</v>
      </c>
      <c r="H777" s="5">
        <f>IF($I2="","",INDEX(Productos!$AG:$AG,$I2))</f>
        <v/>
      </c>
      <c r="I777" s="136">
        <f>LET(_xlpm.r,Productos!$E$2:$E$2509,_xlpm.m,IFERROR(_xlfn.XMATCH(C777,_xlpm.r),IFERROR(_xlfn.XMATCH(VALUE(C777),_xlpm.r),0)),IF(_xlpm.m=0,"",_xlpm.m+1))</f>
        <v/>
      </c>
      <c r="J777" s="137" t="inlineStr">
        <is>
          <t>NetSuite</t>
        </is>
      </c>
    </row>
    <row r="778">
      <c r="A778" s="5" t="inlineStr">
        <is>
          <t>PUNTO DE VENTA</t>
        </is>
      </c>
      <c r="B778" s="5">
        <f>IF($I2="","",INDEX(Productos!$A:$A,$I2))</f>
        <v/>
      </c>
      <c r="C778" s="134" t="inlineStr">
        <is>
          <t>TSATCM-104061M0</t>
        </is>
      </c>
      <c r="D778" s="5">
        <f>IF($I2="","",INDEX(Productos!$B:$B,$I2))</f>
        <v/>
      </c>
      <c r="E778" s="5">
        <f>IF($I2="","",INDEX(Productos!$H:$H,$I2))</f>
        <v/>
      </c>
      <c r="F778" s="5">
        <f>IF($I2="","",INDEX(Productos!$I:$I,$I2))</f>
        <v/>
      </c>
      <c r="G778" s="135" t="n">
        <v>-1</v>
      </c>
      <c r="H778" s="5">
        <f>IF($I2="","",INDEX(Productos!$AG:$AG,$I2))</f>
        <v/>
      </c>
      <c r="I778" s="136">
        <f>LET(_xlpm.r,Productos!$E$2:$E$2509,_xlpm.m,IFERROR(_xlfn.XMATCH(C778,_xlpm.r),IFERROR(_xlfn.XMATCH(VALUE(C778),_xlpm.r),0)),IF(_xlpm.m=0,"",_xlpm.m+1))</f>
        <v/>
      </c>
      <c r="J778" s="137" t="inlineStr">
        <is>
          <t>NetSuite</t>
        </is>
      </c>
    </row>
    <row r="779">
      <c r="A779" s="5" t="inlineStr">
        <is>
          <t>PUNTO DE VENTA</t>
        </is>
      </c>
      <c r="B779" s="5">
        <f>IF($I2="","",INDEX(Productos!$A:$A,$I2))</f>
        <v/>
      </c>
      <c r="C779" s="134" t="inlineStr">
        <is>
          <t>TSATCM-104081L0</t>
        </is>
      </c>
      <c r="D779" s="5">
        <f>IF($I2="","",INDEX(Productos!$B:$B,$I2))</f>
        <v/>
      </c>
      <c r="E779" s="5">
        <f>IF($I2="","",INDEX(Productos!$H:$H,$I2))</f>
        <v/>
      </c>
      <c r="F779" s="5">
        <f>IF($I2="","",INDEX(Productos!$I:$I,$I2))</f>
        <v/>
      </c>
      <c r="G779" s="135" t="n">
        <v>-1</v>
      </c>
      <c r="H779" s="5">
        <f>IF($I2="","",INDEX(Productos!$AG:$AG,$I2))</f>
        <v/>
      </c>
      <c r="I779" s="136">
        <f>LET(_xlpm.r,Productos!$E$2:$E$2509,_xlpm.m,IFERROR(_xlfn.XMATCH(C779,_xlpm.r),IFERROR(_xlfn.XMATCH(VALUE(C779),_xlpm.r),0)),IF(_xlpm.m=0,"",_xlpm.m+1))</f>
        <v/>
      </c>
      <c r="J779" s="137" t="inlineStr">
        <is>
          <t>NetSuite</t>
        </is>
      </c>
    </row>
    <row r="780">
      <c r="A780" s="5" t="inlineStr">
        <is>
          <t>PUNTO DE VENTA</t>
        </is>
      </c>
      <c r="B780" s="5">
        <f>IF($I2="","",INDEX(Productos!$A:$A,$I2))</f>
        <v/>
      </c>
      <c r="C780" s="134" t="inlineStr">
        <is>
          <t>TWBKRGB103475L0</t>
        </is>
      </c>
      <c r="D780" s="5">
        <f>IF($I2="","",INDEX(Productos!$B:$B,$I2))</f>
        <v/>
      </c>
      <c r="E780" s="5">
        <f>IF($I2="","",INDEX(Productos!$H:$H,$I2))</f>
        <v/>
      </c>
      <c r="F780" s="5">
        <f>IF($I2="","",INDEX(Productos!$I:$I,$I2))</f>
        <v/>
      </c>
      <c r="G780" s="135" t="n">
        <v>-2</v>
      </c>
      <c r="H780" s="5">
        <f>IF($I2="","",INDEX(Productos!$AG:$AG,$I2))</f>
        <v/>
      </c>
      <c r="I780" s="136">
        <f>LET(_xlpm.r,Productos!$E$2:$E$2509,_xlpm.m,IFERROR(_xlfn.XMATCH(C780,_xlpm.r),IFERROR(_xlfn.XMATCH(VALUE(C780),_xlpm.r),0)),IF(_xlpm.m=0,"",_xlpm.m+1))</f>
        <v/>
      </c>
      <c r="J780" s="137" t="inlineStr">
        <is>
          <t>NetSuite</t>
        </is>
      </c>
    </row>
    <row r="781">
      <c r="A781" s="5" t="inlineStr">
        <is>
          <t>PUNTO DE VENTA</t>
        </is>
      </c>
      <c r="B781" s="5">
        <f>IF($I2="","",INDEX(Productos!$A:$A,$I2))</f>
        <v/>
      </c>
      <c r="C781" s="134" t="inlineStr">
        <is>
          <t>TWBKRGB103475M0</t>
        </is>
      </c>
      <c r="D781" s="5">
        <f>IF($I2="","",INDEX(Productos!$B:$B,$I2))</f>
        <v/>
      </c>
      <c r="E781" s="5">
        <f>IF($I2="","",INDEX(Productos!$H:$H,$I2))</f>
        <v/>
      </c>
      <c r="F781" s="5">
        <f>IF($I2="","",INDEX(Productos!$I:$I,$I2))</f>
        <v/>
      </c>
      <c r="G781" s="135" t="n">
        <v>-2</v>
      </c>
      <c r="H781" s="5">
        <f>IF($I2="","",INDEX(Productos!$AG:$AG,$I2))</f>
        <v/>
      </c>
      <c r="I781" s="136">
        <f>LET(_xlpm.r,Productos!$E$2:$E$2509,_xlpm.m,IFERROR(_xlfn.XMATCH(C781,_xlpm.r),IFERROR(_xlfn.XMATCH(VALUE(C781),_xlpm.r),0)),IF(_xlpm.m=0,"",_xlpm.m+1))</f>
        <v/>
      </c>
      <c r="J781" s="137" t="inlineStr">
        <is>
          <t>NetSuite</t>
        </is>
      </c>
    </row>
    <row r="782">
      <c r="A782" s="5" t="inlineStr">
        <is>
          <t>PUNTO DE VENTA</t>
        </is>
      </c>
      <c r="B782" s="5">
        <f>IF($I2="","",INDEX(Productos!$A:$A,$I2))</f>
        <v/>
      </c>
      <c r="C782" s="134" t="inlineStr">
        <is>
          <t>TWBKRGB103475S0</t>
        </is>
      </c>
      <c r="D782" s="5">
        <f>IF($I2="","",INDEX(Productos!$B:$B,$I2))</f>
        <v/>
      </c>
      <c r="E782" s="5">
        <f>IF($I2="","",INDEX(Productos!$H:$H,$I2))</f>
        <v/>
      </c>
      <c r="F782" s="5">
        <f>IF($I2="","",INDEX(Productos!$I:$I,$I2))</f>
        <v/>
      </c>
      <c r="G782" s="135" t="n">
        <v>-1</v>
      </c>
      <c r="H782" s="5">
        <f>IF($I2="","",INDEX(Productos!$AG:$AG,$I2))</f>
        <v/>
      </c>
      <c r="I782" s="136">
        <f>LET(_xlpm.r,Productos!$E$2:$E$2509,_xlpm.m,IFERROR(_xlfn.XMATCH(C782,_xlpm.r),IFERROR(_xlfn.XMATCH(VALUE(C782),_xlpm.r),0)),IF(_xlpm.m=0,"",_xlpm.m+1))</f>
        <v/>
      </c>
      <c r="J782" s="137" t="inlineStr">
        <is>
          <t>NetSuite</t>
        </is>
      </c>
    </row>
    <row r="783">
      <c r="A783" s="5" t="inlineStr">
        <is>
          <t>PUNTO DE VENTA</t>
        </is>
      </c>
      <c r="B783" s="5">
        <f>IF($I2="","",INDEX(Productos!$A:$A,$I2))</f>
        <v/>
      </c>
      <c r="C783" s="134" t="inlineStr">
        <is>
          <t>TWBKRGB103475XL</t>
        </is>
      </c>
      <c r="D783" s="5">
        <f>IF($I2="","",INDEX(Productos!$B:$B,$I2))</f>
        <v/>
      </c>
      <c r="E783" s="5">
        <f>IF($I2="","",INDEX(Productos!$H:$H,$I2))</f>
        <v/>
      </c>
      <c r="F783" s="5">
        <f>IF($I2="","",INDEX(Productos!$I:$I,$I2))</f>
        <v/>
      </c>
      <c r="G783" s="135" t="n">
        <v>-1</v>
      </c>
      <c r="H783" s="5">
        <f>IF($I2="","",INDEX(Productos!$AG:$AG,$I2))</f>
        <v/>
      </c>
      <c r="I783" s="136">
        <f>LET(_xlpm.r,Productos!$E$2:$E$2509,_xlpm.m,IFERROR(_xlfn.XMATCH(C783,_xlpm.r),IFERROR(_xlfn.XMATCH(VALUE(C783),_xlpm.r),0)),IF(_xlpm.m=0,"",_xlpm.m+1))</f>
        <v/>
      </c>
      <c r="J783" s="137" t="inlineStr">
        <is>
          <t>NetSuite</t>
        </is>
      </c>
    </row>
    <row r="784">
      <c r="A784" s="5" t="inlineStr">
        <is>
          <t>PUNTO DE VENTA</t>
        </is>
      </c>
      <c r="B784" s="5">
        <f>IF($I2="","",INDEX(Productos!$A:$A,$I2))</f>
        <v/>
      </c>
      <c r="C784" s="134" t="inlineStr">
        <is>
          <t>TWBOZE-813085L0</t>
        </is>
      </c>
      <c r="D784" s="5">
        <f>IF($I2="","",INDEX(Productos!$B:$B,$I2))</f>
        <v/>
      </c>
      <c r="E784" s="5">
        <f>IF($I2="","",INDEX(Productos!$H:$H,$I2))</f>
        <v/>
      </c>
      <c r="F784" s="5">
        <f>IF($I2="","",INDEX(Productos!$I:$I,$I2))</f>
        <v/>
      </c>
      <c r="G784" s="135" t="n">
        <v>-1</v>
      </c>
      <c r="H784" s="5">
        <f>IF($I2="","",INDEX(Productos!$AG:$AG,$I2))</f>
        <v/>
      </c>
      <c r="I784" s="136">
        <f>LET(_xlpm.r,Productos!$E$2:$E$2509,_xlpm.m,IFERROR(_xlfn.XMATCH(C784,_xlpm.r),IFERROR(_xlfn.XMATCH(VALUE(C784),_xlpm.r),0)),IF(_xlpm.m=0,"",_xlpm.m+1))</f>
        <v/>
      </c>
      <c r="J784" s="137" t="inlineStr">
        <is>
          <t>NetSuite</t>
        </is>
      </c>
    </row>
    <row r="785">
      <c r="A785" s="5" t="inlineStr">
        <is>
          <t>PUNTO DE VENTA</t>
        </is>
      </c>
      <c r="B785" s="5">
        <f>IF($I2="","",INDEX(Productos!$A:$A,$I2))</f>
        <v/>
      </c>
      <c r="C785" s="134" t="inlineStr">
        <is>
          <t>TWBOZE-813085M0</t>
        </is>
      </c>
      <c r="D785" s="5">
        <f>IF($I2="","",INDEX(Productos!$B:$B,$I2))</f>
        <v/>
      </c>
      <c r="E785" s="5">
        <f>IF($I2="","",INDEX(Productos!$H:$H,$I2))</f>
        <v/>
      </c>
      <c r="F785" s="5">
        <f>IF($I2="","",INDEX(Productos!$I:$I,$I2))</f>
        <v/>
      </c>
      <c r="G785" s="135" t="n">
        <v>-1</v>
      </c>
      <c r="H785" s="5">
        <f>IF($I2="","",INDEX(Productos!$AG:$AG,$I2))</f>
        <v/>
      </c>
      <c r="I785" s="136">
        <f>LET(_xlpm.r,Productos!$E$2:$E$2509,_xlpm.m,IFERROR(_xlfn.XMATCH(C785,_xlpm.r),IFERROR(_xlfn.XMATCH(VALUE(C785),_xlpm.r),0)),IF(_xlpm.m=0,"",_xlpm.m+1))</f>
        <v/>
      </c>
      <c r="J785" s="137" t="inlineStr">
        <is>
          <t>NetSuite</t>
        </is>
      </c>
    </row>
    <row r="786">
      <c r="A786" s="5" t="inlineStr">
        <is>
          <t>PUNTO DE VENTA</t>
        </is>
      </c>
      <c r="B786" s="5">
        <f>IF($I2="","",INDEX(Productos!$A:$A,$I2))</f>
        <v/>
      </c>
      <c r="C786" s="134" t="inlineStr">
        <is>
          <t>TWBOZE-8130C7L0</t>
        </is>
      </c>
      <c r="D786" s="5">
        <f>IF($I2="","",INDEX(Productos!$B:$B,$I2))</f>
        <v/>
      </c>
      <c r="E786" s="5">
        <f>IF($I2="","",INDEX(Productos!$H:$H,$I2))</f>
        <v/>
      </c>
      <c r="F786" s="5">
        <f>IF($I2="","",INDEX(Productos!$I:$I,$I2))</f>
        <v/>
      </c>
      <c r="G786" s="135" t="n">
        <v>-1</v>
      </c>
      <c r="H786" s="5">
        <f>IF($I2="","",INDEX(Productos!$AG:$AG,$I2))</f>
        <v/>
      </c>
      <c r="I786" s="136">
        <f>LET(_xlpm.r,Productos!$E$2:$E$2509,_xlpm.m,IFERROR(_xlfn.XMATCH(C786,_xlpm.r),IFERROR(_xlfn.XMATCH(VALUE(C786),_xlpm.r),0)),IF(_xlpm.m=0,"",_xlpm.m+1))</f>
        <v/>
      </c>
      <c r="J786" s="137" t="inlineStr">
        <is>
          <t>NetSuite</t>
        </is>
      </c>
    </row>
    <row r="787">
      <c r="A787" s="5" t="inlineStr">
        <is>
          <t>PUNTO DE VENTA</t>
        </is>
      </c>
      <c r="B787" s="5">
        <f>IF($I2="","",INDEX(Productos!$A:$A,$I2))</f>
        <v/>
      </c>
      <c r="C787" s="134" t="inlineStr">
        <is>
          <t>TWBOZE-8130C7M0</t>
        </is>
      </c>
      <c r="D787" s="5">
        <f>IF($I2="","",INDEX(Productos!$B:$B,$I2))</f>
        <v/>
      </c>
      <c r="E787" s="5">
        <f>IF($I2="","",INDEX(Productos!$H:$H,$I2))</f>
        <v/>
      </c>
      <c r="F787" s="5">
        <f>IF($I2="","",INDEX(Productos!$I:$I,$I2))</f>
        <v/>
      </c>
      <c r="G787" s="135" t="n">
        <v>-1</v>
      </c>
      <c r="H787" s="5">
        <f>IF($I2="","",INDEX(Productos!$AG:$AG,$I2))</f>
        <v/>
      </c>
      <c r="I787" s="136">
        <f>LET(_xlpm.r,Productos!$E$2:$E$2509,_xlpm.m,IFERROR(_xlfn.XMATCH(C787,_xlpm.r),IFERROR(_xlfn.XMATCH(VALUE(C787),_xlpm.r),0)),IF(_xlpm.m=0,"",_xlpm.m+1))</f>
        <v/>
      </c>
      <c r="J787" s="137" t="inlineStr">
        <is>
          <t>NetSuite</t>
        </is>
      </c>
    </row>
    <row r="788">
      <c r="A788" s="5" t="inlineStr">
        <is>
          <t>PUNTO DE VENTA</t>
        </is>
      </c>
      <c r="B788" s="5">
        <f>IF($I2="","",INDEX(Productos!$A:$A,$I2))</f>
        <v/>
      </c>
      <c r="C788" s="134" t="inlineStr">
        <is>
          <t>TWMDNTB103607L0</t>
        </is>
      </c>
      <c r="D788" s="5">
        <f>IF($I2="","",INDEX(Productos!$B:$B,$I2))</f>
        <v/>
      </c>
      <c r="E788" s="5">
        <f>IF($I2="","",INDEX(Productos!$H:$H,$I2))</f>
        <v/>
      </c>
      <c r="F788" s="5">
        <f>IF($I2="","",INDEX(Productos!$I:$I,$I2))</f>
        <v/>
      </c>
      <c r="G788" s="135" t="n">
        <v>-1</v>
      </c>
      <c r="H788" s="5">
        <f>IF($I2="","",INDEX(Productos!$AG:$AG,$I2))</f>
        <v/>
      </c>
      <c r="I788" s="136">
        <f>LET(_xlpm.r,Productos!$E$2:$E$2509,_xlpm.m,IFERROR(_xlfn.XMATCH(C788,_xlpm.r),IFERROR(_xlfn.XMATCH(VALUE(C788),_xlpm.r),0)),IF(_xlpm.m=0,"",_xlpm.m+1))</f>
        <v/>
      </c>
      <c r="J788" s="137" t="inlineStr">
        <is>
          <t>NetSuite</t>
        </is>
      </c>
    </row>
    <row r="789">
      <c r="A789" s="5" t="inlineStr">
        <is>
          <t>PUNTO DE VENTA</t>
        </is>
      </c>
      <c r="B789" s="5">
        <f>IF($I2="","",INDEX(Productos!$A:$A,$I2))</f>
        <v/>
      </c>
      <c r="C789" s="134" t="inlineStr">
        <is>
          <t>TWMDNTB103607M0</t>
        </is>
      </c>
      <c r="D789" s="5">
        <f>IF($I2="","",INDEX(Productos!$B:$B,$I2))</f>
        <v/>
      </c>
      <c r="E789" s="5">
        <f>IF($I2="","",INDEX(Productos!$H:$H,$I2))</f>
        <v/>
      </c>
      <c r="F789" s="5">
        <f>IF($I2="","",INDEX(Productos!$I:$I,$I2))</f>
        <v/>
      </c>
      <c r="G789" s="135" t="n">
        <v>-1</v>
      </c>
      <c r="H789" s="5">
        <f>IF($I2="","",INDEX(Productos!$AG:$AG,$I2))</f>
        <v/>
      </c>
      <c r="I789" s="136">
        <f>LET(_xlpm.r,Productos!$E$2:$E$2509,_xlpm.m,IFERROR(_xlfn.XMATCH(C789,_xlpm.r),IFERROR(_xlfn.XMATCH(VALUE(C789),_xlpm.r),0)),IF(_xlpm.m=0,"",_xlpm.m+1))</f>
        <v/>
      </c>
      <c r="J789" s="137" t="inlineStr">
        <is>
          <t>NetSuite</t>
        </is>
      </c>
    </row>
    <row r="790">
      <c r="A790" s="5" t="inlineStr">
        <is>
          <t>PUNTO DE VENTA</t>
        </is>
      </c>
      <c r="B790" s="5">
        <f>IF($I2="","",INDEX(Productos!$A:$A,$I2))</f>
        <v/>
      </c>
      <c r="C790" s="134" t="inlineStr">
        <is>
          <t>TWMDNTB103674L0</t>
        </is>
      </c>
      <c r="D790" s="5">
        <f>IF($I2="","",INDEX(Productos!$B:$B,$I2))</f>
        <v/>
      </c>
      <c r="E790" s="5">
        <f>IF($I2="","",INDEX(Productos!$H:$H,$I2))</f>
        <v/>
      </c>
      <c r="F790" s="5">
        <f>IF($I2="","",INDEX(Productos!$I:$I,$I2))</f>
        <v/>
      </c>
      <c r="G790" s="135" t="n">
        <v>-1</v>
      </c>
      <c r="H790" s="5">
        <f>IF($I2="","",INDEX(Productos!$AG:$AG,$I2))</f>
        <v/>
      </c>
      <c r="I790" s="136">
        <f>LET(_xlpm.r,Productos!$E$2:$E$2509,_xlpm.m,IFERROR(_xlfn.XMATCH(C790,_xlpm.r),IFERROR(_xlfn.XMATCH(VALUE(C790),_xlpm.r),0)),IF(_xlpm.m=0,"",_xlpm.m+1))</f>
        <v/>
      </c>
      <c r="J790" s="137" t="inlineStr">
        <is>
          <t>NetSuite</t>
        </is>
      </c>
    </row>
    <row r="791">
      <c r="A791" s="5" t="inlineStr">
        <is>
          <t>PUNTO DE VENTA</t>
        </is>
      </c>
      <c r="B791" s="5">
        <f>IF($I2="","",INDEX(Productos!$A:$A,$I2))</f>
        <v/>
      </c>
      <c r="C791" s="134" t="inlineStr">
        <is>
          <t>TWMDNTB103674M0</t>
        </is>
      </c>
      <c r="D791" s="5">
        <f>IF($I2="","",INDEX(Productos!$B:$B,$I2))</f>
        <v/>
      </c>
      <c r="E791" s="5">
        <f>IF($I2="","",INDEX(Productos!$H:$H,$I2))</f>
        <v/>
      </c>
      <c r="F791" s="5">
        <f>IF($I2="","",INDEX(Productos!$I:$I,$I2))</f>
        <v/>
      </c>
      <c r="G791" s="135" t="n">
        <v>-1</v>
      </c>
      <c r="H791" s="5">
        <f>IF($I2="","",INDEX(Productos!$AG:$AG,$I2))</f>
        <v/>
      </c>
      <c r="I791" s="136">
        <f>LET(_xlpm.r,Productos!$E$2:$E$2509,_xlpm.m,IFERROR(_xlfn.XMATCH(C791,_xlpm.r),IFERROR(_xlfn.XMATCH(VALUE(C791),_xlpm.r),0)),IF(_xlpm.m=0,"",_xlpm.m+1))</f>
        <v/>
      </c>
      <c r="J791" s="137" t="inlineStr">
        <is>
          <t>NetSuite</t>
        </is>
      </c>
    </row>
    <row r="792">
      <c r="A792" s="5" t="inlineStr">
        <is>
          <t>PUNTO DE VENTA</t>
        </is>
      </c>
      <c r="B792" s="5">
        <f>IF($I2="","",INDEX(Productos!$A:$A,$I2))</f>
        <v/>
      </c>
      <c r="C792" s="134" t="inlineStr">
        <is>
          <t>TWMDNTB1036KBL0</t>
        </is>
      </c>
      <c r="D792" s="5">
        <f>IF($I2="","",INDEX(Productos!$B:$B,$I2))</f>
        <v/>
      </c>
      <c r="E792" s="5">
        <f>IF($I2="","",INDEX(Productos!$H:$H,$I2))</f>
        <v/>
      </c>
      <c r="F792" s="5">
        <f>IF($I2="","",INDEX(Productos!$I:$I,$I2))</f>
        <v/>
      </c>
      <c r="G792" s="135" t="n">
        <v>-1</v>
      </c>
      <c r="H792" s="5">
        <f>IF($I2="","",INDEX(Productos!$AG:$AG,$I2))</f>
        <v/>
      </c>
      <c r="I792" s="136">
        <f>LET(_xlpm.r,Productos!$E$2:$E$2509,_xlpm.m,IFERROR(_xlfn.XMATCH(C792,_xlpm.r),IFERROR(_xlfn.XMATCH(VALUE(C792),_xlpm.r),0)),IF(_xlpm.m=0,"",_xlpm.m+1))</f>
        <v/>
      </c>
      <c r="J792" s="137" t="inlineStr">
        <is>
          <t>NetSuite</t>
        </is>
      </c>
    </row>
    <row r="793">
      <c r="A793" s="5" t="inlineStr">
        <is>
          <t>PUNTO DE VENTA</t>
        </is>
      </c>
      <c r="B793" s="5">
        <f>IF($I2="","",INDEX(Productos!$A:$A,$I2))</f>
        <v/>
      </c>
      <c r="C793" s="134" t="inlineStr">
        <is>
          <t>TWMDNTB1036KBM0</t>
        </is>
      </c>
      <c r="D793" s="5">
        <f>IF($I2="","",INDEX(Productos!$B:$B,$I2))</f>
        <v/>
      </c>
      <c r="E793" s="5">
        <f>IF($I2="","",INDEX(Productos!$H:$H,$I2))</f>
        <v/>
      </c>
      <c r="F793" s="5">
        <f>IF($I2="","",INDEX(Productos!$I:$I,$I2))</f>
        <v/>
      </c>
      <c r="G793" s="135" t="n">
        <v>-1</v>
      </c>
      <c r="H793" s="5">
        <f>IF($I2="","",INDEX(Productos!$AG:$AG,$I2))</f>
        <v/>
      </c>
      <c r="I793" s="136">
        <f>LET(_xlpm.r,Productos!$E$2:$E$2509,_xlpm.m,IFERROR(_xlfn.XMATCH(C793,_xlpm.r),IFERROR(_xlfn.XMATCH(VALUE(C793),_xlpm.r),0)),IF(_xlpm.m=0,"",_xlpm.m+1))</f>
        <v/>
      </c>
      <c r="J793" s="137" t="inlineStr">
        <is>
          <t>NetSuite</t>
        </is>
      </c>
    </row>
    <row r="794">
      <c r="A794" s="5" t="inlineStr">
        <is>
          <t>PUNTO DE VENTA</t>
        </is>
      </c>
      <c r="B794" s="5">
        <f>IF($I2="","",INDEX(Productos!$A:$A,$I2))</f>
        <v/>
      </c>
      <c r="C794" s="134" t="inlineStr">
        <is>
          <t>XSOSIS-254081L0</t>
        </is>
      </c>
      <c r="D794" s="5">
        <f>IF($I2="","",INDEX(Productos!$B:$B,$I2))</f>
        <v/>
      </c>
      <c r="E794" s="5">
        <f>IF($I2="","",INDEX(Productos!$H:$H,$I2))</f>
        <v/>
      </c>
      <c r="F794" s="5">
        <f>IF($I2="","",INDEX(Productos!$I:$I,$I2))</f>
        <v/>
      </c>
      <c r="G794" s="135" t="n">
        <v>-1</v>
      </c>
      <c r="H794" s="5">
        <f>IF($I2="","",INDEX(Productos!$AG:$AG,$I2))</f>
        <v/>
      </c>
      <c r="I794" s="136">
        <f>LET(_xlpm.r,Productos!$E$2:$E$2509,_xlpm.m,IFERROR(_xlfn.XMATCH(C794,_xlpm.r),IFERROR(_xlfn.XMATCH(VALUE(C794),_xlpm.r),0)),IF(_xlpm.m=0,"",_xlpm.m+1))</f>
        <v/>
      </c>
      <c r="J794" s="137" t="inlineStr">
        <is>
          <t>NetSuite</t>
        </is>
      </c>
    </row>
    <row r="795">
      <c r="A795" s="5" t="inlineStr">
        <is>
          <t>PUNTO DE VENTA</t>
        </is>
      </c>
      <c r="B795" s="5">
        <f>IF($I2="","",INDEX(Productos!$A:$A,$I2))</f>
        <v/>
      </c>
      <c r="C795" s="134" t="inlineStr">
        <is>
          <t>XSOSIS-254081M0</t>
        </is>
      </c>
      <c r="D795" s="5">
        <f>IF($I2="","",INDEX(Productos!$B:$B,$I2))</f>
        <v/>
      </c>
      <c r="E795" s="5">
        <f>IF($I2="","",INDEX(Productos!$H:$H,$I2))</f>
        <v/>
      </c>
      <c r="F795" s="5">
        <f>IF($I2="","",INDEX(Productos!$I:$I,$I2))</f>
        <v/>
      </c>
      <c r="G795" s="135" t="n">
        <v>-2</v>
      </c>
      <c r="H795" s="5">
        <f>IF($I2="","",INDEX(Productos!$AG:$AG,$I2))</f>
        <v/>
      </c>
      <c r="I795" s="136">
        <f>LET(_xlpm.r,Productos!$E$2:$E$2509,_xlpm.m,IFERROR(_xlfn.XMATCH(C795,_xlpm.r),IFERROR(_xlfn.XMATCH(VALUE(C795),_xlpm.r),0)),IF(_xlpm.m=0,"",_xlpm.m+1))</f>
        <v/>
      </c>
      <c r="J795" s="137" t="inlineStr">
        <is>
          <t>NetSuite</t>
        </is>
      </c>
    </row>
    <row r="796">
      <c r="A796" s="5" t="inlineStr">
        <is>
          <t>PUNTO DE VENTA</t>
        </is>
      </c>
      <c r="B796" s="5">
        <f>IF($I2="","",INDEX(Productos!$A:$A,$I2))</f>
        <v/>
      </c>
      <c r="C796" s="134" t="inlineStr">
        <is>
          <t>XWNGSKS104048L0</t>
        </is>
      </c>
      <c r="D796" s="5">
        <f>IF($I2="","",INDEX(Productos!$B:$B,$I2))</f>
        <v/>
      </c>
      <c r="E796" s="5">
        <f>IF($I2="","",INDEX(Productos!$H:$H,$I2))</f>
        <v/>
      </c>
      <c r="F796" s="5">
        <f>IF($I2="","",INDEX(Productos!$I:$I,$I2))</f>
        <v/>
      </c>
      <c r="G796" s="135" t="n">
        <v>-1</v>
      </c>
      <c r="H796" s="5">
        <f>IF($I2="","",INDEX(Productos!$AG:$AG,$I2))</f>
        <v/>
      </c>
      <c r="I796" s="136">
        <f>LET(_xlpm.r,Productos!$E$2:$E$2509,_xlpm.m,IFERROR(_xlfn.XMATCH(C796,_xlpm.r),IFERROR(_xlfn.XMATCH(VALUE(C796),_xlpm.r),0)),IF(_xlpm.m=0,"",_xlpm.m+1))</f>
        <v/>
      </c>
      <c r="J796" s="137" t="inlineStr">
        <is>
          <t>NetSuite</t>
        </is>
      </c>
    </row>
    <row r="797">
      <c r="A797" s="5" t="inlineStr">
        <is>
          <t>PUNTO DE VENTA</t>
        </is>
      </c>
      <c r="B797" s="5">
        <f>IF($I2="","",INDEX(Productos!$A:$A,$I2))</f>
        <v/>
      </c>
      <c r="C797" s="134" t="inlineStr">
        <is>
          <t>XWNGSKS104074M0</t>
        </is>
      </c>
      <c r="D797" s="5">
        <f>IF($I2="","",INDEX(Productos!$B:$B,$I2))</f>
        <v/>
      </c>
      <c r="E797" s="5">
        <f>IF($I2="","",INDEX(Productos!$H:$H,$I2))</f>
        <v/>
      </c>
      <c r="F797" s="5">
        <f>IF($I2="","",INDEX(Productos!$I:$I,$I2))</f>
        <v/>
      </c>
      <c r="G797" s="135" t="n">
        <v>-1</v>
      </c>
      <c r="H797" s="5">
        <f>IF($I2="","",INDEX(Productos!$AG:$AG,$I2))</f>
        <v/>
      </c>
      <c r="I797" s="136">
        <f>LET(_xlpm.r,Productos!$E$2:$E$2509,_xlpm.m,IFERROR(_xlfn.XMATCH(C797,_xlpm.r),IFERROR(_xlfn.XMATCH(VALUE(C797),_xlpm.r),0)),IF(_xlpm.m=0,"",_xlpm.m+1))</f>
        <v/>
      </c>
      <c r="J797" s="137" t="inlineStr">
        <is>
          <t>NetSuite</t>
        </is>
      </c>
    </row>
    <row r="798">
      <c r="A798" s="5" t="inlineStr">
        <is>
          <t>PUNTO DE VENTA</t>
        </is>
      </c>
      <c r="B798" s="5">
        <f>IF($I2="","",INDEX(Productos!$A:$A,$I2))</f>
        <v/>
      </c>
      <c r="C798" s="134" t="inlineStr">
        <is>
          <t>XWNGSKS104074XL</t>
        </is>
      </c>
      <c r="D798" s="5">
        <f>IF($I2="","",INDEX(Productos!$B:$B,$I2))</f>
        <v/>
      </c>
      <c r="E798" s="5">
        <f>IF($I2="","",INDEX(Productos!$H:$H,$I2))</f>
        <v/>
      </c>
      <c r="F798" s="5">
        <f>IF($I2="","",INDEX(Productos!$I:$I,$I2))</f>
        <v/>
      </c>
      <c r="G798" s="135" t="n">
        <v>-1</v>
      </c>
      <c r="H798" s="5">
        <f>IF($I2="","",INDEX(Productos!$AG:$AG,$I2))</f>
        <v/>
      </c>
      <c r="I798" s="136">
        <f>LET(_xlpm.r,Productos!$E$2:$E$2509,_xlpm.m,IFERROR(_xlfn.XMATCH(C798,_xlpm.r),IFERROR(_xlfn.XMATCH(VALUE(C798),_xlpm.r),0)),IF(_xlpm.m=0,"",_xlpm.m+1))</f>
        <v/>
      </c>
      <c r="J798" s="137" t="inlineStr">
        <is>
          <t>NetSuite</t>
        </is>
      </c>
    </row>
    <row r="799">
      <c r="A799" s="5" t="inlineStr">
        <is>
          <t>STETSON AMERICAS</t>
        </is>
      </c>
      <c r="B799" s="5">
        <f>IF($I2="","",INDEX(Productos!$A:$A,$I2))</f>
        <v/>
      </c>
      <c r="C799" s="134" t="inlineStr">
        <is>
          <t>107942</t>
        </is>
      </c>
      <c r="D799" s="5">
        <f>IF($I2="","",INDEX(Productos!$B:$B,$I2))</f>
        <v/>
      </c>
      <c r="E799" s="5">
        <f>IF($I2="","",INDEX(Productos!$H:$H,$I2))</f>
        <v/>
      </c>
      <c r="F799" s="5">
        <f>IF($I2="","",INDEX(Productos!$I:$I,$I2))</f>
        <v/>
      </c>
      <c r="G799" s="135" t="n">
        <v>10</v>
      </c>
      <c r="H799" s="5">
        <f>IF($I2="","",INDEX(Productos!$AG:$AG,$I2))</f>
        <v/>
      </c>
      <c r="I799" s="136">
        <f>LET(_xlpm.r,Productos!$E$2:$E$2509,_xlpm.m,IFERROR(_xlfn.XMATCH(C799,_xlpm.r),IFERROR(_xlfn.XMATCH(VALUE(C799),_xlpm.r),0)),IF(_xlpm.m=0,"",_xlpm.m+1))</f>
        <v/>
      </c>
      <c r="J799" s="137" t="inlineStr">
        <is>
          <t>NetSuite</t>
        </is>
      </c>
    </row>
    <row r="800">
      <c r="A800" s="5" t="inlineStr">
        <is>
          <t>STETSON AMERICAS</t>
        </is>
      </c>
      <c r="B800" s="5">
        <f>IF($I2="","",INDEX(Productos!$A:$A,$I2))</f>
        <v/>
      </c>
      <c r="C800" s="134" t="inlineStr">
        <is>
          <t>11-001-0465-9357-L</t>
        </is>
      </c>
      <c r="D800" s="5">
        <f>IF($I2="","",INDEX(Productos!$B:$B,$I2))</f>
        <v/>
      </c>
      <c r="E800" s="5">
        <f>IF($I2="","",INDEX(Productos!$H:$H,$I2))</f>
        <v/>
      </c>
      <c r="F800" s="5">
        <f>IF($I2="","",INDEX(Productos!$I:$I,$I2))</f>
        <v/>
      </c>
      <c r="G800" s="135" t="n">
        <v>-4</v>
      </c>
      <c r="H800" s="5">
        <f>IF($I2="","",INDEX(Productos!$AG:$AG,$I2))</f>
        <v/>
      </c>
      <c r="I800" s="136">
        <f>LET(_xlpm.r,Productos!$E$2:$E$2509,_xlpm.m,IFERROR(_xlfn.XMATCH(C800,_xlpm.r),IFERROR(_xlfn.XMATCH(VALUE(C800),_xlpm.r),0)),IF(_xlpm.m=0,"",_xlpm.m+1))</f>
        <v/>
      </c>
      <c r="J800" s="137" t="inlineStr">
        <is>
          <t>NetSuite</t>
        </is>
      </c>
    </row>
    <row r="801">
      <c r="A801" s="5" t="inlineStr">
        <is>
          <t>STETSON AMERICAS</t>
        </is>
      </c>
      <c r="B801" s="5">
        <f>IF($I2="","",INDEX(Productos!$A:$A,$I2))</f>
        <v/>
      </c>
      <c r="C801" s="134" t="inlineStr">
        <is>
          <t>11-001-0465-9357-M</t>
        </is>
      </c>
      <c r="D801" s="5">
        <f>IF($I2="","",INDEX(Productos!$B:$B,$I2))</f>
        <v/>
      </c>
      <c r="E801" s="5">
        <f>IF($I2="","",INDEX(Productos!$H:$H,$I2))</f>
        <v/>
      </c>
      <c r="F801" s="5">
        <f>IF($I2="","",INDEX(Productos!$I:$I,$I2))</f>
        <v/>
      </c>
      <c r="G801" s="135" t="n">
        <v>-4</v>
      </c>
      <c r="H801" s="5">
        <f>IF($I2="","",INDEX(Productos!$AG:$AG,$I2))</f>
        <v/>
      </c>
      <c r="I801" s="136">
        <f>LET(_xlpm.r,Productos!$E$2:$E$2509,_xlpm.m,IFERROR(_xlfn.XMATCH(C801,_xlpm.r),IFERROR(_xlfn.XMATCH(VALUE(C801),_xlpm.r),0)),IF(_xlpm.m=0,"",_xlpm.m+1))</f>
        <v/>
      </c>
      <c r="J801" s="137" t="inlineStr">
        <is>
          <t>NetSuite</t>
        </is>
      </c>
    </row>
    <row r="802">
      <c r="A802" s="5" t="inlineStr">
        <is>
          <t>STETSON AMERICAS</t>
        </is>
      </c>
      <c r="B802" s="5">
        <f>IF($I2="","",INDEX(Productos!$A:$A,$I2))</f>
        <v/>
      </c>
      <c r="C802" s="134" t="inlineStr">
        <is>
          <t>11-001-0465-9357-S</t>
        </is>
      </c>
      <c r="D802" s="5">
        <f>IF($I2="","",INDEX(Productos!$B:$B,$I2))</f>
        <v/>
      </c>
      <c r="E802" s="5">
        <f>IF($I2="","",INDEX(Productos!$H:$H,$I2))</f>
        <v/>
      </c>
      <c r="F802" s="5">
        <f>IF($I2="","",INDEX(Productos!$I:$I,$I2))</f>
        <v/>
      </c>
      <c r="G802" s="135" t="n">
        <v>-3</v>
      </c>
      <c r="H802" s="5">
        <f>IF($I2="","",INDEX(Productos!$AG:$AG,$I2))</f>
        <v/>
      </c>
      <c r="I802" s="136">
        <f>LET(_xlpm.r,Productos!$E$2:$E$2509,_xlpm.m,IFERROR(_xlfn.XMATCH(C802,_xlpm.r),IFERROR(_xlfn.XMATCH(VALUE(C802),_xlpm.r),0)),IF(_xlpm.m=0,"",_xlpm.m+1))</f>
        <v/>
      </c>
      <c r="J802" s="137" t="inlineStr">
        <is>
          <t>NetSuite</t>
        </is>
      </c>
    </row>
    <row r="803">
      <c r="A803" s="5" t="inlineStr">
        <is>
          <t>STETSON AMERICAS</t>
        </is>
      </c>
      <c r="B803" s="5">
        <f>IF($I2="","",INDEX(Productos!$A:$A,$I2))</f>
        <v/>
      </c>
      <c r="C803" s="134" t="inlineStr">
        <is>
          <t>11-001-0465-9357-XL</t>
        </is>
      </c>
      <c r="D803" s="5">
        <f>IF($I2="","",INDEX(Productos!$B:$B,$I2))</f>
        <v/>
      </c>
      <c r="E803" s="5">
        <f>IF($I2="","",INDEX(Productos!$H:$H,$I2))</f>
        <v/>
      </c>
      <c r="F803" s="5">
        <f>IF($I2="","",INDEX(Productos!$I:$I,$I2))</f>
        <v/>
      </c>
      <c r="G803" s="135" t="n">
        <v>-3</v>
      </c>
      <c r="H803" s="5">
        <f>IF($I2="","",INDEX(Productos!$AG:$AG,$I2))</f>
        <v/>
      </c>
      <c r="I803" s="136">
        <f>LET(_xlpm.r,Productos!$E$2:$E$2509,_xlpm.m,IFERROR(_xlfn.XMATCH(C803,_xlpm.r),IFERROR(_xlfn.XMATCH(VALUE(C803),_xlpm.r),0)),IF(_xlpm.m=0,"",_xlpm.m+1))</f>
        <v/>
      </c>
      <c r="J803" s="137" t="inlineStr">
        <is>
          <t>NetSuite</t>
        </is>
      </c>
    </row>
    <row r="804">
      <c r="A804" s="5" t="inlineStr">
        <is>
          <t>STETSON AMERICAS</t>
        </is>
      </c>
      <c r="B804" s="5">
        <f>IF($I2="","",INDEX(Productos!$A:$A,$I2))</f>
        <v/>
      </c>
      <c r="C804" s="134" t="inlineStr">
        <is>
          <t>11-001-0476-0802-L</t>
        </is>
      </c>
      <c r="D804" s="5">
        <f>IF($I2="","",INDEX(Productos!$B:$B,$I2))</f>
        <v/>
      </c>
      <c r="E804" s="5">
        <f>IF($I2="","",INDEX(Productos!$H:$H,$I2))</f>
        <v/>
      </c>
      <c r="F804" s="5">
        <f>IF($I2="","",INDEX(Productos!$I:$I,$I2))</f>
        <v/>
      </c>
      <c r="G804" s="135" t="n">
        <v>-4</v>
      </c>
      <c r="H804" s="5">
        <f>IF($I2="","",INDEX(Productos!$AG:$AG,$I2))</f>
        <v/>
      </c>
      <c r="I804" s="136">
        <f>LET(_xlpm.r,Productos!$E$2:$E$2509,_xlpm.m,IFERROR(_xlfn.XMATCH(C804,_xlpm.r),IFERROR(_xlfn.XMATCH(VALUE(C804),_xlpm.r),0)),IF(_xlpm.m=0,"",_xlpm.m+1))</f>
        <v/>
      </c>
      <c r="J804" s="137" t="inlineStr">
        <is>
          <t>NetSuite</t>
        </is>
      </c>
    </row>
    <row r="805">
      <c r="A805" s="5" t="inlineStr">
        <is>
          <t>STETSON AMERICAS</t>
        </is>
      </c>
      <c r="B805" s="5">
        <f>IF($I2="","",INDEX(Productos!$A:$A,$I2))</f>
        <v/>
      </c>
      <c r="C805" s="134" t="inlineStr">
        <is>
          <t>11-001-0476-0802-M</t>
        </is>
      </c>
      <c r="D805" s="5">
        <f>IF($I2="","",INDEX(Productos!$B:$B,$I2))</f>
        <v/>
      </c>
      <c r="E805" s="5">
        <f>IF($I2="","",INDEX(Productos!$H:$H,$I2))</f>
        <v/>
      </c>
      <c r="F805" s="5">
        <f>IF($I2="","",INDEX(Productos!$I:$I,$I2))</f>
        <v/>
      </c>
      <c r="G805" s="135" t="n">
        <v>-2</v>
      </c>
      <c r="H805" s="5">
        <f>IF($I2="","",INDEX(Productos!$AG:$AG,$I2))</f>
        <v/>
      </c>
      <c r="I805" s="136">
        <f>LET(_xlpm.r,Productos!$E$2:$E$2509,_xlpm.m,IFERROR(_xlfn.XMATCH(C805,_xlpm.r),IFERROR(_xlfn.XMATCH(VALUE(C805),_xlpm.r),0)),IF(_xlpm.m=0,"",_xlpm.m+1))</f>
        <v/>
      </c>
      <c r="J805" s="137" t="inlineStr">
        <is>
          <t>NetSuite</t>
        </is>
      </c>
    </row>
    <row r="806">
      <c r="A806" s="5" t="inlineStr">
        <is>
          <t>STETSON AMERICAS</t>
        </is>
      </c>
      <c r="B806" s="5">
        <f>IF($I2="","",INDEX(Productos!$A:$A,$I2))</f>
        <v/>
      </c>
      <c r="C806" s="134" t="inlineStr">
        <is>
          <t>11-001-0476-0802-S</t>
        </is>
      </c>
      <c r="D806" s="5">
        <f>IF($I2="","",INDEX(Productos!$B:$B,$I2))</f>
        <v/>
      </c>
      <c r="E806" s="5">
        <f>IF($I2="","",INDEX(Productos!$H:$H,$I2))</f>
        <v/>
      </c>
      <c r="F806" s="5">
        <f>IF($I2="","",INDEX(Productos!$I:$I,$I2))</f>
        <v/>
      </c>
      <c r="G806" s="135" t="n">
        <v>-2</v>
      </c>
      <c r="H806" s="5">
        <f>IF($I2="","",INDEX(Productos!$AG:$AG,$I2))</f>
        <v/>
      </c>
      <c r="I806" s="136">
        <f>LET(_xlpm.r,Productos!$E$2:$E$2509,_xlpm.m,IFERROR(_xlfn.XMATCH(C806,_xlpm.r),IFERROR(_xlfn.XMATCH(VALUE(C806),_xlpm.r),0)),IF(_xlpm.m=0,"",_xlpm.m+1))</f>
        <v/>
      </c>
      <c r="J806" s="137" t="inlineStr">
        <is>
          <t>NetSuite</t>
        </is>
      </c>
    </row>
    <row r="807">
      <c r="A807" s="5" t="inlineStr">
        <is>
          <t>STETSON AMERICAS</t>
        </is>
      </c>
      <c r="B807" s="5">
        <f>IF($I2="","",INDEX(Productos!$A:$A,$I2))</f>
        <v/>
      </c>
      <c r="C807" s="134" t="inlineStr">
        <is>
          <t>11-001-0476-0802-XL</t>
        </is>
      </c>
      <c r="D807" s="5">
        <f>IF($I2="","",INDEX(Productos!$B:$B,$I2))</f>
        <v/>
      </c>
      <c r="E807" s="5">
        <f>IF($I2="","",INDEX(Productos!$H:$H,$I2))</f>
        <v/>
      </c>
      <c r="F807" s="5">
        <f>IF($I2="","",INDEX(Productos!$I:$I,$I2))</f>
        <v/>
      </c>
      <c r="G807" s="135" t="n">
        <v>-1</v>
      </c>
      <c r="H807" s="5">
        <f>IF($I2="","",INDEX(Productos!$AG:$AG,$I2))</f>
        <v/>
      </c>
      <c r="I807" s="136">
        <f>LET(_xlpm.r,Productos!$E$2:$E$2509,_xlpm.m,IFERROR(_xlfn.XMATCH(C807,_xlpm.r),IFERROR(_xlfn.XMATCH(VALUE(C807),_xlpm.r),0)),IF(_xlpm.m=0,"",_xlpm.m+1))</f>
        <v/>
      </c>
      <c r="J807" s="137" t="inlineStr">
        <is>
          <t>NetSuite</t>
        </is>
      </c>
    </row>
    <row r="808">
      <c r="A808" s="5" t="inlineStr">
        <is>
          <t>STETSON AMERICAS</t>
        </is>
      </c>
      <c r="B808" s="5">
        <f>IF($I2="","",INDEX(Productos!$A:$A,$I2))</f>
        <v/>
      </c>
      <c r="C808" s="134" t="inlineStr">
        <is>
          <t>11-001-0526-2050-M</t>
        </is>
      </c>
      <c r="D808" s="5">
        <f>IF($I2="","",INDEX(Productos!$B:$B,$I2))</f>
        <v/>
      </c>
      <c r="E808" s="5">
        <f>IF($I2="","",INDEX(Productos!$H:$H,$I2))</f>
        <v/>
      </c>
      <c r="F808" s="5">
        <f>IF($I2="","",INDEX(Productos!$I:$I,$I2))</f>
        <v/>
      </c>
      <c r="G808" s="135" t="n">
        <v>-1</v>
      </c>
      <c r="H808" s="5">
        <f>IF($I2="","",INDEX(Productos!$AG:$AG,$I2))</f>
        <v/>
      </c>
      <c r="I808" s="136">
        <f>LET(_xlpm.r,Productos!$E$2:$E$2509,_xlpm.m,IFERROR(_xlfn.XMATCH(C808,_xlpm.r),IFERROR(_xlfn.XMATCH(VALUE(C808),_xlpm.r),0)),IF(_xlpm.m=0,"",_xlpm.m+1))</f>
        <v/>
      </c>
      <c r="J808" s="137" t="inlineStr">
        <is>
          <t>NetSuite</t>
        </is>
      </c>
    </row>
    <row r="809">
      <c r="A809" s="5" t="inlineStr">
        <is>
          <t>STETSON AMERICAS</t>
        </is>
      </c>
      <c r="B809" s="5">
        <f>IF($I2="","",INDEX(Productos!$A:$A,$I2))</f>
        <v/>
      </c>
      <c r="C809" s="134" t="inlineStr">
        <is>
          <t>11-001-0526-2067-L</t>
        </is>
      </c>
      <c r="D809" s="5">
        <f>IF($I2="","",INDEX(Productos!$B:$B,$I2))</f>
        <v/>
      </c>
      <c r="E809" s="5">
        <f>IF($I2="","",INDEX(Productos!$H:$H,$I2))</f>
        <v/>
      </c>
      <c r="F809" s="5">
        <f>IF($I2="","",INDEX(Productos!$I:$I,$I2))</f>
        <v/>
      </c>
      <c r="G809" s="135" t="n">
        <v>-2</v>
      </c>
      <c r="H809" s="5">
        <f>IF($I2="","",INDEX(Productos!$AG:$AG,$I2))</f>
        <v/>
      </c>
      <c r="I809" s="136">
        <f>LET(_xlpm.r,Productos!$E$2:$E$2509,_xlpm.m,IFERROR(_xlfn.XMATCH(C809,_xlpm.r),IFERROR(_xlfn.XMATCH(VALUE(C809),_xlpm.r),0)),IF(_xlpm.m=0,"",_xlpm.m+1))</f>
        <v/>
      </c>
      <c r="J809" s="137" t="inlineStr">
        <is>
          <t>NetSuite</t>
        </is>
      </c>
    </row>
    <row r="810">
      <c r="A810" s="5" t="inlineStr">
        <is>
          <t>STETSON AMERICAS</t>
        </is>
      </c>
      <c r="B810" s="5">
        <f>IF($I2="","",INDEX(Productos!$A:$A,$I2))</f>
        <v/>
      </c>
      <c r="C810" s="134" t="inlineStr">
        <is>
          <t>11-001-0526-2067-M</t>
        </is>
      </c>
      <c r="D810" s="5">
        <f>IF($I2="","",INDEX(Productos!$B:$B,$I2))</f>
        <v/>
      </c>
      <c r="E810" s="5">
        <f>IF($I2="","",INDEX(Productos!$H:$H,$I2))</f>
        <v/>
      </c>
      <c r="F810" s="5">
        <f>IF($I2="","",INDEX(Productos!$I:$I,$I2))</f>
        <v/>
      </c>
      <c r="G810" s="135" t="n">
        <v>-2</v>
      </c>
      <c r="H810" s="5">
        <f>IF($I2="","",INDEX(Productos!$AG:$AG,$I2))</f>
        <v/>
      </c>
      <c r="I810" s="136">
        <f>LET(_xlpm.r,Productos!$E$2:$E$2509,_xlpm.m,IFERROR(_xlfn.XMATCH(C810,_xlpm.r),IFERROR(_xlfn.XMATCH(VALUE(C810),_xlpm.r),0)),IF(_xlpm.m=0,"",_xlpm.m+1))</f>
        <v/>
      </c>
      <c r="J810" s="137" t="inlineStr">
        <is>
          <t>NetSuite</t>
        </is>
      </c>
    </row>
    <row r="811">
      <c r="A811" s="5" t="inlineStr">
        <is>
          <t>STETSON AMERICAS</t>
        </is>
      </c>
      <c r="B811" s="5">
        <f>IF($I2="","",INDEX(Productos!$A:$A,$I2))</f>
        <v/>
      </c>
      <c r="C811" s="134" t="inlineStr">
        <is>
          <t>11-001-0579-2033-L</t>
        </is>
      </c>
      <c r="D811" s="5">
        <f>IF($I2="","",INDEX(Productos!$B:$B,$I2))</f>
        <v/>
      </c>
      <c r="E811" s="5">
        <f>IF($I2="","",INDEX(Productos!$H:$H,$I2))</f>
        <v/>
      </c>
      <c r="F811" s="5">
        <f>IF($I2="","",INDEX(Productos!$I:$I,$I2))</f>
        <v/>
      </c>
      <c r="G811" s="135" t="n">
        <v>-2</v>
      </c>
      <c r="H811" s="5">
        <f>IF($I2="","",INDEX(Productos!$AG:$AG,$I2))</f>
        <v/>
      </c>
      <c r="I811" s="136">
        <f>LET(_xlpm.r,Productos!$E$2:$E$2509,_xlpm.m,IFERROR(_xlfn.XMATCH(C811,_xlpm.r),IFERROR(_xlfn.XMATCH(VALUE(C811),_xlpm.r),0)),IF(_xlpm.m=0,"",_xlpm.m+1))</f>
        <v/>
      </c>
      <c r="J811" s="137" t="inlineStr">
        <is>
          <t>NetSuite</t>
        </is>
      </c>
    </row>
    <row r="812">
      <c r="A812" s="5" t="inlineStr">
        <is>
          <t>STETSON AMERICAS</t>
        </is>
      </c>
      <c r="B812" s="5">
        <f>IF($I2="","",INDEX(Productos!$A:$A,$I2))</f>
        <v/>
      </c>
      <c r="C812" s="134" t="inlineStr">
        <is>
          <t>11-001-0579-2033-M</t>
        </is>
      </c>
      <c r="D812" s="5">
        <f>IF($I2="","",INDEX(Productos!$B:$B,$I2))</f>
        <v/>
      </c>
      <c r="E812" s="5">
        <f>IF($I2="","",INDEX(Productos!$H:$H,$I2))</f>
        <v/>
      </c>
      <c r="F812" s="5">
        <f>IF($I2="","",INDEX(Productos!$I:$I,$I2))</f>
        <v/>
      </c>
      <c r="G812" s="135" t="n">
        <v>-1</v>
      </c>
      <c r="H812" s="5">
        <f>IF($I2="","",INDEX(Productos!$AG:$AG,$I2))</f>
        <v/>
      </c>
      <c r="I812" s="136">
        <f>LET(_xlpm.r,Productos!$E$2:$E$2509,_xlpm.m,IFERROR(_xlfn.XMATCH(C812,_xlpm.r),IFERROR(_xlfn.XMATCH(VALUE(C812),_xlpm.r),0)),IF(_xlpm.m=0,"",_xlpm.m+1))</f>
        <v/>
      </c>
      <c r="J812" s="137" t="inlineStr">
        <is>
          <t>NetSuite</t>
        </is>
      </c>
    </row>
    <row r="813">
      <c r="A813" s="5" t="inlineStr">
        <is>
          <t>STETSON AMERICAS</t>
        </is>
      </c>
      <c r="B813" s="5">
        <f>IF($I2="","",INDEX(Productos!$A:$A,$I2))</f>
        <v/>
      </c>
      <c r="C813" s="134" t="inlineStr">
        <is>
          <t>11-001-0579-2033-S</t>
        </is>
      </c>
      <c r="D813" s="5">
        <f>IF($I2="","",INDEX(Productos!$B:$B,$I2))</f>
        <v/>
      </c>
      <c r="E813" s="5">
        <f>IF($I2="","",INDEX(Productos!$H:$H,$I2))</f>
        <v/>
      </c>
      <c r="F813" s="5">
        <f>IF($I2="","",INDEX(Productos!$I:$I,$I2))</f>
        <v/>
      </c>
      <c r="G813" s="135" t="n">
        <v>-1</v>
      </c>
      <c r="H813" s="5">
        <f>IF($I2="","",INDEX(Productos!$AG:$AG,$I2))</f>
        <v/>
      </c>
      <c r="I813" s="136">
        <f>LET(_xlpm.r,Productos!$E$2:$E$2509,_xlpm.m,IFERROR(_xlfn.XMATCH(C813,_xlpm.r),IFERROR(_xlfn.XMATCH(VALUE(C813),_xlpm.r),0)),IF(_xlpm.m=0,"",_xlpm.m+1))</f>
        <v/>
      </c>
      <c r="J813" s="137" t="inlineStr">
        <is>
          <t>NetSuite</t>
        </is>
      </c>
    </row>
    <row r="814">
      <c r="A814" s="5" t="inlineStr">
        <is>
          <t>STETSON AMERICAS</t>
        </is>
      </c>
      <c r="B814" s="5">
        <f>IF($I2="","",INDEX(Productos!$A:$A,$I2))</f>
        <v/>
      </c>
      <c r="C814" s="134" t="inlineStr">
        <is>
          <t>11-001-0579-2033-XXL</t>
        </is>
      </c>
      <c r="D814" s="5">
        <f>IF($I2="","",INDEX(Productos!$B:$B,$I2))</f>
        <v/>
      </c>
      <c r="E814" s="5">
        <f>IF($I2="","",INDEX(Productos!$H:$H,$I2))</f>
        <v/>
      </c>
      <c r="F814" s="5">
        <f>IF($I2="","",INDEX(Productos!$I:$I,$I2))</f>
        <v/>
      </c>
      <c r="G814" s="135" t="n">
        <v>-1</v>
      </c>
      <c r="H814" s="5">
        <f>IF($I2="","",INDEX(Productos!$AG:$AG,$I2))</f>
        <v/>
      </c>
      <c r="I814" s="136">
        <f>LET(_xlpm.r,Productos!$E$2:$E$2509,_xlpm.m,IFERROR(_xlfn.XMATCH(C814,_xlpm.r),IFERROR(_xlfn.XMATCH(VALUE(C814),_xlpm.r),0)),IF(_xlpm.m=0,"",_xlpm.m+1))</f>
        <v/>
      </c>
      <c r="J814" s="137" t="inlineStr">
        <is>
          <t>NetSuite</t>
        </is>
      </c>
    </row>
    <row r="815">
      <c r="A815" s="5" t="inlineStr">
        <is>
          <t>STETSON AMERICAS</t>
        </is>
      </c>
      <c r="B815" s="5">
        <f>IF($I2="","",INDEX(Productos!$A:$A,$I2))</f>
        <v/>
      </c>
      <c r="C815" s="134" t="inlineStr">
        <is>
          <t>11-002-0526-2067-M</t>
        </is>
      </c>
      <c r="D815" s="5">
        <f>IF($I2="","",INDEX(Productos!$B:$B,$I2))</f>
        <v/>
      </c>
      <c r="E815" s="5">
        <f>IF($I2="","",INDEX(Productos!$H:$H,$I2))</f>
        <v/>
      </c>
      <c r="F815" s="5">
        <f>IF($I2="","",INDEX(Productos!$I:$I,$I2))</f>
        <v/>
      </c>
      <c r="G815" s="135" t="n">
        <v>-1</v>
      </c>
      <c r="H815" s="5">
        <f>IF($I2="","",INDEX(Productos!$AG:$AG,$I2))</f>
        <v/>
      </c>
      <c r="I815" s="136">
        <f>LET(_xlpm.r,Productos!$E$2:$E$2509,_xlpm.m,IFERROR(_xlfn.XMATCH(C815,_xlpm.r),IFERROR(_xlfn.XMATCH(VALUE(C815),_xlpm.r),0)),IF(_xlpm.m=0,"",_xlpm.m+1))</f>
        <v/>
      </c>
      <c r="J815" s="137" t="inlineStr">
        <is>
          <t>NetSuite</t>
        </is>
      </c>
    </row>
    <row r="816">
      <c r="A816" s="5" t="inlineStr">
        <is>
          <t>STETSON AMERICAS</t>
        </is>
      </c>
      <c r="B816" s="5">
        <f>IF($I2="","",INDEX(Productos!$A:$A,$I2))</f>
        <v/>
      </c>
      <c r="C816" s="134" t="inlineStr">
        <is>
          <t>11-002-0526-2067-S</t>
        </is>
      </c>
      <c r="D816" s="5">
        <f>IF($I2="","",INDEX(Productos!$B:$B,$I2))</f>
        <v/>
      </c>
      <c r="E816" s="5">
        <f>IF($I2="","",INDEX(Productos!$H:$H,$I2))</f>
        <v/>
      </c>
      <c r="F816" s="5">
        <f>IF($I2="","",INDEX(Productos!$I:$I,$I2))</f>
        <v/>
      </c>
      <c r="G816" s="135" t="n">
        <v>-1</v>
      </c>
      <c r="H816" s="5">
        <f>IF($I2="","",INDEX(Productos!$AG:$AG,$I2))</f>
        <v/>
      </c>
      <c r="I816" s="136">
        <f>LET(_xlpm.r,Productos!$E$2:$E$2509,_xlpm.m,IFERROR(_xlfn.XMATCH(C816,_xlpm.r),IFERROR(_xlfn.XMATCH(VALUE(C816),_xlpm.r),0)),IF(_xlpm.m=0,"",_xlpm.m+1))</f>
        <v/>
      </c>
      <c r="J816" s="137" t="inlineStr">
        <is>
          <t>NetSuite</t>
        </is>
      </c>
    </row>
    <row r="817">
      <c r="A817" s="5" t="inlineStr">
        <is>
          <t>STETSON AMERICAS</t>
        </is>
      </c>
      <c r="B817" s="5">
        <f>IF($I2="","",INDEX(Productos!$A:$A,$I2))</f>
        <v/>
      </c>
      <c r="C817" s="134" t="inlineStr">
        <is>
          <t>11-004-1014-3000-29 32</t>
        </is>
      </c>
      <c r="D817" s="5">
        <f>IF($I2="","",INDEX(Productos!$B:$B,$I2))</f>
        <v/>
      </c>
      <c r="E817" s="5">
        <f>IF($I2="","",INDEX(Productos!$H:$H,$I2))</f>
        <v/>
      </c>
      <c r="F817" s="5">
        <f>IF($I2="","",INDEX(Productos!$I:$I,$I2))</f>
        <v/>
      </c>
      <c r="G817" s="135" t="n">
        <v>-1</v>
      </c>
      <c r="H817" s="5">
        <f>IF($I2="","",INDEX(Productos!$AG:$AG,$I2))</f>
        <v/>
      </c>
      <c r="I817" s="136">
        <f>LET(_xlpm.r,Productos!$E$2:$E$2509,_xlpm.m,IFERROR(_xlfn.XMATCH(C817,_xlpm.r),IFERROR(_xlfn.XMATCH(VALUE(C817),_xlpm.r),0)),IF(_xlpm.m=0,"",_xlpm.m+1))</f>
        <v/>
      </c>
      <c r="J817" s="137" t="inlineStr">
        <is>
          <t>NetSuite</t>
        </is>
      </c>
    </row>
    <row r="818">
      <c r="A818" s="5" t="inlineStr">
        <is>
          <t>STETSON AMERICAS</t>
        </is>
      </c>
      <c r="B818" s="5">
        <f>IF($I2="","",INDEX(Productos!$A:$A,$I2))</f>
        <v/>
      </c>
      <c r="C818" s="134" t="inlineStr">
        <is>
          <t>11-004-1014-3000-30 32</t>
        </is>
      </c>
      <c r="D818" s="5">
        <f>IF($I2="","",INDEX(Productos!$B:$B,$I2))</f>
        <v/>
      </c>
      <c r="E818" s="5">
        <f>IF($I2="","",INDEX(Productos!$H:$H,$I2))</f>
        <v/>
      </c>
      <c r="F818" s="5">
        <f>IF($I2="","",INDEX(Productos!$I:$I,$I2))</f>
        <v/>
      </c>
      <c r="G818" s="135" t="n">
        <v>-1</v>
      </c>
      <c r="H818" s="5">
        <f>IF($I2="","",INDEX(Productos!$AG:$AG,$I2))</f>
        <v/>
      </c>
      <c r="I818" s="136">
        <f>LET(_xlpm.r,Productos!$E$2:$E$2509,_xlpm.m,IFERROR(_xlfn.XMATCH(C818,_xlpm.r),IFERROR(_xlfn.XMATCH(VALUE(C818),_xlpm.r),0)),IF(_xlpm.m=0,"",_xlpm.m+1))</f>
        <v/>
      </c>
      <c r="J818" s="137" t="inlineStr">
        <is>
          <t>NetSuite</t>
        </is>
      </c>
    </row>
    <row r="819">
      <c r="A819" s="5" t="inlineStr">
        <is>
          <t>STETSON AMERICAS</t>
        </is>
      </c>
      <c r="B819" s="5">
        <f>IF($I2="","",INDEX(Productos!$A:$A,$I2))</f>
        <v/>
      </c>
      <c r="C819" s="134" t="inlineStr">
        <is>
          <t>11-004-1014-3000-32 32</t>
        </is>
      </c>
      <c r="D819" s="5">
        <f>IF($I2="","",INDEX(Productos!$B:$B,$I2))</f>
        <v/>
      </c>
      <c r="E819" s="5">
        <f>IF($I2="","",INDEX(Productos!$H:$H,$I2))</f>
        <v/>
      </c>
      <c r="F819" s="5">
        <f>IF($I2="","",INDEX(Productos!$I:$I,$I2))</f>
        <v/>
      </c>
      <c r="G819" s="135" t="n">
        <v>-3</v>
      </c>
      <c r="H819" s="5">
        <f>IF($I2="","",INDEX(Productos!$AG:$AG,$I2))</f>
        <v/>
      </c>
      <c r="I819" s="136">
        <f>LET(_xlpm.r,Productos!$E$2:$E$2509,_xlpm.m,IFERROR(_xlfn.XMATCH(C819,_xlpm.r),IFERROR(_xlfn.XMATCH(VALUE(C819),_xlpm.r),0)),IF(_xlpm.m=0,"",_xlpm.m+1))</f>
        <v/>
      </c>
      <c r="J819" s="137" t="inlineStr">
        <is>
          <t>NetSuite</t>
        </is>
      </c>
    </row>
    <row r="820">
      <c r="A820" s="5" t="inlineStr">
        <is>
          <t>STETSON AMERICAS</t>
        </is>
      </c>
      <c r="B820" s="5">
        <f>IF($I2="","",INDEX(Productos!$A:$A,$I2))</f>
        <v/>
      </c>
      <c r="C820" s="134" t="inlineStr">
        <is>
          <t>11-004-1014-3000-32 34</t>
        </is>
      </c>
      <c r="D820" s="5">
        <f>IF($I2="","",INDEX(Productos!$B:$B,$I2))</f>
        <v/>
      </c>
      <c r="E820" s="5">
        <f>IF($I2="","",INDEX(Productos!$H:$H,$I2))</f>
        <v/>
      </c>
      <c r="F820" s="5">
        <f>IF($I2="","",INDEX(Productos!$I:$I,$I2))</f>
        <v/>
      </c>
      <c r="G820" s="135" t="n">
        <v>-1</v>
      </c>
      <c r="H820" s="5">
        <f>IF($I2="","",INDEX(Productos!$AG:$AG,$I2))</f>
        <v/>
      </c>
      <c r="I820" s="136">
        <f>LET(_xlpm.r,Productos!$E$2:$E$2509,_xlpm.m,IFERROR(_xlfn.XMATCH(C820,_xlpm.r),IFERROR(_xlfn.XMATCH(VALUE(C820),_xlpm.r),0)),IF(_xlpm.m=0,"",_xlpm.m+1))</f>
        <v/>
      </c>
      <c r="J820" s="137" t="inlineStr">
        <is>
          <t>NetSuite</t>
        </is>
      </c>
    </row>
    <row r="821">
      <c r="A821" s="5" t="inlineStr">
        <is>
          <t>STETSON AMERICAS</t>
        </is>
      </c>
      <c r="B821" s="5">
        <f>IF($I2="","",INDEX(Productos!$A:$A,$I2))</f>
        <v/>
      </c>
      <c r="C821" s="134" t="inlineStr">
        <is>
          <t>11-004-1014-3000-33 32</t>
        </is>
      </c>
      <c r="D821" s="5">
        <f>IF($I2="","",INDEX(Productos!$B:$B,$I2))</f>
        <v/>
      </c>
      <c r="E821" s="5">
        <f>IF($I2="","",INDEX(Productos!$H:$H,$I2))</f>
        <v/>
      </c>
      <c r="F821" s="5">
        <f>IF($I2="","",INDEX(Productos!$I:$I,$I2))</f>
        <v/>
      </c>
      <c r="G821" s="135" t="n">
        <v>-1</v>
      </c>
      <c r="H821" s="5">
        <f>IF($I2="","",INDEX(Productos!$AG:$AG,$I2))</f>
        <v/>
      </c>
      <c r="I821" s="136">
        <f>LET(_xlpm.r,Productos!$E$2:$E$2509,_xlpm.m,IFERROR(_xlfn.XMATCH(C821,_xlpm.r),IFERROR(_xlfn.XMATCH(VALUE(C821),_xlpm.r),0)),IF(_xlpm.m=0,"",_xlpm.m+1))</f>
        <v/>
      </c>
      <c r="J821" s="137" t="inlineStr">
        <is>
          <t>NetSuite</t>
        </is>
      </c>
    </row>
    <row r="822">
      <c r="A822" s="5" t="inlineStr">
        <is>
          <t>STETSON AMERICAS</t>
        </is>
      </c>
      <c r="B822" s="5">
        <f>IF($I2="","",INDEX(Productos!$A:$A,$I2))</f>
        <v/>
      </c>
      <c r="C822" s="134" t="inlineStr">
        <is>
          <t>11-004-1014-3000-34 32</t>
        </is>
      </c>
      <c r="D822" s="5">
        <f>IF($I2="","",INDEX(Productos!$B:$B,$I2))</f>
        <v/>
      </c>
      <c r="E822" s="5">
        <f>IF($I2="","",INDEX(Productos!$H:$H,$I2))</f>
        <v/>
      </c>
      <c r="F822" s="5">
        <f>IF($I2="","",INDEX(Productos!$I:$I,$I2))</f>
        <v/>
      </c>
      <c r="G822" s="135" t="n">
        <v>-3</v>
      </c>
      <c r="H822" s="5">
        <f>IF($I2="","",INDEX(Productos!$AG:$AG,$I2))</f>
        <v/>
      </c>
      <c r="I822" s="136">
        <f>LET(_xlpm.r,Productos!$E$2:$E$2509,_xlpm.m,IFERROR(_xlfn.XMATCH(C822,_xlpm.r),IFERROR(_xlfn.XMATCH(VALUE(C822),_xlpm.r),0)),IF(_xlpm.m=0,"",_xlpm.m+1))</f>
        <v/>
      </c>
      <c r="J822" s="137" t="inlineStr">
        <is>
          <t>NetSuite</t>
        </is>
      </c>
    </row>
    <row r="823">
      <c r="A823" s="5" t="inlineStr">
        <is>
          <t>STETSON AMERICAS</t>
        </is>
      </c>
      <c r="B823" s="5">
        <f>IF($I2="","",INDEX(Productos!$A:$A,$I2))</f>
        <v/>
      </c>
      <c r="C823" s="134" t="inlineStr">
        <is>
          <t>11-004-1014-3000-34 36</t>
        </is>
      </c>
      <c r="D823" s="5">
        <f>IF($I2="","",INDEX(Productos!$B:$B,$I2))</f>
        <v/>
      </c>
      <c r="E823" s="5">
        <f>IF($I2="","",INDEX(Productos!$H:$H,$I2))</f>
        <v/>
      </c>
      <c r="F823" s="5">
        <f>IF($I2="","",INDEX(Productos!$I:$I,$I2))</f>
        <v/>
      </c>
      <c r="G823" s="135" t="n">
        <v>-1</v>
      </c>
      <c r="H823" s="5">
        <f>IF($I2="","",INDEX(Productos!$AG:$AG,$I2))</f>
        <v/>
      </c>
      <c r="I823" s="136">
        <f>LET(_xlpm.r,Productos!$E$2:$E$2509,_xlpm.m,IFERROR(_xlfn.XMATCH(C823,_xlpm.r),IFERROR(_xlfn.XMATCH(VALUE(C823),_xlpm.r),0)),IF(_xlpm.m=0,"",_xlpm.m+1))</f>
        <v/>
      </c>
      <c r="J823" s="137" t="inlineStr">
        <is>
          <t>NetSuite</t>
        </is>
      </c>
    </row>
    <row r="824">
      <c r="A824" s="5" t="inlineStr">
        <is>
          <t>STETSON AMERICAS</t>
        </is>
      </c>
      <c r="B824" s="5">
        <f>IF($I2="","",INDEX(Productos!$A:$A,$I2))</f>
        <v/>
      </c>
      <c r="C824" s="134" t="inlineStr">
        <is>
          <t>11-004-1014-3000-36 32</t>
        </is>
      </c>
      <c r="D824" s="5">
        <f>IF($I2="","",INDEX(Productos!$B:$B,$I2))</f>
        <v/>
      </c>
      <c r="E824" s="5">
        <f>IF($I2="","",INDEX(Productos!$H:$H,$I2))</f>
        <v/>
      </c>
      <c r="F824" s="5">
        <f>IF($I2="","",INDEX(Productos!$I:$I,$I2))</f>
        <v/>
      </c>
      <c r="G824" s="135" t="n">
        <v>-2</v>
      </c>
      <c r="H824" s="5">
        <f>IF($I2="","",INDEX(Productos!$AG:$AG,$I2))</f>
        <v/>
      </c>
      <c r="I824" s="136">
        <f>LET(_xlpm.r,Productos!$E$2:$E$2509,_xlpm.m,IFERROR(_xlfn.XMATCH(C824,_xlpm.r),IFERROR(_xlfn.XMATCH(VALUE(C824),_xlpm.r),0)),IF(_xlpm.m=0,"",_xlpm.m+1))</f>
        <v/>
      </c>
      <c r="J824" s="137" t="inlineStr">
        <is>
          <t>NetSuite</t>
        </is>
      </c>
    </row>
    <row r="825">
      <c r="A825" s="5" t="inlineStr">
        <is>
          <t>STETSON AMERICAS</t>
        </is>
      </c>
      <c r="B825" s="5">
        <f>IF($I2="","",INDEX(Productos!$A:$A,$I2))</f>
        <v/>
      </c>
      <c r="C825" s="134" t="inlineStr">
        <is>
          <t>11-004-1014-3000-36 34</t>
        </is>
      </c>
      <c r="D825" s="5">
        <f>IF($I2="","",INDEX(Productos!$B:$B,$I2))</f>
        <v/>
      </c>
      <c r="E825" s="5">
        <f>IF($I2="","",INDEX(Productos!$H:$H,$I2))</f>
        <v/>
      </c>
      <c r="F825" s="5">
        <f>IF($I2="","",INDEX(Productos!$I:$I,$I2))</f>
        <v/>
      </c>
      <c r="G825" s="135" t="n">
        <v>-1</v>
      </c>
      <c r="H825" s="5">
        <f>IF($I2="","",INDEX(Productos!$AG:$AG,$I2))</f>
        <v/>
      </c>
      <c r="I825" s="136">
        <f>LET(_xlpm.r,Productos!$E$2:$E$2509,_xlpm.m,IFERROR(_xlfn.XMATCH(C825,_xlpm.r),IFERROR(_xlfn.XMATCH(VALUE(C825),_xlpm.r),0)),IF(_xlpm.m=0,"",_xlpm.m+1))</f>
        <v/>
      </c>
      <c r="J825" s="137" t="inlineStr">
        <is>
          <t>NetSuite</t>
        </is>
      </c>
    </row>
    <row r="826">
      <c r="A826" s="5" t="inlineStr">
        <is>
          <t>STETSON AMERICAS</t>
        </is>
      </c>
      <c r="B826" s="5">
        <f>IF($I2="","",INDEX(Productos!$A:$A,$I2))</f>
        <v/>
      </c>
      <c r="C826" s="134" t="inlineStr">
        <is>
          <t>11-004-1014-4012-31 32</t>
        </is>
      </c>
      <c r="D826" s="5">
        <f>IF($I2="","",INDEX(Productos!$B:$B,$I2))</f>
        <v/>
      </c>
      <c r="E826" s="5">
        <f>IF($I2="","",INDEX(Productos!$H:$H,$I2))</f>
        <v/>
      </c>
      <c r="F826" s="5">
        <f>IF($I2="","",INDEX(Productos!$I:$I,$I2))</f>
        <v/>
      </c>
      <c r="G826" s="135" t="n">
        <v>-1</v>
      </c>
      <c r="H826" s="5">
        <f>IF($I2="","",INDEX(Productos!$AG:$AG,$I2))</f>
        <v/>
      </c>
      <c r="I826" s="136">
        <f>LET(_xlpm.r,Productos!$E$2:$E$2509,_xlpm.m,IFERROR(_xlfn.XMATCH(C826,_xlpm.r),IFERROR(_xlfn.XMATCH(VALUE(C826),_xlpm.r),0)),IF(_xlpm.m=0,"",_xlpm.m+1))</f>
        <v/>
      </c>
      <c r="J826" s="137" t="inlineStr">
        <is>
          <t>NetSuite</t>
        </is>
      </c>
    </row>
    <row r="827">
      <c r="A827" s="5" t="inlineStr">
        <is>
          <t>STETSON AMERICAS</t>
        </is>
      </c>
      <c r="B827" s="5">
        <f>IF($I2="","",INDEX(Productos!$A:$A,$I2))</f>
        <v/>
      </c>
      <c r="C827" s="134" t="inlineStr">
        <is>
          <t>11-004-1014-4012-32 34</t>
        </is>
      </c>
      <c r="D827" s="5">
        <f>IF($I2="","",INDEX(Productos!$B:$B,$I2))</f>
        <v/>
      </c>
      <c r="E827" s="5">
        <f>IF($I2="","",INDEX(Productos!$H:$H,$I2))</f>
        <v/>
      </c>
      <c r="F827" s="5">
        <f>IF($I2="","",INDEX(Productos!$I:$I,$I2))</f>
        <v/>
      </c>
      <c r="G827" s="135" t="n">
        <v>-1</v>
      </c>
      <c r="H827" s="5">
        <f>IF($I2="","",INDEX(Productos!$AG:$AG,$I2))</f>
        <v/>
      </c>
      <c r="I827" s="136">
        <f>LET(_xlpm.r,Productos!$E$2:$E$2509,_xlpm.m,IFERROR(_xlfn.XMATCH(C827,_xlpm.r),IFERROR(_xlfn.XMATCH(VALUE(C827),_xlpm.r),0)),IF(_xlpm.m=0,"",_xlpm.m+1))</f>
        <v/>
      </c>
      <c r="J827" s="137" t="inlineStr">
        <is>
          <t>NetSuite</t>
        </is>
      </c>
    </row>
    <row r="828">
      <c r="A828" s="5" t="inlineStr">
        <is>
          <t>STETSON AMERICAS</t>
        </is>
      </c>
      <c r="B828" s="5">
        <f>IF($I2="","",INDEX(Productos!$A:$A,$I2))</f>
        <v/>
      </c>
      <c r="C828" s="134" t="inlineStr">
        <is>
          <t>11-004-1014-4012-36 32</t>
        </is>
      </c>
      <c r="D828" s="5">
        <f>IF($I2="","",INDEX(Productos!$B:$B,$I2))</f>
        <v/>
      </c>
      <c r="E828" s="5">
        <f>IF($I2="","",INDEX(Productos!$H:$H,$I2))</f>
        <v/>
      </c>
      <c r="F828" s="5">
        <f>IF($I2="","",INDEX(Productos!$I:$I,$I2))</f>
        <v/>
      </c>
      <c r="G828" s="135" t="n">
        <v>-1</v>
      </c>
      <c r="H828" s="5">
        <f>IF($I2="","",INDEX(Productos!$AG:$AG,$I2))</f>
        <v/>
      </c>
      <c r="I828" s="136">
        <f>LET(_xlpm.r,Productos!$E$2:$E$2509,_xlpm.m,IFERROR(_xlfn.XMATCH(C828,_xlpm.r),IFERROR(_xlfn.XMATCH(VALUE(C828),_xlpm.r),0)),IF(_xlpm.m=0,"",_xlpm.m+1))</f>
        <v/>
      </c>
      <c r="J828" s="137" t="inlineStr">
        <is>
          <t>NetSuite</t>
        </is>
      </c>
    </row>
    <row r="829">
      <c r="A829" s="5" t="inlineStr">
        <is>
          <t>STETSON AMERICAS</t>
        </is>
      </c>
      <c r="B829" s="5">
        <f>IF($I2="","",INDEX(Productos!$A:$A,$I2))</f>
        <v/>
      </c>
      <c r="C829" s="134" t="inlineStr">
        <is>
          <t>11-004-1014-4012-36 34</t>
        </is>
      </c>
      <c r="D829" s="5">
        <f>IF($I2="","",INDEX(Productos!$B:$B,$I2))</f>
        <v/>
      </c>
      <c r="E829" s="5">
        <f>IF($I2="","",INDEX(Productos!$H:$H,$I2))</f>
        <v/>
      </c>
      <c r="F829" s="5">
        <f>IF($I2="","",INDEX(Productos!$I:$I,$I2))</f>
        <v/>
      </c>
      <c r="G829" s="135" t="n">
        <v>-1</v>
      </c>
      <c r="H829" s="5">
        <f>IF($I2="","",INDEX(Productos!$AG:$AG,$I2))</f>
        <v/>
      </c>
      <c r="I829" s="136">
        <f>LET(_xlpm.r,Productos!$E$2:$E$2509,_xlpm.m,IFERROR(_xlfn.XMATCH(C829,_xlpm.r),IFERROR(_xlfn.XMATCH(VALUE(C829),_xlpm.r),0)),IF(_xlpm.m=0,"",_xlpm.m+1))</f>
        <v/>
      </c>
      <c r="J829" s="137" t="inlineStr">
        <is>
          <t>NetSuite</t>
        </is>
      </c>
    </row>
    <row r="830">
      <c r="A830" s="5" t="inlineStr">
        <is>
          <t>STETSON AMERICAS</t>
        </is>
      </c>
      <c r="B830" s="5">
        <f>IF($I2="","",INDEX(Productos!$A:$A,$I2))</f>
        <v/>
      </c>
      <c r="C830" s="134" t="inlineStr">
        <is>
          <t>11-004-1014-4016-29 32</t>
        </is>
      </c>
      <c r="D830" s="5">
        <f>IF($I2="","",INDEX(Productos!$B:$B,$I2))</f>
        <v/>
      </c>
      <c r="E830" s="5">
        <f>IF($I2="","",INDEX(Productos!$H:$H,$I2))</f>
        <v/>
      </c>
      <c r="F830" s="5">
        <f>IF($I2="","",INDEX(Productos!$I:$I,$I2))</f>
        <v/>
      </c>
      <c r="G830" s="135" t="n">
        <v>-2</v>
      </c>
      <c r="H830" s="5">
        <f>IF($I2="","",INDEX(Productos!$AG:$AG,$I2))</f>
        <v/>
      </c>
      <c r="I830" s="136">
        <f>LET(_xlpm.r,Productos!$E$2:$E$2509,_xlpm.m,IFERROR(_xlfn.XMATCH(C830,_xlpm.r),IFERROR(_xlfn.XMATCH(VALUE(C830),_xlpm.r),0)),IF(_xlpm.m=0,"",_xlpm.m+1))</f>
        <v/>
      </c>
      <c r="J830" s="137" t="inlineStr">
        <is>
          <t>NetSuite</t>
        </is>
      </c>
    </row>
    <row r="831">
      <c r="A831" s="5" t="inlineStr">
        <is>
          <t>STETSON AMERICAS</t>
        </is>
      </c>
      <c r="B831" s="5">
        <f>IF($I2="","",INDEX(Productos!$A:$A,$I2))</f>
        <v/>
      </c>
      <c r="C831" s="134" t="inlineStr">
        <is>
          <t>11-004-1014-4016-30 32</t>
        </is>
      </c>
      <c r="D831" s="5">
        <f>IF($I2="","",INDEX(Productos!$B:$B,$I2))</f>
        <v/>
      </c>
      <c r="E831" s="5">
        <f>IF($I2="","",INDEX(Productos!$H:$H,$I2))</f>
        <v/>
      </c>
      <c r="F831" s="5">
        <f>IF($I2="","",INDEX(Productos!$I:$I,$I2))</f>
        <v/>
      </c>
      <c r="G831" s="135" t="n">
        <v>-1</v>
      </c>
      <c r="H831" s="5">
        <f>IF($I2="","",INDEX(Productos!$AG:$AG,$I2))</f>
        <v/>
      </c>
      <c r="I831" s="136">
        <f>LET(_xlpm.r,Productos!$E$2:$E$2509,_xlpm.m,IFERROR(_xlfn.XMATCH(C831,_xlpm.r),IFERROR(_xlfn.XMATCH(VALUE(C831),_xlpm.r),0)),IF(_xlpm.m=0,"",_xlpm.m+1))</f>
        <v/>
      </c>
      <c r="J831" s="137" t="inlineStr">
        <is>
          <t>NetSuite</t>
        </is>
      </c>
    </row>
    <row r="832">
      <c r="A832" s="5" t="inlineStr">
        <is>
          <t>STETSON AMERICAS</t>
        </is>
      </c>
      <c r="B832" s="5">
        <f>IF($I2="","",INDEX(Productos!$A:$A,$I2))</f>
        <v/>
      </c>
      <c r="C832" s="134" t="inlineStr">
        <is>
          <t>11-004-1014-4016-32 34</t>
        </is>
      </c>
      <c r="D832" s="5">
        <f>IF($I2="","",INDEX(Productos!$B:$B,$I2))</f>
        <v/>
      </c>
      <c r="E832" s="5">
        <f>IF($I2="","",INDEX(Productos!$H:$H,$I2))</f>
        <v/>
      </c>
      <c r="F832" s="5">
        <f>IF($I2="","",INDEX(Productos!$I:$I,$I2))</f>
        <v/>
      </c>
      <c r="G832" s="135" t="n">
        <v>-1</v>
      </c>
      <c r="H832" s="5">
        <f>IF($I2="","",INDEX(Productos!$AG:$AG,$I2))</f>
        <v/>
      </c>
      <c r="I832" s="136">
        <f>LET(_xlpm.r,Productos!$E$2:$E$2509,_xlpm.m,IFERROR(_xlfn.XMATCH(C832,_xlpm.r),IFERROR(_xlfn.XMATCH(VALUE(C832),_xlpm.r),0)),IF(_xlpm.m=0,"",_xlpm.m+1))</f>
        <v/>
      </c>
      <c r="J832" s="137" t="inlineStr">
        <is>
          <t>NetSuite</t>
        </is>
      </c>
    </row>
    <row r="833">
      <c r="A833" s="5" t="inlineStr">
        <is>
          <t>STETSON AMERICAS</t>
        </is>
      </c>
      <c r="B833" s="5">
        <f>IF($I2="","",INDEX(Productos!$A:$A,$I2))</f>
        <v/>
      </c>
      <c r="C833" s="134" t="inlineStr">
        <is>
          <t>11-004-1014-4016-33 32</t>
        </is>
      </c>
      <c r="D833" s="5">
        <f>IF($I2="","",INDEX(Productos!$B:$B,$I2))</f>
        <v/>
      </c>
      <c r="E833" s="5">
        <f>IF($I2="","",INDEX(Productos!$H:$H,$I2))</f>
        <v/>
      </c>
      <c r="F833" s="5">
        <f>IF($I2="","",INDEX(Productos!$I:$I,$I2))</f>
        <v/>
      </c>
      <c r="G833" s="135" t="n">
        <v>-1</v>
      </c>
      <c r="H833" s="5">
        <f>IF($I2="","",INDEX(Productos!$AG:$AG,$I2))</f>
        <v/>
      </c>
      <c r="I833" s="136">
        <f>LET(_xlpm.r,Productos!$E$2:$E$2509,_xlpm.m,IFERROR(_xlfn.XMATCH(C833,_xlpm.r),IFERROR(_xlfn.XMATCH(VALUE(C833),_xlpm.r),0)),IF(_xlpm.m=0,"",_xlpm.m+1))</f>
        <v/>
      </c>
      <c r="J833" s="137" t="inlineStr">
        <is>
          <t>NetSuite</t>
        </is>
      </c>
    </row>
    <row r="834">
      <c r="A834" s="5" t="inlineStr">
        <is>
          <t>STETSON AMERICAS</t>
        </is>
      </c>
      <c r="B834" s="5">
        <f>IF($I2="","",INDEX(Productos!$A:$A,$I2))</f>
        <v/>
      </c>
      <c r="C834" s="134" t="inlineStr">
        <is>
          <t>11-004-1014-4016-34 34</t>
        </is>
      </c>
      <c r="D834" s="5">
        <f>IF($I2="","",INDEX(Productos!$B:$B,$I2))</f>
        <v/>
      </c>
      <c r="E834" s="5">
        <f>IF($I2="","",INDEX(Productos!$H:$H,$I2))</f>
        <v/>
      </c>
      <c r="F834" s="5">
        <f>IF($I2="","",INDEX(Productos!$I:$I,$I2))</f>
        <v/>
      </c>
      <c r="G834" s="135" t="n">
        <v>-2</v>
      </c>
      <c r="H834" s="5">
        <f>IF($I2="","",INDEX(Productos!$AG:$AG,$I2))</f>
        <v/>
      </c>
      <c r="I834" s="136">
        <f>LET(_xlpm.r,Productos!$E$2:$E$2509,_xlpm.m,IFERROR(_xlfn.XMATCH(C834,_xlpm.r),IFERROR(_xlfn.XMATCH(VALUE(C834),_xlpm.r),0)),IF(_xlpm.m=0,"",_xlpm.m+1))</f>
        <v/>
      </c>
      <c r="J834" s="137" t="inlineStr">
        <is>
          <t>NetSuite</t>
        </is>
      </c>
    </row>
    <row r="835">
      <c r="A835" s="5" t="inlineStr">
        <is>
          <t>STETSON AMERICAS</t>
        </is>
      </c>
      <c r="B835" s="5">
        <f>IF($I2="","",INDEX(Productos!$A:$A,$I2))</f>
        <v/>
      </c>
      <c r="C835" s="134" t="inlineStr">
        <is>
          <t>11-004-1014-4082-31 32</t>
        </is>
      </c>
      <c r="D835" s="5">
        <f>IF($I2="","",INDEX(Productos!$B:$B,$I2))</f>
        <v/>
      </c>
      <c r="E835" s="5">
        <f>IF($I2="","",INDEX(Productos!$H:$H,$I2))</f>
        <v/>
      </c>
      <c r="F835" s="5">
        <f>IF($I2="","",INDEX(Productos!$I:$I,$I2))</f>
        <v/>
      </c>
      <c r="G835" s="135" t="n">
        <v>-1</v>
      </c>
      <c r="H835" s="5">
        <f>IF($I2="","",INDEX(Productos!$AG:$AG,$I2))</f>
        <v/>
      </c>
      <c r="I835" s="136">
        <f>LET(_xlpm.r,Productos!$E$2:$E$2509,_xlpm.m,IFERROR(_xlfn.XMATCH(C835,_xlpm.r),IFERROR(_xlfn.XMATCH(VALUE(C835),_xlpm.r),0)),IF(_xlpm.m=0,"",_xlpm.m+1))</f>
        <v/>
      </c>
      <c r="J835" s="137" t="inlineStr">
        <is>
          <t>NetSuite</t>
        </is>
      </c>
    </row>
    <row r="836">
      <c r="A836" s="5" t="inlineStr">
        <is>
          <t>STETSON AMERICAS</t>
        </is>
      </c>
      <c r="B836" s="5">
        <f>IF($I2="","",INDEX(Productos!$A:$A,$I2))</f>
        <v/>
      </c>
      <c r="C836" s="134" t="inlineStr">
        <is>
          <t>11-004-1014-4082-32 32</t>
        </is>
      </c>
      <c r="D836" s="5">
        <f>IF($I2="","",INDEX(Productos!$B:$B,$I2))</f>
        <v/>
      </c>
      <c r="E836" s="5">
        <f>IF($I2="","",INDEX(Productos!$H:$H,$I2))</f>
        <v/>
      </c>
      <c r="F836" s="5">
        <f>IF($I2="","",INDEX(Productos!$I:$I,$I2))</f>
        <v/>
      </c>
      <c r="G836" s="135" t="n">
        <v>-2</v>
      </c>
      <c r="H836" s="5">
        <f>IF($I2="","",INDEX(Productos!$AG:$AG,$I2))</f>
        <v/>
      </c>
      <c r="I836" s="136">
        <f>LET(_xlpm.r,Productos!$E$2:$E$2509,_xlpm.m,IFERROR(_xlfn.XMATCH(C836,_xlpm.r),IFERROR(_xlfn.XMATCH(VALUE(C836),_xlpm.r),0)),IF(_xlpm.m=0,"",_xlpm.m+1))</f>
        <v/>
      </c>
      <c r="J836" s="137" t="inlineStr">
        <is>
          <t>NetSuite</t>
        </is>
      </c>
    </row>
    <row r="837">
      <c r="A837" s="5" t="inlineStr">
        <is>
          <t>STETSON AMERICAS</t>
        </is>
      </c>
      <c r="B837" s="5">
        <f>IF($I2="","",INDEX(Productos!$A:$A,$I2))</f>
        <v/>
      </c>
      <c r="C837" s="134" t="inlineStr">
        <is>
          <t>11-004-1014-4082-33 32</t>
        </is>
      </c>
      <c r="D837" s="5">
        <f>IF($I2="","",INDEX(Productos!$B:$B,$I2))</f>
        <v/>
      </c>
      <c r="E837" s="5">
        <f>IF($I2="","",INDEX(Productos!$H:$H,$I2))</f>
        <v/>
      </c>
      <c r="F837" s="5">
        <f>IF($I2="","",INDEX(Productos!$I:$I,$I2))</f>
        <v/>
      </c>
      <c r="G837" s="135" t="n">
        <v>-1</v>
      </c>
      <c r="H837" s="5">
        <f>IF($I2="","",INDEX(Productos!$AG:$AG,$I2))</f>
        <v/>
      </c>
      <c r="I837" s="136">
        <f>LET(_xlpm.r,Productos!$E$2:$E$2509,_xlpm.m,IFERROR(_xlfn.XMATCH(C837,_xlpm.r),IFERROR(_xlfn.XMATCH(VALUE(C837),_xlpm.r),0)),IF(_xlpm.m=0,"",_xlpm.m+1))</f>
        <v/>
      </c>
      <c r="J837" s="137" t="inlineStr">
        <is>
          <t>NetSuite</t>
        </is>
      </c>
    </row>
    <row r="838">
      <c r="A838" s="5" t="inlineStr">
        <is>
          <t>STETSON AMERICAS</t>
        </is>
      </c>
      <c r="B838" s="5">
        <f>IF($I2="","",INDEX(Productos!$A:$A,$I2))</f>
        <v/>
      </c>
      <c r="C838" s="134" t="inlineStr">
        <is>
          <t>11-004-1014-4082-34 32</t>
        </is>
      </c>
      <c r="D838" s="5">
        <f>IF($I2="","",INDEX(Productos!$B:$B,$I2))</f>
        <v/>
      </c>
      <c r="E838" s="5">
        <f>IF($I2="","",INDEX(Productos!$H:$H,$I2))</f>
        <v/>
      </c>
      <c r="F838" s="5">
        <f>IF($I2="","",INDEX(Productos!$I:$I,$I2))</f>
        <v/>
      </c>
      <c r="G838" s="135" t="n">
        <v>-1</v>
      </c>
      <c r="H838" s="5">
        <f>IF($I2="","",INDEX(Productos!$AG:$AG,$I2))</f>
        <v/>
      </c>
      <c r="I838" s="136">
        <f>LET(_xlpm.r,Productos!$E$2:$E$2509,_xlpm.m,IFERROR(_xlfn.XMATCH(C838,_xlpm.r),IFERROR(_xlfn.XMATCH(VALUE(C838),_xlpm.r),0)),IF(_xlpm.m=0,"",_xlpm.m+1))</f>
        <v/>
      </c>
      <c r="J838" s="137" t="inlineStr">
        <is>
          <t>NetSuite</t>
        </is>
      </c>
    </row>
    <row r="839">
      <c r="A839" s="5" t="inlineStr">
        <is>
          <t>STETSON AMERICAS</t>
        </is>
      </c>
      <c r="B839" s="5">
        <f>IF($I2="","",INDEX(Productos!$A:$A,$I2))</f>
        <v/>
      </c>
      <c r="C839" s="134" t="inlineStr">
        <is>
          <t>11-004-1014-4082-36 32</t>
        </is>
      </c>
      <c r="D839" s="5">
        <f>IF($I2="","",INDEX(Productos!$B:$B,$I2))</f>
        <v/>
      </c>
      <c r="E839" s="5">
        <f>IF($I2="","",INDEX(Productos!$H:$H,$I2))</f>
        <v/>
      </c>
      <c r="F839" s="5">
        <f>IF($I2="","",INDEX(Productos!$I:$I,$I2))</f>
        <v/>
      </c>
      <c r="G839" s="135" t="n">
        <v>-1</v>
      </c>
      <c r="H839" s="5">
        <f>IF($I2="","",INDEX(Productos!$AG:$AG,$I2))</f>
        <v/>
      </c>
      <c r="I839" s="136">
        <f>LET(_xlpm.r,Productos!$E$2:$E$2509,_xlpm.m,IFERROR(_xlfn.XMATCH(C839,_xlpm.r),IFERROR(_xlfn.XMATCH(VALUE(C839),_xlpm.r),0)),IF(_xlpm.m=0,"",_xlpm.m+1))</f>
        <v/>
      </c>
      <c r="J839" s="137" t="inlineStr">
        <is>
          <t>NetSuite</t>
        </is>
      </c>
    </row>
    <row r="840">
      <c r="A840" s="5" t="inlineStr">
        <is>
          <t>STETSON AMERICAS</t>
        </is>
      </c>
      <c r="B840" s="5">
        <f>IF($I2="","",INDEX(Productos!$A:$A,$I2))</f>
        <v/>
      </c>
      <c r="C840" s="134" t="inlineStr">
        <is>
          <t>11-004-1015-6001-29 32</t>
        </is>
      </c>
      <c r="D840" s="5">
        <f>IF($I2="","",INDEX(Productos!$B:$B,$I2))</f>
        <v/>
      </c>
      <c r="E840" s="5">
        <f>IF($I2="","",INDEX(Productos!$H:$H,$I2))</f>
        <v/>
      </c>
      <c r="F840" s="5">
        <f>IF($I2="","",INDEX(Productos!$I:$I,$I2))</f>
        <v/>
      </c>
      <c r="G840" s="135" t="n">
        <v>-1</v>
      </c>
      <c r="H840" s="5">
        <f>IF($I2="","",INDEX(Productos!$AG:$AG,$I2))</f>
        <v/>
      </c>
      <c r="I840" s="136">
        <f>LET(_xlpm.r,Productos!$E$2:$E$2509,_xlpm.m,IFERROR(_xlfn.XMATCH(C840,_xlpm.r),IFERROR(_xlfn.XMATCH(VALUE(C840),_xlpm.r),0)),IF(_xlpm.m=0,"",_xlpm.m+1))</f>
        <v/>
      </c>
      <c r="J840" s="137" t="inlineStr">
        <is>
          <t>NetSuite</t>
        </is>
      </c>
    </row>
    <row r="841">
      <c r="A841" s="5" t="inlineStr">
        <is>
          <t>STETSON AMERICAS</t>
        </is>
      </c>
      <c r="B841" s="5">
        <f>IF($I2="","",INDEX(Productos!$A:$A,$I2))</f>
        <v/>
      </c>
      <c r="C841" s="134" t="inlineStr">
        <is>
          <t>11-004-1015-6001-30 32</t>
        </is>
      </c>
      <c r="D841" s="5">
        <f>IF($I2="","",INDEX(Productos!$B:$B,$I2))</f>
        <v/>
      </c>
      <c r="E841" s="5">
        <f>IF($I2="","",INDEX(Productos!$H:$H,$I2))</f>
        <v/>
      </c>
      <c r="F841" s="5">
        <f>IF($I2="","",INDEX(Productos!$I:$I,$I2))</f>
        <v/>
      </c>
      <c r="G841" s="135" t="n">
        <v>-4</v>
      </c>
      <c r="H841" s="5">
        <f>IF($I2="","",INDEX(Productos!$AG:$AG,$I2))</f>
        <v/>
      </c>
      <c r="I841" s="136">
        <f>LET(_xlpm.r,Productos!$E$2:$E$2509,_xlpm.m,IFERROR(_xlfn.XMATCH(C841,_xlpm.r),IFERROR(_xlfn.XMATCH(VALUE(C841),_xlpm.r),0)),IF(_xlpm.m=0,"",_xlpm.m+1))</f>
        <v/>
      </c>
      <c r="J841" s="137" t="inlineStr">
        <is>
          <t>NetSuite</t>
        </is>
      </c>
    </row>
    <row r="842">
      <c r="A842" s="5" t="inlineStr">
        <is>
          <t>STETSON AMERICAS</t>
        </is>
      </c>
      <c r="B842" s="5">
        <f>IF($I2="","",INDEX(Productos!$A:$A,$I2))</f>
        <v/>
      </c>
      <c r="C842" s="134" t="inlineStr">
        <is>
          <t>11-004-1015-6001-31 32</t>
        </is>
      </c>
      <c r="D842" s="5">
        <f>IF($I2="","",INDEX(Productos!$B:$B,$I2))</f>
        <v/>
      </c>
      <c r="E842" s="5">
        <f>IF($I2="","",INDEX(Productos!$H:$H,$I2))</f>
        <v/>
      </c>
      <c r="F842" s="5">
        <f>IF($I2="","",INDEX(Productos!$I:$I,$I2))</f>
        <v/>
      </c>
      <c r="G842" s="135" t="n">
        <v>-2</v>
      </c>
      <c r="H842" s="5">
        <f>IF($I2="","",INDEX(Productos!$AG:$AG,$I2))</f>
        <v/>
      </c>
      <c r="I842" s="136">
        <f>LET(_xlpm.r,Productos!$E$2:$E$2509,_xlpm.m,IFERROR(_xlfn.XMATCH(C842,_xlpm.r),IFERROR(_xlfn.XMATCH(VALUE(C842),_xlpm.r),0)),IF(_xlpm.m=0,"",_xlpm.m+1))</f>
        <v/>
      </c>
      <c r="J842" s="137" t="inlineStr">
        <is>
          <t>NetSuite</t>
        </is>
      </c>
    </row>
    <row r="843">
      <c r="A843" s="5" t="inlineStr">
        <is>
          <t>STETSON AMERICAS</t>
        </is>
      </c>
      <c r="B843" s="5">
        <f>IF($I2="","",INDEX(Productos!$A:$A,$I2))</f>
        <v/>
      </c>
      <c r="C843" s="134" t="inlineStr">
        <is>
          <t>11-004-1015-6001-32 32</t>
        </is>
      </c>
      <c r="D843" s="5">
        <f>IF($I2="","",INDEX(Productos!$B:$B,$I2))</f>
        <v/>
      </c>
      <c r="E843" s="5">
        <f>IF($I2="","",INDEX(Productos!$H:$H,$I2))</f>
        <v/>
      </c>
      <c r="F843" s="5">
        <f>IF($I2="","",INDEX(Productos!$I:$I,$I2))</f>
        <v/>
      </c>
      <c r="G843" s="135" t="n">
        <v>-2</v>
      </c>
      <c r="H843" s="5">
        <f>IF($I2="","",INDEX(Productos!$AG:$AG,$I2))</f>
        <v/>
      </c>
      <c r="I843" s="136">
        <f>LET(_xlpm.r,Productos!$E$2:$E$2509,_xlpm.m,IFERROR(_xlfn.XMATCH(C843,_xlpm.r),IFERROR(_xlfn.XMATCH(VALUE(C843),_xlpm.r),0)),IF(_xlpm.m=0,"",_xlpm.m+1))</f>
        <v/>
      </c>
      <c r="J843" s="137" t="inlineStr">
        <is>
          <t>NetSuite</t>
        </is>
      </c>
    </row>
    <row r="844">
      <c r="A844" s="5" t="inlineStr">
        <is>
          <t>STETSON AMERICAS</t>
        </is>
      </c>
      <c r="B844" s="5">
        <f>IF($I2="","",INDEX(Productos!$A:$A,$I2))</f>
        <v/>
      </c>
      <c r="C844" s="134" t="inlineStr">
        <is>
          <t>11-004-1015-6001-32 34</t>
        </is>
      </c>
      <c r="D844" s="5">
        <f>IF($I2="","",INDEX(Productos!$B:$B,$I2))</f>
        <v/>
      </c>
      <c r="E844" s="5">
        <f>IF($I2="","",INDEX(Productos!$H:$H,$I2))</f>
        <v/>
      </c>
      <c r="F844" s="5">
        <f>IF($I2="","",INDEX(Productos!$I:$I,$I2))</f>
        <v/>
      </c>
      <c r="G844" s="135" t="n">
        <v>-2</v>
      </c>
      <c r="H844" s="5">
        <f>IF($I2="","",INDEX(Productos!$AG:$AG,$I2))</f>
        <v/>
      </c>
      <c r="I844" s="136">
        <f>LET(_xlpm.r,Productos!$E$2:$E$2509,_xlpm.m,IFERROR(_xlfn.XMATCH(C844,_xlpm.r),IFERROR(_xlfn.XMATCH(VALUE(C844),_xlpm.r),0)),IF(_xlpm.m=0,"",_xlpm.m+1))</f>
        <v/>
      </c>
      <c r="J844" s="137" t="inlineStr">
        <is>
          <t>NetSuite</t>
        </is>
      </c>
    </row>
    <row r="845">
      <c r="A845" s="5" t="inlineStr">
        <is>
          <t>STETSON AMERICAS</t>
        </is>
      </c>
      <c r="B845" s="5">
        <f>IF($I2="","",INDEX(Productos!$A:$A,$I2))</f>
        <v/>
      </c>
      <c r="C845" s="134" t="inlineStr">
        <is>
          <t>11-004-1015-6001-33 32</t>
        </is>
      </c>
      <c r="D845" s="5">
        <f>IF($I2="","",INDEX(Productos!$B:$B,$I2))</f>
        <v/>
      </c>
      <c r="E845" s="5">
        <f>IF($I2="","",INDEX(Productos!$H:$H,$I2))</f>
        <v/>
      </c>
      <c r="F845" s="5">
        <f>IF($I2="","",INDEX(Productos!$I:$I,$I2))</f>
        <v/>
      </c>
      <c r="G845" s="135" t="n">
        <v>-1</v>
      </c>
      <c r="H845" s="5">
        <f>IF($I2="","",INDEX(Productos!$AG:$AG,$I2))</f>
        <v/>
      </c>
      <c r="I845" s="136">
        <f>LET(_xlpm.r,Productos!$E$2:$E$2509,_xlpm.m,IFERROR(_xlfn.XMATCH(C845,_xlpm.r),IFERROR(_xlfn.XMATCH(VALUE(C845),_xlpm.r),0)),IF(_xlpm.m=0,"",_xlpm.m+1))</f>
        <v/>
      </c>
      <c r="J845" s="137" t="inlineStr">
        <is>
          <t>NetSuite</t>
        </is>
      </c>
    </row>
    <row r="846">
      <c r="A846" s="5" t="inlineStr">
        <is>
          <t>STETSON AMERICAS</t>
        </is>
      </c>
      <c r="B846" s="5">
        <f>IF($I2="","",INDEX(Productos!$A:$A,$I2))</f>
        <v/>
      </c>
      <c r="C846" s="134" t="inlineStr">
        <is>
          <t>11-004-1015-6001-34 32</t>
        </is>
      </c>
      <c r="D846" s="5">
        <f>IF($I2="","",INDEX(Productos!$B:$B,$I2))</f>
        <v/>
      </c>
      <c r="E846" s="5">
        <f>IF($I2="","",INDEX(Productos!$H:$H,$I2))</f>
        <v/>
      </c>
      <c r="F846" s="5">
        <f>IF($I2="","",INDEX(Productos!$I:$I,$I2))</f>
        <v/>
      </c>
      <c r="G846" s="135" t="n">
        <v>-3</v>
      </c>
      <c r="H846" s="5">
        <f>IF($I2="","",INDEX(Productos!$AG:$AG,$I2))</f>
        <v/>
      </c>
      <c r="I846" s="136">
        <f>LET(_xlpm.r,Productos!$E$2:$E$2509,_xlpm.m,IFERROR(_xlfn.XMATCH(C846,_xlpm.r),IFERROR(_xlfn.XMATCH(VALUE(C846),_xlpm.r),0)),IF(_xlpm.m=0,"",_xlpm.m+1))</f>
        <v/>
      </c>
      <c r="J846" s="137" t="inlineStr">
        <is>
          <t>NetSuite</t>
        </is>
      </c>
    </row>
    <row r="847">
      <c r="A847" s="5" t="inlineStr">
        <is>
          <t>STETSON AMERICAS</t>
        </is>
      </c>
      <c r="B847" s="5">
        <f>IF($I2="","",INDEX(Productos!$A:$A,$I2))</f>
        <v/>
      </c>
      <c r="C847" s="134" t="inlineStr">
        <is>
          <t>11-004-1015-6001-34 34</t>
        </is>
      </c>
      <c r="D847" s="5">
        <f>IF($I2="","",INDEX(Productos!$B:$B,$I2))</f>
        <v/>
      </c>
      <c r="E847" s="5">
        <f>IF($I2="","",INDEX(Productos!$H:$H,$I2))</f>
        <v/>
      </c>
      <c r="F847" s="5">
        <f>IF($I2="","",INDEX(Productos!$I:$I,$I2))</f>
        <v/>
      </c>
      <c r="G847" s="135" t="n">
        <v>-2</v>
      </c>
      <c r="H847" s="5">
        <f>IF($I2="","",INDEX(Productos!$AG:$AG,$I2))</f>
        <v/>
      </c>
      <c r="I847" s="136">
        <f>LET(_xlpm.r,Productos!$E$2:$E$2509,_xlpm.m,IFERROR(_xlfn.XMATCH(C847,_xlpm.r),IFERROR(_xlfn.XMATCH(VALUE(C847),_xlpm.r),0)),IF(_xlpm.m=0,"",_xlpm.m+1))</f>
        <v/>
      </c>
      <c r="J847" s="137" t="inlineStr">
        <is>
          <t>NetSuite</t>
        </is>
      </c>
    </row>
    <row r="848">
      <c r="A848" s="5" t="inlineStr">
        <is>
          <t>STETSON AMERICAS</t>
        </is>
      </c>
      <c r="B848" s="5">
        <f>IF($I2="","",INDEX(Productos!$A:$A,$I2))</f>
        <v/>
      </c>
      <c r="C848" s="134" t="inlineStr">
        <is>
          <t>11-004-1015-6001-34 36</t>
        </is>
      </c>
      <c r="D848" s="5">
        <f>IF($I2="","",INDEX(Productos!$B:$B,$I2))</f>
        <v/>
      </c>
      <c r="E848" s="5">
        <f>IF($I2="","",INDEX(Productos!$H:$H,$I2))</f>
        <v/>
      </c>
      <c r="F848" s="5">
        <f>IF($I2="","",INDEX(Productos!$I:$I,$I2))</f>
        <v/>
      </c>
      <c r="G848" s="135" t="n">
        <v>-2</v>
      </c>
      <c r="H848" s="5">
        <f>IF($I2="","",INDEX(Productos!$AG:$AG,$I2))</f>
        <v/>
      </c>
      <c r="I848" s="136">
        <f>LET(_xlpm.r,Productos!$E$2:$E$2509,_xlpm.m,IFERROR(_xlfn.XMATCH(C848,_xlpm.r),IFERROR(_xlfn.XMATCH(VALUE(C848),_xlpm.r),0)),IF(_xlpm.m=0,"",_xlpm.m+1))</f>
        <v/>
      </c>
      <c r="J848" s="137" t="inlineStr">
        <is>
          <t>NetSuite</t>
        </is>
      </c>
    </row>
    <row r="849">
      <c r="A849" s="5" t="inlineStr">
        <is>
          <t>STETSON AMERICAS</t>
        </is>
      </c>
      <c r="B849" s="5">
        <f>IF($I2="","",INDEX(Productos!$A:$A,$I2))</f>
        <v/>
      </c>
      <c r="C849" s="134" t="inlineStr">
        <is>
          <t>11-004-1015-6001-36 32</t>
        </is>
      </c>
      <c r="D849" s="5">
        <f>IF($I2="","",INDEX(Productos!$B:$B,$I2))</f>
        <v/>
      </c>
      <c r="E849" s="5">
        <f>IF($I2="","",INDEX(Productos!$H:$H,$I2))</f>
        <v/>
      </c>
      <c r="F849" s="5">
        <f>IF($I2="","",INDEX(Productos!$I:$I,$I2))</f>
        <v/>
      </c>
      <c r="G849" s="135" t="n">
        <v>-3</v>
      </c>
      <c r="H849" s="5">
        <f>IF($I2="","",INDEX(Productos!$AG:$AG,$I2))</f>
        <v/>
      </c>
      <c r="I849" s="136">
        <f>LET(_xlpm.r,Productos!$E$2:$E$2509,_xlpm.m,IFERROR(_xlfn.XMATCH(C849,_xlpm.r),IFERROR(_xlfn.XMATCH(VALUE(C849),_xlpm.r),0)),IF(_xlpm.m=0,"",_xlpm.m+1))</f>
        <v/>
      </c>
      <c r="J849" s="137" t="inlineStr">
        <is>
          <t>NetSuite</t>
        </is>
      </c>
    </row>
    <row r="850">
      <c r="A850" s="5" t="inlineStr">
        <is>
          <t>STETSON AMERICAS</t>
        </is>
      </c>
      <c r="B850" s="5">
        <f>IF($I2="","",INDEX(Productos!$A:$A,$I2))</f>
        <v/>
      </c>
      <c r="C850" s="134" t="inlineStr">
        <is>
          <t>11-004-1015-6001-36 36</t>
        </is>
      </c>
      <c r="D850" s="5">
        <f>IF($I2="","",INDEX(Productos!$B:$B,$I2))</f>
        <v/>
      </c>
      <c r="E850" s="5">
        <f>IF($I2="","",INDEX(Productos!$H:$H,$I2))</f>
        <v/>
      </c>
      <c r="F850" s="5">
        <f>IF($I2="","",INDEX(Productos!$I:$I,$I2))</f>
        <v/>
      </c>
      <c r="G850" s="135" t="n">
        <v>-2</v>
      </c>
      <c r="H850" s="5">
        <f>IF($I2="","",INDEX(Productos!$AG:$AG,$I2))</f>
        <v/>
      </c>
      <c r="I850" s="136">
        <f>LET(_xlpm.r,Productos!$E$2:$E$2509,_xlpm.m,IFERROR(_xlfn.XMATCH(C850,_xlpm.r),IFERROR(_xlfn.XMATCH(VALUE(C850),_xlpm.r),0)),IF(_xlpm.m=0,"",_xlpm.m+1))</f>
        <v/>
      </c>
      <c r="J850" s="137" t="inlineStr">
        <is>
          <t>NetSuite</t>
        </is>
      </c>
    </row>
    <row r="851">
      <c r="A851" s="5" t="inlineStr">
        <is>
          <t>STETSON AMERICAS</t>
        </is>
      </c>
      <c r="B851" s="5">
        <f>IF($I2="","",INDEX(Productos!$A:$A,$I2))</f>
        <v/>
      </c>
      <c r="C851" s="134" t="inlineStr">
        <is>
          <t>11-004-1015-6002-29 32</t>
        </is>
      </c>
      <c r="D851" s="5">
        <f>IF($I2="","",INDEX(Productos!$B:$B,$I2))</f>
        <v/>
      </c>
      <c r="E851" s="5">
        <f>IF($I2="","",INDEX(Productos!$H:$H,$I2))</f>
        <v/>
      </c>
      <c r="F851" s="5">
        <f>IF($I2="","",INDEX(Productos!$I:$I,$I2))</f>
        <v/>
      </c>
      <c r="G851" s="135" t="n">
        <v>-2</v>
      </c>
      <c r="H851" s="5">
        <f>IF($I2="","",INDEX(Productos!$AG:$AG,$I2))</f>
        <v/>
      </c>
      <c r="I851" s="136">
        <f>LET(_xlpm.r,Productos!$E$2:$E$2509,_xlpm.m,IFERROR(_xlfn.XMATCH(C851,_xlpm.r),IFERROR(_xlfn.XMATCH(VALUE(C851),_xlpm.r),0)),IF(_xlpm.m=0,"",_xlpm.m+1))</f>
        <v/>
      </c>
      <c r="J851" s="137" t="inlineStr">
        <is>
          <t>NetSuite</t>
        </is>
      </c>
    </row>
    <row r="852">
      <c r="A852" s="5" t="inlineStr">
        <is>
          <t>STETSON AMERICAS</t>
        </is>
      </c>
      <c r="B852" s="5">
        <f>IF($I2="","",INDEX(Productos!$A:$A,$I2))</f>
        <v/>
      </c>
      <c r="C852" s="134" t="inlineStr">
        <is>
          <t>11-004-1015-6002-30 32</t>
        </is>
      </c>
      <c r="D852" s="5">
        <f>IF($I2="","",INDEX(Productos!$B:$B,$I2))</f>
        <v/>
      </c>
      <c r="E852" s="5">
        <f>IF($I2="","",INDEX(Productos!$H:$H,$I2))</f>
        <v/>
      </c>
      <c r="F852" s="5">
        <f>IF($I2="","",INDEX(Productos!$I:$I,$I2))</f>
        <v/>
      </c>
      <c r="G852" s="135" t="n">
        <v>-4</v>
      </c>
      <c r="H852" s="5">
        <f>IF($I2="","",INDEX(Productos!$AG:$AG,$I2))</f>
        <v/>
      </c>
      <c r="I852" s="136">
        <f>LET(_xlpm.r,Productos!$E$2:$E$2509,_xlpm.m,IFERROR(_xlfn.XMATCH(C852,_xlpm.r),IFERROR(_xlfn.XMATCH(VALUE(C852),_xlpm.r),0)),IF(_xlpm.m=0,"",_xlpm.m+1))</f>
        <v/>
      </c>
      <c r="J852" s="137" t="inlineStr">
        <is>
          <t>NetSuite</t>
        </is>
      </c>
    </row>
    <row r="853">
      <c r="A853" s="5" t="inlineStr">
        <is>
          <t>STETSON AMERICAS</t>
        </is>
      </c>
      <c r="B853" s="5">
        <f>IF($I2="","",INDEX(Productos!$A:$A,$I2))</f>
        <v/>
      </c>
      <c r="C853" s="134" t="inlineStr">
        <is>
          <t>11-004-1015-6002-31 32</t>
        </is>
      </c>
      <c r="D853" s="5">
        <f>IF($I2="","",INDEX(Productos!$B:$B,$I2))</f>
        <v/>
      </c>
      <c r="E853" s="5">
        <f>IF($I2="","",INDEX(Productos!$H:$H,$I2))</f>
        <v/>
      </c>
      <c r="F853" s="5">
        <f>IF($I2="","",INDEX(Productos!$I:$I,$I2))</f>
        <v/>
      </c>
      <c r="G853" s="135" t="n">
        <v>-1</v>
      </c>
      <c r="H853" s="5">
        <f>IF($I2="","",INDEX(Productos!$AG:$AG,$I2))</f>
        <v/>
      </c>
      <c r="I853" s="136">
        <f>LET(_xlpm.r,Productos!$E$2:$E$2509,_xlpm.m,IFERROR(_xlfn.XMATCH(C853,_xlpm.r),IFERROR(_xlfn.XMATCH(VALUE(C853),_xlpm.r),0)),IF(_xlpm.m=0,"",_xlpm.m+1))</f>
        <v/>
      </c>
      <c r="J853" s="137" t="inlineStr">
        <is>
          <t>NetSuite</t>
        </is>
      </c>
    </row>
    <row r="854">
      <c r="A854" s="5" t="inlineStr">
        <is>
          <t>STETSON AMERICAS</t>
        </is>
      </c>
      <c r="B854" s="5">
        <f>IF($I2="","",INDEX(Productos!$A:$A,$I2))</f>
        <v/>
      </c>
      <c r="C854" s="134" t="inlineStr">
        <is>
          <t>11-004-1015-6002-32 32</t>
        </is>
      </c>
      <c r="D854" s="5">
        <f>IF($I2="","",INDEX(Productos!$B:$B,$I2))</f>
        <v/>
      </c>
      <c r="E854" s="5">
        <f>IF($I2="","",INDEX(Productos!$H:$H,$I2))</f>
        <v/>
      </c>
      <c r="F854" s="5">
        <f>IF($I2="","",INDEX(Productos!$I:$I,$I2))</f>
        <v/>
      </c>
      <c r="G854" s="135" t="n">
        <v>-7</v>
      </c>
      <c r="H854" s="5">
        <f>IF($I2="","",INDEX(Productos!$AG:$AG,$I2))</f>
        <v/>
      </c>
      <c r="I854" s="136">
        <f>LET(_xlpm.r,Productos!$E$2:$E$2509,_xlpm.m,IFERROR(_xlfn.XMATCH(C854,_xlpm.r),IFERROR(_xlfn.XMATCH(VALUE(C854),_xlpm.r),0)),IF(_xlpm.m=0,"",_xlpm.m+1))</f>
        <v/>
      </c>
      <c r="J854" s="137" t="inlineStr">
        <is>
          <t>NetSuite</t>
        </is>
      </c>
    </row>
    <row r="855">
      <c r="A855" s="5" t="inlineStr">
        <is>
          <t>STETSON AMERICAS</t>
        </is>
      </c>
      <c r="B855" s="5">
        <f>IF($I2="","",INDEX(Productos!$A:$A,$I2))</f>
        <v/>
      </c>
      <c r="C855" s="134" t="inlineStr">
        <is>
          <t>11-004-1015-6002-32 34</t>
        </is>
      </c>
      <c r="D855" s="5">
        <f>IF($I2="","",INDEX(Productos!$B:$B,$I2))</f>
        <v/>
      </c>
      <c r="E855" s="5">
        <f>IF($I2="","",INDEX(Productos!$H:$H,$I2))</f>
        <v/>
      </c>
      <c r="F855" s="5">
        <f>IF($I2="","",INDEX(Productos!$I:$I,$I2))</f>
        <v/>
      </c>
      <c r="G855" s="135" t="n">
        <v>-3</v>
      </c>
      <c r="H855" s="5">
        <f>IF($I2="","",INDEX(Productos!$AG:$AG,$I2))</f>
        <v/>
      </c>
      <c r="I855" s="136">
        <f>LET(_xlpm.r,Productos!$E$2:$E$2509,_xlpm.m,IFERROR(_xlfn.XMATCH(C855,_xlpm.r),IFERROR(_xlfn.XMATCH(VALUE(C855),_xlpm.r),0)),IF(_xlpm.m=0,"",_xlpm.m+1))</f>
        <v/>
      </c>
      <c r="J855" s="137" t="inlineStr">
        <is>
          <t>NetSuite</t>
        </is>
      </c>
    </row>
    <row r="856">
      <c r="A856" s="5" t="inlineStr">
        <is>
          <t>STETSON AMERICAS</t>
        </is>
      </c>
      <c r="B856" s="5">
        <f>IF($I2="","",INDEX(Productos!$A:$A,$I2))</f>
        <v/>
      </c>
      <c r="C856" s="134" t="inlineStr">
        <is>
          <t>11-004-1015-6002-33 32</t>
        </is>
      </c>
      <c r="D856" s="5">
        <f>IF($I2="","",INDEX(Productos!$B:$B,$I2))</f>
        <v/>
      </c>
      <c r="E856" s="5">
        <f>IF($I2="","",INDEX(Productos!$H:$H,$I2))</f>
        <v/>
      </c>
      <c r="F856" s="5">
        <f>IF($I2="","",INDEX(Productos!$I:$I,$I2))</f>
        <v/>
      </c>
      <c r="G856" s="135" t="n">
        <v>-4</v>
      </c>
      <c r="H856" s="5">
        <f>IF($I2="","",INDEX(Productos!$AG:$AG,$I2))</f>
        <v/>
      </c>
      <c r="I856" s="136">
        <f>LET(_xlpm.r,Productos!$E$2:$E$2509,_xlpm.m,IFERROR(_xlfn.XMATCH(C856,_xlpm.r),IFERROR(_xlfn.XMATCH(VALUE(C856),_xlpm.r),0)),IF(_xlpm.m=0,"",_xlpm.m+1))</f>
        <v/>
      </c>
      <c r="J856" s="137" t="inlineStr">
        <is>
          <t>NetSuite</t>
        </is>
      </c>
    </row>
    <row r="857">
      <c r="A857" s="5" t="inlineStr">
        <is>
          <t>STETSON AMERICAS</t>
        </is>
      </c>
      <c r="B857" s="5">
        <f>IF($I2="","",INDEX(Productos!$A:$A,$I2))</f>
        <v/>
      </c>
      <c r="C857" s="134" t="inlineStr">
        <is>
          <t>11-004-1015-6002-34 32</t>
        </is>
      </c>
      <c r="D857" s="5">
        <f>IF($I2="","",INDEX(Productos!$B:$B,$I2))</f>
        <v/>
      </c>
      <c r="E857" s="5">
        <f>IF($I2="","",INDEX(Productos!$H:$H,$I2))</f>
        <v/>
      </c>
      <c r="F857" s="5">
        <f>IF($I2="","",INDEX(Productos!$I:$I,$I2))</f>
        <v/>
      </c>
      <c r="G857" s="135" t="n">
        <v>-6</v>
      </c>
      <c r="H857" s="5">
        <f>IF($I2="","",INDEX(Productos!$AG:$AG,$I2))</f>
        <v/>
      </c>
      <c r="I857" s="136">
        <f>LET(_xlpm.r,Productos!$E$2:$E$2509,_xlpm.m,IFERROR(_xlfn.XMATCH(C857,_xlpm.r),IFERROR(_xlfn.XMATCH(VALUE(C857),_xlpm.r),0)),IF(_xlpm.m=0,"",_xlpm.m+1))</f>
        <v/>
      </c>
      <c r="J857" s="137" t="inlineStr">
        <is>
          <t>NetSuite</t>
        </is>
      </c>
    </row>
    <row r="858">
      <c r="A858" s="5" t="inlineStr">
        <is>
          <t>STETSON AMERICAS</t>
        </is>
      </c>
      <c r="B858" s="5">
        <f>IF($I2="","",INDEX(Productos!$A:$A,$I2))</f>
        <v/>
      </c>
      <c r="C858" s="134" t="inlineStr">
        <is>
          <t>11-004-1015-6002-34 34</t>
        </is>
      </c>
      <c r="D858" s="5">
        <f>IF($I2="","",INDEX(Productos!$B:$B,$I2))</f>
        <v/>
      </c>
      <c r="E858" s="5">
        <f>IF($I2="","",INDEX(Productos!$H:$H,$I2))</f>
        <v/>
      </c>
      <c r="F858" s="5">
        <f>IF($I2="","",INDEX(Productos!$I:$I,$I2))</f>
        <v/>
      </c>
      <c r="G858" s="135" t="n">
        <v>-4</v>
      </c>
      <c r="H858" s="5">
        <f>IF($I2="","",INDEX(Productos!$AG:$AG,$I2))</f>
        <v/>
      </c>
      <c r="I858" s="136">
        <f>LET(_xlpm.r,Productos!$E$2:$E$2509,_xlpm.m,IFERROR(_xlfn.XMATCH(C858,_xlpm.r),IFERROR(_xlfn.XMATCH(VALUE(C858),_xlpm.r),0)),IF(_xlpm.m=0,"",_xlpm.m+1))</f>
        <v/>
      </c>
      <c r="J858" s="137" t="inlineStr">
        <is>
          <t>NetSuite</t>
        </is>
      </c>
    </row>
    <row r="859">
      <c r="A859" s="5" t="inlineStr">
        <is>
          <t>STETSON AMERICAS</t>
        </is>
      </c>
      <c r="B859" s="5">
        <f>IF($I2="","",INDEX(Productos!$A:$A,$I2))</f>
        <v/>
      </c>
      <c r="C859" s="134" t="inlineStr">
        <is>
          <t>11-004-1015-6002-36 32</t>
        </is>
      </c>
      <c r="D859" s="5">
        <f>IF($I2="","",INDEX(Productos!$B:$B,$I2))</f>
        <v/>
      </c>
      <c r="E859" s="5">
        <f>IF($I2="","",INDEX(Productos!$H:$H,$I2))</f>
        <v/>
      </c>
      <c r="F859" s="5">
        <f>IF($I2="","",INDEX(Productos!$I:$I,$I2))</f>
        <v/>
      </c>
      <c r="G859" s="135" t="n">
        <v>-3</v>
      </c>
      <c r="H859" s="5">
        <f>IF($I2="","",INDEX(Productos!$AG:$AG,$I2))</f>
        <v/>
      </c>
      <c r="I859" s="136">
        <f>LET(_xlpm.r,Productos!$E$2:$E$2509,_xlpm.m,IFERROR(_xlfn.XMATCH(C859,_xlpm.r),IFERROR(_xlfn.XMATCH(VALUE(C859),_xlpm.r),0)),IF(_xlpm.m=0,"",_xlpm.m+1))</f>
        <v/>
      </c>
      <c r="J859" s="137" t="inlineStr">
        <is>
          <t>NetSuite</t>
        </is>
      </c>
    </row>
    <row r="860">
      <c r="A860" s="5" t="inlineStr">
        <is>
          <t>STETSON AMERICAS</t>
        </is>
      </c>
      <c r="B860" s="5">
        <f>IF($I2="","",INDEX(Productos!$A:$A,$I2))</f>
        <v/>
      </c>
      <c r="C860" s="134" t="inlineStr">
        <is>
          <t>11-004-1210-8003-29 32</t>
        </is>
      </c>
      <c r="D860" s="5">
        <f>IF($I2="","",INDEX(Productos!$B:$B,$I2))</f>
        <v/>
      </c>
      <c r="E860" s="5">
        <f>IF($I2="","",INDEX(Productos!$H:$H,$I2))</f>
        <v/>
      </c>
      <c r="F860" s="5">
        <f>IF($I2="","",INDEX(Productos!$I:$I,$I2))</f>
        <v/>
      </c>
      <c r="G860" s="135" t="n">
        <v>-1</v>
      </c>
      <c r="H860" s="5">
        <f>IF($I2="","",INDEX(Productos!$AG:$AG,$I2))</f>
        <v/>
      </c>
      <c r="I860" s="136">
        <f>LET(_xlpm.r,Productos!$E$2:$E$2509,_xlpm.m,IFERROR(_xlfn.XMATCH(C860,_xlpm.r),IFERROR(_xlfn.XMATCH(VALUE(C860),_xlpm.r),0)),IF(_xlpm.m=0,"",_xlpm.m+1))</f>
        <v/>
      </c>
      <c r="J860" s="137" t="inlineStr">
        <is>
          <t>NetSuite</t>
        </is>
      </c>
    </row>
    <row r="861">
      <c r="A861" s="5" t="inlineStr">
        <is>
          <t>STETSON AMERICAS</t>
        </is>
      </c>
      <c r="B861" s="5">
        <f>IF($I2="","",INDEX(Productos!$A:$A,$I2))</f>
        <v/>
      </c>
      <c r="C861" s="134" t="inlineStr">
        <is>
          <t>11-004-1210-8003-30 32</t>
        </is>
      </c>
      <c r="D861" s="5">
        <f>IF($I2="","",INDEX(Productos!$B:$B,$I2))</f>
        <v/>
      </c>
      <c r="E861" s="5">
        <f>IF($I2="","",INDEX(Productos!$H:$H,$I2))</f>
        <v/>
      </c>
      <c r="F861" s="5">
        <f>IF($I2="","",INDEX(Productos!$I:$I,$I2))</f>
        <v/>
      </c>
      <c r="G861" s="135" t="n">
        <v>-1</v>
      </c>
      <c r="H861" s="5">
        <f>IF($I2="","",INDEX(Productos!$AG:$AG,$I2))</f>
        <v/>
      </c>
      <c r="I861" s="136">
        <f>LET(_xlpm.r,Productos!$E$2:$E$2509,_xlpm.m,IFERROR(_xlfn.XMATCH(C861,_xlpm.r),IFERROR(_xlfn.XMATCH(VALUE(C861),_xlpm.r),0)),IF(_xlpm.m=0,"",_xlpm.m+1))</f>
        <v/>
      </c>
      <c r="J861" s="137" t="inlineStr">
        <is>
          <t>NetSuite</t>
        </is>
      </c>
    </row>
    <row r="862">
      <c r="A862" s="5" t="inlineStr">
        <is>
          <t>STETSON AMERICAS</t>
        </is>
      </c>
      <c r="B862" s="5">
        <f>IF($I2="","",INDEX(Productos!$A:$A,$I2))</f>
        <v/>
      </c>
      <c r="C862" s="134" t="inlineStr">
        <is>
          <t>11-004-1210-8003-32 32</t>
        </is>
      </c>
      <c r="D862" s="5">
        <f>IF($I2="","",INDEX(Productos!$B:$B,$I2))</f>
        <v/>
      </c>
      <c r="E862" s="5">
        <f>IF($I2="","",INDEX(Productos!$H:$H,$I2))</f>
        <v/>
      </c>
      <c r="F862" s="5">
        <f>IF($I2="","",INDEX(Productos!$I:$I,$I2))</f>
        <v/>
      </c>
      <c r="G862" s="135" t="n">
        <v>-5</v>
      </c>
      <c r="H862" s="5">
        <f>IF($I2="","",INDEX(Productos!$AG:$AG,$I2))</f>
        <v/>
      </c>
      <c r="I862" s="136">
        <f>LET(_xlpm.r,Productos!$E$2:$E$2509,_xlpm.m,IFERROR(_xlfn.XMATCH(C862,_xlpm.r),IFERROR(_xlfn.XMATCH(VALUE(C862),_xlpm.r),0)),IF(_xlpm.m=0,"",_xlpm.m+1))</f>
        <v/>
      </c>
      <c r="J862" s="137" t="inlineStr">
        <is>
          <t>NetSuite</t>
        </is>
      </c>
    </row>
    <row r="863">
      <c r="A863" s="5" t="inlineStr">
        <is>
          <t>STETSON AMERICAS</t>
        </is>
      </c>
      <c r="B863" s="5">
        <f>IF($I2="","",INDEX(Productos!$A:$A,$I2))</f>
        <v/>
      </c>
      <c r="C863" s="134" t="inlineStr">
        <is>
          <t>11-004-1210-8003-32 34</t>
        </is>
      </c>
      <c r="D863" s="5">
        <f>IF($I2="","",INDEX(Productos!$B:$B,$I2))</f>
        <v/>
      </c>
      <c r="E863" s="5">
        <f>IF($I2="","",INDEX(Productos!$H:$H,$I2))</f>
        <v/>
      </c>
      <c r="F863" s="5">
        <f>IF($I2="","",INDEX(Productos!$I:$I,$I2))</f>
        <v/>
      </c>
      <c r="G863" s="135" t="n">
        <v>-3</v>
      </c>
      <c r="H863" s="5">
        <f>IF($I2="","",INDEX(Productos!$AG:$AG,$I2))</f>
        <v/>
      </c>
      <c r="I863" s="136">
        <f>LET(_xlpm.r,Productos!$E$2:$E$2509,_xlpm.m,IFERROR(_xlfn.XMATCH(C863,_xlpm.r),IFERROR(_xlfn.XMATCH(VALUE(C863),_xlpm.r),0)),IF(_xlpm.m=0,"",_xlpm.m+1))</f>
        <v/>
      </c>
      <c r="J863" s="137" t="inlineStr">
        <is>
          <t>NetSuite</t>
        </is>
      </c>
    </row>
    <row r="864">
      <c r="A864" s="5" t="inlineStr">
        <is>
          <t>STETSON AMERICAS</t>
        </is>
      </c>
      <c r="B864" s="5">
        <f>IF($I2="","",INDEX(Productos!$A:$A,$I2))</f>
        <v/>
      </c>
      <c r="C864" s="134" t="inlineStr">
        <is>
          <t>11-004-1210-8003-34 32</t>
        </is>
      </c>
      <c r="D864" s="5">
        <f>IF($I2="","",INDEX(Productos!$B:$B,$I2))</f>
        <v/>
      </c>
      <c r="E864" s="5">
        <f>IF($I2="","",INDEX(Productos!$H:$H,$I2))</f>
        <v/>
      </c>
      <c r="F864" s="5">
        <f>IF($I2="","",INDEX(Productos!$I:$I,$I2))</f>
        <v/>
      </c>
      <c r="G864" s="135" t="n">
        <v>-5</v>
      </c>
      <c r="H864" s="5">
        <f>IF($I2="","",INDEX(Productos!$AG:$AG,$I2))</f>
        <v/>
      </c>
      <c r="I864" s="136">
        <f>LET(_xlpm.r,Productos!$E$2:$E$2509,_xlpm.m,IFERROR(_xlfn.XMATCH(C864,_xlpm.r),IFERROR(_xlfn.XMATCH(VALUE(C864),_xlpm.r),0)),IF(_xlpm.m=0,"",_xlpm.m+1))</f>
        <v/>
      </c>
      <c r="J864" s="137" t="inlineStr">
        <is>
          <t>NetSuite</t>
        </is>
      </c>
    </row>
    <row r="865">
      <c r="A865" s="5" t="inlineStr">
        <is>
          <t>STETSON AMERICAS</t>
        </is>
      </c>
      <c r="B865" s="5">
        <f>IF($I2="","",INDEX(Productos!$A:$A,$I2))</f>
        <v/>
      </c>
      <c r="C865" s="134" t="inlineStr">
        <is>
          <t>11-004-1210-8003-34 34</t>
        </is>
      </c>
      <c r="D865" s="5">
        <f>IF($I2="","",INDEX(Productos!$B:$B,$I2))</f>
        <v/>
      </c>
      <c r="E865" s="5">
        <f>IF($I2="","",INDEX(Productos!$H:$H,$I2))</f>
        <v/>
      </c>
      <c r="F865" s="5">
        <f>IF($I2="","",INDEX(Productos!$I:$I,$I2))</f>
        <v/>
      </c>
      <c r="G865" s="135" t="n">
        <v>-1</v>
      </c>
      <c r="H865" s="5">
        <f>IF($I2="","",INDEX(Productos!$AG:$AG,$I2))</f>
        <v/>
      </c>
      <c r="I865" s="136">
        <f>LET(_xlpm.r,Productos!$E$2:$E$2509,_xlpm.m,IFERROR(_xlfn.XMATCH(C865,_xlpm.r),IFERROR(_xlfn.XMATCH(VALUE(C865),_xlpm.r),0)),IF(_xlpm.m=0,"",_xlpm.m+1))</f>
        <v/>
      </c>
      <c r="J865" s="137" t="inlineStr">
        <is>
          <t>NetSuite</t>
        </is>
      </c>
    </row>
    <row r="866">
      <c r="A866" s="5" t="inlineStr">
        <is>
          <t>STETSON AMERICAS</t>
        </is>
      </c>
      <c r="B866" s="5">
        <f>IF($I2="","",INDEX(Productos!$A:$A,$I2))</f>
        <v/>
      </c>
      <c r="C866" s="134" t="inlineStr">
        <is>
          <t>11-004-1210-8006-31 32</t>
        </is>
      </c>
      <c r="D866" s="5">
        <f>IF($I2="","",INDEX(Productos!$B:$B,$I2))</f>
        <v/>
      </c>
      <c r="E866" s="5">
        <f>IF($I2="","",INDEX(Productos!$H:$H,$I2))</f>
        <v/>
      </c>
      <c r="F866" s="5">
        <f>IF($I2="","",INDEX(Productos!$I:$I,$I2))</f>
        <v/>
      </c>
      <c r="G866" s="135" t="n">
        <v>-1</v>
      </c>
      <c r="H866" s="5">
        <f>IF($I2="","",INDEX(Productos!$AG:$AG,$I2))</f>
        <v/>
      </c>
      <c r="I866" s="136">
        <f>LET(_xlpm.r,Productos!$E$2:$E$2509,_xlpm.m,IFERROR(_xlfn.XMATCH(C866,_xlpm.r),IFERROR(_xlfn.XMATCH(VALUE(C866),_xlpm.r),0)),IF(_xlpm.m=0,"",_xlpm.m+1))</f>
        <v/>
      </c>
      <c r="J866" s="137" t="inlineStr">
        <is>
          <t>NetSuite</t>
        </is>
      </c>
    </row>
    <row r="867">
      <c r="A867" s="5" t="inlineStr">
        <is>
          <t>STETSON AMERICAS</t>
        </is>
      </c>
      <c r="B867" s="5">
        <f>IF($I2="","",INDEX(Productos!$A:$A,$I2))</f>
        <v/>
      </c>
      <c r="C867" s="134" t="inlineStr">
        <is>
          <t>11-004-1210-8006-32 32</t>
        </is>
      </c>
      <c r="D867" s="5">
        <f>IF($I2="","",INDEX(Productos!$B:$B,$I2))</f>
        <v/>
      </c>
      <c r="E867" s="5">
        <f>IF($I2="","",INDEX(Productos!$H:$H,$I2))</f>
        <v/>
      </c>
      <c r="F867" s="5">
        <f>IF($I2="","",INDEX(Productos!$I:$I,$I2))</f>
        <v/>
      </c>
      <c r="G867" s="135" t="n">
        <v>-1</v>
      </c>
      <c r="H867" s="5">
        <f>IF($I2="","",INDEX(Productos!$AG:$AG,$I2))</f>
        <v/>
      </c>
      <c r="I867" s="136">
        <f>LET(_xlpm.r,Productos!$E$2:$E$2509,_xlpm.m,IFERROR(_xlfn.XMATCH(C867,_xlpm.r),IFERROR(_xlfn.XMATCH(VALUE(C867),_xlpm.r),0)),IF(_xlpm.m=0,"",_xlpm.m+1))</f>
        <v/>
      </c>
      <c r="J867" s="137" t="inlineStr">
        <is>
          <t>NetSuite</t>
        </is>
      </c>
    </row>
    <row r="868">
      <c r="A868" s="5" t="inlineStr">
        <is>
          <t>STETSON AMERICAS</t>
        </is>
      </c>
      <c r="B868" s="5">
        <f>IF($I2="","",INDEX(Productos!$A:$A,$I2))</f>
        <v/>
      </c>
      <c r="C868" s="134" t="inlineStr">
        <is>
          <t>11-004-1210-8006-32 34</t>
        </is>
      </c>
      <c r="D868" s="5">
        <f>IF($I2="","",INDEX(Productos!$B:$B,$I2))</f>
        <v/>
      </c>
      <c r="E868" s="5">
        <f>IF($I2="","",INDEX(Productos!$H:$H,$I2))</f>
        <v/>
      </c>
      <c r="F868" s="5">
        <f>IF($I2="","",INDEX(Productos!$I:$I,$I2))</f>
        <v/>
      </c>
      <c r="G868" s="135" t="n">
        <v>-1</v>
      </c>
      <c r="H868" s="5">
        <f>IF($I2="","",INDEX(Productos!$AG:$AG,$I2))</f>
        <v/>
      </c>
      <c r="I868" s="136">
        <f>LET(_xlpm.r,Productos!$E$2:$E$2509,_xlpm.m,IFERROR(_xlfn.XMATCH(C868,_xlpm.r),IFERROR(_xlfn.XMATCH(VALUE(C868),_xlpm.r),0)),IF(_xlpm.m=0,"",_xlpm.m+1))</f>
        <v/>
      </c>
      <c r="J868" s="137" t="inlineStr">
        <is>
          <t>NetSuite</t>
        </is>
      </c>
    </row>
    <row r="869">
      <c r="A869" s="5" t="inlineStr">
        <is>
          <t>STETSON AMERICAS</t>
        </is>
      </c>
      <c r="B869" s="5">
        <f>IF($I2="","",INDEX(Productos!$A:$A,$I2))</f>
        <v/>
      </c>
      <c r="C869" s="134" t="inlineStr">
        <is>
          <t>11-004-1210-8006-33 32</t>
        </is>
      </c>
      <c r="D869" s="5">
        <f>IF($I2="","",INDEX(Productos!$B:$B,$I2))</f>
        <v/>
      </c>
      <c r="E869" s="5">
        <f>IF($I2="","",INDEX(Productos!$H:$H,$I2))</f>
        <v/>
      </c>
      <c r="F869" s="5">
        <f>IF($I2="","",INDEX(Productos!$I:$I,$I2))</f>
        <v/>
      </c>
      <c r="G869" s="135" t="n">
        <v>-1</v>
      </c>
      <c r="H869" s="5">
        <f>IF($I2="","",INDEX(Productos!$AG:$AG,$I2))</f>
        <v/>
      </c>
      <c r="I869" s="136">
        <f>LET(_xlpm.r,Productos!$E$2:$E$2509,_xlpm.m,IFERROR(_xlfn.XMATCH(C869,_xlpm.r),IFERROR(_xlfn.XMATCH(VALUE(C869),_xlpm.r),0)),IF(_xlpm.m=0,"",_xlpm.m+1))</f>
        <v/>
      </c>
      <c r="J869" s="137" t="inlineStr">
        <is>
          <t>NetSuite</t>
        </is>
      </c>
    </row>
    <row r="870">
      <c r="A870" s="5" t="inlineStr">
        <is>
          <t>STETSON AMERICAS</t>
        </is>
      </c>
      <c r="B870" s="5">
        <f>IF($I2="","",INDEX(Productos!$A:$A,$I2))</f>
        <v/>
      </c>
      <c r="C870" s="134" t="inlineStr">
        <is>
          <t>11-004-1210-8006-34 34</t>
        </is>
      </c>
      <c r="D870" s="5">
        <f>IF($I2="","",INDEX(Productos!$B:$B,$I2))</f>
        <v/>
      </c>
      <c r="E870" s="5">
        <f>IF($I2="","",INDEX(Productos!$H:$H,$I2))</f>
        <v/>
      </c>
      <c r="F870" s="5">
        <f>IF($I2="","",INDEX(Productos!$I:$I,$I2))</f>
        <v/>
      </c>
      <c r="G870" s="135" t="n">
        <v>-2</v>
      </c>
      <c r="H870" s="5">
        <f>IF($I2="","",INDEX(Productos!$AG:$AG,$I2))</f>
        <v/>
      </c>
      <c r="I870" s="136">
        <f>LET(_xlpm.r,Productos!$E$2:$E$2509,_xlpm.m,IFERROR(_xlfn.XMATCH(C870,_xlpm.r),IFERROR(_xlfn.XMATCH(VALUE(C870),_xlpm.r),0)),IF(_xlpm.m=0,"",_xlpm.m+1))</f>
        <v/>
      </c>
      <c r="J870" s="137" t="inlineStr">
        <is>
          <t>NetSuite</t>
        </is>
      </c>
    </row>
    <row r="871">
      <c r="A871" s="5" t="inlineStr">
        <is>
          <t>STETSON AMERICAS</t>
        </is>
      </c>
      <c r="B871" s="5">
        <f>IF($I2="","",INDEX(Productos!$A:$A,$I2))</f>
        <v/>
      </c>
      <c r="C871" s="134" t="inlineStr">
        <is>
          <t>11-004-1210-8006-36 32</t>
        </is>
      </c>
      <c r="D871" s="5">
        <f>IF($I2="","",INDEX(Productos!$B:$B,$I2))</f>
        <v/>
      </c>
      <c r="E871" s="5">
        <f>IF($I2="","",INDEX(Productos!$H:$H,$I2))</f>
        <v/>
      </c>
      <c r="F871" s="5">
        <f>IF($I2="","",INDEX(Productos!$I:$I,$I2))</f>
        <v/>
      </c>
      <c r="G871" s="135" t="n">
        <v>-1</v>
      </c>
      <c r="H871" s="5">
        <f>IF($I2="","",INDEX(Productos!$AG:$AG,$I2))</f>
        <v/>
      </c>
      <c r="I871" s="136">
        <f>LET(_xlpm.r,Productos!$E$2:$E$2509,_xlpm.m,IFERROR(_xlfn.XMATCH(C871,_xlpm.r),IFERROR(_xlfn.XMATCH(VALUE(C871),_xlpm.r),0)),IF(_xlpm.m=0,"",_xlpm.m+1))</f>
        <v/>
      </c>
      <c r="J871" s="137" t="inlineStr">
        <is>
          <t>NetSuite</t>
        </is>
      </c>
    </row>
    <row r="872">
      <c r="A872" s="5" t="inlineStr">
        <is>
          <t>STETSON AMERICAS</t>
        </is>
      </c>
      <c r="B872" s="5">
        <f>IF($I2="","",INDEX(Productos!$A:$A,$I2))</f>
        <v/>
      </c>
      <c r="C872" s="134" t="inlineStr">
        <is>
          <t>11-004-1312-4039-30 32</t>
        </is>
      </c>
      <c r="D872" s="5">
        <f>IF($I2="","",INDEX(Productos!$B:$B,$I2))</f>
        <v/>
      </c>
      <c r="E872" s="5">
        <f>IF($I2="","",INDEX(Productos!$H:$H,$I2))</f>
        <v/>
      </c>
      <c r="F872" s="5">
        <f>IF($I2="","",INDEX(Productos!$I:$I,$I2))</f>
        <v/>
      </c>
      <c r="G872" s="135" t="n">
        <v>-2</v>
      </c>
      <c r="H872" s="5">
        <f>IF($I2="","",INDEX(Productos!$AG:$AG,$I2))</f>
        <v/>
      </c>
      <c r="I872" s="136">
        <f>LET(_xlpm.r,Productos!$E$2:$E$2509,_xlpm.m,IFERROR(_xlfn.XMATCH(C872,_xlpm.r),IFERROR(_xlfn.XMATCH(VALUE(C872),_xlpm.r),0)),IF(_xlpm.m=0,"",_xlpm.m+1))</f>
        <v/>
      </c>
      <c r="J872" s="137" t="inlineStr">
        <is>
          <t>NetSuite</t>
        </is>
      </c>
    </row>
    <row r="873">
      <c r="A873" s="5" t="inlineStr">
        <is>
          <t>STETSON AMERICAS</t>
        </is>
      </c>
      <c r="B873" s="5">
        <f>IF($I2="","",INDEX(Productos!$A:$A,$I2))</f>
        <v/>
      </c>
      <c r="C873" s="134" t="inlineStr">
        <is>
          <t>11-004-1312-4039-31 32</t>
        </is>
      </c>
      <c r="D873" s="5">
        <f>IF($I2="","",INDEX(Productos!$B:$B,$I2))</f>
        <v/>
      </c>
      <c r="E873" s="5">
        <f>IF($I2="","",INDEX(Productos!$H:$H,$I2))</f>
        <v/>
      </c>
      <c r="F873" s="5">
        <f>IF($I2="","",INDEX(Productos!$I:$I,$I2))</f>
        <v/>
      </c>
      <c r="G873" s="135" t="n">
        <v>-1</v>
      </c>
      <c r="H873" s="5">
        <f>IF($I2="","",INDEX(Productos!$AG:$AG,$I2))</f>
        <v/>
      </c>
      <c r="I873" s="136">
        <f>LET(_xlpm.r,Productos!$E$2:$E$2509,_xlpm.m,IFERROR(_xlfn.XMATCH(C873,_xlpm.r),IFERROR(_xlfn.XMATCH(VALUE(C873),_xlpm.r),0)),IF(_xlpm.m=0,"",_xlpm.m+1))</f>
        <v/>
      </c>
      <c r="J873" s="137" t="inlineStr">
        <is>
          <t>NetSuite</t>
        </is>
      </c>
    </row>
    <row r="874">
      <c r="A874" s="5" t="inlineStr">
        <is>
          <t>STETSON AMERICAS</t>
        </is>
      </c>
      <c r="B874" s="5">
        <f>IF($I2="","",INDEX(Productos!$A:$A,$I2))</f>
        <v/>
      </c>
      <c r="C874" s="134" t="inlineStr">
        <is>
          <t>11-004-1312-4039-32 32</t>
        </is>
      </c>
      <c r="D874" s="5">
        <f>IF($I2="","",INDEX(Productos!$B:$B,$I2))</f>
        <v/>
      </c>
      <c r="E874" s="5">
        <f>IF($I2="","",INDEX(Productos!$H:$H,$I2))</f>
        <v/>
      </c>
      <c r="F874" s="5">
        <f>IF($I2="","",INDEX(Productos!$I:$I,$I2))</f>
        <v/>
      </c>
      <c r="G874" s="135" t="n">
        <v>-1</v>
      </c>
      <c r="H874" s="5">
        <f>IF($I2="","",INDEX(Productos!$AG:$AG,$I2))</f>
        <v/>
      </c>
      <c r="I874" s="136">
        <f>LET(_xlpm.r,Productos!$E$2:$E$2509,_xlpm.m,IFERROR(_xlfn.XMATCH(C874,_xlpm.r),IFERROR(_xlfn.XMATCH(VALUE(C874),_xlpm.r),0)),IF(_xlpm.m=0,"",_xlpm.m+1))</f>
        <v/>
      </c>
      <c r="J874" s="137" t="inlineStr">
        <is>
          <t>NetSuite</t>
        </is>
      </c>
    </row>
    <row r="875">
      <c r="A875" s="5" t="inlineStr">
        <is>
          <t>STETSON AMERICAS</t>
        </is>
      </c>
      <c r="B875" s="5">
        <f>IF($I2="","",INDEX(Productos!$A:$A,$I2))</f>
        <v/>
      </c>
      <c r="C875" s="134" t="inlineStr">
        <is>
          <t>11-004-1312-4039-33 32</t>
        </is>
      </c>
      <c r="D875" s="5">
        <f>IF($I2="","",INDEX(Productos!$B:$B,$I2))</f>
        <v/>
      </c>
      <c r="E875" s="5">
        <f>IF($I2="","",INDEX(Productos!$H:$H,$I2))</f>
        <v/>
      </c>
      <c r="F875" s="5">
        <f>IF($I2="","",INDEX(Productos!$I:$I,$I2))</f>
        <v/>
      </c>
      <c r="G875" s="135" t="n">
        <v>-1</v>
      </c>
      <c r="H875" s="5">
        <f>IF($I2="","",INDEX(Productos!$AG:$AG,$I2))</f>
        <v/>
      </c>
      <c r="I875" s="136">
        <f>LET(_xlpm.r,Productos!$E$2:$E$2509,_xlpm.m,IFERROR(_xlfn.XMATCH(C875,_xlpm.r),IFERROR(_xlfn.XMATCH(VALUE(C875),_xlpm.r),0)),IF(_xlpm.m=0,"",_xlpm.m+1))</f>
        <v/>
      </c>
      <c r="J875" s="137" t="inlineStr">
        <is>
          <t>NetSuite</t>
        </is>
      </c>
    </row>
    <row r="876">
      <c r="A876" s="5" t="inlineStr">
        <is>
          <t>STETSON AMERICAS</t>
        </is>
      </c>
      <c r="B876" s="5">
        <f>IF($I2="","",INDEX(Productos!$A:$A,$I2))</f>
        <v/>
      </c>
      <c r="C876" s="134" t="inlineStr">
        <is>
          <t>11-004-1312-4039-34 36</t>
        </is>
      </c>
      <c r="D876" s="5">
        <f>IF($I2="","",INDEX(Productos!$B:$B,$I2))</f>
        <v/>
      </c>
      <c r="E876" s="5">
        <f>IF($I2="","",INDEX(Productos!$H:$H,$I2))</f>
        <v/>
      </c>
      <c r="F876" s="5">
        <f>IF($I2="","",INDEX(Productos!$I:$I,$I2))</f>
        <v/>
      </c>
      <c r="G876" s="135" t="n">
        <v>-1</v>
      </c>
      <c r="H876" s="5">
        <f>IF($I2="","",INDEX(Productos!$AG:$AG,$I2))</f>
        <v/>
      </c>
      <c r="I876" s="136">
        <f>LET(_xlpm.r,Productos!$E$2:$E$2509,_xlpm.m,IFERROR(_xlfn.XMATCH(C876,_xlpm.r),IFERROR(_xlfn.XMATCH(VALUE(C876),_xlpm.r),0)),IF(_xlpm.m=0,"",_xlpm.m+1))</f>
        <v/>
      </c>
      <c r="J876" s="137" t="inlineStr">
        <is>
          <t>NetSuite</t>
        </is>
      </c>
    </row>
    <row r="877">
      <c r="A877" s="5" t="inlineStr">
        <is>
          <t>STETSON AMERICAS</t>
        </is>
      </c>
      <c r="B877" s="5">
        <f>IF($I2="","",INDEX(Productos!$A:$A,$I2))</f>
        <v/>
      </c>
      <c r="C877" s="134" t="inlineStr">
        <is>
          <t>11-004-1312-4039-36 32</t>
        </is>
      </c>
      <c r="D877" s="5">
        <f>IF($I2="","",INDEX(Productos!$B:$B,$I2))</f>
        <v/>
      </c>
      <c r="E877" s="5">
        <f>IF($I2="","",INDEX(Productos!$H:$H,$I2))</f>
        <v/>
      </c>
      <c r="F877" s="5">
        <f>IF($I2="","",INDEX(Productos!$I:$I,$I2))</f>
        <v/>
      </c>
      <c r="G877" s="135" t="n">
        <v>-2</v>
      </c>
      <c r="H877" s="5">
        <f>IF($I2="","",INDEX(Productos!$AG:$AG,$I2))</f>
        <v/>
      </c>
      <c r="I877" s="136">
        <f>LET(_xlpm.r,Productos!$E$2:$E$2509,_xlpm.m,IFERROR(_xlfn.XMATCH(C877,_xlpm.r),IFERROR(_xlfn.XMATCH(VALUE(C877),_xlpm.r),0)),IF(_xlpm.m=0,"",_xlpm.m+1))</f>
        <v/>
      </c>
      <c r="J877" s="137" t="inlineStr">
        <is>
          <t>NetSuite</t>
        </is>
      </c>
    </row>
    <row r="878">
      <c r="A878" s="5" t="inlineStr">
        <is>
          <t>STETSON AMERICAS</t>
        </is>
      </c>
      <c r="B878" s="5">
        <f>IF($I2="","",INDEX(Productos!$A:$A,$I2))</f>
        <v/>
      </c>
      <c r="C878" s="134" t="inlineStr">
        <is>
          <t>11-004-1312-4039-36 34</t>
        </is>
      </c>
      <c r="D878" s="5">
        <f>IF($I2="","",INDEX(Productos!$B:$B,$I2))</f>
        <v/>
      </c>
      <c r="E878" s="5">
        <f>IF($I2="","",INDEX(Productos!$H:$H,$I2))</f>
        <v/>
      </c>
      <c r="F878" s="5">
        <f>IF($I2="","",INDEX(Productos!$I:$I,$I2))</f>
        <v/>
      </c>
      <c r="G878" s="135" t="n">
        <v>-1</v>
      </c>
      <c r="H878" s="5">
        <f>IF($I2="","",INDEX(Productos!$AG:$AG,$I2))</f>
        <v/>
      </c>
      <c r="I878" s="136">
        <f>LET(_xlpm.r,Productos!$E$2:$E$2509,_xlpm.m,IFERROR(_xlfn.XMATCH(C878,_xlpm.r),IFERROR(_xlfn.XMATCH(VALUE(C878),_xlpm.r),0)),IF(_xlpm.m=0,"",_xlpm.m+1))</f>
        <v/>
      </c>
      <c r="J878" s="137" t="inlineStr">
        <is>
          <t>NetSuite</t>
        </is>
      </c>
    </row>
    <row r="879">
      <c r="A879" s="5" t="inlineStr">
        <is>
          <t>STETSON AMERICAS</t>
        </is>
      </c>
      <c r="B879" s="5">
        <f>IF($I2="","",INDEX(Productos!$A:$A,$I2))</f>
        <v/>
      </c>
      <c r="C879" s="134" t="inlineStr">
        <is>
          <t>11-004-1312-4039-40 32</t>
        </is>
      </c>
      <c r="D879" s="5">
        <f>IF($I2="","",INDEX(Productos!$B:$B,$I2))</f>
        <v/>
      </c>
      <c r="E879" s="5">
        <f>IF($I2="","",INDEX(Productos!$H:$H,$I2))</f>
        <v/>
      </c>
      <c r="F879" s="5">
        <f>IF($I2="","",INDEX(Productos!$I:$I,$I2))</f>
        <v/>
      </c>
      <c r="G879" s="135" t="n">
        <v>-2</v>
      </c>
      <c r="H879" s="5">
        <f>IF($I2="","",INDEX(Productos!$AG:$AG,$I2))</f>
        <v/>
      </c>
      <c r="I879" s="136">
        <f>LET(_xlpm.r,Productos!$E$2:$E$2509,_xlpm.m,IFERROR(_xlfn.XMATCH(C879,_xlpm.r),IFERROR(_xlfn.XMATCH(VALUE(C879),_xlpm.r),0)),IF(_xlpm.m=0,"",_xlpm.m+1))</f>
        <v/>
      </c>
      <c r="J879" s="137" t="inlineStr">
        <is>
          <t>NetSuite</t>
        </is>
      </c>
    </row>
    <row r="880">
      <c r="A880" s="5" t="inlineStr">
        <is>
          <t>STETSON AMERICAS</t>
        </is>
      </c>
      <c r="B880" s="5">
        <f>IF($I2="","",INDEX(Productos!$A:$A,$I2))</f>
        <v/>
      </c>
      <c r="C880" s="134" t="inlineStr">
        <is>
          <t>11-004-1312-4040-31 32</t>
        </is>
      </c>
      <c r="D880" s="5">
        <f>IF($I2="","",INDEX(Productos!$B:$B,$I2))</f>
        <v/>
      </c>
      <c r="E880" s="5">
        <f>IF($I2="","",INDEX(Productos!$H:$H,$I2))</f>
        <v/>
      </c>
      <c r="F880" s="5">
        <f>IF($I2="","",INDEX(Productos!$I:$I,$I2))</f>
        <v/>
      </c>
      <c r="G880" s="135" t="n">
        <v>-1</v>
      </c>
      <c r="H880" s="5">
        <f>IF($I2="","",INDEX(Productos!$AG:$AG,$I2))</f>
        <v/>
      </c>
      <c r="I880" s="136">
        <f>LET(_xlpm.r,Productos!$E$2:$E$2509,_xlpm.m,IFERROR(_xlfn.XMATCH(C880,_xlpm.r),IFERROR(_xlfn.XMATCH(VALUE(C880),_xlpm.r),0)),IF(_xlpm.m=0,"",_xlpm.m+1))</f>
        <v/>
      </c>
      <c r="J880" s="137" t="inlineStr">
        <is>
          <t>NetSuite</t>
        </is>
      </c>
    </row>
    <row r="881">
      <c r="A881" s="5" t="inlineStr">
        <is>
          <t>STETSON AMERICAS</t>
        </is>
      </c>
      <c r="B881" s="5">
        <f>IF($I2="","",INDEX(Productos!$A:$A,$I2))</f>
        <v/>
      </c>
      <c r="C881" s="134" t="inlineStr">
        <is>
          <t>11-004-1312-4040-32 34</t>
        </is>
      </c>
      <c r="D881" s="5">
        <f>IF($I2="","",INDEX(Productos!$B:$B,$I2))</f>
        <v/>
      </c>
      <c r="E881" s="5">
        <f>IF($I2="","",INDEX(Productos!$H:$H,$I2))</f>
        <v/>
      </c>
      <c r="F881" s="5">
        <f>IF($I2="","",INDEX(Productos!$I:$I,$I2))</f>
        <v/>
      </c>
      <c r="G881" s="135" t="n">
        <v>-1</v>
      </c>
      <c r="H881" s="5">
        <f>IF($I2="","",INDEX(Productos!$AG:$AG,$I2))</f>
        <v/>
      </c>
      <c r="I881" s="136">
        <f>LET(_xlpm.r,Productos!$E$2:$E$2509,_xlpm.m,IFERROR(_xlfn.XMATCH(C881,_xlpm.r),IFERROR(_xlfn.XMATCH(VALUE(C881),_xlpm.r),0)),IF(_xlpm.m=0,"",_xlpm.m+1))</f>
        <v/>
      </c>
      <c r="J881" s="137" t="inlineStr">
        <is>
          <t>NetSuite</t>
        </is>
      </c>
    </row>
    <row r="882">
      <c r="A882" s="5" t="inlineStr">
        <is>
          <t>STETSON AMERICAS</t>
        </is>
      </c>
      <c r="B882" s="5">
        <f>IF($I2="","",INDEX(Productos!$A:$A,$I2))</f>
        <v/>
      </c>
      <c r="C882" s="134" t="inlineStr">
        <is>
          <t>11-004-1312-4040-34 34</t>
        </is>
      </c>
      <c r="D882" s="5">
        <f>IF($I2="","",INDEX(Productos!$B:$B,$I2))</f>
        <v/>
      </c>
      <c r="E882" s="5">
        <f>IF($I2="","",INDEX(Productos!$H:$H,$I2))</f>
        <v/>
      </c>
      <c r="F882" s="5">
        <f>IF($I2="","",INDEX(Productos!$I:$I,$I2))</f>
        <v/>
      </c>
      <c r="G882" s="135" t="n">
        <v>-1</v>
      </c>
      <c r="H882" s="5">
        <f>IF($I2="","",INDEX(Productos!$AG:$AG,$I2))</f>
        <v/>
      </c>
      <c r="I882" s="136">
        <f>LET(_xlpm.r,Productos!$E$2:$E$2509,_xlpm.m,IFERROR(_xlfn.XMATCH(C882,_xlpm.r),IFERROR(_xlfn.XMATCH(VALUE(C882),_xlpm.r),0)),IF(_xlpm.m=0,"",_xlpm.m+1))</f>
        <v/>
      </c>
      <c r="J882" s="137" t="inlineStr">
        <is>
          <t>NetSuite</t>
        </is>
      </c>
    </row>
    <row r="883">
      <c r="A883" s="5" t="inlineStr">
        <is>
          <t>STETSON AMERICAS</t>
        </is>
      </c>
      <c r="B883" s="5">
        <f>IF($I2="","",INDEX(Productos!$A:$A,$I2))</f>
        <v/>
      </c>
      <c r="C883" s="134" t="inlineStr">
        <is>
          <t>11-004-1312-4070-34 34</t>
        </is>
      </c>
      <c r="D883" s="5">
        <f>IF($I2="","",INDEX(Productos!$B:$B,$I2))</f>
        <v/>
      </c>
      <c r="E883" s="5">
        <f>IF($I2="","",INDEX(Productos!$H:$H,$I2))</f>
        <v/>
      </c>
      <c r="F883" s="5">
        <f>IF($I2="","",INDEX(Productos!$I:$I,$I2))</f>
        <v/>
      </c>
      <c r="G883" s="135" t="n">
        <v>-1</v>
      </c>
      <c r="H883" s="5">
        <f>IF($I2="","",INDEX(Productos!$AG:$AG,$I2))</f>
        <v/>
      </c>
      <c r="I883" s="136">
        <f>LET(_xlpm.r,Productos!$E$2:$E$2509,_xlpm.m,IFERROR(_xlfn.XMATCH(C883,_xlpm.r),IFERROR(_xlfn.XMATCH(VALUE(C883),_xlpm.r),0)),IF(_xlpm.m=0,"",_xlpm.m+1))</f>
        <v/>
      </c>
      <c r="J883" s="137" t="inlineStr">
        <is>
          <t>NetSuite</t>
        </is>
      </c>
    </row>
    <row r="884">
      <c r="A884" s="5" t="inlineStr">
        <is>
          <t>STETSON AMERICAS</t>
        </is>
      </c>
      <c r="B884" s="5">
        <f>IF($I2="","",INDEX(Productos!$A:$A,$I2))</f>
        <v/>
      </c>
      <c r="C884" s="134" t="inlineStr">
        <is>
          <t>11-004-1312-4070-36 32</t>
        </is>
      </c>
      <c r="D884" s="5">
        <f>IF($I2="","",INDEX(Productos!$B:$B,$I2))</f>
        <v/>
      </c>
      <c r="E884" s="5">
        <f>IF($I2="","",INDEX(Productos!$H:$H,$I2))</f>
        <v/>
      </c>
      <c r="F884" s="5">
        <f>IF($I2="","",INDEX(Productos!$I:$I,$I2))</f>
        <v/>
      </c>
      <c r="G884" s="135" t="n">
        <v>-1</v>
      </c>
      <c r="H884" s="5">
        <f>IF($I2="","",INDEX(Productos!$AG:$AG,$I2))</f>
        <v/>
      </c>
      <c r="I884" s="136">
        <f>LET(_xlpm.r,Productos!$E$2:$E$2509,_xlpm.m,IFERROR(_xlfn.XMATCH(C884,_xlpm.r),IFERROR(_xlfn.XMATCH(VALUE(C884),_xlpm.r),0)),IF(_xlpm.m=0,"",_xlpm.m+1))</f>
        <v/>
      </c>
      <c r="J884" s="137" t="inlineStr">
        <is>
          <t>NetSuite</t>
        </is>
      </c>
    </row>
    <row r="885">
      <c r="A885" s="5" t="inlineStr">
        <is>
          <t>STETSON AMERICAS</t>
        </is>
      </c>
      <c r="B885" s="5">
        <f>IF($I2="","",INDEX(Productos!$A:$A,$I2))</f>
        <v/>
      </c>
      <c r="C885" s="134" t="inlineStr">
        <is>
          <t>11-004-1520-4074-31 32</t>
        </is>
      </c>
      <c r="D885" s="5">
        <f>IF($I2="","",INDEX(Productos!$B:$B,$I2))</f>
        <v/>
      </c>
      <c r="E885" s="5">
        <f>IF($I2="","",INDEX(Productos!$H:$H,$I2))</f>
        <v/>
      </c>
      <c r="F885" s="5">
        <f>IF($I2="","",INDEX(Productos!$I:$I,$I2))</f>
        <v/>
      </c>
      <c r="G885" s="135" t="n">
        <v>-1</v>
      </c>
      <c r="H885" s="5">
        <f>IF($I2="","",INDEX(Productos!$AG:$AG,$I2))</f>
        <v/>
      </c>
      <c r="I885" s="136">
        <f>LET(_xlpm.r,Productos!$E$2:$E$2509,_xlpm.m,IFERROR(_xlfn.XMATCH(C885,_xlpm.r),IFERROR(_xlfn.XMATCH(VALUE(C885),_xlpm.r),0)),IF(_xlpm.m=0,"",_xlpm.m+1))</f>
        <v/>
      </c>
      <c r="J885" s="137" t="inlineStr">
        <is>
          <t>NetSuite</t>
        </is>
      </c>
    </row>
    <row r="886">
      <c r="A886" s="5" t="inlineStr">
        <is>
          <t>STETSON AMERICAS</t>
        </is>
      </c>
      <c r="B886" s="5">
        <f>IF($I2="","",INDEX(Productos!$A:$A,$I2))</f>
        <v/>
      </c>
      <c r="C886" s="134" t="inlineStr">
        <is>
          <t>11-004-1520-4074-36 32</t>
        </is>
      </c>
      <c r="D886" s="5">
        <f>IF($I2="","",INDEX(Productos!$B:$B,$I2))</f>
        <v/>
      </c>
      <c r="E886" s="5">
        <f>IF($I2="","",INDEX(Productos!$H:$H,$I2))</f>
        <v/>
      </c>
      <c r="F886" s="5">
        <f>IF($I2="","",INDEX(Productos!$I:$I,$I2))</f>
        <v/>
      </c>
      <c r="G886" s="135" t="n">
        <v>-1</v>
      </c>
      <c r="H886" s="5">
        <f>IF($I2="","",INDEX(Productos!$AG:$AG,$I2))</f>
        <v/>
      </c>
      <c r="I886" s="136">
        <f>LET(_xlpm.r,Productos!$E$2:$E$2509,_xlpm.m,IFERROR(_xlfn.XMATCH(C886,_xlpm.r),IFERROR(_xlfn.XMATCH(VALUE(C886),_xlpm.r),0)),IF(_xlpm.m=0,"",_xlpm.m+1))</f>
        <v/>
      </c>
      <c r="J886" s="137" t="inlineStr">
        <is>
          <t>NetSuite</t>
        </is>
      </c>
    </row>
    <row r="887">
      <c r="A887" s="5" t="inlineStr">
        <is>
          <t>STETSON AMERICAS</t>
        </is>
      </c>
      <c r="B887" s="5">
        <f>IF($I2="","",INDEX(Productos!$A:$A,$I2))</f>
        <v/>
      </c>
      <c r="C887" s="134" t="inlineStr">
        <is>
          <t>11-004-1521-2000-34 32</t>
        </is>
      </c>
      <c r="D887" s="5">
        <f>IF($I2="","",INDEX(Productos!$B:$B,$I2))</f>
        <v/>
      </c>
      <c r="E887" s="5">
        <f>IF($I2="","",INDEX(Productos!$H:$H,$I2))</f>
        <v/>
      </c>
      <c r="F887" s="5">
        <f>IF($I2="","",INDEX(Productos!$I:$I,$I2))</f>
        <v/>
      </c>
      <c r="G887" s="135" t="n">
        <v>-1</v>
      </c>
      <c r="H887" s="5">
        <f>IF($I2="","",INDEX(Productos!$AG:$AG,$I2))</f>
        <v/>
      </c>
      <c r="I887" s="136">
        <f>LET(_xlpm.r,Productos!$E$2:$E$2509,_xlpm.m,IFERROR(_xlfn.XMATCH(C887,_xlpm.r),IFERROR(_xlfn.XMATCH(VALUE(C887),_xlpm.r),0)),IF(_xlpm.m=0,"",_xlpm.m+1))</f>
        <v/>
      </c>
      <c r="J887" s="137" t="inlineStr">
        <is>
          <t>NetSuite</t>
        </is>
      </c>
    </row>
    <row r="888">
      <c r="A888" s="5" t="inlineStr">
        <is>
          <t>STETSON AMERICAS</t>
        </is>
      </c>
      <c r="B888" s="5">
        <f>IF($I2="","",INDEX(Productos!$A:$A,$I2))</f>
        <v/>
      </c>
      <c r="C888" s="134" t="inlineStr">
        <is>
          <t>11-039-0562-0831-M</t>
        </is>
      </c>
      <c r="D888" s="5">
        <f>IF($I2="","",INDEX(Productos!$B:$B,$I2))</f>
        <v/>
      </c>
      <c r="E888" s="5">
        <f>IF($I2="","",INDEX(Productos!$H:$H,$I2))</f>
        <v/>
      </c>
      <c r="F888" s="5">
        <f>IF($I2="","",INDEX(Productos!$I:$I,$I2))</f>
        <v/>
      </c>
      <c r="G888" s="135" t="n">
        <v>-2</v>
      </c>
      <c r="H888" s="5">
        <f>IF($I2="","",INDEX(Productos!$AG:$AG,$I2))</f>
        <v/>
      </c>
      <c r="I888" s="136">
        <f>LET(_xlpm.r,Productos!$E$2:$E$2509,_xlpm.m,IFERROR(_xlfn.XMATCH(C888,_xlpm.r),IFERROR(_xlfn.XMATCH(VALUE(C888),_xlpm.r),0)),IF(_xlpm.m=0,"",_xlpm.m+1))</f>
        <v/>
      </c>
      <c r="J888" s="137" t="inlineStr">
        <is>
          <t>NetSuite</t>
        </is>
      </c>
    </row>
    <row r="889">
      <c r="A889" s="5" t="inlineStr">
        <is>
          <t>STETSON AMERICAS</t>
        </is>
      </c>
      <c r="B889" s="5">
        <f>IF($I2="","",INDEX(Productos!$A:$A,$I2))</f>
        <v/>
      </c>
      <c r="C889" s="134" t="inlineStr">
        <is>
          <t>11-039-0562-0831-S</t>
        </is>
      </c>
      <c r="D889" s="5">
        <f>IF($I2="","",INDEX(Productos!$B:$B,$I2))</f>
        <v/>
      </c>
      <c r="E889" s="5">
        <f>IF($I2="","",INDEX(Productos!$H:$H,$I2))</f>
        <v/>
      </c>
      <c r="F889" s="5">
        <f>IF($I2="","",INDEX(Productos!$I:$I,$I2))</f>
        <v/>
      </c>
      <c r="G889" s="135" t="n">
        <v>-1</v>
      </c>
      <c r="H889" s="5">
        <f>IF($I2="","",INDEX(Productos!$AG:$AG,$I2))</f>
        <v/>
      </c>
      <c r="I889" s="136">
        <f>LET(_xlpm.r,Productos!$E$2:$E$2509,_xlpm.m,IFERROR(_xlfn.XMATCH(C889,_xlpm.r),IFERROR(_xlfn.XMATCH(VALUE(C889),_xlpm.r),0)),IF(_xlpm.m=0,"",_xlpm.m+1))</f>
        <v/>
      </c>
      <c r="J889" s="137" t="inlineStr">
        <is>
          <t>NetSuite</t>
        </is>
      </c>
    </row>
    <row r="890">
      <c r="A890" s="5" t="inlineStr">
        <is>
          <t>STETSON AMERICAS</t>
        </is>
      </c>
      <c r="B890" s="5">
        <f>IF($I2="","",INDEX(Productos!$A:$A,$I2))</f>
        <v/>
      </c>
      <c r="C890" s="134" t="inlineStr">
        <is>
          <t>11-050-0565-0552-L</t>
        </is>
      </c>
      <c r="D890" s="5">
        <f>IF($I2="","",INDEX(Productos!$B:$B,$I2))</f>
        <v/>
      </c>
      <c r="E890" s="5">
        <f>IF($I2="","",INDEX(Productos!$H:$H,$I2))</f>
        <v/>
      </c>
      <c r="F890" s="5">
        <f>IF($I2="","",INDEX(Productos!$I:$I,$I2))</f>
        <v/>
      </c>
      <c r="G890" s="135" t="n">
        <v>-2</v>
      </c>
      <c r="H890" s="5">
        <f>IF($I2="","",INDEX(Productos!$AG:$AG,$I2))</f>
        <v/>
      </c>
      <c r="I890" s="136">
        <f>LET(_xlpm.r,Productos!$E$2:$E$2509,_xlpm.m,IFERROR(_xlfn.XMATCH(C890,_xlpm.r),IFERROR(_xlfn.XMATCH(VALUE(C890),_xlpm.r),0)),IF(_xlpm.m=0,"",_xlpm.m+1))</f>
        <v/>
      </c>
      <c r="J890" s="137" t="inlineStr">
        <is>
          <t>NetSuite</t>
        </is>
      </c>
    </row>
    <row r="891">
      <c r="A891" s="5" t="inlineStr">
        <is>
          <t>STETSON AMERICAS</t>
        </is>
      </c>
      <c r="B891" s="5">
        <f>IF($I2="","",INDEX(Productos!$A:$A,$I2))</f>
        <v/>
      </c>
      <c r="C891" s="134" t="inlineStr">
        <is>
          <t>11-050-0565-0552-M</t>
        </is>
      </c>
      <c r="D891" s="5">
        <f>IF($I2="","",INDEX(Productos!$B:$B,$I2))</f>
        <v/>
      </c>
      <c r="E891" s="5">
        <f>IF($I2="","",INDEX(Productos!$H:$H,$I2))</f>
        <v/>
      </c>
      <c r="F891" s="5">
        <f>IF($I2="","",INDEX(Productos!$I:$I,$I2))</f>
        <v/>
      </c>
      <c r="G891" s="135" t="n">
        <v>-1</v>
      </c>
      <c r="H891" s="5">
        <f>IF($I2="","",INDEX(Productos!$AG:$AG,$I2))</f>
        <v/>
      </c>
      <c r="I891" s="136">
        <f>LET(_xlpm.r,Productos!$E$2:$E$2509,_xlpm.m,IFERROR(_xlfn.XMATCH(C891,_xlpm.r),IFERROR(_xlfn.XMATCH(VALUE(C891),_xlpm.r),0)),IF(_xlpm.m=0,"",_xlpm.m+1))</f>
        <v/>
      </c>
      <c r="J891" s="137" t="inlineStr">
        <is>
          <t>NetSuite</t>
        </is>
      </c>
    </row>
    <row r="892">
      <c r="A892" s="5" t="inlineStr">
        <is>
          <t>STETSON AMERICAS</t>
        </is>
      </c>
      <c r="B892" s="5">
        <f>IF($I2="","",INDEX(Productos!$A:$A,$I2))</f>
        <v/>
      </c>
      <c r="C892" s="134" t="inlineStr">
        <is>
          <t>11-050-0565-0552-S</t>
        </is>
      </c>
      <c r="D892" s="5">
        <f>IF($I2="","",INDEX(Productos!$B:$B,$I2))</f>
        <v/>
      </c>
      <c r="E892" s="5">
        <f>IF($I2="","",INDEX(Productos!$H:$H,$I2))</f>
        <v/>
      </c>
      <c r="F892" s="5">
        <f>IF($I2="","",INDEX(Productos!$I:$I,$I2))</f>
        <v/>
      </c>
      <c r="G892" s="135" t="n">
        <v>-1</v>
      </c>
      <c r="H892" s="5">
        <f>IF($I2="","",INDEX(Productos!$AG:$AG,$I2))</f>
        <v/>
      </c>
      <c r="I892" s="136">
        <f>LET(_xlpm.r,Productos!$E$2:$E$2509,_xlpm.m,IFERROR(_xlfn.XMATCH(C892,_xlpm.r),IFERROR(_xlfn.XMATCH(VALUE(C892),_xlpm.r),0)),IF(_xlpm.m=0,"",_xlpm.m+1))</f>
        <v/>
      </c>
      <c r="J892" s="137" t="inlineStr">
        <is>
          <t>NetSuite</t>
        </is>
      </c>
    </row>
    <row r="893">
      <c r="A893" s="5" t="inlineStr">
        <is>
          <t>STETSON AMERICAS</t>
        </is>
      </c>
      <c r="B893" s="5">
        <f>IF($I2="","",INDEX(Productos!$A:$A,$I2))</f>
        <v/>
      </c>
      <c r="C893" s="134" t="inlineStr">
        <is>
          <t>11-050-0565-0552-XS</t>
        </is>
      </c>
      <c r="D893" s="5">
        <f>IF($I2="","",INDEX(Productos!$B:$B,$I2))</f>
        <v/>
      </c>
      <c r="E893" s="5">
        <f>IF($I2="","",INDEX(Productos!$H:$H,$I2))</f>
        <v/>
      </c>
      <c r="F893" s="5">
        <f>IF($I2="","",INDEX(Productos!$I:$I,$I2))</f>
        <v/>
      </c>
      <c r="G893" s="135" t="n">
        <v>-1</v>
      </c>
      <c r="H893" s="5">
        <f>IF($I2="","",INDEX(Productos!$AG:$AG,$I2))</f>
        <v/>
      </c>
      <c r="I893" s="136">
        <f>LET(_xlpm.r,Productos!$E$2:$E$2509,_xlpm.m,IFERROR(_xlfn.XMATCH(C893,_xlpm.r),IFERROR(_xlfn.XMATCH(VALUE(C893),_xlpm.r),0)),IF(_xlpm.m=0,"",_xlpm.m+1))</f>
        <v/>
      </c>
      <c r="J893" s="137" t="inlineStr">
        <is>
          <t>NetSuite</t>
        </is>
      </c>
    </row>
    <row r="894">
      <c r="A894" s="5" t="inlineStr">
        <is>
          <t>STETSON AMERICAS</t>
        </is>
      </c>
      <c r="B894" s="5">
        <f>IF($I2="","",INDEX(Productos!$A:$A,$I2))</f>
        <v/>
      </c>
      <c r="C894" s="134" t="inlineStr">
        <is>
          <t>11-050-0565-3003-L</t>
        </is>
      </c>
      <c r="D894" s="5">
        <f>IF($I2="","",INDEX(Productos!$B:$B,$I2))</f>
        <v/>
      </c>
      <c r="E894" s="5">
        <f>IF($I2="","",INDEX(Productos!$H:$H,$I2))</f>
        <v/>
      </c>
      <c r="F894" s="5">
        <f>IF($I2="","",INDEX(Productos!$I:$I,$I2))</f>
        <v/>
      </c>
      <c r="G894" s="135" t="n">
        <v>-2</v>
      </c>
      <c r="H894" s="5">
        <f>IF($I2="","",INDEX(Productos!$AG:$AG,$I2))</f>
        <v/>
      </c>
      <c r="I894" s="136">
        <f>LET(_xlpm.r,Productos!$E$2:$E$2509,_xlpm.m,IFERROR(_xlfn.XMATCH(C894,_xlpm.r),IFERROR(_xlfn.XMATCH(VALUE(C894),_xlpm.r),0)),IF(_xlpm.m=0,"",_xlpm.m+1))</f>
        <v/>
      </c>
      <c r="J894" s="137" t="inlineStr">
        <is>
          <t>NetSuite</t>
        </is>
      </c>
    </row>
    <row r="895">
      <c r="A895" s="5" t="inlineStr">
        <is>
          <t>STETSON AMERICAS</t>
        </is>
      </c>
      <c r="B895" s="5">
        <f>IF($I2="","",INDEX(Productos!$A:$A,$I2))</f>
        <v/>
      </c>
      <c r="C895" s="134" t="inlineStr">
        <is>
          <t>11-050-0565-3003-M</t>
        </is>
      </c>
      <c r="D895" s="5">
        <f>IF($I2="","",INDEX(Productos!$B:$B,$I2))</f>
        <v/>
      </c>
      <c r="E895" s="5">
        <f>IF($I2="","",INDEX(Productos!$H:$H,$I2))</f>
        <v/>
      </c>
      <c r="F895" s="5">
        <f>IF($I2="","",INDEX(Productos!$I:$I,$I2))</f>
        <v/>
      </c>
      <c r="G895" s="135" t="n">
        <v>-2</v>
      </c>
      <c r="H895" s="5">
        <f>IF($I2="","",INDEX(Productos!$AG:$AG,$I2))</f>
        <v/>
      </c>
      <c r="I895" s="136">
        <f>LET(_xlpm.r,Productos!$E$2:$E$2509,_xlpm.m,IFERROR(_xlfn.XMATCH(C895,_xlpm.r),IFERROR(_xlfn.XMATCH(VALUE(C895),_xlpm.r),0)),IF(_xlpm.m=0,"",_xlpm.m+1))</f>
        <v/>
      </c>
      <c r="J895" s="137" t="inlineStr">
        <is>
          <t>NetSuite</t>
        </is>
      </c>
    </row>
    <row r="896">
      <c r="A896" s="5" t="inlineStr">
        <is>
          <t>STETSON AMERICAS</t>
        </is>
      </c>
      <c r="B896" s="5">
        <f>IF($I2="","",INDEX(Productos!$A:$A,$I2))</f>
        <v/>
      </c>
      <c r="C896" s="134" t="inlineStr">
        <is>
          <t>11-050-0565-3003-S</t>
        </is>
      </c>
      <c r="D896" s="5">
        <f>IF($I2="","",INDEX(Productos!$B:$B,$I2))</f>
        <v/>
      </c>
      <c r="E896" s="5">
        <f>IF($I2="","",INDEX(Productos!$H:$H,$I2))</f>
        <v/>
      </c>
      <c r="F896" s="5">
        <f>IF($I2="","",INDEX(Productos!$I:$I,$I2))</f>
        <v/>
      </c>
      <c r="G896" s="135" t="n">
        <v>-2</v>
      </c>
      <c r="H896" s="5">
        <f>IF($I2="","",INDEX(Productos!$AG:$AG,$I2))</f>
        <v/>
      </c>
      <c r="I896" s="136">
        <f>LET(_xlpm.r,Productos!$E$2:$E$2509,_xlpm.m,IFERROR(_xlfn.XMATCH(C896,_xlpm.r),IFERROR(_xlfn.XMATCH(VALUE(C896),_xlpm.r),0)),IF(_xlpm.m=0,"",_xlpm.m+1))</f>
        <v/>
      </c>
      <c r="J896" s="137" t="inlineStr">
        <is>
          <t>NetSuite</t>
        </is>
      </c>
    </row>
    <row r="897">
      <c r="A897" s="5" t="inlineStr">
        <is>
          <t>STETSON AMERICAS</t>
        </is>
      </c>
      <c r="B897" s="5">
        <f>IF($I2="","",INDEX(Productos!$A:$A,$I2))</f>
        <v/>
      </c>
      <c r="C897" s="134" t="inlineStr">
        <is>
          <t>11-050-0565-3003-XL</t>
        </is>
      </c>
      <c r="D897" s="5">
        <f>IF($I2="","",INDEX(Productos!$B:$B,$I2))</f>
        <v/>
      </c>
      <c r="E897" s="5">
        <f>IF($I2="","",INDEX(Productos!$H:$H,$I2))</f>
        <v/>
      </c>
      <c r="F897" s="5">
        <f>IF($I2="","",INDEX(Productos!$I:$I,$I2))</f>
        <v/>
      </c>
      <c r="G897" s="135" t="n">
        <v>-1</v>
      </c>
      <c r="H897" s="5">
        <f>IF($I2="","",INDEX(Productos!$AG:$AG,$I2))</f>
        <v/>
      </c>
      <c r="I897" s="136">
        <f>LET(_xlpm.r,Productos!$E$2:$E$2509,_xlpm.m,IFERROR(_xlfn.XMATCH(C897,_xlpm.r),IFERROR(_xlfn.XMATCH(VALUE(C897),_xlpm.r),0)),IF(_xlpm.m=0,"",_xlpm.m+1))</f>
        <v/>
      </c>
      <c r="J897" s="137" t="inlineStr">
        <is>
          <t>NetSuite</t>
        </is>
      </c>
    </row>
    <row r="898">
      <c r="A898" s="5" t="inlineStr">
        <is>
          <t>STETSON AMERICAS</t>
        </is>
      </c>
      <c r="B898" s="5">
        <f>IF($I2="","",INDEX(Productos!$A:$A,$I2))</f>
        <v/>
      </c>
      <c r="C898" s="134" t="inlineStr">
        <is>
          <t>11-050-0565-3003-XS</t>
        </is>
      </c>
      <c r="D898" s="5">
        <f>IF($I2="","",INDEX(Productos!$B:$B,$I2))</f>
        <v/>
      </c>
      <c r="E898" s="5">
        <f>IF($I2="","",INDEX(Productos!$H:$H,$I2))</f>
        <v/>
      </c>
      <c r="F898" s="5">
        <f>IF($I2="","",INDEX(Productos!$I:$I,$I2))</f>
        <v/>
      </c>
      <c r="G898" s="135" t="n">
        <v>-2</v>
      </c>
      <c r="H898" s="5">
        <f>IF($I2="","",INDEX(Productos!$AG:$AG,$I2))</f>
        <v/>
      </c>
      <c r="I898" s="136">
        <f>LET(_xlpm.r,Productos!$E$2:$E$2509,_xlpm.m,IFERROR(_xlfn.XMATCH(C898,_xlpm.r),IFERROR(_xlfn.XMATCH(VALUE(C898),_xlpm.r),0)),IF(_xlpm.m=0,"",_xlpm.m+1))</f>
        <v/>
      </c>
      <c r="J898" s="137" t="inlineStr">
        <is>
          <t>NetSuite</t>
        </is>
      </c>
    </row>
    <row r="899">
      <c r="A899" s="5" t="inlineStr">
        <is>
          <t>STETSON AMERICAS</t>
        </is>
      </c>
      <c r="B899" s="5">
        <f>IF($I2="","",INDEX(Productos!$A:$A,$I2))</f>
        <v/>
      </c>
      <c r="C899" s="134" t="inlineStr">
        <is>
          <t>11-050-0590-0123-L</t>
        </is>
      </c>
      <c r="D899" s="5">
        <f>IF($I2="","",INDEX(Productos!$B:$B,$I2))</f>
        <v/>
      </c>
      <c r="E899" s="5">
        <f>IF($I2="","",INDEX(Productos!$H:$H,$I2))</f>
        <v/>
      </c>
      <c r="F899" s="5">
        <f>IF($I2="","",INDEX(Productos!$I:$I,$I2))</f>
        <v/>
      </c>
      <c r="G899" s="135" t="n">
        <v>-1</v>
      </c>
      <c r="H899" s="5">
        <f>IF($I2="","",INDEX(Productos!$AG:$AG,$I2))</f>
        <v/>
      </c>
      <c r="I899" s="136">
        <f>LET(_xlpm.r,Productos!$E$2:$E$2509,_xlpm.m,IFERROR(_xlfn.XMATCH(C899,_xlpm.r),IFERROR(_xlfn.XMATCH(VALUE(C899),_xlpm.r),0)),IF(_xlpm.m=0,"",_xlpm.m+1))</f>
        <v/>
      </c>
      <c r="J899" s="137" t="inlineStr">
        <is>
          <t>NetSuite</t>
        </is>
      </c>
    </row>
    <row r="900">
      <c r="A900" s="5" t="inlineStr">
        <is>
          <t>STETSON AMERICAS</t>
        </is>
      </c>
      <c r="B900" s="5">
        <f>IF($I2="","",INDEX(Productos!$A:$A,$I2))</f>
        <v/>
      </c>
      <c r="C900" s="134" t="inlineStr">
        <is>
          <t>11-050-0590-0123-M</t>
        </is>
      </c>
      <c r="D900" s="5">
        <f>IF($I2="","",INDEX(Productos!$B:$B,$I2))</f>
        <v/>
      </c>
      <c r="E900" s="5">
        <f>IF($I2="","",INDEX(Productos!$H:$H,$I2))</f>
        <v/>
      </c>
      <c r="F900" s="5">
        <f>IF($I2="","",INDEX(Productos!$I:$I,$I2))</f>
        <v/>
      </c>
      <c r="G900" s="135" t="n">
        <v>-1</v>
      </c>
      <c r="H900" s="5">
        <f>IF($I2="","",INDEX(Productos!$AG:$AG,$I2))</f>
        <v/>
      </c>
      <c r="I900" s="136">
        <f>LET(_xlpm.r,Productos!$E$2:$E$2509,_xlpm.m,IFERROR(_xlfn.XMATCH(C900,_xlpm.r),IFERROR(_xlfn.XMATCH(VALUE(C900),_xlpm.r),0)),IF(_xlpm.m=0,"",_xlpm.m+1))</f>
        <v/>
      </c>
      <c r="J900" s="137" t="inlineStr">
        <is>
          <t>NetSuite</t>
        </is>
      </c>
    </row>
    <row r="901">
      <c r="A901" s="5" t="inlineStr">
        <is>
          <t>STETSON AMERICAS</t>
        </is>
      </c>
      <c r="B901" s="5">
        <f>IF($I2="","",INDEX(Productos!$A:$A,$I2))</f>
        <v/>
      </c>
      <c r="C901" s="134" t="inlineStr">
        <is>
          <t>11-050-0590-0123-S</t>
        </is>
      </c>
      <c r="D901" s="5">
        <f>IF($I2="","",INDEX(Productos!$B:$B,$I2))</f>
        <v/>
      </c>
      <c r="E901" s="5">
        <f>IF($I2="","",INDEX(Productos!$H:$H,$I2))</f>
        <v/>
      </c>
      <c r="F901" s="5">
        <f>IF($I2="","",INDEX(Productos!$I:$I,$I2))</f>
        <v/>
      </c>
      <c r="G901" s="135" t="n">
        <v>-1</v>
      </c>
      <c r="H901" s="5">
        <f>IF($I2="","",INDEX(Productos!$AG:$AG,$I2))</f>
        <v/>
      </c>
      <c r="I901" s="136">
        <f>LET(_xlpm.r,Productos!$E$2:$E$2509,_xlpm.m,IFERROR(_xlfn.XMATCH(C901,_xlpm.r),IFERROR(_xlfn.XMATCH(VALUE(C901),_xlpm.r),0)),IF(_xlpm.m=0,"",_xlpm.m+1))</f>
        <v/>
      </c>
      <c r="J901" s="137" t="inlineStr">
        <is>
          <t>NetSuite</t>
        </is>
      </c>
    </row>
    <row r="902">
      <c r="A902" s="5" t="inlineStr">
        <is>
          <t>STETSON AMERICAS</t>
        </is>
      </c>
      <c r="B902" s="5">
        <f>IF($I2="","",INDEX(Productos!$A:$A,$I2))</f>
        <v/>
      </c>
      <c r="C902" s="134" t="inlineStr">
        <is>
          <t>11-050-0590-0123-XS</t>
        </is>
      </c>
      <c r="D902" s="5">
        <f>IF($I2="","",INDEX(Productos!$B:$B,$I2))</f>
        <v/>
      </c>
      <c r="E902" s="5">
        <f>IF($I2="","",INDEX(Productos!$H:$H,$I2))</f>
        <v/>
      </c>
      <c r="F902" s="5">
        <f>IF($I2="","",INDEX(Productos!$I:$I,$I2))</f>
        <v/>
      </c>
      <c r="G902" s="135" t="n">
        <v>-1</v>
      </c>
      <c r="H902" s="5">
        <f>IF($I2="","",INDEX(Productos!$AG:$AG,$I2))</f>
        <v/>
      </c>
      <c r="I902" s="136">
        <f>LET(_xlpm.r,Productos!$E$2:$E$2509,_xlpm.m,IFERROR(_xlfn.XMATCH(C902,_xlpm.r),IFERROR(_xlfn.XMATCH(VALUE(C902),_xlpm.r),0)),IF(_xlpm.m=0,"",_xlpm.m+1))</f>
        <v/>
      </c>
      <c r="J902" s="137" t="inlineStr">
        <is>
          <t>NetSuite</t>
        </is>
      </c>
    </row>
    <row r="903">
      <c r="A903" s="5" t="inlineStr">
        <is>
          <t>STETSON AMERICAS</t>
        </is>
      </c>
      <c r="B903" s="5">
        <f>IF($I2="","",INDEX(Productos!$A:$A,$I2))</f>
        <v/>
      </c>
      <c r="C903" s="134" t="inlineStr">
        <is>
          <t>11-050-0594-9364-L</t>
        </is>
      </c>
      <c r="D903" s="5">
        <f>IF($I2="","",INDEX(Productos!$B:$B,$I2))</f>
        <v/>
      </c>
      <c r="E903" s="5">
        <f>IF($I2="","",INDEX(Productos!$H:$H,$I2))</f>
        <v/>
      </c>
      <c r="F903" s="5">
        <f>IF($I2="","",INDEX(Productos!$I:$I,$I2))</f>
        <v/>
      </c>
      <c r="G903" s="135" t="n">
        <v>-2</v>
      </c>
      <c r="H903" s="5">
        <f>IF($I2="","",INDEX(Productos!$AG:$AG,$I2))</f>
        <v/>
      </c>
      <c r="I903" s="136">
        <f>LET(_xlpm.r,Productos!$E$2:$E$2509,_xlpm.m,IFERROR(_xlfn.XMATCH(C903,_xlpm.r),IFERROR(_xlfn.XMATCH(VALUE(C903),_xlpm.r),0)),IF(_xlpm.m=0,"",_xlpm.m+1))</f>
        <v/>
      </c>
      <c r="J903" s="137" t="inlineStr">
        <is>
          <t>NetSuite</t>
        </is>
      </c>
    </row>
    <row r="904">
      <c r="A904" s="5" t="inlineStr">
        <is>
          <t>STETSON AMERICAS</t>
        </is>
      </c>
      <c r="B904" s="5">
        <f>IF($I2="","",INDEX(Productos!$A:$A,$I2))</f>
        <v/>
      </c>
      <c r="C904" s="134" t="inlineStr">
        <is>
          <t>11-050-0594-9364-M</t>
        </is>
      </c>
      <c r="D904" s="5">
        <f>IF($I2="","",INDEX(Productos!$B:$B,$I2))</f>
        <v/>
      </c>
      <c r="E904" s="5">
        <f>IF($I2="","",INDEX(Productos!$H:$H,$I2))</f>
        <v/>
      </c>
      <c r="F904" s="5">
        <f>IF($I2="","",INDEX(Productos!$I:$I,$I2))</f>
        <v/>
      </c>
      <c r="G904" s="135" t="n">
        <v>-2</v>
      </c>
      <c r="H904" s="5">
        <f>IF($I2="","",INDEX(Productos!$AG:$AG,$I2))</f>
        <v/>
      </c>
      <c r="I904" s="136">
        <f>LET(_xlpm.r,Productos!$E$2:$E$2509,_xlpm.m,IFERROR(_xlfn.XMATCH(C904,_xlpm.r),IFERROR(_xlfn.XMATCH(VALUE(C904),_xlpm.r),0)),IF(_xlpm.m=0,"",_xlpm.m+1))</f>
        <v/>
      </c>
      <c r="J904" s="137" t="inlineStr">
        <is>
          <t>NetSuite</t>
        </is>
      </c>
    </row>
    <row r="905">
      <c r="A905" s="5" t="inlineStr">
        <is>
          <t>STETSON AMERICAS</t>
        </is>
      </c>
      <c r="B905" s="5">
        <f>IF($I2="","",INDEX(Productos!$A:$A,$I2))</f>
        <v/>
      </c>
      <c r="C905" s="134" t="inlineStr">
        <is>
          <t>11-050-0594-9364-S</t>
        </is>
      </c>
      <c r="D905" s="5">
        <f>IF($I2="","",INDEX(Productos!$B:$B,$I2))</f>
        <v/>
      </c>
      <c r="E905" s="5">
        <f>IF($I2="","",INDEX(Productos!$H:$H,$I2))</f>
        <v/>
      </c>
      <c r="F905" s="5">
        <f>IF($I2="","",INDEX(Productos!$I:$I,$I2))</f>
        <v/>
      </c>
      <c r="G905" s="135" t="n">
        <v>-1</v>
      </c>
      <c r="H905" s="5">
        <f>IF($I2="","",INDEX(Productos!$AG:$AG,$I2))</f>
        <v/>
      </c>
      <c r="I905" s="136">
        <f>LET(_xlpm.r,Productos!$E$2:$E$2509,_xlpm.m,IFERROR(_xlfn.XMATCH(C905,_xlpm.r),IFERROR(_xlfn.XMATCH(VALUE(C905),_xlpm.r),0)),IF(_xlpm.m=0,"",_xlpm.m+1))</f>
        <v/>
      </c>
      <c r="J905" s="137" t="inlineStr">
        <is>
          <t>NetSuite</t>
        </is>
      </c>
    </row>
    <row r="906">
      <c r="A906" s="5" t="inlineStr">
        <is>
          <t>STETSON AMERICAS</t>
        </is>
      </c>
      <c r="B906" s="5">
        <f>IF($I2="","",INDEX(Productos!$A:$A,$I2))</f>
        <v/>
      </c>
      <c r="C906" s="134" t="inlineStr">
        <is>
          <t>11-050-0594-9364-XL</t>
        </is>
      </c>
      <c r="D906" s="5">
        <f>IF($I2="","",INDEX(Productos!$B:$B,$I2))</f>
        <v/>
      </c>
      <c r="E906" s="5">
        <f>IF($I2="","",INDEX(Productos!$H:$H,$I2))</f>
        <v/>
      </c>
      <c r="F906" s="5">
        <f>IF($I2="","",INDEX(Productos!$I:$I,$I2))</f>
        <v/>
      </c>
      <c r="G906" s="135" t="n">
        <v>-1</v>
      </c>
      <c r="H906" s="5">
        <f>IF($I2="","",INDEX(Productos!$AG:$AG,$I2))</f>
        <v/>
      </c>
      <c r="I906" s="136">
        <f>LET(_xlpm.r,Productos!$E$2:$E$2509,_xlpm.m,IFERROR(_xlfn.XMATCH(C906,_xlpm.r),IFERROR(_xlfn.XMATCH(VALUE(C906),_xlpm.r),0)),IF(_xlpm.m=0,"",_xlpm.m+1))</f>
        <v/>
      </c>
      <c r="J906" s="137" t="inlineStr">
        <is>
          <t>NetSuite</t>
        </is>
      </c>
    </row>
    <row r="907">
      <c r="A907" s="5" t="inlineStr">
        <is>
          <t>STETSON AMERICAS</t>
        </is>
      </c>
      <c r="B907" s="5">
        <f>IF($I2="","",INDEX(Productos!$A:$A,$I2))</f>
        <v/>
      </c>
      <c r="C907" s="134" t="inlineStr">
        <is>
          <t>11-050-0594-9364-XS</t>
        </is>
      </c>
      <c r="D907" s="5">
        <f>IF($I2="","",INDEX(Productos!$B:$B,$I2))</f>
        <v/>
      </c>
      <c r="E907" s="5">
        <f>IF($I2="","",INDEX(Productos!$H:$H,$I2))</f>
        <v/>
      </c>
      <c r="F907" s="5">
        <f>IF($I2="","",INDEX(Productos!$I:$I,$I2))</f>
        <v/>
      </c>
      <c r="G907" s="135" t="n">
        <v>-1</v>
      </c>
      <c r="H907" s="5">
        <f>IF($I2="","",INDEX(Productos!$AG:$AG,$I2))</f>
        <v/>
      </c>
      <c r="I907" s="136">
        <f>LET(_xlpm.r,Productos!$E$2:$E$2509,_xlpm.m,IFERROR(_xlfn.XMATCH(C907,_xlpm.r),IFERROR(_xlfn.XMATCH(VALUE(C907),_xlpm.r),0)),IF(_xlpm.m=0,"",_xlpm.m+1))</f>
        <v/>
      </c>
      <c r="J907" s="137" t="inlineStr">
        <is>
          <t>NetSuite</t>
        </is>
      </c>
    </row>
    <row r="908">
      <c r="A908" s="5" t="inlineStr">
        <is>
          <t>STETSON AMERICAS</t>
        </is>
      </c>
      <c r="B908" s="5">
        <f>IF($I2="","",INDEX(Productos!$A:$A,$I2))</f>
        <v/>
      </c>
      <c r="C908" s="134" t="inlineStr">
        <is>
          <t>11-054-0214-0817-2R</t>
        </is>
      </c>
      <c r="D908" s="5">
        <f>IF($I2="","",INDEX(Productos!$B:$B,$I2))</f>
        <v/>
      </c>
      <c r="E908" s="5">
        <f>IF($I2="","",INDEX(Productos!$H:$H,$I2))</f>
        <v/>
      </c>
      <c r="F908" s="5">
        <f>IF($I2="","",INDEX(Productos!$I:$I,$I2))</f>
        <v/>
      </c>
      <c r="G908" s="135" t="n">
        <v>-3</v>
      </c>
      <c r="H908" s="5">
        <f>IF($I2="","",INDEX(Productos!$AG:$AG,$I2))</f>
        <v/>
      </c>
      <c r="I908" s="136">
        <f>LET(_xlpm.r,Productos!$E$2:$E$2509,_xlpm.m,IFERROR(_xlfn.XMATCH(C908,_xlpm.r),IFERROR(_xlfn.XMATCH(VALUE(C908),_xlpm.r),0)),IF(_xlpm.m=0,"",_xlpm.m+1))</f>
        <v/>
      </c>
      <c r="J908" s="137" t="inlineStr">
        <is>
          <t>NetSuite</t>
        </is>
      </c>
    </row>
    <row r="909">
      <c r="A909" s="5" t="inlineStr">
        <is>
          <t>STETSON AMERICAS</t>
        </is>
      </c>
      <c r="B909" s="5">
        <f>IF($I2="","",INDEX(Productos!$A:$A,$I2))</f>
        <v/>
      </c>
      <c r="C909" s="134" t="inlineStr">
        <is>
          <t>11-054-0214-0817-4R</t>
        </is>
      </c>
      <c r="D909" s="5">
        <f>IF($I2="","",INDEX(Productos!$B:$B,$I2))</f>
        <v/>
      </c>
      <c r="E909" s="5">
        <f>IF($I2="","",INDEX(Productos!$H:$H,$I2))</f>
        <v/>
      </c>
      <c r="F909" s="5">
        <f>IF($I2="","",INDEX(Productos!$I:$I,$I2))</f>
        <v/>
      </c>
      <c r="G909" s="135" t="n">
        <v>-2</v>
      </c>
      <c r="H909" s="5">
        <f>IF($I2="","",INDEX(Productos!$AG:$AG,$I2))</f>
        <v/>
      </c>
      <c r="I909" s="136">
        <f>LET(_xlpm.r,Productos!$E$2:$E$2509,_xlpm.m,IFERROR(_xlfn.XMATCH(C909,_xlpm.r),IFERROR(_xlfn.XMATCH(VALUE(C909),_xlpm.r),0)),IF(_xlpm.m=0,"",_xlpm.m+1))</f>
        <v/>
      </c>
      <c r="J909" s="137" t="inlineStr">
        <is>
          <t>NetSuite</t>
        </is>
      </c>
    </row>
    <row r="910">
      <c r="A910" s="5" t="inlineStr">
        <is>
          <t>STETSON AMERICAS</t>
        </is>
      </c>
      <c r="B910" s="5">
        <f>IF($I2="","",INDEX(Productos!$A:$A,$I2))</f>
        <v/>
      </c>
      <c r="C910" s="134" t="inlineStr">
        <is>
          <t>11-054-0214-0817-6R</t>
        </is>
      </c>
      <c r="D910" s="5">
        <f>IF($I2="","",INDEX(Productos!$B:$B,$I2))</f>
        <v/>
      </c>
      <c r="E910" s="5">
        <f>IF($I2="","",INDEX(Productos!$H:$H,$I2))</f>
        <v/>
      </c>
      <c r="F910" s="5">
        <f>IF($I2="","",INDEX(Productos!$I:$I,$I2))</f>
        <v/>
      </c>
      <c r="G910" s="135" t="n">
        <v>-2</v>
      </c>
      <c r="H910" s="5">
        <f>IF($I2="","",INDEX(Productos!$AG:$AG,$I2))</f>
        <v/>
      </c>
      <c r="I910" s="136">
        <f>LET(_xlpm.r,Productos!$E$2:$E$2509,_xlpm.m,IFERROR(_xlfn.XMATCH(C910,_xlpm.r),IFERROR(_xlfn.XMATCH(VALUE(C910),_xlpm.r),0)),IF(_xlpm.m=0,"",_xlpm.m+1))</f>
        <v/>
      </c>
      <c r="J910" s="137" t="inlineStr">
        <is>
          <t>NetSuite</t>
        </is>
      </c>
    </row>
    <row r="911">
      <c r="A911" s="5" t="inlineStr">
        <is>
          <t>STETSON AMERICAS</t>
        </is>
      </c>
      <c r="B911" s="5">
        <f>IF($I2="","",INDEX(Productos!$A:$A,$I2))</f>
        <v/>
      </c>
      <c r="C911" s="134" t="inlineStr">
        <is>
          <t>11-054-0214-0817-8R</t>
        </is>
      </c>
      <c r="D911" s="5">
        <f>IF($I2="","",INDEX(Productos!$B:$B,$I2))</f>
        <v/>
      </c>
      <c r="E911" s="5">
        <f>IF($I2="","",INDEX(Productos!$H:$H,$I2))</f>
        <v/>
      </c>
      <c r="F911" s="5">
        <f>IF($I2="","",INDEX(Productos!$I:$I,$I2))</f>
        <v/>
      </c>
      <c r="G911" s="135" t="n">
        <v>-3</v>
      </c>
      <c r="H911" s="5">
        <f>IF($I2="","",INDEX(Productos!$AG:$AG,$I2))</f>
        <v/>
      </c>
      <c r="I911" s="136">
        <f>LET(_xlpm.r,Productos!$E$2:$E$2509,_xlpm.m,IFERROR(_xlfn.XMATCH(C911,_xlpm.r),IFERROR(_xlfn.XMATCH(VALUE(C911),_xlpm.r),0)),IF(_xlpm.m=0,"",_xlpm.m+1))</f>
        <v/>
      </c>
      <c r="J911" s="137" t="inlineStr">
        <is>
          <t>NetSuite</t>
        </is>
      </c>
    </row>
    <row r="912">
      <c r="A912" s="5" t="inlineStr">
        <is>
          <t>STETSON AMERICAS</t>
        </is>
      </c>
      <c r="B912" s="5">
        <f>IF($I2="","",INDEX(Productos!$A:$A,$I2))</f>
        <v/>
      </c>
      <c r="C912" s="134" t="inlineStr">
        <is>
          <t>11-054-0751-0204-0R</t>
        </is>
      </c>
      <c r="D912" s="5">
        <f>IF($I2="","",INDEX(Productos!$B:$B,$I2))</f>
        <v/>
      </c>
      <c r="E912" s="5">
        <f>IF($I2="","",INDEX(Productos!$H:$H,$I2))</f>
        <v/>
      </c>
      <c r="F912" s="5">
        <f>IF($I2="","",INDEX(Productos!$I:$I,$I2))</f>
        <v/>
      </c>
      <c r="G912" s="135" t="n">
        <v>-3</v>
      </c>
      <c r="H912" s="5">
        <f>IF($I2="","",INDEX(Productos!$AG:$AG,$I2))</f>
        <v/>
      </c>
      <c r="I912" s="136">
        <f>LET(_xlpm.r,Productos!$E$2:$E$2509,_xlpm.m,IFERROR(_xlfn.XMATCH(C912,_xlpm.r),IFERROR(_xlfn.XMATCH(VALUE(C912),_xlpm.r),0)),IF(_xlpm.m=0,"",_xlpm.m+1))</f>
        <v/>
      </c>
      <c r="J912" s="137" t="inlineStr">
        <is>
          <t>NetSuite</t>
        </is>
      </c>
    </row>
    <row r="913">
      <c r="A913" s="5" t="inlineStr">
        <is>
          <t>STETSON AMERICAS</t>
        </is>
      </c>
      <c r="B913" s="5">
        <f>IF($I2="","",INDEX(Productos!$A:$A,$I2))</f>
        <v/>
      </c>
      <c r="C913" s="134" t="inlineStr">
        <is>
          <t>11-054-0751-0204-10R</t>
        </is>
      </c>
      <c r="D913" s="5">
        <f>IF($I2="","",INDEX(Productos!$B:$B,$I2))</f>
        <v/>
      </c>
      <c r="E913" s="5">
        <f>IF($I2="","",INDEX(Productos!$H:$H,$I2))</f>
        <v/>
      </c>
      <c r="F913" s="5">
        <f>IF($I2="","",INDEX(Productos!$I:$I,$I2))</f>
        <v/>
      </c>
      <c r="G913" s="135" t="n">
        <v>-1</v>
      </c>
      <c r="H913" s="5">
        <f>IF($I2="","",INDEX(Productos!$AG:$AG,$I2))</f>
        <v/>
      </c>
      <c r="I913" s="136">
        <f>LET(_xlpm.r,Productos!$E$2:$E$2509,_xlpm.m,IFERROR(_xlfn.XMATCH(C913,_xlpm.r),IFERROR(_xlfn.XMATCH(VALUE(C913),_xlpm.r),0)),IF(_xlpm.m=0,"",_xlpm.m+1))</f>
        <v/>
      </c>
      <c r="J913" s="137" t="inlineStr">
        <is>
          <t>NetSuite</t>
        </is>
      </c>
    </row>
    <row r="914">
      <c r="A914" s="5" t="inlineStr">
        <is>
          <t>STETSON AMERICAS</t>
        </is>
      </c>
      <c r="B914" s="5">
        <f>IF($I2="","",INDEX(Productos!$A:$A,$I2))</f>
        <v/>
      </c>
      <c r="C914" s="134" t="inlineStr">
        <is>
          <t>11-054-0751-0204-2R</t>
        </is>
      </c>
      <c r="D914" s="5">
        <f>IF($I2="","",INDEX(Productos!$B:$B,$I2))</f>
        <v/>
      </c>
      <c r="E914" s="5">
        <f>IF($I2="","",INDEX(Productos!$H:$H,$I2))</f>
        <v/>
      </c>
      <c r="F914" s="5">
        <f>IF($I2="","",INDEX(Productos!$I:$I,$I2))</f>
        <v/>
      </c>
      <c r="G914" s="135" t="n">
        <v>-4</v>
      </c>
      <c r="H914" s="5">
        <f>IF($I2="","",INDEX(Productos!$AG:$AG,$I2))</f>
        <v/>
      </c>
      <c r="I914" s="136">
        <f>LET(_xlpm.r,Productos!$E$2:$E$2509,_xlpm.m,IFERROR(_xlfn.XMATCH(C914,_xlpm.r),IFERROR(_xlfn.XMATCH(VALUE(C914),_xlpm.r),0)),IF(_xlpm.m=0,"",_xlpm.m+1))</f>
        <v/>
      </c>
      <c r="J914" s="137" t="inlineStr">
        <is>
          <t>NetSuite</t>
        </is>
      </c>
    </row>
    <row r="915">
      <c r="A915" s="5" t="inlineStr">
        <is>
          <t>STETSON AMERICAS</t>
        </is>
      </c>
      <c r="B915" s="5">
        <f>IF($I2="","",INDEX(Productos!$A:$A,$I2))</f>
        <v/>
      </c>
      <c r="C915" s="134" t="inlineStr">
        <is>
          <t>11-054-0751-0204-4R</t>
        </is>
      </c>
      <c r="D915" s="5">
        <f>IF($I2="","",INDEX(Productos!$B:$B,$I2))</f>
        <v/>
      </c>
      <c r="E915" s="5">
        <f>IF($I2="","",INDEX(Productos!$H:$H,$I2))</f>
        <v/>
      </c>
      <c r="F915" s="5">
        <f>IF($I2="","",INDEX(Productos!$I:$I,$I2))</f>
        <v/>
      </c>
      <c r="G915" s="135" t="n">
        <v>-3</v>
      </c>
      <c r="H915" s="5">
        <f>IF($I2="","",INDEX(Productos!$AG:$AG,$I2))</f>
        <v/>
      </c>
      <c r="I915" s="136">
        <f>LET(_xlpm.r,Productos!$E$2:$E$2509,_xlpm.m,IFERROR(_xlfn.XMATCH(C915,_xlpm.r),IFERROR(_xlfn.XMATCH(VALUE(C915),_xlpm.r),0)),IF(_xlpm.m=0,"",_xlpm.m+1))</f>
        <v/>
      </c>
      <c r="J915" s="137" t="inlineStr">
        <is>
          <t>NetSuite</t>
        </is>
      </c>
    </row>
    <row r="916">
      <c r="A916" s="5" t="inlineStr">
        <is>
          <t>STETSON AMERICAS</t>
        </is>
      </c>
      <c r="B916" s="5">
        <f>IF($I2="","",INDEX(Productos!$A:$A,$I2))</f>
        <v/>
      </c>
      <c r="C916" s="134" t="inlineStr">
        <is>
          <t>11-054-0751-0204-6R</t>
        </is>
      </c>
      <c r="D916" s="5">
        <f>IF($I2="","",INDEX(Productos!$B:$B,$I2))</f>
        <v/>
      </c>
      <c r="E916" s="5">
        <f>IF($I2="","",INDEX(Productos!$H:$H,$I2))</f>
        <v/>
      </c>
      <c r="F916" s="5">
        <f>IF($I2="","",INDEX(Productos!$I:$I,$I2))</f>
        <v/>
      </c>
      <c r="G916" s="135" t="n">
        <v>-2</v>
      </c>
      <c r="H916" s="5">
        <f>IF($I2="","",INDEX(Productos!$AG:$AG,$I2))</f>
        <v/>
      </c>
      <c r="I916" s="136">
        <f>LET(_xlpm.r,Productos!$E$2:$E$2509,_xlpm.m,IFERROR(_xlfn.XMATCH(C916,_xlpm.r),IFERROR(_xlfn.XMATCH(VALUE(C916),_xlpm.r),0)),IF(_xlpm.m=0,"",_xlpm.m+1))</f>
        <v/>
      </c>
      <c r="J916" s="137" t="inlineStr">
        <is>
          <t>NetSuite</t>
        </is>
      </c>
    </row>
    <row r="917">
      <c r="A917" s="5" t="inlineStr">
        <is>
          <t>STETSON AMERICAS</t>
        </is>
      </c>
      <c r="B917" s="5">
        <f>IF($I2="","",INDEX(Productos!$A:$A,$I2))</f>
        <v/>
      </c>
      <c r="C917" s="134" t="inlineStr">
        <is>
          <t>11-054-0751-0204-8R</t>
        </is>
      </c>
      <c r="D917" s="5">
        <f>IF($I2="","",INDEX(Productos!$B:$B,$I2))</f>
        <v/>
      </c>
      <c r="E917" s="5">
        <f>IF($I2="","",INDEX(Productos!$H:$H,$I2))</f>
        <v/>
      </c>
      <c r="F917" s="5">
        <f>IF($I2="","",INDEX(Productos!$I:$I,$I2))</f>
        <v/>
      </c>
      <c r="G917" s="135" t="n">
        <v>-1</v>
      </c>
      <c r="H917" s="5">
        <f>IF($I2="","",INDEX(Productos!$AG:$AG,$I2))</f>
        <v/>
      </c>
      <c r="I917" s="136">
        <f>LET(_xlpm.r,Productos!$E$2:$E$2509,_xlpm.m,IFERROR(_xlfn.XMATCH(C917,_xlpm.r),IFERROR(_xlfn.XMATCH(VALUE(C917),_xlpm.r),0)),IF(_xlpm.m=0,"",_xlpm.m+1))</f>
        <v/>
      </c>
      <c r="J917" s="137" t="inlineStr">
        <is>
          <t>NetSuite</t>
        </is>
      </c>
    </row>
    <row r="918">
      <c r="A918" s="5" t="inlineStr">
        <is>
          <t>STETSON AMERICAS</t>
        </is>
      </c>
      <c r="B918" s="5">
        <f>IF($I2="","",INDEX(Productos!$A:$A,$I2))</f>
        <v/>
      </c>
      <c r="C918" s="134" t="inlineStr">
        <is>
          <t>11-054-0751-0205-2R</t>
        </is>
      </c>
      <c r="D918" s="5">
        <f>IF($I2="","",INDEX(Productos!$B:$B,$I2))</f>
        <v/>
      </c>
      <c r="E918" s="5">
        <f>IF($I2="","",INDEX(Productos!$H:$H,$I2))</f>
        <v/>
      </c>
      <c r="F918" s="5">
        <f>IF($I2="","",INDEX(Productos!$I:$I,$I2))</f>
        <v/>
      </c>
      <c r="G918" s="135" t="n">
        <v>-2</v>
      </c>
      <c r="H918" s="5">
        <f>IF($I2="","",INDEX(Productos!$AG:$AG,$I2))</f>
        <v/>
      </c>
      <c r="I918" s="136">
        <f>LET(_xlpm.r,Productos!$E$2:$E$2509,_xlpm.m,IFERROR(_xlfn.XMATCH(C918,_xlpm.r),IFERROR(_xlfn.XMATCH(VALUE(C918),_xlpm.r),0)),IF(_xlpm.m=0,"",_xlpm.m+1))</f>
        <v/>
      </c>
      <c r="J918" s="137" t="inlineStr">
        <is>
          <t>NetSuite</t>
        </is>
      </c>
    </row>
    <row r="919">
      <c r="A919" s="5" t="inlineStr">
        <is>
          <t>STETSON AMERICAS</t>
        </is>
      </c>
      <c r="B919" s="5">
        <f>IF($I2="","",INDEX(Productos!$A:$A,$I2))</f>
        <v/>
      </c>
      <c r="C919" s="134" t="inlineStr">
        <is>
          <t>11-054-0751-0205-4R</t>
        </is>
      </c>
      <c r="D919" s="5">
        <f>IF($I2="","",INDEX(Productos!$B:$B,$I2))</f>
        <v/>
      </c>
      <c r="E919" s="5">
        <f>IF($I2="","",INDEX(Productos!$H:$H,$I2))</f>
        <v/>
      </c>
      <c r="F919" s="5">
        <f>IF($I2="","",INDEX(Productos!$I:$I,$I2))</f>
        <v/>
      </c>
      <c r="G919" s="135" t="n">
        <v>-2</v>
      </c>
      <c r="H919" s="5">
        <f>IF($I2="","",INDEX(Productos!$AG:$AG,$I2))</f>
        <v/>
      </c>
      <c r="I919" s="136">
        <f>LET(_xlpm.r,Productos!$E$2:$E$2509,_xlpm.m,IFERROR(_xlfn.XMATCH(C919,_xlpm.r),IFERROR(_xlfn.XMATCH(VALUE(C919),_xlpm.r),0)),IF(_xlpm.m=0,"",_xlpm.m+1))</f>
        <v/>
      </c>
      <c r="J919" s="137" t="inlineStr">
        <is>
          <t>NetSuite</t>
        </is>
      </c>
    </row>
    <row r="920">
      <c r="A920" s="5" t="inlineStr">
        <is>
          <t>STETSON AMERICAS</t>
        </is>
      </c>
      <c r="B920" s="5">
        <f>IF($I2="","",INDEX(Productos!$A:$A,$I2))</f>
        <v/>
      </c>
      <c r="C920" s="134" t="inlineStr">
        <is>
          <t>11-054-0751-0205-6R</t>
        </is>
      </c>
      <c r="D920" s="5">
        <f>IF($I2="","",INDEX(Productos!$B:$B,$I2))</f>
        <v/>
      </c>
      <c r="E920" s="5">
        <f>IF($I2="","",INDEX(Productos!$H:$H,$I2))</f>
        <v/>
      </c>
      <c r="F920" s="5">
        <f>IF($I2="","",INDEX(Productos!$I:$I,$I2))</f>
        <v/>
      </c>
      <c r="G920" s="135" t="n">
        <v>-1</v>
      </c>
      <c r="H920" s="5">
        <f>IF($I2="","",INDEX(Productos!$AG:$AG,$I2))</f>
        <v/>
      </c>
      <c r="I920" s="136">
        <f>LET(_xlpm.r,Productos!$E$2:$E$2509,_xlpm.m,IFERROR(_xlfn.XMATCH(C920,_xlpm.r),IFERROR(_xlfn.XMATCH(VALUE(C920),_xlpm.r),0)),IF(_xlpm.m=0,"",_xlpm.m+1))</f>
        <v/>
      </c>
      <c r="J920" s="137" t="inlineStr">
        <is>
          <t>NetSuite</t>
        </is>
      </c>
    </row>
    <row r="921">
      <c r="A921" s="5" t="inlineStr">
        <is>
          <t>STETSON AMERICAS</t>
        </is>
      </c>
      <c r="B921" s="5">
        <f>IF($I2="","",INDEX(Productos!$A:$A,$I2))</f>
        <v/>
      </c>
      <c r="C921" s="134" t="inlineStr">
        <is>
          <t>11-054-0816-1320-0R</t>
        </is>
      </c>
      <c r="D921" s="5">
        <f>IF($I2="","",INDEX(Productos!$B:$B,$I2))</f>
        <v/>
      </c>
      <c r="E921" s="5">
        <f>IF($I2="","",INDEX(Productos!$H:$H,$I2))</f>
        <v/>
      </c>
      <c r="F921" s="5">
        <f>IF($I2="","",INDEX(Productos!$I:$I,$I2))</f>
        <v/>
      </c>
      <c r="G921" s="135" t="n">
        <v>-2</v>
      </c>
      <c r="H921" s="5">
        <f>IF($I2="","",INDEX(Productos!$AG:$AG,$I2))</f>
        <v/>
      </c>
      <c r="I921" s="136">
        <f>LET(_xlpm.r,Productos!$E$2:$E$2509,_xlpm.m,IFERROR(_xlfn.XMATCH(C921,_xlpm.r),IFERROR(_xlfn.XMATCH(VALUE(C921),_xlpm.r),0)),IF(_xlpm.m=0,"",_xlpm.m+1))</f>
        <v/>
      </c>
      <c r="J921" s="137" t="inlineStr">
        <is>
          <t>NetSuite</t>
        </is>
      </c>
    </row>
    <row r="922">
      <c r="A922" s="5" t="inlineStr">
        <is>
          <t>STETSON AMERICAS</t>
        </is>
      </c>
      <c r="B922" s="5">
        <f>IF($I2="","",INDEX(Productos!$A:$A,$I2))</f>
        <v/>
      </c>
      <c r="C922" s="134" t="inlineStr">
        <is>
          <t>11-054-0816-1320-10L</t>
        </is>
      </c>
      <c r="D922" s="5">
        <f>IF($I2="","",INDEX(Productos!$B:$B,$I2))</f>
        <v/>
      </c>
      <c r="E922" s="5">
        <f>IF($I2="","",INDEX(Productos!$H:$H,$I2))</f>
        <v/>
      </c>
      <c r="F922" s="5">
        <f>IF($I2="","",INDEX(Productos!$I:$I,$I2))</f>
        <v/>
      </c>
      <c r="G922" s="135" t="n">
        <v>-1</v>
      </c>
      <c r="H922" s="5">
        <f>IF($I2="","",INDEX(Productos!$AG:$AG,$I2))</f>
        <v/>
      </c>
      <c r="I922" s="136">
        <f>LET(_xlpm.r,Productos!$E$2:$E$2509,_xlpm.m,IFERROR(_xlfn.XMATCH(C922,_xlpm.r),IFERROR(_xlfn.XMATCH(VALUE(C922),_xlpm.r),0)),IF(_xlpm.m=0,"",_xlpm.m+1))</f>
        <v/>
      </c>
      <c r="J922" s="137" t="inlineStr">
        <is>
          <t>NetSuite</t>
        </is>
      </c>
    </row>
    <row r="923">
      <c r="A923" s="5" t="inlineStr">
        <is>
          <t>STETSON AMERICAS</t>
        </is>
      </c>
      <c r="B923" s="5">
        <f>IF($I2="","",INDEX(Productos!$A:$A,$I2))</f>
        <v/>
      </c>
      <c r="C923" s="134" t="inlineStr">
        <is>
          <t>11-054-0816-1320-2L</t>
        </is>
      </c>
      <c r="D923" s="5">
        <f>IF($I2="","",INDEX(Productos!$B:$B,$I2))</f>
        <v/>
      </c>
      <c r="E923" s="5">
        <f>IF($I2="","",INDEX(Productos!$H:$H,$I2))</f>
        <v/>
      </c>
      <c r="F923" s="5">
        <f>IF($I2="","",INDEX(Productos!$I:$I,$I2))</f>
        <v/>
      </c>
      <c r="G923" s="135" t="n">
        <v>-1</v>
      </c>
      <c r="H923" s="5">
        <f>IF($I2="","",INDEX(Productos!$AG:$AG,$I2))</f>
        <v/>
      </c>
      <c r="I923" s="136">
        <f>LET(_xlpm.r,Productos!$E$2:$E$2509,_xlpm.m,IFERROR(_xlfn.XMATCH(C923,_xlpm.r),IFERROR(_xlfn.XMATCH(VALUE(C923),_xlpm.r),0)),IF(_xlpm.m=0,"",_xlpm.m+1))</f>
        <v/>
      </c>
      <c r="J923" s="137" t="inlineStr">
        <is>
          <t>NetSuite</t>
        </is>
      </c>
    </row>
    <row r="924">
      <c r="A924" s="5" t="inlineStr">
        <is>
          <t>STETSON AMERICAS</t>
        </is>
      </c>
      <c r="B924" s="5">
        <f>IF($I2="","",INDEX(Productos!$A:$A,$I2))</f>
        <v/>
      </c>
      <c r="C924" s="134" t="inlineStr">
        <is>
          <t>11-054-0816-1320-2R</t>
        </is>
      </c>
      <c r="D924" s="5">
        <f>IF($I2="","",INDEX(Productos!$B:$B,$I2))</f>
        <v/>
      </c>
      <c r="E924" s="5">
        <f>IF($I2="","",INDEX(Productos!$H:$H,$I2))</f>
        <v/>
      </c>
      <c r="F924" s="5">
        <f>IF($I2="","",INDEX(Productos!$I:$I,$I2))</f>
        <v/>
      </c>
      <c r="G924" s="135" t="n">
        <v>-2</v>
      </c>
      <c r="H924" s="5">
        <f>IF($I2="","",INDEX(Productos!$AG:$AG,$I2))</f>
        <v/>
      </c>
      <c r="I924" s="136">
        <f>LET(_xlpm.r,Productos!$E$2:$E$2509,_xlpm.m,IFERROR(_xlfn.XMATCH(C924,_xlpm.r),IFERROR(_xlfn.XMATCH(VALUE(C924),_xlpm.r),0)),IF(_xlpm.m=0,"",_xlpm.m+1))</f>
        <v/>
      </c>
      <c r="J924" s="137" t="inlineStr">
        <is>
          <t>NetSuite</t>
        </is>
      </c>
    </row>
    <row r="925">
      <c r="A925" s="5" t="inlineStr">
        <is>
          <t>STETSON AMERICAS</t>
        </is>
      </c>
      <c r="B925" s="5">
        <f>IF($I2="","",INDEX(Productos!$A:$A,$I2))</f>
        <v/>
      </c>
      <c r="C925" s="134" t="inlineStr">
        <is>
          <t>11-054-0816-1320-4L</t>
        </is>
      </c>
      <c r="D925" s="5">
        <f>IF($I2="","",INDEX(Productos!$B:$B,$I2))</f>
        <v/>
      </c>
      <c r="E925" s="5">
        <f>IF($I2="","",INDEX(Productos!$H:$H,$I2))</f>
        <v/>
      </c>
      <c r="F925" s="5">
        <f>IF($I2="","",INDEX(Productos!$I:$I,$I2))</f>
        <v/>
      </c>
      <c r="G925" s="135" t="n">
        <v>-1</v>
      </c>
      <c r="H925" s="5">
        <f>IF($I2="","",INDEX(Productos!$AG:$AG,$I2))</f>
        <v/>
      </c>
      <c r="I925" s="136">
        <f>LET(_xlpm.r,Productos!$E$2:$E$2509,_xlpm.m,IFERROR(_xlfn.XMATCH(C925,_xlpm.r),IFERROR(_xlfn.XMATCH(VALUE(C925),_xlpm.r),0)),IF(_xlpm.m=0,"",_xlpm.m+1))</f>
        <v/>
      </c>
      <c r="J925" s="137" t="inlineStr">
        <is>
          <t>NetSuite</t>
        </is>
      </c>
    </row>
    <row r="926">
      <c r="A926" s="5" t="inlineStr">
        <is>
          <t>STETSON AMERICAS</t>
        </is>
      </c>
      <c r="B926" s="5">
        <f>IF($I2="","",INDEX(Productos!$A:$A,$I2))</f>
        <v/>
      </c>
      <c r="C926" s="134" t="inlineStr">
        <is>
          <t>11-054-0816-1320-4R</t>
        </is>
      </c>
      <c r="D926" s="5">
        <f>IF($I2="","",INDEX(Productos!$B:$B,$I2))</f>
        <v/>
      </c>
      <c r="E926" s="5">
        <f>IF($I2="","",INDEX(Productos!$H:$H,$I2))</f>
        <v/>
      </c>
      <c r="F926" s="5">
        <f>IF($I2="","",INDEX(Productos!$I:$I,$I2))</f>
        <v/>
      </c>
      <c r="G926" s="135" t="n">
        <v>-2</v>
      </c>
      <c r="H926" s="5">
        <f>IF($I2="","",INDEX(Productos!$AG:$AG,$I2))</f>
        <v/>
      </c>
      <c r="I926" s="136">
        <f>LET(_xlpm.r,Productos!$E$2:$E$2509,_xlpm.m,IFERROR(_xlfn.XMATCH(C926,_xlpm.r),IFERROR(_xlfn.XMATCH(VALUE(C926),_xlpm.r),0)),IF(_xlpm.m=0,"",_xlpm.m+1))</f>
        <v/>
      </c>
      <c r="J926" s="137" t="inlineStr">
        <is>
          <t>NetSuite</t>
        </is>
      </c>
    </row>
    <row r="927">
      <c r="A927" s="5" t="inlineStr">
        <is>
          <t>STETSON AMERICAS</t>
        </is>
      </c>
      <c r="B927" s="5">
        <f>IF($I2="","",INDEX(Productos!$A:$A,$I2))</f>
        <v/>
      </c>
      <c r="C927" s="134" t="inlineStr">
        <is>
          <t>11-054-0816-1320-6L</t>
        </is>
      </c>
      <c r="D927" s="5">
        <f>IF($I2="","",INDEX(Productos!$B:$B,$I2))</f>
        <v/>
      </c>
      <c r="E927" s="5">
        <f>IF($I2="","",INDEX(Productos!$H:$H,$I2))</f>
        <v/>
      </c>
      <c r="F927" s="5">
        <f>IF($I2="","",INDEX(Productos!$I:$I,$I2))</f>
        <v/>
      </c>
      <c r="G927" s="135" t="n">
        <v>-1</v>
      </c>
      <c r="H927" s="5">
        <f>IF($I2="","",INDEX(Productos!$AG:$AG,$I2))</f>
        <v/>
      </c>
      <c r="I927" s="136">
        <f>LET(_xlpm.r,Productos!$E$2:$E$2509,_xlpm.m,IFERROR(_xlfn.XMATCH(C927,_xlpm.r),IFERROR(_xlfn.XMATCH(VALUE(C927),_xlpm.r),0)),IF(_xlpm.m=0,"",_xlpm.m+1))</f>
        <v/>
      </c>
      <c r="J927" s="137" t="inlineStr">
        <is>
          <t>NetSuite</t>
        </is>
      </c>
    </row>
    <row r="928">
      <c r="A928" s="5" t="inlineStr">
        <is>
          <t>STETSON AMERICAS</t>
        </is>
      </c>
      <c r="B928" s="5">
        <f>IF($I2="","",INDEX(Productos!$A:$A,$I2))</f>
        <v/>
      </c>
      <c r="C928" s="134" t="inlineStr">
        <is>
          <t>11-054-0816-1320-6R</t>
        </is>
      </c>
      <c r="D928" s="5">
        <f>IF($I2="","",INDEX(Productos!$B:$B,$I2))</f>
        <v/>
      </c>
      <c r="E928" s="5">
        <f>IF($I2="","",INDEX(Productos!$H:$H,$I2))</f>
        <v/>
      </c>
      <c r="F928" s="5">
        <f>IF($I2="","",INDEX(Productos!$I:$I,$I2))</f>
        <v/>
      </c>
      <c r="G928" s="135" t="n">
        <v>-1</v>
      </c>
      <c r="H928" s="5">
        <f>IF($I2="","",INDEX(Productos!$AG:$AG,$I2))</f>
        <v/>
      </c>
      <c r="I928" s="136">
        <f>LET(_xlpm.r,Productos!$E$2:$E$2509,_xlpm.m,IFERROR(_xlfn.XMATCH(C928,_xlpm.r),IFERROR(_xlfn.XMATCH(VALUE(C928),_xlpm.r),0)),IF(_xlpm.m=0,"",_xlpm.m+1))</f>
        <v/>
      </c>
      <c r="J928" s="137" t="inlineStr">
        <is>
          <t>NetSuite</t>
        </is>
      </c>
    </row>
    <row r="929">
      <c r="A929" s="5" t="inlineStr">
        <is>
          <t>STETSON AMERICAS</t>
        </is>
      </c>
      <c r="B929" s="5">
        <f>IF($I2="","",INDEX(Productos!$A:$A,$I2))</f>
        <v/>
      </c>
      <c r="C929" s="134" t="inlineStr">
        <is>
          <t>11-054-0816-1320-8L</t>
        </is>
      </c>
      <c r="D929" s="5">
        <f>IF($I2="","",INDEX(Productos!$B:$B,$I2))</f>
        <v/>
      </c>
      <c r="E929" s="5">
        <f>IF($I2="","",INDEX(Productos!$H:$H,$I2))</f>
        <v/>
      </c>
      <c r="F929" s="5">
        <f>IF($I2="","",INDEX(Productos!$I:$I,$I2))</f>
        <v/>
      </c>
      <c r="G929" s="135" t="n">
        <v>-1</v>
      </c>
      <c r="H929" s="5">
        <f>IF($I2="","",INDEX(Productos!$AG:$AG,$I2))</f>
        <v/>
      </c>
      <c r="I929" s="136">
        <f>LET(_xlpm.r,Productos!$E$2:$E$2509,_xlpm.m,IFERROR(_xlfn.XMATCH(C929,_xlpm.r),IFERROR(_xlfn.XMATCH(VALUE(C929),_xlpm.r),0)),IF(_xlpm.m=0,"",_xlpm.m+1))</f>
        <v/>
      </c>
      <c r="J929" s="137" t="inlineStr">
        <is>
          <t>NetSuite</t>
        </is>
      </c>
    </row>
    <row r="930">
      <c r="A930" s="5" t="inlineStr">
        <is>
          <t>STETSON AMERICAS</t>
        </is>
      </c>
      <c r="B930" s="5">
        <f>IF($I2="","",INDEX(Productos!$A:$A,$I2))</f>
        <v/>
      </c>
      <c r="C930" s="134" t="inlineStr">
        <is>
          <t>11-054-0816-1320-8R</t>
        </is>
      </c>
      <c r="D930" s="5">
        <f>IF($I2="","",INDEX(Productos!$B:$B,$I2))</f>
        <v/>
      </c>
      <c r="E930" s="5">
        <f>IF($I2="","",INDEX(Productos!$H:$H,$I2))</f>
        <v/>
      </c>
      <c r="F930" s="5">
        <f>IF($I2="","",INDEX(Productos!$I:$I,$I2))</f>
        <v/>
      </c>
      <c r="G930" s="135" t="n">
        <v>-1</v>
      </c>
      <c r="H930" s="5">
        <f>IF($I2="","",INDEX(Productos!$AG:$AG,$I2))</f>
        <v/>
      </c>
      <c r="I930" s="136">
        <f>LET(_xlpm.r,Productos!$E$2:$E$2509,_xlpm.m,IFERROR(_xlfn.XMATCH(C930,_xlpm.r),IFERROR(_xlfn.XMATCH(VALUE(C930),_xlpm.r),0)),IF(_xlpm.m=0,"",_xlpm.m+1))</f>
        <v/>
      </c>
      <c r="J930" s="137" t="inlineStr">
        <is>
          <t>NetSuite</t>
        </is>
      </c>
    </row>
    <row r="931">
      <c r="A931" s="5" t="inlineStr">
        <is>
          <t>STETSON AMERICAS</t>
        </is>
      </c>
      <c r="B931" s="5">
        <f>IF($I2="","",INDEX(Productos!$A:$A,$I2))</f>
        <v/>
      </c>
      <c r="C931" s="134" t="inlineStr">
        <is>
          <t>11-054-0816-1322-0R</t>
        </is>
      </c>
      <c r="D931" s="5">
        <f>IF($I2="","",INDEX(Productos!$B:$B,$I2))</f>
        <v/>
      </c>
      <c r="E931" s="5">
        <f>IF($I2="","",INDEX(Productos!$H:$H,$I2))</f>
        <v/>
      </c>
      <c r="F931" s="5">
        <f>IF($I2="","",INDEX(Productos!$I:$I,$I2))</f>
        <v/>
      </c>
      <c r="G931" s="135" t="n">
        <v>-2</v>
      </c>
      <c r="H931" s="5">
        <f>IF($I2="","",INDEX(Productos!$AG:$AG,$I2))</f>
        <v/>
      </c>
      <c r="I931" s="136">
        <f>LET(_xlpm.r,Productos!$E$2:$E$2509,_xlpm.m,IFERROR(_xlfn.XMATCH(C931,_xlpm.r),IFERROR(_xlfn.XMATCH(VALUE(C931),_xlpm.r),0)),IF(_xlpm.m=0,"",_xlpm.m+1))</f>
        <v/>
      </c>
      <c r="J931" s="137" t="inlineStr">
        <is>
          <t>NetSuite</t>
        </is>
      </c>
    </row>
    <row r="932">
      <c r="A932" s="5" t="inlineStr">
        <is>
          <t>STETSON AMERICAS</t>
        </is>
      </c>
      <c r="B932" s="5">
        <f>IF($I2="","",INDEX(Productos!$A:$A,$I2))</f>
        <v/>
      </c>
      <c r="C932" s="134" t="inlineStr">
        <is>
          <t>11-054-0816-1322-10R</t>
        </is>
      </c>
      <c r="D932" s="5">
        <f>IF($I2="","",INDEX(Productos!$B:$B,$I2))</f>
        <v/>
      </c>
      <c r="E932" s="5">
        <f>IF($I2="","",INDEX(Productos!$H:$H,$I2))</f>
        <v/>
      </c>
      <c r="F932" s="5">
        <f>IF($I2="","",INDEX(Productos!$I:$I,$I2))</f>
        <v/>
      </c>
      <c r="G932" s="135" t="n">
        <v>-5</v>
      </c>
      <c r="H932" s="5">
        <f>IF($I2="","",INDEX(Productos!$AG:$AG,$I2))</f>
        <v/>
      </c>
      <c r="I932" s="136">
        <f>LET(_xlpm.r,Productos!$E$2:$E$2509,_xlpm.m,IFERROR(_xlfn.XMATCH(C932,_xlpm.r),IFERROR(_xlfn.XMATCH(VALUE(C932),_xlpm.r),0)),IF(_xlpm.m=0,"",_xlpm.m+1))</f>
        <v/>
      </c>
      <c r="J932" s="137" t="inlineStr">
        <is>
          <t>NetSuite</t>
        </is>
      </c>
    </row>
    <row r="933">
      <c r="A933" s="5" t="inlineStr">
        <is>
          <t>STETSON AMERICAS</t>
        </is>
      </c>
      <c r="B933" s="5">
        <f>IF($I2="","",INDEX(Productos!$A:$A,$I2))</f>
        <v/>
      </c>
      <c r="C933" s="134" t="inlineStr">
        <is>
          <t>11-054-0816-1322-2R</t>
        </is>
      </c>
      <c r="D933" s="5">
        <f>IF($I2="","",INDEX(Productos!$B:$B,$I2))</f>
        <v/>
      </c>
      <c r="E933" s="5">
        <f>IF($I2="","",INDEX(Productos!$H:$H,$I2))</f>
        <v/>
      </c>
      <c r="F933" s="5">
        <f>IF($I2="","",INDEX(Productos!$I:$I,$I2))</f>
        <v/>
      </c>
      <c r="G933" s="135" t="n">
        <v>-1</v>
      </c>
      <c r="H933" s="5">
        <f>IF($I2="","",INDEX(Productos!$AG:$AG,$I2))</f>
        <v/>
      </c>
      <c r="I933" s="136">
        <f>LET(_xlpm.r,Productos!$E$2:$E$2509,_xlpm.m,IFERROR(_xlfn.XMATCH(C933,_xlpm.r),IFERROR(_xlfn.XMATCH(VALUE(C933),_xlpm.r),0)),IF(_xlpm.m=0,"",_xlpm.m+1))</f>
        <v/>
      </c>
      <c r="J933" s="137" t="inlineStr">
        <is>
          <t>NetSuite</t>
        </is>
      </c>
    </row>
    <row r="934">
      <c r="A934" s="5" t="inlineStr">
        <is>
          <t>STETSON AMERICAS</t>
        </is>
      </c>
      <c r="B934" s="5">
        <f>IF($I2="","",INDEX(Productos!$A:$A,$I2))</f>
        <v/>
      </c>
      <c r="C934" s="134" t="inlineStr">
        <is>
          <t>11-054-0816-1322-6R</t>
        </is>
      </c>
      <c r="D934" s="5">
        <f>IF($I2="","",INDEX(Productos!$B:$B,$I2))</f>
        <v/>
      </c>
      <c r="E934" s="5">
        <f>IF($I2="","",INDEX(Productos!$H:$H,$I2))</f>
        <v/>
      </c>
      <c r="F934" s="5">
        <f>IF($I2="","",INDEX(Productos!$I:$I,$I2))</f>
        <v/>
      </c>
      <c r="G934" s="135" t="n">
        <v>-1</v>
      </c>
      <c r="H934" s="5">
        <f>IF($I2="","",INDEX(Productos!$AG:$AG,$I2))</f>
        <v/>
      </c>
      <c r="I934" s="136">
        <f>LET(_xlpm.r,Productos!$E$2:$E$2509,_xlpm.m,IFERROR(_xlfn.XMATCH(C934,_xlpm.r),IFERROR(_xlfn.XMATCH(VALUE(C934),_xlpm.r),0)),IF(_xlpm.m=0,"",_xlpm.m+1))</f>
        <v/>
      </c>
      <c r="J934" s="137" t="inlineStr">
        <is>
          <t>NetSuite</t>
        </is>
      </c>
    </row>
    <row r="935">
      <c r="A935" s="5" t="inlineStr">
        <is>
          <t>STETSON AMERICAS</t>
        </is>
      </c>
      <c r="B935" s="5">
        <f>IF($I2="","",INDEX(Productos!$A:$A,$I2))</f>
        <v/>
      </c>
      <c r="C935" s="134" t="inlineStr">
        <is>
          <t>11-054-0816-1322-8R</t>
        </is>
      </c>
      <c r="D935" s="5">
        <f>IF($I2="","",INDEX(Productos!$B:$B,$I2))</f>
        <v/>
      </c>
      <c r="E935" s="5">
        <f>IF($I2="","",INDEX(Productos!$H:$H,$I2))</f>
        <v/>
      </c>
      <c r="F935" s="5">
        <f>IF($I2="","",INDEX(Productos!$I:$I,$I2))</f>
        <v/>
      </c>
      <c r="G935" s="135" t="n">
        <v>-3</v>
      </c>
      <c r="H935" s="5">
        <f>IF($I2="","",INDEX(Productos!$AG:$AG,$I2))</f>
        <v/>
      </c>
      <c r="I935" s="136">
        <f>LET(_xlpm.r,Productos!$E$2:$E$2509,_xlpm.m,IFERROR(_xlfn.XMATCH(C935,_xlpm.r),IFERROR(_xlfn.XMATCH(VALUE(C935),_xlpm.r),0)),IF(_xlpm.m=0,"",_xlpm.m+1))</f>
        <v/>
      </c>
      <c r="J935" s="137" t="inlineStr">
        <is>
          <t>NetSuite</t>
        </is>
      </c>
    </row>
    <row r="936">
      <c r="A936" s="5" t="inlineStr">
        <is>
          <t>STETSON AMERICAS</t>
        </is>
      </c>
      <c r="B936" s="5">
        <f>IF($I2="","",INDEX(Productos!$A:$A,$I2))</f>
        <v/>
      </c>
      <c r="C936" s="134" t="inlineStr">
        <is>
          <t>11-054-0921-2407-0R</t>
        </is>
      </c>
      <c r="D936" s="5">
        <f>IF($I2="","",INDEX(Productos!$B:$B,$I2))</f>
        <v/>
      </c>
      <c r="E936" s="5">
        <f>IF($I2="","",INDEX(Productos!$H:$H,$I2))</f>
        <v/>
      </c>
      <c r="F936" s="5">
        <f>IF($I2="","",INDEX(Productos!$I:$I,$I2))</f>
        <v/>
      </c>
      <c r="G936" s="135" t="n">
        <v>-1</v>
      </c>
      <c r="H936" s="5">
        <f>IF($I2="","",INDEX(Productos!$AG:$AG,$I2))</f>
        <v/>
      </c>
      <c r="I936" s="136">
        <f>LET(_xlpm.r,Productos!$E$2:$E$2509,_xlpm.m,IFERROR(_xlfn.XMATCH(C936,_xlpm.r),IFERROR(_xlfn.XMATCH(VALUE(C936),_xlpm.r),0)),IF(_xlpm.m=0,"",_xlpm.m+1))</f>
        <v/>
      </c>
      <c r="J936" s="137" t="inlineStr">
        <is>
          <t>NetSuite</t>
        </is>
      </c>
    </row>
    <row r="937">
      <c r="A937" s="5" t="inlineStr">
        <is>
          <t>STETSON AMERICAS</t>
        </is>
      </c>
      <c r="B937" s="5">
        <f>IF($I2="","",INDEX(Productos!$A:$A,$I2))</f>
        <v/>
      </c>
      <c r="C937" s="134" t="inlineStr">
        <is>
          <t>11-054-0921-2407-10R</t>
        </is>
      </c>
      <c r="D937" s="5">
        <f>IF($I2="","",INDEX(Productos!$B:$B,$I2))</f>
        <v/>
      </c>
      <c r="E937" s="5">
        <f>IF($I2="","",INDEX(Productos!$H:$H,$I2))</f>
        <v/>
      </c>
      <c r="F937" s="5">
        <f>IF($I2="","",INDEX(Productos!$I:$I,$I2))</f>
        <v/>
      </c>
      <c r="G937" s="135" t="n">
        <v>-1</v>
      </c>
      <c r="H937" s="5">
        <f>IF($I2="","",INDEX(Productos!$AG:$AG,$I2))</f>
        <v/>
      </c>
      <c r="I937" s="136">
        <f>LET(_xlpm.r,Productos!$E$2:$E$2509,_xlpm.m,IFERROR(_xlfn.XMATCH(C937,_xlpm.r),IFERROR(_xlfn.XMATCH(VALUE(C937),_xlpm.r),0)),IF(_xlpm.m=0,"",_xlpm.m+1))</f>
        <v/>
      </c>
      <c r="J937" s="137" t="inlineStr">
        <is>
          <t>NetSuite</t>
        </is>
      </c>
    </row>
    <row r="938">
      <c r="A938" s="5" t="inlineStr">
        <is>
          <t>STETSON AMERICAS</t>
        </is>
      </c>
      <c r="B938" s="5">
        <f>IF($I2="","",INDEX(Productos!$A:$A,$I2))</f>
        <v/>
      </c>
      <c r="C938" s="134" t="inlineStr">
        <is>
          <t>11-054-0921-2407-2R</t>
        </is>
      </c>
      <c r="D938" s="5">
        <f>IF($I2="","",INDEX(Productos!$B:$B,$I2))</f>
        <v/>
      </c>
      <c r="E938" s="5">
        <f>IF($I2="","",INDEX(Productos!$H:$H,$I2))</f>
        <v/>
      </c>
      <c r="F938" s="5">
        <f>IF($I2="","",INDEX(Productos!$I:$I,$I2))</f>
        <v/>
      </c>
      <c r="G938" s="135" t="n">
        <v>-1</v>
      </c>
      <c r="H938" s="5">
        <f>IF($I2="","",INDEX(Productos!$AG:$AG,$I2))</f>
        <v/>
      </c>
      <c r="I938" s="136">
        <f>LET(_xlpm.r,Productos!$E$2:$E$2509,_xlpm.m,IFERROR(_xlfn.XMATCH(C938,_xlpm.r),IFERROR(_xlfn.XMATCH(VALUE(C938),_xlpm.r),0)),IF(_xlpm.m=0,"",_xlpm.m+1))</f>
        <v/>
      </c>
      <c r="J938" s="137" t="inlineStr">
        <is>
          <t>NetSuite</t>
        </is>
      </c>
    </row>
    <row r="939">
      <c r="A939" s="5" t="inlineStr">
        <is>
          <t>STETSON AMERICAS</t>
        </is>
      </c>
      <c r="B939" s="5">
        <f>IF($I2="","",INDEX(Productos!$A:$A,$I2))</f>
        <v/>
      </c>
      <c r="C939" s="134" t="inlineStr">
        <is>
          <t>11-054-0921-2407-6R</t>
        </is>
      </c>
      <c r="D939" s="5">
        <f>IF($I2="","",INDEX(Productos!$B:$B,$I2))</f>
        <v/>
      </c>
      <c r="E939" s="5">
        <f>IF($I2="","",INDEX(Productos!$H:$H,$I2))</f>
        <v/>
      </c>
      <c r="F939" s="5">
        <f>IF($I2="","",INDEX(Productos!$I:$I,$I2))</f>
        <v/>
      </c>
      <c r="G939" s="135" t="n">
        <v>-1</v>
      </c>
      <c r="H939" s="5">
        <f>IF($I2="","",INDEX(Productos!$AG:$AG,$I2))</f>
        <v/>
      </c>
      <c r="I939" s="136">
        <f>LET(_xlpm.r,Productos!$E$2:$E$2509,_xlpm.m,IFERROR(_xlfn.XMATCH(C939,_xlpm.r),IFERROR(_xlfn.XMATCH(VALUE(C939),_xlpm.r),0)),IF(_xlpm.m=0,"",_xlpm.m+1))</f>
        <v/>
      </c>
      <c r="J939" s="137" t="inlineStr">
        <is>
          <t>NetSuite</t>
        </is>
      </c>
    </row>
    <row r="940">
      <c r="A940" s="5" t="inlineStr">
        <is>
          <t>STETSON AMERICAS</t>
        </is>
      </c>
      <c r="B940" s="5">
        <f>IF($I2="","",INDEX(Productos!$A:$A,$I2))</f>
        <v/>
      </c>
      <c r="C940" s="134" t="inlineStr">
        <is>
          <t>11-054-0921-2407-8R</t>
        </is>
      </c>
      <c r="D940" s="5">
        <f>IF($I2="","",INDEX(Productos!$B:$B,$I2))</f>
        <v/>
      </c>
      <c r="E940" s="5">
        <f>IF($I2="","",INDEX(Productos!$H:$H,$I2))</f>
        <v/>
      </c>
      <c r="F940" s="5">
        <f>IF($I2="","",INDEX(Productos!$I:$I,$I2))</f>
        <v/>
      </c>
      <c r="G940" s="135" t="n">
        <v>-2</v>
      </c>
      <c r="H940" s="5">
        <f>IF($I2="","",INDEX(Productos!$AG:$AG,$I2))</f>
        <v/>
      </c>
      <c r="I940" s="136">
        <f>LET(_xlpm.r,Productos!$E$2:$E$2509,_xlpm.m,IFERROR(_xlfn.XMATCH(C940,_xlpm.r),IFERROR(_xlfn.XMATCH(VALUE(C940),_xlpm.r),0)),IF(_xlpm.m=0,"",_xlpm.m+1))</f>
        <v/>
      </c>
      <c r="J940" s="137" t="inlineStr">
        <is>
          <t>NetSuite</t>
        </is>
      </c>
    </row>
    <row r="941">
      <c r="A941" s="5" t="inlineStr">
        <is>
          <t>STETSON AMERICAS</t>
        </is>
      </c>
      <c r="B941" s="5">
        <f>IF($I2="","",INDEX(Productos!$A:$A,$I2))</f>
        <v/>
      </c>
      <c r="C941" s="134" t="inlineStr">
        <is>
          <t>11-054-0921-2414-10R</t>
        </is>
      </c>
      <c r="D941" s="5">
        <f>IF($I2="","",INDEX(Productos!$B:$B,$I2))</f>
        <v/>
      </c>
      <c r="E941" s="5">
        <f>IF($I2="","",INDEX(Productos!$H:$H,$I2))</f>
        <v/>
      </c>
      <c r="F941" s="5">
        <f>IF($I2="","",INDEX(Productos!$I:$I,$I2))</f>
        <v/>
      </c>
      <c r="G941" s="135" t="n">
        <v>-1</v>
      </c>
      <c r="H941" s="5">
        <f>IF($I2="","",INDEX(Productos!$AG:$AG,$I2))</f>
        <v/>
      </c>
      <c r="I941" s="136">
        <f>LET(_xlpm.r,Productos!$E$2:$E$2509,_xlpm.m,IFERROR(_xlfn.XMATCH(C941,_xlpm.r),IFERROR(_xlfn.XMATCH(VALUE(C941),_xlpm.r),0)),IF(_xlpm.m=0,"",_xlpm.m+1))</f>
        <v/>
      </c>
      <c r="J941" s="137" t="inlineStr">
        <is>
          <t>NetSuite</t>
        </is>
      </c>
    </row>
    <row r="942">
      <c r="A942" s="5" t="inlineStr">
        <is>
          <t>STETSON AMERICAS</t>
        </is>
      </c>
      <c r="B942" s="5">
        <f>IF($I2="","",INDEX(Productos!$A:$A,$I2))</f>
        <v/>
      </c>
      <c r="C942" s="134" t="inlineStr">
        <is>
          <t>11-054-0921-2414-6R</t>
        </is>
      </c>
      <c r="D942" s="5">
        <f>IF($I2="","",INDEX(Productos!$B:$B,$I2))</f>
        <v/>
      </c>
      <c r="E942" s="5">
        <f>IF($I2="","",INDEX(Productos!$H:$H,$I2))</f>
        <v/>
      </c>
      <c r="F942" s="5">
        <f>IF($I2="","",INDEX(Productos!$I:$I,$I2))</f>
        <v/>
      </c>
      <c r="G942" s="135" t="n">
        <v>-1</v>
      </c>
      <c r="H942" s="5">
        <f>IF($I2="","",INDEX(Productos!$AG:$AG,$I2))</f>
        <v/>
      </c>
      <c r="I942" s="136">
        <f>LET(_xlpm.r,Productos!$E$2:$E$2509,_xlpm.m,IFERROR(_xlfn.XMATCH(C942,_xlpm.r),IFERROR(_xlfn.XMATCH(VALUE(C942),_xlpm.r),0)),IF(_xlpm.m=0,"",_xlpm.m+1))</f>
        <v/>
      </c>
      <c r="J942" s="137" t="inlineStr">
        <is>
          <t>NetSuite</t>
        </is>
      </c>
    </row>
    <row r="943">
      <c r="A943" s="5" t="inlineStr">
        <is>
          <t>STETSON AMERICAS</t>
        </is>
      </c>
      <c r="B943" s="5">
        <f>IF($I2="","",INDEX(Productos!$A:$A,$I2))</f>
        <v/>
      </c>
      <c r="C943" s="134" t="inlineStr">
        <is>
          <t>11-054-0921-2414-8R</t>
        </is>
      </c>
      <c r="D943" s="5">
        <f>IF($I2="","",INDEX(Productos!$B:$B,$I2))</f>
        <v/>
      </c>
      <c r="E943" s="5">
        <f>IF($I2="","",INDEX(Productos!$H:$H,$I2))</f>
        <v/>
      </c>
      <c r="F943" s="5">
        <f>IF($I2="","",INDEX(Productos!$I:$I,$I2))</f>
        <v/>
      </c>
      <c r="G943" s="135" t="n">
        <v>-1</v>
      </c>
      <c r="H943" s="5">
        <f>IF($I2="","",INDEX(Productos!$AG:$AG,$I2))</f>
        <v/>
      </c>
      <c r="I943" s="136">
        <f>LET(_xlpm.r,Productos!$E$2:$E$2509,_xlpm.m,IFERROR(_xlfn.XMATCH(C943,_xlpm.r),IFERROR(_xlfn.XMATCH(VALUE(C943),_xlpm.r),0)),IF(_xlpm.m=0,"",_xlpm.m+1))</f>
        <v/>
      </c>
      <c r="J943" s="137" t="inlineStr">
        <is>
          <t>NetSuite</t>
        </is>
      </c>
    </row>
    <row r="944">
      <c r="A944" s="5" t="inlineStr">
        <is>
          <t>STETSON AMERICAS</t>
        </is>
      </c>
      <c r="B944" s="5">
        <f>IF($I2="","",INDEX(Productos!$A:$A,$I2))</f>
        <v/>
      </c>
      <c r="C944" s="134" t="inlineStr">
        <is>
          <t>11-057-0202-9160-L</t>
        </is>
      </c>
      <c r="D944" s="5">
        <f>IF($I2="","",INDEX(Productos!$B:$B,$I2))</f>
        <v/>
      </c>
      <c r="E944" s="5">
        <f>IF($I2="","",INDEX(Productos!$H:$H,$I2))</f>
        <v/>
      </c>
      <c r="F944" s="5">
        <f>IF($I2="","",INDEX(Productos!$I:$I,$I2))</f>
        <v/>
      </c>
      <c r="G944" s="135" t="n">
        <v>-1</v>
      </c>
      <c r="H944" s="5">
        <f>IF($I2="","",INDEX(Productos!$AG:$AG,$I2))</f>
        <v/>
      </c>
      <c r="I944" s="136">
        <f>LET(_xlpm.r,Productos!$E$2:$E$2509,_xlpm.m,IFERROR(_xlfn.XMATCH(C944,_xlpm.r),IFERROR(_xlfn.XMATCH(VALUE(C944),_xlpm.r),0)),IF(_xlpm.m=0,"",_xlpm.m+1))</f>
        <v/>
      </c>
      <c r="J944" s="137" t="inlineStr">
        <is>
          <t>NetSuite</t>
        </is>
      </c>
    </row>
    <row r="945">
      <c r="A945" s="5" t="inlineStr">
        <is>
          <t>STETSON AMERICAS</t>
        </is>
      </c>
      <c r="B945" s="5">
        <f>IF($I2="","",INDEX(Productos!$A:$A,$I2))</f>
        <v/>
      </c>
      <c r="C945" s="134" t="inlineStr">
        <is>
          <t>11-057-0202-9160-M</t>
        </is>
      </c>
      <c r="D945" s="5">
        <f>IF($I2="","",INDEX(Productos!$B:$B,$I2))</f>
        <v/>
      </c>
      <c r="E945" s="5">
        <f>IF($I2="","",INDEX(Productos!$H:$H,$I2))</f>
        <v/>
      </c>
      <c r="F945" s="5">
        <f>IF($I2="","",INDEX(Productos!$I:$I,$I2))</f>
        <v/>
      </c>
      <c r="G945" s="135" t="n">
        <v>-1</v>
      </c>
      <c r="H945" s="5">
        <f>IF($I2="","",INDEX(Productos!$AG:$AG,$I2))</f>
        <v/>
      </c>
      <c r="I945" s="136">
        <f>LET(_xlpm.r,Productos!$E$2:$E$2509,_xlpm.m,IFERROR(_xlfn.XMATCH(C945,_xlpm.r),IFERROR(_xlfn.XMATCH(VALUE(C945),_xlpm.r),0)),IF(_xlpm.m=0,"",_xlpm.m+1))</f>
        <v/>
      </c>
      <c r="J945" s="137" t="inlineStr">
        <is>
          <t>NetSuite</t>
        </is>
      </c>
    </row>
    <row r="946">
      <c r="A946" s="5" t="inlineStr">
        <is>
          <t>STETSON AMERICAS</t>
        </is>
      </c>
      <c r="B946" s="5">
        <f>IF($I2="","",INDEX(Productos!$A:$A,$I2))</f>
        <v/>
      </c>
      <c r="C946" s="134" t="inlineStr">
        <is>
          <t>11-057-0202-9160-S</t>
        </is>
      </c>
      <c r="D946" s="5">
        <f>IF($I2="","",INDEX(Productos!$B:$B,$I2))</f>
        <v/>
      </c>
      <c r="E946" s="5">
        <f>IF($I2="","",INDEX(Productos!$H:$H,$I2))</f>
        <v/>
      </c>
      <c r="F946" s="5">
        <f>IF($I2="","",INDEX(Productos!$I:$I,$I2))</f>
        <v/>
      </c>
      <c r="G946" s="135" t="n">
        <v>-1</v>
      </c>
      <c r="H946" s="5">
        <f>IF($I2="","",INDEX(Productos!$AG:$AG,$I2))</f>
        <v/>
      </c>
      <c r="I946" s="136">
        <f>LET(_xlpm.r,Productos!$E$2:$E$2509,_xlpm.m,IFERROR(_xlfn.XMATCH(C946,_xlpm.r),IFERROR(_xlfn.XMATCH(VALUE(C946),_xlpm.r),0)),IF(_xlpm.m=0,"",_xlpm.m+1))</f>
        <v/>
      </c>
      <c r="J946" s="137" t="inlineStr">
        <is>
          <t>NetSuite</t>
        </is>
      </c>
    </row>
    <row r="947">
      <c r="A947" s="5" t="inlineStr">
        <is>
          <t>STETSON AMERICAS</t>
        </is>
      </c>
      <c r="B947" s="5">
        <f>IF($I2="","",INDEX(Productos!$A:$A,$I2))</f>
        <v/>
      </c>
      <c r="C947" s="134" t="inlineStr">
        <is>
          <t>11-057-0202-9160-XL</t>
        </is>
      </c>
      <c r="D947" s="5">
        <f>IF($I2="","",INDEX(Productos!$B:$B,$I2))</f>
        <v/>
      </c>
      <c r="E947" s="5">
        <f>IF($I2="","",INDEX(Productos!$H:$H,$I2))</f>
        <v/>
      </c>
      <c r="F947" s="5">
        <f>IF($I2="","",INDEX(Productos!$I:$I,$I2))</f>
        <v/>
      </c>
      <c r="G947" s="135" t="n">
        <v>-1</v>
      </c>
      <c r="H947" s="5">
        <f>IF($I2="","",INDEX(Productos!$AG:$AG,$I2))</f>
        <v/>
      </c>
      <c r="I947" s="136">
        <f>LET(_xlpm.r,Productos!$E$2:$E$2509,_xlpm.m,IFERROR(_xlfn.XMATCH(C947,_xlpm.r),IFERROR(_xlfn.XMATCH(VALUE(C947),_xlpm.r),0)),IF(_xlpm.m=0,"",_xlpm.m+1))</f>
        <v/>
      </c>
      <c r="J947" s="137" t="inlineStr">
        <is>
          <t>NetSuite</t>
        </is>
      </c>
    </row>
    <row r="948">
      <c r="A948" s="5" t="inlineStr">
        <is>
          <t>STETSON AMERICAS</t>
        </is>
      </c>
      <c r="B948" s="5">
        <f>IF($I2="","",INDEX(Productos!$A:$A,$I2))</f>
        <v/>
      </c>
      <c r="C948" s="134" t="inlineStr">
        <is>
          <t>11-057-0202-9160-XS</t>
        </is>
      </c>
      <c r="D948" s="5">
        <f>IF($I2="","",INDEX(Productos!$B:$B,$I2))</f>
        <v/>
      </c>
      <c r="E948" s="5">
        <f>IF($I2="","",INDEX(Productos!$H:$H,$I2))</f>
        <v/>
      </c>
      <c r="F948" s="5">
        <f>IF($I2="","",INDEX(Productos!$I:$I,$I2))</f>
        <v/>
      </c>
      <c r="G948" s="135" t="n">
        <v>-5</v>
      </c>
      <c r="H948" s="5">
        <f>IF($I2="","",INDEX(Productos!$AG:$AG,$I2))</f>
        <v/>
      </c>
      <c r="I948" s="136">
        <f>LET(_xlpm.r,Productos!$E$2:$E$2509,_xlpm.m,IFERROR(_xlfn.XMATCH(C948,_xlpm.r),IFERROR(_xlfn.XMATCH(VALUE(C948),_xlpm.r),0)),IF(_xlpm.m=0,"",_xlpm.m+1))</f>
        <v/>
      </c>
      <c r="J948" s="137" t="inlineStr">
        <is>
          <t>NetSuite</t>
        </is>
      </c>
    </row>
    <row r="949">
      <c r="A949" s="5" t="inlineStr">
        <is>
          <t>STETSON AMERICAS</t>
        </is>
      </c>
      <c r="B949" s="5">
        <f>IF($I2="","",INDEX(Productos!$A:$A,$I2))</f>
        <v/>
      </c>
      <c r="C949" s="134" t="inlineStr">
        <is>
          <t>11-057-0565-0557-M</t>
        </is>
      </c>
      <c r="D949" s="5">
        <f>IF($I2="","",INDEX(Productos!$B:$B,$I2))</f>
        <v/>
      </c>
      <c r="E949" s="5">
        <f>IF($I2="","",INDEX(Productos!$H:$H,$I2))</f>
        <v/>
      </c>
      <c r="F949" s="5">
        <f>IF($I2="","",INDEX(Productos!$I:$I,$I2))</f>
        <v/>
      </c>
      <c r="G949" s="135" t="n">
        <v>-1</v>
      </c>
      <c r="H949" s="5">
        <f>IF($I2="","",INDEX(Productos!$AG:$AG,$I2))</f>
        <v/>
      </c>
      <c r="I949" s="136">
        <f>LET(_xlpm.r,Productos!$E$2:$E$2509,_xlpm.m,IFERROR(_xlfn.XMATCH(C949,_xlpm.r),IFERROR(_xlfn.XMATCH(VALUE(C949),_xlpm.r),0)),IF(_xlpm.m=0,"",_xlpm.m+1))</f>
        <v/>
      </c>
      <c r="J949" s="137" t="inlineStr">
        <is>
          <t>NetSuite</t>
        </is>
      </c>
    </row>
    <row r="950">
      <c r="A950" s="5" t="inlineStr">
        <is>
          <t>STETSON AMERICAS</t>
        </is>
      </c>
      <c r="B950" s="5">
        <f>IF($I2="","",INDEX(Productos!$A:$A,$I2))</f>
        <v/>
      </c>
      <c r="C950" s="134" t="inlineStr">
        <is>
          <t>11-057-0565-0557-S</t>
        </is>
      </c>
      <c r="D950" s="5">
        <f>IF($I2="","",INDEX(Productos!$B:$B,$I2))</f>
        <v/>
      </c>
      <c r="E950" s="5">
        <f>IF($I2="","",INDEX(Productos!$H:$H,$I2))</f>
        <v/>
      </c>
      <c r="F950" s="5">
        <f>IF($I2="","",INDEX(Productos!$I:$I,$I2))</f>
        <v/>
      </c>
      <c r="G950" s="135" t="n">
        <v>-2</v>
      </c>
      <c r="H950" s="5">
        <f>IF($I2="","",INDEX(Productos!$AG:$AG,$I2))</f>
        <v/>
      </c>
      <c r="I950" s="136">
        <f>LET(_xlpm.r,Productos!$E$2:$E$2509,_xlpm.m,IFERROR(_xlfn.XMATCH(C950,_xlpm.r),IFERROR(_xlfn.XMATCH(VALUE(C950),_xlpm.r),0)),IF(_xlpm.m=0,"",_xlpm.m+1))</f>
        <v/>
      </c>
      <c r="J950" s="137" t="inlineStr">
        <is>
          <t>NetSuite</t>
        </is>
      </c>
    </row>
    <row r="951">
      <c r="A951" s="5" t="inlineStr">
        <is>
          <t>STETSON AMERICAS</t>
        </is>
      </c>
      <c r="B951" s="5">
        <f>IF($I2="","",INDEX(Productos!$A:$A,$I2))</f>
        <v/>
      </c>
      <c r="C951" s="134" t="inlineStr">
        <is>
          <t>11-057-0565-0557-XS</t>
        </is>
      </c>
      <c r="D951" s="5">
        <f>IF($I2="","",INDEX(Productos!$B:$B,$I2))</f>
        <v/>
      </c>
      <c r="E951" s="5">
        <f>IF($I2="","",INDEX(Productos!$H:$H,$I2))</f>
        <v/>
      </c>
      <c r="F951" s="5">
        <f>IF($I2="","",INDEX(Productos!$I:$I,$I2))</f>
        <v/>
      </c>
      <c r="G951" s="135" t="n">
        <v>-1</v>
      </c>
      <c r="H951" s="5">
        <f>IF($I2="","",INDEX(Productos!$AG:$AG,$I2))</f>
        <v/>
      </c>
      <c r="I951" s="136">
        <f>LET(_xlpm.r,Productos!$E$2:$E$2509,_xlpm.m,IFERROR(_xlfn.XMATCH(C951,_xlpm.r),IFERROR(_xlfn.XMATCH(VALUE(C951),_xlpm.r),0)),IF(_xlpm.m=0,"",_xlpm.m+1))</f>
        <v/>
      </c>
      <c r="J951" s="137" t="inlineStr">
        <is>
          <t>NetSuite</t>
        </is>
      </c>
    </row>
    <row r="952">
      <c r="A952" s="5" t="inlineStr">
        <is>
          <t>STETSON AMERICAS</t>
        </is>
      </c>
      <c r="B952" s="5">
        <f>IF($I2="","",INDEX(Productos!$A:$A,$I2))</f>
        <v/>
      </c>
      <c r="C952" s="134" t="inlineStr">
        <is>
          <t>11-057-0565-3002-M</t>
        </is>
      </c>
      <c r="D952" s="5">
        <f>IF($I2="","",INDEX(Productos!$B:$B,$I2))</f>
        <v/>
      </c>
      <c r="E952" s="5">
        <f>IF($I2="","",INDEX(Productos!$H:$H,$I2))</f>
        <v/>
      </c>
      <c r="F952" s="5">
        <f>IF($I2="","",INDEX(Productos!$I:$I,$I2))</f>
        <v/>
      </c>
      <c r="G952" s="135" t="n">
        <v>-1</v>
      </c>
      <c r="H952" s="5">
        <f>IF($I2="","",INDEX(Productos!$AG:$AG,$I2))</f>
        <v/>
      </c>
      <c r="I952" s="136">
        <f>LET(_xlpm.r,Productos!$E$2:$E$2509,_xlpm.m,IFERROR(_xlfn.XMATCH(C952,_xlpm.r),IFERROR(_xlfn.XMATCH(VALUE(C952),_xlpm.r),0)),IF(_xlpm.m=0,"",_xlpm.m+1))</f>
        <v/>
      </c>
      <c r="J952" s="137" t="inlineStr">
        <is>
          <t>NetSuite</t>
        </is>
      </c>
    </row>
    <row r="953">
      <c r="A953" s="5" t="inlineStr">
        <is>
          <t>STETSON AMERICAS</t>
        </is>
      </c>
      <c r="B953" s="5">
        <f>IF($I2="","",INDEX(Productos!$A:$A,$I2))</f>
        <v/>
      </c>
      <c r="C953" s="134" t="inlineStr">
        <is>
          <t>11-057-0565-3002-S</t>
        </is>
      </c>
      <c r="D953" s="5">
        <f>IF($I2="","",INDEX(Productos!$B:$B,$I2))</f>
        <v/>
      </c>
      <c r="E953" s="5">
        <f>IF($I2="","",INDEX(Productos!$H:$H,$I2))</f>
        <v/>
      </c>
      <c r="F953" s="5">
        <f>IF($I2="","",INDEX(Productos!$I:$I,$I2))</f>
        <v/>
      </c>
      <c r="G953" s="135" t="n">
        <v>-1</v>
      </c>
      <c r="H953" s="5">
        <f>IF($I2="","",INDEX(Productos!$AG:$AG,$I2))</f>
        <v/>
      </c>
      <c r="I953" s="136">
        <f>LET(_xlpm.r,Productos!$E$2:$E$2509,_xlpm.m,IFERROR(_xlfn.XMATCH(C953,_xlpm.r),IFERROR(_xlfn.XMATCH(VALUE(C953),_xlpm.r),0)),IF(_xlpm.m=0,"",_xlpm.m+1))</f>
        <v/>
      </c>
      <c r="J953" s="137" t="inlineStr">
        <is>
          <t>NetSuite</t>
        </is>
      </c>
    </row>
    <row r="954">
      <c r="A954" s="5" t="inlineStr">
        <is>
          <t>STETSON AMERICAS</t>
        </is>
      </c>
      <c r="B954" s="5">
        <f>IF($I2="","",INDEX(Productos!$A:$A,$I2))</f>
        <v/>
      </c>
      <c r="C954" s="134" t="inlineStr">
        <is>
          <t>11-057-0590-2014-S</t>
        </is>
      </c>
      <c r="D954" s="5">
        <f>IF($I2="","",INDEX(Productos!$B:$B,$I2))</f>
        <v/>
      </c>
      <c r="E954" s="5">
        <f>IF($I2="","",INDEX(Productos!$H:$H,$I2))</f>
        <v/>
      </c>
      <c r="F954" s="5">
        <f>IF($I2="","",INDEX(Productos!$I:$I,$I2))</f>
        <v/>
      </c>
      <c r="G954" s="135" t="n">
        <v>-1</v>
      </c>
      <c r="H954" s="5">
        <f>IF($I2="","",INDEX(Productos!$AG:$AG,$I2))</f>
        <v/>
      </c>
      <c r="I954" s="136">
        <f>LET(_xlpm.r,Productos!$E$2:$E$2509,_xlpm.m,IFERROR(_xlfn.XMATCH(C954,_xlpm.r),IFERROR(_xlfn.XMATCH(VALUE(C954),_xlpm.r),0)),IF(_xlpm.m=0,"",_xlpm.m+1))</f>
        <v/>
      </c>
      <c r="J954" s="137" t="inlineStr">
        <is>
          <t>NetSuite</t>
        </is>
      </c>
    </row>
    <row r="955">
      <c r="A955" s="5" t="inlineStr">
        <is>
          <t>STETSON AMERICAS</t>
        </is>
      </c>
      <c r="B955" s="5">
        <f>IF($I2="","",INDEX(Productos!$A:$A,$I2))</f>
        <v/>
      </c>
      <c r="C955" s="134" t="inlineStr">
        <is>
          <t>11-057-0590-2014-XL</t>
        </is>
      </c>
      <c r="D955" s="5">
        <f>IF($I2="","",INDEX(Productos!$B:$B,$I2))</f>
        <v/>
      </c>
      <c r="E955" s="5">
        <f>IF($I2="","",INDEX(Productos!$H:$H,$I2))</f>
        <v/>
      </c>
      <c r="F955" s="5">
        <f>IF($I2="","",INDEX(Productos!$I:$I,$I2))</f>
        <v/>
      </c>
      <c r="G955" s="135" t="n">
        <v>-1</v>
      </c>
      <c r="H955" s="5">
        <f>IF($I2="","",INDEX(Productos!$AG:$AG,$I2))</f>
        <v/>
      </c>
      <c r="I955" s="136">
        <f>LET(_xlpm.r,Productos!$E$2:$E$2509,_xlpm.m,IFERROR(_xlfn.XMATCH(C955,_xlpm.r),IFERROR(_xlfn.XMATCH(VALUE(C955),_xlpm.r),0)),IF(_xlpm.m=0,"",_xlpm.m+1))</f>
        <v/>
      </c>
      <c r="J955" s="137" t="inlineStr">
        <is>
          <t>NetSuite</t>
        </is>
      </c>
    </row>
    <row r="956">
      <c r="A956" s="5" t="inlineStr">
        <is>
          <t>STETSON AMERICAS</t>
        </is>
      </c>
      <c r="B956" s="5">
        <f>IF($I2="","",INDEX(Productos!$A:$A,$I2))</f>
        <v/>
      </c>
      <c r="C956" s="134" t="inlineStr">
        <is>
          <t>11-057-0590-2014-XS</t>
        </is>
      </c>
      <c r="D956" s="5">
        <f>IF($I2="","",INDEX(Productos!$B:$B,$I2))</f>
        <v/>
      </c>
      <c r="E956" s="5">
        <f>IF($I2="","",INDEX(Productos!$H:$H,$I2))</f>
        <v/>
      </c>
      <c r="F956" s="5">
        <f>IF($I2="","",INDEX(Productos!$I:$I,$I2))</f>
        <v/>
      </c>
      <c r="G956" s="135" t="n">
        <v>-1</v>
      </c>
      <c r="H956" s="5">
        <f>IF($I2="","",INDEX(Productos!$AG:$AG,$I2))</f>
        <v/>
      </c>
      <c r="I956" s="136">
        <f>LET(_xlpm.r,Productos!$E$2:$E$2509,_xlpm.m,IFERROR(_xlfn.XMATCH(C956,_xlpm.r),IFERROR(_xlfn.XMATCH(VALUE(C956),_xlpm.r),0)),IF(_xlpm.m=0,"",_xlpm.m+1))</f>
        <v/>
      </c>
      <c r="J956" s="137" t="inlineStr">
        <is>
          <t>NetSuite</t>
        </is>
      </c>
    </row>
    <row r="957">
      <c r="A957" s="5" t="inlineStr">
        <is>
          <t>STETSON AMERICAS</t>
        </is>
      </c>
      <c r="B957" s="5">
        <f>IF($I2="","",INDEX(Productos!$A:$A,$I2))</f>
        <v/>
      </c>
      <c r="C957" s="134" t="inlineStr">
        <is>
          <t>11-057-0590-3004-M</t>
        </is>
      </c>
      <c r="D957" s="5">
        <f>IF($I2="","",INDEX(Productos!$B:$B,$I2))</f>
        <v/>
      </c>
      <c r="E957" s="5">
        <f>IF($I2="","",INDEX(Productos!$H:$H,$I2))</f>
        <v/>
      </c>
      <c r="F957" s="5">
        <f>IF($I2="","",INDEX(Productos!$I:$I,$I2))</f>
        <v/>
      </c>
      <c r="G957" s="135" t="n">
        <v>-1</v>
      </c>
      <c r="H957" s="5">
        <f>IF($I2="","",INDEX(Productos!$AG:$AG,$I2))</f>
        <v/>
      </c>
      <c r="I957" s="136">
        <f>LET(_xlpm.r,Productos!$E$2:$E$2509,_xlpm.m,IFERROR(_xlfn.XMATCH(C957,_xlpm.r),IFERROR(_xlfn.XMATCH(VALUE(C957),_xlpm.r),0)),IF(_xlpm.m=0,"",_xlpm.m+1))</f>
        <v/>
      </c>
      <c r="J957" s="137" t="inlineStr">
        <is>
          <t>NetSuite</t>
        </is>
      </c>
    </row>
    <row r="958">
      <c r="A958" s="5" t="inlineStr">
        <is>
          <t>STETSON AMERICAS</t>
        </is>
      </c>
      <c r="B958" s="5">
        <f>IF($I2="","",INDEX(Productos!$A:$A,$I2))</f>
        <v/>
      </c>
      <c r="C958" s="134" t="inlineStr">
        <is>
          <t>11-057-0590-3004-S</t>
        </is>
      </c>
      <c r="D958" s="5">
        <f>IF($I2="","",INDEX(Productos!$B:$B,$I2))</f>
        <v/>
      </c>
      <c r="E958" s="5">
        <f>IF($I2="","",INDEX(Productos!$H:$H,$I2))</f>
        <v/>
      </c>
      <c r="F958" s="5">
        <f>IF($I2="","",INDEX(Productos!$I:$I,$I2))</f>
        <v/>
      </c>
      <c r="G958" s="135" t="n">
        <v>-2</v>
      </c>
      <c r="H958" s="5">
        <f>IF($I2="","",INDEX(Productos!$AG:$AG,$I2))</f>
        <v/>
      </c>
      <c r="I958" s="136">
        <f>LET(_xlpm.r,Productos!$E$2:$E$2509,_xlpm.m,IFERROR(_xlfn.XMATCH(C958,_xlpm.r),IFERROR(_xlfn.XMATCH(VALUE(C958),_xlpm.r),0)),IF(_xlpm.m=0,"",_xlpm.m+1))</f>
        <v/>
      </c>
      <c r="J958" s="137" t="inlineStr">
        <is>
          <t>NetSuite</t>
        </is>
      </c>
    </row>
    <row r="959">
      <c r="A959" s="5" t="inlineStr">
        <is>
          <t>STETSON AMERICAS</t>
        </is>
      </c>
      <c r="B959" s="5">
        <f>IF($I2="","",INDEX(Productos!$A:$A,$I2))</f>
        <v/>
      </c>
      <c r="C959" s="134" t="inlineStr">
        <is>
          <t>11-057-0590-3004-XS</t>
        </is>
      </c>
      <c r="D959" s="5">
        <f>IF($I2="","",INDEX(Productos!$B:$B,$I2))</f>
        <v/>
      </c>
      <c r="E959" s="5">
        <f>IF($I2="","",INDEX(Productos!$H:$H,$I2))</f>
        <v/>
      </c>
      <c r="F959" s="5">
        <f>IF($I2="","",INDEX(Productos!$I:$I,$I2))</f>
        <v/>
      </c>
      <c r="G959" s="135" t="n">
        <v>-1</v>
      </c>
      <c r="H959" s="5">
        <f>IF($I2="","",INDEX(Productos!$AG:$AG,$I2))</f>
        <v/>
      </c>
      <c r="I959" s="136">
        <f>LET(_xlpm.r,Productos!$E$2:$E$2509,_xlpm.m,IFERROR(_xlfn.XMATCH(C959,_xlpm.r),IFERROR(_xlfn.XMATCH(VALUE(C959),_xlpm.r),0)),IF(_xlpm.m=0,"",_xlpm.m+1))</f>
        <v/>
      </c>
      <c r="J959" s="137" t="inlineStr">
        <is>
          <t>NetSuite</t>
        </is>
      </c>
    </row>
    <row r="960">
      <c r="A960" s="5" t="inlineStr">
        <is>
          <t>STETSON AMERICAS</t>
        </is>
      </c>
      <c r="B960" s="5">
        <f>IF($I2="","",INDEX(Productos!$A:$A,$I2))</f>
        <v/>
      </c>
      <c r="C960" s="134" t="inlineStr">
        <is>
          <t>11-057-0590-6031-L</t>
        </is>
      </c>
      <c r="D960" s="5">
        <f>IF($I2="","",INDEX(Productos!$B:$B,$I2))</f>
        <v/>
      </c>
      <c r="E960" s="5">
        <f>IF($I2="","",INDEX(Productos!$H:$H,$I2))</f>
        <v/>
      </c>
      <c r="F960" s="5">
        <f>IF($I2="","",INDEX(Productos!$I:$I,$I2))</f>
        <v/>
      </c>
      <c r="G960" s="135" t="n">
        <v>-2</v>
      </c>
      <c r="H960" s="5">
        <f>IF($I2="","",INDEX(Productos!$AG:$AG,$I2))</f>
        <v/>
      </c>
      <c r="I960" s="136">
        <f>LET(_xlpm.r,Productos!$E$2:$E$2509,_xlpm.m,IFERROR(_xlfn.XMATCH(C960,_xlpm.r),IFERROR(_xlfn.XMATCH(VALUE(C960),_xlpm.r),0)),IF(_xlpm.m=0,"",_xlpm.m+1))</f>
        <v/>
      </c>
      <c r="J960" s="137" t="inlineStr">
        <is>
          <t>NetSuite</t>
        </is>
      </c>
    </row>
    <row r="961">
      <c r="A961" s="5" t="inlineStr">
        <is>
          <t>STETSON AMERICAS</t>
        </is>
      </c>
      <c r="B961" s="5">
        <f>IF($I2="","",INDEX(Productos!$A:$A,$I2))</f>
        <v/>
      </c>
      <c r="C961" s="134" t="inlineStr">
        <is>
          <t>11-057-0590-6031-M</t>
        </is>
      </c>
      <c r="D961" s="5">
        <f>IF($I2="","",INDEX(Productos!$B:$B,$I2))</f>
        <v/>
      </c>
      <c r="E961" s="5">
        <f>IF($I2="","",INDEX(Productos!$H:$H,$I2))</f>
        <v/>
      </c>
      <c r="F961" s="5">
        <f>IF($I2="","",INDEX(Productos!$I:$I,$I2))</f>
        <v/>
      </c>
      <c r="G961" s="135" t="n">
        <v>-4</v>
      </c>
      <c r="H961" s="5">
        <f>IF($I2="","",INDEX(Productos!$AG:$AG,$I2))</f>
        <v/>
      </c>
      <c r="I961" s="136">
        <f>LET(_xlpm.r,Productos!$E$2:$E$2509,_xlpm.m,IFERROR(_xlfn.XMATCH(C961,_xlpm.r),IFERROR(_xlfn.XMATCH(VALUE(C961),_xlpm.r),0)),IF(_xlpm.m=0,"",_xlpm.m+1))</f>
        <v/>
      </c>
      <c r="J961" s="137" t="inlineStr">
        <is>
          <t>NetSuite</t>
        </is>
      </c>
    </row>
    <row r="962">
      <c r="A962" s="5" t="inlineStr">
        <is>
          <t>STETSON AMERICAS</t>
        </is>
      </c>
      <c r="B962" s="5">
        <f>IF($I2="","",INDEX(Productos!$A:$A,$I2))</f>
        <v/>
      </c>
      <c r="C962" s="134" t="inlineStr">
        <is>
          <t>11-057-0590-6031-S</t>
        </is>
      </c>
      <c r="D962" s="5">
        <f>IF($I2="","",INDEX(Productos!$B:$B,$I2))</f>
        <v/>
      </c>
      <c r="E962" s="5">
        <f>IF($I2="","",INDEX(Productos!$H:$H,$I2))</f>
        <v/>
      </c>
      <c r="F962" s="5">
        <f>IF($I2="","",INDEX(Productos!$I:$I,$I2))</f>
        <v/>
      </c>
      <c r="G962" s="135" t="n">
        <v>-1</v>
      </c>
      <c r="H962" s="5">
        <f>IF($I2="","",INDEX(Productos!$AG:$AG,$I2))</f>
        <v/>
      </c>
      <c r="I962" s="136">
        <f>LET(_xlpm.r,Productos!$E$2:$E$2509,_xlpm.m,IFERROR(_xlfn.XMATCH(C962,_xlpm.r),IFERROR(_xlfn.XMATCH(VALUE(C962),_xlpm.r),0)),IF(_xlpm.m=0,"",_xlpm.m+1))</f>
        <v/>
      </c>
      <c r="J962" s="137" t="inlineStr">
        <is>
          <t>NetSuite</t>
        </is>
      </c>
    </row>
    <row r="963">
      <c r="A963" s="5" t="inlineStr">
        <is>
          <t>STETSON AMERICAS</t>
        </is>
      </c>
      <c r="B963" s="5">
        <f>IF($I2="","",INDEX(Productos!$A:$A,$I2))</f>
        <v/>
      </c>
      <c r="C963" s="134" t="inlineStr">
        <is>
          <t>11-057-0592-0104-10</t>
        </is>
      </c>
      <c r="D963" s="5">
        <f>IF($I2="","",INDEX(Productos!$B:$B,$I2))</f>
        <v/>
      </c>
      <c r="E963" s="5">
        <f>IF($I2="","",INDEX(Productos!$H:$H,$I2))</f>
        <v/>
      </c>
      <c r="F963" s="5">
        <f>IF($I2="","",INDEX(Productos!$I:$I,$I2))</f>
        <v/>
      </c>
      <c r="G963" s="135" t="n">
        <v>-1</v>
      </c>
      <c r="H963" s="5">
        <f>IF($I2="","",INDEX(Productos!$AG:$AG,$I2))</f>
        <v/>
      </c>
      <c r="I963" s="136">
        <f>LET(_xlpm.r,Productos!$E$2:$E$2509,_xlpm.m,IFERROR(_xlfn.XMATCH(C963,_xlpm.r),IFERROR(_xlfn.XMATCH(VALUE(C963),_xlpm.r),0)),IF(_xlpm.m=0,"",_xlpm.m+1))</f>
        <v/>
      </c>
      <c r="J963" s="137" t="inlineStr">
        <is>
          <t>NetSuite</t>
        </is>
      </c>
    </row>
    <row r="964">
      <c r="A964" s="5" t="inlineStr">
        <is>
          <t>STETSON AMERICAS</t>
        </is>
      </c>
      <c r="B964" s="5">
        <f>IF($I2="","",INDEX(Productos!$A:$A,$I2))</f>
        <v/>
      </c>
      <c r="C964" s="134" t="inlineStr">
        <is>
          <t>11-057-0592-0104-2</t>
        </is>
      </c>
      <c r="D964" s="5">
        <f>IF($I2="","",INDEX(Productos!$B:$B,$I2))</f>
        <v/>
      </c>
      <c r="E964" s="5">
        <f>IF($I2="","",INDEX(Productos!$H:$H,$I2))</f>
        <v/>
      </c>
      <c r="F964" s="5">
        <f>IF($I2="","",INDEX(Productos!$I:$I,$I2))</f>
        <v/>
      </c>
      <c r="G964" s="135" t="n">
        <v>-2</v>
      </c>
      <c r="H964" s="5">
        <f>IF($I2="","",INDEX(Productos!$AG:$AG,$I2))</f>
        <v/>
      </c>
      <c r="I964" s="136">
        <f>LET(_xlpm.r,Productos!$E$2:$E$2509,_xlpm.m,IFERROR(_xlfn.XMATCH(C964,_xlpm.r),IFERROR(_xlfn.XMATCH(VALUE(C964),_xlpm.r),0)),IF(_xlpm.m=0,"",_xlpm.m+1))</f>
        <v/>
      </c>
      <c r="J964" s="137" t="inlineStr">
        <is>
          <t>NetSuite</t>
        </is>
      </c>
    </row>
    <row r="965">
      <c r="A965" s="5" t="inlineStr">
        <is>
          <t>STETSON AMERICAS</t>
        </is>
      </c>
      <c r="B965" s="5">
        <f>IF($I2="","",INDEX(Productos!$A:$A,$I2))</f>
        <v/>
      </c>
      <c r="C965" s="134" t="inlineStr">
        <is>
          <t>11-057-0592-0104-4</t>
        </is>
      </c>
      <c r="D965" s="5">
        <f>IF($I2="","",INDEX(Productos!$B:$B,$I2))</f>
        <v/>
      </c>
      <c r="E965" s="5">
        <f>IF($I2="","",INDEX(Productos!$H:$H,$I2))</f>
        <v/>
      </c>
      <c r="F965" s="5">
        <f>IF($I2="","",INDEX(Productos!$I:$I,$I2))</f>
        <v/>
      </c>
      <c r="G965" s="135" t="n">
        <v>-1</v>
      </c>
      <c r="H965" s="5">
        <f>IF($I2="","",INDEX(Productos!$AG:$AG,$I2))</f>
        <v/>
      </c>
      <c r="I965" s="136">
        <f>LET(_xlpm.r,Productos!$E$2:$E$2509,_xlpm.m,IFERROR(_xlfn.XMATCH(C965,_xlpm.r),IFERROR(_xlfn.XMATCH(VALUE(C965),_xlpm.r),0)),IF(_xlpm.m=0,"",_xlpm.m+1))</f>
        <v/>
      </c>
      <c r="J965" s="137" t="inlineStr">
        <is>
          <t>NetSuite</t>
        </is>
      </c>
    </row>
    <row r="966">
      <c r="A966" s="5" t="inlineStr">
        <is>
          <t>STETSON AMERICAS</t>
        </is>
      </c>
      <c r="B966" s="5">
        <f>IF($I2="","",INDEX(Productos!$A:$A,$I2))</f>
        <v/>
      </c>
      <c r="C966" s="134" t="inlineStr">
        <is>
          <t>11-057-0592-7081-L</t>
        </is>
      </c>
      <c r="D966" s="5">
        <f>IF($I2="","",INDEX(Productos!$B:$B,$I2))</f>
        <v/>
      </c>
      <c r="E966" s="5">
        <f>IF($I2="","",INDEX(Productos!$H:$H,$I2))</f>
        <v/>
      </c>
      <c r="F966" s="5">
        <f>IF($I2="","",INDEX(Productos!$I:$I,$I2))</f>
        <v/>
      </c>
      <c r="G966" s="135" t="n">
        <v>-1</v>
      </c>
      <c r="H966" s="5">
        <f>IF($I2="","",INDEX(Productos!$AG:$AG,$I2))</f>
        <v/>
      </c>
      <c r="I966" s="136">
        <f>LET(_xlpm.r,Productos!$E$2:$E$2509,_xlpm.m,IFERROR(_xlfn.XMATCH(C966,_xlpm.r),IFERROR(_xlfn.XMATCH(VALUE(C966),_xlpm.r),0)),IF(_xlpm.m=0,"",_xlpm.m+1))</f>
        <v/>
      </c>
      <c r="J966" s="137" t="inlineStr">
        <is>
          <t>NetSuite</t>
        </is>
      </c>
    </row>
    <row r="967">
      <c r="A967" s="5" t="inlineStr">
        <is>
          <t>STETSON AMERICAS</t>
        </is>
      </c>
      <c r="B967" s="5">
        <f>IF($I2="","",INDEX(Productos!$A:$A,$I2))</f>
        <v/>
      </c>
      <c r="C967" s="134" t="inlineStr">
        <is>
          <t>11-057-0592-7081-M</t>
        </is>
      </c>
      <c r="D967" s="5">
        <f>IF($I2="","",INDEX(Productos!$B:$B,$I2))</f>
        <v/>
      </c>
      <c r="E967" s="5">
        <f>IF($I2="","",INDEX(Productos!$H:$H,$I2))</f>
        <v/>
      </c>
      <c r="F967" s="5">
        <f>IF($I2="","",INDEX(Productos!$I:$I,$I2))</f>
        <v/>
      </c>
      <c r="G967" s="135" t="n">
        <v>-1</v>
      </c>
      <c r="H967" s="5">
        <f>IF($I2="","",INDEX(Productos!$AG:$AG,$I2))</f>
        <v/>
      </c>
      <c r="I967" s="136">
        <f>LET(_xlpm.r,Productos!$E$2:$E$2509,_xlpm.m,IFERROR(_xlfn.XMATCH(C967,_xlpm.r),IFERROR(_xlfn.XMATCH(VALUE(C967),_xlpm.r),0)),IF(_xlpm.m=0,"",_xlpm.m+1))</f>
        <v/>
      </c>
      <c r="J967" s="137" t="inlineStr">
        <is>
          <t>NetSuite</t>
        </is>
      </c>
    </row>
    <row r="968">
      <c r="A968" s="5" t="inlineStr">
        <is>
          <t>STETSON AMERICAS</t>
        </is>
      </c>
      <c r="B968" s="5">
        <f>IF($I2="","",INDEX(Productos!$A:$A,$I2))</f>
        <v/>
      </c>
      <c r="C968" s="134" t="inlineStr">
        <is>
          <t>11-057-0592-7081-S</t>
        </is>
      </c>
      <c r="D968" s="5">
        <f>IF($I2="","",INDEX(Productos!$B:$B,$I2))</f>
        <v/>
      </c>
      <c r="E968" s="5">
        <f>IF($I2="","",INDEX(Productos!$H:$H,$I2))</f>
        <v/>
      </c>
      <c r="F968" s="5">
        <f>IF($I2="","",INDEX(Productos!$I:$I,$I2))</f>
        <v/>
      </c>
      <c r="G968" s="135" t="n">
        <v>-3</v>
      </c>
      <c r="H968" s="5">
        <f>IF($I2="","",INDEX(Productos!$AG:$AG,$I2))</f>
        <v/>
      </c>
      <c r="I968" s="136">
        <f>LET(_xlpm.r,Productos!$E$2:$E$2509,_xlpm.m,IFERROR(_xlfn.XMATCH(C968,_xlpm.r),IFERROR(_xlfn.XMATCH(VALUE(C968),_xlpm.r),0)),IF(_xlpm.m=0,"",_xlpm.m+1))</f>
        <v/>
      </c>
      <c r="J968" s="137" t="inlineStr">
        <is>
          <t>NetSuite</t>
        </is>
      </c>
    </row>
    <row r="969">
      <c r="A969" s="5" t="inlineStr">
        <is>
          <t>STETSON AMERICAS</t>
        </is>
      </c>
      <c r="B969" s="5">
        <f>IF($I2="","",INDEX(Productos!$A:$A,$I2))</f>
        <v/>
      </c>
      <c r="C969" s="134" t="inlineStr">
        <is>
          <t>11-062-0565-7066-M</t>
        </is>
      </c>
      <c r="D969" s="5">
        <f>IF($I2="","",INDEX(Productos!$B:$B,$I2))</f>
        <v/>
      </c>
      <c r="E969" s="5">
        <f>IF($I2="","",INDEX(Productos!$H:$H,$I2))</f>
        <v/>
      </c>
      <c r="F969" s="5">
        <f>IF($I2="","",INDEX(Productos!$I:$I,$I2))</f>
        <v/>
      </c>
      <c r="G969" s="135" t="n">
        <v>-1</v>
      </c>
      <c r="H969" s="5">
        <f>IF($I2="","",INDEX(Productos!$AG:$AG,$I2))</f>
        <v/>
      </c>
      <c r="I969" s="136">
        <f>LET(_xlpm.r,Productos!$E$2:$E$2509,_xlpm.m,IFERROR(_xlfn.XMATCH(C969,_xlpm.r),IFERROR(_xlfn.XMATCH(VALUE(C969),_xlpm.r),0)),IF(_xlpm.m=0,"",_xlpm.m+1))</f>
        <v/>
      </c>
      <c r="J969" s="137" t="inlineStr">
        <is>
          <t>NetSuite</t>
        </is>
      </c>
    </row>
    <row r="970">
      <c r="A970" s="5" t="inlineStr">
        <is>
          <t>STETSON AMERICAS</t>
        </is>
      </c>
      <c r="B970" s="5">
        <f>IF($I2="","",INDEX(Productos!$A:$A,$I2))</f>
        <v/>
      </c>
      <c r="C970" s="134" t="inlineStr">
        <is>
          <t>11-062-0565-7066-XS</t>
        </is>
      </c>
      <c r="D970" s="5">
        <f>IF($I2="","",INDEX(Productos!$B:$B,$I2))</f>
        <v/>
      </c>
      <c r="E970" s="5">
        <f>IF($I2="","",INDEX(Productos!$H:$H,$I2))</f>
        <v/>
      </c>
      <c r="F970" s="5">
        <f>IF($I2="","",INDEX(Productos!$I:$I,$I2))</f>
        <v/>
      </c>
      <c r="G970" s="135" t="n">
        <v>-1</v>
      </c>
      <c r="H970" s="5">
        <f>IF($I2="","",INDEX(Productos!$AG:$AG,$I2))</f>
        <v/>
      </c>
      <c r="I970" s="136">
        <f>LET(_xlpm.r,Productos!$E$2:$E$2509,_xlpm.m,IFERROR(_xlfn.XMATCH(C970,_xlpm.r),IFERROR(_xlfn.XMATCH(VALUE(C970),_xlpm.r),0)),IF(_xlpm.m=0,"",_xlpm.m+1))</f>
        <v/>
      </c>
      <c r="J970" s="137" t="inlineStr">
        <is>
          <t>NetSuite</t>
        </is>
      </c>
    </row>
    <row r="971">
      <c r="A971" s="5" t="inlineStr">
        <is>
          <t>STETSON AMERICAS</t>
        </is>
      </c>
      <c r="B971" s="5">
        <f>IF($I2="","",INDEX(Productos!$A:$A,$I2))</f>
        <v/>
      </c>
      <c r="C971" s="134" t="inlineStr">
        <is>
          <t>11-074-0202-7067-L</t>
        </is>
      </c>
      <c r="D971" s="5">
        <f>IF($I2="","",INDEX(Productos!$B:$B,$I2))</f>
        <v/>
      </c>
      <c r="E971" s="5">
        <f>IF($I2="","",INDEX(Productos!$H:$H,$I2))</f>
        <v/>
      </c>
      <c r="F971" s="5">
        <f>IF($I2="","",INDEX(Productos!$I:$I,$I2))</f>
        <v/>
      </c>
      <c r="G971" s="135" t="n">
        <v>-1</v>
      </c>
      <c r="H971" s="5">
        <f>IF($I2="","",INDEX(Productos!$AG:$AG,$I2))</f>
        <v/>
      </c>
      <c r="I971" s="136">
        <f>LET(_xlpm.r,Productos!$E$2:$E$2509,_xlpm.m,IFERROR(_xlfn.XMATCH(C971,_xlpm.r),IFERROR(_xlfn.XMATCH(VALUE(C971),_xlpm.r),0)),IF(_xlpm.m=0,"",_xlpm.m+1))</f>
        <v/>
      </c>
      <c r="J971" s="137" t="inlineStr">
        <is>
          <t>NetSuite</t>
        </is>
      </c>
    </row>
    <row r="972">
      <c r="A972" s="5" t="inlineStr">
        <is>
          <t>STETSON AMERICAS</t>
        </is>
      </c>
      <c r="B972" s="5">
        <f>IF($I2="","",INDEX(Productos!$A:$A,$I2))</f>
        <v/>
      </c>
      <c r="C972" s="134" t="inlineStr">
        <is>
          <t>11-074-0202-7067-M</t>
        </is>
      </c>
      <c r="D972" s="5">
        <f>IF($I2="","",INDEX(Productos!$B:$B,$I2))</f>
        <v/>
      </c>
      <c r="E972" s="5">
        <f>IF($I2="","",INDEX(Productos!$H:$H,$I2))</f>
        <v/>
      </c>
      <c r="F972" s="5">
        <f>IF($I2="","",INDEX(Productos!$I:$I,$I2))</f>
        <v/>
      </c>
      <c r="G972" s="135" t="n">
        <v>-2</v>
      </c>
      <c r="H972" s="5">
        <f>IF($I2="","",INDEX(Productos!$AG:$AG,$I2))</f>
        <v/>
      </c>
      <c r="I972" s="136">
        <f>LET(_xlpm.r,Productos!$E$2:$E$2509,_xlpm.m,IFERROR(_xlfn.XMATCH(C972,_xlpm.r),IFERROR(_xlfn.XMATCH(VALUE(C972),_xlpm.r),0)),IF(_xlpm.m=0,"",_xlpm.m+1))</f>
        <v/>
      </c>
      <c r="J972" s="137" t="inlineStr">
        <is>
          <t>NetSuite</t>
        </is>
      </c>
    </row>
    <row r="973">
      <c r="A973" s="5" t="inlineStr">
        <is>
          <t>STETSON AMERICAS</t>
        </is>
      </c>
      <c r="B973" s="5">
        <f>IF($I2="","",INDEX(Productos!$A:$A,$I2))</f>
        <v/>
      </c>
      <c r="C973" s="134" t="inlineStr">
        <is>
          <t>11-074-0202-7067-S</t>
        </is>
      </c>
      <c r="D973" s="5">
        <f>IF($I2="","",INDEX(Productos!$B:$B,$I2))</f>
        <v/>
      </c>
      <c r="E973" s="5">
        <f>IF($I2="","",INDEX(Productos!$H:$H,$I2))</f>
        <v/>
      </c>
      <c r="F973" s="5">
        <f>IF($I2="","",INDEX(Productos!$I:$I,$I2))</f>
        <v/>
      </c>
      <c r="G973" s="135" t="n">
        <v>-1</v>
      </c>
      <c r="H973" s="5">
        <f>IF($I2="","",INDEX(Productos!$AG:$AG,$I2))</f>
        <v/>
      </c>
      <c r="I973" s="136">
        <f>LET(_xlpm.r,Productos!$E$2:$E$2509,_xlpm.m,IFERROR(_xlfn.XMATCH(C973,_xlpm.r),IFERROR(_xlfn.XMATCH(VALUE(C973),_xlpm.r),0)),IF(_xlpm.m=0,"",_xlpm.m+1))</f>
        <v/>
      </c>
      <c r="J973" s="137" t="inlineStr">
        <is>
          <t>NetSuite</t>
        </is>
      </c>
    </row>
    <row r="974">
      <c r="A974" s="5" t="inlineStr">
        <is>
          <t>STETSON AMERICAS</t>
        </is>
      </c>
      <c r="B974" s="5">
        <f>IF($I2="","",INDEX(Productos!$A:$A,$I2))</f>
        <v/>
      </c>
      <c r="C974" s="134" t="inlineStr">
        <is>
          <t>11-074-0202-7067-XS</t>
        </is>
      </c>
      <c r="D974" s="5">
        <f>IF($I2="","",INDEX(Productos!$B:$B,$I2))</f>
        <v/>
      </c>
      <c r="E974" s="5">
        <f>IF($I2="","",INDEX(Productos!$H:$H,$I2))</f>
        <v/>
      </c>
      <c r="F974" s="5">
        <f>IF($I2="","",INDEX(Productos!$I:$I,$I2))</f>
        <v/>
      </c>
      <c r="G974" s="135" t="n">
        <v>-2</v>
      </c>
      <c r="H974" s="5">
        <f>IF($I2="","",INDEX(Productos!$AG:$AG,$I2))</f>
        <v/>
      </c>
      <c r="I974" s="136">
        <f>LET(_xlpm.r,Productos!$E$2:$E$2509,_xlpm.m,IFERROR(_xlfn.XMATCH(C974,_xlpm.r),IFERROR(_xlfn.XMATCH(VALUE(C974),_xlpm.r),0)),IF(_xlpm.m=0,"",_xlpm.m+1))</f>
        <v/>
      </c>
      <c r="J974" s="137" t="inlineStr">
        <is>
          <t>NetSuite</t>
        </is>
      </c>
    </row>
    <row r="975">
      <c r="A975" s="5" t="inlineStr">
        <is>
          <t>STETSON AMERICAS</t>
        </is>
      </c>
      <c r="B975" s="5">
        <f>IF($I2="","",INDEX(Productos!$A:$A,$I2))</f>
        <v/>
      </c>
      <c r="C975" s="134" t="inlineStr">
        <is>
          <t>11-074-0539-7080-M</t>
        </is>
      </c>
      <c r="D975" s="5">
        <f>IF($I2="","",INDEX(Productos!$B:$B,$I2))</f>
        <v/>
      </c>
      <c r="E975" s="5">
        <f>IF($I2="","",INDEX(Productos!$H:$H,$I2))</f>
        <v/>
      </c>
      <c r="F975" s="5">
        <f>IF($I2="","",INDEX(Productos!$I:$I,$I2))</f>
        <v/>
      </c>
      <c r="G975" s="135" t="n">
        <v>-1</v>
      </c>
      <c r="H975" s="5">
        <f>IF($I2="","",INDEX(Productos!$AG:$AG,$I2))</f>
        <v/>
      </c>
      <c r="I975" s="136">
        <f>LET(_xlpm.r,Productos!$E$2:$E$2509,_xlpm.m,IFERROR(_xlfn.XMATCH(C975,_xlpm.r),IFERROR(_xlfn.XMATCH(VALUE(C975),_xlpm.r),0)),IF(_xlpm.m=0,"",_xlpm.m+1))</f>
        <v/>
      </c>
      <c r="J975" s="137" t="inlineStr">
        <is>
          <t>NetSuite</t>
        </is>
      </c>
    </row>
    <row r="976">
      <c r="A976" s="5" t="inlineStr">
        <is>
          <t>STETSON AMERICAS</t>
        </is>
      </c>
      <c r="B976" s="5">
        <f>IF($I2="","",INDEX(Productos!$A:$A,$I2))</f>
        <v/>
      </c>
      <c r="C976" s="134" t="inlineStr">
        <is>
          <t>11-074-0539-7080-S</t>
        </is>
      </c>
      <c r="D976" s="5">
        <f>IF($I2="","",INDEX(Productos!$B:$B,$I2))</f>
        <v/>
      </c>
      <c r="E976" s="5">
        <f>IF($I2="","",INDEX(Productos!$H:$H,$I2))</f>
        <v/>
      </c>
      <c r="F976" s="5">
        <f>IF($I2="","",INDEX(Productos!$I:$I,$I2))</f>
        <v/>
      </c>
      <c r="G976" s="135" t="n">
        <v>-2</v>
      </c>
      <c r="H976" s="5">
        <f>IF($I2="","",INDEX(Productos!$AG:$AG,$I2))</f>
        <v/>
      </c>
      <c r="I976" s="136">
        <f>LET(_xlpm.r,Productos!$E$2:$E$2509,_xlpm.m,IFERROR(_xlfn.XMATCH(C976,_xlpm.r),IFERROR(_xlfn.XMATCH(VALUE(C976),_xlpm.r),0)),IF(_xlpm.m=0,"",_xlpm.m+1))</f>
        <v/>
      </c>
      <c r="J976" s="137" t="inlineStr">
        <is>
          <t>NetSuite</t>
        </is>
      </c>
    </row>
    <row r="977">
      <c r="A977" s="5" t="inlineStr">
        <is>
          <t>STETSON AMERICAS</t>
        </is>
      </c>
      <c r="B977" s="5">
        <f>IF($I2="","",INDEX(Productos!$A:$A,$I2))</f>
        <v/>
      </c>
      <c r="C977" s="134" t="inlineStr">
        <is>
          <t>11-097-0119-6191-L</t>
        </is>
      </c>
      <c r="D977" s="5">
        <f>IF($I2="","",INDEX(Productos!$B:$B,$I2))</f>
        <v/>
      </c>
      <c r="E977" s="5">
        <f>IF($I2="","",INDEX(Productos!$H:$H,$I2))</f>
        <v/>
      </c>
      <c r="F977" s="5">
        <f>IF($I2="","",INDEX(Productos!$I:$I,$I2))</f>
        <v/>
      </c>
      <c r="G977" s="135" t="n">
        <v>-2</v>
      </c>
      <c r="H977" s="5">
        <f>IF($I2="","",INDEX(Productos!$AG:$AG,$I2))</f>
        <v/>
      </c>
      <c r="I977" s="136">
        <f>LET(_xlpm.r,Productos!$E$2:$E$2509,_xlpm.m,IFERROR(_xlfn.XMATCH(C977,_xlpm.r),IFERROR(_xlfn.XMATCH(VALUE(C977),_xlpm.r),0)),IF(_xlpm.m=0,"",_xlpm.m+1))</f>
        <v/>
      </c>
      <c r="J977" s="137" t="inlineStr">
        <is>
          <t>NetSuite</t>
        </is>
      </c>
    </row>
    <row r="978">
      <c r="A978" s="5" t="inlineStr">
        <is>
          <t>STETSON AMERICAS</t>
        </is>
      </c>
      <c r="B978" s="5">
        <f>IF($I2="","",INDEX(Productos!$A:$A,$I2))</f>
        <v/>
      </c>
      <c r="C978" s="134" t="inlineStr">
        <is>
          <t>11-097-0119-6191-M</t>
        </is>
      </c>
      <c r="D978" s="5">
        <f>IF($I2="","",INDEX(Productos!$B:$B,$I2))</f>
        <v/>
      </c>
      <c r="E978" s="5">
        <f>IF($I2="","",INDEX(Productos!$H:$H,$I2))</f>
        <v/>
      </c>
      <c r="F978" s="5">
        <f>IF($I2="","",INDEX(Productos!$I:$I,$I2))</f>
        <v/>
      </c>
      <c r="G978" s="135" t="n">
        <v>-2</v>
      </c>
      <c r="H978" s="5">
        <f>IF($I2="","",INDEX(Productos!$AG:$AG,$I2))</f>
        <v/>
      </c>
      <c r="I978" s="136">
        <f>LET(_xlpm.r,Productos!$E$2:$E$2509,_xlpm.m,IFERROR(_xlfn.XMATCH(C978,_xlpm.r),IFERROR(_xlfn.XMATCH(VALUE(C978),_xlpm.r),0)),IF(_xlpm.m=0,"",_xlpm.m+1))</f>
        <v/>
      </c>
      <c r="J978" s="137" t="inlineStr">
        <is>
          <t>NetSuite</t>
        </is>
      </c>
    </row>
    <row r="979">
      <c r="A979" s="5" t="inlineStr">
        <is>
          <t>STETSON AMERICAS</t>
        </is>
      </c>
      <c r="B979" s="5">
        <f>IF($I2="","",INDEX(Productos!$A:$A,$I2))</f>
        <v/>
      </c>
      <c r="C979" s="134" t="inlineStr">
        <is>
          <t>11-097-0119-6191-S</t>
        </is>
      </c>
      <c r="D979" s="5">
        <f>IF($I2="","",INDEX(Productos!$B:$B,$I2))</f>
        <v/>
      </c>
      <c r="E979" s="5">
        <f>IF($I2="","",INDEX(Productos!$H:$H,$I2))</f>
        <v/>
      </c>
      <c r="F979" s="5">
        <f>IF($I2="","",INDEX(Productos!$I:$I,$I2))</f>
        <v/>
      </c>
      <c r="G979" s="135" t="n">
        <v>-1</v>
      </c>
      <c r="H979" s="5">
        <f>IF($I2="","",INDEX(Productos!$AG:$AG,$I2))</f>
        <v/>
      </c>
      <c r="I979" s="136">
        <f>LET(_xlpm.r,Productos!$E$2:$E$2509,_xlpm.m,IFERROR(_xlfn.XMATCH(C979,_xlpm.r),IFERROR(_xlfn.XMATCH(VALUE(C979),_xlpm.r),0)),IF(_xlpm.m=0,"",_xlpm.m+1))</f>
        <v/>
      </c>
      <c r="J979" s="137" t="inlineStr">
        <is>
          <t>NetSuite</t>
        </is>
      </c>
    </row>
    <row r="980">
      <c r="A980" s="5" t="inlineStr">
        <is>
          <t>STETSON AMERICAS</t>
        </is>
      </c>
      <c r="B980" s="5">
        <f>IF($I2="","",INDEX(Productos!$A:$A,$I2))</f>
        <v/>
      </c>
      <c r="C980" s="134" t="inlineStr">
        <is>
          <t>11-097-0119-6191-XL</t>
        </is>
      </c>
      <c r="D980" s="5">
        <f>IF($I2="","",INDEX(Productos!$B:$B,$I2))</f>
        <v/>
      </c>
      <c r="E980" s="5">
        <f>IF($I2="","",INDEX(Productos!$H:$H,$I2))</f>
        <v/>
      </c>
      <c r="F980" s="5">
        <f>IF($I2="","",INDEX(Productos!$I:$I,$I2))</f>
        <v/>
      </c>
      <c r="G980" s="135" t="n">
        <v>-1</v>
      </c>
      <c r="H980" s="5">
        <f>IF($I2="","",INDEX(Productos!$AG:$AG,$I2))</f>
        <v/>
      </c>
      <c r="I980" s="136">
        <f>LET(_xlpm.r,Productos!$E$2:$E$2509,_xlpm.m,IFERROR(_xlfn.XMATCH(C980,_xlpm.r),IFERROR(_xlfn.XMATCH(VALUE(C980),_xlpm.r),0)),IF(_xlpm.m=0,"",_xlpm.m+1))</f>
        <v/>
      </c>
      <c r="J980" s="137" t="inlineStr">
        <is>
          <t>NetSuite</t>
        </is>
      </c>
    </row>
    <row r="981">
      <c r="A981" s="5" t="inlineStr">
        <is>
          <t>STETSON AMERICAS</t>
        </is>
      </c>
      <c r="B981" s="5">
        <f>IF($I2="","",INDEX(Productos!$A:$A,$I2))</f>
        <v/>
      </c>
      <c r="C981" s="134" t="inlineStr">
        <is>
          <t>11-097-0539-6620-L</t>
        </is>
      </c>
      <c r="D981" s="5">
        <f>IF($I2="","",INDEX(Productos!$B:$B,$I2))</f>
        <v/>
      </c>
      <c r="E981" s="5">
        <f>IF($I2="","",INDEX(Productos!$H:$H,$I2))</f>
        <v/>
      </c>
      <c r="F981" s="5">
        <f>IF($I2="","",INDEX(Productos!$I:$I,$I2))</f>
        <v/>
      </c>
      <c r="G981" s="135" t="n">
        <v>-1</v>
      </c>
      <c r="H981" s="5">
        <f>IF($I2="","",INDEX(Productos!$AG:$AG,$I2))</f>
        <v/>
      </c>
      <c r="I981" s="136">
        <f>LET(_xlpm.r,Productos!$E$2:$E$2509,_xlpm.m,IFERROR(_xlfn.XMATCH(C981,_xlpm.r),IFERROR(_xlfn.XMATCH(VALUE(C981),_xlpm.r),0)),IF(_xlpm.m=0,"",_xlpm.m+1))</f>
        <v/>
      </c>
      <c r="J981" s="137" t="inlineStr">
        <is>
          <t>NetSuite</t>
        </is>
      </c>
    </row>
    <row r="982">
      <c r="A982" s="5" t="inlineStr">
        <is>
          <t>STETSON AMERICAS</t>
        </is>
      </c>
      <c r="B982" s="5">
        <f>IF($I2="","",INDEX(Productos!$A:$A,$I2))</f>
        <v/>
      </c>
      <c r="C982" s="134" t="inlineStr">
        <is>
          <t>11-097-0539-6620-M</t>
        </is>
      </c>
      <c r="D982" s="5">
        <f>IF($I2="","",INDEX(Productos!$B:$B,$I2))</f>
        <v/>
      </c>
      <c r="E982" s="5">
        <f>IF($I2="","",INDEX(Productos!$H:$H,$I2))</f>
        <v/>
      </c>
      <c r="F982" s="5">
        <f>IF($I2="","",INDEX(Productos!$I:$I,$I2))</f>
        <v/>
      </c>
      <c r="G982" s="135" t="n">
        <v>-1</v>
      </c>
      <c r="H982" s="5">
        <f>IF($I2="","",INDEX(Productos!$AG:$AG,$I2))</f>
        <v/>
      </c>
      <c r="I982" s="136">
        <f>LET(_xlpm.r,Productos!$E$2:$E$2509,_xlpm.m,IFERROR(_xlfn.XMATCH(C982,_xlpm.r),IFERROR(_xlfn.XMATCH(VALUE(C982),_xlpm.r),0)),IF(_xlpm.m=0,"",_xlpm.m+1))</f>
        <v/>
      </c>
      <c r="J982" s="137" t="inlineStr">
        <is>
          <t>NetSuite</t>
        </is>
      </c>
    </row>
    <row r="983">
      <c r="A983" s="5" t="inlineStr">
        <is>
          <t>STETSON AMERICAS</t>
        </is>
      </c>
      <c r="B983" s="5">
        <f>IF($I2="","",INDEX(Productos!$A:$A,$I2))</f>
        <v/>
      </c>
      <c r="C983" s="134" t="inlineStr">
        <is>
          <t>11-097-0539-6620-XL</t>
        </is>
      </c>
      <c r="D983" s="5">
        <f>IF($I2="","",INDEX(Productos!$B:$B,$I2))</f>
        <v/>
      </c>
      <c r="E983" s="5">
        <f>IF($I2="","",INDEX(Productos!$H:$H,$I2))</f>
        <v/>
      </c>
      <c r="F983" s="5">
        <f>IF($I2="","",INDEX(Productos!$I:$I,$I2))</f>
        <v/>
      </c>
      <c r="G983" s="135" t="n">
        <v>-1</v>
      </c>
      <c r="H983" s="5">
        <f>IF($I2="","",INDEX(Productos!$AG:$AG,$I2))</f>
        <v/>
      </c>
      <c r="I983" s="136">
        <f>LET(_xlpm.r,Productos!$E$2:$E$2509,_xlpm.m,IFERROR(_xlfn.XMATCH(C983,_xlpm.r),IFERROR(_xlfn.XMATCH(VALUE(C983),_xlpm.r),0)),IF(_xlpm.m=0,"",_xlpm.m+1))</f>
        <v/>
      </c>
      <c r="J983" s="137" t="inlineStr">
        <is>
          <t>NetSuite</t>
        </is>
      </c>
    </row>
    <row r="984">
      <c r="A984" s="5" t="inlineStr">
        <is>
          <t>STETSON AMERICAS</t>
        </is>
      </c>
      <c r="B984" s="5">
        <f>IF($I2="","",INDEX(Productos!$A:$A,$I2))</f>
        <v/>
      </c>
      <c r="C984" s="134" t="inlineStr">
        <is>
          <t>11-097-0539-6632-M</t>
        </is>
      </c>
      <c r="D984" s="5">
        <f>IF($I2="","",INDEX(Productos!$B:$B,$I2))</f>
        <v/>
      </c>
      <c r="E984" s="5">
        <f>IF($I2="","",INDEX(Productos!$H:$H,$I2))</f>
        <v/>
      </c>
      <c r="F984" s="5">
        <f>IF($I2="","",INDEX(Productos!$I:$I,$I2))</f>
        <v/>
      </c>
      <c r="G984" s="135" t="n">
        <v>-2</v>
      </c>
      <c r="H984" s="5">
        <f>IF($I2="","",INDEX(Productos!$AG:$AG,$I2))</f>
        <v/>
      </c>
      <c r="I984" s="136">
        <f>LET(_xlpm.r,Productos!$E$2:$E$2509,_xlpm.m,IFERROR(_xlfn.XMATCH(C984,_xlpm.r),IFERROR(_xlfn.XMATCH(VALUE(C984),_xlpm.r),0)),IF(_xlpm.m=0,"",_xlpm.m+1))</f>
        <v/>
      </c>
      <c r="J984" s="137" t="inlineStr">
        <is>
          <t>NetSuite</t>
        </is>
      </c>
    </row>
    <row r="985">
      <c r="A985" s="5" t="inlineStr">
        <is>
          <t>STETSON AMERICAS</t>
        </is>
      </c>
      <c r="B985" s="5">
        <f>IF($I2="","",INDEX(Productos!$A:$A,$I2))</f>
        <v/>
      </c>
      <c r="C985" s="134" t="inlineStr">
        <is>
          <t>11-097-0539-6632-XL</t>
        </is>
      </c>
      <c r="D985" s="5">
        <f>IF($I2="","",INDEX(Productos!$B:$B,$I2))</f>
        <v/>
      </c>
      <c r="E985" s="5">
        <f>IF($I2="","",INDEX(Productos!$H:$H,$I2))</f>
        <v/>
      </c>
      <c r="F985" s="5">
        <f>IF($I2="","",INDEX(Productos!$I:$I,$I2))</f>
        <v/>
      </c>
      <c r="G985" s="135" t="n">
        <v>-2</v>
      </c>
      <c r="H985" s="5">
        <f>IF($I2="","",INDEX(Productos!$AG:$AG,$I2))</f>
        <v/>
      </c>
      <c r="I985" s="136">
        <f>LET(_xlpm.r,Productos!$E$2:$E$2509,_xlpm.m,IFERROR(_xlfn.XMATCH(C985,_xlpm.r),IFERROR(_xlfn.XMATCH(VALUE(C985),_xlpm.r),0)),IF(_xlpm.m=0,"",_xlpm.m+1))</f>
        <v/>
      </c>
      <c r="J985" s="137" t="inlineStr">
        <is>
          <t>NetSuite</t>
        </is>
      </c>
    </row>
    <row r="986">
      <c r="A986" s="5" t="inlineStr">
        <is>
          <t>STETSON AMERICAS</t>
        </is>
      </c>
      <c r="B986" s="5">
        <f>IF($I2="","",INDEX(Productos!$A:$A,$I2))</f>
        <v/>
      </c>
      <c r="C986" s="134" t="inlineStr">
        <is>
          <t>11-097-0562-0919-S</t>
        </is>
      </c>
      <c r="D986" s="5">
        <f>IF($I2="","",INDEX(Productos!$B:$B,$I2))</f>
        <v/>
      </c>
      <c r="E986" s="5">
        <f>IF($I2="","",INDEX(Productos!$H:$H,$I2))</f>
        <v/>
      </c>
      <c r="F986" s="5">
        <f>IF($I2="","",INDEX(Productos!$I:$I,$I2))</f>
        <v/>
      </c>
      <c r="G986" s="135" t="n">
        <v>-1</v>
      </c>
      <c r="H986" s="5">
        <f>IF($I2="","",INDEX(Productos!$AG:$AG,$I2))</f>
        <v/>
      </c>
      <c r="I986" s="136">
        <f>LET(_xlpm.r,Productos!$E$2:$E$2509,_xlpm.m,IFERROR(_xlfn.XMATCH(C986,_xlpm.r),IFERROR(_xlfn.XMATCH(VALUE(C986),_xlpm.r),0)),IF(_xlpm.m=0,"",_xlpm.m+1))</f>
        <v/>
      </c>
      <c r="J986" s="137" t="inlineStr">
        <is>
          <t>NetSuite</t>
        </is>
      </c>
    </row>
    <row r="987">
      <c r="A987" s="5" t="inlineStr">
        <is>
          <t>STETSON AMERICAS</t>
        </is>
      </c>
      <c r="B987" s="5">
        <f>IF($I2="","",INDEX(Productos!$A:$A,$I2))</f>
        <v/>
      </c>
      <c r="C987" s="134" t="inlineStr">
        <is>
          <t>11-097-0562-0919-XL</t>
        </is>
      </c>
      <c r="D987" s="5">
        <f>IF($I2="","",INDEX(Productos!$B:$B,$I2))</f>
        <v/>
      </c>
      <c r="E987" s="5">
        <f>IF($I2="","",INDEX(Productos!$H:$H,$I2))</f>
        <v/>
      </c>
      <c r="F987" s="5">
        <f>IF($I2="","",INDEX(Productos!$I:$I,$I2))</f>
        <v/>
      </c>
      <c r="G987" s="135" t="n">
        <v>-1</v>
      </c>
      <c r="H987" s="5">
        <f>IF($I2="","",INDEX(Productos!$AG:$AG,$I2))</f>
        <v/>
      </c>
      <c r="I987" s="136">
        <f>LET(_xlpm.r,Productos!$E$2:$E$2509,_xlpm.m,IFERROR(_xlfn.XMATCH(C987,_xlpm.r),IFERROR(_xlfn.XMATCH(VALUE(C987),_xlpm.r),0)),IF(_xlpm.m=0,"",_xlpm.m+1))</f>
        <v/>
      </c>
      <c r="J987" s="137" t="inlineStr">
        <is>
          <t>NetSuite</t>
        </is>
      </c>
    </row>
    <row r="988">
      <c r="A988" s="5" t="inlineStr">
        <is>
          <t>STETSON AMERICAS</t>
        </is>
      </c>
      <c r="B988" s="5">
        <f>IF($I2="","",INDEX(Productos!$A:$A,$I2))</f>
        <v/>
      </c>
      <c r="C988" s="134" t="inlineStr">
        <is>
          <t>11-097-0562-0924-L</t>
        </is>
      </c>
      <c r="D988" s="5">
        <f>IF($I2="","",INDEX(Productos!$B:$B,$I2))</f>
        <v/>
      </c>
      <c r="E988" s="5">
        <f>IF($I2="","",INDEX(Productos!$H:$H,$I2))</f>
        <v/>
      </c>
      <c r="F988" s="5">
        <f>IF($I2="","",INDEX(Productos!$I:$I,$I2))</f>
        <v/>
      </c>
      <c r="G988" s="135" t="n">
        <v>-1</v>
      </c>
      <c r="H988" s="5">
        <f>IF($I2="","",INDEX(Productos!$AG:$AG,$I2))</f>
        <v/>
      </c>
      <c r="I988" s="136">
        <f>LET(_xlpm.r,Productos!$E$2:$E$2509,_xlpm.m,IFERROR(_xlfn.XMATCH(C988,_xlpm.r),IFERROR(_xlfn.XMATCH(VALUE(C988),_xlpm.r),0)),IF(_xlpm.m=0,"",_xlpm.m+1))</f>
        <v/>
      </c>
      <c r="J988" s="137" t="inlineStr">
        <is>
          <t>NetSuite</t>
        </is>
      </c>
    </row>
    <row r="989">
      <c r="A989" s="5" t="inlineStr">
        <is>
          <t>STETSON AMERICAS</t>
        </is>
      </c>
      <c r="B989" s="5">
        <f>IF($I2="","",INDEX(Productos!$A:$A,$I2))</f>
        <v/>
      </c>
      <c r="C989" s="134" t="inlineStr">
        <is>
          <t>11-097-0670-9160-L</t>
        </is>
      </c>
      <c r="D989" s="5">
        <f>IF($I2="","",INDEX(Productos!$B:$B,$I2))</f>
        <v/>
      </c>
      <c r="E989" s="5">
        <f>IF($I2="","",INDEX(Productos!$H:$H,$I2))</f>
        <v/>
      </c>
      <c r="F989" s="5">
        <f>IF($I2="","",INDEX(Productos!$I:$I,$I2))</f>
        <v/>
      </c>
      <c r="G989" s="135" t="n">
        <v>-2</v>
      </c>
      <c r="H989" s="5">
        <f>IF($I2="","",INDEX(Productos!$AG:$AG,$I2))</f>
        <v/>
      </c>
      <c r="I989" s="136">
        <f>LET(_xlpm.r,Productos!$E$2:$E$2509,_xlpm.m,IFERROR(_xlfn.XMATCH(C989,_xlpm.r),IFERROR(_xlfn.XMATCH(VALUE(C989),_xlpm.r),0)),IF(_xlpm.m=0,"",_xlpm.m+1))</f>
        <v/>
      </c>
      <c r="J989" s="137" t="inlineStr">
        <is>
          <t>NetSuite</t>
        </is>
      </c>
    </row>
    <row r="990">
      <c r="A990" s="5" t="inlineStr">
        <is>
          <t>STETSON AMERICAS</t>
        </is>
      </c>
      <c r="B990" s="5">
        <f>IF($I2="","",INDEX(Productos!$A:$A,$I2))</f>
        <v/>
      </c>
      <c r="C990" s="134" t="inlineStr">
        <is>
          <t>11-097-0670-9160-M</t>
        </is>
      </c>
      <c r="D990" s="5">
        <f>IF($I2="","",INDEX(Productos!$B:$B,$I2))</f>
        <v/>
      </c>
      <c r="E990" s="5">
        <f>IF($I2="","",INDEX(Productos!$H:$H,$I2))</f>
        <v/>
      </c>
      <c r="F990" s="5">
        <f>IF($I2="","",INDEX(Productos!$I:$I,$I2))</f>
        <v/>
      </c>
      <c r="G990" s="135" t="n">
        <v>-2</v>
      </c>
      <c r="H990" s="5">
        <f>IF($I2="","",INDEX(Productos!$AG:$AG,$I2))</f>
        <v/>
      </c>
      <c r="I990" s="136">
        <f>LET(_xlpm.r,Productos!$E$2:$E$2509,_xlpm.m,IFERROR(_xlfn.XMATCH(C990,_xlpm.r),IFERROR(_xlfn.XMATCH(VALUE(C990),_xlpm.r),0)),IF(_xlpm.m=0,"",_xlpm.m+1))</f>
        <v/>
      </c>
      <c r="J990" s="137" t="inlineStr">
        <is>
          <t>NetSuite</t>
        </is>
      </c>
    </row>
    <row r="991">
      <c r="A991" s="5" t="inlineStr">
        <is>
          <t>STETSON AMERICAS</t>
        </is>
      </c>
      <c r="B991" s="5">
        <f>IF($I2="","",INDEX(Productos!$A:$A,$I2))</f>
        <v/>
      </c>
      <c r="C991" s="134" t="inlineStr">
        <is>
          <t>11-097-0670-9160-S</t>
        </is>
      </c>
      <c r="D991" s="5">
        <f>IF($I2="","",INDEX(Productos!$B:$B,$I2))</f>
        <v/>
      </c>
      <c r="E991" s="5">
        <f>IF($I2="","",INDEX(Productos!$H:$H,$I2))</f>
        <v/>
      </c>
      <c r="F991" s="5">
        <f>IF($I2="","",INDEX(Productos!$I:$I,$I2))</f>
        <v/>
      </c>
      <c r="G991" s="135" t="n">
        <v>-1</v>
      </c>
      <c r="H991" s="5">
        <f>IF($I2="","",INDEX(Productos!$AG:$AG,$I2))</f>
        <v/>
      </c>
      <c r="I991" s="136">
        <f>LET(_xlpm.r,Productos!$E$2:$E$2509,_xlpm.m,IFERROR(_xlfn.XMATCH(C991,_xlpm.r),IFERROR(_xlfn.XMATCH(VALUE(C991),_xlpm.r),0)),IF(_xlpm.m=0,"",_xlpm.m+1))</f>
        <v/>
      </c>
      <c r="J991" s="137" t="inlineStr">
        <is>
          <t>NetSuite</t>
        </is>
      </c>
    </row>
    <row r="992">
      <c r="A992" s="5" t="inlineStr">
        <is>
          <t>STETSON AMERICAS</t>
        </is>
      </c>
      <c r="B992" s="5">
        <f>IF($I2="","",INDEX(Productos!$A:$A,$I2))</f>
        <v/>
      </c>
      <c r="C992" s="134" t="inlineStr">
        <is>
          <t>11-097-0670-9160-XL</t>
        </is>
      </c>
      <c r="D992" s="5">
        <f>IF($I2="","",INDEX(Productos!$B:$B,$I2))</f>
        <v/>
      </c>
      <c r="E992" s="5">
        <f>IF($I2="","",INDEX(Productos!$H:$H,$I2))</f>
        <v/>
      </c>
      <c r="F992" s="5">
        <f>IF($I2="","",INDEX(Productos!$I:$I,$I2))</f>
        <v/>
      </c>
      <c r="G992" s="135" t="n">
        <v>-1</v>
      </c>
      <c r="H992" s="5">
        <f>IF($I2="","",INDEX(Productos!$AG:$AG,$I2))</f>
        <v/>
      </c>
      <c r="I992" s="136">
        <f>LET(_xlpm.r,Productos!$E$2:$E$2509,_xlpm.m,IFERROR(_xlfn.XMATCH(C992,_xlpm.r),IFERROR(_xlfn.XMATCH(VALUE(C992),_xlpm.r),0)),IF(_xlpm.m=0,"",_xlpm.m+1))</f>
        <v/>
      </c>
      <c r="J992" s="137" t="inlineStr">
        <is>
          <t>NetSuite</t>
        </is>
      </c>
    </row>
    <row r="993">
      <c r="A993" s="5" t="inlineStr">
        <is>
          <t>STETSON AMERICAS</t>
        </is>
      </c>
      <c r="B993" s="5">
        <f>IF($I2="","",INDEX(Productos!$A:$A,$I2))</f>
        <v/>
      </c>
      <c r="C993" s="134" t="inlineStr">
        <is>
          <t>11-098-0202-7076-M</t>
        </is>
      </c>
      <c r="D993" s="5">
        <f>IF($I2="","",INDEX(Productos!$B:$B,$I2))</f>
        <v/>
      </c>
      <c r="E993" s="5">
        <f>IF($I2="","",INDEX(Productos!$H:$H,$I2))</f>
        <v/>
      </c>
      <c r="F993" s="5">
        <f>IF($I2="","",INDEX(Productos!$I:$I,$I2))</f>
        <v/>
      </c>
      <c r="G993" s="135" t="n">
        <v>-2</v>
      </c>
      <c r="H993" s="5">
        <f>IF($I2="","",INDEX(Productos!$AG:$AG,$I2))</f>
        <v/>
      </c>
      <c r="I993" s="136">
        <f>LET(_xlpm.r,Productos!$E$2:$E$2509,_xlpm.m,IFERROR(_xlfn.XMATCH(C993,_xlpm.r),IFERROR(_xlfn.XMATCH(VALUE(C993),_xlpm.r),0)),IF(_xlpm.m=0,"",_xlpm.m+1))</f>
        <v/>
      </c>
      <c r="J993" s="137" t="inlineStr">
        <is>
          <t>NetSuite</t>
        </is>
      </c>
    </row>
    <row r="994">
      <c r="A994" s="5" t="inlineStr">
        <is>
          <t>STETSON AMERICAS</t>
        </is>
      </c>
      <c r="B994" s="5">
        <f>IF($I2="","",INDEX(Productos!$A:$A,$I2))</f>
        <v/>
      </c>
      <c r="C994" s="134" t="inlineStr">
        <is>
          <t>11-098-0202-7076-S</t>
        </is>
      </c>
      <c r="D994" s="5">
        <f>IF($I2="","",INDEX(Productos!$B:$B,$I2))</f>
        <v/>
      </c>
      <c r="E994" s="5">
        <f>IF($I2="","",INDEX(Productos!$H:$H,$I2))</f>
        <v/>
      </c>
      <c r="F994" s="5">
        <f>IF($I2="","",INDEX(Productos!$I:$I,$I2))</f>
        <v/>
      </c>
      <c r="G994" s="135" t="n">
        <v>-2</v>
      </c>
      <c r="H994" s="5">
        <f>IF($I2="","",INDEX(Productos!$AG:$AG,$I2))</f>
        <v/>
      </c>
      <c r="I994" s="136">
        <f>LET(_xlpm.r,Productos!$E$2:$E$2509,_xlpm.m,IFERROR(_xlfn.XMATCH(C994,_xlpm.r),IFERROR(_xlfn.XMATCH(VALUE(C994),_xlpm.r),0)),IF(_xlpm.m=0,"",_xlpm.m+1))</f>
        <v/>
      </c>
      <c r="J994" s="137" t="inlineStr">
        <is>
          <t>NetSuite</t>
        </is>
      </c>
    </row>
    <row r="995">
      <c r="A995" s="5" t="inlineStr">
        <is>
          <t>STETSON AMERICAS</t>
        </is>
      </c>
      <c r="B995" s="5">
        <f>IF($I2="","",INDEX(Productos!$A:$A,$I2))</f>
        <v/>
      </c>
      <c r="C995" s="134" t="inlineStr">
        <is>
          <t>11-098-0539-0080-M</t>
        </is>
      </c>
      <c r="D995" s="5">
        <f>IF($I2="","",INDEX(Productos!$B:$B,$I2))</f>
        <v/>
      </c>
      <c r="E995" s="5">
        <f>IF($I2="","",INDEX(Productos!$H:$H,$I2))</f>
        <v/>
      </c>
      <c r="F995" s="5">
        <f>IF($I2="","",INDEX(Productos!$I:$I,$I2))</f>
        <v/>
      </c>
      <c r="G995" s="135" t="n">
        <v>-1</v>
      </c>
      <c r="H995" s="5">
        <f>IF($I2="","",INDEX(Productos!$AG:$AG,$I2))</f>
        <v/>
      </c>
      <c r="I995" s="136">
        <f>LET(_xlpm.r,Productos!$E$2:$E$2509,_xlpm.m,IFERROR(_xlfn.XMATCH(C995,_xlpm.r),IFERROR(_xlfn.XMATCH(VALUE(C995),_xlpm.r),0)),IF(_xlpm.m=0,"",_xlpm.m+1))</f>
        <v/>
      </c>
      <c r="J995" s="137" t="inlineStr">
        <is>
          <t>NetSuite</t>
        </is>
      </c>
    </row>
    <row r="996">
      <c r="A996" s="5" t="inlineStr">
        <is>
          <t>STETSON AMERICAS</t>
        </is>
      </c>
      <c r="B996" s="5">
        <f>IF($I2="","",INDEX(Productos!$A:$A,$I2))</f>
        <v/>
      </c>
      <c r="C996" s="134" t="inlineStr">
        <is>
          <t>11-098-0539-0081-S</t>
        </is>
      </c>
      <c r="D996" s="5">
        <f>IF($I2="","",INDEX(Productos!$B:$B,$I2))</f>
        <v/>
      </c>
      <c r="E996" s="5">
        <f>IF($I2="","",INDEX(Productos!$H:$H,$I2))</f>
        <v/>
      </c>
      <c r="F996" s="5">
        <f>IF($I2="","",INDEX(Productos!$I:$I,$I2))</f>
        <v/>
      </c>
      <c r="G996" s="135" t="n">
        <v>-2</v>
      </c>
      <c r="H996" s="5">
        <f>IF($I2="","",INDEX(Productos!$AG:$AG,$I2))</f>
        <v/>
      </c>
      <c r="I996" s="136">
        <f>LET(_xlpm.r,Productos!$E$2:$E$2509,_xlpm.m,IFERROR(_xlfn.XMATCH(C996,_xlpm.r),IFERROR(_xlfn.XMATCH(VALUE(C996),_xlpm.r),0)),IF(_xlpm.m=0,"",_xlpm.m+1))</f>
        <v/>
      </c>
      <c r="J996" s="137" t="inlineStr">
        <is>
          <t>NetSuite</t>
        </is>
      </c>
    </row>
    <row r="997">
      <c r="A997" s="5" t="inlineStr">
        <is>
          <t>STETSON AMERICAS</t>
        </is>
      </c>
      <c r="B997" s="5">
        <f>IF($I2="","",INDEX(Productos!$A:$A,$I2))</f>
        <v/>
      </c>
      <c r="C997" s="134" t="inlineStr">
        <is>
          <t>11-098-0539-0081-XS</t>
        </is>
      </c>
      <c r="D997" s="5">
        <f>IF($I2="","",INDEX(Productos!$B:$B,$I2))</f>
        <v/>
      </c>
      <c r="E997" s="5">
        <f>IF($I2="","",INDEX(Productos!$H:$H,$I2))</f>
        <v/>
      </c>
      <c r="F997" s="5">
        <f>IF($I2="","",INDEX(Productos!$I:$I,$I2))</f>
        <v/>
      </c>
      <c r="G997" s="135" t="n">
        <v>-1</v>
      </c>
      <c r="H997" s="5">
        <f>IF($I2="","",INDEX(Productos!$AG:$AG,$I2))</f>
        <v/>
      </c>
      <c r="I997" s="136">
        <f>LET(_xlpm.r,Productos!$E$2:$E$2509,_xlpm.m,IFERROR(_xlfn.XMATCH(C997,_xlpm.r),IFERROR(_xlfn.XMATCH(VALUE(C997),_xlpm.r),0)),IF(_xlpm.m=0,"",_xlpm.m+1))</f>
        <v/>
      </c>
      <c r="J997" s="137" t="inlineStr">
        <is>
          <t>NetSuite</t>
        </is>
      </c>
    </row>
    <row r="998">
      <c r="A998" s="5" t="inlineStr">
        <is>
          <t>STETSON AMERICAS</t>
        </is>
      </c>
      <c r="B998" s="5">
        <f>IF($I2="","",INDEX(Productos!$A:$A,$I2))</f>
        <v/>
      </c>
      <c r="C998" s="134" t="inlineStr">
        <is>
          <t>11-098-0539-7107-L</t>
        </is>
      </c>
      <c r="D998" s="5">
        <f>IF($I2="","",INDEX(Productos!$B:$B,$I2))</f>
        <v/>
      </c>
      <c r="E998" s="5">
        <f>IF($I2="","",INDEX(Productos!$H:$H,$I2))</f>
        <v/>
      </c>
      <c r="F998" s="5">
        <f>IF($I2="","",INDEX(Productos!$I:$I,$I2))</f>
        <v/>
      </c>
      <c r="G998" s="135" t="n">
        <v>-1</v>
      </c>
      <c r="H998" s="5">
        <f>IF($I2="","",INDEX(Productos!$AG:$AG,$I2))</f>
        <v/>
      </c>
      <c r="I998" s="136">
        <f>LET(_xlpm.r,Productos!$E$2:$E$2509,_xlpm.m,IFERROR(_xlfn.XMATCH(C998,_xlpm.r),IFERROR(_xlfn.XMATCH(VALUE(C998),_xlpm.r),0)),IF(_xlpm.m=0,"",_xlpm.m+1))</f>
        <v/>
      </c>
      <c r="J998" s="137" t="inlineStr">
        <is>
          <t>NetSuite</t>
        </is>
      </c>
    </row>
    <row r="999">
      <c r="A999" s="5" t="inlineStr">
        <is>
          <t>STETSON AMERICAS</t>
        </is>
      </c>
      <c r="B999" s="5">
        <f>IF($I2="","",INDEX(Productos!$A:$A,$I2))</f>
        <v/>
      </c>
      <c r="C999" s="134" t="inlineStr">
        <is>
          <t>11-098-0539-7107-M</t>
        </is>
      </c>
      <c r="D999" s="5">
        <f>IF($I2="","",INDEX(Productos!$B:$B,$I2))</f>
        <v/>
      </c>
      <c r="E999" s="5">
        <f>IF($I2="","",INDEX(Productos!$H:$H,$I2))</f>
        <v/>
      </c>
      <c r="F999" s="5">
        <f>IF($I2="","",INDEX(Productos!$I:$I,$I2))</f>
        <v/>
      </c>
      <c r="G999" s="135" t="n">
        <v>-2</v>
      </c>
      <c r="H999" s="5">
        <f>IF($I2="","",INDEX(Productos!$AG:$AG,$I2))</f>
        <v/>
      </c>
      <c r="I999" s="136">
        <f>LET(_xlpm.r,Productos!$E$2:$E$2509,_xlpm.m,IFERROR(_xlfn.XMATCH(C999,_xlpm.r),IFERROR(_xlfn.XMATCH(VALUE(C999),_xlpm.r),0)),IF(_xlpm.m=0,"",_xlpm.m+1))</f>
        <v/>
      </c>
      <c r="J999" s="137" t="inlineStr">
        <is>
          <t>NetSuite</t>
        </is>
      </c>
    </row>
    <row r="1000">
      <c r="A1000" s="5" t="inlineStr">
        <is>
          <t>STETSON AMERICAS</t>
        </is>
      </c>
      <c r="B1000" s="5">
        <f>IF($I2="","",INDEX(Productos!$A:$A,$I2))</f>
        <v/>
      </c>
      <c r="C1000" s="134" t="inlineStr">
        <is>
          <t>11-098-0539-7107-S</t>
        </is>
      </c>
      <c r="D1000" s="5">
        <f>IF($I2="","",INDEX(Productos!$B:$B,$I2))</f>
        <v/>
      </c>
      <c r="E1000" s="5">
        <f>IF($I2="","",INDEX(Productos!$H:$H,$I2))</f>
        <v/>
      </c>
      <c r="F1000" s="5">
        <f>IF($I2="","",INDEX(Productos!$I:$I,$I2))</f>
        <v/>
      </c>
      <c r="G1000" s="135" t="n">
        <v>-1</v>
      </c>
      <c r="H1000" s="5">
        <f>IF($I2="","",INDEX(Productos!$AG:$AG,$I2))</f>
        <v/>
      </c>
      <c r="I1000" s="136">
        <f>LET(_xlpm.r,Productos!$E$2:$E$2509,_xlpm.m,IFERROR(_xlfn.XMATCH(C1000,_xlpm.r),IFERROR(_xlfn.XMATCH(VALUE(C1000),_xlpm.r),0)),IF(_xlpm.m=0,"",_xlpm.m+1))</f>
        <v/>
      </c>
      <c r="J1000" s="137" t="inlineStr">
        <is>
          <t>NetSuite</t>
        </is>
      </c>
    </row>
    <row r="1001">
      <c r="A1001" s="5" t="inlineStr">
        <is>
          <t>STETSON AMERICAS</t>
        </is>
      </c>
      <c r="B1001" s="5">
        <f>IF($I2="","",INDEX(Productos!$A:$A,$I2))</f>
        <v/>
      </c>
      <c r="C1001" s="134" t="inlineStr">
        <is>
          <t>11-098-0539-7107-XS</t>
        </is>
      </c>
      <c r="D1001" s="5">
        <f>IF($I2="","",INDEX(Productos!$B:$B,$I2))</f>
        <v/>
      </c>
      <c r="E1001" s="5">
        <f>IF($I2="","",INDEX(Productos!$H:$H,$I2))</f>
        <v/>
      </c>
      <c r="F1001" s="5">
        <f>IF($I2="","",INDEX(Productos!$I:$I,$I2))</f>
        <v/>
      </c>
      <c r="G1001" s="135" t="n">
        <v>-1</v>
      </c>
      <c r="H1001" s="5">
        <f>IF($I2="","",INDEX(Productos!$AG:$AG,$I2))</f>
        <v/>
      </c>
      <c r="I1001" s="136">
        <f>LET(_xlpm.r,Productos!$E$2:$E$2509,_xlpm.m,IFERROR(_xlfn.XMATCH(C1001,_xlpm.r),IFERROR(_xlfn.XMATCH(VALUE(C1001),_xlpm.r),0)),IF(_xlpm.m=0,"",_xlpm.m+1))</f>
        <v/>
      </c>
      <c r="J1001" s="137" t="inlineStr">
        <is>
          <t>NetSuite</t>
        </is>
      </c>
    </row>
    <row r="1002">
      <c r="A1002" s="5" t="inlineStr">
        <is>
          <t>STETSON AMERICAS</t>
        </is>
      </c>
      <c r="B1002" s="5">
        <f>IF($I2="","",INDEX(Productos!$A:$A,$I2))</f>
        <v/>
      </c>
      <c r="C1002" s="134" t="inlineStr">
        <is>
          <t>11-098-0539-7108-S</t>
        </is>
      </c>
      <c r="D1002" s="5">
        <f>IF($I2="","",INDEX(Productos!$B:$B,$I2))</f>
        <v/>
      </c>
      <c r="E1002" s="5">
        <f>IF($I2="","",INDEX(Productos!$H:$H,$I2))</f>
        <v/>
      </c>
      <c r="F1002" s="5">
        <f>IF($I2="","",INDEX(Productos!$I:$I,$I2))</f>
        <v/>
      </c>
      <c r="G1002" s="135" t="n">
        <v>-1</v>
      </c>
      <c r="H1002" s="5">
        <f>IF($I2="","",INDEX(Productos!$AG:$AG,$I2))</f>
        <v/>
      </c>
      <c r="I1002" s="136">
        <f>LET(_xlpm.r,Productos!$E$2:$E$2509,_xlpm.m,IFERROR(_xlfn.XMATCH(C1002,_xlpm.r),IFERROR(_xlfn.XMATCH(VALUE(C1002),_xlpm.r),0)),IF(_xlpm.m=0,"",_xlpm.m+1))</f>
        <v/>
      </c>
      <c r="J1002" s="137" t="inlineStr">
        <is>
          <t>NetSuite</t>
        </is>
      </c>
    </row>
    <row r="1003">
      <c r="A1003" s="5" t="inlineStr">
        <is>
          <t>STETSON AMERICAS</t>
        </is>
      </c>
      <c r="B1003" s="5">
        <f>IF($I2="","",INDEX(Productos!$A:$A,$I2))</f>
        <v/>
      </c>
      <c r="C1003" s="134" t="inlineStr">
        <is>
          <t>11-098-0539-7108-XS</t>
        </is>
      </c>
      <c r="D1003" s="5">
        <f>IF($I2="","",INDEX(Productos!$B:$B,$I2))</f>
        <v/>
      </c>
      <c r="E1003" s="5">
        <f>IF($I2="","",INDEX(Productos!$H:$H,$I2))</f>
        <v/>
      </c>
      <c r="F1003" s="5">
        <f>IF($I2="","",INDEX(Productos!$I:$I,$I2))</f>
        <v/>
      </c>
      <c r="G1003" s="135" t="n">
        <v>-1</v>
      </c>
      <c r="H1003" s="5">
        <f>IF($I2="","",INDEX(Productos!$AG:$AG,$I2))</f>
        <v/>
      </c>
      <c r="I1003" s="136">
        <f>LET(_xlpm.r,Productos!$E$2:$E$2509,_xlpm.m,IFERROR(_xlfn.XMATCH(C1003,_xlpm.r),IFERROR(_xlfn.XMATCH(VALUE(C1003),_xlpm.r),0)),IF(_xlpm.m=0,"",_xlpm.m+1))</f>
        <v/>
      </c>
      <c r="J1003" s="137" t="inlineStr">
        <is>
          <t>NetSuite</t>
        </is>
      </c>
    </row>
    <row r="1004">
      <c r="A1004" s="5" t="inlineStr">
        <is>
          <t>STETSON AMERICAS</t>
        </is>
      </c>
      <c r="B1004" s="5">
        <f>IF($I2="","",INDEX(Productos!$A:$A,$I2))</f>
        <v/>
      </c>
      <c r="C1004" s="134" t="inlineStr">
        <is>
          <t>11-098-0539-9161-M</t>
        </is>
      </c>
      <c r="D1004" s="5">
        <f>IF($I2="","",INDEX(Productos!$B:$B,$I2))</f>
        <v/>
      </c>
      <c r="E1004" s="5">
        <f>IF($I2="","",INDEX(Productos!$H:$H,$I2))</f>
        <v/>
      </c>
      <c r="F1004" s="5">
        <f>IF($I2="","",INDEX(Productos!$I:$I,$I2))</f>
        <v/>
      </c>
      <c r="G1004" s="135" t="n">
        <v>-1</v>
      </c>
      <c r="H1004" s="5">
        <f>IF($I2="","",INDEX(Productos!$AG:$AG,$I2))</f>
        <v/>
      </c>
      <c r="I1004" s="136">
        <f>LET(_xlpm.r,Productos!$E$2:$E$2509,_xlpm.m,IFERROR(_xlfn.XMATCH(C1004,_xlpm.r),IFERROR(_xlfn.XMATCH(VALUE(C1004),_xlpm.r),0)),IF(_xlpm.m=0,"",_xlpm.m+1))</f>
        <v/>
      </c>
      <c r="J1004" s="137" t="inlineStr">
        <is>
          <t>NetSuite</t>
        </is>
      </c>
    </row>
    <row r="1005">
      <c r="A1005" s="5" t="inlineStr">
        <is>
          <t>STETSON AMERICAS</t>
        </is>
      </c>
      <c r="B1005" s="5">
        <f>IF($I2="","",INDEX(Productos!$A:$A,$I2))</f>
        <v/>
      </c>
      <c r="C1005" s="134" t="inlineStr">
        <is>
          <t>11-098-0539-9161-S</t>
        </is>
      </c>
      <c r="D1005" s="5">
        <f>IF($I2="","",INDEX(Productos!$B:$B,$I2))</f>
        <v/>
      </c>
      <c r="E1005" s="5">
        <f>IF($I2="","",INDEX(Productos!$H:$H,$I2))</f>
        <v/>
      </c>
      <c r="F1005" s="5">
        <f>IF($I2="","",INDEX(Productos!$I:$I,$I2))</f>
        <v/>
      </c>
      <c r="G1005" s="135" t="n">
        <v>-2</v>
      </c>
      <c r="H1005" s="5">
        <f>IF($I2="","",INDEX(Productos!$AG:$AG,$I2))</f>
        <v/>
      </c>
      <c r="I1005" s="136">
        <f>LET(_xlpm.r,Productos!$E$2:$E$2509,_xlpm.m,IFERROR(_xlfn.XMATCH(C1005,_xlpm.r),IFERROR(_xlfn.XMATCH(VALUE(C1005),_xlpm.r),0)),IF(_xlpm.m=0,"",_xlpm.m+1))</f>
        <v/>
      </c>
      <c r="J1005" s="137" t="inlineStr">
        <is>
          <t>NetSuite</t>
        </is>
      </c>
    </row>
    <row r="1006">
      <c r="A1006" s="5" t="inlineStr">
        <is>
          <t>STETSON AMERICAS</t>
        </is>
      </c>
      <c r="B1006" s="5">
        <f>IF($I2="","",INDEX(Productos!$A:$A,$I2))</f>
        <v/>
      </c>
      <c r="C1006" s="134" t="inlineStr">
        <is>
          <t>11-098-0594-0075-S</t>
        </is>
      </c>
      <c r="D1006" s="5">
        <f>IF($I2="","",INDEX(Productos!$B:$B,$I2))</f>
        <v/>
      </c>
      <c r="E1006" s="5">
        <f>IF($I2="","",INDEX(Productos!$H:$H,$I2))</f>
        <v/>
      </c>
      <c r="F1006" s="5">
        <f>IF($I2="","",INDEX(Productos!$I:$I,$I2))</f>
        <v/>
      </c>
      <c r="G1006" s="135" t="n">
        <v>-2</v>
      </c>
      <c r="H1006" s="5">
        <f>IF($I2="","",INDEX(Productos!$AG:$AG,$I2))</f>
        <v/>
      </c>
      <c r="I1006" s="136">
        <f>LET(_xlpm.r,Productos!$E$2:$E$2509,_xlpm.m,IFERROR(_xlfn.XMATCH(C1006,_xlpm.r),IFERROR(_xlfn.XMATCH(VALUE(C1006),_xlpm.r),0)),IF(_xlpm.m=0,"",_xlpm.m+1))</f>
        <v/>
      </c>
      <c r="J1006" s="137" t="inlineStr">
        <is>
          <t>NetSuite</t>
        </is>
      </c>
    </row>
    <row r="1007">
      <c r="A1007" s="5" t="inlineStr">
        <is>
          <t>STETSON AMERICAS</t>
        </is>
      </c>
      <c r="B1007" s="5">
        <f>IF($I2="","",INDEX(Productos!$A:$A,$I2))</f>
        <v/>
      </c>
      <c r="C1007" s="134" t="inlineStr">
        <is>
          <t>12-020-BS000-10-1017-027</t>
        </is>
      </c>
      <c r="D1007" s="5">
        <f>IF($I2="","",INDEX(Productos!$B:$B,$I2))</f>
        <v/>
      </c>
      <c r="E1007" s="5">
        <f>IF($I2="","",INDEX(Productos!$H:$H,$I2))</f>
        <v/>
      </c>
      <c r="F1007" s="5">
        <f>IF($I2="","",INDEX(Productos!$I:$I,$I2))</f>
        <v/>
      </c>
      <c r="G1007" s="135" t="n">
        <v>1</v>
      </c>
      <c r="H1007" s="5">
        <f>IF($I2="","",INDEX(Productos!$AG:$AG,$I2))</f>
        <v/>
      </c>
      <c r="I1007" s="136">
        <f>LET(_xlpm.r,Productos!$E$2:$E$2509,_xlpm.m,IFERROR(_xlfn.XMATCH(C1007,_xlpm.r),IFERROR(_xlfn.XMATCH(VALUE(C1007),_xlpm.r),0)),IF(_xlpm.m=0,"",_xlpm.m+1))</f>
        <v/>
      </c>
      <c r="J1007" s="137" t="inlineStr">
        <is>
          <t>NetSuite</t>
        </is>
      </c>
    </row>
    <row r="1008">
      <c r="A1008" s="5" t="inlineStr">
        <is>
          <t>STETSON AMERICAS</t>
        </is>
      </c>
      <c r="B1008" s="5">
        <f>IF($I2="","",INDEX(Productos!$A:$A,$I2))</f>
        <v/>
      </c>
      <c r="C1008" s="134" t="inlineStr">
        <is>
          <t>12-020-BS000-10-1017-029</t>
        </is>
      </c>
      <c r="D1008" s="5">
        <f>IF($I2="","",INDEX(Productos!$B:$B,$I2))</f>
        <v/>
      </c>
      <c r="E1008" s="5">
        <f>IF($I2="","",INDEX(Productos!$H:$H,$I2))</f>
        <v/>
      </c>
      <c r="F1008" s="5">
        <f>IF($I2="","",INDEX(Productos!$I:$I,$I2))</f>
        <v/>
      </c>
      <c r="G1008" s="135" t="n">
        <v>1</v>
      </c>
      <c r="H1008" s="5">
        <f>IF($I2="","",INDEX(Productos!$AG:$AG,$I2))</f>
        <v/>
      </c>
      <c r="I1008" s="136">
        <f>LET(_xlpm.r,Productos!$E$2:$E$2509,_xlpm.m,IFERROR(_xlfn.XMATCH(C1008,_xlpm.r),IFERROR(_xlfn.XMATCH(VALUE(C1008),_xlpm.r),0)),IF(_xlpm.m=0,"",_xlpm.m+1))</f>
        <v/>
      </c>
      <c r="J1008" s="137" t="inlineStr">
        <is>
          <t>NetSuite</t>
        </is>
      </c>
    </row>
    <row r="1009">
      <c r="A1009" s="5" t="inlineStr">
        <is>
          <t>STETSON AMERICAS</t>
        </is>
      </c>
      <c r="B1009" s="5">
        <f>IF($I2="","",INDEX(Productos!$A:$A,$I2))</f>
        <v/>
      </c>
      <c r="C1009" s="134" t="inlineStr">
        <is>
          <t>12-020-BS000-10-1017-265</t>
        </is>
      </c>
      <c r="D1009" s="5">
        <f>IF($I2="","",INDEX(Productos!$B:$B,$I2))</f>
        <v/>
      </c>
      <c r="E1009" s="5">
        <f>IF($I2="","",INDEX(Productos!$H:$H,$I2))</f>
        <v/>
      </c>
      <c r="F1009" s="5">
        <f>IF($I2="","",INDEX(Productos!$I:$I,$I2))</f>
        <v/>
      </c>
      <c r="G1009" s="135" t="n">
        <v>-1</v>
      </c>
      <c r="H1009" s="5">
        <f>IF($I2="","",INDEX(Productos!$AG:$AG,$I2))</f>
        <v/>
      </c>
      <c r="I1009" s="136">
        <f>LET(_xlpm.r,Productos!$E$2:$E$2509,_xlpm.m,IFERROR(_xlfn.XMATCH(C1009,_xlpm.r),IFERROR(_xlfn.XMATCH(VALUE(C1009),_xlpm.r),0)),IF(_xlpm.m=0,"",_xlpm.m+1))</f>
        <v/>
      </c>
      <c r="J1009" s="137" t="inlineStr">
        <is>
          <t>NetSuite</t>
        </is>
      </c>
    </row>
    <row r="1010">
      <c r="A1010" s="5" t="inlineStr">
        <is>
          <t>STETSON AMERICAS</t>
        </is>
      </c>
      <c r="B1010" s="5">
        <f>IF($I2="","",INDEX(Productos!$A:$A,$I2))</f>
        <v/>
      </c>
      <c r="C1010" s="134" t="inlineStr">
        <is>
          <t>12-020-BS000-10-1017-275</t>
        </is>
      </c>
      <c r="D1010" s="5">
        <f>IF($I2="","",INDEX(Productos!$B:$B,$I2))</f>
        <v/>
      </c>
      <c r="E1010" s="5">
        <f>IF($I2="","",INDEX(Productos!$H:$H,$I2))</f>
        <v/>
      </c>
      <c r="F1010" s="5">
        <f>IF($I2="","",INDEX(Productos!$I:$I,$I2))</f>
        <v/>
      </c>
      <c r="G1010" s="135" t="n">
        <v>1</v>
      </c>
      <c r="H1010" s="5">
        <f>IF($I2="","",INDEX(Productos!$AG:$AG,$I2))</f>
        <v/>
      </c>
      <c r="I1010" s="136">
        <f>LET(_xlpm.r,Productos!$E$2:$E$2509,_xlpm.m,IFERROR(_xlfn.XMATCH(C1010,_xlpm.r),IFERROR(_xlfn.XMATCH(VALUE(C1010),_xlpm.r),0)),IF(_xlpm.m=0,"",_xlpm.m+1))</f>
        <v/>
      </c>
      <c r="J1010" s="137" t="inlineStr">
        <is>
          <t>NetSuite</t>
        </is>
      </c>
    </row>
    <row r="1011">
      <c r="A1011" s="5" t="inlineStr">
        <is>
          <t>STETSON AMERICAS</t>
        </is>
      </c>
      <c r="B1011" s="5">
        <f>IF($I2="","",INDEX(Productos!$A:$A,$I2))</f>
        <v/>
      </c>
      <c r="C1011" s="134" t="inlineStr">
        <is>
          <t>12-020-BS000-10-1017-285</t>
        </is>
      </c>
      <c r="D1011" s="5">
        <f>IF($I2="","",INDEX(Productos!$B:$B,$I2))</f>
        <v/>
      </c>
      <c r="E1011" s="5">
        <f>IF($I2="","",INDEX(Productos!$H:$H,$I2))</f>
        <v/>
      </c>
      <c r="F1011" s="5">
        <f>IF($I2="","",INDEX(Productos!$I:$I,$I2))</f>
        <v/>
      </c>
      <c r="G1011" s="135" t="n">
        <v>2</v>
      </c>
      <c r="H1011" s="5">
        <f>IF($I2="","",INDEX(Productos!$AG:$AG,$I2))</f>
        <v/>
      </c>
      <c r="I1011" s="136">
        <f>LET(_xlpm.r,Productos!$E$2:$E$2509,_xlpm.m,IFERROR(_xlfn.XMATCH(C1011,_xlpm.r),IFERROR(_xlfn.XMATCH(VALUE(C1011),_xlpm.r),0)),IF(_xlpm.m=0,"",_xlpm.m+1))</f>
        <v/>
      </c>
      <c r="J1011" s="137" t="inlineStr">
        <is>
          <t>NetSuite</t>
        </is>
      </c>
    </row>
    <row r="1012">
      <c r="A1012" s="5" t="inlineStr">
        <is>
          <t>STETSON AMERICAS</t>
        </is>
      </c>
      <c r="B1012" s="5">
        <f>IF($I2="","",INDEX(Productos!$A:$A,$I2))</f>
        <v/>
      </c>
      <c r="C1012" s="134" t="inlineStr">
        <is>
          <t>12-020-BS000-10-1018-027</t>
        </is>
      </c>
      <c r="D1012" s="5">
        <f>IF($I2="","",INDEX(Productos!$B:$B,$I2))</f>
        <v/>
      </c>
      <c r="E1012" s="5">
        <f>IF($I2="","",INDEX(Productos!$H:$H,$I2))</f>
        <v/>
      </c>
      <c r="F1012" s="5">
        <f>IF($I2="","",INDEX(Productos!$I:$I,$I2))</f>
        <v/>
      </c>
      <c r="G1012" s="135" t="n">
        <v>1</v>
      </c>
      <c r="H1012" s="5">
        <f>IF($I2="","",INDEX(Productos!$AG:$AG,$I2))</f>
        <v/>
      </c>
      <c r="I1012" s="136">
        <f>LET(_xlpm.r,Productos!$E$2:$E$2509,_xlpm.m,IFERROR(_xlfn.XMATCH(C1012,_xlpm.r),IFERROR(_xlfn.XMATCH(VALUE(C1012),_xlpm.r),0)),IF(_xlpm.m=0,"",_xlpm.m+1))</f>
        <v/>
      </c>
      <c r="J1012" s="137" t="inlineStr">
        <is>
          <t>NetSuite</t>
        </is>
      </c>
    </row>
    <row r="1013">
      <c r="A1013" s="5" t="inlineStr">
        <is>
          <t>STETSON AMERICAS</t>
        </is>
      </c>
      <c r="B1013" s="5">
        <f>IF($I2="","",INDEX(Productos!$A:$A,$I2))</f>
        <v/>
      </c>
      <c r="C1013" s="134" t="inlineStr">
        <is>
          <t>12-020-BS000-10-1018-029</t>
        </is>
      </c>
      <c r="D1013" s="5">
        <f>IF($I2="","",INDEX(Productos!$B:$B,$I2))</f>
        <v/>
      </c>
      <c r="E1013" s="5">
        <f>IF($I2="","",INDEX(Productos!$H:$H,$I2))</f>
        <v/>
      </c>
      <c r="F1013" s="5">
        <f>IF($I2="","",INDEX(Productos!$I:$I,$I2))</f>
        <v/>
      </c>
      <c r="G1013" s="135" t="n">
        <v>1</v>
      </c>
      <c r="H1013" s="5">
        <f>IF($I2="","",INDEX(Productos!$AG:$AG,$I2))</f>
        <v/>
      </c>
      <c r="I1013" s="136">
        <f>LET(_xlpm.r,Productos!$E$2:$E$2509,_xlpm.m,IFERROR(_xlfn.XMATCH(C1013,_xlpm.r),IFERROR(_xlfn.XMATCH(VALUE(C1013),_xlpm.r),0)),IF(_xlpm.m=0,"",_xlpm.m+1))</f>
        <v/>
      </c>
      <c r="J1013" s="137" t="inlineStr">
        <is>
          <t>NetSuite</t>
        </is>
      </c>
    </row>
    <row r="1014">
      <c r="A1014" s="5" t="inlineStr">
        <is>
          <t>STETSON AMERICAS</t>
        </is>
      </c>
      <c r="B1014" s="5">
        <f>IF($I2="","",INDEX(Productos!$A:$A,$I2))</f>
        <v/>
      </c>
      <c r="C1014" s="134" t="inlineStr">
        <is>
          <t>12-020-BS000-10-1018-275</t>
        </is>
      </c>
      <c r="D1014" s="5">
        <f>IF($I2="","",INDEX(Productos!$B:$B,$I2))</f>
        <v/>
      </c>
      <c r="E1014" s="5">
        <f>IF($I2="","",INDEX(Productos!$H:$H,$I2))</f>
        <v/>
      </c>
      <c r="F1014" s="5">
        <f>IF($I2="","",INDEX(Productos!$I:$I,$I2))</f>
        <v/>
      </c>
      <c r="G1014" s="135" t="n">
        <v>1</v>
      </c>
      <c r="H1014" s="5">
        <f>IF($I2="","",INDEX(Productos!$AG:$AG,$I2))</f>
        <v/>
      </c>
      <c r="I1014" s="136">
        <f>LET(_xlpm.r,Productos!$E$2:$E$2509,_xlpm.m,IFERROR(_xlfn.XMATCH(C1014,_xlpm.r),IFERROR(_xlfn.XMATCH(VALUE(C1014),_xlpm.r),0)),IF(_xlpm.m=0,"",_xlpm.m+1))</f>
        <v/>
      </c>
      <c r="J1014" s="137" t="inlineStr">
        <is>
          <t>NetSuite</t>
        </is>
      </c>
    </row>
    <row r="1015">
      <c r="A1015" s="5" t="inlineStr">
        <is>
          <t>STETSON AMERICAS</t>
        </is>
      </c>
      <c r="B1015" s="5">
        <f>IF($I2="","",INDEX(Productos!$A:$A,$I2))</f>
        <v/>
      </c>
      <c r="C1015" s="134" t="inlineStr">
        <is>
          <t>12-020-BS000-10-1018-285</t>
        </is>
      </c>
      <c r="D1015" s="5">
        <f>IF($I2="","",INDEX(Productos!$B:$B,$I2))</f>
        <v/>
      </c>
      <c r="E1015" s="5">
        <f>IF($I2="","",INDEX(Productos!$H:$H,$I2))</f>
        <v/>
      </c>
      <c r="F1015" s="5">
        <f>IF($I2="","",INDEX(Productos!$I:$I,$I2))</f>
        <v/>
      </c>
      <c r="G1015" s="135" t="n">
        <v>2</v>
      </c>
      <c r="H1015" s="5">
        <f>IF($I2="","",INDEX(Productos!$AG:$AG,$I2))</f>
        <v/>
      </c>
      <c r="I1015" s="136">
        <f>LET(_xlpm.r,Productos!$E$2:$E$2509,_xlpm.m,IFERROR(_xlfn.XMATCH(C1015,_xlpm.r),IFERROR(_xlfn.XMATCH(VALUE(C1015),_xlpm.r),0)),IF(_xlpm.m=0,"",_xlpm.m+1))</f>
        <v/>
      </c>
      <c r="J1015" s="137" t="inlineStr">
        <is>
          <t>NetSuite</t>
        </is>
      </c>
    </row>
    <row r="1016">
      <c r="A1016" s="5" t="inlineStr">
        <is>
          <t>STETSON AMERICAS</t>
        </is>
      </c>
      <c r="B1016" s="5">
        <f>IF($I2="","",INDEX(Productos!$A:$A,$I2))</f>
        <v/>
      </c>
      <c r="C1016" s="134" t="inlineStr">
        <is>
          <t>12-020-BS001-10-1000-026</t>
        </is>
      </c>
      <c r="D1016" s="5">
        <f>IF($I2="","",INDEX(Productos!$B:$B,$I2))</f>
        <v/>
      </c>
      <c r="E1016" s="5">
        <f>IF($I2="","",INDEX(Productos!$H:$H,$I2))</f>
        <v/>
      </c>
      <c r="F1016" s="5">
        <f>IF($I2="","",INDEX(Productos!$I:$I,$I2))</f>
        <v/>
      </c>
      <c r="G1016" s="135" t="n">
        <v>-1</v>
      </c>
      <c r="H1016" s="5">
        <f>IF($I2="","",INDEX(Productos!$AG:$AG,$I2))</f>
        <v/>
      </c>
      <c r="I1016" s="136">
        <f>LET(_xlpm.r,Productos!$E$2:$E$2509,_xlpm.m,IFERROR(_xlfn.XMATCH(C1016,_xlpm.r),IFERROR(_xlfn.XMATCH(VALUE(C1016),_xlpm.r),0)),IF(_xlpm.m=0,"",_xlpm.m+1))</f>
        <v/>
      </c>
      <c r="J1016" s="137" t="inlineStr">
        <is>
          <t>NetSuite</t>
        </is>
      </c>
    </row>
    <row r="1017">
      <c r="A1017" s="5" t="inlineStr">
        <is>
          <t>STETSON AMERICAS</t>
        </is>
      </c>
      <c r="B1017" s="5">
        <f>IF($I2="","",INDEX(Productos!$A:$A,$I2))</f>
        <v/>
      </c>
      <c r="C1017" s="134" t="inlineStr">
        <is>
          <t>12-020-BS001-10-1000-027</t>
        </is>
      </c>
      <c r="D1017" s="5">
        <f>IF($I2="","",INDEX(Productos!$B:$B,$I2))</f>
        <v/>
      </c>
      <c r="E1017" s="5">
        <f>IF($I2="","",INDEX(Productos!$H:$H,$I2))</f>
        <v/>
      </c>
      <c r="F1017" s="5">
        <f>IF($I2="","",INDEX(Productos!$I:$I,$I2))</f>
        <v/>
      </c>
      <c r="G1017" s="135" t="n">
        <v>-1</v>
      </c>
      <c r="H1017" s="5">
        <f>IF($I2="","",INDEX(Productos!$AG:$AG,$I2))</f>
        <v/>
      </c>
      <c r="I1017" s="136">
        <f>LET(_xlpm.r,Productos!$E$2:$E$2509,_xlpm.m,IFERROR(_xlfn.XMATCH(C1017,_xlpm.r),IFERROR(_xlfn.XMATCH(VALUE(C1017),_xlpm.r),0)),IF(_xlpm.m=0,"",_xlpm.m+1))</f>
        <v/>
      </c>
      <c r="J1017" s="137" t="inlineStr">
        <is>
          <t>NetSuite</t>
        </is>
      </c>
    </row>
    <row r="1018">
      <c r="A1018" s="5" t="inlineStr">
        <is>
          <t>STETSON AMERICAS</t>
        </is>
      </c>
      <c r="B1018" s="5">
        <f>IF($I2="","",INDEX(Productos!$A:$A,$I2))</f>
        <v/>
      </c>
      <c r="C1018" s="134" t="inlineStr">
        <is>
          <t>12-020-BS001-10-1000-028</t>
        </is>
      </c>
      <c r="D1018" s="5">
        <f>IF($I2="","",INDEX(Productos!$B:$B,$I2))</f>
        <v/>
      </c>
      <c r="E1018" s="5">
        <f>IF($I2="","",INDEX(Productos!$H:$H,$I2))</f>
        <v/>
      </c>
      <c r="F1018" s="5">
        <f>IF($I2="","",INDEX(Productos!$I:$I,$I2))</f>
        <v/>
      </c>
      <c r="G1018" s="135" t="n">
        <v>-2</v>
      </c>
      <c r="H1018" s="5">
        <f>IF($I2="","",INDEX(Productos!$AG:$AG,$I2))</f>
        <v/>
      </c>
      <c r="I1018" s="136">
        <f>LET(_xlpm.r,Productos!$E$2:$E$2509,_xlpm.m,IFERROR(_xlfn.XMATCH(C1018,_xlpm.r),IFERROR(_xlfn.XMATCH(VALUE(C1018),_xlpm.r),0)),IF(_xlpm.m=0,"",_xlpm.m+1))</f>
        <v/>
      </c>
      <c r="J1018" s="137" t="inlineStr">
        <is>
          <t>NetSuite</t>
        </is>
      </c>
    </row>
    <row r="1019">
      <c r="A1019" s="5" t="inlineStr">
        <is>
          <t>STETSON AMERICAS</t>
        </is>
      </c>
      <c r="B1019" s="5">
        <f>IF($I2="","",INDEX(Productos!$A:$A,$I2))</f>
        <v/>
      </c>
      <c r="C1019" s="134" t="inlineStr">
        <is>
          <t>12-020-BS001-10-1000-265</t>
        </is>
      </c>
      <c r="D1019" s="5">
        <f>IF($I2="","",INDEX(Productos!$B:$B,$I2))</f>
        <v/>
      </c>
      <c r="E1019" s="5">
        <f>IF($I2="","",INDEX(Productos!$H:$H,$I2))</f>
        <v/>
      </c>
      <c r="F1019" s="5">
        <f>IF($I2="","",INDEX(Productos!$I:$I,$I2))</f>
        <v/>
      </c>
      <c r="G1019" s="135" t="n">
        <v>-1</v>
      </c>
      <c r="H1019" s="5">
        <f>IF($I2="","",INDEX(Productos!$AG:$AG,$I2))</f>
        <v/>
      </c>
      <c r="I1019" s="136">
        <f>LET(_xlpm.r,Productos!$E$2:$E$2509,_xlpm.m,IFERROR(_xlfn.XMATCH(C1019,_xlpm.r),IFERROR(_xlfn.XMATCH(VALUE(C1019),_xlpm.r),0)),IF(_xlpm.m=0,"",_xlpm.m+1))</f>
        <v/>
      </c>
      <c r="J1019" s="137" t="inlineStr">
        <is>
          <t>NetSuite</t>
        </is>
      </c>
    </row>
    <row r="1020">
      <c r="A1020" s="5" t="inlineStr">
        <is>
          <t>STETSON AMERICAS</t>
        </is>
      </c>
      <c r="B1020" s="5">
        <f>IF($I2="","",INDEX(Productos!$A:$A,$I2))</f>
        <v/>
      </c>
      <c r="C1020" s="134" t="inlineStr">
        <is>
          <t>12-020-BS001-10-1000-275</t>
        </is>
      </c>
      <c r="D1020" s="5">
        <f>IF($I2="","",INDEX(Productos!$B:$B,$I2))</f>
        <v/>
      </c>
      <c r="E1020" s="5">
        <f>IF($I2="","",INDEX(Productos!$H:$H,$I2))</f>
        <v/>
      </c>
      <c r="F1020" s="5">
        <f>IF($I2="","",INDEX(Productos!$I:$I,$I2))</f>
        <v/>
      </c>
      <c r="G1020" s="135" t="n">
        <v>-2</v>
      </c>
      <c r="H1020" s="5">
        <f>IF($I2="","",INDEX(Productos!$AG:$AG,$I2))</f>
        <v/>
      </c>
      <c r="I1020" s="136">
        <f>LET(_xlpm.r,Productos!$E$2:$E$2509,_xlpm.m,IFERROR(_xlfn.XMATCH(C1020,_xlpm.r),IFERROR(_xlfn.XMATCH(VALUE(C1020),_xlpm.r),0)),IF(_xlpm.m=0,"",_xlpm.m+1))</f>
        <v/>
      </c>
      <c r="J1020" s="137" t="inlineStr">
        <is>
          <t>NetSuite</t>
        </is>
      </c>
    </row>
    <row r="1021">
      <c r="A1021" s="5" t="inlineStr">
        <is>
          <t>STETSON AMERICAS</t>
        </is>
      </c>
      <c r="B1021" s="5">
        <f>IF($I2="","",INDEX(Productos!$A:$A,$I2))</f>
        <v/>
      </c>
      <c r="C1021" s="134" t="inlineStr">
        <is>
          <t>12-020-BS001-10-1000-285</t>
        </is>
      </c>
      <c r="D1021" s="5">
        <f>IF($I2="","",INDEX(Productos!$B:$B,$I2))</f>
        <v/>
      </c>
      <c r="E1021" s="5">
        <f>IF($I2="","",INDEX(Productos!$H:$H,$I2))</f>
        <v/>
      </c>
      <c r="F1021" s="5">
        <f>IF($I2="","",INDEX(Productos!$I:$I,$I2))</f>
        <v/>
      </c>
      <c r="G1021" s="135" t="n">
        <v>-2</v>
      </c>
      <c r="H1021" s="5">
        <f>IF($I2="","",INDEX(Productos!$AG:$AG,$I2))</f>
        <v/>
      </c>
      <c r="I1021" s="136">
        <f>LET(_xlpm.r,Productos!$E$2:$E$2509,_xlpm.m,IFERROR(_xlfn.XMATCH(C1021,_xlpm.r),IFERROR(_xlfn.XMATCH(VALUE(C1021),_xlpm.r),0)),IF(_xlpm.m=0,"",_xlpm.m+1))</f>
        <v/>
      </c>
      <c r="J1021" s="137" t="inlineStr">
        <is>
          <t>NetSuite</t>
        </is>
      </c>
    </row>
    <row r="1022">
      <c r="A1022" s="5" t="inlineStr">
        <is>
          <t>STETSON AMERICAS</t>
        </is>
      </c>
      <c r="B1022" s="5">
        <f>IF($I2="","",INDEX(Productos!$A:$A,$I2))</f>
        <v/>
      </c>
      <c r="C1022" s="134" t="inlineStr">
        <is>
          <t>12-020-BS001-10-1000-295</t>
        </is>
      </c>
      <c r="D1022" s="5">
        <f>IF($I2="","",INDEX(Productos!$B:$B,$I2))</f>
        <v/>
      </c>
      <c r="E1022" s="5">
        <f>IF($I2="","",INDEX(Productos!$H:$H,$I2))</f>
        <v/>
      </c>
      <c r="F1022" s="5">
        <f>IF($I2="","",INDEX(Productos!$I:$I,$I2))</f>
        <v/>
      </c>
      <c r="G1022" s="135" t="n">
        <v>-1</v>
      </c>
      <c r="H1022" s="5">
        <f>IF($I2="","",INDEX(Productos!$AG:$AG,$I2))</f>
        <v/>
      </c>
      <c r="I1022" s="136">
        <f>LET(_xlpm.r,Productos!$E$2:$E$2509,_xlpm.m,IFERROR(_xlfn.XMATCH(C1022,_xlpm.r),IFERROR(_xlfn.XMATCH(VALUE(C1022),_xlpm.r),0)),IF(_xlpm.m=0,"",_xlpm.m+1))</f>
        <v/>
      </c>
      <c r="J1022" s="137" t="inlineStr">
        <is>
          <t>NetSuite</t>
        </is>
      </c>
    </row>
    <row r="1023">
      <c r="A1023" s="5" t="inlineStr">
        <is>
          <t>STETSON AMERICAS</t>
        </is>
      </c>
      <c r="B1023" s="5">
        <f>IF($I2="","",INDEX(Productos!$A:$A,$I2))</f>
        <v/>
      </c>
      <c r="C1023" s="134" t="inlineStr">
        <is>
          <t>12-020-BS001-10-1001-028</t>
        </is>
      </c>
      <c r="D1023" s="5">
        <f>IF($I2="","",INDEX(Productos!$B:$B,$I2))</f>
        <v/>
      </c>
      <c r="E1023" s="5">
        <f>IF($I2="","",INDEX(Productos!$H:$H,$I2))</f>
        <v/>
      </c>
      <c r="F1023" s="5">
        <f>IF($I2="","",INDEX(Productos!$I:$I,$I2))</f>
        <v/>
      </c>
      <c r="G1023" s="135" t="n">
        <v>-2</v>
      </c>
      <c r="H1023" s="5">
        <f>IF($I2="","",INDEX(Productos!$AG:$AG,$I2))</f>
        <v/>
      </c>
      <c r="I1023" s="136">
        <f>LET(_xlpm.r,Productos!$E$2:$E$2509,_xlpm.m,IFERROR(_xlfn.XMATCH(C1023,_xlpm.r),IFERROR(_xlfn.XMATCH(VALUE(C1023),_xlpm.r),0)),IF(_xlpm.m=0,"",_xlpm.m+1))</f>
        <v/>
      </c>
      <c r="J1023" s="137" t="inlineStr">
        <is>
          <t>NetSuite</t>
        </is>
      </c>
    </row>
    <row r="1024">
      <c r="A1024" s="5" t="inlineStr">
        <is>
          <t>STETSON AMERICAS</t>
        </is>
      </c>
      <c r="B1024" s="5">
        <f>IF($I2="","",INDEX(Productos!$A:$A,$I2))</f>
        <v/>
      </c>
      <c r="C1024" s="134" t="inlineStr">
        <is>
          <t>12-020-BS001-10-1002-026</t>
        </is>
      </c>
      <c r="D1024" s="5">
        <f>IF($I2="","",INDEX(Productos!$B:$B,$I2))</f>
        <v/>
      </c>
      <c r="E1024" s="5">
        <f>IF($I2="","",INDEX(Productos!$H:$H,$I2))</f>
        <v/>
      </c>
      <c r="F1024" s="5">
        <f>IF($I2="","",INDEX(Productos!$I:$I,$I2))</f>
        <v/>
      </c>
      <c r="G1024" s="135" t="n">
        <v>-1</v>
      </c>
      <c r="H1024" s="5">
        <f>IF($I2="","",INDEX(Productos!$AG:$AG,$I2))</f>
        <v/>
      </c>
      <c r="I1024" s="136">
        <f>LET(_xlpm.r,Productos!$E$2:$E$2509,_xlpm.m,IFERROR(_xlfn.XMATCH(C1024,_xlpm.r),IFERROR(_xlfn.XMATCH(VALUE(C1024),_xlpm.r),0)),IF(_xlpm.m=0,"",_xlpm.m+1))</f>
        <v/>
      </c>
      <c r="J1024" s="137" t="inlineStr">
        <is>
          <t>NetSuite</t>
        </is>
      </c>
    </row>
    <row r="1025">
      <c r="A1025" s="5" t="inlineStr">
        <is>
          <t>STETSON AMERICAS</t>
        </is>
      </c>
      <c r="B1025" s="5">
        <f>IF($I2="","",INDEX(Productos!$A:$A,$I2))</f>
        <v/>
      </c>
      <c r="C1025" s="134" t="inlineStr">
        <is>
          <t>12-020-BS001-10-1002-027</t>
        </is>
      </c>
      <c r="D1025" s="5">
        <f>IF($I2="","",INDEX(Productos!$B:$B,$I2))</f>
        <v/>
      </c>
      <c r="E1025" s="5">
        <f>IF($I2="","",INDEX(Productos!$H:$H,$I2))</f>
        <v/>
      </c>
      <c r="F1025" s="5">
        <f>IF($I2="","",INDEX(Productos!$I:$I,$I2))</f>
        <v/>
      </c>
      <c r="G1025" s="135" t="n">
        <v>-2</v>
      </c>
      <c r="H1025" s="5">
        <f>IF($I2="","",INDEX(Productos!$AG:$AG,$I2))</f>
        <v/>
      </c>
      <c r="I1025" s="136">
        <f>LET(_xlpm.r,Productos!$E$2:$E$2509,_xlpm.m,IFERROR(_xlfn.XMATCH(C1025,_xlpm.r),IFERROR(_xlfn.XMATCH(VALUE(C1025),_xlpm.r),0)),IF(_xlpm.m=0,"",_xlpm.m+1))</f>
        <v/>
      </c>
      <c r="J1025" s="137" t="inlineStr">
        <is>
          <t>NetSuite</t>
        </is>
      </c>
    </row>
    <row r="1026">
      <c r="A1026" s="5" t="inlineStr">
        <is>
          <t>STETSON AMERICAS</t>
        </is>
      </c>
      <c r="B1026" s="5">
        <f>IF($I2="","",INDEX(Productos!$A:$A,$I2))</f>
        <v/>
      </c>
      <c r="C1026" s="134" t="inlineStr">
        <is>
          <t>12-020-BS001-10-1002-028</t>
        </is>
      </c>
      <c r="D1026" s="5">
        <f>IF($I2="","",INDEX(Productos!$B:$B,$I2))</f>
        <v/>
      </c>
      <c r="E1026" s="5">
        <f>IF($I2="","",INDEX(Productos!$H:$H,$I2))</f>
        <v/>
      </c>
      <c r="F1026" s="5">
        <f>IF($I2="","",INDEX(Productos!$I:$I,$I2))</f>
        <v/>
      </c>
      <c r="G1026" s="135" t="n">
        <v>-2</v>
      </c>
      <c r="H1026" s="5">
        <f>IF($I2="","",INDEX(Productos!$AG:$AG,$I2))</f>
        <v/>
      </c>
      <c r="I1026" s="136">
        <f>LET(_xlpm.r,Productos!$E$2:$E$2509,_xlpm.m,IFERROR(_xlfn.XMATCH(C1026,_xlpm.r),IFERROR(_xlfn.XMATCH(VALUE(C1026),_xlpm.r),0)),IF(_xlpm.m=0,"",_xlpm.m+1))</f>
        <v/>
      </c>
      <c r="J1026" s="137" t="inlineStr">
        <is>
          <t>NetSuite</t>
        </is>
      </c>
    </row>
    <row r="1027">
      <c r="A1027" s="5" t="inlineStr">
        <is>
          <t>STETSON AMERICAS</t>
        </is>
      </c>
      <c r="B1027" s="5">
        <f>IF($I2="","",INDEX(Productos!$A:$A,$I2))</f>
        <v/>
      </c>
      <c r="C1027" s="134" t="inlineStr">
        <is>
          <t>12-020-BS001-10-1002-030</t>
        </is>
      </c>
      <c r="D1027" s="5">
        <f>IF($I2="","",INDEX(Productos!$B:$B,$I2))</f>
        <v/>
      </c>
      <c r="E1027" s="5">
        <f>IF($I2="","",INDEX(Productos!$H:$H,$I2))</f>
        <v/>
      </c>
      <c r="F1027" s="5">
        <f>IF($I2="","",INDEX(Productos!$I:$I,$I2))</f>
        <v/>
      </c>
      <c r="G1027" s="135" t="n">
        <v>-1</v>
      </c>
      <c r="H1027" s="5">
        <f>IF($I2="","",INDEX(Productos!$AG:$AG,$I2))</f>
        <v/>
      </c>
      <c r="I1027" s="136">
        <f>LET(_xlpm.r,Productos!$E$2:$E$2509,_xlpm.m,IFERROR(_xlfn.XMATCH(C1027,_xlpm.r),IFERROR(_xlfn.XMATCH(VALUE(C1027),_xlpm.r),0)),IF(_xlpm.m=0,"",_xlpm.m+1))</f>
        <v/>
      </c>
      <c r="J1027" s="137" t="inlineStr">
        <is>
          <t>NetSuite</t>
        </is>
      </c>
    </row>
    <row r="1028">
      <c r="A1028" s="5" t="inlineStr">
        <is>
          <t>STETSON AMERICAS</t>
        </is>
      </c>
      <c r="B1028" s="5">
        <f>IF($I2="","",INDEX(Productos!$A:$A,$I2))</f>
        <v/>
      </c>
      <c r="C1028" s="134" t="inlineStr">
        <is>
          <t>12-020-BS001-10-1002-265</t>
        </is>
      </c>
      <c r="D1028" s="5">
        <f>IF($I2="","",INDEX(Productos!$B:$B,$I2))</f>
        <v/>
      </c>
      <c r="E1028" s="5">
        <f>IF($I2="","",INDEX(Productos!$H:$H,$I2))</f>
        <v/>
      </c>
      <c r="F1028" s="5">
        <f>IF($I2="","",INDEX(Productos!$I:$I,$I2))</f>
        <v/>
      </c>
      <c r="G1028" s="135" t="n">
        <v>-2</v>
      </c>
      <c r="H1028" s="5">
        <f>IF($I2="","",INDEX(Productos!$AG:$AG,$I2))</f>
        <v/>
      </c>
      <c r="I1028" s="136">
        <f>LET(_xlpm.r,Productos!$E$2:$E$2509,_xlpm.m,IFERROR(_xlfn.XMATCH(C1028,_xlpm.r),IFERROR(_xlfn.XMATCH(VALUE(C1028),_xlpm.r),0)),IF(_xlpm.m=0,"",_xlpm.m+1))</f>
        <v/>
      </c>
      <c r="J1028" s="137" t="inlineStr">
        <is>
          <t>NetSuite</t>
        </is>
      </c>
    </row>
    <row r="1029">
      <c r="A1029" s="5" t="inlineStr">
        <is>
          <t>STETSON AMERICAS</t>
        </is>
      </c>
      <c r="B1029" s="5">
        <f>IF($I2="","",INDEX(Productos!$A:$A,$I2))</f>
        <v/>
      </c>
      <c r="C1029" s="134" t="inlineStr">
        <is>
          <t>12-020-BS001-10-1002-275</t>
        </is>
      </c>
      <c r="D1029" s="5">
        <f>IF($I2="","",INDEX(Productos!$B:$B,$I2))</f>
        <v/>
      </c>
      <c r="E1029" s="5">
        <f>IF($I2="","",INDEX(Productos!$H:$H,$I2))</f>
        <v/>
      </c>
      <c r="F1029" s="5">
        <f>IF($I2="","",INDEX(Productos!$I:$I,$I2))</f>
        <v/>
      </c>
      <c r="G1029" s="135" t="n">
        <v>-2</v>
      </c>
      <c r="H1029" s="5">
        <f>IF($I2="","",INDEX(Productos!$AG:$AG,$I2))</f>
        <v/>
      </c>
      <c r="I1029" s="136">
        <f>LET(_xlpm.r,Productos!$E$2:$E$2509,_xlpm.m,IFERROR(_xlfn.XMATCH(C1029,_xlpm.r),IFERROR(_xlfn.XMATCH(VALUE(C1029),_xlpm.r),0)),IF(_xlpm.m=0,"",_xlpm.m+1))</f>
        <v/>
      </c>
      <c r="J1029" s="137" t="inlineStr">
        <is>
          <t>NetSuite</t>
        </is>
      </c>
    </row>
    <row r="1030">
      <c r="A1030" s="5" t="inlineStr">
        <is>
          <t>STETSON AMERICAS</t>
        </is>
      </c>
      <c r="B1030" s="5">
        <f>IF($I2="","",INDEX(Productos!$A:$A,$I2))</f>
        <v/>
      </c>
      <c r="C1030" s="134" t="inlineStr">
        <is>
          <t>12-020-BS001-10-1002-285</t>
        </is>
      </c>
      <c r="D1030" s="5">
        <f>IF($I2="","",INDEX(Productos!$B:$B,$I2))</f>
        <v/>
      </c>
      <c r="E1030" s="5">
        <f>IF($I2="","",INDEX(Productos!$H:$H,$I2))</f>
        <v/>
      </c>
      <c r="F1030" s="5">
        <f>IF($I2="","",INDEX(Productos!$I:$I,$I2))</f>
        <v/>
      </c>
      <c r="G1030" s="135" t="n">
        <v>-1</v>
      </c>
      <c r="H1030" s="5">
        <f>IF($I2="","",INDEX(Productos!$AG:$AG,$I2))</f>
        <v/>
      </c>
      <c r="I1030" s="136">
        <f>LET(_xlpm.r,Productos!$E$2:$E$2509,_xlpm.m,IFERROR(_xlfn.XMATCH(C1030,_xlpm.r),IFERROR(_xlfn.XMATCH(VALUE(C1030),_xlpm.r),0)),IF(_xlpm.m=0,"",_xlpm.m+1))</f>
        <v/>
      </c>
      <c r="J1030" s="137" t="inlineStr">
        <is>
          <t>NetSuite</t>
        </is>
      </c>
    </row>
    <row r="1031">
      <c r="A1031" s="5" t="inlineStr">
        <is>
          <t>STETSON AMERICAS</t>
        </is>
      </c>
      <c r="B1031" s="5">
        <f>IF($I2="","",INDEX(Productos!$A:$A,$I2))</f>
        <v/>
      </c>
      <c r="C1031" s="134" t="inlineStr">
        <is>
          <t>12-020-BS001-10-1003-026</t>
        </is>
      </c>
      <c r="D1031" s="5">
        <f>IF($I2="","",INDEX(Productos!$B:$B,$I2))</f>
        <v/>
      </c>
      <c r="E1031" s="5">
        <f>IF($I2="","",INDEX(Productos!$H:$H,$I2))</f>
        <v/>
      </c>
      <c r="F1031" s="5">
        <f>IF($I2="","",INDEX(Productos!$I:$I,$I2))</f>
        <v/>
      </c>
      <c r="G1031" s="135" t="n">
        <v>-1</v>
      </c>
      <c r="H1031" s="5">
        <f>IF($I2="","",INDEX(Productos!$AG:$AG,$I2))</f>
        <v/>
      </c>
      <c r="I1031" s="136">
        <f>LET(_xlpm.r,Productos!$E$2:$E$2509,_xlpm.m,IFERROR(_xlfn.XMATCH(C1031,_xlpm.r),IFERROR(_xlfn.XMATCH(VALUE(C1031),_xlpm.r),0)),IF(_xlpm.m=0,"",_xlpm.m+1))</f>
        <v/>
      </c>
      <c r="J1031" s="137" t="inlineStr">
        <is>
          <t>NetSuite</t>
        </is>
      </c>
    </row>
    <row r="1032">
      <c r="A1032" s="5" t="inlineStr">
        <is>
          <t>STETSON AMERICAS</t>
        </is>
      </c>
      <c r="B1032" s="5">
        <f>IF($I2="","",INDEX(Productos!$A:$A,$I2))</f>
        <v/>
      </c>
      <c r="C1032" s="134" t="inlineStr">
        <is>
          <t>12-020-BS001-10-1003-027</t>
        </is>
      </c>
      <c r="D1032" s="5">
        <f>IF($I2="","",INDEX(Productos!$B:$B,$I2))</f>
        <v/>
      </c>
      <c r="E1032" s="5">
        <f>IF($I2="","",INDEX(Productos!$H:$H,$I2))</f>
        <v/>
      </c>
      <c r="F1032" s="5">
        <f>IF($I2="","",INDEX(Productos!$I:$I,$I2))</f>
        <v/>
      </c>
      <c r="G1032" s="135" t="n">
        <v>-1</v>
      </c>
      <c r="H1032" s="5">
        <f>IF($I2="","",INDEX(Productos!$AG:$AG,$I2))</f>
        <v/>
      </c>
      <c r="I1032" s="136">
        <f>LET(_xlpm.r,Productos!$E$2:$E$2509,_xlpm.m,IFERROR(_xlfn.XMATCH(C1032,_xlpm.r),IFERROR(_xlfn.XMATCH(VALUE(C1032),_xlpm.r),0)),IF(_xlpm.m=0,"",_xlpm.m+1))</f>
        <v/>
      </c>
      <c r="J1032" s="137" t="inlineStr">
        <is>
          <t>NetSuite</t>
        </is>
      </c>
    </row>
    <row r="1033">
      <c r="A1033" s="5" t="inlineStr">
        <is>
          <t>STETSON AMERICAS</t>
        </is>
      </c>
      <c r="B1033" s="5">
        <f>IF($I2="","",INDEX(Productos!$A:$A,$I2))</f>
        <v/>
      </c>
      <c r="C1033" s="134" t="inlineStr">
        <is>
          <t>12-020-BS001-10-1003-029</t>
        </is>
      </c>
      <c r="D1033" s="5">
        <f>IF($I2="","",INDEX(Productos!$B:$B,$I2))</f>
        <v/>
      </c>
      <c r="E1033" s="5">
        <f>IF($I2="","",INDEX(Productos!$H:$H,$I2))</f>
        <v/>
      </c>
      <c r="F1033" s="5">
        <f>IF($I2="","",INDEX(Productos!$I:$I,$I2))</f>
        <v/>
      </c>
      <c r="G1033" s="135" t="n">
        <v>-1</v>
      </c>
      <c r="H1033" s="5">
        <f>IF($I2="","",INDEX(Productos!$AG:$AG,$I2))</f>
        <v/>
      </c>
      <c r="I1033" s="136">
        <f>LET(_xlpm.r,Productos!$E$2:$E$2509,_xlpm.m,IFERROR(_xlfn.XMATCH(C1033,_xlpm.r),IFERROR(_xlfn.XMATCH(VALUE(C1033),_xlpm.r),0)),IF(_xlpm.m=0,"",_xlpm.m+1))</f>
        <v/>
      </c>
      <c r="J1033" s="137" t="inlineStr">
        <is>
          <t>NetSuite</t>
        </is>
      </c>
    </row>
    <row r="1034">
      <c r="A1034" s="5" t="inlineStr">
        <is>
          <t>STETSON AMERICAS</t>
        </is>
      </c>
      <c r="B1034" s="5">
        <f>IF($I2="","",INDEX(Productos!$A:$A,$I2))</f>
        <v/>
      </c>
      <c r="C1034" s="134" t="inlineStr">
        <is>
          <t>12-020-BS001-10-1003-030</t>
        </is>
      </c>
      <c r="D1034" s="5">
        <f>IF($I2="","",INDEX(Productos!$B:$B,$I2))</f>
        <v/>
      </c>
      <c r="E1034" s="5">
        <f>IF($I2="","",INDEX(Productos!$H:$H,$I2))</f>
        <v/>
      </c>
      <c r="F1034" s="5">
        <f>IF($I2="","",INDEX(Productos!$I:$I,$I2))</f>
        <v/>
      </c>
      <c r="G1034" s="135" t="n">
        <v>-1</v>
      </c>
      <c r="H1034" s="5">
        <f>IF($I2="","",INDEX(Productos!$AG:$AG,$I2))</f>
        <v/>
      </c>
      <c r="I1034" s="136">
        <f>LET(_xlpm.r,Productos!$E$2:$E$2509,_xlpm.m,IFERROR(_xlfn.XMATCH(C1034,_xlpm.r),IFERROR(_xlfn.XMATCH(VALUE(C1034),_xlpm.r),0)),IF(_xlpm.m=0,"",_xlpm.m+1))</f>
        <v/>
      </c>
      <c r="J1034" s="137" t="inlineStr">
        <is>
          <t>NetSuite</t>
        </is>
      </c>
    </row>
    <row r="1035">
      <c r="A1035" s="5" t="inlineStr">
        <is>
          <t>STETSON AMERICAS</t>
        </is>
      </c>
      <c r="B1035" s="5">
        <f>IF($I2="","",INDEX(Productos!$A:$A,$I2))</f>
        <v/>
      </c>
      <c r="C1035" s="134" t="inlineStr">
        <is>
          <t>12-020-BS001-10-1003-275</t>
        </is>
      </c>
      <c r="D1035" s="5">
        <f>IF($I2="","",INDEX(Productos!$B:$B,$I2))</f>
        <v/>
      </c>
      <c r="E1035" s="5">
        <f>IF($I2="","",INDEX(Productos!$H:$H,$I2))</f>
        <v/>
      </c>
      <c r="F1035" s="5">
        <f>IF($I2="","",INDEX(Productos!$I:$I,$I2))</f>
        <v/>
      </c>
      <c r="G1035" s="135" t="n">
        <v>-1</v>
      </c>
      <c r="H1035" s="5">
        <f>IF($I2="","",INDEX(Productos!$AG:$AG,$I2))</f>
        <v/>
      </c>
      <c r="I1035" s="136">
        <f>LET(_xlpm.r,Productos!$E$2:$E$2509,_xlpm.m,IFERROR(_xlfn.XMATCH(C1035,_xlpm.r),IFERROR(_xlfn.XMATCH(VALUE(C1035),_xlpm.r),0)),IF(_xlpm.m=0,"",_xlpm.m+1))</f>
        <v/>
      </c>
      <c r="J1035" s="137" t="inlineStr">
        <is>
          <t>NetSuite</t>
        </is>
      </c>
    </row>
    <row r="1036">
      <c r="A1036" s="5" t="inlineStr">
        <is>
          <t>STETSON AMERICAS</t>
        </is>
      </c>
      <c r="B1036" s="5">
        <f>IF($I2="","",INDEX(Productos!$A:$A,$I2))</f>
        <v/>
      </c>
      <c r="C1036" s="134" t="inlineStr">
        <is>
          <t>12-020-BS001-10-1003-285</t>
        </is>
      </c>
      <c r="D1036" s="5">
        <f>IF($I2="","",INDEX(Productos!$B:$B,$I2))</f>
        <v/>
      </c>
      <c r="E1036" s="5">
        <f>IF($I2="","",INDEX(Productos!$H:$H,$I2))</f>
        <v/>
      </c>
      <c r="F1036" s="5">
        <f>IF($I2="","",INDEX(Productos!$I:$I,$I2))</f>
        <v/>
      </c>
      <c r="G1036" s="135" t="n">
        <v>-1</v>
      </c>
      <c r="H1036" s="5">
        <f>IF($I2="","",INDEX(Productos!$AG:$AG,$I2))</f>
        <v/>
      </c>
      <c r="I1036" s="136">
        <f>LET(_xlpm.r,Productos!$E$2:$E$2509,_xlpm.m,IFERROR(_xlfn.XMATCH(C1036,_xlpm.r),IFERROR(_xlfn.XMATCH(VALUE(C1036),_xlpm.r),0)),IF(_xlpm.m=0,"",_xlpm.m+1))</f>
        <v/>
      </c>
      <c r="J1036" s="137" t="inlineStr">
        <is>
          <t>NetSuite</t>
        </is>
      </c>
    </row>
    <row r="1037">
      <c r="A1037" s="5" t="inlineStr">
        <is>
          <t>STETSON AMERICAS</t>
        </is>
      </c>
      <c r="B1037" s="5">
        <f>IF($I2="","",INDEX(Productos!$A:$A,$I2))</f>
        <v/>
      </c>
      <c r="C1037" s="134" t="inlineStr">
        <is>
          <t>12-020-BS001-10-1004-027</t>
        </is>
      </c>
      <c r="D1037" s="5">
        <f>IF($I2="","",INDEX(Productos!$B:$B,$I2))</f>
        <v/>
      </c>
      <c r="E1037" s="5">
        <f>IF($I2="","",INDEX(Productos!$H:$H,$I2))</f>
        <v/>
      </c>
      <c r="F1037" s="5">
        <f>IF($I2="","",INDEX(Productos!$I:$I,$I2))</f>
        <v/>
      </c>
      <c r="G1037" s="135" t="n">
        <v>-1</v>
      </c>
      <c r="H1037" s="5">
        <f>IF($I2="","",INDEX(Productos!$AG:$AG,$I2))</f>
        <v/>
      </c>
      <c r="I1037" s="136">
        <f>LET(_xlpm.r,Productos!$E$2:$E$2509,_xlpm.m,IFERROR(_xlfn.XMATCH(C1037,_xlpm.r),IFERROR(_xlfn.XMATCH(VALUE(C1037),_xlpm.r),0)),IF(_xlpm.m=0,"",_xlpm.m+1))</f>
        <v/>
      </c>
      <c r="J1037" s="137" t="inlineStr">
        <is>
          <t>NetSuite</t>
        </is>
      </c>
    </row>
    <row r="1038">
      <c r="A1038" s="5" t="inlineStr">
        <is>
          <t>STETSON AMERICAS</t>
        </is>
      </c>
      <c r="B1038" s="5">
        <f>IF($I2="","",INDEX(Productos!$A:$A,$I2))</f>
        <v/>
      </c>
      <c r="C1038" s="134" t="inlineStr">
        <is>
          <t>12-020-BS001-10-1004-028</t>
        </is>
      </c>
      <c r="D1038" s="5">
        <f>IF($I2="","",INDEX(Productos!$B:$B,$I2))</f>
        <v/>
      </c>
      <c r="E1038" s="5">
        <f>IF($I2="","",INDEX(Productos!$H:$H,$I2))</f>
        <v/>
      </c>
      <c r="F1038" s="5">
        <f>IF($I2="","",INDEX(Productos!$I:$I,$I2))</f>
        <v/>
      </c>
      <c r="G1038" s="135" t="n">
        <v>-1</v>
      </c>
      <c r="H1038" s="5">
        <f>IF($I2="","",INDEX(Productos!$AG:$AG,$I2))</f>
        <v/>
      </c>
      <c r="I1038" s="136">
        <f>LET(_xlpm.r,Productos!$E$2:$E$2509,_xlpm.m,IFERROR(_xlfn.XMATCH(C1038,_xlpm.r),IFERROR(_xlfn.XMATCH(VALUE(C1038),_xlpm.r),0)),IF(_xlpm.m=0,"",_xlpm.m+1))</f>
        <v/>
      </c>
      <c r="J1038" s="137" t="inlineStr">
        <is>
          <t>NetSuite</t>
        </is>
      </c>
    </row>
    <row r="1039">
      <c r="A1039" s="5" t="inlineStr">
        <is>
          <t>STETSON AMERICAS</t>
        </is>
      </c>
      <c r="B1039" s="5">
        <f>IF($I2="","",INDEX(Productos!$A:$A,$I2))</f>
        <v/>
      </c>
      <c r="C1039" s="134" t="inlineStr">
        <is>
          <t>12-020-BS002-10-1005-026</t>
        </is>
      </c>
      <c r="D1039" s="5">
        <f>IF($I2="","",INDEX(Productos!$B:$B,$I2))</f>
        <v/>
      </c>
      <c r="E1039" s="5">
        <f>IF($I2="","",INDEX(Productos!$H:$H,$I2))</f>
        <v/>
      </c>
      <c r="F1039" s="5">
        <f>IF($I2="","",INDEX(Productos!$I:$I,$I2))</f>
        <v/>
      </c>
      <c r="G1039" s="135" t="n">
        <v>1</v>
      </c>
      <c r="H1039" s="5">
        <f>IF($I2="","",INDEX(Productos!$AG:$AG,$I2))</f>
        <v/>
      </c>
      <c r="I1039" s="136">
        <f>LET(_xlpm.r,Productos!$E$2:$E$2509,_xlpm.m,IFERROR(_xlfn.XMATCH(C1039,_xlpm.r),IFERROR(_xlfn.XMATCH(VALUE(C1039),_xlpm.r),0)),IF(_xlpm.m=0,"",_xlpm.m+1))</f>
        <v/>
      </c>
      <c r="J1039" s="137" t="inlineStr">
        <is>
          <t>NetSuite</t>
        </is>
      </c>
    </row>
    <row r="1040">
      <c r="A1040" s="5" t="inlineStr">
        <is>
          <t>STETSON AMERICAS</t>
        </is>
      </c>
      <c r="B1040" s="5">
        <f>IF($I2="","",INDEX(Productos!$A:$A,$I2))</f>
        <v/>
      </c>
      <c r="C1040" s="134" t="inlineStr">
        <is>
          <t>12-020-BS002-10-1005-027</t>
        </is>
      </c>
      <c r="D1040" s="5">
        <f>IF($I2="","",INDEX(Productos!$B:$B,$I2))</f>
        <v/>
      </c>
      <c r="E1040" s="5">
        <f>IF($I2="","",INDEX(Productos!$H:$H,$I2))</f>
        <v/>
      </c>
      <c r="F1040" s="5">
        <f>IF($I2="","",INDEX(Productos!$I:$I,$I2))</f>
        <v/>
      </c>
      <c r="G1040" s="135" t="n">
        <v>2</v>
      </c>
      <c r="H1040" s="5">
        <f>IF($I2="","",INDEX(Productos!$AG:$AG,$I2))</f>
        <v/>
      </c>
      <c r="I1040" s="136">
        <f>LET(_xlpm.r,Productos!$E$2:$E$2509,_xlpm.m,IFERROR(_xlfn.XMATCH(C1040,_xlpm.r),IFERROR(_xlfn.XMATCH(VALUE(C1040),_xlpm.r),0)),IF(_xlpm.m=0,"",_xlpm.m+1))</f>
        <v/>
      </c>
      <c r="J1040" s="137" t="inlineStr">
        <is>
          <t>NetSuite</t>
        </is>
      </c>
    </row>
    <row r="1041">
      <c r="A1041" s="5" t="inlineStr">
        <is>
          <t>STETSON AMERICAS</t>
        </is>
      </c>
      <c r="B1041" s="5">
        <f>IF($I2="","",INDEX(Productos!$A:$A,$I2))</f>
        <v/>
      </c>
      <c r="C1041" s="134" t="inlineStr">
        <is>
          <t>12-020-BS002-10-1005-028</t>
        </is>
      </c>
      <c r="D1041" s="5">
        <f>IF($I2="","",INDEX(Productos!$B:$B,$I2))</f>
        <v/>
      </c>
      <c r="E1041" s="5">
        <f>IF($I2="","",INDEX(Productos!$H:$H,$I2))</f>
        <v/>
      </c>
      <c r="F1041" s="5">
        <f>IF($I2="","",INDEX(Productos!$I:$I,$I2))</f>
        <v/>
      </c>
      <c r="G1041" s="135" t="n">
        <v>1</v>
      </c>
      <c r="H1041" s="5">
        <f>IF($I2="","",INDEX(Productos!$AG:$AG,$I2))</f>
        <v/>
      </c>
      <c r="I1041" s="136">
        <f>LET(_xlpm.r,Productos!$E$2:$E$2509,_xlpm.m,IFERROR(_xlfn.XMATCH(C1041,_xlpm.r),IFERROR(_xlfn.XMATCH(VALUE(C1041),_xlpm.r),0)),IF(_xlpm.m=0,"",_xlpm.m+1))</f>
        <v/>
      </c>
      <c r="J1041" s="137" t="inlineStr">
        <is>
          <t>NetSuite</t>
        </is>
      </c>
    </row>
    <row r="1042">
      <c r="A1042" s="5" t="inlineStr">
        <is>
          <t>STETSON AMERICAS</t>
        </is>
      </c>
      <c r="B1042" s="5">
        <f>IF($I2="","",INDEX(Productos!$A:$A,$I2))</f>
        <v/>
      </c>
      <c r="C1042" s="134" t="inlineStr">
        <is>
          <t>12-020-BS002-10-1005-029</t>
        </is>
      </c>
      <c r="D1042" s="5">
        <f>IF($I2="","",INDEX(Productos!$B:$B,$I2))</f>
        <v/>
      </c>
      <c r="E1042" s="5">
        <f>IF($I2="","",INDEX(Productos!$H:$H,$I2))</f>
        <v/>
      </c>
      <c r="F1042" s="5">
        <f>IF($I2="","",INDEX(Productos!$I:$I,$I2))</f>
        <v/>
      </c>
      <c r="G1042" s="135" t="n">
        <v>1</v>
      </c>
      <c r="H1042" s="5">
        <f>IF($I2="","",INDEX(Productos!$AG:$AG,$I2))</f>
        <v/>
      </c>
      <c r="I1042" s="136">
        <f>LET(_xlpm.r,Productos!$E$2:$E$2509,_xlpm.m,IFERROR(_xlfn.XMATCH(C1042,_xlpm.r),IFERROR(_xlfn.XMATCH(VALUE(C1042),_xlpm.r),0)),IF(_xlpm.m=0,"",_xlpm.m+1))</f>
        <v/>
      </c>
      <c r="J1042" s="137" t="inlineStr">
        <is>
          <t>NetSuite</t>
        </is>
      </c>
    </row>
    <row r="1043">
      <c r="A1043" s="5" t="inlineStr">
        <is>
          <t>STETSON AMERICAS</t>
        </is>
      </c>
      <c r="B1043" s="5">
        <f>IF($I2="","",INDEX(Productos!$A:$A,$I2))</f>
        <v/>
      </c>
      <c r="C1043" s="134" t="inlineStr">
        <is>
          <t>12-020-BS002-10-1005-030</t>
        </is>
      </c>
      <c r="D1043" s="5">
        <f>IF($I2="","",INDEX(Productos!$B:$B,$I2))</f>
        <v/>
      </c>
      <c r="E1043" s="5">
        <f>IF($I2="","",INDEX(Productos!$H:$H,$I2))</f>
        <v/>
      </c>
      <c r="F1043" s="5">
        <f>IF($I2="","",INDEX(Productos!$I:$I,$I2))</f>
        <v/>
      </c>
      <c r="G1043" s="135" t="n">
        <v>1</v>
      </c>
      <c r="H1043" s="5">
        <f>IF($I2="","",INDEX(Productos!$AG:$AG,$I2))</f>
        <v/>
      </c>
      <c r="I1043" s="136">
        <f>LET(_xlpm.r,Productos!$E$2:$E$2509,_xlpm.m,IFERROR(_xlfn.XMATCH(C1043,_xlpm.r),IFERROR(_xlfn.XMATCH(VALUE(C1043),_xlpm.r),0)),IF(_xlpm.m=0,"",_xlpm.m+1))</f>
        <v/>
      </c>
      <c r="J1043" s="137" t="inlineStr">
        <is>
          <t>NetSuite</t>
        </is>
      </c>
    </row>
    <row r="1044">
      <c r="A1044" s="5" t="inlineStr">
        <is>
          <t>STETSON AMERICAS</t>
        </is>
      </c>
      <c r="B1044" s="5">
        <f>IF($I2="","",INDEX(Productos!$A:$A,$I2))</f>
        <v/>
      </c>
      <c r="C1044" s="134" t="inlineStr">
        <is>
          <t>12-020-BS002-10-1005-031</t>
        </is>
      </c>
      <c r="D1044" s="5">
        <f>IF($I2="","",INDEX(Productos!$B:$B,$I2))</f>
        <v/>
      </c>
      <c r="E1044" s="5">
        <f>IF($I2="","",INDEX(Productos!$H:$H,$I2))</f>
        <v/>
      </c>
      <c r="F1044" s="5">
        <f>IF($I2="","",INDEX(Productos!$I:$I,$I2))</f>
        <v/>
      </c>
      <c r="G1044" s="135" t="n">
        <v>1</v>
      </c>
      <c r="H1044" s="5">
        <f>IF($I2="","",INDEX(Productos!$AG:$AG,$I2))</f>
        <v/>
      </c>
      <c r="I1044" s="136">
        <f>LET(_xlpm.r,Productos!$E$2:$E$2509,_xlpm.m,IFERROR(_xlfn.XMATCH(C1044,_xlpm.r),IFERROR(_xlfn.XMATCH(VALUE(C1044),_xlpm.r),0)),IF(_xlpm.m=0,"",_xlpm.m+1))</f>
        <v/>
      </c>
      <c r="J1044" s="137" t="inlineStr">
        <is>
          <t>NetSuite</t>
        </is>
      </c>
    </row>
    <row r="1045">
      <c r="A1045" s="5" t="inlineStr">
        <is>
          <t>STETSON AMERICAS</t>
        </is>
      </c>
      <c r="B1045" s="5">
        <f>IF($I2="","",INDEX(Productos!$A:$A,$I2))</f>
        <v/>
      </c>
      <c r="C1045" s="134" t="inlineStr">
        <is>
          <t>12-020-BS002-10-1005-265</t>
        </is>
      </c>
      <c r="D1045" s="5">
        <f>IF($I2="","",INDEX(Productos!$B:$B,$I2))</f>
        <v/>
      </c>
      <c r="E1045" s="5">
        <f>IF($I2="","",INDEX(Productos!$H:$H,$I2))</f>
        <v/>
      </c>
      <c r="F1045" s="5">
        <f>IF($I2="","",INDEX(Productos!$I:$I,$I2))</f>
        <v/>
      </c>
      <c r="G1045" s="135" t="n">
        <v>2</v>
      </c>
      <c r="H1045" s="5">
        <f>IF($I2="","",INDEX(Productos!$AG:$AG,$I2))</f>
        <v/>
      </c>
      <c r="I1045" s="136">
        <f>LET(_xlpm.r,Productos!$E$2:$E$2509,_xlpm.m,IFERROR(_xlfn.XMATCH(C1045,_xlpm.r),IFERROR(_xlfn.XMATCH(VALUE(C1045),_xlpm.r),0)),IF(_xlpm.m=0,"",_xlpm.m+1))</f>
        <v/>
      </c>
      <c r="J1045" s="137" t="inlineStr">
        <is>
          <t>NetSuite</t>
        </is>
      </c>
    </row>
    <row r="1046">
      <c r="A1046" s="5" t="inlineStr">
        <is>
          <t>STETSON AMERICAS</t>
        </is>
      </c>
      <c r="B1046" s="5">
        <f>IF($I2="","",INDEX(Productos!$A:$A,$I2))</f>
        <v/>
      </c>
      <c r="C1046" s="134" t="inlineStr">
        <is>
          <t>12-020-BS002-10-1005-275</t>
        </is>
      </c>
      <c r="D1046" s="5">
        <f>IF($I2="","",INDEX(Productos!$B:$B,$I2))</f>
        <v/>
      </c>
      <c r="E1046" s="5">
        <f>IF($I2="","",INDEX(Productos!$H:$H,$I2))</f>
        <v/>
      </c>
      <c r="F1046" s="5">
        <f>IF($I2="","",INDEX(Productos!$I:$I,$I2))</f>
        <v/>
      </c>
      <c r="G1046" s="135" t="n">
        <v>1</v>
      </c>
      <c r="H1046" s="5">
        <f>IF($I2="","",INDEX(Productos!$AG:$AG,$I2))</f>
        <v/>
      </c>
      <c r="I1046" s="136">
        <f>LET(_xlpm.r,Productos!$E$2:$E$2509,_xlpm.m,IFERROR(_xlfn.XMATCH(C1046,_xlpm.r),IFERROR(_xlfn.XMATCH(VALUE(C1046),_xlpm.r),0)),IF(_xlpm.m=0,"",_xlpm.m+1))</f>
        <v/>
      </c>
      <c r="J1046" s="137" t="inlineStr">
        <is>
          <t>NetSuite</t>
        </is>
      </c>
    </row>
    <row r="1047">
      <c r="A1047" s="5" t="inlineStr">
        <is>
          <t>STETSON AMERICAS</t>
        </is>
      </c>
      <c r="B1047" s="5">
        <f>IF($I2="","",INDEX(Productos!$A:$A,$I2))</f>
        <v/>
      </c>
      <c r="C1047" s="134" t="inlineStr">
        <is>
          <t>12-020-BS002-10-1005-285</t>
        </is>
      </c>
      <c r="D1047" s="5">
        <f>IF($I2="","",INDEX(Productos!$B:$B,$I2))</f>
        <v/>
      </c>
      <c r="E1047" s="5">
        <f>IF($I2="","",INDEX(Productos!$H:$H,$I2))</f>
        <v/>
      </c>
      <c r="F1047" s="5">
        <f>IF($I2="","",INDEX(Productos!$I:$I,$I2))</f>
        <v/>
      </c>
      <c r="G1047" s="135" t="n">
        <v>1</v>
      </c>
      <c r="H1047" s="5">
        <f>IF($I2="","",INDEX(Productos!$AG:$AG,$I2))</f>
        <v/>
      </c>
      <c r="I1047" s="136">
        <f>LET(_xlpm.r,Productos!$E$2:$E$2509,_xlpm.m,IFERROR(_xlfn.XMATCH(C1047,_xlpm.r),IFERROR(_xlfn.XMATCH(VALUE(C1047),_xlpm.r),0)),IF(_xlpm.m=0,"",_xlpm.m+1))</f>
        <v/>
      </c>
      <c r="J1047" s="137" t="inlineStr">
        <is>
          <t>NetSuite</t>
        </is>
      </c>
    </row>
    <row r="1048">
      <c r="A1048" s="5" t="inlineStr">
        <is>
          <t>STETSON AMERICAS</t>
        </is>
      </c>
      <c r="B1048" s="5">
        <f>IF($I2="","",INDEX(Productos!$A:$A,$I2))</f>
        <v/>
      </c>
      <c r="C1048" s="134" t="inlineStr">
        <is>
          <t>12-020-BS002-10-1005-295</t>
        </is>
      </c>
      <c r="D1048" s="5">
        <f>IF($I2="","",INDEX(Productos!$B:$B,$I2))</f>
        <v/>
      </c>
      <c r="E1048" s="5">
        <f>IF($I2="","",INDEX(Productos!$H:$H,$I2))</f>
        <v/>
      </c>
      <c r="F1048" s="5">
        <f>IF($I2="","",INDEX(Productos!$I:$I,$I2))</f>
        <v/>
      </c>
      <c r="G1048" s="135" t="n">
        <v>1</v>
      </c>
      <c r="H1048" s="5">
        <f>IF($I2="","",INDEX(Productos!$AG:$AG,$I2))</f>
        <v/>
      </c>
      <c r="I1048" s="136">
        <f>LET(_xlpm.r,Productos!$E$2:$E$2509,_xlpm.m,IFERROR(_xlfn.XMATCH(C1048,_xlpm.r),IFERROR(_xlfn.XMATCH(VALUE(C1048),_xlpm.r),0)),IF(_xlpm.m=0,"",_xlpm.m+1))</f>
        <v/>
      </c>
      <c r="J1048" s="137" t="inlineStr">
        <is>
          <t>NetSuite</t>
        </is>
      </c>
    </row>
    <row r="1049">
      <c r="A1049" s="5" t="inlineStr">
        <is>
          <t>STETSON AMERICAS</t>
        </is>
      </c>
      <c r="B1049" s="5">
        <f>IF($I2="","",INDEX(Productos!$A:$A,$I2))</f>
        <v/>
      </c>
      <c r="C1049" s="134" t="inlineStr">
        <is>
          <t>12-020-BS002-10-1005-305</t>
        </is>
      </c>
      <c r="D1049" s="5">
        <f>IF($I2="","",INDEX(Productos!$B:$B,$I2))</f>
        <v/>
      </c>
      <c r="E1049" s="5">
        <f>IF($I2="","",INDEX(Productos!$H:$H,$I2))</f>
        <v/>
      </c>
      <c r="F1049" s="5">
        <f>IF($I2="","",INDEX(Productos!$I:$I,$I2))</f>
        <v/>
      </c>
      <c r="G1049" s="135" t="n">
        <v>1</v>
      </c>
      <c r="H1049" s="5">
        <f>IF($I2="","",INDEX(Productos!$AG:$AG,$I2))</f>
        <v/>
      </c>
      <c r="I1049" s="136">
        <f>LET(_xlpm.r,Productos!$E$2:$E$2509,_xlpm.m,IFERROR(_xlfn.XMATCH(C1049,_xlpm.r),IFERROR(_xlfn.XMATCH(VALUE(C1049),_xlpm.r),0)),IF(_xlpm.m=0,"",_xlpm.m+1))</f>
        <v/>
      </c>
      <c r="J1049" s="137" t="inlineStr">
        <is>
          <t>NetSuite</t>
        </is>
      </c>
    </row>
    <row r="1050">
      <c r="A1050" s="5" t="inlineStr">
        <is>
          <t>STETSON AMERICAS</t>
        </is>
      </c>
      <c r="B1050" s="5">
        <f>IF($I2="","",INDEX(Productos!$A:$A,$I2))</f>
        <v/>
      </c>
      <c r="C1050" s="134" t="inlineStr">
        <is>
          <t>12-020-BS002-10-1006-027</t>
        </is>
      </c>
      <c r="D1050" s="5">
        <f>IF($I2="","",INDEX(Productos!$B:$B,$I2))</f>
        <v/>
      </c>
      <c r="E1050" s="5">
        <f>IF($I2="","",INDEX(Productos!$H:$H,$I2))</f>
        <v/>
      </c>
      <c r="F1050" s="5">
        <f>IF($I2="","",INDEX(Productos!$I:$I,$I2))</f>
        <v/>
      </c>
      <c r="G1050" s="135" t="n">
        <v>2</v>
      </c>
      <c r="H1050" s="5">
        <f>IF($I2="","",INDEX(Productos!$AG:$AG,$I2))</f>
        <v/>
      </c>
      <c r="I1050" s="136">
        <f>LET(_xlpm.r,Productos!$E$2:$E$2509,_xlpm.m,IFERROR(_xlfn.XMATCH(C1050,_xlpm.r),IFERROR(_xlfn.XMATCH(VALUE(C1050),_xlpm.r),0)),IF(_xlpm.m=0,"",_xlpm.m+1))</f>
        <v/>
      </c>
      <c r="J1050" s="137" t="inlineStr">
        <is>
          <t>NetSuite</t>
        </is>
      </c>
    </row>
    <row r="1051">
      <c r="A1051" s="5" t="inlineStr">
        <is>
          <t>STETSON AMERICAS</t>
        </is>
      </c>
      <c r="B1051" s="5">
        <f>IF($I2="","",INDEX(Productos!$A:$A,$I2))</f>
        <v/>
      </c>
      <c r="C1051" s="134" t="inlineStr">
        <is>
          <t>12-020-BS002-10-1006-028</t>
        </is>
      </c>
      <c r="D1051" s="5">
        <f>IF($I2="","",INDEX(Productos!$B:$B,$I2))</f>
        <v/>
      </c>
      <c r="E1051" s="5">
        <f>IF($I2="","",INDEX(Productos!$H:$H,$I2))</f>
        <v/>
      </c>
      <c r="F1051" s="5">
        <f>IF($I2="","",INDEX(Productos!$I:$I,$I2))</f>
        <v/>
      </c>
      <c r="G1051" s="135" t="n">
        <v>2</v>
      </c>
      <c r="H1051" s="5">
        <f>IF($I2="","",INDEX(Productos!$AG:$AG,$I2))</f>
        <v/>
      </c>
      <c r="I1051" s="136">
        <f>LET(_xlpm.r,Productos!$E$2:$E$2509,_xlpm.m,IFERROR(_xlfn.XMATCH(C1051,_xlpm.r),IFERROR(_xlfn.XMATCH(VALUE(C1051),_xlpm.r),0)),IF(_xlpm.m=0,"",_xlpm.m+1))</f>
        <v/>
      </c>
      <c r="J1051" s="137" t="inlineStr">
        <is>
          <t>NetSuite</t>
        </is>
      </c>
    </row>
    <row r="1052">
      <c r="A1052" s="5" t="inlineStr">
        <is>
          <t>STETSON AMERICAS</t>
        </is>
      </c>
      <c r="B1052" s="5">
        <f>IF($I2="","",INDEX(Productos!$A:$A,$I2))</f>
        <v/>
      </c>
      <c r="C1052" s="134" t="inlineStr">
        <is>
          <t>12-020-BS002-10-1006-029</t>
        </is>
      </c>
      <c r="D1052" s="5">
        <f>IF($I2="","",INDEX(Productos!$B:$B,$I2))</f>
        <v/>
      </c>
      <c r="E1052" s="5">
        <f>IF($I2="","",INDEX(Productos!$H:$H,$I2))</f>
        <v/>
      </c>
      <c r="F1052" s="5">
        <f>IF($I2="","",INDEX(Productos!$I:$I,$I2))</f>
        <v/>
      </c>
      <c r="G1052" s="135" t="n">
        <v>2</v>
      </c>
      <c r="H1052" s="5">
        <f>IF($I2="","",INDEX(Productos!$AG:$AG,$I2))</f>
        <v/>
      </c>
      <c r="I1052" s="136">
        <f>LET(_xlpm.r,Productos!$E$2:$E$2509,_xlpm.m,IFERROR(_xlfn.XMATCH(C1052,_xlpm.r),IFERROR(_xlfn.XMATCH(VALUE(C1052),_xlpm.r),0)),IF(_xlpm.m=0,"",_xlpm.m+1))</f>
        <v/>
      </c>
      <c r="J1052" s="137" t="inlineStr">
        <is>
          <t>NetSuite</t>
        </is>
      </c>
    </row>
    <row r="1053">
      <c r="A1053" s="5" t="inlineStr">
        <is>
          <t>STETSON AMERICAS</t>
        </is>
      </c>
      <c r="B1053" s="5">
        <f>IF($I2="","",INDEX(Productos!$A:$A,$I2))</f>
        <v/>
      </c>
      <c r="C1053" s="134" t="inlineStr">
        <is>
          <t>12-020-BS002-10-1006-030</t>
        </is>
      </c>
      <c r="D1053" s="5">
        <f>IF($I2="","",INDEX(Productos!$B:$B,$I2))</f>
        <v/>
      </c>
      <c r="E1053" s="5">
        <f>IF($I2="","",INDEX(Productos!$H:$H,$I2))</f>
        <v/>
      </c>
      <c r="F1053" s="5">
        <f>IF($I2="","",INDEX(Productos!$I:$I,$I2))</f>
        <v/>
      </c>
      <c r="G1053" s="135" t="n">
        <v>1</v>
      </c>
      <c r="H1053" s="5">
        <f>IF($I2="","",INDEX(Productos!$AG:$AG,$I2))</f>
        <v/>
      </c>
      <c r="I1053" s="136">
        <f>LET(_xlpm.r,Productos!$E$2:$E$2509,_xlpm.m,IFERROR(_xlfn.XMATCH(C1053,_xlpm.r),IFERROR(_xlfn.XMATCH(VALUE(C1053),_xlpm.r),0)),IF(_xlpm.m=0,"",_xlpm.m+1))</f>
        <v/>
      </c>
      <c r="J1053" s="137" t="inlineStr">
        <is>
          <t>NetSuite</t>
        </is>
      </c>
    </row>
    <row r="1054">
      <c r="A1054" s="5" t="inlineStr">
        <is>
          <t>STETSON AMERICAS</t>
        </is>
      </c>
      <c r="B1054" s="5">
        <f>IF($I2="","",INDEX(Productos!$A:$A,$I2))</f>
        <v/>
      </c>
      <c r="C1054" s="134" t="inlineStr">
        <is>
          <t>12-020-BS002-10-1006-265</t>
        </is>
      </c>
      <c r="D1054" s="5">
        <f>IF($I2="","",INDEX(Productos!$B:$B,$I2))</f>
        <v/>
      </c>
      <c r="E1054" s="5">
        <f>IF($I2="","",INDEX(Productos!$H:$H,$I2))</f>
        <v/>
      </c>
      <c r="F1054" s="5">
        <f>IF($I2="","",INDEX(Productos!$I:$I,$I2))</f>
        <v/>
      </c>
      <c r="G1054" s="135" t="n">
        <v>2</v>
      </c>
      <c r="H1054" s="5">
        <f>IF($I2="","",INDEX(Productos!$AG:$AG,$I2))</f>
        <v/>
      </c>
      <c r="I1054" s="136">
        <f>LET(_xlpm.r,Productos!$E$2:$E$2509,_xlpm.m,IFERROR(_xlfn.XMATCH(C1054,_xlpm.r),IFERROR(_xlfn.XMATCH(VALUE(C1054),_xlpm.r),0)),IF(_xlpm.m=0,"",_xlpm.m+1))</f>
        <v/>
      </c>
      <c r="J1054" s="137" t="inlineStr">
        <is>
          <t>NetSuite</t>
        </is>
      </c>
    </row>
    <row r="1055">
      <c r="A1055" s="5" t="inlineStr">
        <is>
          <t>STETSON AMERICAS</t>
        </is>
      </c>
      <c r="B1055" s="5">
        <f>IF($I2="","",INDEX(Productos!$A:$A,$I2))</f>
        <v/>
      </c>
      <c r="C1055" s="134" t="inlineStr">
        <is>
          <t>12-020-BS002-10-1006-275</t>
        </is>
      </c>
      <c r="D1055" s="5">
        <f>IF($I2="","",INDEX(Productos!$B:$B,$I2))</f>
        <v/>
      </c>
      <c r="E1055" s="5">
        <f>IF($I2="","",INDEX(Productos!$H:$H,$I2))</f>
        <v/>
      </c>
      <c r="F1055" s="5">
        <f>IF($I2="","",INDEX(Productos!$I:$I,$I2))</f>
        <v/>
      </c>
      <c r="G1055" s="135" t="n">
        <v>1</v>
      </c>
      <c r="H1055" s="5">
        <f>IF($I2="","",INDEX(Productos!$AG:$AG,$I2))</f>
        <v/>
      </c>
      <c r="I1055" s="136">
        <f>LET(_xlpm.r,Productos!$E$2:$E$2509,_xlpm.m,IFERROR(_xlfn.XMATCH(C1055,_xlpm.r),IFERROR(_xlfn.XMATCH(VALUE(C1055),_xlpm.r),0)),IF(_xlpm.m=0,"",_xlpm.m+1))</f>
        <v/>
      </c>
      <c r="J1055" s="137" t="inlineStr">
        <is>
          <t>NetSuite</t>
        </is>
      </c>
    </row>
    <row r="1056">
      <c r="A1056" s="5" t="inlineStr">
        <is>
          <t>STETSON AMERICAS</t>
        </is>
      </c>
      <c r="B1056" s="5">
        <f>IF($I2="","",INDEX(Productos!$A:$A,$I2))</f>
        <v/>
      </c>
      <c r="C1056" s="134" t="inlineStr">
        <is>
          <t>12-020-BS002-10-1006-285</t>
        </is>
      </c>
      <c r="D1056" s="5">
        <f>IF($I2="","",INDEX(Productos!$B:$B,$I2))</f>
        <v/>
      </c>
      <c r="E1056" s="5">
        <f>IF($I2="","",INDEX(Productos!$H:$H,$I2))</f>
        <v/>
      </c>
      <c r="F1056" s="5">
        <f>IF($I2="","",INDEX(Productos!$I:$I,$I2))</f>
        <v/>
      </c>
      <c r="G1056" s="135" t="n">
        <v>1</v>
      </c>
      <c r="H1056" s="5">
        <f>IF($I2="","",INDEX(Productos!$AG:$AG,$I2))</f>
        <v/>
      </c>
      <c r="I1056" s="136">
        <f>LET(_xlpm.r,Productos!$E$2:$E$2509,_xlpm.m,IFERROR(_xlfn.XMATCH(C1056,_xlpm.r),IFERROR(_xlfn.XMATCH(VALUE(C1056),_xlpm.r),0)),IF(_xlpm.m=0,"",_xlpm.m+1))</f>
        <v/>
      </c>
      <c r="J1056" s="137" t="inlineStr">
        <is>
          <t>NetSuite</t>
        </is>
      </c>
    </row>
    <row r="1057">
      <c r="A1057" s="5" t="inlineStr">
        <is>
          <t>STETSON AMERICAS</t>
        </is>
      </c>
      <c r="B1057" s="5">
        <f>IF($I2="","",INDEX(Productos!$A:$A,$I2))</f>
        <v/>
      </c>
      <c r="C1057" s="134" t="inlineStr">
        <is>
          <t>12-020-BS002-10-1006-295</t>
        </is>
      </c>
      <c r="D1057" s="5">
        <f>IF($I2="","",INDEX(Productos!$B:$B,$I2))</f>
        <v/>
      </c>
      <c r="E1057" s="5">
        <f>IF($I2="","",INDEX(Productos!$H:$H,$I2))</f>
        <v/>
      </c>
      <c r="F1057" s="5">
        <f>IF($I2="","",INDEX(Productos!$I:$I,$I2))</f>
        <v/>
      </c>
      <c r="G1057" s="135" t="n">
        <v>1</v>
      </c>
      <c r="H1057" s="5">
        <f>IF($I2="","",INDEX(Productos!$AG:$AG,$I2))</f>
        <v/>
      </c>
      <c r="I1057" s="136">
        <f>LET(_xlpm.r,Productos!$E$2:$E$2509,_xlpm.m,IFERROR(_xlfn.XMATCH(C1057,_xlpm.r),IFERROR(_xlfn.XMATCH(VALUE(C1057),_xlpm.r),0)),IF(_xlpm.m=0,"",_xlpm.m+1))</f>
        <v/>
      </c>
      <c r="J1057" s="137" t="inlineStr">
        <is>
          <t>NetSuite</t>
        </is>
      </c>
    </row>
    <row r="1058">
      <c r="A1058" s="5" t="inlineStr">
        <is>
          <t>STETSON AMERICAS</t>
        </is>
      </c>
      <c r="B1058" s="5">
        <f>IF($I2="","",INDEX(Productos!$A:$A,$I2))</f>
        <v/>
      </c>
      <c r="C1058" s="134" t="inlineStr">
        <is>
          <t>12-020-BS002-10-1007-027</t>
        </is>
      </c>
      <c r="D1058" s="5">
        <f>IF($I2="","",INDEX(Productos!$B:$B,$I2))</f>
        <v/>
      </c>
      <c r="E1058" s="5">
        <f>IF($I2="","",INDEX(Productos!$H:$H,$I2))</f>
        <v/>
      </c>
      <c r="F1058" s="5">
        <f>IF($I2="","",INDEX(Productos!$I:$I,$I2))</f>
        <v/>
      </c>
      <c r="G1058" s="135" t="n">
        <v>1</v>
      </c>
      <c r="H1058" s="5">
        <f>IF($I2="","",INDEX(Productos!$AG:$AG,$I2))</f>
        <v/>
      </c>
      <c r="I1058" s="136">
        <f>LET(_xlpm.r,Productos!$E$2:$E$2509,_xlpm.m,IFERROR(_xlfn.XMATCH(C1058,_xlpm.r),IFERROR(_xlfn.XMATCH(VALUE(C1058),_xlpm.r),0)),IF(_xlpm.m=0,"",_xlpm.m+1))</f>
        <v/>
      </c>
      <c r="J1058" s="137" t="inlineStr">
        <is>
          <t>NetSuite</t>
        </is>
      </c>
    </row>
    <row r="1059">
      <c r="A1059" s="5" t="inlineStr">
        <is>
          <t>STETSON AMERICAS</t>
        </is>
      </c>
      <c r="B1059" s="5">
        <f>IF($I2="","",INDEX(Productos!$A:$A,$I2))</f>
        <v/>
      </c>
      <c r="C1059" s="134" t="inlineStr">
        <is>
          <t>12-020-BS002-10-1007-275</t>
        </is>
      </c>
      <c r="D1059" s="5">
        <f>IF($I2="","",INDEX(Productos!$B:$B,$I2))</f>
        <v/>
      </c>
      <c r="E1059" s="5">
        <f>IF($I2="","",INDEX(Productos!$H:$H,$I2))</f>
        <v/>
      </c>
      <c r="F1059" s="5">
        <f>IF($I2="","",INDEX(Productos!$I:$I,$I2))</f>
        <v/>
      </c>
      <c r="G1059" s="135" t="n">
        <v>1</v>
      </c>
      <c r="H1059" s="5">
        <f>IF($I2="","",INDEX(Productos!$AG:$AG,$I2))</f>
        <v/>
      </c>
      <c r="I1059" s="136">
        <f>LET(_xlpm.r,Productos!$E$2:$E$2509,_xlpm.m,IFERROR(_xlfn.XMATCH(C1059,_xlpm.r),IFERROR(_xlfn.XMATCH(VALUE(C1059),_xlpm.r),0)),IF(_xlpm.m=0,"",_xlpm.m+1))</f>
        <v/>
      </c>
      <c r="J1059" s="137" t="inlineStr">
        <is>
          <t>NetSuite</t>
        </is>
      </c>
    </row>
    <row r="1060">
      <c r="A1060" s="5" t="inlineStr">
        <is>
          <t>STETSON AMERICAS</t>
        </is>
      </c>
      <c r="B1060" s="5">
        <f>IF($I2="","",INDEX(Productos!$A:$A,$I2))</f>
        <v/>
      </c>
      <c r="C1060" s="134" t="inlineStr">
        <is>
          <t>12-020-BS002-10-1007-285</t>
        </is>
      </c>
      <c r="D1060" s="5">
        <f>IF($I2="","",INDEX(Productos!$B:$B,$I2))</f>
        <v/>
      </c>
      <c r="E1060" s="5">
        <f>IF($I2="","",INDEX(Productos!$H:$H,$I2))</f>
        <v/>
      </c>
      <c r="F1060" s="5">
        <f>IF($I2="","",INDEX(Productos!$I:$I,$I2))</f>
        <v/>
      </c>
      <c r="G1060" s="135" t="n">
        <v>1</v>
      </c>
      <c r="H1060" s="5">
        <f>IF($I2="","",INDEX(Productos!$AG:$AG,$I2))</f>
        <v/>
      </c>
      <c r="I1060" s="136">
        <f>LET(_xlpm.r,Productos!$E$2:$E$2509,_xlpm.m,IFERROR(_xlfn.XMATCH(C1060,_xlpm.r),IFERROR(_xlfn.XMATCH(VALUE(C1060),_xlpm.r),0)),IF(_xlpm.m=0,"",_xlpm.m+1))</f>
        <v/>
      </c>
      <c r="J1060" s="137" t="inlineStr">
        <is>
          <t>NetSuite</t>
        </is>
      </c>
    </row>
    <row r="1061">
      <c r="A1061" s="5" t="inlineStr">
        <is>
          <t>STETSON AMERICAS</t>
        </is>
      </c>
      <c r="B1061" s="5">
        <f>IF($I2="","",INDEX(Productos!$A:$A,$I2))</f>
        <v/>
      </c>
      <c r="C1061" s="134" t="inlineStr">
        <is>
          <t>12-020-BS002-10-1007-305</t>
        </is>
      </c>
      <c r="D1061" s="5">
        <f>IF($I2="","",INDEX(Productos!$B:$B,$I2))</f>
        <v/>
      </c>
      <c r="E1061" s="5">
        <f>IF($I2="","",INDEX(Productos!$H:$H,$I2))</f>
        <v/>
      </c>
      <c r="F1061" s="5">
        <f>IF($I2="","",INDEX(Productos!$I:$I,$I2))</f>
        <v/>
      </c>
      <c r="G1061" s="135" t="n">
        <v>1</v>
      </c>
      <c r="H1061" s="5">
        <f>IF($I2="","",INDEX(Productos!$AG:$AG,$I2))</f>
        <v/>
      </c>
      <c r="I1061" s="136">
        <f>LET(_xlpm.r,Productos!$E$2:$E$2509,_xlpm.m,IFERROR(_xlfn.XMATCH(C1061,_xlpm.r),IFERROR(_xlfn.XMATCH(VALUE(C1061),_xlpm.r),0)),IF(_xlpm.m=0,"",_xlpm.m+1))</f>
        <v/>
      </c>
      <c r="J1061" s="137" t="inlineStr">
        <is>
          <t>NetSuite</t>
        </is>
      </c>
    </row>
    <row r="1062">
      <c r="A1062" s="5" t="inlineStr">
        <is>
          <t>STETSON AMERICAS</t>
        </is>
      </c>
      <c r="B1062" s="5">
        <f>IF($I2="","",INDEX(Productos!$A:$A,$I2))</f>
        <v/>
      </c>
      <c r="C1062" s="134" t="inlineStr">
        <is>
          <t>12-020-BS003-10-1008-026</t>
        </is>
      </c>
      <c r="D1062" s="5">
        <f>IF($I2="","",INDEX(Productos!$B:$B,$I2))</f>
        <v/>
      </c>
      <c r="E1062" s="5">
        <f>IF($I2="","",INDEX(Productos!$H:$H,$I2))</f>
        <v/>
      </c>
      <c r="F1062" s="5">
        <f>IF($I2="","",INDEX(Productos!$I:$I,$I2))</f>
        <v/>
      </c>
      <c r="G1062" s="135" t="n">
        <v>-1</v>
      </c>
      <c r="H1062" s="5">
        <f>IF($I2="","",INDEX(Productos!$AG:$AG,$I2))</f>
        <v/>
      </c>
      <c r="I1062" s="136">
        <f>LET(_xlpm.r,Productos!$E$2:$E$2509,_xlpm.m,IFERROR(_xlfn.XMATCH(C1062,_xlpm.r),IFERROR(_xlfn.XMATCH(VALUE(C1062),_xlpm.r),0)),IF(_xlpm.m=0,"",_xlpm.m+1))</f>
        <v/>
      </c>
      <c r="J1062" s="137" t="inlineStr">
        <is>
          <t>NetSuite</t>
        </is>
      </c>
    </row>
    <row r="1063">
      <c r="A1063" s="5" t="inlineStr">
        <is>
          <t>STETSON AMERICAS</t>
        </is>
      </c>
      <c r="B1063" s="5">
        <f>IF($I2="","",INDEX(Productos!$A:$A,$I2))</f>
        <v/>
      </c>
      <c r="C1063" s="134" t="inlineStr">
        <is>
          <t>12-020-BS003-10-1008-028</t>
        </is>
      </c>
      <c r="D1063" s="5">
        <f>IF($I2="","",INDEX(Productos!$B:$B,$I2))</f>
        <v/>
      </c>
      <c r="E1063" s="5">
        <f>IF($I2="","",INDEX(Productos!$H:$H,$I2))</f>
        <v/>
      </c>
      <c r="F1063" s="5">
        <f>IF($I2="","",INDEX(Productos!$I:$I,$I2))</f>
        <v/>
      </c>
      <c r="G1063" s="135" t="n">
        <v>-1</v>
      </c>
      <c r="H1063" s="5">
        <f>IF($I2="","",INDEX(Productos!$AG:$AG,$I2))</f>
        <v/>
      </c>
      <c r="I1063" s="136">
        <f>LET(_xlpm.r,Productos!$E$2:$E$2509,_xlpm.m,IFERROR(_xlfn.XMATCH(C1063,_xlpm.r),IFERROR(_xlfn.XMATCH(VALUE(C1063),_xlpm.r),0)),IF(_xlpm.m=0,"",_xlpm.m+1))</f>
        <v/>
      </c>
      <c r="J1063" s="137" t="inlineStr">
        <is>
          <t>NetSuite</t>
        </is>
      </c>
    </row>
    <row r="1064">
      <c r="A1064" s="5" t="inlineStr">
        <is>
          <t>STETSON AMERICAS</t>
        </is>
      </c>
      <c r="B1064" s="5">
        <f>IF($I2="","",INDEX(Productos!$A:$A,$I2))</f>
        <v/>
      </c>
      <c r="C1064" s="134" t="inlineStr">
        <is>
          <t>12-020-BS003-10-1008-029</t>
        </is>
      </c>
      <c r="D1064" s="5">
        <f>IF($I2="","",INDEX(Productos!$B:$B,$I2))</f>
        <v/>
      </c>
      <c r="E1064" s="5">
        <f>IF($I2="","",INDEX(Productos!$H:$H,$I2))</f>
        <v/>
      </c>
      <c r="F1064" s="5">
        <f>IF($I2="","",INDEX(Productos!$I:$I,$I2))</f>
        <v/>
      </c>
      <c r="G1064" s="135" t="n">
        <v>-1</v>
      </c>
      <c r="H1064" s="5">
        <f>IF($I2="","",INDEX(Productos!$AG:$AG,$I2))</f>
        <v/>
      </c>
      <c r="I1064" s="136">
        <f>LET(_xlpm.r,Productos!$E$2:$E$2509,_xlpm.m,IFERROR(_xlfn.XMATCH(C1064,_xlpm.r),IFERROR(_xlfn.XMATCH(VALUE(C1064),_xlpm.r),0)),IF(_xlpm.m=0,"",_xlpm.m+1))</f>
        <v/>
      </c>
      <c r="J1064" s="137" t="inlineStr">
        <is>
          <t>NetSuite</t>
        </is>
      </c>
    </row>
    <row r="1065">
      <c r="A1065" s="5" t="inlineStr">
        <is>
          <t>STETSON AMERICAS</t>
        </is>
      </c>
      <c r="B1065" s="5">
        <f>IF($I2="","",INDEX(Productos!$A:$A,$I2))</f>
        <v/>
      </c>
      <c r="C1065" s="134" t="inlineStr">
        <is>
          <t>12-020-BS003-10-1008-265</t>
        </is>
      </c>
      <c r="D1065" s="5">
        <f>IF($I2="","",INDEX(Productos!$B:$B,$I2))</f>
        <v/>
      </c>
      <c r="E1065" s="5">
        <f>IF($I2="","",INDEX(Productos!$H:$H,$I2))</f>
        <v/>
      </c>
      <c r="F1065" s="5">
        <f>IF($I2="","",INDEX(Productos!$I:$I,$I2))</f>
        <v/>
      </c>
      <c r="G1065" s="135" t="n">
        <v>-2</v>
      </c>
      <c r="H1065" s="5">
        <f>IF($I2="","",INDEX(Productos!$AG:$AG,$I2))</f>
        <v/>
      </c>
      <c r="I1065" s="136">
        <f>LET(_xlpm.r,Productos!$E$2:$E$2509,_xlpm.m,IFERROR(_xlfn.XMATCH(C1065,_xlpm.r),IFERROR(_xlfn.XMATCH(VALUE(C1065),_xlpm.r),0)),IF(_xlpm.m=0,"",_xlpm.m+1))</f>
        <v/>
      </c>
      <c r="J1065" s="137" t="inlineStr">
        <is>
          <t>NetSuite</t>
        </is>
      </c>
    </row>
    <row r="1066">
      <c r="A1066" s="5" t="inlineStr">
        <is>
          <t>STETSON AMERICAS</t>
        </is>
      </c>
      <c r="B1066" s="5">
        <f>IF($I2="","",INDEX(Productos!$A:$A,$I2))</f>
        <v/>
      </c>
      <c r="C1066" s="134" t="inlineStr">
        <is>
          <t>12-020-BS003-10-1008-275</t>
        </is>
      </c>
      <c r="D1066" s="5">
        <f>IF($I2="","",INDEX(Productos!$B:$B,$I2))</f>
        <v/>
      </c>
      <c r="E1066" s="5">
        <f>IF($I2="","",INDEX(Productos!$H:$H,$I2))</f>
        <v/>
      </c>
      <c r="F1066" s="5">
        <f>IF($I2="","",INDEX(Productos!$I:$I,$I2))</f>
        <v/>
      </c>
      <c r="G1066" s="135" t="n">
        <v>-2</v>
      </c>
      <c r="H1066" s="5">
        <f>IF($I2="","",INDEX(Productos!$AG:$AG,$I2))</f>
        <v/>
      </c>
      <c r="I1066" s="136">
        <f>LET(_xlpm.r,Productos!$E$2:$E$2509,_xlpm.m,IFERROR(_xlfn.XMATCH(C1066,_xlpm.r),IFERROR(_xlfn.XMATCH(VALUE(C1066),_xlpm.r),0)),IF(_xlpm.m=0,"",_xlpm.m+1))</f>
        <v/>
      </c>
      <c r="J1066" s="137" t="inlineStr">
        <is>
          <t>NetSuite</t>
        </is>
      </c>
    </row>
    <row r="1067">
      <c r="A1067" s="5" t="inlineStr">
        <is>
          <t>STETSON AMERICAS</t>
        </is>
      </c>
      <c r="B1067" s="5">
        <f>IF($I2="","",INDEX(Productos!$A:$A,$I2))</f>
        <v/>
      </c>
      <c r="C1067" s="134" t="inlineStr">
        <is>
          <t>12-020-BS003-10-1008-285</t>
        </is>
      </c>
      <c r="D1067" s="5">
        <f>IF($I2="","",INDEX(Productos!$B:$B,$I2))</f>
        <v/>
      </c>
      <c r="E1067" s="5">
        <f>IF($I2="","",INDEX(Productos!$H:$H,$I2))</f>
        <v/>
      </c>
      <c r="F1067" s="5">
        <f>IF($I2="","",INDEX(Productos!$I:$I,$I2))</f>
        <v/>
      </c>
      <c r="G1067" s="135" t="n">
        <v>-1</v>
      </c>
      <c r="H1067" s="5">
        <f>IF($I2="","",INDEX(Productos!$AG:$AG,$I2))</f>
        <v/>
      </c>
      <c r="I1067" s="136">
        <f>LET(_xlpm.r,Productos!$E$2:$E$2509,_xlpm.m,IFERROR(_xlfn.XMATCH(C1067,_xlpm.r),IFERROR(_xlfn.XMATCH(VALUE(C1067),_xlpm.r),0)),IF(_xlpm.m=0,"",_xlpm.m+1))</f>
        <v/>
      </c>
      <c r="J1067" s="137" t="inlineStr">
        <is>
          <t>NetSuite</t>
        </is>
      </c>
    </row>
    <row r="1068">
      <c r="A1068" s="5" t="inlineStr">
        <is>
          <t>STETSON AMERICAS</t>
        </is>
      </c>
      <c r="B1068" s="5">
        <f>IF($I2="","",INDEX(Productos!$A:$A,$I2))</f>
        <v/>
      </c>
      <c r="C1068" s="134" t="inlineStr">
        <is>
          <t>12-020-BS003-10-1008-295</t>
        </is>
      </c>
      <c r="D1068" s="5">
        <f>IF($I2="","",INDEX(Productos!$B:$B,$I2))</f>
        <v/>
      </c>
      <c r="E1068" s="5">
        <f>IF($I2="","",INDEX(Productos!$H:$H,$I2))</f>
        <v/>
      </c>
      <c r="F1068" s="5">
        <f>IF($I2="","",INDEX(Productos!$I:$I,$I2))</f>
        <v/>
      </c>
      <c r="G1068" s="135" t="n">
        <v>-1</v>
      </c>
      <c r="H1068" s="5">
        <f>IF($I2="","",INDEX(Productos!$AG:$AG,$I2))</f>
        <v/>
      </c>
      <c r="I1068" s="136">
        <f>LET(_xlpm.r,Productos!$E$2:$E$2509,_xlpm.m,IFERROR(_xlfn.XMATCH(C1068,_xlpm.r),IFERROR(_xlfn.XMATCH(VALUE(C1068),_xlpm.r),0)),IF(_xlpm.m=0,"",_xlpm.m+1))</f>
        <v/>
      </c>
      <c r="J1068" s="137" t="inlineStr">
        <is>
          <t>NetSuite</t>
        </is>
      </c>
    </row>
    <row r="1069">
      <c r="A1069" s="5" t="inlineStr">
        <is>
          <t>STETSON AMERICAS</t>
        </is>
      </c>
      <c r="B1069" s="5">
        <f>IF($I2="","",INDEX(Productos!$A:$A,$I2))</f>
        <v/>
      </c>
      <c r="C1069" s="134" t="inlineStr">
        <is>
          <t>12-020-BS003-10-1009-026</t>
        </is>
      </c>
      <c r="D1069" s="5">
        <f>IF($I2="","",INDEX(Productos!$B:$B,$I2))</f>
        <v/>
      </c>
      <c r="E1069" s="5">
        <f>IF($I2="","",INDEX(Productos!$H:$H,$I2))</f>
        <v/>
      </c>
      <c r="F1069" s="5">
        <f>IF($I2="","",INDEX(Productos!$I:$I,$I2))</f>
        <v/>
      </c>
      <c r="G1069" s="135" t="n">
        <v>-1</v>
      </c>
      <c r="H1069" s="5">
        <f>IF($I2="","",INDEX(Productos!$AG:$AG,$I2))</f>
        <v/>
      </c>
      <c r="I1069" s="136">
        <f>LET(_xlpm.r,Productos!$E$2:$E$2509,_xlpm.m,IFERROR(_xlfn.XMATCH(C1069,_xlpm.r),IFERROR(_xlfn.XMATCH(VALUE(C1069),_xlpm.r),0)),IF(_xlpm.m=0,"",_xlpm.m+1))</f>
        <v/>
      </c>
      <c r="J1069" s="137" t="inlineStr">
        <is>
          <t>NetSuite</t>
        </is>
      </c>
    </row>
    <row r="1070">
      <c r="A1070" s="5" t="inlineStr">
        <is>
          <t>STETSON AMERICAS</t>
        </is>
      </c>
      <c r="B1070" s="5">
        <f>IF($I2="","",INDEX(Productos!$A:$A,$I2))</f>
        <v/>
      </c>
      <c r="C1070" s="134" t="inlineStr">
        <is>
          <t>12-020-BS003-10-1009-265</t>
        </is>
      </c>
      <c r="D1070" s="5">
        <f>IF($I2="","",INDEX(Productos!$B:$B,$I2))</f>
        <v/>
      </c>
      <c r="E1070" s="5">
        <f>IF($I2="","",INDEX(Productos!$H:$H,$I2))</f>
        <v/>
      </c>
      <c r="F1070" s="5">
        <f>IF($I2="","",INDEX(Productos!$I:$I,$I2))</f>
        <v/>
      </c>
      <c r="G1070" s="135" t="n">
        <v>-1</v>
      </c>
      <c r="H1070" s="5">
        <f>IF($I2="","",INDEX(Productos!$AG:$AG,$I2))</f>
        <v/>
      </c>
      <c r="I1070" s="136">
        <f>LET(_xlpm.r,Productos!$E$2:$E$2509,_xlpm.m,IFERROR(_xlfn.XMATCH(C1070,_xlpm.r),IFERROR(_xlfn.XMATCH(VALUE(C1070),_xlpm.r),0)),IF(_xlpm.m=0,"",_xlpm.m+1))</f>
        <v/>
      </c>
      <c r="J1070" s="137" t="inlineStr">
        <is>
          <t>NetSuite</t>
        </is>
      </c>
    </row>
    <row r="1071">
      <c r="A1071" s="5" t="inlineStr">
        <is>
          <t>STETSON AMERICAS</t>
        </is>
      </c>
      <c r="B1071" s="5">
        <f>IF($I2="","",INDEX(Productos!$A:$A,$I2))</f>
        <v/>
      </c>
      <c r="C1071" s="134" t="inlineStr">
        <is>
          <t>12-020-BS003-10-1009-275</t>
        </is>
      </c>
      <c r="D1071" s="5">
        <f>IF($I2="","",INDEX(Productos!$B:$B,$I2))</f>
        <v/>
      </c>
      <c r="E1071" s="5">
        <f>IF($I2="","",INDEX(Productos!$H:$H,$I2))</f>
        <v/>
      </c>
      <c r="F1071" s="5">
        <f>IF($I2="","",INDEX(Productos!$I:$I,$I2))</f>
        <v/>
      </c>
      <c r="G1071" s="135" t="n">
        <v>-1</v>
      </c>
      <c r="H1071" s="5">
        <f>IF($I2="","",INDEX(Productos!$AG:$AG,$I2))</f>
        <v/>
      </c>
      <c r="I1071" s="136">
        <f>LET(_xlpm.r,Productos!$E$2:$E$2509,_xlpm.m,IFERROR(_xlfn.XMATCH(C1071,_xlpm.r),IFERROR(_xlfn.XMATCH(VALUE(C1071),_xlpm.r),0)),IF(_xlpm.m=0,"",_xlpm.m+1))</f>
        <v/>
      </c>
      <c r="J1071" s="137" t="inlineStr">
        <is>
          <t>NetSuite</t>
        </is>
      </c>
    </row>
    <row r="1072">
      <c r="A1072" s="5" t="inlineStr">
        <is>
          <t>STETSON AMERICAS</t>
        </is>
      </c>
      <c r="B1072" s="5">
        <f>IF($I2="","",INDEX(Productos!$A:$A,$I2))</f>
        <v/>
      </c>
      <c r="C1072" s="134" t="inlineStr">
        <is>
          <t>12-020-BS003-10-1009-285</t>
        </is>
      </c>
      <c r="D1072" s="5">
        <f>IF($I2="","",INDEX(Productos!$B:$B,$I2))</f>
        <v/>
      </c>
      <c r="E1072" s="5">
        <f>IF($I2="","",INDEX(Productos!$H:$H,$I2))</f>
        <v/>
      </c>
      <c r="F1072" s="5">
        <f>IF($I2="","",INDEX(Productos!$I:$I,$I2))</f>
        <v/>
      </c>
      <c r="G1072" s="135" t="n">
        <v>-2</v>
      </c>
      <c r="H1072" s="5">
        <f>IF($I2="","",INDEX(Productos!$AG:$AG,$I2))</f>
        <v/>
      </c>
      <c r="I1072" s="136">
        <f>LET(_xlpm.r,Productos!$E$2:$E$2509,_xlpm.m,IFERROR(_xlfn.XMATCH(C1072,_xlpm.r),IFERROR(_xlfn.XMATCH(VALUE(C1072),_xlpm.r),0)),IF(_xlpm.m=0,"",_xlpm.m+1))</f>
        <v/>
      </c>
      <c r="J1072" s="137" t="inlineStr">
        <is>
          <t>NetSuite</t>
        </is>
      </c>
    </row>
    <row r="1073">
      <c r="A1073" s="5" t="inlineStr">
        <is>
          <t>STETSON AMERICAS</t>
        </is>
      </c>
      <c r="B1073" s="5">
        <f>IF($I2="","",INDEX(Productos!$A:$A,$I2))</f>
        <v/>
      </c>
      <c r="C1073" s="134" t="inlineStr">
        <is>
          <t>12-020-BS003-10-1009-295</t>
        </is>
      </c>
      <c r="D1073" s="5">
        <f>IF($I2="","",INDEX(Productos!$B:$B,$I2))</f>
        <v/>
      </c>
      <c r="E1073" s="5">
        <f>IF($I2="","",INDEX(Productos!$H:$H,$I2))</f>
        <v/>
      </c>
      <c r="F1073" s="5">
        <f>IF($I2="","",INDEX(Productos!$I:$I,$I2))</f>
        <v/>
      </c>
      <c r="G1073" s="135" t="n">
        <v>-1</v>
      </c>
      <c r="H1073" s="5">
        <f>IF($I2="","",INDEX(Productos!$AG:$AG,$I2))</f>
        <v/>
      </c>
      <c r="I1073" s="136">
        <f>LET(_xlpm.r,Productos!$E$2:$E$2509,_xlpm.m,IFERROR(_xlfn.XMATCH(C1073,_xlpm.r),IFERROR(_xlfn.XMATCH(VALUE(C1073),_xlpm.r),0)),IF(_xlpm.m=0,"",_xlpm.m+1))</f>
        <v/>
      </c>
      <c r="J1073" s="137" t="inlineStr">
        <is>
          <t>NetSuite</t>
        </is>
      </c>
    </row>
    <row r="1074">
      <c r="A1074" s="5" t="inlineStr">
        <is>
          <t>STETSON AMERICAS</t>
        </is>
      </c>
      <c r="B1074" s="5">
        <f>IF($I2="","",INDEX(Productos!$A:$A,$I2))</f>
        <v/>
      </c>
      <c r="C1074" s="134" t="inlineStr">
        <is>
          <t>12-020-BS003-10-1010-027</t>
        </is>
      </c>
      <c r="D1074" s="5">
        <f>IF($I2="","",INDEX(Productos!$B:$B,$I2))</f>
        <v/>
      </c>
      <c r="E1074" s="5">
        <f>IF($I2="","",INDEX(Productos!$H:$H,$I2))</f>
        <v/>
      </c>
      <c r="F1074" s="5">
        <f>IF($I2="","",INDEX(Productos!$I:$I,$I2))</f>
        <v/>
      </c>
      <c r="G1074" s="135" t="n">
        <v>-2</v>
      </c>
      <c r="H1074" s="5">
        <f>IF($I2="","",INDEX(Productos!$AG:$AG,$I2))</f>
        <v/>
      </c>
      <c r="I1074" s="136">
        <f>LET(_xlpm.r,Productos!$E$2:$E$2509,_xlpm.m,IFERROR(_xlfn.XMATCH(C1074,_xlpm.r),IFERROR(_xlfn.XMATCH(VALUE(C1074),_xlpm.r),0)),IF(_xlpm.m=0,"",_xlpm.m+1))</f>
        <v/>
      </c>
      <c r="J1074" s="137" t="inlineStr">
        <is>
          <t>NetSuite</t>
        </is>
      </c>
    </row>
    <row r="1075">
      <c r="A1075" s="5" t="inlineStr">
        <is>
          <t>STETSON AMERICAS</t>
        </is>
      </c>
      <c r="B1075" s="5">
        <f>IF($I2="","",INDEX(Productos!$A:$A,$I2))</f>
        <v/>
      </c>
      <c r="C1075" s="134" t="inlineStr">
        <is>
          <t>12-020-BS003-10-1010-028</t>
        </is>
      </c>
      <c r="D1075" s="5">
        <f>IF($I2="","",INDEX(Productos!$B:$B,$I2))</f>
        <v/>
      </c>
      <c r="E1075" s="5">
        <f>IF($I2="","",INDEX(Productos!$H:$H,$I2))</f>
        <v/>
      </c>
      <c r="F1075" s="5">
        <f>IF($I2="","",INDEX(Productos!$I:$I,$I2))</f>
        <v/>
      </c>
      <c r="G1075" s="135" t="n">
        <v>-2</v>
      </c>
      <c r="H1075" s="5">
        <f>IF($I2="","",INDEX(Productos!$AG:$AG,$I2))</f>
        <v/>
      </c>
      <c r="I1075" s="136">
        <f>LET(_xlpm.r,Productos!$E$2:$E$2509,_xlpm.m,IFERROR(_xlfn.XMATCH(C1075,_xlpm.r),IFERROR(_xlfn.XMATCH(VALUE(C1075),_xlpm.r),0)),IF(_xlpm.m=0,"",_xlpm.m+1))</f>
        <v/>
      </c>
      <c r="J1075" s="137" t="inlineStr">
        <is>
          <t>NetSuite</t>
        </is>
      </c>
    </row>
    <row r="1076">
      <c r="A1076" s="5" t="inlineStr">
        <is>
          <t>STETSON AMERICAS</t>
        </is>
      </c>
      <c r="B1076" s="5">
        <f>IF($I2="","",INDEX(Productos!$A:$A,$I2))</f>
        <v/>
      </c>
      <c r="C1076" s="134" t="inlineStr">
        <is>
          <t>12-020-BS003-10-1010-285</t>
        </is>
      </c>
      <c r="D1076" s="5">
        <f>IF($I2="","",INDEX(Productos!$B:$B,$I2))</f>
        <v/>
      </c>
      <c r="E1076" s="5">
        <f>IF($I2="","",INDEX(Productos!$H:$H,$I2))</f>
        <v/>
      </c>
      <c r="F1076" s="5">
        <f>IF($I2="","",INDEX(Productos!$I:$I,$I2))</f>
        <v/>
      </c>
      <c r="G1076" s="135" t="n">
        <v>-1</v>
      </c>
      <c r="H1076" s="5">
        <f>IF($I2="","",INDEX(Productos!$AG:$AG,$I2))</f>
        <v/>
      </c>
      <c r="I1076" s="136">
        <f>LET(_xlpm.r,Productos!$E$2:$E$2509,_xlpm.m,IFERROR(_xlfn.XMATCH(C1076,_xlpm.r),IFERROR(_xlfn.XMATCH(VALUE(C1076),_xlpm.r),0)),IF(_xlpm.m=0,"",_xlpm.m+1))</f>
        <v/>
      </c>
      <c r="J1076" s="137" t="inlineStr">
        <is>
          <t>NetSuite</t>
        </is>
      </c>
    </row>
    <row r="1077">
      <c r="A1077" s="5" t="inlineStr">
        <is>
          <t>STETSON AMERICAS</t>
        </is>
      </c>
      <c r="B1077" s="5">
        <f>IF($I2="","",INDEX(Productos!$A:$A,$I2))</f>
        <v/>
      </c>
      <c r="C1077" s="134" t="inlineStr">
        <is>
          <t>12-020-BS003-10-1011-026</t>
        </is>
      </c>
      <c r="D1077" s="5">
        <f>IF($I2="","",INDEX(Productos!$B:$B,$I2))</f>
        <v/>
      </c>
      <c r="E1077" s="5">
        <f>IF($I2="","",INDEX(Productos!$H:$H,$I2))</f>
        <v/>
      </c>
      <c r="F1077" s="5">
        <f>IF($I2="","",INDEX(Productos!$I:$I,$I2))</f>
        <v/>
      </c>
      <c r="G1077" s="135" t="n">
        <v>-1</v>
      </c>
      <c r="H1077" s="5">
        <f>IF($I2="","",INDEX(Productos!$AG:$AG,$I2))</f>
        <v/>
      </c>
      <c r="I1077" s="136">
        <f>LET(_xlpm.r,Productos!$E$2:$E$2509,_xlpm.m,IFERROR(_xlfn.XMATCH(C1077,_xlpm.r),IFERROR(_xlfn.XMATCH(VALUE(C1077),_xlpm.r),0)),IF(_xlpm.m=0,"",_xlpm.m+1))</f>
        <v/>
      </c>
      <c r="J1077" s="137" t="inlineStr">
        <is>
          <t>NetSuite</t>
        </is>
      </c>
    </row>
    <row r="1078">
      <c r="A1078" s="5" t="inlineStr">
        <is>
          <t>STETSON AMERICAS</t>
        </is>
      </c>
      <c r="B1078" s="5">
        <f>IF($I2="","",INDEX(Productos!$A:$A,$I2))</f>
        <v/>
      </c>
      <c r="C1078" s="134" t="inlineStr">
        <is>
          <t>12-020-BS003-10-1011-027</t>
        </is>
      </c>
      <c r="D1078" s="5">
        <f>IF($I2="","",INDEX(Productos!$B:$B,$I2))</f>
        <v/>
      </c>
      <c r="E1078" s="5">
        <f>IF($I2="","",INDEX(Productos!$H:$H,$I2))</f>
        <v/>
      </c>
      <c r="F1078" s="5">
        <f>IF($I2="","",INDEX(Productos!$I:$I,$I2))</f>
        <v/>
      </c>
      <c r="G1078" s="135" t="n">
        <v>-1</v>
      </c>
      <c r="H1078" s="5">
        <f>IF($I2="","",INDEX(Productos!$AG:$AG,$I2))</f>
        <v/>
      </c>
      <c r="I1078" s="136">
        <f>LET(_xlpm.r,Productos!$E$2:$E$2509,_xlpm.m,IFERROR(_xlfn.XMATCH(C1078,_xlpm.r),IFERROR(_xlfn.XMATCH(VALUE(C1078),_xlpm.r),0)),IF(_xlpm.m=0,"",_xlpm.m+1))</f>
        <v/>
      </c>
      <c r="J1078" s="137" t="inlineStr">
        <is>
          <t>NetSuite</t>
        </is>
      </c>
    </row>
    <row r="1079">
      <c r="A1079" s="5" t="inlineStr">
        <is>
          <t>STETSON AMERICAS</t>
        </is>
      </c>
      <c r="B1079" s="5">
        <f>IF($I2="","",INDEX(Productos!$A:$A,$I2))</f>
        <v/>
      </c>
      <c r="C1079" s="134" t="inlineStr">
        <is>
          <t>12-020-BS003-10-1011-028</t>
        </is>
      </c>
      <c r="D1079" s="5">
        <f>IF($I2="","",INDEX(Productos!$B:$B,$I2))</f>
        <v/>
      </c>
      <c r="E1079" s="5">
        <f>IF($I2="","",INDEX(Productos!$H:$H,$I2))</f>
        <v/>
      </c>
      <c r="F1079" s="5">
        <f>IF($I2="","",INDEX(Productos!$I:$I,$I2))</f>
        <v/>
      </c>
      <c r="G1079" s="135" t="n">
        <v>-1</v>
      </c>
      <c r="H1079" s="5">
        <f>IF($I2="","",INDEX(Productos!$AG:$AG,$I2))</f>
        <v/>
      </c>
      <c r="I1079" s="136">
        <f>LET(_xlpm.r,Productos!$E$2:$E$2509,_xlpm.m,IFERROR(_xlfn.XMATCH(C1079,_xlpm.r),IFERROR(_xlfn.XMATCH(VALUE(C1079),_xlpm.r),0)),IF(_xlpm.m=0,"",_xlpm.m+1))</f>
        <v/>
      </c>
      <c r="J1079" s="137" t="inlineStr">
        <is>
          <t>NetSuite</t>
        </is>
      </c>
    </row>
    <row r="1080">
      <c r="A1080" s="5" t="inlineStr">
        <is>
          <t>STETSON AMERICAS</t>
        </is>
      </c>
      <c r="B1080" s="5">
        <f>IF($I2="","",INDEX(Productos!$A:$A,$I2))</f>
        <v/>
      </c>
      <c r="C1080" s="134" t="inlineStr">
        <is>
          <t>12-020-BS003-10-1011-029</t>
        </is>
      </c>
      <c r="D1080" s="5">
        <f>IF($I2="","",INDEX(Productos!$B:$B,$I2))</f>
        <v/>
      </c>
      <c r="E1080" s="5">
        <f>IF($I2="","",INDEX(Productos!$H:$H,$I2))</f>
        <v/>
      </c>
      <c r="F1080" s="5">
        <f>IF($I2="","",INDEX(Productos!$I:$I,$I2))</f>
        <v/>
      </c>
      <c r="G1080" s="135" t="n">
        <v>-1</v>
      </c>
      <c r="H1080" s="5">
        <f>IF($I2="","",INDEX(Productos!$AG:$AG,$I2))</f>
        <v/>
      </c>
      <c r="I1080" s="136">
        <f>LET(_xlpm.r,Productos!$E$2:$E$2509,_xlpm.m,IFERROR(_xlfn.XMATCH(C1080,_xlpm.r),IFERROR(_xlfn.XMATCH(VALUE(C1080),_xlpm.r),0)),IF(_xlpm.m=0,"",_xlpm.m+1))</f>
        <v/>
      </c>
      <c r="J1080" s="137" t="inlineStr">
        <is>
          <t>NetSuite</t>
        </is>
      </c>
    </row>
    <row r="1081">
      <c r="A1081" s="5" t="inlineStr">
        <is>
          <t>STETSON AMERICAS</t>
        </is>
      </c>
      <c r="B1081" s="5">
        <f>IF($I2="","",INDEX(Productos!$A:$A,$I2))</f>
        <v/>
      </c>
      <c r="C1081" s="134" t="inlineStr">
        <is>
          <t>12-020-BS003-10-1011-031</t>
        </is>
      </c>
      <c r="D1081" s="5">
        <f>IF($I2="","",INDEX(Productos!$B:$B,$I2))</f>
        <v/>
      </c>
      <c r="E1081" s="5">
        <f>IF($I2="","",INDEX(Productos!$H:$H,$I2))</f>
        <v/>
      </c>
      <c r="F1081" s="5">
        <f>IF($I2="","",INDEX(Productos!$I:$I,$I2))</f>
        <v/>
      </c>
      <c r="G1081" s="135" t="n">
        <v>-1</v>
      </c>
      <c r="H1081" s="5">
        <f>IF($I2="","",INDEX(Productos!$AG:$AG,$I2))</f>
        <v/>
      </c>
      <c r="I1081" s="136">
        <f>LET(_xlpm.r,Productos!$E$2:$E$2509,_xlpm.m,IFERROR(_xlfn.XMATCH(C1081,_xlpm.r),IFERROR(_xlfn.XMATCH(VALUE(C1081),_xlpm.r),0)),IF(_xlpm.m=0,"",_xlpm.m+1))</f>
        <v/>
      </c>
      <c r="J1081" s="137" t="inlineStr">
        <is>
          <t>NetSuite</t>
        </is>
      </c>
    </row>
    <row r="1082">
      <c r="A1082" s="5" t="inlineStr">
        <is>
          <t>STETSON AMERICAS</t>
        </is>
      </c>
      <c r="B1082" s="5">
        <f>IF($I2="","",INDEX(Productos!$A:$A,$I2))</f>
        <v/>
      </c>
      <c r="C1082" s="134" t="inlineStr">
        <is>
          <t>12-020-BS003-10-1011-265</t>
        </is>
      </c>
      <c r="D1082" s="5">
        <f>IF($I2="","",INDEX(Productos!$B:$B,$I2))</f>
        <v/>
      </c>
      <c r="E1082" s="5">
        <f>IF($I2="","",INDEX(Productos!$H:$H,$I2))</f>
        <v/>
      </c>
      <c r="F1082" s="5">
        <f>IF($I2="","",INDEX(Productos!$I:$I,$I2))</f>
        <v/>
      </c>
      <c r="G1082" s="135" t="n">
        <v>-2</v>
      </c>
      <c r="H1082" s="5">
        <f>IF($I2="","",INDEX(Productos!$AG:$AG,$I2))</f>
        <v/>
      </c>
      <c r="I1082" s="136">
        <f>LET(_xlpm.r,Productos!$E$2:$E$2509,_xlpm.m,IFERROR(_xlfn.XMATCH(C1082,_xlpm.r),IFERROR(_xlfn.XMATCH(VALUE(C1082),_xlpm.r),0)),IF(_xlpm.m=0,"",_xlpm.m+1))</f>
        <v/>
      </c>
      <c r="J1082" s="137" t="inlineStr">
        <is>
          <t>NetSuite</t>
        </is>
      </c>
    </row>
    <row r="1083">
      <c r="A1083" s="5" t="inlineStr">
        <is>
          <t>STETSON AMERICAS</t>
        </is>
      </c>
      <c r="B1083" s="5">
        <f>IF($I2="","",INDEX(Productos!$A:$A,$I2))</f>
        <v/>
      </c>
      <c r="C1083" s="134" t="inlineStr">
        <is>
          <t>12-020-BS003-10-1011-275</t>
        </is>
      </c>
      <c r="D1083" s="5">
        <f>IF($I2="","",INDEX(Productos!$B:$B,$I2))</f>
        <v/>
      </c>
      <c r="E1083" s="5">
        <f>IF($I2="","",INDEX(Productos!$H:$H,$I2))</f>
        <v/>
      </c>
      <c r="F1083" s="5">
        <f>IF($I2="","",INDEX(Productos!$I:$I,$I2))</f>
        <v/>
      </c>
      <c r="G1083" s="135" t="n">
        <v>-1</v>
      </c>
      <c r="H1083" s="5">
        <f>IF($I2="","",INDEX(Productos!$AG:$AG,$I2))</f>
        <v/>
      </c>
      <c r="I1083" s="136">
        <f>LET(_xlpm.r,Productos!$E$2:$E$2509,_xlpm.m,IFERROR(_xlfn.XMATCH(C1083,_xlpm.r),IFERROR(_xlfn.XMATCH(VALUE(C1083),_xlpm.r),0)),IF(_xlpm.m=0,"",_xlpm.m+1))</f>
        <v/>
      </c>
      <c r="J1083" s="137" t="inlineStr">
        <is>
          <t>NetSuite</t>
        </is>
      </c>
    </row>
    <row r="1084">
      <c r="A1084" s="5" t="inlineStr">
        <is>
          <t>STETSON AMERICAS</t>
        </is>
      </c>
      <c r="B1084" s="5">
        <f>IF($I2="","",INDEX(Productos!$A:$A,$I2))</f>
        <v/>
      </c>
      <c r="C1084" s="134" t="inlineStr">
        <is>
          <t>12-020-BS003-10-1011-285</t>
        </is>
      </c>
      <c r="D1084" s="5">
        <f>IF($I2="","",INDEX(Productos!$B:$B,$I2))</f>
        <v/>
      </c>
      <c r="E1084" s="5">
        <f>IF($I2="","",INDEX(Productos!$H:$H,$I2))</f>
        <v/>
      </c>
      <c r="F1084" s="5">
        <f>IF($I2="","",INDEX(Productos!$I:$I,$I2))</f>
        <v/>
      </c>
      <c r="G1084" s="135" t="n">
        <v>-2</v>
      </c>
      <c r="H1084" s="5">
        <f>IF($I2="","",INDEX(Productos!$AG:$AG,$I2))</f>
        <v/>
      </c>
      <c r="I1084" s="136">
        <f>LET(_xlpm.r,Productos!$E$2:$E$2509,_xlpm.m,IFERROR(_xlfn.XMATCH(C1084,_xlpm.r),IFERROR(_xlfn.XMATCH(VALUE(C1084),_xlpm.r),0)),IF(_xlpm.m=0,"",_xlpm.m+1))</f>
        <v/>
      </c>
      <c r="J1084" s="137" t="inlineStr">
        <is>
          <t>NetSuite</t>
        </is>
      </c>
    </row>
    <row r="1085">
      <c r="A1085" s="5" t="inlineStr">
        <is>
          <t>STETSON AMERICAS</t>
        </is>
      </c>
      <c r="B1085" s="5">
        <f>IF($I2="","",INDEX(Productos!$A:$A,$I2))</f>
        <v/>
      </c>
      <c r="C1085" s="134" t="inlineStr">
        <is>
          <t>12-020-BS004-10-1012-027</t>
        </is>
      </c>
      <c r="D1085" s="5">
        <f>IF($I2="","",INDEX(Productos!$B:$B,$I2))</f>
        <v/>
      </c>
      <c r="E1085" s="5">
        <f>IF($I2="","",INDEX(Productos!$H:$H,$I2))</f>
        <v/>
      </c>
      <c r="F1085" s="5">
        <f>IF($I2="","",INDEX(Productos!$I:$I,$I2))</f>
        <v/>
      </c>
      <c r="G1085" s="135" t="n">
        <v>2</v>
      </c>
      <c r="H1085" s="5">
        <f>IF($I2="","",INDEX(Productos!$AG:$AG,$I2))</f>
        <v/>
      </c>
      <c r="I1085" s="136">
        <f>LET(_xlpm.r,Productos!$E$2:$E$2509,_xlpm.m,IFERROR(_xlfn.XMATCH(C1085,_xlpm.r),IFERROR(_xlfn.XMATCH(VALUE(C1085),_xlpm.r),0)),IF(_xlpm.m=0,"",_xlpm.m+1))</f>
        <v/>
      </c>
      <c r="J1085" s="137" t="inlineStr">
        <is>
          <t>NetSuite</t>
        </is>
      </c>
    </row>
    <row r="1086">
      <c r="A1086" s="5" t="inlineStr">
        <is>
          <t>STETSON AMERICAS</t>
        </is>
      </c>
      <c r="B1086" s="5">
        <f>IF($I2="","",INDEX(Productos!$A:$A,$I2))</f>
        <v/>
      </c>
      <c r="C1086" s="134" t="inlineStr">
        <is>
          <t>12-020-BS004-10-1012-028</t>
        </is>
      </c>
      <c r="D1086" s="5">
        <f>IF($I2="","",INDEX(Productos!$B:$B,$I2))</f>
        <v/>
      </c>
      <c r="E1086" s="5">
        <f>IF($I2="","",INDEX(Productos!$H:$H,$I2))</f>
        <v/>
      </c>
      <c r="F1086" s="5">
        <f>IF($I2="","",INDEX(Productos!$I:$I,$I2))</f>
        <v/>
      </c>
      <c r="G1086" s="135" t="n">
        <v>1</v>
      </c>
      <c r="H1086" s="5">
        <f>IF($I2="","",INDEX(Productos!$AG:$AG,$I2))</f>
        <v/>
      </c>
      <c r="I1086" s="136">
        <f>LET(_xlpm.r,Productos!$E$2:$E$2509,_xlpm.m,IFERROR(_xlfn.XMATCH(C1086,_xlpm.r),IFERROR(_xlfn.XMATCH(VALUE(C1086),_xlpm.r),0)),IF(_xlpm.m=0,"",_xlpm.m+1))</f>
        <v/>
      </c>
      <c r="J1086" s="137" t="inlineStr">
        <is>
          <t>NetSuite</t>
        </is>
      </c>
    </row>
    <row r="1087">
      <c r="A1087" s="5" t="inlineStr">
        <is>
          <t>STETSON AMERICAS</t>
        </is>
      </c>
      <c r="B1087" s="5">
        <f>IF($I2="","",INDEX(Productos!$A:$A,$I2))</f>
        <v/>
      </c>
      <c r="C1087" s="134" t="inlineStr">
        <is>
          <t>12-020-BS004-10-1012-029</t>
        </is>
      </c>
      <c r="D1087" s="5">
        <f>IF($I2="","",INDEX(Productos!$B:$B,$I2))</f>
        <v/>
      </c>
      <c r="E1087" s="5">
        <f>IF($I2="","",INDEX(Productos!$H:$H,$I2))</f>
        <v/>
      </c>
      <c r="F1087" s="5">
        <f>IF($I2="","",INDEX(Productos!$I:$I,$I2))</f>
        <v/>
      </c>
      <c r="G1087" s="135" t="n">
        <v>1</v>
      </c>
      <c r="H1087" s="5">
        <f>IF($I2="","",INDEX(Productos!$AG:$AG,$I2))</f>
        <v/>
      </c>
      <c r="I1087" s="136">
        <f>LET(_xlpm.r,Productos!$E$2:$E$2509,_xlpm.m,IFERROR(_xlfn.XMATCH(C1087,_xlpm.r),IFERROR(_xlfn.XMATCH(VALUE(C1087),_xlpm.r),0)),IF(_xlpm.m=0,"",_xlpm.m+1))</f>
        <v/>
      </c>
      <c r="J1087" s="137" t="inlineStr">
        <is>
          <t>NetSuite</t>
        </is>
      </c>
    </row>
    <row r="1088">
      <c r="A1088" s="5" t="inlineStr">
        <is>
          <t>STETSON AMERICAS</t>
        </is>
      </c>
      <c r="B1088" s="5">
        <f>IF($I2="","",INDEX(Productos!$A:$A,$I2))</f>
        <v/>
      </c>
      <c r="C1088" s="134" t="inlineStr">
        <is>
          <t>12-020-BS004-10-1012-265</t>
        </is>
      </c>
      <c r="D1088" s="5">
        <f>IF($I2="","",INDEX(Productos!$B:$B,$I2))</f>
        <v/>
      </c>
      <c r="E1088" s="5">
        <f>IF($I2="","",INDEX(Productos!$H:$H,$I2))</f>
        <v/>
      </c>
      <c r="F1088" s="5">
        <f>IF($I2="","",INDEX(Productos!$I:$I,$I2))</f>
        <v/>
      </c>
      <c r="G1088" s="135" t="n">
        <v>1</v>
      </c>
      <c r="H1088" s="5">
        <f>IF($I2="","",INDEX(Productos!$AG:$AG,$I2))</f>
        <v/>
      </c>
      <c r="I1088" s="136">
        <f>LET(_xlpm.r,Productos!$E$2:$E$2509,_xlpm.m,IFERROR(_xlfn.XMATCH(C1088,_xlpm.r),IFERROR(_xlfn.XMATCH(VALUE(C1088),_xlpm.r),0)),IF(_xlpm.m=0,"",_xlpm.m+1))</f>
        <v/>
      </c>
      <c r="J1088" s="137" t="inlineStr">
        <is>
          <t>NetSuite</t>
        </is>
      </c>
    </row>
    <row r="1089">
      <c r="A1089" s="5" t="inlineStr">
        <is>
          <t>STETSON AMERICAS</t>
        </is>
      </c>
      <c r="B1089" s="5">
        <f>IF($I2="","",INDEX(Productos!$A:$A,$I2))</f>
        <v/>
      </c>
      <c r="C1089" s="134" t="inlineStr">
        <is>
          <t>12-020-BS004-10-1012-275</t>
        </is>
      </c>
      <c r="D1089" s="5">
        <f>IF($I2="","",INDEX(Productos!$B:$B,$I2))</f>
        <v/>
      </c>
      <c r="E1089" s="5">
        <f>IF($I2="","",INDEX(Productos!$H:$H,$I2))</f>
        <v/>
      </c>
      <c r="F1089" s="5">
        <f>IF($I2="","",INDEX(Productos!$I:$I,$I2))</f>
        <v/>
      </c>
      <c r="G1089" s="135" t="n">
        <v>1</v>
      </c>
      <c r="H1089" s="5">
        <f>IF($I2="","",INDEX(Productos!$AG:$AG,$I2))</f>
        <v/>
      </c>
      <c r="I1089" s="136">
        <f>LET(_xlpm.r,Productos!$E$2:$E$2509,_xlpm.m,IFERROR(_xlfn.XMATCH(C1089,_xlpm.r),IFERROR(_xlfn.XMATCH(VALUE(C1089),_xlpm.r),0)),IF(_xlpm.m=0,"",_xlpm.m+1))</f>
        <v/>
      </c>
      <c r="J1089" s="137" t="inlineStr">
        <is>
          <t>NetSuite</t>
        </is>
      </c>
    </row>
    <row r="1090">
      <c r="A1090" s="5" t="inlineStr">
        <is>
          <t>STETSON AMERICAS</t>
        </is>
      </c>
      <c r="B1090" s="5">
        <f>IF($I2="","",INDEX(Productos!$A:$A,$I2))</f>
        <v/>
      </c>
      <c r="C1090" s="134" t="inlineStr">
        <is>
          <t>12-020-BS004-10-1013-027</t>
        </is>
      </c>
      <c r="D1090" s="5">
        <f>IF($I2="","",INDEX(Productos!$B:$B,$I2))</f>
        <v/>
      </c>
      <c r="E1090" s="5">
        <f>IF($I2="","",INDEX(Productos!$H:$H,$I2))</f>
        <v/>
      </c>
      <c r="F1090" s="5">
        <f>IF($I2="","",INDEX(Productos!$I:$I,$I2))</f>
        <v/>
      </c>
      <c r="G1090" s="135" t="n">
        <v>1</v>
      </c>
      <c r="H1090" s="5">
        <f>IF($I2="","",INDEX(Productos!$AG:$AG,$I2))</f>
        <v/>
      </c>
      <c r="I1090" s="136">
        <f>LET(_xlpm.r,Productos!$E$2:$E$2509,_xlpm.m,IFERROR(_xlfn.XMATCH(C1090,_xlpm.r),IFERROR(_xlfn.XMATCH(VALUE(C1090),_xlpm.r),0)),IF(_xlpm.m=0,"",_xlpm.m+1))</f>
        <v/>
      </c>
      <c r="J1090" s="137" t="inlineStr">
        <is>
          <t>NetSuite</t>
        </is>
      </c>
    </row>
    <row r="1091">
      <c r="A1091" s="5" t="inlineStr">
        <is>
          <t>STETSON AMERICAS</t>
        </is>
      </c>
      <c r="B1091" s="5">
        <f>IF($I2="","",INDEX(Productos!$A:$A,$I2))</f>
        <v/>
      </c>
      <c r="C1091" s="134" t="inlineStr">
        <is>
          <t>12-020-BS004-10-1013-028</t>
        </is>
      </c>
      <c r="D1091" s="5">
        <f>IF($I2="","",INDEX(Productos!$B:$B,$I2))</f>
        <v/>
      </c>
      <c r="E1091" s="5">
        <f>IF($I2="","",INDEX(Productos!$H:$H,$I2))</f>
        <v/>
      </c>
      <c r="F1091" s="5">
        <f>IF($I2="","",INDEX(Productos!$I:$I,$I2))</f>
        <v/>
      </c>
      <c r="G1091" s="135" t="n">
        <v>1</v>
      </c>
      <c r="H1091" s="5">
        <f>IF($I2="","",INDEX(Productos!$AG:$AG,$I2))</f>
        <v/>
      </c>
      <c r="I1091" s="136">
        <f>LET(_xlpm.r,Productos!$E$2:$E$2509,_xlpm.m,IFERROR(_xlfn.XMATCH(C1091,_xlpm.r),IFERROR(_xlfn.XMATCH(VALUE(C1091),_xlpm.r),0)),IF(_xlpm.m=0,"",_xlpm.m+1))</f>
        <v/>
      </c>
      <c r="J1091" s="137" t="inlineStr">
        <is>
          <t>NetSuite</t>
        </is>
      </c>
    </row>
    <row r="1092">
      <c r="A1092" s="5" t="inlineStr">
        <is>
          <t>STETSON AMERICAS</t>
        </is>
      </c>
      <c r="B1092" s="5">
        <f>IF($I2="","",INDEX(Productos!$A:$A,$I2))</f>
        <v/>
      </c>
      <c r="C1092" s="134" t="inlineStr">
        <is>
          <t>12-020-BS004-10-1013-029</t>
        </is>
      </c>
      <c r="D1092" s="5">
        <f>IF($I2="","",INDEX(Productos!$B:$B,$I2))</f>
        <v/>
      </c>
      <c r="E1092" s="5">
        <f>IF($I2="","",INDEX(Productos!$H:$H,$I2))</f>
        <v/>
      </c>
      <c r="F1092" s="5">
        <f>IF($I2="","",INDEX(Productos!$I:$I,$I2))</f>
        <v/>
      </c>
      <c r="G1092" s="135" t="n">
        <v>1</v>
      </c>
      <c r="H1092" s="5">
        <f>IF($I2="","",INDEX(Productos!$AG:$AG,$I2))</f>
        <v/>
      </c>
      <c r="I1092" s="136">
        <f>LET(_xlpm.r,Productos!$E$2:$E$2509,_xlpm.m,IFERROR(_xlfn.XMATCH(C1092,_xlpm.r),IFERROR(_xlfn.XMATCH(VALUE(C1092),_xlpm.r),0)),IF(_xlpm.m=0,"",_xlpm.m+1))</f>
        <v/>
      </c>
      <c r="J1092" s="137" t="inlineStr">
        <is>
          <t>NetSuite</t>
        </is>
      </c>
    </row>
    <row r="1093">
      <c r="A1093" s="5" t="inlineStr">
        <is>
          <t>STETSON AMERICAS</t>
        </is>
      </c>
      <c r="B1093" s="5">
        <f>IF($I2="","",INDEX(Productos!$A:$A,$I2))</f>
        <v/>
      </c>
      <c r="C1093" s="134" t="inlineStr">
        <is>
          <t>12-020-BS004-10-1013-265</t>
        </is>
      </c>
      <c r="D1093" s="5">
        <f>IF($I2="","",INDEX(Productos!$B:$B,$I2))</f>
        <v/>
      </c>
      <c r="E1093" s="5">
        <f>IF($I2="","",INDEX(Productos!$H:$H,$I2))</f>
        <v/>
      </c>
      <c r="F1093" s="5">
        <f>IF($I2="","",INDEX(Productos!$I:$I,$I2))</f>
        <v/>
      </c>
      <c r="G1093" s="135" t="n">
        <v>1</v>
      </c>
      <c r="H1093" s="5">
        <f>IF($I2="","",INDEX(Productos!$AG:$AG,$I2))</f>
        <v/>
      </c>
      <c r="I1093" s="136">
        <f>LET(_xlpm.r,Productos!$E$2:$E$2509,_xlpm.m,IFERROR(_xlfn.XMATCH(C1093,_xlpm.r),IFERROR(_xlfn.XMATCH(VALUE(C1093),_xlpm.r),0)),IF(_xlpm.m=0,"",_xlpm.m+1))</f>
        <v/>
      </c>
      <c r="J1093" s="137" t="inlineStr">
        <is>
          <t>NetSuite</t>
        </is>
      </c>
    </row>
    <row r="1094">
      <c r="A1094" s="5" t="inlineStr">
        <is>
          <t>STETSON AMERICAS</t>
        </is>
      </c>
      <c r="B1094" s="5">
        <f>IF($I2="","",INDEX(Productos!$A:$A,$I2))</f>
        <v/>
      </c>
      <c r="C1094" s="134" t="inlineStr">
        <is>
          <t>12-020-BS004-10-1013-275</t>
        </is>
      </c>
      <c r="D1094" s="5">
        <f>IF($I2="","",INDEX(Productos!$B:$B,$I2))</f>
        <v/>
      </c>
      <c r="E1094" s="5">
        <f>IF($I2="","",INDEX(Productos!$H:$H,$I2))</f>
        <v/>
      </c>
      <c r="F1094" s="5">
        <f>IF($I2="","",INDEX(Productos!$I:$I,$I2))</f>
        <v/>
      </c>
      <c r="G1094" s="135" t="n">
        <v>2</v>
      </c>
      <c r="H1094" s="5">
        <f>IF($I2="","",INDEX(Productos!$AG:$AG,$I2))</f>
        <v/>
      </c>
      <c r="I1094" s="136">
        <f>LET(_xlpm.r,Productos!$E$2:$E$2509,_xlpm.m,IFERROR(_xlfn.XMATCH(C1094,_xlpm.r),IFERROR(_xlfn.XMATCH(VALUE(C1094),_xlpm.r),0)),IF(_xlpm.m=0,"",_xlpm.m+1))</f>
        <v/>
      </c>
      <c r="J1094" s="137" t="inlineStr">
        <is>
          <t>NetSuite</t>
        </is>
      </c>
    </row>
    <row r="1095">
      <c r="A1095" s="5" t="inlineStr">
        <is>
          <t>STETSON AMERICAS</t>
        </is>
      </c>
      <c r="B1095" s="5">
        <f>IF($I2="","",INDEX(Productos!$A:$A,$I2))</f>
        <v/>
      </c>
      <c r="C1095" s="134" t="inlineStr">
        <is>
          <t>12-020-BS004-10-1013-285</t>
        </is>
      </c>
      <c r="D1095" s="5">
        <f>IF($I2="","",INDEX(Productos!$B:$B,$I2))</f>
        <v/>
      </c>
      <c r="E1095" s="5">
        <f>IF($I2="","",INDEX(Productos!$H:$H,$I2))</f>
        <v/>
      </c>
      <c r="F1095" s="5">
        <f>IF($I2="","",INDEX(Productos!$I:$I,$I2))</f>
        <v/>
      </c>
      <c r="G1095" s="135" t="n">
        <v>2</v>
      </c>
      <c r="H1095" s="5">
        <f>IF($I2="","",INDEX(Productos!$AG:$AG,$I2))</f>
        <v/>
      </c>
      <c r="I1095" s="136">
        <f>LET(_xlpm.r,Productos!$E$2:$E$2509,_xlpm.m,IFERROR(_xlfn.XMATCH(C1095,_xlpm.r),IFERROR(_xlfn.XMATCH(VALUE(C1095),_xlpm.r),0)),IF(_xlpm.m=0,"",_xlpm.m+1))</f>
        <v/>
      </c>
      <c r="J1095" s="137" t="inlineStr">
        <is>
          <t>NetSuite</t>
        </is>
      </c>
    </row>
    <row r="1096">
      <c r="A1096" s="5" t="inlineStr">
        <is>
          <t>STETSON AMERICAS</t>
        </is>
      </c>
      <c r="B1096" s="5">
        <f>IF($I2="","",INDEX(Productos!$A:$A,$I2))</f>
        <v/>
      </c>
      <c r="C1096" s="134" t="inlineStr">
        <is>
          <t>12-020-BS004-10-1014-027</t>
        </is>
      </c>
      <c r="D1096" s="5">
        <f>IF($I2="","",INDEX(Productos!$B:$B,$I2))</f>
        <v/>
      </c>
      <c r="E1096" s="5">
        <f>IF($I2="","",INDEX(Productos!$H:$H,$I2))</f>
        <v/>
      </c>
      <c r="F1096" s="5">
        <f>IF($I2="","",INDEX(Productos!$I:$I,$I2))</f>
        <v/>
      </c>
      <c r="G1096" s="135" t="n">
        <v>1</v>
      </c>
      <c r="H1096" s="5">
        <f>IF($I2="","",INDEX(Productos!$AG:$AG,$I2))</f>
        <v/>
      </c>
      <c r="I1096" s="136">
        <f>LET(_xlpm.r,Productos!$E$2:$E$2509,_xlpm.m,IFERROR(_xlfn.XMATCH(C1096,_xlpm.r),IFERROR(_xlfn.XMATCH(VALUE(C1096),_xlpm.r),0)),IF(_xlpm.m=0,"",_xlpm.m+1))</f>
        <v/>
      </c>
      <c r="J1096" s="137" t="inlineStr">
        <is>
          <t>NetSuite</t>
        </is>
      </c>
    </row>
    <row r="1097">
      <c r="A1097" s="5" t="inlineStr">
        <is>
          <t>STETSON AMERICAS</t>
        </is>
      </c>
      <c r="B1097" s="5">
        <f>IF($I2="","",INDEX(Productos!$A:$A,$I2))</f>
        <v/>
      </c>
      <c r="C1097" s="134" t="inlineStr">
        <is>
          <t>12-020-BS004-10-1014-028</t>
        </is>
      </c>
      <c r="D1097" s="5">
        <f>IF($I2="","",INDEX(Productos!$B:$B,$I2))</f>
        <v/>
      </c>
      <c r="E1097" s="5">
        <f>IF($I2="","",INDEX(Productos!$H:$H,$I2))</f>
        <v/>
      </c>
      <c r="F1097" s="5">
        <f>IF($I2="","",INDEX(Productos!$I:$I,$I2))</f>
        <v/>
      </c>
      <c r="G1097" s="135" t="n">
        <v>1</v>
      </c>
      <c r="H1097" s="5">
        <f>IF($I2="","",INDEX(Productos!$AG:$AG,$I2))</f>
        <v/>
      </c>
      <c r="I1097" s="136">
        <f>LET(_xlpm.r,Productos!$E$2:$E$2509,_xlpm.m,IFERROR(_xlfn.XMATCH(C1097,_xlpm.r),IFERROR(_xlfn.XMATCH(VALUE(C1097),_xlpm.r),0)),IF(_xlpm.m=0,"",_xlpm.m+1))</f>
        <v/>
      </c>
      <c r="J1097" s="137" t="inlineStr">
        <is>
          <t>NetSuite</t>
        </is>
      </c>
    </row>
    <row r="1098">
      <c r="A1098" s="5" t="inlineStr">
        <is>
          <t>STETSON AMERICAS</t>
        </is>
      </c>
      <c r="B1098" s="5">
        <f>IF($I2="","",INDEX(Productos!$A:$A,$I2))</f>
        <v/>
      </c>
      <c r="C1098" s="134" t="inlineStr">
        <is>
          <t>12-020-BS004-10-1014-029</t>
        </is>
      </c>
      <c r="D1098" s="5">
        <f>IF($I2="","",INDEX(Productos!$B:$B,$I2))</f>
        <v/>
      </c>
      <c r="E1098" s="5">
        <f>IF($I2="","",INDEX(Productos!$H:$H,$I2))</f>
        <v/>
      </c>
      <c r="F1098" s="5">
        <f>IF($I2="","",INDEX(Productos!$I:$I,$I2))</f>
        <v/>
      </c>
      <c r="G1098" s="135" t="n">
        <v>1</v>
      </c>
      <c r="H1098" s="5">
        <f>IF($I2="","",INDEX(Productos!$AG:$AG,$I2))</f>
        <v/>
      </c>
      <c r="I1098" s="136">
        <f>LET(_xlpm.r,Productos!$E$2:$E$2509,_xlpm.m,IFERROR(_xlfn.XMATCH(C1098,_xlpm.r),IFERROR(_xlfn.XMATCH(VALUE(C1098),_xlpm.r),0)),IF(_xlpm.m=0,"",_xlpm.m+1))</f>
        <v/>
      </c>
      <c r="J1098" s="137" t="inlineStr">
        <is>
          <t>NetSuite</t>
        </is>
      </c>
    </row>
    <row r="1099">
      <c r="A1099" s="5" t="inlineStr">
        <is>
          <t>STETSON AMERICAS</t>
        </is>
      </c>
      <c r="B1099" s="5">
        <f>IF($I2="","",INDEX(Productos!$A:$A,$I2))</f>
        <v/>
      </c>
      <c r="C1099" s="134" t="inlineStr">
        <is>
          <t>12-020-BS004-10-1014-275</t>
        </is>
      </c>
      <c r="D1099" s="5">
        <f>IF($I2="","",INDEX(Productos!$B:$B,$I2))</f>
        <v/>
      </c>
      <c r="E1099" s="5">
        <f>IF($I2="","",INDEX(Productos!$H:$H,$I2))</f>
        <v/>
      </c>
      <c r="F1099" s="5">
        <f>IF($I2="","",INDEX(Productos!$I:$I,$I2))</f>
        <v/>
      </c>
      <c r="G1099" s="135" t="n">
        <v>1</v>
      </c>
      <c r="H1099" s="5">
        <f>IF($I2="","",INDEX(Productos!$AG:$AG,$I2))</f>
        <v/>
      </c>
      <c r="I1099" s="136">
        <f>LET(_xlpm.r,Productos!$E$2:$E$2509,_xlpm.m,IFERROR(_xlfn.XMATCH(C1099,_xlpm.r),IFERROR(_xlfn.XMATCH(VALUE(C1099),_xlpm.r),0)),IF(_xlpm.m=0,"",_xlpm.m+1))</f>
        <v/>
      </c>
      <c r="J1099" s="137" t="inlineStr">
        <is>
          <t>NetSuite</t>
        </is>
      </c>
    </row>
    <row r="1100">
      <c r="A1100" s="5" t="inlineStr">
        <is>
          <t>STETSON AMERICAS</t>
        </is>
      </c>
      <c r="B1100" s="5">
        <f>IF($I2="","",INDEX(Productos!$A:$A,$I2))</f>
        <v/>
      </c>
      <c r="C1100" s="134" t="inlineStr">
        <is>
          <t>12-020-BS004-10-1014-285</t>
        </is>
      </c>
      <c r="D1100" s="5">
        <f>IF($I2="","",INDEX(Productos!$B:$B,$I2))</f>
        <v/>
      </c>
      <c r="E1100" s="5">
        <f>IF($I2="","",INDEX(Productos!$H:$H,$I2))</f>
        <v/>
      </c>
      <c r="F1100" s="5">
        <f>IF($I2="","",INDEX(Productos!$I:$I,$I2))</f>
        <v/>
      </c>
      <c r="G1100" s="135" t="n">
        <v>1</v>
      </c>
      <c r="H1100" s="5">
        <f>IF($I2="","",INDEX(Productos!$AG:$AG,$I2))</f>
        <v/>
      </c>
      <c r="I1100" s="136">
        <f>LET(_xlpm.r,Productos!$E$2:$E$2509,_xlpm.m,IFERROR(_xlfn.XMATCH(C1100,_xlpm.r),IFERROR(_xlfn.XMATCH(VALUE(C1100),_xlpm.r),0)),IF(_xlpm.m=0,"",_xlpm.m+1))</f>
        <v/>
      </c>
      <c r="J1100" s="137" t="inlineStr">
        <is>
          <t>NetSuite</t>
        </is>
      </c>
    </row>
    <row r="1101">
      <c r="A1101" s="5" t="inlineStr">
        <is>
          <t>STETSON AMERICAS</t>
        </is>
      </c>
      <c r="B1101" s="5">
        <f>IF($I2="","",INDEX(Productos!$A:$A,$I2))</f>
        <v/>
      </c>
      <c r="C1101" s="134" t="inlineStr">
        <is>
          <t>12-020-BS004-10-1015-027</t>
        </is>
      </c>
      <c r="D1101" s="5">
        <f>IF($I2="","",INDEX(Productos!$B:$B,$I2))</f>
        <v/>
      </c>
      <c r="E1101" s="5">
        <f>IF($I2="","",INDEX(Productos!$H:$H,$I2))</f>
        <v/>
      </c>
      <c r="F1101" s="5">
        <f>IF($I2="","",INDEX(Productos!$I:$I,$I2))</f>
        <v/>
      </c>
      <c r="G1101" s="135" t="n">
        <v>1</v>
      </c>
      <c r="H1101" s="5">
        <f>IF($I2="","",INDEX(Productos!$AG:$AG,$I2))</f>
        <v/>
      </c>
      <c r="I1101" s="136">
        <f>LET(_xlpm.r,Productos!$E$2:$E$2509,_xlpm.m,IFERROR(_xlfn.XMATCH(C1101,_xlpm.r),IFERROR(_xlfn.XMATCH(VALUE(C1101),_xlpm.r),0)),IF(_xlpm.m=0,"",_xlpm.m+1))</f>
        <v/>
      </c>
      <c r="J1101" s="137" t="inlineStr">
        <is>
          <t>NetSuite</t>
        </is>
      </c>
    </row>
    <row r="1102">
      <c r="A1102" s="5" t="inlineStr">
        <is>
          <t>STETSON AMERICAS</t>
        </is>
      </c>
      <c r="B1102" s="5">
        <f>IF($I2="","",INDEX(Productos!$A:$A,$I2))</f>
        <v/>
      </c>
      <c r="C1102" s="134" t="inlineStr">
        <is>
          <t>12-020-BS004-10-1015-029</t>
        </is>
      </c>
      <c r="D1102" s="5">
        <f>IF($I2="","",INDEX(Productos!$B:$B,$I2))</f>
        <v/>
      </c>
      <c r="E1102" s="5">
        <f>IF($I2="","",INDEX(Productos!$H:$H,$I2))</f>
        <v/>
      </c>
      <c r="F1102" s="5">
        <f>IF($I2="","",INDEX(Productos!$I:$I,$I2))</f>
        <v/>
      </c>
      <c r="G1102" s="135" t="n">
        <v>1</v>
      </c>
      <c r="H1102" s="5">
        <f>IF($I2="","",INDEX(Productos!$AG:$AG,$I2))</f>
        <v/>
      </c>
      <c r="I1102" s="136">
        <f>LET(_xlpm.r,Productos!$E$2:$E$2509,_xlpm.m,IFERROR(_xlfn.XMATCH(C1102,_xlpm.r),IFERROR(_xlfn.XMATCH(VALUE(C1102),_xlpm.r),0)),IF(_xlpm.m=0,"",_xlpm.m+1))</f>
        <v/>
      </c>
      <c r="J1102" s="137" t="inlineStr">
        <is>
          <t>NetSuite</t>
        </is>
      </c>
    </row>
    <row r="1103">
      <c r="A1103" s="5" t="inlineStr">
        <is>
          <t>STETSON AMERICAS</t>
        </is>
      </c>
      <c r="B1103" s="5">
        <f>IF($I2="","",INDEX(Productos!$A:$A,$I2))</f>
        <v/>
      </c>
      <c r="C1103" s="134" t="inlineStr">
        <is>
          <t>12-020-BS004-10-1015-275</t>
        </is>
      </c>
      <c r="D1103" s="5">
        <f>IF($I2="","",INDEX(Productos!$B:$B,$I2))</f>
        <v/>
      </c>
      <c r="E1103" s="5">
        <f>IF($I2="","",INDEX(Productos!$H:$H,$I2))</f>
        <v/>
      </c>
      <c r="F1103" s="5">
        <f>IF($I2="","",INDEX(Productos!$I:$I,$I2))</f>
        <v/>
      </c>
      <c r="G1103" s="135" t="n">
        <v>1</v>
      </c>
      <c r="H1103" s="5">
        <f>IF($I2="","",INDEX(Productos!$AG:$AG,$I2))</f>
        <v/>
      </c>
      <c r="I1103" s="136">
        <f>LET(_xlpm.r,Productos!$E$2:$E$2509,_xlpm.m,IFERROR(_xlfn.XMATCH(C1103,_xlpm.r),IFERROR(_xlfn.XMATCH(VALUE(C1103),_xlpm.r),0)),IF(_xlpm.m=0,"",_xlpm.m+1))</f>
        <v/>
      </c>
      <c r="J1103" s="137" t="inlineStr">
        <is>
          <t>NetSuite</t>
        </is>
      </c>
    </row>
    <row r="1104">
      <c r="A1104" s="5" t="inlineStr">
        <is>
          <t>STETSON AMERICAS</t>
        </is>
      </c>
      <c r="B1104" s="5">
        <f>IF($I2="","",INDEX(Productos!$A:$A,$I2))</f>
        <v/>
      </c>
      <c r="C1104" s="134" t="inlineStr">
        <is>
          <t>12-020-BS004-10-1015-285</t>
        </is>
      </c>
      <c r="D1104" s="5">
        <f>IF($I2="","",INDEX(Productos!$B:$B,$I2))</f>
        <v/>
      </c>
      <c r="E1104" s="5">
        <f>IF($I2="","",INDEX(Productos!$H:$H,$I2))</f>
        <v/>
      </c>
      <c r="F1104" s="5">
        <f>IF($I2="","",INDEX(Productos!$I:$I,$I2))</f>
        <v/>
      </c>
      <c r="G1104" s="135" t="n">
        <v>2</v>
      </c>
      <c r="H1104" s="5">
        <f>IF($I2="","",INDEX(Productos!$AG:$AG,$I2))</f>
        <v/>
      </c>
      <c r="I1104" s="136">
        <f>LET(_xlpm.r,Productos!$E$2:$E$2509,_xlpm.m,IFERROR(_xlfn.XMATCH(C1104,_xlpm.r),IFERROR(_xlfn.XMATCH(VALUE(C1104),_xlpm.r),0)),IF(_xlpm.m=0,"",_xlpm.m+1))</f>
        <v/>
      </c>
      <c r="J1104" s="137" t="inlineStr">
        <is>
          <t>NetSuite</t>
        </is>
      </c>
    </row>
    <row r="1105">
      <c r="A1105" s="5" t="inlineStr">
        <is>
          <t>STETSON AMERICAS</t>
        </is>
      </c>
      <c r="B1105" s="5">
        <f>IF($I2="","",INDEX(Productos!$A:$A,$I2))</f>
        <v/>
      </c>
      <c r="C1105" s="134" t="inlineStr">
        <is>
          <t>12-020-BS004-10-1016-027</t>
        </is>
      </c>
      <c r="D1105" s="5">
        <f>IF($I2="","",INDEX(Productos!$B:$B,$I2))</f>
        <v/>
      </c>
      <c r="E1105" s="5">
        <f>IF($I2="","",INDEX(Productos!$H:$H,$I2))</f>
        <v/>
      </c>
      <c r="F1105" s="5">
        <f>IF($I2="","",INDEX(Productos!$I:$I,$I2))</f>
        <v/>
      </c>
      <c r="G1105" s="135" t="n">
        <v>1</v>
      </c>
      <c r="H1105" s="5">
        <f>IF($I2="","",INDEX(Productos!$AG:$AG,$I2))</f>
        <v/>
      </c>
      <c r="I1105" s="136">
        <f>LET(_xlpm.r,Productos!$E$2:$E$2509,_xlpm.m,IFERROR(_xlfn.XMATCH(C1105,_xlpm.r),IFERROR(_xlfn.XMATCH(VALUE(C1105),_xlpm.r),0)),IF(_xlpm.m=0,"",_xlpm.m+1))</f>
        <v/>
      </c>
      <c r="J1105" s="137" t="inlineStr">
        <is>
          <t>NetSuite</t>
        </is>
      </c>
    </row>
    <row r="1106">
      <c r="A1106" s="5" t="inlineStr">
        <is>
          <t>STETSON AMERICAS</t>
        </is>
      </c>
      <c r="B1106" s="5">
        <f>IF($I2="","",INDEX(Productos!$A:$A,$I2))</f>
        <v/>
      </c>
      <c r="C1106" s="134" t="inlineStr">
        <is>
          <t>12-020-BS004-10-1016-028</t>
        </is>
      </c>
      <c r="D1106" s="5">
        <f>IF($I2="","",INDEX(Productos!$B:$B,$I2))</f>
        <v/>
      </c>
      <c r="E1106" s="5">
        <f>IF($I2="","",INDEX(Productos!$H:$H,$I2))</f>
        <v/>
      </c>
      <c r="F1106" s="5">
        <f>IF($I2="","",INDEX(Productos!$I:$I,$I2))</f>
        <v/>
      </c>
      <c r="G1106" s="135" t="n">
        <v>2</v>
      </c>
      <c r="H1106" s="5">
        <f>IF($I2="","",INDEX(Productos!$AG:$AG,$I2))</f>
        <v/>
      </c>
      <c r="I1106" s="136">
        <f>LET(_xlpm.r,Productos!$E$2:$E$2509,_xlpm.m,IFERROR(_xlfn.XMATCH(C1106,_xlpm.r),IFERROR(_xlfn.XMATCH(VALUE(C1106),_xlpm.r),0)),IF(_xlpm.m=0,"",_xlpm.m+1))</f>
        <v/>
      </c>
      <c r="J1106" s="137" t="inlineStr">
        <is>
          <t>NetSuite</t>
        </is>
      </c>
    </row>
    <row r="1107">
      <c r="A1107" s="5" t="inlineStr">
        <is>
          <t>STETSON AMERICAS</t>
        </is>
      </c>
      <c r="B1107" s="5">
        <f>IF($I2="","",INDEX(Productos!$A:$A,$I2))</f>
        <v/>
      </c>
      <c r="C1107" s="134" t="inlineStr">
        <is>
          <t>12-020-BS004-10-1016-029</t>
        </is>
      </c>
      <c r="D1107" s="5">
        <f>IF($I2="","",INDEX(Productos!$B:$B,$I2))</f>
        <v/>
      </c>
      <c r="E1107" s="5">
        <f>IF($I2="","",INDEX(Productos!$H:$H,$I2))</f>
        <v/>
      </c>
      <c r="F1107" s="5">
        <f>IF($I2="","",INDEX(Productos!$I:$I,$I2))</f>
        <v/>
      </c>
      <c r="G1107" s="135" t="n">
        <v>2</v>
      </c>
      <c r="H1107" s="5">
        <f>IF($I2="","",INDEX(Productos!$AG:$AG,$I2))</f>
        <v/>
      </c>
      <c r="I1107" s="136">
        <f>LET(_xlpm.r,Productos!$E$2:$E$2509,_xlpm.m,IFERROR(_xlfn.XMATCH(C1107,_xlpm.r),IFERROR(_xlfn.XMATCH(VALUE(C1107),_xlpm.r),0)),IF(_xlpm.m=0,"",_xlpm.m+1))</f>
        <v/>
      </c>
      <c r="J1107" s="137" t="inlineStr">
        <is>
          <t>NetSuite</t>
        </is>
      </c>
    </row>
    <row r="1108">
      <c r="A1108" s="5" t="inlineStr">
        <is>
          <t>STETSON AMERICAS</t>
        </is>
      </c>
      <c r="B1108" s="5">
        <f>IF($I2="","",INDEX(Productos!$A:$A,$I2))</f>
        <v/>
      </c>
      <c r="C1108" s="134" t="inlineStr">
        <is>
          <t>12-020-BS004-10-1016-265</t>
        </is>
      </c>
      <c r="D1108" s="5">
        <f>IF($I2="","",INDEX(Productos!$B:$B,$I2))</f>
        <v/>
      </c>
      <c r="E1108" s="5">
        <f>IF($I2="","",INDEX(Productos!$H:$H,$I2))</f>
        <v/>
      </c>
      <c r="F1108" s="5">
        <f>IF($I2="","",INDEX(Productos!$I:$I,$I2))</f>
        <v/>
      </c>
      <c r="G1108" s="135" t="n">
        <v>1</v>
      </c>
      <c r="H1108" s="5">
        <f>IF($I2="","",INDEX(Productos!$AG:$AG,$I2))</f>
        <v/>
      </c>
      <c r="I1108" s="136">
        <f>LET(_xlpm.r,Productos!$E$2:$E$2509,_xlpm.m,IFERROR(_xlfn.XMATCH(C1108,_xlpm.r),IFERROR(_xlfn.XMATCH(VALUE(C1108),_xlpm.r),0)),IF(_xlpm.m=0,"",_xlpm.m+1))</f>
        <v/>
      </c>
      <c r="J1108" s="137" t="inlineStr">
        <is>
          <t>NetSuite</t>
        </is>
      </c>
    </row>
    <row r="1109">
      <c r="A1109" s="5" t="inlineStr">
        <is>
          <t>STETSON AMERICAS</t>
        </is>
      </c>
      <c r="B1109" s="5">
        <f>IF($I2="","",INDEX(Productos!$A:$A,$I2))</f>
        <v/>
      </c>
      <c r="C1109" s="134" t="inlineStr">
        <is>
          <t>12-020-BS004-10-1016-275</t>
        </is>
      </c>
      <c r="D1109" s="5">
        <f>IF($I2="","",INDEX(Productos!$B:$B,$I2))</f>
        <v/>
      </c>
      <c r="E1109" s="5">
        <f>IF($I2="","",INDEX(Productos!$H:$H,$I2))</f>
        <v/>
      </c>
      <c r="F1109" s="5">
        <f>IF($I2="","",INDEX(Productos!$I:$I,$I2))</f>
        <v/>
      </c>
      <c r="G1109" s="135" t="n">
        <v>2</v>
      </c>
      <c r="H1109" s="5">
        <f>IF($I2="","",INDEX(Productos!$AG:$AG,$I2))</f>
        <v/>
      </c>
      <c r="I1109" s="136">
        <f>LET(_xlpm.r,Productos!$E$2:$E$2509,_xlpm.m,IFERROR(_xlfn.XMATCH(C1109,_xlpm.r),IFERROR(_xlfn.XMATCH(VALUE(C1109),_xlpm.r),0)),IF(_xlpm.m=0,"",_xlpm.m+1))</f>
        <v/>
      </c>
      <c r="J1109" s="137" t="inlineStr">
        <is>
          <t>NetSuite</t>
        </is>
      </c>
    </row>
    <row r="1110">
      <c r="A1110" s="5" t="inlineStr">
        <is>
          <t>STETSON AMERICAS</t>
        </is>
      </c>
      <c r="B1110" s="5">
        <f>IF($I2="","",INDEX(Productos!$A:$A,$I2))</f>
        <v/>
      </c>
      <c r="C1110" s="134" t="inlineStr">
        <is>
          <t>12-020-BS004-10-1016-285</t>
        </is>
      </c>
      <c r="D1110" s="5">
        <f>IF($I2="","",INDEX(Productos!$B:$B,$I2))</f>
        <v/>
      </c>
      <c r="E1110" s="5">
        <f>IF($I2="","",INDEX(Productos!$H:$H,$I2))</f>
        <v/>
      </c>
      <c r="F1110" s="5">
        <f>IF($I2="","",INDEX(Productos!$I:$I,$I2))</f>
        <v/>
      </c>
      <c r="G1110" s="135" t="n">
        <v>1</v>
      </c>
      <c r="H1110" s="5">
        <f>IF($I2="","",INDEX(Productos!$AG:$AG,$I2))</f>
        <v/>
      </c>
      <c r="I1110" s="136">
        <f>LET(_xlpm.r,Productos!$E$2:$E$2509,_xlpm.m,IFERROR(_xlfn.XMATCH(C1110,_xlpm.r),IFERROR(_xlfn.XMATCH(VALUE(C1110),_xlpm.r),0)),IF(_xlpm.m=0,"",_xlpm.m+1))</f>
        <v/>
      </c>
      <c r="J1110" s="137" t="inlineStr">
        <is>
          <t>NetSuite</t>
        </is>
      </c>
    </row>
    <row r="1111">
      <c r="A1111" s="5" t="inlineStr">
        <is>
          <t>STETSON AMERICAS</t>
        </is>
      </c>
      <c r="B1111" s="5">
        <f>IF($I2="","",INDEX(Productos!$A:$A,$I2))</f>
        <v/>
      </c>
      <c r="C1111" s="134" t="inlineStr">
        <is>
          <t>12-020-BS004-10-1016-295</t>
        </is>
      </c>
      <c r="D1111" s="5">
        <f>IF($I2="","",INDEX(Productos!$B:$B,$I2))</f>
        <v/>
      </c>
      <c r="E1111" s="5">
        <f>IF($I2="","",INDEX(Productos!$H:$H,$I2))</f>
        <v/>
      </c>
      <c r="F1111" s="5">
        <f>IF($I2="","",INDEX(Productos!$I:$I,$I2))</f>
        <v/>
      </c>
      <c r="G1111" s="135" t="n">
        <v>1</v>
      </c>
      <c r="H1111" s="5">
        <f>IF($I2="","",INDEX(Productos!$AG:$AG,$I2))</f>
        <v/>
      </c>
      <c r="I1111" s="136">
        <f>LET(_xlpm.r,Productos!$E$2:$E$2509,_xlpm.m,IFERROR(_xlfn.XMATCH(C1111,_xlpm.r),IFERROR(_xlfn.XMATCH(VALUE(C1111),_xlpm.r),0)),IF(_xlpm.m=0,"",_xlpm.m+1))</f>
        <v/>
      </c>
      <c r="J1111" s="137" t="inlineStr">
        <is>
          <t>NetSuite</t>
        </is>
      </c>
    </row>
    <row r="1112">
      <c r="A1112" s="5" t="inlineStr">
        <is>
          <t>STETSON AMERICAS</t>
        </is>
      </c>
      <c r="B1112" s="5">
        <f>IF($I2="","",INDEX(Productos!$A:$A,$I2))</f>
        <v/>
      </c>
      <c r="C1112" s="134" t="inlineStr">
        <is>
          <t>12-020-BS004-10-1021-027</t>
        </is>
      </c>
      <c r="D1112" s="5">
        <f>IF($I2="","",INDEX(Productos!$B:$B,$I2))</f>
        <v/>
      </c>
      <c r="E1112" s="5">
        <f>IF($I2="","",INDEX(Productos!$H:$H,$I2))</f>
        <v/>
      </c>
      <c r="F1112" s="5">
        <f>IF($I2="","",INDEX(Productos!$I:$I,$I2))</f>
        <v/>
      </c>
      <c r="G1112" s="135" t="n">
        <v>1</v>
      </c>
      <c r="H1112" s="5">
        <f>IF($I2="","",INDEX(Productos!$AG:$AG,$I2))</f>
        <v/>
      </c>
      <c r="I1112" s="136">
        <f>LET(_xlpm.r,Productos!$E$2:$E$2509,_xlpm.m,IFERROR(_xlfn.XMATCH(C1112,_xlpm.r),IFERROR(_xlfn.XMATCH(VALUE(C1112),_xlpm.r),0)),IF(_xlpm.m=0,"",_xlpm.m+1))</f>
        <v/>
      </c>
      <c r="J1112" s="137" t="inlineStr">
        <is>
          <t>NetSuite</t>
        </is>
      </c>
    </row>
    <row r="1113">
      <c r="A1113" s="5" t="inlineStr">
        <is>
          <t>STETSON AMERICAS</t>
        </is>
      </c>
      <c r="B1113" s="5">
        <f>IF($I2="","",INDEX(Productos!$A:$A,$I2))</f>
        <v/>
      </c>
      <c r="C1113" s="134" t="inlineStr">
        <is>
          <t>12-020-BS004-10-1021-275</t>
        </is>
      </c>
      <c r="D1113" s="5">
        <f>IF($I2="","",INDEX(Productos!$B:$B,$I2))</f>
        <v/>
      </c>
      <c r="E1113" s="5">
        <f>IF($I2="","",INDEX(Productos!$H:$H,$I2))</f>
        <v/>
      </c>
      <c r="F1113" s="5">
        <f>IF($I2="","",INDEX(Productos!$I:$I,$I2))</f>
        <v/>
      </c>
      <c r="G1113" s="135" t="n">
        <v>1</v>
      </c>
      <c r="H1113" s="5">
        <f>IF($I2="","",INDEX(Productos!$AG:$AG,$I2))</f>
        <v/>
      </c>
      <c r="I1113" s="136">
        <f>LET(_xlpm.r,Productos!$E$2:$E$2509,_xlpm.m,IFERROR(_xlfn.XMATCH(C1113,_xlpm.r),IFERROR(_xlfn.XMATCH(VALUE(C1113),_xlpm.r),0)),IF(_xlpm.m=0,"",_xlpm.m+1))</f>
        <v/>
      </c>
      <c r="J1113" s="137" t="inlineStr">
        <is>
          <t>NetSuite</t>
        </is>
      </c>
    </row>
    <row r="1114">
      <c r="A1114" s="5" t="inlineStr">
        <is>
          <t>STETSON AMERICAS</t>
        </is>
      </c>
      <c r="B1114" s="5">
        <f>IF($I2="","",INDEX(Productos!$A:$A,$I2))</f>
        <v/>
      </c>
      <c r="C1114" s="134" t="inlineStr">
        <is>
          <t>12-020-BS004-10-1021-295</t>
        </is>
      </c>
      <c r="D1114" s="5">
        <f>IF($I2="","",INDEX(Productos!$B:$B,$I2))</f>
        <v/>
      </c>
      <c r="E1114" s="5">
        <f>IF($I2="","",INDEX(Productos!$H:$H,$I2))</f>
        <v/>
      </c>
      <c r="F1114" s="5">
        <f>IF($I2="","",INDEX(Productos!$I:$I,$I2))</f>
        <v/>
      </c>
      <c r="G1114" s="135" t="n">
        <v>1</v>
      </c>
      <c r="H1114" s="5">
        <f>IF($I2="","",INDEX(Productos!$AG:$AG,$I2))</f>
        <v/>
      </c>
      <c r="I1114" s="136">
        <f>LET(_xlpm.r,Productos!$E$2:$E$2509,_xlpm.m,IFERROR(_xlfn.XMATCH(C1114,_xlpm.r),IFERROR(_xlfn.XMATCH(VALUE(C1114),_xlpm.r),0)),IF(_xlpm.m=0,"",_xlpm.m+1))</f>
        <v/>
      </c>
      <c r="J1114" s="137" t="inlineStr">
        <is>
          <t>NetSuite</t>
        </is>
      </c>
    </row>
    <row r="1115">
      <c r="A1115" s="5" t="inlineStr">
        <is>
          <t>STETSON AMERICAS</t>
        </is>
      </c>
      <c r="B1115" s="5">
        <f>IF($I2="","",INDEX(Productos!$A:$A,$I2))</f>
        <v/>
      </c>
      <c r="C1115" s="134" t="inlineStr">
        <is>
          <t>12-020-BS004-10-1022-027</t>
        </is>
      </c>
      <c r="D1115" s="5">
        <f>IF($I2="","",INDEX(Productos!$B:$B,$I2))</f>
        <v/>
      </c>
      <c r="E1115" s="5">
        <f>IF($I2="","",INDEX(Productos!$H:$H,$I2))</f>
        <v/>
      </c>
      <c r="F1115" s="5">
        <f>IF($I2="","",INDEX(Productos!$I:$I,$I2))</f>
        <v/>
      </c>
      <c r="G1115" s="135" t="n">
        <v>-1</v>
      </c>
      <c r="H1115" s="5">
        <f>IF($I2="","",INDEX(Productos!$AG:$AG,$I2))</f>
        <v/>
      </c>
      <c r="I1115" s="136">
        <f>LET(_xlpm.r,Productos!$E$2:$E$2509,_xlpm.m,IFERROR(_xlfn.XMATCH(C1115,_xlpm.r),IFERROR(_xlfn.XMATCH(VALUE(C1115),_xlpm.r),0)),IF(_xlpm.m=0,"",_xlpm.m+1))</f>
        <v/>
      </c>
      <c r="J1115" s="137" t="inlineStr">
        <is>
          <t>NetSuite</t>
        </is>
      </c>
    </row>
    <row r="1116">
      <c r="A1116" s="5" t="inlineStr">
        <is>
          <t>STETSON AMERICAS</t>
        </is>
      </c>
      <c r="B1116" s="5">
        <f>IF($I2="","",INDEX(Productos!$A:$A,$I2))</f>
        <v/>
      </c>
      <c r="C1116" s="134" t="inlineStr">
        <is>
          <t>12-020-BS004-10-1022-028</t>
        </is>
      </c>
      <c r="D1116" s="5">
        <f>IF($I2="","",INDEX(Productos!$B:$B,$I2))</f>
        <v/>
      </c>
      <c r="E1116" s="5">
        <f>IF($I2="","",INDEX(Productos!$H:$H,$I2))</f>
        <v/>
      </c>
      <c r="F1116" s="5">
        <f>IF($I2="","",INDEX(Productos!$I:$I,$I2))</f>
        <v/>
      </c>
      <c r="G1116" s="135" t="n">
        <v>-1</v>
      </c>
      <c r="H1116" s="5">
        <f>IF($I2="","",INDEX(Productos!$AG:$AG,$I2))</f>
        <v/>
      </c>
      <c r="I1116" s="136">
        <f>LET(_xlpm.r,Productos!$E$2:$E$2509,_xlpm.m,IFERROR(_xlfn.XMATCH(C1116,_xlpm.r),IFERROR(_xlfn.XMATCH(VALUE(C1116),_xlpm.r),0)),IF(_xlpm.m=0,"",_xlpm.m+1))</f>
        <v/>
      </c>
      <c r="J1116" s="137" t="inlineStr">
        <is>
          <t>NetSuite</t>
        </is>
      </c>
    </row>
    <row r="1117">
      <c r="A1117" s="5" t="inlineStr">
        <is>
          <t>STETSON AMERICAS</t>
        </is>
      </c>
      <c r="B1117" s="5">
        <f>IF($I2="","",INDEX(Productos!$A:$A,$I2))</f>
        <v/>
      </c>
      <c r="C1117" s="134" t="inlineStr">
        <is>
          <t>12-020-BS004-10-1022-029</t>
        </is>
      </c>
      <c r="D1117" s="5">
        <f>IF($I2="","",INDEX(Productos!$B:$B,$I2))</f>
        <v/>
      </c>
      <c r="E1117" s="5">
        <f>IF($I2="","",INDEX(Productos!$H:$H,$I2))</f>
        <v/>
      </c>
      <c r="F1117" s="5">
        <f>IF($I2="","",INDEX(Productos!$I:$I,$I2))</f>
        <v/>
      </c>
      <c r="G1117" s="135" t="n">
        <v>-1</v>
      </c>
      <c r="H1117" s="5">
        <f>IF($I2="","",INDEX(Productos!$AG:$AG,$I2))</f>
        <v/>
      </c>
      <c r="I1117" s="136">
        <f>LET(_xlpm.r,Productos!$E$2:$E$2509,_xlpm.m,IFERROR(_xlfn.XMATCH(C1117,_xlpm.r),IFERROR(_xlfn.XMATCH(VALUE(C1117),_xlpm.r),0)),IF(_xlpm.m=0,"",_xlpm.m+1))</f>
        <v/>
      </c>
      <c r="J1117" s="137" t="inlineStr">
        <is>
          <t>NetSuite</t>
        </is>
      </c>
    </row>
    <row r="1118">
      <c r="A1118" s="5" t="inlineStr">
        <is>
          <t>STETSON AMERICAS</t>
        </is>
      </c>
      <c r="B1118" s="5">
        <f>IF($I2="","",INDEX(Productos!$A:$A,$I2))</f>
        <v/>
      </c>
      <c r="C1118" s="134" t="inlineStr">
        <is>
          <t>12-020-BS004-10-1022-275</t>
        </is>
      </c>
      <c r="D1118" s="5">
        <f>IF($I2="","",INDEX(Productos!$B:$B,$I2))</f>
        <v/>
      </c>
      <c r="E1118" s="5">
        <f>IF($I2="","",INDEX(Productos!$H:$H,$I2))</f>
        <v/>
      </c>
      <c r="F1118" s="5">
        <f>IF($I2="","",INDEX(Productos!$I:$I,$I2))</f>
        <v/>
      </c>
      <c r="G1118" s="135" t="n">
        <v>-1</v>
      </c>
      <c r="H1118" s="5">
        <f>IF($I2="","",INDEX(Productos!$AG:$AG,$I2))</f>
        <v/>
      </c>
      <c r="I1118" s="136">
        <f>LET(_xlpm.r,Productos!$E$2:$E$2509,_xlpm.m,IFERROR(_xlfn.XMATCH(C1118,_xlpm.r),IFERROR(_xlfn.XMATCH(VALUE(C1118),_xlpm.r),0)),IF(_xlpm.m=0,"",_xlpm.m+1))</f>
        <v/>
      </c>
      <c r="J1118" s="137" t="inlineStr">
        <is>
          <t>NetSuite</t>
        </is>
      </c>
    </row>
    <row r="1119">
      <c r="A1119" s="5" t="inlineStr">
        <is>
          <t>STETSON AMERICAS</t>
        </is>
      </c>
      <c r="B1119" s="5">
        <f>IF($I2="","",INDEX(Productos!$A:$A,$I2))</f>
        <v/>
      </c>
      <c r="C1119" s="134" t="inlineStr">
        <is>
          <t>12-020-BS004-10-1022-285</t>
        </is>
      </c>
      <c r="D1119" s="5">
        <f>IF($I2="","",INDEX(Productos!$B:$B,$I2))</f>
        <v/>
      </c>
      <c r="E1119" s="5">
        <f>IF($I2="","",INDEX(Productos!$H:$H,$I2))</f>
        <v/>
      </c>
      <c r="F1119" s="5">
        <f>IF($I2="","",INDEX(Productos!$I:$I,$I2))</f>
        <v/>
      </c>
      <c r="G1119" s="135" t="n">
        <v>-1</v>
      </c>
      <c r="H1119" s="5">
        <f>IF($I2="","",INDEX(Productos!$AG:$AG,$I2))</f>
        <v/>
      </c>
      <c r="I1119" s="136">
        <f>LET(_xlpm.r,Productos!$E$2:$E$2509,_xlpm.m,IFERROR(_xlfn.XMATCH(C1119,_xlpm.r),IFERROR(_xlfn.XMATCH(VALUE(C1119),_xlpm.r),0)),IF(_xlpm.m=0,"",_xlpm.m+1))</f>
        <v/>
      </c>
      <c r="J1119" s="137" t="inlineStr">
        <is>
          <t>NetSuite</t>
        </is>
      </c>
    </row>
    <row r="1120">
      <c r="A1120" s="5" t="inlineStr">
        <is>
          <t>STETSON AMERICAS</t>
        </is>
      </c>
      <c r="B1120" s="5">
        <f>IF($I2="","",INDEX(Productos!$A:$A,$I2))</f>
        <v/>
      </c>
      <c r="C1120" s="134" t="inlineStr">
        <is>
          <t>12-020-BS004-10-1025-028</t>
        </is>
      </c>
      <c r="D1120" s="5">
        <f>IF($I2="","",INDEX(Productos!$B:$B,$I2))</f>
        <v/>
      </c>
      <c r="E1120" s="5">
        <f>IF($I2="","",INDEX(Productos!$H:$H,$I2))</f>
        <v/>
      </c>
      <c r="F1120" s="5">
        <f>IF($I2="","",INDEX(Productos!$I:$I,$I2))</f>
        <v/>
      </c>
      <c r="G1120" s="135" t="n">
        <v>-1</v>
      </c>
      <c r="H1120" s="5">
        <f>IF($I2="","",INDEX(Productos!$AG:$AG,$I2))</f>
        <v/>
      </c>
      <c r="I1120" s="136">
        <f>LET(_xlpm.r,Productos!$E$2:$E$2509,_xlpm.m,IFERROR(_xlfn.XMATCH(C1120,_xlpm.r),IFERROR(_xlfn.XMATCH(VALUE(C1120),_xlpm.r),0)),IF(_xlpm.m=0,"",_xlpm.m+1))</f>
        <v/>
      </c>
      <c r="J1120" s="137" t="inlineStr">
        <is>
          <t>NetSuite</t>
        </is>
      </c>
    </row>
    <row r="1121">
      <c r="A1121" s="5" t="inlineStr">
        <is>
          <t>STETSON AMERICAS</t>
        </is>
      </c>
      <c r="B1121" s="5">
        <f>IF($I2="","",INDEX(Productos!$A:$A,$I2))</f>
        <v/>
      </c>
      <c r="C1121" s="134" t="inlineStr">
        <is>
          <t>12-020-BS004-10-1026-275</t>
        </is>
      </c>
      <c r="D1121" s="5">
        <f>IF($I2="","",INDEX(Productos!$B:$B,$I2))</f>
        <v/>
      </c>
      <c r="E1121" s="5">
        <f>IF($I2="","",INDEX(Productos!$H:$H,$I2))</f>
        <v/>
      </c>
      <c r="F1121" s="5">
        <f>IF($I2="","",INDEX(Productos!$I:$I,$I2))</f>
        <v/>
      </c>
      <c r="G1121" s="135" t="n">
        <v>1</v>
      </c>
      <c r="H1121" s="5">
        <f>IF($I2="","",INDEX(Productos!$AG:$AG,$I2))</f>
        <v/>
      </c>
      <c r="I1121" s="136">
        <f>LET(_xlpm.r,Productos!$E$2:$E$2509,_xlpm.m,IFERROR(_xlfn.XMATCH(C1121,_xlpm.r),IFERROR(_xlfn.XMATCH(VALUE(C1121),_xlpm.r),0)),IF(_xlpm.m=0,"",_xlpm.m+1))</f>
        <v/>
      </c>
      <c r="J1121" s="137" t="inlineStr">
        <is>
          <t>NetSuite</t>
        </is>
      </c>
    </row>
    <row r="1122">
      <c r="A1122" s="5" t="inlineStr">
        <is>
          <t>STETSON AMERICAS</t>
        </is>
      </c>
      <c r="B1122" s="5">
        <f>IF($I2="","",INDEX(Productos!$A:$A,$I2))</f>
        <v/>
      </c>
      <c r="C1122" s="134" t="inlineStr">
        <is>
          <t>12-020-BS004-10-1027-027</t>
        </is>
      </c>
      <c r="D1122" s="5">
        <f>IF($I2="","",INDEX(Productos!$B:$B,$I2))</f>
        <v/>
      </c>
      <c r="E1122" s="5">
        <f>IF($I2="","",INDEX(Productos!$H:$H,$I2))</f>
        <v/>
      </c>
      <c r="F1122" s="5">
        <f>IF($I2="","",INDEX(Productos!$I:$I,$I2))</f>
        <v/>
      </c>
      <c r="G1122" s="135" t="n">
        <v>1</v>
      </c>
      <c r="H1122" s="5">
        <f>IF($I2="","",INDEX(Productos!$AG:$AG,$I2))</f>
        <v/>
      </c>
      <c r="I1122" s="136">
        <f>LET(_xlpm.r,Productos!$E$2:$E$2509,_xlpm.m,IFERROR(_xlfn.XMATCH(C1122,_xlpm.r),IFERROR(_xlfn.XMATCH(VALUE(C1122),_xlpm.r),0)),IF(_xlpm.m=0,"",_xlpm.m+1))</f>
        <v/>
      </c>
      <c r="J1122" s="137" t="inlineStr">
        <is>
          <t>NetSuite</t>
        </is>
      </c>
    </row>
    <row r="1123">
      <c r="A1123" s="5" t="inlineStr">
        <is>
          <t>STETSON AMERICAS</t>
        </is>
      </c>
      <c r="B1123" s="5">
        <f>IF($I2="","",INDEX(Productos!$A:$A,$I2))</f>
        <v/>
      </c>
      <c r="C1123" s="134" t="inlineStr">
        <is>
          <t>12-020-BS004-10-1027-029</t>
        </is>
      </c>
      <c r="D1123" s="5">
        <f>IF($I2="","",INDEX(Productos!$B:$B,$I2))</f>
        <v/>
      </c>
      <c r="E1123" s="5">
        <f>IF($I2="","",INDEX(Productos!$H:$H,$I2))</f>
        <v/>
      </c>
      <c r="F1123" s="5">
        <f>IF($I2="","",INDEX(Productos!$I:$I,$I2))</f>
        <v/>
      </c>
      <c r="G1123" s="135" t="n">
        <v>1</v>
      </c>
      <c r="H1123" s="5">
        <f>IF($I2="","",INDEX(Productos!$AG:$AG,$I2))</f>
        <v/>
      </c>
      <c r="I1123" s="136">
        <f>LET(_xlpm.r,Productos!$E$2:$E$2509,_xlpm.m,IFERROR(_xlfn.XMATCH(C1123,_xlpm.r),IFERROR(_xlfn.XMATCH(VALUE(C1123),_xlpm.r),0)),IF(_xlpm.m=0,"",_xlpm.m+1))</f>
        <v/>
      </c>
      <c r="J1123" s="137" t="inlineStr">
        <is>
          <t>NetSuite</t>
        </is>
      </c>
    </row>
    <row r="1124">
      <c r="A1124" s="5" t="inlineStr">
        <is>
          <t>STETSON AMERICAS</t>
        </is>
      </c>
      <c r="B1124" s="5">
        <f>IF($I2="","",INDEX(Productos!$A:$A,$I2))</f>
        <v/>
      </c>
      <c r="C1124" s="134" t="inlineStr">
        <is>
          <t>12-020-BS004-10-1027-275</t>
        </is>
      </c>
      <c r="D1124" s="5">
        <f>IF($I2="","",INDEX(Productos!$B:$B,$I2))</f>
        <v/>
      </c>
      <c r="E1124" s="5">
        <f>IF($I2="","",INDEX(Productos!$H:$H,$I2))</f>
        <v/>
      </c>
      <c r="F1124" s="5">
        <f>IF($I2="","",INDEX(Productos!$I:$I,$I2))</f>
        <v/>
      </c>
      <c r="G1124" s="135" t="n">
        <v>1</v>
      </c>
      <c r="H1124" s="5">
        <f>IF($I2="","",INDEX(Productos!$AG:$AG,$I2))</f>
        <v/>
      </c>
      <c r="I1124" s="136">
        <f>LET(_xlpm.r,Productos!$E$2:$E$2509,_xlpm.m,IFERROR(_xlfn.XMATCH(C1124,_xlpm.r),IFERROR(_xlfn.XMATCH(VALUE(C1124),_xlpm.r),0)),IF(_xlpm.m=0,"",_xlpm.m+1))</f>
        <v/>
      </c>
      <c r="J1124" s="137" t="inlineStr">
        <is>
          <t>NetSuite</t>
        </is>
      </c>
    </row>
    <row r="1125">
      <c r="A1125" s="5" t="inlineStr">
        <is>
          <t>STETSON AMERICAS</t>
        </is>
      </c>
      <c r="B1125" s="5">
        <f>IF($I2="","",INDEX(Productos!$A:$A,$I2))</f>
        <v/>
      </c>
      <c r="C1125" s="134" t="inlineStr">
        <is>
          <t>12-020-BS005-11-1019-027</t>
        </is>
      </c>
      <c r="D1125" s="5">
        <f>IF($I2="","",INDEX(Productos!$B:$B,$I2))</f>
        <v/>
      </c>
      <c r="E1125" s="5">
        <f>IF($I2="","",INDEX(Productos!$H:$H,$I2))</f>
        <v/>
      </c>
      <c r="F1125" s="5">
        <f>IF($I2="","",INDEX(Productos!$I:$I,$I2))</f>
        <v/>
      </c>
      <c r="G1125" s="135" t="n">
        <v>1</v>
      </c>
      <c r="H1125" s="5">
        <f>IF($I2="","",INDEX(Productos!$AG:$AG,$I2))</f>
        <v/>
      </c>
      <c r="I1125" s="136">
        <f>LET(_xlpm.r,Productos!$E$2:$E$2509,_xlpm.m,IFERROR(_xlfn.XMATCH(C1125,_xlpm.r),IFERROR(_xlfn.XMATCH(VALUE(C1125),_xlpm.r),0)),IF(_xlpm.m=0,"",_xlpm.m+1))</f>
        <v/>
      </c>
      <c r="J1125" s="137" t="inlineStr">
        <is>
          <t>NetSuite</t>
        </is>
      </c>
    </row>
    <row r="1126">
      <c r="A1126" s="5" t="inlineStr">
        <is>
          <t>STETSON AMERICAS</t>
        </is>
      </c>
      <c r="B1126" s="5">
        <f>IF($I2="","",INDEX(Productos!$A:$A,$I2))</f>
        <v/>
      </c>
      <c r="C1126" s="134" t="inlineStr">
        <is>
          <t>12-020-BS005-11-1019-029</t>
        </is>
      </c>
      <c r="D1126" s="5">
        <f>IF($I2="","",INDEX(Productos!$B:$B,$I2))</f>
        <v/>
      </c>
      <c r="E1126" s="5">
        <f>IF($I2="","",INDEX(Productos!$H:$H,$I2))</f>
        <v/>
      </c>
      <c r="F1126" s="5">
        <f>IF($I2="","",INDEX(Productos!$I:$I,$I2))</f>
        <v/>
      </c>
      <c r="G1126" s="135" t="n">
        <v>1</v>
      </c>
      <c r="H1126" s="5">
        <f>IF($I2="","",INDEX(Productos!$AG:$AG,$I2))</f>
        <v/>
      </c>
      <c r="I1126" s="136">
        <f>LET(_xlpm.r,Productos!$E$2:$E$2509,_xlpm.m,IFERROR(_xlfn.XMATCH(C1126,_xlpm.r),IFERROR(_xlfn.XMATCH(VALUE(C1126),_xlpm.r),0)),IF(_xlpm.m=0,"",_xlpm.m+1))</f>
        <v/>
      </c>
      <c r="J1126" s="137" t="inlineStr">
        <is>
          <t>NetSuite</t>
        </is>
      </c>
    </row>
    <row r="1127">
      <c r="A1127" s="5" t="inlineStr">
        <is>
          <t>STETSON AMERICAS</t>
        </is>
      </c>
      <c r="B1127" s="5">
        <f>IF($I2="","",INDEX(Productos!$A:$A,$I2))</f>
        <v/>
      </c>
      <c r="C1127" s="134" t="inlineStr">
        <is>
          <t>12-020-BS005-11-1019-265</t>
        </is>
      </c>
      <c r="D1127" s="5">
        <f>IF($I2="","",INDEX(Productos!$B:$B,$I2))</f>
        <v/>
      </c>
      <c r="E1127" s="5">
        <f>IF($I2="","",INDEX(Productos!$H:$H,$I2))</f>
        <v/>
      </c>
      <c r="F1127" s="5">
        <f>IF($I2="","",INDEX(Productos!$I:$I,$I2))</f>
        <v/>
      </c>
      <c r="G1127" s="135" t="n">
        <v>1</v>
      </c>
      <c r="H1127" s="5">
        <f>IF($I2="","",INDEX(Productos!$AG:$AG,$I2))</f>
        <v/>
      </c>
      <c r="I1127" s="136">
        <f>LET(_xlpm.r,Productos!$E$2:$E$2509,_xlpm.m,IFERROR(_xlfn.XMATCH(C1127,_xlpm.r),IFERROR(_xlfn.XMATCH(VALUE(C1127),_xlpm.r),0)),IF(_xlpm.m=0,"",_xlpm.m+1))</f>
        <v/>
      </c>
      <c r="J1127" s="137" t="inlineStr">
        <is>
          <t>NetSuite</t>
        </is>
      </c>
    </row>
    <row r="1128">
      <c r="A1128" s="5" t="inlineStr">
        <is>
          <t>STETSON AMERICAS</t>
        </is>
      </c>
      <c r="B1128" s="5">
        <f>IF($I2="","",INDEX(Productos!$A:$A,$I2))</f>
        <v/>
      </c>
      <c r="C1128" s="134" t="inlineStr">
        <is>
          <t>12-020-BS005-11-1019-275</t>
        </is>
      </c>
      <c r="D1128" s="5">
        <f>IF($I2="","",INDEX(Productos!$B:$B,$I2))</f>
        <v/>
      </c>
      <c r="E1128" s="5">
        <f>IF($I2="","",INDEX(Productos!$H:$H,$I2))</f>
        <v/>
      </c>
      <c r="F1128" s="5">
        <f>IF($I2="","",INDEX(Productos!$I:$I,$I2))</f>
        <v/>
      </c>
      <c r="G1128" s="135" t="n">
        <v>2</v>
      </c>
      <c r="H1128" s="5">
        <f>IF($I2="","",INDEX(Productos!$AG:$AG,$I2))</f>
        <v/>
      </c>
      <c r="I1128" s="136">
        <f>LET(_xlpm.r,Productos!$E$2:$E$2509,_xlpm.m,IFERROR(_xlfn.XMATCH(C1128,_xlpm.r),IFERROR(_xlfn.XMATCH(VALUE(C1128),_xlpm.r),0)),IF(_xlpm.m=0,"",_xlpm.m+1))</f>
        <v/>
      </c>
      <c r="J1128" s="137" t="inlineStr">
        <is>
          <t>NetSuite</t>
        </is>
      </c>
    </row>
    <row r="1129">
      <c r="A1129" s="5" t="inlineStr">
        <is>
          <t>STETSON AMERICAS</t>
        </is>
      </c>
      <c r="B1129" s="5">
        <f>IF($I2="","",INDEX(Productos!$A:$A,$I2))</f>
        <v/>
      </c>
      <c r="C1129" s="134" t="inlineStr">
        <is>
          <t>12-020-BS005-11-1019-285</t>
        </is>
      </c>
      <c r="D1129" s="5">
        <f>IF($I2="","",INDEX(Productos!$B:$B,$I2))</f>
        <v/>
      </c>
      <c r="E1129" s="5">
        <f>IF($I2="","",INDEX(Productos!$H:$H,$I2))</f>
        <v/>
      </c>
      <c r="F1129" s="5">
        <f>IF($I2="","",INDEX(Productos!$I:$I,$I2))</f>
        <v/>
      </c>
      <c r="G1129" s="135" t="n">
        <v>2</v>
      </c>
      <c r="H1129" s="5">
        <f>IF($I2="","",INDEX(Productos!$AG:$AG,$I2))</f>
        <v/>
      </c>
      <c r="I1129" s="136">
        <f>LET(_xlpm.r,Productos!$E$2:$E$2509,_xlpm.m,IFERROR(_xlfn.XMATCH(C1129,_xlpm.r),IFERROR(_xlfn.XMATCH(VALUE(C1129),_xlpm.r),0)),IF(_xlpm.m=0,"",_xlpm.m+1))</f>
        <v/>
      </c>
      <c r="J1129" s="137" t="inlineStr">
        <is>
          <t>NetSuite</t>
        </is>
      </c>
    </row>
    <row r="1130">
      <c r="A1130" s="5" t="inlineStr">
        <is>
          <t>STETSON AMERICAS</t>
        </is>
      </c>
      <c r="B1130" s="5">
        <f>IF($I2="","",INDEX(Productos!$A:$A,$I2))</f>
        <v/>
      </c>
      <c r="C1130" s="134" t="inlineStr">
        <is>
          <t>12-020-BS005-11-1019-295</t>
        </is>
      </c>
      <c r="D1130" s="5">
        <f>IF($I2="","",INDEX(Productos!$B:$B,$I2))</f>
        <v/>
      </c>
      <c r="E1130" s="5">
        <f>IF($I2="","",INDEX(Productos!$H:$H,$I2))</f>
        <v/>
      </c>
      <c r="F1130" s="5">
        <f>IF($I2="","",INDEX(Productos!$I:$I,$I2))</f>
        <v/>
      </c>
      <c r="G1130" s="135" t="n">
        <v>1</v>
      </c>
      <c r="H1130" s="5">
        <f>IF($I2="","",INDEX(Productos!$AG:$AG,$I2))</f>
        <v/>
      </c>
      <c r="I1130" s="136">
        <f>LET(_xlpm.r,Productos!$E$2:$E$2509,_xlpm.m,IFERROR(_xlfn.XMATCH(C1130,_xlpm.r),IFERROR(_xlfn.XMATCH(VALUE(C1130),_xlpm.r),0)),IF(_xlpm.m=0,"",_xlpm.m+1))</f>
        <v/>
      </c>
      <c r="J1130" s="137" t="inlineStr">
        <is>
          <t>NetSuite</t>
        </is>
      </c>
    </row>
    <row r="1131">
      <c r="A1131" s="5" t="inlineStr">
        <is>
          <t>STETSON AMERICAS</t>
        </is>
      </c>
      <c r="B1131" s="5">
        <f>IF($I2="","",INDEX(Productos!$A:$A,$I2))</f>
        <v/>
      </c>
      <c r="C1131" s="134" t="inlineStr">
        <is>
          <t>12-020-BS005-11-1020-028</t>
        </is>
      </c>
      <c r="D1131" s="5">
        <f>IF($I2="","",INDEX(Productos!$B:$B,$I2))</f>
        <v/>
      </c>
      <c r="E1131" s="5">
        <f>IF($I2="","",INDEX(Productos!$H:$H,$I2))</f>
        <v/>
      </c>
      <c r="F1131" s="5">
        <f>IF($I2="","",INDEX(Productos!$I:$I,$I2))</f>
        <v/>
      </c>
      <c r="G1131" s="135" t="n">
        <v>2</v>
      </c>
      <c r="H1131" s="5">
        <f>IF($I2="","",INDEX(Productos!$AG:$AG,$I2))</f>
        <v/>
      </c>
      <c r="I1131" s="136">
        <f>LET(_xlpm.r,Productos!$E$2:$E$2509,_xlpm.m,IFERROR(_xlfn.XMATCH(C1131,_xlpm.r),IFERROR(_xlfn.XMATCH(VALUE(C1131),_xlpm.r),0)),IF(_xlpm.m=0,"",_xlpm.m+1))</f>
        <v/>
      </c>
      <c r="J1131" s="137" t="inlineStr">
        <is>
          <t>NetSuite</t>
        </is>
      </c>
    </row>
    <row r="1132">
      <c r="A1132" s="5" t="inlineStr">
        <is>
          <t>STETSON AMERICAS</t>
        </is>
      </c>
      <c r="B1132" s="5">
        <f>IF($I2="","",INDEX(Productos!$A:$A,$I2))</f>
        <v/>
      </c>
      <c r="C1132" s="134" t="inlineStr">
        <is>
          <t>12-020-BS005-11-1020-029</t>
        </is>
      </c>
      <c r="D1132" s="5">
        <f>IF($I2="","",INDEX(Productos!$B:$B,$I2))</f>
        <v/>
      </c>
      <c r="E1132" s="5">
        <f>IF($I2="","",INDEX(Productos!$H:$H,$I2))</f>
        <v/>
      </c>
      <c r="F1132" s="5">
        <f>IF($I2="","",INDEX(Productos!$I:$I,$I2))</f>
        <v/>
      </c>
      <c r="G1132" s="135" t="n">
        <v>1</v>
      </c>
      <c r="H1132" s="5">
        <f>IF($I2="","",INDEX(Productos!$AG:$AG,$I2))</f>
        <v/>
      </c>
      <c r="I1132" s="136">
        <f>LET(_xlpm.r,Productos!$E$2:$E$2509,_xlpm.m,IFERROR(_xlfn.XMATCH(C1132,_xlpm.r),IFERROR(_xlfn.XMATCH(VALUE(C1132),_xlpm.r),0)),IF(_xlpm.m=0,"",_xlpm.m+1))</f>
        <v/>
      </c>
      <c r="J1132" s="137" t="inlineStr">
        <is>
          <t>NetSuite</t>
        </is>
      </c>
    </row>
    <row r="1133">
      <c r="A1133" s="5" t="inlineStr">
        <is>
          <t>STETSON AMERICAS</t>
        </is>
      </c>
      <c r="B1133" s="5">
        <f>IF($I2="","",INDEX(Productos!$A:$A,$I2))</f>
        <v/>
      </c>
      <c r="C1133" s="134" t="inlineStr">
        <is>
          <t>12-020-BS005-11-1020-265</t>
        </is>
      </c>
      <c r="D1133" s="5">
        <f>IF($I2="","",INDEX(Productos!$B:$B,$I2))</f>
        <v/>
      </c>
      <c r="E1133" s="5">
        <f>IF($I2="","",INDEX(Productos!$H:$H,$I2))</f>
        <v/>
      </c>
      <c r="F1133" s="5">
        <f>IF($I2="","",INDEX(Productos!$I:$I,$I2))</f>
        <v/>
      </c>
      <c r="G1133" s="135" t="n">
        <v>1</v>
      </c>
      <c r="H1133" s="5">
        <f>IF($I2="","",INDEX(Productos!$AG:$AG,$I2))</f>
        <v/>
      </c>
      <c r="I1133" s="136">
        <f>LET(_xlpm.r,Productos!$E$2:$E$2509,_xlpm.m,IFERROR(_xlfn.XMATCH(C1133,_xlpm.r),IFERROR(_xlfn.XMATCH(VALUE(C1133),_xlpm.r),0)),IF(_xlpm.m=0,"",_xlpm.m+1))</f>
        <v/>
      </c>
      <c r="J1133" s="137" t="inlineStr">
        <is>
          <t>NetSuite</t>
        </is>
      </c>
    </row>
    <row r="1134">
      <c r="A1134" s="5" t="inlineStr">
        <is>
          <t>STETSON AMERICAS</t>
        </is>
      </c>
      <c r="B1134" s="5">
        <f>IF($I2="","",INDEX(Productos!$A:$A,$I2))</f>
        <v/>
      </c>
      <c r="C1134" s="134" t="inlineStr">
        <is>
          <t>12-020-BS005-11-1020-275</t>
        </is>
      </c>
      <c r="D1134" s="5">
        <f>IF($I2="","",INDEX(Productos!$B:$B,$I2))</f>
        <v/>
      </c>
      <c r="E1134" s="5">
        <f>IF($I2="","",INDEX(Productos!$H:$H,$I2))</f>
        <v/>
      </c>
      <c r="F1134" s="5">
        <f>IF($I2="","",INDEX(Productos!$I:$I,$I2))</f>
        <v/>
      </c>
      <c r="G1134" s="135" t="n">
        <v>1</v>
      </c>
      <c r="H1134" s="5">
        <f>IF($I2="","",INDEX(Productos!$AG:$AG,$I2))</f>
        <v/>
      </c>
      <c r="I1134" s="136">
        <f>LET(_xlpm.r,Productos!$E$2:$E$2509,_xlpm.m,IFERROR(_xlfn.XMATCH(C1134,_xlpm.r),IFERROR(_xlfn.XMATCH(VALUE(C1134),_xlpm.r),0)),IF(_xlpm.m=0,"",_xlpm.m+1))</f>
        <v/>
      </c>
      <c r="J1134" s="137" t="inlineStr">
        <is>
          <t>NetSuite</t>
        </is>
      </c>
    </row>
    <row r="1135">
      <c r="A1135" s="5" t="inlineStr">
        <is>
          <t>STETSON AMERICAS</t>
        </is>
      </c>
      <c r="B1135" s="5">
        <f>IF($I2="","",INDEX(Productos!$A:$A,$I2))</f>
        <v/>
      </c>
      <c r="C1135" s="134" t="inlineStr">
        <is>
          <t>12-020-BS005-11-1020-285</t>
        </is>
      </c>
      <c r="D1135" s="5">
        <f>IF($I2="","",INDEX(Productos!$B:$B,$I2))</f>
        <v/>
      </c>
      <c r="E1135" s="5">
        <f>IF($I2="","",INDEX(Productos!$H:$H,$I2))</f>
        <v/>
      </c>
      <c r="F1135" s="5">
        <f>IF($I2="","",INDEX(Productos!$I:$I,$I2))</f>
        <v/>
      </c>
      <c r="G1135" s="135" t="n">
        <v>1</v>
      </c>
      <c r="H1135" s="5">
        <f>IF($I2="","",INDEX(Productos!$AG:$AG,$I2))</f>
        <v/>
      </c>
      <c r="I1135" s="136">
        <f>LET(_xlpm.r,Productos!$E$2:$E$2509,_xlpm.m,IFERROR(_xlfn.XMATCH(C1135,_xlpm.r),IFERROR(_xlfn.XMATCH(VALUE(C1135),_xlpm.r),0)),IF(_xlpm.m=0,"",_xlpm.m+1))</f>
        <v/>
      </c>
      <c r="J1135" s="137" t="inlineStr">
        <is>
          <t>NetSuite</t>
        </is>
      </c>
    </row>
    <row r="1136">
      <c r="A1136" s="5" t="inlineStr">
        <is>
          <t>STETSON AMERICAS</t>
        </is>
      </c>
      <c r="B1136" s="5">
        <f>IF($I2="","",INDEX(Productos!$A:$A,$I2))</f>
        <v/>
      </c>
      <c r="C1136" s="134" t="inlineStr">
        <is>
          <t>12-020-BS005-11-1020-295</t>
        </is>
      </c>
      <c r="D1136" s="5">
        <f>IF($I2="","",INDEX(Productos!$B:$B,$I2))</f>
        <v/>
      </c>
      <c r="E1136" s="5">
        <f>IF($I2="","",INDEX(Productos!$H:$H,$I2))</f>
        <v/>
      </c>
      <c r="F1136" s="5">
        <f>IF($I2="","",INDEX(Productos!$I:$I,$I2))</f>
        <v/>
      </c>
      <c r="G1136" s="135" t="n">
        <v>1</v>
      </c>
      <c r="H1136" s="5">
        <f>IF($I2="","",INDEX(Productos!$AG:$AG,$I2))</f>
        <v/>
      </c>
      <c r="I1136" s="136">
        <f>LET(_xlpm.r,Productos!$E$2:$E$2509,_xlpm.m,IFERROR(_xlfn.XMATCH(C1136,_xlpm.r),IFERROR(_xlfn.XMATCH(VALUE(C1136),_xlpm.r),0)),IF(_xlpm.m=0,"",_xlpm.m+1))</f>
        <v/>
      </c>
      <c r="J1136" s="137" t="inlineStr">
        <is>
          <t>NetSuite</t>
        </is>
      </c>
    </row>
    <row r="1137">
      <c r="A1137" s="5" t="inlineStr">
        <is>
          <t>STETSON AMERICAS</t>
        </is>
      </c>
      <c r="B1137" s="5">
        <f>IF($I2="","",INDEX(Productos!$A:$A,$I2))</f>
        <v/>
      </c>
      <c r="C1137" s="134" t="inlineStr">
        <is>
          <t>12-020-BS005-11-1023-027</t>
        </is>
      </c>
      <c r="D1137" s="5">
        <f>IF($I2="","",INDEX(Productos!$B:$B,$I2))</f>
        <v/>
      </c>
      <c r="E1137" s="5">
        <f>IF($I2="","",INDEX(Productos!$H:$H,$I2))</f>
        <v/>
      </c>
      <c r="F1137" s="5">
        <f>IF($I2="","",INDEX(Productos!$I:$I,$I2))</f>
        <v/>
      </c>
      <c r="G1137" s="135" t="n">
        <v>-1</v>
      </c>
      <c r="H1137" s="5">
        <f>IF($I2="","",INDEX(Productos!$AG:$AG,$I2))</f>
        <v/>
      </c>
      <c r="I1137" s="136">
        <f>LET(_xlpm.r,Productos!$E$2:$E$2509,_xlpm.m,IFERROR(_xlfn.XMATCH(C1137,_xlpm.r),IFERROR(_xlfn.XMATCH(VALUE(C1137),_xlpm.r),0)),IF(_xlpm.m=0,"",_xlpm.m+1))</f>
        <v/>
      </c>
      <c r="J1137" s="137" t="inlineStr">
        <is>
          <t>NetSuite</t>
        </is>
      </c>
    </row>
    <row r="1138">
      <c r="A1138" s="5" t="inlineStr">
        <is>
          <t>STETSON AMERICAS</t>
        </is>
      </c>
      <c r="B1138" s="5">
        <f>IF($I2="","",INDEX(Productos!$A:$A,$I2))</f>
        <v/>
      </c>
      <c r="C1138" s="134" t="inlineStr">
        <is>
          <t>12-020-BS005-11-1023-028</t>
        </is>
      </c>
      <c r="D1138" s="5">
        <f>IF($I2="","",INDEX(Productos!$B:$B,$I2))</f>
        <v/>
      </c>
      <c r="E1138" s="5">
        <f>IF($I2="","",INDEX(Productos!$H:$H,$I2))</f>
        <v/>
      </c>
      <c r="F1138" s="5">
        <f>IF($I2="","",INDEX(Productos!$I:$I,$I2))</f>
        <v/>
      </c>
      <c r="G1138" s="135" t="n">
        <v>-1</v>
      </c>
      <c r="H1138" s="5">
        <f>IF($I2="","",INDEX(Productos!$AG:$AG,$I2))</f>
        <v/>
      </c>
      <c r="I1138" s="136">
        <f>LET(_xlpm.r,Productos!$E$2:$E$2509,_xlpm.m,IFERROR(_xlfn.XMATCH(C1138,_xlpm.r),IFERROR(_xlfn.XMATCH(VALUE(C1138),_xlpm.r),0)),IF(_xlpm.m=0,"",_xlpm.m+1))</f>
        <v/>
      </c>
      <c r="J1138" s="137" t="inlineStr">
        <is>
          <t>NetSuite</t>
        </is>
      </c>
    </row>
    <row r="1139">
      <c r="A1139" s="5" t="inlineStr">
        <is>
          <t>STETSON AMERICAS</t>
        </is>
      </c>
      <c r="B1139" s="5">
        <f>IF($I2="","",INDEX(Productos!$A:$A,$I2))</f>
        <v/>
      </c>
      <c r="C1139" s="134" t="inlineStr">
        <is>
          <t>12-020-BS005-11-1023-265</t>
        </is>
      </c>
      <c r="D1139" s="5">
        <f>IF($I2="","",INDEX(Productos!$B:$B,$I2))</f>
        <v/>
      </c>
      <c r="E1139" s="5">
        <f>IF($I2="","",INDEX(Productos!$H:$H,$I2))</f>
        <v/>
      </c>
      <c r="F1139" s="5">
        <f>IF($I2="","",INDEX(Productos!$I:$I,$I2))</f>
        <v/>
      </c>
      <c r="G1139" s="135" t="n">
        <v>-1</v>
      </c>
      <c r="H1139" s="5">
        <f>IF($I2="","",INDEX(Productos!$AG:$AG,$I2))</f>
        <v/>
      </c>
      <c r="I1139" s="136">
        <f>LET(_xlpm.r,Productos!$E$2:$E$2509,_xlpm.m,IFERROR(_xlfn.XMATCH(C1139,_xlpm.r),IFERROR(_xlfn.XMATCH(VALUE(C1139),_xlpm.r),0)),IF(_xlpm.m=0,"",_xlpm.m+1))</f>
        <v/>
      </c>
      <c r="J1139" s="137" t="inlineStr">
        <is>
          <t>NetSuite</t>
        </is>
      </c>
    </row>
    <row r="1140">
      <c r="A1140" s="5" t="inlineStr">
        <is>
          <t>STETSON AMERICAS</t>
        </is>
      </c>
      <c r="B1140" s="5">
        <f>IF($I2="","",INDEX(Productos!$A:$A,$I2))</f>
        <v/>
      </c>
      <c r="C1140" s="134" t="inlineStr">
        <is>
          <t>12-020-BS005-11-1023-285</t>
        </is>
      </c>
      <c r="D1140" s="5">
        <f>IF($I2="","",INDEX(Productos!$B:$B,$I2))</f>
        <v/>
      </c>
      <c r="E1140" s="5">
        <f>IF($I2="","",INDEX(Productos!$H:$H,$I2))</f>
        <v/>
      </c>
      <c r="F1140" s="5">
        <f>IF($I2="","",INDEX(Productos!$I:$I,$I2))</f>
        <v/>
      </c>
      <c r="G1140" s="135" t="n">
        <v>-2</v>
      </c>
      <c r="H1140" s="5">
        <f>IF($I2="","",INDEX(Productos!$AG:$AG,$I2))</f>
        <v/>
      </c>
      <c r="I1140" s="136">
        <f>LET(_xlpm.r,Productos!$E$2:$E$2509,_xlpm.m,IFERROR(_xlfn.XMATCH(C1140,_xlpm.r),IFERROR(_xlfn.XMATCH(VALUE(C1140),_xlpm.r),0)),IF(_xlpm.m=0,"",_xlpm.m+1))</f>
        <v/>
      </c>
      <c r="J1140" s="137" t="inlineStr">
        <is>
          <t>NetSuite</t>
        </is>
      </c>
    </row>
    <row r="1141">
      <c r="A1141" s="5" t="inlineStr">
        <is>
          <t>STETSON AMERICAS</t>
        </is>
      </c>
      <c r="B1141" s="5">
        <f>IF($I2="","",INDEX(Productos!$A:$A,$I2))</f>
        <v/>
      </c>
      <c r="C1141" s="134" t="inlineStr">
        <is>
          <t>12-020-BS005-11-1024-029</t>
        </is>
      </c>
      <c r="D1141" s="5">
        <f>IF($I2="","",INDEX(Productos!$B:$B,$I2))</f>
        <v/>
      </c>
      <c r="E1141" s="5">
        <f>IF($I2="","",INDEX(Productos!$H:$H,$I2))</f>
        <v/>
      </c>
      <c r="F1141" s="5">
        <f>IF($I2="","",INDEX(Productos!$I:$I,$I2))</f>
        <v/>
      </c>
      <c r="G1141" s="135" t="n">
        <v>-1</v>
      </c>
      <c r="H1141" s="5">
        <f>IF($I2="","",INDEX(Productos!$AG:$AG,$I2))</f>
        <v/>
      </c>
      <c r="I1141" s="136">
        <f>LET(_xlpm.r,Productos!$E$2:$E$2509,_xlpm.m,IFERROR(_xlfn.XMATCH(C1141,_xlpm.r),IFERROR(_xlfn.XMATCH(VALUE(C1141),_xlpm.r),0)),IF(_xlpm.m=0,"",_xlpm.m+1))</f>
        <v/>
      </c>
      <c r="J1141" s="137" t="inlineStr">
        <is>
          <t>NetSuite</t>
        </is>
      </c>
    </row>
    <row r="1142">
      <c r="A1142" s="5" t="inlineStr">
        <is>
          <t>STETSON AMERICAS</t>
        </is>
      </c>
      <c r="B1142" s="5">
        <f>IF($I2="","",INDEX(Productos!$A:$A,$I2))</f>
        <v/>
      </c>
      <c r="C1142" s="134" t="inlineStr">
        <is>
          <t>12-020-BS005-11-1024-285</t>
        </is>
      </c>
      <c r="D1142" s="5">
        <f>IF($I2="","",INDEX(Productos!$B:$B,$I2))</f>
        <v/>
      </c>
      <c r="E1142" s="5">
        <f>IF($I2="","",INDEX(Productos!$H:$H,$I2))</f>
        <v/>
      </c>
      <c r="F1142" s="5">
        <f>IF($I2="","",INDEX(Productos!$I:$I,$I2))</f>
        <v/>
      </c>
      <c r="G1142" s="135" t="n">
        <v>-1</v>
      </c>
      <c r="H1142" s="5">
        <f>IF($I2="","",INDEX(Productos!$AG:$AG,$I2))</f>
        <v/>
      </c>
      <c r="I1142" s="136">
        <f>LET(_xlpm.r,Productos!$E$2:$E$2509,_xlpm.m,IFERROR(_xlfn.XMATCH(C1142,_xlpm.r),IFERROR(_xlfn.XMATCH(VALUE(C1142),_xlpm.r),0)),IF(_xlpm.m=0,"",_xlpm.m+1))</f>
        <v/>
      </c>
      <c r="J1142" s="137" t="inlineStr">
        <is>
          <t>NetSuite</t>
        </is>
      </c>
    </row>
    <row r="1143">
      <c r="A1143" s="5" t="inlineStr">
        <is>
          <t>STETSON AMERICAS</t>
        </is>
      </c>
      <c r="B1143" s="5">
        <f>IF($I2="","",INDEX(Productos!$A:$A,$I2))</f>
        <v/>
      </c>
      <c r="C1143" s="134" t="inlineStr">
        <is>
          <t>12-020-BS005-11-1024-295</t>
        </is>
      </c>
      <c r="D1143" s="5">
        <f>IF($I2="","",INDEX(Productos!$B:$B,$I2))</f>
        <v/>
      </c>
      <c r="E1143" s="5">
        <f>IF($I2="","",INDEX(Productos!$H:$H,$I2))</f>
        <v/>
      </c>
      <c r="F1143" s="5">
        <f>IF($I2="","",INDEX(Productos!$I:$I,$I2))</f>
        <v/>
      </c>
      <c r="G1143" s="135" t="n">
        <v>-1</v>
      </c>
      <c r="H1143" s="5">
        <f>IF($I2="","",INDEX(Productos!$AG:$AG,$I2))</f>
        <v/>
      </c>
      <c r="I1143" s="136">
        <f>LET(_xlpm.r,Productos!$E$2:$E$2509,_xlpm.m,IFERROR(_xlfn.XMATCH(C1143,_xlpm.r),IFERROR(_xlfn.XMATCH(VALUE(C1143),_xlpm.r),0)),IF(_xlpm.m=0,"",_xlpm.m+1))</f>
        <v/>
      </c>
      <c r="J1143" s="137" t="inlineStr">
        <is>
          <t>NetSuite</t>
        </is>
      </c>
    </row>
    <row r="1144">
      <c r="A1144" s="5" t="inlineStr">
        <is>
          <t>STETSON AMERICAS</t>
        </is>
      </c>
      <c r="B1144" s="5">
        <f>IF($I2="","",INDEX(Productos!$A:$A,$I2))</f>
        <v/>
      </c>
      <c r="C1144" s="134" t="inlineStr">
        <is>
          <t>12-020-BS006-11-1028-027</t>
        </is>
      </c>
      <c r="D1144" s="5">
        <f>IF($I2="","",INDEX(Productos!$B:$B,$I2))</f>
        <v/>
      </c>
      <c r="E1144" s="5">
        <f>IF($I2="","",INDEX(Productos!$H:$H,$I2))</f>
        <v/>
      </c>
      <c r="F1144" s="5">
        <f>IF($I2="","",INDEX(Productos!$I:$I,$I2))</f>
        <v/>
      </c>
      <c r="G1144" s="135" t="n">
        <v>-1</v>
      </c>
      <c r="H1144" s="5">
        <f>IF($I2="","",INDEX(Productos!$AG:$AG,$I2))</f>
        <v/>
      </c>
      <c r="I1144" s="136">
        <f>LET(_xlpm.r,Productos!$E$2:$E$2509,_xlpm.m,IFERROR(_xlfn.XMATCH(C1144,_xlpm.r),IFERROR(_xlfn.XMATCH(VALUE(C1144),_xlpm.r),0)),IF(_xlpm.m=0,"",_xlpm.m+1))</f>
        <v/>
      </c>
      <c r="J1144" s="137" t="inlineStr">
        <is>
          <t>NetSuite</t>
        </is>
      </c>
    </row>
    <row r="1145">
      <c r="A1145" s="5" t="inlineStr">
        <is>
          <t>STETSON AMERICAS</t>
        </is>
      </c>
      <c r="B1145" s="5">
        <f>IF($I2="","",INDEX(Productos!$A:$A,$I2))</f>
        <v/>
      </c>
      <c r="C1145" s="134" t="inlineStr">
        <is>
          <t>12-020-BS006-11-1028-029</t>
        </is>
      </c>
      <c r="D1145" s="5">
        <f>IF($I2="","",INDEX(Productos!$B:$B,$I2))</f>
        <v/>
      </c>
      <c r="E1145" s="5">
        <f>IF($I2="","",INDEX(Productos!$H:$H,$I2))</f>
        <v/>
      </c>
      <c r="F1145" s="5">
        <f>IF($I2="","",INDEX(Productos!$I:$I,$I2))</f>
        <v/>
      </c>
      <c r="G1145" s="135" t="n">
        <v>-1</v>
      </c>
      <c r="H1145" s="5">
        <f>IF($I2="","",INDEX(Productos!$AG:$AG,$I2))</f>
        <v/>
      </c>
      <c r="I1145" s="136">
        <f>LET(_xlpm.r,Productos!$E$2:$E$2509,_xlpm.m,IFERROR(_xlfn.XMATCH(C1145,_xlpm.r),IFERROR(_xlfn.XMATCH(VALUE(C1145),_xlpm.r),0)),IF(_xlpm.m=0,"",_xlpm.m+1))</f>
        <v/>
      </c>
      <c r="J1145" s="137" t="inlineStr">
        <is>
          <t>NetSuite</t>
        </is>
      </c>
    </row>
    <row r="1146">
      <c r="A1146" s="5" t="inlineStr">
        <is>
          <t>STETSON AMERICAS</t>
        </is>
      </c>
      <c r="B1146" s="5">
        <f>IF($I2="","",INDEX(Productos!$A:$A,$I2))</f>
        <v/>
      </c>
      <c r="C1146" s="134" t="inlineStr">
        <is>
          <t>12-020-BS006-11-1028-265</t>
        </is>
      </c>
      <c r="D1146" s="5">
        <f>IF($I2="","",INDEX(Productos!$B:$B,$I2))</f>
        <v/>
      </c>
      <c r="E1146" s="5">
        <f>IF($I2="","",INDEX(Productos!$H:$H,$I2))</f>
        <v/>
      </c>
      <c r="F1146" s="5">
        <f>IF($I2="","",INDEX(Productos!$I:$I,$I2))</f>
        <v/>
      </c>
      <c r="G1146" s="135" t="n">
        <v>-1</v>
      </c>
      <c r="H1146" s="5">
        <f>IF($I2="","",INDEX(Productos!$AG:$AG,$I2))</f>
        <v/>
      </c>
      <c r="I1146" s="136">
        <f>LET(_xlpm.r,Productos!$E$2:$E$2509,_xlpm.m,IFERROR(_xlfn.XMATCH(C1146,_xlpm.r),IFERROR(_xlfn.XMATCH(VALUE(C1146),_xlpm.r),0)),IF(_xlpm.m=0,"",_xlpm.m+1))</f>
        <v/>
      </c>
      <c r="J1146" s="137" t="inlineStr">
        <is>
          <t>NetSuite</t>
        </is>
      </c>
    </row>
    <row r="1147">
      <c r="A1147" s="5" t="inlineStr">
        <is>
          <t>STETSON AMERICAS</t>
        </is>
      </c>
      <c r="B1147" s="5">
        <f>IF($I2="","",INDEX(Productos!$A:$A,$I2))</f>
        <v/>
      </c>
      <c r="C1147" s="134" t="inlineStr">
        <is>
          <t>12-020-BS006-11-1028-275</t>
        </is>
      </c>
      <c r="D1147" s="5">
        <f>IF($I2="","",INDEX(Productos!$B:$B,$I2))</f>
        <v/>
      </c>
      <c r="E1147" s="5">
        <f>IF($I2="","",INDEX(Productos!$H:$H,$I2))</f>
        <v/>
      </c>
      <c r="F1147" s="5">
        <f>IF($I2="","",INDEX(Productos!$I:$I,$I2))</f>
        <v/>
      </c>
      <c r="G1147" s="135" t="n">
        <v>-1</v>
      </c>
      <c r="H1147" s="5">
        <f>IF($I2="","",INDEX(Productos!$AG:$AG,$I2))</f>
        <v/>
      </c>
      <c r="I1147" s="136">
        <f>LET(_xlpm.r,Productos!$E$2:$E$2509,_xlpm.m,IFERROR(_xlfn.XMATCH(C1147,_xlpm.r),IFERROR(_xlfn.XMATCH(VALUE(C1147),_xlpm.r),0)),IF(_xlpm.m=0,"",_xlpm.m+1))</f>
        <v/>
      </c>
      <c r="J1147" s="137" t="inlineStr">
        <is>
          <t>NetSuite</t>
        </is>
      </c>
    </row>
    <row r="1148">
      <c r="A1148" s="5" t="inlineStr">
        <is>
          <t>STETSON AMERICAS</t>
        </is>
      </c>
      <c r="B1148" s="5">
        <f>IF($I2="","",INDEX(Productos!$A:$A,$I2))</f>
        <v/>
      </c>
      <c r="C1148" s="134" t="inlineStr">
        <is>
          <t>12-020-BS006-11-1029-028</t>
        </is>
      </c>
      <c r="D1148" s="5">
        <f>IF($I2="","",INDEX(Productos!$B:$B,$I2))</f>
        <v/>
      </c>
      <c r="E1148" s="5">
        <f>IF($I2="","",INDEX(Productos!$H:$H,$I2))</f>
        <v/>
      </c>
      <c r="F1148" s="5">
        <f>IF($I2="","",INDEX(Productos!$I:$I,$I2))</f>
        <v/>
      </c>
      <c r="G1148" s="135" t="n">
        <v>-1</v>
      </c>
      <c r="H1148" s="5">
        <f>IF($I2="","",INDEX(Productos!$AG:$AG,$I2))</f>
        <v/>
      </c>
      <c r="I1148" s="136">
        <f>LET(_xlpm.r,Productos!$E$2:$E$2509,_xlpm.m,IFERROR(_xlfn.XMATCH(C1148,_xlpm.r),IFERROR(_xlfn.XMATCH(VALUE(C1148),_xlpm.r),0)),IF(_xlpm.m=0,"",_xlpm.m+1))</f>
        <v/>
      </c>
      <c r="J1148" s="137" t="inlineStr">
        <is>
          <t>NetSuite</t>
        </is>
      </c>
    </row>
    <row r="1149">
      <c r="A1149" s="5" t="inlineStr">
        <is>
          <t>STETSON AMERICAS</t>
        </is>
      </c>
      <c r="B1149" s="5">
        <f>IF($I2="","",INDEX(Productos!$A:$A,$I2))</f>
        <v/>
      </c>
      <c r="C1149" s="134" t="inlineStr">
        <is>
          <t>12-020-BS006-11-1029-275</t>
        </is>
      </c>
      <c r="D1149" s="5">
        <f>IF($I2="","",INDEX(Productos!$B:$B,$I2))</f>
        <v/>
      </c>
      <c r="E1149" s="5">
        <f>IF($I2="","",INDEX(Productos!$H:$H,$I2))</f>
        <v/>
      </c>
      <c r="F1149" s="5">
        <f>IF($I2="","",INDEX(Productos!$I:$I,$I2))</f>
        <v/>
      </c>
      <c r="G1149" s="135" t="n">
        <v>-1</v>
      </c>
      <c r="H1149" s="5">
        <f>IF($I2="","",INDEX(Productos!$AG:$AG,$I2))</f>
        <v/>
      </c>
      <c r="I1149" s="136">
        <f>LET(_xlpm.r,Productos!$E$2:$E$2509,_xlpm.m,IFERROR(_xlfn.XMATCH(C1149,_xlpm.r),IFERROR(_xlfn.XMATCH(VALUE(C1149),_xlpm.r),0)),IF(_xlpm.m=0,"",_xlpm.m+1))</f>
        <v/>
      </c>
      <c r="J1149" s="137" t="inlineStr">
        <is>
          <t>NetSuite</t>
        </is>
      </c>
    </row>
    <row r="1150">
      <c r="A1150" s="5" t="inlineStr">
        <is>
          <t>STETSON AMERICAS</t>
        </is>
      </c>
      <c r="B1150" s="5">
        <f>IF($I2="","",INDEX(Productos!$A:$A,$I2))</f>
        <v/>
      </c>
      <c r="C1150" s="134" t="inlineStr">
        <is>
          <t>12-020-BS006-11-1029-295</t>
        </is>
      </c>
      <c r="D1150" s="5">
        <f>IF($I2="","",INDEX(Productos!$B:$B,$I2))</f>
        <v/>
      </c>
      <c r="E1150" s="5">
        <f>IF($I2="","",INDEX(Productos!$H:$H,$I2))</f>
        <v/>
      </c>
      <c r="F1150" s="5">
        <f>IF($I2="","",INDEX(Productos!$I:$I,$I2))</f>
        <v/>
      </c>
      <c r="G1150" s="135" t="n">
        <v>-1</v>
      </c>
      <c r="H1150" s="5">
        <f>IF($I2="","",INDEX(Productos!$AG:$AG,$I2))</f>
        <v/>
      </c>
      <c r="I1150" s="136">
        <f>LET(_xlpm.r,Productos!$E$2:$E$2509,_xlpm.m,IFERROR(_xlfn.XMATCH(C1150,_xlpm.r),IFERROR(_xlfn.XMATCH(VALUE(C1150),_xlpm.r),0)),IF(_xlpm.m=0,"",_xlpm.m+1))</f>
        <v/>
      </c>
      <c r="J1150" s="137" t="inlineStr">
        <is>
          <t>NetSuite</t>
        </is>
      </c>
    </row>
    <row r="1151">
      <c r="A1151" s="5" t="inlineStr">
        <is>
          <t>STETSON AMERICAS</t>
        </is>
      </c>
      <c r="B1151" s="5">
        <f>IF($I2="","",INDEX(Productos!$A:$A,$I2))</f>
        <v/>
      </c>
      <c r="C1151" s="134" t="inlineStr">
        <is>
          <t>12-021-BS000-13-1043-024</t>
        </is>
      </c>
      <c r="D1151" s="5">
        <f>IF($I2="","",INDEX(Productos!$B:$B,$I2))</f>
        <v/>
      </c>
      <c r="E1151" s="5">
        <f>IF($I2="","",INDEX(Productos!$H:$H,$I2))</f>
        <v/>
      </c>
      <c r="F1151" s="5">
        <f>IF($I2="","",INDEX(Productos!$I:$I,$I2))</f>
        <v/>
      </c>
      <c r="G1151" s="135" t="n">
        <v>-1</v>
      </c>
      <c r="H1151" s="5">
        <f>IF($I2="","",INDEX(Productos!$AG:$AG,$I2))</f>
        <v/>
      </c>
      <c r="I1151" s="136">
        <f>LET(_xlpm.r,Productos!$E$2:$E$2509,_xlpm.m,IFERROR(_xlfn.XMATCH(C1151,_xlpm.r),IFERROR(_xlfn.XMATCH(VALUE(C1151),_xlpm.r),0)),IF(_xlpm.m=0,"",_xlpm.m+1))</f>
        <v/>
      </c>
      <c r="J1151" s="137" t="inlineStr">
        <is>
          <t>NetSuite</t>
        </is>
      </c>
    </row>
    <row r="1152">
      <c r="A1152" s="5" t="inlineStr">
        <is>
          <t>STETSON AMERICAS</t>
        </is>
      </c>
      <c r="B1152" s="5">
        <f>IF($I2="","",INDEX(Productos!$A:$A,$I2))</f>
        <v/>
      </c>
      <c r="C1152" s="134" t="inlineStr">
        <is>
          <t>12-021-BS000-13-1044-245</t>
        </is>
      </c>
      <c r="D1152" s="5">
        <f>IF($I2="","",INDEX(Productos!$B:$B,$I2))</f>
        <v/>
      </c>
      <c r="E1152" s="5">
        <f>IF($I2="","",INDEX(Productos!$H:$H,$I2))</f>
        <v/>
      </c>
      <c r="F1152" s="5">
        <f>IF($I2="","",INDEX(Productos!$I:$I,$I2))</f>
        <v/>
      </c>
      <c r="G1152" s="135" t="n">
        <v>-1</v>
      </c>
      <c r="H1152" s="5">
        <f>IF($I2="","",INDEX(Productos!$AG:$AG,$I2))</f>
        <v/>
      </c>
      <c r="I1152" s="136">
        <f>LET(_xlpm.r,Productos!$E$2:$E$2509,_xlpm.m,IFERROR(_xlfn.XMATCH(C1152,_xlpm.r),IFERROR(_xlfn.XMATCH(VALUE(C1152),_xlpm.r),0)),IF(_xlpm.m=0,"",_xlpm.m+1))</f>
        <v/>
      </c>
      <c r="J1152" s="137" t="inlineStr">
        <is>
          <t>NetSuite</t>
        </is>
      </c>
    </row>
    <row r="1153">
      <c r="A1153" s="5" t="inlineStr">
        <is>
          <t>STETSON AMERICAS</t>
        </is>
      </c>
      <c r="B1153" s="5">
        <f>IF($I2="","",INDEX(Productos!$A:$A,$I2))</f>
        <v/>
      </c>
      <c r="C1153" s="134" t="inlineStr">
        <is>
          <t>12-021-BS001-12-1030-024</t>
        </is>
      </c>
      <c r="D1153" s="5">
        <f>IF($I2="","",INDEX(Productos!$B:$B,$I2))</f>
        <v/>
      </c>
      <c r="E1153" s="5">
        <f>IF($I2="","",INDEX(Productos!$H:$H,$I2))</f>
        <v/>
      </c>
      <c r="F1153" s="5">
        <f>IF($I2="","",INDEX(Productos!$I:$I,$I2))</f>
        <v/>
      </c>
      <c r="G1153" s="135" t="n">
        <v>-2</v>
      </c>
      <c r="H1153" s="5">
        <f>IF($I2="","",INDEX(Productos!$AG:$AG,$I2))</f>
        <v/>
      </c>
      <c r="I1153" s="136">
        <f>LET(_xlpm.r,Productos!$E$2:$E$2509,_xlpm.m,IFERROR(_xlfn.XMATCH(C1153,_xlpm.r),IFERROR(_xlfn.XMATCH(VALUE(C1153),_xlpm.r),0)),IF(_xlpm.m=0,"",_xlpm.m+1))</f>
        <v/>
      </c>
      <c r="J1153" s="137" t="inlineStr">
        <is>
          <t>NetSuite</t>
        </is>
      </c>
    </row>
    <row r="1154">
      <c r="A1154" s="5" t="inlineStr">
        <is>
          <t>STETSON AMERICAS</t>
        </is>
      </c>
      <c r="B1154" s="5">
        <f>IF($I2="","",INDEX(Productos!$A:$A,$I2))</f>
        <v/>
      </c>
      <c r="C1154" s="134" t="inlineStr">
        <is>
          <t>12-021-BS001-12-1030-025</t>
        </is>
      </c>
      <c r="D1154" s="5">
        <f>IF($I2="","",INDEX(Productos!$B:$B,$I2))</f>
        <v/>
      </c>
      <c r="E1154" s="5">
        <f>IF($I2="","",INDEX(Productos!$H:$H,$I2))</f>
        <v/>
      </c>
      <c r="F1154" s="5">
        <f>IF($I2="","",INDEX(Productos!$I:$I,$I2))</f>
        <v/>
      </c>
      <c r="G1154" s="135" t="n">
        <v>-2</v>
      </c>
      <c r="H1154" s="5">
        <f>IF($I2="","",INDEX(Productos!$AG:$AG,$I2))</f>
        <v/>
      </c>
      <c r="I1154" s="136">
        <f>LET(_xlpm.r,Productos!$E$2:$E$2509,_xlpm.m,IFERROR(_xlfn.XMATCH(C1154,_xlpm.r),IFERROR(_xlfn.XMATCH(VALUE(C1154),_xlpm.r),0)),IF(_xlpm.m=0,"",_xlpm.m+1))</f>
        <v/>
      </c>
      <c r="J1154" s="137" t="inlineStr">
        <is>
          <t>NetSuite</t>
        </is>
      </c>
    </row>
    <row r="1155">
      <c r="A1155" s="5" t="inlineStr">
        <is>
          <t>STETSON AMERICAS</t>
        </is>
      </c>
      <c r="B1155" s="5">
        <f>IF($I2="","",INDEX(Productos!$A:$A,$I2))</f>
        <v/>
      </c>
      <c r="C1155" s="134" t="inlineStr">
        <is>
          <t>12-021-BS001-12-1030-026</t>
        </is>
      </c>
      <c r="D1155" s="5">
        <f>IF($I2="","",INDEX(Productos!$B:$B,$I2))</f>
        <v/>
      </c>
      <c r="E1155" s="5">
        <f>IF($I2="","",INDEX(Productos!$H:$H,$I2))</f>
        <v/>
      </c>
      <c r="F1155" s="5">
        <f>IF($I2="","",INDEX(Productos!$I:$I,$I2))</f>
        <v/>
      </c>
      <c r="G1155" s="135" t="n">
        <v>-1</v>
      </c>
      <c r="H1155" s="5">
        <f>IF($I2="","",INDEX(Productos!$AG:$AG,$I2))</f>
        <v/>
      </c>
      <c r="I1155" s="136">
        <f>LET(_xlpm.r,Productos!$E$2:$E$2509,_xlpm.m,IFERROR(_xlfn.XMATCH(C1155,_xlpm.r),IFERROR(_xlfn.XMATCH(VALUE(C1155),_xlpm.r),0)),IF(_xlpm.m=0,"",_xlpm.m+1))</f>
        <v/>
      </c>
      <c r="J1155" s="137" t="inlineStr">
        <is>
          <t>NetSuite</t>
        </is>
      </c>
    </row>
    <row r="1156">
      <c r="A1156" s="5" t="inlineStr">
        <is>
          <t>STETSON AMERICAS</t>
        </is>
      </c>
      <c r="B1156" s="5">
        <f>IF($I2="","",INDEX(Productos!$A:$A,$I2))</f>
        <v/>
      </c>
      <c r="C1156" s="134" t="inlineStr">
        <is>
          <t>12-021-BS001-12-1030-235</t>
        </is>
      </c>
      <c r="D1156" s="5">
        <f>IF($I2="","",INDEX(Productos!$B:$B,$I2))</f>
        <v/>
      </c>
      <c r="E1156" s="5">
        <f>IF($I2="","",INDEX(Productos!$H:$H,$I2))</f>
        <v/>
      </c>
      <c r="F1156" s="5">
        <f>IF($I2="","",INDEX(Productos!$I:$I,$I2))</f>
        <v/>
      </c>
      <c r="G1156" s="135" t="n">
        <v>-1</v>
      </c>
      <c r="H1156" s="5">
        <f>IF($I2="","",INDEX(Productos!$AG:$AG,$I2))</f>
        <v/>
      </c>
      <c r="I1156" s="136">
        <f>LET(_xlpm.r,Productos!$E$2:$E$2509,_xlpm.m,IFERROR(_xlfn.XMATCH(C1156,_xlpm.r),IFERROR(_xlfn.XMATCH(VALUE(C1156),_xlpm.r),0)),IF(_xlpm.m=0,"",_xlpm.m+1))</f>
        <v/>
      </c>
      <c r="J1156" s="137" t="inlineStr">
        <is>
          <t>NetSuite</t>
        </is>
      </c>
    </row>
    <row r="1157">
      <c r="A1157" s="5" t="inlineStr">
        <is>
          <t>STETSON AMERICAS</t>
        </is>
      </c>
      <c r="B1157" s="5">
        <f>IF($I2="","",INDEX(Productos!$A:$A,$I2))</f>
        <v/>
      </c>
      <c r="C1157" s="134" t="inlineStr">
        <is>
          <t>12-021-BS001-12-1030-245</t>
        </is>
      </c>
      <c r="D1157" s="5">
        <f>IF($I2="","",INDEX(Productos!$B:$B,$I2))</f>
        <v/>
      </c>
      <c r="E1157" s="5">
        <f>IF($I2="","",INDEX(Productos!$H:$H,$I2))</f>
        <v/>
      </c>
      <c r="F1157" s="5">
        <f>IF($I2="","",INDEX(Productos!$I:$I,$I2))</f>
        <v/>
      </c>
      <c r="G1157" s="135" t="n">
        <v>-2</v>
      </c>
      <c r="H1157" s="5">
        <f>IF($I2="","",INDEX(Productos!$AG:$AG,$I2))</f>
        <v/>
      </c>
      <c r="I1157" s="136">
        <f>LET(_xlpm.r,Productos!$E$2:$E$2509,_xlpm.m,IFERROR(_xlfn.XMATCH(C1157,_xlpm.r),IFERROR(_xlfn.XMATCH(VALUE(C1157),_xlpm.r),0)),IF(_xlpm.m=0,"",_xlpm.m+1))</f>
        <v/>
      </c>
      <c r="J1157" s="137" t="inlineStr">
        <is>
          <t>NetSuite</t>
        </is>
      </c>
    </row>
    <row r="1158">
      <c r="A1158" s="5" t="inlineStr">
        <is>
          <t>STETSON AMERICAS</t>
        </is>
      </c>
      <c r="B1158" s="5">
        <f>IF($I2="","",INDEX(Productos!$A:$A,$I2))</f>
        <v/>
      </c>
      <c r="C1158" s="134" t="inlineStr">
        <is>
          <t>12-021-BS001-12-1030-255</t>
        </is>
      </c>
      <c r="D1158" s="5">
        <f>IF($I2="","",INDEX(Productos!$B:$B,$I2))</f>
        <v/>
      </c>
      <c r="E1158" s="5">
        <f>IF($I2="","",INDEX(Productos!$H:$H,$I2))</f>
        <v/>
      </c>
      <c r="F1158" s="5">
        <f>IF($I2="","",INDEX(Productos!$I:$I,$I2))</f>
        <v/>
      </c>
      <c r="G1158" s="135" t="n">
        <v>-1</v>
      </c>
      <c r="H1158" s="5">
        <f>IF($I2="","",INDEX(Productos!$AG:$AG,$I2))</f>
        <v/>
      </c>
      <c r="I1158" s="136">
        <f>LET(_xlpm.r,Productos!$E$2:$E$2509,_xlpm.m,IFERROR(_xlfn.XMATCH(C1158,_xlpm.r),IFERROR(_xlfn.XMATCH(VALUE(C1158),_xlpm.r),0)),IF(_xlpm.m=0,"",_xlpm.m+1))</f>
        <v/>
      </c>
      <c r="J1158" s="137" t="inlineStr">
        <is>
          <t>NetSuite</t>
        </is>
      </c>
    </row>
    <row r="1159">
      <c r="A1159" s="5" t="inlineStr">
        <is>
          <t>STETSON AMERICAS</t>
        </is>
      </c>
      <c r="B1159" s="5">
        <f>IF($I2="","",INDEX(Productos!$A:$A,$I2))</f>
        <v/>
      </c>
      <c r="C1159" s="134" t="inlineStr">
        <is>
          <t>12-021-BS001-12-1030-265</t>
        </is>
      </c>
      <c r="D1159" s="5">
        <f>IF($I2="","",INDEX(Productos!$B:$B,$I2))</f>
        <v/>
      </c>
      <c r="E1159" s="5">
        <f>IF($I2="","",INDEX(Productos!$H:$H,$I2))</f>
        <v/>
      </c>
      <c r="F1159" s="5">
        <f>IF($I2="","",INDEX(Productos!$I:$I,$I2))</f>
        <v/>
      </c>
      <c r="G1159" s="135" t="n">
        <v>-1</v>
      </c>
      <c r="H1159" s="5">
        <f>IF($I2="","",INDEX(Productos!$AG:$AG,$I2))</f>
        <v/>
      </c>
      <c r="I1159" s="136">
        <f>LET(_xlpm.r,Productos!$E$2:$E$2509,_xlpm.m,IFERROR(_xlfn.XMATCH(C1159,_xlpm.r),IFERROR(_xlfn.XMATCH(VALUE(C1159),_xlpm.r),0)),IF(_xlpm.m=0,"",_xlpm.m+1))</f>
        <v/>
      </c>
      <c r="J1159" s="137" t="inlineStr">
        <is>
          <t>NetSuite</t>
        </is>
      </c>
    </row>
    <row r="1160">
      <c r="A1160" s="5" t="inlineStr">
        <is>
          <t>STETSON AMERICAS</t>
        </is>
      </c>
      <c r="B1160" s="5">
        <f>IF($I2="","",INDEX(Productos!$A:$A,$I2))</f>
        <v/>
      </c>
      <c r="C1160" s="134" t="inlineStr">
        <is>
          <t>12-021-BS001-12-1031-023</t>
        </is>
      </c>
      <c r="D1160" s="5">
        <f>IF($I2="","",INDEX(Productos!$B:$B,$I2))</f>
        <v/>
      </c>
      <c r="E1160" s="5">
        <f>IF($I2="","",INDEX(Productos!$H:$H,$I2))</f>
        <v/>
      </c>
      <c r="F1160" s="5">
        <f>IF($I2="","",INDEX(Productos!$I:$I,$I2))</f>
        <v/>
      </c>
      <c r="G1160" s="135" t="n">
        <v>-1</v>
      </c>
      <c r="H1160" s="5">
        <f>IF($I2="","",INDEX(Productos!$AG:$AG,$I2))</f>
        <v/>
      </c>
      <c r="I1160" s="136">
        <f>LET(_xlpm.r,Productos!$E$2:$E$2509,_xlpm.m,IFERROR(_xlfn.XMATCH(C1160,_xlpm.r),IFERROR(_xlfn.XMATCH(VALUE(C1160),_xlpm.r),0)),IF(_xlpm.m=0,"",_xlpm.m+1))</f>
        <v/>
      </c>
      <c r="J1160" s="137" t="inlineStr">
        <is>
          <t>NetSuite</t>
        </is>
      </c>
    </row>
    <row r="1161">
      <c r="A1161" s="5" t="inlineStr">
        <is>
          <t>STETSON AMERICAS</t>
        </is>
      </c>
      <c r="B1161" s="5">
        <f>IF($I2="","",INDEX(Productos!$A:$A,$I2))</f>
        <v/>
      </c>
      <c r="C1161" s="134" t="inlineStr">
        <is>
          <t>12-021-BS001-12-1031-025</t>
        </is>
      </c>
      <c r="D1161" s="5">
        <f>IF($I2="","",INDEX(Productos!$B:$B,$I2))</f>
        <v/>
      </c>
      <c r="E1161" s="5">
        <f>IF($I2="","",INDEX(Productos!$H:$H,$I2))</f>
        <v/>
      </c>
      <c r="F1161" s="5">
        <f>IF($I2="","",INDEX(Productos!$I:$I,$I2))</f>
        <v/>
      </c>
      <c r="G1161" s="135" t="n">
        <v>-2</v>
      </c>
      <c r="H1161" s="5">
        <f>IF($I2="","",INDEX(Productos!$AG:$AG,$I2))</f>
        <v/>
      </c>
      <c r="I1161" s="136">
        <f>LET(_xlpm.r,Productos!$E$2:$E$2509,_xlpm.m,IFERROR(_xlfn.XMATCH(C1161,_xlpm.r),IFERROR(_xlfn.XMATCH(VALUE(C1161),_xlpm.r),0)),IF(_xlpm.m=0,"",_xlpm.m+1))</f>
        <v/>
      </c>
      <c r="J1161" s="137" t="inlineStr">
        <is>
          <t>NetSuite</t>
        </is>
      </c>
    </row>
    <row r="1162">
      <c r="A1162" s="5" t="inlineStr">
        <is>
          <t>STETSON AMERICAS</t>
        </is>
      </c>
      <c r="B1162" s="5">
        <f>IF($I2="","",INDEX(Productos!$A:$A,$I2))</f>
        <v/>
      </c>
      <c r="C1162" s="134" t="inlineStr">
        <is>
          <t>12-021-BS001-12-1031-026</t>
        </is>
      </c>
      <c r="D1162" s="5">
        <f>IF($I2="","",INDEX(Productos!$B:$B,$I2))</f>
        <v/>
      </c>
      <c r="E1162" s="5">
        <f>IF($I2="","",INDEX(Productos!$H:$H,$I2))</f>
        <v/>
      </c>
      <c r="F1162" s="5">
        <f>IF($I2="","",INDEX(Productos!$I:$I,$I2))</f>
        <v/>
      </c>
      <c r="G1162" s="135" t="n">
        <v>-1</v>
      </c>
      <c r="H1162" s="5">
        <f>IF($I2="","",INDEX(Productos!$AG:$AG,$I2))</f>
        <v/>
      </c>
      <c r="I1162" s="136">
        <f>LET(_xlpm.r,Productos!$E$2:$E$2509,_xlpm.m,IFERROR(_xlfn.XMATCH(C1162,_xlpm.r),IFERROR(_xlfn.XMATCH(VALUE(C1162),_xlpm.r),0)),IF(_xlpm.m=0,"",_xlpm.m+1))</f>
        <v/>
      </c>
      <c r="J1162" s="137" t="inlineStr">
        <is>
          <t>NetSuite</t>
        </is>
      </c>
    </row>
    <row r="1163">
      <c r="A1163" s="5" t="inlineStr">
        <is>
          <t>STETSON AMERICAS</t>
        </is>
      </c>
      <c r="B1163" s="5">
        <f>IF($I2="","",INDEX(Productos!$A:$A,$I2))</f>
        <v/>
      </c>
      <c r="C1163" s="134" t="inlineStr">
        <is>
          <t>12-021-BS001-12-1031-027</t>
        </is>
      </c>
      <c r="D1163" s="5">
        <f>IF($I2="","",INDEX(Productos!$B:$B,$I2))</f>
        <v/>
      </c>
      <c r="E1163" s="5">
        <f>IF($I2="","",INDEX(Productos!$H:$H,$I2))</f>
        <v/>
      </c>
      <c r="F1163" s="5">
        <f>IF($I2="","",INDEX(Productos!$I:$I,$I2))</f>
        <v/>
      </c>
      <c r="G1163" s="135" t="n">
        <v>-1</v>
      </c>
      <c r="H1163" s="5">
        <f>IF($I2="","",INDEX(Productos!$AG:$AG,$I2))</f>
        <v/>
      </c>
      <c r="I1163" s="136">
        <f>LET(_xlpm.r,Productos!$E$2:$E$2509,_xlpm.m,IFERROR(_xlfn.XMATCH(C1163,_xlpm.r),IFERROR(_xlfn.XMATCH(VALUE(C1163),_xlpm.r),0)),IF(_xlpm.m=0,"",_xlpm.m+1))</f>
        <v/>
      </c>
      <c r="J1163" s="137" t="inlineStr">
        <is>
          <t>NetSuite</t>
        </is>
      </c>
    </row>
    <row r="1164">
      <c r="A1164" s="5" t="inlineStr">
        <is>
          <t>STETSON AMERICAS</t>
        </is>
      </c>
      <c r="B1164" s="5">
        <f>IF($I2="","",INDEX(Productos!$A:$A,$I2))</f>
        <v/>
      </c>
      <c r="C1164" s="134" t="inlineStr">
        <is>
          <t>12-021-BS001-12-1031-245</t>
        </is>
      </c>
      <c r="D1164" s="5">
        <f>IF($I2="","",INDEX(Productos!$B:$B,$I2))</f>
        <v/>
      </c>
      <c r="E1164" s="5">
        <f>IF($I2="","",INDEX(Productos!$H:$H,$I2))</f>
        <v/>
      </c>
      <c r="F1164" s="5">
        <f>IF($I2="","",INDEX(Productos!$I:$I,$I2))</f>
        <v/>
      </c>
      <c r="G1164" s="135" t="n">
        <v>-2</v>
      </c>
      <c r="H1164" s="5">
        <f>IF($I2="","",INDEX(Productos!$AG:$AG,$I2))</f>
        <v/>
      </c>
      <c r="I1164" s="136">
        <f>LET(_xlpm.r,Productos!$E$2:$E$2509,_xlpm.m,IFERROR(_xlfn.XMATCH(C1164,_xlpm.r),IFERROR(_xlfn.XMATCH(VALUE(C1164),_xlpm.r),0)),IF(_xlpm.m=0,"",_xlpm.m+1))</f>
        <v/>
      </c>
      <c r="J1164" s="137" t="inlineStr">
        <is>
          <t>NetSuite</t>
        </is>
      </c>
    </row>
    <row r="1165">
      <c r="A1165" s="5" t="inlineStr">
        <is>
          <t>STETSON AMERICAS</t>
        </is>
      </c>
      <c r="B1165" s="5">
        <f>IF($I2="","",INDEX(Productos!$A:$A,$I2))</f>
        <v/>
      </c>
      <c r="C1165" s="134" t="inlineStr">
        <is>
          <t>12-021-BS001-12-1031-255</t>
        </is>
      </c>
      <c r="D1165" s="5">
        <f>IF($I2="","",INDEX(Productos!$B:$B,$I2))</f>
        <v/>
      </c>
      <c r="E1165" s="5">
        <f>IF($I2="","",INDEX(Productos!$H:$H,$I2))</f>
        <v/>
      </c>
      <c r="F1165" s="5">
        <f>IF($I2="","",INDEX(Productos!$I:$I,$I2))</f>
        <v/>
      </c>
      <c r="G1165" s="135" t="n">
        <v>-2</v>
      </c>
      <c r="H1165" s="5">
        <f>IF($I2="","",INDEX(Productos!$AG:$AG,$I2))</f>
        <v/>
      </c>
      <c r="I1165" s="136">
        <f>LET(_xlpm.r,Productos!$E$2:$E$2509,_xlpm.m,IFERROR(_xlfn.XMATCH(C1165,_xlpm.r),IFERROR(_xlfn.XMATCH(VALUE(C1165),_xlpm.r),0)),IF(_xlpm.m=0,"",_xlpm.m+1))</f>
        <v/>
      </c>
      <c r="J1165" s="137" t="inlineStr">
        <is>
          <t>NetSuite</t>
        </is>
      </c>
    </row>
    <row r="1166">
      <c r="A1166" s="5" t="inlineStr">
        <is>
          <t>STETSON AMERICAS</t>
        </is>
      </c>
      <c r="B1166" s="5">
        <f>IF($I2="","",INDEX(Productos!$A:$A,$I2))</f>
        <v/>
      </c>
      <c r="C1166" s="134" t="inlineStr">
        <is>
          <t>12-021-BS001-12-1031-265</t>
        </is>
      </c>
      <c r="D1166" s="5">
        <f>IF($I2="","",INDEX(Productos!$B:$B,$I2))</f>
        <v/>
      </c>
      <c r="E1166" s="5">
        <f>IF($I2="","",INDEX(Productos!$H:$H,$I2))</f>
        <v/>
      </c>
      <c r="F1166" s="5">
        <f>IF($I2="","",INDEX(Productos!$I:$I,$I2))</f>
        <v/>
      </c>
      <c r="G1166" s="135" t="n">
        <v>-1</v>
      </c>
      <c r="H1166" s="5">
        <f>IF($I2="","",INDEX(Productos!$AG:$AG,$I2))</f>
        <v/>
      </c>
      <c r="I1166" s="136">
        <f>LET(_xlpm.r,Productos!$E$2:$E$2509,_xlpm.m,IFERROR(_xlfn.XMATCH(C1166,_xlpm.r),IFERROR(_xlfn.XMATCH(VALUE(C1166),_xlpm.r),0)),IF(_xlpm.m=0,"",_xlpm.m+1))</f>
        <v/>
      </c>
      <c r="J1166" s="137" t="inlineStr">
        <is>
          <t>NetSuite</t>
        </is>
      </c>
    </row>
    <row r="1167">
      <c r="A1167" s="5" t="inlineStr">
        <is>
          <t>STETSON AMERICAS</t>
        </is>
      </c>
      <c r="B1167" s="5">
        <f>IF($I2="","",INDEX(Productos!$A:$A,$I2))</f>
        <v/>
      </c>
      <c r="C1167" s="134" t="inlineStr">
        <is>
          <t>12-021-BS001-12-1032-024</t>
        </is>
      </c>
      <c r="D1167" s="5">
        <f>IF($I2="","",INDEX(Productos!$B:$B,$I2))</f>
        <v/>
      </c>
      <c r="E1167" s="5">
        <f>IF($I2="","",INDEX(Productos!$H:$H,$I2))</f>
        <v/>
      </c>
      <c r="F1167" s="5">
        <f>IF($I2="","",INDEX(Productos!$I:$I,$I2))</f>
        <v/>
      </c>
      <c r="G1167" s="135" t="n">
        <v>-1</v>
      </c>
      <c r="H1167" s="5">
        <f>IF($I2="","",INDEX(Productos!$AG:$AG,$I2))</f>
        <v/>
      </c>
      <c r="I1167" s="136">
        <f>LET(_xlpm.r,Productos!$E$2:$E$2509,_xlpm.m,IFERROR(_xlfn.XMATCH(C1167,_xlpm.r),IFERROR(_xlfn.XMATCH(VALUE(C1167),_xlpm.r),0)),IF(_xlpm.m=0,"",_xlpm.m+1))</f>
        <v/>
      </c>
      <c r="J1167" s="137" t="inlineStr">
        <is>
          <t>NetSuite</t>
        </is>
      </c>
    </row>
    <row r="1168">
      <c r="A1168" s="5" t="inlineStr">
        <is>
          <t>STETSON AMERICAS</t>
        </is>
      </c>
      <c r="B1168" s="5">
        <f>IF($I2="","",INDEX(Productos!$A:$A,$I2))</f>
        <v/>
      </c>
      <c r="C1168" s="134" t="inlineStr">
        <is>
          <t>12-021-BS001-12-1032-025</t>
        </is>
      </c>
      <c r="D1168" s="5">
        <f>IF($I2="","",INDEX(Productos!$B:$B,$I2))</f>
        <v/>
      </c>
      <c r="E1168" s="5">
        <f>IF($I2="","",INDEX(Productos!$H:$H,$I2))</f>
        <v/>
      </c>
      <c r="F1168" s="5">
        <f>IF($I2="","",INDEX(Productos!$I:$I,$I2))</f>
        <v/>
      </c>
      <c r="G1168" s="135" t="n">
        <v>1</v>
      </c>
      <c r="H1168" s="5">
        <f>IF($I2="","",INDEX(Productos!$AG:$AG,$I2))</f>
        <v/>
      </c>
      <c r="I1168" s="136">
        <f>LET(_xlpm.r,Productos!$E$2:$E$2509,_xlpm.m,IFERROR(_xlfn.XMATCH(C1168,_xlpm.r),IFERROR(_xlfn.XMATCH(VALUE(C1168),_xlpm.r),0)),IF(_xlpm.m=0,"",_xlpm.m+1))</f>
        <v/>
      </c>
      <c r="J1168" s="137" t="inlineStr">
        <is>
          <t>NetSuite</t>
        </is>
      </c>
    </row>
    <row r="1169">
      <c r="A1169" s="5" t="inlineStr">
        <is>
          <t>STETSON AMERICAS</t>
        </is>
      </c>
      <c r="B1169" s="5">
        <f>IF($I2="","",INDEX(Productos!$A:$A,$I2))</f>
        <v/>
      </c>
      <c r="C1169" s="134" t="inlineStr">
        <is>
          <t>12-021-BS001-12-1032-235</t>
        </is>
      </c>
      <c r="D1169" s="5">
        <f>IF($I2="","",INDEX(Productos!$B:$B,$I2))</f>
        <v/>
      </c>
      <c r="E1169" s="5">
        <f>IF($I2="","",INDEX(Productos!$H:$H,$I2))</f>
        <v/>
      </c>
      <c r="F1169" s="5">
        <f>IF($I2="","",INDEX(Productos!$I:$I,$I2))</f>
        <v/>
      </c>
      <c r="G1169" s="135" t="n">
        <v>1</v>
      </c>
      <c r="H1169" s="5">
        <f>IF($I2="","",INDEX(Productos!$AG:$AG,$I2))</f>
        <v/>
      </c>
      <c r="I1169" s="136">
        <f>LET(_xlpm.r,Productos!$E$2:$E$2509,_xlpm.m,IFERROR(_xlfn.XMATCH(C1169,_xlpm.r),IFERROR(_xlfn.XMATCH(VALUE(C1169),_xlpm.r),0)),IF(_xlpm.m=0,"",_xlpm.m+1))</f>
        <v/>
      </c>
      <c r="J1169" s="137" t="inlineStr">
        <is>
          <t>NetSuite</t>
        </is>
      </c>
    </row>
    <row r="1170">
      <c r="A1170" s="5" t="inlineStr">
        <is>
          <t>STETSON AMERICAS</t>
        </is>
      </c>
      <c r="B1170" s="5">
        <f>IF($I2="","",INDEX(Productos!$A:$A,$I2))</f>
        <v/>
      </c>
      <c r="C1170" s="134" t="inlineStr">
        <is>
          <t>12-021-BS001-12-1032-245</t>
        </is>
      </c>
      <c r="D1170" s="5">
        <f>IF($I2="","",INDEX(Productos!$B:$B,$I2))</f>
        <v/>
      </c>
      <c r="E1170" s="5">
        <f>IF($I2="","",INDEX(Productos!$H:$H,$I2))</f>
        <v/>
      </c>
      <c r="F1170" s="5">
        <f>IF($I2="","",INDEX(Productos!$I:$I,$I2))</f>
        <v/>
      </c>
      <c r="G1170" s="135" t="n">
        <v>1</v>
      </c>
      <c r="H1170" s="5">
        <f>IF($I2="","",INDEX(Productos!$AG:$AG,$I2))</f>
        <v/>
      </c>
      <c r="I1170" s="136">
        <f>LET(_xlpm.r,Productos!$E$2:$E$2509,_xlpm.m,IFERROR(_xlfn.XMATCH(C1170,_xlpm.r),IFERROR(_xlfn.XMATCH(VALUE(C1170),_xlpm.r),0)),IF(_xlpm.m=0,"",_xlpm.m+1))</f>
        <v/>
      </c>
      <c r="J1170" s="137" t="inlineStr">
        <is>
          <t>NetSuite</t>
        </is>
      </c>
    </row>
    <row r="1171">
      <c r="A1171" s="5" t="inlineStr">
        <is>
          <t>STETSON AMERICAS</t>
        </is>
      </c>
      <c r="B1171" s="5">
        <f>IF($I2="","",INDEX(Productos!$A:$A,$I2))</f>
        <v/>
      </c>
      <c r="C1171" s="134" t="inlineStr">
        <is>
          <t>12-021-BS001-12-1032-255</t>
        </is>
      </c>
      <c r="D1171" s="5">
        <f>IF($I2="","",INDEX(Productos!$B:$B,$I2))</f>
        <v/>
      </c>
      <c r="E1171" s="5">
        <f>IF($I2="","",INDEX(Productos!$H:$H,$I2))</f>
        <v/>
      </c>
      <c r="F1171" s="5">
        <f>IF($I2="","",INDEX(Productos!$I:$I,$I2))</f>
        <v/>
      </c>
      <c r="G1171" s="135" t="n">
        <v>2</v>
      </c>
      <c r="H1171" s="5">
        <f>IF($I2="","",INDEX(Productos!$AG:$AG,$I2))</f>
        <v/>
      </c>
      <c r="I1171" s="136">
        <f>LET(_xlpm.r,Productos!$E$2:$E$2509,_xlpm.m,IFERROR(_xlfn.XMATCH(C1171,_xlpm.r),IFERROR(_xlfn.XMATCH(VALUE(C1171),_xlpm.r),0)),IF(_xlpm.m=0,"",_xlpm.m+1))</f>
        <v/>
      </c>
      <c r="J1171" s="137" t="inlineStr">
        <is>
          <t>NetSuite</t>
        </is>
      </c>
    </row>
    <row r="1172">
      <c r="A1172" s="5" t="inlineStr">
        <is>
          <t>STETSON AMERICAS</t>
        </is>
      </c>
      <c r="B1172" s="5">
        <f>IF($I2="","",INDEX(Productos!$A:$A,$I2))</f>
        <v/>
      </c>
      <c r="C1172" s="134" t="inlineStr">
        <is>
          <t>12-021-BS001-12-1032-265</t>
        </is>
      </c>
      <c r="D1172" s="5">
        <f>IF($I2="","",INDEX(Productos!$B:$B,$I2))</f>
        <v/>
      </c>
      <c r="E1172" s="5">
        <f>IF($I2="","",INDEX(Productos!$H:$H,$I2))</f>
        <v/>
      </c>
      <c r="F1172" s="5">
        <f>IF($I2="","",INDEX(Productos!$I:$I,$I2))</f>
        <v/>
      </c>
      <c r="G1172" s="135" t="n">
        <v>1</v>
      </c>
      <c r="H1172" s="5">
        <f>IF($I2="","",INDEX(Productos!$AG:$AG,$I2))</f>
        <v/>
      </c>
      <c r="I1172" s="136">
        <f>LET(_xlpm.r,Productos!$E$2:$E$2509,_xlpm.m,IFERROR(_xlfn.XMATCH(C1172,_xlpm.r),IFERROR(_xlfn.XMATCH(VALUE(C1172),_xlpm.r),0)),IF(_xlpm.m=0,"",_xlpm.m+1))</f>
        <v/>
      </c>
      <c r="J1172" s="137" t="inlineStr">
        <is>
          <t>NetSuite</t>
        </is>
      </c>
    </row>
    <row r="1173">
      <c r="A1173" s="5" t="inlineStr">
        <is>
          <t>STETSON AMERICAS</t>
        </is>
      </c>
      <c r="B1173" s="5">
        <f>IF($I2="","",INDEX(Productos!$A:$A,$I2))</f>
        <v/>
      </c>
      <c r="C1173" s="134" t="inlineStr">
        <is>
          <t>12-021-BS001-12-1033-023</t>
        </is>
      </c>
      <c r="D1173" s="5">
        <f>IF($I2="","",INDEX(Productos!$B:$B,$I2))</f>
        <v/>
      </c>
      <c r="E1173" s="5">
        <f>IF($I2="","",INDEX(Productos!$H:$H,$I2))</f>
        <v/>
      </c>
      <c r="F1173" s="5">
        <f>IF($I2="","",INDEX(Productos!$I:$I,$I2))</f>
        <v/>
      </c>
      <c r="G1173" s="135" t="n">
        <v>1</v>
      </c>
      <c r="H1173" s="5">
        <f>IF($I2="","",INDEX(Productos!$AG:$AG,$I2))</f>
        <v/>
      </c>
      <c r="I1173" s="136">
        <f>LET(_xlpm.r,Productos!$E$2:$E$2509,_xlpm.m,IFERROR(_xlfn.XMATCH(C1173,_xlpm.r),IFERROR(_xlfn.XMATCH(VALUE(C1173),_xlpm.r),0)),IF(_xlpm.m=0,"",_xlpm.m+1))</f>
        <v/>
      </c>
      <c r="J1173" s="137" t="inlineStr">
        <is>
          <t>NetSuite</t>
        </is>
      </c>
    </row>
    <row r="1174">
      <c r="A1174" s="5" t="inlineStr">
        <is>
          <t>STETSON AMERICAS</t>
        </is>
      </c>
      <c r="B1174" s="5">
        <f>IF($I2="","",INDEX(Productos!$A:$A,$I2))</f>
        <v/>
      </c>
      <c r="C1174" s="134" t="inlineStr">
        <is>
          <t>12-021-BS001-12-1033-024</t>
        </is>
      </c>
      <c r="D1174" s="5">
        <f>IF($I2="","",INDEX(Productos!$B:$B,$I2))</f>
        <v/>
      </c>
      <c r="E1174" s="5">
        <f>IF($I2="","",INDEX(Productos!$H:$H,$I2))</f>
        <v/>
      </c>
      <c r="F1174" s="5">
        <f>IF($I2="","",INDEX(Productos!$I:$I,$I2))</f>
        <v/>
      </c>
      <c r="G1174" s="135" t="n">
        <v>1</v>
      </c>
      <c r="H1174" s="5">
        <f>IF($I2="","",INDEX(Productos!$AG:$AG,$I2))</f>
        <v/>
      </c>
      <c r="I1174" s="136">
        <f>LET(_xlpm.r,Productos!$E$2:$E$2509,_xlpm.m,IFERROR(_xlfn.XMATCH(C1174,_xlpm.r),IFERROR(_xlfn.XMATCH(VALUE(C1174),_xlpm.r),0)),IF(_xlpm.m=0,"",_xlpm.m+1))</f>
        <v/>
      </c>
      <c r="J1174" s="137" t="inlineStr">
        <is>
          <t>NetSuite</t>
        </is>
      </c>
    </row>
    <row r="1175">
      <c r="A1175" s="5" t="inlineStr">
        <is>
          <t>STETSON AMERICAS</t>
        </is>
      </c>
      <c r="B1175" s="5">
        <f>IF($I2="","",INDEX(Productos!$A:$A,$I2))</f>
        <v/>
      </c>
      <c r="C1175" s="134" t="inlineStr">
        <is>
          <t>12-021-BS001-12-1033-025</t>
        </is>
      </c>
      <c r="D1175" s="5">
        <f>IF($I2="","",INDEX(Productos!$B:$B,$I2))</f>
        <v/>
      </c>
      <c r="E1175" s="5">
        <f>IF($I2="","",INDEX(Productos!$H:$H,$I2))</f>
        <v/>
      </c>
      <c r="F1175" s="5">
        <f>IF($I2="","",INDEX(Productos!$I:$I,$I2))</f>
        <v/>
      </c>
      <c r="G1175" s="135" t="n">
        <v>2</v>
      </c>
      <c r="H1175" s="5">
        <f>IF($I2="","",INDEX(Productos!$AG:$AG,$I2))</f>
        <v/>
      </c>
      <c r="I1175" s="136">
        <f>LET(_xlpm.r,Productos!$E$2:$E$2509,_xlpm.m,IFERROR(_xlfn.XMATCH(C1175,_xlpm.r),IFERROR(_xlfn.XMATCH(VALUE(C1175),_xlpm.r),0)),IF(_xlpm.m=0,"",_xlpm.m+1))</f>
        <v/>
      </c>
      <c r="J1175" s="137" t="inlineStr">
        <is>
          <t>NetSuite</t>
        </is>
      </c>
    </row>
    <row r="1176">
      <c r="A1176" s="5" t="inlineStr">
        <is>
          <t>STETSON AMERICAS</t>
        </is>
      </c>
      <c r="B1176" s="5">
        <f>IF($I2="","",INDEX(Productos!$A:$A,$I2))</f>
        <v/>
      </c>
      <c r="C1176" s="134" t="inlineStr">
        <is>
          <t>12-021-BS001-12-1033-026</t>
        </is>
      </c>
      <c r="D1176" s="5">
        <f>IF($I2="","",INDEX(Productos!$B:$B,$I2))</f>
        <v/>
      </c>
      <c r="E1176" s="5">
        <f>IF($I2="","",INDEX(Productos!$H:$H,$I2))</f>
        <v/>
      </c>
      <c r="F1176" s="5">
        <f>IF($I2="","",INDEX(Productos!$I:$I,$I2))</f>
        <v/>
      </c>
      <c r="G1176" s="135" t="n">
        <v>-1</v>
      </c>
      <c r="H1176" s="5">
        <f>IF($I2="","",INDEX(Productos!$AG:$AG,$I2))</f>
        <v/>
      </c>
      <c r="I1176" s="136">
        <f>LET(_xlpm.r,Productos!$E$2:$E$2509,_xlpm.m,IFERROR(_xlfn.XMATCH(C1176,_xlpm.r),IFERROR(_xlfn.XMATCH(VALUE(C1176),_xlpm.r),0)),IF(_xlpm.m=0,"",_xlpm.m+1))</f>
        <v/>
      </c>
      <c r="J1176" s="137" t="inlineStr">
        <is>
          <t>NetSuite</t>
        </is>
      </c>
    </row>
    <row r="1177">
      <c r="A1177" s="5" t="inlineStr">
        <is>
          <t>STETSON AMERICAS</t>
        </is>
      </c>
      <c r="B1177" s="5">
        <f>IF($I2="","",INDEX(Productos!$A:$A,$I2))</f>
        <v/>
      </c>
      <c r="C1177" s="134" t="inlineStr">
        <is>
          <t>12-021-BS001-12-1033-255</t>
        </is>
      </c>
      <c r="D1177" s="5">
        <f>IF($I2="","",INDEX(Productos!$B:$B,$I2))</f>
        <v/>
      </c>
      <c r="E1177" s="5">
        <f>IF($I2="","",INDEX(Productos!$H:$H,$I2))</f>
        <v/>
      </c>
      <c r="F1177" s="5">
        <f>IF($I2="","",INDEX(Productos!$I:$I,$I2))</f>
        <v/>
      </c>
      <c r="G1177" s="135" t="n">
        <v>2</v>
      </c>
      <c r="H1177" s="5">
        <f>IF($I2="","",INDEX(Productos!$AG:$AG,$I2))</f>
        <v/>
      </c>
      <c r="I1177" s="136">
        <f>LET(_xlpm.r,Productos!$E$2:$E$2509,_xlpm.m,IFERROR(_xlfn.XMATCH(C1177,_xlpm.r),IFERROR(_xlfn.XMATCH(VALUE(C1177),_xlpm.r),0)),IF(_xlpm.m=0,"",_xlpm.m+1))</f>
        <v/>
      </c>
      <c r="J1177" s="137" t="inlineStr">
        <is>
          <t>NetSuite</t>
        </is>
      </c>
    </row>
    <row r="1178">
      <c r="A1178" s="5" t="inlineStr">
        <is>
          <t>STETSON AMERICAS</t>
        </is>
      </c>
      <c r="B1178" s="5">
        <f>IF($I2="","",INDEX(Productos!$A:$A,$I2))</f>
        <v/>
      </c>
      <c r="C1178" s="134" t="inlineStr">
        <is>
          <t>12-021-BS001-12-1033-265</t>
        </is>
      </c>
      <c r="D1178" s="5">
        <f>IF($I2="","",INDEX(Productos!$B:$B,$I2))</f>
        <v/>
      </c>
      <c r="E1178" s="5">
        <f>IF($I2="","",INDEX(Productos!$H:$H,$I2))</f>
        <v/>
      </c>
      <c r="F1178" s="5">
        <f>IF($I2="","",INDEX(Productos!$I:$I,$I2))</f>
        <v/>
      </c>
      <c r="G1178" s="135" t="n">
        <v>1</v>
      </c>
      <c r="H1178" s="5">
        <f>IF($I2="","",INDEX(Productos!$AG:$AG,$I2))</f>
        <v/>
      </c>
      <c r="I1178" s="136">
        <f>LET(_xlpm.r,Productos!$E$2:$E$2509,_xlpm.m,IFERROR(_xlfn.XMATCH(C1178,_xlpm.r),IFERROR(_xlfn.XMATCH(VALUE(C1178),_xlpm.r),0)),IF(_xlpm.m=0,"",_xlpm.m+1))</f>
        <v/>
      </c>
      <c r="J1178" s="137" t="inlineStr">
        <is>
          <t>NetSuite</t>
        </is>
      </c>
    </row>
    <row r="1179">
      <c r="A1179" s="5" t="inlineStr">
        <is>
          <t>STETSON AMERICAS</t>
        </is>
      </c>
      <c r="B1179" s="5">
        <f>IF($I2="","",INDEX(Productos!$A:$A,$I2))</f>
        <v/>
      </c>
      <c r="C1179" s="134" t="inlineStr">
        <is>
          <t>12-021-BS002-13-1034-024</t>
        </is>
      </c>
      <c r="D1179" s="5">
        <f>IF($I2="","",INDEX(Productos!$B:$B,$I2))</f>
        <v/>
      </c>
      <c r="E1179" s="5">
        <f>IF($I2="","",INDEX(Productos!$H:$H,$I2))</f>
        <v/>
      </c>
      <c r="F1179" s="5">
        <f>IF($I2="","",INDEX(Productos!$I:$I,$I2))</f>
        <v/>
      </c>
      <c r="G1179" s="135" t="n">
        <v>2</v>
      </c>
      <c r="H1179" s="5">
        <f>IF($I2="","",INDEX(Productos!$AG:$AG,$I2))</f>
        <v/>
      </c>
      <c r="I1179" s="136">
        <f>LET(_xlpm.r,Productos!$E$2:$E$2509,_xlpm.m,IFERROR(_xlfn.XMATCH(C1179,_xlpm.r),IFERROR(_xlfn.XMATCH(VALUE(C1179),_xlpm.r),0)),IF(_xlpm.m=0,"",_xlpm.m+1))</f>
        <v/>
      </c>
      <c r="J1179" s="137" t="inlineStr">
        <is>
          <t>NetSuite</t>
        </is>
      </c>
    </row>
    <row r="1180">
      <c r="A1180" s="5" t="inlineStr">
        <is>
          <t>STETSON AMERICAS</t>
        </is>
      </c>
      <c r="B1180" s="5">
        <f>IF($I2="","",INDEX(Productos!$A:$A,$I2))</f>
        <v/>
      </c>
      <c r="C1180" s="134" t="inlineStr">
        <is>
          <t>12-021-BS002-13-1034-025</t>
        </is>
      </c>
      <c r="D1180" s="5">
        <f>IF($I2="","",INDEX(Productos!$B:$B,$I2))</f>
        <v/>
      </c>
      <c r="E1180" s="5">
        <f>IF($I2="","",INDEX(Productos!$H:$H,$I2))</f>
        <v/>
      </c>
      <c r="F1180" s="5">
        <f>IF($I2="","",INDEX(Productos!$I:$I,$I2))</f>
        <v/>
      </c>
      <c r="G1180" s="135" t="n">
        <v>2</v>
      </c>
      <c r="H1180" s="5">
        <f>IF($I2="","",INDEX(Productos!$AG:$AG,$I2))</f>
        <v/>
      </c>
      <c r="I1180" s="136">
        <f>LET(_xlpm.r,Productos!$E$2:$E$2509,_xlpm.m,IFERROR(_xlfn.XMATCH(C1180,_xlpm.r),IFERROR(_xlfn.XMATCH(VALUE(C1180),_xlpm.r),0)),IF(_xlpm.m=0,"",_xlpm.m+1))</f>
        <v/>
      </c>
      <c r="J1180" s="137" t="inlineStr">
        <is>
          <t>NetSuite</t>
        </is>
      </c>
    </row>
    <row r="1181">
      <c r="A1181" s="5" t="inlineStr">
        <is>
          <t>STETSON AMERICAS</t>
        </is>
      </c>
      <c r="B1181" s="5">
        <f>IF($I2="","",INDEX(Productos!$A:$A,$I2))</f>
        <v/>
      </c>
      <c r="C1181" s="134" t="inlineStr">
        <is>
          <t>12-021-BS002-13-1034-026</t>
        </is>
      </c>
      <c r="D1181" s="5">
        <f>IF($I2="","",INDEX(Productos!$B:$B,$I2))</f>
        <v/>
      </c>
      <c r="E1181" s="5">
        <f>IF($I2="","",INDEX(Productos!$H:$H,$I2))</f>
        <v/>
      </c>
      <c r="F1181" s="5">
        <f>IF($I2="","",INDEX(Productos!$I:$I,$I2))</f>
        <v/>
      </c>
      <c r="G1181" s="135" t="n">
        <v>1</v>
      </c>
      <c r="H1181" s="5">
        <f>IF($I2="","",INDEX(Productos!$AG:$AG,$I2))</f>
        <v/>
      </c>
      <c r="I1181" s="136">
        <f>LET(_xlpm.r,Productos!$E$2:$E$2509,_xlpm.m,IFERROR(_xlfn.XMATCH(C1181,_xlpm.r),IFERROR(_xlfn.XMATCH(VALUE(C1181),_xlpm.r),0)),IF(_xlpm.m=0,"",_xlpm.m+1))</f>
        <v/>
      </c>
      <c r="J1181" s="137" t="inlineStr">
        <is>
          <t>NetSuite</t>
        </is>
      </c>
    </row>
    <row r="1182">
      <c r="A1182" s="5" t="inlineStr">
        <is>
          <t>STETSON AMERICAS</t>
        </is>
      </c>
      <c r="B1182" s="5">
        <f>IF($I2="","",INDEX(Productos!$A:$A,$I2))</f>
        <v/>
      </c>
      <c r="C1182" s="134" t="inlineStr">
        <is>
          <t>12-021-BS002-13-1034-245</t>
        </is>
      </c>
      <c r="D1182" s="5">
        <f>IF($I2="","",INDEX(Productos!$B:$B,$I2))</f>
        <v/>
      </c>
      <c r="E1182" s="5">
        <f>IF($I2="","",INDEX(Productos!$H:$H,$I2))</f>
        <v/>
      </c>
      <c r="F1182" s="5">
        <f>IF($I2="","",INDEX(Productos!$I:$I,$I2))</f>
        <v/>
      </c>
      <c r="G1182" s="135" t="n">
        <v>2</v>
      </c>
      <c r="H1182" s="5">
        <f>IF($I2="","",INDEX(Productos!$AG:$AG,$I2))</f>
        <v/>
      </c>
      <c r="I1182" s="136">
        <f>LET(_xlpm.r,Productos!$E$2:$E$2509,_xlpm.m,IFERROR(_xlfn.XMATCH(C1182,_xlpm.r),IFERROR(_xlfn.XMATCH(VALUE(C1182),_xlpm.r),0)),IF(_xlpm.m=0,"",_xlpm.m+1))</f>
        <v/>
      </c>
      <c r="J1182" s="137" t="inlineStr">
        <is>
          <t>NetSuite</t>
        </is>
      </c>
    </row>
    <row r="1183">
      <c r="A1183" s="5" t="inlineStr">
        <is>
          <t>STETSON AMERICAS</t>
        </is>
      </c>
      <c r="B1183" s="5">
        <f>IF($I2="","",INDEX(Productos!$A:$A,$I2))</f>
        <v/>
      </c>
      <c r="C1183" s="134" t="inlineStr">
        <is>
          <t>12-021-BS002-13-1034-255</t>
        </is>
      </c>
      <c r="D1183" s="5">
        <f>IF($I2="","",INDEX(Productos!$B:$B,$I2))</f>
        <v/>
      </c>
      <c r="E1183" s="5">
        <f>IF($I2="","",INDEX(Productos!$H:$H,$I2))</f>
        <v/>
      </c>
      <c r="F1183" s="5">
        <f>IF($I2="","",INDEX(Productos!$I:$I,$I2))</f>
        <v/>
      </c>
      <c r="G1183" s="135" t="n">
        <v>1</v>
      </c>
      <c r="H1183" s="5">
        <f>IF($I2="","",INDEX(Productos!$AG:$AG,$I2))</f>
        <v/>
      </c>
      <c r="I1183" s="136">
        <f>LET(_xlpm.r,Productos!$E$2:$E$2509,_xlpm.m,IFERROR(_xlfn.XMATCH(C1183,_xlpm.r),IFERROR(_xlfn.XMATCH(VALUE(C1183),_xlpm.r),0)),IF(_xlpm.m=0,"",_xlpm.m+1))</f>
        <v/>
      </c>
      <c r="J1183" s="137" t="inlineStr">
        <is>
          <t>NetSuite</t>
        </is>
      </c>
    </row>
    <row r="1184">
      <c r="A1184" s="5" t="inlineStr">
        <is>
          <t>STETSON AMERICAS</t>
        </is>
      </c>
      <c r="B1184" s="5">
        <f>IF($I2="","",INDEX(Productos!$A:$A,$I2))</f>
        <v/>
      </c>
      <c r="C1184" s="134" t="inlineStr">
        <is>
          <t>12-021-BS002-13-1035-024</t>
        </is>
      </c>
      <c r="D1184" s="5">
        <f>IF($I2="","",INDEX(Productos!$B:$B,$I2))</f>
        <v/>
      </c>
      <c r="E1184" s="5">
        <f>IF($I2="","",INDEX(Productos!$H:$H,$I2))</f>
        <v/>
      </c>
      <c r="F1184" s="5">
        <f>IF($I2="","",INDEX(Productos!$I:$I,$I2))</f>
        <v/>
      </c>
      <c r="G1184" s="135" t="n">
        <v>2</v>
      </c>
      <c r="H1184" s="5">
        <f>IF($I2="","",INDEX(Productos!$AG:$AG,$I2))</f>
        <v/>
      </c>
      <c r="I1184" s="136">
        <f>LET(_xlpm.r,Productos!$E$2:$E$2509,_xlpm.m,IFERROR(_xlfn.XMATCH(C1184,_xlpm.r),IFERROR(_xlfn.XMATCH(VALUE(C1184),_xlpm.r),0)),IF(_xlpm.m=0,"",_xlpm.m+1))</f>
        <v/>
      </c>
      <c r="J1184" s="137" t="inlineStr">
        <is>
          <t>NetSuite</t>
        </is>
      </c>
    </row>
    <row r="1185">
      <c r="A1185" s="5" t="inlineStr">
        <is>
          <t>STETSON AMERICAS</t>
        </is>
      </c>
      <c r="B1185" s="5">
        <f>IF($I2="","",INDEX(Productos!$A:$A,$I2))</f>
        <v/>
      </c>
      <c r="C1185" s="134" t="inlineStr">
        <is>
          <t>12-021-BS002-13-1035-025</t>
        </is>
      </c>
      <c r="D1185" s="5">
        <f>IF($I2="","",INDEX(Productos!$B:$B,$I2))</f>
        <v/>
      </c>
      <c r="E1185" s="5">
        <f>IF($I2="","",INDEX(Productos!$H:$H,$I2))</f>
        <v/>
      </c>
      <c r="F1185" s="5">
        <f>IF($I2="","",INDEX(Productos!$I:$I,$I2))</f>
        <v/>
      </c>
      <c r="G1185" s="135" t="n">
        <v>2</v>
      </c>
      <c r="H1185" s="5">
        <f>IF($I2="","",INDEX(Productos!$AG:$AG,$I2))</f>
        <v/>
      </c>
      <c r="I1185" s="136">
        <f>LET(_xlpm.r,Productos!$E$2:$E$2509,_xlpm.m,IFERROR(_xlfn.XMATCH(C1185,_xlpm.r),IFERROR(_xlfn.XMATCH(VALUE(C1185),_xlpm.r),0)),IF(_xlpm.m=0,"",_xlpm.m+1))</f>
        <v/>
      </c>
      <c r="J1185" s="137" t="inlineStr">
        <is>
          <t>NetSuite</t>
        </is>
      </c>
    </row>
    <row r="1186">
      <c r="A1186" s="5" t="inlineStr">
        <is>
          <t>STETSON AMERICAS</t>
        </is>
      </c>
      <c r="B1186" s="5">
        <f>IF($I2="","",INDEX(Productos!$A:$A,$I2))</f>
        <v/>
      </c>
      <c r="C1186" s="134" t="inlineStr">
        <is>
          <t>12-021-BS002-13-1035-026</t>
        </is>
      </c>
      <c r="D1186" s="5">
        <f>IF($I2="","",INDEX(Productos!$B:$B,$I2))</f>
        <v/>
      </c>
      <c r="E1186" s="5">
        <f>IF($I2="","",INDEX(Productos!$H:$H,$I2))</f>
        <v/>
      </c>
      <c r="F1186" s="5">
        <f>IF($I2="","",INDEX(Productos!$I:$I,$I2))</f>
        <v/>
      </c>
      <c r="G1186" s="135" t="n">
        <v>1</v>
      </c>
      <c r="H1186" s="5">
        <f>IF($I2="","",INDEX(Productos!$AG:$AG,$I2))</f>
        <v/>
      </c>
      <c r="I1186" s="136">
        <f>LET(_xlpm.r,Productos!$E$2:$E$2509,_xlpm.m,IFERROR(_xlfn.XMATCH(C1186,_xlpm.r),IFERROR(_xlfn.XMATCH(VALUE(C1186),_xlpm.r),0)),IF(_xlpm.m=0,"",_xlpm.m+1))</f>
        <v/>
      </c>
      <c r="J1186" s="137" t="inlineStr">
        <is>
          <t>NetSuite</t>
        </is>
      </c>
    </row>
    <row r="1187">
      <c r="A1187" s="5" t="inlineStr">
        <is>
          <t>STETSON AMERICAS</t>
        </is>
      </c>
      <c r="B1187" s="5">
        <f>IF($I2="","",INDEX(Productos!$A:$A,$I2))</f>
        <v/>
      </c>
      <c r="C1187" s="134" t="inlineStr">
        <is>
          <t>12-021-BS002-13-1035-245</t>
        </is>
      </c>
      <c r="D1187" s="5">
        <f>IF($I2="","",INDEX(Productos!$B:$B,$I2))</f>
        <v/>
      </c>
      <c r="E1187" s="5">
        <f>IF($I2="","",INDEX(Productos!$H:$H,$I2))</f>
        <v/>
      </c>
      <c r="F1187" s="5">
        <f>IF($I2="","",INDEX(Productos!$I:$I,$I2))</f>
        <v/>
      </c>
      <c r="G1187" s="135" t="n">
        <v>2</v>
      </c>
      <c r="H1187" s="5">
        <f>IF($I2="","",INDEX(Productos!$AG:$AG,$I2))</f>
        <v/>
      </c>
      <c r="I1187" s="136">
        <f>LET(_xlpm.r,Productos!$E$2:$E$2509,_xlpm.m,IFERROR(_xlfn.XMATCH(C1187,_xlpm.r),IFERROR(_xlfn.XMATCH(VALUE(C1187),_xlpm.r),0)),IF(_xlpm.m=0,"",_xlpm.m+1))</f>
        <v/>
      </c>
      <c r="J1187" s="137" t="inlineStr">
        <is>
          <t>NetSuite</t>
        </is>
      </c>
    </row>
    <row r="1188">
      <c r="A1188" s="5" t="inlineStr">
        <is>
          <t>STETSON AMERICAS</t>
        </is>
      </c>
      <c r="B1188" s="5">
        <f>IF($I2="","",INDEX(Productos!$A:$A,$I2))</f>
        <v/>
      </c>
      <c r="C1188" s="134" t="inlineStr">
        <is>
          <t>12-021-BS002-13-1035-255</t>
        </is>
      </c>
      <c r="D1188" s="5">
        <f>IF($I2="","",INDEX(Productos!$B:$B,$I2))</f>
        <v/>
      </c>
      <c r="E1188" s="5">
        <f>IF($I2="","",INDEX(Productos!$H:$H,$I2))</f>
        <v/>
      </c>
      <c r="F1188" s="5">
        <f>IF($I2="","",INDEX(Productos!$I:$I,$I2))</f>
        <v/>
      </c>
      <c r="G1188" s="135" t="n">
        <v>1</v>
      </c>
      <c r="H1188" s="5">
        <f>IF($I2="","",INDEX(Productos!$AG:$AG,$I2))</f>
        <v/>
      </c>
      <c r="I1188" s="136">
        <f>LET(_xlpm.r,Productos!$E$2:$E$2509,_xlpm.m,IFERROR(_xlfn.XMATCH(C1188,_xlpm.r),IFERROR(_xlfn.XMATCH(VALUE(C1188),_xlpm.r),0)),IF(_xlpm.m=0,"",_xlpm.m+1))</f>
        <v/>
      </c>
      <c r="J1188" s="137" t="inlineStr">
        <is>
          <t>NetSuite</t>
        </is>
      </c>
    </row>
    <row r="1189">
      <c r="A1189" s="5" t="inlineStr">
        <is>
          <t>STETSON AMERICAS</t>
        </is>
      </c>
      <c r="B1189" s="5">
        <f>IF($I2="","",INDEX(Productos!$A:$A,$I2))</f>
        <v/>
      </c>
      <c r="C1189" s="134" t="inlineStr">
        <is>
          <t>12-021-BS002-13-1036-023</t>
        </is>
      </c>
      <c r="D1189" s="5">
        <f>IF($I2="","",INDEX(Productos!$B:$B,$I2))</f>
        <v/>
      </c>
      <c r="E1189" s="5">
        <f>IF($I2="","",INDEX(Productos!$H:$H,$I2))</f>
        <v/>
      </c>
      <c r="F1189" s="5">
        <f>IF($I2="","",INDEX(Productos!$I:$I,$I2))</f>
        <v/>
      </c>
      <c r="G1189" s="135" t="n">
        <v>1</v>
      </c>
      <c r="H1189" s="5">
        <f>IF($I2="","",INDEX(Productos!$AG:$AG,$I2))</f>
        <v/>
      </c>
      <c r="I1189" s="136">
        <f>LET(_xlpm.r,Productos!$E$2:$E$2509,_xlpm.m,IFERROR(_xlfn.XMATCH(C1189,_xlpm.r),IFERROR(_xlfn.XMATCH(VALUE(C1189),_xlpm.r),0)),IF(_xlpm.m=0,"",_xlpm.m+1))</f>
        <v/>
      </c>
      <c r="J1189" s="137" t="inlineStr">
        <is>
          <t>NetSuite</t>
        </is>
      </c>
    </row>
    <row r="1190">
      <c r="A1190" s="5" t="inlineStr">
        <is>
          <t>STETSON AMERICAS</t>
        </is>
      </c>
      <c r="B1190" s="5">
        <f>IF($I2="","",INDEX(Productos!$A:$A,$I2))</f>
        <v/>
      </c>
      <c r="C1190" s="134" t="inlineStr">
        <is>
          <t>12-021-BS002-13-1036-024</t>
        </is>
      </c>
      <c r="D1190" s="5">
        <f>IF($I2="","",INDEX(Productos!$B:$B,$I2))</f>
        <v/>
      </c>
      <c r="E1190" s="5">
        <f>IF($I2="","",INDEX(Productos!$H:$H,$I2))</f>
        <v/>
      </c>
      <c r="F1190" s="5">
        <f>IF($I2="","",INDEX(Productos!$I:$I,$I2))</f>
        <v/>
      </c>
      <c r="G1190" s="135" t="n">
        <v>2</v>
      </c>
      <c r="H1190" s="5">
        <f>IF($I2="","",INDEX(Productos!$AG:$AG,$I2))</f>
        <v/>
      </c>
      <c r="I1190" s="136">
        <f>LET(_xlpm.r,Productos!$E$2:$E$2509,_xlpm.m,IFERROR(_xlfn.XMATCH(C1190,_xlpm.r),IFERROR(_xlfn.XMATCH(VALUE(C1190),_xlpm.r),0)),IF(_xlpm.m=0,"",_xlpm.m+1))</f>
        <v/>
      </c>
      <c r="J1190" s="137" t="inlineStr">
        <is>
          <t>NetSuite</t>
        </is>
      </c>
    </row>
    <row r="1191">
      <c r="A1191" s="5" t="inlineStr">
        <is>
          <t>STETSON AMERICAS</t>
        </is>
      </c>
      <c r="B1191" s="5">
        <f>IF($I2="","",INDEX(Productos!$A:$A,$I2))</f>
        <v/>
      </c>
      <c r="C1191" s="134" t="inlineStr">
        <is>
          <t>12-021-BS002-13-1036-025</t>
        </is>
      </c>
      <c r="D1191" s="5">
        <f>IF($I2="","",INDEX(Productos!$B:$B,$I2))</f>
        <v/>
      </c>
      <c r="E1191" s="5">
        <f>IF($I2="","",INDEX(Productos!$H:$H,$I2))</f>
        <v/>
      </c>
      <c r="F1191" s="5">
        <f>IF($I2="","",INDEX(Productos!$I:$I,$I2))</f>
        <v/>
      </c>
      <c r="G1191" s="135" t="n">
        <v>2</v>
      </c>
      <c r="H1191" s="5">
        <f>IF($I2="","",INDEX(Productos!$AG:$AG,$I2))</f>
        <v/>
      </c>
      <c r="I1191" s="136">
        <f>LET(_xlpm.r,Productos!$E$2:$E$2509,_xlpm.m,IFERROR(_xlfn.XMATCH(C1191,_xlpm.r),IFERROR(_xlfn.XMATCH(VALUE(C1191),_xlpm.r),0)),IF(_xlpm.m=0,"",_xlpm.m+1))</f>
        <v/>
      </c>
      <c r="J1191" s="137" t="inlineStr">
        <is>
          <t>NetSuite</t>
        </is>
      </c>
    </row>
    <row r="1192">
      <c r="A1192" s="5" t="inlineStr">
        <is>
          <t>STETSON AMERICAS</t>
        </is>
      </c>
      <c r="B1192" s="5">
        <f>IF($I2="","",INDEX(Productos!$A:$A,$I2))</f>
        <v/>
      </c>
      <c r="C1192" s="134" t="inlineStr">
        <is>
          <t>12-021-BS002-13-1036-026</t>
        </is>
      </c>
      <c r="D1192" s="5">
        <f>IF($I2="","",INDEX(Productos!$B:$B,$I2))</f>
        <v/>
      </c>
      <c r="E1192" s="5">
        <f>IF($I2="","",INDEX(Productos!$H:$H,$I2))</f>
        <v/>
      </c>
      <c r="F1192" s="5">
        <f>IF($I2="","",INDEX(Productos!$I:$I,$I2))</f>
        <v/>
      </c>
      <c r="G1192" s="135" t="n">
        <v>1</v>
      </c>
      <c r="H1192" s="5">
        <f>IF($I2="","",INDEX(Productos!$AG:$AG,$I2))</f>
        <v/>
      </c>
      <c r="I1192" s="136">
        <f>LET(_xlpm.r,Productos!$E$2:$E$2509,_xlpm.m,IFERROR(_xlfn.XMATCH(C1192,_xlpm.r),IFERROR(_xlfn.XMATCH(VALUE(C1192),_xlpm.r),0)),IF(_xlpm.m=0,"",_xlpm.m+1))</f>
        <v/>
      </c>
      <c r="J1192" s="137" t="inlineStr">
        <is>
          <t>NetSuite</t>
        </is>
      </c>
    </row>
    <row r="1193">
      <c r="A1193" s="5" t="inlineStr">
        <is>
          <t>STETSON AMERICAS</t>
        </is>
      </c>
      <c r="B1193" s="5">
        <f>IF($I2="","",INDEX(Productos!$A:$A,$I2))</f>
        <v/>
      </c>
      <c r="C1193" s="134" t="inlineStr">
        <is>
          <t>12-021-BS002-13-1036-245</t>
        </is>
      </c>
      <c r="D1193" s="5">
        <f>IF($I2="","",INDEX(Productos!$B:$B,$I2))</f>
        <v/>
      </c>
      <c r="E1193" s="5">
        <f>IF($I2="","",INDEX(Productos!$H:$H,$I2))</f>
        <v/>
      </c>
      <c r="F1193" s="5">
        <f>IF($I2="","",INDEX(Productos!$I:$I,$I2))</f>
        <v/>
      </c>
      <c r="G1193" s="135" t="n">
        <v>2</v>
      </c>
      <c r="H1193" s="5">
        <f>IF($I2="","",INDEX(Productos!$AG:$AG,$I2))</f>
        <v/>
      </c>
      <c r="I1193" s="136">
        <f>LET(_xlpm.r,Productos!$E$2:$E$2509,_xlpm.m,IFERROR(_xlfn.XMATCH(C1193,_xlpm.r),IFERROR(_xlfn.XMATCH(VALUE(C1193),_xlpm.r),0)),IF(_xlpm.m=0,"",_xlpm.m+1))</f>
        <v/>
      </c>
      <c r="J1193" s="137" t="inlineStr">
        <is>
          <t>NetSuite</t>
        </is>
      </c>
    </row>
    <row r="1194">
      <c r="A1194" s="5" t="inlineStr">
        <is>
          <t>STETSON AMERICAS</t>
        </is>
      </c>
      <c r="B1194" s="5">
        <f>IF($I2="","",INDEX(Productos!$A:$A,$I2))</f>
        <v/>
      </c>
      <c r="C1194" s="134" t="inlineStr">
        <is>
          <t>12-021-BS002-13-1036-255</t>
        </is>
      </c>
      <c r="D1194" s="5">
        <f>IF($I2="","",INDEX(Productos!$B:$B,$I2))</f>
        <v/>
      </c>
      <c r="E1194" s="5">
        <f>IF($I2="","",INDEX(Productos!$H:$H,$I2))</f>
        <v/>
      </c>
      <c r="F1194" s="5">
        <f>IF($I2="","",INDEX(Productos!$I:$I,$I2))</f>
        <v/>
      </c>
      <c r="G1194" s="135" t="n">
        <v>2</v>
      </c>
      <c r="H1194" s="5">
        <f>IF($I2="","",INDEX(Productos!$AG:$AG,$I2))</f>
        <v/>
      </c>
      <c r="I1194" s="136">
        <f>LET(_xlpm.r,Productos!$E$2:$E$2509,_xlpm.m,IFERROR(_xlfn.XMATCH(C1194,_xlpm.r),IFERROR(_xlfn.XMATCH(VALUE(C1194),_xlpm.r),0)),IF(_xlpm.m=0,"",_xlpm.m+1))</f>
        <v/>
      </c>
      <c r="J1194" s="137" t="inlineStr">
        <is>
          <t>NetSuite</t>
        </is>
      </c>
    </row>
    <row r="1195">
      <c r="A1195" s="5" t="inlineStr">
        <is>
          <t>STETSON AMERICAS</t>
        </is>
      </c>
      <c r="B1195" s="5">
        <f>IF($I2="","",INDEX(Productos!$A:$A,$I2))</f>
        <v/>
      </c>
      <c r="C1195" s="134" t="inlineStr">
        <is>
          <t>12-021-BS002-13-1036-265</t>
        </is>
      </c>
      <c r="D1195" s="5">
        <f>IF($I2="","",INDEX(Productos!$B:$B,$I2))</f>
        <v/>
      </c>
      <c r="E1195" s="5">
        <f>IF($I2="","",INDEX(Productos!$H:$H,$I2))</f>
        <v/>
      </c>
      <c r="F1195" s="5">
        <f>IF($I2="","",INDEX(Productos!$I:$I,$I2))</f>
        <v/>
      </c>
      <c r="G1195" s="135" t="n">
        <v>1</v>
      </c>
      <c r="H1195" s="5">
        <f>IF($I2="","",INDEX(Productos!$AG:$AG,$I2))</f>
        <v/>
      </c>
      <c r="I1195" s="136">
        <f>LET(_xlpm.r,Productos!$E$2:$E$2509,_xlpm.m,IFERROR(_xlfn.XMATCH(C1195,_xlpm.r),IFERROR(_xlfn.XMATCH(VALUE(C1195),_xlpm.r),0)),IF(_xlpm.m=0,"",_xlpm.m+1))</f>
        <v/>
      </c>
      <c r="J1195" s="137" t="inlineStr">
        <is>
          <t>NetSuite</t>
        </is>
      </c>
    </row>
    <row r="1196">
      <c r="A1196" s="5" t="inlineStr">
        <is>
          <t>STETSON AMERICAS</t>
        </is>
      </c>
      <c r="B1196" s="5">
        <f>IF($I2="","",INDEX(Productos!$A:$A,$I2))</f>
        <v/>
      </c>
      <c r="C1196" s="134" t="inlineStr">
        <is>
          <t>12-021-BS003-13-1037-024</t>
        </is>
      </c>
      <c r="D1196" s="5">
        <f>IF($I2="","",INDEX(Productos!$B:$B,$I2))</f>
        <v/>
      </c>
      <c r="E1196" s="5">
        <f>IF($I2="","",INDEX(Productos!$H:$H,$I2))</f>
        <v/>
      </c>
      <c r="F1196" s="5">
        <f>IF($I2="","",INDEX(Productos!$I:$I,$I2))</f>
        <v/>
      </c>
      <c r="G1196" s="135" t="n">
        <v>-2</v>
      </c>
      <c r="H1196" s="5">
        <f>IF($I2="","",INDEX(Productos!$AG:$AG,$I2))</f>
        <v/>
      </c>
      <c r="I1196" s="136">
        <f>LET(_xlpm.r,Productos!$E$2:$E$2509,_xlpm.m,IFERROR(_xlfn.XMATCH(C1196,_xlpm.r),IFERROR(_xlfn.XMATCH(VALUE(C1196),_xlpm.r),0)),IF(_xlpm.m=0,"",_xlpm.m+1))</f>
        <v/>
      </c>
      <c r="J1196" s="137" t="inlineStr">
        <is>
          <t>NetSuite</t>
        </is>
      </c>
    </row>
    <row r="1197">
      <c r="A1197" s="5" t="inlineStr">
        <is>
          <t>STETSON AMERICAS</t>
        </is>
      </c>
      <c r="B1197" s="5">
        <f>IF($I2="","",INDEX(Productos!$A:$A,$I2))</f>
        <v/>
      </c>
      <c r="C1197" s="134" t="inlineStr">
        <is>
          <t>12-021-BS003-13-1037-026</t>
        </is>
      </c>
      <c r="D1197" s="5">
        <f>IF($I2="","",INDEX(Productos!$B:$B,$I2))</f>
        <v/>
      </c>
      <c r="E1197" s="5">
        <f>IF($I2="","",INDEX(Productos!$H:$H,$I2))</f>
        <v/>
      </c>
      <c r="F1197" s="5">
        <f>IF($I2="","",INDEX(Productos!$I:$I,$I2))</f>
        <v/>
      </c>
      <c r="G1197" s="135" t="n">
        <v>-1</v>
      </c>
      <c r="H1197" s="5">
        <f>IF($I2="","",INDEX(Productos!$AG:$AG,$I2))</f>
        <v/>
      </c>
      <c r="I1197" s="136">
        <f>LET(_xlpm.r,Productos!$E$2:$E$2509,_xlpm.m,IFERROR(_xlfn.XMATCH(C1197,_xlpm.r),IFERROR(_xlfn.XMATCH(VALUE(C1197),_xlpm.r),0)),IF(_xlpm.m=0,"",_xlpm.m+1))</f>
        <v/>
      </c>
      <c r="J1197" s="137" t="inlineStr">
        <is>
          <t>NetSuite</t>
        </is>
      </c>
    </row>
    <row r="1198">
      <c r="A1198" s="5" t="inlineStr">
        <is>
          <t>STETSON AMERICAS</t>
        </is>
      </c>
      <c r="B1198" s="5">
        <f>IF($I2="","",INDEX(Productos!$A:$A,$I2))</f>
        <v/>
      </c>
      <c r="C1198" s="134" t="inlineStr">
        <is>
          <t>12-021-BS003-13-1037-265</t>
        </is>
      </c>
      <c r="D1198" s="5">
        <f>IF($I2="","",INDEX(Productos!$B:$B,$I2))</f>
        <v/>
      </c>
      <c r="E1198" s="5">
        <f>IF($I2="","",INDEX(Productos!$H:$H,$I2))</f>
        <v/>
      </c>
      <c r="F1198" s="5">
        <f>IF($I2="","",INDEX(Productos!$I:$I,$I2))</f>
        <v/>
      </c>
      <c r="G1198" s="135" t="n">
        <v>-1</v>
      </c>
      <c r="H1198" s="5">
        <f>IF($I2="","",INDEX(Productos!$AG:$AG,$I2))</f>
        <v/>
      </c>
      <c r="I1198" s="136">
        <f>LET(_xlpm.r,Productos!$E$2:$E$2509,_xlpm.m,IFERROR(_xlfn.XMATCH(C1198,_xlpm.r),IFERROR(_xlfn.XMATCH(VALUE(C1198),_xlpm.r),0)),IF(_xlpm.m=0,"",_xlpm.m+1))</f>
        <v/>
      </c>
      <c r="J1198" s="137" t="inlineStr">
        <is>
          <t>NetSuite</t>
        </is>
      </c>
    </row>
    <row r="1199">
      <c r="A1199" s="5" t="inlineStr">
        <is>
          <t>STETSON AMERICAS</t>
        </is>
      </c>
      <c r="B1199" s="5">
        <f>IF($I2="","",INDEX(Productos!$A:$A,$I2))</f>
        <v/>
      </c>
      <c r="C1199" s="134" t="inlineStr">
        <is>
          <t>12-021-BS003-13-1038-023</t>
        </is>
      </c>
      <c r="D1199" s="5">
        <f>IF($I2="","",INDEX(Productos!$B:$B,$I2))</f>
        <v/>
      </c>
      <c r="E1199" s="5">
        <f>IF($I2="","",INDEX(Productos!$H:$H,$I2))</f>
        <v/>
      </c>
      <c r="F1199" s="5">
        <f>IF($I2="","",INDEX(Productos!$I:$I,$I2))</f>
        <v/>
      </c>
      <c r="G1199" s="135" t="n">
        <v>-1</v>
      </c>
      <c r="H1199" s="5">
        <f>IF($I2="","",INDEX(Productos!$AG:$AG,$I2))</f>
        <v/>
      </c>
      <c r="I1199" s="136">
        <f>LET(_xlpm.r,Productos!$E$2:$E$2509,_xlpm.m,IFERROR(_xlfn.XMATCH(C1199,_xlpm.r),IFERROR(_xlfn.XMATCH(VALUE(C1199),_xlpm.r),0)),IF(_xlpm.m=0,"",_xlpm.m+1))</f>
        <v/>
      </c>
      <c r="J1199" s="137" t="inlineStr">
        <is>
          <t>NetSuite</t>
        </is>
      </c>
    </row>
    <row r="1200">
      <c r="A1200" s="5" t="inlineStr">
        <is>
          <t>STETSON AMERICAS</t>
        </is>
      </c>
      <c r="B1200" s="5">
        <f>IF($I2="","",INDEX(Productos!$A:$A,$I2))</f>
        <v/>
      </c>
      <c r="C1200" s="134" t="inlineStr">
        <is>
          <t>12-021-BS003-13-1038-025</t>
        </is>
      </c>
      <c r="D1200" s="5">
        <f>IF($I2="","",INDEX(Productos!$B:$B,$I2))</f>
        <v/>
      </c>
      <c r="E1200" s="5">
        <f>IF($I2="","",INDEX(Productos!$H:$H,$I2))</f>
        <v/>
      </c>
      <c r="F1200" s="5">
        <f>IF($I2="","",INDEX(Productos!$I:$I,$I2))</f>
        <v/>
      </c>
      <c r="G1200" s="135" t="n">
        <v>-2</v>
      </c>
      <c r="H1200" s="5">
        <f>IF($I2="","",INDEX(Productos!$AG:$AG,$I2))</f>
        <v/>
      </c>
      <c r="I1200" s="136">
        <f>LET(_xlpm.r,Productos!$E$2:$E$2509,_xlpm.m,IFERROR(_xlfn.XMATCH(C1200,_xlpm.r),IFERROR(_xlfn.XMATCH(VALUE(C1200),_xlpm.r),0)),IF(_xlpm.m=0,"",_xlpm.m+1))</f>
        <v/>
      </c>
      <c r="J1200" s="137" t="inlineStr">
        <is>
          <t>NetSuite</t>
        </is>
      </c>
    </row>
    <row r="1201">
      <c r="A1201" s="5" t="inlineStr">
        <is>
          <t>STETSON AMERICAS</t>
        </is>
      </c>
      <c r="B1201" s="5">
        <f>IF($I2="","",INDEX(Productos!$A:$A,$I2))</f>
        <v/>
      </c>
      <c r="C1201" s="134" t="inlineStr">
        <is>
          <t>12-021-BS003-13-1038-235</t>
        </is>
      </c>
      <c r="D1201" s="5">
        <f>IF($I2="","",INDEX(Productos!$B:$B,$I2))</f>
        <v/>
      </c>
      <c r="E1201" s="5">
        <f>IF($I2="","",INDEX(Productos!$H:$H,$I2))</f>
        <v/>
      </c>
      <c r="F1201" s="5">
        <f>IF($I2="","",INDEX(Productos!$I:$I,$I2))</f>
        <v/>
      </c>
      <c r="G1201" s="135" t="n">
        <v>-1</v>
      </c>
      <c r="H1201" s="5">
        <f>IF($I2="","",INDEX(Productos!$AG:$AG,$I2))</f>
        <v/>
      </c>
      <c r="I1201" s="136">
        <f>LET(_xlpm.r,Productos!$E$2:$E$2509,_xlpm.m,IFERROR(_xlfn.XMATCH(C1201,_xlpm.r),IFERROR(_xlfn.XMATCH(VALUE(C1201),_xlpm.r),0)),IF(_xlpm.m=0,"",_xlpm.m+1))</f>
        <v/>
      </c>
      <c r="J1201" s="137" t="inlineStr">
        <is>
          <t>NetSuite</t>
        </is>
      </c>
    </row>
    <row r="1202">
      <c r="A1202" s="5" t="inlineStr">
        <is>
          <t>STETSON AMERICAS</t>
        </is>
      </c>
      <c r="B1202" s="5">
        <f>IF($I2="","",INDEX(Productos!$A:$A,$I2))</f>
        <v/>
      </c>
      <c r="C1202" s="134" t="inlineStr">
        <is>
          <t>12-021-BS003-13-1038-245</t>
        </is>
      </c>
      <c r="D1202" s="5">
        <f>IF($I2="","",INDEX(Productos!$B:$B,$I2))</f>
        <v/>
      </c>
      <c r="E1202" s="5">
        <f>IF($I2="","",INDEX(Productos!$H:$H,$I2))</f>
        <v/>
      </c>
      <c r="F1202" s="5">
        <f>IF($I2="","",INDEX(Productos!$I:$I,$I2))</f>
        <v/>
      </c>
      <c r="G1202" s="135" t="n">
        <v>-1</v>
      </c>
      <c r="H1202" s="5">
        <f>IF($I2="","",INDEX(Productos!$AG:$AG,$I2))</f>
        <v/>
      </c>
      <c r="I1202" s="136">
        <f>LET(_xlpm.r,Productos!$E$2:$E$2509,_xlpm.m,IFERROR(_xlfn.XMATCH(C1202,_xlpm.r),IFERROR(_xlfn.XMATCH(VALUE(C1202),_xlpm.r),0)),IF(_xlpm.m=0,"",_xlpm.m+1))</f>
        <v/>
      </c>
      <c r="J1202" s="137" t="inlineStr">
        <is>
          <t>NetSuite</t>
        </is>
      </c>
    </row>
    <row r="1203">
      <c r="A1203" s="5" t="inlineStr">
        <is>
          <t>STETSON AMERICAS</t>
        </is>
      </c>
      <c r="B1203" s="5">
        <f>IF($I2="","",INDEX(Productos!$A:$A,$I2))</f>
        <v/>
      </c>
      <c r="C1203" s="134" t="inlineStr">
        <is>
          <t>12-021-BS003-13-1038-265</t>
        </is>
      </c>
      <c r="D1203" s="5">
        <f>IF($I2="","",INDEX(Productos!$B:$B,$I2))</f>
        <v/>
      </c>
      <c r="E1203" s="5">
        <f>IF($I2="","",INDEX(Productos!$H:$H,$I2))</f>
        <v/>
      </c>
      <c r="F1203" s="5">
        <f>IF($I2="","",INDEX(Productos!$I:$I,$I2))</f>
        <v/>
      </c>
      <c r="G1203" s="135" t="n">
        <v>-1</v>
      </c>
      <c r="H1203" s="5">
        <f>IF($I2="","",INDEX(Productos!$AG:$AG,$I2))</f>
        <v/>
      </c>
      <c r="I1203" s="136">
        <f>LET(_xlpm.r,Productos!$E$2:$E$2509,_xlpm.m,IFERROR(_xlfn.XMATCH(C1203,_xlpm.r),IFERROR(_xlfn.XMATCH(VALUE(C1203),_xlpm.r),0)),IF(_xlpm.m=0,"",_xlpm.m+1))</f>
        <v/>
      </c>
      <c r="J1203" s="137" t="inlineStr">
        <is>
          <t>NetSuite</t>
        </is>
      </c>
    </row>
    <row r="1204">
      <c r="A1204" s="5" t="inlineStr">
        <is>
          <t>STETSON AMERICAS</t>
        </is>
      </c>
      <c r="B1204" s="5">
        <f>IF($I2="","",INDEX(Productos!$A:$A,$I2))</f>
        <v/>
      </c>
      <c r="C1204" s="134" t="inlineStr">
        <is>
          <t>12-021-BS003-13-1039-023</t>
        </is>
      </c>
      <c r="D1204" s="5">
        <f>IF($I2="","",INDEX(Productos!$B:$B,$I2))</f>
        <v/>
      </c>
      <c r="E1204" s="5">
        <f>IF($I2="","",INDEX(Productos!$H:$H,$I2))</f>
        <v/>
      </c>
      <c r="F1204" s="5">
        <f>IF($I2="","",INDEX(Productos!$I:$I,$I2))</f>
        <v/>
      </c>
      <c r="G1204" s="135" t="n">
        <v>-2</v>
      </c>
      <c r="H1204" s="5">
        <f>IF($I2="","",INDEX(Productos!$AG:$AG,$I2))</f>
        <v/>
      </c>
      <c r="I1204" s="136">
        <f>LET(_xlpm.r,Productos!$E$2:$E$2509,_xlpm.m,IFERROR(_xlfn.XMATCH(C1204,_xlpm.r),IFERROR(_xlfn.XMATCH(VALUE(C1204),_xlpm.r),0)),IF(_xlpm.m=0,"",_xlpm.m+1))</f>
        <v/>
      </c>
      <c r="J1204" s="137" t="inlineStr">
        <is>
          <t>NetSuite</t>
        </is>
      </c>
    </row>
    <row r="1205">
      <c r="A1205" s="5" t="inlineStr">
        <is>
          <t>STETSON AMERICAS</t>
        </is>
      </c>
      <c r="B1205" s="5">
        <f>IF($I2="","",INDEX(Productos!$A:$A,$I2))</f>
        <v/>
      </c>
      <c r="C1205" s="134" t="inlineStr">
        <is>
          <t>12-021-BS003-13-1039-024</t>
        </is>
      </c>
      <c r="D1205" s="5">
        <f>IF($I2="","",INDEX(Productos!$B:$B,$I2))</f>
        <v/>
      </c>
      <c r="E1205" s="5">
        <f>IF($I2="","",INDEX(Productos!$H:$H,$I2))</f>
        <v/>
      </c>
      <c r="F1205" s="5">
        <f>IF($I2="","",INDEX(Productos!$I:$I,$I2))</f>
        <v/>
      </c>
      <c r="G1205" s="135" t="n">
        <v>1</v>
      </c>
      <c r="H1205" s="5">
        <f>IF($I2="","",INDEX(Productos!$AG:$AG,$I2))</f>
        <v/>
      </c>
      <c r="I1205" s="136">
        <f>LET(_xlpm.r,Productos!$E$2:$E$2509,_xlpm.m,IFERROR(_xlfn.XMATCH(C1205,_xlpm.r),IFERROR(_xlfn.XMATCH(VALUE(C1205),_xlpm.r),0)),IF(_xlpm.m=0,"",_xlpm.m+1))</f>
        <v/>
      </c>
      <c r="J1205" s="137" t="inlineStr">
        <is>
          <t>NetSuite</t>
        </is>
      </c>
    </row>
    <row r="1206">
      <c r="A1206" s="5" t="inlineStr">
        <is>
          <t>STETSON AMERICAS</t>
        </is>
      </c>
      <c r="B1206" s="5">
        <f>IF($I2="","",INDEX(Productos!$A:$A,$I2))</f>
        <v/>
      </c>
      <c r="C1206" s="134" t="inlineStr">
        <is>
          <t>12-021-BS003-13-1039-025</t>
        </is>
      </c>
      <c r="D1206" s="5">
        <f>IF($I2="","",INDEX(Productos!$B:$B,$I2))</f>
        <v/>
      </c>
      <c r="E1206" s="5">
        <f>IF($I2="","",INDEX(Productos!$H:$H,$I2))</f>
        <v/>
      </c>
      <c r="F1206" s="5">
        <f>IF($I2="","",INDEX(Productos!$I:$I,$I2))</f>
        <v/>
      </c>
      <c r="G1206" s="135" t="n">
        <v>-2</v>
      </c>
      <c r="H1206" s="5">
        <f>IF($I2="","",INDEX(Productos!$AG:$AG,$I2))</f>
        <v/>
      </c>
      <c r="I1206" s="136">
        <f>LET(_xlpm.r,Productos!$E$2:$E$2509,_xlpm.m,IFERROR(_xlfn.XMATCH(C1206,_xlpm.r),IFERROR(_xlfn.XMATCH(VALUE(C1206),_xlpm.r),0)),IF(_xlpm.m=0,"",_xlpm.m+1))</f>
        <v/>
      </c>
      <c r="J1206" s="137" t="inlineStr">
        <is>
          <t>NetSuite</t>
        </is>
      </c>
    </row>
    <row r="1207">
      <c r="A1207" s="5" t="inlineStr">
        <is>
          <t>STETSON AMERICAS</t>
        </is>
      </c>
      <c r="B1207" s="5">
        <f>IF($I2="","",INDEX(Productos!$A:$A,$I2))</f>
        <v/>
      </c>
      <c r="C1207" s="134" t="inlineStr">
        <is>
          <t>12-021-BS003-13-1039-026</t>
        </is>
      </c>
      <c r="D1207" s="5">
        <f>IF($I2="","",INDEX(Productos!$B:$B,$I2))</f>
        <v/>
      </c>
      <c r="E1207" s="5">
        <f>IF($I2="","",INDEX(Productos!$H:$H,$I2))</f>
        <v/>
      </c>
      <c r="F1207" s="5">
        <f>IF($I2="","",INDEX(Productos!$I:$I,$I2))</f>
        <v/>
      </c>
      <c r="G1207" s="135" t="n">
        <v>1</v>
      </c>
      <c r="H1207" s="5">
        <f>IF($I2="","",INDEX(Productos!$AG:$AG,$I2))</f>
        <v/>
      </c>
      <c r="I1207" s="136">
        <f>LET(_xlpm.r,Productos!$E$2:$E$2509,_xlpm.m,IFERROR(_xlfn.XMATCH(C1207,_xlpm.r),IFERROR(_xlfn.XMATCH(VALUE(C1207),_xlpm.r),0)),IF(_xlpm.m=0,"",_xlpm.m+1))</f>
        <v/>
      </c>
      <c r="J1207" s="137" t="inlineStr">
        <is>
          <t>NetSuite</t>
        </is>
      </c>
    </row>
    <row r="1208">
      <c r="A1208" s="5" t="inlineStr">
        <is>
          <t>STETSON AMERICAS</t>
        </is>
      </c>
      <c r="B1208" s="5">
        <f>IF($I2="","",INDEX(Productos!$A:$A,$I2))</f>
        <v/>
      </c>
      <c r="C1208" s="134" t="inlineStr">
        <is>
          <t>12-021-BS003-13-1039-245</t>
        </is>
      </c>
      <c r="D1208" s="5">
        <f>IF($I2="","",INDEX(Productos!$B:$B,$I2))</f>
        <v/>
      </c>
      <c r="E1208" s="5">
        <f>IF($I2="","",INDEX(Productos!$H:$H,$I2))</f>
        <v/>
      </c>
      <c r="F1208" s="5">
        <f>IF($I2="","",INDEX(Productos!$I:$I,$I2))</f>
        <v/>
      </c>
      <c r="G1208" s="135" t="n">
        <v>2</v>
      </c>
      <c r="H1208" s="5">
        <f>IF($I2="","",INDEX(Productos!$AG:$AG,$I2))</f>
        <v/>
      </c>
      <c r="I1208" s="136">
        <f>LET(_xlpm.r,Productos!$E$2:$E$2509,_xlpm.m,IFERROR(_xlfn.XMATCH(C1208,_xlpm.r),IFERROR(_xlfn.XMATCH(VALUE(C1208),_xlpm.r),0)),IF(_xlpm.m=0,"",_xlpm.m+1))</f>
        <v/>
      </c>
      <c r="J1208" s="137" t="inlineStr">
        <is>
          <t>NetSuite</t>
        </is>
      </c>
    </row>
    <row r="1209">
      <c r="A1209" s="5" t="inlineStr">
        <is>
          <t>STETSON AMERICAS</t>
        </is>
      </c>
      <c r="B1209" s="5">
        <f>IF($I2="","",INDEX(Productos!$A:$A,$I2))</f>
        <v/>
      </c>
      <c r="C1209" s="134" t="inlineStr">
        <is>
          <t>12-021-BS003-13-1039-255</t>
        </is>
      </c>
      <c r="D1209" s="5">
        <f>IF($I2="","",INDEX(Productos!$B:$B,$I2))</f>
        <v/>
      </c>
      <c r="E1209" s="5">
        <f>IF($I2="","",INDEX(Productos!$H:$H,$I2))</f>
        <v/>
      </c>
      <c r="F1209" s="5">
        <f>IF($I2="","",INDEX(Productos!$I:$I,$I2))</f>
        <v/>
      </c>
      <c r="G1209" s="135" t="n">
        <v>1</v>
      </c>
      <c r="H1209" s="5">
        <f>IF($I2="","",INDEX(Productos!$AG:$AG,$I2))</f>
        <v/>
      </c>
      <c r="I1209" s="136">
        <f>LET(_xlpm.r,Productos!$E$2:$E$2509,_xlpm.m,IFERROR(_xlfn.XMATCH(C1209,_xlpm.r),IFERROR(_xlfn.XMATCH(VALUE(C1209),_xlpm.r),0)),IF(_xlpm.m=0,"",_xlpm.m+1))</f>
        <v/>
      </c>
      <c r="J1209" s="137" t="inlineStr">
        <is>
          <t>NetSuite</t>
        </is>
      </c>
    </row>
    <row r="1210">
      <c r="A1210" s="5" t="inlineStr">
        <is>
          <t>STETSON AMERICAS</t>
        </is>
      </c>
      <c r="B1210" s="5">
        <f>IF($I2="","",INDEX(Productos!$A:$A,$I2))</f>
        <v/>
      </c>
      <c r="C1210" s="134" t="inlineStr">
        <is>
          <t>12-021-BS003-13-1039-265</t>
        </is>
      </c>
      <c r="D1210" s="5">
        <f>IF($I2="","",INDEX(Productos!$B:$B,$I2))</f>
        <v/>
      </c>
      <c r="E1210" s="5">
        <f>IF($I2="","",INDEX(Productos!$H:$H,$I2))</f>
        <v/>
      </c>
      <c r="F1210" s="5">
        <f>IF($I2="","",INDEX(Productos!$I:$I,$I2))</f>
        <v/>
      </c>
      <c r="G1210" s="135" t="n">
        <v>-1</v>
      </c>
      <c r="H1210" s="5">
        <f>IF($I2="","",INDEX(Productos!$AG:$AG,$I2))</f>
        <v/>
      </c>
      <c r="I1210" s="136">
        <f>LET(_xlpm.r,Productos!$E$2:$E$2509,_xlpm.m,IFERROR(_xlfn.XMATCH(C1210,_xlpm.r),IFERROR(_xlfn.XMATCH(VALUE(C1210),_xlpm.r),0)),IF(_xlpm.m=0,"",_xlpm.m+1))</f>
        <v/>
      </c>
      <c r="J1210" s="137" t="inlineStr">
        <is>
          <t>NetSuite</t>
        </is>
      </c>
    </row>
    <row r="1211">
      <c r="A1211" s="5" t="inlineStr">
        <is>
          <t>STETSON AMERICAS</t>
        </is>
      </c>
      <c r="B1211" s="5">
        <f>IF($I2="","",INDEX(Productos!$A:$A,$I2))</f>
        <v/>
      </c>
      <c r="C1211" s="134" t="inlineStr">
        <is>
          <t>12-021-BS003-13-1040-024</t>
        </is>
      </c>
      <c r="D1211" s="5">
        <f>IF($I2="","",INDEX(Productos!$B:$B,$I2))</f>
        <v/>
      </c>
      <c r="E1211" s="5">
        <f>IF($I2="","",INDEX(Productos!$H:$H,$I2))</f>
        <v/>
      </c>
      <c r="F1211" s="5">
        <f>IF($I2="","",INDEX(Productos!$I:$I,$I2))</f>
        <v/>
      </c>
      <c r="G1211" s="135" t="n">
        <v>-1</v>
      </c>
      <c r="H1211" s="5">
        <f>IF($I2="","",INDEX(Productos!$AG:$AG,$I2))</f>
        <v/>
      </c>
      <c r="I1211" s="136">
        <f>LET(_xlpm.r,Productos!$E$2:$E$2509,_xlpm.m,IFERROR(_xlfn.XMATCH(C1211,_xlpm.r),IFERROR(_xlfn.XMATCH(VALUE(C1211),_xlpm.r),0)),IF(_xlpm.m=0,"",_xlpm.m+1))</f>
        <v/>
      </c>
      <c r="J1211" s="137" t="inlineStr">
        <is>
          <t>NetSuite</t>
        </is>
      </c>
    </row>
    <row r="1212">
      <c r="A1212" s="5" t="inlineStr">
        <is>
          <t>STETSON AMERICAS</t>
        </is>
      </c>
      <c r="B1212" s="5">
        <f>IF($I2="","",INDEX(Productos!$A:$A,$I2))</f>
        <v/>
      </c>
      <c r="C1212" s="134" t="inlineStr">
        <is>
          <t>12-021-BS003-13-1040-025</t>
        </is>
      </c>
      <c r="D1212" s="5">
        <f>IF($I2="","",INDEX(Productos!$B:$B,$I2))</f>
        <v/>
      </c>
      <c r="E1212" s="5">
        <f>IF($I2="","",INDEX(Productos!$H:$H,$I2))</f>
        <v/>
      </c>
      <c r="F1212" s="5">
        <f>IF($I2="","",INDEX(Productos!$I:$I,$I2))</f>
        <v/>
      </c>
      <c r="G1212" s="135" t="n">
        <v>-1</v>
      </c>
      <c r="H1212" s="5">
        <f>IF($I2="","",INDEX(Productos!$AG:$AG,$I2))</f>
        <v/>
      </c>
      <c r="I1212" s="136">
        <f>LET(_xlpm.r,Productos!$E$2:$E$2509,_xlpm.m,IFERROR(_xlfn.XMATCH(C1212,_xlpm.r),IFERROR(_xlfn.XMATCH(VALUE(C1212),_xlpm.r),0)),IF(_xlpm.m=0,"",_xlpm.m+1))</f>
        <v/>
      </c>
      <c r="J1212" s="137" t="inlineStr">
        <is>
          <t>NetSuite</t>
        </is>
      </c>
    </row>
    <row r="1213">
      <c r="A1213" s="5" t="inlineStr">
        <is>
          <t>STETSON AMERICAS</t>
        </is>
      </c>
      <c r="B1213" s="5">
        <f>IF($I2="","",INDEX(Productos!$A:$A,$I2))</f>
        <v/>
      </c>
      <c r="C1213" s="134" t="inlineStr">
        <is>
          <t>12-021-BS003-13-1040-235</t>
        </is>
      </c>
      <c r="D1213" s="5">
        <f>IF($I2="","",INDEX(Productos!$B:$B,$I2))</f>
        <v/>
      </c>
      <c r="E1213" s="5">
        <f>IF($I2="","",INDEX(Productos!$H:$H,$I2))</f>
        <v/>
      </c>
      <c r="F1213" s="5">
        <f>IF($I2="","",INDEX(Productos!$I:$I,$I2))</f>
        <v/>
      </c>
      <c r="G1213" s="135" t="n">
        <v>-1</v>
      </c>
      <c r="H1213" s="5">
        <f>IF($I2="","",INDEX(Productos!$AG:$AG,$I2))</f>
        <v/>
      </c>
      <c r="I1213" s="136">
        <f>LET(_xlpm.r,Productos!$E$2:$E$2509,_xlpm.m,IFERROR(_xlfn.XMATCH(C1213,_xlpm.r),IFERROR(_xlfn.XMATCH(VALUE(C1213),_xlpm.r),0)),IF(_xlpm.m=0,"",_xlpm.m+1))</f>
        <v/>
      </c>
      <c r="J1213" s="137" t="inlineStr">
        <is>
          <t>NetSuite</t>
        </is>
      </c>
    </row>
    <row r="1214">
      <c r="A1214" s="5" t="inlineStr">
        <is>
          <t>STETSON AMERICAS</t>
        </is>
      </c>
      <c r="B1214" s="5">
        <f>IF($I2="","",INDEX(Productos!$A:$A,$I2))</f>
        <v/>
      </c>
      <c r="C1214" s="134" t="inlineStr">
        <is>
          <t>12-021-BS003-13-1040-245</t>
        </is>
      </c>
      <c r="D1214" s="5">
        <f>IF($I2="","",INDEX(Productos!$B:$B,$I2))</f>
        <v/>
      </c>
      <c r="E1214" s="5">
        <f>IF($I2="","",INDEX(Productos!$H:$H,$I2))</f>
        <v/>
      </c>
      <c r="F1214" s="5">
        <f>IF($I2="","",INDEX(Productos!$I:$I,$I2))</f>
        <v/>
      </c>
      <c r="G1214" s="135" t="n">
        <v>-2</v>
      </c>
      <c r="H1214" s="5">
        <f>IF($I2="","",INDEX(Productos!$AG:$AG,$I2))</f>
        <v/>
      </c>
      <c r="I1214" s="136">
        <f>LET(_xlpm.r,Productos!$E$2:$E$2509,_xlpm.m,IFERROR(_xlfn.XMATCH(C1214,_xlpm.r),IFERROR(_xlfn.XMATCH(VALUE(C1214),_xlpm.r),0)),IF(_xlpm.m=0,"",_xlpm.m+1))</f>
        <v/>
      </c>
      <c r="J1214" s="137" t="inlineStr">
        <is>
          <t>NetSuite</t>
        </is>
      </c>
    </row>
    <row r="1215">
      <c r="A1215" s="5" t="inlineStr">
        <is>
          <t>STETSON AMERICAS</t>
        </is>
      </c>
      <c r="B1215" s="5">
        <f>IF($I2="","",INDEX(Productos!$A:$A,$I2))</f>
        <v/>
      </c>
      <c r="C1215" s="134" t="inlineStr">
        <is>
          <t>12-021-BS003-13-1040-255</t>
        </is>
      </c>
      <c r="D1215" s="5">
        <f>IF($I2="","",INDEX(Productos!$B:$B,$I2))</f>
        <v/>
      </c>
      <c r="E1215" s="5">
        <f>IF($I2="","",INDEX(Productos!$H:$H,$I2))</f>
        <v/>
      </c>
      <c r="F1215" s="5">
        <f>IF($I2="","",INDEX(Productos!$I:$I,$I2))</f>
        <v/>
      </c>
      <c r="G1215" s="135" t="n">
        <v>-2</v>
      </c>
      <c r="H1215" s="5">
        <f>IF($I2="","",INDEX(Productos!$AG:$AG,$I2))</f>
        <v/>
      </c>
      <c r="I1215" s="136">
        <f>LET(_xlpm.r,Productos!$E$2:$E$2509,_xlpm.m,IFERROR(_xlfn.XMATCH(C1215,_xlpm.r),IFERROR(_xlfn.XMATCH(VALUE(C1215),_xlpm.r),0)),IF(_xlpm.m=0,"",_xlpm.m+1))</f>
        <v/>
      </c>
      <c r="J1215" s="137" t="inlineStr">
        <is>
          <t>NetSuite</t>
        </is>
      </c>
    </row>
    <row r="1216">
      <c r="A1216" s="5" t="inlineStr">
        <is>
          <t>STETSON AMERICAS</t>
        </is>
      </c>
      <c r="B1216" s="5">
        <f>IF($I2="","",INDEX(Productos!$A:$A,$I2))</f>
        <v/>
      </c>
      <c r="C1216" s="134" t="inlineStr">
        <is>
          <t>12-021-BS004-13-1041-024</t>
        </is>
      </c>
      <c r="D1216" s="5">
        <f>IF($I2="","",INDEX(Productos!$B:$B,$I2))</f>
        <v/>
      </c>
      <c r="E1216" s="5">
        <f>IF($I2="","",INDEX(Productos!$H:$H,$I2))</f>
        <v/>
      </c>
      <c r="F1216" s="5">
        <f>IF($I2="","",INDEX(Productos!$I:$I,$I2))</f>
        <v/>
      </c>
      <c r="G1216" s="135" t="n">
        <v>-1</v>
      </c>
      <c r="H1216" s="5">
        <f>IF($I2="","",INDEX(Productos!$AG:$AG,$I2))</f>
        <v/>
      </c>
      <c r="I1216" s="136">
        <f>LET(_xlpm.r,Productos!$E$2:$E$2509,_xlpm.m,IFERROR(_xlfn.XMATCH(C1216,_xlpm.r),IFERROR(_xlfn.XMATCH(VALUE(C1216),_xlpm.r),0)),IF(_xlpm.m=0,"",_xlpm.m+1))</f>
        <v/>
      </c>
      <c r="J1216" s="137" t="inlineStr">
        <is>
          <t>NetSuite</t>
        </is>
      </c>
    </row>
    <row r="1217">
      <c r="A1217" s="5" t="inlineStr">
        <is>
          <t>STETSON AMERICAS</t>
        </is>
      </c>
      <c r="B1217" s="5">
        <f>IF($I2="","",INDEX(Productos!$A:$A,$I2))</f>
        <v/>
      </c>
      <c r="C1217" s="134" t="inlineStr">
        <is>
          <t>12-021-BS004-13-1041-025</t>
        </is>
      </c>
      <c r="D1217" s="5">
        <f>IF($I2="","",INDEX(Productos!$B:$B,$I2))</f>
        <v/>
      </c>
      <c r="E1217" s="5">
        <f>IF($I2="","",INDEX(Productos!$H:$H,$I2))</f>
        <v/>
      </c>
      <c r="F1217" s="5">
        <f>IF($I2="","",INDEX(Productos!$I:$I,$I2))</f>
        <v/>
      </c>
      <c r="G1217" s="135" t="n">
        <v>-1</v>
      </c>
      <c r="H1217" s="5">
        <f>IF($I2="","",INDEX(Productos!$AG:$AG,$I2))</f>
        <v/>
      </c>
      <c r="I1217" s="136">
        <f>LET(_xlpm.r,Productos!$E$2:$E$2509,_xlpm.m,IFERROR(_xlfn.XMATCH(C1217,_xlpm.r),IFERROR(_xlfn.XMATCH(VALUE(C1217),_xlpm.r),0)),IF(_xlpm.m=0,"",_xlpm.m+1))</f>
        <v/>
      </c>
      <c r="J1217" s="137" t="inlineStr">
        <is>
          <t>NetSuite</t>
        </is>
      </c>
    </row>
    <row r="1218">
      <c r="A1218" s="5" t="inlineStr">
        <is>
          <t>STETSON AMERICAS</t>
        </is>
      </c>
      <c r="B1218" s="5">
        <f>IF($I2="","",INDEX(Productos!$A:$A,$I2))</f>
        <v/>
      </c>
      <c r="C1218" s="134" t="inlineStr">
        <is>
          <t>12-021-BS004-13-1041-245</t>
        </is>
      </c>
      <c r="D1218" s="5">
        <f>IF($I2="","",INDEX(Productos!$B:$B,$I2))</f>
        <v/>
      </c>
      <c r="E1218" s="5">
        <f>IF($I2="","",INDEX(Productos!$H:$H,$I2))</f>
        <v/>
      </c>
      <c r="F1218" s="5">
        <f>IF($I2="","",INDEX(Productos!$I:$I,$I2))</f>
        <v/>
      </c>
      <c r="G1218" s="135" t="n">
        <v>-1</v>
      </c>
      <c r="H1218" s="5">
        <f>IF($I2="","",INDEX(Productos!$AG:$AG,$I2))</f>
        <v/>
      </c>
      <c r="I1218" s="136">
        <f>LET(_xlpm.r,Productos!$E$2:$E$2509,_xlpm.m,IFERROR(_xlfn.XMATCH(C1218,_xlpm.r),IFERROR(_xlfn.XMATCH(VALUE(C1218),_xlpm.r),0)),IF(_xlpm.m=0,"",_xlpm.m+1))</f>
        <v/>
      </c>
      <c r="J1218" s="137" t="inlineStr">
        <is>
          <t>NetSuite</t>
        </is>
      </c>
    </row>
    <row r="1219">
      <c r="A1219" s="5" t="inlineStr">
        <is>
          <t>STETSON AMERICAS</t>
        </is>
      </c>
      <c r="B1219" s="5">
        <f>IF($I2="","",INDEX(Productos!$A:$A,$I2))</f>
        <v/>
      </c>
      <c r="C1219" s="134" t="inlineStr">
        <is>
          <t>12-021-BS004-13-1041-255</t>
        </is>
      </c>
      <c r="D1219" s="5">
        <f>IF($I2="","",INDEX(Productos!$B:$B,$I2))</f>
        <v/>
      </c>
      <c r="E1219" s="5">
        <f>IF($I2="","",INDEX(Productos!$H:$H,$I2))</f>
        <v/>
      </c>
      <c r="F1219" s="5">
        <f>IF($I2="","",INDEX(Productos!$I:$I,$I2))</f>
        <v/>
      </c>
      <c r="G1219" s="135" t="n">
        <v>-1</v>
      </c>
      <c r="H1219" s="5">
        <f>IF($I2="","",INDEX(Productos!$AG:$AG,$I2))</f>
        <v/>
      </c>
      <c r="I1219" s="136">
        <f>LET(_xlpm.r,Productos!$E$2:$E$2509,_xlpm.m,IFERROR(_xlfn.XMATCH(C1219,_xlpm.r),IFERROR(_xlfn.XMATCH(VALUE(C1219),_xlpm.r),0)),IF(_xlpm.m=0,"",_xlpm.m+1))</f>
        <v/>
      </c>
      <c r="J1219" s="137" t="inlineStr">
        <is>
          <t>NetSuite</t>
        </is>
      </c>
    </row>
    <row r="1220">
      <c r="A1220" s="5" t="inlineStr">
        <is>
          <t>STETSON AMERICAS</t>
        </is>
      </c>
      <c r="B1220" s="5">
        <f>IF($I2="","",INDEX(Productos!$A:$A,$I2))</f>
        <v/>
      </c>
      <c r="C1220" s="134" t="inlineStr">
        <is>
          <t>12-021-BS004-13-1042-024</t>
        </is>
      </c>
      <c r="D1220" s="5">
        <f>IF($I2="","",INDEX(Productos!$B:$B,$I2))</f>
        <v/>
      </c>
      <c r="E1220" s="5">
        <f>IF($I2="","",INDEX(Productos!$H:$H,$I2))</f>
        <v/>
      </c>
      <c r="F1220" s="5">
        <f>IF($I2="","",INDEX(Productos!$I:$I,$I2))</f>
        <v/>
      </c>
      <c r="G1220" s="135" t="n">
        <v>-1</v>
      </c>
      <c r="H1220" s="5">
        <f>IF($I2="","",INDEX(Productos!$AG:$AG,$I2))</f>
        <v/>
      </c>
      <c r="I1220" s="136">
        <f>LET(_xlpm.r,Productos!$E$2:$E$2509,_xlpm.m,IFERROR(_xlfn.XMATCH(C1220,_xlpm.r),IFERROR(_xlfn.XMATCH(VALUE(C1220),_xlpm.r),0)),IF(_xlpm.m=0,"",_xlpm.m+1))</f>
        <v/>
      </c>
      <c r="J1220" s="137" t="inlineStr">
        <is>
          <t>NetSuite</t>
        </is>
      </c>
    </row>
    <row r="1221">
      <c r="A1221" s="5" t="inlineStr">
        <is>
          <t>STETSON AMERICAS</t>
        </is>
      </c>
      <c r="B1221" s="5">
        <f>IF($I2="","",INDEX(Productos!$A:$A,$I2))</f>
        <v/>
      </c>
      <c r="C1221" s="134" t="inlineStr">
        <is>
          <t>12-021-BS004-13-1042-025</t>
        </is>
      </c>
      <c r="D1221" s="5">
        <f>IF($I2="","",INDEX(Productos!$B:$B,$I2))</f>
        <v/>
      </c>
      <c r="E1221" s="5">
        <f>IF($I2="","",INDEX(Productos!$H:$H,$I2))</f>
        <v/>
      </c>
      <c r="F1221" s="5">
        <f>IF($I2="","",INDEX(Productos!$I:$I,$I2))</f>
        <v/>
      </c>
      <c r="G1221" s="135" t="n">
        <v>-1</v>
      </c>
      <c r="H1221" s="5">
        <f>IF($I2="","",INDEX(Productos!$AG:$AG,$I2))</f>
        <v/>
      </c>
      <c r="I1221" s="136">
        <f>LET(_xlpm.r,Productos!$E$2:$E$2509,_xlpm.m,IFERROR(_xlfn.XMATCH(C1221,_xlpm.r),IFERROR(_xlfn.XMATCH(VALUE(C1221),_xlpm.r),0)),IF(_xlpm.m=0,"",_xlpm.m+1))</f>
        <v/>
      </c>
      <c r="J1221" s="137" t="inlineStr">
        <is>
          <t>NetSuite</t>
        </is>
      </c>
    </row>
    <row r="1222">
      <c r="A1222" s="5" t="inlineStr">
        <is>
          <t>STETSON AMERICAS</t>
        </is>
      </c>
      <c r="B1222" s="5">
        <f>IF($I2="","",INDEX(Productos!$A:$A,$I2))</f>
        <v/>
      </c>
      <c r="C1222" s="134" t="inlineStr">
        <is>
          <t>12-021-BS004-13-1042-245</t>
        </is>
      </c>
      <c r="D1222" s="5">
        <f>IF($I2="","",INDEX(Productos!$B:$B,$I2))</f>
        <v/>
      </c>
      <c r="E1222" s="5">
        <f>IF($I2="","",INDEX(Productos!$H:$H,$I2))</f>
        <v/>
      </c>
      <c r="F1222" s="5">
        <f>IF($I2="","",INDEX(Productos!$I:$I,$I2))</f>
        <v/>
      </c>
      <c r="G1222" s="135" t="n">
        <v>-1</v>
      </c>
      <c r="H1222" s="5">
        <f>IF($I2="","",INDEX(Productos!$AG:$AG,$I2))</f>
        <v/>
      </c>
      <c r="I1222" s="136">
        <f>LET(_xlpm.r,Productos!$E$2:$E$2509,_xlpm.m,IFERROR(_xlfn.XMATCH(C1222,_xlpm.r),IFERROR(_xlfn.XMATCH(VALUE(C1222),_xlpm.r),0)),IF(_xlpm.m=0,"",_xlpm.m+1))</f>
        <v/>
      </c>
      <c r="J1222" s="137" t="inlineStr">
        <is>
          <t>NetSuite</t>
        </is>
      </c>
    </row>
    <row r="1223">
      <c r="A1223" s="5" t="inlineStr">
        <is>
          <t>STETSON AMERICAS</t>
        </is>
      </c>
      <c r="B1223" s="5">
        <f>IF($I2="","",INDEX(Productos!$A:$A,$I2))</f>
        <v/>
      </c>
      <c r="C1223" s="134" t="inlineStr">
        <is>
          <t>1360002</t>
        </is>
      </c>
      <c r="D1223" s="5">
        <f>IF($I2="","",INDEX(Productos!$B:$B,$I2))</f>
        <v/>
      </c>
      <c r="E1223" s="5">
        <f>IF($I2="","",INDEX(Productos!$H:$H,$I2))</f>
        <v/>
      </c>
      <c r="F1223" s="5">
        <f>IF($I2="","",INDEX(Productos!$I:$I,$I2))</f>
        <v/>
      </c>
      <c r="G1223" s="135" t="n">
        <v>6</v>
      </c>
      <c r="H1223" s="5">
        <f>IF($I2="","",INDEX(Productos!$AG:$AG,$I2))</f>
        <v/>
      </c>
      <c r="I1223" s="136">
        <f>LET(_xlpm.r,Productos!$E$2:$E$2509,_xlpm.m,IFERROR(_xlfn.XMATCH(C1223,_xlpm.r),IFERROR(_xlfn.XMATCH(VALUE(C1223),_xlpm.r),0)),IF(_xlpm.m=0,"",_xlpm.m+1))</f>
        <v/>
      </c>
      <c r="J1223" s="137" t="inlineStr">
        <is>
          <t>NetSuite</t>
        </is>
      </c>
    </row>
    <row r="1224">
      <c r="A1224" s="5" t="inlineStr">
        <is>
          <t>STETSON AMERICAS</t>
        </is>
      </c>
      <c r="B1224" s="5">
        <f>IF($I2="","",INDEX(Productos!$A:$A,$I2))</f>
        <v/>
      </c>
      <c r="C1224" s="134" t="inlineStr">
        <is>
          <t>1380342-NA-AL</t>
        </is>
      </c>
      <c r="D1224" s="5">
        <f>IF($I2="","",INDEX(Productos!$B:$B,$I2))</f>
        <v/>
      </c>
      <c r="E1224" s="5">
        <f>IF($I2="","",INDEX(Productos!$H:$H,$I2))</f>
        <v/>
      </c>
      <c r="F1224" s="5">
        <f>IF($I2="","",INDEX(Productos!$I:$I,$I2))</f>
        <v/>
      </c>
      <c r="G1224" s="135" t="n">
        <v>-9</v>
      </c>
      <c r="H1224" s="5">
        <f>IF($I2="","",INDEX(Productos!$AG:$AG,$I2))</f>
        <v/>
      </c>
      <c r="I1224" s="136">
        <f>LET(_xlpm.r,Productos!$E$2:$E$2509,_xlpm.m,IFERROR(_xlfn.XMATCH(C1224,_xlpm.r),IFERROR(_xlfn.XMATCH(VALUE(C1224),_xlpm.r),0)),IF(_xlpm.m=0,"",_xlpm.m+1))</f>
        <v/>
      </c>
      <c r="J1224" s="137" t="inlineStr">
        <is>
          <t>NetSuite</t>
        </is>
      </c>
    </row>
    <row r="1225">
      <c r="A1225" s="5" t="inlineStr">
        <is>
          <t>STETSON AMERICAS</t>
        </is>
      </c>
      <c r="B1225" s="5">
        <f>IF($I2="","",INDEX(Productos!$A:$A,$I2))</f>
        <v/>
      </c>
      <c r="C1225" s="134" t="inlineStr">
        <is>
          <t>200738</t>
        </is>
      </c>
      <c r="D1225" s="5">
        <f>IF($I2="","",INDEX(Productos!$B:$B,$I2))</f>
        <v/>
      </c>
      <c r="E1225" s="5">
        <f>IF($I2="","",INDEX(Productos!$H:$H,$I2))</f>
        <v/>
      </c>
      <c r="F1225" s="5">
        <f>IF($I2="","",INDEX(Productos!$I:$I,$I2))</f>
        <v/>
      </c>
      <c r="G1225" s="135" t="n">
        <v>12</v>
      </c>
      <c r="H1225" s="5">
        <f>IF($I2="","",INDEX(Productos!$AG:$AG,$I2))</f>
        <v/>
      </c>
      <c r="I1225" s="136">
        <f>LET(_xlpm.r,Productos!$E$2:$E$2509,_xlpm.m,IFERROR(_xlfn.XMATCH(C1225,_xlpm.r),IFERROR(_xlfn.XMATCH(VALUE(C1225),_xlpm.r),0)),IF(_xlpm.m=0,"",_xlpm.m+1))</f>
        <v/>
      </c>
      <c r="J1225" s="137" t="inlineStr">
        <is>
          <t>NetSuite</t>
        </is>
      </c>
    </row>
    <row r="1226">
      <c r="A1226" s="5" t="inlineStr">
        <is>
          <t>STETSON AMERICAS</t>
        </is>
      </c>
      <c r="B1226" s="5">
        <f>IF($I2="","",INDEX(Productos!$A:$A,$I2))</f>
        <v/>
      </c>
      <c r="C1226" s="134" t="inlineStr">
        <is>
          <t>200885</t>
        </is>
      </c>
      <c r="D1226" s="5">
        <f>IF($I2="","",INDEX(Productos!$B:$B,$I2))</f>
        <v/>
      </c>
      <c r="E1226" s="5">
        <f>IF($I2="","",INDEX(Productos!$H:$H,$I2))</f>
        <v/>
      </c>
      <c r="F1226" s="5">
        <f>IF($I2="","",INDEX(Productos!$I:$I,$I2))</f>
        <v/>
      </c>
      <c r="G1226" s="135" t="n">
        <v>10</v>
      </c>
      <c r="H1226" s="5">
        <f>IF($I2="","",INDEX(Productos!$AG:$AG,$I2))</f>
        <v/>
      </c>
      <c r="I1226" s="136">
        <f>LET(_xlpm.r,Productos!$E$2:$E$2509,_xlpm.m,IFERROR(_xlfn.XMATCH(C1226,_xlpm.r),IFERROR(_xlfn.XMATCH(VALUE(C1226),_xlpm.r),0)),IF(_xlpm.m=0,"",_xlpm.m+1))</f>
        <v/>
      </c>
      <c r="J1226" s="137" t="inlineStr">
        <is>
          <t>NetSuite</t>
        </is>
      </c>
    </row>
    <row r="1227">
      <c r="A1227" s="5" t="inlineStr">
        <is>
          <t>STETSON AMERICAS</t>
        </is>
      </c>
      <c r="B1227" s="5">
        <f>IF($I2="","",INDEX(Productos!$A:$A,$I2))</f>
        <v/>
      </c>
      <c r="C1227" s="134" t="inlineStr">
        <is>
          <t>202197</t>
        </is>
      </c>
      <c r="D1227" s="5">
        <f>IF($I2="","",INDEX(Productos!$B:$B,$I2))</f>
        <v/>
      </c>
      <c r="E1227" s="5">
        <f>IF($I2="","",INDEX(Productos!$H:$H,$I2))</f>
        <v/>
      </c>
      <c r="F1227" s="5">
        <f>IF($I2="","",INDEX(Productos!$I:$I,$I2))</f>
        <v/>
      </c>
      <c r="G1227" s="135" t="n">
        <v>10</v>
      </c>
      <c r="H1227" s="5">
        <f>IF($I2="","",INDEX(Productos!$AG:$AG,$I2))</f>
        <v/>
      </c>
      <c r="I1227" s="136">
        <f>LET(_xlpm.r,Productos!$E$2:$E$2509,_xlpm.m,IFERROR(_xlfn.XMATCH(C1227,_xlpm.r),IFERROR(_xlfn.XMATCH(VALUE(C1227),_xlpm.r),0)),IF(_xlpm.m=0,"",_xlpm.m+1))</f>
        <v/>
      </c>
      <c r="J1227" s="137" t="inlineStr">
        <is>
          <t>NetSuite</t>
        </is>
      </c>
    </row>
    <row r="1228">
      <c r="A1228" s="5" t="inlineStr">
        <is>
          <t>STETSON AMERICAS</t>
        </is>
      </c>
      <c r="B1228" s="5">
        <f>IF($I2="","",INDEX(Productos!$A:$A,$I2))</f>
        <v/>
      </c>
      <c r="C1228" s="134" t="inlineStr">
        <is>
          <t>205922</t>
        </is>
      </c>
      <c r="D1228" s="5">
        <f>IF($I2="","",INDEX(Productos!$B:$B,$I2))</f>
        <v/>
      </c>
      <c r="E1228" s="5">
        <f>IF($I2="","",INDEX(Productos!$H:$H,$I2))</f>
        <v/>
      </c>
      <c r="F1228" s="5">
        <f>IF($I2="","",INDEX(Productos!$I:$I,$I2))</f>
        <v/>
      </c>
      <c r="G1228" s="135" t="n">
        <v>12</v>
      </c>
      <c r="H1228" s="5">
        <f>IF($I2="","",INDEX(Productos!$AG:$AG,$I2))</f>
        <v/>
      </c>
      <c r="I1228" s="136">
        <f>LET(_xlpm.r,Productos!$E$2:$E$2509,_xlpm.m,IFERROR(_xlfn.XMATCH(C1228,_xlpm.r),IFERROR(_xlfn.XMATCH(VALUE(C1228),_xlpm.r),0)),IF(_xlpm.m=0,"",_xlpm.m+1))</f>
        <v/>
      </c>
      <c r="J1228" s="137" t="inlineStr">
        <is>
          <t>NetSuite</t>
        </is>
      </c>
    </row>
    <row r="1229">
      <c r="A1229" s="5" t="inlineStr">
        <is>
          <t>STETSON AMERICAS</t>
        </is>
      </c>
      <c r="B1229" s="5">
        <f>IF($I2="","",INDEX(Productos!$A:$A,$I2))</f>
        <v/>
      </c>
      <c r="C1229" s="134" t="inlineStr">
        <is>
          <t>206012</t>
        </is>
      </c>
      <c r="D1229" s="5">
        <f>IF($I2="","",INDEX(Productos!$B:$B,$I2))</f>
        <v/>
      </c>
      <c r="E1229" s="5">
        <f>IF($I2="","",INDEX(Productos!$H:$H,$I2))</f>
        <v/>
      </c>
      <c r="F1229" s="5">
        <f>IF($I2="","",INDEX(Productos!$I:$I,$I2))</f>
        <v/>
      </c>
      <c r="G1229" s="135" t="n">
        <v>6</v>
      </c>
      <c r="H1229" s="5">
        <f>IF($I2="","",INDEX(Productos!$AG:$AG,$I2))</f>
        <v/>
      </c>
      <c r="I1229" s="136">
        <f>LET(_xlpm.r,Productos!$E$2:$E$2509,_xlpm.m,IFERROR(_xlfn.XMATCH(C1229,_xlpm.r),IFERROR(_xlfn.XMATCH(VALUE(C1229),_xlpm.r),0)),IF(_xlpm.m=0,"",_xlpm.m+1))</f>
        <v/>
      </c>
      <c r="J1229" s="137" t="inlineStr">
        <is>
          <t>NetSuite</t>
        </is>
      </c>
    </row>
    <row r="1230">
      <c r="A1230" s="5" t="inlineStr">
        <is>
          <t>STETSON AMERICAS</t>
        </is>
      </c>
      <c r="B1230" s="5">
        <f>IF($I2="","",INDEX(Productos!$A:$A,$I2))</f>
        <v/>
      </c>
      <c r="C1230" s="134" t="inlineStr">
        <is>
          <t>206556</t>
        </is>
      </c>
      <c r="D1230" s="5">
        <f>IF($I2="","",INDEX(Productos!$B:$B,$I2))</f>
        <v/>
      </c>
      <c r="E1230" s="5">
        <f>IF($I2="","",INDEX(Productos!$H:$H,$I2))</f>
        <v/>
      </c>
      <c r="F1230" s="5">
        <f>IF($I2="","",INDEX(Productos!$I:$I,$I2))</f>
        <v/>
      </c>
      <c r="G1230" s="135" t="n">
        <v>12</v>
      </c>
      <c r="H1230" s="5">
        <f>IF($I2="","",INDEX(Productos!$AG:$AG,$I2))</f>
        <v/>
      </c>
      <c r="I1230" s="136">
        <f>LET(_xlpm.r,Productos!$E$2:$E$2509,_xlpm.m,IFERROR(_xlfn.XMATCH(C1230,_xlpm.r),IFERROR(_xlfn.XMATCH(VALUE(C1230),_xlpm.r),0)),IF(_xlpm.m=0,"",_xlpm.m+1))</f>
        <v/>
      </c>
      <c r="J1230" s="137" t="inlineStr">
        <is>
          <t>NetSuite</t>
        </is>
      </c>
    </row>
    <row r="1231">
      <c r="A1231" s="5" t="inlineStr">
        <is>
          <t>STETSON AMERICAS</t>
        </is>
      </c>
      <c r="B1231" s="5">
        <f>IF($I2="","",INDEX(Productos!$A:$A,$I2))</f>
        <v/>
      </c>
      <c r="C1231" s="134" t="inlineStr">
        <is>
          <t>9401790-204-L</t>
        </is>
      </c>
      <c r="D1231" s="5">
        <f>IF($I2="","",INDEX(Productos!$B:$B,$I2))</f>
        <v/>
      </c>
      <c r="E1231" s="5">
        <f>IF($I2="","",INDEX(Productos!$H:$H,$I2))</f>
        <v/>
      </c>
      <c r="F1231" s="5">
        <f>IF($I2="","",INDEX(Productos!$I:$I,$I2))</f>
        <v/>
      </c>
      <c r="G1231" s="135" t="n">
        <v>-2</v>
      </c>
      <c r="H1231" s="5">
        <f>IF($I2="","",INDEX(Productos!$AG:$AG,$I2))</f>
        <v/>
      </c>
      <c r="I1231" s="136">
        <f>LET(_xlpm.r,Productos!$E$2:$E$2509,_xlpm.m,IFERROR(_xlfn.XMATCH(C1231,_xlpm.r),IFERROR(_xlfn.XMATCH(VALUE(C1231),_xlpm.r),0)),IF(_xlpm.m=0,"",_xlpm.m+1))</f>
        <v/>
      </c>
      <c r="J1231" s="137" t="inlineStr">
        <is>
          <t>NetSuite</t>
        </is>
      </c>
    </row>
    <row r="1232">
      <c r="A1232" s="5" t="inlineStr">
        <is>
          <t>STETSON AMERICAS</t>
        </is>
      </c>
      <c r="B1232" s="5">
        <f>IF($I2="","",INDEX(Productos!$A:$A,$I2))</f>
        <v/>
      </c>
      <c r="C1232" s="134" t="inlineStr">
        <is>
          <t>9401790-204-M</t>
        </is>
      </c>
      <c r="D1232" s="5">
        <f>IF($I2="","",INDEX(Productos!$B:$B,$I2))</f>
        <v/>
      </c>
      <c r="E1232" s="5">
        <f>IF($I2="","",INDEX(Productos!$H:$H,$I2))</f>
        <v/>
      </c>
      <c r="F1232" s="5">
        <f>IF($I2="","",INDEX(Productos!$I:$I,$I2))</f>
        <v/>
      </c>
      <c r="G1232" s="135" t="n">
        <v>-3</v>
      </c>
      <c r="H1232" s="5">
        <f>IF($I2="","",INDEX(Productos!$AG:$AG,$I2))</f>
        <v/>
      </c>
      <c r="I1232" s="136">
        <f>LET(_xlpm.r,Productos!$E$2:$E$2509,_xlpm.m,IFERROR(_xlfn.XMATCH(C1232,_xlpm.r),IFERROR(_xlfn.XMATCH(VALUE(C1232),_xlpm.r),0)),IF(_xlpm.m=0,"",_xlpm.m+1))</f>
        <v/>
      </c>
      <c r="J1232" s="137" t="inlineStr">
        <is>
          <t>NetSuite</t>
        </is>
      </c>
    </row>
    <row r="1233">
      <c r="A1233" s="5" t="inlineStr">
        <is>
          <t>STETSON AMERICAS</t>
        </is>
      </c>
      <c r="B1233" s="5">
        <f>IF($I2="","",INDEX(Productos!$A:$A,$I2))</f>
        <v/>
      </c>
      <c r="C1233" s="134" t="inlineStr">
        <is>
          <t>9401790-204-S</t>
        </is>
      </c>
      <c r="D1233" s="5">
        <f>IF($I2="","",INDEX(Productos!$B:$B,$I2))</f>
        <v/>
      </c>
      <c r="E1233" s="5">
        <f>IF($I2="","",INDEX(Productos!$H:$H,$I2))</f>
        <v/>
      </c>
      <c r="F1233" s="5">
        <f>IF($I2="","",INDEX(Productos!$I:$I,$I2))</f>
        <v/>
      </c>
      <c r="G1233" s="135" t="n">
        <v>-1</v>
      </c>
      <c r="H1233" s="5">
        <f>IF($I2="","",INDEX(Productos!$AG:$AG,$I2))</f>
        <v/>
      </c>
      <c r="I1233" s="136">
        <f>LET(_xlpm.r,Productos!$E$2:$E$2509,_xlpm.m,IFERROR(_xlfn.XMATCH(C1233,_xlpm.r),IFERROR(_xlfn.XMATCH(VALUE(C1233),_xlpm.r),0)),IF(_xlpm.m=0,"",_xlpm.m+1))</f>
        <v/>
      </c>
      <c r="J1233" s="137" t="inlineStr">
        <is>
          <t>NetSuite</t>
        </is>
      </c>
    </row>
    <row r="1234">
      <c r="A1234" s="5" t="inlineStr">
        <is>
          <t>STETSON AMERICAS</t>
        </is>
      </c>
      <c r="B1234" s="5">
        <f>IF($I2="","",INDEX(Productos!$A:$A,$I2))</f>
        <v/>
      </c>
      <c r="C1234" s="134" t="inlineStr">
        <is>
          <t>9401790-204-XL</t>
        </is>
      </c>
      <c r="D1234" s="5">
        <f>IF($I2="","",INDEX(Productos!$B:$B,$I2))</f>
        <v/>
      </c>
      <c r="E1234" s="5">
        <f>IF($I2="","",INDEX(Productos!$H:$H,$I2))</f>
        <v/>
      </c>
      <c r="F1234" s="5">
        <f>IF($I2="","",INDEX(Productos!$I:$I,$I2))</f>
        <v/>
      </c>
      <c r="G1234" s="135" t="n">
        <v>-1</v>
      </c>
      <c r="H1234" s="5">
        <f>IF($I2="","",INDEX(Productos!$AG:$AG,$I2))</f>
        <v/>
      </c>
      <c r="I1234" s="136">
        <f>LET(_xlpm.r,Productos!$E$2:$E$2509,_xlpm.m,IFERROR(_xlfn.XMATCH(C1234,_xlpm.r),IFERROR(_xlfn.XMATCH(VALUE(C1234),_xlpm.r),0)),IF(_xlpm.m=0,"",_xlpm.m+1))</f>
        <v/>
      </c>
      <c r="J1234" s="137" t="inlineStr">
        <is>
          <t>NetSuite</t>
        </is>
      </c>
    </row>
    <row r="1235">
      <c r="A1235" s="5" t="inlineStr">
        <is>
          <t>STETSON AMERICAS</t>
        </is>
      </c>
      <c r="B1235" s="5">
        <f>IF($I2="","",INDEX(Productos!$A:$A,$I2))</f>
        <v/>
      </c>
      <c r="C1235" s="134" t="inlineStr">
        <is>
          <t>9402790-200-L</t>
        </is>
      </c>
      <c r="D1235" s="5">
        <f>IF($I2="","",INDEX(Productos!$B:$B,$I2))</f>
        <v/>
      </c>
      <c r="E1235" s="5">
        <f>IF($I2="","",INDEX(Productos!$H:$H,$I2))</f>
        <v/>
      </c>
      <c r="F1235" s="5">
        <f>IF($I2="","",INDEX(Productos!$I:$I,$I2))</f>
        <v/>
      </c>
      <c r="G1235" s="135" t="n">
        <v>-1</v>
      </c>
      <c r="H1235" s="5">
        <f>IF($I2="","",INDEX(Productos!$AG:$AG,$I2))</f>
        <v/>
      </c>
      <c r="I1235" s="136">
        <f>LET(_xlpm.r,Productos!$E$2:$E$2509,_xlpm.m,IFERROR(_xlfn.XMATCH(C1235,_xlpm.r),IFERROR(_xlfn.XMATCH(VALUE(C1235),_xlpm.r),0)),IF(_xlpm.m=0,"",_xlpm.m+1))</f>
        <v/>
      </c>
      <c r="J1235" s="137" t="inlineStr">
        <is>
          <t>NetSuite</t>
        </is>
      </c>
    </row>
    <row r="1236">
      <c r="A1236" s="5" t="inlineStr">
        <is>
          <t>STETSON AMERICAS</t>
        </is>
      </c>
      <c r="B1236" s="5">
        <f>IF($I2="","",INDEX(Productos!$A:$A,$I2))</f>
        <v/>
      </c>
      <c r="C1236" s="134" t="inlineStr">
        <is>
          <t>9402790-200-M</t>
        </is>
      </c>
      <c r="D1236" s="5">
        <f>IF($I2="","",INDEX(Productos!$B:$B,$I2))</f>
        <v/>
      </c>
      <c r="E1236" s="5">
        <f>IF($I2="","",INDEX(Productos!$H:$H,$I2))</f>
        <v/>
      </c>
      <c r="F1236" s="5">
        <f>IF($I2="","",INDEX(Productos!$I:$I,$I2))</f>
        <v/>
      </c>
      <c r="G1236" s="135" t="n">
        <v>-2</v>
      </c>
      <c r="H1236" s="5">
        <f>IF($I2="","",INDEX(Productos!$AG:$AG,$I2))</f>
        <v/>
      </c>
      <c r="I1236" s="136">
        <f>LET(_xlpm.r,Productos!$E$2:$E$2509,_xlpm.m,IFERROR(_xlfn.XMATCH(C1236,_xlpm.r),IFERROR(_xlfn.XMATCH(VALUE(C1236),_xlpm.r),0)),IF(_xlpm.m=0,"",_xlpm.m+1))</f>
        <v/>
      </c>
      <c r="J1236" s="137" t="inlineStr">
        <is>
          <t>NetSuite</t>
        </is>
      </c>
    </row>
    <row r="1237">
      <c r="A1237" s="5" t="inlineStr">
        <is>
          <t>STETSON AMERICAS</t>
        </is>
      </c>
      <c r="B1237" s="5">
        <f>IF($I2="","",INDEX(Productos!$A:$A,$I2))</f>
        <v/>
      </c>
      <c r="C1237" s="134" t="inlineStr">
        <is>
          <t>9403790-200-L</t>
        </is>
      </c>
      <c r="D1237" s="5">
        <f>IF($I2="","",INDEX(Productos!$B:$B,$I2))</f>
        <v/>
      </c>
      <c r="E1237" s="5">
        <f>IF($I2="","",INDEX(Productos!$H:$H,$I2))</f>
        <v/>
      </c>
      <c r="F1237" s="5">
        <f>IF($I2="","",INDEX(Productos!$I:$I,$I2))</f>
        <v/>
      </c>
      <c r="G1237" s="135" t="n">
        <v>-3</v>
      </c>
      <c r="H1237" s="5">
        <f>IF($I2="","",INDEX(Productos!$AG:$AG,$I2))</f>
        <v/>
      </c>
      <c r="I1237" s="136">
        <f>LET(_xlpm.r,Productos!$E$2:$E$2509,_xlpm.m,IFERROR(_xlfn.XMATCH(C1237,_xlpm.r),IFERROR(_xlfn.XMATCH(VALUE(C1237),_xlpm.r),0)),IF(_xlpm.m=0,"",_xlpm.m+1))</f>
        <v/>
      </c>
      <c r="J1237" s="137" t="inlineStr">
        <is>
          <t>NetSuite</t>
        </is>
      </c>
    </row>
    <row r="1238">
      <c r="A1238" s="5" t="inlineStr">
        <is>
          <t>STETSON AMERICAS</t>
        </is>
      </c>
      <c r="B1238" s="5">
        <f>IF($I2="","",INDEX(Productos!$A:$A,$I2))</f>
        <v/>
      </c>
      <c r="C1238" s="134" t="inlineStr">
        <is>
          <t>9403790-200-M</t>
        </is>
      </c>
      <c r="D1238" s="5">
        <f>IF($I2="","",INDEX(Productos!$B:$B,$I2))</f>
        <v/>
      </c>
      <c r="E1238" s="5">
        <f>IF($I2="","",INDEX(Productos!$H:$H,$I2))</f>
        <v/>
      </c>
      <c r="F1238" s="5">
        <f>IF($I2="","",INDEX(Productos!$I:$I,$I2))</f>
        <v/>
      </c>
      <c r="G1238" s="135" t="n">
        <v>-2</v>
      </c>
      <c r="H1238" s="5">
        <f>IF($I2="","",INDEX(Productos!$AG:$AG,$I2))</f>
        <v/>
      </c>
      <c r="I1238" s="136">
        <f>LET(_xlpm.r,Productos!$E$2:$E$2509,_xlpm.m,IFERROR(_xlfn.XMATCH(C1238,_xlpm.r),IFERROR(_xlfn.XMATCH(VALUE(C1238),_xlpm.r),0)),IF(_xlpm.m=0,"",_xlpm.m+1))</f>
        <v/>
      </c>
      <c r="J1238" s="137" t="inlineStr">
        <is>
          <t>NetSuite</t>
        </is>
      </c>
    </row>
    <row r="1239">
      <c r="A1239" s="5" t="inlineStr">
        <is>
          <t>STETSON AMERICAS</t>
        </is>
      </c>
      <c r="B1239" s="5">
        <f>IF($I2="","",INDEX(Productos!$A:$A,$I2))</f>
        <v/>
      </c>
      <c r="C1239" s="134" t="inlineStr">
        <is>
          <t>9403790-200-S</t>
        </is>
      </c>
      <c r="D1239" s="5">
        <f>IF($I2="","",INDEX(Productos!$B:$B,$I2))</f>
        <v/>
      </c>
      <c r="E1239" s="5">
        <f>IF($I2="","",INDEX(Productos!$H:$H,$I2))</f>
        <v/>
      </c>
      <c r="F1239" s="5">
        <f>IF($I2="","",INDEX(Productos!$I:$I,$I2))</f>
        <v/>
      </c>
      <c r="G1239" s="135" t="n">
        <v>-3</v>
      </c>
      <c r="H1239" s="5">
        <f>IF($I2="","",INDEX(Productos!$AG:$AG,$I2))</f>
        <v/>
      </c>
      <c r="I1239" s="136">
        <f>LET(_xlpm.r,Productos!$E$2:$E$2509,_xlpm.m,IFERROR(_xlfn.XMATCH(C1239,_xlpm.r),IFERROR(_xlfn.XMATCH(VALUE(C1239),_xlpm.r),0)),IF(_xlpm.m=0,"",_xlpm.m+1))</f>
        <v/>
      </c>
      <c r="J1239" s="137" t="inlineStr">
        <is>
          <t>NetSuite</t>
        </is>
      </c>
    </row>
    <row r="1240">
      <c r="A1240" s="5" t="inlineStr">
        <is>
          <t>STETSON AMERICAS</t>
        </is>
      </c>
      <c r="B1240" s="5">
        <f>IF($I2="","",INDEX(Productos!$A:$A,$I2))</f>
        <v/>
      </c>
      <c r="C1240" s="134" t="inlineStr">
        <is>
          <t>9404790-104-L</t>
        </is>
      </c>
      <c r="D1240" s="5">
        <f>IF($I2="","",INDEX(Productos!$B:$B,$I2))</f>
        <v/>
      </c>
      <c r="E1240" s="5">
        <f>IF($I2="","",INDEX(Productos!$H:$H,$I2))</f>
        <v/>
      </c>
      <c r="F1240" s="5">
        <f>IF($I2="","",INDEX(Productos!$I:$I,$I2))</f>
        <v/>
      </c>
      <c r="G1240" s="135" t="n">
        <v>-1</v>
      </c>
      <c r="H1240" s="5">
        <f>IF($I2="","",INDEX(Productos!$AG:$AG,$I2))</f>
        <v/>
      </c>
      <c r="I1240" s="136">
        <f>LET(_xlpm.r,Productos!$E$2:$E$2509,_xlpm.m,IFERROR(_xlfn.XMATCH(C1240,_xlpm.r),IFERROR(_xlfn.XMATCH(VALUE(C1240),_xlpm.r),0)),IF(_xlpm.m=0,"",_xlpm.m+1))</f>
        <v/>
      </c>
      <c r="J1240" s="137" t="inlineStr">
        <is>
          <t>NetSuite</t>
        </is>
      </c>
    </row>
    <row r="1241">
      <c r="A1241" s="5" t="inlineStr">
        <is>
          <t>STETSON AMERICAS</t>
        </is>
      </c>
      <c r="B1241" s="5">
        <f>IF($I2="","",INDEX(Productos!$A:$A,$I2))</f>
        <v/>
      </c>
      <c r="C1241" s="134" t="inlineStr">
        <is>
          <t>9404790-104-M</t>
        </is>
      </c>
      <c r="D1241" s="5">
        <f>IF($I2="","",INDEX(Productos!$B:$B,$I2))</f>
        <v/>
      </c>
      <c r="E1241" s="5">
        <f>IF($I2="","",INDEX(Productos!$H:$H,$I2))</f>
        <v/>
      </c>
      <c r="F1241" s="5">
        <f>IF($I2="","",INDEX(Productos!$I:$I,$I2))</f>
        <v/>
      </c>
      <c r="G1241" s="135" t="n">
        <v>-4</v>
      </c>
      <c r="H1241" s="5">
        <f>IF($I2="","",INDEX(Productos!$AG:$AG,$I2))</f>
        <v/>
      </c>
      <c r="I1241" s="136">
        <f>LET(_xlpm.r,Productos!$E$2:$E$2509,_xlpm.m,IFERROR(_xlfn.XMATCH(C1241,_xlpm.r),IFERROR(_xlfn.XMATCH(VALUE(C1241),_xlpm.r),0)),IF(_xlpm.m=0,"",_xlpm.m+1))</f>
        <v/>
      </c>
      <c r="J1241" s="137" t="inlineStr">
        <is>
          <t>NetSuite</t>
        </is>
      </c>
    </row>
    <row r="1242">
      <c r="A1242" s="5" t="inlineStr">
        <is>
          <t>STETSON AMERICAS</t>
        </is>
      </c>
      <c r="B1242" s="5">
        <f>IF($I2="","",INDEX(Productos!$A:$A,$I2))</f>
        <v/>
      </c>
      <c r="C1242" s="134" t="inlineStr">
        <is>
          <t>9404790-104-S</t>
        </is>
      </c>
      <c r="D1242" s="5">
        <f>IF($I2="","",INDEX(Productos!$B:$B,$I2))</f>
        <v/>
      </c>
      <c r="E1242" s="5">
        <f>IF($I2="","",INDEX(Productos!$H:$H,$I2))</f>
        <v/>
      </c>
      <c r="F1242" s="5">
        <f>IF($I2="","",INDEX(Productos!$I:$I,$I2))</f>
        <v/>
      </c>
      <c r="G1242" s="135" t="n">
        <v>-2</v>
      </c>
      <c r="H1242" s="5">
        <f>IF($I2="","",INDEX(Productos!$AG:$AG,$I2))</f>
        <v/>
      </c>
      <c r="I1242" s="136">
        <f>LET(_xlpm.r,Productos!$E$2:$E$2509,_xlpm.m,IFERROR(_xlfn.XMATCH(C1242,_xlpm.r),IFERROR(_xlfn.XMATCH(VALUE(C1242),_xlpm.r),0)),IF(_xlpm.m=0,"",_xlpm.m+1))</f>
        <v/>
      </c>
      <c r="J1242" s="137" t="inlineStr">
        <is>
          <t>NetSuite</t>
        </is>
      </c>
    </row>
    <row r="1243">
      <c r="A1243" s="5" t="inlineStr">
        <is>
          <t>STETSON AMERICAS</t>
        </is>
      </c>
      <c r="B1243" s="5">
        <f>IF($I2="","",INDEX(Productos!$A:$A,$I2))</f>
        <v/>
      </c>
      <c r="C1243" s="134" t="inlineStr">
        <is>
          <t>9408790-001-L</t>
        </is>
      </c>
      <c r="D1243" s="5">
        <f>IF($I2="","",INDEX(Productos!$B:$B,$I2))</f>
        <v/>
      </c>
      <c r="E1243" s="5">
        <f>IF($I2="","",INDEX(Productos!$H:$H,$I2))</f>
        <v/>
      </c>
      <c r="F1243" s="5">
        <f>IF($I2="","",INDEX(Productos!$I:$I,$I2))</f>
        <v/>
      </c>
      <c r="G1243" s="135" t="n">
        <v>-1</v>
      </c>
      <c r="H1243" s="5">
        <f>IF($I2="","",INDEX(Productos!$AG:$AG,$I2))</f>
        <v/>
      </c>
      <c r="I1243" s="136">
        <f>LET(_xlpm.r,Productos!$E$2:$E$2509,_xlpm.m,IFERROR(_xlfn.XMATCH(C1243,_xlpm.r),IFERROR(_xlfn.XMATCH(VALUE(C1243),_xlpm.r),0)),IF(_xlpm.m=0,"",_xlpm.m+1))</f>
        <v/>
      </c>
      <c r="J1243" s="137" t="inlineStr">
        <is>
          <t>NetSuite</t>
        </is>
      </c>
    </row>
    <row r="1244">
      <c r="A1244" s="5" t="inlineStr">
        <is>
          <t>STETSON AMERICAS</t>
        </is>
      </c>
      <c r="B1244" s="5">
        <f>IF($I2="","",INDEX(Productos!$A:$A,$I2))</f>
        <v/>
      </c>
      <c r="C1244" s="134" t="inlineStr">
        <is>
          <t>9408790-001-S</t>
        </is>
      </c>
      <c r="D1244" s="5">
        <f>IF($I2="","",INDEX(Productos!$B:$B,$I2))</f>
        <v/>
      </c>
      <c r="E1244" s="5">
        <f>IF($I2="","",INDEX(Productos!$H:$H,$I2))</f>
        <v/>
      </c>
      <c r="F1244" s="5">
        <f>IF($I2="","",INDEX(Productos!$I:$I,$I2))</f>
        <v/>
      </c>
      <c r="G1244" s="135" t="n">
        <v>-2</v>
      </c>
      <c r="H1244" s="5">
        <f>IF($I2="","",INDEX(Productos!$AG:$AG,$I2))</f>
        <v/>
      </c>
      <c r="I1244" s="136">
        <f>LET(_xlpm.r,Productos!$E$2:$E$2509,_xlpm.m,IFERROR(_xlfn.XMATCH(C1244,_xlpm.r),IFERROR(_xlfn.XMATCH(VALUE(C1244),_xlpm.r),0)),IF(_xlpm.m=0,"",_xlpm.m+1))</f>
        <v/>
      </c>
      <c r="J1244" s="137" t="inlineStr">
        <is>
          <t>NetSuite</t>
        </is>
      </c>
    </row>
    <row r="1245">
      <c r="A1245" s="5" t="inlineStr">
        <is>
          <t>STETSON AMERICAS</t>
        </is>
      </c>
      <c r="B1245" s="5">
        <f>IF($I2="","",INDEX(Productos!$A:$A,$I2))</f>
        <v/>
      </c>
      <c r="C1245" s="134" t="inlineStr">
        <is>
          <t>9408790-233-L</t>
        </is>
      </c>
      <c r="D1245" s="5">
        <f>IF($I2="","",INDEX(Productos!$B:$B,$I2))</f>
        <v/>
      </c>
      <c r="E1245" s="5">
        <f>IF($I2="","",INDEX(Productos!$H:$H,$I2))</f>
        <v/>
      </c>
      <c r="F1245" s="5">
        <f>IF($I2="","",INDEX(Productos!$I:$I,$I2))</f>
        <v/>
      </c>
      <c r="G1245" s="135" t="n">
        <v>-1</v>
      </c>
      <c r="H1245" s="5">
        <f>IF($I2="","",INDEX(Productos!$AG:$AG,$I2))</f>
        <v/>
      </c>
      <c r="I1245" s="136">
        <f>LET(_xlpm.r,Productos!$E$2:$E$2509,_xlpm.m,IFERROR(_xlfn.XMATCH(C1245,_xlpm.r),IFERROR(_xlfn.XMATCH(VALUE(C1245),_xlpm.r),0)),IF(_xlpm.m=0,"",_xlpm.m+1))</f>
        <v/>
      </c>
      <c r="J1245" s="137" t="inlineStr">
        <is>
          <t>NetSuite</t>
        </is>
      </c>
    </row>
    <row r="1246">
      <c r="A1246" s="5" t="inlineStr">
        <is>
          <t>STETSON AMERICAS</t>
        </is>
      </c>
      <c r="B1246" s="5">
        <f>IF($I2="","",INDEX(Productos!$A:$A,$I2))</f>
        <v/>
      </c>
      <c r="C1246" s="134" t="inlineStr">
        <is>
          <t>9408790-233-M</t>
        </is>
      </c>
      <c r="D1246" s="5">
        <f>IF($I2="","",INDEX(Productos!$B:$B,$I2))</f>
        <v/>
      </c>
      <c r="E1246" s="5">
        <f>IF($I2="","",INDEX(Productos!$H:$H,$I2))</f>
        <v/>
      </c>
      <c r="F1246" s="5">
        <f>IF($I2="","",INDEX(Productos!$I:$I,$I2))</f>
        <v/>
      </c>
      <c r="G1246" s="135" t="n">
        <v>-1</v>
      </c>
      <c r="H1246" s="5">
        <f>IF($I2="","",INDEX(Productos!$AG:$AG,$I2))</f>
        <v/>
      </c>
      <c r="I1246" s="136">
        <f>LET(_xlpm.r,Productos!$E$2:$E$2509,_xlpm.m,IFERROR(_xlfn.XMATCH(C1246,_xlpm.r),IFERROR(_xlfn.XMATCH(VALUE(C1246),_xlpm.r),0)),IF(_xlpm.m=0,"",_xlpm.m+1))</f>
        <v/>
      </c>
      <c r="J1246" s="137" t="inlineStr">
        <is>
          <t>NetSuite</t>
        </is>
      </c>
    </row>
    <row r="1247">
      <c r="A1247" s="5" t="inlineStr">
        <is>
          <t>STETSON AMERICAS</t>
        </is>
      </c>
      <c r="B1247" s="5">
        <f>IF($I2="","",INDEX(Productos!$A:$A,$I2))</f>
        <v/>
      </c>
      <c r="C1247" s="134" t="inlineStr">
        <is>
          <t>9408790-233-S</t>
        </is>
      </c>
      <c r="D1247" s="5">
        <f>IF($I2="","",INDEX(Productos!$B:$B,$I2))</f>
        <v/>
      </c>
      <c r="E1247" s="5">
        <f>IF($I2="","",INDEX(Productos!$H:$H,$I2))</f>
        <v/>
      </c>
      <c r="F1247" s="5">
        <f>IF($I2="","",INDEX(Productos!$I:$I,$I2))</f>
        <v/>
      </c>
      <c r="G1247" s="135" t="n">
        <v>-1</v>
      </c>
      <c r="H1247" s="5">
        <f>IF($I2="","",INDEX(Productos!$AG:$AG,$I2))</f>
        <v/>
      </c>
      <c r="I1247" s="136">
        <f>LET(_xlpm.r,Productos!$E$2:$E$2509,_xlpm.m,IFERROR(_xlfn.XMATCH(C1247,_xlpm.r),IFERROR(_xlfn.XMATCH(VALUE(C1247),_xlpm.r),0)),IF(_xlpm.m=0,"",_xlpm.m+1))</f>
        <v/>
      </c>
      <c r="J1247" s="137" t="inlineStr">
        <is>
          <t>NetSuite</t>
        </is>
      </c>
    </row>
    <row r="1248">
      <c r="A1248" s="5" t="inlineStr">
        <is>
          <t>STETSON AMERICAS</t>
        </is>
      </c>
      <c r="B1248" s="5">
        <f>IF($I2="","",INDEX(Productos!$A:$A,$I2))</f>
        <v/>
      </c>
      <c r="C1248" s="134" t="inlineStr">
        <is>
          <t>9409790-001-M</t>
        </is>
      </c>
      <c r="D1248" s="5">
        <f>IF($I2="","",INDEX(Productos!$B:$B,$I2))</f>
        <v/>
      </c>
      <c r="E1248" s="5">
        <f>IF($I2="","",INDEX(Productos!$H:$H,$I2))</f>
        <v/>
      </c>
      <c r="F1248" s="5">
        <f>IF($I2="","",INDEX(Productos!$I:$I,$I2))</f>
        <v/>
      </c>
      <c r="G1248" s="135" t="n">
        <v>-3</v>
      </c>
      <c r="H1248" s="5">
        <f>IF($I2="","",INDEX(Productos!$AG:$AG,$I2))</f>
        <v/>
      </c>
      <c r="I1248" s="136">
        <f>LET(_xlpm.r,Productos!$E$2:$E$2509,_xlpm.m,IFERROR(_xlfn.XMATCH(C1248,_xlpm.r),IFERROR(_xlfn.XMATCH(VALUE(C1248),_xlpm.r),0)),IF(_xlpm.m=0,"",_xlpm.m+1))</f>
        <v/>
      </c>
      <c r="J1248" s="137" t="inlineStr">
        <is>
          <t>NetSuite</t>
        </is>
      </c>
    </row>
    <row r="1249">
      <c r="A1249" s="5" t="inlineStr">
        <is>
          <t>STETSON AMERICAS</t>
        </is>
      </c>
      <c r="B1249" s="5">
        <f>IF($I2="","",INDEX(Productos!$A:$A,$I2))</f>
        <v/>
      </c>
      <c r="C1249" s="134" t="inlineStr">
        <is>
          <t>9409790-001-S</t>
        </is>
      </c>
      <c r="D1249" s="5">
        <f>IF($I2="","",INDEX(Productos!$B:$B,$I2))</f>
        <v/>
      </c>
      <c r="E1249" s="5">
        <f>IF($I2="","",INDEX(Productos!$H:$H,$I2))</f>
        <v/>
      </c>
      <c r="F1249" s="5">
        <f>IF($I2="","",INDEX(Productos!$I:$I,$I2))</f>
        <v/>
      </c>
      <c r="G1249" s="135" t="n">
        <v>-2</v>
      </c>
      <c r="H1249" s="5">
        <f>IF($I2="","",INDEX(Productos!$AG:$AG,$I2))</f>
        <v/>
      </c>
      <c r="I1249" s="136">
        <f>LET(_xlpm.r,Productos!$E$2:$E$2509,_xlpm.m,IFERROR(_xlfn.XMATCH(C1249,_xlpm.r),IFERROR(_xlfn.XMATCH(VALUE(C1249),_xlpm.r),0)),IF(_xlpm.m=0,"",_xlpm.m+1))</f>
        <v/>
      </c>
      <c r="J1249" s="137" t="inlineStr">
        <is>
          <t>NetSuite</t>
        </is>
      </c>
    </row>
    <row r="1250">
      <c r="A1250" s="5" t="inlineStr">
        <is>
          <t>STETSON AMERICAS</t>
        </is>
      </c>
      <c r="B1250" s="5">
        <f>IF($I2="","",INDEX(Productos!$A:$A,$I2))</f>
        <v/>
      </c>
      <c r="C1250" s="134" t="inlineStr">
        <is>
          <t>9409790-600-L</t>
        </is>
      </c>
      <c r="D1250" s="5">
        <f>IF($I2="","",INDEX(Productos!$B:$B,$I2))</f>
        <v/>
      </c>
      <c r="E1250" s="5">
        <f>IF($I2="","",INDEX(Productos!$H:$H,$I2))</f>
        <v/>
      </c>
      <c r="F1250" s="5">
        <f>IF($I2="","",INDEX(Productos!$I:$I,$I2))</f>
        <v/>
      </c>
      <c r="G1250" s="135" t="n">
        <v>-1</v>
      </c>
      <c r="H1250" s="5">
        <f>IF($I2="","",INDEX(Productos!$AG:$AG,$I2))</f>
        <v/>
      </c>
      <c r="I1250" s="136">
        <f>LET(_xlpm.r,Productos!$E$2:$E$2509,_xlpm.m,IFERROR(_xlfn.XMATCH(C1250,_xlpm.r),IFERROR(_xlfn.XMATCH(VALUE(C1250),_xlpm.r),0)),IF(_xlpm.m=0,"",_xlpm.m+1))</f>
        <v/>
      </c>
      <c r="J1250" s="137" t="inlineStr">
        <is>
          <t>NetSuite</t>
        </is>
      </c>
    </row>
    <row r="1251">
      <c r="A1251" s="5" t="inlineStr">
        <is>
          <t>STETSON AMERICAS</t>
        </is>
      </c>
      <c r="B1251" s="5">
        <f>IF($I2="","",INDEX(Productos!$A:$A,$I2))</f>
        <v/>
      </c>
      <c r="C1251" s="134" t="inlineStr">
        <is>
          <t>9409790-600-S</t>
        </is>
      </c>
      <c r="D1251" s="5">
        <f>IF($I2="","",INDEX(Productos!$B:$B,$I2))</f>
        <v/>
      </c>
      <c r="E1251" s="5">
        <f>IF($I2="","",INDEX(Productos!$H:$H,$I2))</f>
        <v/>
      </c>
      <c r="F1251" s="5">
        <f>IF($I2="","",INDEX(Productos!$I:$I,$I2))</f>
        <v/>
      </c>
      <c r="G1251" s="135" t="n">
        <v>-2</v>
      </c>
      <c r="H1251" s="5">
        <f>IF($I2="","",INDEX(Productos!$AG:$AG,$I2))</f>
        <v/>
      </c>
      <c r="I1251" s="136">
        <f>LET(_xlpm.r,Productos!$E$2:$E$2509,_xlpm.m,IFERROR(_xlfn.XMATCH(C1251,_xlpm.r),IFERROR(_xlfn.XMATCH(VALUE(C1251),_xlpm.r),0)),IF(_xlpm.m=0,"",_xlpm.m+1))</f>
        <v/>
      </c>
      <c r="J1251" s="137" t="inlineStr">
        <is>
          <t>NetSuite</t>
        </is>
      </c>
    </row>
    <row r="1252">
      <c r="A1252" s="5" t="inlineStr">
        <is>
          <t>STETSON AMERICAS</t>
        </is>
      </c>
      <c r="B1252" s="5">
        <f>IF($I2="","",INDEX(Productos!$A:$A,$I2))</f>
        <v/>
      </c>
      <c r="C1252" s="134" t="inlineStr">
        <is>
          <t>9410790-962-L</t>
        </is>
      </c>
      <c r="D1252" s="5">
        <f>IF($I2="","",INDEX(Productos!$B:$B,$I2))</f>
        <v/>
      </c>
      <c r="E1252" s="5">
        <f>IF($I2="","",INDEX(Productos!$H:$H,$I2))</f>
        <v/>
      </c>
      <c r="F1252" s="5">
        <f>IF($I2="","",INDEX(Productos!$I:$I,$I2))</f>
        <v/>
      </c>
      <c r="G1252" s="135" t="n">
        <v>-1</v>
      </c>
      <c r="H1252" s="5">
        <f>IF($I2="","",INDEX(Productos!$AG:$AG,$I2))</f>
        <v/>
      </c>
      <c r="I1252" s="136">
        <f>LET(_xlpm.r,Productos!$E$2:$E$2509,_xlpm.m,IFERROR(_xlfn.XMATCH(C1252,_xlpm.r),IFERROR(_xlfn.XMATCH(VALUE(C1252),_xlpm.r),0)),IF(_xlpm.m=0,"",_xlpm.m+1))</f>
        <v/>
      </c>
      <c r="J1252" s="137" t="inlineStr">
        <is>
          <t>NetSuite</t>
        </is>
      </c>
    </row>
    <row r="1253">
      <c r="A1253" s="5" t="inlineStr">
        <is>
          <t>STETSON AMERICAS</t>
        </is>
      </c>
      <c r="B1253" s="5">
        <f>IF($I2="","",INDEX(Productos!$A:$A,$I2))</f>
        <v/>
      </c>
      <c r="C1253" s="134" t="inlineStr">
        <is>
          <t>9410790-962-M</t>
        </is>
      </c>
      <c r="D1253" s="5">
        <f>IF($I2="","",INDEX(Productos!$B:$B,$I2))</f>
        <v/>
      </c>
      <c r="E1253" s="5">
        <f>IF($I2="","",INDEX(Productos!$H:$H,$I2))</f>
        <v/>
      </c>
      <c r="F1253" s="5">
        <f>IF($I2="","",INDEX(Productos!$I:$I,$I2))</f>
        <v/>
      </c>
      <c r="G1253" s="135" t="n">
        <v>-1</v>
      </c>
      <c r="H1253" s="5">
        <f>IF($I2="","",INDEX(Productos!$AG:$AG,$I2))</f>
        <v/>
      </c>
      <c r="I1253" s="136">
        <f>LET(_xlpm.r,Productos!$E$2:$E$2509,_xlpm.m,IFERROR(_xlfn.XMATCH(C1253,_xlpm.r),IFERROR(_xlfn.XMATCH(VALUE(C1253),_xlpm.r),0)),IF(_xlpm.m=0,"",_xlpm.m+1))</f>
        <v/>
      </c>
      <c r="J1253" s="137" t="inlineStr">
        <is>
          <t>NetSuite</t>
        </is>
      </c>
    </row>
    <row r="1254">
      <c r="A1254" s="5" t="inlineStr">
        <is>
          <t>STETSON AMERICAS</t>
        </is>
      </c>
      <c r="B1254" s="5">
        <f>IF($I2="","",INDEX(Productos!$A:$A,$I2))</f>
        <v/>
      </c>
      <c r="C1254" s="134" t="inlineStr">
        <is>
          <t>9410790-962-S</t>
        </is>
      </c>
      <c r="D1254" s="5">
        <f>IF($I2="","",INDEX(Productos!$B:$B,$I2))</f>
        <v/>
      </c>
      <c r="E1254" s="5">
        <f>IF($I2="","",INDEX(Productos!$H:$H,$I2))</f>
        <v/>
      </c>
      <c r="F1254" s="5">
        <f>IF($I2="","",INDEX(Productos!$I:$I,$I2))</f>
        <v/>
      </c>
      <c r="G1254" s="135" t="n">
        <v>-2</v>
      </c>
      <c r="H1254" s="5">
        <f>IF($I2="","",INDEX(Productos!$AG:$AG,$I2))</f>
        <v/>
      </c>
      <c r="I1254" s="136">
        <f>LET(_xlpm.r,Productos!$E$2:$E$2509,_xlpm.m,IFERROR(_xlfn.XMATCH(C1254,_xlpm.r),IFERROR(_xlfn.XMATCH(VALUE(C1254),_xlpm.r),0)),IF(_xlpm.m=0,"",_xlpm.m+1))</f>
        <v/>
      </c>
      <c r="J1254" s="137" t="inlineStr">
        <is>
          <t>NetSuite</t>
        </is>
      </c>
    </row>
    <row r="1255">
      <c r="A1255" s="5" t="inlineStr">
        <is>
          <t>STETSON AMERICAS</t>
        </is>
      </c>
      <c r="B1255" s="5">
        <f>IF($I2="","",INDEX(Productos!$A:$A,$I2))</f>
        <v/>
      </c>
      <c r="C1255" s="134" t="inlineStr">
        <is>
          <t>9411790-909-L</t>
        </is>
      </c>
      <c r="D1255" s="5">
        <f>IF($I2="","",INDEX(Productos!$B:$B,$I2))</f>
        <v/>
      </c>
      <c r="E1255" s="5">
        <f>IF($I2="","",INDEX(Productos!$H:$H,$I2))</f>
        <v/>
      </c>
      <c r="F1255" s="5">
        <f>IF($I2="","",INDEX(Productos!$I:$I,$I2))</f>
        <v/>
      </c>
      <c r="G1255" s="135" t="n">
        <v>-2</v>
      </c>
      <c r="H1255" s="5">
        <f>IF($I2="","",INDEX(Productos!$AG:$AG,$I2))</f>
        <v/>
      </c>
      <c r="I1255" s="136">
        <f>LET(_xlpm.r,Productos!$E$2:$E$2509,_xlpm.m,IFERROR(_xlfn.XMATCH(C1255,_xlpm.r),IFERROR(_xlfn.XMATCH(VALUE(C1255),_xlpm.r),0)),IF(_xlpm.m=0,"",_xlpm.m+1))</f>
        <v/>
      </c>
      <c r="J1255" s="137" t="inlineStr">
        <is>
          <t>NetSuite</t>
        </is>
      </c>
    </row>
    <row r="1256">
      <c r="A1256" s="5" t="inlineStr">
        <is>
          <t>STETSON AMERICAS</t>
        </is>
      </c>
      <c r="B1256" s="5">
        <f>IF($I2="","",INDEX(Productos!$A:$A,$I2))</f>
        <v/>
      </c>
      <c r="C1256" s="134" t="inlineStr">
        <is>
          <t>9411790-909-S</t>
        </is>
      </c>
      <c r="D1256" s="5">
        <f>IF($I2="","",INDEX(Productos!$B:$B,$I2))</f>
        <v/>
      </c>
      <c r="E1256" s="5">
        <f>IF($I2="","",INDEX(Productos!$H:$H,$I2))</f>
        <v/>
      </c>
      <c r="F1256" s="5">
        <f>IF($I2="","",INDEX(Productos!$I:$I,$I2))</f>
        <v/>
      </c>
      <c r="G1256" s="135" t="n">
        <v>-3</v>
      </c>
      <c r="H1256" s="5">
        <f>IF($I2="","",INDEX(Productos!$AG:$AG,$I2))</f>
        <v/>
      </c>
      <c r="I1256" s="136">
        <f>LET(_xlpm.r,Productos!$E$2:$E$2509,_xlpm.m,IFERROR(_xlfn.XMATCH(C1256,_xlpm.r),IFERROR(_xlfn.XMATCH(VALUE(C1256),_xlpm.r),0)),IF(_xlpm.m=0,"",_xlpm.m+1))</f>
        <v/>
      </c>
      <c r="J1256" s="137" t="inlineStr">
        <is>
          <t>NetSuite</t>
        </is>
      </c>
    </row>
    <row r="1257">
      <c r="A1257" s="5" t="inlineStr">
        <is>
          <t>STETSON AMERICAS</t>
        </is>
      </c>
      <c r="B1257" s="5">
        <f>IF($I2="","",INDEX(Productos!$A:$A,$I2))</f>
        <v/>
      </c>
      <c r="C1257" s="134" t="inlineStr">
        <is>
          <t>9411790-909-XL</t>
        </is>
      </c>
      <c r="D1257" s="5">
        <f>IF($I2="","",INDEX(Productos!$B:$B,$I2))</f>
        <v/>
      </c>
      <c r="E1257" s="5">
        <f>IF($I2="","",INDEX(Productos!$H:$H,$I2))</f>
        <v/>
      </c>
      <c r="F1257" s="5">
        <f>IF($I2="","",INDEX(Productos!$I:$I,$I2))</f>
        <v/>
      </c>
      <c r="G1257" s="135" t="n">
        <v>-1</v>
      </c>
      <c r="H1257" s="5">
        <f>IF($I2="","",INDEX(Productos!$AG:$AG,$I2))</f>
        <v/>
      </c>
      <c r="I1257" s="136">
        <f>LET(_xlpm.r,Productos!$E$2:$E$2509,_xlpm.m,IFERROR(_xlfn.XMATCH(C1257,_xlpm.r),IFERROR(_xlfn.XMATCH(VALUE(C1257),_xlpm.r),0)),IF(_xlpm.m=0,"",_xlpm.m+1))</f>
        <v/>
      </c>
      <c r="J1257" s="137" t="inlineStr">
        <is>
          <t>NetSuite</t>
        </is>
      </c>
    </row>
    <row r="1258">
      <c r="A1258" s="5" t="inlineStr">
        <is>
          <t>STETSON AMERICAS</t>
        </is>
      </c>
      <c r="B1258" s="5">
        <f>IF($I2="","",INDEX(Productos!$A:$A,$I2))</f>
        <v/>
      </c>
      <c r="C1258" s="134" t="inlineStr">
        <is>
          <t>9412790-100-M</t>
        </is>
      </c>
      <c r="D1258" s="5">
        <f>IF($I2="","",INDEX(Productos!$B:$B,$I2))</f>
        <v/>
      </c>
      <c r="E1258" s="5">
        <f>IF($I2="","",INDEX(Productos!$H:$H,$I2))</f>
        <v/>
      </c>
      <c r="F1258" s="5">
        <f>IF($I2="","",INDEX(Productos!$I:$I,$I2))</f>
        <v/>
      </c>
      <c r="G1258" s="135" t="n">
        <v>1</v>
      </c>
      <c r="H1258" s="5">
        <f>IF($I2="","",INDEX(Productos!$AG:$AG,$I2))</f>
        <v/>
      </c>
      <c r="I1258" s="136">
        <f>LET(_xlpm.r,Productos!$E$2:$E$2509,_xlpm.m,IFERROR(_xlfn.XMATCH(C1258,_xlpm.r),IFERROR(_xlfn.XMATCH(VALUE(C1258),_xlpm.r),0)),IF(_xlpm.m=0,"",_xlpm.m+1))</f>
        <v/>
      </c>
      <c r="J1258" s="137" t="inlineStr">
        <is>
          <t>NetSuite</t>
        </is>
      </c>
    </row>
    <row r="1259">
      <c r="A1259" s="5" t="inlineStr">
        <is>
          <t>STETSON AMERICAS</t>
        </is>
      </c>
      <c r="B1259" s="5">
        <f>IF($I2="","",INDEX(Productos!$A:$A,$I2))</f>
        <v/>
      </c>
      <c r="C1259" s="134" t="inlineStr">
        <is>
          <t>9506000-600-NZ</t>
        </is>
      </c>
      <c r="D1259" s="5">
        <f>IF($I2="","",INDEX(Productos!$B:$B,$I2))</f>
        <v/>
      </c>
      <c r="E1259" s="5">
        <f>IF($I2="","",INDEX(Productos!$H:$H,$I2))</f>
        <v/>
      </c>
      <c r="F1259" s="5">
        <f>IF($I2="","",INDEX(Productos!$I:$I,$I2))</f>
        <v/>
      </c>
      <c r="G1259" s="135" t="n">
        <v>-1</v>
      </c>
      <c r="H1259" s="5">
        <f>IF($I2="","",INDEX(Productos!$AG:$AG,$I2))</f>
        <v/>
      </c>
      <c r="I1259" s="136">
        <f>LET(_xlpm.r,Productos!$E$2:$E$2509,_xlpm.m,IFERROR(_xlfn.XMATCH(C1259,_xlpm.r),IFERROR(_xlfn.XMATCH(VALUE(C1259),_xlpm.r),0)),IF(_xlpm.m=0,"",_xlpm.m+1))</f>
        <v/>
      </c>
      <c r="J1259" s="137" t="inlineStr">
        <is>
          <t>NetSuite</t>
        </is>
      </c>
    </row>
    <row r="1260">
      <c r="A1260" s="5" t="inlineStr">
        <is>
          <t>STETSON AMERICAS</t>
        </is>
      </c>
      <c r="B1260" s="5">
        <f>IF($I2="","",INDEX(Productos!$A:$A,$I2))</f>
        <v/>
      </c>
      <c r="C1260" s="134" t="inlineStr">
        <is>
          <t>9510000-200-NZ</t>
        </is>
      </c>
      <c r="D1260" s="5">
        <f>IF($I2="","",INDEX(Productos!$B:$B,$I2))</f>
        <v/>
      </c>
      <c r="E1260" s="5">
        <f>IF($I2="","",INDEX(Productos!$H:$H,$I2))</f>
        <v/>
      </c>
      <c r="F1260" s="5">
        <f>IF($I2="","",INDEX(Productos!$I:$I,$I2))</f>
        <v/>
      </c>
      <c r="G1260" s="135" t="n">
        <v>-1</v>
      </c>
      <c r="H1260" s="5">
        <f>IF($I2="","",INDEX(Productos!$AG:$AG,$I2))</f>
        <v/>
      </c>
      <c r="I1260" s="136">
        <f>LET(_xlpm.r,Productos!$E$2:$E$2509,_xlpm.m,IFERROR(_xlfn.XMATCH(C1260,_xlpm.r),IFERROR(_xlfn.XMATCH(VALUE(C1260),_xlpm.r),0)),IF(_xlpm.m=0,"",_xlpm.m+1))</f>
        <v/>
      </c>
      <c r="J1260" s="137" t="inlineStr">
        <is>
          <t>NetSuite</t>
        </is>
      </c>
    </row>
    <row r="1261">
      <c r="A1261" s="5" t="inlineStr">
        <is>
          <t>STETSON AMERICAS</t>
        </is>
      </c>
      <c r="B1261" s="5">
        <f>IF($I2="","",INDEX(Productos!$A:$A,$I2))</f>
        <v/>
      </c>
      <c r="C1261" s="134" t="inlineStr">
        <is>
          <t>9510000-219-NZ</t>
        </is>
      </c>
      <c r="D1261" s="5">
        <f>IF($I2="","",INDEX(Productos!$B:$B,$I2))</f>
        <v/>
      </c>
      <c r="E1261" s="5">
        <f>IF($I2="","",INDEX(Productos!$H:$H,$I2))</f>
        <v/>
      </c>
      <c r="F1261" s="5">
        <f>IF($I2="","",INDEX(Productos!$I:$I,$I2))</f>
        <v/>
      </c>
      <c r="G1261" s="135" t="n">
        <v>-1</v>
      </c>
      <c r="H1261" s="5">
        <f>IF($I2="","",INDEX(Productos!$AG:$AG,$I2))</f>
        <v/>
      </c>
      <c r="I1261" s="136">
        <f>LET(_xlpm.r,Productos!$E$2:$E$2509,_xlpm.m,IFERROR(_xlfn.XMATCH(C1261,_xlpm.r),IFERROR(_xlfn.XMATCH(VALUE(C1261),_xlpm.r),0)),IF(_xlpm.m=0,"",_xlpm.m+1))</f>
        <v/>
      </c>
      <c r="J1261" s="137" t="inlineStr">
        <is>
          <t>NetSuite</t>
        </is>
      </c>
    </row>
    <row r="1262">
      <c r="A1262" s="5" t="inlineStr">
        <is>
          <t>STETSON AMERICAS</t>
        </is>
      </c>
      <c r="B1262" s="5">
        <f>IF($I2="","",INDEX(Productos!$A:$A,$I2))</f>
        <v/>
      </c>
      <c r="C1262" s="134" t="inlineStr">
        <is>
          <t>9511000-200-NZ</t>
        </is>
      </c>
      <c r="D1262" s="5">
        <f>IF($I2="","",INDEX(Productos!$B:$B,$I2))</f>
        <v/>
      </c>
      <c r="E1262" s="5">
        <f>IF($I2="","",INDEX(Productos!$H:$H,$I2))</f>
        <v/>
      </c>
      <c r="F1262" s="5">
        <f>IF($I2="","",INDEX(Productos!$I:$I,$I2))</f>
        <v/>
      </c>
      <c r="G1262" s="135" t="n">
        <v>-1</v>
      </c>
      <c r="H1262" s="5">
        <f>IF($I2="","",INDEX(Productos!$AG:$AG,$I2))</f>
        <v/>
      </c>
      <c r="I1262" s="136">
        <f>LET(_xlpm.r,Productos!$E$2:$E$2509,_xlpm.m,IFERROR(_xlfn.XMATCH(C1262,_xlpm.r),IFERROR(_xlfn.XMATCH(VALUE(C1262),_xlpm.r),0)),IF(_xlpm.m=0,"",_xlpm.m+1))</f>
        <v/>
      </c>
      <c r="J1262" s="137" t="inlineStr">
        <is>
          <t>NetSuite</t>
        </is>
      </c>
    </row>
    <row r="1263">
      <c r="A1263" s="5" t="inlineStr">
        <is>
          <t>STETSON AMERICAS</t>
        </is>
      </c>
      <c r="B1263" s="5">
        <f>IF($I2="","",INDEX(Productos!$A:$A,$I2))</f>
        <v/>
      </c>
      <c r="C1263" s="134" t="inlineStr">
        <is>
          <t>9512000-600-NZ</t>
        </is>
      </c>
      <c r="D1263" s="5">
        <f>IF($I2="","",INDEX(Productos!$B:$B,$I2))</f>
        <v/>
      </c>
      <c r="E1263" s="5">
        <f>IF($I2="","",INDEX(Productos!$H:$H,$I2))</f>
        <v/>
      </c>
      <c r="F1263" s="5">
        <f>IF($I2="","",INDEX(Productos!$I:$I,$I2))</f>
        <v/>
      </c>
      <c r="G1263" s="135" t="n">
        <v>-1</v>
      </c>
      <c r="H1263" s="5">
        <f>IF($I2="","",INDEX(Productos!$AG:$AG,$I2))</f>
        <v/>
      </c>
      <c r="I1263" s="136">
        <f>LET(_xlpm.r,Productos!$E$2:$E$2509,_xlpm.m,IFERROR(_xlfn.XMATCH(C1263,_xlpm.r),IFERROR(_xlfn.XMATCH(VALUE(C1263),_xlpm.r),0)),IF(_xlpm.m=0,"",_xlpm.m+1))</f>
        <v/>
      </c>
      <c r="J1263" s="137" t="inlineStr">
        <is>
          <t>NetSuite</t>
        </is>
      </c>
    </row>
    <row r="1264">
      <c r="A1264" s="5" t="inlineStr">
        <is>
          <t>STETSON AMERICAS</t>
        </is>
      </c>
      <c r="B1264" s="5">
        <f>IF($I2="","",INDEX(Productos!$A:$A,$I2))</f>
        <v/>
      </c>
      <c r="C1264" s="134" t="inlineStr">
        <is>
          <t>9513000-001-NZ</t>
        </is>
      </c>
      <c r="D1264" s="5">
        <f>IF($I2="","",INDEX(Productos!$B:$B,$I2))</f>
        <v/>
      </c>
      <c r="E1264" s="5">
        <f>IF($I2="","",INDEX(Productos!$H:$H,$I2))</f>
        <v/>
      </c>
      <c r="F1264" s="5">
        <f>IF($I2="","",INDEX(Productos!$I:$I,$I2))</f>
        <v/>
      </c>
      <c r="G1264" s="135" t="n">
        <v>-1</v>
      </c>
      <c r="H1264" s="5">
        <f>IF($I2="","",INDEX(Productos!$AG:$AG,$I2))</f>
        <v/>
      </c>
      <c r="I1264" s="136">
        <f>LET(_xlpm.r,Productos!$E$2:$E$2509,_xlpm.m,IFERROR(_xlfn.XMATCH(C1264,_xlpm.r),IFERROR(_xlfn.XMATCH(VALUE(C1264),_xlpm.r),0)),IF(_xlpm.m=0,"",_xlpm.m+1))</f>
        <v/>
      </c>
      <c r="J1264" s="137" t="inlineStr">
        <is>
          <t>NetSuite</t>
        </is>
      </c>
    </row>
    <row r="1265">
      <c r="A1265" s="5" t="inlineStr">
        <is>
          <t>STETSON AMERICAS</t>
        </is>
      </c>
      <c r="B1265" s="5">
        <f>IF($I2="","",INDEX(Productos!$A:$A,$I2))</f>
        <v/>
      </c>
      <c r="C1265" s="134" t="inlineStr">
        <is>
          <t>9513000-934-NZ</t>
        </is>
      </c>
      <c r="D1265" s="5">
        <f>IF($I2="","",INDEX(Productos!$B:$B,$I2))</f>
        <v/>
      </c>
      <c r="E1265" s="5">
        <f>IF($I2="","",INDEX(Productos!$H:$H,$I2))</f>
        <v/>
      </c>
      <c r="F1265" s="5">
        <f>IF($I2="","",INDEX(Productos!$I:$I,$I2))</f>
        <v/>
      </c>
      <c r="G1265" s="135" t="n">
        <v>-2</v>
      </c>
      <c r="H1265" s="5">
        <f>IF($I2="","",INDEX(Productos!$AG:$AG,$I2))</f>
        <v/>
      </c>
      <c r="I1265" s="136">
        <f>LET(_xlpm.r,Productos!$E$2:$E$2509,_xlpm.m,IFERROR(_xlfn.XMATCH(C1265,_xlpm.r),IFERROR(_xlfn.XMATCH(VALUE(C1265),_xlpm.r),0)),IF(_xlpm.m=0,"",_xlpm.m+1))</f>
        <v/>
      </c>
      <c r="J1265" s="137" t="inlineStr">
        <is>
          <t>NetSuite</t>
        </is>
      </c>
    </row>
    <row r="1266">
      <c r="A1266" s="5" t="inlineStr">
        <is>
          <t>STETSON AMERICAS</t>
        </is>
      </c>
      <c r="B1266" s="5">
        <f>IF($I2="","",INDEX(Productos!$A:$A,$I2))</f>
        <v/>
      </c>
      <c r="C1266" s="134" t="inlineStr">
        <is>
          <t>9801003-BL</t>
        </is>
      </c>
      <c r="D1266" s="5">
        <f>IF($I2="","",INDEX(Productos!$B:$B,$I2))</f>
        <v/>
      </c>
      <c r="E1266" s="5">
        <f>IF($I2="","",INDEX(Productos!$H:$H,$I2))</f>
        <v/>
      </c>
      <c r="F1266" s="5">
        <f>IF($I2="","",INDEX(Productos!$I:$I,$I2))</f>
        <v/>
      </c>
      <c r="G1266" s="135" t="n">
        <v>-1</v>
      </c>
      <c r="H1266" s="5">
        <f>IF($I2="","",INDEX(Productos!$AG:$AG,$I2))</f>
        <v/>
      </c>
      <c r="I1266" s="136">
        <f>LET(_xlpm.r,Productos!$E$2:$E$2509,_xlpm.m,IFERROR(_xlfn.XMATCH(C1266,_xlpm.r),IFERROR(_xlfn.XMATCH(VALUE(C1266),_xlpm.r),0)),IF(_xlpm.m=0,"",_xlpm.m+1))</f>
        <v/>
      </c>
      <c r="J1266" s="137" t="inlineStr">
        <is>
          <t>NetSuite</t>
        </is>
      </c>
    </row>
    <row r="1267">
      <c r="A1267" s="5" t="inlineStr">
        <is>
          <t>STETSON AMERICAS</t>
        </is>
      </c>
      <c r="B1267" s="5">
        <f>IF($I2="","",INDEX(Productos!$A:$A,$I2))</f>
        <v/>
      </c>
      <c r="C1267" s="134" t="inlineStr">
        <is>
          <t>9801003-BR</t>
        </is>
      </c>
      <c r="D1267" s="5">
        <f>IF($I2="","",INDEX(Productos!$B:$B,$I2))</f>
        <v/>
      </c>
      <c r="E1267" s="5">
        <f>IF($I2="","",INDEX(Productos!$H:$H,$I2))</f>
        <v/>
      </c>
      <c r="F1267" s="5">
        <f>IF($I2="","",INDEX(Productos!$I:$I,$I2))</f>
        <v/>
      </c>
      <c r="G1267" s="135" t="n">
        <v>-1</v>
      </c>
      <c r="H1267" s="5">
        <f>IF($I2="","",INDEX(Productos!$AG:$AG,$I2))</f>
        <v/>
      </c>
      <c r="I1267" s="136">
        <f>LET(_xlpm.r,Productos!$E$2:$E$2509,_xlpm.m,IFERROR(_xlfn.XMATCH(C1267,_xlpm.r),IFERROR(_xlfn.XMATCH(VALUE(C1267),_xlpm.r),0)),IF(_xlpm.m=0,"",_xlpm.m+1))</f>
        <v/>
      </c>
      <c r="J1267" s="137" t="inlineStr">
        <is>
          <t>NetSuite</t>
        </is>
      </c>
    </row>
    <row r="1268">
      <c r="A1268" s="5" t="inlineStr">
        <is>
          <t>STETSON AMERICAS</t>
        </is>
      </c>
      <c r="B1268" s="5">
        <f>IF($I2="","",INDEX(Productos!$A:$A,$I2))</f>
        <v/>
      </c>
      <c r="C1268" s="134" t="inlineStr">
        <is>
          <t>9803001-255-NZ</t>
        </is>
      </c>
      <c r="D1268" s="5">
        <f>IF($I2="","",INDEX(Productos!$B:$B,$I2))</f>
        <v/>
      </c>
      <c r="E1268" s="5">
        <f>IF($I2="","",INDEX(Productos!$H:$H,$I2))</f>
        <v/>
      </c>
      <c r="F1268" s="5">
        <f>IF($I2="","",INDEX(Productos!$I:$I,$I2))</f>
        <v/>
      </c>
      <c r="G1268" s="135" t="n">
        <v>-1</v>
      </c>
      <c r="H1268" s="5">
        <f>IF($I2="","",INDEX(Productos!$AG:$AG,$I2))</f>
        <v/>
      </c>
      <c r="I1268" s="136">
        <f>LET(_xlpm.r,Productos!$E$2:$E$2509,_xlpm.m,IFERROR(_xlfn.XMATCH(C1268,_xlpm.r),IFERROR(_xlfn.XMATCH(VALUE(C1268),_xlpm.r),0)),IF(_xlpm.m=0,"",_xlpm.m+1))</f>
        <v/>
      </c>
      <c r="J1268" s="137" t="inlineStr">
        <is>
          <t>NetSuite</t>
        </is>
      </c>
    </row>
    <row r="1269">
      <c r="A1269" s="5" t="inlineStr">
        <is>
          <t>STETSON AMERICAS</t>
        </is>
      </c>
      <c r="B1269" s="5">
        <f>IF($I2="","",INDEX(Productos!$A:$A,$I2))</f>
        <v/>
      </c>
      <c r="C1269" s="134" t="inlineStr">
        <is>
          <t>9803002-255-NZ</t>
        </is>
      </c>
      <c r="D1269" s="5">
        <f>IF($I2="","",INDEX(Productos!$B:$B,$I2))</f>
        <v/>
      </c>
      <c r="E1269" s="5">
        <f>IF($I2="","",INDEX(Productos!$H:$H,$I2))</f>
        <v/>
      </c>
      <c r="F1269" s="5">
        <f>IF($I2="","",INDEX(Productos!$I:$I,$I2))</f>
        <v/>
      </c>
      <c r="G1269" s="135" t="n">
        <v>-1</v>
      </c>
      <c r="H1269" s="5">
        <f>IF($I2="","",INDEX(Productos!$AG:$AG,$I2))</f>
        <v/>
      </c>
      <c r="I1269" s="136">
        <f>LET(_xlpm.r,Productos!$E$2:$E$2509,_xlpm.m,IFERROR(_xlfn.XMATCH(C1269,_xlpm.r),IFERROR(_xlfn.XMATCH(VALUE(C1269),_xlpm.r),0)),IF(_xlpm.m=0,"",_xlpm.m+1))</f>
        <v/>
      </c>
      <c r="J1269" s="137" t="inlineStr">
        <is>
          <t>NetSuite</t>
        </is>
      </c>
    </row>
    <row r="1270">
      <c r="A1270" s="5" t="inlineStr">
        <is>
          <t>STETSON AMERICAS</t>
        </is>
      </c>
      <c r="B1270" s="5">
        <f>IF($I2="","",INDEX(Productos!$A:$A,$I2))</f>
        <v/>
      </c>
      <c r="C1270" s="134" t="inlineStr">
        <is>
          <t>9803004-255-NZ</t>
        </is>
      </c>
      <c r="D1270" s="5">
        <f>IF($I2="","",INDEX(Productos!$B:$B,$I2))</f>
        <v/>
      </c>
      <c r="E1270" s="5">
        <f>IF($I2="","",INDEX(Productos!$H:$H,$I2))</f>
        <v/>
      </c>
      <c r="F1270" s="5">
        <f>IF($I2="","",INDEX(Productos!$I:$I,$I2))</f>
        <v/>
      </c>
      <c r="G1270" s="135" t="n">
        <v>-2</v>
      </c>
      <c r="H1270" s="5">
        <f>IF($I2="","",INDEX(Productos!$AG:$AG,$I2))</f>
        <v/>
      </c>
      <c r="I1270" s="136">
        <f>LET(_xlpm.r,Productos!$E$2:$E$2509,_xlpm.m,IFERROR(_xlfn.XMATCH(C1270,_xlpm.r),IFERROR(_xlfn.XMATCH(VALUE(C1270),_xlpm.r),0)),IF(_xlpm.m=0,"",_xlpm.m+1))</f>
        <v/>
      </c>
      <c r="J1270" s="137" t="inlineStr">
        <is>
          <t>NetSuite</t>
        </is>
      </c>
    </row>
    <row r="1271">
      <c r="A1271" s="5" t="inlineStr">
        <is>
          <t>STETSON AMERICAS</t>
        </is>
      </c>
      <c r="B1271" s="5">
        <f>IF($I2="","",INDEX(Productos!$A:$A,$I2))</f>
        <v/>
      </c>
      <c r="C1271" s="134" t="inlineStr">
        <is>
          <t>9804001-203-NZ</t>
        </is>
      </c>
      <c r="D1271" s="5">
        <f>IF($I2="","",INDEX(Productos!$B:$B,$I2))</f>
        <v/>
      </c>
      <c r="E1271" s="5">
        <f>IF($I2="","",INDEX(Productos!$H:$H,$I2))</f>
        <v/>
      </c>
      <c r="F1271" s="5">
        <f>IF($I2="","",INDEX(Productos!$I:$I,$I2))</f>
        <v/>
      </c>
      <c r="G1271" s="135" t="n">
        <v>-2</v>
      </c>
      <c r="H1271" s="5">
        <f>IF($I2="","",INDEX(Productos!$AG:$AG,$I2))</f>
        <v/>
      </c>
      <c r="I1271" s="136">
        <f>LET(_xlpm.r,Productos!$E$2:$E$2509,_xlpm.m,IFERROR(_xlfn.XMATCH(C1271,_xlpm.r),IFERROR(_xlfn.XMATCH(VALUE(C1271),_xlpm.r),0)),IF(_xlpm.m=0,"",_xlpm.m+1))</f>
        <v/>
      </c>
      <c r="J1271" s="137" t="inlineStr">
        <is>
          <t>NetSuite</t>
        </is>
      </c>
    </row>
    <row r="1272">
      <c r="A1272" s="5" t="inlineStr">
        <is>
          <t>STETSON AMERICAS</t>
        </is>
      </c>
      <c r="B1272" s="5">
        <f>IF($I2="","",INDEX(Productos!$A:$A,$I2))</f>
        <v/>
      </c>
      <c r="C1272" s="134" t="inlineStr">
        <is>
          <t>9804002-203-NZ</t>
        </is>
      </c>
      <c r="D1272" s="5">
        <f>IF($I2="","",INDEX(Productos!$B:$B,$I2))</f>
        <v/>
      </c>
      <c r="E1272" s="5">
        <f>IF($I2="","",INDEX(Productos!$H:$H,$I2))</f>
        <v/>
      </c>
      <c r="F1272" s="5">
        <f>IF($I2="","",INDEX(Productos!$I:$I,$I2))</f>
        <v/>
      </c>
      <c r="G1272" s="135" t="n">
        <v>-2</v>
      </c>
      <c r="H1272" s="5">
        <f>IF($I2="","",INDEX(Productos!$AG:$AG,$I2))</f>
        <v/>
      </c>
      <c r="I1272" s="136">
        <f>LET(_xlpm.r,Productos!$E$2:$E$2509,_xlpm.m,IFERROR(_xlfn.XMATCH(C1272,_xlpm.r),IFERROR(_xlfn.XMATCH(VALUE(C1272),_xlpm.r),0)),IF(_xlpm.m=0,"",_xlpm.m+1))</f>
        <v/>
      </c>
      <c r="J1272" s="137" t="inlineStr">
        <is>
          <t>NetSuite</t>
        </is>
      </c>
    </row>
    <row r="1273">
      <c r="A1273" s="5" t="inlineStr">
        <is>
          <t>STETSON AMERICAS</t>
        </is>
      </c>
      <c r="B1273" s="5">
        <f>IF($I2="","",INDEX(Productos!$A:$A,$I2))</f>
        <v/>
      </c>
      <c r="C1273" s="134" t="inlineStr">
        <is>
          <t>9805004-200-NZ</t>
        </is>
      </c>
      <c r="D1273" s="5">
        <f>IF($I2="","",INDEX(Productos!$B:$B,$I2))</f>
        <v/>
      </c>
      <c r="E1273" s="5">
        <f>IF($I2="","",INDEX(Productos!$H:$H,$I2))</f>
        <v/>
      </c>
      <c r="F1273" s="5">
        <f>IF($I2="","",INDEX(Productos!$I:$I,$I2))</f>
        <v/>
      </c>
      <c r="G1273" s="135" t="n">
        <v>-2</v>
      </c>
      <c r="H1273" s="5">
        <f>IF($I2="","",INDEX(Productos!$AG:$AG,$I2))</f>
        <v/>
      </c>
      <c r="I1273" s="136">
        <f>LET(_xlpm.r,Productos!$E$2:$E$2509,_xlpm.m,IFERROR(_xlfn.XMATCH(C1273,_xlpm.r),IFERROR(_xlfn.XMATCH(VALUE(C1273),_xlpm.r),0)),IF(_xlpm.m=0,"",_xlpm.m+1))</f>
        <v/>
      </c>
      <c r="J1273" s="137" t="inlineStr">
        <is>
          <t>NetSuite</t>
        </is>
      </c>
    </row>
    <row r="1274">
      <c r="A1274" s="5" t="inlineStr">
        <is>
          <t>STETSON AMERICAS</t>
        </is>
      </c>
      <c r="B1274" s="5">
        <f>IF($I2="","",INDEX(Productos!$A:$A,$I2))</f>
        <v/>
      </c>
      <c r="C1274" s="134" t="inlineStr">
        <is>
          <t>9806001-625-NZ</t>
        </is>
      </c>
      <c r="D1274" s="5">
        <f>IF($I2="","",INDEX(Productos!$B:$B,$I2))</f>
        <v/>
      </c>
      <c r="E1274" s="5">
        <f>IF($I2="","",INDEX(Productos!$H:$H,$I2))</f>
        <v/>
      </c>
      <c r="F1274" s="5">
        <f>IF($I2="","",INDEX(Productos!$I:$I,$I2))</f>
        <v/>
      </c>
      <c r="G1274" s="135" t="n">
        <v>-2</v>
      </c>
      <c r="H1274" s="5">
        <f>IF($I2="","",INDEX(Productos!$AG:$AG,$I2))</f>
        <v/>
      </c>
      <c r="I1274" s="136">
        <f>LET(_xlpm.r,Productos!$E$2:$E$2509,_xlpm.m,IFERROR(_xlfn.XMATCH(C1274,_xlpm.r),IFERROR(_xlfn.XMATCH(VALUE(C1274),_xlpm.r),0)),IF(_xlpm.m=0,"",_xlpm.m+1))</f>
        <v/>
      </c>
      <c r="J1274" s="137" t="inlineStr">
        <is>
          <t>NetSuite</t>
        </is>
      </c>
    </row>
    <row r="1275">
      <c r="A1275" s="5" t="inlineStr">
        <is>
          <t>STETSON AMERICAS</t>
        </is>
      </c>
      <c r="B1275" s="5">
        <f>IF($I2="","",INDEX(Productos!$A:$A,$I2))</f>
        <v/>
      </c>
      <c r="C1275" s="134" t="inlineStr">
        <is>
          <t>9806002-625-NZ</t>
        </is>
      </c>
      <c r="D1275" s="5">
        <f>IF($I2="","",INDEX(Productos!$B:$B,$I2))</f>
        <v/>
      </c>
      <c r="E1275" s="5">
        <f>IF($I2="","",INDEX(Productos!$H:$H,$I2))</f>
        <v/>
      </c>
      <c r="F1275" s="5">
        <f>IF($I2="","",INDEX(Productos!$I:$I,$I2))</f>
        <v/>
      </c>
      <c r="G1275" s="135" t="n">
        <v>-2</v>
      </c>
      <c r="H1275" s="5">
        <f>IF($I2="","",INDEX(Productos!$AG:$AG,$I2))</f>
        <v/>
      </c>
      <c r="I1275" s="136">
        <f>LET(_xlpm.r,Productos!$E$2:$E$2509,_xlpm.m,IFERROR(_xlfn.XMATCH(C1275,_xlpm.r),IFERROR(_xlfn.XMATCH(VALUE(C1275),_xlpm.r),0)),IF(_xlpm.m=0,"",_xlpm.m+1))</f>
        <v/>
      </c>
      <c r="J1275" s="137" t="inlineStr">
        <is>
          <t>NetSuite</t>
        </is>
      </c>
    </row>
    <row r="1276">
      <c r="A1276" s="5" t="inlineStr">
        <is>
          <t>STETSON AMERICAS</t>
        </is>
      </c>
      <c r="B1276" s="5">
        <f>IF($I2="","",INDEX(Productos!$A:$A,$I2))</f>
        <v/>
      </c>
      <c r="C1276" s="134" t="inlineStr">
        <is>
          <t>9806003-625-NZ</t>
        </is>
      </c>
      <c r="D1276" s="5">
        <f>IF($I2="","",INDEX(Productos!$B:$B,$I2))</f>
        <v/>
      </c>
      <c r="E1276" s="5">
        <f>IF($I2="","",INDEX(Productos!$H:$H,$I2))</f>
        <v/>
      </c>
      <c r="F1276" s="5">
        <f>IF($I2="","",INDEX(Productos!$I:$I,$I2))</f>
        <v/>
      </c>
      <c r="G1276" s="135" t="n">
        <v>-2</v>
      </c>
      <c r="H1276" s="5">
        <f>IF($I2="","",INDEX(Productos!$AG:$AG,$I2))</f>
        <v/>
      </c>
      <c r="I1276" s="136">
        <f>LET(_xlpm.r,Productos!$E$2:$E$2509,_xlpm.m,IFERROR(_xlfn.XMATCH(C1276,_xlpm.r),IFERROR(_xlfn.XMATCH(VALUE(C1276),_xlpm.r),0)),IF(_xlpm.m=0,"",_xlpm.m+1))</f>
        <v/>
      </c>
      <c r="J1276" s="137" t="inlineStr">
        <is>
          <t>NetSuite</t>
        </is>
      </c>
    </row>
    <row r="1277">
      <c r="A1277" s="5" t="inlineStr">
        <is>
          <t>STETSON AMERICAS</t>
        </is>
      </c>
      <c r="B1277" s="5">
        <f>IF($I2="","",INDEX(Productos!$A:$A,$I2))</f>
        <v/>
      </c>
      <c r="C1277" s="134" t="inlineStr">
        <is>
          <t>9807003-14-NZ</t>
        </is>
      </c>
      <c r="D1277" s="5">
        <f>IF($I2="","",INDEX(Productos!$B:$B,$I2))</f>
        <v/>
      </c>
      <c r="E1277" s="5">
        <f>IF($I2="","",INDEX(Productos!$H:$H,$I2))</f>
        <v/>
      </c>
      <c r="F1277" s="5">
        <f>IF($I2="","",INDEX(Productos!$I:$I,$I2))</f>
        <v/>
      </c>
      <c r="G1277" s="135" t="n">
        <v>-1</v>
      </c>
      <c r="H1277" s="5">
        <f>IF($I2="","",INDEX(Productos!$AG:$AG,$I2))</f>
        <v/>
      </c>
      <c r="I1277" s="136">
        <f>LET(_xlpm.r,Productos!$E$2:$E$2509,_xlpm.m,IFERROR(_xlfn.XMATCH(C1277,_xlpm.r),IFERROR(_xlfn.XMATCH(VALUE(C1277),_xlpm.r),0)),IF(_xlpm.m=0,"",_xlpm.m+1))</f>
        <v/>
      </c>
      <c r="J1277" s="137" t="inlineStr">
        <is>
          <t>NetSuite</t>
        </is>
      </c>
    </row>
    <row r="1278">
      <c r="A1278" s="5" t="inlineStr">
        <is>
          <t>STETSON AMERICAS</t>
        </is>
      </c>
      <c r="B1278" s="5">
        <f>IF($I2="","",INDEX(Productos!$A:$A,$I2))</f>
        <v/>
      </c>
      <c r="C1278" s="134" t="inlineStr">
        <is>
          <t>9809001-200-NZ</t>
        </is>
      </c>
      <c r="D1278" s="5">
        <f>IF($I2="","",INDEX(Productos!$B:$B,$I2))</f>
        <v/>
      </c>
      <c r="E1278" s="5">
        <f>IF($I2="","",INDEX(Productos!$H:$H,$I2))</f>
        <v/>
      </c>
      <c r="F1278" s="5">
        <f>IF($I2="","",INDEX(Productos!$I:$I,$I2))</f>
        <v/>
      </c>
      <c r="G1278" s="135" t="n">
        <v>-1</v>
      </c>
      <c r="H1278" s="5">
        <f>IF($I2="","",INDEX(Productos!$AG:$AG,$I2))</f>
        <v/>
      </c>
      <c r="I1278" s="136">
        <f>LET(_xlpm.r,Productos!$E$2:$E$2509,_xlpm.m,IFERROR(_xlfn.XMATCH(C1278,_xlpm.r),IFERROR(_xlfn.XMATCH(VALUE(C1278),_xlpm.r),0)),IF(_xlpm.m=0,"",_xlpm.m+1))</f>
        <v/>
      </c>
      <c r="J1278" s="137" t="inlineStr">
        <is>
          <t>NetSuite</t>
        </is>
      </c>
    </row>
    <row r="1279">
      <c r="A1279" s="5" t="inlineStr">
        <is>
          <t>STETSON AMERICAS</t>
        </is>
      </c>
      <c r="B1279" s="5">
        <f>IF($I2="","",INDEX(Productos!$A:$A,$I2))</f>
        <v/>
      </c>
      <c r="C1279" s="134" t="inlineStr">
        <is>
          <t>9910500-233-36</t>
        </is>
      </c>
      <c r="D1279" s="5">
        <f>IF($I2="","",INDEX(Productos!$B:$B,$I2))</f>
        <v/>
      </c>
      <c r="E1279" s="5">
        <f>IF($I2="","",INDEX(Productos!$H:$H,$I2))</f>
        <v/>
      </c>
      <c r="F1279" s="5">
        <f>IF($I2="","",INDEX(Productos!$I:$I,$I2))</f>
        <v/>
      </c>
      <c r="G1279" s="135" t="n">
        <v>-1</v>
      </c>
      <c r="H1279" s="5">
        <f>IF($I2="","",INDEX(Productos!$AG:$AG,$I2))</f>
        <v/>
      </c>
      <c r="I1279" s="136">
        <f>LET(_xlpm.r,Productos!$E$2:$E$2509,_xlpm.m,IFERROR(_xlfn.XMATCH(C1279,_xlpm.r),IFERROR(_xlfn.XMATCH(VALUE(C1279),_xlpm.r),0)),IF(_xlpm.m=0,"",_xlpm.m+1))</f>
        <v/>
      </c>
      <c r="J1279" s="137" t="inlineStr">
        <is>
          <t>NetSuite</t>
        </is>
      </c>
    </row>
    <row r="1280">
      <c r="A1280" s="5" t="inlineStr">
        <is>
          <t>STETSON AMERICAS</t>
        </is>
      </c>
      <c r="B1280" s="5">
        <f>IF($I2="","",INDEX(Productos!$A:$A,$I2))</f>
        <v/>
      </c>
      <c r="C1280" s="134" t="inlineStr">
        <is>
          <t>9912500-203-38</t>
        </is>
      </c>
      <c r="D1280" s="5">
        <f>IF($I2="","",INDEX(Productos!$B:$B,$I2))</f>
        <v/>
      </c>
      <c r="E1280" s="5">
        <f>IF($I2="","",INDEX(Productos!$H:$H,$I2))</f>
        <v/>
      </c>
      <c r="F1280" s="5">
        <f>IF($I2="","",INDEX(Productos!$I:$I,$I2))</f>
        <v/>
      </c>
      <c r="G1280" s="135" t="n">
        <v>-1</v>
      </c>
      <c r="H1280" s="5">
        <f>IF($I2="","",INDEX(Productos!$AG:$AG,$I2))</f>
        <v/>
      </c>
      <c r="I1280" s="136">
        <f>LET(_xlpm.r,Productos!$E$2:$E$2509,_xlpm.m,IFERROR(_xlfn.XMATCH(C1280,_xlpm.r),IFERROR(_xlfn.XMATCH(VALUE(C1280),_xlpm.r),0)),IF(_xlpm.m=0,"",_xlpm.m+1))</f>
        <v/>
      </c>
      <c r="J1280" s="137" t="inlineStr">
        <is>
          <t>NetSuite</t>
        </is>
      </c>
    </row>
    <row r="1281">
      <c r="A1281" s="5" t="inlineStr">
        <is>
          <t>STETSON AMERICAS</t>
        </is>
      </c>
      <c r="B1281" s="5">
        <f>IF($I2="","",INDEX(Productos!$A:$A,$I2))</f>
        <v/>
      </c>
      <c r="C1281" s="134" t="inlineStr">
        <is>
          <t>9912500-203-40</t>
        </is>
      </c>
      <c r="D1281" s="5">
        <f>IF($I2="","",INDEX(Productos!$B:$B,$I2))</f>
        <v/>
      </c>
      <c r="E1281" s="5">
        <f>IF($I2="","",INDEX(Productos!$H:$H,$I2))</f>
        <v/>
      </c>
      <c r="F1281" s="5">
        <f>IF($I2="","",INDEX(Productos!$I:$I,$I2))</f>
        <v/>
      </c>
      <c r="G1281" s="135" t="n">
        <v>-2</v>
      </c>
      <c r="H1281" s="5">
        <f>IF($I2="","",INDEX(Productos!$AG:$AG,$I2))</f>
        <v/>
      </c>
      <c r="I1281" s="136">
        <f>LET(_xlpm.r,Productos!$E$2:$E$2509,_xlpm.m,IFERROR(_xlfn.XMATCH(C1281,_xlpm.r),IFERROR(_xlfn.XMATCH(VALUE(C1281),_xlpm.r),0)),IF(_xlpm.m=0,"",_xlpm.m+1))</f>
        <v/>
      </c>
      <c r="J1281" s="137" t="inlineStr">
        <is>
          <t>NetSuite</t>
        </is>
      </c>
    </row>
    <row r="1282">
      <c r="A1282" s="5" t="inlineStr">
        <is>
          <t>STETSON AMERICAS</t>
        </is>
      </c>
      <c r="B1282" s="5">
        <f>IF($I2="","",INDEX(Productos!$A:$A,$I2))</f>
        <v/>
      </c>
      <c r="C1282" s="134" t="inlineStr">
        <is>
          <t>9912500-203-42</t>
        </is>
      </c>
      <c r="D1282" s="5">
        <f>IF($I2="","",INDEX(Productos!$B:$B,$I2))</f>
        <v/>
      </c>
      <c r="E1282" s="5">
        <f>IF($I2="","",INDEX(Productos!$H:$H,$I2))</f>
        <v/>
      </c>
      <c r="F1282" s="5">
        <f>IF($I2="","",INDEX(Productos!$I:$I,$I2))</f>
        <v/>
      </c>
      <c r="G1282" s="135" t="n">
        <v>-1</v>
      </c>
      <c r="H1282" s="5">
        <f>IF($I2="","",INDEX(Productos!$AG:$AG,$I2))</f>
        <v/>
      </c>
      <c r="I1282" s="136">
        <f>LET(_xlpm.r,Productos!$E$2:$E$2509,_xlpm.m,IFERROR(_xlfn.XMATCH(C1282,_xlpm.r),IFERROR(_xlfn.XMATCH(VALUE(C1282),_xlpm.r),0)),IF(_xlpm.m=0,"",_xlpm.m+1))</f>
        <v/>
      </c>
      <c r="J1282" s="137" t="inlineStr">
        <is>
          <t>NetSuite</t>
        </is>
      </c>
    </row>
    <row r="1283">
      <c r="A1283" s="5" t="inlineStr">
        <is>
          <t>STETSON AMERICAS</t>
        </is>
      </c>
      <c r="B1283" s="5">
        <f>IF($I2="","",INDEX(Productos!$A:$A,$I2))</f>
        <v/>
      </c>
      <c r="C1283" s="134" t="inlineStr">
        <is>
          <t>9914500-001-38</t>
        </is>
      </c>
      <c r="D1283" s="5">
        <f>IF($I2="","",INDEX(Productos!$B:$B,$I2))</f>
        <v/>
      </c>
      <c r="E1283" s="5">
        <f>IF($I2="","",INDEX(Productos!$H:$H,$I2))</f>
        <v/>
      </c>
      <c r="F1283" s="5">
        <f>IF($I2="","",INDEX(Productos!$I:$I,$I2))</f>
        <v/>
      </c>
      <c r="G1283" s="135" t="n">
        <v>-3</v>
      </c>
      <c r="H1283" s="5">
        <f>IF($I2="","",INDEX(Productos!$AG:$AG,$I2))</f>
        <v/>
      </c>
      <c r="I1283" s="136">
        <f>LET(_xlpm.r,Productos!$E$2:$E$2509,_xlpm.m,IFERROR(_xlfn.XMATCH(C1283,_xlpm.r),IFERROR(_xlfn.XMATCH(VALUE(C1283),_xlpm.r),0)),IF(_xlpm.m=0,"",_xlpm.m+1))</f>
        <v/>
      </c>
      <c r="J1283" s="137" t="inlineStr">
        <is>
          <t>NetSuite</t>
        </is>
      </c>
    </row>
    <row r="1284">
      <c r="A1284" s="5" t="inlineStr">
        <is>
          <t>STETSON AMERICAS</t>
        </is>
      </c>
      <c r="B1284" s="5">
        <f>IF($I2="","",INDEX(Productos!$A:$A,$I2))</f>
        <v/>
      </c>
      <c r="C1284" s="134" t="inlineStr">
        <is>
          <t>9914500-625-44</t>
        </is>
      </c>
      <c r="D1284" s="5">
        <f>IF($I2="","",INDEX(Productos!$B:$B,$I2))</f>
        <v/>
      </c>
      <c r="E1284" s="5">
        <f>IF($I2="","",INDEX(Productos!$H:$H,$I2))</f>
        <v/>
      </c>
      <c r="F1284" s="5">
        <f>IF($I2="","",INDEX(Productos!$I:$I,$I2))</f>
        <v/>
      </c>
      <c r="G1284" s="135" t="n">
        <v>-1</v>
      </c>
      <c r="H1284" s="5">
        <f>IF($I2="","",INDEX(Productos!$AG:$AG,$I2))</f>
        <v/>
      </c>
      <c r="I1284" s="136">
        <f>LET(_xlpm.r,Productos!$E$2:$E$2509,_xlpm.m,IFERROR(_xlfn.XMATCH(C1284,_xlpm.r),IFERROR(_xlfn.XMATCH(VALUE(C1284),_xlpm.r),0)),IF(_xlpm.m=0,"",_xlpm.m+1))</f>
        <v/>
      </c>
      <c r="J1284" s="137" t="inlineStr">
        <is>
          <t>NetSuite</t>
        </is>
      </c>
    </row>
    <row r="1285">
      <c r="A1285" s="5" t="inlineStr">
        <is>
          <t>STETSON AMERICAS</t>
        </is>
      </c>
      <c r="B1285" s="5">
        <f>IF($I2="","",INDEX(Productos!$A:$A,$I2))</f>
        <v/>
      </c>
      <c r="C1285" s="134" t="inlineStr">
        <is>
          <t>9915500-625-38</t>
        </is>
      </c>
      <c r="D1285" s="5">
        <f>IF($I2="","",INDEX(Productos!$B:$B,$I2))</f>
        <v/>
      </c>
      <c r="E1285" s="5">
        <f>IF($I2="","",INDEX(Productos!$H:$H,$I2))</f>
        <v/>
      </c>
      <c r="F1285" s="5">
        <f>IF($I2="","",INDEX(Productos!$I:$I,$I2))</f>
        <v/>
      </c>
      <c r="G1285" s="135" t="n">
        <v>-2</v>
      </c>
      <c r="H1285" s="5">
        <f>IF($I2="","",INDEX(Productos!$AG:$AG,$I2))</f>
        <v/>
      </c>
      <c r="I1285" s="136">
        <f>LET(_xlpm.r,Productos!$E$2:$E$2509,_xlpm.m,IFERROR(_xlfn.XMATCH(C1285,_xlpm.r),IFERROR(_xlfn.XMATCH(VALUE(C1285),_xlpm.r),0)),IF(_xlpm.m=0,"",_xlpm.m+1))</f>
        <v/>
      </c>
      <c r="J1285" s="137" t="inlineStr">
        <is>
          <t>NetSuite</t>
        </is>
      </c>
    </row>
    <row r="1286">
      <c r="A1286" s="5" t="inlineStr">
        <is>
          <t>STETSON AMERICAS</t>
        </is>
      </c>
      <c r="B1286" s="5">
        <f>IF($I2="","",INDEX(Productos!$A:$A,$I2))</f>
        <v/>
      </c>
      <c r="C1286" s="134" t="inlineStr">
        <is>
          <t>9915500-625-40</t>
        </is>
      </c>
      <c r="D1286" s="5">
        <f>IF($I2="","",INDEX(Productos!$B:$B,$I2))</f>
        <v/>
      </c>
      <c r="E1286" s="5">
        <f>IF($I2="","",INDEX(Productos!$H:$H,$I2))</f>
        <v/>
      </c>
      <c r="F1286" s="5">
        <f>IF($I2="","",INDEX(Productos!$I:$I,$I2))</f>
        <v/>
      </c>
      <c r="G1286" s="135" t="n">
        <v>-2</v>
      </c>
      <c r="H1286" s="5">
        <f>IF($I2="","",INDEX(Productos!$AG:$AG,$I2))</f>
        <v/>
      </c>
      <c r="I1286" s="136">
        <f>LET(_xlpm.r,Productos!$E$2:$E$2509,_xlpm.m,IFERROR(_xlfn.XMATCH(C1286,_xlpm.r),IFERROR(_xlfn.XMATCH(VALUE(C1286),_xlpm.r),0)),IF(_xlpm.m=0,"",_xlpm.m+1))</f>
        <v/>
      </c>
      <c r="J1286" s="137" t="inlineStr">
        <is>
          <t>NetSuite</t>
        </is>
      </c>
    </row>
    <row r="1287">
      <c r="A1287" s="5" t="inlineStr">
        <is>
          <t>STETSON AMERICAS</t>
        </is>
      </c>
      <c r="B1287" s="5">
        <f>IF($I2="","",INDEX(Productos!$A:$A,$I2))</f>
        <v/>
      </c>
      <c r="C1287" s="134" t="inlineStr">
        <is>
          <t>9916500-19-36</t>
        </is>
      </c>
      <c r="D1287" s="5">
        <f>IF($I2="","",INDEX(Productos!$B:$B,$I2))</f>
        <v/>
      </c>
      <c r="E1287" s="5">
        <f>IF($I2="","",INDEX(Productos!$H:$H,$I2))</f>
        <v/>
      </c>
      <c r="F1287" s="5">
        <f>IF($I2="","",INDEX(Productos!$I:$I,$I2))</f>
        <v/>
      </c>
      <c r="G1287" s="135" t="n">
        <v>-1</v>
      </c>
      <c r="H1287" s="5">
        <f>IF($I2="","",INDEX(Productos!$AG:$AG,$I2))</f>
        <v/>
      </c>
      <c r="I1287" s="136">
        <f>LET(_xlpm.r,Productos!$E$2:$E$2509,_xlpm.m,IFERROR(_xlfn.XMATCH(C1287,_xlpm.r),IFERROR(_xlfn.XMATCH(VALUE(C1287),_xlpm.r),0)),IF(_xlpm.m=0,"",_xlpm.m+1))</f>
        <v/>
      </c>
      <c r="J1287" s="137" t="inlineStr">
        <is>
          <t>NetSuite</t>
        </is>
      </c>
    </row>
    <row r="1288">
      <c r="A1288" s="5" t="inlineStr">
        <is>
          <t>STETSON AMERICAS</t>
        </is>
      </c>
      <c r="B1288" s="5">
        <f>IF($I2="","",INDEX(Productos!$A:$A,$I2))</f>
        <v/>
      </c>
      <c r="C1288" s="134" t="inlineStr">
        <is>
          <t>9916500-19-38</t>
        </is>
      </c>
      <c r="D1288" s="5">
        <f>IF($I2="","",INDEX(Productos!$B:$B,$I2))</f>
        <v/>
      </c>
      <c r="E1288" s="5">
        <f>IF($I2="","",INDEX(Productos!$H:$H,$I2))</f>
        <v/>
      </c>
      <c r="F1288" s="5">
        <f>IF($I2="","",INDEX(Productos!$I:$I,$I2))</f>
        <v/>
      </c>
      <c r="G1288" s="135" t="n">
        <v>-2</v>
      </c>
      <c r="H1288" s="5">
        <f>IF($I2="","",INDEX(Productos!$AG:$AG,$I2))</f>
        <v/>
      </c>
      <c r="I1288" s="136">
        <f>LET(_xlpm.r,Productos!$E$2:$E$2509,_xlpm.m,IFERROR(_xlfn.XMATCH(C1288,_xlpm.r),IFERROR(_xlfn.XMATCH(VALUE(C1288),_xlpm.r),0)),IF(_xlpm.m=0,"",_xlpm.m+1))</f>
        <v/>
      </c>
      <c r="J1288" s="137" t="inlineStr">
        <is>
          <t>NetSuite</t>
        </is>
      </c>
    </row>
    <row r="1289">
      <c r="A1289" s="5" t="inlineStr">
        <is>
          <t>STETSON AMERICAS</t>
        </is>
      </c>
      <c r="B1289" s="5">
        <f>IF($I2="","",INDEX(Productos!$A:$A,$I2))</f>
        <v/>
      </c>
      <c r="C1289" s="134" t="inlineStr">
        <is>
          <t>9916500-19-42</t>
        </is>
      </c>
      <c r="D1289" s="5">
        <f>IF($I2="","",INDEX(Productos!$B:$B,$I2))</f>
        <v/>
      </c>
      <c r="E1289" s="5">
        <f>IF($I2="","",INDEX(Productos!$H:$H,$I2))</f>
        <v/>
      </c>
      <c r="F1289" s="5">
        <f>IF($I2="","",INDEX(Productos!$I:$I,$I2))</f>
        <v/>
      </c>
      <c r="G1289" s="135" t="n">
        <v>-1</v>
      </c>
      <c r="H1289" s="5">
        <f>IF($I2="","",INDEX(Productos!$AG:$AG,$I2))</f>
        <v/>
      </c>
      <c r="I1289" s="136">
        <f>LET(_xlpm.r,Productos!$E$2:$E$2509,_xlpm.m,IFERROR(_xlfn.XMATCH(C1289,_xlpm.r),IFERROR(_xlfn.XMATCH(VALUE(C1289),_xlpm.r),0)),IF(_xlpm.m=0,"",_xlpm.m+1))</f>
        <v/>
      </c>
      <c r="J1289" s="137" t="inlineStr">
        <is>
          <t>NetSuite</t>
        </is>
      </c>
    </row>
    <row r="1290">
      <c r="A1290" s="5" t="inlineStr">
        <is>
          <t>STETSON AMERICAS</t>
        </is>
      </c>
      <c r="B1290" s="5">
        <f>IF($I2="","",INDEX(Productos!$A:$A,$I2))</f>
        <v/>
      </c>
      <c r="C1290" s="134" t="inlineStr">
        <is>
          <t>9916500-260-36</t>
        </is>
      </c>
      <c r="D1290" s="5">
        <f>IF($I2="","",INDEX(Productos!$B:$B,$I2))</f>
        <v/>
      </c>
      <c r="E1290" s="5">
        <f>IF($I2="","",INDEX(Productos!$H:$H,$I2))</f>
        <v/>
      </c>
      <c r="F1290" s="5">
        <f>IF($I2="","",INDEX(Productos!$I:$I,$I2))</f>
        <v/>
      </c>
      <c r="G1290" s="135" t="n">
        <v>-1</v>
      </c>
      <c r="H1290" s="5">
        <f>IF($I2="","",INDEX(Productos!$AG:$AG,$I2))</f>
        <v/>
      </c>
      <c r="I1290" s="136">
        <f>LET(_xlpm.r,Productos!$E$2:$E$2509,_xlpm.m,IFERROR(_xlfn.XMATCH(C1290,_xlpm.r),IFERROR(_xlfn.XMATCH(VALUE(C1290),_xlpm.r),0)),IF(_xlpm.m=0,"",_xlpm.m+1))</f>
        <v/>
      </c>
      <c r="J1290" s="137" t="inlineStr">
        <is>
          <t>NetSuite</t>
        </is>
      </c>
    </row>
    <row r="1291">
      <c r="A1291" s="5" t="inlineStr">
        <is>
          <t>STETSON AMERICAS</t>
        </is>
      </c>
      <c r="B1291" s="5">
        <f>IF($I2="","",INDEX(Productos!$A:$A,$I2))</f>
        <v/>
      </c>
      <c r="C1291" s="134" t="inlineStr">
        <is>
          <t>9916500-260-38</t>
        </is>
      </c>
      <c r="D1291" s="5">
        <f>IF($I2="","",INDEX(Productos!$B:$B,$I2))</f>
        <v/>
      </c>
      <c r="E1291" s="5">
        <f>IF($I2="","",INDEX(Productos!$H:$H,$I2))</f>
        <v/>
      </c>
      <c r="F1291" s="5">
        <f>IF($I2="","",INDEX(Productos!$I:$I,$I2))</f>
        <v/>
      </c>
      <c r="G1291" s="135" t="n">
        <v>-2</v>
      </c>
      <c r="H1291" s="5">
        <f>IF($I2="","",INDEX(Productos!$AG:$AG,$I2))</f>
        <v/>
      </c>
      <c r="I1291" s="136">
        <f>LET(_xlpm.r,Productos!$E$2:$E$2509,_xlpm.m,IFERROR(_xlfn.XMATCH(C1291,_xlpm.r),IFERROR(_xlfn.XMATCH(VALUE(C1291),_xlpm.r),0)),IF(_xlpm.m=0,"",_xlpm.m+1))</f>
        <v/>
      </c>
      <c r="J1291" s="137" t="inlineStr">
        <is>
          <t>NetSuite</t>
        </is>
      </c>
    </row>
    <row r="1292">
      <c r="A1292" s="5" t="inlineStr">
        <is>
          <t>STETSON AMERICAS</t>
        </is>
      </c>
      <c r="B1292" s="5">
        <f>IF($I2="","",INDEX(Productos!$A:$A,$I2))</f>
        <v/>
      </c>
      <c r="C1292" s="134" t="inlineStr">
        <is>
          <t>9917500-014-38</t>
        </is>
      </c>
      <c r="D1292" s="5">
        <f>IF($I2="","",INDEX(Productos!$B:$B,$I2))</f>
        <v/>
      </c>
      <c r="E1292" s="5">
        <f>IF($I2="","",INDEX(Productos!$H:$H,$I2))</f>
        <v/>
      </c>
      <c r="F1292" s="5">
        <f>IF($I2="","",INDEX(Productos!$I:$I,$I2))</f>
        <v/>
      </c>
      <c r="G1292" s="135" t="n">
        <v>-6</v>
      </c>
      <c r="H1292" s="5">
        <f>IF($I2="","",INDEX(Productos!$AG:$AG,$I2))</f>
        <v/>
      </c>
      <c r="I1292" s="136">
        <f>LET(_xlpm.r,Productos!$E$2:$E$2509,_xlpm.m,IFERROR(_xlfn.XMATCH(C1292,_xlpm.r),IFERROR(_xlfn.XMATCH(VALUE(C1292),_xlpm.r),0)),IF(_xlpm.m=0,"",_xlpm.m+1))</f>
        <v/>
      </c>
      <c r="J1292" s="137" t="inlineStr">
        <is>
          <t>NetSuite</t>
        </is>
      </c>
    </row>
    <row r="1293">
      <c r="A1293" s="5" t="inlineStr">
        <is>
          <t>STETSON AMERICAS</t>
        </is>
      </c>
      <c r="B1293" s="5">
        <f>IF($I2="","",INDEX(Productos!$A:$A,$I2))</f>
        <v/>
      </c>
      <c r="C1293" s="134" t="inlineStr">
        <is>
          <t>9917500-014-40</t>
        </is>
      </c>
      <c r="D1293" s="5">
        <f>IF($I2="","",INDEX(Productos!$B:$B,$I2))</f>
        <v/>
      </c>
      <c r="E1293" s="5">
        <f>IF($I2="","",INDEX(Productos!$H:$H,$I2))</f>
        <v/>
      </c>
      <c r="F1293" s="5">
        <f>IF($I2="","",INDEX(Productos!$I:$I,$I2))</f>
        <v/>
      </c>
      <c r="G1293" s="135" t="n">
        <v>-1</v>
      </c>
      <c r="H1293" s="5">
        <f>IF($I2="","",INDEX(Productos!$AG:$AG,$I2))</f>
        <v/>
      </c>
      <c r="I1293" s="136">
        <f>LET(_xlpm.r,Productos!$E$2:$E$2509,_xlpm.m,IFERROR(_xlfn.XMATCH(C1293,_xlpm.r),IFERROR(_xlfn.XMATCH(VALUE(C1293),_xlpm.r),0)),IF(_xlpm.m=0,"",_xlpm.m+1))</f>
        <v/>
      </c>
      <c r="J1293" s="137" t="inlineStr">
        <is>
          <t>NetSuite</t>
        </is>
      </c>
    </row>
    <row r="1294">
      <c r="A1294" s="5" t="inlineStr">
        <is>
          <t>STETSON AMERICAS</t>
        </is>
      </c>
      <c r="B1294" s="5">
        <f>IF($I2="","",INDEX(Productos!$A:$A,$I2))</f>
        <v/>
      </c>
      <c r="C1294" s="134" t="inlineStr">
        <is>
          <t>9917500-232-36</t>
        </is>
      </c>
      <c r="D1294" s="5">
        <f>IF($I2="","",INDEX(Productos!$B:$B,$I2))</f>
        <v/>
      </c>
      <c r="E1294" s="5">
        <f>IF($I2="","",INDEX(Productos!$H:$H,$I2))</f>
        <v/>
      </c>
      <c r="F1294" s="5">
        <f>IF($I2="","",INDEX(Productos!$I:$I,$I2))</f>
        <v/>
      </c>
      <c r="G1294" s="135" t="n">
        <v>-1</v>
      </c>
      <c r="H1294" s="5">
        <f>IF($I2="","",INDEX(Productos!$AG:$AG,$I2))</f>
        <v/>
      </c>
      <c r="I1294" s="136">
        <f>LET(_xlpm.r,Productos!$E$2:$E$2509,_xlpm.m,IFERROR(_xlfn.XMATCH(C1294,_xlpm.r),IFERROR(_xlfn.XMATCH(VALUE(C1294),_xlpm.r),0)),IF(_xlpm.m=0,"",_xlpm.m+1))</f>
        <v/>
      </c>
      <c r="J1294" s="137" t="inlineStr">
        <is>
          <t>NetSuite</t>
        </is>
      </c>
    </row>
    <row r="1295">
      <c r="A1295" s="5" t="inlineStr">
        <is>
          <t>STETSON AMERICAS</t>
        </is>
      </c>
      <c r="B1295" s="5">
        <f>IF($I2="","",INDEX(Productos!$A:$A,$I2))</f>
        <v/>
      </c>
      <c r="C1295" s="134" t="inlineStr">
        <is>
          <t>9917500-232-38</t>
        </is>
      </c>
      <c r="D1295" s="5">
        <f>IF($I2="","",INDEX(Productos!$B:$B,$I2))</f>
        <v/>
      </c>
      <c r="E1295" s="5">
        <f>IF($I2="","",INDEX(Productos!$H:$H,$I2))</f>
        <v/>
      </c>
      <c r="F1295" s="5">
        <f>IF($I2="","",INDEX(Productos!$I:$I,$I2))</f>
        <v/>
      </c>
      <c r="G1295" s="135" t="n">
        <v>-3</v>
      </c>
      <c r="H1295" s="5">
        <f>IF($I2="","",INDEX(Productos!$AG:$AG,$I2))</f>
        <v/>
      </c>
      <c r="I1295" s="136">
        <f>LET(_xlpm.r,Productos!$E$2:$E$2509,_xlpm.m,IFERROR(_xlfn.XMATCH(C1295,_xlpm.r),IFERROR(_xlfn.XMATCH(VALUE(C1295),_xlpm.r),0)),IF(_xlpm.m=0,"",_xlpm.m+1))</f>
        <v/>
      </c>
      <c r="J1295" s="137" t="inlineStr">
        <is>
          <t>NetSuite</t>
        </is>
      </c>
    </row>
    <row r="1296">
      <c r="A1296" s="5" t="inlineStr">
        <is>
          <t>STETSON AMERICAS</t>
        </is>
      </c>
      <c r="B1296" s="5">
        <f>IF($I2="","",INDEX(Productos!$A:$A,$I2))</f>
        <v/>
      </c>
      <c r="C1296" s="134" t="inlineStr">
        <is>
          <t>9918500-203-36</t>
        </is>
      </c>
      <c r="D1296" s="5">
        <f>IF($I2="","",INDEX(Productos!$B:$B,$I2))</f>
        <v/>
      </c>
      <c r="E1296" s="5">
        <f>IF($I2="","",INDEX(Productos!$H:$H,$I2))</f>
        <v/>
      </c>
      <c r="F1296" s="5">
        <f>IF($I2="","",INDEX(Productos!$I:$I,$I2))</f>
        <v/>
      </c>
      <c r="G1296" s="135" t="n">
        <v>-2</v>
      </c>
      <c r="H1296" s="5">
        <f>IF($I2="","",INDEX(Productos!$AG:$AG,$I2))</f>
        <v/>
      </c>
      <c r="I1296" s="136">
        <f>LET(_xlpm.r,Productos!$E$2:$E$2509,_xlpm.m,IFERROR(_xlfn.XMATCH(C1296,_xlpm.r),IFERROR(_xlfn.XMATCH(VALUE(C1296),_xlpm.r),0)),IF(_xlpm.m=0,"",_xlpm.m+1))</f>
        <v/>
      </c>
      <c r="J1296" s="137" t="inlineStr">
        <is>
          <t>NetSuite</t>
        </is>
      </c>
    </row>
    <row r="1297">
      <c r="A1297" s="5" t="inlineStr">
        <is>
          <t>STETSON AMERICAS</t>
        </is>
      </c>
      <c r="B1297" s="5">
        <f>IF($I2="","",INDEX(Productos!$A:$A,$I2))</f>
        <v/>
      </c>
      <c r="C1297" s="134" t="inlineStr">
        <is>
          <t>9918500-203-38</t>
        </is>
      </c>
      <c r="D1297" s="5">
        <f>IF($I2="","",INDEX(Productos!$B:$B,$I2))</f>
        <v/>
      </c>
      <c r="E1297" s="5">
        <f>IF($I2="","",INDEX(Productos!$H:$H,$I2))</f>
        <v/>
      </c>
      <c r="F1297" s="5">
        <f>IF($I2="","",INDEX(Productos!$I:$I,$I2))</f>
        <v/>
      </c>
      <c r="G1297" s="135" t="n">
        <v>-3</v>
      </c>
      <c r="H1297" s="5">
        <f>IF($I2="","",INDEX(Productos!$AG:$AG,$I2))</f>
        <v/>
      </c>
      <c r="I1297" s="136">
        <f>LET(_xlpm.r,Productos!$E$2:$E$2509,_xlpm.m,IFERROR(_xlfn.XMATCH(C1297,_xlpm.r),IFERROR(_xlfn.XMATCH(VALUE(C1297),_xlpm.r),0)),IF(_xlpm.m=0,"",_xlpm.m+1))</f>
        <v/>
      </c>
      <c r="J1297" s="137" t="inlineStr">
        <is>
          <t>NetSuite</t>
        </is>
      </c>
    </row>
    <row r="1298">
      <c r="A1298" s="5" t="inlineStr">
        <is>
          <t>STETSON AMERICAS</t>
        </is>
      </c>
      <c r="B1298" s="5">
        <f>IF($I2="","",INDEX(Productos!$A:$A,$I2))</f>
        <v/>
      </c>
      <c r="C1298" s="134" t="inlineStr">
        <is>
          <t>9918500-203-40</t>
        </is>
      </c>
      <c r="D1298" s="5">
        <f>IF($I2="","",INDEX(Productos!$B:$B,$I2))</f>
        <v/>
      </c>
      <c r="E1298" s="5">
        <f>IF($I2="","",INDEX(Productos!$H:$H,$I2))</f>
        <v/>
      </c>
      <c r="F1298" s="5">
        <f>IF($I2="","",INDEX(Productos!$I:$I,$I2))</f>
        <v/>
      </c>
      <c r="G1298" s="135" t="n">
        <v>-1</v>
      </c>
      <c r="H1298" s="5">
        <f>IF($I2="","",INDEX(Productos!$AG:$AG,$I2))</f>
        <v/>
      </c>
      <c r="I1298" s="136">
        <f>LET(_xlpm.r,Productos!$E$2:$E$2509,_xlpm.m,IFERROR(_xlfn.XMATCH(C1298,_xlpm.r),IFERROR(_xlfn.XMATCH(VALUE(C1298),_xlpm.r),0)),IF(_xlpm.m=0,"",_xlpm.m+1))</f>
        <v/>
      </c>
      <c r="J1298" s="137" t="inlineStr">
        <is>
          <t>NetSuite</t>
        </is>
      </c>
    </row>
    <row r="1299">
      <c r="A1299" s="5" t="inlineStr">
        <is>
          <t>STETSON AMERICAS</t>
        </is>
      </c>
      <c r="B1299" s="5">
        <f>IF($I2="","",INDEX(Productos!$A:$A,$I2))</f>
        <v/>
      </c>
      <c r="C1299" s="134" t="inlineStr">
        <is>
          <t>9921500-97-38</t>
        </is>
      </c>
      <c r="D1299" s="5">
        <f>IF($I2="","",INDEX(Productos!$B:$B,$I2))</f>
        <v/>
      </c>
      <c r="E1299" s="5">
        <f>IF($I2="","",INDEX(Productos!$H:$H,$I2))</f>
        <v/>
      </c>
      <c r="F1299" s="5">
        <f>IF($I2="","",INDEX(Productos!$I:$I,$I2))</f>
        <v/>
      </c>
      <c r="G1299" s="135" t="n">
        <v>-3</v>
      </c>
      <c r="H1299" s="5">
        <f>IF($I2="","",INDEX(Productos!$AG:$AG,$I2))</f>
        <v/>
      </c>
      <c r="I1299" s="136">
        <f>LET(_xlpm.r,Productos!$E$2:$E$2509,_xlpm.m,IFERROR(_xlfn.XMATCH(C1299,_xlpm.r),IFERROR(_xlfn.XMATCH(VALUE(C1299),_xlpm.r),0)),IF(_xlpm.m=0,"",_xlpm.m+1))</f>
        <v/>
      </c>
      <c r="J1299" s="137" t="inlineStr">
        <is>
          <t>NetSuite</t>
        </is>
      </c>
    </row>
    <row r="1300">
      <c r="A1300" s="5" t="inlineStr">
        <is>
          <t>STETSON AMERICAS</t>
        </is>
      </c>
      <c r="B1300" s="5">
        <f>IF($I2="","",INDEX(Productos!$A:$A,$I2))</f>
        <v/>
      </c>
      <c r="C1300" s="134" t="inlineStr">
        <is>
          <t>9921500-97-40</t>
        </is>
      </c>
      <c r="D1300" s="5">
        <f>IF($I2="","",INDEX(Productos!$B:$B,$I2))</f>
        <v/>
      </c>
      <c r="E1300" s="5">
        <f>IF($I2="","",INDEX(Productos!$H:$H,$I2))</f>
        <v/>
      </c>
      <c r="F1300" s="5">
        <f>IF($I2="","",INDEX(Productos!$I:$I,$I2))</f>
        <v/>
      </c>
      <c r="G1300" s="135" t="n">
        <v>-1</v>
      </c>
      <c r="H1300" s="5">
        <f>IF($I2="","",INDEX(Productos!$AG:$AG,$I2))</f>
        <v/>
      </c>
      <c r="I1300" s="136">
        <f>LET(_xlpm.r,Productos!$E$2:$E$2509,_xlpm.m,IFERROR(_xlfn.XMATCH(C1300,_xlpm.r),IFERROR(_xlfn.XMATCH(VALUE(C1300),_xlpm.r),0)),IF(_xlpm.m=0,"",_xlpm.m+1))</f>
        <v/>
      </c>
      <c r="J1300" s="137" t="inlineStr">
        <is>
          <t>NetSuite</t>
        </is>
      </c>
    </row>
    <row r="1301">
      <c r="A1301" s="5" t="inlineStr">
        <is>
          <t>STETSON AMERICAS</t>
        </is>
      </c>
      <c r="B1301" s="5">
        <f>IF($I2="","",INDEX(Productos!$A:$A,$I2))</f>
        <v/>
      </c>
      <c r="C1301" s="134" t="inlineStr">
        <is>
          <t>9921500-97-42</t>
        </is>
      </c>
      <c r="D1301" s="5">
        <f>IF($I2="","",INDEX(Productos!$B:$B,$I2))</f>
        <v/>
      </c>
      <c r="E1301" s="5">
        <f>IF($I2="","",INDEX(Productos!$H:$H,$I2))</f>
        <v/>
      </c>
      <c r="F1301" s="5">
        <f>IF($I2="","",INDEX(Productos!$I:$I,$I2))</f>
        <v/>
      </c>
      <c r="G1301" s="135" t="n">
        <v>-1</v>
      </c>
      <c r="H1301" s="5">
        <f>IF($I2="","",INDEX(Productos!$AG:$AG,$I2))</f>
        <v/>
      </c>
      <c r="I1301" s="136">
        <f>LET(_xlpm.r,Productos!$E$2:$E$2509,_xlpm.m,IFERROR(_xlfn.XMATCH(C1301,_xlpm.r),IFERROR(_xlfn.XMATCH(VALUE(C1301),_xlpm.r),0)),IF(_xlpm.m=0,"",_xlpm.m+1))</f>
        <v/>
      </c>
      <c r="J1301" s="137" t="inlineStr">
        <is>
          <t>NetSuite</t>
        </is>
      </c>
    </row>
    <row r="1302">
      <c r="A1302" s="5" t="inlineStr">
        <is>
          <t>STETSON AMERICAS</t>
        </is>
      </c>
      <c r="B1302" s="5">
        <f>IF($I2="","",INDEX(Productos!$A:$A,$I2))</f>
        <v/>
      </c>
      <c r="C1302" s="134" t="inlineStr">
        <is>
          <t>9927500-001-38</t>
        </is>
      </c>
      <c r="D1302" s="5">
        <f>IF($I2="","",INDEX(Productos!$B:$B,$I2))</f>
        <v/>
      </c>
      <c r="E1302" s="5">
        <f>IF($I2="","",INDEX(Productos!$H:$H,$I2))</f>
        <v/>
      </c>
      <c r="F1302" s="5">
        <f>IF($I2="","",INDEX(Productos!$I:$I,$I2))</f>
        <v/>
      </c>
      <c r="G1302" s="135" t="n">
        <v>-1</v>
      </c>
      <c r="H1302" s="5">
        <f>IF($I2="","",INDEX(Productos!$AG:$AG,$I2))</f>
        <v/>
      </c>
      <c r="I1302" s="136">
        <f>LET(_xlpm.r,Productos!$E$2:$E$2509,_xlpm.m,IFERROR(_xlfn.XMATCH(C1302,_xlpm.r),IFERROR(_xlfn.XMATCH(VALUE(C1302),_xlpm.r),0)),IF(_xlpm.m=0,"",_xlpm.m+1))</f>
        <v/>
      </c>
      <c r="J1302" s="137" t="inlineStr">
        <is>
          <t>NetSuite</t>
        </is>
      </c>
    </row>
    <row r="1303">
      <c r="A1303" s="5" t="inlineStr">
        <is>
          <t>STETSON AMERICAS</t>
        </is>
      </c>
      <c r="B1303" s="5">
        <f>IF($I2="","",INDEX(Productos!$A:$A,$I2))</f>
        <v/>
      </c>
      <c r="C1303" s="134" t="inlineStr">
        <is>
          <t>9927500-001-40</t>
        </is>
      </c>
      <c r="D1303" s="5">
        <f>IF($I2="","",INDEX(Productos!$B:$B,$I2))</f>
        <v/>
      </c>
      <c r="E1303" s="5">
        <f>IF($I2="","",INDEX(Productos!$H:$H,$I2))</f>
        <v/>
      </c>
      <c r="F1303" s="5">
        <f>IF($I2="","",INDEX(Productos!$I:$I,$I2))</f>
        <v/>
      </c>
      <c r="G1303" s="135" t="n">
        <v>-1</v>
      </c>
      <c r="H1303" s="5">
        <f>IF($I2="","",INDEX(Productos!$AG:$AG,$I2))</f>
        <v/>
      </c>
      <c r="I1303" s="136">
        <f>LET(_xlpm.r,Productos!$E$2:$E$2509,_xlpm.m,IFERROR(_xlfn.XMATCH(C1303,_xlpm.r),IFERROR(_xlfn.XMATCH(VALUE(C1303),_xlpm.r),0)),IF(_xlpm.m=0,"",_xlpm.m+1))</f>
        <v/>
      </c>
      <c r="J1303" s="137" t="inlineStr">
        <is>
          <t>NetSuite</t>
        </is>
      </c>
    </row>
    <row r="1304">
      <c r="A1304" s="5" t="inlineStr">
        <is>
          <t>STETSON AMERICAS</t>
        </is>
      </c>
      <c r="B1304" s="5">
        <f>IF($I2="","",INDEX(Productos!$A:$A,$I2))</f>
        <v/>
      </c>
      <c r="C1304" s="134" t="inlineStr">
        <is>
          <t>9928500-104-36</t>
        </is>
      </c>
      <c r="D1304" s="5">
        <f>IF($I2="","",INDEX(Productos!$B:$B,$I2))</f>
        <v/>
      </c>
      <c r="E1304" s="5">
        <f>IF($I2="","",INDEX(Productos!$H:$H,$I2))</f>
        <v/>
      </c>
      <c r="F1304" s="5">
        <f>IF($I2="","",INDEX(Productos!$I:$I,$I2))</f>
        <v/>
      </c>
      <c r="G1304" s="135" t="n">
        <v>-1</v>
      </c>
      <c r="H1304" s="5">
        <f>IF($I2="","",INDEX(Productos!$AG:$AG,$I2))</f>
        <v/>
      </c>
      <c r="I1304" s="136">
        <f>LET(_xlpm.r,Productos!$E$2:$E$2509,_xlpm.m,IFERROR(_xlfn.XMATCH(C1304,_xlpm.r),IFERROR(_xlfn.XMATCH(VALUE(C1304),_xlpm.r),0)),IF(_xlpm.m=0,"",_xlpm.m+1))</f>
        <v/>
      </c>
      <c r="J1304" s="137" t="inlineStr">
        <is>
          <t>NetSuite</t>
        </is>
      </c>
    </row>
    <row r="1305">
      <c r="A1305" s="5" t="inlineStr">
        <is>
          <t>STETSON AMERICAS</t>
        </is>
      </c>
      <c r="B1305" s="5">
        <f>IF($I2="","",INDEX(Productos!$A:$A,$I2))</f>
        <v/>
      </c>
      <c r="C1305" s="134" t="inlineStr">
        <is>
          <t>SBAPCH-75400766</t>
        </is>
      </c>
      <c r="D1305" s="5">
        <f>IF($I2="","",INDEX(Productos!$B:$B,$I2))</f>
        <v/>
      </c>
      <c r="E1305" s="5">
        <f>IF($I2="","",INDEX(Productos!$H:$H,$I2))</f>
        <v/>
      </c>
      <c r="F1305" s="5">
        <f>IF($I2="","",INDEX(Productos!$I:$I,$I2))</f>
        <v/>
      </c>
      <c r="G1305" s="135" t="n">
        <v>-1</v>
      </c>
      <c r="H1305" s="5">
        <f>IF($I2="","",INDEX(Productos!$AG:$AG,$I2))</f>
        <v/>
      </c>
      <c r="I1305" s="136">
        <f>LET(_xlpm.r,Productos!$E$2:$E$2509,_xlpm.m,IFERROR(_xlfn.XMATCH(C1305,_xlpm.r),IFERROR(_xlfn.XMATCH(VALUE(C1305),_xlpm.r),0)),IF(_xlpm.m=0,"",_xlpm.m+1))</f>
        <v/>
      </c>
      <c r="J1305" s="137" t="inlineStr">
        <is>
          <t>NetSuite</t>
        </is>
      </c>
    </row>
    <row r="1306">
      <c r="A1306" s="5" t="inlineStr">
        <is>
          <t>STETSON AMERICAS</t>
        </is>
      </c>
      <c r="B1306" s="5">
        <f>IF($I2="","",INDEX(Productos!$A:$A,$I2))</f>
        <v/>
      </c>
      <c r="C1306" s="134" t="inlineStr">
        <is>
          <t>SBAPCH-75400767</t>
        </is>
      </c>
      <c r="D1306" s="5">
        <f>IF($I2="","",INDEX(Productos!$B:$B,$I2))</f>
        <v/>
      </c>
      <c r="E1306" s="5">
        <f>IF($I2="","",INDEX(Productos!$H:$H,$I2))</f>
        <v/>
      </c>
      <c r="F1306" s="5">
        <f>IF($I2="","",INDEX(Productos!$I:$I,$I2))</f>
        <v/>
      </c>
      <c r="G1306" s="135" t="n">
        <v>1</v>
      </c>
      <c r="H1306" s="5">
        <f>IF($I2="","",INDEX(Productos!$AG:$AG,$I2))</f>
        <v/>
      </c>
      <c r="I1306" s="136">
        <f>LET(_xlpm.r,Productos!$E$2:$E$2509,_xlpm.m,IFERROR(_xlfn.XMATCH(C1306,_xlpm.r),IFERROR(_xlfn.XMATCH(VALUE(C1306),_xlpm.r),0)),IF(_xlpm.m=0,"",_xlpm.m+1))</f>
        <v/>
      </c>
      <c r="J1306" s="137" t="inlineStr">
        <is>
          <t>NetSuite</t>
        </is>
      </c>
    </row>
    <row r="1307">
      <c r="A1307" s="5" t="inlineStr">
        <is>
          <t>STETSON AMERICAS</t>
        </is>
      </c>
      <c r="B1307" s="5">
        <f>IF($I2="","",INDEX(Productos!$A:$A,$I2))</f>
        <v/>
      </c>
      <c r="C1307" s="134" t="inlineStr">
        <is>
          <t>SBAPCH-75400770</t>
        </is>
      </c>
      <c r="D1307" s="5">
        <f>IF($I2="","",INDEX(Productos!$B:$B,$I2))</f>
        <v/>
      </c>
      <c r="E1307" s="5">
        <f>IF($I2="","",INDEX(Productos!$H:$H,$I2))</f>
        <v/>
      </c>
      <c r="F1307" s="5">
        <f>IF($I2="","",INDEX(Productos!$I:$I,$I2))</f>
        <v/>
      </c>
      <c r="G1307" s="135" t="n">
        <v>-1</v>
      </c>
      <c r="H1307" s="5">
        <f>IF($I2="","",INDEX(Productos!$AG:$AG,$I2))</f>
        <v/>
      </c>
      <c r="I1307" s="136">
        <f>LET(_xlpm.r,Productos!$E$2:$E$2509,_xlpm.m,IFERROR(_xlfn.XMATCH(C1307,_xlpm.r),IFERROR(_xlfn.XMATCH(VALUE(C1307),_xlpm.r),0)),IF(_xlpm.m=0,"",_xlpm.m+1))</f>
        <v/>
      </c>
      <c r="J1307" s="137" t="inlineStr">
        <is>
          <t>NetSuite</t>
        </is>
      </c>
    </row>
    <row r="1308">
      <c r="A1308" s="5" t="inlineStr">
        <is>
          <t>STETSON AMERICAS</t>
        </is>
      </c>
      <c r="B1308" s="5">
        <f>IF($I2="","",INDEX(Productos!$A:$A,$I2))</f>
        <v/>
      </c>
      <c r="C1308" s="134" t="inlineStr">
        <is>
          <t>SBAPCH-75400771</t>
        </is>
      </c>
      <c r="D1308" s="5">
        <f>IF($I2="","",INDEX(Productos!$B:$B,$I2))</f>
        <v/>
      </c>
      <c r="E1308" s="5">
        <f>IF($I2="","",INDEX(Productos!$H:$H,$I2))</f>
        <v/>
      </c>
      <c r="F1308" s="5">
        <f>IF($I2="","",INDEX(Productos!$I:$I,$I2))</f>
        <v/>
      </c>
      <c r="G1308" s="135" t="n">
        <v>-1</v>
      </c>
      <c r="H1308" s="5">
        <f>IF($I2="","",INDEX(Productos!$AG:$AG,$I2))</f>
        <v/>
      </c>
      <c r="I1308" s="136">
        <f>LET(_xlpm.r,Productos!$E$2:$E$2509,_xlpm.m,IFERROR(_xlfn.XMATCH(C1308,_xlpm.r),IFERROR(_xlfn.XMATCH(VALUE(C1308),_xlpm.r),0)),IF(_xlpm.m=0,"",_xlpm.m+1))</f>
        <v/>
      </c>
      <c r="J1308" s="137" t="inlineStr">
        <is>
          <t>NetSuite</t>
        </is>
      </c>
    </row>
    <row r="1309">
      <c r="A1309" s="5" t="inlineStr">
        <is>
          <t>STETSON AMERICAS</t>
        </is>
      </c>
      <c r="B1309" s="5">
        <f>IF($I2="","",INDEX(Productos!$A:$A,$I2))</f>
        <v/>
      </c>
      <c r="C1309" s="134" t="inlineStr">
        <is>
          <t>SBAPCH-75400772</t>
        </is>
      </c>
      <c r="D1309" s="5">
        <f>IF($I2="","",INDEX(Productos!$B:$B,$I2))</f>
        <v/>
      </c>
      <c r="E1309" s="5">
        <f>IF($I2="","",INDEX(Productos!$H:$H,$I2))</f>
        <v/>
      </c>
      <c r="F1309" s="5">
        <f>IF($I2="","",INDEX(Productos!$I:$I,$I2))</f>
        <v/>
      </c>
      <c r="G1309" s="135" t="n">
        <v>-1</v>
      </c>
      <c r="H1309" s="5">
        <f>IF($I2="","",INDEX(Productos!$AG:$AG,$I2))</f>
        <v/>
      </c>
      <c r="I1309" s="136">
        <f>LET(_xlpm.r,Productos!$E$2:$E$2509,_xlpm.m,IFERROR(_xlfn.XMATCH(C1309,_xlpm.r),IFERROR(_xlfn.XMATCH(VALUE(C1309),_xlpm.r),0)),IF(_xlpm.m=0,"",_xlpm.m+1))</f>
        <v/>
      </c>
      <c r="J1309" s="137" t="inlineStr">
        <is>
          <t>NetSuite</t>
        </is>
      </c>
    </row>
    <row r="1310">
      <c r="A1310" s="5" t="inlineStr">
        <is>
          <t>STETSON AMERICAS</t>
        </is>
      </c>
      <c r="B1310" s="5">
        <f>IF($I2="","",INDEX(Productos!$A:$A,$I2))</f>
        <v/>
      </c>
      <c r="C1310" s="134" t="inlineStr">
        <is>
          <t>SBAPCH-75400773</t>
        </is>
      </c>
      <c r="D1310" s="5">
        <f>IF($I2="","",INDEX(Productos!$B:$B,$I2))</f>
        <v/>
      </c>
      <c r="E1310" s="5">
        <f>IF($I2="","",INDEX(Productos!$H:$H,$I2))</f>
        <v/>
      </c>
      <c r="F1310" s="5">
        <f>IF($I2="","",INDEX(Productos!$I:$I,$I2))</f>
        <v/>
      </c>
      <c r="G1310" s="135" t="n">
        <v>-1</v>
      </c>
      <c r="H1310" s="5">
        <f>IF($I2="","",INDEX(Productos!$AG:$AG,$I2))</f>
        <v/>
      </c>
      <c r="I1310" s="136">
        <f>LET(_xlpm.r,Productos!$E$2:$E$2509,_xlpm.m,IFERROR(_xlfn.XMATCH(C1310,_xlpm.r),IFERROR(_xlfn.XMATCH(VALUE(C1310),_xlpm.r),0)),IF(_xlpm.m=0,"",_xlpm.m+1))</f>
        <v/>
      </c>
      <c r="J1310" s="137" t="inlineStr">
        <is>
          <t>NetSuite</t>
        </is>
      </c>
    </row>
    <row r="1311">
      <c r="A1311" s="5" t="inlineStr">
        <is>
          <t>STETSON AMERICAS</t>
        </is>
      </c>
      <c r="B1311" s="5">
        <f>IF($I2="","",INDEX(Productos!$A:$A,$I2))</f>
        <v/>
      </c>
      <c r="C1311" s="134" t="inlineStr">
        <is>
          <t>SBAPCH-75402367</t>
        </is>
      </c>
      <c r="D1311" s="5">
        <f>IF($I2="","",INDEX(Productos!$B:$B,$I2))</f>
        <v/>
      </c>
      <c r="E1311" s="5">
        <f>IF($I2="","",INDEX(Productos!$H:$H,$I2))</f>
        <v/>
      </c>
      <c r="F1311" s="5">
        <f>IF($I2="","",INDEX(Productos!$I:$I,$I2))</f>
        <v/>
      </c>
      <c r="G1311" s="135" t="n">
        <v>-1</v>
      </c>
      <c r="H1311" s="5">
        <f>IF($I2="","",INDEX(Productos!$AG:$AG,$I2))</f>
        <v/>
      </c>
      <c r="I1311" s="136">
        <f>LET(_xlpm.r,Productos!$E$2:$E$2509,_xlpm.m,IFERROR(_xlfn.XMATCH(C1311,_xlpm.r),IFERROR(_xlfn.XMATCH(VALUE(C1311),_xlpm.r),0)),IF(_xlpm.m=0,"",_xlpm.m+1))</f>
        <v/>
      </c>
      <c r="J1311" s="137" t="inlineStr">
        <is>
          <t>NetSuite</t>
        </is>
      </c>
    </row>
    <row r="1312">
      <c r="A1312" s="5" t="inlineStr">
        <is>
          <t>STETSON AMERICAS</t>
        </is>
      </c>
      <c r="B1312" s="5">
        <f>IF($I2="","",INDEX(Productos!$A:$A,$I2))</f>
        <v/>
      </c>
      <c r="C1312" s="134" t="inlineStr">
        <is>
          <t>SBAPCH-75402370</t>
        </is>
      </c>
      <c r="D1312" s="5">
        <f>IF($I2="","",INDEX(Productos!$B:$B,$I2))</f>
        <v/>
      </c>
      <c r="E1312" s="5">
        <f>IF($I2="","",INDEX(Productos!$H:$H,$I2))</f>
        <v/>
      </c>
      <c r="F1312" s="5">
        <f>IF($I2="","",INDEX(Productos!$I:$I,$I2))</f>
        <v/>
      </c>
      <c r="G1312" s="135" t="n">
        <v>-1</v>
      </c>
      <c r="H1312" s="5">
        <f>IF($I2="","",INDEX(Productos!$AG:$AG,$I2))</f>
        <v/>
      </c>
      <c r="I1312" s="136">
        <f>LET(_xlpm.r,Productos!$E$2:$E$2509,_xlpm.m,IFERROR(_xlfn.XMATCH(C1312,_xlpm.r),IFERROR(_xlfn.XMATCH(VALUE(C1312),_xlpm.r),0)),IF(_xlpm.m=0,"",_xlpm.m+1))</f>
        <v/>
      </c>
      <c r="J1312" s="137" t="inlineStr">
        <is>
          <t>NetSuite</t>
        </is>
      </c>
    </row>
    <row r="1313">
      <c r="A1313" s="5" t="inlineStr">
        <is>
          <t>STETSON AMERICAS</t>
        </is>
      </c>
      <c r="B1313" s="5">
        <f>IF($I2="","",INDEX(Productos!$A:$A,$I2))</f>
        <v/>
      </c>
      <c r="C1313" s="134" t="inlineStr">
        <is>
          <t>SBAPCH-75402371</t>
        </is>
      </c>
      <c r="D1313" s="5">
        <f>IF($I2="","",INDEX(Productos!$B:$B,$I2))</f>
        <v/>
      </c>
      <c r="E1313" s="5">
        <f>IF($I2="","",INDEX(Productos!$H:$H,$I2))</f>
        <v/>
      </c>
      <c r="F1313" s="5">
        <f>IF($I2="","",INDEX(Productos!$I:$I,$I2))</f>
        <v/>
      </c>
      <c r="G1313" s="135" t="n">
        <v>1</v>
      </c>
      <c r="H1313" s="5">
        <f>IF($I2="","",INDEX(Productos!$AG:$AG,$I2))</f>
        <v/>
      </c>
      <c r="I1313" s="136">
        <f>LET(_xlpm.r,Productos!$E$2:$E$2509,_xlpm.m,IFERROR(_xlfn.XMATCH(C1313,_xlpm.r),IFERROR(_xlfn.XMATCH(VALUE(C1313),_xlpm.r),0)),IF(_xlpm.m=0,"",_xlpm.m+1))</f>
        <v/>
      </c>
      <c r="J1313" s="137" t="inlineStr">
        <is>
          <t>NetSuite</t>
        </is>
      </c>
    </row>
    <row r="1314">
      <c r="A1314" s="5" t="inlineStr">
        <is>
          <t>STETSON AMERICAS</t>
        </is>
      </c>
      <c r="B1314" s="5">
        <f>IF($I2="","",INDEX(Productos!$A:$A,$I2))</f>
        <v/>
      </c>
      <c r="C1314" s="134" t="inlineStr">
        <is>
          <t>SBAPCH-75402372</t>
        </is>
      </c>
      <c r="D1314" s="5">
        <f>IF($I2="","",INDEX(Productos!$B:$B,$I2))</f>
        <v/>
      </c>
      <c r="E1314" s="5">
        <f>IF($I2="","",INDEX(Productos!$H:$H,$I2))</f>
        <v/>
      </c>
      <c r="F1314" s="5">
        <f>IF($I2="","",INDEX(Productos!$I:$I,$I2))</f>
        <v/>
      </c>
      <c r="G1314" s="135" t="n">
        <v>1</v>
      </c>
      <c r="H1314" s="5">
        <f>IF($I2="","",INDEX(Productos!$AG:$AG,$I2))</f>
        <v/>
      </c>
      <c r="I1314" s="136">
        <f>LET(_xlpm.r,Productos!$E$2:$E$2509,_xlpm.m,IFERROR(_xlfn.XMATCH(C1314,_xlpm.r),IFERROR(_xlfn.XMATCH(VALUE(C1314),_xlpm.r),0)),IF(_xlpm.m=0,"",_xlpm.m+1))</f>
        <v/>
      </c>
      <c r="J1314" s="137" t="inlineStr">
        <is>
          <t>NetSuite</t>
        </is>
      </c>
    </row>
    <row r="1315">
      <c r="A1315" s="5" t="inlineStr">
        <is>
          <t>STETSON AMERICAS</t>
        </is>
      </c>
      <c r="B1315" s="5">
        <f>IF($I2="","",INDEX(Productos!$A:$A,$I2))</f>
        <v/>
      </c>
      <c r="C1315" s="134" t="inlineStr">
        <is>
          <t>SBAPCH-75402373</t>
        </is>
      </c>
      <c r="D1315" s="5">
        <f>IF($I2="","",INDEX(Productos!$B:$B,$I2))</f>
        <v/>
      </c>
      <c r="E1315" s="5">
        <f>IF($I2="","",INDEX(Productos!$H:$H,$I2))</f>
        <v/>
      </c>
      <c r="F1315" s="5">
        <f>IF($I2="","",INDEX(Productos!$I:$I,$I2))</f>
        <v/>
      </c>
      <c r="G1315" s="135" t="n">
        <v>-1</v>
      </c>
      <c r="H1315" s="5">
        <f>IF($I2="","",INDEX(Productos!$AG:$AG,$I2))</f>
        <v/>
      </c>
      <c r="I1315" s="136">
        <f>LET(_xlpm.r,Productos!$E$2:$E$2509,_xlpm.m,IFERROR(_xlfn.XMATCH(C1315,_xlpm.r),IFERROR(_xlfn.XMATCH(VALUE(C1315),_xlpm.r),0)),IF(_xlpm.m=0,"",_xlpm.m+1))</f>
        <v/>
      </c>
      <c r="J1315" s="137" t="inlineStr">
        <is>
          <t>NetSuite</t>
        </is>
      </c>
    </row>
    <row r="1316">
      <c r="A1316" s="5" t="inlineStr">
        <is>
          <t>STETSON AMERICAS</t>
        </is>
      </c>
      <c r="B1316" s="5">
        <f>IF($I2="","",INDEX(Productos!$A:$A,$I2))</f>
        <v/>
      </c>
      <c r="C1316" s="134" t="inlineStr">
        <is>
          <t>SBAPCH-75402374</t>
        </is>
      </c>
      <c r="D1316" s="5">
        <f>IF($I2="","",INDEX(Productos!$B:$B,$I2))</f>
        <v/>
      </c>
      <c r="E1316" s="5">
        <f>IF($I2="","",INDEX(Productos!$H:$H,$I2))</f>
        <v/>
      </c>
      <c r="F1316" s="5">
        <f>IF($I2="","",INDEX(Productos!$I:$I,$I2))</f>
        <v/>
      </c>
      <c r="G1316" s="135" t="n">
        <v>-1</v>
      </c>
      <c r="H1316" s="5">
        <f>IF($I2="","",INDEX(Productos!$AG:$AG,$I2))</f>
        <v/>
      </c>
      <c r="I1316" s="136">
        <f>LET(_xlpm.r,Productos!$E$2:$E$2509,_xlpm.m,IFERROR(_xlfn.XMATCH(C1316,_xlpm.r),IFERROR(_xlfn.XMATCH(VALUE(C1316),_xlpm.r),0)),IF(_xlpm.m=0,"",_xlpm.m+1))</f>
        <v/>
      </c>
      <c r="J1316" s="137" t="inlineStr">
        <is>
          <t>NetSuite</t>
        </is>
      </c>
    </row>
    <row r="1317">
      <c r="A1317" s="5" t="inlineStr">
        <is>
          <t>STETSON AMERICAS</t>
        </is>
      </c>
      <c r="B1317" s="5">
        <f>IF($I2="","",INDEX(Productos!$A:$A,$I2))</f>
        <v/>
      </c>
      <c r="C1317" s="134" t="inlineStr">
        <is>
          <t>SBBBOW-69432467</t>
        </is>
      </c>
      <c r="D1317" s="5">
        <f>IF($I2="","",INDEX(Productos!$B:$B,$I2))</f>
        <v/>
      </c>
      <c r="E1317" s="5">
        <f>IF($I2="","",INDEX(Productos!$H:$H,$I2))</f>
        <v/>
      </c>
      <c r="F1317" s="5">
        <f>IF($I2="","",INDEX(Productos!$I:$I,$I2))</f>
        <v/>
      </c>
      <c r="G1317" s="135" t="n">
        <v>1</v>
      </c>
      <c r="H1317" s="5">
        <f>IF($I2="","",INDEX(Productos!$AG:$AG,$I2))</f>
        <v/>
      </c>
      <c r="I1317" s="136">
        <f>LET(_xlpm.r,Productos!$E$2:$E$2509,_xlpm.m,IFERROR(_xlfn.XMATCH(C1317,_xlpm.r),IFERROR(_xlfn.XMATCH(VALUE(C1317),_xlpm.r),0)),IF(_xlpm.m=0,"",_xlpm.m+1))</f>
        <v/>
      </c>
      <c r="J1317" s="137" t="inlineStr">
        <is>
          <t>NetSuite</t>
        </is>
      </c>
    </row>
    <row r="1318">
      <c r="A1318" s="5" t="inlineStr">
        <is>
          <t>STETSON AMERICAS</t>
        </is>
      </c>
      <c r="B1318" s="5">
        <f>IF($I2="","",INDEX(Productos!$A:$A,$I2))</f>
        <v/>
      </c>
      <c r="C1318" s="134" t="inlineStr">
        <is>
          <t>SBBBOW-69432470</t>
        </is>
      </c>
      <c r="D1318" s="5">
        <f>IF($I2="","",INDEX(Productos!$B:$B,$I2))</f>
        <v/>
      </c>
      <c r="E1318" s="5">
        <f>IF($I2="","",INDEX(Productos!$H:$H,$I2))</f>
        <v/>
      </c>
      <c r="F1318" s="5">
        <f>IF($I2="","",INDEX(Productos!$I:$I,$I2))</f>
        <v/>
      </c>
      <c r="G1318" s="135" t="n">
        <v>1</v>
      </c>
      <c r="H1318" s="5">
        <f>IF($I2="","",INDEX(Productos!$AG:$AG,$I2))</f>
        <v/>
      </c>
      <c r="I1318" s="136">
        <f>LET(_xlpm.r,Productos!$E$2:$E$2509,_xlpm.m,IFERROR(_xlfn.XMATCH(C1318,_xlpm.r),IFERROR(_xlfn.XMATCH(VALUE(C1318),_xlpm.r),0)),IF(_xlpm.m=0,"",_xlpm.m+1))</f>
        <v/>
      </c>
      <c r="J1318" s="137" t="inlineStr">
        <is>
          <t>NetSuite</t>
        </is>
      </c>
    </row>
    <row r="1319">
      <c r="A1319" s="5" t="inlineStr">
        <is>
          <t>STETSON AMERICAS</t>
        </is>
      </c>
      <c r="B1319" s="5">
        <f>IF($I2="","",INDEX(Productos!$A:$A,$I2))</f>
        <v/>
      </c>
      <c r="C1319" s="134" t="inlineStr">
        <is>
          <t>SBBBOW-69432471</t>
        </is>
      </c>
      <c r="D1319" s="5">
        <f>IF($I2="","",INDEX(Productos!$B:$B,$I2))</f>
        <v/>
      </c>
      <c r="E1319" s="5">
        <f>IF($I2="","",INDEX(Productos!$H:$H,$I2))</f>
        <v/>
      </c>
      <c r="F1319" s="5">
        <f>IF($I2="","",INDEX(Productos!$I:$I,$I2))</f>
        <v/>
      </c>
      <c r="G1319" s="135" t="n">
        <v>1</v>
      </c>
      <c r="H1319" s="5">
        <f>IF($I2="","",INDEX(Productos!$AG:$AG,$I2))</f>
        <v/>
      </c>
      <c r="I1319" s="136">
        <f>LET(_xlpm.r,Productos!$E$2:$E$2509,_xlpm.m,IFERROR(_xlfn.XMATCH(C1319,_xlpm.r),IFERROR(_xlfn.XMATCH(VALUE(C1319),_xlpm.r),0)),IF(_xlpm.m=0,"",_xlpm.m+1))</f>
        <v/>
      </c>
      <c r="J1319" s="137" t="inlineStr">
        <is>
          <t>NetSuite</t>
        </is>
      </c>
    </row>
    <row r="1320">
      <c r="A1320" s="5" t="inlineStr">
        <is>
          <t>STETSON AMERICAS</t>
        </is>
      </c>
      <c r="B1320" s="5">
        <f>IF($I2="","",INDEX(Productos!$A:$A,$I2))</f>
        <v/>
      </c>
      <c r="C1320" s="134" t="inlineStr">
        <is>
          <t>SBCRAL-75402267</t>
        </is>
      </c>
      <c r="D1320" s="5">
        <f>IF($I2="","",INDEX(Productos!$B:$B,$I2))</f>
        <v/>
      </c>
      <c r="E1320" s="5">
        <f>IF($I2="","",INDEX(Productos!$H:$H,$I2))</f>
        <v/>
      </c>
      <c r="F1320" s="5">
        <f>IF($I2="","",INDEX(Productos!$I:$I,$I2))</f>
        <v/>
      </c>
      <c r="G1320" s="135" t="n">
        <v>-1</v>
      </c>
      <c r="H1320" s="5">
        <f>IF($I2="","",INDEX(Productos!$AG:$AG,$I2))</f>
        <v/>
      </c>
      <c r="I1320" s="136">
        <f>LET(_xlpm.r,Productos!$E$2:$E$2509,_xlpm.m,IFERROR(_xlfn.XMATCH(C1320,_xlpm.r),IFERROR(_xlfn.XMATCH(VALUE(C1320),_xlpm.r),0)),IF(_xlpm.m=0,"",_xlpm.m+1))</f>
        <v/>
      </c>
      <c r="J1320" s="137" t="inlineStr">
        <is>
          <t>NetSuite</t>
        </is>
      </c>
    </row>
    <row r="1321">
      <c r="A1321" s="5" t="inlineStr">
        <is>
          <t>STETSON AMERICAS</t>
        </is>
      </c>
      <c r="B1321" s="5">
        <f>IF($I2="","",INDEX(Productos!$A:$A,$I2))</f>
        <v/>
      </c>
      <c r="C1321" s="134" t="inlineStr">
        <is>
          <t>SBCRAL-75402270</t>
        </is>
      </c>
      <c r="D1321" s="5">
        <f>IF($I2="","",INDEX(Productos!$B:$B,$I2))</f>
        <v/>
      </c>
      <c r="E1321" s="5">
        <f>IF($I2="","",INDEX(Productos!$H:$H,$I2))</f>
        <v/>
      </c>
      <c r="F1321" s="5">
        <f>IF($I2="","",INDEX(Productos!$I:$I,$I2))</f>
        <v/>
      </c>
      <c r="G1321" s="135" t="n">
        <v>-1</v>
      </c>
      <c r="H1321" s="5">
        <f>IF($I2="","",INDEX(Productos!$AG:$AG,$I2))</f>
        <v/>
      </c>
      <c r="I1321" s="136">
        <f>LET(_xlpm.r,Productos!$E$2:$E$2509,_xlpm.m,IFERROR(_xlfn.XMATCH(C1321,_xlpm.r),IFERROR(_xlfn.XMATCH(VALUE(C1321),_xlpm.r),0)),IF(_xlpm.m=0,"",_xlpm.m+1))</f>
        <v/>
      </c>
      <c r="J1321" s="137" t="inlineStr">
        <is>
          <t>NetSuite</t>
        </is>
      </c>
    </row>
    <row r="1322">
      <c r="A1322" s="5" t="inlineStr">
        <is>
          <t>STETSON AMERICAS</t>
        </is>
      </c>
      <c r="B1322" s="5">
        <f>IF($I2="","",INDEX(Productos!$A:$A,$I2))</f>
        <v/>
      </c>
      <c r="C1322" s="134" t="inlineStr">
        <is>
          <t>SBCRAL-75402271</t>
        </is>
      </c>
      <c r="D1322" s="5">
        <f>IF($I2="","",INDEX(Productos!$B:$B,$I2))</f>
        <v/>
      </c>
      <c r="E1322" s="5">
        <f>IF($I2="","",INDEX(Productos!$H:$H,$I2))</f>
        <v/>
      </c>
      <c r="F1322" s="5">
        <f>IF($I2="","",INDEX(Productos!$I:$I,$I2))</f>
        <v/>
      </c>
      <c r="G1322" s="135" t="n">
        <v>-1</v>
      </c>
      <c r="H1322" s="5">
        <f>IF($I2="","",INDEX(Productos!$AG:$AG,$I2))</f>
        <v/>
      </c>
      <c r="I1322" s="136">
        <f>LET(_xlpm.r,Productos!$E$2:$E$2509,_xlpm.m,IFERROR(_xlfn.XMATCH(C1322,_xlpm.r),IFERROR(_xlfn.XMATCH(VALUE(C1322),_xlpm.r),0)),IF(_xlpm.m=0,"",_xlpm.m+1))</f>
        <v/>
      </c>
      <c r="J1322" s="137" t="inlineStr">
        <is>
          <t>NetSuite</t>
        </is>
      </c>
    </row>
    <row r="1323">
      <c r="A1323" s="5" t="inlineStr">
        <is>
          <t>STETSON AMERICAS</t>
        </is>
      </c>
      <c r="B1323" s="5">
        <f>IF($I2="","",INDEX(Productos!$A:$A,$I2))</f>
        <v/>
      </c>
      <c r="C1323" s="134" t="inlineStr">
        <is>
          <t>SBCRAL-75402272</t>
        </is>
      </c>
      <c r="D1323" s="5">
        <f>IF($I2="","",INDEX(Productos!$B:$B,$I2))</f>
        <v/>
      </c>
      <c r="E1323" s="5">
        <f>IF($I2="","",INDEX(Productos!$H:$H,$I2))</f>
        <v/>
      </c>
      <c r="F1323" s="5">
        <f>IF($I2="","",INDEX(Productos!$I:$I,$I2))</f>
        <v/>
      </c>
      <c r="G1323" s="135" t="n">
        <v>-3</v>
      </c>
      <c r="H1323" s="5">
        <f>IF($I2="","",INDEX(Productos!$AG:$AG,$I2))</f>
        <v/>
      </c>
      <c r="I1323" s="136">
        <f>LET(_xlpm.r,Productos!$E$2:$E$2509,_xlpm.m,IFERROR(_xlfn.XMATCH(C1323,_xlpm.r),IFERROR(_xlfn.XMATCH(VALUE(C1323),_xlpm.r),0)),IF(_xlpm.m=0,"",_xlpm.m+1))</f>
        <v/>
      </c>
      <c r="J1323" s="137" t="inlineStr">
        <is>
          <t>NetSuite</t>
        </is>
      </c>
    </row>
    <row r="1324">
      <c r="A1324" s="5" t="inlineStr">
        <is>
          <t>STETSON AMERICAS</t>
        </is>
      </c>
      <c r="B1324" s="5">
        <f>IF($I2="","",INDEX(Productos!$A:$A,$I2))</f>
        <v/>
      </c>
      <c r="C1324" s="134" t="inlineStr">
        <is>
          <t>SBCRAL-75402273</t>
        </is>
      </c>
      <c r="D1324" s="5">
        <f>IF($I2="","",INDEX(Productos!$B:$B,$I2))</f>
        <v/>
      </c>
      <c r="E1324" s="5">
        <f>IF($I2="","",INDEX(Productos!$H:$H,$I2))</f>
        <v/>
      </c>
      <c r="F1324" s="5">
        <f>IF($I2="","",INDEX(Productos!$I:$I,$I2))</f>
        <v/>
      </c>
      <c r="G1324" s="135" t="n">
        <v>-1</v>
      </c>
      <c r="H1324" s="5">
        <f>IF($I2="","",INDEX(Productos!$AG:$AG,$I2))</f>
        <v/>
      </c>
      <c r="I1324" s="136">
        <f>LET(_xlpm.r,Productos!$E$2:$E$2509,_xlpm.m,IFERROR(_xlfn.XMATCH(C1324,_xlpm.r),IFERROR(_xlfn.XMATCH(VALUE(C1324),_xlpm.r),0)),IF(_xlpm.m=0,"",_xlpm.m+1))</f>
        <v/>
      </c>
      <c r="J1324" s="137" t="inlineStr">
        <is>
          <t>NetSuite</t>
        </is>
      </c>
    </row>
    <row r="1325">
      <c r="A1325" s="5" t="inlineStr">
        <is>
          <t>STETSON AMERICAS</t>
        </is>
      </c>
      <c r="B1325" s="5">
        <f>IF($I2="","",INDEX(Productos!$A:$A,$I2))</f>
        <v/>
      </c>
      <c r="C1325" s="134" t="inlineStr">
        <is>
          <t>SBCRAL-75409870</t>
        </is>
      </c>
      <c r="D1325" s="5">
        <f>IF($I2="","",INDEX(Productos!$B:$B,$I2))</f>
        <v/>
      </c>
      <c r="E1325" s="5">
        <f>IF($I2="","",INDEX(Productos!$H:$H,$I2))</f>
        <v/>
      </c>
      <c r="F1325" s="5">
        <f>IF($I2="","",INDEX(Productos!$I:$I,$I2))</f>
        <v/>
      </c>
      <c r="G1325" s="135" t="n">
        <v>-1</v>
      </c>
      <c r="H1325" s="5">
        <f>IF($I2="","",INDEX(Productos!$AG:$AG,$I2))</f>
        <v/>
      </c>
      <c r="I1325" s="136">
        <f>LET(_xlpm.r,Productos!$E$2:$E$2509,_xlpm.m,IFERROR(_xlfn.XMATCH(C1325,_xlpm.r),IFERROR(_xlfn.XMATCH(VALUE(C1325),_xlpm.r),0)),IF(_xlpm.m=0,"",_xlpm.m+1))</f>
        <v/>
      </c>
      <c r="J1325" s="137" t="inlineStr">
        <is>
          <t>NetSuite</t>
        </is>
      </c>
    </row>
    <row r="1326">
      <c r="A1326" s="5" t="inlineStr">
        <is>
          <t>STETSON AMERICAS</t>
        </is>
      </c>
      <c r="B1326" s="5">
        <f>IF($I2="","",INDEX(Productos!$A:$A,$I2))</f>
        <v/>
      </c>
      <c r="C1326" s="134" t="inlineStr">
        <is>
          <t>SBCRAL-75409871</t>
        </is>
      </c>
      <c r="D1326" s="5">
        <f>IF($I2="","",INDEX(Productos!$B:$B,$I2))</f>
        <v/>
      </c>
      <c r="E1326" s="5">
        <f>IF($I2="","",INDEX(Productos!$H:$H,$I2))</f>
        <v/>
      </c>
      <c r="F1326" s="5">
        <f>IF($I2="","",INDEX(Productos!$I:$I,$I2))</f>
        <v/>
      </c>
      <c r="G1326" s="135" t="n">
        <v>-1</v>
      </c>
      <c r="H1326" s="5">
        <f>IF($I2="","",INDEX(Productos!$AG:$AG,$I2))</f>
        <v/>
      </c>
      <c r="I1326" s="136">
        <f>LET(_xlpm.r,Productos!$E$2:$E$2509,_xlpm.m,IFERROR(_xlfn.XMATCH(C1326,_xlpm.r),IFERROR(_xlfn.XMATCH(VALUE(C1326),_xlpm.r),0)),IF(_xlpm.m=0,"",_xlpm.m+1))</f>
        <v/>
      </c>
      <c r="J1326" s="137" t="inlineStr">
        <is>
          <t>NetSuite</t>
        </is>
      </c>
    </row>
    <row r="1327">
      <c r="A1327" s="5" t="inlineStr">
        <is>
          <t>STETSON AMERICAS</t>
        </is>
      </c>
      <c r="B1327" s="5">
        <f>IF($I2="","",INDEX(Productos!$A:$A,$I2))</f>
        <v/>
      </c>
      <c r="C1327" s="134" t="inlineStr">
        <is>
          <t>SBCRAL-75409874</t>
        </is>
      </c>
      <c r="D1327" s="5">
        <f>IF($I2="","",INDEX(Productos!$B:$B,$I2))</f>
        <v/>
      </c>
      <c r="E1327" s="5">
        <f>IF($I2="","",INDEX(Productos!$H:$H,$I2))</f>
        <v/>
      </c>
      <c r="F1327" s="5">
        <f>IF($I2="","",INDEX(Productos!$I:$I,$I2))</f>
        <v/>
      </c>
      <c r="G1327" s="135" t="n">
        <v>-1</v>
      </c>
      <c r="H1327" s="5">
        <f>IF($I2="","",INDEX(Productos!$AG:$AG,$I2))</f>
        <v/>
      </c>
      <c r="I1327" s="136">
        <f>LET(_xlpm.r,Productos!$E$2:$E$2509,_xlpm.m,IFERROR(_xlfn.XMATCH(C1327,_xlpm.r),IFERROR(_xlfn.XMATCH(VALUE(C1327),_xlpm.r),0)),IF(_xlpm.m=0,"",_xlpm.m+1))</f>
        <v/>
      </c>
      <c r="J1327" s="137" t="inlineStr">
        <is>
          <t>NetSuite</t>
        </is>
      </c>
    </row>
    <row r="1328">
      <c r="A1328" s="5" t="inlineStr">
        <is>
          <t>STETSON AMERICAS</t>
        </is>
      </c>
      <c r="B1328" s="5">
        <f>IF($I2="","",INDEX(Productos!$A:$A,$I2))</f>
        <v/>
      </c>
      <c r="C1328" s="134" t="inlineStr">
        <is>
          <t>SFASPN-41342272</t>
        </is>
      </c>
      <c r="D1328" s="5">
        <f>IF($I2="","",INDEX(Productos!$B:$B,$I2))</f>
        <v/>
      </c>
      <c r="E1328" s="5">
        <f>IF($I2="","",INDEX(Productos!$H:$H,$I2))</f>
        <v/>
      </c>
      <c r="F1328" s="5">
        <f>IF($I2="","",INDEX(Productos!$I:$I,$I2))</f>
        <v/>
      </c>
      <c r="G1328" s="135" t="n">
        <v>2</v>
      </c>
      <c r="H1328" s="5">
        <f>IF($I2="","",INDEX(Productos!$AG:$AG,$I2))</f>
        <v/>
      </c>
      <c r="I1328" s="136">
        <f>LET(_xlpm.r,Productos!$E$2:$E$2509,_xlpm.m,IFERROR(_xlfn.XMATCH(C1328,_xlpm.r),IFERROR(_xlfn.XMATCH(VALUE(C1328),_xlpm.r),0)),IF(_xlpm.m=0,"",_xlpm.m+1))</f>
        <v/>
      </c>
      <c r="J1328" s="137" t="inlineStr">
        <is>
          <t>NetSuite</t>
        </is>
      </c>
    </row>
    <row r="1329">
      <c r="A1329" s="5" t="inlineStr">
        <is>
          <t>STETSON AMERICAS</t>
        </is>
      </c>
      <c r="B1329" s="5">
        <f>IF($I2="","",INDEX(Productos!$A:$A,$I2))</f>
        <v/>
      </c>
      <c r="C1329" s="134" t="inlineStr">
        <is>
          <t>SFASPN-41342273</t>
        </is>
      </c>
      <c r="D1329" s="5">
        <f>IF($I2="","",INDEX(Productos!$B:$B,$I2))</f>
        <v/>
      </c>
      <c r="E1329" s="5">
        <f>IF($I2="","",INDEX(Productos!$H:$H,$I2))</f>
        <v/>
      </c>
      <c r="F1329" s="5">
        <f>IF($I2="","",INDEX(Productos!$I:$I,$I2))</f>
        <v/>
      </c>
      <c r="G1329" s="135" t="n">
        <v>2</v>
      </c>
      <c r="H1329" s="5">
        <f>IF($I2="","",INDEX(Productos!$AG:$AG,$I2))</f>
        <v/>
      </c>
      <c r="I1329" s="136">
        <f>LET(_xlpm.r,Productos!$E$2:$E$2509,_xlpm.m,IFERROR(_xlfn.XMATCH(C1329,_xlpm.r),IFERROR(_xlfn.XMATCH(VALUE(C1329),_xlpm.r),0)),IF(_xlpm.m=0,"",_xlpm.m+1))</f>
        <v/>
      </c>
      <c r="J1329" s="137" t="inlineStr">
        <is>
          <t>NetSuite</t>
        </is>
      </c>
    </row>
    <row r="1330">
      <c r="A1330" s="5" t="inlineStr">
        <is>
          <t>STETSON AMERICAS</t>
        </is>
      </c>
      <c r="B1330" s="5">
        <f>IF($I2="","",INDEX(Productos!$A:$A,$I2))</f>
        <v/>
      </c>
      <c r="C1330" s="134" t="inlineStr">
        <is>
          <t>SFCRSN-40340770</t>
        </is>
      </c>
      <c r="D1330" s="5">
        <f>IF($I2="","",INDEX(Productos!$B:$B,$I2))</f>
        <v/>
      </c>
      <c r="E1330" s="5">
        <f>IF($I2="","",INDEX(Productos!$H:$H,$I2))</f>
        <v/>
      </c>
      <c r="F1330" s="5">
        <f>IF($I2="","",INDEX(Productos!$I:$I,$I2))</f>
        <v/>
      </c>
      <c r="G1330" s="135" t="n">
        <v>1</v>
      </c>
      <c r="H1330" s="5">
        <f>IF($I2="","",INDEX(Productos!$AG:$AG,$I2))</f>
        <v/>
      </c>
      <c r="I1330" s="136">
        <f>LET(_xlpm.r,Productos!$E$2:$E$2509,_xlpm.m,IFERROR(_xlfn.XMATCH(C1330,_xlpm.r),IFERROR(_xlfn.XMATCH(VALUE(C1330),_xlpm.r),0)),IF(_xlpm.m=0,"",_xlpm.m+1))</f>
        <v/>
      </c>
      <c r="J1330" s="137" t="inlineStr">
        <is>
          <t>NetSuite</t>
        </is>
      </c>
    </row>
    <row r="1331">
      <c r="A1331" s="5" t="inlineStr">
        <is>
          <t>STETSON AMERICAS</t>
        </is>
      </c>
      <c r="B1331" s="5">
        <f>IF($I2="","",INDEX(Productos!$A:$A,$I2))</f>
        <v/>
      </c>
      <c r="C1331" s="134" t="inlineStr">
        <is>
          <t>SFCRSN-40340771</t>
        </is>
      </c>
      <c r="D1331" s="5">
        <f>IF($I2="","",INDEX(Productos!$B:$B,$I2))</f>
        <v/>
      </c>
      <c r="E1331" s="5">
        <f>IF($I2="","",INDEX(Productos!$H:$H,$I2))</f>
        <v/>
      </c>
      <c r="F1331" s="5">
        <f>IF($I2="","",INDEX(Productos!$I:$I,$I2))</f>
        <v/>
      </c>
      <c r="G1331" s="135" t="n">
        <v>1</v>
      </c>
      <c r="H1331" s="5">
        <f>IF($I2="","",INDEX(Productos!$AG:$AG,$I2))</f>
        <v/>
      </c>
      <c r="I1331" s="136">
        <f>LET(_xlpm.r,Productos!$E$2:$E$2509,_xlpm.m,IFERROR(_xlfn.XMATCH(C1331,_xlpm.r),IFERROR(_xlfn.XMATCH(VALUE(C1331),_xlpm.r),0)),IF(_xlpm.m=0,"",_xlpm.m+1))</f>
        <v/>
      </c>
      <c r="J1331" s="137" t="inlineStr">
        <is>
          <t>NetSuite</t>
        </is>
      </c>
    </row>
    <row r="1332">
      <c r="A1332" s="5" t="inlineStr">
        <is>
          <t>STETSON AMERICAS</t>
        </is>
      </c>
      <c r="B1332" s="5">
        <f>IF($I2="","",INDEX(Productos!$A:$A,$I2))</f>
        <v/>
      </c>
      <c r="C1332" s="134" t="inlineStr">
        <is>
          <t>SFCRSN-40340772</t>
        </is>
      </c>
      <c r="D1332" s="5">
        <f>IF($I2="","",INDEX(Productos!$B:$B,$I2))</f>
        <v/>
      </c>
      <c r="E1332" s="5">
        <f>IF($I2="","",INDEX(Productos!$H:$H,$I2))</f>
        <v/>
      </c>
      <c r="F1332" s="5">
        <f>IF($I2="","",INDEX(Productos!$I:$I,$I2))</f>
        <v/>
      </c>
      <c r="G1332" s="135" t="n">
        <v>1</v>
      </c>
      <c r="H1332" s="5">
        <f>IF($I2="","",INDEX(Productos!$AG:$AG,$I2))</f>
        <v/>
      </c>
      <c r="I1332" s="136">
        <f>LET(_xlpm.r,Productos!$E$2:$E$2509,_xlpm.m,IFERROR(_xlfn.XMATCH(C1332,_xlpm.r),IFERROR(_xlfn.XMATCH(VALUE(C1332),_xlpm.r),0)),IF(_xlpm.m=0,"",_xlpm.m+1))</f>
        <v/>
      </c>
      <c r="J1332" s="137" t="inlineStr">
        <is>
          <t>NetSuite</t>
        </is>
      </c>
    </row>
    <row r="1333">
      <c r="A1333" s="5" t="inlineStr">
        <is>
          <t>STETSON AMERICAS</t>
        </is>
      </c>
      <c r="B1333" s="5">
        <f>IF($I2="","",INDEX(Productos!$A:$A,$I2))</f>
        <v/>
      </c>
      <c r="C1333" s="134" t="inlineStr">
        <is>
          <t>SFCRSN-40340773</t>
        </is>
      </c>
      <c r="D1333" s="5">
        <f>IF($I2="","",INDEX(Productos!$B:$B,$I2))</f>
        <v/>
      </c>
      <c r="E1333" s="5">
        <f>IF($I2="","",INDEX(Productos!$H:$H,$I2))</f>
        <v/>
      </c>
      <c r="F1333" s="5">
        <f>IF($I2="","",INDEX(Productos!$I:$I,$I2))</f>
        <v/>
      </c>
      <c r="G1333" s="135" t="n">
        <v>1</v>
      </c>
      <c r="H1333" s="5">
        <f>IF($I2="","",INDEX(Productos!$AG:$AG,$I2))</f>
        <v/>
      </c>
      <c r="I1333" s="136">
        <f>LET(_xlpm.r,Productos!$E$2:$E$2509,_xlpm.m,IFERROR(_xlfn.XMATCH(C1333,_xlpm.r),IFERROR(_xlfn.XMATCH(VALUE(C1333),_xlpm.r),0)),IF(_xlpm.m=0,"",_xlpm.m+1))</f>
        <v/>
      </c>
      <c r="J1333" s="137" t="inlineStr">
        <is>
          <t>NetSuite</t>
        </is>
      </c>
    </row>
    <row r="1334">
      <c r="A1334" s="5" t="inlineStr">
        <is>
          <t>STETSON AMERICAS</t>
        </is>
      </c>
      <c r="B1334" s="5">
        <f>IF($I2="","",INDEX(Productos!$A:$A,$I2))</f>
        <v/>
      </c>
      <c r="C1334" s="134" t="inlineStr">
        <is>
          <t>SFCRSN-40341166</t>
        </is>
      </c>
      <c r="D1334" s="5">
        <f>IF($I2="","",INDEX(Productos!$B:$B,$I2))</f>
        <v/>
      </c>
      <c r="E1334" s="5">
        <f>IF($I2="","",INDEX(Productos!$H:$H,$I2))</f>
        <v/>
      </c>
      <c r="F1334" s="5">
        <f>IF($I2="","",INDEX(Productos!$I:$I,$I2))</f>
        <v/>
      </c>
      <c r="G1334" s="135" t="n">
        <v>1</v>
      </c>
      <c r="H1334" s="5">
        <f>IF($I2="","",INDEX(Productos!$AG:$AG,$I2))</f>
        <v/>
      </c>
      <c r="I1334" s="136">
        <f>LET(_xlpm.r,Productos!$E$2:$E$2509,_xlpm.m,IFERROR(_xlfn.XMATCH(C1334,_xlpm.r),IFERROR(_xlfn.XMATCH(VALUE(C1334),_xlpm.r),0)),IF(_xlpm.m=0,"",_xlpm.m+1))</f>
        <v/>
      </c>
      <c r="J1334" s="137" t="inlineStr">
        <is>
          <t>NetSuite</t>
        </is>
      </c>
    </row>
    <row r="1335">
      <c r="A1335" s="5" t="inlineStr">
        <is>
          <t>STETSON AMERICAS</t>
        </is>
      </c>
      <c r="B1335" s="5">
        <f>IF($I2="","",INDEX(Productos!$A:$A,$I2))</f>
        <v/>
      </c>
      <c r="C1335" s="134" t="inlineStr">
        <is>
          <t>SFCRSN-40341170</t>
        </is>
      </c>
      <c r="D1335" s="5">
        <f>IF($I2="","",INDEX(Productos!$B:$B,$I2))</f>
        <v/>
      </c>
      <c r="E1335" s="5">
        <f>IF($I2="","",INDEX(Productos!$H:$H,$I2))</f>
        <v/>
      </c>
      <c r="F1335" s="5">
        <f>IF($I2="","",INDEX(Productos!$I:$I,$I2))</f>
        <v/>
      </c>
      <c r="G1335" s="135" t="n">
        <v>1</v>
      </c>
      <c r="H1335" s="5">
        <f>IF($I2="","",INDEX(Productos!$AG:$AG,$I2))</f>
        <v/>
      </c>
      <c r="I1335" s="136">
        <f>LET(_xlpm.r,Productos!$E$2:$E$2509,_xlpm.m,IFERROR(_xlfn.XMATCH(C1335,_xlpm.r),IFERROR(_xlfn.XMATCH(VALUE(C1335),_xlpm.r),0)),IF(_xlpm.m=0,"",_xlpm.m+1))</f>
        <v/>
      </c>
      <c r="J1335" s="137" t="inlineStr">
        <is>
          <t>NetSuite</t>
        </is>
      </c>
    </row>
    <row r="1336">
      <c r="A1336" s="5" t="inlineStr">
        <is>
          <t>STETSON AMERICAS</t>
        </is>
      </c>
      <c r="B1336" s="5">
        <f>IF($I2="","",INDEX(Productos!$A:$A,$I2))</f>
        <v/>
      </c>
      <c r="C1336" s="134" t="inlineStr">
        <is>
          <t>SFCRSN-40341171</t>
        </is>
      </c>
      <c r="D1336" s="5">
        <f>IF($I2="","",INDEX(Productos!$B:$B,$I2))</f>
        <v/>
      </c>
      <c r="E1336" s="5">
        <f>IF($I2="","",INDEX(Productos!$H:$H,$I2))</f>
        <v/>
      </c>
      <c r="F1336" s="5">
        <f>IF($I2="","",INDEX(Productos!$I:$I,$I2))</f>
        <v/>
      </c>
      <c r="G1336" s="135" t="n">
        <v>1</v>
      </c>
      <c r="H1336" s="5">
        <f>IF($I2="","",INDEX(Productos!$AG:$AG,$I2))</f>
        <v/>
      </c>
      <c r="I1336" s="136">
        <f>LET(_xlpm.r,Productos!$E$2:$E$2509,_xlpm.m,IFERROR(_xlfn.XMATCH(C1336,_xlpm.r),IFERROR(_xlfn.XMATCH(VALUE(C1336),_xlpm.r),0)),IF(_xlpm.m=0,"",_xlpm.m+1))</f>
        <v/>
      </c>
      <c r="J1336" s="137" t="inlineStr">
        <is>
          <t>NetSuite</t>
        </is>
      </c>
    </row>
    <row r="1337">
      <c r="A1337" s="5" t="inlineStr">
        <is>
          <t>STETSON AMERICAS</t>
        </is>
      </c>
      <c r="B1337" s="5">
        <f>IF($I2="","",INDEX(Productos!$A:$A,$I2))</f>
        <v/>
      </c>
      <c r="C1337" s="134" t="inlineStr">
        <is>
          <t>SFCRSN-40341172</t>
        </is>
      </c>
      <c r="D1337" s="5">
        <f>IF($I2="","",INDEX(Productos!$B:$B,$I2))</f>
        <v/>
      </c>
      <c r="E1337" s="5">
        <f>IF($I2="","",INDEX(Productos!$H:$H,$I2))</f>
        <v/>
      </c>
      <c r="F1337" s="5">
        <f>IF($I2="","",INDEX(Productos!$I:$I,$I2))</f>
        <v/>
      </c>
      <c r="G1337" s="135" t="n">
        <v>1</v>
      </c>
      <c r="H1337" s="5">
        <f>IF($I2="","",INDEX(Productos!$AG:$AG,$I2))</f>
        <v/>
      </c>
      <c r="I1337" s="136">
        <f>LET(_xlpm.r,Productos!$E$2:$E$2509,_xlpm.m,IFERROR(_xlfn.XMATCH(C1337,_xlpm.r),IFERROR(_xlfn.XMATCH(VALUE(C1337),_xlpm.r),0)),IF(_xlpm.m=0,"",_xlpm.m+1))</f>
        <v/>
      </c>
      <c r="J1337" s="137" t="inlineStr">
        <is>
          <t>NetSuite</t>
        </is>
      </c>
    </row>
    <row r="1338">
      <c r="A1338" s="5" t="inlineStr">
        <is>
          <t>STETSON AMERICAS</t>
        </is>
      </c>
      <c r="B1338" s="5">
        <f>IF($I2="","",INDEX(Productos!$A:$A,$I2))</f>
        <v/>
      </c>
      <c r="C1338" s="134" t="inlineStr">
        <is>
          <t>SFCRSN-40346170</t>
        </is>
      </c>
      <c r="D1338" s="5">
        <f>IF($I2="","",INDEX(Productos!$B:$B,$I2))</f>
        <v/>
      </c>
      <c r="E1338" s="5">
        <f>IF($I2="","",INDEX(Productos!$H:$H,$I2))</f>
        <v/>
      </c>
      <c r="F1338" s="5">
        <f>IF($I2="","",INDEX(Productos!$I:$I,$I2))</f>
        <v/>
      </c>
      <c r="G1338" s="135" t="n">
        <v>1</v>
      </c>
      <c r="H1338" s="5">
        <f>IF($I2="","",INDEX(Productos!$AG:$AG,$I2))</f>
        <v/>
      </c>
      <c r="I1338" s="136">
        <f>LET(_xlpm.r,Productos!$E$2:$E$2509,_xlpm.m,IFERROR(_xlfn.XMATCH(C1338,_xlpm.r),IFERROR(_xlfn.XMATCH(VALUE(C1338),_xlpm.r),0)),IF(_xlpm.m=0,"",_xlpm.m+1))</f>
        <v/>
      </c>
      <c r="J1338" s="137" t="inlineStr">
        <is>
          <t>NetSuite</t>
        </is>
      </c>
    </row>
    <row r="1339">
      <c r="A1339" s="5" t="inlineStr">
        <is>
          <t>STETSON AMERICAS</t>
        </is>
      </c>
      <c r="B1339" s="5">
        <f>IF($I2="","",INDEX(Productos!$A:$A,$I2))</f>
        <v/>
      </c>
      <c r="C1339" s="134" t="inlineStr">
        <is>
          <t>SFCRSN-40346171</t>
        </is>
      </c>
      <c r="D1339" s="5">
        <f>IF($I2="","",INDEX(Productos!$B:$B,$I2))</f>
        <v/>
      </c>
      <c r="E1339" s="5">
        <f>IF($I2="","",INDEX(Productos!$H:$H,$I2))</f>
        <v/>
      </c>
      <c r="F1339" s="5">
        <f>IF($I2="","",INDEX(Productos!$I:$I,$I2))</f>
        <v/>
      </c>
      <c r="G1339" s="135" t="n">
        <v>2</v>
      </c>
      <c r="H1339" s="5">
        <f>IF($I2="","",INDEX(Productos!$AG:$AG,$I2))</f>
        <v/>
      </c>
      <c r="I1339" s="136">
        <f>LET(_xlpm.r,Productos!$E$2:$E$2509,_xlpm.m,IFERROR(_xlfn.XMATCH(C1339,_xlpm.r),IFERROR(_xlfn.XMATCH(VALUE(C1339),_xlpm.r),0)),IF(_xlpm.m=0,"",_xlpm.m+1))</f>
        <v/>
      </c>
      <c r="J1339" s="137" t="inlineStr">
        <is>
          <t>NetSuite</t>
        </is>
      </c>
    </row>
    <row r="1340">
      <c r="A1340" s="5" t="inlineStr">
        <is>
          <t>STETSON AMERICAS</t>
        </is>
      </c>
      <c r="B1340" s="5">
        <f>IF($I2="","",INDEX(Productos!$A:$A,$I2))</f>
        <v/>
      </c>
      <c r="C1340" s="134" t="inlineStr">
        <is>
          <t>SFCRSN-40346172</t>
        </is>
      </c>
      <c r="D1340" s="5">
        <f>IF($I2="","",INDEX(Productos!$B:$B,$I2))</f>
        <v/>
      </c>
      <c r="E1340" s="5">
        <f>IF($I2="","",INDEX(Productos!$H:$H,$I2))</f>
        <v/>
      </c>
      <c r="F1340" s="5">
        <f>IF($I2="","",INDEX(Productos!$I:$I,$I2))</f>
        <v/>
      </c>
      <c r="G1340" s="135" t="n">
        <v>1</v>
      </c>
      <c r="H1340" s="5">
        <f>IF($I2="","",INDEX(Productos!$AG:$AG,$I2))</f>
        <v/>
      </c>
      <c r="I1340" s="136">
        <f>LET(_xlpm.r,Productos!$E$2:$E$2509,_xlpm.m,IFERROR(_xlfn.XMATCH(C1340,_xlpm.r),IFERROR(_xlfn.XMATCH(VALUE(C1340),_xlpm.r),0)),IF(_xlpm.m=0,"",_xlpm.m+1))</f>
        <v/>
      </c>
      <c r="J1340" s="137" t="inlineStr">
        <is>
          <t>NetSuite</t>
        </is>
      </c>
    </row>
    <row r="1341">
      <c r="A1341" s="5" t="inlineStr">
        <is>
          <t>STETSON AMERICAS</t>
        </is>
      </c>
      <c r="B1341" s="5">
        <f>IF($I2="","",INDEX(Productos!$A:$A,$I2))</f>
        <v/>
      </c>
      <c r="C1341" s="134" t="inlineStr">
        <is>
          <t>SFCRSN-40346173</t>
        </is>
      </c>
      <c r="D1341" s="5">
        <f>IF($I2="","",INDEX(Productos!$B:$B,$I2))</f>
        <v/>
      </c>
      <c r="E1341" s="5">
        <f>IF($I2="","",INDEX(Productos!$H:$H,$I2))</f>
        <v/>
      </c>
      <c r="F1341" s="5">
        <f>IF($I2="","",INDEX(Productos!$I:$I,$I2))</f>
        <v/>
      </c>
      <c r="G1341" s="135" t="n">
        <v>1</v>
      </c>
      <c r="H1341" s="5">
        <f>IF($I2="","",INDEX(Productos!$AG:$AG,$I2))</f>
        <v/>
      </c>
      <c r="I1341" s="136">
        <f>LET(_xlpm.r,Productos!$E$2:$E$2509,_xlpm.m,IFERROR(_xlfn.XMATCH(C1341,_xlpm.r),IFERROR(_xlfn.XMATCH(VALUE(C1341),_xlpm.r),0)),IF(_xlpm.m=0,"",_xlpm.m+1))</f>
        <v/>
      </c>
      <c r="J1341" s="137" t="inlineStr">
        <is>
          <t>NetSuite</t>
        </is>
      </c>
    </row>
    <row r="1342">
      <c r="A1342" s="5" t="inlineStr">
        <is>
          <t>STETSON AMERICAS</t>
        </is>
      </c>
      <c r="B1342" s="5">
        <f>IF($I2="","",INDEX(Productos!$A:$A,$I2))</f>
        <v/>
      </c>
      <c r="C1342" s="134" t="inlineStr">
        <is>
          <t>SFDMTE-48406171</t>
        </is>
      </c>
      <c r="D1342" s="5">
        <f>IF($I2="","",INDEX(Productos!$B:$B,$I2))</f>
        <v/>
      </c>
      <c r="E1342" s="5">
        <f>IF($I2="","",INDEX(Productos!$H:$H,$I2))</f>
        <v/>
      </c>
      <c r="F1342" s="5">
        <f>IF($I2="","",INDEX(Productos!$I:$I,$I2))</f>
        <v/>
      </c>
      <c r="G1342" s="135" t="n">
        <v>1</v>
      </c>
      <c r="H1342" s="5">
        <f>IF($I2="","",INDEX(Productos!$AG:$AG,$I2))</f>
        <v/>
      </c>
      <c r="I1342" s="136">
        <f>LET(_xlpm.r,Productos!$E$2:$E$2509,_xlpm.m,IFERROR(_xlfn.XMATCH(C1342,_xlpm.r),IFERROR(_xlfn.XMATCH(VALUE(C1342),_xlpm.r),0)),IF(_xlpm.m=0,"",_xlpm.m+1))</f>
        <v/>
      </c>
      <c r="J1342" s="137" t="inlineStr">
        <is>
          <t>NetSuite</t>
        </is>
      </c>
    </row>
    <row r="1343">
      <c r="A1343" s="5" t="inlineStr">
        <is>
          <t>STETSON AMERICAS</t>
        </is>
      </c>
      <c r="B1343" s="5">
        <f>IF($I2="","",INDEX(Productos!$A:$A,$I2))</f>
        <v/>
      </c>
      <c r="C1343" s="134" t="inlineStr">
        <is>
          <t>SFDMTE-48406172</t>
        </is>
      </c>
      <c r="D1343" s="5">
        <f>IF($I2="","",INDEX(Productos!$B:$B,$I2))</f>
        <v/>
      </c>
      <c r="E1343" s="5">
        <f>IF($I2="","",INDEX(Productos!$H:$H,$I2))</f>
        <v/>
      </c>
      <c r="F1343" s="5">
        <f>IF($I2="","",INDEX(Productos!$I:$I,$I2))</f>
        <v/>
      </c>
      <c r="G1343" s="135" t="n">
        <v>1</v>
      </c>
      <c r="H1343" s="5">
        <f>IF($I2="","",INDEX(Productos!$AG:$AG,$I2))</f>
        <v/>
      </c>
      <c r="I1343" s="136">
        <f>LET(_xlpm.r,Productos!$E$2:$E$2509,_xlpm.m,IFERROR(_xlfn.XMATCH(C1343,_xlpm.r),IFERROR(_xlfn.XMATCH(VALUE(C1343),_xlpm.r),0)),IF(_xlpm.m=0,"",_xlpm.m+1))</f>
        <v/>
      </c>
      <c r="J1343" s="137" t="inlineStr">
        <is>
          <t>NetSuite</t>
        </is>
      </c>
    </row>
    <row r="1344">
      <c r="A1344" s="5" t="inlineStr">
        <is>
          <t>STETSON AMERICAS</t>
        </is>
      </c>
      <c r="B1344" s="5">
        <f>IF($I2="","",INDEX(Productos!$A:$A,$I2))</f>
        <v/>
      </c>
      <c r="C1344" s="134" t="inlineStr">
        <is>
          <t>SFELAM-48400772</t>
        </is>
      </c>
      <c r="D1344" s="5">
        <f>IF($I2="","",INDEX(Productos!$B:$B,$I2))</f>
        <v/>
      </c>
      <c r="E1344" s="5">
        <f>IF($I2="","",INDEX(Productos!$H:$H,$I2))</f>
        <v/>
      </c>
      <c r="F1344" s="5">
        <f>IF($I2="","",INDEX(Productos!$I:$I,$I2))</f>
        <v/>
      </c>
      <c r="G1344" s="135" t="n">
        <v>-2</v>
      </c>
      <c r="H1344" s="5">
        <f>IF($I2="","",INDEX(Productos!$AG:$AG,$I2))</f>
        <v/>
      </c>
      <c r="I1344" s="136">
        <f>LET(_xlpm.r,Productos!$E$2:$E$2509,_xlpm.m,IFERROR(_xlfn.XMATCH(C1344,_xlpm.r),IFERROR(_xlfn.XMATCH(VALUE(C1344),_xlpm.r),0)),IF(_xlpm.m=0,"",_xlpm.m+1))</f>
        <v/>
      </c>
      <c r="J1344" s="137" t="inlineStr">
        <is>
          <t>NetSuite</t>
        </is>
      </c>
    </row>
    <row r="1345">
      <c r="A1345" s="5" t="inlineStr">
        <is>
          <t>STETSON AMERICAS</t>
        </is>
      </c>
      <c r="B1345" s="5">
        <f>IF($I2="","",INDEX(Productos!$A:$A,$I2))</f>
        <v/>
      </c>
      <c r="C1345" s="134" t="inlineStr">
        <is>
          <t>SFELAM-48400773</t>
        </is>
      </c>
      <c r="D1345" s="5">
        <f>IF($I2="","",INDEX(Productos!$B:$B,$I2))</f>
        <v/>
      </c>
      <c r="E1345" s="5">
        <f>IF($I2="","",INDEX(Productos!$H:$H,$I2))</f>
        <v/>
      </c>
      <c r="F1345" s="5">
        <f>IF($I2="","",INDEX(Productos!$I:$I,$I2))</f>
        <v/>
      </c>
      <c r="G1345" s="135" t="n">
        <v>-1</v>
      </c>
      <c r="H1345" s="5">
        <f>IF($I2="","",INDEX(Productos!$AG:$AG,$I2))</f>
        <v/>
      </c>
      <c r="I1345" s="136">
        <f>LET(_xlpm.r,Productos!$E$2:$E$2509,_xlpm.m,IFERROR(_xlfn.XMATCH(C1345,_xlpm.r),IFERROR(_xlfn.XMATCH(VALUE(C1345),_xlpm.r),0)),IF(_xlpm.m=0,"",_xlpm.m+1))</f>
        <v/>
      </c>
      <c r="J1345" s="137" t="inlineStr">
        <is>
          <t>NetSuite</t>
        </is>
      </c>
    </row>
    <row r="1346">
      <c r="A1346" s="5" t="inlineStr">
        <is>
          <t>STETSON AMERICAS</t>
        </is>
      </c>
      <c r="B1346" s="5">
        <f>IF($I2="","",INDEX(Productos!$A:$A,$I2))</f>
        <v/>
      </c>
      <c r="C1346" s="134" t="inlineStr">
        <is>
          <t>SFELAM-48406171</t>
        </is>
      </c>
      <c r="D1346" s="5">
        <f>IF($I2="","",INDEX(Productos!$B:$B,$I2))</f>
        <v/>
      </c>
      <c r="E1346" s="5">
        <f>IF($I2="","",INDEX(Productos!$H:$H,$I2))</f>
        <v/>
      </c>
      <c r="F1346" s="5">
        <f>IF($I2="","",INDEX(Productos!$I:$I,$I2))</f>
        <v/>
      </c>
      <c r="G1346" s="135" t="n">
        <v>2</v>
      </c>
      <c r="H1346" s="5">
        <f>IF($I2="","",INDEX(Productos!$AG:$AG,$I2))</f>
        <v/>
      </c>
      <c r="I1346" s="136">
        <f>LET(_xlpm.r,Productos!$E$2:$E$2509,_xlpm.m,IFERROR(_xlfn.XMATCH(C1346,_xlpm.r),IFERROR(_xlfn.XMATCH(VALUE(C1346),_xlpm.r),0)),IF(_xlpm.m=0,"",_xlpm.m+1))</f>
        <v/>
      </c>
      <c r="J1346" s="137" t="inlineStr">
        <is>
          <t>NetSuite</t>
        </is>
      </c>
    </row>
    <row r="1347">
      <c r="A1347" s="5" t="inlineStr">
        <is>
          <t>STETSON AMERICAS</t>
        </is>
      </c>
      <c r="B1347" s="5">
        <f>IF($I2="","",INDEX(Productos!$A:$A,$I2))</f>
        <v/>
      </c>
      <c r="C1347" s="134" t="inlineStr">
        <is>
          <t>SFELAM-48406172</t>
        </is>
      </c>
      <c r="D1347" s="5">
        <f>IF($I2="","",INDEX(Productos!$B:$B,$I2))</f>
        <v/>
      </c>
      <c r="E1347" s="5">
        <f>IF($I2="","",INDEX(Productos!$H:$H,$I2))</f>
        <v/>
      </c>
      <c r="F1347" s="5">
        <f>IF($I2="","",INDEX(Productos!$I:$I,$I2))</f>
        <v/>
      </c>
      <c r="G1347" s="135" t="n">
        <v>-1</v>
      </c>
      <c r="H1347" s="5">
        <f>IF($I2="","",INDEX(Productos!$AG:$AG,$I2))</f>
        <v/>
      </c>
      <c r="I1347" s="136">
        <f>LET(_xlpm.r,Productos!$E$2:$E$2509,_xlpm.m,IFERROR(_xlfn.XMATCH(C1347,_xlpm.r),IFERROR(_xlfn.XMATCH(VALUE(C1347),_xlpm.r),0)),IF(_xlpm.m=0,"",_xlpm.m+1))</f>
        <v/>
      </c>
      <c r="J1347" s="137" t="inlineStr">
        <is>
          <t>NetSuite</t>
        </is>
      </c>
    </row>
    <row r="1348">
      <c r="A1348" s="5" t="inlineStr">
        <is>
          <t>STETSON AMERICAS</t>
        </is>
      </c>
      <c r="B1348" s="5">
        <f>IF($I2="","",INDEX(Productos!$A:$A,$I2))</f>
        <v/>
      </c>
      <c r="C1348" s="134" t="inlineStr">
        <is>
          <t>SFEPTN-48400767</t>
        </is>
      </c>
      <c r="D1348" s="5">
        <f>IF($I2="","",INDEX(Productos!$B:$B,$I2))</f>
        <v/>
      </c>
      <c r="E1348" s="5">
        <f>IF($I2="","",INDEX(Productos!$H:$H,$I2))</f>
        <v/>
      </c>
      <c r="F1348" s="5">
        <f>IF($I2="","",INDEX(Productos!$I:$I,$I2))</f>
        <v/>
      </c>
      <c r="G1348" s="135" t="n">
        <v>-1</v>
      </c>
      <c r="H1348" s="5">
        <f>IF($I2="","",INDEX(Productos!$AG:$AG,$I2))</f>
        <v/>
      </c>
      <c r="I1348" s="136">
        <f>LET(_xlpm.r,Productos!$E$2:$E$2509,_xlpm.m,IFERROR(_xlfn.XMATCH(C1348,_xlpm.r),IFERROR(_xlfn.XMATCH(VALUE(C1348),_xlpm.r),0)),IF(_xlpm.m=0,"",_xlpm.m+1))</f>
        <v/>
      </c>
      <c r="J1348" s="137" t="inlineStr">
        <is>
          <t>NetSuite</t>
        </is>
      </c>
    </row>
    <row r="1349">
      <c r="A1349" s="5" t="inlineStr">
        <is>
          <t>STETSON AMERICAS</t>
        </is>
      </c>
      <c r="B1349" s="5">
        <f>IF($I2="","",INDEX(Productos!$A:$A,$I2))</f>
        <v/>
      </c>
      <c r="C1349" s="134" t="inlineStr">
        <is>
          <t>SFEPTN-48400770</t>
        </is>
      </c>
      <c r="D1349" s="5">
        <f>IF($I2="","",INDEX(Productos!$B:$B,$I2))</f>
        <v/>
      </c>
      <c r="E1349" s="5">
        <f>IF($I2="","",INDEX(Productos!$H:$H,$I2))</f>
        <v/>
      </c>
      <c r="F1349" s="5">
        <f>IF($I2="","",INDEX(Productos!$I:$I,$I2))</f>
        <v/>
      </c>
      <c r="G1349" s="135" t="n">
        <v>-1</v>
      </c>
      <c r="H1349" s="5">
        <f>IF($I2="","",INDEX(Productos!$AG:$AG,$I2))</f>
        <v/>
      </c>
      <c r="I1349" s="136">
        <f>LET(_xlpm.r,Productos!$E$2:$E$2509,_xlpm.m,IFERROR(_xlfn.XMATCH(C1349,_xlpm.r),IFERROR(_xlfn.XMATCH(VALUE(C1349),_xlpm.r),0)),IF(_xlpm.m=0,"",_xlpm.m+1))</f>
        <v/>
      </c>
      <c r="J1349" s="137" t="inlineStr">
        <is>
          <t>NetSuite</t>
        </is>
      </c>
    </row>
    <row r="1350">
      <c r="A1350" s="5" t="inlineStr">
        <is>
          <t>STETSON AMERICAS</t>
        </is>
      </c>
      <c r="B1350" s="5">
        <f>IF($I2="","",INDEX(Productos!$A:$A,$I2))</f>
        <v/>
      </c>
      <c r="C1350" s="134" t="inlineStr">
        <is>
          <t>SFEPTN-48400771</t>
        </is>
      </c>
      <c r="D1350" s="5">
        <f>IF($I2="","",INDEX(Productos!$B:$B,$I2))</f>
        <v/>
      </c>
      <c r="E1350" s="5">
        <f>IF($I2="","",INDEX(Productos!$H:$H,$I2))</f>
        <v/>
      </c>
      <c r="F1350" s="5">
        <f>IF($I2="","",INDEX(Productos!$I:$I,$I2))</f>
        <v/>
      </c>
      <c r="G1350" s="135" t="n">
        <v>-1</v>
      </c>
      <c r="H1350" s="5">
        <f>IF($I2="","",INDEX(Productos!$AG:$AG,$I2))</f>
        <v/>
      </c>
      <c r="I1350" s="136">
        <f>LET(_xlpm.r,Productos!$E$2:$E$2509,_xlpm.m,IFERROR(_xlfn.XMATCH(C1350,_xlpm.r),IFERROR(_xlfn.XMATCH(VALUE(C1350),_xlpm.r),0)),IF(_xlpm.m=0,"",_xlpm.m+1))</f>
        <v/>
      </c>
      <c r="J1350" s="137" t="inlineStr">
        <is>
          <t>NetSuite</t>
        </is>
      </c>
    </row>
    <row r="1351">
      <c r="A1351" s="5" t="inlineStr">
        <is>
          <t>STETSON AMERICAS</t>
        </is>
      </c>
      <c r="B1351" s="5">
        <f>IF($I2="","",INDEX(Productos!$A:$A,$I2))</f>
        <v/>
      </c>
      <c r="C1351" s="134" t="inlineStr">
        <is>
          <t>SFEPTN-48400772</t>
        </is>
      </c>
      <c r="D1351" s="5">
        <f>IF($I2="","",INDEX(Productos!$B:$B,$I2))</f>
        <v/>
      </c>
      <c r="E1351" s="5">
        <f>IF($I2="","",INDEX(Productos!$H:$H,$I2))</f>
        <v/>
      </c>
      <c r="F1351" s="5">
        <f>IF($I2="","",INDEX(Productos!$I:$I,$I2))</f>
        <v/>
      </c>
      <c r="G1351" s="135" t="n">
        <v>-1</v>
      </c>
      <c r="H1351" s="5">
        <f>IF($I2="","",INDEX(Productos!$AG:$AG,$I2))</f>
        <v/>
      </c>
      <c r="I1351" s="136">
        <f>LET(_xlpm.r,Productos!$E$2:$E$2509,_xlpm.m,IFERROR(_xlfn.XMATCH(C1351,_xlpm.r),IFERROR(_xlfn.XMATCH(VALUE(C1351),_xlpm.r),0)),IF(_xlpm.m=0,"",_xlpm.m+1))</f>
        <v/>
      </c>
      <c r="J1351" s="137" t="inlineStr">
        <is>
          <t>NetSuite</t>
        </is>
      </c>
    </row>
    <row r="1352">
      <c r="A1352" s="5" t="inlineStr">
        <is>
          <t>STETSON AMERICAS</t>
        </is>
      </c>
      <c r="B1352" s="5">
        <f>IF($I2="","",INDEX(Productos!$A:$A,$I2))</f>
        <v/>
      </c>
      <c r="C1352" s="134" t="inlineStr">
        <is>
          <t>SFEPTN-48400774</t>
        </is>
      </c>
      <c r="D1352" s="5">
        <f>IF($I2="","",INDEX(Productos!$B:$B,$I2))</f>
        <v/>
      </c>
      <c r="E1352" s="5">
        <f>IF($I2="","",INDEX(Productos!$H:$H,$I2))</f>
        <v/>
      </c>
      <c r="F1352" s="5">
        <f>IF($I2="","",INDEX(Productos!$I:$I,$I2))</f>
        <v/>
      </c>
      <c r="G1352" s="135" t="n">
        <v>-1</v>
      </c>
      <c r="H1352" s="5">
        <f>IF($I2="","",INDEX(Productos!$AG:$AG,$I2))</f>
        <v/>
      </c>
      <c r="I1352" s="136">
        <f>LET(_xlpm.r,Productos!$E$2:$E$2509,_xlpm.m,IFERROR(_xlfn.XMATCH(C1352,_xlpm.r),IFERROR(_xlfn.XMATCH(VALUE(C1352),_xlpm.r),0)),IF(_xlpm.m=0,"",_xlpm.m+1))</f>
        <v/>
      </c>
      <c r="J1352" s="137" t="inlineStr">
        <is>
          <t>NetSuite</t>
        </is>
      </c>
    </row>
    <row r="1353">
      <c r="A1353" s="5" t="inlineStr">
        <is>
          <t>STETSON AMERICAS</t>
        </is>
      </c>
      <c r="B1353" s="5">
        <f>IF($I2="","",INDEX(Productos!$A:$A,$I2))</f>
        <v/>
      </c>
      <c r="C1353" s="134" t="inlineStr">
        <is>
          <t>SFEPTN-48406170</t>
        </is>
      </c>
      <c r="D1353" s="5">
        <f>IF($I2="","",INDEX(Productos!$B:$B,$I2))</f>
        <v/>
      </c>
      <c r="E1353" s="5">
        <f>IF($I2="","",INDEX(Productos!$H:$H,$I2))</f>
        <v/>
      </c>
      <c r="F1353" s="5">
        <f>IF($I2="","",INDEX(Productos!$I:$I,$I2))</f>
        <v/>
      </c>
      <c r="G1353" s="135" t="n">
        <v>-1</v>
      </c>
      <c r="H1353" s="5">
        <f>IF($I2="","",INDEX(Productos!$AG:$AG,$I2))</f>
        <v/>
      </c>
      <c r="I1353" s="136">
        <f>LET(_xlpm.r,Productos!$E$2:$E$2509,_xlpm.m,IFERROR(_xlfn.XMATCH(C1353,_xlpm.r),IFERROR(_xlfn.XMATCH(VALUE(C1353),_xlpm.r),0)),IF(_xlpm.m=0,"",_xlpm.m+1))</f>
        <v/>
      </c>
      <c r="J1353" s="137" t="inlineStr">
        <is>
          <t>NetSuite</t>
        </is>
      </c>
    </row>
    <row r="1354">
      <c r="A1354" s="5" t="inlineStr">
        <is>
          <t>STETSON AMERICAS</t>
        </is>
      </c>
      <c r="B1354" s="5">
        <f>IF($I2="","",INDEX(Productos!$A:$A,$I2))</f>
        <v/>
      </c>
      <c r="C1354" s="134" t="inlineStr">
        <is>
          <t>SFEPTN-48406171</t>
        </is>
      </c>
      <c r="D1354" s="5">
        <f>IF($I2="","",INDEX(Productos!$B:$B,$I2))</f>
        <v/>
      </c>
      <c r="E1354" s="5">
        <f>IF($I2="","",INDEX(Productos!$H:$H,$I2))</f>
        <v/>
      </c>
      <c r="F1354" s="5">
        <f>IF($I2="","",INDEX(Productos!$I:$I,$I2))</f>
        <v/>
      </c>
      <c r="G1354" s="135" t="n">
        <v>-1</v>
      </c>
      <c r="H1354" s="5">
        <f>IF($I2="","",INDEX(Productos!$AG:$AG,$I2))</f>
        <v/>
      </c>
      <c r="I1354" s="136">
        <f>LET(_xlpm.r,Productos!$E$2:$E$2509,_xlpm.m,IFERROR(_xlfn.XMATCH(C1354,_xlpm.r),IFERROR(_xlfn.XMATCH(VALUE(C1354),_xlpm.r),0)),IF(_xlpm.m=0,"",_xlpm.m+1))</f>
        <v/>
      </c>
      <c r="J1354" s="137" t="inlineStr">
        <is>
          <t>NetSuite</t>
        </is>
      </c>
    </row>
    <row r="1355">
      <c r="A1355" s="5" t="inlineStr">
        <is>
          <t>STETSON AMERICAS</t>
        </is>
      </c>
      <c r="B1355" s="5">
        <f>IF($I2="","",INDEX(Productos!$A:$A,$I2))</f>
        <v/>
      </c>
      <c r="C1355" s="134" t="inlineStr">
        <is>
          <t>SFEPTN-48406172</t>
        </is>
      </c>
      <c r="D1355" s="5">
        <f>IF($I2="","",INDEX(Productos!$B:$B,$I2))</f>
        <v/>
      </c>
      <c r="E1355" s="5">
        <f>IF($I2="","",INDEX(Productos!$H:$H,$I2))</f>
        <v/>
      </c>
      <c r="F1355" s="5">
        <f>IF($I2="","",INDEX(Productos!$I:$I,$I2))</f>
        <v/>
      </c>
      <c r="G1355" s="135" t="n">
        <v>-1</v>
      </c>
      <c r="H1355" s="5">
        <f>IF($I2="","",INDEX(Productos!$AG:$AG,$I2))</f>
        <v/>
      </c>
      <c r="I1355" s="136">
        <f>LET(_xlpm.r,Productos!$E$2:$E$2509,_xlpm.m,IFERROR(_xlfn.XMATCH(C1355,_xlpm.r),IFERROR(_xlfn.XMATCH(VALUE(C1355),_xlpm.r),0)),IF(_xlpm.m=0,"",_xlpm.m+1))</f>
        <v/>
      </c>
      <c r="J1355" s="137" t="inlineStr">
        <is>
          <t>NetSuite</t>
        </is>
      </c>
    </row>
    <row r="1356">
      <c r="A1356" s="5" t="inlineStr">
        <is>
          <t>STETSON AMERICAS</t>
        </is>
      </c>
      <c r="B1356" s="5">
        <f>IF($I2="","",INDEX(Productos!$A:$A,$I2))</f>
        <v/>
      </c>
      <c r="C1356" s="134" t="inlineStr">
        <is>
          <t>SFEPTN-48406174</t>
        </is>
      </c>
      <c r="D1356" s="5">
        <f>IF($I2="","",INDEX(Productos!$B:$B,$I2))</f>
        <v/>
      </c>
      <c r="E1356" s="5">
        <f>IF($I2="","",INDEX(Productos!$H:$H,$I2))</f>
        <v/>
      </c>
      <c r="F1356" s="5">
        <f>IF($I2="","",INDEX(Productos!$I:$I,$I2))</f>
        <v/>
      </c>
      <c r="G1356" s="135" t="n">
        <v>-2</v>
      </c>
      <c r="H1356" s="5">
        <f>IF($I2="","",INDEX(Productos!$AG:$AG,$I2))</f>
        <v/>
      </c>
      <c r="I1356" s="136">
        <f>LET(_xlpm.r,Productos!$E$2:$E$2509,_xlpm.m,IFERROR(_xlfn.XMATCH(C1356,_xlpm.r),IFERROR(_xlfn.XMATCH(VALUE(C1356),_xlpm.r),0)),IF(_xlpm.m=0,"",_xlpm.m+1))</f>
        <v/>
      </c>
      <c r="J1356" s="137" t="inlineStr">
        <is>
          <t>NetSuite</t>
        </is>
      </c>
    </row>
    <row r="1357">
      <c r="A1357" s="5" t="inlineStr">
        <is>
          <t>STETSON AMERICAS</t>
        </is>
      </c>
      <c r="B1357" s="5">
        <f>IF($I2="","",INDEX(Productos!$A:$A,$I2))</f>
        <v/>
      </c>
      <c r="C1357" s="134" t="inlineStr">
        <is>
          <t>SFEPTN-48407272</t>
        </is>
      </c>
      <c r="D1357" s="5">
        <f>IF($I2="","",INDEX(Productos!$B:$B,$I2))</f>
        <v/>
      </c>
      <c r="E1357" s="5">
        <f>IF($I2="","",INDEX(Productos!$H:$H,$I2))</f>
        <v/>
      </c>
      <c r="F1357" s="5">
        <f>IF($I2="","",INDEX(Productos!$I:$I,$I2))</f>
        <v/>
      </c>
      <c r="G1357" s="135" t="n">
        <v>-1</v>
      </c>
      <c r="H1357" s="5">
        <f>IF($I2="","",INDEX(Productos!$AG:$AG,$I2))</f>
        <v/>
      </c>
      <c r="I1357" s="136">
        <f>LET(_xlpm.r,Productos!$E$2:$E$2509,_xlpm.m,IFERROR(_xlfn.XMATCH(C1357,_xlpm.r),IFERROR(_xlfn.XMATCH(VALUE(C1357),_xlpm.r),0)),IF(_xlpm.m=0,"",_xlpm.m+1))</f>
        <v/>
      </c>
      <c r="J1357" s="137" t="inlineStr">
        <is>
          <t>NetSuite</t>
        </is>
      </c>
    </row>
    <row r="1358">
      <c r="A1358" s="5" t="inlineStr">
        <is>
          <t>STETSON AMERICAS</t>
        </is>
      </c>
      <c r="B1358" s="5">
        <f>IF($I2="","",INDEX(Productos!$A:$A,$I2))</f>
        <v/>
      </c>
      <c r="C1358" s="134" t="inlineStr">
        <is>
          <t>SFEPTN-48407273</t>
        </is>
      </c>
      <c r="D1358" s="5">
        <f>IF($I2="","",INDEX(Productos!$B:$B,$I2))</f>
        <v/>
      </c>
      <c r="E1358" s="5">
        <f>IF($I2="","",INDEX(Productos!$H:$H,$I2))</f>
        <v/>
      </c>
      <c r="F1358" s="5">
        <f>IF($I2="","",INDEX(Productos!$I:$I,$I2))</f>
        <v/>
      </c>
      <c r="G1358" s="135" t="n">
        <v>-2</v>
      </c>
      <c r="H1358" s="5">
        <f>IF($I2="","",INDEX(Productos!$AG:$AG,$I2))</f>
        <v/>
      </c>
      <c r="I1358" s="136">
        <f>LET(_xlpm.r,Productos!$E$2:$E$2509,_xlpm.m,IFERROR(_xlfn.XMATCH(C1358,_xlpm.r),IFERROR(_xlfn.XMATCH(VALUE(C1358),_xlpm.r),0)),IF(_xlpm.m=0,"",_xlpm.m+1))</f>
        <v/>
      </c>
      <c r="J1358" s="137" t="inlineStr">
        <is>
          <t>NetSuite</t>
        </is>
      </c>
    </row>
    <row r="1359">
      <c r="A1359" s="5" t="inlineStr">
        <is>
          <t>STETSON AMERICAS</t>
        </is>
      </c>
      <c r="B1359" s="5">
        <f>IF($I2="","",INDEX(Productos!$A:$A,$I2))</f>
        <v/>
      </c>
      <c r="C1359" s="134" t="inlineStr">
        <is>
          <t>SFEPTN-4840MO71</t>
        </is>
      </c>
      <c r="D1359" s="5">
        <f>IF($I2="","",INDEX(Productos!$B:$B,$I2))</f>
        <v/>
      </c>
      <c r="E1359" s="5">
        <f>IF($I2="","",INDEX(Productos!$H:$H,$I2))</f>
        <v/>
      </c>
      <c r="F1359" s="5">
        <f>IF($I2="","",INDEX(Productos!$I:$I,$I2))</f>
        <v/>
      </c>
      <c r="G1359" s="135" t="n">
        <v>-1</v>
      </c>
      <c r="H1359" s="5">
        <f>IF($I2="","",INDEX(Productos!$AG:$AG,$I2))</f>
        <v/>
      </c>
      <c r="I1359" s="136">
        <f>LET(_xlpm.r,Productos!$E$2:$E$2509,_xlpm.m,IFERROR(_xlfn.XMATCH(C1359,_xlpm.r),IFERROR(_xlfn.XMATCH(VALUE(C1359),_xlpm.r),0)),IF(_xlpm.m=0,"",_xlpm.m+1))</f>
        <v/>
      </c>
      <c r="J1359" s="137" t="inlineStr">
        <is>
          <t>NetSuite</t>
        </is>
      </c>
    </row>
    <row r="1360">
      <c r="A1360" s="5" t="inlineStr">
        <is>
          <t>STETSON AMERICAS</t>
        </is>
      </c>
      <c r="B1360" s="5">
        <f>IF($I2="","",INDEX(Productos!$A:$A,$I2))</f>
        <v/>
      </c>
      <c r="C1360" s="134" t="inlineStr">
        <is>
          <t>SFEPTN-4840MO73</t>
        </is>
      </c>
      <c r="D1360" s="5">
        <f>IF($I2="","",INDEX(Productos!$B:$B,$I2))</f>
        <v/>
      </c>
      <c r="E1360" s="5">
        <f>IF($I2="","",INDEX(Productos!$H:$H,$I2))</f>
        <v/>
      </c>
      <c r="F1360" s="5">
        <f>IF($I2="","",INDEX(Productos!$I:$I,$I2))</f>
        <v/>
      </c>
      <c r="G1360" s="135" t="n">
        <v>-1</v>
      </c>
      <c r="H1360" s="5">
        <f>IF($I2="","",INDEX(Productos!$AG:$AG,$I2))</f>
        <v/>
      </c>
      <c r="I1360" s="136">
        <f>LET(_xlpm.r,Productos!$E$2:$E$2509,_xlpm.m,IFERROR(_xlfn.XMATCH(C1360,_xlpm.r),IFERROR(_xlfn.XMATCH(VALUE(C1360),_xlpm.r),0)),IF(_xlpm.m=0,"",_xlpm.m+1))</f>
        <v/>
      </c>
      <c r="J1360" s="137" t="inlineStr">
        <is>
          <t>NetSuite</t>
        </is>
      </c>
    </row>
    <row r="1361">
      <c r="A1361" s="5" t="inlineStr">
        <is>
          <t>STETSON AMERICAS</t>
        </is>
      </c>
      <c r="B1361" s="5">
        <f>IF($I2="","",INDEX(Productos!$A:$A,$I2))</f>
        <v/>
      </c>
      <c r="C1361" s="134" t="inlineStr">
        <is>
          <t>SFG160-01400770</t>
        </is>
      </c>
      <c r="D1361" s="5">
        <f>IF($I2="","",INDEX(Productos!$B:$B,$I2))</f>
        <v/>
      </c>
      <c r="E1361" s="5">
        <f>IF($I2="","",INDEX(Productos!$H:$H,$I2))</f>
        <v/>
      </c>
      <c r="F1361" s="5">
        <f>IF($I2="","",INDEX(Productos!$I:$I,$I2))</f>
        <v/>
      </c>
      <c r="G1361" s="135" t="n">
        <v>-1</v>
      </c>
      <c r="H1361" s="5">
        <f>IF($I2="","",INDEX(Productos!$AG:$AG,$I2))</f>
        <v/>
      </c>
      <c r="I1361" s="136">
        <f>LET(_xlpm.r,Productos!$E$2:$E$2509,_xlpm.m,IFERROR(_xlfn.XMATCH(C1361,_xlpm.r),IFERROR(_xlfn.XMATCH(VALUE(C1361),_xlpm.r),0)),IF(_xlpm.m=0,"",_xlpm.m+1))</f>
        <v/>
      </c>
      <c r="J1361" s="137" t="inlineStr">
        <is>
          <t>NetSuite</t>
        </is>
      </c>
    </row>
    <row r="1362">
      <c r="A1362" s="5" t="inlineStr">
        <is>
          <t>STETSON AMERICAS</t>
        </is>
      </c>
      <c r="B1362" s="5">
        <f>IF($I2="","",INDEX(Productos!$A:$A,$I2))</f>
        <v/>
      </c>
      <c r="C1362" s="134" t="inlineStr">
        <is>
          <t>SFG160-01400771</t>
        </is>
      </c>
      <c r="D1362" s="5">
        <f>IF($I2="","",INDEX(Productos!$B:$B,$I2))</f>
        <v/>
      </c>
      <c r="E1362" s="5">
        <f>IF($I2="","",INDEX(Productos!$H:$H,$I2))</f>
        <v/>
      </c>
      <c r="F1362" s="5">
        <f>IF($I2="","",INDEX(Productos!$I:$I,$I2))</f>
        <v/>
      </c>
      <c r="G1362" s="135" t="n">
        <v>-1</v>
      </c>
      <c r="H1362" s="5">
        <f>IF($I2="","",INDEX(Productos!$AG:$AG,$I2))</f>
        <v/>
      </c>
      <c r="I1362" s="136">
        <f>LET(_xlpm.r,Productos!$E$2:$E$2509,_xlpm.m,IFERROR(_xlfn.XMATCH(C1362,_xlpm.r),IFERROR(_xlfn.XMATCH(VALUE(C1362),_xlpm.r),0)),IF(_xlpm.m=0,"",_xlpm.m+1))</f>
        <v/>
      </c>
      <c r="J1362" s="137" t="inlineStr">
        <is>
          <t>NetSuite</t>
        </is>
      </c>
    </row>
    <row r="1363">
      <c r="A1363" s="5" t="inlineStr">
        <is>
          <t>STETSON AMERICAS</t>
        </is>
      </c>
      <c r="B1363" s="5">
        <f>IF($I2="","",INDEX(Productos!$A:$A,$I2))</f>
        <v/>
      </c>
      <c r="C1363" s="134" t="inlineStr">
        <is>
          <t>SFG160-01400772</t>
        </is>
      </c>
      <c r="D1363" s="5">
        <f>IF($I2="","",INDEX(Productos!$B:$B,$I2))</f>
        <v/>
      </c>
      <c r="E1363" s="5">
        <f>IF($I2="","",INDEX(Productos!$H:$H,$I2))</f>
        <v/>
      </c>
      <c r="F1363" s="5">
        <f>IF($I2="","",INDEX(Productos!$I:$I,$I2))</f>
        <v/>
      </c>
      <c r="G1363" s="135" t="n">
        <v>-1</v>
      </c>
      <c r="H1363" s="5">
        <f>IF($I2="","",INDEX(Productos!$AG:$AG,$I2))</f>
        <v/>
      </c>
      <c r="I1363" s="136">
        <f>LET(_xlpm.r,Productos!$E$2:$E$2509,_xlpm.m,IFERROR(_xlfn.XMATCH(C1363,_xlpm.r),IFERROR(_xlfn.XMATCH(VALUE(C1363),_xlpm.r),0)),IF(_xlpm.m=0,"",_xlpm.m+1))</f>
        <v/>
      </c>
      <c r="J1363" s="137" t="inlineStr">
        <is>
          <t>NetSuite</t>
        </is>
      </c>
    </row>
    <row r="1364">
      <c r="A1364" s="5" t="inlineStr">
        <is>
          <t>STETSON AMERICAS</t>
        </is>
      </c>
      <c r="B1364" s="5">
        <f>IF($I2="","",INDEX(Productos!$A:$A,$I2))</f>
        <v/>
      </c>
      <c r="C1364" s="134" t="inlineStr">
        <is>
          <t>SFG160-01400773</t>
        </is>
      </c>
      <c r="D1364" s="5">
        <f>IF($I2="","",INDEX(Productos!$B:$B,$I2))</f>
        <v/>
      </c>
      <c r="E1364" s="5">
        <f>IF($I2="","",INDEX(Productos!$H:$H,$I2))</f>
        <v/>
      </c>
      <c r="F1364" s="5">
        <f>IF($I2="","",INDEX(Productos!$I:$I,$I2))</f>
        <v/>
      </c>
      <c r="G1364" s="135" t="n">
        <v>1</v>
      </c>
      <c r="H1364" s="5">
        <f>IF($I2="","",INDEX(Productos!$AG:$AG,$I2))</f>
        <v/>
      </c>
      <c r="I1364" s="136">
        <f>LET(_xlpm.r,Productos!$E$2:$E$2509,_xlpm.m,IFERROR(_xlfn.XMATCH(C1364,_xlpm.r),IFERROR(_xlfn.XMATCH(VALUE(C1364),_xlpm.r),0)),IF(_xlpm.m=0,"",_xlpm.m+1))</f>
        <v/>
      </c>
      <c r="J1364" s="137" t="inlineStr">
        <is>
          <t>NetSuite</t>
        </is>
      </c>
    </row>
    <row r="1365">
      <c r="A1365" s="5" t="inlineStr">
        <is>
          <t>STETSON AMERICAS</t>
        </is>
      </c>
      <c r="B1365" s="5">
        <f>IF($I2="","",INDEX(Productos!$A:$A,$I2))</f>
        <v/>
      </c>
      <c r="C1365" s="134" t="inlineStr">
        <is>
          <t>SFG160-01400774</t>
        </is>
      </c>
      <c r="D1365" s="5">
        <f>IF($I2="","",INDEX(Productos!$B:$B,$I2))</f>
        <v/>
      </c>
      <c r="E1365" s="5">
        <f>IF($I2="","",INDEX(Productos!$H:$H,$I2))</f>
        <v/>
      </c>
      <c r="F1365" s="5">
        <f>IF($I2="","",INDEX(Productos!$I:$I,$I2))</f>
        <v/>
      </c>
      <c r="G1365" s="135" t="n">
        <v>-1</v>
      </c>
      <c r="H1365" s="5">
        <f>IF($I2="","",INDEX(Productos!$AG:$AG,$I2))</f>
        <v/>
      </c>
      <c r="I1365" s="136">
        <f>LET(_xlpm.r,Productos!$E$2:$E$2509,_xlpm.m,IFERROR(_xlfn.XMATCH(C1365,_xlpm.r),IFERROR(_xlfn.XMATCH(VALUE(C1365),_xlpm.r),0)),IF(_xlpm.m=0,"",_xlpm.m+1))</f>
        <v/>
      </c>
      <c r="J1365" s="137" t="inlineStr">
        <is>
          <t>NetSuite</t>
        </is>
      </c>
    </row>
    <row r="1366">
      <c r="A1366" s="5" t="inlineStr">
        <is>
          <t>STETSON AMERICAS</t>
        </is>
      </c>
      <c r="B1366" s="5">
        <f>IF($I2="","",INDEX(Productos!$A:$A,$I2))</f>
        <v/>
      </c>
      <c r="C1366" s="134" t="inlineStr">
        <is>
          <t>SFG160-01402270</t>
        </is>
      </c>
      <c r="D1366" s="5">
        <f>IF($I2="","",INDEX(Productos!$B:$B,$I2))</f>
        <v/>
      </c>
      <c r="E1366" s="5">
        <f>IF($I2="","",INDEX(Productos!$H:$H,$I2))</f>
        <v/>
      </c>
      <c r="F1366" s="5">
        <f>IF($I2="","",INDEX(Productos!$I:$I,$I2))</f>
        <v/>
      </c>
      <c r="G1366" s="135" t="n">
        <v>-1</v>
      </c>
      <c r="H1366" s="5">
        <f>IF($I2="","",INDEX(Productos!$AG:$AG,$I2))</f>
        <v/>
      </c>
      <c r="I1366" s="136">
        <f>LET(_xlpm.r,Productos!$E$2:$E$2509,_xlpm.m,IFERROR(_xlfn.XMATCH(C1366,_xlpm.r),IFERROR(_xlfn.XMATCH(VALUE(C1366),_xlpm.r),0)),IF(_xlpm.m=0,"",_xlpm.m+1))</f>
        <v/>
      </c>
      <c r="J1366" s="137" t="inlineStr">
        <is>
          <t>NetSuite</t>
        </is>
      </c>
    </row>
    <row r="1367">
      <c r="A1367" s="5" t="inlineStr">
        <is>
          <t>STETSON AMERICAS</t>
        </is>
      </c>
      <c r="B1367" s="5">
        <f>IF($I2="","",INDEX(Productos!$A:$A,$I2))</f>
        <v/>
      </c>
      <c r="C1367" s="134" t="inlineStr">
        <is>
          <t>SFG160-01402272</t>
        </is>
      </c>
      <c r="D1367" s="5">
        <f>IF($I2="","",INDEX(Productos!$B:$B,$I2))</f>
        <v/>
      </c>
      <c r="E1367" s="5">
        <f>IF($I2="","",INDEX(Productos!$H:$H,$I2))</f>
        <v/>
      </c>
      <c r="F1367" s="5">
        <f>IF($I2="","",INDEX(Productos!$I:$I,$I2))</f>
        <v/>
      </c>
      <c r="G1367" s="135" t="n">
        <v>-1</v>
      </c>
      <c r="H1367" s="5">
        <f>IF($I2="","",INDEX(Productos!$AG:$AG,$I2))</f>
        <v/>
      </c>
      <c r="I1367" s="136">
        <f>LET(_xlpm.r,Productos!$E$2:$E$2509,_xlpm.m,IFERROR(_xlfn.XMATCH(C1367,_xlpm.r),IFERROR(_xlfn.XMATCH(VALUE(C1367),_xlpm.r),0)),IF(_xlpm.m=0,"",_xlpm.m+1))</f>
        <v/>
      </c>
      <c r="J1367" s="137" t="inlineStr">
        <is>
          <t>NetSuite</t>
        </is>
      </c>
    </row>
    <row r="1368">
      <c r="A1368" s="5" t="inlineStr">
        <is>
          <t>STETSON AMERICAS</t>
        </is>
      </c>
      <c r="B1368" s="5">
        <f>IF($I2="","",INDEX(Productos!$A:$A,$I2))</f>
        <v/>
      </c>
      <c r="C1368" s="134" t="inlineStr">
        <is>
          <t>SFG160-01406173</t>
        </is>
      </c>
      <c r="D1368" s="5">
        <f>IF($I2="","",INDEX(Productos!$B:$B,$I2))</f>
        <v/>
      </c>
      <c r="E1368" s="5">
        <f>IF($I2="","",INDEX(Productos!$H:$H,$I2))</f>
        <v/>
      </c>
      <c r="F1368" s="5">
        <f>IF($I2="","",INDEX(Productos!$I:$I,$I2))</f>
        <v/>
      </c>
      <c r="G1368" s="135" t="n">
        <v>-1</v>
      </c>
      <c r="H1368" s="5">
        <f>IF($I2="","",INDEX(Productos!$AG:$AG,$I2))</f>
        <v/>
      </c>
      <c r="I1368" s="136">
        <f>LET(_xlpm.r,Productos!$E$2:$E$2509,_xlpm.m,IFERROR(_xlfn.XMATCH(C1368,_xlpm.r),IFERROR(_xlfn.XMATCH(VALUE(C1368),_xlpm.r),0)),IF(_xlpm.m=0,"",_xlpm.m+1))</f>
        <v/>
      </c>
      <c r="J1368" s="137" t="inlineStr">
        <is>
          <t>NetSuite</t>
        </is>
      </c>
    </row>
    <row r="1369">
      <c r="A1369" s="5" t="inlineStr">
        <is>
          <t>STETSON AMERICAS</t>
        </is>
      </c>
      <c r="B1369" s="5">
        <f>IF($I2="","",INDEX(Productos!$A:$A,$I2))</f>
        <v/>
      </c>
      <c r="C1369" s="134" t="inlineStr">
        <is>
          <t>SFGRFN-9142DU71</t>
        </is>
      </c>
      <c r="D1369" s="5">
        <f>IF($I2="","",INDEX(Productos!$B:$B,$I2))</f>
        <v/>
      </c>
      <c r="E1369" s="5">
        <f>IF($I2="","",INDEX(Productos!$H:$H,$I2))</f>
        <v/>
      </c>
      <c r="F1369" s="5">
        <f>IF($I2="","",INDEX(Productos!$I:$I,$I2))</f>
        <v/>
      </c>
      <c r="G1369" s="135" t="n">
        <v>1</v>
      </c>
      <c r="H1369" s="5">
        <f>IF($I2="","",INDEX(Productos!$AG:$AG,$I2))</f>
        <v/>
      </c>
      <c r="I1369" s="136">
        <f>LET(_xlpm.r,Productos!$E$2:$E$2509,_xlpm.m,IFERROR(_xlfn.XMATCH(C1369,_xlpm.r),IFERROR(_xlfn.XMATCH(VALUE(C1369),_xlpm.r),0)),IF(_xlpm.m=0,"",_xlpm.m+1))</f>
        <v/>
      </c>
      <c r="J1369" s="137" t="inlineStr">
        <is>
          <t>NetSuite</t>
        </is>
      </c>
    </row>
    <row r="1370">
      <c r="A1370" s="5" t="inlineStr">
        <is>
          <t>STETSON AMERICAS</t>
        </is>
      </c>
      <c r="B1370" s="5">
        <f>IF($I2="","",INDEX(Productos!$A:$A,$I2))</f>
        <v/>
      </c>
      <c r="C1370" s="134" t="inlineStr">
        <is>
          <t>SFGRFN-9142DU73</t>
        </is>
      </c>
      <c r="D1370" s="5">
        <f>IF($I2="","",INDEX(Productos!$B:$B,$I2))</f>
        <v/>
      </c>
      <c r="E1370" s="5">
        <f>IF($I2="","",INDEX(Productos!$H:$H,$I2))</f>
        <v/>
      </c>
      <c r="F1370" s="5">
        <f>IF($I2="","",INDEX(Productos!$I:$I,$I2))</f>
        <v/>
      </c>
      <c r="G1370" s="135" t="n">
        <v>1</v>
      </c>
      <c r="H1370" s="5">
        <f>IF($I2="","",INDEX(Productos!$AG:$AG,$I2))</f>
        <v/>
      </c>
      <c r="I1370" s="136">
        <f>LET(_xlpm.r,Productos!$E$2:$E$2509,_xlpm.m,IFERROR(_xlfn.XMATCH(C1370,_xlpm.r),IFERROR(_xlfn.XMATCH(VALUE(C1370),_xlpm.r),0)),IF(_xlpm.m=0,"",_xlpm.m+1))</f>
        <v/>
      </c>
      <c r="J1370" s="137" t="inlineStr">
        <is>
          <t>NetSuite</t>
        </is>
      </c>
    </row>
    <row r="1371">
      <c r="A1371" s="5" t="inlineStr">
        <is>
          <t>STETSON AMERICAS</t>
        </is>
      </c>
      <c r="B1371" s="5">
        <f>IF($I2="","",INDEX(Productos!$A:$A,$I2))</f>
        <v/>
      </c>
      <c r="C1371" s="134" t="inlineStr">
        <is>
          <t>SFGUDL-48400767</t>
        </is>
      </c>
      <c r="D1371" s="5">
        <f>IF($I2="","",INDEX(Productos!$B:$B,$I2))</f>
        <v/>
      </c>
      <c r="E1371" s="5">
        <f>IF($I2="","",INDEX(Productos!$H:$H,$I2))</f>
        <v/>
      </c>
      <c r="F1371" s="5">
        <f>IF($I2="","",INDEX(Productos!$I:$I,$I2))</f>
        <v/>
      </c>
      <c r="G1371" s="135" t="n">
        <v>-1</v>
      </c>
      <c r="H1371" s="5">
        <f>IF($I2="","",INDEX(Productos!$AG:$AG,$I2))</f>
        <v/>
      </c>
      <c r="I1371" s="136">
        <f>LET(_xlpm.r,Productos!$E$2:$E$2509,_xlpm.m,IFERROR(_xlfn.XMATCH(C1371,_xlpm.r),IFERROR(_xlfn.XMATCH(VALUE(C1371),_xlpm.r),0)),IF(_xlpm.m=0,"",_xlpm.m+1))</f>
        <v/>
      </c>
      <c r="J1371" s="137" t="inlineStr">
        <is>
          <t>NetSuite</t>
        </is>
      </c>
    </row>
    <row r="1372">
      <c r="A1372" s="5" t="inlineStr">
        <is>
          <t>STETSON AMERICAS</t>
        </is>
      </c>
      <c r="B1372" s="5">
        <f>IF($I2="","",INDEX(Productos!$A:$A,$I2))</f>
        <v/>
      </c>
      <c r="C1372" s="134" t="inlineStr">
        <is>
          <t>SFGUDL-48400770</t>
        </is>
      </c>
      <c r="D1372" s="5">
        <f>IF($I2="","",INDEX(Productos!$B:$B,$I2))</f>
        <v/>
      </c>
      <c r="E1372" s="5">
        <f>IF($I2="","",INDEX(Productos!$H:$H,$I2))</f>
        <v/>
      </c>
      <c r="F1372" s="5">
        <f>IF($I2="","",INDEX(Productos!$I:$I,$I2))</f>
        <v/>
      </c>
      <c r="G1372" s="135" t="n">
        <v>-2</v>
      </c>
      <c r="H1372" s="5">
        <f>IF($I2="","",INDEX(Productos!$AG:$AG,$I2))</f>
        <v/>
      </c>
      <c r="I1372" s="136">
        <f>LET(_xlpm.r,Productos!$E$2:$E$2509,_xlpm.m,IFERROR(_xlfn.XMATCH(C1372,_xlpm.r),IFERROR(_xlfn.XMATCH(VALUE(C1372),_xlpm.r),0)),IF(_xlpm.m=0,"",_xlpm.m+1))</f>
        <v/>
      </c>
      <c r="J1372" s="137" t="inlineStr">
        <is>
          <t>NetSuite</t>
        </is>
      </c>
    </row>
    <row r="1373">
      <c r="A1373" s="5" t="inlineStr">
        <is>
          <t>STETSON AMERICAS</t>
        </is>
      </c>
      <c r="B1373" s="5">
        <f>IF($I2="","",INDEX(Productos!$A:$A,$I2))</f>
        <v/>
      </c>
      <c r="C1373" s="134" t="inlineStr">
        <is>
          <t>SFGUDL-48400771</t>
        </is>
      </c>
      <c r="D1373" s="5">
        <f>IF($I2="","",INDEX(Productos!$B:$B,$I2))</f>
        <v/>
      </c>
      <c r="E1373" s="5">
        <f>IF($I2="","",INDEX(Productos!$H:$H,$I2))</f>
        <v/>
      </c>
      <c r="F1373" s="5">
        <f>IF($I2="","",INDEX(Productos!$I:$I,$I2))</f>
        <v/>
      </c>
      <c r="G1373" s="135" t="n">
        <v>1</v>
      </c>
      <c r="H1373" s="5">
        <f>IF($I2="","",INDEX(Productos!$AG:$AG,$I2))</f>
        <v/>
      </c>
      <c r="I1373" s="136">
        <f>LET(_xlpm.r,Productos!$E$2:$E$2509,_xlpm.m,IFERROR(_xlfn.XMATCH(C1373,_xlpm.r),IFERROR(_xlfn.XMATCH(VALUE(C1373),_xlpm.r),0)),IF(_xlpm.m=0,"",_xlpm.m+1))</f>
        <v/>
      </c>
      <c r="J1373" s="137" t="inlineStr">
        <is>
          <t>NetSuite</t>
        </is>
      </c>
    </row>
    <row r="1374">
      <c r="A1374" s="5" t="inlineStr">
        <is>
          <t>STETSON AMERICAS</t>
        </is>
      </c>
      <c r="B1374" s="5">
        <f>IF($I2="","",INDEX(Productos!$A:$A,$I2))</f>
        <v/>
      </c>
      <c r="C1374" s="134" t="inlineStr">
        <is>
          <t>SFGUDL-48400772</t>
        </is>
      </c>
      <c r="D1374" s="5">
        <f>IF($I2="","",INDEX(Productos!$B:$B,$I2))</f>
        <v/>
      </c>
      <c r="E1374" s="5">
        <f>IF($I2="","",INDEX(Productos!$H:$H,$I2))</f>
        <v/>
      </c>
      <c r="F1374" s="5">
        <f>IF($I2="","",INDEX(Productos!$I:$I,$I2))</f>
        <v/>
      </c>
      <c r="G1374" s="135" t="n">
        <v>4</v>
      </c>
      <c r="H1374" s="5">
        <f>IF($I2="","",INDEX(Productos!$AG:$AG,$I2))</f>
        <v/>
      </c>
      <c r="I1374" s="136">
        <f>LET(_xlpm.r,Productos!$E$2:$E$2509,_xlpm.m,IFERROR(_xlfn.XMATCH(C1374,_xlpm.r),IFERROR(_xlfn.XMATCH(VALUE(C1374),_xlpm.r),0)),IF(_xlpm.m=0,"",_xlpm.m+1))</f>
        <v/>
      </c>
      <c r="J1374" s="137" t="inlineStr">
        <is>
          <t>NetSuite</t>
        </is>
      </c>
    </row>
    <row r="1375">
      <c r="A1375" s="5" t="inlineStr">
        <is>
          <t>STETSON AMERICAS</t>
        </is>
      </c>
      <c r="B1375" s="5">
        <f>IF($I2="","",INDEX(Productos!$A:$A,$I2))</f>
        <v/>
      </c>
      <c r="C1375" s="134" t="inlineStr">
        <is>
          <t>SFGUDL-48406167</t>
        </is>
      </c>
      <c r="D1375" s="5">
        <f>IF($I2="","",INDEX(Productos!$B:$B,$I2))</f>
        <v/>
      </c>
      <c r="E1375" s="5">
        <f>IF($I2="","",INDEX(Productos!$H:$H,$I2))</f>
        <v/>
      </c>
      <c r="F1375" s="5">
        <f>IF($I2="","",INDEX(Productos!$I:$I,$I2))</f>
        <v/>
      </c>
      <c r="G1375" s="135" t="n">
        <v>-1</v>
      </c>
      <c r="H1375" s="5">
        <f>IF($I2="","",INDEX(Productos!$AG:$AG,$I2))</f>
        <v/>
      </c>
      <c r="I1375" s="136">
        <f>LET(_xlpm.r,Productos!$E$2:$E$2509,_xlpm.m,IFERROR(_xlfn.XMATCH(C1375,_xlpm.r),IFERROR(_xlfn.XMATCH(VALUE(C1375),_xlpm.r),0)),IF(_xlpm.m=0,"",_xlpm.m+1))</f>
        <v/>
      </c>
      <c r="J1375" s="137" t="inlineStr">
        <is>
          <t>NetSuite</t>
        </is>
      </c>
    </row>
    <row r="1376">
      <c r="A1376" s="5" t="inlineStr">
        <is>
          <t>STETSON AMERICAS</t>
        </is>
      </c>
      <c r="B1376" s="5">
        <f>IF($I2="","",INDEX(Productos!$A:$A,$I2))</f>
        <v/>
      </c>
      <c r="C1376" s="134" t="inlineStr">
        <is>
          <t>SFGUDL-48406171</t>
        </is>
      </c>
      <c r="D1376" s="5">
        <f>IF($I2="","",INDEX(Productos!$B:$B,$I2))</f>
        <v/>
      </c>
      <c r="E1376" s="5">
        <f>IF($I2="","",INDEX(Productos!$H:$H,$I2))</f>
        <v/>
      </c>
      <c r="F1376" s="5">
        <f>IF($I2="","",INDEX(Productos!$I:$I,$I2))</f>
        <v/>
      </c>
      <c r="G1376" s="135" t="n">
        <v>2</v>
      </c>
      <c r="H1376" s="5">
        <f>IF($I2="","",INDEX(Productos!$AG:$AG,$I2))</f>
        <v/>
      </c>
      <c r="I1376" s="136">
        <f>LET(_xlpm.r,Productos!$E$2:$E$2509,_xlpm.m,IFERROR(_xlfn.XMATCH(C1376,_xlpm.r),IFERROR(_xlfn.XMATCH(VALUE(C1376),_xlpm.r),0)),IF(_xlpm.m=0,"",_xlpm.m+1))</f>
        <v/>
      </c>
      <c r="J1376" s="137" t="inlineStr">
        <is>
          <t>NetSuite</t>
        </is>
      </c>
    </row>
    <row r="1377">
      <c r="A1377" s="5" t="inlineStr">
        <is>
          <t>STETSON AMERICAS</t>
        </is>
      </c>
      <c r="B1377" s="5">
        <f>IF($I2="","",INDEX(Productos!$A:$A,$I2))</f>
        <v/>
      </c>
      <c r="C1377" s="134" t="inlineStr">
        <is>
          <t>SFGUDL-48406172</t>
        </is>
      </c>
      <c r="D1377" s="5">
        <f>IF($I2="","",INDEX(Productos!$B:$B,$I2))</f>
        <v/>
      </c>
      <c r="E1377" s="5">
        <f>IF($I2="","",INDEX(Productos!$H:$H,$I2))</f>
        <v/>
      </c>
      <c r="F1377" s="5">
        <f>IF($I2="","",INDEX(Productos!$I:$I,$I2))</f>
        <v/>
      </c>
      <c r="G1377" s="135" t="n">
        <v>1</v>
      </c>
      <c r="H1377" s="5">
        <f>IF($I2="","",INDEX(Productos!$AG:$AG,$I2))</f>
        <v/>
      </c>
      <c r="I1377" s="136">
        <f>LET(_xlpm.r,Productos!$E$2:$E$2509,_xlpm.m,IFERROR(_xlfn.XMATCH(C1377,_xlpm.r),IFERROR(_xlfn.XMATCH(VALUE(C1377),_xlpm.r),0)),IF(_xlpm.m=0,"",_xlpm.m+1))</f>
        <v/>
      </c>
      <c r="J1377" s="137" t="inlineStr">
        <is>
          <t>NetSuite</t>
        </is>
      </c>
    </row>
    <row r="1378">
      <c r="A1378" s="5" t="inlineStr">
        <is>
          <t>STETSON AMERICAS</t>
        </is>
      </c>
      <c r="B1378" s="5">
        <f>IF($I2="","",INDEX(Productos!$A:$A,$I2))</f>
        <v/>
      </c>
      <c r="C1378" s="134" t="inlineStr">
        <is>
          <t>SFGUDL-48406174</t>
        </is>
      </c>
      <c r="D1378" s="5">
        <f>IF($I2="","",INDEX(Productos!$B:$B,$I2))</f>
        <v/>
      </c>
      <c r="E1378" s="5">
        <f>IF($I2="","",INDEX(Productos!$H:$H,$I2))</f>
        <v/>
      </c>
      <c r="F1378" s="5">
        <f>IF($I2="","",INDEX(Productos!$I:$I,$I2))</f>
        <v/>
      </c>
      <c r="G1378" s="135" t="n">
        <v>-1</v>
      </c>
      <c r="H1378" s="5">
        <f>IF($I2="","",INDEX(Productos!$AG:$AG,$I2))</f>
        <v/>
      </c>
      <c r="I1378" s="136">
        <f>LET(_xlpm.r,Productos!$E$2:$E$2509,_xlpm.m,IFERROR(_xlfn.XMATCH(C1378,_xlpm.r),IFERROR(_xlfn.XMATCH(VALUE(C1378),_xlpm.r),0)),IF(_xlpm.m=0,"",_xlpm.m+1))</f>
        <v/>
      </c>
      <c r="J1378" s="137" t="inlineStr">
        <is>
          <t>NetSuite</t>
        </is>
      </c>
    </row>
    <row r="1379">
      <c r="A1379" s="5" t="inlineStr">
        <is>
          <t>STETSON AMERICAS</t>
        </is>
      </c>
      <c r="B1379" s="5">
        <f>IF($I2="","",INDEX(Productos!$A:$A,$I2))</f>
        <v/>
      </c>
      <c r="C1379" s="134" t="inlineStr">
        <is>
          <t>SFGUDL-48406175</t>
        </is>
      </c>
      <c r="D1379" s="5">
        <f>IF($I2="","",INDEX(Productos!$B:$B,$I2))</f>
        <v/>
      </c>
      <c r="E1379" s="5">
        <f>IF($I2="","",INDEX(Productos!$H:$H,$I2))</f>
        <v/>
      </c>
      <c r="F1379" s="5">
        <f>IF($I2="","",INDEX(Productos!$I:$I,$I2))</f>
        <v/>
      </c>
      <c r="G1379" s="135" t="n">
        <v>-1</v>
      </c>
      <c r="H1379" s="5">
        <f>IF($I2="","",INDEX(Productos!$AG:$AG,$I2))</f>
        <v/>
      </c>
      <c r="I1379" s="136">
        <f>LET(_xlpm.r,Productos!$E$2:$E$2509,_xlpm.m,IFERROR(_xlfn.XMATCH(C1379,_xlpm.r),IFERROR(_xlfn.XMATCH(VALUE(C1379),_xlpm.r),0)),IF(_xlpm.m=0,"",_xlpm.m+1))</f>
        <v/>
      </c>
      <c r="J1379" s="137" t="inlineStr">
        <is>
          <t>NetSuite</t>
        </is>
      </c>
    </row>
    <row r="1380">
      <c r="A1380" s="5" t="inlineStr">
        <is>
          <t>STETSON AMERICAS</t>
        </is>
      </c>
      <c r="B1380" s="5">
        <f>IF($I2="","",INDEX(Productos!$A:$A,$I2))</f>
        <v/>
      </c>
      <c r="C1380" s="134" t="inlineStr">
        <is>
          <t>SFGUSS-50400766</t>
        </is>
      </c>
      <c r="D1380" s="5">
        <f>IF($I2="","",INDEX(Productos!$B:$B,$I2))</f>
        <v/>
      </c>
      <c r="E1380" s="5">
        <f>IF($I2="","",INDEX(Productos!$H:$H,$I2))</f>
        <v/>
      </c>
      <c r="F1380" s="5">
        <f>IF($I2="","",INDEX(Productos!$I:$I,$I2))</f>
        <v/>
      </c>
      <c r="G1380" s="135" t="n">
        <v>1</v>
      </c>
      <c r="H1380" s="5">
        <f>IF($I2="","",INDEX(Productos!$AG:$AG,$I2))</f>
        <v/>
      </c>
      <c r="I1380" s="136">
        <f>LET(_xlpm.r,Productos!$E$2:$E$2509,_xlpm.m,IFERROR(_xlfn.XMATCH(C1380,_xlpm.r),IFERROR(_xlfn.XMATCH(VALUE(C1380),_xlpm.r),0)),IF(_xlpm.m=0,"",_xlpm.m+1))</f>
        <v/>
      </c>
      <c r="J1380" s="137" t="inlineStr">
        <is>
          <t>NetSuite</t>
        </is>
      </c>
    </row>
    <row r="1381">
      <c r="A1381" s="5" t="inlineStr">
        <is>
          <t>STETSON AMERICAS</t>
        </is>
      </c>
      <c r="B1381" s="5">
        <f>IF($I2="","",INDEX(Productos!$A:$A,$I2))</f>
        <v/>
      </c>
      <c r="C1381" s="134" t="inlineStr">
        <is>
          <t>SFGUSS-50400767</t>
        </is>
      </c>
      <c r="D1381" s="5">
        <f>IF($I2="","",INDEX(Productos!$B:$B,$I2))</f>
        <v/>
      </c>
      <c r="E1381" s="5">
        <f>IF($I2="","",INDEX(Productos!$H:$H,$I2))</f>
        <v/>
      </c>
      <c r="F1381" s="5">
        <f>IF($I2="","",INDEX(Productos!$I:$I,$I2))</f>
        <v/>
      </c>
      <c r="G1381" s="135" t="n">
        <v>1</v>
      </c>
      <c r="H1381" s="5">
        <f>IF($I2="","",INDEX(Productos!$AG:$AG,$I2))</f>
        <v/>
      </c>
      <c r="I1381" s="136">
        <f>LET(_xlpm.r,Productos!$E$2:$E$2509,_xlpm.m,IFERROR(_xlfn.XMATCH(C1381,_xlpm.r),IFERROR(_xlfn.XMATCH(VALUE(C1381),_xlpm.r),0)),IF(_xlpm.m=0,"",_xlpm.m+1))</f>
        <v/>
      </c>
      <c r="J1381" s="137" t="inlineStr">
        <is>
          <t>NetSuite</t>
        </is>
      </c>
    </row>
    <row r="1382">
      <c r="A1382" s="5" t="inlineStr">
        <is>
          <t>STETSON AMERICAS</t>
        </is>
      </c>
      <c r="B1382" s="5">
        <f>IF($I2="","",INDEX(Productos!$A:$A,$I2))</f>
        <v/>
      </c>
      <c r="C1382" s="134" t="inlineStr">
        <is>
          <t>SFGUSS-50400770</t>
        </is>
      </c>
      <c r="D1382" s="5">
        <f>IF($I2="","",INDEX(Productos!$B:$B,$I2))</f>
        <v/>
      </c>
      <c r="E1382" s="5">
        <f>IF($I2="","",INDEX(Productos!$H:$H,$I2))</f>
        <v/>
      </c>
      <c r="F1382" s="5">
        <f>IF($I2="","",INDEX(Productos!$I:$I,$I2))</f>
        <v/>
      </c>
      <c r="G1382" s="135" t="n">
        <v>1</v>
      </c>
      <c r="H1382" s="5">
        <f>IF($I2="","",INDEX(Productos!$AG:$AG,$I2))</f>
        <v/>
      </c>
      <c r="I1382" s="136">
        <f>LET(_xlpm.r,Productos!$E$2:$E$2509,_xlpm.m,IFERROR(_xlfn.XMATCH(C1382,_xlpm.r),IFERROR(_xlfn.XMATCH(VALUE(C1382),_xlpm.r),0)),IF(_xlpm.m=0,"",_xlpm.m+1))</f>
        <v/>
      </c>
      <c r="J1382" s="137" t="inlineStr">
        <is>
          <t>NetSuite</t>
        </is>
      </c>
    </row>
    <row r="1383">
      <c r="A1383" s="5" t="inlineStr">
        <is>
          <t>STETSON AMERICAS</t>
        </is>
      </c>
      <c r="B1383" s="5">
        <f>IF($I2="","",INDEX(Productos!$A:$A,$I2))</f>
        <v/>
      </c>
      <c r="C1383" s="134" t="inlineStr">
        <is>
          <t>SFGUSS-50400771</t>
        </is>
      </c>
      <c r="D1383" s="5">
        <f>IF($I2="","",INDEX(Productos!$B:$B,$I2))</f>
        <v/>
      </c>
      <c r="E1383" s="5">
        <f>IF($I2="","",INDEX(Productos!$H:$H,$I2))</f>
        <v/>
      </c>
      <c r="F1383" s="5">
        <f>IF($I2="","",INDEX(Productos!$I:$I,$I2))</f>
        <v/>
      </c>
      <c r="G1383" s="135" t="n">
        <v>1</v>
      </c>
      <c r="H1383" s="5">
        <f>IF($I2="","",INDEX(Productos!$AG:$AG,$I2))</f>
        <v/>
      </c>
      <c r="I1383" s="136">
        <f>LET(_xlpm.r,Productos!$E$2:$E$2509,_xlpm.m,IFERROR(_xlfn.XMATCH(C1383,_xlpm.r),IFERROR(_xlfn.XMATCH(VALUE(C1383),_xlpm.r),0)),IF(_xlpm.m=0,"",_xlpm.m+1))</f>
        <v/>
      </c>
      <c r="J1383" s="137" t="inlineStr">
        <is>
          <t>NetSuite</t>
        </is>
      </c>
    </row>
    <row r="1384">
      <c r="A1384" s="5" t="inlineStr">
        <is>
          <t>STETSON AMERICAS</t>
        </is>
      </c>
      <c r="B1384" s="5">
        <f>IF($I2="","",INDEX(Productos!$A:$A,$I2))</f>
        <v/>
      </c>
      <c r="C1384" s="134" t="inlineStr">
        <is>
          <t>SFGUSS-50406167</t>
        </is>
      </c>
      <c r="D1384" s="5">
        <f>IF($I2="","",INDEX(Productos!$B:$B,$I2))</f>
        <v/>
      </c>
      <c r="E1384" s="5">
        <f>IF($I2="","",INDEX(Productos!$H:$H,$I2))</f>
        <v/>
      </c>
      <c r="F1384" s="5">
        <f>IF($I2="","",INDEX(Productos!$I:$I,$I2))</f>
        <v/>
      </c>
      <c r="G1384" s="135" t="n">
        <v>1</v>
      </c>
      <c r="H1384" s="5">
        <f>IF($I2="","",INDEX(Productos!$AG:$AG,$I2))</f>
        <v/>
      </c>
      <c r="I1384" s="136">
        <f>LET(_xlpm.r,Productos!$E$2:$E$2509,_xlpm.m,IFERROR(_xlfn.XMATCH(C1384,_xlpm.r),IFERROR(_xlfn.XMATCH(VALUE(C1384),_xlpm.r),0)),IF(_xlpm.m=0,"",_xlpm.m+1))</f>
        <v/>
      </c>
      <c r="J1384" s="137" t="inlineStr">
        <is>
          <t>NetSuite</t>
        </is>
      </c>
    </row>
    <row r="1385">
      <c r="A1385" s="5" t="inlineStr">
        <is>
          <t>STETSON AMERICAS</t>
        </is>
      </c>
      <c r="B1385" s="5">
        <f>IF($I2="","",INDEX(Productos!$A:$A,$I2))</f>
        <v/>
      </c>
      <c r="C1385" s="134" t="inlineStr">
        <is>
          <t>SFGUSS-50406170</t>
        </is>
      </c>
      <c r="D1385" s="5">
        <f>IF($I2="","",INDEX(Productos!$B:$B,$I2))</f>
        <v/>
      </c>
      <c r="E1385" s="5">
        <f>IF($I2="","",INDEX(Productos!$H:$H,$I2))</f>
        <v/>
      </c>
      <c r="F1385" s="5">
        <f>IF($I2="","",INDEX(Productos!$I:$I,$I2))</f>
        <v/>
      </c>
      <c r="G1385" s="135" t="n">
        <v>1</v>
      </c>
      <c r="H1385" s="5">
        <f>IF($I2="","",INDEX(Productos!$AG:$AG,$I2))</f>
        <v/>
      </c>
      <c r="I1385" s="136">
        <f>LET(_xlpm.r,Productos!$E$2:$E$2509,_xlpm.m,IFERROR(_xlfn.XMATCH(C1385,_xlpm.r),IFERROR(_xlfn.XMATCH(VALUE(C1385),_xlpm.r),0)),IF(_xlpm.m=0,"",_xlpm.m+1))</f>
        <v/>
      </c>
      <c r="J1385" s="137" t="inlineStr">
        <is>
          <t>NetSuite</t>
        </is>
      </c>
    </row>
    <row r="1386">
      <c r="A1386" s="5" t="inlineStr">
        <is>
          <t>STETSON AMERICAS</t>
        </is>
      </c>
      <c r="B1386" s="5">
        <f>IF($I2="","",INDEX(Productos!$A:$A,$I2))</f>
        <v/>
      </c>
      <c r="C1386" s="134" t="inlineStr">
        <is>
          <t>SFMCKN-72420770</t>
        </is>
      </c>
      <c r="D1386" s="5">
        <f>IF($I2="","",INDEX(Productos!$B:$B,$I2))</f>
        <v/>
      </c>
      <c r="E1386" s="5">
        <f>IF($I2="","",INDEX(Productos!$H:$H,$I2))</f>
        <v/>
      </c>
      <c r="F1386" s="5">
        <f>IF($I2="","",INDEX(Productos!$I:$I,$I2))</f>
        <v/>
      </c>
      <c r="G1386" s="135" t="n">
        <v>1</v>
      </c>
      <c r="H1386" s="5">
        <f>IF($I2="","",INDEX(Productos!$AG:$AG,$I2))</f>
        <v/>
      </c>
      <c r="I1386" s="136">
        <f>LET(_xlpm.r,Productos!$E$2:$E$2509,_xlpm.m,IFERROR(_xlfn.XMATCH(C1386,_xlpm.r),IFERROR(_xlfn.XMATCH(VALUE(C1386),_xlpm.r),0)),IF(_xlpm.m=0,"",_xlpm.m+1))</f>
        <v/>
      </c>
      <c r="J1386" s="137" t="inlineStr">
        <is>
          <t>NetSuite</t>
        </is>
      </c>
    </row>
    <row r="1387">
      <c r="A1387" s="5" t="inlineStr">
        <is>
          <t>STETSON AMERICAS</t>
        </is>
      </c>
      <c r="B1387" s="5">
        <f>IF($I2="","",INDEX(Productos!$A:$A,$I2))</f>
        <v/>
      </c>
      <c r="C1387" s="134" t="inlineStr">
        <is>
          <t>SFMCKN-72420772</t>
        </is>
      </c>
      <c r="D1387" s="5">
        <f>IF($I2="","",INDEX(Productos!$B:$B,$I2))</f>
        <v/>
      </c>
      <c r="E1387" s="5">
        <f>IF($I2="","",INDEX(Productos!$H:$H,$I2))</f>
        <v/>
      </c>
      <c r="F1387" s="5">
        <f>IF($I2="","",INDEX(Productos!$I:$I,$I2))</f>
        <v/>
      </c>
      <c r="G1387" s="135" t="n">
        <v>1</v>
      </c>
      <c r="H1387" s="5">
        <f>IF($I2="","",INDEX(Productos!$AG:$AG,$I2))</f>
        <v/>
      </c>
      <c r="I1387" s="136">
        <f>LET(_xlpm.r,Productos!$E$2:$E$2509,_xlpm.m,IFERROR(_xlfn.XMATCH(C1387,_xlpm.r),IFERROR(_xlfn.XMATCH(VALUE(C1387),_xlpm.r),0)),IF(_xlpm.m=0,"",_xlpm.m+1))</f>
        <v/>
      </c>
      <c r="J1387" s="137" t="inlineStr">
        <is>
          <t>NetSuite</t>
        </is>
      </c>
    </row>
    <row r="1388">
      <c r="A1388" s="5" t="inlineStr">
        <is>
          <t>STETSON AMERICAS</t>
        </is>
      </c>
      <c r="B1388" s="5">
        <f>IF($I2="","",INDEX(Productos!$A:$A,$I2))</f>
        <v/>
      </c>
      <c r="C1388" s="134" t="inlineStr">
        <is>
          <t>SFMNFD-75424267</t>
        </is>
      </c>
      <c r="D1388" s="5">
        <f>IF($I2="","",INDEX(Productos!$B:$B,$I2))</f>
        <v/>
      </c>
      <c r="E1388" s="5">
        <f>IF($I2="","",INDEX(Productos!$H:$H,$I2))</f>
        <v/>
      </c>
      <c r="F1388" s="5">
        <f>IF($I2="","",INDEX(Productos!$I:$I,$I2))</f>
        <v/>
      </c>
      <c r="G1388" s="135" t="n">
        <v>-1</v>
      </c>
      <c r="H1388" s="5">
        <f>IF($I2="","",INDEX(Productos!$AG:$AG,$I2))</f>
        <v/>
      </c>
      <c r="I1388" s="136">
        <f>LET(_xlpm.r,Productos!$E$2:$E$2509,_xlpm.m,IFERROR(_xlfn.XMATCH(C1388,_xlpm.r),IFERROR(_xlfn.XMATCH(VALUE(C1388),_xlpm.r),0)),IF(_xlpm.m=0,"",_xlpm.m+1))</f>
        <v/>
      </c>
      <c r="J1388" s="137" t="inlineStr">
        <is>
          <t>NetSuite</t>
        </is>
      </c>
    </row>
    <row r="1389">
      <c r="A1389" s="5" t="inlineStr">
        <is>
          <t>STETSON AMERICAS</t>
        </is>
      </c>
      <c r="B1389" s="5">
        <f>IF($I2="","",INDEX(Productos!$A:$A,$I2))</f>
        <v/>
      </c>
      <c r="C1389" s="134" t="inlineStr">
        <is>
          <t>SFMNFD-75424271</t>
        </is>
      </c>
      <c r="D1389" s="5">
        <f>IF($I2="","",INDEX(Productos!$B:$B,$I2))</f>
        <v/>
      </c>
      <c r="E1389" s="5">
        <f>IF($I2="","",INDEX(Productos!$H:$H,$I2))</f>
        <v/>
      </c>
      <c r="F1389" s="5">
        <f>IF($I2="","",INDEX(Productos!$I:$I,$I2))</f>
        <v/>
      </c>
      <c r="G1389" s="135" t="n">
        <v>-1</v>
      </c>
      <c r="H1389" s="5">
        <f>IF($I2="","",INDEX(Productos!$AG:$AG,$I2))</f>
        <v/>
      </c>
      <c r="I1389" s="136">
        <f>LET(_xlpm.r,Productos!$E$2:$E$2509,_xlpm.m,IFERROR(_xlfn.XMATCH(C1389,_xlpm.r),IFERROR(_xlfn.XMATCH(VALUE(C1389),_xlpm.r),0)),IF(_xlpm.m=0,"",_xlpm.m+1))</f>
        <v/>
      </c>
      <c r="J1389" s="137" t="inlineStr">
        <is>
          <t>NetSuite</t>
        </is>
      </c>
    </row>
    <row r="1390">
      <c r="A1390" s="5" t="inlineStr">
        <is>
          <t>STETSON AMERICAS</t>
        </is>
      </c>
      <c r="B1390" s="5">
        <f>IF($I2="","",INDEX(Productos!$A:$A,$I2))</f>
        <v/>
      </c>
      <c r="C1390" s="134" t="inlineStr">
        <is>
          <t>SFMNFD-75424272</t>
        </is>
      </c>
      <c r="D1390" s="5">
        <f>IF($I2="","",INDEX(Productos!$B:$B,$I2))</f>
        <v/>
      </c>
      <c r="E1390" s="5">
        <f>IF($I2="","",INDEX(Productos!$H:$H,$I2))</f>
        <v/>
      </c>
      <c r="F1390" s="5">
        <f>IF($I2="","",INDEX(Productos!$I:$I,$I2))</f>
        <v/>
      </c>
      <c r="G1390" s="135" t="n">
        <v>-1</v>
      </c>
      <c r="H1390" s="5">
        <f>IF($I2="","",INDEX(Productos!$AG:$AG,$I2))</f>
        <v/>
      </c>
      <c r="I1390" s="136">
        <f>LET(_xlpm.r,Productos!$E$2:$E$2509,_xlpm.m,IFERROR(_xlfn.XMATCH(C1390,_xlpm.r),IFERROR(_xlfn.XMATCH(VALUE(C1390),_xlpm.r),0)),IF(_xlpm.m=0,"",_xlpm.m+1))</f>
        <v/>
      </c>
      <c r="J1390" s="137" t="inlineStr">
        <is>
          <t>NetSuite</t>
        </is>
      </c>
    </row>
    <row r="1391">
      <c r="A1391" s="5" t="inlineStr">
        <is>
          <t>STETSON AMERICAS</t>
        </is>
      </c>
      <c r="B1391" s="5">
        <f>IF($I2="","",INDEX(Productos!$A:$A,$I2))</f>
        <v/>
      </c>
      <c r="C1391" s="134" t="inlineStr">
        <is>
          <t>SFMNFD-75424273</t>
        </is>
      </c>
      <c r="D1391" s="5">
        <f>IF($I2="","",INDEX(Productos!$B:$B,$I2))</f>
        <v/>
      </c>
      <c r="E1391" s="5">
        <f>IF($I2="","",INDEX(Productos!$H:$H,$I2))</f>
        <v/>
      </c>
      <c r="F1391" s="5">
        <f>IF($I2="","",INDEX(Productos!$I:$I,$I2))</f>
        <v/>
      </c>
      <c r="G1391" s="135" t="n">
        <v>-2</v>
      </c>
      <c r="H1391" s="5">
        <f>IF($I2="","",INDEX(Productos!$AG:$AG,$I2))</f>
        <v/>
      </c>
      <c r="I1391" s="136">
        <f>LET(_xlpm.r,Productos!$E$2:$E$2509,_xlpm.m,IFERROR(_xlfn.XMATCH(C1391,_xlpm.r),IFERROR(_xlfn.XMATCH(VALUE(C1391),_xlpm.r),0)),IF(_xlpm.m=0,"",_xlpm.m+1))</f>
        <v/>
      </c>
      <c r="J1391" s="137" t="inlineStr">
        <is>
          <t>NetSuite</t>
        </is>
      </c>
    </row>
    <row r="1392">
      <c r="A1392" s="5" t="inlineStr">
        <is>
          <t>STETSON AMERICAS</t>
        </is>
      </c>
      <c r="B1392" s="5">
        <f>IF($I2="","",INDEX(Productos!$A:$A,$I2))</f>
        <v/>
      </c>
      <c r="C1392" s="134" t="inlineStr">
        <is>
          <t>SFMZCL-01404870</t>
        </is>
      </c>
      <c r="D1392" s="5">
        <f>IF($I2="","",INDEX(Productos!$B:$B,$I2))</f>
        <v/>
      </c>
      <c r="E1392" s="5">
        <f>IF($I2="","",INDEX(Productos!$H:$H,$I2))</f>
        <v/>
      </c>
      <c r="F1392" s="5">
        <f>IF($I2="","",INDEX(Productos!$I:$I,$I2))</f>
        <v/>
      </c>
      <c r="G1392" s="135" t="n">
        <v>-1</v>
      </c>
      <c r="H1392" s="5">
        <f>IF($I2="","",INDEX(Productos!$AG:$AG,$I2))</f>
        <v/>
      </c>
      <c r="I1392" s="136">
        <f>LET(_xlpm.r,Productos!$E$2:$E$2509,_xlpm.m,IFERROR(_xlfn.XMATCH(C1392,_xlpm.r),IFERROR(_xlfn.XMATCH(VALUE(C1392),_xlpm.r),0)),IF(_xlpm.m=0,"",_xlpm.m+1))</f>
        <v/>
      </c>
      <c r="J1392" s="137" t="inlineStr">
        <is>
          <t>NetSuite</t>
        </is>
      </c>
    </row>
    <row r="1393">
      <c r="A1393" s="5" t="inlineStr">
        <is>
          <t>STETSON AMERICAS</t>
        </is>
      </c>
      <c r="B1393" s="5">
        <f>IF($I2="","",INDEX(Productos!$A:$A,$I2))</f>
        <v/>
      </c>
      <c r="C1393" s="134" t="inlineStr">
        <is>
          <t>SFMZCL-01404871</t>
        </is>
      </c>
      <c r="D1393" s="5">
        <f>IF($I2="","",INDEX(Productos!$B:$B,$I2))</f>
        <v/>
      </c>
      <c r="E1393" s="5">
        <f>IF($I2="","",INDEX(Productos!$H:$H,$I2))</f>
        <v/>
      </c>
      <c r="F1393" s="5">
        <f>IF($I2="","",INDEX(Productos!$I:$I,$I2))</f>
        <v/>
      </c>
      <c r="G1393" s="135" t="n">
        <v>-2</v>
      </c>
      <c r="H1393" s="5">
        <f>IF($I2="","",INDEX(Productos!$AG:$AG,$I2))</f>
        <v/>
      </c>
      <c r="I1393" s="136">
        <f>LET(_xlpm.r,Productos!$E$2:$E$2509,_xlpm.m,IFERROR(_xlfn.XMATCH(C1393,_xlpm.r),IFERROR(_xlfn.XMATCH(VALUE(C1393),_xlpm.r),0)),IF(_xlpm.m=0,"",_xlpm.m+1))</f>
        <v/>
      </c>
      <c r="J1393" s="137" t="inlineStr">
        <is>
          <t>NetSuite</t>
        </is>
      </c>
    </row>
    <row r="1394">
      <c r="A1394" s="5" t="inlineStr">
        <is>
          <t>STETSON AMERICAS</t>
        </is>
      </c>
      <c r="B1394" s="5">
        <f>IF($I2="","",INDEX(Productos!$A:$A,$I2))</f>
        <v/>
      </c>
      <c r="C1394" s="134" t="inlineStr">
        <is>
          <t>SFMZCL-01404872</t>
        </is>
      </c>
      <c r="D1394" s="5">
        <f>IF($I2="","",INDEX(Productos!$B:$B,$I2))</f>
        <v/>
      </c>
      <c r="E1394" s="5">
        <f>IF($I2="","",INDEX(Productos!$H:$H,$I2))</f>
        <v/>
      </c>
      <c r="F1394" s="5">
        <f>IF($I2="","",INDEX(Productos!$I:$I,$I2))</f>
        <v/>
      </c>
      <c r="G1394" s="135" t="n">
        <v>1</v>
      </c>
      <c r="H1394" s="5">
        <f>IF($I2="","",INDEX(Productos!$AG:$AG,$I2))</f>
        <v/>
      </c>
      <c r="I1394" s="136">
        <f>LET(_xlpm.r,Productos!$E$2:$E$2509,_xlpm.m,IFERROR(_xlfn.XMATCH(C1394,_xlpm.r),IFERROR(_xlfn.XMATCH(VALUE(C1394),_xlpm.r),0)),IF(_xlpm.m=0,"",_xlpm.m+1))</f>
        <v/>
      </c>
      <c r="J1394" s="137" t="inlineStr">
        <is>
          <t>NetSuite</t>
        </is>
      </c>
    </row>
    <row r="1395">
      <c r="A1395" s="5" t="inlineStr">
        <is>
          <t>STETSON AMERICAS</t>
        </is>
      </c>
      <c r="B1395" s="5">
        <f>IF($I2="","",INDEX(Productos!$A:$A,$I2))</f>
        <v/>
      </c>
      <c r="C1395" s="134" t="inlineStr">
        <is>
          <t>SFMZCL-01404873</t>
        </is>
      </c>
      <c r="D1395" s="5">
        <f>IF($I2="","",INDEX(Productos!$B:$B,$I2))</f>
        <v/>
      </c>
      <c r="E1395" s="5">
        <f>IF($I2="","",INDEX(Productos!$H:$H,$I2))</f>
        <v/>
      </c>
      <c r="F1395" s="5">
        <f>IF($I2="","",INDEX(Productos!$I:$I,$I2))</f>
        <v/>
      </c>
      <c r="G1395" s="135" t="n">
        <v>1</v>
      </c>
      <c r="H1395" s="5">
        <f>IF($I2="","",INDEX(Productos!$AG:$AG,$I2))</f>
        <v/>
      </c>
      <c r="I1395" s="136">
        <f>LET(_xlpm.r,Productos!$E$2:$E$2509,_xlpm.m,IFERROR(_xlfn.XMATCH(C1395,_xlpm.r),IFERROR(_xlfn.XMATCH(VALUE(C1395),_xlpm.r),0)),IF(_xlpm.m=0,"",_xlpm.m+1))</f>
        <v/>
      </c>
      <c r="J1395" s="137" t="inlineStr">
        <is>
          <t>NetSuite</t>
        </is>
      </c>
    </row>
    <row r="1396">
      <c r="A1396" s="5" t="inlineStr">
        <is>
          <t>STETSON AMERICAS</t>
        </is>
      </c>
      <c r="B1396" s="5">
        <f>IF($I2="","",INDEX(Productos!$A:$A,$I2))</f>
        <v/>
      </c>
      <c r="C1396" s="134" t="inlineStr">
        <is>
          <t>SFO250B05260770</t>
        </is>
      </c>
      <c r="D1396" s="5">
        <f>IF($I2="","",INDEX(Productos!$B:$B,$I2))</f>
        <v/>
      </c>
      <c r="E1396" s="5">
        <f>IF($I2="","",INDEX(Productos!$H:$H,$I2))</f>
        <v/>
      </c>
      <c r="F1396" s="5">
        <f>IF($I2="","",INDEX(Productos!$I:$I,$I2))</f>
        <v/>
      </c>
      <c r="G1396" s="135" t="n">
        <v>1</v>
      </c>
      <c r="H1396" s="5">
        <f>IF($I2="","",INDEX(Productos!$AG:$AG,$I2))</f>
        <v/>
      </c>
      <c r="I1396" s="136">
        <f>LET(_xlpm.r,Productos!$E$2:$E$2509,_xlpm.m,IFERROR(_xlfn.XMATCH(C1396,_xlpm.r),IFERROR(_xlfn.XMATCH(VALUE(C1396),_xlpm.r),0)),IF(_xlpm.m=0,"",_xlpm.m+1))</f>
        <v/>
      </c>
      <c r="J1396" s="137" t="inlineStr">
        <is>
          <t>NetSuite</t>
        </is>
      </c>
    </row>
    <row r="1397">
      <c r="A1397" s="5" t="inlineStr">
        <is>
          <t>STETSON AMERICAS</t>
        </is>
      </c>
      <c r="B1397" s="5">
        <f>IF($I2="","",INDEX(Productos!$A:$A,$I2))</f>
        <v/>
      </c>
      <c r="C1397" s="134" t="inlineStr">
        <is>
          <t>SFO250B05260772</t>
        </is>
      </c>
      <c r="D1397" s="5">
        <f>IF($I2="","",INDEX(Productos!$B:$B,$I2))</f>
        <v/>
      </c>
      <c r="E1397" s="5">
        <f>IF($I2="","",INDEX(Productos!$H:$H,$I2))</f>
        <v/>
      </c>
      <c r="F1397" s="5">
        <f>IF($I2="","",INDEX(Productos!$I:$I,$I2))</f>
        <v/>
      </c>
      <c r="G1397" s="135" t="n">
        <v>1</v>
      </c>
      <c r="H1397" s="5">
        <f>IF($I2="","",INDEX(Productos!$AG:$AG,$I2))</f>
        <v/>
      </c>
      <c r="I1397" s="136">
        <f>LET(_xlpm.r,Productos!$E$2:$E$2509,_xlpm.m,IFERROR(_xlfn.XMATCH(C1397,_xlpm.r),IFERROR(_xlfn.XMATCH(VALUE(C1397),_xlpm.r),0)),IF(_xlpm.m=0,"",_xlpm.m+1))</f>
        <v/>
      </c>
      <c r="J1397" s="137" t="inlineStr">
        <is>
          <t>NetSuite</t>
        </is>
      </c>
    </row>
    <row r="1398">
      <c r="A1398" s="5" t="inlineStr">
        <is>
          <t>STETSON AMERICAS</t>
        </is>
      </c>
      <c r="B1398" s="5">
        <f>IF($I2="","",INDEX(Productos!$A:$A,$I2))</f>
        <v/>
      </c>
      <c r="C1398" s="134" t="inlineStr">
        <is>
          <t>SFO250B05266167</t>
        </is>
      </c>
      <c r="D1398" s="5">
        <f>IF($I2="","",INDEX(Productos!$B:$B,$I2))</f>
        <v/>
      </c>
      <c r="E1398" s="5">
        <f>IF($I2="","",INDEX(Productos!$H:$H,$I2))</f>
        <v/>
      </c>
      <c r="F1398" s="5">
        <f>IF($I2="","",INDEX(Productos!$I:$I,$I2))</f>
        <v/>
      </c>
      <c r="G1398" s="135" t="n">
        <v>1</v>
      </c>
      <c r="H1398" s="5">
        <f>IF($I2="","",INDEX(Productos!$AG:$AG,$I2))</f>
        <v/>
      </c>
      <c r="I1398" s="136">
        <f>LET(_xlpm.r,Productos!$E$2:$E$2509,_xlpm.m,IFERROR(_xlfn.XMATCH(C1398,_xlpm.r),IFERROR(_xlfn.XMATCH(VALUE(C1398),_xlpm.r),0)),IF(_xlpm.m=0,"",_xlpm.m+1))</f>
        <v/>
      </c>
      <c r="J1398" s="137" t="inlineStr">
        <is>
          <t>NetSuite</t>
        </is>
      </c>
    </row>
    <row r="1399">
      <c r="A1399" s="5" t="inlineStr">
        <is>
          <t>STETSON AMERICAS</t>
        </is>
      </c>
      <c r="B1399" s="5">
        <f>IF($I2="","",INDEX(Productos!$A:$A,$I2))</f>
        <v/>
      </c>
      <c r="C1399" s="134" t="inlineStr">
        <is>
          <t>SFO250B05266170</t>
        </is>
      </c>
      <c r="D1399" s="5">
        <f>IF($I2="","",INDEX(Productos!$B:$B,$I2))</f>
        <v/>
      </c>
      <c r="E1399" s="5">
        <f>IF($I2="","",INDEX(Productos!$H:$H,$I2))</f>
        <v/>
      </c>
      <c r="F1399" s="5">
        <f>IF($I2="","",INDEX(Productos!$I:$I,$I2))</f>
        <v/>
      </c>
      <c r="G1399" s="135" t="n">
        <v>1</v>
      </c>
      <c r="H1399" s="5">
        <f>IF($I2="","",INDEX(Productos!$AG:$AG,$I2))</f>
        <v/>
      </c>
      <c r="I1399" s="136">
        <f>LET(_xlpm.r,Productos!$E$2:$E$2509,_xlpm.m,IFERROR(_xlfn.XMATCH(C1399,_xlpm.r),IFERROR(_xlfn.XMATCH(VALUE(C1399),_xlpm.r),0)),IF(_xlpm.m=0,"",_xlpm.m+1))</f>
        <v/>
      </c>
      <c r="J1399" s="137" t="inlineStr">
        <is>
          <t>NetSuite</t>
        </is>
      </c>
    </row>
    <row r="1400">
      <c r="A1400" s="5" t="inlineStr">
        <is>
          <t>STETSON AMERICAS</t>
        </is>
      </c>
      <c r="B1400" s="5">
        <f>IF($I2="","",INDEX(Productos!$A:$A,$I2))</f>
        <v/>
      </c>
      <c r="C1400" s="134" t="inlineStr">
        <is>
          <t>SFO250B05266171</t>
        </is>
      </c>
      <c r="D1400" s="5">
        <f>IF($I2="","",INDEX(Productos!$B:$B,$I2))</f>
        <v/>
      </c>
      <c r="E1400" s="5">
        <f>IF($I2="","",INDEX(Productos!$H:$H,$I2))</f>
        <v/>
      </c>
      <c r="F1400" s="5">
        <f>IF($I2="","",INDEX(Productos!$I:$I,$I2))</f>
        <v/>
      </c>
      <c r="G1400" s="135" t="n">
        <v>1</v>
      </c>
      <c r="H1400" s="5">
        <f>IF($I2="","",INDEX(Productos!$AG:$AG,$I2))</f>
        <v/>
      </c>
      <c r="I1400" s="136">
        <f>LET(_xlpm.r,Productos!$E$2:$E$2509,_xlpm.m,IFERROR(_xlfn.XMATCH(C1400,_xlpm.r),IFERROR(_xlfn.XMATCH(VALUE(C1400),_xlpm.r),0)),IF(_xlpm.m=0,"",_xlpm.m+1))</f>
        <v/>
      </c>
      <c r="J1400" s="137" t="inlineStr">
        <is>
          <t>NetSuite</t>
        </is>
      </c>
    </row>
    <row r="1401">
      <c r="A1401" s="5" t="inlineStr">
        <is>
          <t>STETSON AMERICAS</t>
        </is>
      </c>
      <c r="B1401" s="5">
        <f>IF($I2="","",INDEX(Productos!$A:$A,$I2))</f>
        <v/>
      </c>
      <c r="C1401" s="134" t="inlineStr">
        <is>
          <t>SFO250B05266172</t>
        </is>
      </c>
      <c r="D1401" s="5">
        <f>IF($I2="","",INDEX(Productos!$B:$B,$I2))</f>
        <v/>
      </c>
      <c r="E1401" s="5">
        <f>IF($I2="","",INDEX(Productos!$H:$H,$I2))</f>
        <v/>
      </c>
      <c r="F1401" s="5">
        <f>IF($I2="","",INDEX(Productos!$I:$I,$I2))</f>
        <v/>
      </c>
      <c r="G1401" s="135" t="n">
        <v>1</v>
      </c>
      <c r="H1401" s="5">
        <f>IF($I2="","",INDEX(Productos!$AG:$AG,$I2))</f>
        <v/>
      </c>
      <c r="I1401" s="136">
        <f>LET(_xlpm.r,Productos!$E$2:$E$2509,_xlpm.m,IFERROR(_xlfn.XMATCH(C1401,_xlpm.r),IFERROR(_xlfn.XMATCH(VALUE(C1401),_xlpm.r),0)),IF(_xlpm.m=0,"",_xlpm.m+1))</f>
        <v/>
      </c>
      <c r="J1401" s="137" t="inlineStr">
        <is>
          <t>NetSuite</t>
        </is>
      </c>
    </row>
    <row r="1402">
      <c r="A1402" s="5" t="inlineStr">
        <is>
          <t>STETSON AMERICAS</t>
        </is>
      </c>
      <c r="B1402" s="5">
        <f>IF($I2="","",INDEX(Productos!$A:$A,$I2))</f>
        <v/>
      </c>
      <c r="C1402" s="134" t="inlineStr">
        <is>
          <t>SFO250B05266267</t>
        </is>
      </c>
      <c r="D1402" s="5">
        <f>IF($I2="","",INDEX(Productos!$B:$B,$I2))</f>
        <v/>
      </c>
      <c r="E1402" s="5">
        <f>IF($I2="","",INDEX(Productos!$H:$H,$I2))</f>
        <v/>
      </c>
      <c r="F1402" s="5">
        <f>IF($I2="","",INDEX(Productos!$I:$I,$I2))</f>
        <v/>
      </c>
      <c r="G1402" s="135" t="n">
        <v>1</v>
      </c>
      <c r="H1402" s="5">
        <f>IF($I2="","",INDEX(Productos!$AG:$AG,$I2))</f>
        <v/>
      </c>
      <c r="I1402" s="136">
        <f>LET(_xlpm.r,Productos!$E$2:$E$2509,_xlpm.m,IFERROR(_xlfn.XMATCH(C1402,_xlpm.r),IFERROR(_xlfn.XMATCH(VALUE(C1402),_xlpm.r),0)),IF(_xlpm.m=0,"",_xlpm.m+1))</f>
        <v/>
      </c>
      <c r="J1402" s="137" t="inlineStr">
        <is>
          <t>NetSuite</t>
        </is>
      </c>
    </row>
    <row r="1403">
      <c r="A1403" s="5" t="inlineStr">
        <is>
          <t>STETSON AMERICAS</t>
        </is>
      </c>
      <c r="B1403" s="5">
        <f>IF($I2="","",INDEX(Productos!$A:$A,$I2))</f>
        <v/>
      </c>
      <c r="C1403" s="134" t="inlineStr">
        <is>
          <t>SFO250B05266270</t>
        </is>
      </c>
      <c r="D1403" s="5">
        <f>IF($I2="","",INDEX(Productos!$B:$B,$I2))</f>
        <v/>
      </c>
      <c r="E1403" s="5">
        <f>IF($I2="","",INDEX(Productos!$H:$H,$I2))</f>
        <v/>
      </c>
      <c r="F1403" s="5">
        <f>IF($I2="","",INDEX(Productos!$I:$I,$I2))</f>
        <v/>
      </c>
      <c r="G1403" s="135" t="n">
        <v>1</v>
      </c>
      <c r="H1403" s="5">
        <f>IF($I2="","",INDEX(Productos!$AG:$AG,$I2))</f>
        <v/>
      </c>
      <c r="I1403" s="136">
        <f>LET(_xlpm.r,Productos!$E$2:$E$2509,_xlpm.m,IFERROR(_xlfn.XMATCH(C1403,_xlpm.r),IFERROR(_xlfn.XMATCH(VALUE(C1403),_xlpm.r),0)),IF(_xlpm.m=0,"",_xlpm.m+1))</f>
        <v/>
      </c>
      <c r="J1403" s="137" t="inlineStr">
        <is>
          <t>NetSuite</t>
        </is>
      </c>
    </row>
    <row r="1404">
      <c r="A1404" s="5" t="inlineStr">
        <is>
          <t>STETSON AMERICAS</t>
        </is>
      </c>
      <c r="B1404" s="5">
        <f>IF($I2="","",INDEX(Productos!$A:$A,$I2))</f>
        <v/>
      </c>
      <c r="C1404" s="134" t="inlineStr">
        <is>
          <t>SFO250B05266271</t>
        </is>
      </c>
      <c r="D1404" s="5">
        <f>IF($I2="","",INDEX(Productos!$B:$B,$I2))</f>
        <v/>
      </c>
      <c r="E1404" s="5">
        <f>IF($I2="","",INDEX(Productos!$H:$H,$I2))</f>
        <v/>
      </c>
      <c r="F1404" s="5">
        <f>IF($I2="","",INDEX(Productos!$I:$I,$I2))</f>
        <v/>
      </c>
      <c r="G1404" s="135" t="n">
        <v>1</v>
      </c>
      <c r="H1404" s="5">
        <f>IF($I2="","",INDEX(Productos!$AG:$AG,$I2))</f>
        <v/>
      </c>
      <c r="I1404" s="136">
        <f>LET(_xlpm.r,Productos!$E$2:$E$2509,_xlpm.m,IFERROR(_xlfn.XMATCH(C1404,_xlpm.r),IFERROR(_xlfn.XMATCH(VALUE(C1404),_xlpm.r),0)),IF(_xlpm.m=0,"",_xlpm.m+1))</f>
        <v/>
      </c>
      <c r="J1404" s="137" t="inlineStr">
        <is>
          <t>NetSuite</t>
        </is>
      </c>
    </row>
    <row r="1405">
      <c r="A1405" s="5" t="inlineStr">
        <is>
          <t>STETSON AMERICAS</t>
        </is>
      </c>
      <c r="B1405" s="5">
        <f>IF($I2="","",INDEX(Productos!$A:$A,$I2))</f>
        <v/>
      </c>
      <c r="C1405" s="134" t="inlineStr">
        <is>
          <t>SFO250B05266272</t>
        </is>
      </c>
      <c r="D1405" s="5">
        <f>IF($I2="","",INDEX(Productos!$B:$B,$I2))</f>
        <v/>
      </c>
      <c r="E1405" s="5">
        <f>IF($I2="","",INDEX(Productos!$H:$H,$I2))</f>
        <v/>
      </c>
      <c r="F1405" s="5">
        <f>IF($I2="","",INDEX(Productos!$I:$I,$I2))</f>
        <v/>
      </c>
      <c r="G1405" s="135" t="n">
        <v>1</v>
      </c>
      <c r="H1405" s="5">
        <f>IF($I2="","",INDEX(Productos!$AG:$AG,$I2))</f>
        <v/>
      </c>
      <c r="I1405" s="136">
        <f>LET(_xlpm.r,Productos!$E$2:$E$2509,_xlpm.m,IFERROR(_xlfn.XMATCH(C1405,_xlpm.r),IFERROR(_xlfn.XMATCH(VALUE(C1405),_xlpm.r),0)),IF(_xlpm.m=0,"",_xlpm.m+1))</f>
        <v/>
      </c>
      <c r="J1405" s="137" t="inlineStr">
        <is>
          <t>NetSuite</t>
        </is>
      </c>
    </row>
    <row r="1406">
      <c r="A1406" s="5" t="inlineStr">
        <is>
          <t>STETSON AMERICAS</t>
        </is>
      </c>
      <c r="B1406" s="5">
        <f>IF($I2="","",INDEX(Productos!$A:$A,$I2))</f>
        <v/>
      </c>
      <c r="C1406" s="134" t="inlineStr">
        <is>
          <t>SFPALC-01400767</t>
        </is>
      </c>
      <c r="D1406" s="5">
        <f>IF($I2="","",INDEX(Productos!$B:$B,$I2))</f>
        <v/>
      </c>
      <c r="E1406" s="5">
        <f>IF($I2="","",INDEX(Productos!$H:$H,$I2))</f>
        <v/>
      </c>
      <c r="F1406" s="5">
        <f>IF($I2="","",INDEX(Productos!$I:$I,$I2))</f>
        <v/>
      </c>
      <c r="G1406" s="135" t="n">
        <v>-2</v>
      </c>
      <c r="H1406" s="5">
        <f>IF($I2="","",INDEX(Productos!$AG:$AG,$I2))</f>
        <v/>
      </c>
      <c r="I1406" s="136">
        <f>LET(_xlpm.r,Productos!$E$2:$E$2509,_xlpm.m,IFERROR(_xlfn.XMATCH(C1406,_xlpm.r),IFERROR(_xlfn.XMATCH(VALUE(C1406),_xlpm.r),0)),IF(_xlpm.m=0,"",_xlpm.m+1))</f>
        <v/>
      </c>
      <c r="J1406" s="137" t="inlineStr">
        <is>
          <t>NetSuite</t>
        </is>
      </c>
    </row>
    <row r="1407">
      <c r="A1407" s="5" t="inlineStr">
        <is>
          <t>STETSON AMERICAS</t>
        </is>
      </c>
      <c r="B1407" s="5">
        <f>IF($I2="","",INDEX(Productos!$A:$A,$I2))</f>
        <v/>
      </c>
      <c r="C1407" s="134" t="inlineStr">
        <is>
          <t>SFPALC-01400770</t>
        </is>
      </c>
      <c r="D1407" s="5">
        <f>IF($I2="","",INDEX(Productos!$B:$B,$I2))</f>
        <v/>
      </c>
      <c r="E1407" s="5">
        <f>IF($I2="","",INDEX(Productos!$H:$H,$I2))</f>
        <v/>
      </c>
      <c r="F1407" s="5">
        <f>IF($I2="","",INDEX(Productos!$I:$I,$I2))</f>
        <v/>
      </c>
      <c r="G1407" s="135" t="n">
        <v>-2</v>
      </c>
      <c r="H1407" s="5">
        <f>IF($I2="","",INDEX(Productos!$AG:$AG,$I2))</f>
        <v/>
      </c>
      <c r="I1407" s="136">
        <f>LET(_xlpm.r,Productos!$E$2:$E$2509,_xlpm.m,IFERROR(_xlfn.XMATCH(C1407,_xlpm.r),IFERROR(_xlfn.XMATCH(VALUE(C1407),_xlpm.r),0)),IF(_xlpm.m=0,"",_xlpm.m+1))</f>
        <v/>
      </c>
      <c r="J1407" s="137" t="inlineStr">
        <is>
          <t>NetSuite</t>
        </is>
      </c>
    </row>
    <row r="1408">
      <c r="A1408" s="5" t="inlineStr">
        <is>
          <t>STETSON AMERICAS</t>
        </is>
      </c>
      <c r="B1408" s="5">
        <f>IF($I2="","",INDEX(Productos!$A:$A,$I2))</f>
        <v/>
      </c>
      <c r="C1408" s="134" t="inlineStr">
        <is>
          <t>SFPALC-01400771</t>
        </is>
      </c>
      <c r="D1408" s="5">
        <f>IF($I2="","",INDEX(Productos!$B:$B,$I2))</f>
        <v/>
      </c>
      <c r="E1408" s="5">
        <f>IF($I2="","",INDEX(Productos!$H:$H,$I2))</f>
        <v/>
      </c>
      <c r="F1408" s="5">
        <f>IF($I2="","",INDEX(Productos!$I:$I,$I2))</f>
        <v/>
      </c>
      <c r="G1408" s="135" t="n">
        <v>2</v>
      </c>
      <c r="H1408" s="5">
        <f>IF($I2="","",INDEX(Productos!$AG:$AG,$I2))</f>
        <v/>
      </c>
      <c r="I1408" s="136">
        <f>LET(_xlpm.r,Productos!$E$2:$E$2509,_xlpm.m,IFERROR(_xlfn.XMATCH(C1408,_xlpm.r),IFERROR(_xlfn.XMATCH(VALUE(C1408),_xlpm.r),0)),IF(_xlpm.m=0,"",_xlpm.m+1))</f>
        <v/>
      </c>
      <c r="J1408" s="137" t="inlineStr">
        <is>
          <t>NetSuite</t>
        </is>
      </c>
    </row>
    <row r="1409">
      <c r="A1409" s="5" t="inlineStr">
        <is>
          <t>STETSON AMERICAS</t>
        </is>
      </c>
      <c r="B1409" s="5">
        <f>IF($I2="","",INDEX(Productos!$A:$A,$I2))</f>
        <v/>
      </c>
      <c r="C1409" s="134" t="inlineStr">
        <is>
          <t>SFPALC-01400772</t>
        </is>
      </c>
      <c r="D1409" s="5">
        <f>IF($I2="","",INDEX(Productos!$B:$B,$I2))</f>
        <v/>
      </c>
      <c r="E1409" s="5">
        <f>IF($I2="","",INDEX(Productos!$H:$H,$I2))</f>
        <v/>
      </c>
      <c r="F1409" s="5">
        <f>IF($I2="","",INDEX(Productos!$I:$I,$I2))</f>
        <v/>
      </c>
      <c r="G1409" s="135" t="n">
        <v>1</v>
      </c>
      <c r="H1409" s="5">
        <f>IF($I2="","",INDEX(Productos!$AG:$AG,$I2))</f>
        <v/>
      </c>
      <c r="I1409" s="136">
        <f>LET(_xlpm.r,Productos!$E$2:$E$2509,_xlpm.m,IFERROR(_xlfn.XMATCH(C1409,_xlpm.r),IFERROR(_xlfn.XMATCH(VALUE(C1409),_xlpm.r),0)),IF(_xlpm.m=0,"",_xlpm.m+1))</f>
        <v/>
      </c>
      <c r="J1409" s="137" t="inlineStr">
        <is>
          <t>NetSuite</t>
        </is>
      </c>
    </row>
    <row r="1410">
      <c r="A1410" s="5" t="inlineStr">
        <is>
          <t>STETSON AMERICAS</t>
        </is>
      </c>
      <c r="B1410" s="5">
        <f>IF($I2="","",INDEX(Productos!$A:$A,$I2))</f>
        <v/>
      </c>
      <c r="C1410" s="134" t="inlineStr">
        <is>
          <t>SFPALC-01400773</t>
        </is>
      </c>
      <c r="D1410" s="5">
        <f>IF($I2="","",INDEX(Productos!$B:$B,$I2))</f>
        <v/>
      </c>
      <c r="E1410" s="5">
        <f>IF($I2="","",INDEX(Productos!$H:$H,$I2))</f>
        <v/>
      </c>
      <c r="F1410" s="5">
        <f>IF($I2="","",INDEX(Productos!$I:$I,$I2))</f>
        <v/>
      </c>
      <c r="G1410" s="135" t="n">
        <v>1</v>
      </c>
      <c r="H1410" s="5">
        <f>IF($I2="","",INDEX(Productos!$AG:$AG,$I2))</f>
        <v/>
      </c>
      <c r="I1410" s="136">
        <f>LET(_xlpm.r,Productos!$E$2:$E$2509,_xlpm.m,IFERROR(_xlfn.XMATCH(C1410,_xlpm.r),IFERROR(_xlfn.XMATCH(VALUE(C1410),_xlpm.r),0)),IF(_xlpm.m=0,"",_xlpm.m+1))</f>
        <v/>
      </c>
      <c r="J1410" s="137" t="inlineStr">
        <is>
          <t>NetSuite</t>
        </is>
      </c>
    </row>
    <row r="1411">
      <c r="A1411" s="5" t="inlineStr">
        <is>
          <t>STETSON AMERICAS</t>
        </is>
      </c>
      <c r="B1411" s="5">
        <f>IF($I2="","",INDEX(Productos!$A:$A,$I2))</f>
        <v/>
      </c>
      <c r="C1411" s="134" t="inlineStr">
        <is>
          <t>SFPALC-01406167</t>
        </is>
      </c>
      <c r="D1411" s="5">
        <f>IF($I2="","",INDEX(Productos!$B:$B,$I2))</f>
        <v/>
      </c>
      <c r="E1411" s="5">
        <f>IF($I2="","",INDEX(Productos!$H:$H,$I2))</f>
        <v/>
      </c>
      <c r="F1411" s="5">
        <f>IF($I2="","",INDEX(Productos!$I:$I,$I2))</f>
        <v/>
      </c>
      <c r="G1411" s="135" t="n">
        <v>-1</v>
      </c>
      <c r="H1411" s="5">
        <f>IF($I2="","",INDEX(Productos!$AG:$AG,$I2))</f>
        <v/>
      </c>
      <c r="I1411" s="136">
        <f>LET(_xlpm.r,Productos!$E$2:$E$2509,_xlpm.m,IFERROR(_xlfn.XMATCH(C1411,_xlpm.r),IFERROR(_xlfn.XMATCH(VALUE(C1411),_xlpm.r),0)),IF(_xlpm.m=0,"",_xlpm.m+1))</f>
        <v/>
      </c>
      <c r="J1411" s="137" t="inlineStr">
        <is>
          <t>NetSuite</t>
        </is>
      </c>
    </row>
    <row r="1412">
      <c r="A1412" s="5" t="inlineStr">
        <is>
          <t>STETSON AMERICAS</t>
        </is>
      </c>
      <c r="B1412" s="5">
        <f>IF($I2="","",INDEX(Productos!$A:$A,$I2))</f>
        <v/>
      </c>
      <c r="C1412" s="134" t="inlineStr">
        <is>
          <t>SFPALC-01406170</t>
        </is>
      </c>
      <c r="D1412" s="5">
        <f>IF($I2="","",INDEX(Productos!$B:$B,$I2))</f>
        <v/>
      </c>
      <c r="E1412" s="5">
        <f>IF($I2="","",INDEX(Productos!$H:$H,$I2))</f>
        <v/>
      </c>
      <c r="F1412" s="5">
        <f>IF($I2="","",INDEX(Productos!$I:$I,$I2))</f>
        <v/>
      </c>
      <c r="G1412" s="135" t="n">
        <v>-1</v>
      </c>
      <c r="H1412" s="5">
        <f>IF($I2="","",INDEX(Productos!$AG:$AG,$I2))</f>
        <v/>
      </c>
      <c r="I1412" s="136">
        <f>LET(_xlpm.r,Productos!$E$2:$E$2509,_xlpm.m,IFERROR(_xlfn.XMATCH(C1412,_xlpm.r),IFERROR(_xlfn.XMATCH(VALUE(C1412),_xlpm.r),0)),IF(_xlpm.m=0,"",_xlpm.m+1))</f>
        <v/>
      </c>
      <c r="J1412" s="137" t="inlineStr">
        <is>
          <t>NetSuite</t>
        </is>
      </c>
    </row>
    <row r="1413">
      <c r="A1413" s="5" t="inlineStr">
        <is>
          <t>STETSON AMERICAS</t>
        </is>
      </c>
      <c r="B1413" s="5">
        <f>IF($I2="","",INDEX(Productos!$A:$A,$I2))</f>
        <v/>
      </c>
      <c r="C1413" s="134" t="inlineStr">
        <is>
          <t>SFPALC-01406172</t>
        </is>
      </c>
      <c r="D1413" s="5">
        <f>IF($I2="","",INDEX(Productos!$B:$B,$I2))</f>
        <v/>
      </c>
      <c r="E1413" s="5">
        <f>IF($I2="","",INDEX(Productos!$H:$H,$I2))</f>
        <v/>
      </c>
      <c r="F1413" s="5">
        <f>IF($I2="","",INDEX(Productos!$I:$I,$I2))</f>
        <v/>
      </c>
      <c r="G1413" s="135" t="n">
        <v>-1</v>
      </c>
      <c r="H1413" s="5">
        <f>IF($I2="","",INDEX(Productos!$AG:$AG,$I2))</f>
        <v/>
      </c>
      <c r="I1413" s="136">
        <f>LET(_xlpm.r,Productos!$E$2:$E$2509,_xlpm.m,IFERROR(_xlfn.XMATCH(C1413,_xlpm.r),IFERROR(_xlfn.XMATCH(VALUE(C1413),_xlpm.r),0)),IF(_xlpm.m=0,"",_xlpm.m+1))</f>
        <v/>
      </c>
      <c r="J1413" s="137" t="inlineStr">
        <is>
          <t>NetSuite</t>
        </is>
      </c>
    </row>
    <row r="1414">
      <c r="A1414" s="5" t="inlineStr">
        <is>
          <t>STETSON AMERICAS</t>
        </is>
      </c>
      <c r="B1414" s="5">
        <f>IF($I2="","",INDEX(Productos!$A:$A,$I2))</f>
        <v/>
      </c>
      <c r="C1414" s="134" t="inlineStr">
        <is>
          <t>SFPALC-01406173</t>
        </is>
      </c>
      <c r="D1414" s="5">
        <f>IF($I2="","",INDEX(Productos!$B:$B,$I2))</f>
        <v/>
      </c>
      <c r="E1414" s="5">
        <f>IF($I2="","",INDEX(Productos!$H:$H,$I2))</f>
        <v/>
      </c>
      <c r="F1414" s="5">
        <f>IF($I2="","",INDEX(Productos!$I:$I,$I2))</f>
        <v/>
      </c>
      <c r="G1414" s="135" t="n">
        <v>-1</v>
      </c>
      <c r="H1414" s="5">
        <f>IF($I2="","",INDEX(Productos!$AG:$AG,$I2))</f>
        <v/>
      </c>
      <c r="I1414" s="136">
        <f>LET(_xlpm.r,Productos!$E$2:$E$2509,_xlpm.m,IFERROR(_xlfn.XMATCH(C1414,_xlpm.r),IFERROR(_xlfn.XMATCH(VALUE(C1414),_xlpm.r),0)),IF(_xlpm.m=0,"",_xlpm.m+1))</f>
        <v/>
      </c>
      <c r="J1414" s="137" t="inlineStr">
        <is>
          <t>NetSuite</t>
        </is>
      </c>
    </row>
    <row r="1415">
      <c r="A1415" s="5" t="inlineStr">
        <is>
          <t>STETSON AMERICAS</t>
        </is>
      </c>
      <c r="B1415" s="5">
        <f>IF($I2="","",INDEX(Productos!$A:$A,$I2))</f>
        <v/>
      </c>
      <c r="C1415" s="134" t="inlineStr">
        <is>
          <t>SFPALC-01406174</t>
        </is>
      </c>
      <c r="D1415" s="5">
        <f>IF($I2="","",INDEX(Productos!$B:$B,$I2))</f>
        <v/>
      </c>
      <c r="E1415" s="5">
        <f>IF($I2="","",INDEX(Productos!$H:$H,$I2))</f>
        <v/>
      </c>
      <c r="F1415" s="5">
        <f>IF($I2="","",INDEX(Productos!$I:$I,$I2))</f>
        <v/>
      </c>
      <c r="G1415" s="135" t="n">
        <v>-2</v>
      </c>
      <c r="H1415" s="5">
        <f>IF($I2="","",INDEX(Productos!$AG:$AG,$I2))</f>
        <v/>
      </c>
      <c r="I1415" s="136">
        <f>LET(_xlpm.r,Productos!$E$2:$E$2509,_xlpm.m,IFERROR(_xlfn.XMATCH(C1415,_xlpm.r),IFERROR(_xlfn.XMATCH(VALUE(C1415),_xlpm.r),0)),IF(_xlpm.m=0,"",_xlpm.m+1))</f>
        <v/>
      </c>
      <c r="J1415" s="137" t="inlineStr">
        <is>
          <t>NetSuite</t>
        </is>
      </c>
    </row>
    <row r="1416">
      <c r="A1416" s="5" t="inlineStr">
        <is>
          <t>STETSON AMERICAS</t>
        </is>
      </c>
      <c r="B1416" s="5">
        <f>IF($I2="","",INDEX(Productos!$A:$A,$I2))</f>
        <v/>
      </c>
      <c r="C1416" s="134" t="inlineStr">
        <is>
          <t>SFPALC-01407270</t>
        </is>
      </c>
      <c r="D1416" s="5">
        <f>IF($I2="","",INDEX(Productos!$B:$B,$I2))</f>
        <v/>
      </c>
      <c r="E1416" s="5">
        <f>IF($I2="","",INDEX(Productos!$H:$H,$I2))</f>
        <v/>
      </c>
      <c r="F1416" s="5">
        <f>IF($I2="","",INDEX(Productos!$I:$I,$I2))</f>
        <v/>
      </c>
      <c r="G1416" s="135" t="n">
        <v>-1</v>
      </c>
      <c r="H1416" s="5">
        <f>IF($I2="","",INDEX(Productos!$AG:$AG,$I2))</f>
        <v/>
      </c>
      <c r="I1416" s="136">
        <f>LET(_xlpm.r,Productos!$E$2:$E$2509,_xlpm.m,IFERROR(_xlfn.XMATCH(C1416,_xlpm.r),IFERROR(_xlfn.XMATCH(VALUE(C1416),_xlpm.r),0)),IF(_xlpm.m=0,"",_xlpm.m+1))</f>
        <v/>
      </c>
      <c r="J1416" s="137" t="inlineStr">
        <is>
          <t>NetSuite</t>
        </is>
      </c>
    </row>
    <row r="1417">
      <c r="A1417" s="5" t="inlineStr">
        <is>
          <t>STETSON AMERICAS</t>
        </is>
      </c>
      <c r="B1417" s="5">
        <f>IF($I2="","",INDEX(Productos!$A:$A,$I2))</f>
        <v/>
      </c>
      <c r="C1417" s="134" t="inlineStr">
        <is>
          <t>SFPALC-01407271</t>
        </is>
      </c>
      <c r="D1417" s="5">
        <f>IF($I2="","",INDEX(Productos!$B:$B,$I2))</f>
        <v/>
      </c>
      <c r="E1417" s="5">
        <f>IF($I2="","",INDEX(Productos!$H:$H,$I2))</f>
        <v/>
      </c>
      <c r="F1417" s="5">
        <f>IF($I2="","",INDEX(Productos!$I:$I,$I2))</f>
        <v/>
      </c>
      <c r="G1417" s="135" t="n">
        <v>-1</v>
      </c>
      <c r="H1417" s="5">
        <f>IF($I2="","",INDEX(Productos!$AG:$AG,$I2))</f>
        <v/>
      </c>
      <c r="I1417" s="136">
        <f>LET(_xlpm.r,Productos!$E$2:$E$2509,_xlpm.m,IFERROR(_xlfn.XMATCH(C1417,_xlpm.r),IFERROR(_xlfn.XMATCH(VALUE(C1417),_xlpm.r),0)),IF(_xlpm.m=0,"",_xlpm.m+1))</f>
        <v/>
      </c>
      <c r="J1417" s="137" t="inlineStr">
        <is>
          <t>NetSuite</t>
        </is>
      </c>
    </row>
    <row r="1418">
      <c r="A1418" s="5" t="inlineStr">
        <is>
          <t>STETSON AMERICAS</t>
        </is>
      </c>
      <c r="B1418" s="5">
        <f>IF($I2="","",INDEX(Productos!$A:$A,$I2))</f>
        <v/>
      </c>
      <c r="C1418" s="134" t="inlineStr">
        <is>
          <t>SFPALC-48400766</t>
        </is>
      </c>
      <c r="D1418" s="5">
        <f>IF($I2="","",INDEX(Productos!$B:$B,$I2))</f>
        <v/>
      </c>
      <c r="E1418" s="5">
        <f>IF($I2="","",INDEX(Productos!$H:$H,$I2))</f>
        <v/>
      </c>
      <c r="F1418" s="5">
        <f>IF($I2="","",INDEX(Productos!$I:$I,$I2))</f>
        <v/>
      </c>
      <c r="G1418" s="135" t="n">
        <v>1</v>
      </c>
      <c r="H1418" s="5">
        <f>IF($I2="","",INDEX(Productos!$AG:$AG,$I2))</f>
        <v/>
      </c>
      <c r="I1418" s="136">
        <f>LET(_xlpm.r,Productos!$E$2:$E$2509,_xlpm.m,IFERROR(_xlfn.XMATCH(C1418,_xlpm.r),IFERROR(_xlfn.XMATCH(VALUE(C1418),_xlpm.r),0)),IF(_xlpm.m=0,"",_xlpm.m+1))</f>
        <v/>
      </c>
      <c r="J1418" s="137" t="inlineStr">
        <is>
          <t>NetSuite</t>
        </is>
      </c>
    </row>
    <row r="1419">
      <c r="A1419" s="5" t="inlineStr">
        <is>
          <t>STETSON AMERICAS</t>
        </is>
      </c>
      <c r="B1419" s="5">
        <f>IF($I2="","",INDEX(Productos!$A:$A,$I2))</f>
        <v/>
      </c>
      <c r="C1419" s="134" t="inlineStr">
        <is>
          <t>SFPALC-48400767</t>
        </is>
      </c>
      <c r="D1419" s="5">
        <f>IF($I2="","",INDEX(Productos!$B:$B,$I2))</f>
        <v/>
      </c>
      <c r="E1419" s="5">
        <f>IF($I2="","",INDEX(Productos!$H:$H,$I2))</f>
        <v/>
      </c>
      <c r="F1419" s="5">
        <f>IF($I2="","",INDEX(Productos!$I:$I,$I2))</f>
        <v/>
      </c>
      <c r="G1419" s="135" t="n">
        <v>1</v>
      </c>
      <c r="H1419" s="5">
        <f>IF($I2="","",INDEX(Productos!$AG:$AG,$I2))</f>
        <v/>
      </c>
      <c r="I1419" s="136">
        <f>LET(_xlpm.r,Productos!$E$2:$E$2509,_xlpm.m,IFERROR(_xlfn.XMATCH(C1419,_xlpm.r),IFERROR(_xlfn.XMATCH(VALUE(C1419),_xlpm.r),0)),IF(_xlpm.m=0,"",_xlpm.m+1))</f>
        <v/>
      </c>
      <c r="J1419" s="137" t="inlineStr">
        <is>
          <t>NetSuite</t>
        </is>
      </c>
    </row>
    <row r="1420">
      <c r="A1420" s="5" t="inlineStr">
        <is>
          <t>STETSON AMERICAS</t>
        </is>
      </c>
      <c r="B1420" s="5">
        <f>IF($I2="","",INDEX(Productos!$A:$A,$I2))</f>
        <v/>
      </c>
      <c r="C1420" s="134" t="inlineStr">
        <is>
          <t>SFPALC-48400772</t>
        </is>
      </c>
      <c r="D1420" s="5">
        <f>IF($I2="","",INDEX(Productos!$B:$B,$I2))</f>
        <v/>
      </c>
      <c r="E1420" s="5">
        <f>IF($I2="","",INDEX(Productos!$H:$H,$I2))</f>
        <v/>
      </c>
      <c r="F1420" s="5">
        <f>IF($I2="","",INDEX(Productos!$I:$I,$I2))</f>
        <v/>
      </c>
      <c r="G1420" s="135" t="n">
        <v>1</v>
      </c>
      <c r="H1420" s="5">
        <f>IF($I2="","",INDEX(Productos!$AG:$AG,$I2))</f>
        <v/>
      </c>
      <c r="I1420" s="136">
        <f>LET(_xlpm.r,Productos!$E$2:$E$2509,_xlpm.m,IFERROR(_xlfn.XMATCH(C1420,_xlpm.r),IFERROR(_xlfn.XMATCH(VALUE(C1420),_xlpm.r),0)),IF(_xlpm.m=0,"",_xlpm.m+1))</f>
        <v/>
      </c>
      <c r="J1420" s="137" t="inlineStr">
        <is>
          <t>NetSuite</t>
        </is>
      </c>
    </row>
    <row r="1421">
      <c r="A1421" s="5" t="inlineStr">
        <is>
          <t>STETSON AMERICAS</t>
        </is>
      </c>
      <c r="B1421" s="5">
        <f>IF($I2="","",INDEX(Productos!$A:$A,$I2))</f>
        <v/>
      </c>
      <c r="C1421" s="134" t="inlineStr">
        <is>
          <t>SFPALC-48400774</t>
        </is>
      </c>
      <c r="D1421" s="5">
        <f>IF($I2="","",INDEX(Productos!$B:$B,$I2))</f>
        <v/>
      </c>
      <c r="E1421" s="5">
        <f>IF($I2="","",INDEX(Productos!$H:$H,$I2))</f>
        <v/>
      </c>
      <c r="F1421" s="5">
        <f>IF($I2="","",INDEX(Productos!$I:$I,$I2))</f>
        <v/>
      </c>
      <c r="G1421" s="135" t="n">
        <v>1</v>
      </c>
      <c r="H1421" s="5">
        <f>IF($I2="","",INDEX(Productos!$AG:$AG,$I2))</f>
        <v/>
      </c>
      <c r="I1421" s="136">
        <f>LET(_xlpm.r,Productos!$E$2:$E$2509,_xlpm.m,IFERROR(_xlfn.XMATCH(C1421,_xlpm.r),IFERROR(_xlfn.XMATCH(VALUE(C1421),_xlpm.r),0)),IF(_xlpm.m=0,"",_xlpm.m+1))</f>
        <v/>
      </c>
      <c r="J1421" s="137" t="inlineStr">
        <is>
          <t>NetSuite</t>
        </is>
      </c>
    </row>
    <row r="1422">
      <c r="A1422" s="5" t="inlineStr">
        <is>
          <t>STETSON AMERICAS</t>
        </is>
      </c>
      <c r="B1422" s="5">
        <f>IF($I2="","",INDEX(Productos!$A:$A,$I2))</f>
        <v/>
      </c>
      <c r="C1422" s="134" t="inlineStr">
        <is>
          <t>SFPRES-01400770</t>
        </is>
      </c>
      <c r="D1422" s="5">
        <f>IF($I2="","",INDEX(Productos!$B:$B,$I2))</f>
        <v/>
      </c>
      <c r="E1422" s="5">
        <f>IF($I2="","",INDEX(Productos!$H:$H,$I2))</f>
        <v/>
      </c>
      <c r="F1422" s="5">
        <f>IF($I2="","",INDEX(Productos!$I:$I,$I2))</f>
        <v/>
      </c>
      <c r="G1422" s="135" t="n">
        <v>-1</v>
      </c>
      <c r="H1422" s="5">
        <f>IF($I2="","",INDEX(Productos!$AG:$AG,$I2))</f>
        <v/>
      </c>
      <c r="I1422" s="136">
        <f>LET(_xlpm.r,Productos!$E$2:$E$2509,_xlpm.m,IFERROR(_xlfn.XMATCH(C1422,_xlpm.r),IFERROR(_xlfn.XMATCH(VALUE(C1422),_xlpm.r),0)),IF(_xlpm.m=0,"",_xlpm.m+1))</f>
        <v/>
      </c>
      <c r="J1422" s="137" t="inlineStr">
        <is>
          <t>NetSuite</t>
        </is>
      </c>
    </row>
    <row r="1423">
      <c r="A1423" s="5" t="inlineStr">
        <is>
          <t>STETSON AMERICAS</t>
        </is>
      </c>
      <c r="B1423" s="5">
        <f>IF($I2="","",INDEX(Productos!$A:$A,$I2))</f>
        <v/>
      </c>
      <c r="C1423" s="134" t="inlineStr">
        <is>
          <t>SFPRES-01400771</t>
        </is>
      </c>
      <c r="D1423" s="5">
        <f>IF($I2="","",INDEX(Productos!$B:$B,$I2))</f>
        <v/>
      </c>
      <c r="E1423" s="5">
        <f>IF($I2="","",INDEX(Productos!$H:$H,$I2))</f>
        <v/>
      </c>
      <c r="F1423" s="5">
        <f>IF($I2="","",INDEX(Productos!$I:$I,$I2))</f>
        <v/>
      </c>
      <c r="G1423" s="135" t="n">
        <v>-1</v>
      </c>
      <c r="H1423" s="5">
        <f>IF($I2="","",INDEX(Productos!$AG:$AG,$I2))</f>
        <v/>
      </c>
      <c r="I1423" s="136">
        <f>LET(_xlpm.r,Productos!$E$2:$E$2509,_xlpm.m,IFERROR(_xlfn.XMATCH(C1423,_xlpm.r),IFERROR(_xlfn.XMATCH(VALUE(C1423),_xlpm.r),0)),IF(_xlpm.m=0,"",_xlpm.m+1))</f>
        <v/>
      </c>
      <c r="J1423" s="137" t="inlineStr">
        <is>
          <t>NetSuite</t>
        </is>
      </c>
    </row>
    <row r="1424">
      <c r="A1424" s="5" t="inlineStr">
        <is>
          <t>STETSON AMERICAS</t>
        </is>
      </c>
      <c r="B1424" s="5">
        <f>IF($I2="","",INDEX(Productos!$A:$A,$I2))</f>
        <v/>
      </c>
      <c r="C1424" s="134" t="inlineStr">
        <is>
          <t>SFPRES-01400772</t>
        </is>
      </c>
      <c r="D1424" s="5">
        <f>IF($I2="","",INDEX(Productos!$B:$B,$I2))</f>
        <v/>
      </c>
      <c r="E1424" s="5">
        <f>IF($I2="","",INDEX(Productos!$H:$H,$I2))</f>
        <v/>
      </c>
      <c r="F1424" s="5">
        <f>IF($I2="","",INDEX(Productos!$I:$I,$I2))</f>
        <v/>
      </c>
      <c r="G1424" s="135" t="n">
        <v>-2</v>
      </c>
      <c r="H1424" s="5">
        <f>IF($I2="","",INDEX(Productos!$AG:$AG,$I2))</f>
        <v/>
      </c>
      <c r="I1424" s="136">
        <f>LET(_xlpm.r,Productos!$E$2:$E$2509,_xlpm.m,IFERROR(_xlfn.XMATCH(C1424,_xlpm.r),IFERROR(_xlfn.XMATCH(VALUE(C1424),_xlpm.r),0)),IF(_xlpm.m=0,"",_xlpm.m+1))</f>
        <v/>
      </c>
      <c r="J1424" s="137" t="inlineStr">
        <is>
          <t>NetSuite</t>
        </is>
      </c>
    </row>
    <row r="1425">
      <c r="A1425" s="5" t="inlineStr">
        <is>
          <t>STETSON AMERICAS</t>
        </is>
      </c>
      <c r="B1425" s="5">
        <f>IF($I2="","",INDEX(Productos!$A:$A,$I2))</f>
        <v/>
      </c>
      <c r="C1425" s="134" t="inlineStr">
        <is>
          <t>SFPRES-48402270</t>
        </is>
      </c>
      <c r="D1425" s="5">
        <f>IF($I2="","",INDEX(Productos!$B:$B,$I2))</f>
        <v/>
      </c>
      <c r="E1425" s="5">
        <f>IF($I2="","",INDEX(Productos!$H:$H,$I2))</f>
        <v/>
      </c>
      <c r="F1425" s="5">
        <f>IF($I2="","",INDEX(Productos!$I:$I,$I2))</f>
        <v/>
      </c>
      <c r="G1425" s="135" t="n">
        <v>1</v>
      </c>
      <c r="H1425" s="5">
        <f>IF($I2="","",INDEX(Productos!$AG:$AG,$I2))</f>
        <v/>
      </c>
      <c r="I1425" s="136">
        <f>LET(_xlpm.r,Productos!$E$2:$E$2509,_xlpm.m,IFERROR(_xlfn.XMATCH(C1425,_xlpm.r),IFERROR(_xlfn.XMATCH(VALUE(C1425),_xlpm.r),0)),IF(_xlpm.m=0,"",_xlpm.m+1))</f>
        <v/>
      </c>
      <c r="J1425" s="137" t="inlineStr">
        <is>
          <t>NetSuite</t>
        </is>
      </c>
    </row>
    <row r="1426">
      <c r="A1426" s="5" t="inlineStr">
        <is>
          <t>STETSON AMERICAS</t>
        </is>
      </c>
      <c r="B1426" s="5">
        <f>IF($I2="","",INDEX(Productos!$A:$A,$I2))</f>
        <v/>
      </c>
      <c r="C1426" s="134" t="inlineStr">
        <is>
          <t>SFPRES-48402271</t>
        </is>
      </c>
      <c r="D1426" s="5">
        <f>IF($I2="","",INDEX(Productos!$B:$B,$I2))</f>
        <v/>
      </c>
      <c r="E1426" s="5">
        <f>IF($I2="","",INDEX(Productos!$H:$H,$I2))</f>
        <v/>
      </c>
      <c r="F1426" s="5">
        <f>IF($I2="","",INDEX(Productos!$I:$I,$I2))</f>
        <v/>
      </c>
      <c r="G1426" s="135" t="n">
        <v>2</v>
      </c>
      <c r="H1426" s="5">
        <f>IF($I2="","",INDEX(Productos!$AG:$AG,$I2))</f>
        <v/>
      </c>
      <c r="I1426" s="136">
        <f>LET(_xlpm.r,Productos!$E$2:$E$2509,_xlpm.m,IFERROR(_xlfn.XMATCH(C1426,_xlpm.r),IFERROR(_xlfn.XMATCH(VALUE(C1426),_xlpm.r),0)),IF(_xlpm.m=0,"",_xlpm.m+1))</f>
        <v/>
      </c>
      <c r="J1426" s="137" t="inlineStr">
        <is>
          <t>NetSuite</t>
        </is>
      </c>
    </row>
    <row r="1427">
      <c r="A1427" s="5" t="inlineStr">
        <is>
          <t>STETSON AMERICAS</t>
        </is>
      </c>
      <c r="B1427" s="5">
        <f>IF($I2="","",INDEX(Productos!$A:$A,$I2))</f>
        <v/>
      </c>
      <c r="C1427" s="134" t="inlineStr">
        <is>
          <t>SFPRES-48402272</t>
        </is>
      </c>
      <c r="D1427" s="5">
        <f>IF($I2="","",INDEX(Productos!$B:$B,$I2))</f>
        <v/>
      </c>
      <c r="E1427" s="5">
        <f>IF($I2="","",INDEX(Productos!$H:$H,$I2))</f>
        <v/>
      </c>
      <c r="F1427" s="5">
        <f>IF($I2="","",INDEX(Productos!$I:$I,$I2))</f>
        <v/>
      </c>
      <c r="G1427" s="135" t="n">
        <v>2</v>
      </c>
      <c r="H1427" s="5">
        <f>IF($I2="","",INDEX(Productos!$AG:$AG,$I2))</f>
        <v/>
      </c>
      <c r="I1427" s="136">
        <f>LET(_xlpm.r,Productos!$E$2:$E$2509,_xlpm.m,IFERROR(_xlfn.XMATCH(C1427,_xlpm.r),IFERROR(_xlfn.XMATCH(VALUE(C1427),_xlpm.r),0)),IF(_xlpm.m=0,"",_xlpm.m+1))</f>
        <v/>
      </c>
      <c r="J1427" s="137" t="inlineStr">
        <is>
          <t>NetSuite</t>
        </is>
      </c>
    </row>
    <row r="1428">
      <c r="A1428" s="5" t="inlineStr">
        <is>
          <t>STETSON AMERICAS</t>
        </is>
      </c>
      <c r="B1428" s="5">
        <f>IF($I2="","",INDEX(Productos!$A:$A,$I2))</f>
        <v/>
      </c>
      <c r="C1428" s="134" t="inlineStr">
        <is>
          <t>SFPRES-48402273</t>
        </is>
      </c>
      <c r="D1428" s="5">
        <f>IF($I2="","",INDEX(Productos!$B:$B,$I2))</f>
        <v/>
      </c>
      <c r="E1428" s="5">
        <f>IF($I2="","",INDEX(Productos!$H:$H,$I2))</f>
        <v/>
      </c>
      <c r="F1428" s="5">
        <f>IF($I2="","",INDEX(Productos!$I:$I,$I2))</f>
        <v/>
      </c>
      <c r="G1428" s="135" t="n">
        <v>1</v>
      </c>
      <c r="H1428" s="5">
        <f>IF($I2="","",INDEX(Productos!$AG:$AG,$I2))</f>
        <v/>
      </c>
      <c r="I1428" s="136">
        <f>LET(_xlpm.r,Productos!$E$2:$E$2509,_xlpm.m,IFERROR(_xlfn.XMATCH(C1428,_xlpm.r),IFERROR(_xlfn.XMATCH(VALUE(C1428),_xlpm.r),0)),IF(_xlpm.m=0,"",_xlpm.m+1))</f>
        <v/>
      </c>
      <c r="J1428" s="137" t="inlineStr">
        <is>
          <t>NetSuite</t>
        </is>
      </c>
    </row>
    <row r="1429">
      <c r="A1429" s="5" t="inlineStr">
        <is>
          <t>STETSON AMERICAS</t>
        </is>
      </c>
      <c r="B1429" s="5">
        <f>IF($I2="","",INDEX(Productos!$A:$A,$I2))</f>
        <v/>
      </c>
      <c r="C1429" s="134" t="inlineStr">
        <is>
          <t>SFPRES-48403470</t>
        </is>
      </c>
      <c r="D1429" s="5">
        <f>IF($I2="","",INDEX(Productos!$B:$B,$I2))</f>
        <v/>
      </c>
      <c r="E1429" s="5">
        <f>IF($I2="","",INDEX(Productos!$H:$H,$I2))</f>
        <v/>
      </c>
      <c r="F1429" s="5">
        <f>IF($I2="","",INDEX(Productos!$I:$I,$I2))</f>
        <v/>
      </c>
      <c r="G1429" s="135" t="n">
        <v>1</v>
      </c>
      <c r="H1429" s="5">
        <f>IF($I2="","",INDEX(Productos!$AG:$AG,$I2))</f>
        <v/>
      </c>
      <c r="I1429" s="136">
        <f>LET(_xlpm.r,Productos!$E$2:$E$2509,_xlpm.m,IFERROR(_xlfn.XMATCH(C1429,_xlpm.r),IFERROR(_xlfn.XMATCH(VALUE(C1429),_xlpm.r),0)),IF(_xlpm.m=0,"",_xlpm.m+1))</f>
        <v/>
      </c>
      <c r="J1429" s="137" t="inlineStr">
        <is>
          <t>NetSuite</t>
        </is>
      </c>
    </row>
    <row r="1430">
      <c r="A1430" s="5" t="inlineStr">
        <is>
          <t>STETSON AMERICAS</t>
        </is>
      </c>
      <c r="B1430" s="5">
        <f>IF($I2="","",INDEX(Productos!$A:$A,$I2))</f>
        <v/>
      </c>
      <c r="C1430" s="134" t="inlineStr">
        <is>
          <t>SFPRES-48403471</t>
        </is>
      </c>
      <c r="D1430" s="5">
        <f>IF($I2="","",INDEX(Productos!$B:$B,$I2))</f>
        <v/>
      </c>
      <c r="E1430" s="5">
        <f>IF($I2="","",INDEX(Productos!$H:$H,$I2))</f>
        <v/>
      </c>
      <c r="F1430" s="5">
        <f>IF($I2="","",INDEX(Productos!$I:$I,$I2))</f>
        <v/>
      </c>
      <c r="G1430" s="135" t="n">
        <v>1</v>
      </c>
      <c r="H1430" s="5">
        <f>IF($I2="","",INDEX(Productos!$AG:$AG,$I2))</f>
        <v/>
      </c>
      <c r="I1430" s="136">
        <f>LET(_xlpm.r,Productos!$E$2:$E$2509,_xlpm.m,IFERROR(_xlfn.XMATCH(C1430,_xlpm.r),IFERROR(_xlfn.XMATCH(VALUE(C1430),_xlpm.r),0)),IF(_xlpm.m=0,"",_xlpm.m+1))</f>
        <v/>
      </c>
      <c r="J1430" s="137" t="inlineStr">
        <is>
          <t>NetSuite</t>
        </is>
      </c>
    </row>
    <row r="1431">
      <c r="A1431" s="5" t="inlineStr">
        <is>
          <t>STETSON AMERICAS</t>
        </is>
      </c>
      <c r="B1431" s="5">
        <f>IF($I2="","",INDEX(Productos!$A:$A,$I2))</f>
        <v/>
      </c>
      <c r="C1431" s="134" t="inlineStr">
        <is>
          <t>SFPRES-48403472</t>
        </is>
      </c>
      <c r="D1431" s="5">
        <f>IF($I2="","",INDEX(Productos!$B:$B,$I2))</f>
        <v/>
      </c>
      <c r="E1431" s="5">
        <f>IF($I2="","",INDEX(Productos!$H:$H,$I2))</f>
        <v/>
      </c>
      <c r="F1431" s="5">
        <f>IF($I2="","",INDEX(Productos!$I:$I,$I2))</f>
        <v/>
      </c>
      <c r="G1431" s="135" t="n">
        <v>2</v>
      </c>
      <c r="H1431" s="5">
        <f>IF($I2="","",INDEX(Productos!$AG:$AG,$I2))</f>
        <v/>
      </c>
      <c r="I1431" s="136">
        <f>LET(_xlpm.r,Productos!$E$2:$E$2509,_xlpm.m,IFERROR(_xlfn.XMATCH(C1431,_xlpm.r),IFERROR(_xlfn.XMATCH(VALUE(C1431),_xlpm.r),0)),IF(_xlpm.m=0,"",_xlpm.m+1))</f>
        <v/>
      </c>
      <c r="J1431" s="137" t="inlineStr">
        <is>
          <t>NetSuite</t>
        </is>
      </c>
    </row>
    <row r="1432">
      <c r="A1432" s="5" t="inlineStr">
        <is>
          <t>STETSON AMERICAS</t>
        </is>
      </c>
      <c r="B1432" s="5">
        <f>IF($I2="","",INDEX(Productos!$A:$A,$I2))</f>
        <v/>
      </c>
      <c r="C1432" s="134" t="inlineStr">
        <is>
          <t>SFPRES-48406170</t>
        </is>
      </c>
      <c r="D1432" s="5">
        <f>IF($I2="","",INDEX(Productos!$B:$B,$I2))</f>
        <v/>
      </c>
      <c r="E1432" s="5">
        <f>IF($I2="","",INDEX(Productos!$H:$H,$I2))</f>
        <v/>
      </c>
      <c r="F1432" s="5">
        <f>IF($I2="","",INDEX(Productos!$I:$I,$I2))</f>
        <v/>
      </c>
      <c r="G1432" s="135" t="n">
        <v>-1</v>
      </c>
      <c r="H1432" s="5">
        <f>IF($I2="","",INDEX(Productos!$AG:$AG,$I2))</f>
        <v/>
      </c>
      <c r="I1432" s="136">
        <f>LET(_xlpm.r,Productos!$E$2:$E$2509,_xlpm.m,IFERROR(_xlfn.XMATCH(C1432,_xlpm.r),IFERROR(_xlfn.XMATCH(VALUE(C1432),_xlpm.r),0)),IF(_xlpm.m=0,"",_xlpm.m+1))</f>
        <v/>
      </c>
      <c r="J1432" s="137" t="inlineStr">
        <is>
          <t>NetSuite</t>
        </is>
      </c>
    </row>
    <row r="1433">
      <c r="A1433" s="5" t="inlineStr">
        <is>
          <t>STETSON AMERICAS</t>
        </is>
      </c>
      <c r="B1433" s="5">
        <f>IF($I2="","",INDEX(Productos!$A:$A,$I2))</f>
        <v/>
      </c>
      <c r="C1433" s="134" t="inlineStr">
        <is>
          <t>SFPRES-48406171</t>
        </is>
      </c>
      <c r="D1433" s="5">
        <f>IF($I2="","",INDEX(Productos!$B:$B,$I2))</f>
        <v/>
      </c>
      <c r="E1433" s="5">
        <f>IF($I2="","",INDEX(Productos!$H:$H,$I2))</f>
        <v/>
      </c>
      <c r="F1433" s="5">
        <f>IF($I2="","",INDEX(Productos!$I:$I,$I2))</f>
        <v/>
      </c>
      <c r="G1433" s="135" t="n">
        <v>-2</v>
      </c>
      <c r="H1433" s="5">
        <f>IF($I2="","",INDEX(Productos!$AG:$AG,$I2))</f>
        <v/>
      </c>
      <c r="I1433" s="136">
        <f>LET(_xlpm.r,Productos!$E$2:$E$2509,_xlpm.m,IFERROR(_xlfn.XMATCH(C1433,_xlpm.r),IFERROR(_xlfn.XMATCH(VALUE(C1433),_xlpm.r),0)),IF(_xlpm.m=0,"",_xlpm.m+1))</f>
        <v/>
      </c>
      <c r="J1433" s="137" t="inlineStr">
        <is>
          <t>NetSuite</t>
        </is>
      </c>
    </row>
    <row r="1434">
      <c r="A1434" s="5" t="inlineStr">
        <is>
          <t>STETSON AMERICAS</t>
        </is>
      </c>
      <c r="B1434" s="5">
        <f>IF($I2="","",INDEX(Productos!$A:$A,$I2))</f>
        <v/>
      </c>
      <c r="C1434" s="134" t="inlineStr">
        <is>
          <t>SFPRES-48406173</t>
        </is>
      </c>
      <c r="D1434" s="5">
        <f>IF($I2="","",INDEX(Productos!$B:$B,$I2))</f>
        <v/>
      </c>
      <c r="E1434" s="5">
        <f>IF($I2="","",INDEX(Productos!$H:$H,$I2))</f>
        <v/>
      </c>
      <c r="F1434" s="5">
        <f>IF($I2="","",INDEX(Productos!$I:$I,$I2))</f>
        <v/>
      </c>
      <c r="G1434" s="135" t="n">
        <v>-1</v>
      </c>
      <c r="H1434" s="5">
        <f>IF($I2="","",INDEX(Productos!$AG:$AG,$I2))</f>
        <v/>
      </c>
      <c r="I1434" s="136">
        <f>LET(_xlpm.r,Productos!$E$2:$E$2509,_xlpm.m,IFERROR(_xlfn.XMATCH(C1434,_xlpm.r),IFERROR(_xlfn.XMATCH(VALUE(C1434),_xlpm.r),0)),IF(_xlpm.m=0,"",_xlpm.m+1))</f>
        <v/>
      </c>
      <c r="J1434" s="137" t="inlineStr">
        <is>
          <t>NetSuite</t>
        </is>
      </c>
    </row>
    <row r="1435">
      <c r="A1435" s="5" t="inlineStr">
        <is>
          <t>STETSON AMERICAS</t>
        </is>
      </c>
      <c r="B1435" s="5">
        <f>IF($I2="","",INDEX(Productos!$A:$A,$I2))</f>
        <v/>
      </c>
      <c r="C1435" s="134" t="inlineStr">
        <is>
          <t>SFR160-01400770</t>
        </is>
      </c>
      <c r="D1435" s="5">
        <f>IF($I2="","",INDEX(Productos!$B:$B,$I2))</f>
        <v/>
      </c>
      <c r="E1435" s="5">
        <f>IF($I2="","",INDEX(Productos!$H:$H,$I2))</f>
        <v/>
      </c>
      <c r="F1435" s="5">
        <f>IF($I2="","",INDEX(Productos!$I:$I,$I2))</f>
        <v/>
      </c>
      <c r="G1435" s="135" t="n">
        <v>1</v>
      </c>
      <c r="H1435" s="5">
        <f>IF($I2="","",INDEX(Productos!$AG:$AG,$I2))</f>
        <v/>
      </c>
      <c r="I1435" s="136">
        <f>LET(_xlpm.r,Productos!$E$2:$E$2509,_xlpm.m,IFERROR(_xlfn.XMATCH(C1435,_xlpm.r),IFERROR(_xlfn.XMATCH(VALUE(C1435),_xlpm.r),0)),IF(_xlpm.m=0,"",_xlpm.m+1))</f>
        <v/>
      </c>
      <c r="J1435" s="137" t="inlineStr">
        <is>
          <t>NetSuite</t>
        </is>
      </c>
    </row>
    <row r="1436">
      <c r="A1436" s="5" t="inlineStr">
        <is>
          <t>STETSON AMERICAS</t>
        </is>
      </c>
      <c r="B1436" s="5">
        <f>IF($I2="","",INDEX(Productos!$A:$A,$I2))</f>
        <v/>
      </c>
      <c r="C1436" s="134" t="inlineStr">
        <is>
          <t>SFR160-01400771</t>
        </is>
      </c>
      <c r="D1436" s="5">
        <f>IF($I2="","",INDEX(Productos!$B:$B,$I2))</f>
        <v/>
      </c>
      <c r="E1436" s="5">
        <f>IF($I2="","",INDEX(Productos!$H:$H,$I2))</f>
        <v/>
      </c>
      <c r="F1436" s="5">
        <f>IF($I2="","",INDEX(Productos!$I:$I,$I2))</f>
        <v/>
      </c>
      <c r="G1436" s="135" t="n">
        <v>-1</v>
      </c>
      <c r="H1436" s="5">
        <f>IF($I2="","",INDEX(Productos!$AG:$AG,$I2))</f>
        <v/>
      </c>
      <c r="I1436" s="136">
        <f>LET(_xlpm.r,Productos!$E$2:$E$2509,_xlpm.m,IFERROR(_xlfn.XMATCH(C1436,_xlpm.r),IFERROR(_xlfn.XMATCH(VALUE(C1436),_xlpm.r),0)),IF(_xlpm.m=0,"",_xlpm.m+1))</f>
        <v/>
      </c>
      <c r="J1436" s="137" t="inlineStr">
        <is>
          <t>NetSuite</t>
        </is>
      </c>
    </row>
    <row r="1437">
      <c r="A1437" s="5" t="inlineStr">
        <is>
          <t>STETSON AMERICAS</t>
        </is>
      </c>
      <c r="B1437" s="5">
        <f>IF($I2="","",INDEX(Productos!$A:$A,$I2))</f>
        <v/>
      </c>
      <c r="C1437" s="134" t="inlineStr">
        <is>
          <t>SFR160-01400772</t>
        </is>
      </c>
      <c r="D1437" s="5">
        <f>IF($I2="","",INDEX(Productos!$B:$B,$I2))</f>
        <v/>
      </c>
      <c r="E1437" s="5">
        <f>IF($I2="","",INDEX(Productos!$H:$H,$I2))</f>
        <v/>
      </c>
      <c r="F1437" s="5">
        <f>IF($I2="","",INDEX(Productos!$I:$I,$I2))</f>
        <v/>
      </c>
      <c r="G1437" s="135" t="n">
        <v>-1</v>
      </c>
      <c r="H1437" s="5">
        <f>IF($I2="","",INDEX(Productos!$AG:$AG,$I2))</f>
        <v/>
      </c>
      <c r="I1437" s="136">
        <f>LET(_xlpm.r,Productos!$E$2:$E$2509,_xlpm.m,IFERROR(_xlfn.XMATCH(C1437,_xlpm.r),IFERROR(_xlfn.XMATCH(VALUE(C1437),_xlpm.r),0)),IF(_xlpm.m=0,"",_xlpm.m+1))</f>
        <v/>
      </c>
      <c r="J1437" s="137" t="inlineStr">
        <is>
          <t>NetSuite</t>
        </is>
      </c>
    </row>
    <row r="1438">
      <c r="A1438" s="5" t="inlineStr">
        <is>
          <t>STETSON AMERICAS</t>
        </is>
      </c>
      <c r="B1438" s="5">
        <f>IF($I2="","",INDEX(Productos!$A:$A,$I2))</f>
        <v/>
      </c>
      <c r="C1438" s="134" t="inlineStr">
        <is>
          <t>SFR160-01400773</t>
        </is>
      </c>
      <c r="D1438" s="5">
        <f>IF($I2="","",INDEX(Productos!$B:$B,$I2))</f>
        <v/>
      </c>
      <c r="E1438" s="5">
        <f>IF($I2="","",INDEX(Productos!$H:$H,$I2))</f>
        <v/>
      </c>
      <c r="F1438" s="5">
        <f>IF($I2="","",INDEX(Productos!$I:$I,$I2))</f>
        <v/>
      </c>
      <c r="G1438" s="135" t="n">
        <v>-1</v>
      </c>
      <c r="H1438" s="5">
        <f>IF($I2="","",INDEX(Productos!$AG:$AG,$I2))</f>
        <v/>
      </c>
      <c r="I1438" s="136">
        <f>LET(_xlpm.r,Productos!$E$2:$E$2509,_xlpm.m,IFERROR(_xlfn.XMATCH(C1438,_xlpm.r),IFERROR(_xlfn.XMATCH(VALUE(C1438),_xlpm.r),0)),IF(_xlpm.m=0,"",_xlpm.m+1))</f>
        <v/>
      </c>
      <c r="J1438" s="137" t="inlineStr">
        <is>
          <t>NetSuite</t>
        </is>
      </c>
    </row>
    <row r="1439">
      <c r="A1439" s="5" t="inlineStr">
        <is>
          <t>STETSON AMERICAS</t>
        </is>
      </c>
      <c r="B1439" s="5">
        <f>IF($I2="","",INDEX(Productos!$A:$A,$I2))</f>
        <v/>
      </c>
      <c r="C1439" s="134" t="inlineStr">
        <is>
          <t>SFR160-01400774</t>
        </is>
      </c>
      <c r="D1439" s="5">
        <f>IF($I2="","",INDEX(Productos!$B:$B,$I2))</f>
        <v/>
      </c>
      <c r="E1439" s="5">
        <f>IF($I2="","",INDEX(Productos!$H:$H,$I2))</f>
        <v/>
      </c>
      <c r="F1439" s="5">
        <f>IF($I2="","",INDEX(Productos!$I:$I,$I2))</f>
        <v/>
      </c>
      <c r="G1439" s="135" t="n">
        <v>2</v>
      </c>
      <c r="H1439" s="5">
        <f>IF($I2="","",INDEX(Productos!$AG:$AG,$I2))</f>
        <v/>
      </c>
      <c r="I1439" s="136">
        <f>LET(_xlpm.r,Productos!$E$2:$E$2509,_xlpm.m,IFERROR(_xlfn.XMATCH(C1439,_xlpm.r),IFERROR(_xlfn.XMATCH(VALUE(C1439),_xlpm.r),0)),IF(_xlpm.m=0,"",_xlpm.m+1))</f>
        <v/>
      </c>
      <c r="J1439" s="137" t="inlineStr">
        <is>
          <t>NetSuite</t>
        </is>
      </c>
    </row>
    <row r="1440">
      <c r="A1440" s="5" t="inlineStr">
        <is>
          <t>STETSON AMERICAS</t>
        </is>
      </c>
      <c r="B1440" s="5">
        <f>IF($I2="","",INDEX(Productos!$A:$A,$I2))</f>
        <v/>
      </c>
      <c r="C1440" s="134" t="inlineStr">
        <is>
          <t>SFR160-01402270</t>
        </is>
      </c>
      <c r="D1440" s="5">
        <f>IF($I2="","",INDEX(Productos!$B:$B,$I2))</f>
        <v/>
      </c>
      <c r="E1440" s="5">
        <f>IF($I2="","",INDEX(Productos!$H:$H,$I2))</f>
        <v/>
      </c>
      <c r="F1440" s="5">
        <f>IF($I2="","",INDEX(Productos!$I:$I,$I2))</f>
        <v/>
      </c>
      <c r="G1440" s="135" t="n">
        <v>-1</v>
      </c>
      <c r="H1440" s="5">
        <f>IF($I2="","",INDEX(Productos!$AG:$AG,$I2))</f>
        <v/>
      </c>
      <c r="I1440" s="136">
        <f>LET(_xlpm.r,Productos!$E$2:$E$2509,_xlpm.m,IFERROR(_xlfn.XMATCH(C1440,_xlpm.r),IFERROR(_xlfn.XMATCH(VALUE(C1440),_xlpm.r),0)),IF(_xlpm.m=0,"",_xlpm.m+1))</f>
        <v/>
      </c>
      <c r="J1440" s="137" t="inlineStr">
        <is>
          <t>NetSuite</t>
        </is>
      </c>
    </row>
    <row r="1441">
      <c r="A1441" s="5" t="inlineStr">
        <is>
          <t>STETSON AMERICAS</t>
        </is>
      </c>
      <c r="B1441" s="5">
        <f>IF($I2="","",INDEX(Productos!$A:$A,$I2))</f>
        <v/>
      </c>
      <c r="C1441" s="134" t="inlineStr">
        <is>
          <t>SFR160-01402272</t>
        </is>
      </c>
      <c r="D1441" s="5">
        <f>IF($I2="","",INDEX(Productos!$B:$B,$I2))</f>
        <v/>
      </c>
      <c r="E1441" s="5">
        <f>IF($I2="","",INDEX(Productos!$H:$H,$I2))</f>
        <v/>
      </c>
      <c r="F1441" s="5">
        <f>IF($I2="","",INDEX(Productos!$I:$I,$I2))</f>
        <v/>
      </c>
      <c r="G1441" s="135" t="n">
        <v>-1</v>
      </c>
      <c r="H1441" s="5">
        <f>IF($I2="","",INDEX(Productos!$AG:$AG,$I2))</f>
        <v/>
      </c>
      <c r="I1441" s="136">
        <f>LET(_xlpm.r,Productos!$E$2:$E$2509,_xlpm.m,IFERROR(_xlfn.XMATCH(C1441,_xlpm.r),IFERROR(_xlfn.XMATCH(VALUE(C1441),_xlpm.r),0)),IF(_xlpm.m=0,"",_xlpm.m+1))</f>
        <v/>
      </c>
      <c r="J1441" s="137" t="inlineStr">
        <is>
          <t>NetSuite</t>
        </is>
      </c>
    </row>
    <row r="1442">
      <c r="A1442" s="5" t="inlineStr">
        <is>
          <t>STETSON AMERICAS</t>
        </is>
      </c>
      <c r="B1442" s="5">
        <f>IF($I2="","",INDEX(Productos!$A:$A,$I2))</f>
        <v/>
      </c>
      <c r="C1442" s="134" t="inlineStr">
        <is>
          <t>SFR160-01402273</t>
        </is>
      </c>
      <c r="D1442" s="5">
        <f>IF($I2="","",INDEX(Productos!$B:$B,$I2))</f>
        <v/>
      </c>
      <c r="E1442" s="5">
        <f>IF($I2="","",INDEX(Productos!$H:$H,$I2))</f>
        <v/>
      </c>
      <c r="F1442" s="5">
        <f>IF($I2="","",INDEX(Productos!$I:$I,$I2))</f>
        <v/>
      </c>
      <c r="G1442" s="135" t="n">
        <v>-1</v>
      </c>
      <c r="H1442" s="5">
        <f>IF($I2="","",INDEX(Productos!$AG:$AG,$I2))</f>
        <v/>
      </c>
      <c r="I1442" s="136">
        <f>LET(_xlpm.r,Productos!$E$2:$E$2509,_xlpm.m,IFERROR(_xlfn.XMATCH(C1442,_xlpm.r),IFERROR(_xlfn.XMATCH(VALUE(C1442),_xlpm.r),0)),IF(_xlpm.m=0,"",_xlpm.m+1))</f>
        <v/>
      </c>
      <c r="J1442" s="137" t="inlineStr">
        <is>
          <t>NetSuite</t>
        </is>
      </c>
    </row>
    <row r="1443">
      <c r="A1443" s="5" t="inlineStr">
        <is>
          <t>STETSON AMERICAS</t>
        </is>
      </c>
      <c r="B1443" s="5">
        <f>IF($I2="","",INDEX(Productos!$A:$A,$I2))</f>
        <v/>
      </c>
      <c r="C1443" s="134" t="inlineStr">
        <is>
          <t>SFR160-01402274</t>
        </is>
      </c>
      <c r="D1443" s="5">
        <f>IF($I2="","",INDEX(Productos!$B:$B,$I2))</f>
        <v/>
      </c>
      <c r="E1443" s="5">
        <f>IF($I2="","",INDEX(Productos!$H:$H,$I2))</f>
        <v/>
      </c>
      <c r="F1443" s="5">
        <f>IF($I2="","",INDEX(Productos!$I:$I,$I2))</f>
        <v/>
      </c>
      <c r="G1443" s="135" t="n">
        <v>-1</v>
      </c>
      <c r="H1443" s="5">
        <f>IF($I2="","",INDEX(Productos!$AG:$AG,$I2))</f>
        <v/>
      </c>
      <c r="I1443" s="136">
        <f>LET(_xlpm.r,Productos!$E$2:$E$2509,_xlpm.m,IFERROR(_xlfn.XMATCH(C1443,_xlpm.r),IFERROR(_xlfn.XMATCH(VALUE(C1443),_xlpm.r),0)),IF(_xlpm.m=0,"",_xlpm.m+1))</f>
        <v/>
      </c>
      <c r="J1443" s="137" t="inlineStr">
        <is>
          <t>NetSuite</t>
        </is>
      </c>
    </row>
    <row r="1444">
      <c r="A1444" s="5" t="inlineStr">
        <is>
          <t>STETSON AMERICAS</t>
        </is>
      </c>
      <c r="B1444" s="5">
        <f>IF($I2="","",INDEX(Productos!$A:$A,$I2))</f>
        <v/>
      </c>
      <c r="C1444" s="134" t="inlineStr">
        <is>
          <t>SFR160-01403570</t>
        </is>
      </c>
      <c r="D1444" s="5">
        <f>IF($I2="","",INDEX(Productos!$B:$B,$I2))</f>
        <v/>
      </c>
      <c r="E1444" s="5">
        <f>IF($I2="","",INDEX(Productos!$H:$H,$I2))</f>
        <v/>
      </c>
      <c r="F1444" s="5">
        <f>IF($I2="","",INDEX(Productos!$I:$I,$I2))</f>
        <v/>
      </c>
      <c r="G1444" s="135" t="n">
        <v>-1</v>
      </c>
      <c r="H1444" s="5">
        <f>IF($I2="","",INDEX(Productos!$AG:$AG,$I2))</f>
        <v/>
      </c>
      <c r="I1444" s="136">
        <f>LET(_xlpm.r,Productos!$E$2:$E$2509,_xlpm.m,IFERROR(_xlfn.XMATCH(C1444,_xlpm.r),IFERROR(_xlfn.XMATCH(VALUE(C1444),_xlpm.r),0)),IF(_xlpm.m=0,"",_xlpm.m+1))</f>
        <v/>
      </c>
      <c r="J1444" s="137" t="inlineStr">
        <is>
          <t>NetSuite</t>
        </is>
      </c>
    </row>
    <row r="1445">
      <c r="A1445" s="5" t="inlineStr">
        <is>
          <t>STETSON AMERICAS</t>
        </is>
      </c>
      <c r="B1445" s="5">
        <f>IF($I2="","",INDEX(Productos!$A:$A,$I2))</f>
        <v/>
      </c>
      <c r="C1445" s="134" t="inlineStr">
        <is>
          <t>SFR160-01403571</t>
        </is>
      </c>
      <c r="D1445" s="5">
        <f>IF($I2="","",INDEX(Productos!$B:$B,$I2))</f>
        <v/>
      </c>
      <c r="E1445" s="5">
        <f>IF($I2="","",INDEX(Productos!$H:$H,$I2))</f>
        <v/>
      </c>
      <c r="F1445" s="5">
        <f>IF($I2="","",INDEX(Productos!$I:$I,$I2))</f>
        <v/>
      </c>
      <c r="G1445" s="135" t="n">
        <v>-1</v>
      </c>
      <c r="H1445" s="5">
        <f>IF($I2="","",INDEX(Productos!$AG:$AG,$I2))</f>
        <v/>
      </c>
      <c r="I1445" s="136">
        <f>LET(_xlpm.r,Productos!$E$2:$E$2509,_xlpm.m,IFERROR(_xlfn.XMATCH(C1445,_xlpm.r),IFERROR(_xlfn.XMATCH(VALUE(C1445),_xlpm.r),0)),IF(_xlpm.m=0,"",_xlpm.m+1))</f>
        <v/>
      </c>
      <c r="J1445" s="137" t="inlineStr">
        <is>
          <t>NetSuite</t>
        </is>
      </c>
    </row>
    <row r="1446">
      <c r="A1446" s="5" t="inlineStr">
        <is>
          <t>STETSON AMERICAS</t>
        </is>
      </c>
      <c r="B1446" s="5">
        <f>IF($I2="","",INDEX(Productos!$A:$A,$I2))</f>
        <v/>
      </c>
      <c r="C1446" s="134" t="inlineStr">
        <is>
          <t>SFR160-01403572</t>
        </is>
      </c>
      <c r="D1446" s="5">
        <f>IF($I2="","",INDEX(Productos!$B:$B,$I2))</f>
        <v/>
      </c>
      <c r="E1446" s="5">
        <f>IF($I2="","",INDEX(Productos!$H:$H,$I2))</f>
        <v/>
      </c>
      <c r="F1446" s="5">
        <f>IF($I2="","",INDEX(Productos!$I:$I,$I2))</f>
        <v/>
      </c>
      <c r="G1446" s="135" t="n">
        <v>-1</v>
      </c>
      <c r="H1446" s="5">
        <f>IF($I2="","",INDEX(Productos!$AG:$AG,$I2))</f>
        <v/>
      </c>
      <c r="I1446" s="136">
        <f>LET(_xlpm.r,Productos!$E$2:$E$2509,_xlpm.m,IFERROR(_xlfn.XMATCH(C1446,_xlpm.r),IFERROR(_xlfn.XMATCH(VALUE(C1446),_xlpm.r),0)),IF(_xlpm.m=0,"",_xlpm.m+1))</f>
        <v/>
      </c>
      <c r="J1446" s="137" t="inlineStr">
        <is>
          <t>NetSuite</t>
        </is>
      </c>
    </row>
    <row r="1447">
      <c r="A1447" s="5" t="inlineStr">
        <is>
          <t>STETSON AMERICAS</t>
        </is>
      </c>
      <c r="B1447" s="5">
        <f>IF($I2="","",INDEX(Productos!$A:$A,$I2))</f>
        <v/>
      </c>
      <c r="C1447" s="134" t="inlineStr">
        <is>
          <t>SFR160-01403573</t>
        </is>
      </c>
      <c r="D1447" s="5">
        <f>IF($I2="","",INDEX(Productos!$B:$B,$I2))</f>
        <v/>
      </c>
      <c r="E1447" s="5">
        <f>IF($I2="","",INDEX(Productos!$H:$H,$I2))</f>
        <v/>
      </c>
      <c r="F1447" s="5">
        <f>IF($I2="","",INDEX(Productos!$I:$I,$I2))</f>
        <v/>
      </c>
      <c r="G1447" s="135" t="n">
        <v>-1</v>
      </c>
      <c r="H1447" s="5">
        <f>IF($I2="","",INDEX(Productos!$AG:$AG,$I2))</f>
        <v/>
      </c>
      <c r="I1447" s="136">
        <f>LET(_xlpm.r,Productos!$E$2:$E$2509,_xlpm.m,IFERROR(_xlfn.XMATCH(C1447,_xlpm.r),IFERROR(_xlfn.XMATCH(VALUE(C1447),_xlpm.r),0)),IF(_xlpm.m=0,"",_xlpm.m+1))</f>
        <v/>
      </c>
      <c r="J1447" s="137" t="inlineStr">
        <is>
          <t>NetSuite</t>
        </is>
      </c>
    </row>
    <row r="1448">
      <c r="A1448" s="5" t="inlineStr">
        <is>
          <t>STETSON AMERICAS</t>
        </is>
      </c>
      <c r="B1448" s="5">
        <f>IF($I2="","",INDEX(Productos!$A:$A,$I2))</f>
        <v/>
      </c>
      <c r="C1448" s="134" t="inlineStr">
        <is>
          <t>SFR160-01403574</t>
        </is>
      </c>
      <c r="D1448" s="5">
        <f>IF($I2="","",INDEX(Productos!$B:$B,$I2))</f>
        <v/>
      </c>
      <c r="E1448" s="5">
        <f>IF($I2="","",INDEX(Productos!$H:$H,$I2))</f>
        <v/>
      </c>
      <c r="F1448" s="5">
        <f>IF($I2="","",INDEX(Productos!$I:$I,$I2))</f>
        <v/>
      </c>
      <c r="G1448" s="135" t="n">
        <v>-1</v>
      </c>
      <c r="H1448" s="5">
        <f>IF($I2="","",INDEX(Productos!$AG:$AG,$I2))</f>
        <v/>
      </c>
      <c r="I1448" s="136">
        <f>LET(_xlpm.r,Productos!$E$2:$E$2509,_xlpm.m,IFERROR(_xlfn.XMATCH(C1448,_xlpm.r),IFERROR(_xlfn.XMATCH(VALUE(C1448),_xlpm.r),0)),IF(_xlpm.m=0,"",_xlpm.m+1))</f>
        <v/>
      </c>
      <c r="J1448" s="137" t="inlineStr">
        <is>
          <t>NetSuite</t>
        </is>
      </c>
    </row>
    <row r="1449">
      <c r="A1449" s="5" t="inlineStr">
        <is>
          <t>STETSON AMERICAS</t>
        </is>
      </c>
      <c r="B1449" s="5">
        <f>IF($I2="","",INDEX(Productos!$A:$A,$I2))</f>
        <v/>
      </c>
      <c r="C1449" s="134" t="inlineStr">
        <is>
          <t>SFR160-01406171</t>
        </is>
      </c>
      <c r="D1449" s="5">
        <f>IF($I2="","",INDEX(Productos!$B:$B,$I2))</f>
        <v/>
      </c>
      <c r="E1449" s="5">
        <f>IF($I2="","",INDEX(Productos!$H:$H,$I2))</f>
        <v/>
      </c>
      <c r="F1449" s="5">
        <f>IF($I2="","",INDEX(Productos!$I:$I,$I2))</f>
        <v/>
      </c>
      <c r="G1449" s="135" t="n">
        <v>-1</v>
      </c>
      <c r="H1449" s="5">
        <f>IF($I2="","",INDEX(Productos!$AG:$AG,$I2))</f>
        <v/>
      </c>
      <c r="I1449" s="136">
        <f>LET(_xlpm.r,Productos!$E$2:$E$2509,_xlpm.m,IFERROR(_xlfn.XMATCH(C1449,_xlpm.r),IFERROR(_xlfn.XMATCH(VALUE(C1449),_xlpm.r),0)),IF(_xlpm.m=0,"",_xlpm.m+1))</f>
        <v/>
      </c>
      <c r="J1449" s="137" t="inlineStr">
        <is>
          <t>NetSuite</t>
        </is>
      </c>
    </row>
    <row r="1450">
      <c r="A1450" s="5" t="inlineStr">
        <is>
          <t>STETSON AMERICAS</t>
        </is>
      </c>
      <c r="B1450" s="5">
        <f>IF($I2="","",INDEX(Productos!$A:$A,$I2))</f>
        <v/>
      </c>
      <c r="C1450" s="134" t="inlineStr">
        <is>
          <t>SFR160-01406172</t>
        </is>
      </c>
      <c r="D1450" s="5">
        <f>IF($I2="","",INDEX(Productos!$B:$B,$I2))</f>
        <v/>
      </c>
      <c r="E1450" s="5">
        <f>IF($I2="","",INDEX(Productos!$H:$H,$I2))</f>
        <v/>
      </c>
      <c r="F1450" s="5">
        <f>IF($I2="","",INDEX(Productos!$I:$I,$I2))</f>
        <v/>
      </c>
      <c r="G1450" s="135" t="n">
        <v>-1</v>
      </c>
      <c r="H1450" s="5">
        <f>IF($I2="","",INDEX(Productos!$AG:$AG,$I2))</f>
        <v/>
      </c>
      <c r="I1450" s="136">
        <f>LET(_xlpm.r,Productos!$E$2:$E$2509,_xlpm.m,IFERROR(_xlfn.XMATCH(C1450,_xlpm.r),IFERROR(_xlfn.XMATCH(VALUE(C1450),_xlpm.r),0)),IF(_xlpm.m=0,"",_xlpm.m+1))</f>
        <v/>
      </c>
      <c r="J1450" s="137" t="inlineStr">
        <is>
          <t>NetSuite</t>
        </is>
      </c>
    </row>
    <row r="1451">
      <c r="A1451" s="5" t="inlineStr">
        <is>
          <t>STETSON AMERICAS</t>
        </is>
      </c>
      <c r="B1451" s="5">
        <f>IF($I2="","",INDEX(Productos!$A:$A,$I2))</f>
        <v/>
      </c>
      <c r="C1451" s="134" t="inlineStr">
        <is>
          <t>SFR160-01406173</t>
        </is>
      </c>
      <c r="D1451" s="5">
        <f>IF($I2="","",INDEX(Productos!$B:$B,$I2))</f>
        <v/>
      </c>
      <c r="E1451" s="5">
        <f>IF($I2="","",INDEX(Productos!$H:$H,$I2))</f>
        <v/>
      </c>
      <c r="F1451" s="5">
        <f>IF($I2="","",INDEX(Productos!$I:$I,$I2))</f>
        <v/>
      </c>
      <c r="G1451" s="135" t="n">
        <v>1</v>
      </c>
      <c r="H1451" s="5">
        <f>IF($I2="","",INDEX(Productos!$AG:$AG,$I2))</f>
        <v/>
      </c>
      <c r="I1451" s="136">
        <f>LET(_xlpm.r,Productos!$E$2:$E$2509,_xlpm.m,IFERROR(_xlfn.XMATCH(C1451,_xlpm.r),IFERROR(_xlfn.XMATCH(VALUE(C1451),_xlpm.r),0)),IF(_xlpm.m=0,"",_xlpm.m+1))</f>
        <v/>
      </c>
      <c r="J1451" s="137" t="inlineStr">
        <is>
          <t>NetSuite</t>
        </is>
      </c>
    </row>
    <row r="1452">
      <c r="A1452" s="5" t="inlineStr">
        <is>
          <t>STETSON AMERICAS</t>
        </is>
      </c>
      <c r="B1452" s="5">
        <f>IF($I2="","",INDEX(Productos!$A:$A,$I2))</f>
        <v/>
      </c>
      <c r="C1452" s="134" t="inlineStr">
        <is>
          <t>SFR160-01406174</t>
        </is>
      </c>
      <c r="D1452" s="5">
        <f>IF($I2="","",INDEX(Productos!$B:$B,$I2))</f>
        <v/>
      </c>
      <c r="E1452" s="5">
        <f>IF($I2="","",INDEX(Productos!$H:$H,$I2))</f>
        <v/>
      </c>
      <c r="F1452" s="5">
        <f>IF($I2="","",INDEX(Productos!$I:$I,$I2))</f>
        <v/>
      </c>
      <c r="G1452" s="135" t="n">
        <v>-1</v>
      </c>
      <c r="H1452" s="5">
        <f>IF($I2="","",INDEX(Productos!$AG:$AG,$I2))</f>
        <v/>
      </c>
      <c r="I1452" s="136">
        <f>LET(_xlpm.r,Productos!$E$2:$E$2509,_xlpm.m,IFERROR(_xlfn.XMATCH(C1452,_xlpm.r),IFERROR(_xlfn.XMATCH(VALUE(C1452),_xlpm.r),0)),IF(_xlpm.m=0,"",_xlpm.m+1))</f>
        <v/>
      </c>
      <c r="J1452" s="137" t="inlineStr">
        <is>
          <t>NetSuite</t>
        </is>
      </c>
    </row>
    <row r="1453">
      <c r="A1453" s="5" t="inlineStr">
        <is>
          <t>STETSON AMERICAS</t>
        </is>
      </c>
      <c r="B1453" s="5">
        <f>IF($I2="","",INDEX(Productos!$A:$A,$I2))</f>
        <v/>
      </c>
      <c r="C1453" s="134" t="inlineStr">
        <is>
          <t>SFRN30-01402270</t>
        </is>
      </c>
      <c r="D1453" s="5">
        <f>IF($I2="","",INDEX(Productos!$B:$B,$I2))</f>
        <v/>
      </c>
      <c r="E1453" s="5">
        <f>IF($I2="","",INDEX(Productos!$H:$H,$I2))</f>
        <v/>
      </c>
      <c r="F1453" s="5">
        <f>IF($I2="","",INDEX(Productos!$I:$I,$I2))</f>
        <v/>
      </c>
      <c r="G1453" s="135" t="n">
        <v>2</v>
      </c>
      <c r="H1453" s="5">
        <f>IF($I2="","",INDEX(Productos!$AG:$AG,$I2))</f>
        <v/>
      </c>
      <c r="I1453" s="136">
        <f>LET(_xlpm.r,Productos!$E$2:$E$2509,_xlpm.m,IFERROR(_xlfn.XMATCH(C1453,_xlpm.r),IFERROR(_xlfn.XMATCH(VALUE(C1453),_xlpm.r),0)),IF(_xlpm.m=0,"",_xlpm.m+1))</f>
        <v/>
      </c>
      <c r="J1453" s="137" t="inlineStr">
        <is>
          <t>NetSuite</t>
        </is>
      </c>
    </row>
    <row r="1454">
      <c r="A1454" s="5" t="inlineStr">
        <is>
          <t>STETSON AMERICAS</t>
        </is>
      </c>
      <c r="B1454" s="5">
        <f>IF($I2="","",INDEX(Productos!$A:$A,$I2))</f>
        <v/>
      </c>
      <c r="C1454" s="134" t="inlineStr">
        <is>
          <t>SFRN30-01402271</t>
        </is>
      </c>
      <c r="D1454" s="5">
        <f>IF($I2="","",INDEX(Productos!$B:$B,$I2))</f>
        <v/>
      </c>
      <c r="E1454" s="5">
        <f>IF($I2="","",INDEX(Productos!$H:$H,$I2))</f>
        <v/>
      </c>
      <c r="F1454" s="5">
        <f>IF($I2="","",INDEX(Productos!$I:$I,$I2))</f>
        <v/>
      </c>
      <c r="G1454" s="135" t="n">
        <v>2</v>
      </c>
      <c r="H1454" s="5">
        <f>IF($I2="","",INDEX(Productos!$AG:$AG,$I2))</f>
        <v/>
      </c>
      <c r="I1454" s="136">
        <f>LET(_xlpm.r,Productos!$E$2:$E$2509,_xlpm.m,IFERROR(_xlfn.XMATCH(C1454,_xlpm.r),IFERROR(_xlfn.XMATCH(VALUE(C1454),_xlpm.r),0)),IF(_xlpm.m=0,"",_xlpm.m+1))</f>
        <v/>
      </c>
      <c r="J1454" s="137" t="inlineStr">
        <is>
          <t>NetSuite</t>
        </is>
      </c>
    </row>
    <row r="1455">
      <c r="A1455" s="5" t="inlineStr">
        <is>
          <t>STETSON AMERICAS</t>
        </is>
      </c>
      <c r="B1455" s="5">
        <f>IF($I2="","",INDEX(Productos!$A:$A,$I2))</f>
        <v/>
      </c>
      <c r="C1455" s="134" t="inlineStr">
        <is>
          <t>SFRN30-01402272</t>
        </is>
      </c>
      <c r="D1455" s="5">
        <f>IF($I2="","",INDEX(Productos!$B:$B,$I2))</f>
        <v/>
      </c>
      <c r="E1455" s="5">
        <f>IF($I2="","",INDEX(Productos!$H:$H,$I2))</f>
        <v/>
      </c>
      <c r="F1455" s="5">
        <f>IF($I2="","",INDEX(Productos!$I:$I,$I2))</f>
        <v/>
      </c>
      <c r="G1455" s="135" t="n">
        <v>2</v>
      </c>
      <c r="H1455" s="5">
        <f>IF($I2="","",INDEX(Productos!$AG:$AG,$I2))</f>
        <v/>
      </c>
      <c r="I1455" s="136">
        <f>LET(_xlpm.r,Productos!$E$2:$E$2509,_xlpm.m,IFERROR(_xlfn.XMATCH(C1455,_xlpm.r),IFERROR(_xlfn.XMATCH(VALUE(C1455),_xlpm.r),0)),IF(_xlpm.m=0,"",_xlpm.m+1))</f>
        <v/>
      </c>
      <c r="J1455" s="137" t="inlineStr">
        <is>
          <t>NetSuite</t>
        </is>
      </c>
    </row>
    <row r="1456">
      <c r="A1456" s="5" t="inlineStr">
        <is>
          <t>STETSON AMERICAS</t>
        </is>
      </c>
      <c r="B1456" s="5">
        <f>IF($I2="","",INDEX(Productos!$A:$A,$I2))</f>
        <v/>
      </c>
      <c r="C1456" s="134" t="inlineStr">
        <is>
          <t>SFRN30-01402273</t>
        </is>
      </c>
      <c r="D1456" s="5">
        <f>IF($I2="","",INDEX(Productos!$B:$B,$I2))</f>
        <v/>
      </c>
      <c r="E1456" s="5">
        <f>IF($I2="","",INDEX(Productos!$H:$H,$I2))</f>
        <v/>
      </c>
      <c r="F1456" s="5">
        <f>IF($I2="","",INDEX(Productos!$I:$I,$I2))</f>
        <v/>
      </c>
      <c r="G1456" s="135" t="n">
        <v>2</v>
      </c>
      <c r="H1456" s="5">
        <f>IF($I2="","",INDEX(Productos!$AG:$AG,$I2))</f>
        <v/>
      </c>
      <c r="I1456" s="136">
        <f>LET(_xlpm.r,Productos!$E$2:$E$2509,_xlpm.m,IFERROR(_xlfn.XMATCH(C1456,_xlpm.r),IFERROR(_xlfn.XMATCH(VALUE(C1456),_xlpm.r),0)),IF(_xlpm.m=0,"",_xlpm.m+1))</f>
        <v/>
      </c>
      <c r="J1456" s="137" t="inlineStr">
        <is>
          <t>NetSuite</t>
        </is>
      </c>
    </row>
    <row r="1457">
      <c r="A1457" s="5" t="inlineStr">
        <is>
          <t>STETSON AMERICAS</t>
        </is>
      </c>
      <c r="B1457" s="5">
        <f>IF($I2="","",INDEX(Productos!$A:$A,$I2))</f>
        <v/>
      </c>
      <c r="C1457" s="134" t="inlineStr">
        <is>
          <t>SFRNCH-01400767</t>
        </is>
      </c>
      <c r="D1457" s="5">
        <f>IF($I2="","",INDEX(Productos!$B:$B,$I2))</f>
        <v/>
      </c>
      <c r="E1457" s="5">
        <f>IF($I2="","",INDEX(Productos!$H:$H,$I2))</f>
        <v/>
      </c>
      <c r="F1457" s="5">
        <f>IF($I2="","",INDEX(Productos!$I:$I,$I2))</f>
        <v/>
      </c>
      <c r="G1457" s="135" t="n">
        <v>-1</v>
      </c>
      <c r="H1457" s="5">
        <f>IF($I2="","",INDEX(Productos!$AG:$AG,$I2))</f>
        <v/>
      </c>
      <c r="I1457" s="136">
        <f>LET(_xlpm.r,Productos!$E$2:$E$2509,_xlpm.m,IFERROR(_xlfn.XMATCH(C1457,_xlpm.r),IFERROR(_xlfn.XMATCH(VALUE(C1457),_xlpm.r),0)),IF(_xlpm.m=0,"",_xlpm.m+1))</f>
        <v/>
      </c>
      <c r="J1457" s="137" t="inlineStr">
        <is>
          <t>NetSuite</t>
        </is>
      </c>
    </row>
    <row r="1458">
      <c r="A1458" s="5" t="inlineStr">
        <is>
          <t>STETSON AMERICAS</t>
        </is>
      </c>
      <c r="B1458" s="5">
        <f>IF($I2="","",INDEX(Productos!$A:$A,$I2))</f>
        <v/>
      </c>
      <c r="C1458" s="134" t="inlineStr">
        <is>
          <t>SFRNCH-01400771</t>
        </is>
      </c>
      <c r="D1458" s="5">
        <f>IF($I2="","",INDEX(Productos!$B:$B,$I2))</f>
        <v/>
      </c>
      <c r="E1458" s="5">
        <f>IF($I2="","",INDEX(Productos!$H:$H,$I2))</f>
        <v/>
      </c>
      <c r="F1458" s="5">
        <f>IF($I2="","",INDEX(Productos!$I:$I,$I2))</f>
        <v/>
      </c>
      <c r="G1458" s="135" t="n">
        <v>1</v>
      </c>
      <c r="H1458" s="5">
        <f>IF($I2="","",INDEX(Productos!$AG:$AG,$I2))</f>
        <v/>
      </c>
      <c r="I1458" s="136">
        <f>LET(_xlpm.r,Productos!$E$2:$E$2509,_xlpm.m,IFERROR(_xlfn.XMATCH(C1458,_xlpm.r),IFERROR(_xlfn.XMATCH(VALUE(C1458),_xlpm.r),0)),IF(_xlpm.m=0,"",_xlpm.m+1))</f>
        <v/>
      </c>
      <c r="J1458" s="137" t="inlineStr">
        <is>
          <t>NetSuite</t>
        </is>
      </c>
    </row>
    <row r="1459">
      <c r="A1459" s="5" t="inlineStr">
        <is>
          <t>STETSON AMERICAS</t>
        </is>
      </c>
      <c r="B1459" s="5">
        <f>IF($I2="","",INDEX(Productos!$A:$A,$I2))</f>
        <v/>
      </c>
      <c r="C1459" s="134" t="inlineStr">
        <is>
          <t>SFRNCH-01400774</t>
        </is>
      </c>
      <c r="D1459" s="5">
        <f>IF($I2="","",INDEX(Productos!$B:$B,$I2))</f>
        <v/>
      </c>
      <c r="E1459" s="5">
        <f>IF($I2="","",INDEX(Productos!$H:$H,$I2))</f>
        <v/>
      </c>
      <c r="F1459" s="5">
        <f>IF($I2="","",INDEX(Productos!$I:$I,$I2))</f>
        <v/>
      </c>
      <c r="G1459" s="135" t="n">
        <v>-1</v>
      </c>
      <c r="H1459" s="5">
        <f>IF($I2="","",INDEX(Productos!$AG:$AG,$I2))</f>
        <v/>
      </c>
      <c r="I1459" s="136">
        <f>LET(_xlpm.r,Productos!$E$2:$E$2509,_xlpm.m,IFERROR(_xlfn.XMATCH(C1459,_xlpm.r),IFERROR(_xlfn.XMATCH(VALUE(C1459),_xlpm.r),0)),IF(_xlpm.m=0,"",_xlpm.m+1))</f>
        <v/>
      </c>
      <c r="J1459" s="137" t="inlineStr">
        <is>
          <t>NetSuite</t>
        </is>
      </c>
    </row>
    <row r="1460">
      <c r="A1460" s="5" t="inlineStr">
        <is>
          <t>STETSON AMERICAS</t>
        </is>
      </c>
      <c r="B1460" s="5">
        <f>IF($I2="","",INDEX(Productos!$A:$A,$I2))</f>
        <v/>
      </c>
      <c r="C1460" s="134" t="inlineStr">
        <is>
          <t>SFRNCH-01401170</t>
        </is>
      </c>
      <c r="D1460" s="5">
        <f>IF($I2="","",INDEX(Productos!$B:$B,$I2))</f>
        <v/>
      </c>
      <c r="E1460" s="5">
        <f>IF($I2="","",INDEX(Productos!$H:$H,$I2))</f>
        <v/>
      </c>
      <c r="F1460" s="5">
        <f>IF($I2="","",INDEX(Productos!$I:$I,$I2))</f>
        <v/>
      </c>
      <c r="G1460" s="135" t="n">
        <v>-1</v>
      </c>
      <c r="H1460" s="5">
        <f>IF($I2="","",INDEX(Productos!$AG:$AG,$I2))</f>
        <v/>
      </c>
      <c r="I1460" s="136">
        <f>LET(_xlpm.r,Productos!$E$2:$E$2509,_xlpm.m,IFERROR(_xlfn.XMATCH(C1460,_xlpm.r),IFERROR(_xlfn.XMATCH(VALUE(C1460),_xlpm.r),0)),IF(_xlpm.m=0,"",_xlpm.m+1))</f>
        <v/>
      </c>
      <c r="J1460" s="137" t="inlineStr">
        <is>
          <t>NetSuite</t>
        </is>
      </c>
    </row>
    <row r="1461">
      <c r="A1461" s="5" t="inlineStr">
        <is>
          <t>STETSON AMERICAS</t>
        </is>
      </c>
      <c r="B1461" s="5">
        <f>IF($I2="","",INDEX(Productos!$A:$A,$I2))</f>
        <v/>
      </c>
      <c r="C1461" s="134" t="inlineStr">
        <is>
          <t>SFRNCH-01401173</t>
        </is>
      </c>
      <c r="D1461" s="5">
        <f>IF($I2="","",INDEX(Productos!$B:$B,$I2))</f>
        <v/>
      </c>
      <c r="E1461" s="5">
        <f>IF($I2="","",INDEX(Productos!$H:$H,$I2))</f>
        <v/>
      </c>
      <c r="F1461" s="5">
        <f>IF($I2="","",INDEX(Productos!$I:$I,$I2))</f>
        <v/>
      </c>
      <c r="G1461" s="135" t="n">
        <v>1</v>
      </c>
      <c r="H1461" s="5">
        <f>IF($I2="","",INDEX(Productos!$AG:$AG,$I2))</f>
        <v/>
      </c>
      <c r="I1461" s="136">
        <f>LET(_xlpm.r,Productos!$E$2:$E$2509,_xlpm.m,IFERROR(_xlfn.XMATCH(C1461,_xlpm.r),IFERROR(_xlfn.XMATCH(VALUE(C1461),_xlpm.r),0)),IF(_xlpm.m=0,"",_xlpm.m+1))</f>
        <v/>
      </c>
      <c r="J1461" s="137" t="inlineStr">
        <is>
          <t>NetSuite</t>
        </is>
      </c>
    </row>
    <row r="1462">
      <c r="A1462" s="5" t="inlineStr">
        <is>
          <t>STETSON AMERICAS</t>
        </is>
      </c>
      <c r="B1462" s="5">
        <f>IF($I2="","",INDEX(Productos!$A:$A,$I2))</f>
        <v/>
      </c>
      <c r="C1462" s="134" t="inlineStr">
        <is>
          <t>SFRNCH-01402267</t>
        </is>
      </c>
      <c r="D1462" s="5">
        <f>IF($I2="","",INDEX(Productos!$B:$B,$I2))</f>
        <v/>
      </c>
      <c r="E1462" s="5">
        <f>IF($I2="","",INDEX(Productos!$H:$H,$I2))</f>
        <v/>
      </c>
      <c r="F1462" s="5">
        <f>IF($I2="","",INDEX(Productos!$I:$I,$I2))</f>
        <v/>
      </c>
      <c r="G1462" s="135" t="n">
        <v>1</v>
      </c>
      <c r="H1462" s="5">
        <f>IF($I2="","",INDEX(Productos!$AG:$AG,$I2))</f>
        <v/>
      </c>
      <c r="I1462" s="136">
        <f>LET(_xlpm.r,Productos!$E$2:$E$2509,_xlpm.m,IFERROR(_xlfn.XMATCH(C1462,_xlpm.r),IFERROR(_xlfn.XMATCH(VALUE(C1462),_xlpm.r),0)),IF(_xlpm.m=0,"",_xlpm.m+1))</f>
        <v/>
      </c>
      <c r="J1462" s="137" t="inlineStr">
        <is>
          <t>NetSuite</t>
        </is>
      </c>
    </row>
    <row r="1463">
      <c r="A1463" s="5" t="inlineStr">
        <is>
          <t>STETSON AMERICAS</t>
        </is>
      </c>
      <c r="B1463" s="5">
        <f>IF($I2="","",INDEX(Productos!$A:$A,$I2))</f>
        <v/>
      </c>
      <c r="C1463" s="134" t="inlineStr">
        <is>
          <t>SFRNCH-01402270</t>
        </is>
      </c>
      <c r="D1463" s="5">
        <f>IF($I2="","",INDEX(Productos!$B:$B,$I2))</f>
        <v/>
      </c>
      <c r="E1463" s="5">
        <f>IF($I2="","",INDEX(Productos!$H:$H,$I2))</f>
        <v/>
      </c>
      <c r="F1463" s="5">
        <f>IF($I2="","",INDEX(Productos!$I:$I,$I2))</f>
        <v/>
      </c>
      <c r="G1463" s="135" t="n">
        <v>-1</v>
      </c>
      <c r="H1463" s="5">
        <f>IF($I2="","",INDEX(Productos!$AG:$AG,$I2))</f>
        <v/>
      </c>
      <c r="I1463" s="136">
        <f>LET(_xlpm.r,Productos!$E$2:$E$2509,_xlpm.m,IFERROR(_xlfn.XMATCH(C1463,_xlpm.r),IFERROR(_xlfn.XMATCH(VALUE(C1463),_xlpm.r),0)),IF(_xlpm.m=0,"",_xlpm.m+1))</f>
        <v/>
      </c>
      <c r="J1463" s="137" t="inlineStr">
        <is>
          <t>NetSuite</t>
        </is>
      </c>
    </row>
    <row r="1464">
      <c r="A1464" s="5" t="inlineStr">
        <is>
          <t>STETSON AMERICAS</t>
        </is>
      </c>
      <c r="B1464" s="5">
        <f>IF($I2="","",INDEX(Productos!$A:$A,$I2))</f>
        <v/>
      </c>
      <c r="C1464" s="134" t="inlineStr">
        <is>
          <t>SFRNCH-01402271</t>
        </is>
      </c>
      <c r="D1464" s="5">
        <f>IF($I2="","",INDEX(Productos!$B:$B,$I2))</f>
        <v/>
      </c>
      <c r="E1464" s="5">
        <f>IF($I2="","",INDEX(Productos!$H:$H,$I2))</f>
        <v/>
      </c>
      <c r="F1464" s="5">
        <f>IF($I2="","",INDEX(Productos!$I:$I,$I2))</f>
        <v/>
      </c>
      <c r="G1464" s="135" t="n">
        <v>-1</v>
      </c>
      <c r="H1464" s="5">
        <f>IF($I2="","",INDEX(Productos!$AG:$AG,$I2))</f>
        <v/>
      </c>
      <c r="I1464" s="136">
        <f>LET(_xlpm.r,Productos!$E$2:$E$2509,_xlpm.m,IFERROR(_xlfn.XMATCH(C1464,_xlpm.r),IFERROR(_xlfn.XMATCH(VALUE(C1464),_xlpm.r),0)),IF(_xlpm.m=0,"",_xlpm.m+1))</f>
        <v/>
      </c>
      <c r="J1464" s="137" t="inlineStr">
        <is>
          <t>NetSuite</t>
        </is>
      </c>
    </row>
    <row r="1465">
      <c r="A1465" s="5" t="inlineStr">
        <is>
          <t>STETSON AMERICAS</t>
        </is>
      </c>
      <c r="B1465" s="5">
        <f>IF($I2="","",INDEX(Productos!$A:$A,$I2))</f>
        <v/>
      </c>
      <c r="C1465" s="134" t="inlineStr">
        <is>
          <t>SFRNCH-01402272</t>
        </is>
      </c>
      <c r="D1465" s="5">
        <f>IF($I2="","",INDEX(Productos!$B:$B,$I2))</f>
        <v/>
      </c>
      <c r="E1465" s="5">
        <f>IF($I2="","",INDEX(Productos!$H:$H,$I2))</f>
        <v/>
      </c>
      <c r="F1465" s="5">
        <f>IF($I2="","",INDEX(Productos!$I:$I,$I2))</f>
        <v/>
      </c>
      <c r="G1465" s="135" t="n">
        <v>-1</v>
      </c>
      <c r="H1465" s="5">
        <f>IF($I2="","",INDEX(Productos!$AG:$AG,$I2))</f>
        <v/>
      </c>
      <c r="I1465" s="136">
        <f>LET(_xlpm.r,Productos!$E$2:$E$2509,_xlpm.m,IFERROR(_xlfn.XMATCH(C1465,_xlpm.r),IFERROR(_xlfn.XMATCH(VALUE(C1465),_xlpm.r),0)),IF(_xlpm.m=0,"",_xlpm.m+1))</f>
        <v/>
      </c>
      <c r="J1465" s="137" t="inlineStr">
        <is>
          <t>NetSuite</t>
        </is>
      </c>
    </row>
    <row r="1466">
      <c r="A1466" s="5" t="inlineStr">
        <is>
          <t>STETSON AMERICAS</t>
        </is>
      </c>
      <c r="B1466" s="5">
        <f>IF($I2="","",INDEX(Productos!$A:$A,$I2))</f>
        <v/>
      </c>
      <c r="C1466" s="134" t="inlineStr">
        <is>
          <t>SFRNCH-01403570</t>
        </is>
      </c>
      <c r="D1466" s="5">
        <f>IF($I2="","",INDEX(Productos!$B:$B,$I2))</f>
        <v/>
      </c>
      <c r="E1466" s="5">
        <f>IF($I2="","",INDEX(Productos!$H:$H,$I2))</f>
        <v/>
      </c>
      <c r="F1466" s="5">
        <f>IF($I2="","",INDEX(Productos!$I:$I,$I2))</f>
        <v/>
      </c>
      <c r="G1466" s="135" t="n">
        <v>2</v>
      </c>
      <c r="H1466" s="5">
        <f>IF($I2="","",INDEX(Productos!$AG:$AG,$I2))</f>
        <v/>
      </c>
      <c r="I1466" s="136">
        <f>LET(_xlpm.r,Productos!$E$2:$E$2509,_xlpm.m,IFERROR(_xlfn.XMATCH(C1466,_xlpm.r),IFERROR(_xlfn.XMATCH(VALUE(C1466),_xlpm.r),0)),IF(_xlpm.m=0,"",_xlpm.m+1))</f>
        <v/>
      </c>
      <c r="J1466" s="137" t="inlineStr">
        <is>
          <t>NetSuite</t>
        </is>
      </c>
    </row>
    <row r="1467">
      <c r="A1467" s="5" t="inlineStr">
        <is>
          <t>STETSON AMERICAS</t>
        </is>
      </c>
      <c r="B1467" s="5">
        <f>IF($I2="","",INDEX(Productos!$A:$A,$I2))</f>
        <v/>
      </c>
      <c r="C1467" s="134" t="inlineStr">
        <is>
          <t>SFRNCH-01403571</t>
        </is>
      </c>
      <c r="D1467" s="5">
        <f>IF($I2="","",INDEX(Productos!$B:$B,$I2))</f>
        <v/>
      </c>
      <c r="E1467" s="5">
        <f>IF($I2="","",INDEX(Productos!$H:$H,$I2))</f>
        <v/>
      </c>
      <c r="F1467" s="5">
        <f>IF($I2="","",INDEX(Productos!$I:$I,$I2))</f>
        <v/>
      </c>
      <c r="G1467" s="135" t="n">
        <v>1</v>
      </c>
      <c r="H1467" s="5">
        <f>IF($I2="","",INDEX(Productos!$AG:$AG,$I2))</f>
        <v/>
      </c>
      <c r="I1467" s="136">
        <f>LET(_xlpm.r,Productos!$E$2:$E$2509,_xlpm.m,IFERROR(_xlfn.XMATCH(C1467,_xlpm.r),IFERROR(_xlfn.XMATCH(VALUE(C1467),_xlpm.r),0)),IF(_xlpm.m=0,"",_xlpm.m+1))</f>
        <v/>
      </c>
      <c r="J1467" s="137" t="inlineStr">
        <is>
          <t>NetSuite</t>
        </is>
      </c>
    </row>
    <row r="1468">
      <c r="A1468" s="5" t="inlineStr">
        <is>
          <t>STETSON AMERICAS</t>
        </is>
      </c>
      <c r="B1468" s="5">
        <f>IF($I2="","",INDEX(Productos!$A:$A,$I2))</f>
        <v/>
      </c>
      <c r="C1468" s="134" t="inlineStr">
        <is>
          <t>SFRNCH-01403572</t>
        </is>
      </c>
      <c r="D1468" s="5">
        <f>IF($I2="","",INDEX(Productos!$B:$B,$I2))</f>
        <v/>
      </c>
      <c r="E1468" s="5">
        <f>IF($I2="","",INDEX(Productos!$H:$H,$I2))</f>
        <v/>
      </c>
      <c r="F1468" s="5">
        <f>IF($I2="","",INDEX(Productos!$I:$I,$I2))</f>
        <v/>
      </c>
      <c r="G1468" s="135" t="n">
        <v>-1</v>
      </c>
      <c r="H1468" s="5">
        <f>IF($I2="","",INDEX(Productos!$AG:$AG,$I2))</f>
        <v/>
      </c>
      <c r="I1468" s="136">
        <f>LET(_xlpm.r,Productos!$E$2:$E$2509,_xlpm.m,IFERROR(_xlfn.XMATCH(C1468,_xlpm.r),IFERROR(_xlfn.XMATCH(VALUE(C1468),_xlpm.r),0)),IF(_xlpm.m=0,"",_xlpm.m+1))</f>
        <v/>
      </c>
      <c r="J1468" s="137" t="inlineStr">
        <is>
          <t>NetSuite</t>
        </is>
      </c>
    </row>
    <row r="1469">
      <c r="A1469" s="5" t="inlineStr">
        <is>
          <t>STETSON AMERICAS</t>
        </is>
      </c>
      <c r="B1469" s="5">
        <f>IF($I2="","",INDEX(Productos!$A:$A,$I2))</f>
        <v/>
      </c>
      <c r="C1469" s="134" t="inlineStr">
        <is>
          <t>SFRNCH-01403573</t>
        </is>
      </c>
      <c r="D1469" s="5">
        <f>IF($I2="","",INDEX(Productos!$B:$B,$I2))</f>
        <v/>
      </c>
      <c r="E1469" s="5">
        <f>IF($I2="","",INDEX(Productos!$H:$H,$I2))</f>
        <v/>
      </c>
      <c r="F1469" s="5">
        <f>IF($I2="","",INDEX(Productos!$I:$I,$I2))</f>
        <v/>
      </c>
      <c r="G1469" s="135" t="n">
        <v>1</v>
      </c>
      <c r="H1469" s="5">
        <f>IF($I2="","",INDEX(Productos!$AG:$AG,$I2))</f>
        <v/>
      </c>
      <c r="I1469" s="136">
        <f>LET(_xlpm.r,Productos!$E$2:$E$2509,_xlpm.m,IFERROR(_xlfn.XMATCH(C1469,_xlpm.r),IFERROR(_xlfn.XMATCH(VALUE(C1469),_xlpm.r),0)),IF(_xlpm.m=0,"",_xlpm.m+1))</f>
        <v/>
      </c>
      <c r="J1469" s="137" t="inlineStr">
        <is>
          <t>NetSuite</t>
        </is>
      </c>
    </row>
    <row r="1470">
      <c r="A1470" s="5" t="inlineStr">
        <is>
          <t>STETSON AMERICAS</t>
        </is>
      </c>
      <c r="B1470" s="5">
        <f>IF($I2="","",INDEX(Productos!$A:$A,$I2))</f>
        <v/>
      </c>
      <c r="C1470" s="134" t="inlineStr">
        <is>
          <t>SFRNCH-01406171</t>
        </is>
      </c>
      <c r="D1470" s="5">
        <f>IF($I2="","",INDEX(Productos!$B:$B,$I2))</f>
        <v/>
      </c>
      <c r="E1470" s="5">
        <f>IF($I2="","",INDEX(Productos!$H:$H,$I2))</f>
        <v/>
      </c>
      <c r="F1470" s="5">
        <f>IF($I2="","",INDEX(Productos!$I:$I,$I2))</f>
        <v/>
      </c>
      <c r="G1470" s="135" t="n">
        <v>1</v>
      </c>
      <c r="H1470" s="5">
        <f>IF($I2="","",INDEX(Productos!$AG:$AG,$I2))</f>
        <v/>
      </c>
      <c r="I1470" s="136">
        <f>LET(_xlpm.r,Productos!$E$2:$E$2509,_xlpm.m,IFERROR(_xlfn.XMATCH(C1470,_xlpm.r),IFERROR(_xlfn.XMATCH(VALUE(C1470),_xlpm.r),0)),IF(_xlpm.m=0,"",_xlpm.m+1))</f>
        <v/>
      </c>
      <c r="J1470" s="137" t="inlineStr">
        <is>
          <t>NetSuite</t>
        </is>
      </c>
    </row>
    <row r="1471">
      <c r="A1471" s="5" t="inlineStr">
        <is>
          <t>STETSON AMERICAS</t>
        </is>
      </c>
      <c r="B1471" s="5">
        <f>IF($I2="","",INDEX(Productos!$A:$A,$I2))</f>
        <v/>
      </c>
      <c r="C1471" s="134" t="inlineStr">
        <is>
          <t>SFRNCH-01406172</t>
        </is>
      </c>
      <c r="D1471" s="5">
        <f>IF($I2="","",INDEX(Productos!$B:$B,$I2))</f>
        <v/>
      </c>
      <c r="E1471" s="5">
        <f>IF($I2="","",INDEX(Productos!$H:$H,$I2))</f>
        <v/>
      </c>
      <c r="F1471" s="5">
        <f>IF($I2="","",INDEX(Productos!$I:$I,$I2))</f>
        <v/>
      </c>
      <c r="G1471" s="135" t="n">
        <v>1</v>
      </c>
      <c r="H1471" s="5">
        <f>IF($I2="","",INDEX(Productos!$AG:$AG,$I2))</f>
        <v/>
      </c>
      <c r="I1471" s="136">
        <f>LET(_xlpm.r,Productos!$E$2:$E$2509,_xlpm.m,IFERROR(_xlfn.XMATCH(C1471,_xlpm.r),IFERROR(_xlfn.XMATCH(VALUE(C1471),_xlpm.r),0)),IF(_xlpm.m=0,"",_xlpm.m+1))</f>
        <v/>
      </c>
      <c r="J1471" s="137" t="inlineStr">
        <is>
          <t>NetSuite</t>
        </is>
      </c>
    </row>
    <row r="1472">
      <c r="A1472" s="5" t="inlineStr">
        <is>
          <t>STETSON AMERICAS</t>
        </is>
      </c>
      <c r="B1472" s="5">
        <f>IF($I2="","",INDEX(Productos!$A:$A,$I2))</f>
        <v/>
      </c>
      <c r="C1472" s="134" t="inlineStr">
        <is>
          <t>SFRNCH-01406173</t>
        </is>
      </c>
      <c r="D1472" s="5">
        <f>IF($I2="","",INDEX(Productos!$B:$B,$I2))</f>
        <v/>
      </c>
      <c r="E1472" s="5">
        <f>IF($I2="","",INDEX(Productos!$H:$H,$I2))</f>
        <v/>
      </c>
      <c r="F1472" s="5">
        <f>IF($I2="","",INDEX(Productos!$I:$I,$I2))</f>
        <v/>
      </c>
      <c r="G1472" s="135" t="n">
        <v>-2</v>
      </c>
      <c r="H1472" s="5">
        <f>IF($I2="","",INDEX(Productos!$AG:$AG,$I2))</f>
        <v/>
      </c>
      <c r="I1472" s="136">
        <f>LET(_xlpm.r,Productos!$E$2:$E$2509,_xlpm.m,IFERROR(_xlfn.XMATCH(C1472,_xlpm.r),IFERROR(_xlfn.XMATCH(VALUE(C1472),_xlpm.r),0)),IF(_xlpm.m=0,"",_xlpm.m+1))</f>
        <v/>
      </c>
      <c r="J1472" s="137" t="inlineStr">
        <is>
          <t>NetSuite</t>
        </is>
      </c>
    </row>
    <row r="1473">
      <c r="A1473" s="5" t="inlineStr">
        <is>
          <t>STETSON AMERICAS</t>
        </is>
      </c>
      <c r="B1473" s="5">
        <f>IF($I2="","",INDEX(Productos!$A:$A,$I2))</f>
        <v/>
      </c>
      <c r="C1473" s="134" t="inlineStr">
        <is>
          <t>SFRNCH-01408867</t>
        </is>
      </c>
      <c r="D1473" s="5">
        <f>IF($I2="","",INDEX(Productos!$B:$B,$I2))</f>
        <v/>
      </c>
      <c r="E1473" s="5">
        <f>IF($I2="","",INDEX(Productos!$H:$H,$I2))</f>
        <v/>
      </c>
      <c r="F1473" s="5">
        <f>IF($I2="","",INDEX(Productos!$I:$I,$I2))</f>
        <v/>
      </c>
      <c r="G1473" s="135" t="n">
        <v>-1</v>
      </c>
      <c r="H1473" s="5">
        <f>IF($I2="","",INDEX(Productos!$AG:$AG,$I2))</f>
        <v/>
      </c>
      <c r="I1473" s="136">
        <f>LET(_xlpm.r,Productos!$E$2:$E$2509,_xlpm.m,IFERROR(_xlfn.XMATCH(C1473,_xlpm.r),IFERROR(_xlfn.XMATCH(VALUE(C1473),_xlpm.r),0)),IF(_xlpm.m=0,"",_xlpm.m+1))</f>
        <v/>
      </c>
      <c r="J1473" s="137" t="inlineStr">
        <is>
          <t>NetSuite</t>
        </is>
      </c>
    </row>
    <row r="1474">
      <c r="A1474" s="5" t="inlineStr">
        <is>
          <t>STETSON AMERICAS</t>
        </is>
      </c>
      <c r="B1474" s="5">
        <f>IF($I2="","",INDEX(Productos!$A:$A,$I2))</f>
        <v/>
      </c>
      <c r="C1474" s="134" t="inlineStr">
        <is>
          <t>SFRNCH-01408870</t>
        </is>
      </c>
      <c r="D1474" s="5">
        <f>IF($I2="","",INDEX(Productos!$B:$B,$I2))</f>
        <v/>
      </c>
      <c r="E1474" s="5">
        <f>IF($I2="","",INDEX(Productos!$H:$H,$I2))</f>
        <v/>
      </c>
      <c r="F1474" s="5">
        <f>IF($I2="","",INDEX(Productos!$I:$I,$I2))</f>
        <v/>
      </c>
      <c r="G1474" s="135" t="n">
        <v>2</v>
      </c>
      <c r="H1474" s="5">
        <f>IF($I2="","",INDEX(Productos!$AG:$AG,$I2))</f>
        <v/>
      </c>
      <c r="I1474" s="136">
        <f>LET(_xlpm.r,Productos!$E$2:$E$2509,_xlpm.m,IFERROR(_xlfn.XMATCH(C1474,_xlpm.r),IFERROR(_xlfn.XMATCH(VALUE(C1474),_xlpm.r),0)),IF(_xlpm.m=0,"",_xlpm.m+1))</f>
        <v/>
      </c>
      <c r="J1474" s="137" t="inlineStr">
        <is>
          <t>NetSuite</t>
        </is>
      </c>
    </row>
    <row r="1475">
      <c r="A1475" s="5" t="inlineStr">
        <is>
          <t>STETSON AMERICAS</t>
        </is>
      </c>
      <c r="B1475" s="5">
        <f>IF($I2="","",INDEX(Productos!$A:$A,$I2))</f>
        <v/>
      </c>
      <c r="C1475" s="134" t="inlineStr">
        <is>
          <t>SFRNCH-01408873</t>
        </is>
      </c>
      <c r="D1475" s="5">
        <f>IF($I2="","",INDEX(Productos!$B:$B,$I2))</f>
        <v/>
      </c>
      <c r="E1475" s="5">
        <f>IF($I2="","",INDEX(Productos!$H:$H,$I2))</f>
        <v/>
      </c>
      <c r="F1475" s="5">
        <f>IF($I2="","",INDEX(Productos!$I:$I,$I2))</f>
        <v/>
      </c>
      <c r="G1475" s="135" t="n">
        <v>3</v>
      </c>
      <c r="H1475" s="5">
        <f>IF($I2="","",INDEX(Productos!$AG:$AG,$I2))</f>
        <v/>
      </c>
      <c r="I1475" s="136">
        <f>LET(_xlpm.r,Productos!$E$2:$E$2509,_xlpm.m,IFERROR(_xlfn.XMATCH(C1475,_xlpm.r),IFERROR(_xlfn.XMATCH(VALUE(C1475),_xlpm.r),0)),IF(_xlpm.m=0,"",_xlpm.m+1))</f>
        <v/>
      </c>
      <c r="J1475" s="137" t="inlineStr">
        <is>
          <t>NetSuite</t>
        </is>
      </c>
    </row>
    <row r="1476">
      <c r="A1476" s="5" t="inlineStr">
        <is>
          <t>STETSON AMERICAS</t>
        </is>
      </c>
      <c r="B1476" s="5">
        <f>IF($I2="","",INDEX(Productos!$A:$A,$I2))</f>
        <v/>
      </c>
      <c r="C1476" s="134" t="inlineStr">
        <is>
          <t>SFROPR-75400767</t>
        </is>
      </c>
      <c r="D1476" s="5">
        <f>IF($I2="","",INDEX(Productos!$B:$B,$I2))</f>
        <v/>
      </c>
      <c r="E1476" s="5">
        <f>IF($I2="","",INDEX(Productos!$H:$H,$I2))</f>
        <v/>
      </c>
      <c r="F1476" s="5">
        <f>IF($I2="","",INDEX(Productos!$I:$I,$I2))</f>
        <v/>
      </c>
      <c r="G1476" s="135" t="n">
        <v>-1</v>
      </c>
      <c r="H1476" s="5">
        <f>IF($I2="","",INDEX(Productos!$AG:$AG,$I2))</f>
        <v/>
      </c>
      <c r="I1476" s="136">
        <f>LET(_xlpm.r,Productos!$E$2:$E$2509,_xlpm.m,IFERROR(_xlfn.XMATCH(C1476,_xlpm.r),IFERROR(_xlfn.XMATCH(VALUE(C1476),_xlpm.r),0)),IF(_xlpm.m=0,"",_xlpm.m+1))</f>
        <v/>
      </c>
      <c r="J1476" s="137" t="inlineStr">
        <is>
          <t>NetSuite</t>
        </is>
      </c>
    </row>
    <row r="1477">
      <c r="A1477" s="5" t="inlineStr">
        <is>
          <t>STETSON AMERICAS</t>
        </is>
      </c>
      <c r="B1477" s="5">
        <f>IF($I2="","",INDEX(Productos!$A:$A,$I2))</f>
        <v/>
      </c>
      <c r="C1477" s="134" t="inlineStr">
        <is>
          <t>SFROPR-75400770</t>
        </is>
      </c>
      <c r="D1477" s="5">
        <f>IF($I2="","",INDEX(Productos!$B:$B,$I2))</f>
        <v/>
      </c>
      <c r="E1477" s="5">
        <f>IF($I2="","",INDEX(Productos!$H:$H,$I2))</f>
        <v/>
      </c>
      <c r="F1477" s="5">
        <f>IF($I2="","",INDEX(Productos!$I:$I,$I2))</f>
        <v/>
      </c>
      <c r="G1477" s="135" t="n">
        <v>-1</v>
      </c>
      <c r="H1477" s="5">
        <f>IF($I2="","",INDEX(Productos!$AG:$AG,$I2))</f>
        <v/>
      </c>
      <c r="I1477" s="136">
        <f>LET(_xlpm.r,Productos!$E$2:$E$2509,_xlpm.m,IFERROR(_xlfn.XMATCH(C1477,_xlpm.r),IFERROR(_xlfn.XMATCH(VALUE(C1477),_xlpm.r),0)),IF(_xlpm.m=0,"",_xlpm.m+1))</f>
        <v/>
      </c>
      <c r="J1477" s="137" t="inlineStr">
        <is>
          <t>NetSuite</t>
        </is>
      </c>
    </row>
    <row r="1478">
      <c r="A1478" s="5" t="inlineStr">
        <is>
          <t>STETSON AMERICAS</t>
        </is>
      </c>
      <c r="B1478" s="5">
        <f>IF($I2="","",INDEX(Productos!$A:$A,$I2))</f>
        <v/>
      </c>
      <c r="C1478" s="134" t="inlineStr">
        <is>
          <t>SFROPR-75400771</t>
        </is>
      </c>
      <c r="D1478" s="5">
        <f>IF($I2="","",INDEX(Productos!$B:$B,$I2))</f>
        <v/>
      </c>
      <c r="E1478" s="5">
        <f>IF($I2="","",INDEX(Productos!$H:$H,$I2))</f>
        <v/>
      </c>
      <c r="F1478" s="5">
        <f>IF($I2="","",INDEX(Productos!$I:$I,$I2))</f>
        <v/>
      </c>
      <c r="G1478" s="135" t="n">
        <v>-1</v>
      </c>
      <c r="H1478" s="5">
        <f>IF($I2="","",INDEX(Productos!$AG:$AG,$I2))</f>
        <v/>
      </c>
      <c r="I1478" s="136">
        <f>LET(_xlpm.r,Productos!$E$2:$E$2509,_xlpm.m,IFERROR(_xlfn.XMATCH(C1478,_xlpm.r),IFERROR(_xlfn.XMATCH(VALUE(C1478),_xlpm.r),0)),IF(_xlpm.m=0,"",_xlpm.m+1))</f>
        <v/>
      </c>
      <c r="J1478" s="137" t="inlineStr">
        <is>
          <t>NetSuite</t>
        </is>
      </c>
    </row>
    <row r="1479">
      <c r="A1479" s="5" t="inlineStr">
        <is>
          <t>STETSON AMERICAS</t>
        </is>
      </c>
      <c r="B1479" s="5">
        <f>IF($I2="","",INDEX(Productos!$A:$A,$I2))</f>
        <v/>
      </c>
      <c r="C1479" s="134" t="inlineStr">
        <is>
          <t>SFROPR-75400773</t>
        </is>
      </c>
      <c r="D1479" s="5">
        <f>IF($I2="","",INDEX(Productos!$B:$B,$I2))</f>
        <v/>
      </c>
      <c r="E1479" s="5">
        <f>IF($I2="","",INDEX(Productos!$H:$H,$I2))</f>
        <v/>
      </c>
      <c r="F1479" s="5">
        <f>IF($I2="","",INDEX(Productos!$I:$I,$I2))</f>
        <v/>
      </c>
      <c r="G1479" s="135" t="n">
        <v>-2</v>
      </c>
      <c r="H1479" s="5">
        <f>IF($I2="","",INDEX(Productos!$AG:$AG,$I2))</f>
        <v/>
      </c>
      <c r="I1479" s="136">
        <f>LET(_xlpm.r,Productos!$E$2:$E$2509,_xlpm.m,IFERROR(_xlfn.XMATCH(C1479,_xlpm.r),IFERROR(_xlfn.XMATCH(VALUE(C1479),_xlpm.r),0)),IF(_xlpm.m=0,"",_xlpm.m+1))</f>
        <v/>
      </c>
      <c r="J1479" s="137" t="inlineStr">
        <is>
          <t>NetSuite</t>
        </is>
      </c>
    </row>
    <row r="1480">
      <c r="A1480" s="5" t="inlineStr">
        <is>
          <t>STETSON AMERICAS</t>
        </is>
      </c>
      <c r="B1480" s="5">
        <f>IF($I2="","",INDEX(Productos!$A:$A,$I2))</f>
        <v/>
      </c>
      <c r="C1480" s="134" t="inlineStr">
        <is>
          <t>SFROPR-75400774</t>
        </is>
      </c>
      <c r="D1480" s="5">
        <f>IF($I2="","",INDEX(Productos!$B:$B,$I2))</f>
        <v/>
      </c>
      <c r="E1480" s="5">
        <f>IF($I2="","",INDEX(Productos!$H:$H,$I2))</f>
        <v/>
      </c>
      <c r="F1480" s="5">
        <f>IF($I2="","",INDEX(Productos!$I:$I,$I2))</f>
        <v/>
      </c>
      <c r="G1480" s="135" t="n">
        <v>-1</v>
      </c>
      <c r="H1480" s="5">
        <f>IF($I2="","",INDEX(Productos!$AG:$AG,$I2))</f>
        <v/>
      </c>
      <c r="I1480" s="136">
        <f>LET(_xlpm.r,Productos!$E$2:$E$2509,_xlpm.m,IFERROR(_xlfn.XMATCH(C1480,_xlpm.r),IFERROR(_xlfn.XMATCH(VALUE(C1480),_xlpm.r),0)),IF(_xlpm.m=0,"",_xlpm.m+1))</f>
        <v/>
      </c>
      <c r="J1480" s="137" t="inlineStr">
        <is>
          <t>NetSuite</t>
        </is>
      </c>
    </row>
    <row r="1481">
      <c r="A1481" s="5" t="inlineStr">
        <is>
          <t>STETSON AMERICAS</t>
        </is>
      </c>
      <c r="B1481" s="5">
        <f>IF($I2="","",INDEX(Productos!$A:$A,$I2))</f>
        <v/>
      </c>
      <c r="C1481" s="134" t="inlineStr">
        <is>
          <t>SFROPR-75406167</t>
        </is>
      </c>
      <c r="D1481" s="5">
        <f>IF($I2="","",INDEX(Productos!$B:$B,$I2))</f>
        <v/>
      </c>
      <c r="E1481" s="5">
        <f>IF($I2="","",INDEX(Productos!$H:$H,$I2))</f>
        <v/>
      </c>
      <c r="F1481" s="5">
        <f>IF($I2="","",INDEX(Productos!$I:$I,$I2))</f>
        <v/>
      </c>
      <c r="G1481" s="135" t="n">
        <v>-1</v>
      </c>
      <c r="H1481" s="5">
        <f>IF($I2="","",INDEX(Productos!$AG:$AG,$I2))</f>
        <v/>
      </c>
      <c r="I1481" s="136">
        <f>LET(_xlpm.r,Productos!$E$2:$E$2509,_xlpm.m,IFERROR(_xlfn.XMATCH(C1481,_xlpm.r),IFERROR(_xlfn.XMATCH(VALUE(C1481),_xlpm.r),0)),IF(_xlpm.m=0,"",_xlpm.m+1))</f>
        <v/>
      </c>
      <c r="J1481" s="137" t="inlineStr">
        <is>
          <t>NetSuite</t>
        </is>
      </c>
    </row>
    <row r="1482">
      <c r="A1482" s="5" t="inlineStr">
        <is>
          <t>STETSON AMERICAS</t>
        </is>
      </c>
      <c r="B1482" s="5">
        <f>IF($I2="","",INDEX(Productos!$A:$A,$I2))</f>
        <v/>
      </c>
      <c r="C1482" s="134" t="inlineStr">
        <is>
          <t>SFS250-75420770</t>
        </is>
      </c>
      <c r="D1482" s="5">
        <f>IF($I2="","",INDEX(Productos!$B:$B,$I2))</f>
        <v/>
      </c>
      <c r="E1482" s="5">
        <f>IF($I2="","",INDEX(Productos!$H:$H,$I2))</f>
        <v/>
      </c>
      <c r="F1482" s="5">
        <f>IF($I2="","",INDEX(Productos!$I:$I,$I2))</f>
        <v/>
      </c>
      <c r="G1482" s="135" t="n">
        <v>2</v>
      </c>
      <c r="H1482" s="5">
        <f>IF($I2="","",INDEX(Productos!$AG:$AG,$I2))</f>
        <v/>
      </c>
      <c r="I1482" s="136">
        <f>LET(_xlpm.r,Productos!$E$2:$E$2509,_xlpm.m,IFERROR(_xlfn.XMATCH(C1482,_xlpm.r),IFERROR(_xlfn.XMATCH(VALUE(C1482),_xlpm.r),0)),IF(_xlpm.m=0,"",_xlpm.m+1))</f>
        <v/>
      </c>
      <c r="J1482" s="137" t="inlineStr">
        <is>
          <t>NetSuite</t>
        </is>
      </c>
    </row>
    <row r="1483">
      <c r="A1483" s="5" t="inlineStr">
        <is>
          <t>STETSON AMERICAS</t>
        </is>
      </c>
      <c r="B1483" s="5">
        <f>IF($I2="","",INDEX(Productos!$A:$A,$I2))</f>
        <v/>
      </c>
      <c r="C1483" s="134" t="inlineStr">
        <is>
          <t>SFS250-75420771</t>
        </is>
      </c>
      <c r="D1483" s="5">
        <f>IF($I2="","",INDEX(Productos!$B:$B,$I2))</f>
        <v/>
      </c>
      <c r="E1483" s="5">
        <f>IF($I2="","",INDEX(Productos!$H:$H,$I2))</f>
        <v/>
      </c>
      <c r="F1483" s="5">
        <f>IF($I2="","",INDEX(Productos!$I:$I,$I2))</f>
        <v/>
      </c>
      <c r="G1483" s="135" t="n">
        <v>1</v>
      </c>
      <c r="H1483" s="5">
        <f>IF($I2="","",INDEX(Productos!$AG:$AG,$I2))</f>
        <v/>
      </c>
      <c r="I1483" s="136">
        <f>LET(_xlpm.r,Productos!$E$2:$E$2509,_xlpm.m,IFERROR(_xlfn.XMATCH(C1483,_xlpm.r),IFERROR(_xlfn.XMATCH(VALUE(C1483),_xlpm.r),0)),IF(_xlpm.m=0,"",_xlpm.m+1))</f>
        <v/>
      </c>
      <c r="J1483" s="137" t="inlineStr">
        <is>
          <t>NetSuite</t>
        </is>
      </c>
    </row>
    <row r="1484">
      <c r="A1484" s="5" t="inlineStr">
        <is>
          <t>STETSON AMERICAS</t>
        </is>
      </c>
      <c r="B1484" s="5">
        <f>IF($I2="","",INDEX(Productos!$A:$A,$I2))</f>
        <v/>
      </c>
      <c r="C1484" s="134" t="inlineStr">
        <is>
          <t>SFS250-75420772</t>
        </is>
      </c>
      <c r="D1484" s="5">
        <f>IF($I2="","",INDEX(Productos!$B:$B,$I2))</f>
        <v/>
      </c>
      <c r="E1484" s="5">
        <f>IF($I2="","",INDEX(Productos!$H:$H,$I2))</f>
        <v/>
      </c>
      <c r="F1484" s="5">
        <f>IF($I2="","",INDEX(Productos!$I:$I,$I2))</f>
        <v/>
      </c>
      <c r="G1484" s="135" t="n">
        <v>1</v>
      </c>
      <c r="H1484" s="5">
        <f>IF($I2="","",INDEX(Productos!$AG:$AG,$I2))</f>
        <v/>
      </c>
      <c r="I1484" s="136">
        <f>LET(_xlpm.r,Productos!$E$2:$E$2509,_xlpm.m,IFERROR(_xlfn.XMATCH(C1484,_xlpm.r),IFERROR(_xlfn.XMATCH(VALUE(C1484),_xlpm.r),0)),IF(_xlpm.m=0,"",_xlpm.m+1))</f>
        <v/>
      </c>
      <c r="J1484" s="137" t="inlineStr">
        <is>
          <t>NetSuite</t>
        </is>
      </c>
    </row>
    <row r="1485">
      <c r="A1485" s="5" t="inlineStr">
        <is>
          <t>STETSON AMERICAS</t>
        </is>
      </c>
      <c r="B1485" s="5">
        <f>IF($I2="","",INDEX(Productos!$A:$A,$I2))</f>
        <v/>
      </c>
      <c r="C1485" s="134" t="inlineStr">
        <is>
          <t>SFS250-75420774</t>
        </is>
      </c>
      <c r="D1485" s="5">
        <f>IF($I2="","",INDEX(Productos!$B:$B,$I2))</f>
        <v/>
      </c>
      <c r="E1485" s="5">
        <f>IF($I2="","",INDEX(Productos!$H:$H,$I2))</f>
        <v/>
      </c>
      <c r="F1485" s="5">
        <f>IF($I2="","",INDEX(Productos!$I:$I,$I2))</f>
        <v/>
      </c>
      <c r="G1485" s="135" t="n">
        <v>1</v>
      </c>
      <c r="H1485" s="5">
        <f>IF($I2="","",INDEX(Productos!$AG:$AG,$I2))</f>
        <v/>
      </c>
      <c r="I1485" s="136">
        <f>LET(_xlpm.r,Productos!$E$2:$E$2509,_xlpm.m,IFERROR(_xlfn.XMATCH(C1485,_xlpm.r),IFERROR(_xlfn.XMATCH(VALUE(C1485),_xlpm.r),0)),IF(_xlpm.m=0,"",_xlpm.m+1))</f>
        <v/>
      </c>
      <c r="J1485" s="137" t="inlineStr">
        <is>
          <t>NetSuite</t>
        </is>
      </c>
    </row>
    <row r="1486">
      <c r="A1486" s="5" t="inlineStr">
        <is>
          <t>STETSON AMERICAS</t>
        </is>
      </c>
      <c r="B1486" s="5">
        <f>IF($I2="","",INDEX(Productos!$A:$A,$I2))</f>
        <v/>
      </c>
      <c r="C1486" s="134" t="inlineStr">
        <is>
          <t>SFS250-75426170</t>
        </is>
      </c>
      <c r="D1486" s="5">
        <f>IF($I2="","",INDEX(Productos!$B:$B,$I2))</f>
        <v/>
      </c>
      <c r="E1486" s="5">
        <f>IF($I2="","",INDEX(Productos!$H:$H,$I2))</f>
        <v/>
      </c>
      <c r="F1486" s="5">
        <f>IF($I2="","",INDEX(Productos!$I:$I,$I2))</f>
        <v/>
      </c>
      <c r="G1486" s="135" t="n">
        <v>2</v>
      </c>
      <c r="H1486" s="5">
        <f>IF($I2="","",INDEX(Productos!$AG:$AG,$I2))</f>
        <v/>
      </c>
      <c r="I1486" s="136">
        <f>LET(_xlpm.r,Productos!$E$2:$E$2509,_xlpm.m,IFERROR(_xlfn.XMATCH(C1486,_xlpm.r),IFERROR(_xlfn.XMATCH(VALUE(C1486),_xlpm.r),0)),IF(_xlpm.m=0,"",_xlpm.m+1))</f>
        <v/>
      </c>
      <c r="J1486" s="137" t="inlineStr">
        <is>
          <t>NetSuite</t>
        </is>
      </c>
    </row>
    <row r="1487">
      <c r="A1487" s="5" t="inlineStr">
        <is>
          <t>STETSON AMERICAS</t>
        </is>
      </c>
      <c r="B1487" s="5">
        <f>IF($I2="","",INDEX(Productos!$A:$A,$I2))</f>
        <v/>
      </c>
      <c r="C1487" s="134" t="inlineStr">
        <is>
          <t>SFS250-75426171</t>
        </is>
      </c>
      <c r="D1487" s="5">
        <f>IF($I2="","",INDEX(Productos!$B:$B,$I2))</f>
        <v/>
      </c>
      <c r="E1487" s="5">
        <f>IF($I2="","",INDEX(Productos!$H:$H,$I2))</f>
        <v/>
      </c>
      <c r="F1487" s="5">
        <f>IF($I2="","",INDEX(Productos!$I:$I,$I2))</f>
        <v/>
      </c>
      <c r="G1487" s="135" t="n">
        <v>2</v>
      </c>
      <c r="H1487" s="5">
        <f>IF($I2="","",INDEX(Productos!$AG:$AG,$I2))</f>
        <v/>
      </c>
      <c r="I1487" s="136">
        <f>LET(_xlpm.r,Productos!$E$2:$E$2509,_xlpm.m,IFERROR(_xlfn.XMATCH(C1487,_xlpm.r),IFERROR(_xlfn.XMATCH(VALUE(C1487),_xlpm.r),0)),IF(_xlpm.m=0,"",_xlpm.m+1))</f>
        <v/>
      </c>
      <c r="J1487" s="137" t="inlineStr">
        <is>
          <t>NetSuite</t>
        </is>
      </c>
    </row>
    <row r="1488">
      <c r="A1488" s="5" t="inlineStr">
        <is>
          <t>STETSON AMERICAS</t>
        </is>
      </c>
      <c r="B1488" s="5">
        <f>IF($I2="","",INDEX(Productos!$A:$A,$I2))</f>
        <v/>
      </c>
      <c r="C1488" s="134" t="inlineStr">
        <is>
          <t>SFS250-75426172</t>
        </is>
      </c>
      <c r="D1488" s="5">
        <f>IF($I2="","",INDEX(Productos!$B:$B,$I2))</f>
        <v/>
      </c>
      <c r="E1488" s="5">
        <f>IF($I2="","",INDEX(Productos!$H:$H,$I2))</f>
        <v/>
      </c>
      <c r="F1488" s="5">
        <f>IF($I2="","",INDEX(Productos!$I:$I,$I2))</f>
        <v/>
      </c>
      <c r="G1488" s="135" t="n">
        <v>2</v>
      </c>
      <c r="H1488" s="5">
        <f>IF($I2="","",INDEX(Productos!$AG:$AG,$I2))</f>
        <v/>
      </c>
      <c r="I1488" s="136">
        <f>LET(_xlpm.r,Productos!$E$2:$E$2509,_xlpm.m,IFERROR(_xlfn.XMATCH(C1488,_xlpm.r),IFERROR(_xlfn.XMATCH(VALUE(C1488),_xlpm.r),0)),IF(_xlpm.m=0,"",_xlpm.m+1))</f>
        <v/>
      </c>
      <c r="J1488" s="137" t="inlineStr">
        <is>
          <t>NetSuite</t>
        </is>
      </c>
    </row>
    <row r="1489">
      <c r="A1489" s="5" t="inlineStr">
        <is>
          <t>STETSON AMERICAS</t>
        </is>
      </c>
      <c r="B1489" s="5">
        <f>IF($I2="","",INDEX(Productos!$A:$A,$I2))</f>
        <v/>
      </c>
      <c r="C1489" s="134" t="inlineStr">
        <is>
          <t>SFS250-75426173</t>
        </is>
      </c>
      <c r="D1489" s="5">
        <f>IF($I2="","",INDEX(Productos!$B:$B,$I2))</f>
        <v/>
      </c>
      <c r="E1489" s="5">
        <f>IF($I2="","",INDEX(Productos!$H:$H,$I2))</f>
        <v/>
      </c>
      <c r="F1489" s="5">
        <f>IF($I2="","",INDEX(Productos!$I:$I,$I2))</f>
        <v/>
      </c>
      <c r="G1489" s="135" t="n">
        <v>1</v>
      </c>
      <c r="H1489" s="5">
        <f>IF($I2="","",INDEX(Productos!$AG:$AG,$I2))</f>
        <v/>
      </c>
      <c r="I1489" s="136">
        <f>LET(_xlpm.r,Productos!$E$2:$E$2509,_xlpm.m,IFERROR(_xlfn.XMATCH(C1489,_xlpm.r),IFERROR(_xlfn.XMATCH(VALUE(C1489),_xlpm.r),0)),IF(_xlpm.m=0,"",_xlpm.m+1))</f>
        <v/>
      </c>
      <c r="J1489" s="137" t="inlineStr">
        <is>
          <t>NetSuite</t>
        </is>
      </c>
    </row>
    <row r="1490">
      <c r="A1490" s="5" t="inlineStr">
        <is>
          <t>STETSON AMERICAS</t>
        </is>
      </c>
      <c r="B1490" s="5">
        <f>IF($I2="","",INDEX(Productos!$A:$A,$I2))</f>
        <v/>
      </c>
      <c r="C1490" s="134" t="inlineStr">
        <is>
          <t>SFS250-7542E571</t>
        </is>
      </c>
      <c r="D1490" s="5">
        <f>IF($I2="","",INDEX(Productos!$B:$B,$I2))</f>
        <v/>
      </c>
      <c r="E1490" s="5">
        <f>IF($I2="","",INDEX(Productos!$H:$H,$I2))</f>
        <v/>
      </c>
      <c r="F1490" s="5">
        <f>IF($I2="","",INDEX(Productos!$I:$I,$I2))</f>
        <v/>
      </c>
      <c r="G1490" s="135" t="n">
        <v>1</v>
      </c>
      <c r="H1490" s="5">
        <f>IF($I2="","",INDEX(Productos!$AG:$AG,$I2))</f>
        <v/>
      </c>
      <c r="I1490" s="136">
        <f>LET(_xlpm.r,Productos!$E$2:$E$2509,_xlpm.m,IFERROR(_xlfn.XMATCH(C1490,_xlpm.r),IFERROR(_xlfn.XMATCH(VALUE(C1490),_xlpm.r),0)),IF(_xlpm.m=0,"",_xlpm.m+1))</f>
        <v/>
      </c>
      <c r="J1490" s="137" t="inlineStr">
        <is>
          <t>NetSuite</t>
        </is>
      </c>
    </row>
    <row r="1491">
      <c r="A1491" s="5" t="inlineStr">
        <is>
          <t>STETSON AMERICAS</t>
        </is>
      </c>
      <c r="B1491" s="5">
        <f>IF($I2="","",INDEX(Productos!$A:$A,$I2))</f>
        <v/>
      </c>
      <c r="C1491" s="134" t="inlineStr">
        <is>
          <t>SFSHAS-01400771</t>
        </is>
      </c>
      <c r="D1491" s="5">
        <f>IF($I2="","",INDEX(Productos!$B:$B,$I2))</f>
        <v/>
      </c>
      <c r="E1491" s="5">
        <f>IF($I2="","",INDEX(Productos!$H:$H,$I2))</f>
        <v/>
      </c>
      <c r="F1491" s="5">
        <f>IF($I2="","",INDEX(Productos!$I:$I,$I2))</f>
        <v/>
      </c>
      <c r="G1491" s="135" t="n">
        <v>1</v>
      </c>
      <c r="H1491" s="5">
        <f>IF($I2="","",INDEX(Productos!$AG:$AG,$I2))</f>
        <v/>
      </c>
      <c r="I1491" s="136">
        <f>LET(_xlpm.r,Productos!$E$2:$E$2509,_xlpm.m,IFERROR(_xlfn.XMATCH(C1491,_xlpm.r),IFERROR(_xlfn.XMATCH(VALUE(C1491),_xlpm.r),0)),IF(_xlpm.m=0,"",_xlpm.m+1))</f>
        <v/>
      </c>
      <c r="J1491" s="137" t="inlineStr">
        <is>
          <t>NetSuite</t>
        </is>
      </c>
    </row>
    <row r="1492">
      <c r="A1492" s="5" t="inlineStr">
        <is>
          <t>STETSON AMERICAS</t>
        </is>
      </c>
      <c r="B1492" s="5">
        <f>IF($I2="","",INDEX(Productos!$A:$A,$I2))</f>
        <v/>
      </c>
      <c r="C1492" s="134" t="inlineStr">
        <is>
          <t>SFSHAS-01400772</t>
        </is>
      </c>
      <c r="D1492" s="5">
        <f>IF($I2="","",INDEX(Productos!$B:$B,$I2))</f>
        <v/>
      </c>
      <c r="E1492" s="5">
        <f>IF($I2="","",INDEX(Productos!$H:$H,$I2))</f>
        <v/>
      </c>
      <c r="F1492" s="5">
        <f>IF($I2="","",INDEX(Productos!$I:$I,$I2))</f>
        <v/>
      </c>
      <c r="G1492" s="135" t="n">
        <v>-3</v>
      </c>
      <c r="H1492" s="5">
        <f>IF($I2="","",INDEX(Productos!$AG:$AG,$I2))</f>
        <v/>
      </c>
      <c r="I1492" s="136">
        <f>LET(_xlpm.r,Productos!$E$2:$E$2509,_xlpm.m,IFERROR(_xlfn.XMATCH(C1492,_xlpm.r),IFERROR(_xlfn.XMATCH(VALUE(C1492),_xlpm.r),0)),IF(_xlpm.m=0,"",_xlpm.m+1))</f>
        <v/>
      </c>
      <c r="J1492" s="137" t="inlineStr">
        <is>
          <t>NetSuite</t>
        </is>
      </c>
    </row>
    <row r="1493">
      <c r="A1493" s="5" t="inlineStr">
        <is>
          <t>STETSON AMERICAS</t>
        </is>
      </c>
      <c r="B1493" s="5">
        <f>IF($I2="","",INDEX(Productos!$A:$A,$I2))</f>
        <v/>
      </c>
      <c r="C1493" s="134" t="inlineStr">
        <is>
          <t>SFSHAS-01400773</t>
        </is>
      </c>
      <c r="D1493" s="5">
        <f>IF($I2="","",INDEX(Productos!$B:$B,$I2))</f>
        <v/>
      </c>
      <c r="E1493" s="5">
        <f>IF($I2="","",INDEX(Productos!$H:$H,$I2))</f>
        <v/>
      </c>
      <c r="F1493" s="5">
        <f>IF($I2="","",INDEX(Productos!$I:$I,$I2))</f>
        <v/>
      </c>
      <c r="G1493" s="135" t="n">
        <v>-2</v>
      </c>
      <c r="H1493" s="5">
        <f>IF($I2="","",INDEX(Productos!$AG:$AG,$I2))</f>
        <v/>
      </c>
      <c r="I1493" s="136">
        <f>LET(_xlpm.r,Productos!$E$2:$E$2509,_xlpm.m,IFERROR(_xlfn.XMATCH(C1493,_xlpm.r),IFERROR(_xlfn.XMATCH(VALUE(C1493),_xlpm.r),0)),IF(_xlpm.m=0,"",_xlpm.m+1))</f>
        <v/>
      </c>
      <c r="J1493" s="137" t="inlineStr">
        <is>
          <t>NetSuite</t>
        </is>
      </c>
    </row>
    <row r="1494">
      <c r="A1494" s="5" t="inlineStr">
        <is>
          <t>STETSON AMERICAS</t>
        </is>
      </c>
      <c r="B1494" s="5">
        <f>IF($I2="","",INDEX(Productos!$A:$A,$I2))</f>
        <v/>
      </c>
      <c r="C1494" s="134" t="inlineStr">
        <is>
          <t>SFSHAS-75400773</t>
        </is>
      </c>
      <c r="D1494" s="5">
        <f>IF($I2="","",INDEX(Productos!$B:$B,$I2))</f>
        <v/>
      </c>
      <c r="E1494" s="5">
        <f>IF($I2="","",INDEX(Productos!$H:$H,$I2))</f>
        <v/>
      </c>
      <c r="F1494" s="5">
        <f>IF($I2="","",INDEX(Productos!$I:$I,$I2))</f>
        <v/>
      </c>
      <c r="G1494" s="135" t="n">
        <v>-1</v>
      </c>
      <c r="H1494" s="5">
        <f>IF($I2="","",INDEX(Productos!$AG:$AG,$I2))</f>
        <v/>
      </c>
      <c r="I1494" s="136">
        <f>LET(_xlpm.r,Productos!$E$2:$E$2509,_xlpm.m,IFERROR(_xlfn.XMATCH(C1494,_xlpm.r),IFERROR(_xlfn.XMATCH(VALUE(C1494),_xlpm.r),0)),IF(_xlpm.m=0,"",_xlpm.m+1))</f>
        <v/>
      </c>
      <c r="J1494" s="137" t="inlineStr">
        <is>
          <t>NetSuite</t>
        </is>
      </c>
    </row>
    <row r="1495">
      <c r="A1495" s="5" t="inlineStr">
        <is>
          <t>STETSON AMERICAS</t>
        </is>
      </c>
      <c r="B1495" s="5">
        <f>IF($I2="","",INDEX(Productos!$A:$A,$I2))</f>
        <v/>
      </c>
      <c r="C1495" s="134" t="inlineStr">
        <is>
          <t>SFSHAS-75400774</t>
        </is>
      </c>
      <c r="D1495" s="5">
        <f>IF($I2="","",INDEX(Productos!$B:$B,$I2))</f>
        <v/>
      </c>
      <c r="E1495" s="5">
        <f>IF($I2="","",INDEX(Productos!$H:$H,$I2))</f>
        <v/>
      </c>
      <c r="F1495" s="5">
        <f>IF($I2="","",INDEX(Productos!$I:$I,$I2))</f>
        <v/>
      </c>
      <c r="G1495" s="135" t="n">
        <v>-1</v>
      </c>
      <c r="H1495" s="5">
        <f>IF($I2="","",INDEX(Productos!$AG:$AG,$I2))</f>
        <v/>
      </c>
      <c r="I1495" s="136">
        <f>LET(_xlpm.r,Productos!$E$2:$E$2509,_xlpm.m,IFERROR(_xlfn.XMATCH(C1495,_xlpm.r),IFERROR(_xlfn.XMATCH(VALUE(C1495),_xlpm.r),0)),IF(_xlpm.m=0,"",_xlpm.m+1))</f>
        <v/>
      </c>
      <c r="J1495" s="137" t="inlineStr">
        <is>
          <t>NetSuite</t>
        </is>
      </c>
    </row>
    <row r="1496">
      <c r="A1496" s="5" t="inlineStr">
        <is>
          <t>STETSON AMERICAS</t>
        </is>
      </c>
      <c r="B1496" s="5">
        <f>IF($I2="","",INDEX(Productos!$A:$A,$I2))</f>
        <v/>
      </c>
      <c r="C1496" s="134" t="inlineStr">
        <is>
          <t>SFSHAS-75403471</t>
        </is>
      </c>
      <c r="D1496" s="5">
        <f>IF($I2="","",INDEX(Productos!$B:$B,$I2))</f>
        <v/>
      </c>
      <c r="E1496" s="5">
        <f>IF($I2="","",INDEX(Productos!$H:$H,$I2))</f>
        <v/>
      </c>
      <c r="F1496" s="5">
        <f>IF($I2="","",INDEX(Productos!$I:$I,$I2))</f>
        <v/>
      </c>
      <c r="G1496" s="135" t="n">
        <v>-1</v>
      </c>
      <c r="H1496" s="5">
        <f>IF($I2="","",INDEX(Productos!$AG:$AG,$I2))</f>
        <v/>
      </c>
      <c r="I1496" s="136">
        <f>LET(_xlpm.r,Productos!$E$2:$E$2509,_xlpm.m,IFERROR(_xlfn.XMATCH(C1496,_xlpm.r),IFERROR(_xlfn.XMATCH(VALUE(C1496),_xlpm.r),0)),IF(_xlpm.m=0,"",_xlpm.m+1))</f>
        <v/>
      </c>
      <c r="J1496" s="137" t="inlineStr">
        <is>
          <t>NetSuite</t>
        </is>
      </c>
    </row>
    <row r="1497">
      <c r="A1497" s="5" t="inlineStr">
        <is>
          <t>STETSON AMERICAS</t>
        </is>
      </c>
      <c r="B1497" s="5">
        <f>IF($I2="","",INDEX(Productos!$A:$A,$I2))</f>
        <v/>
      </c>
      <c r="C1497" s="134" t="inlineStr">
        <is>
          <t>SFSHAS-75403472</t>
        </is>
      </c>
      <c r="D1497" s="5">
        <f>IF($I2="","",INDEX(Productos!$B:$B,$I2))</f>
        <v/>
      </c>
      <c r="E1497" s="5">
        <f>IF($I2="","",INDEX(Productos!$H:$H,$I2))</f>
        <v/>
      </c>
      <c r="F1497" s="5">
        <f>IF($I2="","",INDEX(Productos!$I:$I,$I2))</f>
        <v/>
      </c>
      <c r="G1497" s="135" t="n">
        <v>-1</v>
      </c>
      <c r="H1497" s="5">
        <f>IF($I2="","",INDEX(Productos!$AG:$AG,$I2))</f>
        <v/>
      </c>
      <c r="I1497" s="136">
        <f>LET(_xlpm.r,Productos!$E$2:$E$2509,_xlpm.m,IFERROR(_xlfn.XMATCH(C1497,_xlpm.r),IFERROR(_xlfn.XMATCH(VALUE(C1497),_xlpm.r),0)),IF(_xlpm.m=0,"",_xlpm.m+1))</f>
        <v/>
      </c>
      <c r="J1497" s="137" t="inlineStr">
        <is>
          <t>NetSuite</t>
        </is>
      </c>
    </row>
    <row r="1498">
      <c r="A1498" s="5" t="inlineStr">
        <is>
          <t>STETSON AMERICAS</t>
        </is>
      </c>
      <c r="B1498" s="5">
        <f>IF($I2="","",INDEX(Productos!$A:$A,$I2))</f>
        <v/>
      </c>
      <c r="C1498" s="134" t="inlineStr">
        <is>
          <t>SFSHAS-75403473</t>
        </is>
      </c>
      <c r="D1498" s="5">
        <f>IF($I2="","",INDEX(Productos!$B:$B,$I2))</f>
        <v/>
      </c>
      <c r="E1498" s="5">
        <f>IF($I2="","",INDEX(Productos!$H:$H,$I2))</f>
        <v/>
      </c>
      <c r="F1498" s="5">
        <f>IF($I2="","",INDEX(Productos!$I:$I,$I2))</f>
        <v/>
      </c>
      <c r="G1498" s="135" t="n">
        <v>-1</v>
      </c>
      <c r="H1498" s="5">
        <f>IF($I2="","",INDEX(Productos!$AG:$AG,$I2))</f>
        <v/>
      </c>
      <c r="I1498" s="136">
        <f>LET(_xlpm.r,Productos!$E$2:$E$2509,_xlpm.m,IFERROR(_xlfn.XMATCH(C1498,_xlpm.r),IFERROR(_xlfn.XMATCH(VALUE(C1498),_xlpm.r),0)),IF(_xlpm.m=0,"",_xlpm.m+1))</f>
        <v/>
      </c>
      <c r="J1498" s="137" t="inlineStr">
        <is>
          <t>NetSuite</t>
        </is>
      </c>
    </row>
    <row r="1499">
      <c r="A1499" s="5" t="inlineStr">
        <is>
          <t>STETSON AMERICAS</t>
        </is>
      </c>
      <c r="B1499" s="5">
        <f>IF($I2="","",INDEX(Productos!$A:$A,$I2))</f>
        <v/>
      </c>
      <c r="C1499" s="134" t="inlineStr">
        <is>
          <t>SFSHAS-75406171</t>
        </is>
      </c>
      <c r="D1499" s="5">
        <f>IF($I2="","",INDEX(Productos!$B:$B,$I2))</f>
        <v/>
      </c>
      <c r="E1499" s="5">
        <f>IF($I2="","",INDEX(Productos!$H:$H,$I2))</f>
        <v/>
      </c>
      <c r="F1499" s="5">
        <f>IF($I2="","",INDEX(Productos!$I:$I,$I2))</f>
        <v/>
      </c>
      <c r="G1499" s="135" t="n">
        <v>1</v>
      </c>
      <c r="H1499" s="5">
        <f>IF($I2="","",INDEX(Productos!$AG:$AG,$I2))</f>
        <v/>
      </c>
      <c r="I1499" s="136">
        <f>LET(_xlpm.r,Productos!$E$2:$E$2509,_xlpm.m,IFERROR(_xlfn.XMATCH(C1499,_xlpm.r),IFERROR(_xlfn.XMATCH(VALUE(C1499),_xlpm.r),0)),IF(_xlpm.m=0,"",_xlpm.m+1))</f>
        <v/>
      </c>
      <c r="J1499" s="137" t="inlineStr">
        <is>
          <t>NetSuite</t>
        </is>
      </c>
    </row>
    <row r="1500">
      <c r="A1500" s="5" t="inlineStr">
        <is>
          <t>STETSON AMERICAS</t>
        </is>
      </c>
      <c r="B1500" s="5">
        <f>IF($I2="","",INDEX(Productos!$A:$A,$I2))</f>
        <v/>
      </c>
      <c r="C1500" s="134" t="inlineStr">
        <is>
          <t>SFSKYL-72400767</t>
        </is>
      </c>
      <c r="D1500" s="5">
        <f>IF($I2="","",INDEX(Productos!$B:$B,$I2))</f>
        <v/>
      </c>
      <c r="E1500" s="5">
        <f>IF($I2="","",INDEX(Productos!$H:$H,$I2))</f>
        <v/>
      </c>
      <c r="F1500" s="5">
        <f>IF($I2="","",INDEX(Productos!$I:$I,$I2))</f>
        <v/>
      </c>
      <c r="G1500" s="135" t="n">
        <v>-1</v>
      </c>
      <c r="H1500" s="5">
        <f>IF($I2="","",INDEX(Productos!$AG:$AG,$I2))</f>
        <v/>
      </c>
      <c r="I1500" s="136">
        <f>LET(_xlpm.r,Productos!$E$2:$E$2509,_xlpm.m,IFERROR(_xlfn.XMATCH(C1500,_xlpm.r),IFERROR(_xlfn.XMATCH(VALUE(C1500),_xlpm.r),0)),IF(_xlpm.m=0,"",_xlpm.m+1))</f>
        <v/>
      </c>
      <c r="J1500" s="137" t="inlineStr">
        <is>
          <t>NetSuite</t>
        </is>
      </c>
    </row>
    <row r="1501">
      <c r="A1501" s="5" t="inlineStr">
        <is>
          <t>STETSON AMERICAS</t>
        </is>
      </c>
      <c r="B1501" s="5">
        <f>IF($I2="","",INDEX(Productos!$A:$A,$I2))</f>
        <v/>
      </c>
      <c r="C1501" s="134" t="inlineStr">
        <is>
          <t>SFSKYL-72400770</t>
        </is>
      </c>
      <c r="D1501" s="5">
        <f>IF($I2="","",INDEX(Productos!$B:$B,$I2))</f>
        <v/>
      </c>
      <c r="E1501" s="5">
        <f>IF($I2="","",INDEX(Productos!$H:$H,$I2))</f>
        <v/>
      </c>
      <c r="F1501" s="5">
        <f>IF($I2="","",INDEX(Productos!$I:$I,$I2))</f>
        <v/>
      </c>
      <c r="G1501" s="135" t="n">
        <v>-1</v>
      </c>
      <c r="H1501" s="5">
        <f>IF($I2="","",INDEX(Productos!$AG:$AG,$I2))</f>
        <v/>
      </c>
      <c r="I1501" s="136">
        <f>LET(_xlpm.r,Productos!$E$2:$E$2509,_xlpm.m,IFERROR(_xlfn.XMATCH(C1501,_xlpm.r),IFERROR(_xlfn.XMATCH(VALUE(C1501),_xlpm.r),0)),IF(_xlpm.m=0,"",_xlpm.m+1))</f>
        <v/>
      </c>
      <c r="J1501" s="137" t="inlineStr">
        <is>
          <t>NetSuite</t>
        </is>
      </c>
    </row>
    <row r="1502">
      <c r="A1502" s="5" t="inlineStr">
        <is>
          <t>STETSON AMERICAS</t>
        </is>
      </c>
      <c r="B1502" s="5">
        <f>IF($I2="","",INDEX(Productos!$A:$A,$I2))</f>
        <v/>
      </c>
      <c r="C1502" s="134" t="inlineStr">
        <is>
          <t>SFSKYL-72400771</t>
        </is>
      </c>
      <c r="D1502" s="5">
        <f>IF($I2="","",INDEX(Productos!$B:$B,$I2))</f>
        <v/>
      </c>
      <c r="E1502" s="5">
        <f>IF($I2="","",INDEX(Productos!$H:$H,$I2))</f>
        <v/>
      </c>
      <c r="F1502" s="5">
        <f>IF($I2="","",INDEX(Productos!$I:$I,$I2))</f>
        <v/>
      </c>
      <c r="G1502" s="135" t="n">
        <v>-2</v>
      </c>
      <c r="H1502" s="5">
        <f>IF($I2="","",INDEX(Productos!$AG:$AG,$I2))</f>
        <v/>
      </c>
      <c r="I1502" s="136">
        <f>LET(_xlpm.r,Productos!$E$2:$E$2509,_xlpm.m,IFERROR(_xlfn.XMATCH(C1502,_xlpm.r),IFERROR(_xlfn.XMATCH(VALUE(C1502),_xlpm.r),0)),IF(_xlpm.m=0,"",_xlpm.m+1))</f>
        <v/>
      </c>
      <c r="J1502" s="137" t="inlineStr">
        <is>
          <t>NetSuite</t>
        </is>
      </c>
    </row>
    <row r="1503">
      <c r="A1503" s="5" t="inlineStr">
        <is>
          <t>STETSON AMERICAS</t>
        </is>
      </c>
      <c r="B1503" s="5">
        <f>IF($I2="","",INDEX(Productos!$A:$A,$I2))</f>
        <v/>
      </c>
      <c r="C1503" s="134" t="inlineStr">
        <is>
          <t>SFSKYL-72400773</t>
        </is>
      </c>
      <c r="D1503" s="5">
        <f>IF($I2="","",INDEX(Productos!$B:$B,$I2))</f>
        <v/>
      </c>
      <c r="E1503" s="5">
        <f>IF($I2="","",INDEX(Productos!$H:$H,$I2))</f>
        <v/>
      </c>
      <c r="F1503" s="5">
        <f>IF($I2="","",INDEX(Productos!$I:$I,$I2))</f>
        <v/>
      </c>
      <c r="G1503" s="135" t="n">
        <v>-1</v>
      </c>
      <c r="H1503" s="5">
        <f>IF($I2="","",INDEX(Productos!$AG:$AG,$I2))</f>
        <v/>
      </c>
      <c r="I1503" s="136">
        <f>LET(_xlpm.r,Productos!$E$2:$E$2509,_xlpm.m,IFERROR(_xlfn.XMATCH(C1503,_xlpm.r),IFERROR(_xlfn.XMATCH(VALUE(C1503),_xlpm.r),0)),IF(_xlpm.m=0,"",_xlpm.m+1))</f>
        <v/>
      </c>
      <c r="J1503" s="137" t="inlineStr">
        <is>
          <t>NetSuite</t>
        </is>
      </c>
    </row>
    <row r="1504">
      <c r="A1504" s="5" t="inlineStr">
        <is>
          <t>STETSON AMERICAS</t>
        </is>
      </c>
      <c r="B1504" s="5">
        <f>IF($I2="","",INDEX(Productos!$A:$A,$I2))</f>
        <v/>
      </c>
      <c r="C1504" s="134" t="inlineStr">
        <is>
          <t>SFSKYL-72404967</t>
        </is>
      </c>
      <c r="D1504" s="5">
        <f>IF($I2="","",INDEX(Productos!$B:$B,$I2))</f>
        <v/>
      </c>
      <c r="E1504" s="5">
        <f>IF($I2="","",INDEX(Productos!$H:$H,$I2))</f>
        <v/>
      </c>
      <c r="F1504" s="5">
        <f>IF($I2="","",INDEX(Productos!$I:$I,$I2))</f>
        <v/>
      </c>
      <c r="G1504" s="135" t="n">
        <v>-1</v>
      </c>
      <c r="H1504" s="5">
        <f>IF($I2="","",INDEX(Productos!$AG:$AG,$I2))</f>
        <v/>
      </c>
      <c r="I1504" s="136">
        <f>LET(_xlpm.r,Productos!$E$2:$E$2509,_xlpm.m,IFERROR(_xlfn.XMATCH(C1504,_xlpm.r),IFERROR(_xlfn.XMATCH(VALUE(C1504),_xlpm.r),0)),IF(_xlpm.m=0,"",_xlpm.m+1))</f>
        <v/>
      </c>
      <c r="J1504" s="137" t="inlineStr">
        <is>
          <t>NetSuite</t>
        </is>
      </c>
    </row>
    <row r="1505">
      <c r="A1505" s="5" t="inlineStr">
        <is>
          <t>STETSON AMERICAS</t>
        </is>
      </c>
      <c r="B1505" s="5">
        <f>IF($I2="","",INDEX(Productos!$A:$A,$I2))</f>
        <v/>
      </c>
      <c r="C1505" s="134" t="inlineStr">
        <is>
          <t>SFSKYL-72404970</t>
        </is>
      </c>
      <c r="D1505" s="5">
        <f>IF($I2="","",INDEX(Productos!$B:$B,$I2))</f>
        <v/>
      </c>
      <c r="E1505" s="5">
        <f>IF($I2="","",INDEX(Productos!$H:$H,$I2))</f>
        <v/>
      </c>
      <c r="F1505" s="5">
        <f>IF($I2="","",INDEX(Productos!$I:$I,$I2))</f>
        <v/>
      </c>
      <c r="G1505" s="135" t="n">
        <v>-1</v>
      </c>
      <c r="H1505" s="5">
        <f>IF($I2="","",INDEX(Productos!$AG:$AG,$I2))</f>
        <v/>
      </c>
      <c r="I1505" s="136">
        <f>LET(_xlpm.r,Productos!$E$2:$E$2509,_xlpm.m,IFERROR(_xlfn.XMATCH(C1505,_xlpm.r),IFERROR(_xlfn.XMATCH(VALUE(C1505),_xlpm.r),0)),IF(_xlpm.m=0,"",_xlpm.m+1))</f>
        <v/>
      </c>
      <c r="J1505" s="137" t="inlineStr">
        <is>
          <t>NetSuite</t>
        </is>
      </c>
    </row>
    <row r="1506">
      <c r="A1506" s="5" t="inlineStr">
        <is>
          <t>STETSON AMERICAS</t>
        </is>
      </c>
      <c r="B1506" s="5">
        <f>IF($I2="","",INDEX(Productos!$A:$A,$I2))</f>
        <v/>
      </c>
      <c r="C1506" s="134" t="inlineStr">
        <is>
          <t>SFSKYL-72404971</t>
        </is>
      </c>
      <c r="D1506" s="5">
        <f>IF($I2="","",INDEX(Productos!$B:$B,$I2))</f>
        <v/>
      </c>
      <c r="E1506" s="5">
        <f>IF($I2="","",INDEX(Productos!$H:$H,$I2))</f>
        <v/>
      </c>
      <c r="F1506" s="5">
        <f>IF($I2="","",INDEX(Productos!$I:$I,$I2))</f>
        <v/>
      </c>
      <c r="G1506" s="135" t="n">
        <v>-2</v>
      </c>
      <c r="H1506" s="5">
        <f>IF($I2="","",INDEX(Productos!$AG:$AG,$I2))</f>
        <v/>
      </c>
      <c r="I1506" s="136">
        <f>LET(_xlpm.r,Productos!$E$2:$E$2509,_xlpm.m,IFERROR(_xlfn.XMATCH(C1506,_xlpm.r),IFERROR(_xlfn.XMATCH(VALUE(C1506),_xlpm.r),0)),IF(_xlpm.m=0,"",_xlpm.m+1))</f>
        <v/>
      </c>
      <c r="J1506" s="137" t="inlineStr">
        <is>
          <t>NetSuite</t>
        </is>
      </c>
    </row>
    <row r="1507">
      <c r="A1507" s="5" t="inlineStr">
        <is>
          <t>STETSON AMERICAS</t>
        </is>
      </c>
      <c r="B1507" s="5">
        <f>IF($I2="","",INDEX(Productos!$A:$A,$I2))</f>
        <v/>
      </c>
      <c r="C1507" s="134" t="inlineStr">
        <is>
          <t>SFSKYL-72404972</t>
        </is>
      </c>
      <c r="D1507" s="5">
        <f>IF($I2="","",INDEX(Productos!$B:$B,$I2))</f>
        <v/>
      </c>
      <c r="E1507" s="5">
        <f>IF($I2="","",INDEX(Productos!$H:$H,$I2))</f>
        <v/>
      </c>
      <c r="F1507" s="5">
        <f>IF($I2="","",INDEX(Productos!$I:$I,$I2))</f>
        <v/>
      </c>
      <c r="G1507" s="135" t="n">
        <v>-1</v>
      </c>
      <c r="H1507" s="5">
        <f>IF($I2="","",INDEX(Productos!$AG:$AG,$I2))</f>
        <v/>
      </c>
      <c r="I1507" s="136">
        <f>LET(_xlpm.r,Productos!$E$2:$E$2509,_xlpm.m,IFERROR(_xlfn.XMATCH(C1507,_xlpm.r),IFERROR(_xlfn.XMATCH(VALUE(C1507),_xlpm.r),0)),IF(_xlpm.m=0,"",_xlpm.m+1))</f>
        <v/>
      </c>
      <c r="J1507" s="137" t="inlineStr">
        <is>
          <t>NetSuite</t>
        </is>
      </c>
    </row>
    <row r="1508">
      <c r="A1508" s="5" t="inlineStr">
        <is>
          <t>STETSON AMERICAS</t>
        </is>
      </c>
      <c r="B1508" s="5">
        <f>IF($I2="","",INDEX(Productos!$A:$A,$I2))</f>
        <v/>
      </c>
      <c r="C1508" s="134" t="inlineStr">
        <is>
          <t>SFSKYL-72404973</t>
        </is>
      </c>
      <c r="D1508" s="5">
        <f>IF($I2="","",INDEX(Productos!$B:$B,$I2))</f>
        <v/>
      </c>
      <c r="E1508" s="5">
        <f>IF($I2="","",INDEX(Productos!$H:$H,$I2))</f>
        <v/>
      </c>
      <c r="F1508" s="5">
        <f>IF($I2="","",INDEX(Productos!$I:$I,$I2))</f>
        <v/>
      </c>
      <c r="G1508" s="135" t="n">
        <v>-2</v>
      </c>
      <c r="H1508" s="5">
        <f>IF($I2="","",INDEX(Productos!$AG:$AG,$I2))</f>
        <v/>
      </c>
      <c r="I1508" s="136">
        <f>LET(_xlpm.r,Productos!$E$2:$E$2509,_xlpm.m,IFERROR(_xlfn.XMATCH(C1508,_xlpm.r),IFERROR(_xlfn.XMATCH(VALUE(C1508),_xlpm.r),0)),IF(_xlpm.m=0,"",_xlpm.m+1))</f>
        <v/>
      </c>
      <c r="J1508" s="137" t="inlineStr">
        <is>
          <t>NetSuite</t>
        </is>
      </c>
    </row>
    <row r="1509">
      <c r="A1509" s="5" t="inlineStr">
        <is>
          <t>STETSON AMERICAS</t>
        </is>
      </c>
      <c r="B1509" s="5">
        <f>IF($I2="","",INDEX(Productos!$A:$A,$I2))</f>
        <v/>
      </c>
      <c r="C1509" s="134" t="inlineStr">
        <is>
          <t>SFSKYL-72404974</t>
        </is>
      </c>
      <c r="D1509" s="5">
        <f>IF($I2="","",INDEX(Productos!$B:$B,$I2))</f>
        <v/>
      </c>
      <c r="E1509" s="5">
        <f>IF($I2="","",INDEX(Productos!$H:$H,$I2))</f>
        <v/>
      </c>
      <c r="F1509" s="5">
        <f>IF($I2="","",INDEX(Productos!$I:$I,$I2))</f>
        <v/>
      </c>
      <c r="G1509" s="135" t="n">
        <v>-2</v>
      </c>
      <c r="H1509" s="5">
        <f>IF($I2="","",INDEX(Productos!$AG:$AG,$I2))</f>
        <v/>
      </c>
      <c r="I1509" s="136">
        <f>LET(_xlpm.r,Productos!$E$2:$E$2509,_xlpm.m,IFERROR(_xlfn.XMATCH(C1509,_xlpm.r),IFERROR(_xlfn.XMATCH(VALUE(C1509),_xlpm.r),0)),IF(_xlpm.m=0,"",_xlpm.m+1))</f>
        <v/>
      </c>
      <c r="J1509" s="137" t="inlineStr">
        <is>
          <t>NetSuite</t>
        </is>
      </c>
    </row>
    <row r="1510">
      <c r="A1510" s="5" t="inlineStr">
        <is>
          <t>STETSON AMERICAS</t>
        </is>
      </c>
      <c r="B1510" s="5">
        <f>IF($I2="","",INDEX(Productos!$A:$A,$I2))</f>
        <v/>
      </c>
      <c r="C1510" s="134" t="inlineStr">
        <is>
          <t>SFSKYL-72406167</t>
        </is>
      </c>
      <c r="D1510" s="5">
        <f>IF($I2="","",INDEX(Productos!$B:$B,$I2))</f>
        <v/>
      </c>
      <c r="E1510" s="5">
        <f>IF($I2="","",INDEX(Productos!$H:$H,$I2))</f>
        <v/>
      </c>
      <c r="F1510" s="5">
        <f>IF($I2="","",INDEX(Productos!$I:$I,$I2))</f>
        <v/>
      </c>
      <c r="G1510" s="135" t="n">
        <v>1</v>
      </c>
      <c r="H1510" s="5">
        <f>IF($I2="","",INDEX(Productos!$AG:$AG,$I2))</f>
        <v/>
      </c>
      <c r="I1510" s="136">
        <f>LET(_xlpm.r,Productos!$E$2:$E$2509,_xlpm.m,IFERROR(_xlfn.XMATCH(C1510,_xlpm.r),IFERROR(_xlfn.XMATCH(VALUE(C1510),_xlpm.r),0)),IF(_xlpm.m=0,"",_xlpm.m+1))</f>
        <v/>
      </c>
      <c r="J1510" s="137" t="inlineStr">
        <is>
          <t>NetSuite</t>
        </is>
      </c>
    </row>
    <row r="1511">
      <c r="A1511" s="5" t="inlineStr">
        <is>
          <t>STETSON AMERICAS</t>
        </is>
      </c>
      <c r="B1511" s="5">
        <f>IF($I2="","",INDEX(Productos!$A:$A,$I2))</f>
        <v/>
      </c>
      <c r="C1511" s="134" t="inlineStr">
        <is>
          <t>SFSKYL-72406170</t>
        </is>
      </c>
      <c r="D1511" s="5">
        <f>IF($I2="","",INDEX(Productos!$B:$B,$I2))</f>
        <v/>
      </c>
      <c r="E1511" s="5">
        <f>IF($I2="","",INDEX(Productos!$H:$H,$I2))</f>
        <v/>
      </c>
      <c r="F1511" s="5">
        <f>IF($I2="","",INDEX(Productos!$I:$I,$I2))</f>
        <v/>
      </c>
      <c r="G1511" s="135" t="n">
        <v>-2</v>
      </c>
      <c r="H1511" s="5">
        <f>IF($I2="","",INDEX(Productos!$AG:$AG,$I2))</f>
        <v/>
      </c>
      <c r="I1511" s="136">
        <f>LET(_xlpm.r,Productos!$E$2:$E$2509,_xlpm.m,IFERROR(_xlfn.XMATCH(C1511,_xlpm.r),IFERROR(_xlfn.XMATCH(VALUE(C1511),_xlpm.r),0)),IF(_xlpm.m=0,"",_xlpm.m+1))</f>
        <v/>
      </c>
      <c r="J1511" s="137" t="inlineStr">
        <is>
          <t>NetSuite</t>
        </is>
      </c>
    </row>
    <row r="1512">
      <c r="A1512" s="5" t="inlineStr">
        <is>
          <t>STETSON AMERICAS</t>
        </is>
      </c>
      <c r="B1512" s="5">
        <f>IF($I2="","",INDEX(Productos!$A:$A,$I2))</f>
        <v/>
      </c>
      <c r="C1512" s="134" t="inlineStr">
        <is>
          <t>SFSKYL-72406172</t>
        </is>
      </c>
      <c r="D1512" s="5">
        <f>IF($I2="","",INDEX(Productos!$B:$B,$I2))</f>
        <v/>
      </c>
      <c r="E1512" s="5">
        <f>IF($I2="","",INDEX(Productos!$H:$H,$I2))</f>
        <v/>
      </c>
      <c r="F1512" s="5">
        <f>IF($I2="","",INDEX(Productos!$I:$I,$I2))</f>
        <v/>
      </c>
      <c r="G1512" s="135" t="n">
        <v>1</v>
      </c>
      <c r="H1512" s="5">
        <f>IF($I2="","",INDEX(Productos!$AG:$AG,$I2))</f>
        <v/>
      </c>
      <c r="I1512" s="136">
        <f>LET(_xlpm.r,Productos!$E$2:$E$2509,_xlpm.m,IFERROR(_xlfn.XMATCH(C1512,_xlpm.r),IFERROR(_xlfn.XMATCH(VALUE(C1512),_xlpm.r),0)),IF(_xlpm.m=0,"",_xlpm.m+1))</f>
        <v/>
      </c>
      <c r="J1512" s="137" t="inlineStr">
        <is>
          <t>NetSuite</t>
        </is>
      </c>
    </row>
    <row r="1513">
      <c r="A1513" s="5" t="inlineStr">
        <is>
          <t>STETSON AMERICAS</t>
        </is>
      </c>
      <c r="B1513" s="5">
        <f>IF($I2="","",INDEX(Productos!$A:$A,$I2))</f>
        <v/>
      </c>
      <c r="C1513" s="134" t="inlineStr">
        <is>
          <t>SFSKYL-72406173</t>
        </is>
      </c>
      <c r="D1513" s="5">
        <f>IF($I2="","",INDEX(Productos!$B:$B,$I2))</f>
        <v/>
      </c>
      <c r="E1513" s="5">
        <f>IF($I2="","",INDEX(Productos!$H:$H,$I2))</f>
        <v/>
      </c>
      <c r="F1513" s="5">
        <f>IF($I2="","",INDEX(Productos!$I:$I,$I2))</f>
        <v/>
      </c>
      <c r="G1513" s="135" t="n">
        <v>-1</v>
      </c>
      <c r="H1513" s="5">
        <f>IF($I2="","",INDEX(Productos!$AG:$AG,$I2))</f>
        <v/>
      </c>
      <c r="I1513" s="136">
        <f>LET(_xlpm.r,Productos!$E$2:$E$2509,_xlpm.m,IFERROR(_xlfn.XMATCH(C1513,_xlpm.r),IFERROR(_xlfn.XMATCH(VALUE(C1513),_xlpm.r),0)),IF(_xlpm.m=0,"",_xlpm.m+1))</f>
        <v/>
      </c>
      <c r="J1513" s="137" t="inlineStr">
        <is>
          <t>NetSuite</t>
        </is>
      </c>
    </row>
    <row r="1514">
      <c r="A1514" s="5" t="inlineStr">
        <is>
          <t>STETSON AMERICAS</t>
        </is>
      </c>
      <c r="B1514" s="5">
        <f>IF($I2="","",INDEX(Productos!$A:$A,$I2))</f>
        <v/>
      </c>
      <c r="C1514" s="134" t="inlineStr">
        <is>
          <t>SFSKYL-75400767</t>
        </is>
      </c>
      <c r="D1514" s="5">
        <f>IF($I2="","",INDEX(Productos!$B:$B,$I2))</f>
        <v/>
      </c>
      <c r="E1514" s="5">
        <f>IF($I2="","",INDEX(Productos!$H:$H,$I2))</f>
        <v/>
      </c>
      <c r="F1514" s="5">
        <f>IF($I2="","",INDEX(Productos!$I:$I,$I2))</f>
        <v/>
      </c>
      <c r="G1514" s="135" t="n">
        <v>-1</v>
      </c>
      <c r="H1514" s="5">
        <f>IF($I2="","",INDEX(Productos!$AG:$AG,$I2))</f>
        <v/>
      </c>
      <c r="I1514" s="136">
        <f>LET(_xlpm.r,Productos!$E$2:$E$2509,_xlpm.m,IFERROR(_xlfn.XMATCH(C1514,_xlpm.r),IFERROR(_xlfn.XMATCH(VALUE(C1514),_xlpm.r),0)),IF(_xlpm.m=0,"",_xlpm.m+1))</f>
        <v/>
      </c>
      <c r="J1514" s="137" t="inlineStr">
        <is>
          <t>NetSuite</t>
        </is>
      </c>
    </row>
    <row r="1515">
      <c r="A1515" s="5" t="inlineStr">
        <is>
          <t>STETSON AMERICAS</t>
        </is>
      </c>
      <c r="B1515" s="5">
        <f>IF($I2="","",INDEX(Productos!$A:$A,$I2))</f>
        <v/>
      </c>
      <c r="C1515" s="134" t="inlineStr">
        <is>
          <t>SFSKYL-75400771</t>
        </is>
      </c>
      <c r="D1515" s="5">
        <f>IF($I2="","",INDEX(Productos!$B:$B,$I2))</f>
        <v/>
      </c>
      <c r="E1515" s="5">
        <f>IF($I2="","",INDEX(Productos!$H:$H,$I2))</f>
        <v/>
      </c>
      <c r="F1515" s="5">
        <f>IF($I2="","",INDEX(Productos!$I:$I,$I2))</f>
        <v/>
      </c>
      <c r="G1515" s="135" t="n">
        <v>-1</v>
      </c>
      <c r="H1515" s="5">
        <f>IF($I2="","",INDEX(Productos!$AG:$AG,$I2))</f>
        <v/>
      </c>
      <c r="I1515" s="136">
        <f>LET(_xlpm.r,Productos!$E$2:$E$2509,_xlpm.m,IFERROR(_xlfn.XMATCH(C1515,_xlpm.r),IFERROR(_xlfn.XMATCH(VALUE(C1515),_xlpm.r),0)),IF(_xlpm.m=0,"",_xlpm.m+1))</f>
        <v/>
      </c>
      <c r="J1515" s="137" t="inlineStr">
        <is>
          <t>NetSuite</t>
        </is>
      </c>
    </row>
    <row r="1516">
      <c r="A1516" s="5" t="inlineStr">
        <is>
          <t>STETSON AMERICAS</t>
        </is>
      </c>
      <c r="B1516" s="5">
        <f>IF($I2="","",INDEX(Productos!$A:$A,$I2))</f>
        <v/>
      </c>
      <c r="C1516" s="134" t="inlineStr">
        <is>
          <t>SFSKYL-75400772</t>
        </is>
      </c>
      <c r="D1516" s="5">
        <f>IF($I2="","",INDEX(Productos!$B:$B,$I2))</f>
        <v/>
      </c>
      <c r="E1516" s="5">
        <f>IF($I2="","",INDEX(Productos!$H:$H,$I2))</f>
        <v/>
      </c>
      <c r="F1516" s="5">
        <f>IF($I2="","",INDEX(Productos!$I:$I,$I2))</f>
        <v/>
      </c>
      <c r="G1516" s="135" t="n">
        <v>-1</v>
      </c>
      <c r="H1516" s="5">
        <f>IF($I2="","",INDEX(Productos!$AG:$AG,$I2))</f>
        <v/>
      </c>
      <c r="I1516" s="136">
        <f>LET(_xlpm.r,Productos!$E$2:$E$2509,_xlpm.m,IFERROR(_xlfn.XMATCH(C1516,_xlpm.r),IFERROR(_xlfn.XMATCH(VALUE(C1516),_xlpm.r),0)),IF(_xlpm.m=0,"",_xlpm.m+1))</f>
        <v/>
      </c>
      <c r="J1516" s="137" t="inlineStr">
        <is>
          <t>NetSuite</t>
        </is>
      </c>
    </row>
    <row r="1517">
      <c r="A1517" s="5" t="inlineStr">
        <is>
          <t>STETSON AMERICAS</t>
        </is>
      </c>
      <c r="B1517" s="5">
        <f>IF($I2="","",INDEX(Productos!$A:$A,$I2))</f>
        <v/>
      </c>
      <c r="C1517" s="134" t="inlineStr">
        <is>
          <t>SFSKYL-75400773</t>
        </is>
      </c>
      <c r="D1517" s="5">
        <f>IF($I2="","",INDEX(Productos!$B:$B,$I2))</f>
        <v/>
      </c>
      <c r="E1517" s="5">
        <f>IF($I2="","",INDEX(Productos!$H:$H,$I2))</f>
        <v/>
      </c>
      <c r="F1517" s="5">
        <f>IF($I2="","",INDEX(Productos!$I:$I,$I2))</f>
        <v/>
      </c>
      <c r="G1517" s="135" t="n">
        <v>-1</v>
      </c>
      <c r="H1517" s="5">
        <f>IF($I2="","",INDEX(Productos!$AG:$AG,$I2))</f>
        <v/>
      </c>
      <c r="I1517" s="136">
        <f>LET(_xlpm.r,Productos!$E$2:$E$2509,_xlpm.m,IFERROR(_xlfn.XMATCH(C1517,_xlpm.r),IFERROR(_xlfn.XMATCH(VALUE(C1517),_xlpm.r),0)),IF(_xlpm.m=0,"",_xlpm.m+1))</f>
        <v/>
      </c>
      <c r="J1517" s="137" t="inlineStr">
        <is>
          <t>NetSuite</t>
        </is>
      </c>
    </row>
    <row r="1518">
      <c r="A1518" s="5" t="inlineStr">
        <is>
          <t>STETSON AMERICAS</t>
        </is>
      </c>
      <c r="B1518" s="5">
        <f>IF($I2="","",INDEX(Productos!$A:$A,$I2))</f>
        <v/>
      </c>
      <c r="C1518" s="134" t="inlineStr">
        <is>
          <t>SFSKYL-75402271</t>
        </is>
      </c>
      <c r="D1518" s="5">
        <f>IF($I2="","",INDEX(Productos!$B:$B,$I2))</f>
        <v/>
      </c>
      <c r="E1518" s="5">
        <f>IF($I2="","",INDEX(Productos!$H:$H,$I2))</f>
        <v/>
      </c>
      <c r="F1518" s="5">
        <f>IF($I2="","",INDEX(Productos!$I:$I,$I2))</f>
        <v/>
      </c>
      <c r="G1518" s="135" t="n">
        <v>-2</v>
      </c>
      <c r="H1518" s="5">
        <f>IF($I2="","",INDEX(Productos!$AG:$AG,$I2))</f>
        <v/>
      </c>
      <c r="I1518" s="136">
        <f>LET(_xlpm.r,Productos!$E$2:$E$2509,_xlpm.m,IFERROR(_xlfn.XMATCH(C1518,_xlpm.r),IFERROR(_xlfn.XMATCH(VALUE(C1518),_xlpm.r),0)),IF(_xlpm.m=0,"",_xlpm.m+1))</f>
        <v/>
      </c>
      <c r="J1518" s="137" t="inlineStr">
        <is>
          <t>NetSuite</t>
        </is>
      </c>
    </row>
    <row r="1519">
      <c r="A1519" s="5" t="inlineStr">
        <is>
          <t>STETSON AMERICAS</t>
        </is>
      </c>
      <c r="B1519" s="5">
        <f>IF($I2="","",INDEX(Productos!$A:$A,$I2))</f>
        <v/>
      </c>
      <c r="C1519" s="134" t="inlineStr">
        <is>
          <t>SFSKYL-75402272</t>
        </is>
      </c>
      <c r="D1519" s="5">
        <f>IF($I2="","",INDEX(Productos!$B:$B,$I2))</f>
        <v/>
      </c>
      <c r="E1519" s="5">
        <f>IF($I2="","",INDEX(Productos!$H:$H,$I2))</f>
        <v/>
      </c>
      <c r="F1519" s="5">
        <f>IF($I2="","",INDEX(Productos!$I:$I,$I2))</f>
        <v/>
      </c>
      <c r="G1519" s="135" t="n">
        <v>-2</v>
      </c>
      <c r="H1519" s="5">
        <f>IF($I2="","",INDEX(Productos!$AG:$AG,$I2))</f>
        <v/>
      </c>
      <c r="I1519" s="136">
        <f>LET(_xlpm.r,Productos!$E$2:$E$2509,_xlpm.m,IFERROR(_xlfn.XMATCH(C1519,_xlpm.r),IFERROR(_xlfn.XMATCH(VALUE(C1519),_xlpm.r),0)),IF(_xlpm.m=0,"",_xlpm.m+1))</f>
        <v/>
      </c>
      <c r="J1519" s="137" t="inlineStr">
        <is>
          <t>NetSuite</t>
        </is>
      </c>
    </row>
    <row r="1520">
      <c r="A1520" s="5" t="inlineStr">
        <is>
          <t>STETSON AMERICAS</t>
        </is>
      </c>
      <c r="B1520" s="5">
        <f>IF($I2="","",INDEX(Productos!$A:$A,$I2))</f>
        <v/>
      </c>
      <c r="C1520" s="134" t="inlineStr">
        <is>
          <t>SFSKYL-75402273</t>
        </is>
      </c>
      <c r="D1520" s="5">
        <f>IF($I2="","",INDEX(Productos!$B:$B,$I2))</f>
        <v/>
      </c>
      <c r="E1520" s="5">
        <f>IF($I2="","",INDEX(Productos!$H:$H,$I2))</f>
        <v/>
      </c>
      <c r="F1520" s="5">
        <f>IF($I2="","",INDEX(Productos!$I:$I,$I2))</f>
        <v/>
      </c>
      <c r="G1520" s="135" t="n">
        <v>-1</v>
      </c>
      <c r="H1520" s="5">
        <f>IF($I2="","",INDEX(Productos!$AG:$AG,$I2))</f>
        <v/>
      </c>
      <c r="I1520" s="136">
        <f>LET(_xlpm.r,Productos!$E$2:$E$2509,_xlpm.m,IFERROR(_xlfn.XMATCH(C1520,_xlpm.r),IFERROR(_xlfn.XMATCH(VALUE(C1520),_xlpm.r),0)),IF(_xlpm.m=0,"",_xlpm.m+1))</f>
        <v/>
      </c>
      <c r="J1520" s="137" t="inlineStr">
        <is>
          <t>NetSuite</t>
        </is>
      </c>
    </row>
    <row r="1521">
      <c r="A1521" s="5" t="inlineStr">
        <is>
          <t>STETSON AMERICAS</t>
        </is>
      </c>
      <c r="B1521" s="5">
        <f>IF($I2="","",INDEX(Productos!$A:$A,$I2))</f>
        <v/>
      </c>
      <c r="C1521" s="134" t="inlineStr">
        <is>
          <t>SFSKYL-75402274</t>
        </is>
      </c>
      <c r="D1521" s="5">
        <f>IF($I2="","",INDEX(Productos!$B:$B,$I2))</f>
        <v/>
      </c>
      <c r="E1521" s="5">
        <f>IF($I2="","",INDEX(Productos!$H:$H,$I2))</f>
        <v/>
      </c>
      <c r="F1521" s="5">
        <f>IF($I2="","",INDEX(Productos!$I:$I,$I2))</f>
        <v/>
      </c>
      <c r="G1521" s="135" t="n">
        <v>-1</v>
      </c>
      <c r="H1521" s="5">
        <f>IF($I2="","",INDEX(Productos!$AG:$AG,$I2))</f>
        <v/>
      </c>
      <c r="I1521" s="136">
        <f>LET(_xlpm.r,Productos!$E$2:$E$2509,_xlpm.m,IFERROR(_xlfn.XMATCH(C1521,_xlpm.r),IFERROR(_xlfn.XMATCH(VALUE(C1521),_xlpm.r),0)),IF(_xlpm.m=0,"",_xlpm.m+1))</f>
        <v/>
      </c>
      <c r="J1521" s="137" t="inlineStr">
        <is>
          <t>NetSuite</t>
        </is>
      </c>
    </row>
    <row r="1522">
      <c r="A1522" s="5" t="inlineStr">
        <is>
          <t>STETSON AMERICAS</t>
        </is>
      </c>
      <c r="B1522" s="5">
        <f>IF($I2="","",INDEX(Productos!$A:$A,$I2))</f>
        <v/>
      </c>
      <c r="C1522" s="134" t="inlineStr">
        <is>
          <t>SFSKYL-75404970</t>
        </is>
      </c>
      <c r="D1522" s="5">
        <f>IF($I2="","",INDEX(Productos!$B:$B,$I2))</f>
        <v/>
      </c>
      <c r="E1522" s="5">
        <f>IF($I2="","",INDEX(Productos!$H:$H,$I2))</f>
        <v/>
      </c>
      <c r="F1522" s="5">
        <f>IF($I2="","",INDEX(Productos!$I:$I,$I2))</f>
        <v/>
      </c>
      <c r="G1522" s="135" t="n">
        <v>-2</v>
      </c>
      <c r="H1522" s="5">
        <f>IF($I2="","",INDEX(Productos!$AG:$AG,$I2))</f>
        <v/>
      </c>
      <c r="I1522" s="136">
        <f>LET(_xlpm.r,Productos!$E$2:$E$2509,_xlpm.m,IFERROR(_xlfn.XMATCH(C1522,_xlpm.r),IFERROR(_xlfn.XMATCH(VALUE(C1522),_xlpm.r),0)),IF(_xlpm.m=0,"",_xlpm.m+1))</f>
        <v/>
      </c>
      <c r="J1522" s="137" t="inlineStr">
        <is>
          <t>NetSuite</t>
        </is>
      </c>
    </row>
    <row r="1523">
      <c r="A1523" s="5" t="inlineStr">
        <is>
          <t>STETSON AMERICAS</t>
        </is>
      </c>
      <c r="B1523" s="5">
        <f>IF($I2="","",INDEX(Productos!$A:$A,$I2))</f>
        <v/>
      </c>
      <c r="C1523" s="134" t="inlineStr">
        <is>
          <t>SFSKYL-75404971</t>
        </is>
      </c>
      <c r="D1523" s="5">
        <f>IF($I2="","",INDEX(Productos!$B:$B,$I2))</f>
        <v/>
      </c>
      <c r="E1523" s="5">
        <f>IF($I2="","",INDEX(Productos!$H:$H,$I2))</f>
        <v/>
      </c>
      <c r="F1523" s="5">
        <f>IF($I2="","",INDEX(Productos!$I:$I,$I2))</f>
        <v/>
      </c>
      <c r="G1523" s="135" t="n">
        <v>1</v>
      </c>
      <c r="H1523" s="5">
        <f>IF($I2="","",INDEX(Productos!$AG:$AG,$I2))</f>
        <v/>
      </c>
      <c r="I1523" s="136">
        <f>LET(_xlpm.r,Productos!$E$2:$E$2509,_xlpm.m,IFERROR(_xlfn.XMATCH(C1523,_xlpm.r),IFERROR(_xlfn.XMATCH(VALUE(C1523),_xlpm.r),0)),IF(_xlpm.m=0,"",_xlpm.m+1))</f>
        <v/>
      </c>
      <c r="J1523" s="137" t="inlineStr">
        <is>
          <t>NetSuite</t>
        </is>
      </c>
    </row>
    <row r="1524">
      <c r="A1524" s="5" t="inlineStr">
        <is>
          <t>STETSON AMERICAS</t>
        </is>
      </c>
      <c r="B1524" s="5">
        <f>IF($I2="","",INDEX(Productos!$A:$A,$I2))</f>
        <v/>
      </c>
      <c r="C1524" s="134" t="inlineStr">
        <is>
          <t>SFSKYL-75404972</t>
        </is>
      </c>
      <c r="D1524" s="5">
        <f>IF($I2="","",INDEX(Productos!$B:$B,$I2))</f>
        <v/>
      </c>
      <c r="E1524" s="5">
        <f>IF($I2="","",INDEX(Productos!$H:$H,$I2))</f>
        <v/>
      </c>
      <c r="F1524" s="5">
        <f>IF($I2="","",INDEX(Productos!$I:$I,$I2))</f>
        <v/>
      </c>
      <c r="G1524" s="135" t="n">
        <v>-1</v>
      </c>
      <c r="H1524" s="5">
        <f>IF($I2="","",INDEX(Productos!$AG:$AG,$I2))</f>
        <v/>
      </c>
      <c r="I1524" s="136">
        <f>LET(_xlpm.r,Productos!$E$2:$E$2509,_xlpm.m,IFERROR(_xlfn.XMATCH(C1524,_xlpm.r),IFERROR(_xlfn.XMATCH(VALUE(C1524),_xlpm.r),0)),IF(_xlpm.m=0,"",_xlpm.m+1))</f>
        <v/>
      </c>
      <c r="J1524" s="137" t="inlineStr">
        <is>
          <t>NetSuite</t>
        </is>
      </c>
    </row>
    <row r="1525">
      <c r="A1525" s="5" t="inlineStr">
        <is>
          <t>STETSON AMERICAS</t>
        </is>
      </c>
      <c r="B1525" s="5">
        <f>IF($I2="","",INDEX(Productos!$A:$A,$I2))</f>
        <v/>
      </c>
      <c r="C1525" s="134" t="inlineStr">
        <is>
          <t>SFSKYL-75404973</t>
        </is>
      </c>
      <c r="D1525" s="5">
        <f>IF($I2="","",INDEX(Productos!$B:$B,$I2))</f>
        <v/>
      </c>
      <c r="E1525" s="5">
        <f>IF($I2="","",INDEX(Productos!$H:$H,$I2))</f>
        <v/>
      </c>
      <c r="F1525" s="5">
        <f>IF($I2="","",INDEX(Productos!$I:$I,$I2))</f>
        <v/>
      </c>
      <c r="G1525" s="135" t="n">
        <v>-1</v>
      </c>
      <c r="H1525" s="5">
        <f>IF($I2="","",INDEX(Productos!$AG:$AG,$I2))</f>
        <v/>
      </c>
      <c r="I1525" s="136">
        <f>LET(_xlpm.r,Productos!$E$2:$E$2509,_xlpm.m,IFERROR(_xlfn.XMATCH(C1525,_xlpm.r),IFERROR(_xlfn.XMATCH(VALUE(C1525),_xlpm.r),0)),IF(_xlpm.m=0,"",_xlpm.m+1))</f>
        <v/>
      </c>
      <c r="J1525" s="137" t="inlineStr">
        <is>
          <t>NetSuite</t>
        </is>
      </c>
    </row>
    <row r="1526">
      <c r="A1526" s="5" t="inlineStr">
        <is>
          <t>STETSON AMERICAS</t>
        </is>
      </c>
      <c r="B1526" s="5">
        <f>IF($I2="","",INDEX(Productos!$A:$A,$I2))</f>
        <v/>
      </c>
      <c r="C1526" s="134" t="inlineStr">
        <is>
          <t>SFSKYL-75404974</t>
        </is>
      </c>
      <c r="D1526" s="5">
        <f>IF($I2="","",INDEX(Productos!$B:$B,$I2))</f>
        <v/>
      </c>
      <c r="E1526" s="5">
        <f>IF($I2="","",INDEX(Productos!$H:$H,$I2))</f>
        <v/>
      </c>
      <c r="F1526" s="5">
        <f>IF($I2="","",INDEX(Productos!$I:$I,$I2))</f>
        <v/>
      </c>
      <c r="G1526" s="135" t="n">
        <v>-1</v>
      </c>
      <c r="H1526" s="5">
        <f>IF($I2="","",INDEX(Productos!$AG:$AG,$I2))</f>
        <v/>
      </c>
      <c r="I1526" s="136">
        <f>LET(_xlpm.r,Productos!$E$2:$E$2509,_xlpm.m,IFERROR(_xlfn.XMATCH(C1526,_xlpm.r),IFERROR(_xlfn.XMATCH(VALUE(C1526),_xlpm.r),0)),IF(_xlpm.m=0,"",_xlpm.m+1))</f>
        <v/>
      </c>
      <c r="J1526" s="137" t="inlineStr">
        <is>
          <t>NetSuite</t>
        </is>
      </c>
    </row>
    <row r="1527">
      <c r="A1527" s="5" t="inlineStr">
        <is>
          <t>STETSON AMERICAS</t>
        </is>
      </c>
      <c r="B1527" s="5">
        <f>IF($I2="","",INDEX(Productos!$A:$A,$I2))</f>
        <v/>
      </c>
      <c r="C1527" s="134" t="inlineStr">
        <is>
          <t>SFSKYL-7540E567</t>
        </is>
      </c>
      <c r="D1527" s="5">
        <f>IF($I2="","",INDEX(Productos!$B:$B,$I2))</f>
        <v/>
      </c>
      <c r="E1527" s="5">
        <f>IF($I2="","",INDEX(Productos!$H:$H,$I2))</f>
        <v/>
      </c>
      <c r="F1527" s="5">
        <f>IF($I2="","",INDEX(Productos!$I:$I,$I2))</f>
        <v/>
      </c>
      <c r="G1527" s="135" t="n">
        <v>-1</v>
      </c>
      <c r="H1527" s="5">
        <f>IF($I2="","",INDEX(Productos!$AG:$AG,$I2))</f>
        <v/>
      </c>
      <c r="I1527" s="136">
        <f>LET(_xlpm.r,Productos!$E$2:$E$2509,_xlpm.m,IFERROR(_xlfn.XMATCH(C1527,_xlpm.r),IFERROR(_xlfn.XMATCH(VALUE(C1527),_xlpm.r),0)),IF(_xlpm.m=0,"",_xlpm.m+1))</f>
        <v/>
      </c>
      <c r="J1527" s="137" t="inlineStr">
        <is>
          <t>NetSuite</t>
        </is>
      </c>
    </row>
    <row r="1528">
      <c r="A1528" s="5" t="inlineStr">
        <is>
          <t>STETSON AMERICAS</t>
        </is>
      </c>
      <c r="B1528" s="5">
        <f>IF($I2="","",INDEX(Productos!$A:$A,$I2))</f>
        <v/>
      </c>
      <c r="C1528" s="134" t="inlineStr">
        <is>
          <t>SFSKYL-7540E571</t>
        </is>
      </c>
      <c r="D1528" s="5">
        <f>IF($I2="","",INDEX(Productos!$B:$B,$I2))</f>
        <v/>
      </c>
      <c r="E1528" s="5">
        <f>IF($I2="","",INDEX(Productos!$H:$H,$I2))</f>
        <v/>
      </c>
      <c r="F1528" s="5">
        <f>IF($I2="","",INDEX(Productos!$I:$I,$I2))</f>
        <v/>
      </c>
      <c r="G1528" s="135" t="n">
        <v>-2</v>
      </c>
      <c r="H1528" s="5">
        <f>IF($I2="","",INDEX(Productos!$AG:$AG,$I2))</f>
        <v/>
      </c>
      <c r="I1528" s="136">
        <f>LET(_xlpm.r,Productos!$E$2:$E$2509,_xlpm.m,IFERROR(_xlfn.XMATCH(C1528,_xlpm.r),IFERROR(_xlfn.XMATCH(VALUE(C1528),_xlpm.r),0)),IF(_xlpm.m=0,"",_xlpm.m+1))</f>
        <v/>
      </c>
      <c r="J1528" s="137" t="inlineStr">
        <is>
          <t>NetSuite</t>
        </is>
      </c>
    </row>
    <row r="1529">
      <c r="A1529" s="5" t="inlineStr">
        <is>
          <t>STETSON AMERICAS</t>
        </is>
      </c>
      <c r="B1529" s="5">
        <f>IF($I2="","",INDEX(Productos!$A:$A,$I2))</f>
        <v/>
      </c>
      <c r="C1529" s="134" t="inlineStr">
        <is>
          <t>SFSKYL-7540E572</t>
        </is>
      </c>
      <c r="D1529" s="5">
        <f>IF($I2="","",INDEX(Productos!$B:$B,$I2))</f>
        <v/>
      </c>
      <c r="E1529" s="5">
        <f>IF($I2="","",INDEX(Productos!$H:$H,$I2))</f>
        <v/>
      </c>
      <c r="F1529" s="5">
        <f>IF($I2="","",INDEX(Productos!$I:$I,$I2))</f>
        <v/>
      </c>
      <c r="G1529" s="135" t="n">
        <v>-3</v>
      </c>
      <c r="H1529" s="5">
        <f>IF($I2="","",INDEX(Productos!$AG:$AG,$I2))</f>
        <v/>
      </c>
      <c r="I1529" s="136">
        <f>LET(_xlpm.r,Productos!$E$2:$E$2509,_xlpm.m,IFERROR(_xlfn.XMATCH(C1529,_xlpm.r),IFERROR(_xlfn.XMATCH(VALUE(C1529),_xlpm.r),0)),IF(_xlpm.m=0,"",_xlpm.m+1))</f>
        <v/>
      </c>
      <c r="J1529" s="137" t="inlineStr">
        <is>
          <t>NetSuite</t>
        </is>
      </c>
    </row>
    <row r="1530">
      <c r="A1530" s="5" t="inlineStr">
        <is>
          <t>STETSON AMERICAS</t>
        </is>
      </c>
      <c r="B1530" s="5">
        <f>IF($I2="","",INDEX(Productos!$A:$A,$I2))</f>
        <v/>
      </c>
      <c r="C1530" s="134" t="inlineStr">
        <is>
          <t>SFSKYL-7540E573</t>
        </is>
      </c>
      <c r="D1530" s="5">
        <f>IF($I2="","",INDEX(Productos!$B:$B,$I2))</f>
        <v/>
      </c>
      <c r="E1530" s="5">
        <f>IF($I2="","",INDEX(Productos!$H:$H,$I2))</f>
        <v/>
      </c>
      <c r="F1530" s="5">
        <f>IF($I2="","",INDEX(Productos!$I:$I,$I2))</f>
        <v/>
      </c>
      <c r="G1530" s="135" t="n">
        <v>-1</v>
      </c>
      <c r="H1530" s="5">
        <f>IF($I2="","",INDEX(Productos!$AG:$AG,$I2))</f>
        <v/>
      </c>
      <c r="I1530" s="136">
        <f>LET(_xlpm.r,Productos!$E$2:$E$2509,_xlpm.m,IFERROR(_xlfn.XMATCH(C1530,_xlpm.r),IFERROR(_xlfn.XMATCH(VALUE(C1530),_xlpm.r),0)),IF(_xlpm.m=0,"",_xlpm.m+1))</f>
        <v/>
      </c>
      <c r="J1530" s="137" t="inlineStr">
        <is>
          <t>NetSuite</t>
        </is>
      </c>
    </row>
    <row r="1531">
      <c r="A1531" s="5" t="inlineStr">
        <is>
          <t>STETSON AMERICAS</t>
        </is>
      </c>
      <c r="B1531" s="5">
        <f>IF($I2="","",INDEX(Productos!$A:$A,$I2))</f>
        <v/>
      </c>
      <c r="C1531" s="134" t="inlineStr">
        <is>
          <t>SFTMIXB28506167</t>
        </is>
      </c>
      <c r="D1531" s="5">
        <f>IF($I2="","",INDEX(Productos!$B:$B,$I2))</f>
        <v/>
      </c>
      <c r="E1531" s="5">
        <f>IF($I2="","",INDEX(Productos!$H:$H,$I2))</f>
        <v/>
      </c>
      <c r="F1531" s="5">
        <f>IF($I2="","",INDEX(Productos!$I:$I,$I2))</f>
        <v/>
      </c>
      <c r="G1531" s="135" t="n">
        <v>1</v>
      </c>
      <c r="H1531" s="5">
        <f>IF($I2="","",INDEX(Productos!$AG:$AG,$I2))</f>
        <v/>
      </c>
      <c r="I1531" s="136">
        <f>LET(_xlpm.r,Productos!$E$2:$E$2509,_xlpm.m,IFERROR(_xlfn.XMATCH(C1531,_xlpm.r),IFERROR(_xlfn.XMATCH(VALUE(C1531),_xlpm.r),0)),IF(_xlpm.m=0,"",_xlpm.m+1))</f>
        <v/>
      </c>
      <c r="J1531" s="137" t="inlineStr">
        <is>
          <t>NetSuite</t>
        </is>
      </c>
    </row>
    <row r="1532">
      <c r="A1532" s="5" t="inlineStr">
        <is>
          <t>STETSON AMERICAS</t>
        </is>
      </c>
      <c r="B1532" s="5">
        <f>IF($I2="","",INDEX(Productos!$A:$A,$I2))</f>
        <v/>
      </c>
      <c r="C1532" s="134" t="inlineStr">
        <is>
          <t>SFTMIXB28506170</t>
        </is>
      </c>
      <c r="D1532" s="5">
        <f>IF($I2="","",INDEX(Productos!$B:$B,$I2))</f>
        <v/>
      </c>
      <c r="E1532" s="5">
        <f>IF($I2="","",INDEX(Productos!$H:$H,$I2))</f>
        <v/>
      </c>
      <c r="F1532" s="5">
        <f>IF($I2="","",INDEX(Productos!$I:$I,$I2))</f>
        <v/>
      </c>
      <c r="G1532" s="135" t="n">
        <v>1</v>
      </c>
      <c r="H1532" s="5">
        <f>IF($I2="","",INDEX(Productos!$AG:$AG,$I2))</f>
        <v/>
      </c>
      <c r="I1532" s="136">
        <f>LET(_xlpm.r,Productos!$E$2:$E$2509,_xlpm.m,IFERROR(_xlfn.XMATCH(C1532,_xlpm.r),IFERROR(_xlfn.XMATCH(VALUE(C1532),_xlpm.r),0)),IF(_xlpm.m=0,"",_xlpm.m+1))</f>
        <v/>
      </c>
      <c r="J1532" s="137" t="inlineStr">
        <is>
          <t>NetSuite</t>
        </is>
      </c>
    </row>
    <row r="1533">
      <c r="A1533" s="5" t="inlineStr">
        <is>
          <t>STETSON AMERICAS</t>
        </is>
      </c>
      <c r="B1533" s="5">
        <f>IF($I2="","",INDEX(Productos!$A:$A,$I2))</f>
        <v/>
      </c>
      <c r="C1533" s="134" t="inlineStr">
        <is>
          <t>SFTMIXB28506171</t>
        </is>
      </c>
      <c r="D1533" s="5">
        <f>IF($I2="","",INDEX(Productos!$B:$B,$I2))</f>
        <v/>
      </c>
      <c r="E1533" s="5">
        <f>IF($I2="","",INDEX(Productos!$H:$H,$I2))</f>
        <v/>
      </c>
      <c r="F1533" s="5">
        <f>IF($I2="","",INDEX(Productos!$I:$I,$I2))</f>
        <v/>
      </c>
      <c r="G1533" s="135" t="n">
        <v>1</v>
      </c>
      <c r="H1533" s="5">
        <f>IF($I2="","",INDEX(Productos!$AG:$AG,$I2))</f>
        <v/>
      </c>
      <c r="I1533" s="136">
        <f>LET(_xlpm.r,Productos!$E$2:$E$2509,_xlpm.m,IFERROR(_xlfn.XMATCH(C1533,_xlpm.r),IFERROR(_xlfn.XMATCH(VALUE(C1533),_xlpm.r),0)),IF(_xlpm.m=0,"",_xlpm.m+1))</f>
        <v/>
      </c>
      <c r="J1533" s="137" t="inlineStr">
        <is>
          <t>NetSuite</t>
        </is>
      </c>
    </row>
    <row r="1534">
      <c r="A1534" s="5" t="inlineStr">
        <is>
          <t>STETSON AMERICAS</t>
        </is>
      </c>
      <c r="B1534" s="5">
        <f>IF($I2="","",INDEX(Productos!$A:$A,$I2))</f>
        <v/>
      </c>
      <c r="C1534" s="134" t="inlineStr">
        <is>
          <t>SFTMIXB28506172</t>
        </is>
      </c>
      <c r="D1534" s="5">
        <f>IF($I2="","",INDEX(Productos!$B:$B,$I2))</f>
        <v/>
      </c>
      <c r="E1534" s="5">
        <f>IF($I2="","",INDEX(Productos!$H:$H,$I2))</f>
        <v/>
      </c>
      <c r="F1534" s="5">
        <f>IF($I2="","",INDEX(Productos!$I:$I,$I2))</f>
        <v/>
      </c>
      <c r="G1534" s="135" t="n">
        <v>1</v>
      </c>
      <c r="H1534" s="5">
        <f>IF($I2="","",INDEX(Productos!$AG:$AG,$I2))</f>
        <v/>
      </c>
      <c r="I1534" s="136">
        <f>LET(_xlpm.r,Productos!$E$2:$E$2509,_xlpm.m,IFERROR(_xlfn.XMATCH(C1534,_xlpm.r),IFERROR(_xlfn.XMATCH(VALUE(C1534),_xlpm.r),0)),IF(_xlpm.m=0,"",_xlpm.m+1))</f>
        <v/>
      </c>
      <c r="J1534" s="137" t="inlineStr">
        <is>
          <t>NetSuite</t>
        </is>
      </c>
    </row>
    <row r="1535">
      <c r="A1535" s="5" t="inlineStr">
        <is>
          <t>STETSON AMERICAS</t>
        </is>
      </c>
      <c r="B1535" s="5">
        <f>IF($I2="","",INDEX(Productos!$A:$A,$I2))</f>
        <v/>
      </c>
      <c r="C1535" s="134" t="inlineStr">
        <is>
          <t>SSALMO-30408170</t>
        </is>
      </c>
      <c r="D1535" s="5">
        <f>IF($I2="","",INDEX(Productos!$B:$B,$I2))</f>
        <v/>
      </c>
      <c r="E1535" s="5">
        <f>IF($I2="","",INDEX(Productos!$H:$H,$I2))</f>
        <v/>
      </c>
      <c r="F1535" s="5">
        <f>IF($I2="","",INDEX(Productos!$I:$I,$I2))</f>
        <v/>
      </c>
      <c r="G1535" s="135" t="n">
        <v>-2</v>
      </c>
      <c r="H1535" s="5">
        <f>IF($I2="","",INDEX(Productos!$AG:$AG,$I2))</f>
        <v/>
      </c>
      <c r="I1535" s="136">
        <f>LET(_xlpm.r,Productos!$E$2:$E$2509,_xlpm.m,IFERROR(_xlfn.XMATCH(C1535,_xlpm.r),IFERROR(_xlfn.XMATCH(VALUE(C1535),_xlpm.r),0)),IF(_xlpm.m=0,"",_xlpm.m+1))</f>
        <v/>
      </c>
      <c r="J1535" s="137" t="inlineStr">
        <is>
          <t>NetSuite</t>
        </is>
      </c>
    </row>
    <row r="1536">
      <c r="A1536" s="5" t="inlineStr">
        <is>
          <t>STETSON AMERICAS</t>
        </is>
      </c>
      <c r="B1536" s="5">
        <f>IF($I2="","",INDEX(Productos!$A:$A,$I2))</f>
        <v/>
      </c>
      <c r="C1536" s="134" t="inlineStr">
        <is>
          <t>SSALMO-30408171</t>
        </is>
      </c>
      <c r="D1536" s="5">
        <f>IF($I2="","",INDEX(Productos!$B:$B,$I2))</f>
        <v/>
      </c>
      <c r="E1536" s="5">
        <f>IF($I2="","",INDEX(Productos!$H:$H,$I2))</f>
        <v/>
      </c>
      <c r="F1536" s="5">
        <f>IF($I2="","",INDEX(Productos!$I:$I,$I2))</f>
        <v/>
      </c>
      <c r="G1536" s="135" t="n">
        <v>-2</v>
      </c>
      <c r="H1536" s="5">
        <f>IF($I2="","",INDEX(Productos!$AG:$AG,$I2))</f>
        <v/>
      </c>
      <c r="I1536" s="136">
        <f>LET(_xlpm.r,Productos!$E$2:$E$2509,_xlpm.m,IFERROR(_xlfn.XMATCH(C1536,_xlpm.r),IFERROR(_xlfn.XMATCH(VALUE(C1536),_xlpm.r),0)),IF(_xlpm.m=0,"",_xlpm.m+1))</f>
        <v/>
      </c>
      <c r="J1536" s="137" t="inlineStr">
        <is>
          <t>NetSuite</t>
        </is>
      </c>
    </row>
    <row r="1537">
      <c r="A1537" s="5" t="inlineStr">
        <is>
          <t>STETSON AMERICAS</t>
        </is>
      </c>
      <c r="B1537" s="5">
        <f>IF($I2="","",INDEX(Productos!$A:$A,$I2))</f>
        <v/>
      </c>
      <c r="C1537" s="134" t="inlineStr">
        <is>
          <t>SSALMO-30408172</t>
        </is>
      </c>
      <c r="D1537" s="5">
        <f>IF($I2="","",INDEX(Productos!$B:$B,$I2))</f>
        <v/>
      </c>
      <c r="E1537" s="5">
        <f>IF($I2="","",INDEX(Productos!$H:$H,$I2))</f>
        <v/>
      </c>
      <c r="F1537" s="5">
        <f>IF($I2="","",INDEX(Productos!$I:$I,$I2))</f>
        <v/>
      </c>
      <c r="G1537" s="135" t="n">
        <v>-2</v>
      </c>
      <c r="H1537" s="5">
        <f>IF($I2="","",INDEX(Productos!$AG:$AG,$I2))</f>
        <v/>
      </c>
      <c r="I1537" s="136">
        <f>LET(_xlpm.r,Productos!$E$2:$E$2509,_xlpm.m,IFERROR(_xlfn.XMATCH(C1537,_xlpm.r),IFERROR(_xlfn.XMATCH(VALUE(C1537),_xlpm.r),0)),IF(_xlpm.m=0,"",_xlpm.m+1))</f>
        <v/>
      </c>
      <c r="J1537" s="137" t="inlineStr">
        <is>
          <t>NetSuite</t>
        </is>
      </c>
    </row>
    <row r="1538">
      <c r="A1538" s="5" t="inlineStr">
        <is>
          <t>STETSON AMERICAS</t>
        </is>
      </c>
      <c r="B1538" s="5">
        <f>IF($I2="","",INDEX(Productos!$A:$A,$I2))</f>
        <v/>
      </c>
      <c r="C1538" s="134" t="inlineStr">
        <is>
          <t>SSALMO-30408173</t>
        </is>
      </c>
      <c r="D1538" s="5">
        <f>IF($I2="","",INDEX(Productos!$B:$B,$I2))</f>
        <v/>
      </c>
      <c r="E1538" s="5">
        <f>IF($I2="","",INDEX(Productos!$H:$H,$I2))</f>
        <v/>
      </c>
      <c r="F1538" s="5">
        <f>IF($I2="","",INDEX(Productos!$I:$I,$I2))</f>
        <v/>
      </c>
      <c r="G1538" s="135" t="n">
        <v>-2</v>
      </c>
      <c r="H1538" s="5">
        <f>IF($I2="","",INDEX(Productos!$AG:$AG,$I2))</f>
        <v/>
      </c>
      <c r="I1538" s="136">
        <f>LET(_xlpm.r,Productos!$E$2:$E$2509,_xlpm.m,IFERROR(_xlfn.XMATCH(C1538,_xlpm.r),IFERROR(_xlfn.XMATCH(VALUE(C1538),_xlpm.r),0)),IF(_xlpm.m=0,"",_xlpm.m+1))</f>
        <v/>
      </c>
      <c r="J1538" s="137" t="inlineStr">
        <is>
          <t>NetSuite</t>
        </is>
      </c>
    </row>
    <row r="1539">
      <c r="A1539" s="5" t="inlineStr">
        <is>
          <t>STETSON AMERICAS</t>
        </is>
      </c>
      <c r="B1539" s="5">
        <f>IF($I2="","",INDEX(Productos!$A:$A,$I2))</f>
        <v/>
      </c>
      <c r="C1539" s="134" t="inlineStr">
        <is>
          <t>SSALMO-30408174</t>
        </is>
      </c>
      <c r="D1539" s="5">
        <f>IF($I2="","",INDEX(Productos!$B:$B,$I2))</f>
        <v/>
      </c>
      <c r="E1539" s="5">
        <f>IF($I2="","",INDEX(Productos!$H:$H,$I2))</f>
        <v/>
      </c>
      <c r="F1539" s="5">
        <f>IF($I2="","",INDEX(Productos!$I:$I,$I2))</f>
        <v/>
      </c>
      <c r="G1539" s="135" t="n">
        <v>-1</v>
      </c>
      <c r="H1539" s="5">
        <f>IF($I2="","",INDEX(Productos!$AG:$AG,$I2))</f>
        <v/>
      </c>
      <c r="I1539" s="136">
        <f>LET(_xlpm.r,Productos!$E$2:$E$2509,_xlpm.m,IFERROR(_xlfn.XMATCH(C1539,_xlpm.r),IFERROR(_xlfn.XMATCH(VALUE(C1539),_xlpm.r),0)),IF(_xlpm.m=0,"",_xlpm.m+1))</f>
        <v/>
      </c>
      <c r="J1539" s="137" t="inlineStr">
        <is>
          <t>NetSuite</t>
        </is>
      </c>
    </row>
    <row r="1540">
      <c r="A1540" s="5" t="inlineStr">
        <is>
          <t>STETSON AMERICAS</t>
        </is>
      </c>
      <c r="B1540" s="5">
        <f>IF($I2="","",INDEX(Productos!$A:$A,$I2))</f>
        <v/>
      </c>
      <c r="C1540" s="134" t="inlineStr">
        <is>
          <t>SSANGSN28408171</t>
        </is>
      </c>
      <c r="D1540" s="5">
        <f>IF($I2="","",INDEX(Productos!$B:$B,$I2))</f>
        <v/>
      </c>
      <c r="E1540" s="5">
        <f>IF($I2="","",INDEX(Productos!$H:$H,$I2))</f>
        <v/>
      </c>
      <c r="F1540" s="5">
        <f>IF($I2="","",INDEX(Productos!$I:$I,$I2))</f>
        <v/>
      </c>
      <c r="G1540" s="135" t="n">
        <v>-1</v>
      </c>
      <c r="H1540" s="5">
        <f>IF($I2="","",INDEX(Productos!$AG:$AG,$I2))</f>
        <v/>
      </c>
      <c r="I1540" s="136">
        <f>LET(_xlpm.r,Productos!$E$2:$E$2509,_xlpm.m,IFERROR(_xlfn.XMATCH(C1540,_xlpm.r),IFERROR(_xlfn.XMATCH(VALUE(C1540),_xlpm.r),0)),IF(_xlpm.m=0,"",_xlpm.m+1))</f>
        <v/>
      </c>
      <c r="J1540" s="137" t="inlineStr">
        <is>
          <t>NetSuite</t>
        </is>
      </c>
    </row>
    <row r="1541">
      <c r="A1541" s="5" t="inlineStr">
        <is>
          <t>STETSON AMERICAS</t>
        </is>
      </c>
      <c r="B1541" s="5">
        <f>IF($I2="","",INDEX(Productos!$A:$A,$I2))</f>
        <v/>
      </c>
      <c r="C1541" s="134" t="inlineStr">
        <is>
          <t>SSANGSN28408172</t>
        </is>
      </c>
      <c r="D1541" s="5">
        <f>IF($I2="","",INDEX(Productos!$B:$B,$I2))</f>
        <v/>
      </c>
      <c r="E1541" s="5">
        <f>IF($I2="","",INDEX(Productos!$H:$H,$I2))</f>
        <v/>
      </c>
      <c r="F1541" s="5">
        <f>IF($I2="","",INDEX(Productos!$I:$I,$I2))</f>
        <v/>
      </c>
      <c r="G1541" s="135" t="n">
        <v>-1</v>
      </c>
      <c r="H1541" s="5">
        <f>IF($I2="","",INDEX(Productos!$AG:$AG,$I2))</f>
        <v/>
      </c>
      <c r="I1541" s="136">
        <f>LET(_xlpm.r,Productos!$E$2:$E$2509,_xlpm.m,IFERROR(_xlfn.XMATCH(C1541,_xlpm.r),IFERROR(_xlfn.XMATCH(VALUE(C1541),_xlpm.r),0)),IF(_xlpm.m=0,"",_xlpm.m+1))</f>
        <v/>
      </c>
      <c r="J1541" s="137" t="inlineStr">
        <is>
          <t>NetSuite</t>
        </is>
      </c>
    </row>
    <row r="1542">
      <c r="A1542" s="5" t="inlineStr">
        <is>
          <t>STETSON AMERICAS</t>
        </is>
      </c>
      <c r="B1542" s="5">
        <f>IF($I2="","",INDEX(Productos!$A:$A,$I2))</f>
        <v/>
      </c>
      <c r="C1542" s="134" t="inlineStr">
        <is>
          <t>SSARPH-30428170</t>
        </is>
      </c>
      <c r="D1542" s="5">
        <f>IF($I2="","",INDEX(Productos!$B:$B,$I2))</f>
        <v/>
      </c>
      <c r="E1542" s="5">
        <f>IF($I2="","",INDEX(Productos!$H:$H,$I2))</f>
        <v/>
      </c>
      <c r="F1542" s="5">
        <f>IF($I2="","",INDEX(Productos!$I:$I,$I2))</f>
        <v/>
      </c>
      <c r="G1542" s="135" t="n">
        <v>-1</v>
      </c>
      <c r="H1542" s="5">
        <f>IF($I2="","",INDEX(Productos!$AG:$AG,$I2))</f>
        <v/>
      </c>
      <c r="I1542" s="136">
        <f>LET(_xlpm.r,Productos!$E$2:$E$2509,_xlpm.m,IFERROR(_xlfn.XMATCH(C1542,_xlpm.r),IFERROR(_xlfn.XMATCH(VALUE(C1542),_xlpm.r),0)),IF(_xlpm.m=0,"",_xlpm.m+1))</f>
        <v/>
      </c>
      <c r="J1542" s="137" t="inlineStr">
        <is>
          <t>NetSuite</t>
        </is>
      </c>
    </row>
    <row r="1543">
      <c r="A1543" s="5" t="inlineStr">
        <is>
          <t>STETSON AMERICAS</t>
        </is>
      </c>
      <c r="B1543" s="5">
        <f>IF($I2="","",INDEX(Productos!$A:$A,$I2))</f>
        <v/>
      </c>
      <c r="C1543" s="134" t="inlineStr">
        <is>
          <t>SSARPH-30428171</t>
        </is>
      </c>
      <c r="D1543" s="5">
        <f>IF($I2="","",INDEX(Productos!$B:$B,$I2))</f>
        <v/>
      </c>
      <c r="E1543" s="5">
        <f>IF($I2="","",INDEX(Productos!$H:$H,$I2))</f>
        <v/>
      </c>
      <c r="F1543" s="5">
        <f>IF($I2="","",INDEX(Productos!$I:$I,$I2))</f>
        <v/>
      </c>
      <c r="G1543" s="135" t="n">
        <v>-2</v>
      </c>
      <c r="H1543" s="5">
        <f>IF($I2="","",INDEX(Productos!$AG:$AG,$I2))</f>
        <v/>
      </c>
      <c r="I1543" s="136">
        <f>LET(_xlpm.r,Productos!$E$2:$E$2509,_xlpm.m,IFERROR(_xlfn.XMATCH(C1543,_xlpm.r),IFERROR(_xlfn.XMATCH(VALUE(C1543),_xlpm.r),0)),IF(_xlpm.m=0,"",_xlpm.m+1))</f>
        <v/>
      </c>
      <c r="J1543" s="137" t="inlineStr">
        <is>
          <t>NetSuite</t>
        </is>
      </c>
    </row>
    <row r="1544">
      <c r="A1544" s="5" t="inlineStr">
        <is>
          <t>STETSON AMERICAS</t>
        </is>
      </c>
      <c r="B1544" s="5">
        <f>IF($I2="","",INDEX(Productos!$A:$A,$I2))</f>
        <v/>
      </c>
      <c r="C1544" s="134" t="inlineStr">
        <is>
          <t>SSARPH-30428172</t>
        </is>
      </c>
      <c r="D1544" s="5">
        <f>IF($I2="","",INDEX(Productos!$B:$B,$I2))</f>
        <v/>
      </c>
      <c r="E1544" s="5">
        <f>IF($I2="","",INDEX(Productos!$H:$H,$I2))</f>
        <v/>
      </c>
      <c r="F1544" s="5">
        <f>IF($I2="","",INDEX(Productos!$I:$I,$I2))</f>
        <v/>
      </c>
      <c r="G1544" s="135" t="n">
        <v>-2</v>
      </c>
      <c r="H1544" s="5">
        <f>IF($I2="","",INDEX(Productos!$AG:$AG,$I2))</f>
        <v/>
      </c>
      <c r="I1544" s="136">
        <f>LET(_xlpm.r,Productos!$E$2:$E$2509,_xlpm.m,IFERROR(_xlfn.XMATCH(C1544,_xlpm.r),IFERROR(_xlfn.XMATCH(VALUE(C1544),_xlpm.r),0)),IF(_xlpm.m=0,"",_xlpm.m+1))</f>
        <v/>
      </c>
      <c r="J1544" s="137" t="inlineStr">
        <is>
          <t>NetSuite</t>
        </is>
      </c>
    </row>
    <row r="1545">
      <c r="A1545" s="5" t="inlineStr">
        <is>
          <t>STETSON AMERICAS</t>
        </is>
      </c>
      <c r="B1545" s="5">
        <f>IF($I2="","",INDEX(Productos!$A:$A,$I2))</f>
        <v/>
      </c>
      <c r="C1545" s="134" t="inlineStr">
        <is>
          <t>SSARPH-30428173</t>
        </is>
      </c>
      <c r="D1545" s="5">
        <f>IF($I2="","",INDEX(Productos!$B:$B,$I2))</f>
        <v/>
      </c>
      <c r="E1545" s="5">
        <f>IF($I2="","",INDEX(Productos!$H:$H,$I2))</f>
        <v/>
      </c>
      <c r="F1545" s="5">
        <f>IF($I2="","",INDEX(Productos!$I:$I,$I2))</f>
        <v/>
      </c>
      <c r="G1545" s="135" t="n">
        <v>-4</v>
      </c>
      <c r="H1545" s="5">
        <f>IF($I2="","",INDEX(Productos!$AG:$AG,$I2))</f>
        <v/>
      </c>
      <c r="I1545" s="136">
        <f>LET(_xlpm.r,Productos!$E$2:$E$2509,_xlpm.m,IFERROR(_xlfn.XMATCH(C1545,_xlpm.r),IFERROR(_xlfn.XMATCH(VALUE(C1545),_xlpm.r),0)),IF(_xlpm.m=0,"",_xlpm.m+1))</f>
        <v/>
      </c>
      <c r="J1545" s="137" t="inlineStr">
        <is>
          <t>NetSuite</t>
        </is>
      </c>
    </row>
    <row r="1546">
      <c r="A1546" s="5" t="inlineStr">
        <is>
          <t>STETSON AMERICAS</t>
        </is>
      </c>
      <c r="B1546" s="5">
        <f>IF($I2="","",INDEX(Productos!$A:$A,$I2))</f>
        <v/>
      </c>
      <c r="C1546" s="134" t="inlineStr">
        <is>
          <t>SSARPH-30428174</t>
        </is>
      </c>
      <c r="D1546" s="5">
        <f>IF($I2="","",INDEX(Productos!$B:$B,$I2))</f>
        <v/>
      </c>
      <c r="E1546" s="5">
        <f>IF($I2="","",INDEX(Productos!$H:$H,$I2))</f>
        <v/>
      </c>
      <c r="F1546" s="5">
        <f>IF($I2="","",INDEX(Productos!$I:$I,$I2))</f>
        <v/>
      </c>
      <c r="G1546" s="135" t="n">
        <v>-2</v>
      </c>
      <c r="H1546" s="5">
        <f>IF($I2="","",INDEX(Productos!$AG:$AG,$I2))</f>
        <v/>
      </c>
      <c r="I1546" s="136">
        <f>LET(_xlpm.r,Productos!$E$2:$E$2509,_xlpm.m,IFERROR(_xlfn.XMATCH(C1546,_xlpm.r),IFERROR(_xlfn.XMATCH(VALUE(C1546),_xlpm.r),0)),IF(_xlpm.m=0,"",_xlpm.m+1))</f>
        <v/>
      </c>
      <c r="J1546" s="137" t="inlineStr">
        <is>
          <t>NetSuite</t>
        </is>
      </c>
    </row>
    <row r="1547">
      <c r="A1547" s="5" t="inlineStr">
        <is>
          <t>STETSON AMERICAS</t>
        </is>
      </c>
      <c r="B1547" s="5">
        <f>IF($I2="","",INDEX(Productos!$A:$A,$I2))</f>
        <v/>
      </c>
      <c r="C1547" s="134" t="inlineStr">
        <is>
          <t>SSBKER-30428170</t>
        </is>
      </c>
      <c r="D1547" s="5">
        <f>IF($I2="","",INDEX(Productos!$B:$B,$I2))</f>
        <v/>
      </c>
      <c r="E1547" s="5">
        <f>IF($I2="","",INDEX(Productos!$H:$H,$I2))</f>
        <v/>
      </c>
      <c r="F1547" s="5">
        <f>IF($I2="","",INDEX(Productos!$I:$I,$I2))</f>
        <v/>
      </c>
      <c r="G1547" s="135" t="n">
        <v>-1</v>
      </c>
      <c r="H1547" s="5">
        <f>IF($I2="","",INDEX(Productos!$AG:$AG,$I2))</f>
        <v/>
      </c>
      <c r="I1547" s="136">
        <f>LET(_xlpm.r,Productos!$E$2:$E$2509,_xlpm.m,IFERROR(_xlfn.XMATCH(C1547,_xlpm.r),IFERROR(_xlfn.XMATCH(VALUE(C1547),_xlpm.r),0)),IF(_xlpm.m=0,"",_xlpm.m+1))</f>
        <v/>
      </c>
      <c r="J1547" s="137" t="inlineStr">
        <is>
          <t>NetSuite</t>
        </is>
      </c>
    </row>
    <row r="1548">
      <c r="A1548" s="5" t="inlineStr">
        <is>
          <t>STETSON AMERICAS</t>
        </is>
      </c>
      <c r="B1548" s="5">
        <f>IF($I2="","",INDEX(Productos!$A:$A,$I2))</f>
        <v/>
      </c>
      <c r="C1548" s="134" t="inlineStr">
        <is>
          <t>SSBKER-30428171</t>
        </is>
      </c>
      <c r="D1548" s="5">
        <f>IF($I2="","",INDEX(Productos!$B:$B,$I2))</f>
        <v/>
      </c>
      <c r="E1548" s="5">
        <f>IF($I2="","",INDEX(Productos!$H:$H,$I2))</f>
        <v/>
      </c>
      <c r="F1548" s="5">
        <f>IF($I2="","",INDEX(Productos!$I:$I,$I2))</f>
        <v/>
      </c>
      <c r="G1548" s="135" t="n">
        <v>-1</v>
      </c>
      <c r="H1548" s="5">
        <f>IF($I2="","",INDEX(Productos!$AG:$AG,$I2))</f>
        <v/>
      </c>
      <c r="I1548" s="136">
        <f>LET(_xlpm.r,Productos!$E$2:$E$2509,_xlpm.m,IFERROR(_xlfn.XMATCH(C1548,_xlpm.r),IFERROR(_xlfn.XMATCH(VALUE(C1548),_xlpm.r),0)),IF(_xlpm.m=0,"",_xlpm.m+1))</f>
        <v/>
      </c>
      <c r="J1548" s="137" t="inlineStr">
        <is>
          <t>NetSuite</t>
        </is>
      </c>
    </row>
    <row r="1549">
      <c r="A1549" s="5" t="inlineStr">
        <is>
          <t>STETSON AMERICAS</t>
        </is>
      </c>
      <c r="B1549" s="5">
        <f>IF($I2="","",INDEX(Productos!$A:$A,$I2))</f>
        <v/>
      </c>
      <c r="C1549" s="134" t="inlineStr">
        <is>
          <t>SSBKER-30428172</t>
        </is>
      </c>
      <c r="D1549" s="5">
        <f>IF($I2="","",INDEX(Productos!$B:$B,$I2))</f>
        <v/>
      </c>
      <c r="E1549" s="5">
        <f>IF($I2="","",INDEX(Productos!$H:$H,$I2))</f>
        <v/>
      </c>
      <c r="F1549" s="5">
        <f>IF($I2="","",INDEX(Productos!$I:$I,$I2))</f>
        <v/>
      </c>
      <c r="G1549" s="135" t="n">
        <v>-1</v>
      </c>
      <c r="H1549" s="5">
        <f>IF($I2="","",INDEX(Productos!$AG:$AG,$I2))</f>
        <v/>
      </c>
      <c r="I1549" s="136">
        <f>LET(_xlpm.r,Productos!$E$2:$E$2509,_xlpm.m,IFERROR(_xlfn.XMATCH(C1549,_xlpm.r),IFERROR(_xlfn.XMATCH(VALUE(C1549),_xlpm.r),0)),IF(_xlpm.m=0,"",_xlpm.m+1))</f>
        <v/>
      </c>
      <c r="J1549" s="137" t="inlineStr">
        <is>
          <t>NetSuite</t>
        </is>
      </c>
    </row>
    <row r="1550">
      <c r="A1550" s="5" t="inlineStr">
        <is>
          <t>STETSON AMERICAS</t>
        </is>
      </c>
      <c r="B1550" s="5">
        <f>IF($I2="","",INDEX(Productos!$A:$A,$I2))</f>
        <v/>
      </c>
      <c r="C1550" s="134" t="inlineStr">
        <is>
          <t>SSBKER-30428174</t>
        </is>
      </c>
      <c r="D1550" s="5">
        <f>IF($I2="","",INDEX(Productos!$B:$B,$I2))</f>
        <v/>
      </c>
      <c r="E1550" s="5">
        <f>IF($I2="","",INDEX(Productos!$H:$H,$I2))</f>
        <v/>
      </c>
      <c r="F1550" s="5">
        <f>IF($I2="","",INDEX(Productos!$I:$I,$I2))</f>
        <v/>
      </c>
      <c r="G1550" s="135" t="n">
        <v>-1</v>
      </c>
      <c r="H1550" s="5">
        <f>IF($I2="","",INDEX(Productos!$AG:$AG,$I2))</f>
        <v/>
      </c>
      <c r="I1550" s="136">
        <f>LET(_xlpm.r,Productos!$E$2:$E$2509,_xlpm.m,IFERROR(_xlfn.XMATCH(C1550,_xlpm.r),IFERROR(_xlfn.XMATCH(VALUE(C1550),_xlpm.r),0)),IF(_xlpm.m=0,"",_xlpm.m+1))</f>
        <v/>
      </c>
      <c r="J1550" s="137" t="inlineStr">
        <is>
          <t>NetSuite</t>
        </is>
      </c>
    </row>
    <row r="1551">
      <c r="A1551" s="5" t="inlineStr">
        <is>
          <t>STETSON AMERICAS</t>
        </is>
      </c>
      <c r="B1551" s="5">
        <f>IF($I2="","",INDEX(Productos!$A:$A,$I2))</f>
        <v/>
      </c>
      <c r="C1551" s="134" t="inlineStr">
        <is>
          <t>SSBKWD-WR428170</t>
        </is>
      </c>
      <c r="D1551" s="5">
        <f>IF($I2="","",INDEX(Productos!$B:$B,$I2))</f>
        <v/>
      </c>
      <c r="E1551" s="5">
        <f>IF($I2="","",INDEX(Productos!$H:$H,$I2))</f>
        <v/>
      </c>
      <c r="F1551" s="5">
        <f>IF($I2="","",INDEX(Productos!$I:$I,$I2))</f>
        <v/>
      </c>
      <c r="G1551" s="135" t="n">
        <v>-1</v>
      </c>
      <c r="H1551" s="5">
        <f>IF($I2="","",INDEX(Productos!$AG:$AG,$I2))</f>
        <v/>
      </c>
      <c r="I1551" s="136">
        <f>LET(_xlpm.r,Productos!$E$2:$E$2509,_xlpm.m,IFERROR(_xlfn.XMATCH(C1551,_xlpm.r),IFERROR(_xlfn.XMATCH(VALUE(C1551),_xlpm.r),0)),IF(_xlpm.m=0,"",_xlpm.m+1))</f>
        <v/>
      </c>
      <c r="J1551" s="137" t="inlineStr">
        <is>
          <t>NetSuite</t>
        </is>
      </c>
    </row>
    <row r="1552">
      <c r="A1552" s="5" t="inlineStr">
        <is>
          <t>STETSON AMERICAS</t>
        </is>
      </c>
      <c r="B1552" s="5">
        <f>IF($I2="","",INDEX(Productos!$A:$A,$I2))</f>
        <v/>
      </c>
      <c r="C1552" s="134" t="inlineStr">
        <is>
          <t>SSBKWD-WR428171</t>
        </is>
      </c>
      <c r="D1552" s="5">
        <f>IF($I2="","",INDEX(Productos!$B:$B,$I2))</f>
        <v/>
      </c>
      <c r="E1552" s="5">
        <f>IF($I2="","",INDEX(Productos!$H:$H,$I2))</f>
        <v/>
      </c>
      <c r="F1552" s="5">
        <f>IF($I2="","",INDEX(Productos!$I:$I,$I2))</f>
        <v/>
      </c>
      <c r="G1552" s="135" t="n">
        <v>-4</v>
      </c>
      <c r="H1552" s="5">
        <f>IF($I2="","",INDEX(Productos!$AG:$AG,$I2))</f>
        <v/>
      </c>
      <c r="I1552" s="136">
        <f>LET(_xlpm.r,Productos!$E$2:$E$2509,_xlpm.m,IFERROR(_xlfn.XMATCH(C1552,_xlpm.r),IFERROR(_xlfn.XMATCH(VALUE(C1552),_xlpm.r),0)),IF(_xlpm.m=0,"",_xlpm.m+1))</f>
        <v/>
      </c>
      <c r="J1552" s="137" t="inlineStr">
        <is>
          <t>NetSuite</t>
        </is>
      </c>
    </row>
    <row r="1553">
      <c r="A1553" s="5" t="inlineStr">
        <is>
          <t>STETSON AMERICAS</t>
        </is>
      </c>
      <c r="B1553" s="5">
        <f>IF($I2="","",INDEX(Productos!$A:$A,$I2))</f>
        <v/>
      </c>
      <c r="C1553" s="134" t="inlineStr">
        <is>
          <t>SSBKWD-WR428172</t>
        </is>
      </c>
      <c r="D1553" s="5">
        <f>IF($I2="","",INDEX(Productos!$B:$B,$I2))</f>
        <v/>
      </c>
      <c r="E1553" s="5">
        <f>IF($I2="","",INDEX(Productos!$H:$H,$I2))</f>
        <v/>
      </c>
      <c r="F1553" s="5">
        <f>IF($I2="","",INDEX(Productos!$I:$I,$I2))</f>
        <v/>
      </c>
      <c r="G1553" s="135" t="n">
        <v>-1</v>
      </c>
      <c r="H1553" s="5">
        <f>IF($I2="","",INDEX(Productos!$AG:$AG,$I2))</f>
        <v/>
      </c>
      <c r="I1553" s="136">
        <f>LET(_xlpm.r,Productos!$E$2:$E$2509,_xlpm.m,IFERROR(_xlfn.XMATCH(C1553,_xlpm.r),IFERROR(_xlfn.XMATCH(VALUE(C1553),_xlpm.r),0)),IF(_xlpm.m=0,"",_xlpm.m+1))</f>
        <v/>
      </c>
      <c r="J1553" s="137" t="inlineStr">
        <is>
          <t>NetSuite</t>
        </is>
      </c>
    </row>
    <row r="1554">
      <c r="A1554" s="5" t="inlineStr">
        <is>
          <t>STETSON AMERICAS</t>
        </is>
      </c>
      <c r="B1554" s="5">
        <f>IF($I2="","",INDEX(Productos!$A:$A,$I2))</f>
        <v/>
      </c>
      <c r="C1554" s="134" t="inlineStr">
        <is>
          <t>SSBKWD-WR428173</t>
        </is>
      </c>
      <c r="D1554" s="5">
        <f>IF($I2="","",INDEX(Productos!$B:$B,$I2))</f>
        <v/>
      </c>
      <c r="E1554" s="5">
        <f>IF($I2="","",INDEX(Productos!$H:$H,$I2))</f>
        <v/>
      </c>
      <c r="F1554" s="5">
        <f>IF($I2="","",INDEX(Productos!$I:$I,$I2))</f>
        <v/>
      </c>
      <c r="G1554" s="135" t="n">
        <v>-2</v>
      </c>
      <c r="H1554" s="5">
        <f>IF($I2="","",INDEX(Productos!$AG:$AG,$I2))</f>
        <v/>
      </c>
      <c r="I1554" s="136">
        <f>LET(_xlpm.r,Productos!$E$2:$E$2509,_xlpm.m,IFERROR(_xlfn.XMATCH(C1554,_xlpm.r),IFERROR(_xlfn.XMATCH(VALUE(C1554),_xlpm.r),0)),IF(_xlpm.m=0,"",_xlpm.m+1))</f>
        <v/>
      </c>
      <c r="J1554" s="137" t="inlineStr">
        <is>
          <t>NetSuite</t>
        </is>
      </c>
    </row>
    <row r="1555">
      <c r="A1555" s="5" t="inlineStr">
        <is>
          <t>STETSON AMERICAS</t>
        </is>
      </c>
      <c r="B1555" s="5">
        <f>IF($I2="","",INDEX(Productos!$A:$A,$I2))</f>
        <v/>
      </c>
      <c r="C1555" s="134" t="inlineStr">
        <is>
          <t>SSBKWD-WR428174</t>
        </is>
      </c>
      <c r="D1555" s="5">
        <f>IF($I2="","",INDEX(Productos!$B:$B,$I2))</f>
        <v/>
      </c>
      <c r="E1555" s="5">
        <f>IF($I2="","",INDEX(Productos!$H:$H,$I2))</f>
        <v/>
      </c>
      <c r="F1555" s="5">
        <f>IF($I2="","",INDEX(Productos!$I:$I,$I2))</f>
        <v/>
      </c>
      <c r="G1555" s="135" t="n">
        <v>-2</v>
      </c>
      <c r="H1555" s="5">
        <f>IF($I2="","",INDEX(Productos!$AG:$AG,$I2))</f>
        <v/>
      </c>
      <c r="I1555" s="136">
        <f>LET(_xlpm.r,Productos!$E$2:$E$2509,_xlpm.m,IFERROR(_xlfn.XMATCH(C1555,_xlpm.r),IFERROR(_xlfn.XMATCH(VALUE(C1555),_xlpm.r),0)),IF(_xlpm.m=0,"",_xlpm.m+1))</f>
        <v/>
      </c>
      <c r="J1555" s="137" t="inlineStr">
        <is>
          <t>NetSuite</t>
        </is>
      </c>
    </row>
    <row r="1556">
      <c r="A1556" s="5" t="inlineStr">
        <is>
          <t>STETSON AMERICAS</t>
        </is>
      </c>
      <c r="B1556" s="5">
        <f>IF($I2="","",INDEX(Productos!$A:$A,$I2))</f>
        <v/>
      </c>
      <c r="C1556" s="134" t="inlineStr">
        <is>
          <t>SSBLJR-733681AL</t>
        </is>
      </c>
      <c r="D1556" s="5">
        <f>IF($I2="","",INDEX(Productos!$B:$B,$I2))</f>
        <v/>
      </c>
      <c r="E1556" s="5">
        <f>IF($I2="","",INDEX(Productos!$H:$H,$I2))</f>
        <v/>
      </c>
      <c r="F1556" s="5">
        <f>IF($I2="","",INDEX(Productos!$I:$I,$I2))</f>
        <v/>
      </c>
      <c r="G1556" s="135" t="n">
        <v>-4</v>
      </c>
      <c r="H1556" s="5">
        <f>IF($I2="","",INDEX(Productos!$AG:$AG,$I2))</f>
        <v/>
      </c>
      <c r="I1556" s="136">
        <f>LET(_xlpm.r,Productos!$E$2:$E$2509,_xlpm.m,IFERROR(_xlfn.XMATCH(C1556,_xlpm.r),IFERROR(_xlfn.XMATCH(VALUE(C1556),_xlpm.r),0)),IF(_xlpm.m=0,"",_xlpm.m+1))</f>
        <v/>
      </c>
      <c r="J1556" s="137" t="inlineStr">
        <is>
          <t>NetSuite</t>
        </is>
      </c>
    </row>
    <row r="1557">
      <c r="A1557" s="5" t="inlineStr">
        <is>
          <t>STETSON AMERICAS</t>
        </is>
      </c>
      <c r="B1557" s="5">
        <f>IF($I2="","",INDEX(Productos!$A:$A,$I2))</f>
        <v/>
      </c>
      <c r="C1557" s="134" t="inlineStr">
        <is>
          <t>SSCRLY-30428167</t>
        </is>
      </c>
      <c r="D1557" s="5">
        <f>IF($I2="","",INDEX(Productos!$B:$B,$I2))</f>
        <v/>
      </c>
      <c r="E1557" s="5">
        <f>IF($I2="","",INDEX(Productos!$H:$H,$I2))</f>
        <v/>
      </c>
      <c r="F1557" s="5">
        <f>IF($I2="","",INDEX(Productos!$I:$I,$I2))</f>
        <v/>
      </c>
      <c r="G1557" s="135" t="n">
        <v>-1</v>
      </c>
      <c r="H1557" s="5">
        <f>IF($I2="","",INDEX(Productos!$AG:$AG,$I2))</f>
        <v/>
      </c>
      <c r="I1557" s="136">
        <f>LET(_xlpm.r,Productos!$E$2:$E$2509,_xlpm.m,IFERROR(_xlfn.XMATCH(C1557,_xlpm.r),IFERROR(_xlfn.XMATCH(VALUE(C1557),_xlpm.r),0)),IF(_xlpm.m=0,"",_xlpm.m+1))</f>
        <v/>
      </c>
      <c r="J1557" s="137" t="inlineStr">
        <is>
          <t>NetSuite</t>
        </is>
      </c>
    </row>
    <row r="1558">
      <c r="A1558" s="5" t="inlineStr">
        <is>
          <t>STETSON AMERICAS</t>
        </is>
      </c>
      <c r="B1558" s="5">
        <f>IF($I2="","",INDEX(Productos!$A:$A,$I2))</f>
        <v/>
      </c>
      <c r="C1558" s="134" t="inlineStr">
        <is>
          <t>SSCRLY-30428171</t>
        </is>
      </c>
      <c r="D1558" s="5">
        <f>IF($I2="","",INDEX(Productos!$B:$B,$I2))</f>
        <v/>
      </c>
      <c r="E1558" s="5">
        <f>IF($I2="","",INDEX(Productos!$H:$H,$I2))</f>
        <v/>
      </c>
      <c r="F1558" s="5">
        <f>IF($I2="","",INDEX(Productos!$I:$I,$I2))</f>
        <v/>
      </c>
      <c r="G1558" s="135" t="n">
        <v>-1</v>
      </c>
      <c r="H1558" s="5">
        <f>IF($I2="","",INDEX(Productos!$AG:$AG,$I2))</f>
        <v/>
      </c>
      <c r="I1558" s="136">
        <f>LET(_xlpm.r,Productos!$E$2:$E$2509,_xlpm.m,IFERROR(_xlfn.XMATCH(C1558,_xlpm.r),IFERROR(_xlfn.XMATCH(VALUE(C1558),_xlpm.r),0)),IF(_xlpm.m=0,"",_xlpm.m+1))</f>
        <v/>
      </c>
      <c r="J1558" s="137" t="inlineStr">
        <is>
          <t>NetSuite</t>
        </is>
      </c>
    </row>
    <row r="1559">
      <c r="A1559" s="5" t="inlineStr">
        <is>
          <t>STETSON AMERICAS</t>
        </is>
      </c>
      <c r="B1559" s="5">
        <f>IF($I2="","",INDEX(Productos!$A:$A,$I2))</f>
        <v/>
      </c>
      <c r="C1559" s="134" t="inlineStr">
        <is>
          <t>SSCRLY-30428172</t>
        </is>
      </c>
      <c r="D1559" s="5">
        <f>IF($I2="","",INDEX(Productos!$B:$B,$I2))</f>
        <v/>
      </c>
      <c r="E1559" s="5">
        <f>IF($I2="","",INDEX(Productos!$H:$H,$I2))</f>
        <v/>
      </c>
      <c r="F1559" s="5">
        <f>IF($I2="","",INDEX(Productos!$I:$I,$I2))</f>
        <v/>
      </c>
      <c r="G1559" s="135" t="n">
        <v>-1</v>
      </c>
      <c r="H1559" s="5">
        <f>IF($I2="","",INDEX(Productos!$AG:$AG,$I2))</f>
        <v/>
      </c>
      <c r="I1559" s="136">
        <f>LET(_xlpm.r,Productos!$E$2:$E$2509,_xlpm.m,IFERROR(_xlfn.XMATCH(C1559,_xlpm.r),IFERROR(_xlfn.XMATCH(VALUE(C1559),_xlpm.r),0)),IF(_xlpm.m=0,"",_xlpm.m+1))</f>
        <v/>
      </c>
      <c r="J1559" s="137" t="inlineStr">
        <is>
          <t>NetSuite</t>
        </is>
      </c>
    </row>
    <row r="1560">
      <c r="A1560" s="5" t="inlineStr">
        <is>
          <t>STETSON AMERICAS</t>
        </is>
      </c>
      <c r="B1560" s="5">
        <f>IF($I2="","",INDEX(Productos!$A:$A,$I2))</f>
        <v/>
      </c>
      <c r="C1560" s="134" t="inlineStr">
        <is>
          <t>SSCRLY-30428173</t>
        </is>
      </c>
      <c r="D1560" s="5">
        <f>IF($I2="","",INDEX(Productos!$B:$B,$I2))</f>
        <v/>
      </c>
      <c r="E1560" s="5">
        <f>IF($I2="","",INDEX(Productos!$H:$H,$I2))</f>
        <v/>
      </c>
      <c r="F1560" s="5">
        <f>IF($I2="","",INDEX(Productos!$I:$I,$I2))</f>
        <v/>
      </c>
      <c r="G1560" s="135" t="n">
        <v>-1</v>
      </c>
      <c r="H1560" s="5">
        <f>IF($I2="","",INDEX(Productos!$AG:$AG,$I2))</f>
        <v/>
      </c>
      <c r="I1560" s="136">
        <f>LET(_xlpm.r,Productos!$E$2:$E$2509,_xlpm.m,IFERROR(_xlfn.XMATCH(C1560,_xlpm.r),IFERROR(_xlfn.XMATCH(VALUE(C1560),_xlpm.r),0)),IF(_xlpm.m=0,"",_xlpm.m+1))</f>
        <v/>
      </c>
      <c r="J1560" s="137" t="inlineStr">
        <is>
          <t>NetSuite</t>
        </is>
      </c>
    </row>
    <row r="1561">
      <c r="A1561" s="5" t="inlineStr">
        <is>
          <t>STETSON AMERICAS</t>
        </is>
      </c>
      <c r="B1561" s="5">
        <f>IF($I2="","",INDEX(Productos!$A:$A,$I2))</f>
        <v/>
      </c>
      <c r="C1561" s="134" t="inlineStr">
        <is>
          <t>SSELMW-30428170</t>
        </is>
      </c>
      <c r="D1561" s="5">
        <f>IF($I2="","",INDEX(Productos!$B:$B,$I2))</f>
        <v/>
      </c>
      <c r="E1561" s="5">
        <f>IF($I2="","",INDEX(Productos!$H:$H,$I2))</f>
        <v/>
      </c>
      <c r="F1561" s="5">
        <f>IF($I2="","",INDEX(Productos!$I:$I,$I2))</f>
        <v/>
      </c>
      <c r="G1561" s="135" t="n">
        <v>-2</v>
      </c>
      <c r="H1561" s="5">
        <f>IF($I2="","",INDEX(Productos!$AG:$AG,$I2))</f>
        <v/>
      </c>
      <c r="I1561" s="136">
        <f>LET(_xlpm.r,Productos!$E$2:$E$2509,_xlpm.m,IFERROR(_xlfn.XMATCH(C1561,_xlpm.r),IFERROR(_xlfn.XMATCH(VALUE(C1561),_xlpm.r),0)),IF(_xlpm.m=0,"",_xlpm.m+1))</f>
        <v/>
      </c>
      <c r="J1561" s="137" t="inlineStr">
        <is>
          <t>NetSuite</t>
        </is>
      </c>
    </row>
    <row r="1562">
      <c r="A1562" s="5" t="inlineStr">
        <is>
          <t>STETSON AMERICAS</t>
        </is>
      </c>
      <c r="B1562" s="5">
        <f>IF($I2="","",INDEX(Productos!$A:$A,$I2))</f>
        <v/>
      </c>
      <c r="C1562" s="134" t="inlineStr">
        <is>
          <t>SSELMW-30428171</t>
        </is>
      </c>
      <c r="D1562" s="5">
        <f>IF($I2="","",INDEX(Productos!$B:$B,$I2))</f>
        <v/>
      </c>
      <c r="E1562" s="5">
        <f>IF($I2="","",INDEX(Productos!$H:$H,$I2))</f>
        <v/>
      </c>
      <c r="F1562" s="5">
        <f>IF($I2="","",INDEX(Productos!$I:$I,$I2))</f>
        <v/>
      </c>
      <c r="G1562" s="135" t="n">
        <v>-1</v>
      </c>
      <c r="H1562" s="5">
        <f>IF($I2="","",INDEX(Productos!$AG:$AG,$I2))</f>
        <v/>
      </c>
      <c r="I1562" s="136">
        <f>LET(_xlpm.r,Productos!$E$2:$E$2509,_xlpm.m,IFERROR(_xlfn.XMATCH(C1562,_xlpm.r),IFERROR(_xlfn.XMATCH(VALUE(C1562),_xlpm.r),0)),IF(_xlpm.m=0,"",_xlpm.m+1))</f>
        <v/>
      </c>
      <c r="J1562" s="137" t="inlineStr">
        <is>
          <t>NetSuite</t>
        </is>
      </c>
    </row>
    <row r="1563">
      <c r="A1563" s="5" t="inlineStr">
        <is>
          <t>STETSON AMERICAS</t>
        </is>
      </c>
      <c r="B1563" s="5">
        <f>IF($I2="","",INDEX(Productos!$A:$A,$I2))</f>
        <v/>
      </c>
      <c r="C1563" s="134" t="inlineStr">
        <is>
          <t>SSELMW-30428172</t>
        </is>
      </c>
      <c r="D1563" s="5">
        <f>IF($I2="","",INDEX(Productos!$B:$B,$I2))</f>
        <v/>
      </c>
      <c r="E1563" s="5">
        <f>IF($I2="","",INDEX(Productos!$H:$H,$I2))</f>
        <v/>
      </c>
      <c r="F1563" s="5">
        <f>IF($I2="","",INDEX(Productos!$I:$I,$I2))</f>
        <v/>
      </c>
      <c r="G1563" s="135" t="n">
        <v>-3</v>
      </c>
      <c r="H1563" s="5">
        <f>IF($I2="","",INDEX(Productos!$AG:$AG,$I2))</f>
        <v/>
      </c>
      <c r="I1563" s="136">
        <f>LET(_xlpm.r,Productos!$E$2:$E$2509,_xlpm.m,IFERROR(_xlfn.XMATCH(C1563,_xlpm.r),IFERROR(_xlfn.XMATCH(VALUE(C1563),_xlpm.r),0)),IF(_xlpm.m=0,"",_xlpm.m+1))</f>
        <v/>
      </c>
      <c r="J1563" s="137" t="inlineStr">
        <is>
          <t>NetSuite</t>
        </is>
      </c>
    </row>
    <row r="1564">
      <c r="A1564" s="5" t="inlineStr">
        <is>
          <t>STETSON AMERICAS</t>
        </is>
      </c>
      <c r="B1564" s="5">
        <f>IF($I2="","",INDEX(Productos!$A:$A,$I2))</f>
        <v/>
      </c>
      <c r="C1564" s="134" t="inlineStr">
        <is>
          <t>SSELMW-30428173</t>
        </is>
      </c>
      <c r="D1564" s="5">
        <f>IF($I2="","",INDEX(Productos!$B:$B,$I2))</f>
        <v/>
      </c>
      <c r="E1564" s="5">
        <f>IF($I2="","",INDEX(Productos!$H:$H,$I2))</f>
        <v/>
      </c>
      <c r="F1564" s="5">
        <f>IF($I2="","",INDEX(Productos!$I:$I,$I2))</f>
        <v/>
      </c>
      <c r="G1564" s="135" t="n">
        <v>-2</v>
      </c>
      <c r="H1564" s="5">
        <f>IF($I2="","",INDEX(Productos!$AG:$AG,$I2))</f>
        <v/>
      </c>
      <c r="I1564" s="136">
        <f>LET(_xlpm.r,Productos!$E$2:$E$2509,_xlpm.m,IFERROR(_xlfn.XMATCH(C1564,_xlpm.r),IFERROR(_xlfn.XMATCH(VALUE(C1564),_xlpm.r),0)),IF(_xlpm.m=0,"",_xlpm.m+1))</f>
        <v/>
      </c>
      <c r="J1564" s="137" t="inlineStr">
        <is>
          <t>NetSuite</t>
        </is>
      </c>
    </row>
    <row r="1565">
      <c r="A1565" s="5" t="inlineStr">
        <is>
          <t>STETSON AMERICAS</t>
        </is>
      </c>
      <c r="B1565" s="5">
        <f>IF($I2="","",INDEX(Productos!$A:$A,$I2))</f>
        <v/>
      </c>
      <c r="C1565" s="134" t="inlineStr">
        <is>
          <t>SSELMW-30428175</t>
        </is>
      </c>
      <c r="D1565" s="5">
        <f>IF($I2="","",INDEX(Productos!$B:$B,$I2))</f>
        <v/>
      </c>
      <c r="E1565" s="5">
        <f>IF($I2="","",INDEX(Productos!$H:$H,$I2))</f>
        <v/>
      </c>
      <c r="F1565" s="5">
        <f>IF($I2="","",INDEX(Productos!$I:$I,$I2))</f>
        <v/>
      </c>
      <c r="G1565" s="135" t="n">
        <v>-1</v>
      </c>
      <c r="H1565" s="5">
        <f>IF($I2="","",INDEX(Productos!$AG:$AG,$I2))</f>
        <v/>
      </c>
      <c r="I1565" s="136">
        <f>LET(_xlpm.r,Productos!$E$2:$E$2509,_xlpm.m,IFERROR(_xlfn.XMATCH(C1565,_xlpm.r),IFERROR(_xlfn.XMATCH(VALUE(C1565),_xlpm.r),0)),IF(_xlpm.m=0,"",_xlpm.m+1))</f>
        <v/>
      </c>
      <c r="J1565" s="137" t="inlineStr">
        <is>
          <t>NetSuite</t>
        </is>
      </c>
    </row>
    <row r="1566">
      <c r="A1566" s="5" t="inlineStr">
        <is>
          <t>STETSON AMERICAS</t>
        </is>
      </c>
      <c r="B1566" s="5">
        <f>IF($I2="","",INDEX(Productos!$A:$A,$I2))</f>
        <v/>
      </c>
      <c r="C1566" s="134" t="inlineStr">
        <is>
          <t>SSEVOR-48408167</t>
        </is>
      </c>
      <c r="D1566" s="5">
        <f>IF($I2="","",INDEX(Productos!$B:$B,$I2))</f>
        <v/>
      </c>
      <c r="E1566" s="5">
        <f>IF($I2="","",INDEX(Productos!$H:$H,$I2))</f>
        <v/>
      </c>
      <c r="F1566" s="5">
        <f>IF($I2="","",INDEX(Productos!$I:$I,$I2))</f>
        <v/>
      </c>
      <c r="G1566" s="135" t="n">
        <v>1</v>
      </c>
      <c r="H1566" s="5">
        <f>IF($I2="","",INDEX(Productos!$AG:$AG,$I2))</f>
        <v/>
      </c>
      <c r="I1566" s="136">
        <f>LET(_xlpm.r,Productos!$E$2:$E$2509,_xlpm.m,IFERROR(_xlfn.XMATCH(C1566,_xlpm.r),IFERROR(_xlfn.XMATCH(VALUE(C1566),_xlpm.r),0)),IF(_xlpm.m=0,"",_xlpm.m+1))</f>
        <v/>
      </c>
      <c r="J1566" s="137" t="inlineStr">
        <is>
          <t>NetSuite</t>
        </is>
      </c>
    </row>
    <row r="1567">
      <c r="A1567" s="5" t="inlineStr">
        <is>
          <t>STETSON AMERICAS</t>
        </is>
      </c>
      <c r="B1567" s="5">
        <f>IF($I2="","",INDEX(Productos!$A:$A,$I2))</f>
        <v/>
      </c>
      <c r="C1567" s="134" t="inlineStr">
        <is>
          <t>SSEVOR-48408170</t>
        </is>
      </c>
      <c r="D1567" s="5">
        <f>IF($I2="","",INDEX(Productos!$B:$B,$I2))</f>
        <v/>
      </c>
      <c r="E1567" s="5">
        <f>IF($I2="","",INDEX(Productos!$H:$H,$I2))</f>
        <v/>
      </c>
      <c r="F1567" s="5">
        <f>IF($I2="","",INDEX(Productos!$I:$I,$I2))</f>
        <v/>
      </c>
      <c r="G1567" s="135" t="n">
        <v>1</v>
      </c>
      <c r="H1567" s="5">
        <f>IF($I2="","",INDEX(Productos!$AG:$AG,$I2))</f>
        <v/>
      </c>
      <c r="I1567" s="136">
        <f>LET(_xlpm.r,Productos!$E$2:$E$2509,_xlpm.m,IFERROR(_xlfn.XMATCH(C1567,_xlpm.r),IFERROR(_xlfn.XMATCH(VALUE(C1567),_xlpm.r),0)),IF(_xlpm.m=0,"",_xlpm.m+1))</f>
        <v/>
      </c>
      <c r="J1567" s="137" t="inlineStr">
        <is>
          <t>NetSuite</t>
        </is>
      </c>
    </row>
    <row r="1568">
      <c r="A1568" s="5" t="inlineStr">
        <is>
          <t>STETSON AMERICAS</t>
        </is>
      </c>
      <c r="B1568" s="5">
        <f>IF($I2="","",INDEX(Productos!$A:$A,$I2))</f>
        <v/>
      </c>
      <c r="C1568" s="134" t="inlineStr">
        <is>
          <t>SSEVOR-48408172</t>
        </is>
      </c>
      <c r="D1568" s="5">
        <f>IF($I2="","",INDEX(Productos!$B:$B,$I2))</f>
        <v/>
      </c>
      <c r="E1568" s="5">
        <f>IF($I2="","",INDEX(Productos!$H:$H,$I2))</f>
        <v/>
      </c>
      <c r="F1568" s="5">
        <f>IF($I2="","",INDEX(Productos!$I:$I,$I2))</f>
        <v/>
      </c>
      <c r="G1568" s="135" t="n">
        <v>1</v>
      </c>
      <c r="H1568" s="5">
        <f>IF($I2="","",INDEX(Productos!$AG:$AG,$I2))</f>
        <v/>
      </c>
      <c r="I1568" s="136">
        <f>LET(_xlpm.r,Productos!$E$2:$E$2509,_xlpm.m,IFERROR(_xlfn.XMATCH(C1568,_xlpm.r),IFERROR(_xlfn.XMATCH(VALUE(C1568),_xlpm.r),0)),IF(_xlpm.m=0,"",_xlpm.m+1))</f>
        <v/>
      </c>
      <c r="J1568" s="137" t="inlineStr">
        <is>
          <t>NetSuite</t>
        </is>
      </c>
    </row>
    <row r="1569">
      <c r="A1569" s="5" t="inlineStr">
        <is>
          <t>STETSON AMERICAS</t>
        </is>
      </c>
      <c r="B1569" s="5">
        <f>IF($I2="","",INDEX(Productos!$A:$A,$I2))</f>
        <v/>
      </c>
      <c r="C1569" s="134" t="inlineStr">
        <is>
          <t>SSGAIN-68428170</t>
        </is>
      </c>
      <c r="D1569" s="5">
        <f>IF($I2="","",INDEX(Productos!$B:$B,$I2))</f>
        <v/>
      </c>
      <c r="E1569" s="5">
        <f>IF($I2="","",INDEX(Productos!$H:$H,$I2))</f>
        <v/>
      </c>
      <c r="F1569" s="5">
        <f>IF($I2="","",INDEX(Productos!$I:$I,$I2))</f>
        <v/>
      </c>
      <c r="G1569" s="135" t="n">
        <v>-1</v>
      </c>
      <c r="H1569" s="5">
        <f>IF($I2="","",INDEX(Productos!$AG:$AG,$I2))</f>
        <v/>
      </c>
      <c r="I1569" s="136">
        <f>LET(_xlpm.r,Productos!$E$2:$E$2509,_xlpm.m,IFERROR(_xlfn.XMATCH(C1569,_xlpm.r),IFERROR(_xlfn.XMATCH(VALUE(C1569),_xlpm.r),0)),IF(_xlpm.m=0,"",_xlpm.m+1))</f>
        <v/>
      </c>
      <c r="J1569" s="137" t="inlineStr">
        <is>
          <t>NetSuite</t>
        </is>
      </c>
    </row>
    <row r="1570">
      <c r="A1570" s="5" t="inlineStr">
        <is>
          <t>STETSON AMERICAS</t>
        </is>
      </c>
      <c r="B1570" s="5">
        <f>IF($I2="","",INDEX(Productos!$A:$A,$I2))</f>
        <v/>
      </c>
      <c r="C1570" s="134" t="inlineStr">
        <is>
          <t>SSGAIN-68428171</t>
        </is>
      </c>
      <c r="D1570" s="5">
        <f>IF($I2="","",INDEX(Productos!$B:$B,$I2))</f>
        <v/>
      </c>
      <c r="E1570" s="5">
        <f>IF($I2="","",INDEX(Productos!$H:$H,$I2))</f>
        <v/>
      </c>
      <c r="F1570" s="5">
        <f>IF($I2="","",INDEX(Productos!$I:$I,$I2))</f>
        <v/>
      </c>
      <c r="G1570" s="135" t="n">
        <v>-1</v>
      </c>
      <c r="H1570" s="5">
        <f>IF($I2="","",INDEX(Productos!$AG:$AG,$I2))</f>
        <v/>
      </c>
      <c r="I1570" s="136">
        <f>LET(_xlpm.r,Productos!$E$2:$E$2509,_xlpm.m,IFERROR(_xlfn.XMATCH(C1570,_xlpm.r),IFERROR(_xlfn.XMATCH(VALUE(C1570),_xlpm.r),0)),IF(_xlpm.m=0,"",_xlpm.m+1))</f>
        <v/>
      </c>
      <c r="J1570" s="137" t="inlineStr">
        <is>
          <t>NetSuite</t>
        </is>
      </c>
    </row>
    <row r="1571">
      <c r="A1571" s="5" t="inlineStr">
        <is>
          <t>STETSON AMERICAS</t>
        </is>
      </c>
      <c r="B1571" s="5">
        <f>IF($I2="","",INDEX(Productos!$A:$A,$I2))</f>
        <v/>
      </c>
      <c r="C1571" s="134" t="inlineStr">
        <is>
          <t>SSGAIN-68428172</t>
        </is>
      </c>
      <c r="D1571" s="5">
        <f>IF($I2="","",INDEX(Productos!$B:$B,$I2))</f>
        <v/>
      </c>
      <c r="E1571" s="5">
        <f>IF($I2="","",INDEX(Productos!$H:$H,$I2))</f>
        <v/>
      </c>
      <c r="F1571" s="5">
        <f>IF($I2="","",INDEX(Productos!$I:$I,$I2))</f>
        <v/>
      </c>
      <c r="G1571" s="135" t="n">
        <v>1</v>
      </c>
      <c r="H1571" s="5">
        <f>IF($I2="","",INDEX(Productos!$AG:$AG,$I2))</f>
        <v/>
      </c>
      <c r="I1571" s="136">
        <f>LET(_xlpm.r,Productos!$E$2:$E$2509,_xlpm.m,IFERROR(_xlfn.XMATCH(C1571,_xlpm.r),IFERROR(_xlfn.XMATCH(VALUE(C1571),_xlpm.r),0)),IF(_xlpm.m=0,"",_xlpm.m+1))</f>
        <v/>
      </c>
      <c r="J1571" s="137" t="inlineStr">
        <is>
          <t>NetSuite</t>
        </is>
      </c>
    </row>
    <row r="1572">
      <c r="A1572" s="5" t="inlineStr">
        <is>
          <t>STETSON AMERICAS</t>
        </is>
      </c>
      <c r="B1572" s="5">
        <f>IF($I2="","",INDEX(Productos!$A:$A,$I2))</f>
        <v/>
      </c>
      <c r="C1572" s="134" t="inlineStr">
        <is>
          <t>SSGAIN-68428173</t>
        </is>
      </c>
      <c r="D1572" s="5">
        <f>IF($I2="","",INDEX(Productos!$B:$B,$I2))</f>
        <v/>
      </c>
      <c r="E1572" s="5">
        <f>IF($I2="","",INDEX(Productos!$H:$H,$I2))</f>
        <v/>
      </c>
      <c r="F1572" s="5">
        <f>IF($I2="","",INDEX(Productos!$I:$I,$I2))</f>
        <v/>
      </c>
      <c r="G1572" s="135" t="n">
        <v>-1</v>
      </c>
      <c r="H1572" s="5">
        <f>IF($I2="","",INDEX(Productos!$AG:$AG,$I2))</f>
        <v/>
      </c>
      <c r="I1572" s="136">
        <f>LET(_xlpm.r,Productos!$E$2:$E$2509,_xlpm.m,IFERROR(_xlfn.XMATCH(C1572,_xlpm.r),IFERROR(_xlfn.XMATCH(VALUE(C1572),_xlpm.r),0)),IF(_xlpm.m=0,"",_xlpm.m+1))</f>
        <v/>
      </c>
      <c r="J1572" s="137" t="inlineStr">
        <is>
          <t>NetSuite</t>
        </is>
      </c>
    </row>
    <row r="1573">
      <c r="A1573" s="5" t="inlineStr">
        <is>
          <t>STETSON AMERICAS</t>
        </is>
      </c>
      <c r="B1573" s="5">
        <f>IF($I2="","",INDEX(Productos!$A:$A,$I2))</f>
        <v/>
      </c>
      <c r="C1573" s="134" t="inlineStr">
        <is>
          <t>SSGAIN-68428174</t>
        </is>
      </c>
      <c r="D1573" s="5">
        <f>IF($I2="","",INDEX(Productos!$B:$B,$I2))</f>
        <v/>
      </c>
      <c r="E1573" s="5">
        <f>IF($I2="","",INDEX(Productos!$H:$H,$I2))</f>
        <v/>
      </c>
      <c r="F1573" s="5">
        <f>IF($I2="","",INDEX(Productos!$I:$I,$I2))</f>
        <v/>
      </c>
      <c r="G1573" s="135" t="n">
        <v>-1</v>
      </c>
      <c r="H1573" s="5">
        <f>IF($I2="","",INDEX(Productos!$AG:$AG,$I2))</f>
        <v/>
      </c>
      <c r="I1573" s="136">
        <f>LET(_xlpm.r,Productos!$E$2:$E$2509,_xlpm.m,IFERROR(_xlfn.XMATCH(C1573,_xlpm.r),IFERROR(_xlfn.XMATCH(VALUE(C1573),_xlpm.r),0)),IF(_xlpm.m=0,"",_xlpm.m+1))</f>
        <v/>
      </c>
      <c r="J1573" s="137" t="inlineStr">
        <is>
          <t>NetSuite</t>
        </is>
      </c>
    </row>
    <row r="1574">
      <c r="A1574" s="5" t="inlineStr">
        <is>
          <t>STETSON AMERICAS</t>
        </is>
      </c>
      <c r="B1574" s="5">
        <f>IF($I2="","",INDEX(Productos!$A:$A,$I2))</f>
        <v/>
      </c>
      <c r="C1574" s="134" t="inlineStr">
        <is>
          <t>SSGAIN-68428175</t>
        </is>
      </c>
      <c r="D1574" s="5">
        <f>IF($I2="","",INDEX(Productos!$B:$B,$I2))</f>
        <v/>
      </c>
      <c r="E1574" s="5">
        <f>IF($I2="","",INDEX(Productos!$H:$H,$I2))</f>
        <v/>
      </c>
      <c r="F1574" s="5">
        <f>IF($I2="","",INDEX(Productos!$I:$I,$I2))</f>
        <v/>
      </c>
      <c r="G1574" s="135" t="n">
        <v>-1</v>
      </c>
      <c r="H1574" s="5">
        <f>IF($I2="","",INDEX(Productos!$AG:$AG,$I2))</f>
        <v/>
      </c>
      <c r="I1574" s="136">
        <f>LET(_xlpm.r,Productos!$E$2:$E$2509,_xlpm.m,IFERROR(_xlfn.XMATCH(C1574,_xlpm.r),IFERROR(_xlfn.XMATCH(VALUE(C1574),_xlpm.r),0)),IF(_xlpm.m=0,"",_xlpm.m+1))</f>
        <v/>
      </c>
      <c r="J1574" s="137" t="inlineStr">
        <is>
          <t>NetSuite</t>
        </is>
      </c>
    </row>
    <row r="1575">
      <c r="A1575" s="5" t="inlineStr">
        <is>
          <t>STETSON AMERICAS</t>
        </is>
      </c>
      <c r="B1575" s="5">
        <f>IF($I2="","",INDEX(Productos!$A:$A,$I2))</f>
        <v/>
      </c>
      <c r="C1575" s="134" t="inlineStr">
        <is>
          <t>SSGNFT-66428173</t>
        </is>
      </c>
      <c r="D1575" s="5">
        <f>IF($I2="","",INDEX(Productos!$B:$B,$I2))</f>
        <v/>
      </c>
      <c r="E1575" s="5">
        <f>IF($I2="","",INDEX(Productos!$H:$H,$I2))</f>
        <v/>
      </c>
      <c r="F1575" s="5">
        <f>IF($I2="","",INDEX(Productos!$I:$I,$I2))</f>
        <v/>
      </c>
      <c r="G1575" s="135" t="n">
        <v>-1</v>
      </c>
      <c r="H1575" s="5">
        <f>IF($I2="","",INDEX(Productos!$AG:$AG,$I2))</f>
        <v/>
      </c>
      <c r="I1575" s="136">
        <f>LET(_xlpm.r,Productos!$E$2:$E$2509,_xlpm.m,IFERROR(_xlfn.XMATCH(C1575,_xlpm.r),IFERROR(_xlfn.XMATCH(VALUE(C1575),_xlpm.r),0)),IF(_xlpm.m=0,"",_xlpm.m+1))</f>
        <v/>
      </c>
      <c r="J1575" s="137" t="inlineStr">
        <is>
          <t>NetSuite</t>
        </is>
      </c>
    </row>
    <row r="1576">
      <c r="A1576" s="5" t="inlineStr">
        <is>
          <t>STETSON AMERICAS</t>
        </is>
      </c>
      <c r="B1576" s="5">
        <f>IF($I2="","",INDEX(Productos!$A:$A,$I2))</f>
        <v/>
      </c>
      <c r="C1576" s="134" t="inlineStr">
        <is>
          <t>SSGRFN-30428172</t>
        </is>
      </c>
      <c r="D1576" s="5">
        <f>IF($I2="","",INDEX(Productos!$B:$B,$I2))</f>
        <v/>
      </c>
      <c r="E1576" s="5">
        <f>IF($I2="","",INDEX(Productos!$H:$H,$I2))</f>
        <v/>
      </c>
      <c r="F1576" s="5">
        <f>IF($I2="","",INDEX(Productos!$I:$I,$I2))</f>
        <v/>
      </c>
      <c r="G1576" s="135" t="n">
        <v>1</v>
      </c>
      <c r="H1576" s="5">
        <f>IF($I2="","",INDEX(Productos!$AG:$AG,$I2))</f>
        <v/>
      </c>
      <c r="I1576" s="136">
        <f>LET(_xlpm.r,Productos!$E$2:$E$2509,_xlpm.m,IFERROR(_xlfn.XMATCH(C1576,_xlpm.r),IFERROR(_xlfn.XMATCH(VALUE(C1576),_xlpm.r),0)),IF(_xlpm.m=0,"",_xlpm.m+1))</f>
        <v/>
      </c>
      <c r="J1576" s="137" t="inlineStr">
        <is>
          <t>NetSuite</t>
        </is>
      </c>
    </row>
    <row r="1577">
      <c r="A1577" s="5" t="inlineStr">
        <is>
          <t>STETSON AMERICAS</t>
        </is>
      </c>
      <c r="B1577" s="5">
        <f>IF($I2="","",INDEX(Productos!$A:$A,$I2))</f>
        <v/>
      </c>
      <c r="C1577" s="134" t="inlineStr">
        <is>
          <t>SSGRFN-30428173</t>
        </is>
      </c>
      <c r="D1577" s="5">
        <f>IF($I2="","",INDEX(Productos!$B:$B,$I2))</f>
        <v/>
      </c>
      <c r="E1577" s="5">
        <f>IF($I2="","",INDEX(Productos!$H:$H,$I2))</f>
        <v/>
      </c>
      <c r="F1577" s="5">
        <f>IF($I2="","",INDEX(Productos!$I:$I,$I2))</f>
        <v/>
      </c>
      <c r="G1577" s="135" t="n">
        <v>1</v>
      </c>
      <c r="H1577" s="5">
        <f>IF($I2="","",INDEX(Productos!$AG:$AG,$I2))</f>
        <v/>
      </c>
      <c r="I1577" s="136">
        <f>LET(_xlpm.r,Productos!$E$2:$E$2509,_xlpm.m,IFERROR(_xlfn.XMATCH(C1577,_xlpm.r),IFERROR(_xlfn.XMATCH(VALUE(C1577),_xlpm.r),0)),IF(_xlpm.m=0,"",_xlpm.m+1))</f>
        <v/>
      </c>
      <c r="J1577" s="137" t="inlineStr">
        <is>
          <t>NetSuite</t>
        </is>
      </c>
    </row>
    <row r="1578">
      <c r="A1578" s="5" t="inlineStr">
        <is>
          <t>STETSON AMERICAS</t>
        </is>
      </c>
      <c r="B1578" s="5">
        <f>IF($I2="","",INDEX(Productos!$A:$A,$I2))</f>
        <v/>
      </c>
      <c r="C1578" s="134" t="inlineStr">
        <is>
          <t>SSHGMN-30428171</t>
        </is>
      </c>
      <c r="D1578" s="5">
        <f>IF($I2="","",INDEX(Productos!$B:$B,$I2))</f>
        <v/>
      </c>
      <c r="E1578" s="5">
        <f>IF($I2="","",INDEX(Productos!$H:$H,$I2))</f>
        <v/>
      </c>
      <c r="F1578" s="5">
        <f>IF($I2="","",INDEX(Productos!$I:$I,$I2))</f>
        <v/>
      </c>
      <c r="G1578" s="135" t="n">
        <v>-1</v>
      </c>
      <c r="H1578" s="5">
        <f>IF($I2="","",INDEX(Productos!$AG:$AG,$I2))</f>
        <v/>
      </c>
      <c r="I1578" s="136">
        <f>LET(_xlpm.r,Productos!$E$2:$E$2509,_xlpm.m,IFERROR(_xlfn.XMATCH(C1578,_xlpm.r),IFERROR(_xlfn.XMATCH(VALUE(C1578),_xlpm.r),0)),IF(_xlpm.m=0,"",_xlpm.m+1))</f>
        <v/>
      </c>
      <c r="J1578" s="137" t="inlineStr">
        <is>
          <t>NetSuite</t>
        </is>
      </c>
    </row>
    <row r="1579">
      <c r="A1579" s="5" t="inlineStr">
        <is>
          <t>STETSON AMERICAS</t>
        </is>
      </c>
      <c r="B1579" s="5">
        <f>IF($I2="","",INDEX(Productos!$A:$A,$I2))</f>
        <v/>
      </c>
      <c r="C1579" s="134" t="inlineStr">
        <is>
          <t>SSHGMN-30428173</t>
        </is>
      </c>
      <c r="D1579" s="5">
        <f>IF($I2="","",INDEX(Productos!$B:$B,$I2))</f>
        <v/>
      </c>
      <c r="E1579" s="5">
        <f>IF($I2="","",INDEX(Productos!$H:$H,$I2))</f>
        <v/>
      </c>
      <c r="F1579" s="5">
        <f>IF($I2="","",INDEX(Productos!$I:$I,$I2))</f>
        <v/>
      </c>
      <c r="G1579" s="135" t="n">
        <v>-1</v>
      </c>
      <c r="H1579" s="5">
        <f>IF($I2="","",INDEX(Productos!$AG:$AG,$I2))</f>
        <v/>
      </c>
      <c r="I1579" s="136">
        <f>LET(_xlpm.r,Productos!$E$2:$E$2509,_xlpm.m,IFERROR(_xlfn.XMATCH(C1579,_xlpm.r),IFERROR(_xlfn.XMATCH(VALUE(C1579),_xlpm.r),0)),IF(_xlpm.m=0,"",_xlpm.m+1))</f>
        <v/>
      </c>
      <c r="J1579" s="137" t="inlineStr">
        <is>
          <t>NetSuite</t>
        </is>
      </c>
    </row>
    <row r="1580">
      <c r="A1580" s="5" t="inlineStr">
        <is>
          <t>STETSON AMERICAS</t>
        </is>
      </c>
      <c r="B1580" s="5">
        <f>IF($I2="","",INDEX(Productos!$A:$A,$I2))</f>
        <v/>
      </c>
      <c r="C1580" s="134" t="inlineStr">
        <is>
          <t>SSLLNO-30428170</t>
        </is>
      </c>
      <c r="D1580" s="5">
        <f>IF($I2="","",INDEX(Productos!$B:$B,$I2))</f>
        <v/>
      </c>
      <c r="E1580" s="5">
        <f>IF($I2="","",INDEX(Productos!$H:$H,$I2))</f>
        <v/>
      </c>
      <c r="F1580" s="5">
        <f>IF($I2="","",INDEX(Productos!$I:$I,$I2))</f>
        <v/>
      </c>
      <c r="G1580" s="135" t="n">
        <v>-2</v>
      </c>
      <c r="H1580" s="5">
        <f>IF($I2="","",INDEX(Productos!$AG:$AG,$I2))</f>
        <v/>
      </c>
      <c r="I1580" s="136">
        <f>LET(_xlpm.r,Productos!$E$2:$E$2509,_xlpm.m,IFERROR(_xlfn.XMATCH(C1580,_xlpm.r),IFERROR(_xlfn.XMATCH(VALUE(C1580),_xlpm.r),0)),IF(_xlpm.m=0,"",_xlpm.m+1))</f>
        <v/>
      </c>
      <c r="J1580" s="137" t="inlineStr">
        <is>
          <t>NetSuite</t>
        </is>
      </c>
    </row>
    <row r="1581">
      <c r="A1581" s="5" t="inlineStr">
        <is>
          <t>STETSON AMERICAS</t>
        </is>
      </c>
      <c r="B1581" s="5">
        <f>IF($I2="","",INDEX(Productos!$A:$A,$I2))</f>
        <v/>
      </c>
      <c r="C1581" s="134" t="inlineStr">
        <is>
          <t>SSLLNO-30428171</t>
        </is>
      </c>
      <c r="D1581" s="5">
        <f>IF($I2="","",INDEX(Productos!$B:$B,$I2))</f>
        <v/>
      </c>
      <c r="E1581" s="5">
        <f>IF($I2="","",INDEX(Productos!$H:$H,$I2))</f>
        <v/>
      </c>
      <c r="F1581" s="5">
        <f>IF($I2="","",INDEX(Productos!$I:$I,$I2))</f>
        <v/>
      </c>
      <c r="G1581" s="135" t="n">
        <v>-2</v>
      </c>
      <c r="H1581" s="5">
        <f>IF($I2="","",INDEX(Productos!$AG:$AG,$I2))</f>
        <v/>
      </c>
      <c r="I1581" s="136">
        <f>LET(_xlpm.r,Productos!$E$2:$E$2509,_xlpm.m,IFERROR(_xlfn.XMATCH(C1581,_xlpm.r),IFERROR(_xlfn.XMATCH(VALUE(C1581),_xlpm.r),0)),IF(_xlpm.m=0,"",_xlpm.m+1))</f>
        <v/>
      </c>
      <c r="J1581" s="137" t="inlineStr">
        <is>
          <t>NetSuite</t>
        </is>
      </c>
    </row>
    <row r="1582">
      <c r="A1582" s="5" t="inlineStr">
        <is>
          <t>STETSON AMERICAS</t>
        </is>
      </c>
      <c r="B1582" s="5">
        <f>IF($I2="","",INDEX(Productos!$A:$A,$I2))</f>
        <v/>
      </c>
      <c r="C1582" s="134" t="inlineStr">
        <is>
          <t>SSLLNO-30428172</t>
        </is>
      </c>
      <c r="D1582" s="5">
        <f>IF($I2="","",INDEX(Productos!$B:$B,$I2))</f>
        <v/>
      </c>
      <c r="E1582" s="5">
        <f>IF($I2="","",INDEX(Productos!$H:$H,$I2))</f>
        <v/>
      </c>
      <c r="F1582" s="5">
        <f>IF($I2="","",INDEX(Productos!$I:$I,$I2))</f>
        <v/>
      </c>
      <c r="G1582" s="135" t="n">
        <v>-2</v>
      </c>
      <c r="H1582" s="5">
        <f>IF($I2="","",INDEX(Productos!$AG:$AG,$I2))</f>
        <v/>
      </c>
      <c r="I1582" s="136">
        <f>LET(_xlpm.r,Productos!$E$2:$E$2509,_xlpm.m,IFERROR(_xlfn.XMATCH(C1582,_xlpm.r),IFERROR(_xlfn.XMATCH(VALUE(C1582),_xlpm.r),0)),IF(_xlpm.m=0,"",_xlpm.m+1))</f>
        <v/>
      </c>
      <c r="J1582" s="137" t="inlineStr">
        <is>
          <t>NetSuite</t>
        </is>
      </c>
    </row>
    <row r="1583">
      <c r="A1583" s="5" t="inlineStr">
        <is>
          <t>STETSON AMERICAS</t>
        </is>
      </c>
      <c r="B1583" s="5">
        <f>IF($I2="","",INDEX(Productos!$A:$A,$I2))</f>
        <v/>
      </c>
      <c r="C1583" s="134" t="inlineStr">
        <is>
          <t>SSLLNO-30428173</t>
        </is>
      </c>
      <c r="D1583" s="5">
        <f>IF($I2="","",INDEX(Productos!$B:$B,$I2))</f>
        <v/>
      </c>
      <c r="E1583" s="5">
        <f>IF($I2="","",INDEX(Productos!$H:$H,$I2))</f>
        <v/>
      </c>
      <c r="F1583" s="5">
        <f>IF($I2="","",INDEX(Productos!$I:$I,$I2))</f>
        <v/>
      </c>
      <c r="G1583" s="135" t="n">
        <v>-1</v>
      </c>
      <c r="H1583" s="5">
        <f>IF($I2="","",INDEX(Productos!$AG:$AG,$I2))</f>
        <v/>
      </c>
      <c r="I1583" s="136">
        <f>LET(_xlpm.r,Productos!$E$2:$E$2509,_xlpm.m,IFERROR(_xlfn.XMATCH(C1583,_xlpm.r),IFERROR(_xlfn.XMATCH(VALUE(C1583),_xlpm.r),0)),IF(_xlpm.m=0,"",_xlpm.m+1))</f>
        <v/>
      </c>
      <c r="J1583" s="137" t="inlineStr">
        <is>
          <t>NetSuite</t>
        </is>
      </c>
    </row>
    <row r="1584">
      <c r="A1584" s="5" t="inlineStr">
        <is>
          <t>STETSON AMERICAS</t>
        </is>
      </c>
      <c r="B1584" s="5">
        <f>IF($I2="","",INDEX(Productos!$A:$A,$I2))</f>
        <v/>
      </c>
      <c r="C1584" s="134" t="inlineStr">
        <is>
          <t>SSLLNO-30428174</t>
        </is>
      </c>
      <c r="D1584" s="5">
        <f>IF($I2="","",INDEX(Productos!$B:$B,$I2))</f>
        <v/>
      </c>
      <c r="E1584" s="5">
        <f>IF($I2="","",INDEX(Productos!$H:$H,$I2))</f>
        <v/>
      </c>
      <c r="F1584" s="5">
        <f>IF($I2="","",INDEX(Productos!$I:$I,$I2))</f>
        <v/>
      </c>
      <c r="G1584" s="135" t="n">
        <v>-2</v>
      </c>
      <c r="H1584" s="5">
        <f>IF($I2="","",INDEX(Productos!$AG:$AG,$I2))</f>
        <v/>
      </c>
      <c r="I1584" s="136">
        <f>LET(_xlpm.r,Productos!$E$2:$E$2509,_xlpm.m,IFERROR(_xlfn.XMATCH(C1584,_xlpm.r),IFERROR(_xlfn.XMATCH(VALUE(C1584),_xlpm.r),0)),IF(_xlpm.m=0,"",_xlpm.m+1))</f>
        <v/>
      </c>
      <c r="J1584" s="137" t="inlineStr">
        <is>
          <t>NetSuite</t>
        </is>
      </c>
    </row>
    <row r="1585">
      <c r="A1585" s="5" t="inlineStr">
        <is>
          <t>STETSON AMERICAS</t>
        </is>
      </c>
      <c r="B1585" s="5">
        <f>IF($I2="","",INDEX(Productos!$A:$A,$I2))</f>
        <v/>
      </c>
      <c r="C1585" s="134" t="inlineStr">
        <is>
          <t>SSLLNO-30428175</t>
        </is>
      </c>
      <c r="D1585" s="5">
        <f>IF($I2="","",INDEX(Productos!$B:$B,$I2))</f>
        <v/>
      </c>
      <c r="E1585" s="5">
        <f>IF($I2="","",INDEX(Productos!$H:$H,$I2))</f>
        <v/>
      </c>
      <c r="F1585" s="5">
        <f>IF($I2="","",INDEX(Productos!$I:$I,$I2))</f>
        <v/>
      </c>
      <c r="G1585" s="135" t="n">
        <v>-1</v>
      </c>
      <c r="H1585" s="5">
        <f>IF($I2="","",INDEX(Productos!$AG:$AG,$I2))</f>
        <v/>
      </c>
      <c r="I1585" s="136">
        <f>LET(_xlpm.r,Productos!$E$2:$E$2509,_xlpm.m,IFERROR(_xlfn.XMATCH(C1585,_xlpm.r),IFERROR(_xlfn.XMATCH(VALUE(C1585),_xlpm.r),0)),IF(_xlpm.m=0,"",_xlpm.m+1))</f>
        <v/>
      </c>
      <c r="J1585" s="137" t="inlineStr">
        <is>
          <t>NetSuite</t>
        </is>
      </c>
    </row>
    <row r="1586">
      <c r="A1586" s="5" t="inlineStr">
        <is>
          <t>STETSON AMERICAS</t>
        </is>
      </c>
      <c r="B1586" s="5">
        <f>IF($I2="","",INDEX(Productos!$A:$A,$I2))</f>
        <v/>
      </c>
      <c r="C1586" s="134" t="inlineStr">
        <is>
          <t>SSLOBO-30428170</t>
        </is>
      </c>
      <c r="D1586" s="5">
        <f>IF($I2="","",INDEX(Productos!$B:$B,$I2))</f>
        <v/>
      </c>
      <c r="E1586" s="5">
        <f>IF($I2="","",INDEX(Productos!$H:$H,$I2))</f>
        <v/>
      </c>
      <c r="F1586" s="5">
        <f>IF($I2="","",INDEX(Productos!$I:$I,$I2))</f>
        <v/>
      </c>
      <c r="G1586" s="135" t="n">
        <v>-1</v>
      </c>
      <c r="H1586" s="5">
        <f>IF($I2="","",INDEX(Productos!$AG:$AG,$I2))</f>
        <v/>
      </c>
      <c r="I1586" s="136">
        <f>LET(_xlpm.r,Productos!$E$2:$E$2509,_xlpm.m,IFERROR(_xlfn.XMATCH(C1586,_xlpm.r),IFERROR(_xlfn.XMATCH(VALUE(C1586),_xlpm.r),0)),IF(_xlpm.m=0,"",_xlpm.m+1))</f>
        <v/>
      </c>
      <c r="J1586" s="137" t="inlineStr">
        <is>
          <t>NetSuite</t>
        </is>
      </c>
    </row>
    <row r="1587">
      <c r="A1587" s="5" t="inlineStr">
        <is>
          <t>STETSON AMERICAS</t>
        </is>
      </c>
      <c r="B1587" s="5">
        <f>IF($I2="","",INDEX(Productos!$A:$A,$I2))</f>
        <v/>
      </c>
      <c r="C1587" s="134" t="inlineStr">
        <is>
          <t>SSLOBO-30428173</t>
        </is>
      </c>
      <c r="D1587" s="5">
        <f>IF($I2="","",INDEX(Productos!$B:$B,$I2))</f>
        <v/>
      </c>
      <c r="E1587" s="5">
        <f>IF($I2="","",INDEX(Productos!$H:$H,$I2))</f>
        <v/>
      </c>
      <c r="F1587" s="5">
        <f>IF($I2="","",INDEX(Productos!$I:$I,$I2))</f>
        <v/>
      </c>
      <c r="G1587" s="135" t="n">
        <v>-1</v>
      </c>
      <c r="H1587" s="5">
        <f>IF($I2="","",INDEX(Productos!$AG:$AG,$I2))</f>
        <v/>
      </c>
      <c r="I1587" s="136">
        <f>LET(_xlpm.r,Productos!$E$2:$E$2509,_xlpm.m,IFERROR(_xlfn.XMATCH(C1587,_xlpm.r),IFERROR(_xlfn.XMATCH(VALUE(C1587),_xlpm.r),0)),IF(_xlpm.m=0,"",_xlpm.m+1))</f>
        <v/>
      </c>
      <c r="J1587" s="137" t="inlineStr">
        <is>
          <t>NetSuite</t>
        </is>
      </c>
    </row>
    <row r="1588">
      <c r="A1588" s="5" t="inlineStr">
        <is>
          <t>STETSON AMERICAS</t>
        </is>
      </c>
      <c r="B1588" s="5">
        <f>IF($I2="","",INDEX(Productos!$A:$A,$I2))</f>
        <v/>
      </c>
      <c r="C1588" s="134" t="inlineStr">
        <is>
          <t>SSMDCM-66408172</t>
        </is>
      </c>
      <c r="D1588" s="5">
        <f>IF($I2="","",INDEX(Productos!$B:$B,$I2))</f>
        <v/>
      </c>
      <c r="E1588" s="5">
        <f>IF($I2="","",INDEX(Productos!$H:$H,$I2))</f>
        <v/>
      </c>
      <c r="F1588" s="5">
        <f>IF($I2="","",INDEX(Productos!$I:$I,$I2))</f>
        <v/>
      </c>
      <c r="G1588" s="135" t="n">
        <v>-1</v>
      </c>
      <c r="H1588" s="5">
        <f>IF($I2="","",INDEX(Productos!$AG:$AG,$I2))</f>
        <v/>
      </c>
      <c r="I1588" s="136">
        <f>LET(_xlpm.r,Productos!$E$2:$E$2509,_xlpm.m,IFERROR(_xlfn.XMATCH(C1588,_xlpm.r),IFERROR(_xlfn.XMATCH(VALUE(C1588),_xlpm.r),0)),IF(_xlpm.m=0,"",_xlpm.m+1))</f>
        <v/>
      </c>
      <c r="J1588" s="137" t="inlineStr">
        <is>
          <t>NetSuite</t>
        </is>
      </c>
    </row>
    <row r="1589">
      <c r="A1589" s="5" t="inlineStr">
        <is>
          <t>STETSON AMERICAS</t>
        </is>
      </c>
      <c r="B1589" s="5">
        <f>IF($I2="","",INDEX(Productos!$A:$A,$I2))</f>
        <v/>
      </c>
      <c r="C1589" s="134" t="inlineStr">
        <is>
          <t>SSMDCM-66408173</t>
        </is>
      </c>
      <c r="D1589" s="5">
        <f>IF($I2="","",INDEX(Productos!$B:$B,$I2))</f>
        <v/>
      </c>
      <c r="E1589" s="5">
        <f>IF($I2="","",INDEX(Productos!$H:$H,$I2))</f>
        <v/>
      </c>
      <c r="F1589" s="5">
        <f>IF($I2="","",INDEX(Productos!$I:$I,$I2))</f>
        <v/>
      </c>
      <c r="G1589" s="135" t="n">
        <v>-1</v>
      </c>
      <c r="H1589" s="5">
        <f>IF($I2="","",INDEX(Productos!$AG:$AG,$I2))</f>
        <v/>
      </c>
      <c r="I1589" s="136">
        <f>LET(_xlpm.r,Productos!$E$2:$E$2509,_xlpm.m,IFERROR(_xlfn.XMATCH(C1589,_xlpm.r),IFERROR(_xlfn.XMATCH(VALUE(C1589),_xlpm.r),0)),IF(_xlpm.m=0,"",_xlpm.m+1))</f>
        <v/>
      </c>
      <c r="J1589" s="137" t="inlineStr">
        <is>
          <t>NetSuite</t>
        </is>
      </c>
    </row>
    <row r="1590">
      <c r="A1590" s="5" t="inlineStr">
        <is>
          <t>STETSON AMERICAS</t>
        </is>
      </c>
      <c r="B1590" s="5">
        <f>IF($I2="","",INDEX(Productos!$A:$A,$I2))</f>
        <v/>
      </c>
      <c r="C1590" s="134" t="inlineStr">
        <is>
          <t>SSPLAT-30428170</t>
        </is>
      </c>
      <c r="D1590" s="5">
        <f>IF($I2="","",INDEX(Productos!$B:$B,$I2))</f>
        <v/>
      </c>
      <c r="E1590" s="5">
        <f>IF($I2="","",INDEX(Productos!$H:$H,$I2))</f>
        <v/>
      </c>
      <c r="F1590" s="5">
        <f>IF($I2="","",INDEX(Productos!$I:$I,$I2))</f>
        <v/>
      </c>
      <c r="G1590" s="135" t="n">
        <v>-1</v>
      </c>
      <c r="H1590" s="5">
        <f>IF($I2="","",INDEX(Productos!$AG:$AG,$I2))</f>
        <v/>
      </c>
      <c r="I1590" s="136">
        <f>LET(_xlpm.r,Productos!$E$2:$E$2509,_xlpm.m,IFERROR(_xlfn.XMATCH(C1590,_xlpm.r),IFERROR(_xlfn.XMATCH(VALUE(C1590),_xlpm.r),0)),IF(_xlpm.m=0,"",_xlpm.m+1))</f>
        <v/>
      </c>
      <c r="J1590" s="137" t="inlineStr">
        <is>
          <t>NetSuite</t>
        </is>
      </c>
    </row>
    <row r="1591">
      <c r="A1591" s="5" t="inlineStr">
        <is>
          <t>STETSON AMERICAS</t>
        </is>
      </c>
      <c r="B1591" s="5">
        <f>IF($I2="","",INDEX(Productos!$A:$A,$I2))</f>
        <v/>
      </c>
      <c r="C1591" s="134" t="inlineStr">
        <is>
          <t>SSPLAT-30428171</t>
        </is>
      </c>
      <c r="D1591" s="5">
        <f>IF($I2="","",INDEX(Productos!$B:$B,$I2))</f>
        <v/>
      </c>
      <c r="E1591" s="5">
        <f>IF($I2="","",INDEX(Productos!$H:$H,$I2))</f>
        <v/>
      </c>
      <c r="F1591" s="5">
        <f>IF($I2="","",INDEX(Productos!$I:$I,$I2))</f>
        <v/>
      </c>
      <c r="G1591" s="135" t="n">
        <v>-2</v>
      </c>
      <c r="H1591" s="5">
        <f>IF($I2="","",INDEX(Productos!$AG:$AG,$I2))</f>
        <v/>
      </c>
      <c r="I1591" s="136">
        <f>LET(_xlpm.r,Productos!$E$2:$E$2509,_xlpm.m,IFERROR(_xlfn.XMATCH(C1591,_xlpm.r),IFERROR(_xlfn.XMATCH(VALUE(C1591),_xlpm.r),0)),IF(_xlpm.m=0,"",_xlpm.m+1))</f>
        <v/>
      </c>
      <c r="J1591" s="137" t="inlineStr">
        <is>
          <t>NetSuite</t>
        </is>
      </c>
    </row>
    <row r="1592">
      <c r="A1592" s="5" t="inlineStr">
        <is>
          <t>STETSON AMERICAS</t>
        </is>
      </c>
      <c r="B1592" s="5">
        <f>IF($I2="","",INDEX(Productos!$A:$A,$I2))</f>
        <v/>
      </c>
      <c r="C1592" s="134" t="inlineStr">
        <is>
          <t>SSPLAT-30428172</t>
        </is>
      </c>
      <c r="D1592" s="5">
        <f>IF($I2="","",INDEX(Productos!$B:$B,$I2))</f>
        <v/>
      </c>
      <c r="E1592" s="5">
        <f>IF($I2="","",INDEX(Productos!$H:$H,$I2))</f>
        <v/>
      </c>
      <c r="F1592" s="5">
        <f>IF($I2="","",INDEX(Productos!$I:$I,$I2))</f>
        <v/>
      </c>
      <c r="G1592" s="135" t="n">
        <v>-1</v>
      </c>
      <c r="H1592" s="5">
        <f>IF($I2="","",INDEX(Productos!$AG:$AG,$I2))</f>
        <v/>
      </c>
      <c r="I1592" s="136">
        <f>LET(_xlpm.r,Productos!$E$2:$E$2509,_xlpm.m,IFERROR(_xlfn.XMATCH(C1592,_xlpm.r),IFERROR(_xlfn.XMATCH(VALUE(C1592),_xlpm.r),0)),IF(_xlpm.m=0,"",_xlpm.m+1))</f>
        <v/>
      </c>
      <c r="J1592" s="137" t="inlineStr">
        <is>
          <t>NetSuite</t>
        </is>
      </c>
    </row>
    <row r="1593">
      <c r="A1593" s="5" t="inlineStr">
        <is>
          <t>STETSON AMERICAS</t>
        </is>
      </c>
      <c r="B1593" s="5">
        <f>IF($I2="","",INDEX(Productos!$A:$A,$I2))</f>
        <v/>
      </c>
      <c r="C1593" s="134" t="inlineStr">
        <is>
          <t>SSPLAT-30428173</t>
        </is>
      </c>
      <c r="D1593" s="5">
        <f>IF($I2="","",INDEX(Productos!$B:$B,$I2))</f>
        <v/>
      </c>
      <c r="E1593" s="5">
        <f>IF($I2="","",INDEX(Productos!$H:$H,$I2))</f>
        <v/>
      </c>
      <c r="F1593" s="5">
        <f>IF($I2="","",INDEX(Productos!$I:$I,$I2))</f>
        <v/>
      </c>
      <c r="G1593" s="135" t="n">
        <v>-2</v>
      </c>
      <c r="H1593" s="5">
        <f>IF($I2="","",INDEX(Productos!$AG:$AG,$I2))</f>
        <v/>
      </c>
      <c r="I1593" s="136">
        <f>LET(_xlpm.r,Productos!$E$2:$E$2509,_xlpm.m,IFERROR(_xlfn.XMATCH(C1593,_xlpm.r),IFERROR(_xlfn.XMATCH(VALUE(C1593),_xlpm.r),0)),IF(_xlpm.m=0,"",_xlpm.m+1))</f>
        <v/>
      </c>
      <c r="J1593" s="137" t="inlineStr">
        <is>
          <t>NetSuite</t>
        </is>
      </c>
    </row>
    <row r="1594">
      <c r="A1594" s="5" t="inlineStr">
        <is>
          <t>STETSON AMERICAS</t>
        </is>
      </c>
      <c r="B1594" s="5">
        <f>IF($I2="","",INDEX(Productos!$A:$A,$I2))</f>
        <v/>
      </c>
      <c r="C1594" s="134" t="inlineStr">
        <is>
          <t>SSRDEO-66428170</t>
        </is>
      </c>
      <c r="D1594" s="5">
        <f>IF($I2="","",INDEX(Productos!$B:$B,$I2))</f>
        <v/>
      </c>
      <c r="E1594" s="5">
        <f>IF($I2="","",INDEX(Productos!$H:$H,$I2))</f>
        <v/>
      </c>
      <c r="F1594" s="5">
        <f>IF($I2="","",INDEX(Productos!$I:$I,$I2))</f>
        <v/>
      </c>
      <c r="G1594" s="135" t="n">
        <v>-1</v>
      </c>
      <c r="H1594" s="5">
        <f>IF($I2="","",INDEX(Productos!$AG:$AG,$I2))</f>
        <v/>
      </c>
      <c r="I1594" s="136">
        <f>LET(_xlpm.r,Productos!$E$2:$E$2509,_xlpm.m,IFERROR(_xlfn.XMATCH(C1594,_xlpm.r),IFERROR(_xlfn.XMATCH(VALUE(C1594),_xlpm.r),0)),IF(_xlpm.m=0,"",_xlpm.m+1))</f>
        <v/>
      </c>
      <c r="J1594" s="137" t="inlineStr">
        <is>
          <t>NetSuite</t>
        </is>
      </c>
    </row>
    <row r="1595">
      <c r="A1595" s="5" t="inlineStr">
        <is>
          <t>STETSON AMERICAS</t>
        </is>
      </c>
      <c r="B1595" s="5">
        <f>IF($I2="","",INDEX(Productos!$A:$A,$I2))</f>
        <v/>
      </c>
      <c r="C1595" s="134" t="inlineStr">
        <is>
          <t>SSRDEO-66428173</t>
        </is>
      </c>
      <c r="D1595" s="5">
        <f>IF($I2="","",INDEX(Productos!$B:$B,$I2))</f>
        <v/>
      </c>
      <c r="E1595" s="5">
        <f>IF($I2="","",INDEX(Productos!$H:$H,$I2))</f>
        <v/>
      </c>
      <c r="F1595" s="5">
        <f>IF($I2="","",INDEX(Productos!$I:$I,$I2))</f>
        <v/>
      </c>
      <c r="G1595" s="135" t="n">
        <v>-1</v>
      </c>
      <c r="H1595" s="5">
        <f>IF($I2="","",INDEX(Productos!$AG:$AG,$I2))</f>
        <v/>
      </c>
      <c r="I1595" s="136">
        <f>LET(_xlpm.r,Productos!$E$2:$E$2509,_xlpm.m,IFERROR(_xlfn.XMATCH(C1595,_xlpm.r),IFERROR(_xlfn.XMATCH(VALUE(C1595),_xlpm.r),0)),IF(_xlpm.m=0,"",_xlpm.m+1))</f>
        <v/>
      </c>
      <c r="J1595" s="137" t="inlineStr">
        <is>
          <t>NetSuite</t>
        </is>
      </c>
    </row>
    <row r="1596">
      <c r="A1596" s="5" t="inlineStr">
        <is>
          <t>STETSON AMERICAS</t>
        </is>
      </c>
      <c r="B1596" s="5">
        <f>IF($I2="","",INDEX(Productos!$A:$A,$I2))</f>
        <v/>
      </c>
      <c r="C1596" s="134" t="inlineStr">
        <is>
          <t>SSRNCHK01348167</t>
        </is>
      </c>
      <c r="D1596" s="5">
        <f>IF($I2="","",INDEX(Productos!$B:$B,$I2))</f>
        <v/>
      </c>
      <c r="E1596" s="5">
        <f>IF($I2="","",INDEX(Productos!$H:$H,$I2))</f>
        <v/>
      </c>
      <c r="F1596" s="5">
        <f>IF($I2="","",INDEX(Productos!$I:$I,$I2))</f>
        <v/>
      </c>
      <c r="G1596" s="135" t="n">
        <v>-1</v>
      </c>
      <c r="H1596" s="5">
        <f>IF($I2="","",INDEX(Productos!$AG:$AG,$I2))</f>
        <v/>
      </c>
      <c r="I1596" s="136">
        <f>LET(_xlpm.r,Productos!$E$2:$E$2509,_xlpm.m,IFERROR(_xlfn.XMATCH(C1596,_xlpm.r),IFERROR(_xlfn.XMATCH(VALUE(C1596),_xlpm.r),0)),IF(_xlpm.m=0,"",_xlpm.m+1))</f>
        <v/>
      </c>
      <c r="J1596" s="137" t="inlineStr">
        <is>
          <t>NetSuite</t>
        </is>
      </c>
    </row>
    <row r="1597">
      <c r="A1597" s="5" t="inlineStr">
        <is>
          <t>STETSON AMERICAS</t>
        </is>
      </c>
      <c r="B1597" s="5">
        <f>IF($I2="","",INDEX(Productos!$A:$A,$I2))</f>
        <v/>
      </c>
      <c r="C1597" s="134" t="inlineStr">
        <is>
          <t>SSRNCHK01348170</t>
        </is>
      </c>
      <c r="D1597" s="5">
        <f>IF($I2="","",INDEX(Productos!$B:$B,$I2))</f>
        <v/>
      </c>
      <c r="E1597" s="5">
        <f>IF($I2="","",INDEX(Productos!$H:$H,$I2))</f>
        <v/>
      </c>
      <c r="F1597" s="5">
        <f>IF($I2="","",INDEX(Productos!$I:$I,$I2))</f>
        <v/>
      </c>
      <c r="G1597" s="135" t="n">
        <v>-1</v>
      </c>
      <c r="H1597" s="5">
        <f>IF($I2="","",INDEX(Productos!$AG:$AG,$I2))</f>
        <v/>
      </c>
      <c r="I1597" s="136">
        <f>LET(_xlpm.r,Productos!$E$2:$E$2509,_xlpm.m,IFERROR(_xlfn.XMATCH(C1597,_xlpm.r),IFERROR(_xlfn.XMATCH(VALUE(C1597),_xlpm.r),0)),IF(_xlpm.m=0,"",_xlpm.m+1))</f>
        <v/>
      </c>
      <c r="J1597" s="137" t="inlineStr">
        <is>
          <t>NetSuite</t>
        </is>
      </c>
    </row>
    <row r="1598">
      <c r="A1598" s="5" t="inlineStr">
        <is>
          <t>STETSON AMERICAS</t>
        </is>
      </c>
      <c r="B1598" s="5">
        <f>IF($I2="","",INDEX(Productos!$A:$A,$I2))</f>
        <v/>
      </c>
      <c r="C1598" s="134" t="inlineStr">
        <is>
          <t>SSRNCHK01348172</t>
        </is>
      </c>
      <c r="D1598" s="5">
        <f>IF($I2="","",INDEX(Productos!$B:$B,$I2))</f>
        <v/>
      </c>
      <c r="E1598" s="5">
        <f>IF($I2="","",INDEX(Productos!$H:$H,$I2))</f>
        <v/>
      </c>
      <c r="F1598" s="5">
        <f>IF($I2="","",INDEX(Productos!$I:$I,$I2))</f>
        <v/>
      </c>
      <c r="G1598" s="135" t="n">
        <v>-1</v>
      </c>
      <c r="H1598" s="5">
        <f>IF($I2="","",INDEX(Productos!$AG:$AG,$I2))</f>
        <v/>
      </c>
      <c r="I1598" s="136">
        <f>LET(_xlpm.r,Productos!$E$2:$E$2509,_xlpm.m,IFERROR(_xlfn.XMATCH(C1598,_xlpm.r),IFERROR(_xlfn.XMATCH(VALUE(C1598),_xlpm.r),0)),IF(_xlpm.m=0,"",_xlpm.m+1))</f>
        <v/>
      </c>
      <c r="J1598" s="137" t="inlineStr">
        <is>
          <t>NetSuite</t>
        </is>
      </c>
    </row>
    <row r="1599">
      <c r="A1599" s="5" t="inlineStr">
        <is>
          <t>STETSON AMERICAS</t>
        </is>
      </c>
      <c r="B1599" s="5">
        <f>IF($I2="","",INDEX(Productos!$A:$A,$I2))</f>
        <v/>
      </c>
      <c r="C1599" s="134" t="inlineStr">
        <is>
          <t>SSRNCHK01348173</t>
        </is>
      </c>
      <c r="D1599" s="5">
        <f>IF($I2="","",INDEX(Productos!$B:$B,$I2))</f>
        <v/>
      </c>
      <c r="E1599" s="5">
        <f>IF($I2="","",INDEX(Productos!$H:$H,$I2))</f>
        <v/>
      </c>
      <c r="F1599" s="5">
        <f>IF($I2="","",INDEX(Productos!$I:$I,$I2))</f>
        <v/>
      </c>
      <c r="G1599" s="135" t="n">
        <v>-1</v>
      </c>
      <c r="H1599" s="5">
        <f>IF($I2="","",INDEX(Productos!$AG:$AG,$I2))</f>
        <v/>
      </c>
      <c r="I1599" s="136">
        <f>LET(_xlpm.r,Productos!$E$2:$E$2509,_xlpm.m,IFERROR(_xlfn.XMATCH(C1599,_xlpm.r),IFERROR(_xlfn.XMATCH(VALUE(C1599),_xlpm.r),0)),IF(_xlpm.m=0,"",_xlpm.m+1))</f>
        <v/>
      </c>
      <c r="J1599" s="137" t="inlineStr">
        <is>
          <t>NetSuite</t>
        </is>
      </c>
    </row>
    <row r="1600">
      <c r="A1600" s="5" t="inlineStr">
        <is>
          <t>STETSON AMERICAS</t>
        </is>
      </c>
      <c r="B1600" s="5">
        <f>IF($I2="","",INDEX(Productos!$A:$A,$I2))</f>
        <v/>
      </c>
      <c r="C1600" s="134" t="inlineStr">
        <is>
          <t>SSRNCHK01408167</t>
        </is>
      </c>
      <c r="D1600" s="5">
        <f>IF($I2="","",INDEX(Productos!$B:$B,$I2))</f>
        <v/>
      </c>
      <c r="E1600" s="5">
        <f>IF($I2="","",INDEX(Productos!$H:$H,$I2))</f>
        <v/>
      </c>
      <c r="F1600" s="5">
        <f>IF($I2="","",INDEX(Productos!$I:$I,$I2))</f>
        <v/>
      </c>
      <c r="G1600" s="135" t="n">
        <v>-1</v>
      </c>
      <c r="H1600" s="5">
        <f>IF($I2="","",INDEX(Productos!$AG:$AG,$I2))</f>
        <v/>
      </c>
      <c r="I1600" s="136">
        <f>LET(_xlpm.r,Productos!$E$2:$E$2509,_xlpm.m,IFERROR(_xlfn.XMATCH(C1600,_xlpm.r),IFERROR(_xlfn.XMATCH(VALUE(C1600),_xlpm.r),0)),IF(_xlpm.m=0,"",_xlpm.m+1))</f>
        <v/>
      </c>
      <c r="J1600" s="137" t="inlineStr">
        <is>
          <t>NetSuite</t>
        </is>
      </c>
    </row>
    <row r="1601">
      <c r="A1601" s="5" t="inlineStr">
        <is>
          <t>STETSON AMERICAS</t>
        </is>
      </c>
      <c r="B1601" s="5">
        <f>IF($I2="","",INDEX(Productos!$A:$A,$I2))</f>
        <v/>
      </c>
      <c r="C1601" s="134" t="inlineStr">
        <is>
          <t>SSRNCHK01408170</t>
        </is>
      </c>
      <c r="D1601" s="5">
        <f>IF($I2="","",INDEX(Productos!$B:$B,$I2))</f>
        <v/>
      </c>
      <c r="E1601" s="5">
        <f>IF($I2="","",INDEX(Productos!$H:$H,$I2))</f>
        <v/>
      </c>
      <c r="F1601" s="5">
        <f>IF($I2="","",INDEX(Productos!$I:$I,$I2))</f>
        <v/>
      </c>
      <c r="G1601" s="135" t="n">
        <v>-2</v>
      </c>
      <c r="H1601" s="5">
        <f>IF($I2="","",INDEX(Productos!$AG:$AG,$I2))</f>
        <v/>
      </c>
      <c r="I1601" s="136">
        <f>LET(_xlpm.r,Productos!$E$2:$E$2509,_xlpm.m,IFERROR(_xlfn.XMATCH(C1601,_xlpm.r),IFERROR(_xlfn.XMATCH(VALUE(C1601),_xlpm.r),0)),IF(_xlpm.m=0,"",_xlpm.m+1))</f>
        <v/>
      </c>
      <c r="J1601" s="137" t="inlineStr">
        <is>
          <t>NetSuite</t>
        </is>
      </c>
    </row>
    <row r="1602">
      <c r="A1602" s="5" t="inlineStr">
        <is>
          <t>STETSON AMERICAS</t>
        </is>
      </c>
      <c r="B1602" s="5">
        <f>IF($I2="","",INDEX(Productos!$A:$A,$I2))</f>
        <v/>
      </c>
      <c r="C1602" s="134" t="inlineStr">
        <is>
          <t>SSRNCHK01408171</t>
        </is>
      </c>
      <c r="D1602" s="5">
        <f>IF($I2="","",INDEX(Productos!$B:$B,$I2))</f>
        <v/>
      </c>
      <c r="E1602" s="5">
        <f>IF($I2="","",INDEX(Productos!$H:$H,$I2))</f>
        <v/>
      </c>
      <c r="F1602" s="5">
        <f>IF($I2="","",INDEX(Productos!$I:$I,$I2))</f>
        <v/>
      </c>
      <c r="G1602" s="135" t="n">
        <v>-2</v>
      </c>
      <c r="H1602" s="5">
        <f>IF($I2="","",INDEX(Productos!$AG:$AG,$I2))</f>
        <v/>
      </c>
      <c r="I1602" s="136">
        <f>LET(_xlpm.r,Productos!$E$2:$E$2509,_xlpm.m,IFERROR(_xlfn.XMATCH(C1602,_xlpm.r),IFERROR(_xlfn.XMATCH(VALUE(C1602),_xlpm.r),0)),IF(_xlpm.m=0,"",_xlpm.m+1))</f>
        <v/>
      </c>
      <c r="J1602" s="137" t="inlineStr">
        <is>
          <t>NetSuite</t>
        </is>
      </c>
    </row>
    <row r="1603">
      <c r="A1603" s="5" t="inlineStr">
        <is>
          <t>STETSON AMERICAS</t>
        </is>
      </c>
      <c r="B1603" s="5">
        <f>IF($I2="","",INDEX(Productos!$A:$A,$I2))</f>
        <v/>
      </c>
      <c r="C1603" s="134" t="inlineStr">
        <is>
          <t>SSRNCHK01408172</t>
        </is>
      </c>
      <c r="D1603" s="5">
        <f>IF($I2="","",INDEX(Productos!$B:$B,$I2))</f>
        <v/>
      </c>
      <c r="E1603" s="5">
        <f>IF($I2="","",INDEX(Productos!$H:$H,$I2))</f>
        <v/>
      </c>
      <c r="F1603" s="5">
        <f>IF($I2="","",INDEX(Productos!$I:$I,$I2))</f>
        <v/>
      </c>
      <c r="G1603" s="135" t="n">
        <v>-1</v>
      </c>
      <c r="H1603" s="5">
        <f>IF($I2="","",INDEX(Productos!$AG:$AG,$I2))</f>
        <v/>
      </c>
      <c r="I1603" s="136">
        <f>LET(_xlpm.r,Productos!$E$2:$E$2509,_xlpm.m,IFERROR(_xlfn.XMATCH(C1603,_xlpm.r),IFERROR(_xlfn.XMATCH(VALUE(C1603),_xlpm.r),0)),IF(_xlpm.m=0,"",_xlpm.m+1))</f>
        <v/>
      </c>
      <c r="J1603" s="137" t="inlineStr">
        <is>
          <t>NetSuite</t>
        </is>
      </c>
    </row>
    <row r="1604">
      <c r="A1604" s="5" t="inlineStr">
        <is>
          <t>STETSON AMERICAS</t>
        </is>
      </c>
      <c r="B1604" s="5">
        <f>IF($I2="","",INDEX(Productos!$A:$A,$I2))</f>
        <v/>
      </c>
      <c r="C1604" s="134" t="inlineStr">
        <is>
          <t>SSRNCHK01408173</t>
        </is>
      </c>
      <c r="D1604" s="5">
        <f>IF($I2="","",INDEX(Productos!$B:$B,$I2))</f>
        <v/>
      </c>
      <c r="E1604" s="5">
        <f>IF($I2="","",INDEX(Productos!$H:$H,$I2))</f>
        <v/>
      </c>
      <c r="F1604" s="5">
        <f>IF($I2="","",INDEX(Productos!$I:$I,$I2))</f>
        <v/>
      </c>
      <c r="G1604" s="135" t="n">
        <v>-1</v>
      </c>
      <c r="H1604" s="5">
        <f>IF($I2="","",INDEX(Productos!$AG:$AG,$I2))</f>
        <v/>
      </c>
      <c r="I1604" s="136">
        <f>LET(_xlpm.r,Productos!$E$2:$E$2509,_xlpm.m,IFERROR(_xlfn.XMATCH(C1604,_xlpm.r),IFERROR(_xlfn.XMATCH(VALUE(C1604),_xlpm.r),0)),IF(_xlpm.m=0,"",_xlpm.m+1))</f>
        <v/>
      </c>
      <c r="J1604" s="137" t="inlineStr">
        <is>
          <t>NetSuite</t>
        </is>
      </c>
    </row>
    <row r="1605">
      <c r="A1605" s="5" t="inlineStr">
        <is>
          <t>STETSON AMERICAS</t>
        </is>
      </c>
      <c r="B1605" s="5">
        <f>IF($I2="","",INDEX(Productos!$A:$A,$I2))</f>
        <v/>
      </c>
      <c r="C1605" s="134" t="inlineStr">
        <is>
          <t>SSROJR-B23481AL</t>
        </is>
      </c>
      <c r="D1605" s="5">
        <f>IF($I2="","",INDEX(Productos!$B:$B,$I2))</f>
        <v/>
      </c>
      <c r="E1605" s="5">
        <f>IF($I2="","",INDEX(Productos!$H:$H,$I2))</f>
        <v/>
      </c>
      <c r="F1605" s="5">
        <f>IF($I2="","",INDEX(Productos!$I:$I,$I2))</f>
        <v/>
      </c>
      <c r="G1605" s="135" t="n">
        <v>-3</v>
      </c>
      <c r="H1605" s="5">
        <f>IF($I2="","",INDEX(Productos!$AG:$AG,$I2))</f>
        <v/>
      </c>
      <c r="I1605" s="136">
        <f>LET(_xlpm.r,Productos!$E$2:$E$2509,_xlpm.m,IFERROR(_xlfn.XMATCH(C1605,_xlpm.r),IFERROR(_xlfn.XMATCH(VALUE(C1605),_xlpm.r),0)),IF(_xlpm.m=0,"",_xlpm.m+1))</f>
        <v/>
      </c>
      <c r="J1605" s="137" t="inlineStr">
        <is>
          <t>NetSuite</t>
        </is>
      </c>
    </row>
    <row r="1606">
      <c r="A1606" s="5" t="inlineStr">
        <is>
          <t>STETSON AMERICAS</t>
        </is>
      </c>
      <c r="B1606" s="5">
        <f>IF($I2="","",INDEX(Productos!$A:$A,$I2))</f>
        <v/>
      </c>
      <c r="C1606" s="134" t="inlineStr">
        <is>
          <t>SSSDMN-30428171</t>
        </is>
      </c>
      <c r="D1606" s="5">
        <f>IF($I2="","",INDEX(Productos!$B:$B,$I2))</f>
        <v/>
      </c>
      <c r="E1606" s="5">
        <f>IF($I2="","",INDEX(Productos!$H:$H,$I2))</f>
        <v/>
      </c>
      <c r="F1606" s="5">
        <f>IF($I2="","",INDEX(Productos!$I:$I,$I2))</f>
        <v/>
      </c>
      <c r="G1606" s="135" t="n">
        <v>2</v>
      </c>
      <c r="H1606" s="5">
        <f>IF($I2="","",INDEX(Productos!$AG:$AG,$I2))</f>
        <v/>
      </c>
      <c r="I1606" s="136">
        <f>LET(_xlpm.r,Productos!$E$2:$E$2509,_xlpm.m,IFERROR(_xlfn.XMATCH(C1606,_xlpm.r),IFERROR(_xlfn.XMATCH(VALUE(C1606),_xlpm.r),0)),IF(_xlpm.m=0,"",_xlpm.m+1))</f>
        <v/>
      </c>
      <c r="J1606" s="137" t="inlineStr">
        <is>
          <t>NetSuite</t>
        </is>
      </c>
    </row>
    <row r="1607">
      <c r="A1607" s="5" t="inlineStr">
        <is>
          <t>STETSON AMERICAS</t>
        </is>
      </c>
      <c r="B1607" s="5">
        <f>IF($I2="","",INDEX(Productos!$A:$A,$I2))</f>
        <v/>
      </c>
      <c r="C1607" s="134" t="inlineStr">
        <is>
          <t>SSSDMN-30428172</t>
        </is>
      </c>
      <c r="D1607" s="5">
        <f>IF($I2="","",INDEX(Productos!$B:$B,$I2))</f>
        <v/>
      </c>
      <c r="E1607" s="5">
        <f>IF($I2="","",INDEX(Productos!$H:$H,$I2))</f>
        <v/>
      </c>
      <c r="F1607" s="5">
        <f>IF($I2="","",INDEX(Productos!$I:$I,$I2))</f>
        <v/>
      </c>
      <c r="G1607" s="135" t="n">
        <v>1</v>
      </c>
      <c r="H1607" s="5">
        <f>IF($I2="","",INDEX(Productos!$AG:$AG,$I2))</f>
        <v/>
      </c>
      <c r="I1607" s="136">
        <f>LET(_xlpm.r,Productos!$E$2:$E$2509,_xlpm.m,IFERROR(_xlfn.XMATCH(C1607,_xlpm.r),IFERROR(_xlfn.XMATCH(VALUE(C1607),_xlpm.r),0)),IF(_xlpm.m=0,"",_xlpm.m+1))</f>
        <v/>
      </c>
      <c r="J1607" s="137" t="inlineStr">
        <is>
          <t>NetSuite</t>
        </is>
      </c>
    </row>
    <row r="1608">
      <c r="A1608" s="5" t="inlineStr">
        <is>
          <t>STETSON AMERICAS</t>
        </is>
      </c>
      <c r="B1608" s="5">
        <f>IF($I2="","",INDEX(Productos!$A:$A,$I2))</f>
        <v/>
      </c>
      <c r="C1608" s="134" t="inlineStr">
        <is>
          <t>SSSDMN-30428173</t>
        </is>
      </c>
      <c r="D1608" s="5">
        <f>IF($I2="","",INDEX(Productos!$B:$B,$I2))</f>
        <v/>
      </c>
      <c r="E1608" s="5">
        <f>IF($I2="","",INDEX(Productos!$H:$H,$I2))</f>
        <v/>
      </c>
      <c r="F1608" s="5">
        <f>IF($I2="","",INDEX(Productos!$I:$I,$I2))</f>
        <v/>
      </c>
      <c r="G1608" s="135" t="n">
        <v>-1</v>
      </c>
      <c r="H1608" s="5">
        <f>IF($I2="","",INDEX(Productos!$AG:$AG,$I2))</f>
        <v/>
      </c>
      <c r="I1608" s="136">
        <f>LET(_xlpm.r,Productos!$E$2:$E$2509,_xlpm.m,IFERROR(_xlfn.XMATCH(C1608,_xlpm.r),IFERROR(_xlfn.XMATCH(VALUE(C1608),_xlpm.r),0)),IF(_xlpm.m=0,"",_xlpm.m+1))</f>
        <v/>
      </c>
      <c r="J1608" s="137" t="inlineStr">
        <is>
          <t>NetSuite</t>
        </is>
      </c>
    </row>
    <row r="1609">
      <c r="A1609" s="5" t="inlineStr">
        <is>
          <t>STETSON AMERICAS</t>
        </is>
      </c>
      <c r="B1609" s="5">
        <f>IF($I2="","",INDEX(Productos!$A:$A,$I2))</f>
        <v/>
      </c>
      <c r="C1609" s="134" t="inlineStr">
        <is>
          <t>SSSTGJ-703681AL</t>
        </is>
      </c>
      <c r="D1609" s="5">
        <f>IF($I2="","",INDEX(Productos!$B:$B,$I2))</f>
        <v/>
      </c>
      <c r="E1609" s="5">
        <f>IF($I2="","",INDEX(Productos!$H:$H,$I2))</f>
        <v/>
      </c>
      <c r="F1609" s="5">
        <f>IF($I2="","",INDEX(Productos!$I:$I,$I2))</f>
        <v/>
      </c>
      <c r="G1609" s="135" t="n">
        <v>-2</v>
      </c>
      <c r="H1609" s="5">
        <f>IF($I2="","",INDEX(Productos!$AG:$AG,$I2))</f>
        <v/>
      </c>
      <c r="I1609" s="136">
        <f>LET(_xlpm.r,Productos!$E$2:$E$2509,_xlpm.m,IFERROR(_xlfn.XMATCH(C1609,_xlpm.r),IFERROR(_xlfn.XMATCH(VALUE(C1609),_xlpm.r),0)),IF(_xlpm.m=0,"",_xlpm.m+1))</f>
        <v/>
      </c>
      <c r="J1609" s="137" t="inlineStr">
        <is>
          <t>NetSuite</t>
        </is>
      </c>
    </row>
    <row r="1610">
      <c r="A1610" s="5" t="inlineStr">
        <is>
          <t>STETSON AMERICAS</t>
        </is>
      </c>
      <c r="B1610" s="5">
        <f>IF($I2="","",INDEX(Productos!$A:$A,$I2))</f>
        <v/>
      </c>
      <c r="C1610" s="134" t="inlineStr">
        <is>
          <t>SSSTPT-68448167</t>
        </is>
      </c>
      <c r="D1610" s="5">
        <f>IF($I2="","",INDEX(Productos!$B:$B,$I2))</f>
        <v/>
      </c>
      <c r="E1610" s="5">
        <f>IF($I2="","",INDEX(Productos!$H:$H,$I2))</f>
        <v/>
      </c>
      <c r="F1610" s="5">
        <f>IF($I2="","",INDEX(Productos!$I:$I,$I2))</f>
        <v/>
      </c>
      <c r="G1610" s="135" t="n">
        <v>-1</v>
      </c>
      <c r="H1610" s="5">
        <f>IF($I2="","",INDEX(Productos!$AG:$AG,$I2))</f>
        <v/>
      </c>
      <c r="I1610" s="136">
        <f>LET(_xlpm.r,Productos!$E$2:$E$2509,_xlpm.m,IFERROR(_xlfn.XMATCH(C1610,_xlpm.r),IFERROR(_xlfn.XMATCH(VALUE(C1610),_xlpm.r),0)),IF(_xlpm.m=0,"",_xlpm.m+1))</f>
        <v/>
      </c>
      <c r="J1610" s="137" t="inlineStr">
        <is>
          <t>NetSuite</t>
        </is>
      </c>
    </row>
    <row r="1611">
      <c r="A1611" s="5" t="inlineStr">
        <is>
          <t>STETSON AMERICAS</t>
        </is>
      </c>
      <c r="B1611" s="5">
        <f>IF($I2="","",INDEX(Productos!$A:$A,$I2))</f>
        <v/>
      </c>
      <c r="C1611" s="134" t="inlineStr">
        <is>
          <t>SSSTPT-68448171</t>
        </is>
      </c>
      <c r="D1611" s="5">
        <f>IF($I2="","",INDEX(Productos!$B:$B,$I2))</f>
        <v/>
      </c>
      <c r="E1611" s="5">
        <f>IF($I2="","",INDEX(Productos!$H:$H,$I2))</f>
        <v/>
      </c>
      <c r="F1611" s="5">
        <f>IF($I2="","",INDEX(Productos!$I:$I,$I2))</f>
        <v/>
      </c>
      <c r="G1611" s="135" t="n">
        <v>-2</v>
      </c>
      <c r="H1611" s="5">
        <f>IF($I2="","",INDEX(Productos!$AG:$AG,$I2))</f>
        <v/>
      </c>
      <c r="I1611" s="136">
        <f>LET(_xlpm.r,Productos!$E$2:$E$2509,_xlpm.m,IFERROR(_xlfn.XMATCH(C1611,_xlpm.r),IFERROR(_xlfn.XMATCH(VALUE(C1611),_xlpm.r),0)),IF(_xlpm.m=0,"",_xlpm.m+1))</f>
        <v/>
      </c>
      <c r="J1611" s="137" t="inlineStr">
        <is>
          <t>NetSuite</t>
        </is>
      </c>
    </row>
    <row r="1612">
      <c r="A1612" s="5" t="inlineStr">
        <is>
          <t>STETSON AMERICAS</t>
        </is>
      </c>
      <c r="B1612" s="5">
        <f>IF($I2="","",INDEX(Productos!$A:$A,$I2))</f>
        <v/>
      </c>
      <c r="C1612" s="134" t="inlineStr">
        <is>
          <t>SSSTPT-68448174</t>
        </is>
      </c>
      <c r="D1612" s="5">
        <f>IF($I2="","",INDEX(Productos!$B:$B,$I2))</f>
        <v/>
      </c>
      <c r="E1612" s="5">
        <f>IF($I2="","",INDEX(Productos!$H:$H,$I2))</f>
        <v/>
      </c>
      <c r="F1612" s="5">
        <f>IF($I2="","",INDEX(Productos!$I:$I,$I2))</f>
        <v/>
      </c>
      <c r="G1612" s="135" t="n">
        <v>-1</v>
      </c>
      <c r="H1612" s="5">
        <f>IF($I2="","",INDEX(Productos!$AG:$AG,$I2))</f>
        <v/>
      </c>
      <c r="I1612" s="136">
        <f>LET(_xlpm.r,Productos!$E$2:$E$2509,_xlpm.m,IFERROR(_xlfn.XMATCH(C1612,_xlpm.r),IFERROR(_xlfn.XMATCH(VALUE(C1612),_xlpm.r),0)),IF(_xlpm.m=0,"",_xlpm.m+1))</f>
        <v/>
      </c>
      <c r="J1612" s="137" t="inlineStr">
        <is>
          <t>NetSuite</t>
        </is>
      </c>
    </row>
    <row r="1613">
      <c r="A1613" s="5" t="inlineStr">
        <is>
          <t>STETSON AMERICAS</t>
        </is>
      </c>
      <c r="B1613" s="5">
        <f>IF($I2="","",INDEX(Productos!$A:$A,$I2))</f>
        <v/>
      </c>
      <c r="C1613" s="134" t="inlineStr">
        <is>
          <t>SSTHDR-WR42P171</t>
        </is>
      </c>
      <c r="D1613" s="5">
        <f>IF($I2="","",INDEX(Productos!$B:$B,$I2))</f>
        <v/>
      </c>
      <c r="E1613" s="5">
        <f>IF($I2="","",INDEX(Productos!$H:$H,$I2))</f>
        <v/>
      </c>
      <c r="F1613" s="5">
        <f>IF($I2="","",INDEX(Productos!$I:$I,$I2))</f>
        <v/>
      </c>
      <c r="G1613" s="135" t="n">
        <v>-1</v>
      </c>
      <c r="H1613" s="5">
        <f>IF($I2="","",INDEX(Productos!$AG:$AG,$I2))</f>
        <v/>
      </c>
      <c r="I1613" s="136">
        <f>LET(_xlpm.r,Productos!$E$2:$E$2509,_xlpm.m,IFERROR(_xlfn.XMATCH(C1613,_xlpm.r),IFERROR(_xlfn.XMATCH(VALUE(C1613),_xlpm.r),0)),IF(_xlpm.m=0,"",_xlpm.m+1))</f>
        <v/>
      </c>
      <c r="J1613" s="137" t="inlineStr">
        <is>
          <t>NetSuite</t>
        </is>
      </c>
    </row>
    <row r="1614">
      <c r="A1614" s="5" t="inlineStr">
        <is>
          <t>STETSON AMERICAS</t>
        </is>
      </c>
      <c r="B1614" s="5">
        <f>IF($I2="","",INDEX(Productos!$A:$A,$I2))</f>
        <v/>
      </c>
      <c r="C1614" s="134" t="inlineStr">
        <is>
          <t>SSTHDR-WR42P172</t>
        </is>
      </c>
      <c r="D1614" s="5">
        <f>IF($I2="","",INDEX(Productos!$B:$B,$I2))</f>
        <v/>
      </c>
      <c r="E1614" s="5">
        <f>IF($I2="","",INDEX(Productos!$H:$H,$I2))</f>
        <v/>
      </c>
      <c r="F1614" s="5">
        <f>IF($I2="","",INDEX(Productos!$I:$I,$I2))</f>
        <v/>
      </c>
      <c r="G1614" s="135" t="n">
        <v>-1</v>
      </c>
      <c r="H1614" s="5">
        <f>IF($I2="","",INDEX(Productos!$AG:$AG,$I2))</f>
        <v/>
      </c>
      <c r="I1614" s="136">
        <f>LET(_xlpm.r,Productos!$E$2:$E$2509,_xlpm.m,IFERROR(_xlfn.XMATCH(C1614,_xlpm.r),IFERROR(_xlfn.XMATCH(VALUE(C1614),_xlpm.r),0)),IF(_xlpm.m=0,"",_xlpm.m+1))</f>
        <v/>
      </c>
      <c r="J1614" s="137" t="inlineStr">
        <is>
          <t>NetSuite</t>
        </is>
      </c>
    </row>
    <row r="1615">
      <c r="A1615" s="5" t="inlineStr">
        <is>
          <t>STETSON AMERICAS</t>
        </is>
      </c>
      <c r="B1615" s="5">
        <f>IF($I2="","",INDEX(Productos!$A:$A,$I2))</f>
        <v/>
      </c>
      <c r="C1615" s="134" t="inlineStr">
        <is>
          <t>SSTHDR-WR42P174</t>
        </is>
      </c>
      <c r="D1615" s="5">
        <f>IF($I2="","",INDEX(Productos!$B:$B,$I2))</f>
        <v/>
      </c>
      <c r="E1615" s="5">
        <f>IF($I2="","",INDEX(Productos!$H:$H,$I2))</f>
        <v/>
      </c>
      <c r="F1615" s="5">
        <f>IF($I2="","",INDEX(Productos!$I:$I,$I2))</f>
        <v/>
      </c>
      <c r="G1615" s="135" t="n">
        <v>-1</v>
      </c>
      <c r="H1615" s="5">
        <f>IF($I2="","",INDEX(Productos!$AG:$AG,$I2))</f>
        <v/>
      </c>
      <c r="I1615" s="136">
        <f>LET(_xlpm.r,Productos!$E$2:$E$2509,_xlpm.m,IFERROR(_xlfn.XMATCH(C1615,_xlpm.r),IFERROR(_xlfn.XMATCH(VALUE(C1615),_xlpm.r),0)),IF(_xlpm.m=0,"",_xlpm.m+1))</f>
        <v/>
      </c>
      <c r="J1615" s="137" t="inlineStr">
        <is>
          <t>NetSuite</t>
        </is>
      </c>
    </row>
    <row r="1616">
      <c r="A1616" s="5" t="inlineStr">
        <is>
          <t>STETSON AMERICAS</t>
        </is>
      </c>
      <c r="B1616" s="5">
        <f>IF($I2="","",INDEX(Productos!$A:$A,$I2))</f>
        <v/>
      </c>
      <c r="C1616" s="134" t="inlineStr">
        <is>
          <t>ST-H101</t>
        </is>
      </c>
      <c r="D1616" s="5">
        <f>IF($I2="","",INDEX(Productos!$B:$B,$I2))</f>
        <v/>
      </c>
      <c r="E1616" s="5">
        <f>IF($I2="","",INDEX(Productos!$H:$H,$I2))</f>
        <v/>
      </c>
      <c r="F1616" s="5">
        <f>IF($I2="","",INDEX(Productos!$I:$I,$I2))</f>
        <v/>
      </c>
      <c r="G1616" s="135" t="n">
        <v>-1</v>
      </c>
      <c r="H1616" s="5">
        <f>IF($I2="","",INDEX(Productos!$AG:$AG,$I2))</f>
        <v/>
      </c>
      <c r="I1616" s="136">
        <f>LET(_xlpm.r,Productos!$E$2:$E$2509,_xlpm.m,IFERROR(_xlfn.XMATCH(C1616,_xlpm.r),IFERROR(_xlfn.XMATCH(VALUE(C1616),_xlpm.r),0)),IF(_xlpm.m=0,"",_xlpm.m+1))</f>
        <v/>
      </c>
      <c r="J1616" s="137" t="inlineStr">
        <is>
          <t>NetSuite</t>
        </is>
      </c>
    </row>
    <row r="1617">
      <c r="A1617" s="5" t="inlineStr">
        <is>
          <t>STETSON AMERICAS</t>
        </is>
      </c>
      <c r="B1617" s="5">
        <f>IF($I2="","",INDEX(Productos!$A:$A,$I2))</f>
        <v/>
      </c>
      <c r="C1617" s="134" t="inlineStr">
        <is>
          <t>ST-H102</t>
        </is>
      </c>
      <c r="D1617" s="5">
        <f>IF($I2="","",INDEX(Productos!$B:$B,$I2))</f>
        <v/>
      </c>
      <c r="E1617" s="5">
        <f>IF($I2="","",INDEX(Productos!$H:$H,$I2))</f>
        <v/>
      </c>
      <c r="F1617" s="5">
        <f>IF($I2="","",INDEX(Productos!$I:$I,$I2))</f>
        <v/>
      </c>
      <c r="G1617" s="135" t="n">
        <v>-1</v>
      </c>
      <c r="H1617" s="5">
        <f>IF($I2="","",INDEX(Productos!$AG:$AG,$I2))</f>
        <v/>
      </c>
      <c r="I1617" s="136">
        <f>LET(_xlpm.r,Productos!$E$2:$E$2509,_xlpm.m,IFERROR(_xlfn.XMATCH(C1617,_xlpm.r),IFERROR(_xlfn.XMATCH(VALUE(C1617),_xlpm.r),0)),IF(_xlpm.m=0,"",_xlpm.m+1))</f>
        <v/>
      </c>
      <c r="J1617" s="137" t="inlineStr">
        <is>
          <t>NetSuite</t>
        </is>
      </c>
    </row>
    <row r="1618">
      <c r="A1618" s="5" t="inlineStr">
        <is>
          <t>STETSON AMERICAS</t>
        </is>
      </c>
      <c r="B1618" s="5">
        <f>IF($I2="","",INDEX(Productos!$A:$A,$I2))</f>
        <v/>
      </c>
      <c r="C1618" s="134" t="inlineStr">
        <is>
          <t>ST-H103</t>
        </is>
      </c>
      <c r="D1618" s="5">
        <f>IF($I2="","",INDEX(Productos!$B:$B,$I2))</f>
        <v/>
      </c>
      <c r="E1618" s="5">
        <f>IF($I2="","",INDEX(Productos!$H:$H,$I2))</f>
        <v/>
      </c>
      <c r="F1618" s="5">
        <f>IF($I2="","",INDEX(Productos!$I:$I,$I2))</f>
        <v/>
      </c>
      <c r="G1618" s="135" t="n">
        <v>-3</v>
      </c>
      <c r="H1618" s="5">
        <f>IF($I2="","",INDEX(Productos!$AG:$AG,$I2))</f>
        <v/>
      </c>
      <c r="I1618" s="136">
        <f>LET(_xlpm.r,Productos!$E$2:$E$2509,_xlpm.m,IFERROR(_xlfn.XMATCH(C1618,_xlpm.r),IFERROR(_xlfn.XMATCH(VALUE(C1618),_xlpm.r),0)),IF(_xlpm.m=0,"",_xlpm.m+1))</f>
        <v/>
      </c>
      <c r="J1618" s="137" t="inlineStr">
        <is>
          <t>NetSuite</t>
        </is>
      </c>
    </row>
    <row r="1619">
      <c r="A1619" s="5" t="inlineStr">
        <is>
          <t>STETSON AMERICAS</t>
        </is>
      </c>
      <c r="B1619" s="5">
        <f>IF($I2="","",INDEX(Productos!$A:$A,$I2))</f>
        <v/>
      </c>
      <c r="C1619" s="134" t="inlineStr">
        <is>
          <t>ST-H105</t>
        </is>
      </c>
      <c r="D1619" s="5">
        <f>IF($I2="","",INDEX(Productos!$B:$B,$I2))</f>
        <v/>
      </c>
      <c r="E1619" s="5">
        <f>IF($I2="","",INDEX(Productos!$H:$H,$I2))</f>
        <v/>
      </c>
      <c r="F1619" s="5">
        <f>IF($I2="","",INDEX(Productos!$I:$I,$I2))</f>
        <v/>
      </c>
      <c r="G1619" s="135" t="n">
        <v>-5</v>
      </c>
      <c r="H1619" s="5">
        <f>IF($I2="","",INDEX(Productos!$AG:$AG,$I2))</f>
        <v/>
      </c>
      <c r="I1619" s="136">
        <f>LET(_xlpm.r,Productos!$E$2:$E$2509,_xlpm.m,IFERROR(_xlfn.XMATCH(C1619,_xlpm.r),IFERROR(_xlfn.XMATCH(VALUE(C1619),_xlpm.r),0)),IF(_xlpm.m=0,"",_xlpm.m+1))</f>
        <v/>
      </c>
      <c r="J1619" s="137" t="inlineStr">
        <is>
          <t>NetSuite</t>
        </is>
      </c>
    </row>
    <row r="1620">
      <c r="A1620" s="5" t="inlineStr">
        <is>
          <t>STETSON AMERICAS</t>
        </is>
      </c>
      <c r="B1620" s="5">
        <f>IF($I2="","",INDEX(Productos!$A:$A,$I2))</f>
        <v/>
      </c>
      <c r="C1620" s="134" t="inlineStr">
        <is>
          <t>ST-H107</t>
        </is>
      </c>
      <c r="D1620" s="5">
        <f>IF($I2="","",INDEX(Productos!$B:$B,$I2))</f>
        <v/>
      </c>
      <c r="E1620" s="5">
        <f>IF($I2="","",INDEX(Productos!$H:$H,$I2))</f>
        <v/>
      </c>
      <c r="F1620" s="5">
        <f>IF($I2="","",INDEX(Productos!$I:$I,$I2))</f>
        <v/>
      </c>
      <c r="G1620" s="135" t="n">
        <v>-3</v>
      </c>
      <c r="H1620" s="5">
        <f>IF($I2="","",INDEX(Productos!$AG:$AG,$I2))</f>
        <v/>
      </c>
      <c r="I1620" s="136">
        <f>LET(_xlpm.r,Productos!$E$2:$E$2509,_xlpm.m,IFERROR(_xlfn.XMATCH(C1620,_xlpm.r),IFERROR(_xlfn.XMATCH(VALUE(C1620),_xlpm.r),0)),IF(_xlpm.m=0,"",_xlpm.m+1))</f>
        <v/>
      </c>
      <c r="J1620" s="137" t="inlineStr">
        <is>
          <t>NetSuite</t>
        </is>
      </c>
    </row>
    <row r="1621">
      <c r="A1621" s="5" t="inlineStr">
        <is>
          <t>STETSON AMERICAS</t>
        </is>
      </c>
      <c r="B1621" s="5">
        <f>IF($I2="","",INDEX(Productos!$A:$A,$I2))</f>
        <v/>
      </c>
      <c r="C1621" s="134" t="inlineStr">
        <is>
          <t>ST-H114</t>
        </is>
      </c>
      <c r="D1621" s="5">
        <f>IF($I2="","",INDEX(Productos!$B:$B,$I2))</f>
        <v/>
      </c>
      <c r="E1621" s="5">
        <f>IF($I2="","",INDEX(Productos!$H:$H,$I2))</f>
        <v/>
      </c>
      <c r="F1621" s="5">
        <f>IF($I2="","",INDEX(Productos!$I:$I,$I2))</f>
        <v/>
      </c>
      <c r="G1621" s="135" t="n">
        <v>-3</v>
      </c>
      <c r="H1621" s="5">
        <f>IF($I2="","",INDEX(Productos!$AG:$AG,$I2))</f>
        <v/>
      </c>
      <c r="I1621" s="136">
        <f>LET(_xlpm.r,Productos!$E$2:$E$2509,_xlpm.m,IFERROR(_xlfn.XMATCH(C1621,_xlpm.r),IFERROR(_xlfn.XMATCH(VALUE(C1621),_xlpm.r),0)),IF(_xlpm.m=0,"",_xlpm.m+1))</f>
        <v/>
      </c>
      <c r="J1621" s="137" t="inlineStr">
        <is>
          <t>NetSuite</t>
        </is>
      </c>
    </row>
    <row r="1622">
      <c r="A1622" s="5" t="inlineStr">
        <is>
          <t>STETSON AMERICAS</t>
        </is>
      </c>
      <c r="B1622" s="5">
        <f>IF($I2="","",INDEX(Productos!$A:$A,$I2))</f>
        <v/>
      </c>
      <c r="C1622" s="134" t="inlineStr">
        <is>
          <t>ST-LT-001-FW25-AF-L</t>
        </is>
      </c>
      <c r="D1622" s="5">
        <f>IF($I2="","",INDEX(Productos!$B:$B,$I2))</f>
        <v/>
      </c>
      <c r="E1622" s="5">
        <f>IF($I2="","",INDEX(Productos!$H:$H,$I2))</f>
        <v/>
      </c>
      <c r="F1622" s="5">
        <f>IF($I2="","",INDEX(Productos!$I:$I,$I2))</f>
        <v/>
      </c>
      <c r="G1622" s="135" t="n">
        <v>-1</v>
      </c>
      <c r="H1622" s="5">
        <f>IF($I2="","",INDEX(Productos!$AG:$AG,$I2))</f>
        <v/>
      </c>
      <c r="I1622" s="136">
        <f>LET(_xlpm.r,Productos!$E$2:$E$2509,_xlpm.m,IFERROR(_xlfn.XMATCH(C1622,_xlpm.r),IFERROR(_xlfn.XMATCH(VALUE(C1622),_xlpm.r),0)),IF(_xlpm.m=0,"",_xlpm.m+1))</f>
        <v/>
      </c>
      <c r="J1622" s="137" t="inlineStr">
        <is>
          <t>NetSuite</t>
        </is>
      </c>
    </row>
    <row r="1623">
      <c r="A1623" s="5" t="inlineStr">
        <is>
          <t>STETSON AMERICAS</t>
        </is>
      </c>
      <c r="B1623" s="5">
        <f>IF($I2="","",INDEX(Productos!$A:$A,$I2))</f>
        <v/>
      </c>
      <c r="C1623" s="134" t="inlineStr">
        <is>
          <t>ST-LT-001-FW25-AF-M</t>
        </is>
      </c>
      <c r="D1623" s="5">
        <f>IF($I2="","",INDEX(Productos!$B:$B,$I2))</f>
        <v/>
      </c>
      <c r="E1623" s="5">
        <f>IF($I2="","",INDEX(Productos!$H:$H,$I2))</f>
        <v/>
      </c>
      <c r="F1623" s="5">
        <f>IF($I2="","",INDEX(Productos!$I:$I,$I2))</f>
        <v/>
      </c>
      <c r="G1623" s="135" t="n">
        <v>-3</v>
      </c>
      <c r="H1623" s="5">
        <f>IF($I2="","",INDEX(Productos!$AG:$AG,$I2))</f>
        <v/>
      </c>
      <c r="I1623" s="136">
        <f>LET(_xlpm.r,Productos!$E$2:$E$2509,_xlpm.m,IFERROR(_xlfn.XMATCH(C1623,_xlpm.r),IFERROR(_xlfn.XMATCH(VALUE(C1623),_xlpm.r),0)),IF(_xlpm.m=0,"",_xlpm.m+1))</f>
        <v/>
      </c>
      <c r="J1623" s="137" t="inlineStr">
        <is>
          <t>NetSuite</t>
        </is>
      </c>
    </row>
    <row r="1624">
      <c r="A1624" s="5" t="inlineStr">
        <is>
          <t>STETSON AMERICAS</t>
        </is>
      </c>
      <c r="B1624" s="5">
        <f>IF($I2="","",INDEX(Productos!$A:$A,$I2))</f>
        <v/>
      </c>
      <c r="C1624" s="134" t="inlineStr">
        <is>
          <t>ST-LT-001-FW25-AF-S</t>
        </is>
      </c>
      <c r="D1624" s="5">
        <f>IF($I2="","",INDEX(Productos!$B:$B,$I2))</f>
        <v/>
      </c>
      <c r="E1624" s="5">
        <f>IF($I2="","",INDEX(Productos!$H:$H,$I2))</f>
        <v/>
      </c>
      <c r="F1624" s="5">
        <f>IF($I2="","",INDEX(Productos!$I:$I,$I2))</f>
        <v/>
      </c>
      <c r="G1624" s="135" t="n">
        <v>-2</v>
      </c>
      <c r="H1624" s="5">
        <f>IF($I2="","",INDEX(Productos!$AG:$AG,$I2))</f>
        <v/>
      </c>
      <c r="I1624" s="136">
        <f>LET(_xlpm.r,Productos!$E$2:$E$2509,_xlpm.m,IFERROR(_xlfn.XMATCH(C1624,_xlpm.r),IFERROR(_xlfn.XMATCH(VALUE(C1624),_xlpm.r),0)),IF(_xlpm.m=0,"",_xlpm.m+1))</f>
        <v/>
      </c>
      <c r="J1624" s="137" t="inlineStr">
        <is>
          <t>NetSuite</t>
        </is>
      </c>
    </row>
    <row r="1625">
      <c r="A1625" s="5" t="inlineStr">
        <is>
          <t>STETSON AMERICAS</t>
        </is>
      </c>
      <c r="B1625" s="5">
        <f>IF($I2="","",INDEX(Productos!$A:$A,$I2))</f>
        <v/>
      </c>
      <c r="C1625" s="134" t="inlineStr">
        <is>
          <t>ST-LT-001-FW25-AF-XL</t>
        </is>
      </c>
      <c r="D1625" s="5">
        <f>IF($I2="","",INDEX(Productos!$B:$B,$I2))</f>
        <v/>
      </c>
      <c r="E1625" s="5">
        <f>IF($I2="","",INDEX(Productos!$H:$H,$I2))</f>
        <v/>
      </c>
      <c r="F1625" s="5">
        <f>IF($I2="","",INDEX(Productos!$I:$I,$I2))</f>
        <v/>
      </c>
      <c r="G1625" s="135" t="n">
        <v>-2</v>
      </c>
      <c r="H1625" s="5">
        <f>IF($I2="","",INDEX(Productos!$AG:$AG,$I2))</f>
        <v/>
      </c>
      <c r="I1625" s="136">
        <f>LET(_xlpm.r,Productos!$E$2:$E$2509,_xlpm.m,IFERROR(_xlfn.XMATCH(C1625,_xlpm.r),IFERROR(_xlfn.XMATCH(VALUE(C1625),_xlpm.r),0)),IF(_xlpm.m=0,"",_xlpm.m+1))</f>
        <v/>
      </c>
      <c r="J1625" s="137" t="inlineStr">
        <is>
          <t>NetSuite</t>
        </is>
      </c>
    </row>
    <row r="1626">
      <c r="A1626" s="5" t="inlineStr">
        <is>
          <t>STETSON AMERICAS</t>
        </is>
      </c>
      <c r="B1626" s="5">
        <f>IF($I2="","",INDEX(Productos!$A:$A,$I2))</f>
        <v/>
      </c>
      <c r="C1626" s="134" t="inlineStr">
        <is>
          <t>ST-LT-002-FW25-OR-L</t>
        </is>
      </c>
      <c r="D1626" s="5">
        <f>IF($I2="","",INDEX(Productos!$B:$B,$I2))</f>
        <v/>
      </c>
      <c r="E1626" s="5">
        <f>IF($I2="","",INDEX(Productos!$H:$H,$I2))</f>
        <v/>
      </c>
      <c r="F1626" s="5">
        <f>IF($I2="","",INDEX(Productos!$I:$I,$I2))</f>
        <v/>
      </c>
      <c r="G1626" s="135" t="n">
        <v>-1</v>
      </c>
      <c r="H1626" s="5">
        <f>IF($I2="","",INDEX(Productos!$AG:$AG,$I2))</f>
        <v/>
      </c>
      <c r="I1626" s="136">
        <f>LET(_xlpm.r,Productos!$E$2:$E$2509,_xlpm.m,IFERROR(_xlfn.XMATCH(C1626,_xlpm.r),IFERROR(_xlfn.XMATCH(VALUE(C1626),_xlpm.r),0)),IF(_xlpm.m=0,"",_xlpm.m+1))</f>
        <v/>
      </c>
      <c r="J1626" s="137" t="inlineStr">
        <is>
          <t>NetSuite</t>
        </is>
      </c>
    </row>
    <row r="1627">
      <c r="A1627" s="5" t="inlineStr">
        <is>
          <t>STETSON AMERICAS</t>
        </is>
      </c>
      <c r="B1627" s="5">
        <f>IF($I2="","",INDEX(Productos!$A:$A,$I2))</f>
        <v/>
      </c>
      <c r="C1627" s="134" t="inlineStr">
        <is>
          <t>ST-LT-002-FW25-OR-M</t>
        </is>
      </c>
      <c r="D1627" s="5">
        <f>IF($I2="","",INDEX(Productos!$B:$B,$I2))</f>
        <v/>
      </c>
      <c r="E1627" s="5">
        <f>IF($I2="","",INDEX(Productos!$H:$H,$I2))</f>
        <v/>
      </c>
      <c r="F1627" s="5">
        <f>IF($I2="","",INDEX(Productos!$I:$I,$I2))</f>
        <v/>
      </c>
      <c r="G1627" s="135" t="n">
        <v>-1</v>
      </c>
      <c r="H1627" s="5">
        <f>IF($I2="","",INDEX(Productos!$AG:$AG,$I2))</f>
        <v/>
      </c>
      <c r="I1627" s="136">
        <f>LET(_xlpm.r,Productos!$E$2:$E$2509,_xlpm.m,IFERROR(_xlfn.XMATCH(C1627,_xlpm.r),IFERROR(_xlfn.XMATCH(VALUE(C1627),_xlpm.r),0)),IF(_xlpm.m=0,"",_xlpm.m+1))</f>
        <v/>
      </c>
      <c r="J1627" s="137" t="inlineStr">
        <is>
          <t>NetSuite</t>
        </is>
      </c>
    </row>
    <row r="1628">
      <c r="A1628" s="5" t="inlineStr">
        <is>
          <t>STETSON AMERICAS</t>
        </is>
      </c>
      <c r="B1628" s="5">
        <f>IF($I2="","",INDEX(Productos!$A:$A,$I2))</f>
        <v/>
      </c>
      <c r="C1628" s="134" t="inlineStr">
        <is>
          <t>ST-LT-002-FW25-OR-XL</t>
        </is>
      </c>
      <c r="D1628" s="5">
        <f>IF($I2="","",INDEX(Productos!$B:$B,$I2))</f>
        <v/>
      </c>
      <c r="E1628" s="5">
        <f>IF($I2="","",INDEX(Productos!$H:$H,$I2))</f>
        <v/>
      </c>
      <c r="F1628" s="5">
        <f>IF($I2="","",INDEX(Productos!$I:$I,$I2))</f>
        <v/>
      </c>
      <c r="G1628" s="135" t="n">
        <v>-1</v>
      </c>
      <c r="H1628" s="5">
        <f>IF($I2="","",INDEX(Productos!$AG:$AG,$I2))</f>
        <v/>
      </c>
      <c r="I1628" s="136">
        <f>LET(_xlpm.r,Productos!$E$2:$E$2509,_xlpm.m,IFERROR(_xlfn.XMATCH(C1628,_xlpm.r),IFERROR(_xlfn.XMATCH(VALUE(C1628),_xlpm.r),0)),IF(_xlpm.m=0,"",_xlpm.m+1))</f>
        <v/>
      </c>
      <c r="J1628" s="137" t="inlineStr">
        <is>
          <t>NetSuite</t>
        </is>
      </c>
    </row>
    <row r="1629">
      <c r="A1629" s="5" t="inlineStr">
        <is>
          <t>STETSON AMERICAS</t>
        </is>
      </c>
      <c r="B1629" s="5">
        <f>IF($I2="","",INDEX(Productos!$A:$A,$I2))</f>
        <v/>
      </c>
      <c r="C1629" s="134" t="inlineStr">
        <is>
          <t>ST-LT-003-FW25-PN-2XL</t>
        </is>
      </c>
      <c r="D1629" s="5">
        <f>IF($I2="","",INDEX(Productos!$B:$B,$I2))</f>
        <v/>
      </c>
      <c r="E1629" s="5">
        <f>IF($I2="","",INDEX(Productos!$H:$H,$I2))</f>
        <v/>
      </c>
      <c r="F1629" s="5">
        <f>IF($I2="","",INDEX(Productos!$I:$I,$I2))</f>
        <v/>
      </c>
      <c r="G1629" s="135" t="n">
        <v>1</v>
      </c>
      <c r="H1629" s="5">
        <f>IF($I2="","",INDEX(Productos!$AG:$AG,$I2))</f>
        <v/>
      </c>
      <c r="I1629" s="136">
        <f>LET(_xlpm.r,Productos!$E$2:$E$2509,_xlpm.m,IFERROR(_xlfn.XMATCH(C1629,_xlpm.r),IFERROR(_xlfn.XMATCH(VALUE(C1629),_xlpm.r),0)),IF(_xlpm.m=0,"",_xlpm.m+1))</f>
        <v/>
      </c>
      <c r="J1629" s="137" t="inlineStr">
        <is>
          <t>NetSuite</t>
        </is>
      </c>
    </row>
    <row r="1630">
      <c r="A1630" s="5" t="inlineStr">
        <is>
          <t>STETSON AMERICAS</t>
        </is>
      </c>
      <c r="B1630" s="5">
        <f>IF($I2="","",INDEX(Productos!$A:$A,$I2))</f>
        <v/>
      </c>
      <c r="C1630" s="134" t="inlineStr">
        <is>
          <t>ST-LT-003-FW25-PN-L</t>
        </is>
      </c>
      <c r="D1630" s="5">
        <f>IF($I2="","",INDEX(Productos!$B:$B,$I2))</f>
        <v/>
      </c>
      <c r="E1630" s="5">
        <f>IF($I2="","",INDEX(Productos!$H:$H,$I2))</f>
        <v/>
      </c>
      <c r="F1630" s="5">
        <f>IF($I2="","",INDEX(Productos!$I:$I,$I2))</f>
        <v/>
      </c>
      <c r="G1630" s="135" t="n">
        <v>-4</v>
      </c>
      <c r="H1630" s="5">
        <f>IF($I2="","",INDEX(Productos!$AG:$AG,$I2))</f>
        <v/>
      </c>
      <c r="I1630" s="136">
        <f>LET(_xlpm.r,Productos!$E$2:$E$2509,_xlpm.m,IFERROR(_xlfn.XMATCH(C1630,_xlpm.r),IFERROR(_xlfn.XMATCH(VALUE(C1630),_xlpm.r),0)),IF(_xlpm.m=0,"",_xlpm.m+1))</f>
        <v/>
      </c>
      <c r="J1630" s="137" t="inlineStr">
        <is>
          <t>NetSuite</t>
        </is>
      </c>
    </row>
    <row r="1631">
      <c r="A1631" s="5" t="inlineStr">
        <is>
          <t>STETSON AMERICAS</t>
        </is>
      </c>
      <c r="B1631" s="5">
        <f>IF($I2="","",INDEX(Productos!$A:$A,$I2))</f>
        <v/>
      </c>
      <c r="C1631" s="134" t="inlineStr">
        <is>
          <t>ST-LT-003-FW25-PN-M</t>
        </is>
      </c>
      <c r="D1631" s="5">
        <f>IF($I2="","",INDEX(Productos!$B:$B,$I2))</f>
        <v/>
      </c>
      <c r="E1631" s="5">
        <f>IF($I2="","",INDEX(Productos!$H:$H,$I2))</f>
        <v/>
      </c>
      <c r="F1631" s="5">
        <f>IF($I2="","",INDEX(Productos!$I:$I,$I2))</f>
        <v/>
      </c>
      <c r="G1631" s="135" t="n">
        <v>-2</v>
      </c>
      <c r="H1631" s="5">
        <f>IF($I2="","",INDEX(Productos!$AG:$AG,$I2))</f>
        <v/>
      </c>
      <c r="I1631" s="136">
        <f>LET(_xlpm.r,Productos!$E$2:$E$2509,_xlpm.m,IFERROR(_xlfn.XMATCH(C1631,_xlpm.r),IFERROR(_xlfn.XMATCH(VALUE(C1631),_xlpm.r),0)),IF(_xlpm.m=0,"",_xlpm.m+1))</f>
        <v/>
      </c>
      <c r="J1631" s="137" t="inlineStr">
        <is>
          <t>NetSuite</t>
        </is>
      </c>
    </row>
    <row r="1632">
      <c r="A1632" s="5" t="inlineStr">
        <is>
          <t>STETSON AMERICAS</t>
        </is>
      </c>
      <c r="B1632" s="5">
        <f>IF($I2="","",INDEX(Productos!$A:$A,$I2))</f>
        <v/>
      </c>
      <c r="C1632" s="134" t="inlineStr">
        <is>
          <t>ST-LT-003-FW25-PN-S</t>
        </is>
      </c>
      <c r="D1632" s="5">
        <f>IF($I2="","",INDEX(Productos!$B:$B,$I2))</f>
        <v/>
      </c>
      <c r="E1632" s="5">
        <f>IF($I2="","",INDEX(Productos!$H:$H,$I2))</f>
        <v/>
      </c>
      <c r="F1632" s="5">
        <f>IF($I2="","",INDEX(Productos!$I:$I,$I2))</f>
        <v/>
      </c>
      <c r="G1632" s="135" t="n">
        <v>-2</v>
      </c>
      <c r="H1632" s="5">
        <f>IF($I2="","",INDEX(Productos!$AG:$AG,$I2))</f>
        <v/>
      </c>
      <c r="I1632" s="136">
        <f>LET(_xlpm.r,Productos!$E$2:$E$2509,_xlpm.m,IFERROR(_xlfn.XMATCH(C1632,_xlpm.r),IFERROR(_xlfn.XMATCH(VALUE(C1632),_xlpm.r),0)),IF(_xlpm.m=0,"",_xlpm.m+1))</f>
        <v/>
      </c>
      <c r="J1632" s="137" t="inlineStr">
        <is>
          <t>NetSuite</t>
        </is>
      </c>
    </row>
    <row r="1633">
      <c r="A1633" s="5" t="inlineStr">
        <is>
          <t>STETSON AMERICAS</t>
        </is>
      </c>
      <c r="B1633" s="5">
        <f>IF($I2="","",INDEX(Productos!$A:$A,$I2))</f>
        <v/>
      </c>
      <c r="C1633" s="134" t="inlineStr">
        <is>
          <t>ST-LT-003-FW25-PN-XL</t>
        </is>
      </c>
      <c r="D1633" s="5">
        <f>IF($I2="","",INDEX(Productos!$B:$B,$I2))</f>
        <v/>
      </c>
      <c r="E1633" s="5">
        <f>IF($I2="","",INDEX(Productos!$H:$H,$I2))</f>
        <v/>
      </c>
      <c r="F1633" s="5">
        <f>IF($I2="","",INDEX(Productos!$I:$I,$I2))</f>
        <v/>
      </c>
      <c r="G1633" s="135" t="n">
        <v>-2</v>
      </c>
      <c r="H1633" s="5">
        <f>IF($I2="","",INDEX(Productos!$AG:$AG,$I2))</f>
        <v/>
      </c>
      <c r="I1633" s="136">
        <f>LET(_xlpm.r,Productos!$E$2:$E$2509,_xlpm.m,IFERROR(_xlfn.XMATCH(C1633,_xlpm.r),IFERROR(_xlfn.XMATCH(VALUE(C1633),_xlpm.r),0)),IF(_xlpm.m=0,"",_xlpm.m+1))</f>
        <v/>
      </c>
      <c r="J1633" s="137" t="inlineStr">
        <is>
          <t>NetSuite</t>
        </is>
      </c>
    </row>
    <row r="1634">
      <c r="A1634" s="5" t="inlineStr">
        <is>
          <t>STETSON AMERICAS</t>
        </is>
      </c>
      <c r="B1634" s="5">
        <f>IF($I2="","",INDEX(Productos!$A:$A,$I2))</f>
        <v/>
      </c>
      <c r="C1634" s="134" t="inlineStr">
        <is>
          <t>ST-LT-004-FW25-TR-L</t>
        </is>
      </c>
      <c r="D1634" s="5">
        <f>IF($I2="","",INDEX(Productos!$B:$B,$I2))</f>
        <v/>
      </c>
      <c r="E1634" s="5">
        <f>IF($I2="","",INDEX(Productos!$H:$H,$I2))</f>
        <v/>
      </c>
      <c r="F1634" s="5">
        <f>IF($I2="","",INDEX(Productos!$I:$I,$I2))</f>
        <v/>
      </c>
      <c r="G1634" s="135" t="n">
        <v>-4</v>
      </c>
      <c r="H1634" s="5">
        <f>IF($I2="","",INDEX(Productos!$AG:$AG,$I2))</f>
        <v/>
      </c>
      <c r="I1634" s="136">
        <f>LET(_xlpm.r,Productos!$E$2:$E$2509,_xlpm.m,IFERROR(_xlfn.XMATCH(C1634,_xlpm.r),IFERROR(_xlfn.XMATCH(VALUE(C1634),_xlpm.r),0)),IF(_xlpm.m=0,"",_xlpm.m+1))</f>
        <v/>
      </c>
      <c r="J1634" s="137" t="inlineStr">
        <is>
          <t>NetSuite</t>
        </is>
      </c>
    </row>
    <row r="1635">
      <c r="A1635" s="5" t="inlineStr">
        <is>
          <t>STETSON AMERICAS</t>
        </is>
      </c>
      <c r="B1635" s="5">
        <f>IF($I2="","",INDEX(Productos!$A:$A,$I2))</f>
        <v/>
      </c>
      <c r="C1635" s="134" t="inlineStr">
        <is>
          <t>ST-LT-004-FW25-TR-M</t>
        </is>
      </c>
      <c r="D1635" s="5">
        <f>IF($I2="","",INDEX(Productos!$B:$B,$I2))</f>
        <v/>
      </c>
      <c r="E1635" s="5">
        <f>IF($I2="","",INDEX(Productos!$H:$H,$I2))</f>
        <v/>
      </c>
      <c r="F1635" s="5">
        <f>IF($I2="","",INDEX(Productos!$I:$I,$I2))</f>
        <v/>
      </c>
      <c r="G1635" s="135" t="n">
        <v>-3</v>
      </c>
      <c r="H1635" s="5">
        <f>IF($I2="","",INDEX(Productos!$AG:$AG,$I2))</f>
        <v/>
      </c>
      <c r="I1635" s="136">
        <f>LET(_xlpm.r,Productos!$E$2:$E$2509,_xlpm.m,IFERROR(_xlfn.XMATCH(C1635,_xlpm.r),IFERROR(_xlfn.XMATCH(VALUE(C1635),_xlpm.r),0)),IF(_xlpm.m=0,"",_xlpm.m+1))</f>
        <v/>
      </c>
      <c r="J1635" s="137" t="inlineStr">
        <is>
          <t>NetSuite</t>
        </is>
      </c>
    </row>
    <row r="1636">
      <c r="A1636" s="5" t="inlineStr">
        <is>
          <t>STETSON AMERICAS</t>
        </is>
      </c>
      <c r="B1636" s="5">
        <f>IF($I2="","",INDEX(Productos!$A:$A,$I2))</f>
        <v/>
      </c>
      <c r="C1636" s="134" t="inlineStr">
        <is>
          <t>ST-LT-004-FW25-TR-S</t>
        </is>
      </c>
      <c r="D1636" s="5">
        <f>IF($I2="","",INDEX(Productos!$B:$B,$I2))</f>
        <v/>
      </c>
      <c r="E1636" s="5">
        <f>IF($I2="","",INDEX(Productos!$H:$H,$I2))</f>
        <v/>
      </c>
      <c r="F1636" s="5">
        <f>IF($I2="","",INDEX(Productos!$I:$I,$I2))</f>
        <v/>
      </c>
      <c r="G1636" s="135" t="n">
        <v>-3</v>
      </c>
      <c r="H1636" s="5">
        <f>IF($I2="","",INDEX(Productos!$AG:$AG,$I2))</f>
        <v/>
      </c>
      <c r="I1636" s="136">
        <f>LET(_xlpm.r,Productos!$E$2:$E$2509,_xlpm.m,IFERROR(_xlfn.XMATCH(C1636,_xlpm.r),IFERROR(_xlfn.XMATCH(VALUE(C1636),_xlpm.r),0)),IF(_xlpm.m=0,"",_xlpm.m+1))</f>
        <v/>
      </c>
      <c r="J1636" s="137" t="inlineStr">
        <is>
          <t>NetSuite</t>
        </is>
      </c>
    </row>
    <row r="1637">
      <c r="A1637" s="5" t="inlineStr">
        <is>
          <t>STETSON AMERICAS</t>
        </is>
      </c>
      <c r="B1637" s="5">
        <f>IF($I2="","",INDEX(Productos!$A:$A,$I2))</f>
        <v/>
      </c>
      <c r="C1637" s="134" t="inlineStr">
        <is>
          <t>ST-LT-004-FW25-TR-XL</t>
        </is>
      </c>
      <c r="D1637" s="5">
        <f>IF($I2="","",INDEX(Productos!$B:$B,$I2))</f>
        <v/>
      </c>
      <c r="E1637" s="5">
        <f>IF($I2="","",INDEX(Productos!$H:$H,$I2))</f>
        <v/>
      </c>
      <c r="F1637" s="5">
        <f>IF($I2="","",INDEX(Productos!$I:$I,$I2))</f>
        <v/>
      </c>
      <c r="G1637" s="135" t="n">
        <v>-3</v>
      </c>
      <c r="H1637" s="5">
        <f>IF($I2="","",INDEX(Productos!$AG:$AG,$I2))</f>
        <v/>
      </c>
      <c r="I1637" s="136">
        <f>LET(_xlpm.r,Productos!$E$2:$E$2509,_xlpm.m,IFERROR(_xlfn.XMATCH(C1637,_xlpm.r),IFERROR(_xlfn.XMATCH(VALUE(C1637),_xlpm.r),0)),IF(_xlpm.m=0,"",_xlpm.m+1))</f>
        <v/>
      </c>
      <c r="J1637" s="137" t="inlineStr">
        <is>
          <t>NetSuite</t>
        </is>
      </c>
    </row>
    <row r="1638">
      <c r="A1638" s="5" t="inlineStr">
        <is>
          <t>STETSON AMERICAS</t>
        </is>
      </c>
      <c r="B1638" s="5">
        <f>IF($I2="","",INDEX(Productos!$A:$A,$I2))</f>
        <v/>
      </c>
      <c r="C1638" s="134" t="inlineStr">
        <is>
          <t>ST-TI-001-FW25-TC-L</t>
        </is>
      </c>
      <c r="D1638" s="5">
        <f>IF($I2="","",INDEX(Productos!$B:$B,$I2))</f>
        <v/>
      </c>
      <c r="E1638" s="5">
        <f>IF($I2="","",INDEX(Productos!$H:$H,$I2))</f>
        <v/>
      </c>
      <c r="F1638" s="5">
        <f>IF($I2="","",INDEX(Productos!$I:$I,$I2))</f>
        <v/>
      </c>
      <c r="G1638" s="135" t="n">
        <v>-2</v>
      </c>
      <c r="H1638" s="5">
        <f>IF($I2="","",INDEX(Productos!$AG:$AG,$I2))</f>
        <v/>
      </c>
      <c r="I1638" s="136">
        <f>LET(_xlpm.r,Productos!$E$2:$E$2509,_xlpm.m,IFERROR(_xlfn.XMATCH(C1638,_xlpm.r),IFERROR(_xlfn.XMATCH(VALUE(C1638),_xlpm.r),0)),IF(_xlpm.m=0,"",_xlpm.m+1))</f>
        <v/>
      </c>
      <c r="J1638" s="137" t="inlineStr">
        <is>
          <t>NetSuite</t>
        </is>
      </c>
    </row>
    <row r="1639">
      <c r="A1639" s="5" t="inlineStr">
        <is>
          <t>STETSON AMERICAS</t>
        </is>
      </c>
      <c r="B1639" s="5">
        <f>IF($I2="","",INDEX(Productos!$A:$A,$I2))</f>
        <v/>
      </c>
      <c r="C1639" s="134" t="inlineStr">
        <is>
          <t>ST-TI-001-FW25-TC-M</t>
        </is>
      </c>
      <c r="D1639" s="5">
        <f>IF($I2="","",INDEX(Productos!$B:$B,$I2))</f>
        <v/>
      </c>
      <c r="E1639" s="5">
        <f>IF($I2="","",INDEX(Productos!$H:$H,$I2))</f>
        <v/>
      </c>
      <c r="F1639" s="5">
        <f>IF($I2="","",INDEX(Productos!$I:$I,$I2))</f>
        <v/>
      </c>
      <c r="G1639" s="135" t="n">
        <v>-3</v>
      </c>
      <c r="H1639" s="5">
        <f>IF($I2="","",INDEX(Productos!$AG:$AG,$I2))</f>
        <v/>
      </c>
      <c r="I1639" s="136">
        <f>LET(_xlpm.r,Productos!$E$2:$E$2509,_xlpm.m,IFERROR(_xlfn.XMATCH(C1639,_xlpm.r),IFERROR(_xlfn.XMATCH(VALUE(C1639),_xlpm.r),0)),IF(_xlpm.m=0,"",_xlpm.m+1))</f>
        <v/>
      </c>
      <c r="J1639" s="137" t="inlineStr">
        <is>
          <t>NetSuite</t>
        </is>
      </c>
    </row>
    <row r="1640">
      <c r="A1640" s="5" t="inlineStr">
        <is>
          <t>STETSON AMERICAS</t>
        </is>
      </c>
      <c r="B1640" s="5">
        <f>IF($I2="","",INDEX(Productos!$A:$A,$I2))</f>
        <v/>
      </c>
      <c r="C1640" s="134" t="inlineStr">
        <is>
          <t>ST-TI-001-FW25-TC-S</t>
        </is>
      </c>
      <c r="D1640" s="5">
        <f>IF($I2="","",INDEX(Productos!$B:$B,$I2))</f>
        <v/>
      </c>
      <c r="E1640" s="5">
        <f>IF($I2="","",INDEX(Productos!$H:$H,$I2))</f>
        <v/>
      </c>
      <c r="F1640" s="5">
        <f>IF($I2="","",INDEX(Productos!$I:$I,$I2))</f>
        <v/>
      </c>
      <c r="G1640" s="135" t="n">
        <v>-3</v>
      </c>
      <c r="H1640" s="5">
        <f>IF($I2="","",INDEX(Productos!$AG:$AG,$I2))</f>
        <v/>
      </c>
      <c r="I1640" s="136">
        <f>LET(_xlpm.r,Productos!$E$2:$E$2509,_xlpm.m,IFERROR(_xlfn.XMATCH(C1640,_xlpm.r),IFERROR(_xlfn.XMATCH(VALUE(C1640),_xlpm.r),0)),IF(_xlpm.m=0,"",_xlpm.m+1))</f>
        <v/>
      </c>
      <c r="J1640" s="137" t="inlineStr">
        <is>
          <t>NetSuite</t>
        </is>
      </c>
    </row>
    <row r="1641">
      <c r="A1641" s="5" t="inlineStr">
        <is>
          <t>STETSON AMERICAS</t>
        </is>
      </c>
      <c r="B1641" s="5">
        <f>IF($I2="","",INDEX(Productos!$A:$A,$I2))</f>
        <v/>
      </c>
      <c r="C1641" s="134" t="inlineStr">
        <is>
          <t>ST-TI-002-FW25-AF-2XL</t>
        </is>
      </c>
      <c r="D1641" s="5">
        <f>IF($I2="","",INDEX(Productos!$B:$B,$I2))</f>
        <v/>
      </c>
      <c r="E1641" s="5">
        <f>IF($I2="","",INDEX(Productos!$H:$H,$I2))</f>
        <v/>
      </c>
      <c r="F1641" s="5">
        <f>IF($I2="","",INDEX(Productos!$I:$I,$I2))</f>
        <v/>
      </c>
      <c r="G1641" s="135" t="n">
        <v>-1</v>
      </c>
      <c r="H1641" s="5">
        <f>IF($I2="","",INDEX(Productos!$AG:$AG,$I2))</f>
        <v/>
      </c>
      <c r="I1641" s="136">
        <f>LET(_xlpm.r,Productos!$E$2:$E$2509,_xlpm.m,IFERROR(_xlfn.XMATCH(C1641,_xlpm.r),IFERROR(_xlfn.XMATCH(VALUE(C1641),_xlpm.r),0)),IF(_xlpm.m=0,"",_xlpm.m+1))</f>
        <v/>
      </c>
      <c r="J1641" s="137" t="inlineStr">
        <is>
          <t>NetSuite</t>
        </is>
      </c>
    </row>
    <row r="1642">
      <c r="A1642" s="5" t="inlineStr">
        <is>
          <t>STETSON AMERICAS</t>
        </is>
      </c>
      <c r="B1642" s="5">
        <f>IF($I2="","",INDEX(Productos!$A:$A,$I2))</f>
        <v/>
      </c>
      <c r="C1642" s="134" t="inlineStr">
        <is>
          <t>ST-TI-002-FW25-AF-L</t>
        </is>
      </c>
      <c r="D1642" s="5">
        <f>IF($I2="","",INDEX(Productos!$B:$B,$I2))</f>
        <v/>
      </c>
      <c r="E1642" s="5">
        <f>IF($I2="","",INDEX(Productos!$H:$H,$I2))</f>
        <v/>
      </c>
      <c r="F1642" s="5">
        <f>IF($I2="","",INDEX(Productos!$I:$I,$I2))</f>
        <v/>
      </c>
      <c r="G1642" s="135" t="n">
        <v>-4</v>
      </c>
      <c r="H1642" s="5">
        <f>IF($I2="","",INDEX(Productos!$AG:$AG,$I2))</f>
        <v/>
      </c>
      <c r="I1642" s="136">
        <f>LET(_xlpm.r,Productos!$E$2:$E$2509,_xlpm.m,IFERROR(_xlfn.XMATCH(C1642,_xlpm.r),IFERROR(_xlfn.XMATCH(VALUE(C1642),_xlpm.r),0)),IF(_xlpm.m=0,"",_xlpm.m+1))</f>
        <v/>
      </c>
      <c r="J1642" s="137" t="inlineStr">
        <is>
          <t>NetSuite</t>
        </is>
      </c>
    </row>
    <row r="1643">
      <c r="A1643" s="5" t="inlineStr">
        <is>
          <t>STETSON AMERICAS</t>
        </is>
      </c>
      <c r="B1643" s="5">
        <f>IF($I2="","",INDEX(Productos!$A:$A,$I2))</f>
        <v/>
      </c>
      <c r="C1643" s="134" t="inlineStr">
        <is>
          <t>ST-TI-002-FW25-AF-M</t>
        </is>
      </c>
      <c r="D1643" s="5">
        <f>IF($I2="","",INDEX(Productos!$B:$B,$I2))</f>
        <v/>
      </c>
      <c r="E1643" s="5">
        <f>IF($I2="","",INDEX(Productos!$H:$H,$I2))</f>
        <v/>
      </c>
      <c r="F1643" s="5">
        <f>IF($I2="","",INDEX(Productos!$I:$I,$I2))</f>
        <v/>
      </c>
      <c r="G1643" s="135" t="n">
        <v>-3</v>
      </c>
      <c r="H1643" s="5">
        <f>IF($I2="","",INDEX(Productos!$AG:$AG,$I2))</f>
        <v/>
      </c>
      <c r="I1643" s="136">
        <f>LET(_xlpm.r,Productos!$E$2:$E$2509,_xlpm.m,IFERROR(_xlfn.XMATCH(C1643,_xlpm.r),IFERROR(_xlfn.XMATCH(VALUE(C1643),_xlpm.r),0)),IF(_xlpm.m=0,"",_xlpm.m+1))</f>
        <v/>
      </c>
      <c r="J1643" s="137" t="inlineStr">
        <is>
          <t>NetSuite</t>
        </is>
      </c>
    </row>
    <row r="1644">
      <c r="A1644" s="5" t="inlineStr">
        <is>
          <t>STETSON AMERICAS</t>
        </is>
      </c>
      <c r="B1644" s="5">
        <f>IF($I2="","",INDEX(Productos!$A:$A,$I2))</f>
        <v/>
      </c>
      <c r="C1644" s="134" t="inlineStr">
        <is>
          <t>ST-TI-002-FW25-AF-S</t>
        </is>
      </c>
      <c r="D1644" s="5">
        <f>IF($I2="","",INDEX(Productos!$B:$B,$I2))</f>
        <v/>
      </c>
      <c r="E1644" s="5">
        <f>IF($I2="","",INDEX(Productos!$H:$H,$I2))</f>
        <v/>
      </c>
      <c r="F1644" s="5">
        <f>IF($I2="","",INDEX(Productos!$I:$I,$I2))</f>
        <v/>
      </c>
      <c r="G1644" s="135" t="n">
        <v>-3</v>
      </c>
      <c r="H1644" s="5">
        <f>IF($I2="","",INDEX(Productos!$AG:$AG,$I2))</f>
        <v/>
      </c>
      <c r="I1644" s="136">
        <f>LET(_xlpm.r,Productos!$E$2:$E$2509,_xlpm.m,IFERROR(_xlfn.XMATCH(C1644,_xlpm.r),IFERROR(_xlfn.XMATCH(VALUE(C1644),_xlpm.r),0)),IF(_xlpm.m=0,"",_xlpm.m+1))</f>
        <v/>
      </c>
      <c r="J1644" s="137" t="inlineStr">
        <is>
          <t>NetSuite</t>
        </is>
      </c>
    </row>
    <row r="1645">
      <c r="A1645" s="5" t="inlineStr">
        <is>
          <t>STETSON AMERICAS</t>
        </is>
      </c>
      <c r="B1645" s="5">
        <f>IF($I2="","",INDEX(Productos!$A:$A,$I2))</f>
        <v/>
      </c>
      <c r="C1645" s="134" t="inlineStr">
        <is>
          <t>ST-TI-003-FW25-OR-2XL</t>
        </is>
      </c>
      <c r="D1645" s="5">
        <f>IF($I2="","",INDEX(Productos!$B:$B,$I2))</f>
        <v/>
      </c>
      <c r="E1645" s="5">
        <f>IF($I2="","",INDEX(Productos!$H:$H,$I2))</f>
        <v/>
      </c>
      <c r="F1645" s="5">
        <f>IF($I2="","",INDEX(Productos!$I:$I,$I2))</f>
        <v/>
      </c>
      <c r="G1645" s="135" t="n">
        <v>-1</v>
      </c>
      <c r="H1645" s="5">
        <f>IF($I2="","",INDEX(Productos!$AG:$AG,$I2))</f>
        <v/>
      </c>
      <c r="I1645" s="136">
        <f>LET(_xlpm.r,Productos!$E$2:$E$2509,_xlpm.m,IFERROR(_xlfn.XMATCH(C1645,_xlpm.r),IFERROR(_xlfn.XMATCH(VALUE(C1645),_xlpm.r),0)),IF(_xlpm.m=0,"",_xlpm.m+1))</f>
        <v/>
      </c>
      <c r="J1645" s="137" t="inlineStr">
        <is>
          <t>NetSuite</t>
        </is>
      </c>
    </row>
    <row r="1646">
      <c r="A1646" s="5" t="inlineStr">
        <is>
          <t>STETSON AMERICAS</t>
        </is>
      </c>
      <c r="B1646" s="5">
        <f>IF($I2="","",INDEX(Productos!$A:$A,$I2))</f>
        <v/>
      </c>
      <c r="C1646" s="134" t="inlineStr">
        <is>
          <t>ST-TI-003-FW25-OR-L</t>
        </is>
      </c>
      <c r="D1646" s="5">
        <f>IF($I2="","",INDEX(Productos!$B:$B,$I2))</f>
        <v/>
      </c>
      <c r="E1646" s="5">
        <f>IF($I2="","",INDEX(Productos!$H:$H,$I2))</f>
        <v/>
      </c>
      <c r="F1646" s="5">
        <f>IF($I2="","",INDEX(Productos!$I:$I,$I2))</f>
        <v/>
      </c>
      <c r="G1646" s="135" t="n">
        <v>-3</v>
      </c>
      <c r="H1646" s="5">
        <f>IF($I2="","",INDEX(Productos!$AG:$AG,$I2))</f>
        <v/>
      </c>
      <c r="I1646" s="136">
        <f>LET(_xlpm.r,Productos!$E$2:$E$2509,_xlpm.m,IFERROR(_xlfn.XMATCH(C1646,_xlpm.r),IFERROR(_xlfn.XMATCH(VALUE(C1646),_xlpm.r),0)),IF(_xlpm.m=0,"",_xlpm.m+1))</f>
        <v/>
      </c>
      <c r="J1646" s="137" t="inlineStr">
        <is>
          <t>NetSuite</t>
        </is>
      </c>
    </row>
    <row r="1647">
      <c r="A1647" s="5" t="inlineStr">
        <is>
          <t>STETSON AMERICAS</t>
        </is>
      </c>
      <c r="B1647" s="5">
        <f>IF($I2="","",INDEX(Productos!$A:$A,$I2))</f>
        <v/>
      </c>
      <c r="C1647" s="134" t="inlineStr">
        <is>
          <t>ST-TI-003-FW25-OR-M</t>
        </is>
      </c>
      <c r="D1647" s="5">
        <f>IF($I2="","",INDEX(Productos!$B:$B,$I2))</f>
        <v/>
      </c>
      <c r="E1647" s="5">
        <f>IF($I2="","",INDEX(Productos!$H:$H,$I2))</f>
        <v/>
      </c>
      <c r="F1647" s="5">
        <f>IF($I2="","",INDEX(Productos!$I:$I,$I2))</f>
        <v/>
      </c>
      <c r="G1647" s="135" t="n">
        <v>-4</v>
      </c>
      <c r="H1647" s="5">
        <f>IF($I2="","",INDEX(Productos!$AG:$AG,$I2))</f>
        <v/>
      </c>
      <c r="I1647" s="136">
        <f>LET(_xlpm.r,Productos!$E$2:$E$2509,_xlpm.m,IFERROR(_xlfn.XMATCH(C1647,_xlpm.r),IFERROR(_xlfn.XMATCH(VALUE(C1647),_xlpm.r),0)),IF(_xlpm.m=0,"",_xlpm.m+1))</f>
        <v/>
      </c>
      <c r="J1647" s="137" t="inlineStr">
        <is>
          <t>NetSuite</t>
        </is>
      </c>
    </row>
    <row r="1648">
      <c r="A1648" s="5" t="inlineStr">
        <is>
          <t>STETSON AMERICAS</t>
        </is>
      </c>
      <c r="B1648" s="5">
        <f>IF($I2="","",INDEX(Productos!$A:$A,$I2))</f>
        <v/>
      </c>
      <c r="C1648" s="134" t="inlineStr">
        <is>
          <t>ST-TI-003-FW25-OR-S</t>
        </is>
      </c>
      <c r="D1648" s="5">
        <f>IF($I2="","",INDEX(Productos!$B:$B,$I2))</f>
        <v/>
      </c>
      <c r="E1648" s="5">
        <f>IF($I2="","",INDEX(Productos!$H:$H,$I2))</f>
        <v/>
      </c>
      <c r="F1648" s="5">
        <f>IF($I2="","",INDEX(Productos!$I:$I,$I2))</f>
        <v/>
      </c>
      <c r="G1648" s="135" t="n">
        <v>-2</v>
      </c>
      <c r="H1648" s="5">
        <f>IF($I2="","",INDEX(Productos!$AG:$AG,$I2))</f>
        <v/>
      </c>
      <c r="I1648" s="136">
        <f>LET(_xlpm.r,Productos!$E$2:$E$2509,_xlpm.m,IFERROR(_xlfn.XMATCH(C1648,_xlpm.r),IFERROR(_xlfn.XMATCH(VALUE(C1648),_xlpm.r),0)),IF(_xlpm.m=0,"",_xlpm.m+1))</f>
        <v/>
      </c>
      <c r="J1648" s="137" t="inlineStr">
        <is>
          <t>NetSuite</t>
        </is>
      </c>
    </row>
    <row r="1649">
      <c r="A1649" s="5" t="inlineStr">
        <is>
          <t>STETSON AMERICAS</t>
        </is>
      </c>
      <c r="B1649" s="5">
        <f>IF($I2="","",INDEX(Productos!$A:$A,$I2))</f>
        <v/>
      </c>
      <c r="C1649" s="134" t="inlineStr">
        <is>
          <t>ST-VR-P-001-FW25-HE-M</t>
        </is>
      </c>
      <c r="D1649" s="5">
        <f>IF($I2="","",INDEX(Productos!$B:$B,$I2))</f>
        <v/>
      </c>
      <c r="E1649" s="5">
        <f>IF($I2="","",INDEX(Productos!$H:$H,$I2))</f>
        <v/>
      </c>
      <c r="F1649" s="5">
        <f>IF($I2="","",INDEX(Productos!$I:$I,$I2))</f>
        <v/>
      </c>
      <c r="G1649" s="135" t="n">
        <v>-1</v>
      </c>
      <c r="H1649" s="5">
        <f>IF($I2="","",INDEX(Productos!$AG:$AG,$I2))</f>
        <v/>
      </c>
      <c r="I1649" s="136">
        <f>LET(_xlpm.r,Productos!$E$2:$E$2509,_xlpm.m,IFERROR(_xlfn.XMATCH(C1649,_xlpm.r),IFERROR(_xlfn.XMATCH(VALUE(C1649),_xlpm.r),0)),IF(_xlpm.m=0,"",_xlpm.m+1))</f>
        <v/>
      </c>
      <c r="J1649" s="137" t="inlineStr">
        <is>
          <t>NetSuite</t>
        </is>
      </c>
    </row>
    <row r="1650">
      <c r="A1650" s="5" t="inlineStr">
        <is>
          <t>STETSON AMERICAS</t>
        </is>
      </c>
      <c r="B1650" s="5">
        <f>IF($I2="","",INDEX(Productos!$A:$A,$I2))</f>
        <v/>
      </c>
      <c r="C1650" s="134" t="inlineStr">
        <is>
          <t>ST-VR-P-001-FW25-HE-S</t>
        </is>
      </c>
      <c r="D1650" s="5">
        <f>IF($I2="","",INDEX(Productos!$B:$B,$I2))</f>
        <v/>
      </c>
      <c r="E1650" s="5">
        <f>IF($I2="","",INDEX(Productos!$H:$H,$I2))</f>
        <v/>
      </c>
      <c r="F1650" s="5">
        <f>IF($I2="","",INDEX(Productos!$I:$I,$I2))</f>
        <v/>
      </c>
      <c r="G1650" s="135" t="n">
        <v>-1</v>
      </c>
      <c r="H1650" s="5">
        <f>IF($I2="","",INDEX(Productos!$AG:$AG,$I2))</f>
        <v/>
      </c>
      <c r="I1650" s="136">
        <f>LET(_xlpm.r,Productos!$E$2:$E$2509,_xlpm.m,IFERROR(_xlfn.XMATCH(C1650,_xlpm.r),IFERROR(_xlfn.XMATCH(VALUE(C1650),_xlpm.r),0)),IF(_xlpm.m=0,"",_xlpm.m+1))</f>
        <v/>
      </c>
      <c r="J1650" s="137" t="inlineStr">
        <is>
          <t>NetSuite</t>
        </is>
      </c>
    </row>
    <row r="1651">
      <c r="A1651" s="5" t="inlineStr">
        <is>
          <t>STETSON AMERICAS</t>
        </is>
      </c>
      <c r="B1651" s="5">
        <f>IF($I2="","",INDEX(Productos!$A:$A,$I2))</f>
        <v/>
      </c>
      <c r="C1651" s="134" t="inlineStr">
        <is>
          <t>ST-VR-P-001-FW25-HE-XL</t>
        </is>
      </c>
      <c r="D1651" s="5">
        <f>IF($I2="","",INDEX(Productos!$B:$B,$I2))</f>
        <v/>
      </c>
      <c r="E1651" s="5">
        <f>IF($I2="","",INDEX(Productos!$H:$H,$I2))</f>
        <v/>
      </c>
      <c r="F1651" s="5">
        <f>IF($I2="","",INDEX(Productos!$I:$I,$I2))</f>
        <v/>
      </c>
      <c r="G1651" s="135" t="n">
        <v>-1</v>
      </c>
      <c r="H1651" s="5">
        <f>IF($I2="","",INDEX(Productos!$AG:$AG,$I2))</f>
        <v/>
      </c>
      <c r="I1651" s="136">
        <f>LET(_xlpm.r,Productos!$E$2:$E$2509,_xlpm.m,IFERROR(_xlfn.XMATCH(C1651,_xlpm.r),IFERROR(_xlfn.XMATCH(VALUE(C1651),_xlpm.r),0)),IF(_xlpm.m=0,"",_xlpm.m+1))</f>
        <v/>
      </c>
      <c r="J1651" s="137" t="inlineStr">
        <is>
          <t>NetSuite</t>
        </is>
      </c>
    </row>
    <row r="1652">
      <c r="A1652" s="5" t="inlineStr">
        <is>
          <t>STETSON AMERICAS</t>
        </is>
      </c>
      <c r="B1652" s="5">
        <f>IF($I2="","",INDEX(Productos!$A:$A,$I2))</f>
        <v/>
      </c>
      <c r="C1652" s="134" t="inlineStr">
        <is>
          <t>ST-VR-P-002-FW25-RP-L</t>
        </is>
      </c>
      <c r="D1652" s="5">
        <f>IF($I2="","",INDEX(Productos!$B:$B,$I2))</f>
        <v/>
      </c>
      <c r="E1652" s="5">
        <f>IF($I2="","",INDEX(Productos!$H:$H,$I2))</f>
        <v/>
      </c>
      <c r="F1652" s="5">
        <f>IF($I2="","",INDEX(Productos!$I:$I,$I2))</f>
        <v/>
      </c>
      <c r="G1652" s="135" t="n">
        <v>-6</v>
      </c>
      <c r="H1652" s="5">
        <f>IF($I2="","",INDEX(Productos!$AG:$AG,$I2))</f>
        <v/>
      </c>
      <c r="I1652" s="136">
        <f>LET(_xlpm.r,Productos!$E$2:$E$2509,_xlpm.m,IFERROR(_xlfn.XMATCH(C1652,_xlpm.r),IFERROR(_xlfn.XMATCH(VALUE(C1652),_xlpm.r),0)),IF(_xlpm.m=0,"",_xlpm.m+1))</f>
        <v/>
      </c>
      <c r="J1652" s="137" t="inlineStr">
        <is>
          <t>NetSuite</t>
        </is>
      </c>
    </row>
    <row r="1653">
      <c r="A1653" s="5" t="inlineStr">
        <is>
          <t>STETSON AMERICAS</t>
        </is>
      </c>
      <c r="B1653" s="5">
        <f>IF($I2="","",INDEX(Productos!$A:$A,$I2))</f>
        <v/>
      </c>
      <c r="C1653" s="134" t="inlineStr">
        <is>
          <t>ST-VR-P-002-FW25-RP-M</t>
        </is>
      </c>
      <c r="D1653" s="5">
        <f>IF($I2="","",INDEX(Productos!$B:$B,$I2))</f>
        <v/>
      </c>
      <c r="E1653" s="5">
        <f>IF($I2="","",INDEX(Productos!$H:$H,$I2))</f>
        <v/>
      </c>
      <c r="F1653" s="5">
        <f>IF($I2="","",INDEX(Productos!$I:$I,$I2))</f>
        <v/>
      </c>
      <c r="G1653" s="135" t="n">
        <v>-4</v>
      </c>
      <c r="H1653" s="5">
        <f>IF($I2="","",INDEX(Productos!$AG:$AG,$I2))</f>
        <v/>
      </c>
      <c r="I1653" s="136">
        <f>LET(_xlpm.r,Productos!$E$2:$E$2509,_xlpm.m,IFERROR(_xlfn.XMATCH(C1653,_xlpm.r),IFERROR(_xlfn.XMATCH(VALUE(C1653),_xlpm.r),0)),IF(_xlpm.m=0,"",_xlpm.m+1))</f>
        <v/>
      </c>
      <c r="J1653" s="137" t="inlineStr">
        <is>
          <t>NetSuite</t>
        </is>
      </c>
    </row>
    <row r="1654">
      <c r="A1654" s="5" t="inlineStr">
        <is>
          <t>STETSON AMERICAS</t>
        </is>
      </c>
      <c r="B1654" s="5">
        <f>IF($I2="","",INDEX(Productos!$A:$A,$I2))</f>
        <v/>
      </c>
      <c r="C1654" s="134" t="inlineStr">
        <is>
          <t>ST-VR-P-002-FW25-RP-S</t>
        </is>
      </c>
      <c r="D1654" s="5">
        <f>IF($I2="","",INDEX(Productos!$B:$B,$I2))</f>
        <v/>
      </c>
      <c r="E1654" s="5">
        <f>IF($I2="","",INDEX(Productos!$H:$H,$I2))</f>
        <v/>
      </c>
      <c r="F1654" s="5">
        <f>IF($I2="","",INDEX(Productos!$I:$I,$I2))</f>
        <v/>
      </c>
      <c r="G1654" s="135" t="n">
        <v>-3</v>
      </c>
      <c r="H1654" s="5">
        <f>IF($I2="","",INDEX(Productos!$AG:$AG,$I2))</f>
        <v/>
      </c>
      <c r="I1654" s="136">
        <f>LET(_xlpm.r,Productos!$E$2:$E$2509,_xlpm.m,IFERROR(_xlfn.XMATCH(C1654,_xlpm.r),IFERROR(_xlfn.XMATCH(VALUE(C1654),_xlpm.r),0)),IF(_xlpm.m=0,"",_xlpm.m+1))</f>
        <v/>
      </c>
      <c r="J1654" s="137" t="inlineStr">
        <is>
          <t>NetSuite</t>
        </is>
      </c>
    </row>
    <row r="1655">
      <c r="A1655" s="5" t="inlineStr">
        <is>
          <t>STETSON AMERICAS</t>
        </is>
      </c>
      <c r="B1655" s="5">
        <f>IF($I2="","",INDEX(Productos!$A:$A,$I2))</f>
        <v/>
      </c>
      <c r="C1655" s="134" t="inlineStr">
        <is>
          <t>ST-VR-P-003-FW25-QP-2XL</t>
        </is>
      </c>
      <c r="D1655" s="5">
        <f>IF($I2="","",INDEX(Productos!$B:$B,$I2))</f>
        <v/>
      </c>
      <c r="E1655" s="5">
        <f>IF($I2="","",INDEX(Productos!$H:$H,$I2))</f>
        <v/>
      </c>
      <c r="F1655" s="5">
        <f>IF($I2="","",INDEX(Productos!$I:$I,$I2))</f>
        <v/>
      </c>
      <c r="G1655" s="135" t="n">
        <v>-3</v>
      </c>
      <c r="H1655" s="5">
        <f>IF($I2="","",INDEX(Productos!$AG:$AG,$I2))</f>
        <v/>
      </c>
      <c r="I1655" s="136">
        <f>LET(_xlpm.r,Productos!$E$2:$E$2509,_xlpm.m,IFERROR(_xlfn.XMATCH(C1655,_xlpm.r),IFERROR(_xlfn.XMATCH(VALUE(C1655),_xlpm.r),0)),IF(_xlpm.m=0,"",_xlpm.m+1))</f>
        <v/>
      </c>
      <c r="J1655" s="137" t="inlineStr">
        <is>
          <t>NetSuite</t>
        </is>
      </c>
    </row>
    <row r="1656">
      <c r="A1656" s="5" t="inlineStr">
        <is>
          <t>STETSON AMERICAS</t>
        </is>
      </c>
      <c r="B1656" s="5">
        <f>IF($I2="","",INDEX(Productos!$A:$A,$I2))</f>
        <v/>
      </c>
      <c r="C1656" s="134" t="inlineStr">
        <is>
          <t>ST-VR-P-003-FW25-QP-M</t>
        </is>
      </c>
      <c r="D1656" s="5">
        <f>IF($I2="","",INDEX(Productos!$B:$B,$I2))</f>
        <v/>
      </c>
      <c r="E1656" s="5">
        <f>IF($I2="","",INDEX(Productos!$H:$H,$I2))</f>
        <v/>
      </c>
      <c r="F1656" s="5">
        <f>IF($I2="","",INDEX(Productos!$I:$I,$I2))</f>
        <v/>
      </c>
      <c r="G1656" s="135" t="n">
        <v>-1</v>
      </c>
      <c r="H1656" s="5">
        <f>IF($I2="","",INDEX(Productos!$AG:$AG,$I2))</f>
        <v/>
      </c>
      <c r="I1656" s="136">
        <f>LET(_xlpm.r,Productos!$E$2:$E$2509,_xlpm.m,IFERROR(_xlfn.XMATCH(C1656,_xlpm.r),IFERROR(_xlfn.XMATCH(VALUE(C1656),_xlpm.r),0)),IF(_xlpm.m=0,"",_xlpm.m+1))</f>
        <v/>
      </c>
      <c r="J1656" s="137" t="inlineStr">
        <is>
          <t>NetSuite</t>
        </is>
      </c>
    </row>
    <row r="1657">
      <c r="A1657" s="5" t="inlineStr">
        <is>
          <t>STETSON AMERICAS</t>
        </is>
      </c>
      <c r="B1657" s="5">
        <f>IF($I2="","",INDEX(Productos!$A:$A,$I2))</f>
        <v/>
      </c>
      <c r="C1657" s="134" t="inlineStr">
        <is>
          <t>ST-VR-P-003-FW25-QP-XL</t>
        </is>
      </c>
      <c r="D1657" s="5">
        <f>IF($I2="","",INDEX(Productos!$B:$B,$I2))</f>
        <v/>
      </c>
      <c r="E1657" s="5">
        <f>IF($I2="","",INDEX(Productos!$H:$H,$I2))</f>
        <v/>
      </c>
      <c r="F1657" s="5">
        <f>IF($I2="","",INDEX(Productos!$I:$I,$I2))</f>
        <v/>
      </c>
      <c r="G1657" s="135" t="n">
        <v>-2</v>
      </c>
      <c r="H1657" s="5">
        <f>IF($I2="","",INDEX(Productos!$AG:$AG,$I2))</f>
        <v/>
      </c>
      <c r="I1657" s="136">
        <f>LET(_xlpm.r,Productos!$E$2:$E$2509,_xlpm.m,IFERROR(_xlfn.XMATCH(C1657,_xlpm.r),IFERROR(_xlfn.XMATCH(VALUE(C1657),_xlpm.r),0)),IF(_xlpm.m=0,"",_xlpm.m+1))</f>
        <v/>
      </c>
      <c r="J1657" s="137" t="inlineStr">
        <is>
          <t>NetSuite</t>
        </is>
      </c>
    </row>
    <row r="1658">
      <c r="A1658" s="5" t="inlineStr">
        <is>
          <t>STETSON AMERICAS</t>
        </is>
      </c>
      <c r="B1658" s="5">
        <f>IF($I2="","",INDEX(Productos!$A:$A,$I2))</f>
        <v/>
      </c>
      <c r="C1658" s="134" t="inlineStr">
        <is>
          <t>ST-VR-P-004-FW25-TD-2XL</t>
        </is>
      </c>
      <c r="D1658" s="5">
        <f>IF($I2="","",INDEX(Productos!$B:$B,$I2))</f>
        <v/>
      </c>
      <c r="E1658" s="5">
        <f>IF($I2="","",INDEX(Productos!$H:$H,$I2))</f>
        <v/>
      </c>
      <c r="F1658" s="5">
        <f>IF($I2="","",INDEX(Productos!$I:$I,$I2))</f>
        <v/>
      </c>
      <c r="G1658" s="135" t="n">
        <v>-1</v>
      </c>
      <c r="H1658" s="5">
        <f>IF($I2="","",INDEX(Productos!$AG:$AG,$I2))</f>
        <v/>
      </c>
      <c r="I1658" s="136">
        <f>LET(_xlpm.r,Productos!$E$2:$E$2509,_xlpm.m,IFERROR(_xlfn.XMATCH(C1658,_xlpm.r),IFERROR(_xlfn.XMATCH(VALUE(C1658),_xlpm.r),0)),IF(_xlpm.m=0,"",_xlpm.m+1))</f>
        <v/>
      </c>
      <c r="J1658" s="137" t="inlineStr">
        <is>
          <t>NetSuite</t>
        </is>
      </c>
    </row>
    <row r="1659">
      <c r="A1659" s="5" t="inlineStr">
        <is>
          <t>STETSON AMERICAS</t>
        </is>
      </c>
      <c r="B1659" s="5">
        <f>IF($I2="","",INDEX(Productos!$A:$A,$I2))</f>
        <v/>
      </c>
      <c r="C1659" s="134" t="inlineStr">
        <is>
          <t>ST-VR-P-004-FW25-TD-M</t>
        </is>
      </c>
      <c r="D1659" s="5">
        <f>IF($I2="","",INDEX(Productos!$B:$B,$I2))</f>
        <v/>
      </c>
      <c r="E1659" s="5">
        <f>IF($I2="","",INDEX(Productos!$H:$H,$I2))</f>
        <v/>
      </c>
      <c r="F1659" s="5">
        <f>IF($I2="","",INDEX(Productos!$I:$I,$I2))</f>
        <v/>
      </c>
      <c r="G1659" s="135" t="n">
        <v>-1</v>
      </c>
      <c r="H1659" s="5">
        <f>IF($I2="","",INDEX(Productos!$AG:$AG,$I2))</f>
        <v/>
      </c>
      <c r="I1659" s="136">
        <f>LET(_xlpm.r,Productos!$E$2:$E$2509,_xlpm.m,IFERROR(_xlfn.XMATCH(C1659,_xlpm.r),IFERROR(_xlfn.XMATCH(VALUE(C1659),_xlpm.r),0)),IF(_xlpm.m=0,"",_xlpm.m+1))</f>
        <v/>
      </c>
      <c r="J1659" s="137" t="inlineStr">
        <is>
          <t>NetSuite</t>
        </is>
      </c>
    </row>
    <row r="1660">
      <c r="A1660" s="5" t="inlineStr">
        <is>
          <t>STETSON AMERICAS</t>
        </is>
      </c>
      <c r="B1660" s="5">
        <f>IF($I2="","",INDEX(Productos!$A:$A,$I2))</f>
        <v/>
      </c>
      <c r="C1660" s="134" t="inlineStr">
        <is>
          <t>ST-VR-P-004-FW25-TD-S</t>
        </is>
      </c>
      <c r="D1660" s="5">
        <f>IF($I2="","",INDEX(Productos!$B:$B,$I2))</f>
        <v/>
      </c>
      <c r="E1660" s="5">
        <f>IF($I2="","",INDEX(Productos!$H:$H,$I2))</f>
        <v/>
      </c>
      <c r="F1660" s="5">
        <f>IF($I2="","",INDEX(Productos!$I:$I,$I2))</f>
        <v/>
      </c>
      <c r="G1660" s="135" t="n">
        <v>-1</v>
      </c>
      <c r="H1660" s="5">
        <f>IF($I2="","",INDEX(Productos!$AG:$AG,$I2))</f>
        <v/>
      </c>
      <c r="I1660" s="136">
        <f>LET(_xlpm.r,Productos!$E$2:$E$2509,_xlpm.m,IFERROR(_xlfn.XMATCH(C1660,_xlpm.r),IFERROR(_xlfn.XMATCH(VALUE(C1660),_xlpm.r),0)),IF(_xlpm.m=0,"",_xlpm.m+1))</f>
        <v/>
      </c>
      <c r="J1660" s="137" t="inlineStr">
        <is>
          <t>NetSuite</t>
        </is>
      </c>
    </row>
    <row r="1661">
      <c r="A1661" s="5" t="inlineStr">
        <is>
          <t>STETSON AMERICAS</t>
        </is>
      </c>
      <c r="B1661" s="5">
        <f>IF($I2="","",INDEX(Productos!$A:$A,$I2))</f>
        <v/>
      </c>
      <c r="C1661" s="134" t="inlineStr">
        <is>
          <t>ST-VR-P-004-FW25-TD-XL</t>
        </is>
      </c>
      <c r="D1661" s="5">
        <f>IF($I2="","",INDEX(Productos!$B:$B,$I2))</f>
        <v/>
      </c>
      <c r="E1661" s="5">
        <f>IF($I2="","",INDEX(Productos!$H:$H,$I2))</f>
        <v/>
      </c>
      <c r="F1661" s="5">
        <f>IF($I2="","",INDEX(Productos!$I:$I,$I2))</f>
        <v/>
      </c>
      <c r="G1661" s="135" t="n">
        <v>-1</v>
      </c>
      <c r="H1661" s="5">
        <f>IF($I2="","",INDEX(Productos!$AG:$AG,$I2))</f>
        <v/>
      </c>
      <c r="I1661" s="136">
        <f>LET(_xlpm.r,Productos!$E$2:$E$2509,_xlpm.m,IFERROR(_xlfn.XMATCH(C1661,_xlpm.r),IFERROR(_xlfn.XMATCH(VALUE(C1661),_xlpm.r),0)),IF(_xlpm.m=0,"",_xlpm.m+1))</f>
        <v/>
      </c>
      <c r="J1661" s="137" t="inlineStr">
        <is>
          <t>NetSuite</t>
        </is>
      </c>
    </row>
    <row r="1662">
      <c r="A1662" s="5" t="inlineStr">
        <is>
          <t>STETSON AMERICAS</t>
        </is>
      </c>
      <c r="B1662" s="5">
        <f>IF($I2="","",INDEX(Productos!$A:$A,$I2))</f>
        <v/>
      </c>
      <c r="C1662" s="134" t="inlineStr">
        <is>
          <t>ST-VR-P-006-FW25-PD-L</t>
        </is>
      </c>
      <c r="D1662" s="5">
        <f>IF($I2="","",INDEX(Productos!$B:$B,$I2))</f>
        <v/>
      </c>
      <c r="E1662" s="5">
        <f>IF($I2="","",INDEX(Productos!$H:$H,$I2))</f>
        <v/>
      </c>
      <c r="F1662" s="5">
        <f>IF($I2="","",INDEX(Productos!$I:$I,$I2))</f>
        <v/>
      </c>
      <c r="G1662" s="135" t="n">
        <v>-2</v>
      </c>
      <c r="H1662" s="5">
        <f>IF($I2="","",INDEX(Productos!$AG:$AG,$I2))</f>
        <v/>
      </c>
      <c r="I1662" s="136">
        <f>LET(_xlpm.r,Productos!$E$2:$E$2509,_xlpm.m,IFERROR(_xlfn.XMATCH(C1662,_xlpm.r),IFERROR(_xlfn.XMATCH(VALUE(C1662),_xlpm.r),0)),IF(_xlpm.m=0,"",_xlpm.m+1))</f>
        <v/>
      </c>
      <c r="J1662" s="137" t="inlineStr">
        <is>
          <t>NetSuite</t>
        </is>
      </c>
    </row>
    <row r="1663">
      <c r="A1663" s="5" t="inlineStr">
        <is>
          <t>STETSON AMERICAS</t>
        </is>
      </c>
      <c r="B1663" s="5">
        <f>IF($I2="","",INDEX(Productos!$A:$A,$I2))</f>
        <v/>
      </c>
      <c r="C1663" s="134" t="inlineStr">
        <is>
          <t>ST-VR-P-006-FW25-PD-M</t>
        </is>
      </c>
      <c r="D1663" s="5">
        <f>IF($I2="","",INDEX(Productos!$B:$B,$I2))</f>
        <v/>
      </c>
      <c r="E1663" s="5">
        <f>IF($I2="","",INDEX(Productos!$H:$H,$I2))</f>
        <v/>
      </c>
      <c r="F1663" s="5">
        <f>IF($I2="","",INDEX(Productos!$I:$I,$I2))</f>
        <v/>
      </c>
      <c r="G1663" s="135" t="n">
        <v>-1</v>
      </c>
      <c r="H1663" s="5">
        <f>IF($I2="","",INDEX(Productos!$AG:$AG,$I2))</f>
        <v/>
      </c>
      <c r="I1663" s="136">
        <f>LET(_xlpm.r,Productos!$E$2:$E$2509,_xlpm.m,IFERROR(_xlfn.XMATCH(C1663,_xlpm.r),IFERROR(_xlfn.XMATCH(VALUE(C1663),_xlpm.r),0)),IF(_xlpm.m=0,"",_xlpm.m+1))</f>
        <v/>
      </c>
      <c r="J1663" s="137" t="inlineStr">
        <is>
          <t>NetSuite</t>
        </is>
      </c>
    </row>
    <row r="1664">
      <c r="A1664" s="5" t="inlineStr">
        <is>
          <t>STETSON AMERICAS</t>
        </is>
      </c>
      <c r="B1664" s="5">
        <f>IF($I2="","",INDEX(Productos!$A:$A,$I2))</f>
        <v/>
      </c>
      <c r="C1664" s="134" t="inlineStr">
        <is>
          <t>ST-VR-P-006-FW25-PD-S</t>
        </is>
      </c>
      <c r="D1664" s="5">
        <f>IF($I2="","",INDEX(Productos!$B:$B,$I2))</f>
        <v/>
      </c>
      <c r="E1664" s="5">
        <f>IF($I2="","",INDEX(Productos!$H:$H,$I2))</f>
        <v/>
      </c>
      <c r="F1664" s="5">
        <f>IF($I2="","",INDEX(Productos!$I:$I,$I2))</f>
        <v/>
      </c>
      <c r="G1664" s="135" t="n">
        <v>-1</v>
      </c>
      <c r="H1664" s="5">
        <f>IF($I2="","",INDEX(Productos!$AG:$AG,$I2))</f>
        <v/>
      </c>
      <c r="I1664" s="136">
        <f>LET(_xlpm.r,Productos!$E$2:$E$2509,_xlpm.m,IFERROR(_xlfn.XMATCH(C1664,_xlpm.r),IFERROR(_xlfn.XMATCH(VALUE(C1664),_xlpm.r),0)),IF(_xlpm.m=0,"",_xlpm.m+1))</f>
        <v/>
      </c>
      <c r="J1664" s="137" t="inlineStr">
        <is>
          <t>NetSuite</t>
        </is>
      </c>
    </row>
    <row r="1665">
      <c r="A1665" s="5" t="inlineStr">
        <is>
          <t>STETSON AMERICAS</t>
        </is>
      </c>
      <c r="B1665" s="5">
        <f>IF($I2="","",INDEX(Productos!$A:$A,$I2))</f>
        <v/>
      </c>
      <c r="C1665" s="134" t="inlineStr">
        <is>
          <t>ST-VR-P-007-FW25-SB-2XL</t>
        </is>
      </c>
      <c r="D1665" s="5">
        <f>IF($I2="","",INDEX(Productos!$B:$B,$I2))</f>
        <v/>
      </c>
      <c r="E1665" s="5">
        <f>IF($I2="","",INDEX(Productos!$H:$H,$I2))</f>
        <v/>
      </c>
      <c r="F1665" s="5">
        <f>IF($I2="","",INDEX(Productos!$I:$I,$I2))</f>
        <v/>
      </c>
      <c r="G1665" s="135" t="n">
        <v>-1</v>
      </c>
      <c r="H1665" s="5">
        <f>IF($I2="","",INDEX(Productos!$AG:$AG,$I2))</f>
        <v/>
      </c>
      <c r="I1665" s="136">
        <f>LET(_xlpm.r,Productos!$E$2:$E$2509,_xlpm.m,IFERROR(_xlfn.XMATCH(C1665,_xlpm.r),IFERROR(_xlfn.XMATCH(VALUE(C1665),_xlpm.r),0)),IF(_xlpm.m=0,"",_xlpm.m+1))</f>
        <v/>
      </c>
      <c r="J1665" s="137" t="inlineStr">
        <is>
          <t>NetSuite</t>
        </is>
      </c>
    </row>
    <row r="1666">
      <c r="A1666" s="5" t="inlineStr">
        <is>
          <t>STETSON AMERICAS</t>
        </is>
      </c>
      <c r="B1666" s="5">
        <f>IF($I2="","",INDEX(Productos!$A:$A,$I2))</f>
        <v/>
      </c>
      <c r="C1666" s="134" t="inlineStr">
        <is>
          <t>ST-VR-P-007-FW25-SB-L</t>
        </is>
      </c>
      <c r="D1666" s="5">
        <f>IF($I2="","",INDEX(Productos!$B:$B,$I2))</f>
        <v/>
      </c>
      <c r="E1666" s="5">
        <f>IF($I2="","",INDEX(Productos!$H:$H,$I2))</f>
        <v/>
      </c>
      <c r="F1666" s="5">
        <f>IF($I2="","",INDEX(Productos!$I:$I,$I2))</f>
        <v/>
      </c>
      <c r="G1666" s="135" t="n">
        <v>-1</v>
      </c>
      <c r="H1666" s="5">
        <f>IF($I2="","",INDEX(Productos!$AG:$AG,$I2))</f>
        <v/>
      </c>
      <c r="I1666" s="136">
        <f>LET(_xlpm.r,Productos!$E$2:$E$2509,_xlpm.m,IFERROR(_xlfn.XMATCH(C1666,_xlpm.r),IFERROR(_xlfn.XMATCH(VALUE(C1666),_xlpm.r),0)),IF(_xlpm.m=0,"",_xlpm.m+1))</f>
        <v/>
      </c>
      <c r="J1666" s="137" t="inlineStr">
        <is>
          <t>NetSuite</t>
        </is>
      </c>
    </row>
    <row r="1667">
      <c r="A1667" s="5" t="inlineStr">
        <is>
          <t>STETSON AMERICAS</t>
        </is>
      </c>
      <c r="B1667" s="5">
        <f>IF($I2="","",INDEX(Productos!$A:$A,$I2))</f>
        <v/>
      </c>
      <c r="C1667" s="134" t="inlineStr">
        <is>
          <t>ST-VR-P-007-FW25-SB-M</t>
        </is>
      </c>
      <c r="D1667" s="5">
        <f>IF($I2="","",INDEX(Productos!$B:$B,$I2))</f>
        <v/>
      </c>
      <c r="E1667" s="5">
        <f>IF($I2="","",INDEX(Productos!$H:$H,$I2))</f>
        <v/>
      </c>
      <c r="F1667" s="5">
        <f>IF($I2="","",INDEX(Productos!$I:$I,$I2))</f>
        <v/>
      </c>
      <c r="G1667" s="135" t="n">
        <v>-2</v>
      </c>
      <c r="H1667" s="5">
        <f>IF($I2="","",INDEX(Productos!$AG:$AG,$I2))</f>
        <v/>
      </c>
      <c r="I1667" s="136">
        <f>LET(_xlpm.r,Productos!$E$2:$E$2509,_xlpm.m,IFERROR(_xlfn.XMATCH(C1667,_xlpm.r),IFERROR(_xlfn.XMATCH(VALUE(C1667),_xlpm.r),0)),IF(_xlpm.m=0,"",_xlpm.m+1))</f>
        <v/>
      </c>
      <c r="J1667" s="137" t="inlineStr">
        <is>
          <t>NetSuite</t>
        </is>
      </c>
    </row>
    <row r="1668">
      <c r="A1668" s="5" t="inlineStr">
        <is>
          <t>STETSON AMERICAS</t>
        </is>
      </c>
      <c r="B1668" s="5">
        <f>IF($I2="","",INDEX(Productos!$A:$A,$I2))</f>
        <v/>
      </c>
      <c r="C1668" s="134" t="inlineStr">
        <is>
          <t>ST-VR-P-007-FW25-SB-XL</t>
        </is>
      </c>
      <c r="D1668" s="5">
        <f>IF($I2="","",INDEX(Productos!$B:$B,$I2))</f>
        <v/>
      </c>
      <c r="E1668" s="5">
        <f>IF($I2="","",INDEX(Productos!$H:$H,$I2))</f>
        <v/>
      </c>
      <c r="F1668" s="5">
        <f>IF($I2="","",INDEX(Productos!$I:$I,$I2))</f>
        <v/>
      </c>
      <c r="G1668" s="135" t="n">
        <v>-1</v>
      </c>
      <c r="H1668" s="5">
        <f>IF($I2="","",INDEX(Productos!$AG:$AG,$I2))</f>
        <v/>
      </c>
      <c r="I1668" s="136">
        <f>LET(_xlpm.r,Productos!$E$2:$E$2509,_xlpm.m,IFERROR(_xlfn.XMATCH(C1668,_xlpm.r),IFERROR(_xlfn.XMATCH(VALUE(C1668),_xlpm.r),0)),IF(_xlpm.m=0,"",_xlpm.m+1))</f>
        <v/>
      </c>
      <c r="J1668" s="137" t="inlineStr">
        <is>
          <t>NetSuite</t>
        </is>
      </c>
    </row>
    <row r="1669">
      <c r="A1669" s="5" t="inlineStr">
        <is>
          <t>STETSON AMERICAS</t>
        </is>
      </c>
      <c r="B1669" s="5">
        <f>IF($I2="","",INDEX(Productos!$A:$A,$I2))</f>
        <v/>
      </c>
      <c r="C1669" s="134" t="inlineStr">
        <is>
          <t>ST-VR-P-008-FW25-FN-2XL</t>
        </is>
      </c>
      <c r="D1669" s="5">
        <f>IF($I2="","",INDEX(Productos!$B:$B,$I2))</f>
        <v/>
      </c>
      <c r="E1669" s="5">
        <f>IF($I2="","",INDEX(Productos!$H:$H,$I2))</f>
        <v/>
      </c>
      <c r="F1669" s="5">
        <f>IF($I2="","",INDEX(Productos!$I:$I,$I2))</f>
        <v/>
      </c>
      <c r="G1669" s="135" t="n">
        <v>-1</v>
      </c>
      <c r="H1669" s="5">
        <f>IF($I2="","",INDEX(Productos!$AG:$AG,$I2))</f>
        <v/>
      </c>
      <c r="I1669" s="136">
        <f>LET(_xlpm.r,Productos!$E$2:$E$2509,_xlpm.m,IFERROR(_xlfn.XMATCH(C1669,_xlpm.r),IFERROR(_xlfn.XMATCH(VALUE(C1669),_xlpm.r),0)),IF(_xlpm.m=0,"",_xlpm.m+1))</f>
        <v/>
      </c>
      <c r="J1669" s="137" t="inlineStr">
        <is>
          <t>NetSuite</t>
        </is>
      </c>
    </row>
    <row r="1670">
      <c r="A1670" s="5" t="inlineStr">
        <is>
          <t>STETSON AMERICAS</t>
        </is>
      </c>
      <c r="B1670" s="5">
        <f>IF($I2="","",INDEX(Productos!$A:$A,$I2))</f>
        <v/>
      </c>
      <c r="C1670" s="134" t="inlineStr">
        <is>
          <t>ST-VR-P-008-FW25-FN-L</t>
        </is>
      </c>
      <c r="D1670" s="5">
        <f>IF($I2="","",INDEX(Productos!$B:$B,$I2))</f>
        <v/>
      </c>
      <c r="E1670" s="5">
        <f>IF($I2="","",INDEX(Productos!$H:$H,$I2))</f>
        <v/>
      </c>
      <c r="F1670" s="5">
        <f>IF($I2="","",INDEX(Productos!$I:$I,$I2))</f>
        <v/>
      </c>
      <c r="G1670" s="135" t="n">
        <v>-1</v>
      </c>
      <c r="H1670" s="5">
        <f>IF($I2="","",INDEX(Productos!$AG:$AG,$I2))</f>
        <v/>
      </c>
      <c r="I1670" s="136">
        <f>LET(_xlpm.r,Productos!$E$2:$E$2509,_xlpm.m,IFERROR(_xlfn.XMATCH(C1670,_xlpm.r),IFERROR(_xlfn.XMATCH(VALUE(C1670),_xlpm.r),0)),IF(_xlpm.m=0,"",_xlpm.m+1))</f>
        <v/>
      </c>
      <c r="J1670" s="137" t="inlineStr">
        <is>
          <t>NetSuite</t>
        </is>
      </c>
    </row>
    <row r="1671">
      <c r="A1671" s="5" t="inlineStr">
        <is>
          <t>STETSON AMERICAS</t>
        </is>
      </c>
      <c r="B1671" s="5">
        <f>IF($I2="","",INDEX(Productos!$A:$A,$I2))</f>
        <v/>
      </c>
      <c r="C1671" s="134" t="inlineStr">
        <is>
          <t>ST-VR-P-008-FW25-FN-XL</t>
        </is>
      </c>
      <c r="D1671" s="5">
        <f>IF($I2="","",INDEX(Productos!$B:$B,$I2))</f>
        <v/>
      </c>
      <c r="E1671" s="5">
        <f>IF($I2="","",INDEX(Productos!$H:$H,$I2))</f>
        <v/>
      </c>
      <c r="F1671" s="5">
        <f>IF($I2="","",INDEX(Productos!$I:$I,$I2))</f>
        <v/>
      </c>
      <c r="G1671" s="135" t="n">
        <v>-3</v>
      </c>
      <c r="H1671" s="5">
        <f>IF($I2="","",INDEX(Productos!$AG:$AG,$I2))</f>
        <v/>
      </c>
      <c r="I1671" s="136">
        <f>LET(_xlpm.r,Productos!$E$2:$E$2509,_xlpm.m,IFERROR(_xlfn.XMATCH(C1671,_xlpm.r),IFERROR(_xlfn.XMATCH(VALUE(C1671),_xlpm.r),0)),IF(_xlpm.m=0,"",_xlpm.m+1))</f>
        <v/>
      </c>
      <c r="J1671" s="137" t="inlineStr">
        <is>
          <t>NetSuite</t>
        </is>
      </c>
    </row>
    <row r="1672">
      <c r="A1672" s="5" t="inlineStr">
        <is>
          <t>STETSON AMERICAS</t>
        </is>
      </c>
      <c r="B1672" s="5">
        <f>IF($I2="","",INDEX(Productos!$A:$A,$I2))</f>
        <v/>
      </c>
      <c r="C1672" s="134" t="inlineStr">
        <is>
          <t>ST-VR-P-009-FW25-TS-L</t>
        </is>
      </c>
      <c r="D1672" s="5">
        <f>IF($I2="","",INDEX(Productos!$B:$B,$I2))</f>
        <v/>
      </c>
      <c r="E1672" s="5">
        <f>IF($I2="","",INDEX(Productos!$H:$H,$I2))</f>
        <v/>
      </c>
      <c r="F1672" s="5">
        <f>IF($I2="","",INDEX(Productos!$I:$I,$I2))</f>
        <v/>
      </c>
      <c r="G1672" s="135" t="n">
        <v>-2</v>
      </c>
      <c r="H1672" s="5">
        <f>IF($I2="","",INDEX(Productos!$AG:$AG,$I2))</f>
        <v/>
      </c>
      <c r="I1672" s="136">
        <f>LET(_xlpm.r,Productos!$E$2:$E$2509,_xlpm.m,IFERROR(_xlfn.XMATCH(C1672,_xlpm.r),IFERROR(_xlfn.XMATCH(VALUE(C1672),_xlpm.r),0)),IF(_xlpm.m=0,"",_xlpm.m+1))</f>
        <v/>
      </c>
      <c r="J1672" s="137" t="inlineStr">
        <is>
          <t>NetSuite</t>
        </is>
      </c>
    </row>
    <row r="1673">
      <c r="A1673" s="5" t="inlineStr">
        <is>
          <t>STETSON AMERICAS</t>
        </is>
      </c>
      <c r="B1673" s="5">
        <f>IF($I2="","",INDEX(Productos!$A:$A,$I2))</f>
        <v/>
      </c>
      <c r="C1673" s="134" t="inlineStr">
        <is>
          <t>ST-VR-P-009-FW25-TS-M</t>
        </is>
      </c>
      <c r="D1673" s="5">
        <f>IF($I2="","",INDEX(Productos!$B:$B,$I2))</f>
        <v/>
      </c>
      <c r="E1673" s="5">
        <f>IF($I2="","",INDEX(Productos!$H:$H,$I2))</f>
        <v/>
      </c>
      <c r="F1673" s="5">
        <f>IF($I2="","",INDEX(Productos!$I:$I,$I2))</f>
        <v/>
      </c>
      <c r="G1673" s="135" t="n">
        <v>-3</v>
      </c>
      <c r="H1673" s="5">
        <f>IF($I2="","",INDEX(Productos!$AG:$AG,$I2))</f>
        <v/>
      </c>
      <c r="I1673" s="136">
        <f>LET(_xlpm.r,Productos!$E$2:$E$2509,_xlpm.m,IFERROR(_xlfn.XMATCH(C1673,_xlpm.r),IFERROR(_xlfn.XMATCH(VALUE(C1673),_xlpm.r),0)),IF(_xlpm.m=0,"",_xlpm.m+1))</f>
        <v/>
      </c>
      <c r="J1673" s="137" t="inlineStr">
        <is>
          <t>NetSuite</t>
        </is>
      </c>
    </row>
    <row r="1674">
      <c r="A1674" s="5" t="inlineStr">
        <is>
          <t>STETSON AMERICAS</t>
        </is>
      </c>
      <c r="B1674" s="5">
        <f>IF($I2="","",INDEX(Productos!$A:$A,$I2))</f>
        <v/>
      </c>
      <c r="C1674" s="134" t="inlineStr">
        <is>
          <t>ST-VR-P-009-FW25-TS-XL</t>
        </is>
      </c>
      <c r="D1674" s="5">
        <f>IF($I2="","",INDEX(Productos!$B:$B,$I2))</f>
        <v/>
      </c>
      <c r="E1674" s="5">
        <f>IF($I2="","",INDEX(Productos!$H:$H,$I2))</f>
        <v/>
      </c>
      <c r="F1674" s="5">
        <f>IF($I2="","",INDEX(Productos!$I:$I,$I2))</f>
        <v/>
      </c>
      <c r="G1674" s="135" t="n">
        <v>-1</v>
      </c>
      <c r="H1674" s="5">
        <f>IF($I2="","",INDEX(Productos!$AG:$AG,$I2))</f>
        <v/>
      </c>
      <c r="I1674" s="136">
        <f>LET(_xlpm.r,Productos!$E$2:$E$2509,_xlpm.m,IFERROR(_xlfn.XMATCH(C1674,_xlpm.r),IFERROR(_xlfn.XMATCH(VALUE(C1674),_xlpm.r),0)),IF(_xlpm.m=0,"",_xlpm.m+1))</f>
        <v/>
      </c>
      <c r="J1674" s="137" t="inlineStr">
        <is>
          <t>NetSuite</t>
        </is>
      </c>
    </row>
    <row r="1675">
      <c r="A1675" s="5" t="inlineStr">
        <is>
          <t>STETSON AMERICAS</t>
        </is>
      </c>
      <c r="B1675" s="5">
        <f>IF($I2="","",INDEX(Productos!$A:$A,$I2))</f>
        <v/>
      </c>
      <c r="C1675" s="134" t="inlineStr">
        <is>
          <t>ST-VR-P-010-FW25-SA-2XL</t>
        </is>
      </c>
      <c r="D1675" s="5">
        <f>IF($I2="","",INDEX(Productos!$B:$B,$I2))</f>
        <v/>
      </c>
      <c r="E1675" s="5">
        <f>IF($I2="","",INDEX(Productos!$H:$H,$I2))</f>
        <v/>
      </c>
      <c r="F1675" s="5">
        <f>IF($I2="","",INDEX(Productos!$I:$I,$I2))</f>
        <v/>
      </c>
      <c r="G1675" s="135" t="n">
        <v>-2</v>
      </c>
      <c r="H1675" s="5">
        <f>IF($I2="","",INDEX(Productos!$AG:$AG,$I2))</f>
        <v/>
      </c>
      <c r="I1675" s="136">
        <f>LET(_xlpm.r,Productos!$E$2:$E$2509,_xlpm.m,IFERROR(_xlfn.XMATCH(C1675,_xlpm.r),IFERROR(_xlfn.XMATCH(VALUE(C1675),_xlpm.r),0)),IF(_xlpm.m=0,"",_xlpm.m+1))</f>
        <v/>
      </c>
      <c r="J1675" s="137" t="inlineStr">
        <is>
          <t>NetSuite</t>
        </is>
      </c>
    </row>
    <row r="1676">
      <c r="A1676" s="5" t="inlineStr">
        <is>
          <t>STETSON AMERICAS</t>
        </is>
      </c>
      <c r="B1676" s="5">
        <f>IF($I2="","",INDEX(Productos!$A:$A,$I2))</f>
        <v/>
      </c>
      <c r="C1676" s="134" t="inlineStr">
        <is>
          <t>ST-VR-P-010-FW25-SA-L</t>
        </is>
      </c>
      <c r="D1676" s="5">
        <f>IF($I2="","",INDEX(Productos!$B:$B,$I2))</f>
        <v/>
      </c>
      <c r="E1676" s="5">
        <f>IF($I2="","",INDEX(Productos!$H:$H,$I2))</f>
        <v/>
      </c>
      <c r="F1676" s="5">
        <f>IF($I2="","",INDEX(Productos!$I:$I,$I2))</f>
        <v/>
      </c>
      <c r="G1676" s="135" t="n">
        <v>-2</v>
      </c>
      <c r="H1676" s="5">
        <f>IF($I2="","",INDEX(Productos!$AG:$AG,$I2))</f>
        <v/>
      </c>
      <c r="I1676" s="136">
        <f>LET(_xlpm.r,Productos!$E$2:$E$2509,_xlpm.m,IFERROR(_xlfn.XMATCH(C1676,_xlpm.r),IFERROR(_xlfn.XMATCH(VALUE(C1676),_xlpm.r),0)),IF(_xlpm.m=0,"",_xlpm.m+1))</f>
        <v/>
      </c>
      <c r="J1676" s="137" t="inlineStr">
        <is>
          <t>NetSuite</t>
        </is>
      </c>
    </row>
    <row r="1677">
      <c r="A1677" s="5" t="inlineStr">
        <is>
          <t>STETSON AMERICAS</t>
        </is>
      </c>
      <c r="B1677" s="5">
        <f>IF($I2="","",INDEX(Productos!$A:$A,$I2))</f>
        <v/>
      </c>
      <c r="C1677" s="134" t="inlineStr">
        <is>
          <t>ST-VR-P-010-FW25-SA-M</t>
        </is>
      </c>
      <c r="D1677" s="5">
        <f>IF($I2="","",INDEX(Productos!$B:$B,$I2))</f>
        <v/>
      </c>
      <c r="E1677" s="5">
        <f>IF($I2="","",INDEX(Productos!$H:$H,$I2))</f>
        <v/>
      </c>
      <c r="F1677" s="5">
        <f>IF($I2="","",INDEX(Productos!$I:$I,$I2))</f>
        <v/>
      </c>
      <c r="G1677" s="135" t="n">
        <v>-2</v>
      </c>
      <c r="H1677" s="5">
        <f>IF($I2="","",INDEX(Productos!$AG:$AG,$I2))</f>
        <v/>
      </c>
      <c r="I1677" s="136">
        <f>LET(_xlpm.r,Productos!$E$2:$E$2509,_xlpm.m,IFERROR(_xlfn.XMATCH(C1677,_xlpm.r),IFERROR(_xlfn.XMATCH(VALUE(C1677),_xlpm.r),0)),IF(_xlpm.m=0,"",_xlpm.m+1))</f>
        <v/>
      </c>
      <c r="J1677" s="137" t="inlineStr">
        <is>
          <t>NetSuite</t>
        </is>
      </c>
    </row>
    <row r="1678">
      <c r="A1678" s="5" t="inlineStr">
        <is>
          <t>STETSON AMERICAS</t>
        </is>
      </c>
      <c r="B1678" s="5">
        <f>IF($I2="","",INDEX(Productos!$A:$A,$I2))</f>
        <v/>
      </c>
      <c r="C1678" s="134" t="inlineStr">
        <is>
          <t>ST-VR-P-010-FW25-SA-S</t>
        </is>
      </c>
      <c r="D1678" s="5">
        <f>IF($I2="","",INDEX(Productos!$B:$B,$I2))</f>
        <v/>
      </c>
      <c r="E1678" s="5">
        <f>IF($I2="","",INDEX(Productos!$H:$H,$I2))</f>
        <v/>
      </c>
      <c r="F1678" s="5">
        <f>IF($I2="","",INDEX(Productos!$I:$I,$I2))</f>
        <v/>
      </c>
      <c r="G1678" s="135" t="n">
        <v>-1</v>
      </c>
      <c r="H1678" s="5">
        <f>IF($I2="","",INDEX(Productos!$AG:$AG,$I2))</f>
        <v/>
      </c>
      <c r="I1678" s="136">
        <f>LET(_xlpm.r,Productos!$E$2:$E$2509,_xlpm.m,IFERROR(_xlfn.XMATCH(C1678,_xlpm.r),IFERROR(_xlfn.XMATCH(VALUE(C1678),_xlpm.r),0)),IF(_xlpm.m=0,"",_xlpm.m+1))</f>
        <v/>
      </c>
      <c r="J1678" s="137" t="inlineStr">
        <is>
          <t>NetSuite</t>
        </is>
      </c>
    </row>
    <row r="1679">
      <c r="A1679" s="5" t="inlineStr">
        <is>
          <t>STETSON AMERICAS</t>
        </is>
      </c>
      <c r="B1679" s="5">
        <f>IF($I2="","",INDEX(Productos!$A:$A,$I2))</f>
        <v/>
      </c>
      <c r="C1679" s="134" t="inlineStr">
        <is>
          <t>ST-VR-P-010-FW25-SA-XL</t>
        </is>
      </c>
      <c r="D1679" s="5">
        <f>IF($I2="","",INDEX(Productos!$B:$B,$I2))</f>
        <v/>
      </c>
      <c r="E1679" s="5">
        <f>IF($I2="","",INDEX(Productos!$H:$H,$I2))</f>
        <v/>
      </c>
      <c r="F1679" s="5">
        <f>IF($I2="","",INDEX(Productos!$I:$I,$I2))</f>
        <v/>
      </c>
      <c r="G1679" s="135" t="n">
        <v>-2</v>
      </c>
      <c r="H1679" s="5">
        <f>IF($I2="","",INDEX(Productos!$AG:$AG,$I2))</f>
        <v/>
      </c>
      <c r="I1679" s="136">
        <f>LET(_xlpm.r,Productos!$E$2:$E$2509,_xlpm.m,IFERROR(_xlfn.XMATCH(C1679,_xlpm.r),IFERROR(_xlfn.XMATCH(VALUE(C1679),_xlpm.r),0)),IF(_xlpm.m=0,"",_xlpm.m+1))</f>
        <v/>
      </c>
      <c r="J1679" s="137" t="inlineStr">
        <is>
          <t>NetSuite</t>
        </is>
      </c>
    </row>
    <row r="1680">
      <c r="A1680" s="5" t="inlineStr">
        <is>
          <t>STETSON AMERICAS</t>
        </is>
      </c>
      <c r="B1680" s="5">
        <f>IF($I2="","",INDEX(Productos!$A:$A,$I2))</f>
        <v/>
      </c>
      <c r="C1680" s="134" t="inlineStr">
        <is>
          <t>ST-VR-P-012-FW25-IF-L</t>
        </is>
      </c>
      <c r="D1680" s="5">
        <f>IF($I2="","",INDEX(Productos!$B:$B,$I2))</f>
        <v/>
      </c>
      <c r="E1680" s="5">
        <f>IF($I2="","",INDEX(Productos!$H:$H,$I2))</f>
        <v/>
      </c>
      <c r="F1680" s="5">
        <f>IF($I2="","",INDEX(Productos!$I:$I,$I2))</f>
        <v/>
      </c>
      <c r="G1680" s="135" t="n">
        <v>-1</v>
      </c>
      <c r="H1680" s="5">
        <f>IF($I2="","",INDEX(Productos!$AG:$AG,$I2))</f>
        <v/>
      </c>
      <c r="I1680" s="136">
        <f>LET(_xlpm.r,Productos!$E$2:$E$2509,_xlpm.m,IFERROR(_xlfn.XMATCH(C1680,_xlpm.r),IFERROR(_xlfn.XMATCH(VALUE(C1680),_xlpm.r),0)),IF(_xlpm.m=0,"",_xlpm.m+1))</f>
        <v/>
      </c>
      <c r="J1680" s="137" t="inlineStr">
        <is>
          <t>NetSuite</t>
        </is>
      </c>
    </row>
    <row r="1681">
      <c r="A1681" s="5" t="inlineStr">
        <is>
          <t>STETSON AMERICAS</t>
        </is>
      </c>
      <c r="B1681" s="5">
        <f>IF($I2="","",INDEX(Productos!$A:$A,$I2))</f>
        <v/>
      </c>
      <c r="C1681" s="134" t="inlineStr">
        <is>
          <t>ST-VR-P-012-FW25-IF-M</t>
        </is>
      </c>
      <c r="D1681" s="5">
        <f>IF($I2="","",INDEX(Productos!$B:$B,$I2))</f>
        <v/>
      </c>
      <c r="E1681" s="5">
        <f>IF($I2="","",INDEX(Productos!$H:$H,$I2))</f>
        <v/>
      </c>
      <c r="F1681" s="5">
        <f>IF($I2="","",INDEX(Productos!$I:$I,$I2))</f>
        <v/>
      </c>
      <c r="G1681" s="135" t="n">
        <v>-1</v>
      </c>
      <c r="H1681" s="5">
        <f>IF($I2="","",INDEX(Productos!$AG:$AG,$I2))</f>
        <v/>
      </c>
      <c r="I1681" s="136">
        <f>LET(_xlpm.r,Productos!$E$2:$E$2509,_xlpm.m,IFERROR(_xlfn.XMATCH(C1681,_xlpm.r),IFERROR(_xlfn.XMATCH(VALUE(C1681),_xlpm.r),0)),IF(_xlpm.m=0,"",_xlpm.m+1))</f>
        <v/>
      </c>
      <c r="J1681" s="137" t="inlineStr">
        <is>
          <t>NetSuite</t>
        </is>
      </c>
    </row>
    <row r="1682">
      <c r="A1682" s="5" t="inlineStr">
        <is>
          <t>STETSON AMERICAS</t>
        </is>
      </c>
      <c r="B1682" s="5">
        <f>IF($I2="","",INDEX(Productos!$A:$A,$I2))</f>
        <v/>
      </c>
      <c r="C1682" s="134" t="inlineStr">
        <is>
          <t>ST-VR-P-012-FW25-IF-XL</t>
        </is>
      </c>
      <c r="D1682" s="5">
        <f>IF($I2="","",INDEX(Productos!$B:$B,$I2))</f>
        <v/>
      </c>
      <c r="E1682" s="5">
        <f>IF($I2="","",INDEX(Productos!$H:$H,$I2))</f>
        <v/>
      </c>
      <c r="F1682" s="5">
        <f>IF($I2="","",INDEX(Productos!$I:$I,$I2))</f>
        <v/>
      </c>
      <c r="G1682" s="135" t="n">
        <v>-1</v>
      </c>
      <c r="H1682" s="5">
        <f>IF($I2="","",INDEX(Productos!$AG:$AG,$I2))</f>
        <v/>
      </c>
      <c r="I1682" s="136">
        <f>LET(_xlpm.r,Productos!$E$2:$E$2509,_xlpm.m,IFERROR(_xlfn.XMATCH(C1682,_xlpm.r),IFERROR(_xlfn.XMATCH(VALUE(C1682),_xlpm.r),0)),IF(_xlpm.m=0,"",_xlpm.m+1))</f>
        <v/>
      </c>
      <c r="J1682" s="137" t="inlineStr">
        <is>
          <t>NetSuite</t>
        </is>
      </c>
    </row>
    <row r="1683">
      <c r="A1683" s="5" t="inlineStr">
        <is>
          <t>STETSON AMERICAS</t>
        </is>
      </c>
      <c r="B1683" s="5">
        <f>IF($I2="","",INDEX(Productos!$A:$A,$I2))</f>
        <v/>
      </c>
      <c r="C1683" s="134" t="inlineStr">
        <is>
          <t>ST-VR-P-013-FW25-SF-L</t>
        </is>
      </c>
      <c r="D1683" s="5">
        <f>IF($I2="","",INDEX(Productos!$B:$B,$I2))</f>
        <v/>
      </c>
      <c r="E1683" s="5">
        <f>IF($I2="","",INDEX(Productos!$H:$H,$I2))</f>
        <v/>
      </c>
      <c r="F1683" s="5">
        <f>IF($I2="","",INDEX(Productos!$I:$I,$I2))</f>
        <v/>
      </c>
      <c r="G1683" s="135" t="n">
        <v>-1</v>
      </c>
      <c r="H1683" s="5">
        <f>IF($I2="","",INDEX(Productos!$AG:$AG,$I2))</f>
        <v/>
      </c>
      <c r="I1683" s="136">
        <f>LET(_xlpm.r,Productos!$E$2:$E$2509,_xlpm.m,IFERROR(_xlfn.XMATCH(C1683,_xlpm.r),IFERROR(_xlfn.XMATCH(VALUE(C1683),_xlpm.r),0)),IF(_xlpm.m=0,"",_xlpm.m+1))</f>
        <v/>
      </c>
      <c r="J1683" s="137" t="inlineStr">
        <is>
          <t>NetSuite</t>
        </is>
      </c>
    </row>
    <row r="1684">
      <c r="A1684" s="5" t="inlineStr">
        <is>
          <t>STETSON AMERICAS</t>
        </is>
      </c>
      <c r="B1684" s="5">
        <f>IF($I2="","",INDEX(Productos!$A:$A,$I2))</f>
        <v/>
      </c>
      <c r="C1684" s="134" t="inlineStr">
        <is>
          <t>ST-VR-P-013-FW25-SF-M</t>
        </is>
      </c>
      <c r="D1684" s="5">
        <f>IF($I2="","",INDEX(Productos!$B:$B,$I2))</f>
        <v/>
      </c>
      <c r="E1684" s="5">
        <f>IF($I2="","",INDEX(Productos!$H:$H,$I2))</f>
        <v/>
      </c>
      <c r="F1684" s="5">
        <f>IF($I2="","",INDEX(Productos!$I:$I,$I2))</f>
        <v/>
      </c>
      <c r="G1684" s="135" t="n">
        <v>-2</v>
      </c>
      <c r="H1684" s="5">
        <f>IF($I2="","",INDEX(Productos!$AG:$AG,$I2))</f>
        <v/>
      </c>
      <c r="I1684" s="136">
        <f>LET(_xlpm.r,Productos!$E$2:$E$2509,_xlpm.m,IFERROR(_xlfn.XMATCH(C1684,_xlpm.r),IFERROR(_xlfn.XMATCH(VALUE(C1684),_xlpm.r),0)),IF(_xlpm.m=0,"",_xlpm.m+1))</f>
        <v/>
      </c>
      <c r="J1684" s="137" t="inlineStr">
        <is>
          <t>NetSuite</t>
        </is>
      </c>
    </row>
    <row r="1685">
      <c r="A1685" s="5" t="inlineStr">
        <is>
          <t>STETSON AMERICAS</t>
        </is>
      </c>
      <c r="B1685" s="5">
        <f>IF($I2="","",INDEX(Productos!$A:$A,$I2))</f>
        <v/>
      </c>
      <c r="C1685" s="134" t="inlineStr">
        <is>
          <t>ST-VR-P-013-FW25-SF-S</t>
        </is>
      </c>
      <c r="D1685" s="5">
        <f>IF($I2="","",INDEX(Productos!$B:$B,$I2))</f>
        <v/>
      </c>
      <c r="E1685" s="5">
        <f>IF($I2="","",INDEX(Productos!$H:$H,$I2))</f>
        <v/>
      </c>
      <c r="F1685" s="5">
        <f>IF($I2="","",INDEX(Productos!$I:$I,$I2))</f>
        <v/>
      </c>
      <c r="G1685" s="135" t="n">
        <v>-1</v>
      </c>
      <c r="H1685" s="5">
        <f>IF($I2="","",INDEX(Productos!$AG:$AG,$I2))</f>
        <v/>
      </c>
      <c r="I1685" s="136">
        <f>LET(_xlpm.r,Productos!$E$2:$E$2509,_xlpm.m,IFERROR(_xlfn.XMATCH(C1685,_xlpm.r),IFERROR(_xlfn.XMATCH(VALUE(C1685),_xlpm.r),0)),IF(_xlpm.m=0,"",_xlpm.m+1))</f>
        <v/>
      </c>
      <c r="J1685" s="137" t="inlineStr">
        <is>
          <t>NetSuite</t>
        </is>
      </c>
    </row>
    <row r="1686">
      <c r="A1686" s="5" t="inlineStr">
        <is>
          <t>STETSON AMERICAS</t>
        </is>
      </c>
      <c r="B1686" s="5">
        <f>IF($I2="","",INDEX(Productos!$A:$A,$I2))</f>
        <v/>
      </c>
      <c r="C1686" s="134" t="inlineStr">
        <is>
          <t>ST-VR-P-013-FW25-SF-XL</t>
        </is>
      </c>
      <c r="D1686" s="5">
        <f>IF($I2="","",INDEX(Productos!$B:$B,$I2))</f>
        <v/>
      </c>
      <c r="E1686" s="5">
        <f>IF($I2="","",INDEX(Productos!$H:$H,$I2))</f>
        <v/>
      </c>
      <c r="F1686" s="5">
        <f>IF($I2="","",INDEX(Productos!$I:$I,$I2))</f>
        <v/>
      </c>
      <c r="G1686" s="135" t="n">
        <v>-4</v>
      </c>
      <c r="H1686" s="5">
        <f>IF($I2="","",INDEX(Productos!$AG:$AG,$I2))</f>
        <v/>
      </c>
      <c r="I1686" s="136">
        <f>LET(_xlpm.r,Productos!$E$2:$E$2509,_xlpm.m,IFERROR(_xlfn.XMATCH(C1686,_xlpm.r),IFERROR(_xlfn.XMATCH(VALUE(C1686),_xlpm.r),0)),IF(_xlpm.m=0,"",_xlpm.m+1))</f>
        <v/>
      </c>
      <c r="J1686" s="137" t="inlineStr">
        <is>
          <t>NetSuite</t>
        </is>
      </c>
    </row>
    <row r="1687">
      <c r="A1687" s="5" t="inlineStr">
        <is>
          <t>STETSON AMERICAS</t>
        </is>
      </c>
      <c r="B1687" s="5">
        <f>IF($I2="","",INDEX(Productos!$A:$A,$I2))</f>
        <v/>
      </c>
      <c r="C1687" s="134" t="inlineStr">
        <is>
          <t>ST-VR-P-014-FW25-BL-2XL</t>
        </is>
      </c>
      <c r="D1687" s="5">
        <f>IF($I2="","",INDEX(Productos!$B:$B,$I2))</f>
        <v/>
      </c>
      <c r="E1687" s="5">
        <f>IF($I2="","",INDEX(Productos!$H:$H,$I2))</f>
        <v/>
      </c>
      <c r="F1687" s="5">
        <f>IF($I2="","",INDEX(Productos!$I:$I,$I2))</f>
        <v/>
      </c>
      <c r="G1687" s="135" t="n">
        <v>-2</v>
      </c>
      <c r="H1687" s="5">
        <f>IF($I2="","",INDEX(Productos!$AG:$AG,$I2))</f>
        <v/>
      </c>
      <c r="I1687" s="136">
        <f>LET(_xlpm.r,Productos!$E$2:$E$2509,_xlpm.m,IFERROR(_xlfn.XMATCH(C1687,_xlpm.r),IFERROR(_xlfn.XMATCH(VALUE(C1687),_xlpm.r),0)),IF(_xlpm.m=0,"",_xlpm.m+1))</f>
        <v/>
      </c>
      <c r="J1687" s="137" t="inlineStr">
        <is>
          <t>NetSuite</t>
        </is>
      </c>
    </row>
    <row r="1688">
      <c r="A1688" s="5" t="inlineStr">
        <is>
          <t>STETSON AMERICAS</t>
        </is>
      </c>
      <c r="B1688" s="5">
        <f>IF($I2="","",INDEX(Productos!$A:$A,$I2))</f>
        <v/>
      </c>
      <c r="C1688" s="134" t="inlineStr">
        <is>
          <t>ST-VR-P-014-FW25-BL-L</t>
        </is>
      </c>
      <c r="D1688" s="5">
        <f>IF($I2="","",INDEX(Productos!$B:$B,$I2))</f>
        <v/>
      </c>
      <c r="E1688" s="5">
        <f>IF($I2="","",INDEX(Productos!$H:$H,$I2))</f>
        <v/>
      </c>
      <c r="F1688" s="5">
        <f>IF($I2="","",INDEX(Productos!$I:$I,$I2))</f>
        <v/>
      </c>
      <c r="G1688" s="135" t="n">
        <v>-2</v>
      </c>
      <c r="H1688" s="5">
        <f>IF($I2="","",INDEX(Productos!$AG:$AG,$I2))</f>
        <v/>
      </c>
      <c r="I1688" s="136">
        <f>LET(_xlpm.r,Productos!$E$2:$E$2509,_xlpm.m,IFERROR(_xlfn.XMATCH(C1688,_xlpm.r),IFERROR(_xlfn.XMATCH(VALUE(C1688),_xlpm.r),0)),IF(_xlpm.m=0,"",_xlpm.m+1))</f>
        <v/>
      </c>
      <c r="J1688" s="137" t="inlineStr">
        <is>
          <t>NetSuite</t>
        </is>
      </c>
    </row>
    <row r="1689">
      <c r="A1689" s="5" t="inlineStr">
        <is>
          <t>STETSON AMERICAS</t>
        </is>
      </c>
      <c r="B1689" s="5">
        <f>IF($I2="","",INDEX(Productos!$A:$A,$I2))</f>
        <v/>
      </c>
      <c r="C1689" s="134" t="inlineStr">
        <is>
          <t>ST-VR-P-014-FW25-BL-M</t>
        </is>
      </c>
      <c r="D1689" s="5">
        <f>IF($I2="","",INDEX(Productos!$B:$B,$I2))</f>
        <v/>
      </c>
      <c r="E1689" s="5">
        <f>IF($I2="","",INDEX(Productos!$H:$H,$I2))</f>
        <v/>
      </c>
      <c r="F1689" s="5">
        <f>IF($I2="","",INDEX(Productos!$I:$I,$I2))</f>
        <v/>
      </c>
      <c r="G1689" s="135" t="n">
        <v>-1</v>
      </c>
      <c r="H1689" s="5">
        <f>IF($I2="","",INDEX(Productos!$AG:$AG,$I2))</f>
        <v/>
      </c>
      <c r="I1689" s="136">
        <f>LET(_xlpm.r,Productos!$E$2:$E$2509,_xlpm.m,IFERROR(_xlfn.XMATCH(C1689,_xlpm.r),IFERROR(_xlfn.XMATCH(VALUE(C1689),_xlpm.r),0)),IF(_xlpm.m=0,"",_xlpm.m+1))</f>
        <v/>
      </c>
      <c r="J1689" s="137" t="inlineStr">
        <is>
          <t>NetSuite</t>
        </is>
      </c>
    </row>
    <row r="1690">
      <c r="A1690" s="5" t="inlineStr">
        <is>
          <t>STETSON AMERICAS</t>
        </is>
      </c>
      <c r="B1690" s="5">
        <f>IF($I2="","",INDEX(Productos!$A:$A,$I2))</f>
        <v/>
      </c>
      <c r="C1690" s="134" t="inlineStr">
        <is>
          <t>ST-VR-P-014-FW25-BL-S</t>
        </is>
      </c>
      <c r="D1690" s="5">
        <f>IF($I2="","",INDEX(Productos!$B:$B,$I2))</f>
        <v/>
      </c>
      <c r="E1690" s="5">
        <f>IF($I2="","",INDEX(Productos!$H:$H,$I2))</f>
        <v/>
      </c>
      <c r="F1690" s="5">
        <f>IF($I2="","",INDEX(Productos!$I:$I,$I2))</f>
        <v/>
      </c>
      <c r="G1690" s="135" t="n">
        <v>-2</v>
      </c>
      <c r="H1690" s="5">
        <f>IF($I2="","",INDEX(Productos!$AG:$AG,$I2))</f>
        <v/>
      </c>
      <c r="I1690" s="136">
        <f>LET(_xlpm.r,Productos!$E$2:$E$2509,_xlpm.m,IFERROR(_xlfn.XMATCH(C1690,_xlpm.r),IFERROR(_xlfn.XMATCH(VALUE(C1690),_xlpm.r),0)),IF(_xlpm.m=0,"",_xlpm.m+1))</f>
        <v/>
      </c>
      <c r="J1690" s="137" t="inlineStr">
        <is>
          <t>NetSuite</t>
        </is>
      </c>
    </row>
    <row r="1691">
      <c r="A1691" s="5" t="inlineStr">
        <is>
          <t>STETSON AMERICAS</t>
        </is>
      </c>
      <c r="B1691" s="5">
        <f>IF($I2="","",INDEX(Productos!$A:$A,$I2))</f>
        <v/>
      </c>
      <c r="C1691" s="134" t="inlineStr">
        <is>
          <t>ST-VR-P-014-FW25-BL-XL</t>
        </is>
      </c>
      <c r="D1691" s="5">
        <f>IF($I2="","",INDEX(Productos!$B:$B,$I2))</f>
        <v/>
      </c>
      <c r="E1691" s="5">
        <f>IF($I2="","",INDEX(Productos!$H:$H,$I2))</f>
        <v/>
      </c>
      <c r="F1691" s="5">
        <f>IF($I2="","",INDEX(Productos!$I:$I,$I2))</f>
        <v/>
      </c>
      <c r="G1691" s="135" t="n">
        <v>-1</v>
      </c>
      <c r="H1691" s="5">
        <f>IF($I2="","",INDEX(Productos!$AG:$AG,$I2))</f>
        <v/>
      </c>
      <c r="I1691" s="136">
        <f>LET(_xlpm.r,Productos!$E$2:$E$2509,_xlpm.m,IFERROR(_xlfn.XMATCH(C1691,_xlpm.r),IFERROR(_xlfn.XMATCH(VALUE(C1691),_xlpm.r),0)),IF(_xlpm.m=0,"",_xlpm.m+1))</f>
        <v/>
      </c>
      <c r="J1691" s="137" t="inlineStr">
        <is>
          <t>NetSuite</t>
        </is>
      </c>
    </row>
    <row r="1692">
      <c r="A1692" s="5" t="inlineStr">
        <is>
          <t>STETSON AMERICAS</t>
        </is>
      </c>
      <c r="B1692" s="5">
        <f>IF($I2="","",INDEX(Productos!$A:$A,$I2))</f>
        <v/>
      </c>
      <c r="C1692" s="134" t="inlineStr">
        <is>
          <t>ST-VR-P-015-FW25-SOB-2XL</t>
        </is>
      </c>
      <c r="D1692" s="5">
        <f>IF($I2="","",INDEX(Productos!$B:$B,$I2))</f>
        <v/>
      </c>
      <c r="E1692" s="5">
        <f>IF($I2="","",INDEX(Productos!$H:$H,$I2))</f>
        <v/>
      </c>
      <c r="F1692" s="5">
        <f>IF($I2="","",INDEX(Productos!$I:$I,$I2))</f>
        <v/>
      </c>
      <c r="G1692" s="135" t="n">
        <v>-2</v>
      </c>
      <c r="H1692" s="5">
        <f>IF($I2="","",INDEX(Productos!$AG:$AG,$I2))</f>
        <v/>
      </c>
      <c r="I1692" s="136">
        <f>LET(_xlpm.r,Productos!$E$2:$E$2509,_xlpm.m,IFERROR(_xlfn.XMATCH(C1692,_xlpm.r),IFERROR(_xlfn.XMATCH(VALUE(C1692),_xlpm.r),0)),IF(_xlpm.m=0,"",_xlpm.m+1))</f>
        <v/>
      </c>
      <c r="J1692" s="137" t="inlineStr">
        <is>
          <t>NetSuite</t>
        </is>
      </c>
    </row>
    <row r="1693">
      <c r="A1693" s="5" t="inlineStr">
        <is>
          <t>STETSON AMERICAS</t>
        </is>
      </c>
      <c r="B1693" s="5">
        <f>IF($I2="","",INDEX(Productos!$A:$A,$I2))</f>
        <v/>
      </c>
      <c r="C1693" s="134" t="inlineStr">
        <is>
          <t>ST-VR-P-015-FW25-SOB-M</t>
        </is>
      </c>
      <c r="D1693" s="5">
        <f>IF($I2="","",INDEX(Productos!$B:$B,$I2))</f>
        <v/>
      </c>
      <c r="E1693" s="5">
        <f>IF($I2="","",INDEX(Productos!$H:$H,$I2))</f>
        <v/>
      </c>
      <c r="F1693" s="5">
        <f>IF($I2="","",INDEX(Productos!$I:$I,$I2))</f>
        <v/>
      </c>
      <c r="G1693" s="135" t="n">
        <v>-2</v>
      </c>
      <c r="H1693" s="5">
        <f>IF($I2="","",INDEX(Productos!$AG:$AG,$I2))</f>
        <v/>
      </c>
      <c r="I1693" s="136">
        <f>LET(_xlpm.r,Productos!$E$2:$E$2509,_xlpm.m,IFERROR(_xlfn.XMATCH(C1693,_xlpm.r),IFERROR(_xlfn.XMATCH(VALUE(C1693),_xlpm.r),0)),IF(_xlpm.m=0,"",_xlpm.m+1))</f>
        <v/>
      </c>
      <c r="J1693" s="137" t="inlineStr">
        <is>
          <t>NetSuite</t>
        </is>
      </c>
    </row>
    <row r="1694">
      <c r="A1694" s="5" t="inlineStr">
        <is>
          <t>STETSON AMERICAS</t>
        </is>
      </c>
      <c r="B1694" s="5">
        <f>IF($I2="","",INDEX(Productos!$A:$A,$I2))</f>
        <v/>
      </c>
      <c r="C1694" s="134" t="inlineStr">
        <is>
          <t>ST-VR-P-015-FW25-SOB-S</t>
        </is>
      </c>
      <c r="D1694" s="5">
        <f>IF($I2="","",INDEX(Productos!$B:$B,$I2))</f>
        <v/>
      </c>
      <c r="E1694" s="5">
        <f>IF($I2="","",INDEX(Productos!$H:$H,$I2))</f>
        <v/>
      </c>
      <c r="F1694" s="5">
        <f>IF($I2="","",INDEX(Productos!$I:$I,$I2))</f>
        <v/>
      </c>
      <c r="G1694" s="135" t="n">
        <v>-1</v>
      </c>
      <c r="H1694" s="5">
        <f>IF($I2="","",INDEX(Productos!$AG:$AG,$I2))</f>
        <v/>
      </c>
      <c r="I1694" s="136">
        <f>LET(_xlpm.r,Productos!$E$2:$E$2509,_xlpm.m,IFERROR(_xlfn.XMATCH(C1694,_xlpm.r),IFERROR(_xlfn.XMATCH(VALUE(C1694),_xlpm.r),0)),IF(_xlpm.m=0,"",_xlpm.m+1))</f>
        <v/>
      </c>
      <c r="J1694" s="137" t="inlineStr">
        <is>
          <t>NetSuite</t>
        </is>
      </c>
    </row>
    <row r="1695">
      <c r="A1695" s="5" t="inlineStr">
        <is>
          <t>STETSON AMERICAS</t>
        </is>
      </c>
      <c r="B1695" s="5">
        <f>IF($I2="","",INDEX(Productos!$A:$A,$I2))</f>
        <v/>
      </c>
      <c r="C1695" s="134" t="inlineStr">
        <is>
          <t>ST-VR-P-015-FW25-SOB-XL</t>
        </is>
      </c>
      <c r="D1695" s="5">
        <f>IF($I2="","",INDEX(Productos!$B:$B,$I2))</f>
        <v/>
      </c>
      <c r="E1695" s="5">
        <f>IF($I2="","",INDEX(Productos!$H:$H,$I2))</f>
        <v/>
      </c>
      <c r="F1695" s="5">
        <f>IF($I2="","",INDEX(Productos!$I:$I,$I2))</f>
        <v/>
      </c>
      <c r="G1695" s="135" t="n">
        <v>-3</v>
      </c>
      <c r="H1695" s="5">
        <f>IF($I2="","",INDEX(Productos!$AG:$AG,$I2))</f>
        <v/>
      </c>
      <c r="I1695" s="136">
        <f>LET(_xlpm.r,Productos!$E$2:$E$2509,_xlpm.m,IFERROR(_xlfn.XMATCH(C1695,_xlpm.r),IFERROR(_xlfn.XMATCH(VALUE(C1695),_xlpm.r),0)),IF(_xlpm.m=0,"",_xlpm.m+1))</f>
        <v/>
      </c>
      <c r="J1695" s="137" t="inlineStr">
        <is>
          <t>NetSuite</t>
        </is>
      </c>
    </row>
    <row r="1696">
      <c r="A1696" s="5" t="inlineStr">
        <is>
          <t>STETSON AMERICAS</t>
        </is>
      </c>
      <c r="B1696" s="5">
        <f>IF($I2="","",INDEX(Productos!$A:$A,$I2))</f>
        <v/>
      </c>
      <c r="C1696" s="134" t="inlineStr">
        <is>
          <t>ST-VR-P-016-FW25-GS-2XL</t>
        </is>
      </c>
      <c r="D1696" s="5">
        <f>IF($I2="","",INDEX(Productos!$B:$B,$I2))</f>
        <v/>
      </c>
      <c r="E1696" s="5">
        <f>IF($I2="","",INDEX(Productos!$H:$H,$I2))</f>
        <v/>
      </c>
      <c r="F1696" s="5">
        <f>IF($I2="","",INDEX(Productos!$I:$I,$I2))</f>
        <v/>
      </c>
      <c r="G1696" s="135" t="n">
        <v>-2</v>
      </c>
      <c r="H1696" s="5">
        <f>IF($I2="","",INDEX(Productos!$AG:$AG,$I2))</f>
        <v/>
      </c>
      <c r="I1696" s="136">
        <f>LET(_xlpm.r,Productos!$E$2:$E$2509,_xlpm.m,IFERROR(_xlfn.XMATCH(C1696,_xlpm.r),IFERROR(_xlfn.XMATCH(VALUE(C1696),_xlpm.r),0)),IF(_xlpm.m=0,"",_xlpm.m+1))</f>
        <v/>
      </c>
      <c r="J1696" s="137" t="inlineStr">
        <is>
          <t>NetSuite</t>
        </is>
      </c>
    </row>
    <row r="1697">
      <c r="A1697" s="5" t="inlineStr">
        <is>
          <t>STETSON AMERICAS</t>
        </is>
      </c>
      <c r="B1697" s="5">
        <f>IF($I2="","",INDEX(Productos!$A:$A,$I2))</f>
        <v/>
      </c>
      <c r="C1697" s="134" t="inlineStr">
        <is>
          <t>ST-VR-P-016-FW25-GS-L</t>
        </is>
      </c>
      <c r="D1697" s="5">
        <f>IF($I2="","",INDEX(Productos!$B:$B,$I2))</f>
        <v/>
      </c>
      <c r="E1697" s="5">
        <f>IF($I2="","",INDEX(Productos!$H:$H,$I2))</f>
        <v/>
      </c>
      <c r="F1697" s="5">
        <f>IF($I2="","",INDEX(Productos!$I:$I,$I2))</f>
        <v/>
      </c>
      <c r="G1697" s="135" t="n">
        <v>-1</v>
      </c>
      <c r="H1697" s="5">
        <f>IF($I2="","",INDEX(Productos!$AG:$AG,$I2))</f>
        <v/>
      </c>
      <c r="I1697" s="136">
        <f>LET(_xlpm.r,Productos!$E$2:$E$2509,_xlpm.m,IFERROR(_xlfn.XMATCH(C1697,_xlpm.r),IFERROR(_xlfn.XMATCH(VALUE(C1697),_xlpm.r),0)),IF(_xlpm.m=0,"",_xlpm.m+1))</f>
        <v/>
      </c>
      <c r="J1697" s="137" t="inlineStr">
        <is>
          <t>NetSuite</t>
        </is>
      </c>
    </row>
    <row r="1698">
      <c r="A1698" s="5" t="inlineStr">
        <is>
          <t>STETSON AMERICAS</t>
        </is>
      </c>
      <c r="B1698" s="5">
        <f>IF($I2="","",INDEX(Productos!$A:$A,$I2))</f>
        <v/>
      </c>
      <c r="C1698" s="134" t="inlineStr">
        <is>
          <t>ST-VR-P-016-FW25-GS-M</t>
        </is>
      </c>
      <c r="D1698" s="5">
        <f>IF($I2="","",INDEX(Productos!$B:$B,$I2))</f>
        <v/>
      </c>
      <c r="E1698" s="5">
        <f>IF($I2="","",INDEX(Productos!$H:$H,$I2))</f>
        <v/>
      </c>
      <c r="F1698" s="5">
        <f>IF($I2="","",INDEX(Productos!$I:$I,$I2))</f>
        <v/>
      </c>
      <c r="G1698" s="135" t="n">
        <v>-2</v>
      </c>
      <c r="H1698" s="5">
        <f>IF($I2="","",INDEX(Productos!$AG:$AG,$I2))</f>
        <v/>
      </c>
      <c r="I1698" s="136">
        <f>LET(_xlpm.r,Productos!$E$2:$E$2509,_xlpm.m,IFERROR(_xlfn.XMATCH(C1698,_xlpm.r),IFERROR(_xlfn.XMATCH(VALUE(C1698),_xlpm.r),0)),IF(_xlpm.m=0,"",_xlpm.m+1))</f>
        <v/>
      </c>
      <c r="J1698" s="137" t="inlineStr">
        <is>
          <t>NetSuite</t>
        </is>
      </c>
    </row>
    <row r="1699">
      <c r="A1699" s="5" t="inlineStr">
        <is>
          <t>STETSON AMERICAS</t>
        </is>
      </c>
      <c r="B1699" s="5">
        <f>IF($I2="","",INDEX(Productos!$A:$A,$I2))</f>
        <v/>
      </c>
      <c r="C1699" s="134" t="inlineStr">
        <is>
          <t>ST-VR-P-016-FW25-GS-S</t>
        </is>
      </c>
      <c r="D1699" s="5">
        <f>IF($I2="","",INDEX(Productos!$B:$B,$I2))</f>
        <v/>
      </c>
      <c r="E1699" s="5">
        <f>IF($I2="","",INDEX(Productos!$H:$H,$I2))</f>
        <v/>
      </c>
      <c r="F1699" s="5">
        <f>IF($I2="","",INDEX(Productos!$I:$I,$I2))</f>
        <v/>
      </c>
      <c r="G1699" s="135" t="n">
        <v>-1</v>
      </c>
      <c r="H1699" s="5">
        <f>IF($I2="","",INDEX(Productos!$AG:$AG,$I2))</f>
        <v/>
      </c>
      <c r="I1699" s="136">
        <f>LET(_xlpm.r,Productos!$E$2:$E$2509,_xlpm.m,IFERROR(_xlfn.XMATCH(C1699,_xlpm.r),IFERROR(_xlfn.XMATCH(VALUE(C1699),_xlpm.r),0)),IF(_xlpm.m=0,"",_xlpm.m+1))</f>
        <v/>
      </c>
      <c r="J1699" s="137" t="inlineStr">
        <is>
          <t>NetSuite</t>
        </is>
      </c>
    </row>
    <row r="1700">
      <c r="A1700" s="5" t="inlineStr">
        <is>
          <t>STETSON AMERICAS</t>
        </is>
      </c>
      <c r="B1700" s="5">
        <f>IF($I2="","",INDEX(Productos!$A:$A,$I2))</f>
        <v/>
      </c>
      <c r="C1700" s="134" t="inlineStr">
        <is>
          <t>ST-VR-P-016-FW25-GS-XL</t>
        </is>
      </c>
      <c r="D1700" s="5">
        <f>IF($I2="","",INDEX(Productos!$B:$B,$I2))</f>
        <v/>
      </c>
      <c r="E1700" s="5">
        <f>IF($I2="","",INDEX(Productos!$H:$H,$I2))</f>
        <v/>
      </c>
      <c r="F1700" s="5">
        <f>IF($I2="","",INDEX(Productos!$I:$I,$I2))</f>
        <v/>
      </c>
      <c r="G1700" s="135" t="n">
        <v>-3</v>
      </c>
      <c r="H1700" s="5">
        <f>IF($I2="","",INDEX(Productos!$AG:$AG,$I2))</f>
        <v/>
      </c>
      <c r="I1700" s="136">
        <f>LET(_xlpm.r,Productos!$E$2:$E$2509,_xlpm.m,IFERROR(_xlfn.XMATCH(C1700,_xlpm.r),IFERROR(_xlfn.XMATCH(VALUE(C1700),_xlpm.r),0)),IF(_xlpm.m=0,"",_xlpm.m+1))</f>
        <v/>
      </c>
      <c r="J1700" s="137" t="inlineStr">
        <is>
          <t>NetSuite</t>
        </is>
      </c>
    </row>
    <row r="1701">
      <c r="A1701" s="5" t="inlineStr">
        <is>
          <t>STETSON AMERICAS</t>
        </is>
      </c>
      <c r="B1701" s="5">
        <f>IF($I2="","",INDEX(Productos!$A:$A,$I2))</f>
        <v/>
      </c>
      <c r="C1701" s="134" t="inlineStr">
        <is>
          <t>ST-VR-P-017-FW25-SC-L</t>
        </is>
      </c>
      <c r="D1701" s="5">
        <f>IF($I2="","",INDEX(Productos!$B:$B,$I2))</f>
        <v/>
      </c>
      <c r="E1701" s="5">
        <f>IF($I2="","",INDEX(Productos!$H:$H,$I2))</f>
        <v/>
      </c>
      <c r="F1701" s="5">
        <f>IF($I2="","",INDEX(Productos!$I:$I,$I2))</f>
        <v/>
      </c>
      <c r="G1701" s="135" t="n">
        <v>-1</v>
      </c>
      <c r="H1701" s="5">
        <f>IF($I2="","",INDEX(Productos!$AG:$AG,$I2))</f>
        <v/>
      </c>
      <c r="I1701" s="136">
        <f>LET(_xlpm.r,Productos!$E$2:$E$2509,_xlpm.m,IFERROR(_xlfn.XMATCH(C1701,_xlpm.r),IFERROR(_xlfn.XMATCH(VALUE(C1701),_xlpm.r),0)),IF(_xlpm.m=0,"",_xlpm.m+1))</f>
        <v/>
      </c>
      <c r="J1701" s="137" t="inlineStr">
        <is>
          <t>NetSuite</t>
        </is>
      </c>
    </row>
    <row r="1702">
      <c r="A1702" s="5" t="inlineStr">
        <is>
          <t>STETSON AMERICAS</t>
        </is>
      </c>
      <c r="B1702" s="5">
        <f>IF($I2="","",INDEX(Productos!$A:$A,$I2))</f>
        <v/>
      </c>
      <c r="C1702" s="134" t="inlineStr">
        <is>
          <t>ST-VR-P-017-FW25-SC-M</t>
        </is>
      </c>
      <c r="D1702" s="5">
        <f>IF($I2="","",INDEX(Productos!$B:$B,$I2))</f>
        <v/>
      </c>
      <c r="E1702" s="5">
        <f>IF($I2="","",INDEX(Productos!$H:$H,$I2))</f>
        <v/>
      </c>
      <c r="F1702" s="5">
        <f>IF($I2="","",INDEX(Productos!$I:$I,$I2))</f>
        <v/>
      </c>
      <c r="G1702" s="135" t="n">
        <v>-1</v>
      </c>
      <c r="H1702" s="5">
        <f>IF($I2="","",INDEX(Productos!$AG:$AG,$I2))</f>
        <v/>
      </c>
      <c r="I1702" s="136">
        <f>LET(_xlpm.r,Productos!$E$2:$E$2509,_xlpm.m,IFERROR(_xlfn.XMATCH(C1702,_xlpm.r),IFERROR(_xlfn.XMATCH(VALUE(C1702),_xlpm.r),0)),IF(_xlpm.m=0,"",_xlpm.m+1))</f>
        <v/>
      </c>
      <c r="J1702" s="137" t="inlineStr">
        <is>
          <t>NetSuite</t>
        </is>
      </c>
    </row>
    <row r="1703">
      <c r="A1703" s="5" t="inlineStr">
        <is>
          <t>STETSON AMERICAS</t>
        </is>
      </c>
      <c r="B1703" s="5">
        <f>IF($I2="","",INDEX(Productos!$A:$A,$I2))</f>
        <v/>
      </c>
      <c r="C1703" s="134" t="inlineStr">
        <is>
          <t>ST-VR-P-017-FW25-SC-XL</t>
        </is>
      </c>
      <c r="D1703" s="5">
        <f>IF($I2="","",INDEX(Productos!$B:$B,$I2))</f>
        <v/>
      </c>
      <c r="E1703" s="5">
        <f>IF($I2="","",INDEX(Productos!$H:$H,$I2))</f>
        <v/>
      </c>
      <c r="F1703" s="5">
        <f>IF($I2="","",INDEX(Productos!$I:$I,$I2))</f>
        <v/>
      </c>
      <c r="G1703" s="135" t="n">
        <v>-1</v>
      </c>
      <c r="H1703" s="5">
        <f>IF($I2="","",INDEX(Productos!$AG:$AG,$I2))</f>
        <v/>
      </c>
      <c r="I1703" s="136">
        <f>LET(_xlpm.r,Productos!$E$2:$E$2509,_xlpm.m,IFERROR(_xlfn.XMATCH(C1703,_xlpm.r),IFERROR(_xlfn.XMATCH(VALUE(C1703),_xlpm.r),0)),IF(_xlpm.m=0,"",_xlpm.m+1))</f>
        <v/>
      </c>
      <c r="J1703" s="137" t="inlineStr">
        <is>
          <t>NetSuite</t>
        </is>
      </c>
    </row>
    <row r="1704">
      <c r="A1704" s="5" t="inlineStr">
        <is>
          <t>STETSON AMERICAS</t>
        </is>
      </c>
      <c r="B1704" s="5">
        <f>IF($I2="","",INDEX(Productos!$A:$A,$I2))</f>
        <v/>
      </c>
      <c r="C1704" s="134" t="inlineStr">
        <is>
          <t>ST-VR-P-018-FW25-CS-2XL</t>
        </is>
      </c>
      <c r="D1704" s="5">
        <f>IF($I2="","",INDEX(Productos!$B:$B,$I2))</f>
        <v/>
      </c>
      <c r="E1704" s="5">
        <f>IF($I2="","",INDEX(Productos!$H:$H,$I2))</f>
        <v/>
      </c>
      <c r="F1704" s="5">
        <f>IF($I2="","",INDEX(Productos!$I:$I,$I2))</f>
        <v/>
      </c>
      <c r="G1704" s="135" t="n">
        <v>-2</v>
      </c>
      <c r="H1704" s="5">
        <f>IF($I2="","",INDEX(Productos!$AG:$AG,$I2))</f>
        <v/>
      </c>
      <c r="I1704" s="136">
        <f>LET(_xlpm.r,Productos!$E$2:$E$2509,_xlpm.m,IFERROR(_xlfn.XMATCH(C1704,_xlpm.r),IFERROR(_xlfn.XMATCH(VALUE(C1704),_xlpm.r),0)),IF(_xlpm.m=0,"",_xlpm.m+1))</f>
        <v/>
      </c>
      <c r="J1704" s="137" t="inlineStr">
        <is>
          <t>NetSuite</t>
        </is>
      </c>
    </row>
    <row r="1705">
      <c r="A1705" s="5" t="inlineStr">
        <is>
          <t>STETSON AMERICAS</t>
        </is>
      </c>
      <c r="B1705" s="5">
        <f>IF($I2="","",INDEX(Productos!$A:$A,$I2))</f>
        <v/>
      </c>
      <c r="C1705" s="134" t="inlineStr">
        <is>
          <t>ST-VR-P-018-FW25-CS-L</t>
        </is>
      </c>
      <c r="D1705" s="5">
        <f>IF($I2="","",INDEX(Productos!$B:$B,$I2))</f>
        <v/>
      </c>
      <c r="E1705" s="5">
        <f>IF($I2="","",INDEX(Productos!$H:$H,$I2))</f>
        <v/>
      </c>
      <c r="F1705" s="5">
        <f>IF($I2="","",INDEX(Productos!$I:$I,$I2))</f>
        <v/>
      </c>
      <c r="G1705" s="135" t="n">
        <v>-3</v>
      </c>
      <c r="H1705" s="5">
        <f>IF($I2="","",INDEX(Productos!$AG:$AG,$I2))</f>
        <v/>
      </c>
      <c r="I1705" s="136">
        <f>LET(_xlpm.r,Productos!$E$2:$E$2509,_xlpm.m,IFERROR(_xlfn.XMATCH(C1705,_xlpm.r),IFERROR(_xlfn.XMATCH(VALUE(C1705),_xlpm.r),0)),IF(_xlpm.m=0,"",_xlpm.m+1))</f>
        <v/>
      </c>
      <c r="J1705" s="137" t="inlineStr">
        <is>
          <t>NetSuite</t>
        </is>
      </c>
    </row>
    <row r="1706">
      <c r="A1706" s="5" t="inlineStr">
        <is>
          <t>STETSON AMERICAS</t>
        </is>
      </c>
      <c r="B1706" s="5">
        <f>IF($I2="","",INDEX(Productos!$A:$A,$I2))</f>
        <v/>
      </c>
      <c r="C1706" s="134" t="inlineStr">
        <is>
          <t>ST-VR-P-018-FW25-CS-M</t>
        </is>
      </c>
      <c r="D1706" s="5">
        <f>IF($I2="","",INDEX(Productos!$B:$B,$I2))</f>
        <v/>
      </c>
      <c r="E1706" s="5">
        <f>IF($I2="","",INDEX(Productos!$H:$H,$I2))</f>
        <v/>
      </c>
      <c r="F1706" s="5">
        <f>IF($I2="","",INDEX(Productos!$I:$I,$I2))</f>
        <v/>
      </c>
      <c r="G1706" s="135" t="n">
        <v>-2</v>
      </c>
      <c r="H1706" s="5">
        <f>IF($I2="","",INDEX(Productos!$AG:$AG,$I2))</f>
        <v/>
      </c>
      <c r="I1706" s="136">
        <f>LET(_xlpm.r,Productos!$E$2:$E$2509,_xlpm.m,IFERROR(_xlfn.XMATCH(C1706,_xlpm.r),IFERROR(_xlfn.XMATCH(VALUE(C1706),_xlpm.r),0)),IF(_xlpm.m=0,"",_xlpm.m+1))</f>
        <v/>
      </c>
      <c r="J1706" s="137" t="inlineStr">
        <is>
          <t>NetSuite</t>
        </is>
      </c>
    </row>
    <row r="1707">
      <c r="A1707" s="5" t="inlineStr">
        <is>
          <t>STETSON AMERICAS</t>
        </is>
      </c>
      <c r="B1707" s="5">
        <f>IF($I2="","",INDEX(Productos!$A:$A,$I2))</f>
        <v/>
      </c>
      <c r="C1707" s="134" t="inlineStr">
        <is>
          <t>ST-VR-P-018-FW25-CS-S</t>
        </is>
      </c>
      <c r="D1707" s="5">
        <f>IF($I2="","",INDEX(Productos!$B:$B,$I2))</f>
        <v/>
      </c>
      <c r="E1707" s="5">
        <f>IF($I2="","",INDEX(Productos!$H:$H,$I2))</f>
        <v/>
      </c>
      <c r="F1707" s="5">
        <f>IF($I2="","",INDEX(Productos!$I:$I,$I2))</f>
        <v/>
      </c>
      <c r="G1707" s="135" t="n">
        <v>-2</v>
      </c>
      <c r="H1707" s="5">
        <f>IF($I2="","",INDEX(Productos!$AG:$AG,$I2))</f>
        <v/>
      </c>
      <c r="I1707" s="136">
        <f>LET(_xlpm.r,Productos!$E$2:$E$2509,_xlpm.m,IFERROR(_xlfn.XMATCH(C1707,_xlpm.r),IFERROR(_xlfn.XMATCH(VALUE(C1707),_xlpm.r),0)),IF(_xlpm.m=0,"",_xlpm.m+1))</f>
        <v/>
      </c>
      <c r="J1707" s="137" t="inlineStr">
        <is>
          <t>NetSuite</t>
        </is>
      </c>
    </row>
    <row r="1708">
      <c r="A1708" s="5" t="inlineStr">
        <is>
          <t>STETSON AMERICAS</t>
        </is>
      </c>
      <c r="B1708" s="5">
        <f>IF($I2="","",INDEX(Productos!$A:$A,$I2))</f>
        <v/>
      </c>
      <c r="C1708" s="134" t="inlineStr">
        <is>
          <t>ST-VR-P-019-FW25-CM-2XL</t>
        </is>
      </c>
      <c r="D1708" s="5">
        <f>IF($I2="","",INDEX(Productos!$B:$B,$I2))</f>
        <v/>
      </c>
      <c r="E1708" s="5">
        <f>IF($I2="","",INDEX(Productos!$H:$H,$I2))</f>
        <v/>
      </c>
      <c r="F1708" s="5">
        <f>IF($I2="","",INDEX(Productos!$I:$I,$I2))</f>
        <v/>
      </c>
      <c r="G1708" s="135" t="n">
        <v>-1</v>
      </c>
      <c r="H1708" s="5">
        <f>IF($I2="","",INDEX(Productos!$AG:$AG,$I2))</f>
        <v/>
      </c>
      <c r="I1708" s="136">
        <f>LET(_xlpm.r,Productos!$E$2:$E$2509,_xlpm.m,IFERROR(_xlfn.XMATCH(C1708,_xlpm.r),IFERROR(_xlfn.XMATCH(VALUE(C1708),_xlpm.r),0)),IF(_xlpm.m=0,"",_xlpm.m+1))</f>
        <v/>
      </c>
      <c r="J1708" s="137" t="inlineStr">
        <is>
          <t>NetSuite</t>
        </is>
      </c>
    </row>
    <row r="1709">
      <c r="A1709" s="5" t="inlineStr">
        <is>
          <t>STETSON AMERICAS</t>
        </is>
      </c>
      <c r="B1709" s="5">
        <f>IF($I2="","",INDEX(Productos!$A:$A,$I2))</f>
        <v/>
      </c>
      <c r="C1709" s="134" t="inlineStr">
        <is>
          <t>ST-VR-P-019-FW25-CM-L</t>
        </is>
      </c>
      <c r="D1709" s="5">
        <f>IF($I2="","",INDEX(Productos!$B:$B,$I2))</f>
        <v/>
      </c>
      <c r="E1709" s="5">
        <f>IF($I2="","",INDEX(Productos!$H:$H,$I2))</f>
        <v/>
      </c>
      <c r="F1709" s="5">
        <f>IF($I2="","",INDEX(Productos!$I:$I,$I2))</f>
        <v/>
      </c>
      <c r="G1709" s="135" t="n">
        <v>-2</v>
      </c>
      <c r="H1709" s="5">
        <f>IF($I2="","",INDEX(Productos!$AG:$AG,$I2))</f>
        <v/>
      </c>
      <c r="I1709" s="136">
        <f>LET(_xlpm.r,Productos!$E$2:$E$2509,_xlpm.m,IFERROR(_xlfn.XMATCH(C1709,_xlpm.r),IFERROR(_xlfn.XMATCH(VALUE(C1709),_xlpm.r),0)),IF(_xlpm.m=0,"",_xlpm.m+1))</f>
        <v/>
      </c>
      <c r="J1709" s="137" t="inlineStr">
        <is>
          <t>NetSuite</t>
        </is>
      </c>
    </row>
    <row r="1710">
      <c r="A1710" s="5" t="inlineStr">
        <is>
          <t>STETSON AMERICAS</t>
        </is>
      </c>
      <c r="B1710" s="5">
        <f>IF($I2="","",INDEX(Productos!$A:$A,$I2))</f>
        <v/>
      </c>
      <c r="C1710" s="134" t="inlineStr">
        <is>
          <t>ST-VR-P-019-FW25-CM-M</t>
        </is>
      </c>
      <c r="D1710" s="5">
        <f>IF($I2="","",INDEX(Productos!$B:$B,$I2))</f>
        <v/>
      </c>
      <c r="E1710" s="5">
        <f>IF($I2="","",INDEX(Productos!$H:$H,$I2))</f>
        <v/>
      </c>
      <c r="F1710" s="5">
        <f>IF($I2="","",INDEX(Productos!$I:$I,$I2))</f>
        <v/>
      </c>
      <c r="G1710" s="135" t="n">
        <v>-3</v>
      </c>
      <c r="H1710" s="5">
        <f>IF($I2="","",INDEX(Productos!$AG:$AG,$I2))</f>
        <v/>
      </c>
      <c r="I1710" s="136">
        <f>LET(_xlpm.r,Productos!$E$2:$E$2509,_xlpm.m,IFERROR(_xlfn.XMATCH(C1710,_xlpm.r),IFERROR(_xlfn.XMATCH(VALUE(C1710),_xlpm.r),0)),IF(_xlpm.m=0,"",_xlpm.m+1))</f>
        <v/>
      </c>
      <c r="J1710" s="137" t="inlineStr">
        <is>
          <t>NetSuite</t>
        </is>
      </c>
    </row>
    <row r="1711">
      <c r="A1711" s="5" t="inlineStr">
        <is>
          <t>STETSON AMERICAS</t>
        </is>
      </c>
      <c r="B1711" s="5">
        <f>IF($I2="","",INDEX(Productos!$A:$A,$I2))</f>
        <v/>
      </c>
      <c r="C1711" s="134" t="inlineStr">
        <is>
          <t>ST-VR-P-019-FW25-CM-S</t>
        </is>
      </c>
      <c r="D1711" s="5">
        <f>IF($I2="","",INDEX(Productos!$B:$B,$I2))</f>
        <v/>
      </c>
      <c r="E1711" s="5">
        <f>IF($I2="","",INDEX(Productos!$H:$H,$I2))</f>
        <v/>
      </c>
      <c r="F1711" s="5">
        <f>IF($I2="","",INDEX(Productos!$I:$I,$I2))</f>
        <v/>
      </c>
      <c r="G1711" s="135" t="n">
        <v>-1</v>
      </c>
      <c r="H1711" s="5">
        <f>IF($I2="","",INDEX(Productos!$AG:$AG,$I2))</f>
        <v/>
      </c>
      <c r="I1711" s="136">
        <f>LET(_xlpm.r,Productos!$E$2:$E$2509,_xlpm.m,IFERROR(_xlfn.XMATCH(C1711,_xlpm.r),IFERROR(_xlfn.XMATCH(VALUE(C1711),_xlpm.r),0)),IF(_xlpm.m=0,"",_xlpm.m+1))</f>
        <v/>
      </c>
      <c r="J1711" s="137" t="inlineStr">
        <is>
          <t>NetSuite</t>
        </is>
      </c>
    </row>
    <row r="1712">
      <c r="A1712" s="5" t="inlineStr">
        <is>
          <t>STETSON AMERICAS</t>
        </is>
      </c>
      <c r="B1712" s="5">
        <f>IF($I2="","",INDEX(Productos!$A:$A,$I2))</f>
        <v/>
      </c>
      <c r="C1712" s="134" t="inlineStr">
        <is>
          <t>ST-VR-P-019-FW25-CM-XL</t>
        </is>
      </c>
      <c r="D1712" s="5">
        <f>IF($I2="","",INDEX(Productos!$B:$B,$I2))</f>
        <v/>
      </c>
      <c r="E1712" s="5">
        <f>IF($I2="","",INDEX(Productos!$H:$H,$I2))</f>
        <v/>
      </c>
      <c r="F1712" s="5">
        <f>IF($I2="","",INDEX(Productos!$I:$I,$I2))</f>
        <v/>
      </c>
      <c r="G1712" s="135" t="n">
        <v>-4</v>
      </c>
      <c r="H1712" s="5">
        <f>IF($I2="","",INDEX(Productos!$AG:$AG,$I2))</f>
        <v/>
      </c>
      <c r="I1712" s="136">
        <f>LET(_xlpm.r,Productos!$E$2:$E$2509,_xlpm.m,IFERROR(_xlfn.XMATCH(C1712,_xlpm.r),IFERROR(_xlfn.XMATCH(VALUE(C1712),_xlpm.r),0)),IF(_xlpm.m=0,"",_xlpm.m+1))</f>
        <v/>
      </c>
      <c r="J1712" s="137" t="inlineStr">
        <is>
          <t>NetSuite</t>
        </is>
      </c>
    </row>
    <row r="1713">
      <c r="A1713" s="5" t="inlineStr">
        <is>
          <t>STETSON AMERICAS</t>
        </is>
      </c>
      <c r="B1713" s="5">
        <f>IF($I2="","",INDEX(Productos!$A:$A,$I2))</f>
        <v/>
      </c>
      <c r="C1713" s="134" t="inlineStr">
        <is>
          <t>ST-VR-P-020-FW25-MT-M</t>
        </is>
      </c>
      <c r="D1713" s="5">
        <f>IF($I2="","",INDEX(Productos!$B:$B,$I2))</f>
        <v/>
      </c>
      <c r="E1713" s="5">
        <f>IF($I2="","",INDEX(Productos!$H:$H,$I2))</f>
        <v/>
      </c>
      <c r="F1713" s="5">
        <f>IF($I2="","",INDEX(Productos!$I:$I,$I2))</f>
        <v/>
      </c>
      <c r="G1713" s="135" t="n">
        <v>-1</v>
      </c>
      <c r="H1713" s="5">
        <f>IF($I2="","",INDEX(Productos!$AG:$AG,$I2))</f>
        <v/>
      </c>
      <c r="I1713" s="136">
        <f>LET(_xlpm.r,Productos!$E$2:$E$2509,_xlpm.m,IFERROR(_xlfn.XMATCH(C1713,_xlpm.r),IFERROR(_xlfn.XMATCH(VALUE(C1713),_xlpm.r),0)),IF(_xlpm.m=0,"",_xlpm.m+1))</f>
        <v/>
      </c>
      <c r="J1713" s="137" t="inlineStr">
        <is>
          <t>NetSuite</t>
        </is>
      </c>
    </row>
    <row r="1714">
      <c r="A1714" s="5" t="inlineStr">
        <is>
          <t>STETSON AMERICAS</t>
        </is>
      </c>
      <c r="B1714" s="5">
        <f>IF($I2="","",INDEX(Productos!$A:$A,$I2))</f>
        <v/>
      </c>
      <c r="C1714" s="134" t="inlineStr">
        <is>
          <t>ST-VR-P-021-FW25-DQ-L</t>
        </is>
      </c>
      <c r="D1714" s="5">
        <f>IF($I2="","",INDEX(Productos!$B:$B,$I2))</f>
        <v/>
      </c>
      <c r="E1714" s="5">
        <f>IF($I2="","",INDEX(Productos!$H:$H,$I2))</f>
        <v/>
      </c>
      <c r="F1714" s="5">
        <f>IF($I2="","",INDEX(Productos!$I:$I,$I2))</f>
        <v/>
      </c>
      <c r="G1714" s="135" t="n">
        <v>-1</v>
      </c>
      <c r="H1714" s="5">
        <f>IF($I2="","",INDEX(Productos!$AG:$AG,$I2))</f>
        <v/>
      </c>
      <c r="I1714" s="136">
        <f>LET(_xlpm.r,Productos!$E$2:$E$2509,_xlpm.m,IFERROR(_xlfn.XMATCH(C1714,_xlpm.r),IFERROR(_xlfn.XMATCH(VALUE(C1714),_xlpm.r),0)),IF(_xlpm.m=0,"",_xlpm.m+1))</f>
        <v/>
      </c>
      <c r="J1714" s="137" t="inlineStr">
        <is>
          <t>NetSuite</t>
        </is>
      </c>
    </row>
    <row r="1715">
      <c r="A1715" s="5" t="inlineStr">
        <is>
          <t>STETSON AMERICAS</t>
        </is>
      </c>
      <c r="B1715" s="5">
        <f>IF($I2="","",INDEX(Productos!$A:$A,$I2))</f>
        <v/>
      </c>
      <c r="C1715" s="134" t="inlineStr">
        <is>
          <t>ST-VR-P-021-FW25-DQ-M</t>
        </is>
      </c>
      <c r="D1715" s="5">
        <f>IF($I2="","",INDEX(Productos!$B:$B,$I2))</f>
        <v/>
      </c>
      <c r="E1715" s="5">
        <f>IF($I2="","",INDEX(Productos!$H:$H,$I2))</f>
        <v/>
      </c>
      <c r="F1715" s="5">
        <f>IF($I2="","",INDEX(Productos!$I:$I,$I2))</f>
        <v/>
      </c>
      <c r="G1715" s="135" t="n">
        <v>-3</v>
      </c>
      <c r="H1715" s="5">
        <f>IF($I2="","",INDEX(Productos!$AG:$AG,$I2))</f>
        <v/>
      </c>
      <c r="I1715" s="136">
        <f>LET(_xlpm.r,Productos!$E$2:$E$2509,_xlpm.m,IFERROR(_xlfn.XMATCH(C1715,_xlpm.r),IFERROR(_xlfn.XMATCH(VALUE(C1715),_xlpm.r),0)),IF(_xlpm.m=0,"",_xlpm.m+1))</f>
        <v/>
      </c>
      <c r="J1715" s="137" t="inlineStr">
        <is>
          <t>NetSuite</t>
        </is>
      </c>
    </row>
    <row r="1716">
      <c r="A1716" s="5" t="inlineStr">
        <is>
          <t>STETSON AMERICAS</t>
        </is>
      </c>
      <c r="B1716" s="5">
        <f>IF($I2="","",INDEX(Productos!$A:$A,$I2))</f>
        <v/>
      </c>
      <c r="C1716" s="134" t="inlineStr">
        <is>
          <t>ST-VR-P-021-FW25-DQ-S</t>
        </is>
      </c>
      <c r="D1716" s="5">
        <f>IF($I2="","",INDEX(Productos!$B:$B,$I2))</f>
        <v/>
      </c>
      <c r="E1716" s="5">
        <f>IF($I2="","",INDEX(Productos!$H:$H,$I2))</f>
        <v/>
      </c>
      <c r="F1716" s="5">
        <f>IF($I2="","",INDEX(Productos!$I:$I,$I2))</f>
        <v/>
      </c>
      <c r="G1716" s="135" t="n">
        <v>-1</v>
      </c>
      <c r="H1716" s="5">
        <f>IF($I2="","",INDEX(Productos!$AG:$AG,$I2))</f>
        <v/>
      </c>
      <c r="I1716" s="136">
        <f>LET(_xlpm.r,Productos!$E$2:$E$2509,_xlpm.m,IFERROR(_xlfn.XMATCH(C1716,_xlpm.r),IFERROR(_xlfn.XMATCH(VALUE(C1716),_xlpm.r),0)),IF(_xlpm.m=0,"",_xlpm.m+1))</f>
        <v/>
      </c>
      <c r="J1716" s="137" t="inlineStr">
        <is>
          <t>NetSuite</t>
        </is>
      </c>
    </row>
    <row r="1717">
      <c r="A1717" s="5" t="inlineStr">
        <is>
          <t>STETSON AMERICAS</t>
        </is>
      </c>
      <c r="B1717" s="5">
        <f>IF($I2="","",INDEX(Productos!$A:$A,$I2))</f>
        <v/>
      </c>
      <c r="C1717" s="134" t="inlineStr">
        <is>
          <t>ST-VR-P-021-FW25-DQ-XL</t>
        </is>
      </c>
      <c r="D1717" s="5">
        <f>IF($I2="","",INDEX(Productos!$B:$B,$I2))</f>
        <v/>
      </c>
      <c r="E1717" s="5">
        <f>IF($I2="","",INDEX(Productos!$H:$H,$I2))</f>
        <v/>
      </c>
      <c r="F1717" s="5">
        <f>IF($I2="","",INDEX(Productos!$I:$I,$I2))</f>
        <v/>
      </c>
      <c r="G1717" s="135" t="n">
        <v>-1</v>
      </c>
      <c r="H1717" s="5">
        <f>IF($I2="","",INDEX(Productos!$AG:$AG,$I2))</f>
        <v/>
      </c>
      <c r="I1717" s="136">
        <f>LET(_xlpm.r,Productos!$E$2:$E$2509,_xlpm.m,IFERROR(_xlfn.XMATCH(C1717,_xlpm.r),IFERROR(_xlfn.XMATCH(VALUE(C1717),_xlpm.r),0)),IF(_xlpm.m=0,"",_xlpm.m+1))</f>
        <v/>
      </c>
      <c r="J1717" s="137" t="inlineStr">
        <is>
          <t>NetSuite</t>
        </is>
      </c>
    </row>
    <row r="1718">
      <c r="A1718" s="5" t="inlineStr">
        <is>
          <t>STETSON AMERICAS</t>
        </is>
      </c>
      <c r="B1718" s="5">
        <f>IF($I2="","",INDEX(Productos!$A:$A,$I2))</f>
        <v/>
      </c>
      <c r="C1718" s="134" t="inlineStr">
        <is>
          <t>ST-VR-P-022-FW25-OG-L</t>
        </is>
      </c>
      <c r="D1718" s="5">
        <f>IF($I2="","",INDEX(Productos!$B:$B,$I2))</f>
        <v/>
      </c>
      <c r="E1718" s="5">
        <f>IF($I2="","",INDEX(Productos!$H:$H,$I2))</f>
        <v/>
      </c>
      <c r="F1718" s="5">
        <f>IF($I2="","",INDEX(Productos!$I:$I,$I2))</f>
        <v/>
      </c>
      <c r="G1718" s="135" t="n">
        <v>-3</v>
      </c>
      <c r="H1718" s="5">
        <f>IF($I2="","",INDEX(Productos!$AG:$AG,$I2))</f>
        <v/>
      </c>
      <c r="I1718" s="136">
        <f>LET(_xlpm.r,Productos!$E$2:$E$2509,_xlpm.m,IFERROR(_xlfn.XMATCH(C1718,_xlpm.r),IFERROR(_xlfn.XMATCH(VALUE(C1718),_xlpm.r),0)),IF(_xlpm.m=0,"",_xlpm.m+1))</f>
        <v/>
      </c>
      <c r="J1718" s="137" t="inlineStr">
        <is>
          <t>NetSuite</t>
        </is>
      </c>
    </row>
    <row r="1719">
      <c r="A1719" s="5" t="inlineStr">
        <is>
          <t>STETSON AMERICAS</t>
        </is>
      </c>
      <c r="B1719" s="5">
        <f>IF($I2="","",INDEX(Productos!$A:$A,$I2))</f>
        <v/>
      </c>
      <c r="C1719" s="134" t="inlineStr">
        <is>
          <t>ST-VR-P-022-FW25-OG-M</t>
        </is>
      </c>
      <c r="D1719" s="5">
        <f>IF($I2="","",INDEX(Productos!$B:$B,$I2))</f>
        <v/>
      </c>
      <c r="E1719" s="5">
        <f>IF($I2="","",INDEX(Productos!$H:$H,$I2))</f>
        <v/>
      </c>
      <c r="F1719" s="5">
        <f>IF($I2="","",INDEX(Productos!$I:$I,$I2))</f>
        <v/>
      </c>
      <c r="G1719" s="135" t="n">
        <v>-2</v>
      </c>
      <c r="H1719" s="5">
        <f>IF($I2="","",INDEX(Productos!$AG:$AG,$I2))</f>
        <v/>
      </c>
      <c r="I1719" s="136">
        <f>LET(_xlpm.r,Productos!$E$2:$E$2509,_xlpm.m,IFERROR(_xlfn.XMATCH(C1719,_xlpm.r),IFERROR(_xlfn.XMATCH(VALUE(C1719),_xlpm.r),0)),IF(_xlpm.m=0,"",_xlpm.m+1))</f>
        <v/>
      </c>
      <c r="J1719" s="137" t="inlineStr">
        <is>
          <t>NetSuite</t>
        </is>
      </c>
    </row>
    <row r="1720">
      <c r="A1720" s="5" t="inlineStr">
        <is>
          <t>STETSON AMERICAS</t>
        </is>
      </c>
      <c r="B1720" s="5">
        <f>IF($I2="","",INDEX(Productos!$A:$A,$I2))</f>
        <v/>
      </c>
      <c r="C1720" s="134" t="inlineStr">
        <is>
          <t>ST-VR-P-022-FW25-OG-XL</t>
        </is>
      </c>
      <c r="D1720" s="5">
        <f>IF($I2="","",INDEX(Productos!$B:$B,$I2))</f>
        <v/>
      </c>
      <c r="E1720" s="5">
        <f>IF($I2="","",INDEX(Productos!$H:$H,$I2))</f>
        <v/>
      </c>
      <c r="F1720" s="5">
        <f>IF($I2="","",INDEX(Productos!$I:$I,$I2))</f>
        <v/>
      </c>
      <c r="G1720" s="135" t="n">
        <v>-4</v>
      </c>
      <c r="H1720" s="5">
        <f>IF($I2="","",INDEX(Productos!$AG:$AG,$I2))</f>
        <v/>
      </c>
      <c r="I1720" s="136">
        <f>LET(_xlpm.r,Productos!$E$2:$E$2509,_xlpm.m,IFERROR(_xlfn.XMATCH(C1720,_xlpm.r),IFERROR(_xlfn.XMATCH(VALUE(C1720),_xlpm.r),0)),IF(_xlpm.m=0,"",_xlpm.m+1))</f>
        <v/>
      </c>
      <c r="J1720" s="137" t="inlineStr">
        <is>
          <t>NetSuite</t>
        </is>
      </c>
    </row>
    <row r="1721">
      <c r="A1721" s="5" t="inlineStr">
        <is>
          <t>STETSON AMERICAS</t>
        </is>
      </c>
      <c r="B1721" s="5">
        <f>IF($I2="","",INDEX(Productos!$A:$A,$I2))</f>
        <v/>
      </c>
      <c r="C1721" s="134" t="inlineStr">
        <is>
          <t>ST-VR-S-001-FW25-AF-L</t>
        </is>
      </c>
      <c r="D1721" s="5">
        <f>IF($I2="","",INDEX(Productos!$B:$B,$I2))</f>
        <v/>
      </c>
      <c r="E1721" s="5">
        <f>IF($I2="","",INDEX(Productos!$H:$H,$I2))</f>
        <v/>
      </c>
      <c r="F1721" s="5">
        <f>IF($I2="","",INDEX(Productos!$I:$I,$I2))</f>
        <v/>
      </c>
      <c r="G1721" s="135" t="n">
        <v>-6</v>
      </c>
      <c r="H1721" s="5">
        <f>IF($I2="","",INDEX(Productos!$AG:$AG,$I2))</f>
        <v/>
      </c>
      <c r="I1721" s="136">
        <f>LET(_xlpm.r,Productos!$E$2:$E$2509,_xlpm.m,IFERROR(_xlfn.XMATCH(C1721,_xlpm.r),IFERROR(_xlfn.XMATCH(VALUE(C1721),_xlpm.r),0)),IF(_xlpm.m=0,"",_xlpm.m+1))</f>
        <v/>
      </c>
      <c r="J1721" s="137" t="inlineStr">
        <is>
          <t>NetSuite</t>
        </is>
      </c>
    </row>
    <row r="1722">
      <c r="A1722" s="5" t="inlineStr">
        <is>
          <t>STETSON AMERICAS</t>
        </is>
      </c>
      <c r="B1722" s="5">
        <f>IF($I2="","",INDEX(Productos!$A:$A,$I2))</f>
        <v/>
      </c>
      <c r="C1722" s="134" t="inlineStr">
        <is>
          <t>ST-VR-S-001-FW25-AF-M</t>
        </is>
      </c>
      <c r="D1722" s="5">
        <f>IF($I2="","",INDEX(Productos!$B:$B,$I2))</f>
        <v/>
      </c>
      <c r="E1722" s="5">
        <f>IF($I2="","",INDEX(Productos!$H:$H,$I2))</f>
        <v/>
      </c>
      <c r="F1722" s="5">
        <f>IF($I2="","",INDEX(Productos!$I:$I,$I2))</f>
        <v/>
      </c>
      <c r="G1722" s="135" t="n">
        <v>-4</v>
      </c>
      <c r="H1722" s="5">
        <f>IF($I2="","",INDEX(Productos!$AG:$AG,$I2))</f>
        <v/>
      </c>
      <c r="I1722" s="136">
        <f>LET(_xlpm.r,Productos!$E$2:$E$2509,_xlpm.m,IFERROR(_xlfn.XMATCH(C1722,_xlpm.r),IFERROR(_xlfn.XMATCH(VALUE(C1722),_xlpm.r),0)),IF(_xlpm.m=0,"",_xlpm.m+1))</f>
        <v/>
      </c>
      <c r="J1722" s="137" t="inlineStr">
        <is>
          <t>NetSuite</t>
        </is>
      </c>
    </row>
    <row r="1723">
      <c r="A1723" s="5" t="inlineStr">
        <is>
          <t>STETSON AMERICAS</t>
        </is>
      </c>
      <c r="B1723" s="5">
        <f>IF($I2="","",INDEX(Productos!$A:$A,$I2))</f>
        <v/>
      </c>
      <c r="C1723" s="134" t="inlineStr">
        <is>
          <t>ST-VR-S-001-FW25-AF-S</t>
        </is>
      </c>
      <c r="D1723" s="5">
        <f>IF($I2="","",INDEX(Productos!$B:$B,$I2))</f>
        <v/>
      </c>
      <c r="E1723" s="5">
        <f>IF($I2="","",INDEX(Productos!$H:$H,$I2))</f>
        <v/>
      </c>
      <c r="F1723" s="5">
        <f>IF($I2="","",INDEX(Productos!$I:$I,$I2))</f>
        <v/>
      </c>
      <c r="G1723" s="135" t="n">
        <v>-3</v>
      </c>
      <c r="H1723" s="5">
        <f>IF($I2="","",INDEX(Productos!$AG:$AG,$I2))</f>
        <v/>
      </c>
      <c r="I1723" s="136">
        <f>LET(_xlpm.r,Productos!$E$2:$E$2509,_xlpm.m,IFERROR(_xlfn.XMATCH(C1723,_xlpm.r),IFERROR(_xlfn.XMATCH(VALUE(C1723),_xlpm.r),0)),IF(_xlpm.m=0,"",_xlpm.m+1))</f>
        <v/>
      </c>
      <c r="J1723" s="137" t="inlineStr">
        <is>
          <t>NetSuite</t>
        </is>
      </c>
    </row>
    <row r="1724">
      <c r="A1724" s="5" t="inlineStr">
        <is>
          <t>STETSON AMERICAS</t>
        </is>
      </c>
      <c r="B1724" s="5">
        <f>IF($I2="","",INDEX(Productos!$A:$A,$I2))</f>
        <v/>
      </c>
      <c r="C1724" s="134" t="inlineStr">
        <is>
          <t>ST-VR-S-001-FW25-AF-XL</t>
        </is>
      </c>
      <c r="D1724" s="5">
        <f>IF($I2="","",INDEX(Productos!$B:$B,$I2))</f>
        <v/>
      </c>
      <c r="E1724" s="5">
        <f>IF($I2="","",INDEX(Productos!$H:$H,$I2))</f>
        <v/>
      </c>
      <c r="F1724" s="5">
        <f>IF($I2="","",INDEX(Productos!$I:$I,$I2))</f>
        <v/>
      </c>
      <c r="G1724" s="135" t="n">
        <v>-3</v>
      </c>
      <c r="H1724" s="5">
        <f>IF($I2="","",INDEX(Productos!$AG:$AG,$I2))</f>
        <v/>
      </c>
      <c r="I1724" s="136">
        <f>LET(_xlpm.r,Productos!$E$2:$E$2509,_xlpm.m,IFERROR(_xlfn.XMATCH(C1724,_xlpm.r),IFERROR(_xlfn.XMATCH(VALUE(C1724),_xlpm.r),0)),IF(_xlpm.m=0,"",_xlpm.m+1))</f>
        <v/>
      </c>
      <c r="J1724" s="137" t="inlineStr">
        <is>
          <t>NetSuite</t>
        </is>
      </c>
    </row>
    <row r="1725">
      <c r="A1725" s="5" t="inlineStr">
        <is>
          <t>STETSON AMERICAS</t>
        </is>
      </c>
      <c r="B1725" s="5">
        <f>IF($I2="","",INDEX(Productos!$A:$A,$I2))</f>
        <v/>
      </c>
      <c r="C1725" s="134" t="inlineStr">
        <is>
          <t>ST-VR-S-002-FW25-OR-L</t>
        </is>
      </c>
      <c r="D1725" s="5">
        <f>IF($I2="","",INDEX(Productos!$B:$B,$I2))</f>
        <v/>
      </c>
      <c r="E1725" s="5">
        <f>IF($I2="","",INDEX(Productos!$H:$H,$I2))</f>
        <v/>
      </c>
      <c r="F1725" s="5">
        <f>IF($I2="","",INDEX(Productos!$I:$I,$I2))</f>
        <v/>
      </c>
      <c r="G1725" s="135" t="n">
        <v>-6</v>
      </c>
      <c r="H1725" s="5">
        <f>IF($I2="","",INDEX(Productos!$AG:$AG,$I2))</f>
        <v/>
      </c>
      <c r="I1725" s="136">
        <f>LET(_xlpm.r,Productos!$E$2:$E$2509,_xlpm.m,IFERROR(_xlfn.XMATCH(C1725,_xlpm.r),IFERROR(_xlfn.XMATCH(VALUE(C1725),_xlpm.r),0)),IF(_xlpm.m=0,"",_xlpm.m+1))</f>
        <v/>
      </c>
      <c r="J1725" s="137" t="inlineStr">
        <is>
          <t>NetSuite</t>
        </is>
      </c>
    </row>
    <row r="1726">
      <c r="A1726" s="5" t="inlineStr">
        <is>
          <t>STETSON AMERICAS</t>
        </is>
      </c>
      <c r="B1726" s="5">
        <f>IF($I2="","",INDEX(Productos!$A:$A,$I2))</f>
        <v/>
      </c>
      <c r="C1726" s="134" t="inlineStr">
        <is>
          <t>ST-VR-S-002-FW25-OR-M</t>
        </is>
      </c>
      <c r="D1726" s="5">
        <f>IF($I2="","",INDEX(Productos!$B:$B,$I2))</f>
        <v/>
      </c>
      <c r="E1726" s="5">
        <f>IF($I2="","",INDEX(Productos!$H:$H,$I2))</f>
        <v/>
      </c>
      <c r="F1726" s="5">
        <f>IF($I2="","",INDEX(Productos!$I:$I,$I2))</f>
        <v/>
      </c>
      <c r="G1726" s="135" t="n">
        <v>-4</v>
      </c>
      <c r="H1726" s="5">
        <f>IF($I2="","",INDEX(Productos!$AG:$AG,$I2))</f>
        <v/>
      </c>
      <c r="I1726" s="136">
        <f>LET(_xlpm.r,Productos!$E$2:$E$2509,_xlpm.m,IFERROR(_xlfn.XMATCH(C1726,_xlpm.r),IFERROR(_xlfn.XMATCH(VALUE(C1726),_xlpm.r),0)),IF(_xlpm.m=0,"",_xlpm.m+1))</f>
        <v/>
      </c>
      <c r="J1726" s="137" t="inlineStr">
        <is>
          <t>NetSuite</t>
        </is>
      </c>
    </row>
    <row r="1727">
      <c r="A1727" s="5" t="inlineStr">
        <is>
          <t>STETSON AMERICAS</t>
        </is>
      </c>
      <c r="B1727" s="5">
        <f>IF($I2="","",INDEX(Productos!$A:$A,$I2))</f>
        <v/>
      </c>
      <c r="C1727" s="134" t="inlineStr">
        <is>
          <t>ST-VR-S-002-FW25-OR-S</t>
        </is>
      </c>
      <c r="D1727" s="5">
        <f>IF($I2="","",INDEX(Productos!$B:$B,$I2))</f>
        <v/>
      </c>
      <c r="E1727" s="5">
        <f>IF($I2="","",INDEX(Productos!$H:$H,$I2))</f>
        <v/>
      </c>
      <c r="F1727" s="5">
        <f>IF($I2="","",INDEX(Productos!$I:$I,$I2))</f>
        <v/>
      </c>
      <c r="G1727" s="135" t="n">
        <v>-4</v>
      </c>
      <c r="H1727" s="5">
        <f>IF($I2="","",INDEX(Productos!$AG:$AG,$I2))</f>
        <v/>
      </c>
      <c r="I1727" s="136">
        <f>LET(_xlpm.r,Productos!$E$2:$E$2509,_xlpm.m,IFERROR(_xlfn.XMATCH(C1727,_xlpm.r),IFERROR(_xlfn.XMATCH(VALUE(C1727),_xlpm.r),0)),IF(_xlpm.m=0,"",_xlpm.m+1))</f>
        <v/>
      </c>
      <c r="J1727" s="137" t="inlineStr">
        <is>
          <t>NetSuite</t>
        </is>
      </c>
    </row>
    <row r="1728">
      <c r="A1728" s="5" t="inlineStr">
        <is>
          <t>STETSON AMERICAS</t>
        </is>
      </c>
      <c r="B1728" s="5">
        <f>IF($I2="","",INDEX(Productos!$A:$A,$I2))</f>
        <v/>
      </c>
      <c r="C1728" s="134" t="inlineStr">
        <is>
          <t>ST-VR-S-002-FW25-OR-XL</t>
        </is>
      </c>
      <c r="D1728" s="5">
        <f>IF($I2="","",INDEX(Productos!$B:$B,$I2))</f>
        <v/>
      </c>
      <c r="E1728" s="5">
        <f>IF($I2="","",INDEX(Productos!$H:$H,$I2))</f>
        <v/>
      </c>
      <c r="F1728" s="5">
        <f>IF($I2="","",INDEX(Productos!$I:$I,$I2))</f>
        <v/>
      </c>
      <c r="G1728" s="135" t="n">
        <v>-4</v>
      </c>
      <c r="H1728" s="5">
        <f>IF($I2="","",INDEX(Productos!$AG:$AG,$I2))</f>
        <v/>
      </c>
      <c r="I1728" s="136">
        <f>LET(_xlpm.r,Productos!$E$2:$E$2509,_xlpm.m,IFERROR(_xlfn.XMATCH(C1728,_xlpm.r),IFERROR(_xlfn.XMATCH(VALUE(C1728),_xlpm.r),0)),IF(_xlpm.m=0,"",_xlpm.m+1))</f>
        <v/>
      </c>
      <c r="J1728" s="137" t="inlineStr">
        <is>
          <t>NetSuite</t>
        </is>
      </c>
    </row>
    <row r="1729">
      <c r="A1729" s="5" t="inlineStr">
        <is>
          <t>STETSON AMERICAS</t>
        </is>
      </c>
      <c r="B1729" s="5">
        <f>IF($I2="","",INDEX(Productos!$A:$A,$I2))</f>
        <v/>
      </c>
      <c r="C1729" s="134" t="inlineStr">
        <is>
          <t>ST-VR-S-003-FW25-WB-2XL</t>
        </is>
      </c>
      <c r="D1729" s="5">
        <f>IF($I2="","",INDEX(Productos!$B:$B,$I2))</f>
        <v/>
      </c>
      <c r="E1729" s="5">
        <f>IF($I2="","",INDEX(Productos!$H:$H,$I2))</f>
        <v/>
      </c>
      <c r="F1729" s="5">
        <f>IF($I2="","",INDEX(Productos!$I:$I,$I2))</f>
        <v/>
      </c>
      <c r="G1729" s="135" t="n">
        <v>-4</v>
      </c>
      <c r="H1729" s="5">
        <f>IF($I2="","",INDEX(Productos!$AG:$AG,$I2))</f>
        <v/>
      </c>
      <c r="I1729" s="136">
        <f>LET(_xlpm.r,Productos!$E$2:$E$2509,_xlpm.m,IFERROR(_xlfn.XMATCH(C1729,_xlpm.r),IFERROR(_xlfn.XMATCH(VALUE(C1729),_xlpm.r),0)),IF(_xlpm.m=0,"",_xlpm.m+1))</f>
        <v/>
      </c>
      <c r="J1729" s="137" t="inlineStr">
        <is>
          <t>NetSuite</t>
        </is>
      </c>
    </row>
    <row r="1730">
      <c r="A1730" s="5" t="inlineStr">
        <is>
          <t>STETSON AMERICAS</t>
        </is>
      </c>
      <c r="B1730" s="5">
        <f>IF($I2="","",INDEX(Productos!$A:$A,$I2))</f>
        <v/>
      </c>
      <c r="C1730" s="134" t="inlineStr">
        <is>
          <t>ST-VR-S-003-FW25-WB-L</t>
        </is>
      </c>
      <c r="D1730" s="5">
        <f>IF($I2="","",INDEX(Productos!$B:$B,$I2))</f>
        <v/>
      </c>
      <c r="E1730" s="5">
        <f>IF($I2="","",INDEX(Productos!$H:$H,$I2))</f>
        <v/>
      </c>
      <c r="F1730" s="5">
        <f>IF($I2="","",INDEX(Productos!$I:$I,$I2))</f>
        <v/>
      </c>
      <c r="G1730" s="135" t="n">
        <v>-4</v>
      </c>
      <c r="H1730" s="5">
        <f>IF($I2="","",INDEX(Productos!$AG:$AG,$I2))</f>
        <v/>
      </c>
      <c r="I1730" s="136">
        <f>LET(_xlpm.r,Productos!$E$2:$E$2509,_xlpm.m,IFERROR(_xlfn.XMATCH(C1730,_xlpm.r),IFERROR(_xlfn.XMATCH(VALUE(C1730),_xlpm.r),0)),IF(_xlpm.m=0,"",_xlpm.m+1))</f>
        <v/>
      </c>
      <c r="J1730" s="137" t="inlineStr">
        <is>
          <t>NetSuite</t>
        </is>
      </c>
    </row>
    <row r="1731">
      <c r="A1731" s="5" t="inlineStr">
        <is>
          <t>STETSON AMERICAS</t>
        </is>
      </c>
      <c r="B1731" s="5">
        <f>IF($I2="","",INDEX(Productos!$A:$A,$I2))</f>
        <v/>
      </c>
      <c r="C1731" s="134" t="inlineStr">
        <is>
          <t>ST-VR-S-003-FW25-WB-M</t>
        </is>
      </c>
      <c r="D1731" s="5">
        <f>IF($I2="","",INDEX(Productos!$B:$B,$I2))</f>
        <v/>
      </c>
      <c r="E1731" s="5">
        <f>IF($I2="","",INDEX(Productos!$H:$H,$I2))</f>
        <v/>
      </c>
      <c r="F1731" s="5">
        <f>IF($I2="","",INDEX(Productos!$I:$I,$I2))</f>
        <v/>
      </c>
      <c r="G1731" s="135" t="n">
        <v>-4</v>
      </c>
      <c r="H1731" s="5">
        <f>IF($I2="","",INDEX(Productos!$AG:$AG,$I2))</f>
        <v/>
      </c>
      <c r="I1731" s="136">
        <f>LET(_xlpm.r,Productos!$E$2:$E$2509,_xlpm.m,IFERROR(_xlfn.XMATCH(C1731,_xlpm.r),IFERROR(_xlfn.XMATCH(VALUE(C1731),_xlpm.r),0)),IF(_xlpm.m=0,"",_xlpm.m+1))</f>
        <v/>
      </c>
      <c r="J1731" s="137" t="inlineStr">
        <is>
          <t>NetSuite</t>
        </is>
      </c>
    </row>
    <row r="1732">
      <c r="A1732" s="5" t="inlineStr">
        <is>
          <t>STETSON AMERICAS</t>
        </is>
      </c>
      <c r="B1732" s="5">
        <f>IF($I2="","",INDEX(Productos!$A:$A,$I2))</f>
        <v/>
      </c>
      <c r="C1732" s="134" t="inlineStr">
        <is>
          <t>ST-VR-S-003-FW25-WB-S</t>
        </is>
      </c>
      <c r="D1732" s="5">
        <f>IF($I2="","",INDEX(Productos!$B:$B,$I2))</f>
        <v/>
      </c>
      <c r="E1732" s="5">
        <f>IF($I2="","",INDEX(Productos!$H:$H,$I2))</f>
        <v/>
      </c>
      <c r="F1732" s="5">
        <f>IF($I2="","",INDEX(Productos!$I:$I,$I2))</f>
        <v/>
      </c>
      <c r="G1732" s="135" t="n">
        <v>-3</v>
      </c>
      <c r="H1732" s="5">
        <f>IF($I2="","",INDEX(Productos!$AG:$AG,$I2))</f>
        <v/>
      </c>
      <c r="I1732" s="136">
        <f>LET(_xlpm.r,Productos!$E$2:$E$2509,_xlpm.m,IFERROR(_xlfn.XMATCH(C1732,_xlpm.r),IFERROR(_xlfn.XMATCH(VALUE(C1732),_xlpm.r),0)),IF(_xlpm.m=0,"",_xlpm.m+1))</f>
        <v/>
      </c>
      <c r="J1732" s="137" t="inlineStr">
        <is>
          <t>NetSuite</t>
        </is>
      </c>
    </row>
    <row r="1733">
      <c r="A1733" s="5" t="inlineStr">
        <is>
          <t>STETSON AMERICAS</t>
        </is>
      </c>
      <c r="B1733" s="5">
        <f>IF($I2="","",INDEX(Productos!$A:$A,$I2))</f>
        <v/>
      </c>
      <c r="C1733" s="134" t="inlineStr">
        <is>
          <t>ST-VR-S-003-FW25-WB-XL</t>
        </is>
      </c>
      <c r="D1733" s="5">
        <f>IF($I2="","",INDEX(Productos!$B:$B,$I2))</f>
        <v/>
      </c>
      <c r="E1733" s="5">
        <f>IF($I2="","",INDEX(Productos!$H:$H,$I2))</f>
        <v/>
      </c>
      <c r="F1733" s="5">
        <f>IF($I2="","",INDEX(Productos!$I:$I,$I2))</f>
        <v/>
      </c>
      <c r="G1733" s="135" t="n">
        <v>-3</v>
      </c>
      <c r="H1733" s="5">
        <f>IF($I2="","",INDEX(Productos!$AG:$AG,$I2))</f>
        <v/>
      </c>
      <c r="I1733" s="136">
        <f>LET(_xlpm.r,Productos!$E$2:$E$2509,_xlpm.m,IFERROR(_xlfn.XMATCH(C1733,_xlpm.r),IFERROR(_xlfn.XMATCH(VALUE(C1733),_xlpm.r),0)),IF(_xlpm.m=0,"",_xlpm.m+1))</f>
        <v/>
      </c>
      <c r="J1733" s="137" t="inlineStr">
        <is>
          <t>NetSuite</t>
        </is>
      </c>
    </row>
    <row r="1734">
      <c r="A1734" s="5" t="inlineStr">
        <is>
          <t>STETSON AMERICAS</t>
        </is>
      </c>
      <c r="B1734" s="5">
        <f>IF($I2="","",INDEX(Productos!$A:$A,$I2))</f>
        <v/>
      </c>
      <c r="C1734" s="134" t="inlineStr">
        <is>
          <t>ST-VR-S-004-FW25-HO-2XL</t>
        </is>
      </c>
      <c r="D1734" s="5">
        <f>IF($I2="","",INDEX(Productos!$B:$B,$I2))</f>
        <v/>
      </c>
      <c r="E1734" s="5">
        <f>IF($I2="","",INDEX(Productos!$H:$H,$I2))</f>
        <v/>
      </c>
      <c r="F1734" s="5">
        <f>IF($I2="","",INDEX(Productos!$I:$I,$I2))</f>
        <v/>
      </c>
      <c r="G1734" s="135" t="n">
        <v>-1</v>
      </c>
      <c r="H1734" s="5">
        <f>IF($I2="","",INDEX(Productos!$AG:$AG,$I2))</f>
        <v/>
      </c>
      <c r="I1734" s="136">
        <f>LET(_xlpm.r,Productos!$E$2:$E$2509,_xlpm.m,IFERROR(_xlfn.XMATCH(C1734,_xlpm.r),IFERROR(_xlfn.XMATCH(VALUE(C1734),_xlpm.r),0)),IF(_xlpm.m=0,"",_xlpm.m+1))</f>
        <v/>
      </c>
      <c r="J1734" s="137" t="inlineStr">
        <is>
          <t>NetSuite</t>
        </is>
      </c>
    </row>
    <row r="1735">
      <c r="A1735" s="5" t="inlineStr">
        <is>
          <t>STETSON AMERICAS</t>
        </is>
      </c>
      <c r="B1735" s="5">
        <f>IF($I2="","",INDEX(Productos!$A:$A,$I2))</f>
        <v/>
      </c>
      <c r="C1735" s="134" t="inlineStr">
        <is>
          <t>ST-VR-S-004-FW25-HO-L</t>
        </is>
      </c>
      <c r="D1735" s="5">
        <f>IF($I2="","",INDEX(Productos!$B:$B,$I2))</f>
        <v/>
      </c>
      <c r="E1735" s="5">
        <f>IF($I2="","",INDEX(Productos!$H:$H,$I2))</f>
        <v/>
      </c>
      <c r="F1735" s="5">
        <f>IF($I2="","",INDEX(Productos!$I:$I,$I2))</f>
        <v/>
      </c>
      <c r="G1735" s="135" t="n">
        <v>-6</v>
      </c>
      <c r="H1735" s="5">
        <f>IF($I2="","",INDEX(Productos!$AG:$AG,$I2))</f>
        <v/>
      </c>
      <c r="I1735" s="136">
        <f>LET(_xlpm.r,Productos!$E$2:$E$2509,_xlpm.m,IFERROR(_xlfn.XMATCH(C1735,_xlpm.r),IFERROR(_xlfn.XMATCH(VALUE(C1735),_xlpm.r),0)),IF(_xlpm.m=0,"",_xlpm.m+1))</f>
        <v/>
      </c>
      <c r="J1735" s="137" t="inlineStr">
        <is>
          <t>NetSuite</t>
        </is>
      </c>
    </row>
    <row r="1736">
      <c r="A1736" s="5" t="inlineStr">
        <is>
          <t>STETSON AMERICAS</t>
        </is>
      </c>
      <c r="B1736" s="5">
        <f>IF($I2="","",INDEX(Productos!$A:$A,$I2))</f>
        <v/>
      </c>
      <c r="C1736" s="134" t="inlineStr">
        <is>
          <t>ST-VR-S-004-FW25-HO-M</t>
        </is>
      </c>
      <c r="D1736" s="5">
        <f>IF($I2="","",INDEX(Productos!$B:$B,$I2))</f>
        <v/>
      </c>
      <c r="E1736" s="5">
        <f>IF($I2="","",INDEX(Productos!$H:$H,$I2))</f>
        <v/>
      </c>
      <c r="F1736" s="5">
        <f>IF($I2="","",INDEX(Productos!$I:$I,$I2))</f>
        <v/>
      </c>
      <c r="G1736" s="135" t="n">
        <v>-4</v>
      </c>
      <c r="H1736" s="5">
        <f>IF($I2="","",INDEX(Productos!$AG:$AG,$I2))</f>
        <v/>
      </c>
      <c r="I1736" s="136">
        <f>LET(_xlpm.r,Productos!$E$2:$E$2509,_xlpm.m,IFERROR(_xlfn.XMATCH(C1736,_xlpm.r),IFERROR(_xlfn.XMATCH(VALUE(C1736),_xlpm.r),0)),IF(_xlpm.m=0,"",_xlpm.m+1))</f>
        <v/>
      </c>
      <c r="J1736" s="137" t="inlineStr">
        <is>
          <t>NetSuite</t>
        </is>
      </c>
    </row>
    <row r="1737">
      <c r="A1737" s="5" t="inlineStr">
        <is>
          <t>STETSON AMERICAS</t>
        </is>
      </c>
      <c r="B1737" s="5">
        <f>IF($I2="","",INDEX(Productos!$A:$A,$I2))</f>
        <v/>
      </c>
      <c r="C1737" s="134" t="inlineStr">
        <is>
          <t>ST-VR-S-004-FW25-HO-S</t>
        </is>
      </c>
      <c r="D1737" s="5">
        <f>IF($I2="","",INDEX(Productos!$B:$B,$I2))</f>
        <v/>
      </c>
      <c r="E1737" s="5">
        <f>IF($I2="","",INDEX(Productos!$H:$H,$I2))</f>
        <v/>
      </c>
      <c r="F1737" s="5">
        <f>IF($I2="","",INDEX(Productos!$I:$I,$I2))</f>
        <v/>
      </c>
      <c r="G1737" s="135" t="n">
        <v>-2</v>
      </c>
      <c r="H1737" s="5">
        <f>IF($I2="","",INDEX(Productos!$AG:$AG,$I2))</f>
        <v/>
      </c>
      <c r="I1737" s="136">
        <f>LET(_xlpm.r,Productos!$E$2:$E$2509,_xlpm.m,IFERROR(_xlfn.XMATCH(C1737,_xlpm.r),IFERROR(_xlfn.XMATCH(VALUE(C1737),_xlpm.r),0)),IF(_xlpm.m=0,"",_xlpm.m+1))</f>
        <v/>
      </c>
      <c r="J1737" s="137" t="inlineStr">
        <is>
          <t>NetSuite</t>
        </is>
      </c>
    </row>
    <row r="1738">
      <c r="A1738" s="5" t="inlineStr">
        <is>
          <t>STETSON AMERICAS</t>
        </is>
      </c>
      <c r="B1738" s="5">
        <f>IF($I2="","",INDEX(Productos!$A:$A,$I2))</f>
        <v/>
      </c>
      <c r="C1738" s="134" t="inlineStr">
        <is>
          <t>ST-VR-S-004-FW25-HO-XL</t>
        </is>
      </c>
      <c r="D1738" s="5">
        <f>IF($I2="","",INDEX(Productos!$B:$B,$I2))</f>
        <v/>
      </c>
      <c r="E1738" s="5">
        <f>IF($I2="","",INDEX(Productos!$H:$H,$I2))</f>
        <v/>
      </c>
      <c r="F1738" s="5">
        <f>IF($I2="","",INDEX(Productos!$I:$I,$I2))</f>
        <v/>
      </c>
      <c r="G1738" s="135" t="n">
        <v>-5</v>
      </c>
      <c r="H1738" s="5">
        <f>IF($I2="","",INDEX(Productos!$AG:$AG,$I2))</f>
        <v/>
      </c>
      <c r="I1738" s="136">
        <f>LET(_xlpm.r,Productos!$E$2:$E$2509,_xlpm.m,IFERROR(_xlfn.XMATCH(C1738,_xlpm.r),IFERROR(_xlfn.XMATCH(VALUE(C1738),_xlpm.r),0)),IF(_xlpm.m=0,"",_xlpm.m+1))</f>
        <v/>
      </c>
      <c r="J1738" s="137" t="inlineStr">
        <is>
          <t>NetSuite</t>
        </is>
      </c>
    </row>
    <row r="1739">
      <c r="A1739" s="5" t="inlineStr">
        <is>
          <t>STETSON AMERICAS</t>
        </is>
      </c>
      <c r="B1739" s="5">
        <f>IF($I2="","",INDEX(Productos!$A:$A,$I2))</f>
        <v/>
      </c>
      <c r="C1739" s="134" t="inlineStr">
        <is>
          <t>ST-VR-SD-001-FW25-BM-2XL</t>
        </is>
      </c>
      <c r="D1739" s="5">
        <f>IF($I2="","",INDEX(Productos!$B:$B,$I2))</f>
        <v/>
      </c>
      <c r="E1739" s="5">
        <f>IF($I2="","",INDEX(Productos!$H:$H,$I2))</f>
        <v/>
      </c>
      <c r="F1739" s="5">
        <f>IF($I2="","",INDEX(Productos!$I:$I,$I2))</f>
        <v/>
      </c>
      <c r="G1739" s="135" t="n">
        <v>-3</v>
      </c>
      <c r="H1739" s="5">
        <f>IF($I2="","",INDEX(Productos!$AG:$AG,$I2))</f>
        <v/>
      </c>
      <c r="I1739" s="136">
        <f>LET(_xlpm.r,Productos!$E$2:$E$2509,_xlpm.m,IFERROR(_xlfn.XMATCH(C1739,_xlpm.r),IFERROR(_xlfn.XMATCH(VALUE(C1739),_xlpm.r),0)),IF(_xlpm.m=0,"",_xlpm.m+1))</f>
        <v/>
      </c>
      <c r="J1739" s="137" t="inlineStr">
        <is>
          <t>NetSuite</t>
        </is>
      </c>
    </row>
    <row r="1740">
      <c r="A1740" s="5" t="inlineStr">
        <is>
          <t>STETSON AMERICAS</t>
        </is>
      </c>
      <c r="B1740" s="5">
        <f>IF($I2="","",INDEX(Productos!$A:$A,$I2))</f>
        <v/>
      </c>
      <c r="C1740" s="134" t="inlineStr">
        <is>
          <t>ST-VR-SD-001-FW25-BM-L</t>
        </is>
      </c>
      <c r="D1740" s="5">
        <f>IF($I2="","",INDEX(Productos!$B:$B,$I2))</f>
        <v/>
      </c>
      <c r="E1740" s="5">
        <f>IF($I2="","",INDEX(Productos!$H:$H,$I2))</f>
        <v/>
      </c>
      <c r="F1740" s="5">
        <f>IF($I2="","",INDEX(Productos!$I:$I,$I2))</f>
        <v/>
      </c>
      <c r="G1740" s="135" t="n">
        <v>-4</v>
      </c>
      <c r="H1740" s="5">
        <f>IF($I2="","",INDEX(Productos!$AG:$AG,$I2))</f>
        <v/>
      </c>
      <c r="I1740" s="136">
        <f>LET(_xlpm.r,Productos!$E$2:$E$2509,_xlpm.m,IFERROR(_xlfn.XMATCH(C1740,_xlpm.r),IFERROR(_xlfn.XMATCH(VALUE(C1740),_xlpm.r),0)),IF(_xlpm.m=0,"",_xlpm.m+1))</f>
        <v/>
      </c>
      <c r="J1740" s="137" t="inlineStr">
        <is>
          <t>NetSuite</t>
        </is>
      </c>
    </row>
    <row r="1741">
      <c r="A1741" s="5" t="inlineStr">
        <is>
          <t>STETSON AMERICAS</t>
        </is>
      </c>
      <c r="B1741" s="5">
        <f>IF($I2="","",INDEX(Productos!$A:$A,$I2))</f>
        <v/>
      </c>
      <c r="C1741" s="134" t="inlineStr">
        <is>
          <t>ST-VR-SD-001-FW25-BM-M</t>
        </is>
      </c>
      <c r="D1741" s="5">
        <f>IF($I2="","",INDEX(Productos!$B:$B,$I2))</f>
        <v/>
      </c>
      <c r="E1741" s="5">
        <f>IF($I2="","",INDEX(Productos!$H:$H,$I2))</f>
        <v/>
      </c>
      <c r="F1741" s="5">
        <f>IF($I2="","",INDEX(Productos!$I:$I,$I2))</f>
        <v/>
      </c>
      <c r="G1741" s="135" t="n">
        <v>-4</v>
      </c>
      <c r="H1741" s="5">
        <f>IF($I2="","",INDEX(Productos!$AG:$AG,$I2))</f>
        <v/>
      </c>
      <c r="I1741" s="136">
        <f>LET(_xlpm.r,Productos!$E$2:$E$2509,_xlpm.m,IFERROR(_xlfn.XMATCH(C1741,_xlpm.r),IFERROR(_xlfn.XMATCH(VALUE(C1741),_xlpm.r),0)),IF(_xlpm.m=0,"",_xlpm.m+1))</f>
        <v/>
      </c>
      <c r="J1741" s="137" t="inlineStr">
        <is>
          <t>NetSuite</t>
        </is>
      </c>
    </row>
    <row r="1742">
      <c r="A1742" s="5" t="inlineStr">
        <is>
          <t>STETSON AMERICAS</t>
        </is>
      </c>
      <c r="B1742" s="5">
        <f>IF($I2="","",INDEX(Productos!$A:$A,$I2))</f>
        <v/>
      </c>
      <c r="C1742" s="134" t="inlineStr">
        <is>
          <t>ST-VR-SD-001-FW25-BM-S</t>
        </is>
      </c>
      <c r="D1742" s="5">
        <f>IF($I2="","",INDEX(Productos!$B:$B,$I2))</f>
        <v/>
      </c>
      <c r="E1742" s="5">
        <f>IF($I2="","",INDEX(Productos!$H:$H,$I2))</f>
        <v/>
      </c>
      <c r="F1742" s="5">
        <f>IF($I2="","",INDEX(Productos!$I:$I,$I2))</f>
        <v/>
      </c>
      <c r="G1742" s="135" t="n">
        <v>-4</v>
      </c>
      <c r="H1742" s="5">
        <f>IF($I2="","",INDEX(Productos!$AG:$AG,$I2))</f>
        <v/>
      </c>
      <c r="I1742" s="136">
        <f>LET(_xlpm.r,Productos!$E$2:$E$2509,_xlpm.m,IFERROR(_xlfn.XMATCH(C1742,_xlpm.r),IFERROR(_xlfn.XMATCH(VALUE(C1742),_xlpm.r),0)),IF(_xlpm.m=0,"",_xlpm.m+1))</f>
        <v/>
      </c>
      <c r="J1742" s="137" t="inlineStr">
        <is>
          <t>NetSuite</t>
        </is>
      </c>
    </row>
    <row r="1743">
      <c r="A1743" s="5" t="inlineStr">
        <is>
          <t>STETSON AMERICAS</t>
        </is>
      </c>
      <c r="B1743" s="5">
        <f>IF($I2="","",INDEX(Productos!$A:$A,$I2))</f>
        <v/>
      </c>
      <c r="C1743" s="134" t="inlineStr">
        <is>
          <t>ST-VR-SD-001-FW25-BM-XL</t>
        </is>
      </c>
      <c r="D1743" s="5">
        <f>IF($I2="","",INDEX(Productos!$B:$B,$I2))</f>
        <v/>
      </c>
      <c r="E1743" s="5">
        <f>IF($I2="","",INDEX(Productos!$H:$H,$I2))</f>
        <v/>
      </c>
      <c r="F1743" s="5">
        <f>IF($I2="","",INDEX(Productos!$I:$I,$I2))</f>
        <v/>
      </c>
      <c r="G1743" s="135" t="n">
        <v>-5</v>
      </c>
      <c r="H1743" s="5">
        <f>IF($I2="","",INDEX(Productos!$AG:$AG,$I2))</f>
        <v/>
      </c>
      <c r="I1743" s="136">
        <f>LET(_xlpm.r,Productos!$E$2:$E$2509,_xlpm.m,IFERROR(_xlfn.XMATCH(C1743,_xlpm.r),IFERROR(_xlfn.XMATCH(VALUE(C1743),_xlpm.r),0)),IF(_xlpm.m=0,"",_xlpm.m+1))</f>
        <v/>
      </c>
      <c r="J1743" s="137" t="inlineStr">
        <is>
          <t>NetSuite</t>
        </is>
      </c>
    </row>
    <row r="1744">
      <c r="A1744" s="5" t="inlineStr">
        <is>
          <t>STETSON AMERICAS</t>
        </is>
      </c>
      <c r="B1744" s="5">
        <f>IF($I2="","",INDEX(Productos!$A:$A,$I2))</f>
        <v/>
      </c>
      <c r="C1744" s="134" t="inlineStr">
        <is>
          <t>ST160CTBDE</t>
        </is>
      </c>
      <c r="D1744" s="5">
        <f>IF($I2="","",INDEX(Productos!$B:$B,$I2))</f>
        <v/>
      </c>
      <c r="E1744" s="5">
        <f>IF($I2="","",INDEX(Productos!$H:$H,$I2))</f>
        <v/>
      </c>
      <c r="F1744" s="5">
        <f>IF($I2="","",INDEX(Productos!$I:$I,$I2))</f>
        <v/>
      </c>
      <c r="G1744" s="135" t="n">
        <v>-10</v>
      </c>
      <c r="H1744" s="5">
        <f>IF($I2="","",INDEX(Productos!$AG:$AG,$I2))</f>
        <v/>
      </c>
      <c r="I1744" s="136">
        <f>LET(_xlpm.r,Productos!$E$2:$E$2509,_xlpm.m,IFERROR(_xlfn.XMATCH(C1744,_xlpm.r),IFERROR(_xlfn.XMATCH(VALUE(C1744),_xlpm.r),0)),IF(_xlpm.m=0,"",_xlpm.m+1))</f>
        <v/>
      </c>
      <c r="J1744" s="137" t="inlineStr">
        <is>
          <t>NetSuite</t>
        </is>
      </c>
    </row>
    <row r="1745">
      <c r="A1745" s="5" t="inlineStr">
        <is>
          <t>STETSON AMERICAS</t>
        </is>
      </c>
      <c r="B1745" s="5">
        <f>IF($I2="","",INDEX(Productos!$A:$A,$I2))</f>
        <v/>
      </c>
      <c r="C1745" s="134" t="inlineStr">
        <is>
          <t>STS01</t>
        </is>
      </c>
      <c r="D1745" s="5">
        <f>IF($I2="","",INDEX(Productos!$B:$B,$I2))</f>
        <v/>
      </c>
      <c r="E1745" s="5">
        <f>IF($I2="","",INDEX(Productos!$H:$H,$I2))</f>
        <v/>
      </c>
      <c r="F1745" s="5">
        <f>IF($I2="","",INDEX(Productos!$I:$I,$I2))</f>
        <v/>
      </c>
      <c r="G1745" s="135" t="n">
        <v>-2</v>
      </c>
      <c r="H1745" s="5">
        <f>IF($I2="","",INDEX(Productos!$AG:$AG,$I2))</f>
        <v/>
      </c>
      <c r="I1745" s="136">
        <f>LET(_xlpm.r,Productos!$E$2:$E$2509,_xlpm.m,IFERROR(_xlfn.XMATCH(C1745,_xlpm.r),IFERROR(_xlfn.XMATCH(VALUE(C1745),_xlpm.r),0)),IF(_xlpm.m=0,"",_xlpm.m+1))</f>
        <v/>
      </c>
      <c r="J1745" s="137" t="inlineStr">
        <is>
          <t>NetSuite</t>
        </is>
      </c>
    </row>
    <row r="1746">
      <c r="A1746" s="5" t="inlineStr">
        <is>
          <t>STETSON AMERICAS</t>
        </is>
      </c>
      <c r="B1746" s="5">
        <f>IF($I2="","",INDEX(Productos!$A:$A,$I2))</f>
        <v/>
      </c>
      <c r="C1746" s="134" t="inlineStr">
        <is>
          <t>STS02</t>
        </is>
      </c>
      <c r="D1746" s="5">
        <f>IF($I2="","",INDEX(Productos!$B:$B,$I2))</f>
        <v/>
      </c>
      <c r="E1746" s="5">
        <f>IF($I2="","",INDEX(Productos!$H:$H,$I2))</f>
        <v/>
      </c>
      <c r="F1746" s="5">
        <f>IF($I2="","",INDEX(Productos!$I:$I,$I2))</f>
        <v/>
      </c>
      <c r="G1746" s="135" t="n">
        <v>-2</v>
      </c>
      <c r="H1746" s="5">
        <f>IF($I2="","",INDEX(Productos!$AG:$AG,$I2))</f>
        <v/>
      </c>
      <c r="I1746" s="136">
        <f>LET(_xlpm.r,Productos!$E$2:$E$2509,_xlpm.m,IFERROR(_xlfn.XMATCH(C1746,_xlpm.r),IFERROR(_xlfn.XMATCH(VALUE(C1746),_xlpm.r),0)),IF(_xlpm.m=0,"",_xlpm.m+1))</f>
        <v/>
      </c>
      <c r="J1746" s="137" t="inlineStr">
        <is>
          <t>NetSuite</t>
        </is>
      </c>
    </row>
    <row r="1747">
      <c r="A1747" s="5" t="inlineStr">
        <is>
          <t>STETSON AMERICAS</t>
        </is>
      </c>
      <c r="B1747" s="5">
        <f>IF($I2="","",INDEX(Productos!$A:$A,$I2))</f>
        <v/>
      </c>
      <c r="C1747" s="134" t="inlineStr">
        <is>
          <t>STS07</t>
        </is>
      </c>
      <c r="D1747" s="5">
        <f>IF($I2="","",INDEX(Productos!$B:$B,$I2))</f>
        <v/>
      </c>
      <c r="E1747" s="5">
        <f>IF($I2="","",INDEX(Productos!$H:$H,$I2))</f>
        <v/>
      </c>
      <c r="F1747" s="5">
        <f>IF($I2="","",INDEX(Productos!$I:$I,$I2))</f>
        <v/>
      </c>
      <c r="G1747" s="135" t="n">
        <v>-3</v>
      </c>
      <c r="H1747" s="5">
        <f>IF($I2="","",INDEX(Productos!$AG:$AG,$I2))</f>
        <v/>
      </c>
      <c r="I1747" s="136">
        <f>LET(_xlpm.r,Productos!$E$2:$E$2509,_xlpm.m,IFERROR(_xlfn.XMATCH(C1747,_xlpm.r),IFERROR(_xlfn.XMATCH(VALUE(C1747),_xlpm.r),0)),IF(_xlpm.m=0,"",_xlpm.m+1))</f>
        <v/>
      </c>
      <c r="J1747" s="137" t="inlineStr">
        <is>
          <t>NetSuite</t>
        </is>
      </c>
    </row>
    <row r="1748">
      <c r="A1748" s="5" t="inlineStr">
        <is>
          <t>STETSON AMERICAS</t>
        </is>
      </c>
      <c r="B1748" s="5">
        <f>IF($I2="","",INDEX(Productos!$A:$A,$I2))</f>
        <v/>
      </c>
      <c r="C1748" s="134" t="inlineStr">
        <is>
          <t>STS10</t>
        </is>
      </c>
      <c r="D1748" s="5">
        <f>IF($I2="","",INDEX(Productos!$B:$B,$I2))</f>
        <v/>
      </c>
      <c r="E1748" s="5">
        <f>IF($I2="","",INDEX(Productos!$H:$H,$I2))</f>
        <v/>
      </c>
      <c r="F1748" s="5">
        <f>IF($I2="","",INDEX(Productos!$I:$I,$I2))</f>
        <v/>
      </c>
      <c r="G1748" s="135" t="n">
        <v>-2</v>
      </c>
      <c r="H1748" s="5">
        <f>IF($I2="","",INDEX(Productos!$AG:$AG,$I2))</f>
        <v/>
      </c>
      <c r="I1748" s="136">
        <f>LET(_xlpm.r,Productos!$E$2:$E$2509,_xlpm.m,IFERROR(_xlfn.XMATCH(C1748,_xlpm.r),IFERROR(_xlfn.XMATCH(VALUE(C1748),_xlpm.r),0)),IF(_xlpm.m=0,"",_xlpm.m+1))</f>
        <v/>
      </c>
      <c r="J1748" s="137" t="inlineStr">
        <is>
          <t>NetSuite</t>
        </is>
      </c>
    </row>
    <row r="1749">
      <c r="A1749" s="5" t="inlineStr">
        <is>
          <t>STETSON AMERICAS</t>
        </is>
      </c>
      <c r="B1749" s="5">
        <f>IF($I2="","",INDEX(Productos!$A:$A,$I2))</f>
        <v/>
      </c>
      <c r="C1749" s="134" t="inlineStr">
        <is>
          <t>STS17</t>
        </is>
      </c>
      <c r="D1749" s="5">
        <f>IF($I2="","",INDEX(Productos!$B:$B,$I2))</f>
        <v/>
      </c>
      <c r="E1749" s="5">
        <f>IF($I2="","",INDEX(Productos!$H:$H,$I2))</f>
        <v/>
      </c>
      <c r="F1749" s="5">
        <f>IF($I2="","",INDEX(Productos!$I:$I,$I2))</f>
        <v/>
      </c>
      <c r="G1749" s="135" t="n">
        <v>-2</v>
      </c>
      <c r="H1749" s="5">
        <f>IF($I2="","",INDEX(Productos!$AG:$AG,$I2))</f>
        <v/>
      </c>
      <c r="I1749" s="136">
        <f>LET(_xlpm.r,Productos!$E$2:$E$2509,_xlpm.m,IFERROR(_xlfn.XMATCH(C1749,_xlpm.r),IFERROR(_xlfn.XMATCH(VALUE(C1749),_xlpm.r),0)),IF(_xlpm.m=0,"",_xlpm.m+1))</f>
        <v/>
      </c>
      <c r="J1749" s="137" t="inlineStr">
        <is>
          <t>NetSuite</t>
        </is>
      </c>
    </row>
    <row r="1750">
      <c r="A1750" s="5" t="inlineStr">
        <is>
          <t>STETSON AMERICAS</t>
        </is>
      </c>
      <c r="B1750" s="5">
        <f>IF($I2="","",INDEX(Productos!$A:$A,$I2))</f>
        <v/>
      </c>
      <c r="C1750" s="134" t="inlineStr">
        <is>
          <t>STS19</t>
        </is>
      </c>
      <c r="D1750" s="5">
        <f>IF($I2="","",INDEX(Productos!$B:$B,$I2))</f>
        <v/>
      </c>
      <c r="E1750" s="5">
        <f>IF($I2="","",INDEX(Productos!$H:$H,$I2))</f>
        <v/>
      </c>
      <c r="F1750" s="5">
        <f>IF($I2="","",INDEX(Productos!$I:$I,$I2))</f>
        <v/>
      </c>
      <c r="G1750" s="135" t="n">
        <v>-1</v>
      </c>
      <c r="H1750" s="5">
        <f>IF($I2="","",INDEX(Productos!$AG:$AG,$I2))</f>
        <v/>
      </c>
      <c r="I1750" s="136">
        <f>LET(_xlpm.r,Productos!$E$2:$E$2509,_xlpm.m,IFERROR(_xlfn.XMATCH(C1750,_xlpm.r),IFERROR(_xlfn.XMATCH(VALUE(C1750),_xlpm.r),0)),IF(_xlpm.m=0,"",_xlpm.m+1))</f>
        <v/>
      </c>
      <c r="J1750" s="137" t="inlineStr">
        <is>
          <t>NetSuite</t>
        </is>
      </c>
    </row>
    <row r="1751">
      <c r="A1751" s="5" t="inlineStr">
        <is>
          <t>STETSON AMERICAS</t>
        </is>
      </c>
      <c r="B1751" s="5">
        <f>IF($I2="","",INDEX(Productos!$A:$A,$I2))</f>
        <v/>
      </c>
      <c r="C1751" s="134" t="inlineStr">
        <is>
          <t>STS20</t>
        </is>
      </c>
      <c r="D1751" s="5">
        <f>IF($I2="","",INDEX(Productos!$B:$B,$I2))</f>
        <v/>
      </c>
      <c r="E1751" s="5">
        <f>IF($I2="","",INDEX(Productos!$H:$H,$I2))</f>
        <v/>
      </c>
      <c r="F1751" s="5">
        <f>IF($I2="","",INDEX(Productos!$I:$I,$I2))</f>
        <v/>
      </c>
      <c r="G1751" s="135" t="n">
        <v>-2</v>
      </c>
      <c r="H1751" s="5">
        <f>IF($I2="","",INDEX(Productos!$AG:$AG,$I2))</f>
        <v/>
      </c>
      <c r="I1751" s="136">
        <f>LET(_xlpm.r,Productos!$E$2:$E$2509,_xlpm.m,IFERROR(_xlfn.XMATCH(C1751,_xlpm.r),IFERROR(_xlfn.XMATCH(VALUE(C1751),_xlpm.r),0)),IF(_xlpm.m=0,"",_xlpm.m+1))</f>
        <v/>
      </c>
      <c r="J1751" s="137" t="inlineStr">
        <is>
          <t>NetSuite</t>
        </is>
      </c>
    </row>
    <row r="1752">
      <c r="A1752" s="5" t="inlineStr">
        <is>
          <t>STETSON AMERICAS</t>
        </is>
      </c>
      <c r="B1752" s="5">
        <f>IF($I2="","",INDEX(Productos!$A:$A,$I2))</f>
        <v/>
      </c>
      <c r="C1752" s="134" t="inlineStr">
        <is>
          <t>STS24</t>
        </is>
      </c>
      <c r="D1752" s="5">
        <f>IF($I2="","",INDEX(Productos!$B:$B,$I2))</f>
        <v/>
      </c>
      <c r="E1752" s="5">
        <f>IF($I2="","",INDEX(Productos!$H:$H,$I2))</f>
        <v/>
      </c>
      <c r="F1752" s="5">
        <f>IF($I2="","",INDEX(Productos!$I:$I,$I2))</f>
        <v/>
      </c>
      <c r="G1752" s="135" t="n">
        <v>-1</v>
      </c>
      <c r="H1752" s="5">
        <f>IF($I2="","",INDEX(Productos!$AG:$AG,$I2))</f>
        <v/>
      </c>
      <c r="I1752" s="136">
        <f>LET(_xlpm.r,Productos!$E$2:$E$2509,_xlpm.m,IFERROR(_xlfn.XMATCH(C1752,_xlpm.r),IFERROR(_xlfn.XMATCH(VALUE(C1752),_xlpm.r),0)),IF(_xlpm.m=0,"",_xlpm.m+1))</f>
        <v/>
      </c>
      <c r="J1752" s="137" t="inlineStr">
        <is>
          <t>NetSuite</t>
        </is>
      </c>
    </row>
    <row r="1753">
      <c r="A1753" s="5" t="inlineStr">
        <is>
          <t>STETSON AMERICAS</t>
        </is>
      </c>
      <c r="B1753" s="5">
        <f>IF($I2="","",INDEX(Productos!$A:$A,$I2))</f>
        <v/>
      </c>
      <c r="C1753" s="134" t="inlineStr">
        <is>
          <t>STS25</t>
        </is>
      </c>
      <c r="D1753" s="5">
        <f>IF($I2="","",INDEX(Productos!$B:$B,$I2))</f>
        <v/>
      </c>
      <c r="E1753" s="5">
        <f>IF($I2="","",INDEX(Productos!$H:$H,$I2))</f>
        <v/>
      </c>
      <c r="F1753" s="5">
        <f>IF($I2="","",INDEX(Productos!$I:$I,$I2))</f>
        <v/>
      </c>
      <c r="G1753" s="135" t="n">
        <v>-3</v>
      </c>
      <c r="H1753" s="5">
        <f>IF($I2="","",INDEX(Productos!$AG:$AG,$I2))</f>
        <v/>
      </c>
      <c r="I1753" s="136">
        <f>LET(_xlpm.r,Productos!$E$2:$E$2509,_xlpm.m,IFERROR(_xlfn.XMATCH(C1753,_xlpm.r),IFERROR(_xlfn.XMATCH(VALUE(C1753),_xlpm.r),0)),IF(_xlpm.m=0,"",_xlpm.m+1))</f>
        <v/>
      </c>
      <c r="J1753" s="137" t="inlineStr">
        <is>
          <t>NetSuite</t>
        </is>
      </c>
    </row>
    <row r="1754">
      <c r="A1754" s="5" t="inlineStr">
        <is>
          <t>STETSON AMERICAS</t>
        </is>
      </c>
      <c r="B1754" s="5">
        <f>IF($I2="","",INDEX(Productos!$A:$A,$I2))</f>
        <v/>
      </c>
      <c r="C1754" s="134" t="inlineStr">
        <is>
          <t>STS29</t>
        </is>
      </c>
      <c r="D1754" s="5">
        <f>IF($I2="","",INDEX(Productos!$B:$B,$I2))</f>
        <v/>
      </c>
      <c r="E1754" s="5">
        <f>IF($I2="","",INDEX(Productos!$H:$H,$I2))</f>
        <v/>
      </c>
      <c r="F1754" s="5">
        <f>IF($I2="","",INDEX(Productos!$I:$I,$I2))</f>
        <v/>
      </c>
      <c r="G1754" s="135" t="n">
        <v>-2</v>
      </c>
      <c r="H1754" s="5">
        <f>IF($I2="","",INDEX(Productos!$AG:$AG,$I2))</f>
        <v/>
      </c>
      <c r="I1754" s="136">
        <f>LET(_xlpm.r,Productos!$E$2:$E$2509,_xlpm.m,IFERROR(_xlfn.XMATCH(C1754,_xlpm.r),IFERROR(_xlfn.XMATCH(VALUE(C1754),_xlpm.r),0)),IF(_xlpm.m=0,"",_xlpm.m+1))</f>
        <v/>
      </c>
      <c r="J1754" s="137" t="inlineStr">
        <is>
          <t>NetSuite</t>
        </is>
      </c>
    </row>
    <row r="1755">
      <c r="A1755" s="5" t="inlineStr">
        <is>
          <t>STETSON AMERICAS</t>
        </is>
      </c>
      <c r="B1755" s="5">
        <f>IF($I2="","",INDEX(Productos!$A:$A,$I2))</f>
        <v/>
      </c>
      <c r="C1755" s="134" t="inlineStr">
        <is>
          <t>STS31</t>
        </is>
      </c>
      <c r="D1755" s="5">
        <f>IF($I2="","",INDEX(Productos!$B:$B,$I2))</f>
        <v/>
      </c>
      <c r="E1755" s="5">
        <f>IF($I2="","",INDEX(Productos!$H:$H,$I2))</f>
        <v/>
      </c>
      <c r="F1755" s="5">
        <f>IF($I2="","",INDEX(Productos!$I:$I,$I2))</f>
        <v/>
      </c>
      <c r="G1755" s="135" t="n">
        <v>-1</v>
      </c>
      <c r="H1755" s="5">
        <f>IF($I2="","",INDEX(Productos!$AG:$AG,$I2))</f>
        <v/>
      </c>
      <c r="I1755" s="136">
        <f>LET(_xlpm.r,Productos!$E$2:$E$2509,_xlpm.m,IFERROR(_xlfn.XMATCH(C1755,_xlpm.r),IFERROR(_xlfn.XMATCH(VALUE(C1755),_xlpm.r),0)),IF(_xlpm.m=0,"",_xlpm.m+1))</f>
        <v/>
      </c>
      <c r="J1755" s="137" t="inlineStr">
        <is>
          <t>NetSuite</t>
        </is>
      </c>
    </row>
    <row r="1756">
      <c r="A1756" s="5" t="inlineStr">
        <is>
          <t>STETSON AMERICAS</t>
        </is>
      </c>
      <c r="B1756" s="5">
        <f>IF($I2="","",INDEX(Productos!$A:$A,$I2))</f>
        <v/>
      </c>
      <c r="C1756" s="134" t="inlineStr">
        <is>
          <t>STS35</t>
        </is>
      </c>
      <c r="D1756" s="5">
        <f>IF($I2="","",INDEX(Productos!$B:$B,$I2))</f>
        <v/>
      </c>
      <c r="E1756" s="5">
        <f>IF($I2="","",INDEX(Productos!$H:$H,$I2))</f>
        <v/>
      </c>
      <c r="F1756" s="5">
        <f>IF($I2="","",INDEX(Productos!$I:$I,$I2))</f>
        <v/>
      </c>
      <c r="G1756" s="135" t="n">
        <v>-1</v>
      </c>
      <c r="H1756" s="5">
        <f>IF($I2="","",INDEX(Productos!$AG:$AG,$I2))</f>
        <v/>
      </c>
      <c r="I1756" s="136">
        <f>LET(_xlpm.r,Productos!$E$2:$E$2509,_xlpm.m,IFERROR(_xlfn.XMATCH(C1756,_xlpm.r),IFERROR(_xlfn.XMATCH(VALUE(C1756),_xlpm.r),0)),IF(_xlpm.m=0,"",_xlpm.m+1))</f>
        <v/>
      </c>
      <c r="J1756" s="137" t="inlineStr">
        <is>
          <t>NetSuite</t>
        </is>
      </c>
    </row>
    <row r="1757">
      <c r="A1757" s="5" t="inlineStr">
        <is>
          <t>STETSON AMERICAS</t>
        </is>
      </c>
      <c r="B1757" s="5">
        <f>IF($I2="","",INDEX(Productos!$A:$A,$I2))</f>
        <v/>
      </c>
      <c r="C1757" s="134" t="inlineStr">
        <is>
          <t>STS37</t>
        </is>
      </c>
      <c r="D1757" s="5">
        <f>IF($I2="","",INDEX(Productos!$B:$B,$I2))</f>
        <v/>
      </c>
      <c r="E1757" s="5">
        <f>IF($I2="","",INDEX(Productos!$H:$H,$I2))</f>
        <v/>
      </c>
      <c r="F1757" s="5">
        <f>IF($I2="","",INDEX(Productos!$I:$I,$I2))</f>
        <v/>
      </c>
      <c r="G1757" s="135" t="n">
        <v>-2</v>
      </c>
      <c r="H1757" s="5">
        <f>IF($I2="","",INDEX(Productos!$AG:$AG,$I2))</f>
        <v/>
      </c>
      <c r="I1757" s="136">
        <f>LET(_xlpm.r,Productos!$E$2:$E$2509,_xlpm.m,IFERROR(_xlfn.XMATCH(C1757,_xlpm.r),IFERROR(_xlfn.XMATCH(VALUE(C1757),_xlpm.r),0)),IF(_xlpm.m=0,"",_xlpm.m+1))</f>
        <v/>
      </c>
      <c r="J1757" s="137" t="inlineStr">
        <is>
          <t>NetSuite</t>
        </is>
      </c>
    </row>
    <row r="1758">
      <c r="A1758" s="5" t="inlineStr">
        <is>
          <t>STETSON AMERICAS</t>
        </is>
      </c>
      <c r="B1758" s="5">
        <f>IF($I2="","",INDEX(Productos!$A:$A,$I2))</f>
        <v/>
      </c>
      <c r="C1758" s="134" t="inlineStr">
        <is>
          <t>STS41</t>
        </is>
      </c>
      <c r="D1758" s="5">
        <f>IF($I2="","",INDEX(Productos!$B:$B,$I2))</f>
        <v/>
      </c>
      <c r="E1758" s="5">
        <f>IF($I2="","",INDEX(Productos!$H:$H,$I2))</f>
        <v/>
      </c>
      <c r="F1758" s="5">
        <f>IF($I2="","",INDEX(Productos!$I:$I,$I2))</f>
        <v/>
      </c>
      <c r="G1758" s="135" t="n">
        <v>-1</v>
      </c>
      <c r="H1758" s="5">
        <f>IF($I2="","",INDEX(Productos!$AG:$AG,$I2))</f>
        <v/>
      </c>
      <c r="I1758" s="136">
        <f>LET(_xlpm.r,Productos!$E$2:$E$2509,_xlpm.m,IFERROR(_xlfn.XMATCH(C1758,_xlpm.r),IFERROR(_xlfn.XMATCH(VALUE(C1758),_xlpm.r),0)),IF(_xlpm.m=0,"",_xlpm.m+1))</f>
        <v/>
      </c>
      <c r="J1758" s="137" t="inlineStr">
        <is>
          <t>NetSuite</t>
        </is>
      </c>
    </row>
    <row r="1759">
      <c r="A1759" s="5" t="inlineStr">
        <is>
          <t>STETSON AMERICAS</t>
        </is>
      </c>
      <c r="B1759" s="5">
        <f>IF($I2="","",INDEX(Productos!$A:$A,$I2))</f>
        <v/>
      </c>
      <c r="C1759" s="134" t="inlineStr">
        <is>
          <t>STS42</t>
        </is>
      </c>
      <c r="D1759" s="5">
        <f>IF($I2="","",INDEX(Productos!$B:$B,$I2))</f>
        <v/>
      </c>
      <c r="E1759" s="5">
        <f>IF($I2="","",INDEX(Productos!$H:$H,$I2))</f>
        <v/>
      </c>
      <c r="F1759" s="5">
        <f>IF($I2="","",INDEX(Productos!$I:$I,$I2))</f>
        <v/>
      </c>
      <c r="G1759" s="135" t="n">
        <v>-2</v>
      </c>
      <c r="H1759" s="5">
        <f>IF($I2="","",INDEX(Productos!$AG:$AG,$I2))</f>
        <v/>
      </c>
      <c r="I1759" s="136">
        <f>LET(_xlpm.r,Productos!$E$2:$E$2509,_xlpm.m,IFERROR(_xlfn.XMATCH(C1759,_xlpm.r),IFERROR(_xlfn.XMATCH(VALUE(C1759),_xlpm.r),0)),IF(_xlpm.m=0,"",_xlpm.m+1))</f>
        <v/>
      </c>
      <c r="J1759" s="137" t="inlineStr">
        <is>
          <t>NetSuite</t>
        </is>
      </c>
    </row>
    <row r="1760">
      <c r="A1760" s="5" t="inlineStr">
        <is>
          <t>STETSON AMERICAS</t>
        </is>
      </c>
      <c r="B1760" s="5">
        <f>IF($I2="","",INDEX(Productos!$A:$A,$I2))</f>
        <v/>
      </c>
      <c r="C1760" s="134" t="inlineStr">
        <is>
          <t>STS43</t>
        </is>
      </c>
      <c r="D1760" s="5">
        <f>IF($I2="","",INDEX(Productos!$B:$B,$I2))</f>
        <v/>
      </c>
      <c r="E1760" s="5">
        <f>IF($I2="","",INDEX(Productos!$H:$H,$I2))</f>
        <v/>
      </c>
      <c r="F1760" s="5">
        <f>IF($I2="","",INDEX(Productos!$I:$I,$I2))</f>
        <v/>
      </c>
      <c r="G1760" s="135" t="n">
        <v>-2</v>
      </c>
      <c r="H1760" s="5">
        <f>IF($I2="","",INDEX(Productos!$AG:$AG,$I2))</f>
        <v/>
      </c>
      <c r="I1760" s="136">
        <f>LET(_xlpm.r,Productos!$E$2:$E$2509,_xlpm.m,IFERROR(_xlfn.XMATCH(C1760,_xlpm.r),IFERROR(_xlfn.XMATCH(VALUE(C1760),_xlpm.r),0)),IF(_xlpm.m=0,"",_xlpm.m+1))</f>
        <v/>
      </c>
      <c r="J1760" s="137" t="inlineStr">
        <is>
          <t>NetSuite</t>
        </is>
      </c>
    </row>
    <row r="1761">
      <c r="A1761" s="5" t="inlineStr">
        <is>
          <t>STETSON AMERICAS</t>
        </is>
      </c>
      <c r="B1761" s="5">
        <f>IF($I2="","",INDEX(Productos!$A:$A,$I2))</f>
        <v/>
      </c>
      <c r="C1761" s="134" t="inlineStr">
        <is>
          <t>STS44</t>
        </is>
      </c>
      <c r="D1761" s="5">
        <f>IF($I2="","",INDEX(Productos!$B:$B,$I2))</f>
        <v/>
      </c>
      <c r="E1761" s="5">
        <f>IF($I2="","",INDEX(Productos!$H:$H,$I2))</f>
        <v/>
      </c>
      <c r="F1761" s="5">
        <f>IF($I2="","",INDEX(Productos!$I:$I,$I2))</f>
        <v/>
      </c>
      <c r="G1761" s="135" t="n">
        <v>-3</v>
      </c>
      <c r="H1761" s="5">
        <f>IF($I2="","",INDEX(Productos!$AG:$AG,$I2))</f>
        <v/>
      </c>
      <c r="I1761" s="136">
        <f>LET(_xlpm.r,Productos!$E$2:$E$2509,_xlpm.m,IFERROR(_xlfn.XMATCH(C1761,_xlpm.r),IFERROR(_xlfn.XMATCH(VALUE(C1761),_xlpm.r),0)),IF(_xlpm.m=0,"",_xlpm.m+1))</f>
        <v/>
      </c>
      <c r="J1761" s="137" t="inlineStr">
        <is>
          <t>NetSuite</t>
        </is>
      </c>
    </row>
    <row r="1762">
      <c r="A1762" s="5" t="inlineStr">
        <is>
          <t>STETSON AMERICAS</t>
        </is>
      </c>
      <c r="B1762" s="5">
        <f>IF($I2="","",INDEX(Productos!$A:$A,$I2))</f>
        <v/>
      </c>
      <c r="C1762" s="134" t="inlineStr">
        <is>
          <t>STS45</t>
        </is>
      </c>
      <c r="D1762" s="5">
        <f>IF($I2="","",INDEX(Productos!$B:$B,$I2))</f>
        <v/>
      </c>
      <c r="E1762" s="5">
        <f>IF($I2="","",INDEX(Productos!$H:$H,$I2))</f>
        <v/>
      </c>
      <c r="F1762" s="5">
        <f>IF($I2="","",INDEX(Productos!$I:$I,$I2))</f>
        <v/>
      </c>
      <c r="G1762" s="135" t="n">
        <v>-1</v>
      </c>
      <c r="H1762" s="5">
        <f>IF($I2="","",INDEX(Productos!$AG:$AG,$I2))</f>
        <v/>
      </c>
      <c r="I1762" s="136">
        <f>LET(_xlpm.r,Productos!$E$2:$E$2509,_xlpm.m,IFERROR(_xlfn.XMATCH(C1762,_xlpm.r),IFERROR(_xlfn.XMATCH(VALUE(C1762),_xlpm.r),0)),IF(_xlpm.m=0,"",_xlpm.m+1))</f>
        <v/>
      </c>
      <c r="J1762" s="137" t="inlineStr">
        <is>
          <t>NetSuite</t>
        </is>
      </c>
    </row>
    <row r="1763">
      <c r="A1763" s="5" t="inlineStr">
        <is>
          <t>STETSON AMERICAS</t>
        </is>
      </c>
      <c r="B1763" s="5">
        <f>IF($I2="","",INDEX(Productos!$A:$A,$I2))</f>
        <v/>
      </c>
      <c r="C1763" s="134" t="inlineStr">
        <is>
          <t>STS46</t>
        </is>
      </c>
      <c r="D1763" s="5">
        <f>IF($I2="","",INDEX(Productos!$B:$B,$I2))</f>
        <v/>
      </c>
      <c r="E1763" s="5">
        <f>IF($I2="","",INDEX(Productos!$H:$H,$I2))</f>
        <v/>
      </c>
      <c r="F1763" s="5">
        <f>IF($I2="","",INDEX(Productos!$I:$I,$I2))</f>
        <v/>
      </c>
      <c r="G1763" s="135" t="n">
        <v>-3</v>
      </c>
      <c r="H1763" s="5">
        <f>IF($I2="","",INDEX(Productos!$AG:$AG,$I2))</f>
        <v/>
      </c>
      <c r="I1763" s="136">
        <f>LET(_xlpm.r,Productos!$E$2:$E$2509,_xlpm.m,IFERROR(_xlfn.XMATCH(C1763,_xlpm.r),IFERROR(_xlfn.XMATCH(VALUE(C1763),_xlpm.r),0)),IF(_xlpm.m=0,"",_xlpm.m+1))</f>
        <v/>
      </c>
      <c r="J1763" s="137" t="inlineStr">
        <is>
          <t>NetSuite</t>
        </is>
      </c>
    </row>
    <row r="1764">
      <c r="A1764" s="5" t="inlineStr">
        <is>
          <t>STETSON AMERICAS</t>
        </is>
      </c>
      <c r="B1764" s="5">
        <f>IF($I2="","",INDEX(Productos!$A:$A,$I2))</f>
        <v/>
      </c>
      <c r="C1764" s="134" t="inlineStr">
        <is>
          <t>STS48</t>
        </is>
      </c>
      <c r="D1764" s="5">
        <f>IF($I2="","",INDEX(Productos!$B:$B,$I2))</f>
        <v/>
      </c>
      <c r="E1764" s="5">
        <f>IF($I2="","",INDEX(Productos!$H:$H,$I2))</f>
        <v/>
      </c>
      <c r="F1764" s="5">
        <f>IF($I2="","",INDEX(Productos!$I:$I,$I2))</f>
        <v/>
      </c>
      <c r="G1764" s="135" t="n">
        <v>-3</v>
      </c>
      <c r="H1764" s="5">
        <f>IF($I2="","",INDEX(Productos!$AG:$AG,$I2))</f>
        <v/>
      </c>
      <c r="I1764" s="136">
        <f>LET(_xlpm.r,Productos!$E$2:$E$2509,_xlpm.m,IFERROR(_xlfn.XMATCH(C1764,_xlpm.r),IFERROR(_xlfn.XMATCH(VALUE(C1764),_xlpm.r),0)),IF(_xlpm.m=0,"",_xlpm.m+1))</f>
        <v/>
      </c>
      <c r="J1764" s="137" t="inlineStr">
        <is>
          <t>NetSuite</t>
        </is>
      </c>
    </row>
    <row r="1765">
      <c r="A1765" s="5" t="inlineStr">
        <is>
          <t>STETSON AMERICAS</t>
        </is>
      </c>
      <c r="B1765" s="5">
        <f>IF($I2="","",INDEX(Productos!$A:$A,$I2))</f>
        <v/>
      </c>
      <c r="C1765" s="134" t="inlineStr">
        <is>
          <t>STS50</t>
        </is>
      </c>
      <c r="D1765" s="5">
        <f>IF($I2="","",INDEX(Productos!$B:$B,$I2))</f>
        <v/>
      </c>
      <c r="E1765" s="5">
        <f>IF($I2="","",INDEX(Productos!$H:$H,$I2))</f>
        <v/>
      </c>
      <c r="F1765" s="5">
        <f>IF($I2="","",INDEX(Productos!$I:$I,$I2))</f>
        <v/>
      </c>
      <c r="G1765" s="135" t="n">
        <v>-2</v>
      </c>
      <c r="H1765" s="5">
        <f>IF($I2="","",INDEX(Productos!$AG:$AG,$I2))</f>
        <v/>
      </c>
      <c r="I1765" s="136">
        <f>LET(_xlpm.r,Productos!$E$2:$E$2509,_xlpm.m,IFERROR(_xlfn.XMATCH(C1765,_xlpm.r),IFERROR(_xlfn.XMATCH(VALUE(C1765),_xlpm.r),0)),IF(_xlpm.m=0,"",_xlpm.m+1))</f>
        <v/>
      </c>
      <c r="J1765" s="137" t="inlineStr">
        <is>
          <t>NetSuite</t>
        </is>
      </c>
    </row>
    <row r="1766">
      <c r="A1766" s="5" t="inlineStr">
        <is>
          <t>STETSON AMERICAS</t>
        </is>
      </c>
      <c r="B1766" s="5">
        <f>IF($I2="","",INDEX(Productos!$A:$A,$I2))</f>
        <v/>
      </c>
      <c r="C1766" s="134" t="inlineStr">
        <is>
          <t>STS51</t>
        </is>
      </c>
      <c r="D1766" s="5">
        <f>IF($I2="","",INDEX(Productos!$B:$B,$I2))</f>
        <v/>
      </c>
      <c r="E1766" s="5">
        <f>IF($I2="","",INDEX(Productos!$H:$H,$I2))</f>
        <v/>
      </c>
      <c r="F1766" s="5">
        <f>IF($I2="","",INDEX(Productos!$I:$I,$I2))</f>
        <v/>
      </c>
      <c r="G1766" s="135" t="n">
        <v>-1</v>
      </c>
      <c r="H1766" s="5">
        <f>IF($I2="","",INDEX(Productos!$AG:$AG,$I2))</f>
        <v/>
      </c>
      <c r="I1766" s="136">
        <f>LET(_xlpm.r,Productos!$E$2:$E$2509,_xlpm.m,IFERROR(_xlfn.XMATCH(C1766,_xlpm.r),IFERROR(_xlfn.XMATCH(VALUE(C1766),_xlpm.r),0)),IF(_xlpm.m=0,"",_xlpm.m+1))</f>
        <v/>
      </c>
      <c r="J1766" s="137" t="inlineStr">
        <is>
          <t>NetSuite</t>
        </is>
      </c>
    </row>
    <row r="1767">
      <c r="A1767" s="5" t="inlineStr">
        <is>
          <t>STETSON AMERICAS</t>
        </is>
      </c>
      <c r="B1767" s="5">
        <f>IF($I2="","",INDEX(Productos!$A:$A,$I2))</f>
        <v/>
      </c>
      <c r="C1767" s="134" t="inlineStr">
        <is>
          <t>STS52</t>
        </is>
      </c>
      <c r="D1767" s="5">
        <f>IF($I2="","",INDEX(Productos!$B:$B,$I2))</f>
        <v/>
      </c>
      <c r="E1767" s="5">
        <f>IF($I2="","",INDEX(Productos!$H:$H,$I2))</f>
        <v/>
      </c>
      <c r="F1767" s="5">
        <f>IF($I2="","",INDEX(Productos!$I:$I,$I2))</f>
        <v/>
      </c>
      <c r="G1767" s="135" t="n">
        <v>-1</v>
      </c>
      <c r="H1767" s="5">
        <f>IF($I2="","",INDEX(Productos!$AG:$AG,$I2))</f>
        <v/>
      </c>
      <c r="I1767" s="136">
        <f>LET(_xlpm.r,Productos!$E$2:$E$2509,_xlpm.m,IFERROR(_xlfn.XMATCH(C1767,_xlpm.r),IFERROR(_xlfn.XMATCH(VALUE(C1767),_xlpm.r),0)),IF(_xlpm.m=0,"",_xlpm.m+1))</f>
        <v/>
      </c>
      <c r="J1767" s="137" t="inlineStr">
        <is>
          <t>NetSuite</t>
        </is>
      </c>
    </row>
    <row r="1768">
      <c r="A1768" s="5" t="inlineStr">
        <is>
          <t>STETSON AMERICAS</t>
        </is>
      </c>
      <c r="B1768" s="5">
        <f>IF($I2="","",INDEX(Productos!$A:$A,$I2))</f>
        <v/>
      </c>
      <c r="C1768" s="134" t="inlineStr">
        <is>
          <t>STS54</t>
        </is>
      </c>
      <c r="D1768" s="5">
        <f>IF($I2="","",INDEX(Productos!$B:$B,$I2))</f>
        <v/>
      </c>
      <c r="E1768" s="5">
        <f>IF($I2="","",INDEX(Productos!$H:$H,$I2))</f>
        <v/>
      </c>
      <c r="F1768" s="5">
        <f>IF($I2="","",INDEX(Productos!$I:$I,$I2))</f>
        <v/>
      </c>
      <c r="G1768" s="135" t="n">
        <v>-1</v>
      </c>
      <c r="H1768" s="5">
        <f>IF($I2="","",INDEX(Productos!$AG:$AG,$I2))</f>
        <v/>
      </c>
      <c r="I1768" s="136">
        <f>LET(_xlpm.r,Productos!$E$2:$E$2509,_xlpm.m,IFERROR(_xlfn.XMATCH(C1768,_xlpm.r),IFERROR(_xlfn.XMATCH(VALUE(C1768),_xlpm.r),0)),IF(_xlpm.m=0,"",_xlpm.m+1))</f>
        <v/>
      </c>
      <c r="J1768" s="137" t="inlineStr">
        <is>
          <t>NetSuite</t>
        </is>
      </c>
    </row>
    <row r="1769">
      <c r="A1769" s="5" t="inlineStr">
        <is>
          <t>STETSON AMERICAS</t>
        </is>
      </c>
      <c r="B1769" s="5">
        <f>IF($I2="","",INDEX(Productos!$A:$A,$I2))</f>
        <v/>
      </c>
      <c r="C1769" s="134" t="inlineStr">
        <is>
          <t>STS59</t>
        </is>
      </c>
      <c r="D1769" s="5">
        <f>IF($I2="","",INDEX(Productos!$B:$B,$I2))</f>
        <v/>
      </c>
      <c r="E1769" s="5">
        <f>IF($I2="","",INDEX(Productos!$H:$H,$I2))</f>
        <v/>
      </c>
      <c r="F1769" s="5">
        <f>IF($I2="","",INDEX(Productos!$I:$I,$I2))</f>
        <v/>
      </c>
      <c r="G1769" s="135" t="n">
        <v>1</v>
      </c>
      <c r="H1769" s="5">
        <f>IF($I2="","",INDEX(Productos!$AG:$AG,$I2))</f>
        <v/>
      </c>
      <c r="I1769" s="136">
        <f>LET(_xlpm.r,Productos!$E$2:$E$2509,_xlpm.m,IFERROR(_xlfn.XMATCH(C1769,_xlpm.r),IFERROR(_xlfn.XMATCH(VALUE(C1769),_xlpm.r),0)),IF(_xlpm.m=0,"",_xlpm.m+1))</f>
        <v/>
      </c>
      <c r="J1769" s="137" t="inlineStr">
        <is>
          <t>NetSuite</t>
        </is>
      </c>
    </row>
    <row r="1770">
      <c r="A1770" s="5" t="inlineStr">
        <is>
          <t>STETSON AMERICAS</t>
        </is>
      </c>
      <c r="B1770" s="5">
        <f>IF($I2="","",INDEX(Productos!$A:$A,$I2))</f>
        <v/>
      </c>
      <c r="C1770" s="134" t="inlineStr">
        <is>
          <t>STS60</t>
        </is>
      </c>
      <c r="D1770" s="5">
        <f>IF($I2="","",INDEX(Productos!$B:$B,$I2))</f>
        <v/>
      </c>
      <c r="E1770" s="5">
        <f>IF($I2="","",INDEX(Productos!$H:$H,$I2))</f>
        <v/>
      </c>
      <c r="F1770" s="5">
        <f>IF($I2="","",INDEX(Productos!$I:$I,$I2))</f>
        <v/>
      </c>
      <c r="G1770" s="135" t="n">
        <v>-3</v>
      </c>
      <c r="H1770" s="5">
        <f>IF($I2="","",INDEX(Productos!$AG:$AG,$I2))</f>
        <v/>
      </c>
      <c r="I1770" s="136">
        <f>LET(_xlpm.r,Productos!$E$2:$E$2509,_xlpm.m,IFERROR(_xlfn.XMATCH(C1770,_xlpm.r),IFERROR(_xlfn.XMATCH(VALUE(C1770),_xlpm.r),0)),IF(_xlpm.m=0,"",_xlpm.m+1))</f>
        <v/>
      </c>
      <c r="J1770" s="137" t="inlineStr">
        <is>
          <t>NetSuite</t>
        </is>
      </c>
    </row>
    <row r="1771">
      <c r="A1771" s="5" t="inlineStr">
        <is>
          <t>STETSON AMERICAS</t>
        </is>
      </c>
      <c r="B1771" s="5">
        <f>IF($I2="","",INDEX(Productos!$A:$A,$I2))</f>
        <v/>
      </c>
      <c r="C1771" s="134" t="inlineStr">
        <is>
          <t>STS61</t>
        </is>
      </c>
      <c r="D1771" s="5">
        <f>IF($I2="","",INDEX(Productos!$B:$B,$I2))</f>
        <v/>
      </c>
      <c r="E1771" s="5">
        <f>IF($I2="","",INDEX(Productos!$H:$H,$I2))</f>
        <v/>
      </c>
      <c r="F1771" s="5">
        <f>IF($I2="","",INDEX(Productos!$I:$I,$I2))</f>
        <v/>
      </c>
      <c r="G1771" s="135" t="n">
        <v>-3</v>
      </c>
      <c r="H1771" s="5">
        <f>IF($I2="","",INDEX(Productos!$AG:$AG,$I2))</f>
        <v/>
      </c>
      <c r="I1771" s="136">
        <f>LET(_xlpm.r,Productos!$E$2:$E$2509,_xlpm.m,IFERROR(_xlfn.XMATCH(C1771,_xlpm.r),IFERROR(_xlfn.XMATCH(VALUE(C1771),_xlpm.r),0)),IF(_xlpm.m=0,"",_xlpm.m+1))</f>
        <v/>
      </c>
      <c r="J1771" s="137" t="inlineStr">
        <is>
          <t>NetSuite</t>
        </is>
      </c>
    </row>
    <row r="1772">
      <c r="A1772" s="5" t="inlineStr">
        <is>
          <t>STETSON AMERICAS</t>
        </is>
      </c>
      <c r="B1772" s="5">
        <f>IF($I2="","",INDEX(Productos!$A:$A,$I2))</f>
        <v/>
      </c>
      <c r="C1772" s="134" t="inlineStr">
        <is>
          <t>STTS07-G</t>
        </is>
      </c>
      <c r="D1772" s="5">
        <f>IF($I2="","",INDEX(Productos!$B:$B,$I2))</f>
        <v/>
      </c>
      <c r="E1772" s="5">
        <f>IF($I2="","",INDEX(Productos!$H:$H,$I2))</f>
        <v/>
      </c>
      <c r="F1772" s="5">
        <f>IF($I2="","",INDEX(Productos!$I:$I,$I2))</f>
        <v/>
      </c>
      <c r="G1772" s="135" t="n">
        <v>-1</v>
      </c>
      <c r="H1772" s="5">
        <f>IF($I2="","",INDEX(Productos!$AG:$AG,$I2))</f>
        <v/>
      </c>
      <c r="I1772" s="136">
        <f>LET(_xlpm.r,Productos!$E$2:$E$2509,_xlpm.m,IFERROR(_xlfn.XMATCH(C1772,_xlpm.r),IFERROR(_xlfn.XMATCH(VALUE(C1772),_xlpm.r),0)),IF(_xlpm.m=0,"",_xlpm.m+1))</f>
        <v/>
      </c>
      <c r="J1772" s="137" t="inlineStr">
        <is>
          <t>NetSuite</t>
        </is>
      </c>
    </row>
    <row r="1773">
      <c r="A1773" s="5" t="inlineStr">
        <is>
          <t>STETSON AMERICAS</t>
        </is>
      </c>
      <c r="B1773" s="5">
        <f>IF($I2="","",INDEX(Productos!$A:$A,$I2))</f>
        <v/>
      </c>
      <c r="C1773" s="134" t="inlineStr">
        <is>
          <t>STTS09-G</t>
        </is>
      </c>
      <c r="D1773" s="5">
        <f>IF($I2="","",INDEX(Productos!$B:$B,$I2))</f>
        <v/>
      </c>
      <c r="E1773" s="5">
        <f>IF($I2="","",INDEX(Productos!$H:$H,$I2))</f>
        <v/>
      </c>
      <c r="F1773" s="5">
        <f>IF($I2="","",INDEX(Productos!$I:$I,$I2))</f>
        <v/>
      </c>
      <c r="G1773" s="135" t="n">
        <v>-1</v>
      </c>
      <c r="H1773" s="5">
        <f>IF($I2="","",INDEX(Productos!$AG:$AG,$I2))</f>
        <v/>
      </c>
      <c r="I1773" s="136">
        <f>LET(_xlpm.r,Productos!$E$2:$E$2509,_xlpm.m,IFERROR(_xlfn.XMATCH(C1773,_xlpm.r),IFERROR(_xlfn.XMATCH(VALUE(C1773),_xlpm.r),0)),IF(_xlpm.m=0,"",_xlpm.m+1))</f>
        <v/>
      </c>
      <c r="J1773" s="137" t="inlineStr">
        <is>
          <t>NetSuite</t>
        </is>
      </c>
    </row>
    <row r="1774">
      <c r="A1774" s="5" t="inlineStr">
        <is>
          <t>STETSON AMERICAS</t>
        </is>
      </c>
      <c r="B1774" s="5">
        <f>IF($I2="","",INDEX(Productos!$A:$A,$I2))</f>
        <v/>
      </c>
      <c r="C1774" s="134" t="inlineStr">
        <is>
          <t>STTS10-M</t>
        </is>
      </c>
      <c r="D1774" s="5">
        <f>IF($I2="","",INDEX(Productos!$B:$B,$I2))</f>
        <v/>
      </c>
      <c r="E1774" s="5">
        <f>IF($I2="","",INDEX(Productos!$H:$H,$I2))</f>
        <v/>
      </c>
      <c r="F1774" s="5">
        <f>IF($I2="","",INDEX(Productos!$I:$I,$I2))</f>
        <v/>
      </c>
      <c r="G1774" s="135" t="n">
        <v>-1</v>
      </c>
      <c r="H1774" s="5">
        <f>IF($I2="","",INDEX(Productos!$AG:$AG,$I2))</f>
        <v/>
      </c>
      <c r="I1774" s="136">
        <f>LET(_xlpm.r,Productos!$E$2:$E$2509,_xlpm.m,IFERROR(_xlfn.XMATCH(C1774,_xlpm.r),IFERROR(_xlfn.XMATCH(VALUE(C1774),_xlpm.r),0)),IF(_xlpm.m=0,"",_xlpm.m+1))</f>
        <v/>
      </c>
      <c r="J1774" s="137" t="inlineStr">
        <is>
          <t>NetSuite</t>
        </is>
      </c>
    </row>
    <row r="1775">
      <c r="A1775" s="5" t="inlineStr">
        <is>
          <t>STETSON AMERICAS</t>
        </is>
      </c>
      <c r="B1775" s="5">
        <f>IF($I2="","",INDEX(Productos!$A:$A,$I2))</f>
        <v/>
      </c>
      <c r="C1775" s="134" t="inlineStr">
        <is>
          <t>STTS11-M</t>
        </is>
      </c>
      <c r="D1775" s="5">
        <f>IF($I2="","",INDEX(Productos!$B:$B,$I2))</f>
        <v/>
      </c>
      <c r="E1775" s="5">
        <f>IF($I2="","",INDEX(Productos!$H:$H,$I2))</f>
        <v/>
      </c>
      <c r="F1775" s="5">
        <f>IF($I2="","",INDEX(Productos!$I:$I,$I2))</f>
        <v/>
      </c>
      <c r="G1775" s="135" t="n">
        <v>-2</v>
      </c>
      <c r="H1775" s="5">
        <f>IF($I2="","",INDEX(Productos!$AG:$AG,$I2))</f>
        <v/>
      </c>
      <c r="I1775" s="136">
        <f>LET(_xlpm.r,Productos!$E$2:$E$2509,_xlpm.m,IFERROR(_xlfn.XMATCH(C1775,_xlpm.r),IFERROR(_xlfn.XMATCH(VALUE(C1775),_xlpm.r),0)),IF(_xlpm.m=0,"",_xlpm.m+1))</f>
        <v/>
      </c>
      <c r="J1775" s="137" t="inlineStr">
        <is>
          <t>NetSuite</t>
        </is>
      </c>
    </row>
    <row r="1776">
      <c r="A1776" s="5" t="inlineStr">
        <is>
          <t>STETSON AMERICAS</t>
        </is>
      </c>
      <c r="B1776" s="5">
        <f>IF($I2="","",INDEX(Productos!$A:$A,$I2))</f>
        <v/>
      </c>
      <c r="C1776" s="134" t="inlineStr">
        <is>
          <t>SWBRNM-72420766</t>
        </is>
      </c>
      <c r="D1776" s="5">
        <f>IF($I2="","",INDEX(Productos!$B:$B,$I2))</f>
        <v/>
      </c>
      <c r="E1776" s="5">
        <f>IF($I2="","",INDEX(Productos!$H:$H,$I2))</f>
        <v/>
      </c>
      <c r="F1776" s="5">
        <f>IF($I2="","",INDEX(Productos!$I:$I,$I2))</f>
        <v/>
      </c>
      <c r="G1776" s="135" t="n">
        <v>-2</v>
      </c>
      <c r="H1776" s="5">
        <f>IF($I2="","",INDEX(Productos!$AG:$AG,$I2))</f>
        <v/>
      </c>
      <c r="I1776" s="136">
        <f>LET(_xlpm.r,Productos!$E$2:$E$2509,_xlpm.m,IFERROR(_xlfn.XMATCH(C1776,_xlpm.r),IFERROR(_xlfn.XMATCH(VALUE(C1776),_xlpm.r),0)),IF(_xlpm.m=0,"",_xlpm.m+1))</f>
        <v/>
      </c>
      <c r="J1776" s="137" t="inlineStr">
        <is>
          <t>NetSuite</t>
        </is>
      </c>
    </row>
    <row r="1777">
      <c r="A1777" s="5" t="inlineStr">
        <is>
          <t>STETSON AMERICAS</t>
        </is>
      </c>
      <c r="B1777" s="5">
        <f>IF($I2="","",INDEX(Productos!$A:$A,$I2))</f>
        <v/>
      </c>
      <c r="C1777" s="134" t="inlineStr">
        <is>
          <t>SWBRNM-72420767</t>
        </is>
      </c>
      <c r="D1777" s="5">
        <f>IF($I2="","",INDEX(Productos!$B:$B,$I2))</f>
        <v/>
      </c>
      <c r="E1777" s="5">
        <f>IF($I2="","",INDEX(Productos!$H:$H,$I2))</f>
        <v/>
      </c>
      <c r="F1777" s="5">
        <f>IF($I2="","",INDEX(Productos!$I:$I,$I2))</f>
        <v/>
      </c>
      <c r="G1777" s="135" t="n">
        <v>-2</v>
      </c>
      <c r="H1777" s="5">
        <f>IF($I2="","",INDEX(Productos!$AG:$AG,$I2))</f>
        <v/>
      </c>
      <c r="I1777" s="136">
        <f>LET(_xlpm.r,Productos!$E$2:$E$2509,_xlpm.m,IFERROR(_xlfn.XMATCH(C1777,_xlpm.r),IFERROR(_xlfn.XMATCH(VALUE(C1777),_xlpm.r),0)),IF(_xlpm.m=0,"",_xlpm.m+1))</f>
        <v/>
      </c>
      <c r="J1777" s="137" t="inlineStr">
        <is>
          <t>NetSuite</t>
        </is>
      </c>
    </row>
    <row r="1778">
      <c r="A1778" s="5" t="inlineStr">
        <is>
          <t>STETSON AMERICAS</t>
        </is>
      </c>
      <c r="B1778" s="5">
        <f>IF($I2="","",INDEX(Productos!$A:$A,$I2))</f>
        <v/>
      </c>
      <c r="C1778" s="134" t="inlineStr">
        <is>
          <t>SWBRNM-72420771</t>
        </is>
      </c>
      <c r="D1778" s="5">
        <f>IF($I2="","",INDEX(Productos!$B:$B,$I2))</f>
        <v/>
      </c>
      <c r="E1778" s="5">
        <f>IF($I2="","",INDEX(Productos!$H:$H,$I2))</f>
        <v/>
      </c>
      <c r="F1778" s="5">
        <f>IF($I2="","",INDEX(Productos!$I:$I,$I2))</f>
        <v/>
      </c>
      <c r="G1778" s="135" t="n">
        <v>-2</v>
      </c>
      <c r="H1778" s="5">
        <f>IF($I2="","",INDEX(Productos!$AG:$AG,$I2))</f>
        <v/>
      </c>
      <c r="I1778" s="136">
        <f>LET(_xlpm.r,Productos!$E$2:$E$2509,_xlpm.m,IFERROR(_xlfn.XMATCH(C1778,_xlpm.r),IFERROR(_xlfn.XMATCH(VALUE(C1778),_xlpm.r),0)),IF(_xlpm.m=0,"",_xlpm.m+1))</f>
        <v/>
      </c>
      <c r="J1778" s="137" t="inlineStr">
        <is>
          <t>NetSuite</t>
        </is>
      </c>
    </row>
    <row r="1779">
      <c r="A1779" s="5" t="inlineStr">
        <is>
          <t>STETSON AMERICAS</t>
        </is>
      </c>
      <c r="B1779" s="5">
        <f>IF($I2="","",INDEX(Productos!$A:$A,$I2))</f>
        <v/>
      </c>
      <c r="C1779" s="134" t="inlineStr">
        <is>
          <t>SWBRNM-72420772</t>
        </is>
      </c>
      <c r="D1779" s="5">
        <f>IF($I2="","",INDEX(Productos!$B:$B,$I2))</f>
        <v/>
      </c>
      <c r="E1779" s="5">
        <f>IF($I2="","",INDEX(Productos!$H:$H,$I2))</f>
        <v/>
      </c>
      <c r="F1779" s="5">
        <f>IF($I2="","",INDEX(Productos!$I:$I,$I2))</f>
        <v/>
      </c>
      <c r="G1779" s="135" t="n">
        <v>-3</v>
      </c>
      <c r="H1779" s="5">
        <f>IF($I2="","",INDEX(Productos!$AG:$AG,$I2))</f>
        <v/>
      </c>
      <c r="I1779" s="136">
        <f>LET(_xlpm.r,Productos!$E$2:$E$2509,_xlpm.m,IFERROR(_xlfn.XMATCH(C1779,_xlpm.r),IFERROR(_xlfn.XMATCH(VALUE(C1779),_xlpm.r),0)),IF(_xlpm.m=0,"",_xlpm.m+1))</f>
        <v/>
      </c>
      <c r="J1779" s="137" t="inlineStr">
        <is>
          <t>NetSuite</t>
        </is>
      </c>
    </row>
    <row r="1780">
      <c r="A1780" s="5" t="inlineStr">
        <is>
          <t>STETSON AMERICAS</t>
        </is>
      </c>
      <c r="B1780" s="5">
        <f>IF($I2="","",INDEX(Productos!$A:$A,$I2))</f>
        <v/>
      </c>
      <c r="C1780" s="134" t="inlineStr">
        <is>
          <t>SWBRNM-72420773</t>
        </is>
      </c>
      <c r="D1780" s="5">
        <f>IF($I2="","",INDEX(Productos!$B:$B,$I2))</f>
        <v/>
      </c>
      <c r="E1780" s="5">
        <f>IF($I2="","",INDEX(Productos!$H:$H,$I2))</f>
        <v/>
      </c>
      <c r="F1780" s="5">
        <f>IF($I2="","",INDEX(Productos!$I:$I,$I2))</f>
        <v/>
      </c>
      <c r="G1780" s="135" t="n">
        <v>-3</v>
      </c>
      <c r="H1780" s="5">
        <f>IF($I2="","",INDEX(Productos!$AG:$AG,$I2))</f>
        <v/>
      </c>
      <c r="I1780" s="136">
        <f>LET(_xlpm.r,Productos!$E$2:$E$2509,_xlpm.m,IFERROR(_xlfn.XMATCH(C1780,_xlpm.r),IFERROR(_xlfn.XMATCH(VALUE(C1780),_xlpm.r),0)),IF(_xlpm.m=0,"",_xlpm.m+1))</f>
        <v/>
      </c>
      <c r="J1780" s="137" t="inlineStr">
        <is>
          <t>NetSuite</t>
        </is>
      </c>
    </row>
    <row r="1781">
      <c r="A1781" s="5" t="inlineStr">
        <is>
          <t>STETSON AMERICAS</t>
        </is>
      </c>
      <c r="B1781" s="5">
        <f>IF($I2="","",INDEX(Productos!$A:$A,$I2))</f>
        <v/>
      </c>
      <c r="C1781" s="134" t="inlineStr">
        <is>
          <t>SWBRNM-72420774</t>
        </is>
      </c>
      <c r="D1781" s="5">
        <f>IF($I2="","",INDEX(Productos!$B:$B,$I2))</f>
        <v/>
      </c>
      <c r="E1781" s="5">
        <f>IF($I2="","",INDEX(Productos!$H:$H,$I2))</f>
        <v/>
      </c>
      <c r="F1781" s="5">
        <f>IF($I2="","",INDEX(Productos!$I:$I,$I2))</f>
        <v/>
      </c>
      <c r="G1781" s="135" t="n">
        <v>-1</v>
      </c>
      <c r="H1781" s="5">
        <f>IF($I2="","",INDEX(Productos!$AG:$AG,$I2))</f>
        <v/>
      </c>
      <c r="I1781" s="136">
        <f>LET(_xlpm.r,Productos!$E$2:$E$2509,_xlpm.m,IFERROR(_xlfn.XMATCH(C1781,_xlpm.r),IFERROR(_xlfn.XMATCH(VALUE(C1781),_xlpm.r),0)),IF(_xlpm.m=0,"",_xlpm.m+1))</f>
        <v/>
      </c>
      <c r="J1781" s="137" t="inlineStr">
        <is>
          <t>NetSuite</t>
        </is>
      </c>
    </row>
    <row r="1782">
      <c r="A1782" s="5" t="inlineStr">
        <is>
          <t>STETSON AMERICAS</t>
        </is>
      </c>
      <c r="B1782" s="5">
        <f>IF($I2="","",INDEX(Productos!$A:$A,$I2))</f>
        <v/>
      </c>
      <c r="C1782" s="134" t="inlineStr">
        <is>
          <t>SWBRNM-72424967</t>
        </is>
      </c>
      <c r="D1782" s="5">
        <f>IF($I2="","",INDEX(Productos!$B:$B,$I2))</f>
        <v/>
      </c>
      <c r="E1782" s="5">
        <f>IF($I2="","",INDEX(Productos!$H:$H,$I2))</f>
        <v/>
      </c>
      <c r="F1782" s="5">
        <f>IF($I2="","",INDEX(Productos!$I:$I,$I2))</f>
        <v/>
      </c>
      <c r="G1782" s="135" t="n">
        <v>-2</v>
      </c>
      <c r="H1782" s="5">
        <f>IF($I2="","",INDEX(Productos!$AG:$AG,$I2))</f>
        <v/>
      </c>
      <c r="I1782" s="136">
        <f>LET(_xlpm.r,Productos!$E$2:$E$2509,_xlpm.m,IFERROR(_xlfn.XMATCH(C1782,_xlpm.r),IFERROR(_xlfn.XMATCH(VALUE(C1782),_xlpm.r),0)),IF(_xlpm.m=0,"",_xlpm.m+1))</f>
        <v/>
      </c>
      <c r="J1782" s="137" t="inlineStr">
        <is>
          <t>NetSuite</t>
        </is>
      </c>
    </row>
    <row r="1783">
      <c r="A1783" s="5" t="inlineStr">
        <is>
          <t>STETSON AMERICAS</t>
        </is>
      </c>
      <c r="B1783" s="5">
        <f>IF($I2="","",INDEX(Productos!$A:$A,$I2))</f>
        <v/>
      </c>
      <c r="C1783" s="134" t="inlineStr">
        <is>
          <t>SWBRNM-72424970</t>
        </is>
      </c>
      <c r="D1783" s="5">
        <f>IF($I2="","",INDEX(Productos!$B:$B,$I2))</f>
        <v/>
      </c>
      <c r="E1783" s="5">
        <f>IF($I2="","",INDEX(Productos!$H:$H,$I2))</f>
        <v/>
      </c>
      <c r="F1783" s="5">
        <f>IF($I2="","",INDEX(Productos!$I:$I,$I2))</f>
        <v/>
      </c>
      <c r="G1783" s="135" t="n">
        <v>-1</v>
      </c>
      <c r="H1783" s="5">
        <f>IF($I2="","",INDEX(Productos!$AG:$AG,$I2))</f>
        <v/>
      </c>
      <c r="I1783" s="136">
        <f>LET(_xlpm.r,Productos!$E$2:$E$2509,_xlpm.m,IFERROR(_xlfn.XMATCH(C1783,_xlpm.r),IFERROR(_xlfn.XMATCH(VALUE(C1783),_xlpm.r),0)),IF(_xlpm.m=0,"",_xlpm.m+1))</f>
        <v/>
      </c>
      <c r="J1783" s="137" t="inlineStr">
        <is>
          <t>NetSuite</t>
        </is>
      </c>
    </row>
    <row r="1784">
      <c r="A1784" s="5" t="inlineStr">
        <is>
          <t>STETSON AMERICAS</t>
        </is>
      </c>
      <c r="B1784" s="5">
        <f>IF($I2="","",INDEX(Productos!$A:$A,$I2))</f>
        <v/>
      </c>
      <c r="C1784" s="134" t="inlineStr">
        <is>
          <t>SWBRNM-72424971</t>
        </is>
      </c>
      <c r="D1784" s="5">
        <f>IF($I2="","",INDEX(Productos!$B:$B,$I2))</f>
        <v/>
      </c>
      <c r="E1784" s="5">
        <f>IF($I2="","",INDEX(Productos!$H:$H,$I2))</f>
        <v/>
      </c>
      <c r="F1784" s="5">
        <f>IF($I2="","",INDEX(Productos!$I:$I,$I2))</f>
        <v/>
      </c>
      <c r="G1784" s="135" t="n">
        <v>-1</v>
      </c>
      <c r="H1784" s="5">
        <f>IF($I2="","",INDEX(Productos!$AG:$AG,$I2))</f>
        <v/>
      </c>
      <c r="I1784" s="136">
        <f>LET(_xlpm.r,Productos!$E$2:$E$2509,_xlpm.m,IFERROR(_xlfn.XMATCH(C1784,_xlpm.r),IFERROR(_xlfn.XMATCH(VALUE(C1784),_xlpm.r),0)),IF(_xlpm.m=0,"",_xlpm.m+1))</f>
        <v/>
      </c>
      <c r="J1784" s="137" t="inlineStr">
        <is>
          <t>NetSuite</t>
        </is>
      </c>
    </row>
    <row r="1785">
      <c r="A1785" s="5" t="inlineStr">
        <is>
          <t>STETSON AMERICAS</t>
        </is>
      </c>
      <c r="B1785" s="5">
        <f>IF($I2="","",INDEX(Productos!$A:$A,$I2))</f>
        <v/>
      </c>
      <c r="C1785" s="134" t="inlineStr">
        <is>
          <t>SWBRNM-72424972</t>
        </is>
      </c>
      <c r="D1785" s="5">
        <f>IF($I2="","",INDEX(Productos!$B:$B,$I2))</f>
        <v/>
      </c>
      <c r="E1785" s="5">
        <f>IF($I2="","",INDEX(Productos!$H:$H,$I2))</f>
        <v/>
      </c>
      <c r="F1785" s="5">
        <f>IF($I2="","",INDEX(Productos!$I:$I,$I2))</f>
        <v/>
      </c>
      <c r="G1785" s="135" t="n">
        <v>-2</v>
      </c>
      <c r="H1785" s="5">
        <f>IF($I2="","",INDEX(Productos!$AG:$AG,$I2))</f>
        <v/>
      </c>
      <c r="I1785" s="136">
        <f>LET(_xlpm.r,Productos!$E$2:$E$2509,_xlpm.m,IFERROR(_xlfn.XMATCH(C1785,_xlpm.r),IFERROR(_xlfn.XMATCH(VALUE(C1785),_xlpm.r),0)),IF(_xlpm.m=0,"",_xlpm.m+1))</f>
        <v/>
      </c>
      <c r="J1785" s="137" t="inlineStr">
        <is>
          <t>NetSuite</t>
        </is>
      </c>
    </row>
    <row r="1786">
      <c r="A1786" s="5" t="inlineStr">
        <is>
          <t>STETSON AMERICAS</t>
        </is>
      </c>
      <c r="B1786" s="5">
        <f>IF($I2="","",INDEX(Productos!$A:$A,$I2))</f>
        <v/>
      </c>
      <c r="C1786" s="134" t="inlineStr">
        <is>
          <t>SWBRNM-72424974</t>
        </is>
      </c>
      <c r="D1786" s="5">
        <f>IF($I2="","",INDEX(Productos!$B:$B,$I2))</f>
        <v/>
      </c>
      <c r="E1786" s="5">
        <f>IF($I2="","",INDEX(Productos!$H:$H,$I2))</f>
        <v/>
      </c>
      <c r="F1786" s="5">
        <f>IF($I2="","",INDEX(Productos!$I:$I,$I2))</f>
        <v/>
      </c>
      <c r="G1786" s="135" t="n">
        <v>-2</v>
      </c>
      <c r="H1786" s="5">
        <f>IF($I2="","",INDEX(Productos!$AG:$AG,$I2))</f>
        <v/>
      </c>
      <c r="I1786" s="136">
        <f>LET(_xlpm.r,Productos!$E$2:$E$2509,_xlpm.m,IFERROR(_xlfn.XMATCH(C1786,_xlpm.r),IFERROR(_xlfn.XMATCH(VALUE(C1786),_xlpm.r),0)),IF(_xlpm.m=0,"",_xlpm.m+1))</f>
        <v/>
      </c>
      <c r="J1786" s="137" t="inlineStr">
        <is>
          <t>NetSuite</t>
        </is>
      </c>
    </row>
    <row r="1787">
      <c r="A1787" s="5" t="inlineStr">
        <is>
          <t>STETSON AMERICAS</t>
        </is>
      </c>
      <c r="B1787" s="5">
        <f>IF($I2="","",INDEX(Productos!$A:$A,$I2))</f>
        <v/>
      </c>
      <c r="C1787" s="134" t="inlineStr">
        <is>
          <t>SWBRNM-75402267</t>
        </is>
      </c>
      <c r="D1787" s="5">
        <f>IF($I2="","",INDEX(Productos!$B:$B,$I2))</f>
        <v/>
      </c>
      <c r="E1787" s="5">
        <f>IF($I2="","",INDEX(Productos!$H:$H,$I2))</f>
        <v/>
      </c>
      <c r="F1787" s="5">
        <f>IF($I2="","",INDEX(Productos!$I:$I,$I2))</f>
        <v/>
      </c>
      <c r="G1787" s="135" t="n">
        <v>1</v>
      </c>
      <c r="H1787" s="5">
        <f>IF($I2="","",INDEX(Productos!$AG:$AG,$I2))</f>
        <v/>
      </c>
      <c r="I1787" s="136">
        <f>LET(_xlpm.r,Productos!$E$2:$E$2509,_xlpm.m,IFERROR(_xlfn.XMATCH(C1787,_xlpm.r),IFERROR(_xlfn.XMATCH(VALUE(C1787),_xlpm.r),0)),IF(_xlpm.m=0,"",_xlpm.m+1))</f>
        <v/>
      </c>
      <c r="J1787" s="137" t="inlineStr">
        <is>
          <t>NetSuite</t>
        </is>
      </c>
    </row>
    <row r="1788">
      <c r="A1788" s="5" t="inlineStr">
        <is>
          <t>STETSON AMERICAS</t>
        </is>
      </c>
      <c r="B1788" s="5">
        <f>IF($I2="","",INDEX(Productos!$A:$A,$I2))</f>
        <v/>
      </c>
      <c r="C1788" s="134" t="inlineStr">
        <is>
          <t>SWBRNM-75402271</t>
        </is>
      </c>
      <c r="D1788" s="5">
        <f>IF($I2="","",INDEX(Productos!$B:$B,$I2))</f>
        <v/>
      </c>
      <c r="E1788" s="5">
        <f>IF($I2="","",INDEX(Productos!$H:$H,$I2))</f>
        <v/>
      </c>
      <c r="F1788" s="5">
        <f>IF($I2="","",INDEX(Productos!$I:$I,$I2))</f>
        <v/>
      </c>
      <c r="G1788" s="135" t="n">
        <v>-1</v>
      </c>
      <c r="H1788" s="5">
        <f>IF($I2="","",INDEX(Productos!$AG:$AG,$I2))</f>
        <v/>
      </c>
      <c r="I1788" s="136">
        <f>LET(_xlpm.r,Productos!$E$2:$E$2509,_xlpm.m,IFERROR(_xlfn.XMATCH(C1788,_xlpm.r),IFERROR(_xlfn.XMATCH(VALUE(C1788),_xlpm.r),0)),IF(_xlpm.m=0,"",_xlpm.m+1))</f>
        <v/>
      </c>
      <c r="J1788" s="137" t="inlineStr">
        <is>
          <t>NetSuite</t>
        </is>
      </c>
    </row>
    <row r="1789">
      <c r="A1789" s="5" t="inlineStr">
        <is>
          <t>STETSON AMERICAS</t>
        </is>
      </c>
      <c r="B1789" s="5">
        <f>IF($I2="","",INDEX(Productos!$A:$A,$I2))</f>
        <v/>
      </c>
      <c r="C1789" s="134" t="inlineStr">
        <is>
          <t>SWBRNM-75402272</t>
        </is>
      </c>
      <c r="D1789" s="5">
        <f>IF($I2="","",INDEX(Productos!$B:$B,$I2))</f>
        <v/>
      </c>
      <c r="E1789" s="5">
        <f>IF($I2="","",INDEX(Productos!$H:$H,$I2))</f>
        <v/>
      </c>
      <c r="F1789" s="5">
        <f>IF($I2="","",INDEX(Productos!$I:$I,$I2))</f>
        <v/>
      </c>
      <c r="G1789" s="135" t="n">
        <v>-1</v>
      </c>
      <c r="H1789" s="5">
        <f>IF($I2="","",INDEX(Productos!$AG:$AG,$I2))</f>
        <v/>
      </c>
      <c r="I1789" s="136">
        <f>LET(_xlpm.r,Productos!$E$2:$E$2509,_xlpm.m,IFERROR(_xlfn.XMATCH(C1789,_xlpm.r),IFERROR(_xlfn.XMATCH(VALUE(C1789),_xlpm.r),0)),IF(_xlpm.m=0,"",_xlpm.m+1))</f>
        <v/>
      </c>
      <c r="J1789" s="137" t="inlineStr">
        <is>
          <t>NetSuite</t>
        </is>
      </c>
    </row>
    <row r="1790">
      <c r="A1790" s="5" t="inlineStr">
        <is>
          <t>STETSON AMERICAS</t>
        </is>
      </c>
      <c r="B1790" s="5">
        <f>IF($I2="","",INDEX(Productos!$A:$A,$I2))</f>
        <v/>
      </c>
      <c r="C1790" s="134" t="inlineStr">
        <is>
          <t>SWBRNM-75402273</t>
        </is>
      </c>
      <c r="D1790" s="5">
        <f>IF($I2="","",INDEX(Productos!$B:$B,$I2))</f>
        <v/>
      </c>
      <c r="E1790" s="5">
        <f>IF($I2="","",INDEX(Productos!$H:$H,$I2))</f>
        <v/>
      </c>
      <c r="F1790" s="5">
        <f>IF($I2="","",INDEX(Productos!$I:$I,$I2))</f>
        <v/>
      </c>
      <c r="G1790" s="135" t="n">
        <v>-1</v>
      </c>
      <c r="H1790" s="5">
        <f>IF($I2="","",INDEX(Productos!$AG:$AG,$I2))</f>
        <v/>
      </c>
      <c r="I1790" s="136">
        <f>LET(_xlpm.r,Productos!$E$2:$E$2509,_xlpm.m,IFERROR(_xlfn.XMATCH(C1790,_xlpm.r),IFERROR(_xlfn.XMATCH(VALUE(C1790),_xlpm.r),0)),IF(_xlpm.m=0,"",_xlpm.m+1))</f>
        <v/>
      </c>
      <c r="J1790" s="137" t="inlineStr">
        <is>
          <t>NetSuite</t>
        </is>
      </c>
    </row>
    <row r="1791">
      <c r="A1791" s="5" t="inlineStr">
        <is>
          <t>STETSON AMERICAS</t>
        </is>
      </c>
      <c r="B1791" s="5">
        <f>IF($I2="","",INDEX(Productos!$A:$A,$I2))</f>
        <v/>
      </c>
      <c r="C1791" s="134" t="inlineStr">
        <is>
          <t>SWBRNM-75402274</t>
        </is>
      </c>
      <c r="D1791" s="5">
        <f>IF($I2="","",INDEX(Productos!$B:$B,$I2))</f>
        <v/>
      </c>
      <c r="E1791" s="5">
        <f>IF($I2="","",INDEX(Productos!$H:$H,$I2))</f>
        <v/>
      </c>
      <c r="F1791" s="5">
        <f>IF($I2="","",INDEX(Productos!$I:$I,$I2))</f>
        <v/>
      </c>
      <c r="G1791" s="135" t="n">
        <v>1</v>
      </c>
      <c r="H1791" s="5">
        <f>IF($I2="","",INDEX(Productos!$AG:$AG,$I2))</f>
        <v/>
      </c>
      <c r="I1791" s="136">
        <f>LET(_xlpm.r,Productos!$E$2:$E$2509,_xlpm.m,IFERROR(_xlfn.XMATCH(C1791,_xlpm.r),IFERROR(_xlfn.XMATCH(VALUE(C1791),_xlpm.r),0)),IF(_xlpm.m=0,"",_xlpm.m+1))</f>
        <v/>
      </c>
      <c r="J1791" s="137" t="inlineStr">
        <is>
          <t>NetSuite</t>
        </is>
      </c>
    </row>
    <row r="1792">
      <c r="A1792" s="5" t="inlineStr">
        <is>
          <t>STETSON AMERICAS</t>
        </is>
      </c>
      <c r="B1792" s="5">
        <f>IF($I2="","",INDEX(Productos!$A:$A,$I2))</f>
        <v/>
      </c>
      <c r="C1792" s="134" t="inlineStr">
        <is>
          <t>SWBRNM-75402870</t>
        </is>
      </c>
      <c r="D1792" s="5">
        <f>IF($I2="","",INDEX(Productos!$B:$B,$I2))</f>
        <v/>
      </c>
      <c r="E1792" s="5">
        <f>IF($I2="","",INDEX(Productos!$H:$H,$I2))</f>
        <v/>
      </c>
      <c r="F1792" s="5">
        <f>IF($I2="","",INDEX(Productos!$I:$I,$I2))</f>
        <v/>
      </c>
      <c r="G1792" s="135" t="n">
        <v>1</v>
      </c>
      <c r="H1792" s="5">
        <f>IF($I2="","",INDEX(Productos!$AG:$AG,$I2))</f>
        <v/>
      </c>
      <c r="I1792" s="136">
        <f>LET(_xlpm.r,Productos!$E$2:$E$2509,_xlpm.m,IFERROR(_xlfn.XMATCH(C1792,_xlpm.r),IFERROR(_xlfn.XMATCH(VALUE(C1792),_xlpm.r),0)),IF(_xlpm.m=0,"",_xlpm.m+1))</f>
        <v/>
      </c>
      <c r="J1792" s="137" t="inlineStr">
        <is>
          <t>NetSuite</t>
        </is>
      </c>
    </row>
    <row r="1793">
      <c r="A1793" s="5" t="inlineStr">
        <is>
          <t>STETSON AMERICAS</t>
        </is>
      </c>
      <c r="B1793" s="5">
        <f>IF($I2="","",INDEX(Productos!$A:$A,$I2))</f>
        <v/>
      </c>
      <c r="C1793" s="134" t="inlineStr">
        <is>
          <t>SWMARS-6240D467</t>
        </is>
      </c>
      <c r="D1793" s="5">
        <f>IF($I2="","",INDEX(Productos!$B:$B,$I2))</f>
        <v/>
      </c>
      <c r="E1793" s="5">
        <f>IF($I2="","",INDEX(Productos!$H:$H,$I2))</f>
        <v/>
      </c>
      <c r="F1793" s="5">
        <f>IF($I2="","",INDEX(Productos!$I:$I,$I2))</f>
        <v/>
      </c>
      <c r="G1793" s="135" t="n">
        <v>1</v>
      </c>
      <c r="H1793" s="5">
        <f>IF($I2="","",INDEX(Productos!$AG:$AG,$I2))</f>
        <v/>
      </c>
      <c r="I1793" s="136">
        <f>LET(_xlpm.r,Productos!$E$2:$E$2509,_xlpm.m,IFERROR(_xlfn.XMATCH(C1793,_xlpm.r),IFERROR(_xlfn.XMATCH(VALUE(C1793),_xlpm.r),0)),IF(_xlpm.m=0,"",_xlpm.m+1))</f>
        <v/>
      </c>
      <c r="J1793" s="137" t="inlineStr">
        <is>
          <t>NetSuite</t>
        </is>
      </c>
    </row>
    <row r="1794">
      <c r="A1794" s="5" t="inlineStr">
        <is>
          <t>STETSON AMERICAS</t>
        </is>
      </c>
      <c r="B1794" s="5">
        <f>IF($I2="","",INDEX(Productos!$A:$A,$I2))</f>
        <v/>
      </c>
      <c r="C1794" s="134" t="inlineStr">
        <is>
          <t>SWMARS-6240D471</t>
        </is>
      </c>
      <c r="D1794" s="5">
        <f>IF($I2="","",INDEX(Productos!$B:$B,$I2))</f>
        <v/>
      </c>
      <c r="E1794" s="5">
        <f>IF($I2="","",INDEX(Productos!$H:$H,$I2))</f>
        <v/>
      </c>
      <c r="F1794" s="5">
        <f>IF($I2="","",INDEX(Productos!$I:$I,$I2))</f>
        <v/>
      </c>
      <c r="G1794" s="135" t="n">
        <v>-1</v>
      </c>
      <c r="H1794" s="5">
        <f>IF($I2="","",INDEX(Productos!$AG:$AG,$I2))</f>
        <v/>
      </c>
      <c r="I1794" s="136">
        <f>LET(_xlpm.r,Productos!$E$2:$E$2509,_xlpm.m,IFERROR(_xlfn.XMATCH(C1794,_xlpm.r),IFERROR(_xlfn.XMATCH(VALUE(C1794),_xlpm.r),0)),IF(_xlpm.m=0,"",_xlpm.m+1))</f>
        <v/>
      </c>
      <c r="J1794" s="137" t="inlineStr">
        <is>
          <t>NetSuite</t>
        </is>
      </c>
    </row>
    <row r="1795">
      <c r="A1795" s="5" t="inlineStr">
        <is>
          <t>STETSON AMERICAS</t>
        </is>
      </c>
      <c r="B1795" s="5">
        <f>IF($I2="","",INDEX(Productos!$A:$A,$I2))</f>
        <v/>
      </c>
      <c r="C1795" s="134" t="inlineStr">
        <is>
          <t>SWMARS-6240D472</t>
        </is>
      </c>
      <c r="D1795" s="5">
        <f>IF($I2="","",INDEX(Productos!$B:$B,$I2))</f>
        <v/>
      </c>
      <c r="E1795" s="5">
        <f>IF($I2="","",INDEX(Productos!$H:$H,$I2))</f>
        <v/>
      </c>
      <c r="F1795" s="5">
        <f>IF($I2="","",INDEX(Productos!$I:$I,$I2))</f>
        <v/>
      </c>
      <c r="G1795" s="135" t="n">
        <v>-2</v>
      </c>
      <c r="H1795" s="5">
        <f>IF($I2="","",INDEX(Productos!$AG:$AG,$I2))</f>
        <v/>
      </c>
      <c r="I1795" s="136">
        <f>LET(_xlpm.r,Productos!$E$2:$E$2509,_xlpm.m,IFERROR(_xlfn.XMATCH(C1795,_xlpm.r),IFERROR(_xlfn.XMATCH(VALUE(C1795),_xlpm.r),0)),IF(_xlpm.m=0,"",_xlpm.m+1))</f>
        <v/>
      </c>
      <c r="J1795" s="137" t="inlineStr">
        <is>
          <t>NetSuite</t>
        </is>
      </c>
    </row>
    <row r="1796">
      <c r="A1796" s="5" t="inlineStr">
        <is>
          <t>STETSON AMERICAS</t>
        </is>
      </c>
      <c r="B1796" s="5">
        <f>IF($I2="","",INDEX(Productos!$A:$A,$I2))</f>
        <v/>
      </c>
      <c r="C1796" s="134" t="inlineStr">
        <is>
          <t>SWMARS-6240D474</t>
        </is>
      </c>
      <c r="D1796" s="5">
        <f>IF($I2="","",INDEX(Productos!$B:$B,$I2))</f>
        <v/>
      </c>
      <c r="E1796" s="5">
        <f>IF($I2="","",INDEX(Productos!$H:$H,$I2))</f>
        <v/>
      </c>
      <c r="F1796" s="5">
        <f>IF($I2="","",INDEX(Productos!$I:$I,$I2))</f>
        <v/>
      </c>
      <c r="G1796" s="135" t="n">
        <v>-1</v>
      </c>
      <c r="H1796" s="5">
        <f>IF($I2="","",INDEX(Productos!$AG:$AG,$I2))</f>
        <v/>
      </c>
      <c r="I1796" s="136">
        <f>LET(_xlpm.r,Productos!$E$2:$E$2509,_xlpm.m,IFERROR(_xlfn.XMATCH(C1796,_xlpm.r),IFERROR(_xlfn.XMATCH(VALUE(C1796),_xlpm.r),0)),IF(_xlpm.m=0,"",_xlpm.m+1))</f>
        <v/>
      </c>
      <c r="J1796" s="137" t="inlineStr">
        <is>
          <t>NetSuite</t>
        </is>
      </c>
    </row>
    <row r="1797">
      <c r="A1797" s="5" t="inlineStr">
        <is>
          <t>STETSON AMERICAS</t>
        </is>
      </c>
      <c r="B1797" s="5">
        <f>IF($I2="","",INDEX(Productos!$A:$A,$I2))</f>
        <v/>
      </c>
      <c r="C1797" s="134" t="inlineStr">
        <is>
          <t>TSATCM-104061S0</t>
        </is>
      </c>
      <c r="D1797" s="5">
        <f>IF($I2="","",INDEX(Productos!$B:$B,$I2))</f>
        <v/>
      </c>
      <c r="E1797" s="5">
        <f>IF($I2="","",INDEX(Productos!$H:$H,$I2))</f>
        <v/>
      </c>
      <c r="F1797" s="5">
        <f>IF($I2="","",INDEX(Productos!$I:$I,$I2))</f>
        <v/>
      </c>
      <c r="G1797" s="135" t="n">
        <v>-1</v>
      </c>
      <c r="H1797" s="5">
        <f>IF($I2="","",INDEX(Productos!$AG:$AG,$I2))</f>
        <v/>
      </c>
      <c r="I1797" s="136">
        <f>LET(_xlpm.r,Productos!$E$2:$E$2509,_xlpm.m,IFERROR(_xlfn.XMATCH(C1797,_xlpm.r),IFERROR(_xlfn.XMATCH(VALUE(C1797),_xlpm.r),0)),IF(_xlpm.m=0,"",_xlpm.m+1))</f>
        <v/>
      </c>
      <c r="J1797" s="137" t="inlineStr">
        <is>
          <t>NetSuite</t>
        </is>
      </c>
    </row>
    <row r="1798">
      <c r="A1798" s="5" t="inlineStr">
        <is>
          <t>STETSON AMERICAS</t>
        </is>
      </c>
      <c r="B1798" s="5">
        <f>IF($I2="","",INDEX(Productos!$A:$A,$I2))</f>
        <v/>
      </c>
      <c r="C1798" s="134" t="inlineStr">
        <is>
          <t>TSATCM-104061XL</t>
        </is>
      </c>
      <c r="D1798" s="5">
        <f>IF($I2="","",INDEX(Productos!$B:$B,$I2))</f>
        <v/>
      </c>
      <c r="E1798" s="5">
        <f>IF($I2="","",INDEX(Productos!$H:$H,$I2))</f>
        <v/>
      </c>
      <c r="F1798" s="5">
        <f>IF($I2="","",INDEX(Productos!$I:$I,$I2))</f>
        <v/>
      </c>
      <c r="G1798" s="135" t="n">
        <v>-1</v>
      </c>
      <c r="H1798" s="5">
        <f>IF($I2="","",INDEX(Productos!$AG:$AG,$I2))</f>
        <v/>
      </c>
      <c r="I1798" s="136">
        <f>LET(_xlpm.r,Productos!$E$2:$E$2509,_xlpm.m,IFERROR(_xlfn.XMATCH(C1798,_xlpm.r),IFERROR(_xlfn.XMATCH(VALUE(C1798),_xlpm.r),0)),IF(_xlpm.m=0,"",_xlpm.m+1))</f>
        <v/>
      </c>
      <c r="J1798" s="137" t="inlineStr">
        <is>
          <t>NetSuite</t>
        </is>
      </c>
    </row>
    <row r="1799">
      <c r="A1799" s="5" t="inlineStr">
        <is>
          <t>STETSON AMERICAS</t>
        </is>
      </c>
      <c r="B1799" s="5">
        <f>IF($I2="","",INDEX(Productos!$A:$A,$I2))</f>
        <v/>
      </c>
      <c r="C1799" s="134" t="inlineStr">
        <is>
          <t>TSATCM-104081L0</t>
        </is>
      </c>
      <c r="D1799" s="5">
        <f>IF($I2="","",INDEX(Productos!$B:$B,$I2))</f>
        <v/>
      </c>
      <c r="E1799" s="5">
        <f>IF($I2="","",INDEX(Productos!$H:$H,$I2))</f>
        <v/>
      </c>
      <c r="F1799" s="5">
        <f>IF($I2="","",INDEX(Productos!$I:$I,$I2))</f>
        <v/>
      </c>
      <c r="G1799" s="135" t="n">
        <v>-1</v>
      </c>
      <c r="H1799" s="5">
        <f>IF($I2="","",INDEX(Productos!$AG:$AG,$I2))</f>
        <v/>
      </c>
      <c r="I1799" s="136">
        <f>LET(_xlpm.r,Productos!$E$2:$E$2509,_xlpm.m,IFERROR(_xlfn.XMATCH(C1799,_xlpm.r),IFERROR(_xlfn.XMATCH(VALUE(C1799),_xlpm.r),0)),IF(_xlpm.m=0,"",_xlpm.m+1))</f>
        <v/>
      </c>
      <c r="J1799" s="137" t="inlineStr">
        <is>
          <t>NetSuite</t>
        </is>
      </c>
    </row>
    <row r="1800">
      <c r="A1800" s="5" t="inlineStr">
        <is>
          <t>STETSON AMERICAS</t>
        </is>
      </c>
      <c r="B1800" s="5">
        <f>IF($I2="","",INDEX(Productos!$A:$A,$I2))</f>
        <v/>
      </c>
      <c r="C1800" s="134" t="inlineStr">
        <is>
          <t>TSATCM-104081M0</t>
        </is>
      </c>
      <c r="D1800" s="5">
        <f>IF($I2="","",INDEX(Productos!$B:$B,$I2))</f>
        <v/>
      </c>
      <c r="E1800" s="5">
        <f>IF($I2="","",INDEX(Productos!$H:$H,$I2))</f>
        <v/>
      </c>
      <c r="F1800" s="5">
        <f>IF($I2="","",INDEX(Productos!$I:$I,$I2))</f>
        <v/>
      </c>
      <c r="G1800" s="135" t="n">
        <v>-1</v>
      </c>
      <c r="H1800" s="5">
        <f>IF($I2="","",INDEX(Productos!$AG:$AG,$I2))</f>
        <v/>
      </c>
      <c r="I1800" s="136">
        <f>LET(_xlpm.r,Productos!$E$2:$E$2509,_xlpm.m,IFERROR(_xlfn.XMATCH(C1800,_xlpm.r),IFERROR(_xlfn.XMATCH(VALUE(C1800),_xlpm.r),0)),IF(_xlpm.m=0,"",_xlpm.m+1))</f>
        <v/>
      </c>
      <c r="J1800" s="137" t="inlineStr">
        <is>
          <t>NetSuite</t>
        </is>
      </c>
    </row>
    <row r="1801">
      <c r="A1801" s="5" t="inlineStr">
        <is>
          <t>STETSON AMERICAS</t>
        </is>
      </c>
      <c r="B1801" s="5">
        <f>IF($I2="","",INDEX(Productos!$A:$A,$I2))</f>
        <v/>
      </c>
      <c r="C1801" s="134" t="inlineStr">
        <is>
          <t>TWBKRGB103475L0</t>
        </is>
      </c>
      <c r="D1801" s="5">
        <f>IF($I2="","",INDEX(Productos!$B:$B,$I2))</f>
        <v/>
      </c>
      <c r="E1801" s="5">
        <f>IF($I2="","",INDEX(Productos!$H:$H,$I2))</f>
        <v/>
      </c>
      <c r="F1801" s="5">
        <f>IF($I2="","",INDEX(Productos!$I:$I,$I2))</f>
        <v/>
      </c>
      <c r="G1801" s="135" t="n">
        <v>2</v>
      </c>
      <c r="H1801" s="5">
        <f>IF($I2="","",INDEX(Productos!$AG:$AG,$I2))</f>
        <v/>
      </c>
      <c r="I1801" s="136">
        <f>LET(_xlpm.r,Productos!$E$2:$E$2509,_xlpm.m,IFERROR(_xlfn.XMATCH(C1801,_xlpm.r),IFERROR(_xlfn.XMATCH(VALUE(C1801),_xlpm.r),0)),IF(_xlpm.m=0,"",_xlpm.m+1))</f>
        <v/>
      </c>
      <c r="J1801" s="137" t="inlineStr">
        <is>
          <t>NetSuite</t>
        </is>
      </c>
    </row>
    <row r="1802">
      <c r="A1802" s="5" t="inlineStr">
        <is>
          <t>STETSON AMERICAS</t>
        </is>
      </c>
      <c r="B1802" s="5">
        <f>IF($I2="","",INDEX(Productos!$A:$A,$I2))</f>
        <v/>
      </c>
      <c r="C1802" s="134" t="inlineStr">
        <is>
          <t>TWBKRGB103475M0</t>
        </is>
      </c>
      <c r="D1802" s="5">
        <f>IF($I2="","",INDEX(Productos!$B:$B,$I2))</f>
        <v/>
      </c>
      <c r="E1802" s="5">
        <f>IF($I2="","",INDEX(Productos!$H:$H,$I2))</f>
        <v/>
      </c>
      <c r="F1802" s="5">
        <f>IF($I2="","",INDEX(Productos!$I:$I,$I2))</f>
        <v/>
      </c>
      <c r="G1802" s="135" t="n">
        <v>2</v>
      </c>
      <c r="H1802" s="5">
        <f>IF($I2="","",INDEX(Productos!$AG:$AG,$I2))</f>
        <v/>
      </c>
      <c r="I1802" s="136">
        <f>LET(_xlpm.r,Productos!$E$2:$E$2509,_xlpm.m,IFERROR(_xlfn.XMATCH(C1802,_xlpm.r),IFERROR(_xlfn.XMATCH(VALUE(C1802),_xlpm.r),0)),IF(_xlpm.m=0,"",_xlpm.m+1))</f>
        <v/>
      </c>
      <c r="J1802" s="137" t="inlineStr">
        <is>
          <t>NetSuite</t>
        </is>
      </c>
    </row>
    <row r="1803">
      <c r="A1803" s="5" t="inlineStr">
        <is>
          <t>STETSON AMERICAS</t>
        </is>
      </c>
      <c r="B1803" s="5">
        <f>IF($I2="","",INDEX(Productos!$A:$A,$I2))</f>
        <v/>
      </c>
      <c r="C1803" s="134" t="inlineStr">
        <is>
          <t>TWBKRGB103475XL</t>
        </is>
      </c>
      <c r="D1803" s="5">
        <f>IF($I2="","",INDEX(Productos!$B:$B,$I2))</f>
        <v/>
      </c>
      <c r="E1803" s="5">
        <f>IF($I2="","",INDEX(Productos!$H:$H,$I2))</f>
        <v/>
      </c>
      <c r="F1803" s="5">
        <f>IF($I2="","",INDEX(Productos!$I:$I,$I2))</f>
        <v/>
      </c>
      <c r="G1803" s="135" t="n">
        <v>1</v>
      </c>
      <c r="H1803" s="5">
        <f>IF($I2="","",INDEX(Productos!$AG:$AG,$I2))</f>
        <v/>
      </c>
      <c r="I1803" s="136">
        <f>LET(_xlpm.r,Productos!$E$2:$E$2509,_xlpm.m,IFERROR(_xlfn.XMATCH(C1803,_xlpm.r),IFERROR(_xlfn.XMATCH(VALUE(C1803),_xlpm.r),0)),IF(_xlpm.m=0,"",_xlpm.m+1))</f>
        <v/>
      </c>
      <c r="J1803" s="137" t="inlineStr">
        <is>
          <t>NetSuite</t>
        </is>
      </c>
    </row>
    <row r="1804">
      <c r="A1804" s="5" t="inlineStr">
        <is>
          <t>STETSON AMERICAS</t>
        </is>
      </c>
      <c r="B1804" s="5">
        <f>IF($I2="","",INDEX(Productos!$A:$A,$I2))</f>
        <v/>
      </c>
      <c r="C1804" s="134" t="inlineStr">
        <is>
          <t>TWBOZE-813085L0</t>
        </is>
      </c>
      <c r="D1804" s="5">
        <f>IF($I2="","",INDEX(Productos!$B:$B,$I2))</f>
        <v/>
      </c>
      <c r="E1804" s="5">
        <f>IF($I2="","",INDEX(Productos!$H:$H,$I2))</f>
        <v/>
      </c>
      <c r="F1804" s="5">
        <f>IF($I2="","",INDEX(Productos!$I:$I,$I2))</f>
        <v/>
      </c>
      <c r="G1804" s="135" t="n">
        <v>1</v>
      </c>
      <c r="H1804" s="5">
        <f>IF($I2="","",INDEX(Productos!$AG:$AG,$I2))</f>
        <v/>
      </c>
      <c r="I1804" s="136">
        <f>LET(_xlpm.r,Productos!$E$2:$E$2509,_xlpm.m,IFERROR(_xlfn.XMATCH(C1804,_xlpm.r),IFERROR(_xlfn.XMATCH(VALUE(C1804),_xlpm.r),0)),IF(_xlpm.m=0,"",_xlpm.m+1))</f>
        <v/>
      </c>
      <c r="J1804" s="137" t="inlineStr">
        <is>
          <t>NetSuite</t>
        </is>
      </c>
    </row>
    <row r="1805">
      <c r="A1805" s="5" t="inlineStr">
        <is>
          <t>STETSON AMERICAS</t>
        </is>
      </c>
      <c r="B1805" s="5">
        <f>IF($I2="","",INDEX(Productos!$A:$A,$I2))</f>
        <v/>
      </c>
      <c r="C1805" s="134" t="inlineStr">
        <is>
          <t>TWBOZE-813085M0</t>
        </is>
      </c>
      <c r="D1805" s="5">
        <f>IF($I2="","",INDEX(Productos!$B:$B,$I2))</f>
        <v/>
      </c>
      <c r="E1805" s="5">
        <f>IF($I2="","",INDEX(Productos!$H:$H,$I2))</f>
        <v/>
      </c>
      <c r="F1805" s="5">
        <f>IF($I2="","",INDEX(Productos!$I:$I,$I2))</f>
        <v/>
      </c>
      <c r="G1805" s="135" t="n">
        <v>1</v>
      </c>
      <c r="H1805" s="5">
        <f>IF($I2="","",INDEX(Productos!$AG:$AG,$I2))</f>
        <v/>
      </c>
      <c r="I1805" s="136">
        <f>LET(_xlpm.r,Productos!$E$2:$E$2509,_xlpm.m,IFERROR(_xlfn.XMATCH(C1805,_xlpm.r),IFERROR(_xlfn.XMATCH(VALUE(C1805),_xlpm.r),0)),IF(_xlpm.m=0,"",_xlpm.m+1))</f>
        <v/>
      </c>
      <c r="J1805" s="137" t="inlineStr">
        <is>
          <t>NetSuite</t>
        </is>
      </c>
    </row>
    <row r="1806">
      <c r="A1806" s="5" t="inlineStr">
        <is>
          <t>STETSON AMERICAS</t>
        </is>
      </c>
      <c r="B1806" s="5">
        <f>IF($I2="","",INDEX(Productos!$A:$A,$I2))</f>
        <v/>
      </c>
      <c r="C1806" s="134" t="inlineStr">
        <is>
          <t>TWBOZE-8130C7L0</t>
        </is>
      </c>
      <c r="D1806" s="5">
        <f>IF($I2="","",INDEX(Productos!$B:$B,$I2))</f>
        <v/>
      </c>
      <c r="E1806" s="5">
        <f>IF($I2="","",INDEX(Productos!$H:$H,$I2))</f>
        <v/>
      </c>
      <c r="F1806" s="5">
        <f>IF($I2="","",INDEX(Productos!$I:$I,$I2))</f>
        <v/>
      </c>
      <c r="G1806" s="135" t="n">
        <v>2</v>
      </c>
      <c r="H1806" s="5">
        <f>IF($I2="","",INDEX(Productos!$AG:$AG,$I2))</f>
        <v/>
      </c>
      <c r="I1806" s="136">
        <f>LET(_xlpm.r,Productos!$E$2:$E$2509,_xlpm.m,IFERROR(_xlfn.XMATCH(C1806,_xlpm.r),IFERROR(_xlfn.XMATCH(VALUE(C1806),_xlpm.r),0)),IF(_xlpm.m=0,"",_xlpm.m+1))</f>
        <v/>
      </c>
      <c r="J1806" s="137" t="inlineStr">
        <is>
          <t>NetSuite</t>
        </is>
      </c>
    </row>
    <row r="1807">
      <c r="A1807" s="5" t="inlineStr">
        <is>
          <t>STETSON AMERICAS</t>
        </is>
      </c>
      <c r="B1807" s="5">
        <f>IF($I2="","",INDEX(Productos!$A:$A,$I2))</f>
        <v/>
      </c>
      <c r="C1807" s="134" t="inlineStr">
        <is>
          <t>TWBOZE-8130C7M0</t>
        </is>
      </c>
      <c r="D1807" s="5">
        <f>IF($I2="","",INDEX(Productos!$B:$B,$I2))</f>
        <v/>
      </c>
      <c r="E1807" s="5">
        <f>IF($I2="","",INDEX(Productos!$H:$H,$I2))</f>
        <v/>
      </c>
      <c r="F1807" s="5">
        <f>IF($I2="","",INDEX(Productos!$I:$I,$I2))</f>
        <v/>
      </c>
      <c r="G1807" s="135" t="n">
        <v>1</v>
      </c>
      <c r="H1807" s="5">
        <f>IF($I2="","",INDEX(Productos!$AG:$AG,$I2))</f>
        <v/>
      </c>
      <c r="I1807" s="136">
        <f>LET(_xlpm.r,Productos!$E$2:$E$2509,_xlpm.m,IFERROR(_xlfn.XMATCH(C1807,_xlpm.r),IFERROR(_xlfn.XMATCH(VALUE(C1807),_xlpm.r),0)),IF(_xlpm.m=0,"",_xlpm.m+1))</f>
        <v/>
      </c>
      <c r="J1807" s="137" t="inlineStr">
        <is>
          <t>NetSuite</t>
        </is>
      </c>
    </row>
    <row r="1808">
      <c r="A1808" s="5" t="inlineStr">
        <is>
          <t>STETSON AMERICAS</t>
        </is>
      </c>
      <c r="B1808" s="5">
        <f>IF($I2="","",INDEX(Productos!$A:$A,$I2))</f>
        <v/>
      </c>
      <c r="C1808" s="134" t="inlineStr">
        <is>
          <t>TWDYLN-143407L0</t>
        </is>
      </c>
      <c r="D1808" s="5">
        <f>IF($I2="","",INDEX(Productos!$B:$B,$I2))</f>
        <v/>
      </c>
      <c r="E1808" s="5">
        <f>IF($I2="","",INDEX(Productos!$H:$H,$I2))</f>
        <v/>
      </c>
      <c r="F1808" s="5">
        <f>IF($I2="","",INDEX(Productos!$I:$I,$I2))</f>
        <v/>
      </c>
      <c r="G1808" s="135" t="n">
        <v>-1</v>
      </c>
      <c r="H1808" s="5">
        <f>IF($I2="","",INDEX(Productos!$AG:$AG,$I2))</f>
        <v/>
      </c>
      <c r="I1808" s="136">
        <f>LET(_xlpm.r,Productos!$E$2:$E$2509,_xlpm.m,IFERROR(_xlfn.XMATCH(C1808,_xlpm.r),IFERROR(_xlfn.XMATCH(VALUE(C1808),_xlpm.r),0)),IF(_xlpm.m=0,"",_xlpm.m+1))</f>
        <v/>
      </c>
      <c r="J1808" s="137" t="inlineStr">
        <is>
          <t>NetSuite</t>
        </is>
      </c>
    </row>
    <row r="1809">
      <c r="A1809" s="5" t="inlineStr">
        <is>
          <t>STETSON AMERICAS</t>
        </is>
      </c>
      <c r="B1809" s="5">
        <f>IF($I2="","",INDEX(Productos!$A:$A,$I2))</f>
        <v/>
      </c>
      <c r="C1809" s="134" t="inlineStr">
        <is>
          <t>TWDYLN-143407M0</t>
        </is>
      </c>
      <c r="D1809" s="5">
        <f>IF($I2="","",INDEX(Productos!$B:$B,$I2))</f>
        <v/>
      </c>
      <c r="E1809" s="5">
        <f>IF($I2="","",INDEX(Productos!$H:$H,$I2))</f>
        <v/>
      </c>
      <c r="F1809" s="5">
        <f>IF($I2="","",INDEX(Productos!$I:$I,$I2))</f>
        <v/>
      </c>
      <c r="G1809" s="135" t="n">
        <v>-1</v>
      </c>
      <c r="H1809" s="5">
        <f>IF($I2="","",INDEX(Productos!$AG:$AG,$I2))</f>
        <v/>
      </c>
      <c r="I1809" s="136">
        <f>LET(_xlpm.r,Productos!$E$2:$E$2509,_xlpm.m,IFERROR(_xlfn.XMATCH(C1809,_xlpm.r),IFERROR(_xlfn.XMATCH(VALUE(C1809),_xlpm.r),0)),IF(_xlpm.m=0,"",_xlpm.m+1))</f>
        <v/>
      </c>
      <c r="J1809" s="137" t="inlineStr">
        <is>
          <t>NetSuite</t>
        </is>
      </c>
    </row>
    <row r="1810">
      <c r="A1810" s="5" t="inlineStr">
        <is>
          <t>STETSON AMERICAS</t>
        </is>
      </c>
      <c r="B1810" s="5">
        <f>IF($I2="","",INDEX(Productos!$A:$A,$I2))</f>
        <v/>
      </c>
      <c r="C1810" s="134" t="inlineStr">
        <is>
          <t>TWDYLN-143423M0</t>
        </is>
      </c>
      <c r="D1810" s="5">
        <f>IF($I2="","",INDEX(Productos!$B:$B,$I2))</f>
        <v/>
      </c>
      <c r="E1810" s="5">
        <f>IF($I2="","",INDEX(Productos!$H:$H,$I2))</f>
        <v/>
      </c>
      <c r="F1810" s="5">
        <f>IF($I2="","",INDEX(Productos!$I:$I,$I2))</f>
        <v/>
      </c>
      <c r="G1810" s="135" t="n">
        <v>-1</v>
      </c>
      <c r="H1810" s="5">
        <f>IF($I2="","",INDEX(Productos!$AG:$AG,$I2))</f>
        <v/>
      </c>
      <c r="I1810" s="136">
        <f>LET(_xlpm.r,Productos!$E$2:$E$2509,_xlpm.m,IFERROR(_xlfn.XMATCH(C1810,_xlpm.r),IFERROR(_xlfn.XMATCH(VALUE(C1810),_xlpm.r),0)),IF(_xlpm.m=0,"",_xlpm.m+1))</f>
        <v/>
      </c>
      <c r="J1810" s="137" t="inlineStr">
        <is>
          <t>NetSuite</t>
        </is>
      </c>
    </row>
    <row r="1811">
      <c r="A1811" s="5" t="inlineStr">
        <is>
          <t>STETSON AMERICAS</t>
        </is>
      </c>
      <c r="B1811" s="5">
        <f>IF($I2="","",INDEX(Productos!$A:$A,$I2))</f>
        <v/>
      </c>
      <c r="C1811" s="134" t="inlineStr">
        <is>
          <t>TWDYLN-143423S0</t>
        </is>
      </c>
      <c r="D1811" s="5">
        <f>IF($I2="","",INDEX(Productos!$B:$B,$I2))</f>
        <v/>
      </c>
      <c r="E1811" s="5">
        <f>IF($I2="","",INDEX(Productos!$H:$H,$I2))</f>
        <v/>
      </c>
      <c r="F1811" s="5">
        <f>IF($I2="","",INDEX(Productos!$I:$I,$I2))</f>
        <v/>
      </c>
      <c r="G1811" s="135" t="n">
        <v>-1</v>
      </c>
      <c r="H1811" s="5">
        <f>IF($I2="","",INDEX(Productos!$AG:$AG,$I2))</f>
        <v/>
      </c>
      <c r="I1811" s="136">
        <f>LET(_xlpm.r,Productos!$E$2:$E$2509,_xlpm.m,IFERROR(_xlfn.XMATCH(C1811,_xlpm.r),IFERROR(_xlfn.XMATCH(VALUE(C1811),_xlpm.r),0)),IF(_xlpm.m=0,"",_xlpm.m+1))</f>
        <v/>
      </c>
      <c r="J1811" s="137" t="inlineStr">
        <is>
          <t>NetSuite</t>
        </is>
      </c>
    </row>
    <row r="1812">
      <c r="A1812" s="5" t="inlineStr">
        <is>
          <t>STETSON AMERICAS</t>
        </is>
      </c>
      <c r="B1812" s="5">
        <f>IF($I2="","",INDEX(Productos!$A:$A,$I2))</f>
        <v/>
      </c>
      <c r="C1812" s="134" t="inlineStr">
        <is>
          <t>TWDYLN-143448M0</t>
        </is>
      </c>
      <c r="D1812" s="5">
        <f>IF($I2="","",INDEX(Productos!$B:$B,$I2))</f>
        <v/>
      </c>
      <c r="E1812" s="5">
        <f>IF($I2="","",INDEX(Productos!$H:$H,$I2))</f>
        <v/>
      </c>
      <c r="F1812" s="5">
        <f>IF($I2="","",INDEX(Productos!$I:$I,$I2))</f>
        <v/>
      </c>
      <c r="G1812" s="135" t="n">
        <v>-1</v>
      </c>
      <c r="H1812" s="5">
        <f>IF($I2="","",INDEX(Productos!$AG:$AG,$I2))</f>
        <v/>
      </c>
      <c r="I1812" s="136">
        <f>LET(_xlpm.r,Productos!$E$2:$E$2509,_xlpm.m,IFERROR(_xlfn.XMATCH(C1812,_xlpm.r),IFERROR(_xlfn.XMATCH(VALUE(C1812),_xlpm.r),0)),IF(_xlpm.m=0,"",_xlpm.m+1))</f>
        <v/>
      </c>
      <c r="J1812" s="137" t="inlineStr">
        <is>
          <t>NetSuite</t>
        </is>
      </c>
    </row>
    <row r="1813">
      <c r="A1813" s="5" t="inlineStr">
        <is>
          <t>STETSON AMERICAS</t>
        </is>
      </c>
      <c r="B1813" s="5">
        <f>IF($I2="","",INDEX(Productos!$A:$A,$I2))</f>
        <v/>
      </c>
      <c r="C1813" s="134" t="inlineStr">
        <is>
          <t>TWDYLN-143448S0</t>
        </is>
      </c>
      <c r="D1813" s="5">
        <f>IF($I2="","",INDEX(Productos!$B:$B,$I2))</f>
        <v/>
      </c>
      <c r="E1813" s="5">
        <f>IF($I2="","",INDEX(Productos!$H:$H,$I2))</f>
        <v/>
      </c>
      <c r="F1813" s="5">
        <f>IF($I2="","",INDEX(Productos!$I:$I,$I2))</f>
        <v/>
      </c>
      <c r="G1813" s="135" t="n">
        <v>-1</v>
      </c>
      <c r="H1813" s="5">
        <f>IF($I2="","",INDEX(Productos!$AG:$AG,$I2))</f>
        <v/>
      </c>
      <c r="I1813" s="136">
        <f>LET(_xlpm.r,Productos!$E$2:$E$2509,_xlpm.m,IFERROR(_xlfn.XMATCH(C1813,_xlpm.r),IFERROR(_xlfn.XMATCH(VALUE(C1813),_xlpm.r),0)),IF(_xlpm.m=0,"",_xlpm.m+1))</f>
        <v/>
      </c>
      <c r="J1813" s="137" t="inlineStr">
        <is>
          <t>NetSuite</t>
        </is>
      </c>
    </row>
    <row r="1814">
      <c r="A1814" s="5" t="inlineStr">
        <is>
          <t>STETSON AMERICAS</t>
        </is>
      </c>
      <c r="B1814" s="5">
        <f>IF($I2="","",INDEX(Productos!$A:$A,$I2))</f>
        <v/>
      </c>
      <c r="C1814" s="134" t="inlineStr">
        <is>
          <t>TWFLKL-FT34P5L0</t>
        </is>
      </c>
      <c r="D1814" s="5">
        <f>IF($I2="","",INDEX(Productos!$B:$B,$I2))</f>
        <v/>
      </c>
      <c r="E1814" s="5">
        <f>IF($I2="","",INDEX(Productos!$H:$H,$I2))</f>
        <v/>
      </c>
      <c r="F1814" s="5">
        <f>IF($I2="","",INDEX(Productos!$I:$I,$I2))</f>
        <v/>
      </c>
      <c r="G1814" s="135" t="n">
        <v>-2</v>
      </c>
      <c r="H1814" s="5">
        <f>IF($I2="","",INDEX(Productos!$AG:$AG,$I2))</f>
        <v/>
      </c>
      <c r="I1814" s="136">
        <f>LET(_xlpm.r,Productos!$E$2:$E$2509,_xlpm.m,IFERROR(_xlfn.XMATCH(C1814,_xlpm.r),IFERROR(_xlfn.XMATCH(VALUE(C1814),_xlpm.r),0)),IF(_xlpm.m=0,"",_xlpm.m+1))</f>
        <v/>
      </c>
      <c r="J1814" s="137" t="inlineStr">
        <is>
          <t>NetSuite</t>
        </is>
      </c>
    </row>
    <row r="1815">
      <c r="A1815" s="5" t="inlineStr">
        <is>
          <t>STETSON AMERICAS</t>
        </is>
      </c>
      <c r="B1815" s="5">
        <f>IF($I2="","",INDEX(Productos!$A:$A,$I2))</f>
        <v/>
      </c>
      <c r="C1815" s="134" t="inlineStr">
        <is>
          <t>TWFLKL-FT34P5M0</t>
        </is>
      </c>
      <c r="D1815" s="5">
        <f>IF($I2="","",INDEX(Productos!$B:$B,$I2))</f>
        <v/>
      </c>
      <c r="E1815" s="5">
        <f>IF($I2="","",INDEX(Productos!$H:$H,$I2))</f>
        <v/>
      </c>
      <c r="F1815" s="5">
        <f>IF($I2="","",INDEX(Productos!$I:$I,$I2))</f>
        <v/>
      </c>
      <c r="G1815" s="135" t="n">
        <v>-1</v>
      </c>
      <c r="H1815" s="5">
        <f>IF($I2="","",INDEX(Productos!$AG:$AG,$I2))</f>
        <v/>
      </c>
      <c r="I1815" s="136">
        <f>LET(_xlpm.r,Productos!$E$2:$E$2509,_xlpm.m,IFERROR(_xlfn.XMATCH(C1815,_xlpm.r),IFERROR(_xlfn.XMATCH(VALUE(C1815),_xlpm.r),0)),IF(_xlpm.m=0,"",_xlpm.m+1))</f>
        <v/>
      </c>
      <c r="J1815" s="137" t="inlineStr">
        <is>
          <t>NetSuite</t>
        </is>
      </c>
    </row>
    <row r="1816">
      <c r="A1816" s="5" t="inlineStr">
        <is>
          <t>STETSON AMERICAS</t>
        </is>
      </c>
      <c r="B1816" s="5">
        <f>IF($I2="","",INDEX(Productos!$A:$A,$I2))</f>
        <v/>
      </c>
      <c r="C1816" s="134" t="inlineStr">
        <is>
          <t>TWHDRKB104074S0</t>
        </is>
      </c>
      <c r="D1816" s="5">
        <f>IF($I2="","",INDEX(Productos!$B:$B,$I2))</f>
        <v/>
      </c>
      <c r="E1816" s="5">
        <f>IF($I2="","",INDEX(Productos!$H:$H,$I2))</f>
        <v/>
      </c>
      <c r="F1816" s="5">
        <f>IF($I2="","",INDEX(Productos!$I:$I,$I2))</f>
        <v/>
      </c>
      <c r="G1816" s="135" t="n">
        <v>-1</v>
      </c>
      <c r="H1816" s="5">
        <f>IF($I2="","",INDEX(Productos!$AG:$AG,$I2))</f>
        <v/>
      </c>
      <c r="I1816" s="136">
        <f>LET(_xlpm.r,Productos!$E$2:$E$2509,_xlpm.m,IFERROR(_xlfn.XMATCH(C1816,_xlpm.r),IFERROR(_xlfn.XMATCH(VALUE(C1816),_xlpm.r),0)),IF(_xlpm.m=0,"",_xlpm.m+1))</f>
        <v/>
      </c>
      <c r="J1816" s="137" t="inlineStr">
        <is>
          <t>NetSuite</t>
        </is>
      </c>
    </row>
    <row r="1817">
      <c r="A1817" s="5" t="inlineStr">
        <is>
          <t>STETSON AMERICAS</t>
        </is>
      </c>
      <c r="B1817" s="5">
        <f>IF($I2="","",INDEX(Productos!$A:$A,$I2))</f>
        <v/>
      </c>
      <c r="C1817" s="134" t="inlineStr">
        <is>
          <t>TWMDNTB103607L0</t>
        </is>
      </c>
      <c r="D1817" s="5">
        <f>IF($I2="","",INDEX(Productos!$B:$B,$I2))</f>
        <v/>
      </c>
      <c r="E1817" s="5">
        <f>IF($I2="","",INDEX(Productos!$H:$H,$I2))</f>
        <v/>
      </c>
      <c r="F1817" s="5">
        <f>IF($I2="","",INDEX(Productos!$I:$I,$I2))</f>
        <v/>
      </c>
      <c r="G1817" s="135" t="n">
        <v>2</v>
      </c>
      <c r="H1817" s="5">
        <f>IF($I2="","",INDEX(Productos!$AG:$AG,$I2))</f>
        <v/>
      </c>
      <c r="I1817" s="136">
        <f>LET(_xlpm.r,Productos!$E$2:$E$2509,_xlpm.m,IFERROR(_xlfn.XMATCH(C1817,_xlpm.r),IFERROR(_xlfn.XMATCH(VALUE(C1817),_xlpm.r),0)),IF(_xlpm.m=0,"",_xlpm.m+1))</f>
        <v/>
      </c>
      <c r="J1817" s="137" t="inlineStr">
        <is>
          <t>NetSuite</t>
        </is>
      </c>
    </row>
    <row r="1818">
      <c r="A1818" s="5" t="inlineStr">
        <is>
          <t>STETSON AMERICAS</t>
        </is>
      </c>
      <c r="B1818" s="5">
        <f>IF($I2="","",INDEX(Productos!$A:$A,$I2))</f>
        <v/>
      </c>
      <c r="C1818" s="134" t="inlineStr">
        <is>
          <t>TWMDNTB103607M0</t>
        </is>
      </c>
      <c r="D1818" s="5">
        <f>IF($I2="","",INDEX(Productos!$B:$B,$I2))</f>
        <v/>
      </c>
      <c r="E1818" s="5">
        <f>IF($I2="","",INDEX(Productos!$H:$H,$I2))</f>
        <v/>
      </c>
      <c r="F1818" s="5">
        <f>IF($I2="","",INDEX(Productos!$I:$I,$I2))</f>
        <v/>
      </c>
      <c r="G1818" s="135" t="n">
        <v>2</v>
      </c>
      <c r="H1818" s="5">
        <f>IF($I2="","",INDEX(Productos!$AG:$AG,$I2))</f>
        <v/>
      </c>
      <c r="I1818" s="136">
        <f>LET(_xlpm.r,Productos!$E$2:$E$2509,_xlpm.m,IFERROR(_xlfn.XMATCH(C1818,_xlpm.r),IFERROR(_xlfn.XMATCH(VALUE(C1818),_xlpm.r),0)),IF(_xlpm.m=0,"",_xlpm.m+1))</f>
        <v/>
      </c>
      <c r="J1818" s="137" t="inlineStr">
        <is>
          <t>NetSuite</t>
        </is>
      </c>
    </row>
    <row r="1819">
      <c r="A1819" s="5" t="inlineStr">
        <is>
          <t>STETSON AMERICAS</t>
        </is>
      </c>
      <c r="B1819" s="5">
        <f>IF($I2="","",INDEX(Productos!$A:$A,$I2))</f>
        <v/>
      </c>
      <c r="C1819" s="134" t="inlineStr">
        <is>
          <t>TWMDNTB103674L0</t>
        </is>
      </c>
      <c r="D1819" s="5">
        <f>IF($I2="","",INDEX(Productos!$B:$B,$I2))</f>
        <v/>
      </c>
      <c r="E1819" s="5">
        <f>IF($I2="","",INDEX(Productos!$H:$H,$I2))</f>
        <v/>
      </c>
      <c r="F1819" s="5">
        <f>IF($I2="","",INDEX(Productos!$I:$I,$I2))</f>
        <v/>
      </c>
      <c r="G1819" s="135" t="n">
        <v>2</v>
      </c>
      <c r="H1819" s="5">
        <f>IF($I2="","",INDEX(Productos!$AG:$AG,$I2))</f>
        <v/>
      </c>
      <c r="I1819" s="136">
        <f>LET(_xlpm.r,Productos!$E$2:$E$2509,_xlpm.m,IFERROR(_xlfn.XMATCH(C1819,_xlpm.r),IFERROR(_xlfn.XMATCH(VALUE(C1819),_xlpm.r),0)),IF(_xlpm.m=0,"",_xlpm.m+1))</f>
        <v/>
      </c>
      <c r="J1819" s="137" t="inlineStr">
        <is>
          <t>NetSuite</t>
        </is>
      </c>
    </row>
    <row r="1820">
      <c r="A1820" s="5" t="inlineStr">
        <is>
          <t>STETSON AMERICAS</t>
        </is>
      </c>
      <c r="B1820" s="5">
        <f>IF($I2="","",INDEX(Productos!$A:$A,$I2))</f>
        <v/>
      </c>
      <c r="C1820" s="134" t="inlineStr">
        <is>
          <t>TWMDNTB103674M0</t>
        </is>
      </c>
      <c r="D1820" s="5">
        <f>IF($I2="","",INDEX(Productos!$B:$B,$I2))</f>
        <v/>
      </c>
      <c r="E1820" s="5">
        <f>IF($I2="","",INDEX(Productos!$H:$H,$I2))</f>
        <v/>
      </c>
      <c r="F1820" s="5">
        <f>IF($I2="","",INDEX(Productos!$I:$I,$I2))</f>
        <v/>
      </c>
      <c r="G1820" s="135" t="n">
        <v>2</v>
      </c>
      <c r="H1820" s="5">
        <f>IF($I2="","",INDEX(Productos!$AG:$AG,$I2))</f>
        <v/>
      </c>
      <c r="I1820" s="136">
        <f>LET(_xlpm.r,Productos!$E$2:$E$2509,_xlpm.m,IFERROR(_xlfn.XMATCH(C1820,_xlpm.r),IFERROR(_xlfn.XMATCH(VALUE(C1820),_xlpm.r),0)),IF(_xlpm.m=0,"",_xlpm.m+1))</f>
        <v/>
      </c>
      <c r="J1820" s="137" t="inlineStr">
        <is>
          <t>NetSuite</t>
        </is>
      </c>
    </row>
    <row r="1821">
      <c r="A1821" s="5" t="inlineStr">
        <is>
          <t>STETSON AMERICAS</t>
        </is>
      </c>
      <c r="B1821" s="5">
        <f>IF($I2="","",INDEX(Productos!$A:$A,$I2))</f>
        <v/>
      </c>
      <c r="C1821" s="134" t="inlineStr">
        <is>
          <t>TWMDNTB1036KBL0</t>
        </is>
      </c>
      <c r="D1821" s="5">
        <f>IF($I2="","",INDEX(Productos!$B:$B,$I2))</f>
        <v/>
      </c>
      <c r="E1821" s="5">
        <f>IF($I2="","",INDEX(Productos!$H:$H,$I2))</f>
        <v/>
      </c>
      <c r="F1821" s="5">
        <f>IF($I2="","",INDEX(Productos!$I:$I,$I2))</f>
        <v/>
      </c>
      <c r="G1821" s="135" t="n">
        <v>2</v>
      </c>
      <c r="H1821" s="5">
        <f>IF($I2="","",INDEX(Productos!$AG:$AG,$I2))</f>
        <v/>
      </c>
      <c r="I1821" s="136">
        <f>LET(_xlpm.r,Productos!$E$2:$E$2509,_xlpm.m,IFERROR(_xlfn.XMATCH(C1821,_xlpm.r),IFERROR(_xlfn.XMATCH(VALUE(C1821),_xlpm.r),0)),IF(_xlpm.m=0,"",_xlpm.m+1))</f>
        <v/>
      </c>
      <c r="J1821" s="137" t="inlineStr">
        <is>
          <t>NetSuite</t>
        </is>
      </c>
    </row>
    <row r="1822">
      <c r="A1822" s="5" t="inlineStr">
        <is>
          <t>STETSON AMERICAS</t>
        </is>
      </c>
      <c r="B1822" s="5">
        <f>IF($I2="","",INDEX(Productos!$A:$A,$I2))</f>
        <v/>
      </c>
      <c r="C1822" s="134" t="inlineStr">
        <is>
          <t>TWMDNTB1036KBM0</t>
        </is>
      </c>
      <c r="D1822" s="5">
        <f>IF($I2="","",INDEX(Productos!$B:$B,$I2))</f>
        <v/>
      </c>
      <c r="E1822" s="5">
        <f>IF($I2="","",INDEX(Productos!$H:$H,$I2))</f>
        <v/>
      </c>
      <c r="F1822" s="5">
        <f>IF($I2="","",INDEX(Productos!$I:$I,$I2))</f>
        <v/>
      </c>
      <c r="G1822" s="135" t="n">
        <v>1</v>
      </c>
      <c r="H1822" s="5">
        <f>IF($I2="","",INDEX(Productos!$AG:$AG,$I2))</f>
        <v/>
      </c>
      <c r="I1822" s="136">
        <f>LET(_xlpm.r,Productos!$E$2:$E$2509,_xlpm.m,IFERROR(_xlfn.XMATCH(C1822,_xlpm.r),IFERROR(_xlfn.XMATCH(VALUE(C1822),_xlpm.r),0)),IF(_xlpm.m=0,"",_xlpm.m+1))</f>
        <v/>
      </c>
      <c r="J1822" s="137" t="inlineStr">
        <is>
          <t>NetSuite</t>
        </is>
      </c>
    </row>
    <row r="1823">
      <c r="A1823" s="5" t="inlineStr">
        <is>
          <t>STETSON AMERICAS</t>
        </is>
      </c>
      <c r="B1823" s="5">
        <f>IF($I2="","",INDEX(Productos!$A:$A,$I2))</f>
        <v/>
      </c>
      <c r="C1823" s="134" t="inlineStr">
        <is>
          <t>XSLRLH-093681L0</t>
        </is>
      </c>
      <c r="D1823" s="5">
        <f>IF($I2="","",INDEX(Productos!$B:$B,$I2))</f>
        <v/>
      </c>
      <c r="E1823" s="5">
        <f>IF($I2="","",INDEX(Productos!$H:$H,$I2))</f>
        <v/>
      </c>
      <c r="F1823" s="5">
        <f>IF($I2="","",INDEX(Productos!$I:$I,$I2))</f>
        <v/>
      </c>
      <c r="G1823" s="135" t="n">
        <v>-1</v>
      </c>
      <c r="H1823" s="5">
        <f>IF($I2="","",INDEX(Productos!$AG:$AG,$I2))</f>
        <v/>
      </c>
      <c r="I1823" s="136">
        <f>LET(_xlpm.r,Productos!$E$2:$E$2509,_xlpm.m,IFERROR(_xlfn.XMATCH(C1823,_xlpm.r),IFERROR(_xlfn.XMATCH(VALUE(C1823),_xlpm.r),0)),IF(_xlpm.m=0,"",_xlpm.m+1))</f>
        <v/>
      </c>
      <c r="J1823" s="137" t="inlineStr">
        <is>
          <t>NetSuite</t>
        </is>
      </c>
    </row>
    <row r="1824">
      <c r="A1824" s="5" t="inlineStr">
        <is>
          <t>STETSON AMERICAS</t>
        </is>
      </c>
      <c r="B1824" s="5">
        <f>IF($I2="","",INDEX(Productos!$A:$A,$I2))</f>
        <v/>
      </c>
      <c r="C1824" s="134" t="inlineStr">
        <is>
          <t>XSOSIS-254081L0</t>
        </is>
      </c>
      <c r="D1824" s="5">
        <f>IF($I2="","",INDEX(Productos!$B:$B,$I2))</f>
        <v/>
      </c>
      <c r="E1824" s="5">
        <f>IF($I2="","",INDEX(Productos!$H:$H,$I2))</f>
        <v/>
      </c>
      <c r="F1824" s="5">
        <f>IF($I2="","",INDEX(Productos!$I:$I,$I2))</f>
        <v/>
      </c>
      <c r="G1824" s="135" t="n">
        <v>-1</v>
      </c>
      <c r="H1824" s="5">
        <f>IF($I2="","",INDEX(Productos!$AG:$AG,$I2))</f>
        <v/>
      </c>
      <c r="I1824" s="136">
        <f>LET(_xlpm.r,Productos!$E$2:$E$2509,_xlpm.m,IFERROR(_xlfn.XMATCH(C1824,_xlpm.r),IFERROR(_xlfn.XMATCH(VALUE(C1824),_xlpm.r),0)),IF(_xlpm.m=0,"",_xlpm.m+1))</f>
        <v/>
      </c>
      <c r="J1824" s="137" t="inlineStr">
        <is>
          <t>NetSuite</t>
        </is>
      </c>
    </row>
    <row r="1825">
      <c r="A1825" s="5" t="inlineStr">
        <is>
          <t>STETSON AMERICAS</t>
        </is>
      </c>
      <c r="B1825" s="5">
        <f>IF($I2="","",INDEX(Productos!$A:$A,$I2))</f>
        <v/>
      </c>
      <c r="C1825" s="134" t="inlineStr">
        <is>
          <t>XSOSIS-254081M0</t>
        </is>
      </c>
      <c r="D1825" s="5">
        <f>IF($I2="","",INDEX(Productos!$B:$B,$I2))</f>
        <v/>
      </c>
      <c r="E1825" s="5">
        <f>IF($I2="","",INDEX(Productos!$H:$H,$I2))</f>
        <v/>
      </c>
      <c r="F1825" s="5">
        <f>IF($I2="","",INDEX(Productos!$I:$I,$I2))</f>
        <v/>
      </c>
      <c r="G1825" s="135" t="n">
        <v>-2</v>
      </c>
      <c r="H1825" s="5">
        <f>IF($I2="","",INDEX(Productos!$AG:$AG,$I2))</f>
        <v/>
      </c>
      <c r="I1825" s="136">
        <f>LET(_xlpm.r,Productos!$E$2:$E$2509,_xlpm.m,IFERROR(_xlfn.XMATCH(C1825,_xlpm.r),IFERROR(_xlfn.XMATCH(VALUE(C1825),_xlpm.r),0)),IF(_xlpm.m=0,"",_xlpm.m+1))</f>
        <v/>
      </c>
      <c r="J1825" s="137" t="inlineStr">
        <is>
          <t>NetSuite</t>
        </is>
      </c>
    </row>
    <row r="1826">
      <c r="A1826" s="5" t="inlineStr">
        <is>
          <t>STETSON AMERICAS</t>
        </is>
      </c>
      <c r="B1826" s="5">
        <f>IF($I2="","",INDEX(Productos!$A:$A,$I2))</f>
        <v/>
      </c>
      <c r="C1826" s="134" t="inlineStr">
        <is>
          <t>XSOSIS-254081S0</t>
        </is>
      </c>
      <c r="D1826" s="5">
        <f>IF($I2="","",INDEX(Productos!$B:$B,$I2))</f>
        <v/>
      </c>
      <c r="E1826" s="5">
        <f>IF($I2="","",INDEX(Productos!$H:$H,$I2))</f>
        <v/>
      </c>
      <c r="F1826" s="5">
        <f>IF($I2="","",INDEX(Productos!$I:$I,$I2))</f>
        <v/>
      </c>
      <c r="G1826" s="135" t="n">
        <v>-2</v>
      </c>
      <c r="H1826" s="5">
        <f>IF($I2="","",INDEX(Productos!$AG:$AG,$I2))</f>
        <v/>
      </c>
      <c r="I1826" s="136">
        <f>LET(_xlpm.r,Productos!$E$2:$E$2509,_xlpm.m,IFERROR(_xlfn.XMATCH(C1826,_xlpm.r),IFERROR(_xlfn.XMATCH(VALUE(C1826),_xlpm.r),0)),IF(_xlpm.m=0,"",_xlpm.m+1))</f>
        <v/>
      </c>
      <c r="J1826" s="137" t="inlineStr">
        <is>
          <t>NetSuite</t>
        </is>
      </c>
    </row>
    <row r="1827">
      <c r="A1827" s="5" t="inlineStr">
        <is>
          <t>STETSON AMERICAS</t>
        </is>
      </c>
      <c r="B1827" s="5">
        <f>IF($I2="","",INDEX(Productos!$A:$A,$I2))</f>
        <v/>
      </c>
      <c r="C1827" s="134" t="inlineStr">
        <is>
          <t>XSOSIS-254081XL</t>
        </is>
      </c>
      <c r="D1827" s="5">
        <f>IF($I2="","",INDEX(Productos!$B:$B,$I2))</f>
        <v/>
      </c>
      <c r="E1827" s="5">
        <f>IF($I2="","",INDEX(Productos!$H:$H,$I2))</f>
        <v/>
      </c>
      <c r="F1827" s="5">
        <f>IF($I2="","",INDEX(Productos!$I:$I,$I2))</f>
        <v/>
      </c>
      <c r="G1827" s="135" t="n">
        <v>-1</v>
      </c>
      <c r="H1827" s="5">
        <f>IF($I2="","",INDEX(Productos!$AG:$AG,$I2))</f>
        <v/>
      </c>
      <c r="I1827" s="136">
        <f>LET(_xlpm.r,Productos!$E$2:$E$2509,_xlpm.m,IFERROR(_xlfn.XMATCH(C1827,_xlpm.r),IFERROR(_xlfn.XMATCH(VALUE(C1827),_xlpm.r),0)),IF(_xlpm.m=0,"",_xlpm.m+1))</f>
        <v/>
      </c>
      <c r="J1827" s="137" t="inlineStr">
        <is>
          <t>NetSuite</t>
        </is>
      </c>
    </row>
    <row r="1828">
      <c r="A1828" s="5" t="inlineStr">
        <is>
          <t>STETSON AMERICAS</t>
        </is>
      </c>
      <c r="B1828" s="5">
        <f>IF($I2="","",INDEX(Productos!$A:$A,$I2))</f>
        <v/>
      </c>
      <c r="C1828" s="134" t="inlineStr">
        <is>
          <t>XWESWD-974048M0</t>
        </is>
      </c>
      <c r="D1828" s="5">
        <f>IF($I2="","",INDEX(Productos!$B:$B,$I2))</f>
        <v/>
      </c>
      <c r="E1828" s="5">
        <f>IF($I2="","",INDEX(Productos!$H:$H,$I2))</f>
        <v/>
      </c>
      <c r="F1828" s="5">
        <f>IF($I2="","",INDEX(Productos!$I:$I,$I2))</f>
        <v/>
      </c>
      <c r="G1828" s="135" t="n">
        <v>1</v>
      </c>
      <c r="H1828" s="5">
        <f>IF($I2="","",INDEX(Productos!$AG:$AG,$I2))</f>
        <v/>
      </c>
      <c r="I1828" s="136">
        <f>LET(_xlpm.r,Productos!$E$2:$E$2509,_xlpm.m,IFERROR(_xlfn.XMATCH(C1828,_xlpm.r),IFERROR(_xlfn.XMATCH(VALUE(C1828),_xlpm.r),0)),IF(_xlpm.m=0,"",_xlpm.m+1))</f>
        <v/>
      </c>
      <c r="J1828" s="137" t="inlineStr">
        <is>
          <t>NetSuite</t>
        </is>
      </c>
    </row>
    <row r="1829">
      <c r="A1829" s="5" t="inlineStr">
        <is>
          <t>STETSON AMERICAS</t>
        </is>
      </c>
      <c r="B1829" s="5">
        <f>IF($I2="","",INDEX(Productos!$A:$A,$I2))</f>
        <v/>
      </c>
      <c r="C1829" s="134" t="inlineStr">
        <is>
          <t>XWESWD-974048XL</t>
        </is>
      </c>
      <c r="D1829" s="5">
        <f>IF($I2="","",INDEX(Productos!$B:$B,$I2))</f>
        <v/>
      </c>
      <c r="E1829" s="5">
        <f>IF($I2="","",INDEX(Productos!$H:$H,$I2))</f>
        <v/>
      </c>
      <c r="F1829" s="5">
        <f>IF($I2="","",INDEX(Productos!$I:$I,$I2))</f>
        <v/>
      </c>
      <c r="G1829" s="135" t="n">
        <v>1</v>
      </c>
      <c r="H1829" s="5">
        <f>IF($I2="","",INDEX(Productos!$AG:$AG,$I2))</f>
        <v/>
      </c>
      <c r="I1829" s="136">
        <f>LET(_xlpm.r,Productos!$E$2:$E$2509,_xlpm.m,IFERROR(_xlfn.XMATCH(C1829,_xlpm.r),IFERROR(_xlfn.XMATCH(VALUE(C1829),_xlpm.r),0)),IF(_xlpm.m=0,"",_xlpm.m+1))</f>
        <v/>
      </c>
      <c r="J1829" s="137" t="inlineStr">
        <is>
          <t>NetSuite</t>
        </is>
      </c>
    </row>
    <row r="1830">
      <c r="A1830" s="5" t="inlineStr">
        <is>
          <t>STETSON AMERICAS</t>
        </is>
      </c>
      <c r="B1830" s="5">
        <f>IF($I2="","",INDEX(Productos!$A:$A,$I2))</f>
        <v/>
      </c>
      <c r="C1830" s="134" t="inlineStr">
        <is>
          <t>XWESWD-97405ML0</t>
        </is>
      </c>
      <c r="D1830" s="5">
        <f>IF($I2="","",INDEX(Productos!$B:$B,$I2))</f>
        <v/>
      </c>
      <c r="E1830" s="5">
        <f>IF($I2="","",INDEX(Productos!$H:$H,$I2))</f>
        <v/>
      </c>
      <c r="F1830" s="5">
        <f>IF($I2="","",INDEX(Productos!$I:$I,$I2))</f>
        <v/>
      </c>
      <c r="G1830" s="135" t="n">
        <v>-1</v>
      </c>
      <c r="H1830" s="5">
        <f>IF($I2="","",INDEX(Productos!$AG:$AG,$I2))</f>
        <v/>
      </c>
      <c r="I1830" s="136">
        <f>LET(_xlpm.r,Productos!$E$2:$E$2509,_xlpm.m,IFERROR(_xlfn.XMATCH(C1830,_xlpm.r),IFERROR(_xlfn.XMATCH(VALUE(C1830),_xlpm.r),0)),IF(_xlpm.m=0,"",_xlpm.m+1))</f>
        <v/>
      </c>
      <c r="J1830" s="137" t="inlineStr">
        <is>
          <t>NetSuite</t>
        </is>
      </c>
    </row>
    <row r="1831">
      <c r="A1831" s="5" t="inlineStr">
        <is>
          <t>STETSON AMERICAS</t>
        </is>
      </c>
      <c r="B1831" s="5">
        <f>IF($I2="","",INDEX(Productos!$A:$A,$I2))</f>
        <v/>
      </c>
      <c r="C1831" s="134" t="inlineStr">
        <is>
          <t>XWESWD-97405MM0</t>
        </is>
      </c>
      <c r="D1831" s="5">
        <f>IF($I2="","",INDEX(Productos!$B:$B,$I2))</f>
        <v/>
      </c>
      <c r="E1831" s="5">
        <f>IF($I2="","",INDEX(Productos!$H:$H,$I2))</f>
        <v/>
      </c>
      <c r="F1831" s="5">
        <f>IF($I2="","",INDEX(Productos!$I:$I,$I2))</f>
        <v/>
      </c>
      <c r="G1831" s="135" t="n">
        <v>-1</v>
      </c>
      <c r="H1831" s="5">
        <f>IF($I2="","",INDEX(Productos!$AG:$AG,$I2))</f>
        <v/>
      </c>
      <c r="I1831" s="136">
        <f>LET(_xlpm.r,Productos!$E$2:$E$2509,_xlpm.m,IFERROR(_xlfn.XMATCH(C1831,_xlpm.r),IFERROR(_xlfn.XMATCH(VALUE(C1831),_xlpm.r),0)),IF(_xlpm.m=0,"",_xlpm.m+1))</f>
        <v/>
      </c>
      <c r="J1831" s="137" t="inlineStr">
        <is>
          <t>NetSuite</t>
        </is>
      </c>
    </row>
    <row r="1832">
      <c r="A1832" s="5" t="inlineStr">
        <is>
          <t>STETSON AMERICAS</t>
        </is>
      </c>
      <c r="B1832" s="5">
        <f>IF($I2="","",INDEX(Productos!$A:$A,$I2))</f>
        <v/>
      </c>
      <c r="C1832" s="134" t="inlineStr">
        <is>
          <t>XWESWD-97405MS0</t>
        </is>
      </c>
      <c r="D1832" s="5">
        <f>IF($I2="","",INDEX(Productos!$B:$B,$I2))</f>
        <v/>
      </c>
      <c r="E1832" s="5">
        <f>IF($I2="","",INDEX(Productos!$H:$H,$I2))</f>
        <v/>
      </c>
      <c r="F1832" s="5">
        <f>IF($I2="","",INDEX(Productos!$I:$I,$I2))</f>
        <v/>
      </c>
      <c r="G1832" s="135" t="n">
        <v>-1</v>
      </c>
      <c r="H1832" s="5">
        <f>IF($I2="","",INDEX(Productos!$AG:$AG,$I2))</f>
        <v/>
      </c>
      <c r="I1832" s="136">
        <f>LET(_xlpm.r,Productos!$E$2:$E$2509,_xlpm.m,IFERROR(_xlfn.XMATCH(C1832,_xlpm.r),IFERROR(_xlfn.XMATCH(VALUE(C1832),_xlpm.r),0)),IF(_xlpm.m=0,"",_xlpm.m+1))</f>
        <v/>
      </c>
      <c r="J1832" s="137" t="inlineStr">
        <is>
          <t>NetSuite</t>
        </is>
      </c>
    </row>
    <row r="1833">
      <c r="A1833" s="5" t="inlineStr">
        <is>
          <t>STETSON AMERICAS</t>
        </is>
      </c>
      <c r="B1833" s="5">
        <f>IF($I2="","",INDEX(Productos!$A:$A,$I2))</f>
        <v/>
      </c>
      <c r="C1833" s="134" t="inlineStr">
        <is>
          <t>XWESWD-97405MXL</t>
        </is>
      </c>
      <c r="D1833" s="5">
        <f>IF($I2="","",INDEX(Productos!$B:$B,$I2))</f>
        <v/>
      </c>
      <c r="E1833" s="5">
        <f>IF($I2="","",INDEX(Productos!$H:$H,$I2))</f>
        <v/>
      </c>
      <c r="F1833" s="5">
        <f>IF($I2="","",INDEX(Productos!$I:$I,$I2))</f>
        <v/>
      </c>
      <c r="G1833" s="135" t="n">
        <v>-1</v>
      </c>
      <c r="H1833" s="5">
        <f>IF($I2="","",INDEX(Productos!$AG:$AG,$I2))</f>
        <v/>
      </c>
      <c r="I1833" s="136">
        <f>LET(_xlpm.r,Productos!$E$2:$E$2509,_xlpm.m,IFERROR(_xlfn.XMATCH(C1833,_xlpm.r),IFERROR(_xlfn.XMATCH(VALUE(C1833),_xlpm.r),0)),IF(_xlpm.m=0,"",_xlpm.m+1))</f>
        <v/>
      </c>
      <c r="J1833" s="137" t="inlineStr">
        <is>
          <t>NetSuite</t>
        </is>
      </c>
    </row>
    <row r="1834">
      <c r="A1834" s="5" t="inlineStr">
        <is>
          <t>STETSON AMERICAS</t>
        </is>
      </c>
      <c r="B1834" s="5">
        <f>IF($I2="","",INDEX(Productos!$A:$A,$I2))</f>
        <v/>
      </c>
      <c r="C1834" s="134" t="inlineStr">
        <is>
          <t>XWESWD-974074L0</t>
        </is>
      </c>
      <c r="D1834" s="5">
        <f>IF($I2="","",INDEX(Productos!$B:$B,$I2))</f>
        <v/>
      </c>
      <c r="E1834" s="5">
        <f>IF($I2="","",INDEX(Productos!$H:$H,$I2))</f>
        <v/>
      </c>
      <c r="F1834" s="5">
        <f>IF($I2="","",INDEX(Productos!$I:$I,$I2))</f>
        <v/>
      </c>
      <c r="G1834" s="135" t="n">
        <v>-1</v>
      </c>
      <c r="H1834" s="5">
        <f>IF($I2="","",INDEX(Productos!$AG:$AG,$I2))</f>
        <v/>
      </c>
      <c r="I1834" s="136">
        <f>LET(_xlpm.r,Productos!$E$2:$E$2509,_xlpm.m,IFERROR(_xlfn.XMATCH(C1834,_xlpm.r),IFERROR(_xlfn.XMATCH(VALUE(C1834),_xlpm.r),0)),IF(_xlpm.m=0,"",_xlpm.m+1))</f>
        <v/>
      </c>
      <c r="J1834" s="137" t="inlineStr">
        <is>
          <t>NetSuite</t>
        </is>
      </c>
    </row>
    <row r="1835">
      <c r="A1835" s="5" t="inlineStr">
        <is>
          <t>STETSON AMERICAS</t>
        </is>
      </c>
      <c r="B1835" s="5">
        <f>IF($I2="","",INDEX(Productos!$A:$A,$I2))</f>
        <v/>
      </c>
      <c r="C1835" s="134" t="inlineStr">
        <is>
          <t>XWESWD-974074M0</t>
        </is>
      </c>
      <c r="D1835" s="5">
        <f>IF($I2="","",INDEX(Productos!$B:$B,$I2))</f>
        <v/>
      </c>
      <c r="E1835" s="5">
        <f>IF($I2="","",INDEX(Productos!$H:$H,$I2))</f>
        <v/>
      </c>
      <c r="F1835" s="5">
        <f>IF($I2="","",INDEX(Productos!$I:$I,$I2))</f>
        <v/>
      </c>
      <c r="G1835" s="135" t="n">
        <v>-1</v>
      </c>
      <c r="H1835" s="5">
        <f>IF($I2="","",INDEX(Productos!$AG:$AG,$I2))</f>
        <v/>
      </c>
      <c r="I1835" s="136">
        <f>LET(_xlpm.r,Productos!$E$2:$E$2509,_xlpm.m,IFERROR(_xlfn.XMATCH(C1835,_xlpm.r),IFERROR(_xlfn.XMATCH(VALUE(C1835),_xlpm.r),0)),IF(_xlpm.m=0,"",_xlpm.m+1))</f>
        <v/>
      </c>
      <c r="J1835" s="137" t="inlineStr">
        <is>
          <t>NetSuite</t>
        </is>
      </c>
    </row>
    <row r="1836">
      <c r="A1836" s="5" t="inlineStr">
        <is>
          <t>STETSON AMERICAS</t>
        </is>
      </c>
      <c r="B1836" s="5">
        <f>IF($I2="","",INDEX(Productos!$A:$A,$I2))</f>
        <v/>
      </c>
      <c r="C1836" s="134" t="inlineStr">
        <is>
          <t>XWESWD-974074S0</t>
        </is>
      </c>
      <c r="D1836" s="5">
        <f>IF($I2="","",INDEX(Productos!$B:$B,$I2))</f>
        <v/>
      </c>
      <c r="E1836" s="5">
        <f>IF($I2="","",INDEX(Productos!$H:$H,$I2))</f>
        <v/>
      </c>
      <c r="F1836" s="5">
        <f>IF($I2="","",INDEX(Productos!$I:$I,$I2))</f>
        <v/>
      </c>
      <c r="G1836" s="135" t="n">
        <v>-1</v>
      </c>
      <c r="H1836" s="5">
        <f>IF($I2="","",INDEX(Productos!$AG:$AG,$I2))</f>
        <v/>
      </c>
      <c r="I1836" s="136">
        <f>LET(_xlpm.r,Productos!$E$2:$E$2509,_xlpm.m,IFERROR(_xlfn.XMATCH(C1836,_xlpm.r),IFERROR(_xlfn.XMATCH(VALUE(C1836),_xlpm.r),0)),IF(_xlpm.m=0,"",_xlpm.m+1))</f>
        <v/>
      </c>
      <c r="J1836" s="137" t="inlineStr">
        <is>
          <t>NetSuite</t>
        </is>
      </c>
    </row>
    <row r="1837">
      <c r="A1837" s="5" t="inlineStr">
        <is>
          <t>STETSON AMERICAS</t>
        </is>
      </c>
      <c r="B1837" s="5">
        <f>IF($I2="","",INDEX(Productos!$A:$A,$I2))</f>
        <v/>
      </c>
      <c r="C1837" s="134" t="inlineStr">
        <is>
          <t>XWGDCR-9142DMM0</t>
        </is>
      </c>
      <c r="D1837" s="5">
        <f>IF($I2="","",INDEX(Productos!$B:$B,$I2))</f>
        <v/>
      </c>
      <c r="E1837" s="5">
        <f>IF($I2="","",INDEX(Productos!$H:$H,$I2))</f>
        <v/>
      </c>
      <c r="F1837" s="5">
        <f>IF($I2="","",INDEX(Productos!$I:$I,$I2))</f>
        <v/>
      </c>
      <c r="G1837" s="135" t="n">
        <v>-2</v>
      </c>
      <c r="H1837" s="5">
        <f>IF($I2="","",INDEX(Productos!$AG:$AG,$I2))</f>
        <v/>
      </c>
      <c r="I1837" s="136">
        <f>LET(_xlpm.r,Productos!$E$2:$E$2509,_xlpm.m,IFERROR(_xlfn.XMATCH(C1837,_xlpm.r),IFERROR(_xlfn.XMATCH(VALUE(C1837),_xlpm.r),0)),IF(_xlpm.m=0,"",_xlpm.m+1))</f>
        <v/>
      </c>
      <c r="J1837" s="137" t="inlineStr">
        <is>
          <t>NetSuite</t>
        </is>
      </c>
    </row>
    <row r="1838">
      <c r="A1838" s="5" t="inlineStr">
        <is>
          <t>STETSON AMERICAS</t>
        </is>
      </c>
      <c r="B1838" s="5">
        <f>IF($I2="","",INDEX(Productos!$A:$A,$I2))</f>
        <v/>
      </c>
      <c r="C1838" s="134" t="inlineStr">
        <is>
          <t>XWGDCR-9142EUXL</t>
        </is>
      </c>
      <c r="D1838" s="5">
        <f>IF($I2="","",INDEX(Productos!$B:$B,$I2))</f>
        <v/>
      </c>
      <c r="E1838" s="5">
        <f>IF($I2="","",INDEX(Productos!$H:$H,$I2))</f>
        <v/>
      </c>
      <c r="F1838" s="5">
        <f>IF($I2="","",INDEX(Productos!$I:$I,$I2))</f>
        <v/>
      </c>
      <c r="G1838" s="135" t="n">
        <v>-1</v>
      </c>
      <c r="H1838" s="5">
        <f>IF($I2="","",INDEX(Productos!$AG:$AG,$I2))</f>
        <v/>
      </c>
      <c r="I1838" s="136">
        <f>LET(_xlpm.r,Productos!$E$2:$E$2509,_xlpm.m,IFERROR(_xlfn.XMATCH(C1838,_xlpm.r),IFERROR(_xlfn.XMATCH(VALUE(C1838),_xlpm.r),0)),IF(_xlpm.m=0,"",_xlpm.m+1))</f>
        <v/>
      </c>
      <c r="J1838" s="137" t="inlineStr">
        <is>
          <t>NetSuite</t>
        </is>
      </c>
    </row>
    <row r="1839">
      <c r="A1839" s="5" t="inlineStr">
        <is>
          <t>STETSON AMERICAS</t>
        </is>
      </c>
      <c r="B1839" s="5">
        <f>IF($I2="","",INDEX(Productos!$A:$A,$I2))</f>
        <v/>
      </c>
      <c r="C1839" s="134" t="inlineStr">
        <is>
          <t>XWLRLH-0336S9L0</t>
        </is>
      </c>
      <c r="D1839" s="5">
        <f>IF($I2="","",INDEX(Productos!$B:$B,$I2))</f>
        <v/>
      </c>
      <c r="E1839" s="5">
        <f>IF($I2="","",INDEX(Productos!$H:$H,$I2))</f>
        <v/>
      </c>
      <c r="F1839" s="5">
        <f>IF($I2="","",INDEX(Productos!$I:$I,$I2))</f>
        <v/>
      </c>
      <c r="G1839" s="135" t="n">
        <v>1</v>
      </c>
      <c r="H1839" s="5">
        <f>IF($I2="","",INDEX(Productos!$AG:$AG,$I2))</f>
        <v/>
      </c>
      <c r="I1839" s="136">
        <f>LET(_xlpm.r,Productos!$E$2:$E$2509,_xlpm.m,IFERROR(_xlfn.XMATCH(C1839,_xlpm.r),IFERROR(_xlfn.XMATCH(VALUE(C1839),_xlpm.r),0)),IF(_xlpm.m=0,"",_xlpm.m+1))</f>
        <v/>
      </c>
      <c r="J1839" s="137" t="inlineStr">
        <is>
          <t>NetSuite</t>
        </is>
      </c>
    </row>
    <row r="1840">
      <c r="A1840" s="5" t="inlineStr">
        <is>
          <t>STETSON AMERICAS</t>
        </is>
      </c>
      <c r="B1840" s="5">
        <f>IF($I2="","",INDEX(Productos!$A:$A,$I2))</f>
        <v/>
      </c>
      <c r="C1840" s="134" t="inlineStr">
        <is>
          <t>XWLRLH-0336S9M0</t>
        </is>
      </c>
      <c r="D1840" s="5">
        <f>IF($I2="","",INDEX(Productos!$B:$B,$I2))</f>
        <v/>
      </c>
      <c r="E1840" s="5">
        <f>IF($I2="","",INDEX(Productos!$H:$H,$I2))</f>
        <v/>
      </c>
      <c r="F1840" s="5">
        <f>IF($I2="","",INDEX(Productos!$I:$I,$I2))</f>
        <v/>
      </c>
      <c r="G1840" s="135" t="n">
        <v>1</v>
      </c>
      <c r="H1840" s="5">
        <f>IF($I2="","",INDEX(Productos!$AG:$AG,$I2))</f>
        <v/>
      </c>
      <c r="I1840" s="136">
        <f>LET(_xlpm.r,Productos!$E$2:$E$2509,_xlpm.m,IFERROR(_xlfn.XMATCH(C1840,_xlpm.r),IFERROR(_xlfn.XMATCH(VALUE(C1840),_xlpm.r),0)),IF(_xlpm.m=0,"",_xlpm.m+1))</f>
        <v/>
      </c>
      <c r="J1840" s="137" t="inlineStr">
        <is>
          <t>NetSuite</t>
        </is>
      </c>
    </row>
    <row r="1841">
      <c r="A1841" s="5" t="inlineStr">
        <is>
          <t>STETSON AMERICAS</t>
        </is>
      </c>
      <c r="B1841" s="5">
        <f>IF($I2="","",INDEX(Productos!$A:$A,$I2))</f>
        <v/>
      </c>
      <c r="C1841" s="134" t="inlineStr">
        <is>
          <t>XWLRLH-0336S9XL</t>
        </is>
      </c>
      <c r="D1841" s="5">
        <f>IF($I2="","",INDEX(Productos!$B:$B,$I2))</f>
        <v/>
      </c>
      <c r="E1841" s="5">
        <f>IF($I2="","",INDEX(Productos!$H:$H,$I2))</f>
        <v/>
      </c>
      <c r="F1841" s="5">
        <f>IF($I2="","",INDEX(Productos!$I:$I,$I2))</f>
        <v/>
      </c>
      <c r="G1841" s="135" t="n">
        <v>1</v>
      </c>
      <c r="H1841" s="5">
        <f>IF($I2="","",INDEX(Productos!$AG:$AG,$I2))</f>
        <v/>
      </c>
      <c r="I1841" s="136">
        <f>LET(_xlpm.r,Productos!$E$2:$E$2509,_xlpm.m,IFERROR(_xlfn.XMATCH(C1841,_xlpm.r),IFERROR(_xlfn.XMATCH(VALUE(C1841),_xlpm.r),0)),IF(_xlpm.m=0,"",_xlpm.m+1))</f>
        <v/>
      </c>
      <c r="J1841" s="137" t="inlineStr">
        <is>
          <t>NetSuite</t>
        </is>
      </c>
    </row>
    <row r="1842">
      <c r="A1842" s="5" t="inlineStr">
        <is>
          <t>STETSON AMERICAS</t>
        </is>
      </c>
      <c r="B1842" s="5">
        <f>IF($I2="","",INDEX(Productos!$A:$A,$I2))</f>
        <v/>
      </c>
      <c r="C1842" s="134" t="inlineStr">
        <is>
          <t>XWNGSKS104048L0</t>
        </is>
      </c>
      <c r="D1842" s="5">
        <f>IF($I2="","",INDEX(Productos!$B:$B,$I2))</f>
        <v/>
      </c>
      <c r="E1842" s="5">
        <f>IF($I2="","",INDEX(Productos!$H:$H,$I2))</f>
        <v/>
      </c>
      <c r="F1842" s="5">
        <f>IF($I2="","",INDEX(Productos!$I:$I,$I2))</f>
        <v/>
      </c>
      <c r="G1842" s="135" t="n">
        <v>2</v>
      </c>
      <c r="H1842" s="5">
        <f>IF($I2="","",INDEX(Productos!$AG:$AG,$I2))</f>
        <v/>
      </c>
      <c r="I1842" s="136">
        <f>LET(_xlpm.r,Productos!$E$2:$E$2509,_xlpm.m,IFERROR(_xlfn.XMATCH(C1842,_xlpm.r),IFERROR(_xlfn.XMATCH(VALUE(C1842),_xlpm.r),0)),IF(_xlpm.m=0,"",_xlpm.m+1))</f>
        <v/>
      </c>
      <c r="J1842" s="137" t="inlineStr">
        <is>
          <t>NetSuite</t>
        </is>
      </c>
    </row>
    <row r="1843">
      <c r="A1843" s="5" t="inlineStr">
        <is>
          <t>STETSON AMERICAS</t>
        </is>
      </c>
      <c r="B1843" s="5">
        <f>IF($I2="","",INDEX(Productos!$A:$A,$I2))</f>
        <v/>
      </c>
      <c r="C1843" s="134" t="inlineStr">
        <is>
          <t>XWNGSKS104048M0</t>
        </is>
      </c>
      <c r="D1843" s="5">
        <f>IF($I2="","",INDEX(Productos!$B:$B,$I2))</f>
        <v/>
      </c>
      <c r="E1843" s="5">
        <f>IF($I2="","",INDEX(Productos!$H:$H,$I2))</f>
        <v/>
      </c>
      <c r="F1843" s="5">
        <f>IF($I2="","",INDEX(Productos!$I:$I,$I2))</f>
        <v/>
      </c>
      <c r="G1843" s="135" t="n">
        <v>2</v>
      </c>
      <c r="H1843" s="5">
        <f>IF($I2="","",INDEX(Productos!$AG:$AG,$I2))</f>
        <v/>
      </c>
      <c r="I1843" s="136">
        <f>LET(_xlpm.r,Productos!$E$2:$E$2509,_xlpm.m,IFERROR(_xlfn.XMATCH(C1843,_xlpm.r),IFERROR(_xlfn.XMATCH(VALUE(C1843),_xlpm.r),0)),IF(_xlpm.m=0,"",_xlpm.m+1))</f>
        <v/>
      </c>
      <c r="J1843" s="137" t="inlineStr">
        <is>
          <t>NetSuite</t>
        </is>
      </c>
    </row>
    <row r="1844">
      <c r="A1844" s="5" t="inlineStr">
        <is>
          <t>STETSON AMERICAS</t>
        </is>
      </c>
      <c r="B1844" s="5">
        <f>IF($I2="","",INDEX(Productos!$A:$A,$I2))</f>
        <v/>
      </c>
      <c r="C1844" s="134" t="inlineStr">
        <is>
          <t>XWNGSKS104048S0</t>
        </is>
      </c>
      <c r="D1844" s="5">
        <f>IF($I2="","",INDEX(Productos!$B:$B,$I2))</f>
        <v/>
      </c>
      <c r="E1844" s="5">
        <f>IF($I2="","",INDEX(Productos!$H:$H,$I2))</f>
        <v/>
      </c>
      <c r="F1844" s="5">
        <f>IF($I2="","",INDEX(Productos!$I:$I,$I2))</f>
        <v/>
      </c>
      <c r="G1844" s="135" t="n">
        <v>-1</v>
      </c>
      <c r="H1844" s="5">
        <f>IF($I2="","",INDEX(Productos!$AG:$AG,$I2))</f>
        <v/>
      </c>
      <c r="I1844" s="136">
        <f>LET(_xlpm.r,Productos!$E$2:$E$2509,_xlpm.m,IFERROR(_xlfn.XMATCH(C1844,_xlpm.r),IFERROR(_xlfn.XMATCH(VALUE(C1844),_xlpm.r),0)),IF(_xlpm.m=0,"",_xlpm.m+1))</f>
        <v/>
      </c>
      <c r="J1844" s="137" t="inlineStr">
        <is>
          <t>NetSuite</t>
        </is>
      </c>
    </row>
    <row r="1845">
      <c r="A1845" s="5" t="inlineStr">
        <is>
          <t>STETSON AMERICAS</t>
        </is>
      </c>
      <c r="B1845" s="5">
        <f>IF($I2="","",INDEX(Productos!$A:$A,$I2))</f>
        <v/>
      </c>
      <c r="C1845" s="134" t="inlineStr">
        <is>
          <t>XWNGSKS104074L0</t>
        </is>
      </c>
      <c r="D1845" s="5">
        <f>IF($I2="","",INDEX(Productos!$B:$B,$I2))</f>
        <v/>
      </c>
      <c r="E1845" s="5">
        <f>IF($I2="","",INDEX(Productos!$H:$H,$I2))</f>
        <v/>
      </c>
      <c r="F1845" s="5">
        <f>IF($I2="","",INDEX(Productos!$I:$I,$I2))</f>
        <v/>
      </c>
      <c r="G1845" s="135" t="n">
        <v>-1</v>
      </c>
      <c r="H1845" s="5">
        <f>IF($I2="","",INDEX(Productos!$AG:$AG,$I2))</f>
        <v/>
      </c>
      <c r="I1845" s="136">
        <f>LET(_xlpm.r,Productos!$E$2:$E$2509,_xlpm.m,IFERROR(_xlfn.XMATCH(C1845,_xlpm.r),IFERROR(_xlfn.XMATCH(VALUE(C1845),_xlpm.r),0)),IF(_xlpm.m=0,"",_xlpm.m+1))</f>
        <v/>
      </c>
      <c r="J1845" s="137" t="inlineStr">
        <is>
          <t>NetSuite</t>
        </is>
      </c>
    </row>
    <row r="1846">
      <c r="A1846" s="5" t="inlineStr">
        <is>
          <t>STETSON AMERICAS</t>
        </is>
      </c>
      <c r="B1846" s="5">
        <f>IF($I2="","",INDEX(Productos!$A:$A,$I2))</f>
        <v/>
      </c>
      <c r="C1846" s="134" t="inlineStr">
        <is>
          <t>XWNGSKS104074XL</t>
        </is>
      </c>
      <c r="D1846" s="5">
        <f>IF($I2="","",INDEX(Productos!$B:$B,$I2))</f>
        <v/>
      </c>
      <c r="E1846" s="5">
        <f>IF($I2="","",INDEX(Productos!$H:$H,$I2))</f>
        <v/>
      </c>
      <c r="F1846" s="5">
        <f>IF($I2="","",INDEX(Productos!$I:$I,$I2))</f>
        <v/>
      </c>
      <c r="G1846" s="135" t="n">
        <v>1</v>
      </c>
      <c r="H1846" s="5">
        <f>IF($I2="","",INDEX(Productos!$AG:$AG,$I2))</f>
        <v/>
      </c>
      <c r="I1846" s="136">
        <f>LET(_xlpm.r,Productos!$E$2:$E$2509,_xlpm.m,IFERROR(_xlfn.XMATCH(C1846,_xlpm.r),IFERROR(_xlfn.XMATCH(VALUE(C1846),_xlpm.r),0)),IF(_xlpm.m=0,"",_xlpm.m+1))</f>
        <v/>
      </c>
      <c r="J1846" s="137" t="inlineStr">
        <is>
          <t>NetSuite</t>
        </is>
      </c>
    </row>
    <row r="1847">
      <c r="A1847" s="5" t="inlineStr">
        <is>
          <t>STETSON AMERICAS</t>
        </is>
      </c>
      <c r="B1847" s="5">
        <f>IF($I2="","",INDEX(Productos!$A:$A,$I2))</f>
        <v/>
      </c>
      <c r="C1847" s="134" t="inlineStr">
        <is>
          <t>XWNGSKS104078L0</t>
        </is>
      </c>
      <c r="D1847" s="5">
        <f>IF($I2="","",INDEX(Productos!$B:$B,$I2))</f>
        <v/>
      </c>
      <c r="E1847" s="5">
        <f>IF($I2="","",INDEX(Productos!$H:$H,$I2))</f>
        <v/>
      </c>
      <c r="F1847" s="5">
        <f>IF($I2="","",INDEX(Productos!$I:$I,$I2))</f>
        <v/>
      </c>
      <c r="G1847" s="135" t="n">
        <v>1</v>
      </c>
      <c r="H1847" s="5">
        <f>IF($I2="","",INDEX(Productos!$AG:$AG,$I2))</f>
        <v/>
      </c>
      <c r="I1847" s="136">
        <f>LET(_xlpm.r,Productos!$E$2:$E$2509,_xlpm.m,IFERROR(_xlfn.XMATCH(C1847,_xlpm.r),IFERROR(_xlfn.XMATCH(VALUE(C1847),_xlpm.r),0)),IF(_xlpm.m=0,"",_xlpm.m+1))</f>
        <v/>
      </c>
      <c r="J1847" s="137" t="inlineStr">
        <is>
          <t>NetSuite</t>
        </is>
      </c>
    </row>
    <row r="1848">
      <c r="A1848" s="5" t="inlineStr">
        <is>
          <t>WB OUTLET LERMA</t>
        </is>
      </c>
      <c r="B1848" s="5">
        <f>IF($I2="","",INDEX(Productos!$A:$A,$I2))</f>
        <v/>
      </c>
      <c r="C1848" s="134" t="inlineStr">
        <is>
          <t>11-001-0465-0031-L</t>
        </is>
      </c>
      <c r="D1848" s="5">
        <f>IF($I2="","",INDEX(Productos!$B:$B,$I2))</f>
        <v/>
      </c>
      <c r="E1848" s="5">
        <f>IF($I2="","",INDEX(Productos!$H:$H,$I2))</f>
        <v/>
      </c>
      <c r="F1848" s="5">
        <f>IF($I2="","",INDEX(Productos!$I:$I,$I2))</f>
        <v/>
      </c>
      <c r="G1848" s="135" t="n">
        <v>-1</v>
      </c>
      <c r="H1848" s="5">
        <f>IF($I2="","",INDEX(Productos!$AG:$AG,$I2))</f>
        <v/>
      </c>
      <c r="I1848" s="136">
        <f>LET(_xlpm.r,Productos!$E$2:$E$2509,_xlpm.m,IFERROR(_xlfn.XMATCH(C1848,_xlpm.r),IFERROR(_xlfn.XMATCH(VALUE(C1848),_xlpm.r),0)),IF(_xlpm.m=0,"",_xlpm.m+1))</f>
        <v/>
      </c>
      <c r="J1848" s="137" t="inlineStr">
        <is>
          <t>NetSuite</t>
        </is>
      </c>
    </row>
    <row r="1849">
      <c r="A1849" s="5" t="inlineStr">
        <is>
          <t>WB OUTLET LERMA</t>
        </is>
      </c>
      <c r="B1849" s="5">
        <f>IF($I2="","",INDEX(Productos!$A:$A,$I2))</f>
        <v/>
      </c>
      <c r="C1849" s="134" t="inlineStr">
        <is>
          <t>9401790-204-L</t>
        </is>
      </c>
      <c r="D1849" s="5">
        <f>IF($I2="","",INDEX(Productos!$B:$B,$I2))</f>
        <v/>
      </c>
      <c r="E1849" s="5">
        <f>IF($I2="","",INDEX(Productos!$H:$H,$I2))</f>
        <v/>
      </c>
      <c r="F1849" s="5">
        <f>IF($I2="","",INDEX(Productos!$I:$I,$I2))</f>
        <v/>
      </c>
      <c r="G1849" s="135" t="n">
        <v>2</v>
      </c>
      <c r="H1849" s="5">
        <f>IF($I2="","",INDEX(Productos!$AG:$AG,$I2))</f>
        <v/>
      </c>
      <c r="I1849" s="136">
        <f>LET(_xlpm.r,Productos!$E$2:$E$2509,_xlpm.m,IFERROR(_xlfn.XMATCH(C1849,_xlpm.r),IFERROR(_xlfn.XMATCH(VALUE(C1849),_xlpm.r),0)),IF(_xlpm.m=0,"",_xlpm.m+1))</f>
        <v/>
      </c>
      <c r="J1849" s="137" t="inlineStr">
        <is>
          <t>NetSuite</t>
        </is>
      </c>
    </row>
    <row r="1850">
      <c r="A1850" s="5" t="inlineStr">
        <is>
          <t>WB OUTLET LERMA</t>
        </is>
      </c>
      <c r="B1850" s="5">
        <f>IF($I2="","",INDEX(Productos!$A:$A,$I2))</f>
        <v/>
      </c>
      <c r="C1850" s="134" t="inlineStr">
        <is>
          <t>9402790-200-L</t>
        </is>
      </c>
      <c r="D1850" s="5">
        <f>IF($I2="","",INDEX(Productos!$B:$B,$I2))</f>
        <v/>
      </c>
      <c r="E1850" s="5">
        <f>IF($I2="","",INDEX(Productos!$H:$H,$I2))</f>
        <v/>
      </c>
      <c r="F1850" s="5">
        <f>IF($I2="","",INDEX(Productos!$I:$I,$I2))</f>
        <v/>
      </c>
      <c r="G1850" s="135" t="n">
        <v>1</v>
      </c>
      <c r="H1850" s="5">
        <f>IF($I2="","",INDEX(Productos!$AG:$AG,$I2))</f>
        <v/>
      </c>
      <c r="I1850" s="136">
        <f>LET(_xlpm.r,Productos!$E$2:$E$2509,_xlpm.m,IFERROR(_xlfn.XMATCH(C1850,_xlpm.r),IFERROR(_xlfn.XMATCH(VALUE(C1850),_xlpm.r),0)),IF(_xlpm.m=0,"",_xlpm.m+1))</f>
        <v/>
      </c>
      <c r="J1850" s="137" t="inlineStr">
        <is>
          <t>NetSuite</t>
        </is>
      </c>
    </row>
    <row r="1851">
      <c r="A1851" s="5" t="inlineStr">
        <is>
          <t>WB OUTLET LERMA</t>
        </is>
      </c>
      <c r="B1851" s="5">
        <f>IF($I2="","",INDEX(Productos!$A:$A,$I2))</f>
        <v/>
      </c>
      <c r="C1851" s="134" t="inlineStr">
        <is>
          <t>9402790-200-M</t>
        </is>
      </c>
      <c r="D1851" s="5">
        <f>IF($I2="","",INDEX(Productos!$B:$B,$I2))</f>
        <v/>
      </c>
      <c r="E1851" s="5">
        <f>IF($I2="","",INDEX(Productos!$H:$H,$I2))</f>
        <v/>
      </c>
      <c r="F1851" s="5">
        <f>IF($I2="","",INDEX(Productos!$I:$I,$I2))</f>
        <v/>
      </c>
      <c r="G1851" s="135" t="n">
        <v>2</v>
      </c>
      <c r="H1851" s="5">
        <f>IF($I2="","",INDEX(Productos!$AG:$AG,$I2))</f>
        <v/>
      </c>
      <c r="I1851" s="136">
        <f>LET(_xlpm.r,Productos!$E$2:$E$2509,_xlpm.m,IFERROR(_xlfn.XMATCH(C1851,_xlpm.r),IFERROR(_xlfn.XMATCH(VALUE(C1851),_xlpm.r),0)),IF(_xlpm.m=0,"",_xlpm.m+1))</f>
        <v/>
      </c>
      <c r="J1851" s="137" t="inlineStr">
        <is>
          <t>NetSuite</t>
        </is>
      </c>
    </row>
    <row r="1852">
      <c r="A1852" s="5" t="inlineStr">
        <is>
          <t>WB OUTLET LERMA</t>
        </is>
      </c>
      <c r="B1852" s="5">
        <f>IF($I2="","",INDEX(Productos!$A:$A,$I2))</f>
        <v/>
      </c>
      <c r="C1852" s="134" t="inlineStr">
        <is>
          <t>9402790-200-XL</t>
        </is>
      </c>
      <c r="D1852" s="5">
        <f>IF($I2="","",INDEX(Productos!$B:$B,$I2))</f>
        <v/>
      </c>
      <c r="E1852" s="5">
        <f>IF($I2="","",INDEX(Productos!$H:$H,$I2))</f>
        <v/>
      </c>
      <c r="F1852" s="5">
        <f>IF($I2="","",INDEX(Productos!$I:$I,$I2))</f>
        <v/>
      </c>
      <c r="G1852" s="135" t="n">
        <v>2</v>
      </c>
      <c r="H1852" s="5">
        <f>IF($I2="","",INDEX(Productos!$AG:$AG,$I2))</f>
        <v/>
      </c>
      <c r="I1852" s="136">
        <f>LET(_xlpm.r,Productos!$E$2:$E$2509,_xlpm.m,IFERROR(_xlfn.XMATCH(C1852,_xlpm.r),IFERROR(_xlfn.XMATCH(VALUE(C1852),_xlpm.r),0)),IF(_xlpm.m=0,"",_xlpm.m+1))</f>
        <v/>
      </c>
      <c r="J1852" s="137" t="inlineStr">
        <is>
          <t>NetSuite</t>
        </is>
      </c>
    </row>
    <row r="1853">
      <c r="A1853" s="5" t="inlineStr">
        <is>
          <t>WB OUTLET LERMA</t>
        </is>
      </c>
      <c r="B1853" s="5">
        <f>IF($I2="","",INDEX(Productos!$A:$A,$I2))</f>
        <v/>
      </c>
      <c r="C1853" s="134" t="inlineStr">
        <is>
          <t>9403790-200-S</t>
        </is>
      </c>
      <c r="D1853" s="5">
        <f>IF($I2="","",INDEX(Productos!$B:$B,$I2))</f>
        <v/>
      </c>
      <c r="E1853" s="5">
        <f>IF($I2="","",INDEX(Productos!$H:$H,$I2))</f>
        <v/>
      </c>
      <c r="F1853" s="5">
        <f>IF($I2="","",INDEX(Productos!$I:$I,$I2))</f>
        <v/>
      </c>
      <c r="G1853" s="135" t="n">
        <v>1</v>
      </c>
      <c r="H1853" s="5">
        <f>IF($I2="","",INDEX(Productos!$AG:$AG,$I2))</f>
        <v/>
      </c>
      <c r="I1853" s="136">
        <f>LET(_xlpm.r,Productos!$E$2:$E$2509,_xlpm.m,IFERROR(_xlfn.XMATCH(C1853,_xlpm.r),IFERROR(_xlfn.XMATCH(VALUE(C1853),_xlpm.r),0)),IF(_xlpm.m=0,"",_xlpm.m+1))</f>
        <v/>
      </c>
      <c r="J1853" s="137" t="inlineStr">
        <is>
          <t>NetSuite</t>
        </is>
      </c>
    </row>
    <row r="1854">
      <c r="A1854" s="5" t="inlineStr">
        <is>
          <t>WB OUTLET LERMA</t>
        </is>
      </c>
      <c r="B1854" s="5">
        <f>IF($I2="","",INDEX(Productos!$A:$A,$I2))</f>
        <v/>
      </c>
      <c r="C1854" s="134" t="inlineStr">
        <is>
          <t>9404790-104-L</t>
        </is>
      </c>
      <c r="D1854" s="5">
        <f>IF($I2="","",INDEX(Productos!$B:$B,$I2))</f>
        <v/>
      </c>
      <c r="E1854" s="5">
        <f>IF($I2="","",INDEX(Productos!$H:$H,$I2))</f>
        <v/>
      </c>
      <c r="F1854" s="5">
        <f>IF($I2="","",INDEX(Productos!$I:$I,$I2))</f>
        <v/>
      </c>
      <c r="G1854" s="135" t="n">
        <v>3</v>
      </c>
      <c r="H1854" s="5">
        <f>IF($I2="","",INDEX(Productos!$AG:$AG,$I2))</f>
        <v/>
      </c>
      <c r="I1854" s="136">
        <f>LET(_xlpm.r,Productos!$E$2:$E$2509,_xlpm.m,IFERROR(_xlfn.XMATCH(C1854,_xlpm.r),IFERROR(_xlfn.XMATCH(VALUE(C1854),_xlpm.r),0)),IF(_xlpm.m=0,"",_xlpm.m+1))</f>
        <v/>
      </c>
      <c r="J1854" s="137" t="inlineStr">
        <is>
          <t>NetSuite</t>
        </is>
      </c>
    </row>
    <row r="1855">
      <c r="A1855" s="5" t="inlineStr">
        <is>
          <t>WB OUTLET LERMA</t>
        </is>
      </c>
      <c r="B1855" s="5">
        <f>IF($I2="","",INDEX(Productos!$A:$A,$I2))</f>
        <v/>
      </c>
      <c r="C1855" s="134" t="inlineStr">
        <is>
          <t>9405790-210-L</t>
        </is>
      </c>
      <c r="D1855" s="5">
        <f>IF($I2="","",INDEX(Productos!$B:$B,$I2))</f>
        <v/>
      </c>
      <c r="E1855" s="5">
        <f>IF($I2="","",INDEX(Productos!$H:$H,$I2))</f>
        <v/>
      </c>
      <c r="F1855" s="5">
        <f>IF($I2="","",INDEX(Productos!$I:$I,$I2))</f>
        <v/>
      </c>
      <c r="G1855" s="135" t="n">
        <v>1</v>
      </c>
      <c r="H1855" s="5">
        <f>IF($I2="","",INDEX(Productos!$AG:$AG,$I2))</f>
        <v/>
      </c>
      <c r="I1855" s="136">
        <f>LET(_xlpm.r,Productos!$E$2:$E$2509,_xlpm.m,IFERROR(_xlfn.XMATCH(C1855,_xlpm.r),IFERROR(_xlfn.XMATCH(VALUE(C1855),_xlpm.r),0)),IF(_xlpm.m=0,"",_xlpm.m+1))</f>
        <v/>
      </c>
      <c r="J1855" s="137" t="inlineStr">
        <is>
          <t>NetSuite</t>
        </is>
      </c>
    </row>
    <row r="1856">
      <c r="A1856" s="5" t="inlineStr">
        <is>
          <t>WB OUTLET LERMA</t>
        </is>
      </c>
      <c r="B1856" s="5">
        <f>IF($I2="","",INDEX(Productos!$A:$A,$I2))</f>
        <v/>
      </c>
      <c r="C1856" s="134" t="inlineStr">
        <is>
          <t>9405790-210-M</t>
        </is>
      </c>
      <c r="D1856" s="5">
        <f>IF($I2="","",INDEX(Productos!$B:$B,$I2))</f>
        <v/>
      </c>
      <c r="E1856" s="5">
        <f>IF($I2="","",INDEX(Productos!$H:$H,$I2))</f>
        <v/>
      </c>
      <c r="F1856" s="5">
        <f>IF($I2="","",INDEX(Productos!$I:$I,$I2))</f>
        <v/>
      </c>
      <c r="G1856" s="135" t="n">
        <v>1</v>
      </c>
      <c r="H1856" s="5">
        <f>IF($I2="","",INDEX(Productos!$AG:$AG,$I2))</f>
        <v/>
      </c>
      <c r="I1856" s="136">
        <f>LET(_xlpm.r,Productos!$E$2:$E$2509,_xlpm.m,IFERROR(_xlfn.XMATCH(C1856,_xlpm.r),IFERROR(_xlfn.XMATCH(VALUE(C1856),_xlpm.r),0)),IF(_xlpm.m=0,"",_xlpm.m+1))</f>
        <v/>
      </c>
      <c r="J1856" s="137" t="inlineStr">
        <is>
          <t>NetSuite</t>
        </is>
      </c>
    </row>
    <row r="1857">
      <c r="A1857" s="5" t="inlineStr">
        <is>
          <t>WB OUTLET LERMA</t>
        </is>
      </c>
      <c r="B1857" s="5">
        <f>IF($I2="","",INDEX(Productos!$A:$A,$I2))</f>
        <v/>
      </c>
      <c r="C1857" s="134" t="inlineStr">
        <is>
          <t>9405790-210-S</t>
        </is>
      </c>
      <c r="D1857" s="5">
        <f>IF($I2="","",INDEX(Productos!$B:$B,$I2))</f>
        <v/>
      </c>
      <c r="E1857" s="5">
        <f>IF($I2="","",INDEX(Productos!$H:$H,$I2))</f>
        <v/>
      </c>
      <c r="F1857" s="5">
        <f>IF($I2="","",INDEX(Productos!$I:$I,$I2))</f>
        <v/>
      </c>
      <c r="G1857" s="135" t="n">
        <v>1</v>
      </c>
      <c r="H1857" s="5">
        <f>IF($I2="","",INDEX(Productos!$AG:$AG,$I2))</f>
        <v/>
      </c>
      <c r="I1857" s="136">
        <f>LET(_xlpm.r,Productos!$E$2:$E$2509,_xlpm.m,IFERROR(_xlfn.XMATCH(C1857,_xlpm.r),IFERROR(_xlfn.XMATCH(VALUE(C1857),_xlpm.r),0)),IF(_xlpm.m=0,"",_xlpm.m+1))</f>
        <v/>
      </c>
      <c r="J1857" s="137" t="inlineStr">
        <is>
          <t>NetSuite</t>
        </is>
      </c>
    </row>
    <row r="1858">
      <c r="A1858" s="5" t="inlineStr">
        <is>
          <t>WB OUTLET LERMA</t>
        </is>
      </c>
      <c r="B1858" s="5">
        <f>IF($I2="","",INDEX(Productos!$A:$A,$I2))</f>
        <v/>
      </c>
      <c r="C1858" s="134" t="inlineStr">
        <is>
          <t>9408790-233-L</t>
        </is>
      </c>
      <c r="D1858" s="5">
        <f>IF($I2="","",INDEX(Productos!$B:$B,$I2))</f>
        <v/>
      </c>
      <c r="E1858" s="5">
        <f>IF($I2="","",INDEX(Productos!$H:$H,$I2))</f>
        <v/>
      </c>
      <c r="F1858" s="5">
        <f>IF($I2="","",INDEX(Productos!$I:$I,$I2))</f>
        <v/>
      </c>
      <c r="G1858" s="135" t="n">
        <v>1</v>
      </c>
      <c r="H1858" s="5">
        <f>IF($I2="","",INDEX(Productos!$AG:$AG,$I2))</f>
        <v/>
      </c>
      <c r="I1858" s="136">
        <f>LET(_xlpm.r,Productos!$E$2:$E$2509,_xlpm.m,IFERROR(_xlfn.XMATCH(C1858,_xlpm.r),IFERROR(_xlfn.XMATCH(VALUE(C1858),_xlpm.r),0)),IF(_xlpm.m=0,"",_xlpm.m+1))</f>
        <v/>
      </c>
      <c r="J1858" s="137" t="inlineStr">
        <is>
          <t>NetSuite</t>
        </is>
      </c>
    </row>
    <row r="1859">
      <c r="A1859" s="5" t="inlineStr">
        <is>
          <t>WB OUTLET LERMA</t>
        </is>
      </c>
      <c r="B1859" s="5">
        <f>IF($I2="","",INDEX(Productos!$A:$A,$I2))</f>
        <v/>
      </c>
      <c r="C1859" s="134" t="inlineStr">
        <is>
          <t>9408790-233-M</t>
        </is>
      </c>
      <c r="D1859" s="5">
        <f>IF($I2="","",INDEX(Productos!$B:$B,$I2))</f>
        <v/>
      </c>
      <c r="E1859" s="5">
        <f>IF($I2="","",INDEX(Productos!$H:$H,$I2))</f>
        <v/>
      </c>
      <c r="F1859" s="5">
        <f>IF($I2="","",INDEX(Productos!$I:$I,$I2))</f>
        <v/>
      </c>
      <c r="G1859" s="135" t="n">
        <v>2</v>
      </c>
      <c r="H1859" s="5">
        <f>IF($I2="","",INDEX(Productos!$AG:$AG,$I2))</f>
        <v/>
      </c>
      <c r="I1859" s="136">
        <f>LET(_xlpm.r,Productos!$E$2:$E$2509,_xlpm.m,IFERROR(_xlfn.XMATCH(C1859,_xlpm.r),IFERROR(_xlfn.XMATCH(VALUE(C1859),_xlpm.r),0)),IF(_xlpm.m=0,"",_xlpm.m+1))</f>
        <v/>
      </c>
      <c r="J1859" s="137" t="inlineStr">
        <is>
          <t>NetSuite</t>
        </is>
      </c>
    </row>
    <row r="1860">
      <c r="A1860" s="5" t="inlineStr">
        <is>
          <t>WB OUTLET LERMA</t>
        </is>
      </c>
      <c r="B1860" s="5">
        <f>IF($I2="","",INDEX(Productos!$A:$A,$I2))</f>
        <v/>
      </c>
      <c r="C1860" s="134" t="inlineStr">
        <is>
          <t>9408790-233-S</t>
        </is>
      </c>
      <c r="D1860" s="5">
        <f>IF($I2="","",INDEX(Productos!$B:$B,$I2))</f>
        <v/>
      </c>
      <c r="E1860" s="5">
        <f>IF($I2="","",INDEX(Productos!$H:$H,$I2))</f>
        <v/>
      </c>
      <c r="F1860" s="5">
        <f>IF($I2="","",INDEX(Productos!$I:$I,$I2))</f>
        <v/>
      </c>
      <c r="G1860" s="135" t="n">
        <v>1</v>
      </c>
      <c r="H1860" s="5">
        <f>IF($I2="","",INDEX(Productos!$AG:$AG,$I2))</f>
        <v/>
      </c>
      <c r="I1860" s="136">
        <f>LET(_xlpm.r,Productos!$E$2:$E$2509,_xlpm.m,IFERROR(_xlfn.XMATCH(C1860,_xlpm.r),IFERROR(_xlfn.XMATCH(VALUE(C1860),_xlpm.r),0)),IF(_xlpm.m=0,"",_xlpm.m+1))</f>
        <v/>
      </c>
      <c r="J1860" s="137" t="inlineStr">
        <is>
          <t>NetSuite</t>
        </is>
      </c>
    </row>
    <row r="1861">
      <c r="A1861" s="5" t="inlineStr">
        <is>
          <t>WB OUTLET LERMA</t>
        </is>
      </c>
      <c r="B1861" s="5">
        <f>IF($I2="","",INDEX(Productos!$A:$A,$I2))</f>
        <v/>
      </c>
      <c r="C1861" s="134" t="inlineStr">
        <is>
          <t>9409790-001-L</t>
        </is>
      </c>
      <c r="D1861" s="5">
        <f>IF($I2="","",INDEX(Productos!$B:$B,$I2))</f>
        <v/>
      </c>
      <c r="E1861" s="5">
        <f>IF($I2="","",INDEX(Productos!$H:$H,$I2))</f>
        <v/>
      </c>
      <c r="F1861" s="5">
        <f>IF($I2="","",INDEX(Productos!$I:$I,$I2))</f>
        <v/>
      </c>
      <c r="G1861" s="135" t="n">
        <v>1</v>
      </c>
      <c r="H1861" s="5">
        <f>IF($I2="","",INDEX(Productos!$AG:$AG,$I2))</f>
        <v/>
      </c>
      <c r="I1861" s="136">
        <f>LET(_xlpm.r,Productos!$E$2:$E$2509,_xlpm.m,IFERROR(_xlfn.XMATCH(C1861,_xlpm.r),IFERROR(_xlfn.XMATCH(VALUE(C1861),_xlpm.r),0)),IF(_xlpm.m=0,"",_xlpm.m+1))</f>
        <v/>
      </c>
      <c r="J1861" s="137" t="inlineStr">
        <is>
          <t>NetSuite</t>
        </is>
      </c>
    </row>
    <row r="1862">
      <c r="A1862" s="5" t="inlineStr">
        <is>
          <t>WB OUTLET LERMA</t>
        </is>
      </c>
      <c r="B1862" s="5">
        <f>IF($I2="","",INDEX(Productos!$A:$A,$I2))</f>
        <v/>
      </c>
      <c r="C1862" s="134" t="inlineStr">
        <is>
          <t>9409790-001-M</t>
        </is>
      </c>
      <c r="D1862" s="5">
        <f>IF($I2="","",INDEX(Productos!$B:$B,$I2))</f>
        <v/>
      </c>
      <c r="E1862" s="5">
        <f>IF($I2="","",INDEX(Productos!$H:$H,$I2))</f>
        <v/>
      </c>
      <c r="F1862" s="5">
        <f>IF($I2="","",INDEX(Productos!$I:$I,$I2))</f>
        <v/>
      </c>
      <c r="G1862" s="135" t="n">
        <v>2</v>
      </c>
      <c r="H1862" s="5">
        <f>IF($I2="","",INDEX(Productos!$AG:$AG,$I2))</f>
        <v/>
      </c>
      <c r="I1862" s="136">
        <f>LET(_xlpm.r,Productos!$E$2:$E$2509,_xlpm.m,IFERROR(_xlfn.XMATCH(C1862,_xlpm.r),IFERROR(_xlfn.XMATCH(VALUE(C1862),_xlpm.r),0)),IF(_xlpm.m=0,"",_xlpm.m+1))</f>
        <v/>
      </c>
      <c r="J1862" s="137" t="inlineStr">
        <is>
          <t>NetSuite</t>
        </is>
      </c>
    </row>
    <row r="1863">
      <c r="A1863" s="5" t="inlineStr">
        <is>
          <t>WB OUTLET LERMA</t>
        </is>
      </c>
      <c r="B1863" s="5">
        <f>IF($I2="","",INDEX(Productos!$A:$A,$I2))</f>
        <v/>
      </c>
      <c r="C1863" s="134" t="inlineStr">
        <is>
          <t>9409790-001-XL</t>
        </is>
      </c>
      <c r="D1863" s="5">
        <f>IF($I2="","",INDEX(Productos!$B:$B,$I2))</f>
        <v/>
      </c>
      <c r="E1863" s="5">
        <f>IF($I2="","",INDEX(Productos!$H:$H,$I2))</f>
        <v/>
      </c>
      <c r="F1863" s="5">
        <f>IF($I2="","",INDEX(Productos!$I:$I,$I2))</f>
        <v/>
      </c>
      <c r="G1863" s="135" t="n">
        <v>1</v>
      </c>
      <c r="H1863" s="5">
        <f>IF($I2="","",INDEX(Productos!$AG:$AG,$I2))</f>
        <v/>
      </c>
      <c r="I1863" s="136">
        <f>LET(_xlpm.r,Productos!$E$2:$E$2509,_xlpm.m,IFERROR(_xlfn.XMATCH(C1863,_xlpm.r),IFERROR(_xlfn.XMATCH(VALUE(C1863),_xlpm.r),0)),IF(_xlpm.m=0,"",_xlpm.m+1))</f>
        <v/>
      </c>
      <c r="J1863" s="137" t="inlineStr">
        <is>
          <t>NetSuite</t>
        </is>
      </c>
    </row>
    <row r="1864">
      <c r="A1864" s="5" t="inlineStr">
        <is>
          <t>WB OUTLET LERMA</t>
        </is>
      </c>
      <c r="B1864" s="5">
        <f>IF($I2="","",INDEX(Productos!$A:$A,$I2))</f>
        <v/>
      </c>
      <c r="C1864" s="134" t="inlineStr">
        <is>
          <t>9409790-600-L</t>
        </is>
      </c>
      <c r="D1864" s="5">
        <f>IF($I2="","",INDEX(Productos!$B:$B,$I2))</f>
        <v/>
      </c>
      <c r="E1864" s="5">
        <f>IF($I2="","",INDEX(Productos!$H:$H,$I2))</f>
        <v/>
      </c>
      <c r="F1864" s="5">
        <f>IF($I2="","",INDEX(Productos!$I:$I,$I2))</f>
        <v/>
      </c>
      <c r="G1864" s="135" t="n">
        <v>1</v>
      </c>
      <c r="H1864" s="5">
        <f>IF($I2="","",INDEX(Productos!$AG:$AG,$I2))</f>
        <v/>
      </c>
      <c r="I1864" s="136">
        <f>LET(_xlpm.r,Productos!$E$2:$E$2509,_xlpm.m,IFERROR(_xlfn.XMATCH(C1864,_xlpm.r),IFERROR(_xlfn.XMATCH(VALUE(C1864),_xlpm.r),0)),IF(_xlpm.m=0,"",_xlpm.m+1))</f>
        <v/>
      </c>
      <c r="J1864" s="137" t="inlineStr">
        <is>
          <t>NetSuite</t>
        </is>
      </c>
    </row>
    <row r="1865">
      <c r="A1865" s="5" t="inlineStr">
        <is>
          <t>WB OUTLET LERMA</t>
        </is>
      </c>
      <c r="B1865" s="5">
        <f>IF($I2="","",INDEX(Productos!$A:$A,$I2))</f>
        <v/>
      </c>
      <c r="C1865" s="134" t="inlineStr">
        <is>
          <t>9409790-600-M</t>
        </is>
      </c>
      <c r="D1865" s="5">
        <f>IF($I2="","",INDEX(Productos!$B:$B,$I2))</f>
        <v/>
      </c>
      <c r="E1865" s="5">
        <f>IF($I2="","",INDEX(Productos!$H:$H,$I2))</f>
        <v/>
      </c>
      <c r="F1865" s="5">
        <f>IF($I2="","",INDEX(Productos!$I:$I,$I2))</f>
        <v/>
      </c>
      <c r="G1865" s="135" t="n">
        <v>2</v>
      </c>
      <c r="H1865" s="5">
        <f>IF($I2="","",INDEX(Productos!$AG:$AG,$I2))</f>
        <v/>
      </c>
      <c r="I1865" s="136">
        <f>LET(_xlpm.r,Productos!$E$2:$E$2509,_xlpm.m,IFERROR(_xlfn.XMATCH(C1865,_xlpm.r),IFERROR(_xlfn.XMATCH(VALUE(C1865),_xlpm.r),0)),IF(_xlpm.m=0,"",_xlpm.m+1))</f>
        <v/>
      </c>
      <c r="J1865" s="137" t="inlineStr">
        <is>
          <t>NetSuite</t>
        </is>
      </c>
    </row>
    <row r="1866">
      <c r="A1866" s="5" t="inlineStr">
        <is>
          <t>WB OUTLET LERMA</t>
        </is>
      </c>
      <c r="B1866" s="5">
        <f>IF($I2="","",INDEX(Productos!$A:$A,$I2))</f>
        <v/>
      </c>
      <c r="C1866" s="134" t="inlineStr">
        <is>
          <t>9409790-600-XL</t>
        </is>
      </c>
      <c r="D1866" s="5">
        <f>IF($I2="","",INDEX(Productos!$B:$B,$I2))</f>
        <v/>
      </c>
      <c r="E1866" s="5">
        <f>IF($I2="","",INDEX(Productos!$H:$H,$I2))</f>
        <v/>
      </c>
      <c r="F1866" s="5">
        <f>IF($I2="","",INDEX(Productos!$I:$I,$I2))</f>
        <v/>
      </c>
      <c r="G1866" s="135" t="n">
        <v>1</v>
      </c>
      <c r="H1866" s="5">
        <f>IF($I2="","",INDEX(Productos!$AG:$AG,$I2))</f>
        <v/>
      </c>
      <c r="I1866" s="136">
        <f>LET(_xlpm.r,Productos!$E$2:$E$2509,_xlpm.m,IFERROR(_xlfn.XMATCH(C1866,_xlpm.r),IFERROR(_xlfn.XMATCH(VALUE(C1866),_xlpm.r),0)),IF(_xlpm.m=0,"",_xlpm.m+1))</f>
        <v/>
      </c>
      <c r="J1866" s="137" t="inlineStr">
        <is>
          <t>NetSuite</t>
        </is>
      </c>
    </row>
    <row r="1867">
      <c r="A1867" s="5" t="inlineStr">
        <is>
          <t>WB OUTLET LERMA</t>
        </is>
      </c>
      <c r="B1867" s="5">
        <f>IF($I2="","",INDEX(Productos!$A:$A,$I2))</f>
        <v/>
      </c>
      <c r="C1867" s="134" t="inlineStr">
        <is>
          <t>9410790-962-L</t>
        </is>
      </c>
      <c r="D1867" s="5">
        <f>IF($I2="","",INDEX(Productos!$B:$B,$I2))</f>
        <v/>
      </c>
      <c r="E1867" s="5">
        <f>IF($I2="","",INDEX(Productos!$H:$H,$I2))</f>
        <v/>
      </c>
      <c r="F1867" s="5">
        <f>IF($I2="","",INDEX(Productos!$I:$I,$I2))</f>
        <v/>
      </c>
      <c r="G1867" s="135" t="n">
        <v>2</v>
      </c>
      <c r="H1867" s="5">
        <f>IF($I2="","",INDEX(Productos!$AG:$AG,$I2))</f>
        <v/>
      </c>
      <c r="I1867" s="136">
        <f>LET(_xlpm.r,Productos!$E$2:$E$2509,_xlpm.m,IFERROR(_xlfn.XMATCH(C1867,_xlpm.r),IFERROR(_xlfn.XMATCH(VALUE(C1867),_xlpm.r),0)),IF(_xlpm.m=0,"",_xlpm.m+1))</f>
        <v/>
      </c>
      <c r="J1867" s="137" t="inlineStr">
        <is>
          <t>NetSuite</t>
        </is>
      </c>
    </row>
    <row r="1868">
      <c r="A1868" s="5" t="inlineStr">
        <is>
          <t>WB OUTLET LERMA</t>
        </is>
      </c>
      <c r="B1868" s="5">
        <f>IF($I2="","",INDEX(Productos!$A:$A,$I2))</f>
        <v/>
      </c>
      <c r="C1868" s="134" t="inlineStr">
        <is>
          <t>9501000-200-NZ</t>
        </is>
      </c>
      <c r="D1868" s="5">
        <f>IF($I2="","",INDEX(Productos!$B:$B,$I2))</f>
        <v/>
      </c>
      <c r="E1868" s="5">
        <f>IF($I2="","",INDEX(Productos!$H:$H,$I2))</f>
        <v/>
      </c>
      <c r="F1868" s="5">
        <f>IF($I2="","",INDEX(Productos!$I:$I,$I2))</f>
        <v/>
      </c>
      <c r="G1868" s="135" t="n">
        <v>3</v>
      </c>
      <c r="H1868" s="5">
        <f>IF($I2="","",INDEX(Productos!$AG:$AG,$I2))</f>
        <v/>
      </c>
      <c r="I1868" s="136">
        <f>LET(_xlpm.r,Productos!$E$2:$E$2509,_xlpm.m,IFERROR(_xlfn.XMATCH(C1868,_xlpm.r),IFERROR(_xlfn.XMATCH(VALUE(C1868),_xlpm.r),0)),IF(_xlpm.m=0,"",_xlpm.m+1))</f>
        <v/>
      </c>
      <c r="J1868" s="137" t="inlineStr">
        <is>
          <t>NetSuite</t>
        </is>
      </c>
    </row>
    <row r="1869">
      <c r="A1869" s="5" t="inlineStr">
        <is>
          <t>WB OUTLET LERMA</t>
        </is>
      </c>
      <c r="B1869" s="5">
        <f>IF($I2="","",INDEX(Productos!$A:$A,$I2))</f>
        <v/>
      </c>
      <c r="C1869" s="134" t="inlineStr">
        <is>
          <t>9502000-600-NZ</t>
        </is>
      </c>
      <c r="D1869" s="5">
        <f>IF($I2="","",INDEX(Productos!$B:$B,$I2))</f>
        <v/>
      </c>
      <c r="E1869" s="5">
        <f>IF($I2="","",INDEX(Productos!$H:$H,$I2))</f>
        <v/>
      </c>
      <c r="F1869" s="5">
        <f>IF($I2="","",INDEX(Productos!$I:$I,$I2))</f>
        <v/>
      </c>
      <c r="G1869" s="135" t="n">
        <v>3</v>
      </c>
      <c r="H1869" s="5">
        <f>IF($I2="","",INDEX(Productos!$AG:$AG,$I2))</f>
        <v/>
      </c>
      <c r="I1869" s="136">
        <f>LET(_xlpm.r,Productos!$E$2:$E$2509,_xlpm.m,IFERROR(_xlfn.XMATCH(C1869,_xlpm.r),IFERROR(_xlfn.XMATCH(VALUE(C1869),_xlpm.r),0)),IF(_xlpm.m=0,"",_xlpm.m+1))</f>
        <v/>
      </c>
      <c r="J1869" s="137" t="inlineStr">
        <is>
          <t>NetSuite</t>
        </is>
      </c>
    </row>
    <row r="1870">
      <c r="A1870" s="5" t="inlineStr">
        <is>
          <t>WB OUTLET LERMA</t>
        </is>
      </c>
      <c r="B1870" s="5">
        <f>IF($I2="","",INDEX(Productos!$A:$A,$I2))</f>
        <v/>
      </c>
      <c r="C1870" s="134" t="inlineStr">
        <is>
          <t>9506000-600-NZ</t>
        </is>
      </c>
      <c r="D1870" s="5">
        <f>IF($I2="","",INDEX(Productos!$B:$B,$I2))</f>
        <v/>
      </c>
      <c r="E1870" s="5">
        <f>IF($I2="","",INDEX(Productos!$H:$H,$I2))</f>
        <v/>
      </c>
      <c r="F1870" s="5">
        <f>IF($I2="","",INDEX(Productos!$I:$I,$I2))</f>
        <v/>
      </c>
      <c r="G1870" s="135" t="n">
        <v>3</v>
      </c>
      <c r="H1870" s="5">
        <f>IF($I2="","",INDEX(Productos!$AG:$AG,$I2))</f>
        <v/>
      </c>
      <c r="I1870" s="136">
        <f>LET(_xlpm.r,Productos!$E$2:$E$2509,_xlpm.m,IFERROR(_xlfn.XMATCH(C1870,_xlpm.r),IFERROR(_xlfn.XMATCH(VALUE(C1870),_xlpm.r),0)),IF(_xlpm.m=0,"",_xlpm.m+1))</f>
        <v/>
      </c>
      <c r="J1870" s="137" t="inlineStr">
        <is>
          <t>NetSuite</t>
        </is>
      </c>
    </row>
    <row r="1871">
      <c r="A1871" s="5" t="inlineStr">
        <is>
          <t>WB OUTLET LERMA</t>
        </is>
      </c>
      <c r="B1871" s="5">
        <f>IF($I2="","",INDEX(Productos!$A:$A,$I2))</f>
        <v/>
      </c>
      <c r="C1871" s="134" t="inlineStr">
        <is>
          <t>9508000-001-NZ</t>
        </is>
      </c>
      <c r="D1871" s="5">
        <f>IF($I2="","",INDEX(Productos!$B:$B,$I2))</f>
        <v/>
      </c>
      <c r="E1871" s="5">
        <f>IF($I2="","",INDEX(Productos!$H:$H,$I2))</f>
        <v/>
      </c>
      <c r="F1871" s="5">
        <f>IF($I2="","",INDEX(Productos!$I:$I,$I2))</f>
        <v/>
      </c>
      <c r="G1871" s="135" t="n">
        <v>2</v>
      </c>
      <c r="H1871" s="5">
        <f>IF($I2="","",INDEX(Productos!$AG:$AG,$I2))</f>
        <v/>
      </c>
      <c r="I1871" s="136">
        <f>LET(_xlpm.r,Productos!$E$2:$E$2509,_xlpm.m,IFERROR(_xlfn.XMATCH(C1871,_xlpm.r),IFERROR(_xlfn.XMATCH(VALUE(C1871),_xlpm.r),0)),IF(_xlpm.m=0,"",_xlpm.m+1))</f>
        <v/>
      </c>
      <c r="J1871" s="137" t="inlineStr">
        <is>
          <t>NetSuite</t>
        </is>
      </c>
    </row>
    <row r="1872">
      <c r="A1872" s="5" t="inlineStr">
        <is>
          <t>WB OUTLET LERMA</t>
        </is>
      </c>
      <c r="B1872" s="5">
        <f>IF($I2="","",INDEX(Productos!$A:$A,$I2))</f>
        <v/>
      </c>
      <c r="C1872" s="134" t="inlineStr">
        <is>
          <t>9509000-001-NZ</t>
        </is>
      </c>
      <c r="D1872" s="5">
        <f>IF($I2="","",INDEX(Productos!$B:$B,$I2))</f>
        <v/>
      </c>
      <c r="E1872" s="5">
        <f>IF($I2="","",INDEX(Productos!$H:$H,$I2))</f>
        <v/>
      </c>
      <c r="F1872" s="5">
        <f>IF($I2="","",INDEX(Productos!$I:$I,$I2))</f>
        <v/>
      </c>
      <c r="G1872" s="135" t="n">
        <v>3</v>
      </c>
      <c r="H1872" s="5">
        <f>IF($I2="","",INDEX(Productos!$AG:$AG,$I2))</f>
        <v/>
      </c>
      <c r="I1872" s="136">
        <f>LET(_xlpm.r,Productos!$E$2:$E$2509,_xlpm.m,IFERROR(_xlfn.XMATCH(C1872,_xlpm.r),IFERROR(_xlfn.XMATCH(VALUE(C1872),_xlpm.r),0)),IF(_xlpm.m=0,"",_xlpm.m+1))</f>
        <v/>
      </c>
      <c r="J1872" s="137" t="inlineStr">
        <is>
          <t>NetSuite</t>
        </is>
      </c>
    </row>
    <row r="1873">
      <c r="A1873" s="5" t="inlineStr">
        <is>
          <t>WB OUTLET LERMA</t>
        </is>
      </c>
      <c r="B1873" s="5">
        <f>IF($I2="","",INDEX(Productos!$A:$A,$I2))</f>
        <v/>
      </c>
      <c r="C1873" s="134" t="inlineStr">
        <is>
          <t>9510000-200-NZ</t>
        </is>
      </c>
      <c r="D1873" s="5">
        <f>IF($I2="","",INDEX(Productos!$B:$B,$I2))</f>
        <v/>
      </c>
      <c r="E1873" s="5">
        <f>IF($I2="","",INDEX(Productos!$H:$H,$I2))</f>
        <v/>
      </c>
      <c r="F1873" s="5">
        <f>IF($I2="","",INDEX(Productos!$I:$I,$I2))</f>
        <v/>
      </c>
      <c r="G1873" s="135" t="n">
        <v>2</v>
      </c>
      <c r="H1873" s="5">
        <f>IF($I2="","",INDEX(Productos!$AG:$AG,$I2))</f>
        <v/>
      </c>
      <c r="I1873" s="136">
        <f>LET(_xlpm.r,Productos!$E$2:$E$2509,_xlpm.m,IFERROR(_xlfn.XMATCH(C1873,_xlpm.r),IFERROR(_xlfn.XMATCH(VALUE(C1873),_xlpm.r),0)),IF(_xlpm.m=0,"",_xlpm.m+1))</f>
        <v/>
      </c>
      <c r="J1873" s="137" t="inlineStr">
        <is>
          <t>NetSuite</t>
        </is>
      </c>
    </row>
    <row r="1874">
      <c r="A1874" s="5" t="inlineStr">
        <is>
          <t>WB OUTLET LERMA</t>
        </is>
      </c>
      <c r="B1874" s="5">
        <f>IF($I2="","",INDEX(Productos!$A:$A,$I2))</f>
        <v/>
      </c>
      <c r="C1874" s="134" t="inlineStr">
        <is>
          <t>9511000-200-NZ</t>
        </is>
      </c>
      <c r="D1874" s="5">
        <f>IF($I2="","",INDEX(Productos!$B:$B,$I2))</f>
        <v/>
      </c>
      <c r="E1874" s="5">
        <f>IF($I2="","",INDEX(Productos!$H:$H,$I2))</f>
        <v/>
      </c>
      <c r="F1874" s="5">
        <f>IF($I2="","",INDEX(Productos!$I:$I,$I2))</f>
        <v/>
      </c>
      <c r="G1874" s="135" t="n">
        <v>3</v>
      </c>
      <c r="H1874" s="5">
        <f>IF($I2="","",INDEX(Productos!$AG:$AG,$I2))</f>
        <v/>
      </c>
      <c r="I1874" s="136">
        <f>LET(_xlpm.r,Productos!$E$2:$E$2509,_xlpm.m,IFERROR(_xlfn.XMATCH(C1874,_xlpm.r),IFERROR(_xlfn.XMATCH(VALUE(C1874),_xlpm.r),0)),IF(_xlpm.m=0,"",_xlpm.m+1))</f>
        <v/>
      </c>
      <c r="J1874" s="137" t="inlineStr">
        <is>
          <t>NetSuite</t>
        </is>
      </c>
    </row>
    <row r="1875">
      <c r="A1875" s="5" t="inlineStr">
        <is>
          <t>WB OUTLET LERMA</t>
        </is>
      </c>
      <c r="B1875" s="5">
        <f>IF($I2="","",INDEX(Productos!$A:$A,$I2))</f>
        <v/>
      </c>
      <c r="C1875" s="134" t="inlineStr">
        <is>
          <t>9512000-600-NZ</t>
        </is>
      </c>
      <c r="D1875" s="5">
        <f>IF($I2="","",INDEX(Productos!$B:$B,$I2))</f>
        <v/>
      </c>
      <c r="E1875" s="5">
        <f>IF($I2="","",INDEX(Productos!$H:$H,$I2))</f>
        <v/>
      </c>
      <c r="F1875" s="5">
        <f>IF($I2="","",INDEX(Productos!$I:$I,$I2))</f>
        <v/>
      </c>
      <c r="G1875" s="135" t="n">
        <v>3</v>
      </c>
      <c r="H1875" s="5">
        <f>IF($I2="","",INDEX(Productos!$AG:$AG,$I2))</f>
        <v/>
      </c>
      <c r="I1875" s="136">
        <f>LET(_xlpm.r,Productos!$E$2:$E$2509,_xlpm.m,IFERROR(_xlfn.XMATCH(C1875,_xlpm.r),IFERROR(_xlfn.XMATCH(VALUE(C1875),_xlpm.r),0)),IF(_xlpm.m=0,"",_xlpm.m+1))</f>
        <v/>
      </c>
      <c r="J1875" s="137" t="inlineStr">
        <is>
          <t>NetSuite</t>
        </is>
      </c>
    </row>
    <row r="1876">
      <c r="A1876" s="5" t="inlineStr">
        <is>
          <t>WB OUTLET LERMA</t>
        </is>
      </c>
      <c r="B1876" s="5">
        <f>IF($I2="","",INDEX(Productos!$A:$A,$I2))</f>
        <v/>
      </c>
      <c r="C1876" s="134" t="inlineStr">
        <is>
          <t>9513000-001-NZ</t>
        </is>
      </c>
      <c r="D1876" s="5">
        <f>IF($I2="","",INDEX(Productos!$B:$B,$I2))</f>
        <v/>
      </c>
      <c r="E1876" s="5">
        <f>IF($I2="","",INDEX(Productos!$H:$H,$I2))</f>
        <v/>
      </c>
      <c r="F1876" s="5">
        <f>IF($I2="","",INDEX(Productos!$I:$I,$I2))</f>
        <v/>
      </c>
      <c r="G1876" s="135" t="n">
        <v>3</v>
      </c>
      <c r="H1876" s="5">
        <f>IF($I2="","",INDEX(Productos!$AG:$AG,$I2))</f>
        <v/>
      </c>
      <c r="I1876" s="136">
        <f>LET(_xlpm.r,Productos!$E$2:$E$2509,_xlpm.m,IFERROR(_xlfn.XMATCH(C1876,_xlpm.r),IFERROR(_xlfn.XMATCH(VALUE(C1876),_xlpm.r),0)),IF(_xlpm.m=0,"",_xlpm.m+1))</f>
        <v/>
      </c>
      <c r="J1876" s="137" t="inlineStr">
        <is>
          <t>NetSuite</t>
        </is>
      </c>
    </row>
    <row r="1877">
      <c r="A1877" s="5" t="inlineStr">
        <is>
          <t>WB OUTLET LERMA</t>
        </is>
      </c>
      <c r="B1877" s="5">
        <f>IF($I2="","",INDEX(Productos!$A:$A,$I2))</f>
        <v/>
      </c>
      <c r="C1877" s="134" t="inlineStr">
        <is>
          <t>9513000-934-NZ</t>
        </is>
      </c>
      <c r="D1877" s="5">
        <f>IF($I2="","",INDEX(Productos!$B:$B,$I2))</f>
        <v/>
      </c>
      <c r="E1877" s="5">
        <f>IF($I2="","",INDEX(Productos!$H:$H,$I2))</f>
        <v/>
      </c>
      <c r="F1877" s="5">
        <f>IF($I2="","",INDEX(Productos!$I:$I,$I2))</f>
        <v/>
      </c>
      <c r="G1877" s="135" t="n">
        <v>4</v>
      </c>
      <c r="H1877" s="5">
        <f>IF($I2="","",INDEX(Productos!$AG:$AG,$I2))</f>
        <v/>
      </c>
      <c r="I1877" s="136">
        <f>LET(_xlpm.r,Productos!$E$2:$E$2509,_xlpm.m,IFERROR(_xlfn.XMATCH(C1877,_xlpm.r),IFERROR(_xlfn.XMATCH(VALUE(C1877),_xlpm.r),0)),IF(_xlpm.m=0,"",_xlpm.m+1))</f>
        <v/>
      </c>
      <c r="J1877" s="137" t="inlineStr">
        <is>
          <t>NetSuite</t>
        </is>
      </c>
    </row>
    <row r="1878">
      <c r="A1878" s="5" t="inlineStr">
        <is>
          <t>WB OUTLET LERMA</t>
        </is>
      </c>
      <c r="B1878" s="5">
        <f>IF($I2="","",INDEX(Productos!$A:$A,$I2))</f>
        <v/>
      </c>
      <c r="C1878" s="134" t="inlineStr">
        <is>
          <t>9803002-255-NZ</t>
        </is>
      </c>
      <c r="D1878" s="5">
        <f>IF($I2="","",INDEX(Productos!$B:$B,$I2))</f>
        <v/>
      </c>
      <c r="E1878" s="5">
        <f>IF($I2="","",INDEX(Productos!$H:$H,$I2))</f>
        <v/>
      </c>
      <c r="F1878" s="5">
        <f>IF($I2="","",INDEX(Productos!$I:$I,$I2))</f>
        <v/>
      </c>
      <c r="G1878" s="135" t="n">
        <v>1</v>
      </c>
      <c r="H1878" s="5">
        <f>IF($I2="","",INDEX(Productos!$AG:$AG,$I2))</f>
        <v/>
      </c>
      <c r="I1878" s="136">
        <f>LET(_xlpm.r,Productos!$E$2:$E$2509,_xlpm.m,IFERROR(_xlfn.XMATCH(C1878,_xlpm.r),IFERROR(_xlfn.XMATCH(VALUE(C1878),_xlpm.r),0)),IF(_xlpm.m=0,"",_xlpm.m+1))</f>
        <v/>
      </c>
      <c r="J1878" s="137" t="inlineStr">
        <is>
          <t>NetSuite</t>
        </is>
      </c>
    </row>
    <row r="1879">
      <c r="A1879" s="5" t="inlineStr">
        <is>
          <t>WB OUTLET LERMA</t>
        </is>
      </c>
      <c r="B1879" s="5">
        <f>IF($I2="","",INDEX(Productos!$A:$A,$I2))</f>
        <v/>
      </c>
      <c r="C1879" s="134" t="inlineStr">
        <is>
          <t>9803004-255-NZ</t>
        </is>
      </c>
      <c r="D1879" s="5">
        <f>IF($I2="","",INDEX(Productos!$B:$B,$I2))</f>
        <v/>
      </c>
      <c r="E1879" s="5">
        <f>IF($I2="","",INDEX(Productos!$H:$H,$I2))</f>
        <v/>
      </c>
      <c r="F1879" s="5">
        <f>IF($I2="","",INDEX(Productos!$I:$I,$I2))</f>
        <v/>
      </c>
      <c r="G1879" s="135" t="n">
        <v>1</v>
      </c>
      <c r="H1879" s="5">
        <f>IF($I2="","",INDEX(Productos!$AG:$AG,$I2))</f>
        <v/>
      </c>
      <c r="I1879" s="136">
        <f>LET(_xlpm.r,Productos!$E$2:$E$2509,_xlpm.m,IFERROR(_xlfn.XMATCH(C1879,_xlpm.r),IFERROR(_xlfn.XMATCH(VALUE(C1879),_xlpm.r),0)),IF(_xlpm.m=0,"",_xlpm.m+1))</f>
        <v/>
      </c>
      <c r="J1879" s="137" t="inlineStr">
        <is>
          <t>NetSuite</t>
        </is>
      </c>
    </row>
    <row r="1880">
      <c r="A1880" s="5" t="inlineStr">
        <is>
          <t>WB OUTLET LERMA</t>
        </is>
      </c>
      <c r="B1880" s="5">
        <f>IF($I2="","",INDEX(Productos!$A:$A,$I2))</f>
        <v/>
      </c>
      <c r="C1880" s="134" t="inlineStr">
        <is>
          <t>9804001-203-NZ</t>
        </is>
      </c>
      <c r="D1880" s="5">
        <f>IF($I2="","",INDEX(Productos!$B:$B,$I2))</f>
        <v/>
      </c>
      <c r="E1880" s="5">
        <f>IF($I2="","",INDEX(Productos!$H:$H,$I2))</f>
        <v/>
      </c>
      <c r="F1880" s="5">
        <f>IF($I2="","",INDEX(Productos!$I:$I,$I2))</f>
        <v/>
      </c>
      <c r="G1880" s="135" t="n">
        <v>2</v>
      </c>
      <c r="H1880" s="5">
        <f>IF($I2="","",INDEX(Productos!$AG:$AG,$I2))</f>
        <v/>
      </c>
      <c r="I1880" s="136">
        <f>LET(_xlpm.r,Productos!$E$2:$E$2509,_xlpm.m,IFERROR(_xlfn.XMATCH(C1880,_xlpm.r),IFERROR(_xlfn.XMATCH(VALUE(C1880),_xlpm.r),0)),IF(_xlpm.m=0,"",_xlpm.m+1))</f>
        <v/>
      </c>
      <c r="J1880" s="137" t="inlineStr">
        <is>
          <t>NetSuite</t>
        </is>
      </c>
    </row>
    <row r="1881">
      <c r="A1881" s="5" t="inlineStr">
        <is>
          <t>WB OUTLET LERMA</t>
        </is>
      </c>
      <c r="B1881" s="5">
        <f>IF($I2="","",INDEX(Productos!$A:$A,$I2))</f>
        <v/>
      </c>
      <c r="C1881" s="134" t="inlineStr">
        <is>
          <t>9804003-203-NZ</t>
        </is>
      </c>
      <c r="D1881" s="5">
        <f>IF($I2="","",INDEX(Productos!$B:$B,$I2))</f>
        <v/>
      </c>
      <c r="E1881" s="5">
        <f>IF($I2="","",INDEX(Productos!$H:$H,$I2))</f>
        <v/>
      </c>
      <c r="F1881" s="5">
        <f>IF($I2="","",INDEX(Productos!$I:$I,$I2))</f>
        <v/>
      </c>
      <c r="G1881" s="135" t="n">
        <v>3</v>
      </c>
      <c r="H1881" s="5">
        <f>IF($I2="","",INDEX(Productos!$AG:$AG,$I2))</f>
        <v/>
      </c>
      <c r="I1881" s="136">
        <f>LET(_xlpm.r,Productos!$E$2:$E$2509,_xlpm.m,IFERROR(_xlfn.XMATCH(C1881,_xlpm.r),IFERROR(_xlfn.XMATCH(VALUE(C1881),_xlpm.r),0)),IF(_xlpm.m=0,"",_xlpm.m+1))</f>
        <v/>
      </c>
      <c r="J1881" s="137" t="inlineStr">
        <is>
          <t>NetSuite</t>
        </is>
      </c>
    </row>
    <row r="1882">
      <c r="A1882" s="5" t="inlineStr">
        <is>
          <t>WB OUTLET LERMA</t>
        </is>
      </c>
      <c r="B1882" s="5">
        <f>IF($I2="","",INDEX(Productos!$A:$A,$I2))</f>
        <v/>
      </c>
      <c r="C1882" s="134" t="inlineStr">
        <is>
          <t>9805003-200-NZ</t>
        </is>
      </c>
      <c r="D1882" s="5">
        <f>IF($I2="","",INDEX(Productos!$B:$B,$I2))</f>
        <v/>
      </c>
      <c r="E1882" s="5">
        <f>IF($I2="","",INDEX(Productos!$H:$H,$I2))</f>
        <v/>
      </c>
      <c r="F1882" s="5">
        <f>IF($I2="","",INDEX(Productos!$I:$I,$I2))</f>
        <v/>
      </c>
      <c r="G1882" s="135" t="n">
        <v>2</v>
      </c>
      <c r="H1882" s="5">
        <f>IF($I2="","",INDEX(Productos!$AG:$AG,$I2))</f>
        <v/>
      </c>
      <c r="I1882" s="136">
        <f>LET(_xlpm.r,Productos!$E$2:$E$2509,_xlpm.m,IFERROR(_xlfn.XMATCH(C1882,_xlpm.r),IFERROR(_xlfn.XMATCH(VALUE(C1882),_xlpm.r),0)),IF(_xlpm.m=0,"",_xlpm.m+1))</f>
        <v/>
      </c>
      <c r="J1882" s="137" t="inlineStr">
        <is>
          <t>NetSuite</t>
        </is>
      </c>
    </row>
    <row r="1883">
      <c r="A1883" s="5" t="inlineStr">
        <is>
          <t>WB OUTLET LERMA</t>
        </is>
      </c>
      <c r="B1883" s="5">
        <f>IF($I2="","",INDEX(Productos!$A:$A,$I2))</f>
        <v/>
      </c>
      <c r="C1883" s="134" t="inlineStr">
        <is>
          <t>9806001-625-NZ</t>
        </is>
      </c>
      <c r="D1883" s="5">
        <f>IF($I2="","",INDEX(Productos!$B:$B,$I2))</f>
        <v/>
      </c>
      <c r="E1883" s="5">
        <f>IF($I2="","",INDEX(Productos!$H:$H,$I2))</f>
        <v/>
      </c>
      <c r="F1883" s="5">
        <f>IF($I2="","",INDEX(Productos!$I:$I,$I2))</f>
        <v/>
      </c>
      <c r="G1883" s="135" t="n">
        <v>3</v>
      </c>
      <c r="H1883" s="5">
        <f>IF($I2="","",INDEX(Productos!$AG:$AG,$I2))</f>
        <v/>
      </c>
      <c r="I1883" s="136">
        <f>LET(_xlpm.r,Productos!$E$2:$E$2509,_xlpm.m,IFERROR(_xlfn.XMATCH(C1883,_xlpm.r),IFERROR(_xlfn.XMATCH(VALUE(C1883),_xlpm.r),0)),IF(_xlpm.m=0,"",_xlpm.m+1))</f>
        <v/>
      </c>
      <c r="J1883" s="137" t="inlineStr">
        <is>
          <t>NetSuite</t>
        </is>
      </c>
    </row>
    <row r="1884">
      <c r="A1884" s="5" t="inlineStr">
        <is>
          <t>WB OUTLET LERMA</t>
        </is>
      </c>
      <c r="B1884" s="5">
        <f>IF($I2="","",INDEX(Productos!$A:$A,$I2))</f>
        <v/>
      </c>
      <c r="C1884" s="134" t="inlineStr">
        <is>
          <t>9806002-625-NZ</t>
        </is>
      </c>
      <c r="D1884" s="5">
        <f>IF($I2="","",INDEX(Productos!$B:$B,$I2))</f>
        <v/>
      </c>
      <c r="E1884" s="5">
        <f>IF($I2="","",INDEX(Productos!$H:$H,$I2))</f>
        <v/>
      </c>
      <c r="F1884" s="5">
        <f>IF($I2="","",INDEX(Productos!$I:$I,$I2))</f>
        <v/>
      </c>
      <c r="G1884" s="135" t="n">
        <v>5</v>
      </c>
      <c r="H1884" s="5">
        <f>IF($I2="","",INDEX(Productos!$AG:$AG,$I2))</f>
        <v/>
      </c>
      <c r="I1884" s="136">
        <f>LET(_xlpm.r,Productos!$E$2:$E$2509,_xlpm.m,IFERROR(_xlfn.XMATCH(C1884,_xlpm.r),IFERROR(_xlfn.XMATCH(VALUE(C1884),_xlpm.r),0)),IF(_xlpm.m=0,"",_xlpm.m+1))</f>
        <v/>
      </c>
      <c r="J1884" s="137" t="inlineStr">
        <is>
          <t>NetSuite</t>
        </is>
      </c>
    </row>
    <row r="1885">
      <c r="A1885" s="5" t="inlineStr">
        <is>
          <t>WB OUTLET LERMA</t>
        </is>
      </c>
      <c r="B1885" s="5">
        <f>IF($I2="","",INDEX(Productos!$A:$A,$I2))</f>
        <v/>
      </c>
      <c r="C1885" s="134" t="inlineStr">
        <is>
          <t>9806003-625-NZ</t>
        </is>
      </c>
      <c r="D1885" s="5">
        <f>IF($I2="","",INDEX(Productos!$B:$B,$I2))</f>
        <v/>
      </c>
      <c r="E1885" s="5">
        <f>IF($I2="","",INDEX(Productos!$H:$H,$I2))</f>
        <v/>
      </c>
      <c r="F1885" s="5">
        <f>IF($I2="","",INDEX(Productos!$I:$I,$I2))</f>
        <v/>
      </c>
      <c r="G1885" s="135" t="n">
        <v>3</v>
      </c>
      <c r="H1885" s="5">
        <f>IF($I2="","",INDEX(Productos!$AG:$AG,$I2))</f>
        <v/>
      </c>
      <c r="I1885" s="136">
        <f>LET(_xlpm.r,Productos!$E$2:$E$2509,_xlpm.m,IFERROR(_xlfn.XMATCH(C1885,_xlpm.r),IFERROR(_xlfn.XMATCH(VALUE(C1885),_xlpm.r),0)),IF(_xlpm.m=0,"",_xlpm.m+1))</f>
        <v/>
      </c>
      <c r="J1885" s="137" t="inlineStr">
        <is>
          <t>NetSuite</t>
        </is>
      </c>
    </row>
    <row r="1886">
      <c r="A1886" s="5" t="inlineStr">
        <is>
          <t>WB OUTLET LERMA</t>
        </is>
      </c>
      <c r="B1886" s="5">
        <f>IF($I2="","",INDEX(Productos!$A:$A,$I2))</f>
        <v/>
      </c>
      <c r="C1886" s="134" t="inlineStr">
        <is>
          <t>9807001-232-NZ</t>
        </is>
      </c>
      <c r="D1886" s="5">
        <f>IF($I2="","",INDEX(Productos!$B:$B,$I2))</f>
        <v/>
      </c>
      <c r="E1886" s="5">
        <f>IF($I2="","",INDEX(Productos!$H:$H,$I2))</f>
        <v/>
      </c>
      <c r="F1886" s="5">
        <f>IF($I2="","",INDEX(Productos!$I:$I,$I2))</f>
        <v/>
      </c>
      <c r="G1886" s="135" t="n">
        <v>2</v>
      </c>
      <c r="H1886" s="5">
        <f>IF($I2="","",INDEX(Productos!$AG:$AG,$I2))</f>
        <v/>
      </c>
      <c r="I1886" s="136">
        <f>LET(_xlpm.r,Productos!$E$2:$E$2509,_xlpm.m,IFERROR(_xlfn.XMATCH(C1886,_xlpm.r),IFERROR(_xlfn.XMATCH(VALUE(C1886),_xlpm.r),0)),IF(_xlpm.m=0,"",_xlpm.m+1))</f>
        <v/>
      </c>
      <c r="J1886" s="137" t="inlineStr">
        <is>
          <t>NetSuite</t>
        </is>
      </c>
    </row>
    <row r="1887">
      <c r="A1887" s="5" t="inlineStr">
        <is>
          <t>WB OUTLET LERMA</t>
        </is>
      </c>
      <c r="B1887" s="5">
        <f>IF($I2="","",INDEX(Productos!$A:$A,$I2))</f>
        <v/>
      </c>
      <c r="C1887" s="134" t="inlineStr">
        <is>
          <t>9807003-14-NZ</t>
        </is>
      </c>
      <c r="D1887" s="5">
        <f>IF($I2="","",INDEX(Productos!$B:$B,$I2))</f>
        <v/>
      </c>
      <c r="E1887" s="5">
        <f>IF($I2="","",INDEX(Productos!$H:$H,$I2))</f>
        <v/>
      </c>
      <c r="F1887" s="5">
        <f>IF($I2="","",INDEX(Productos!$I:$I,$I2))</f>
        <v/>
      </c>
      <c r="G1887" s="135" t="n">
        <v>3</v>
      </c>
      <c r="H1887" s="5">
        <f>IF($I2="","",INDEX(Productos!$AG:$AG,$I2))</f>
        <v/>
      </c>
      <c r="I1887" s="136">
        <f>LET(_xlpm.r,Productos!$E$2:$E$2509,_xlpm.m,IFERROR(_xlfn.XMATCH(C1887,_xlpm.r),IFERROR(_xlfn.XMATCH(VALUE(C1887),_xlpm.r),0)),IF(_xlpm.m=0,"",_xlpm.m+1))</f>
        <v/>
      </c>
      <c r="J1887" s="137" t="inlineStr">
        <is>
          <t>NetSuite</t>
        </is>
      </c>
    </row>
    <row r="1888">
      <c r="A1888" s="5" t="inlineStr">
        <is>
          <t>WB OUTLET LERMA</t>
        </is>
      </c>
      <c r="B1888" s="5">
        <f>IF($I2="","",INDEX(Productos!$A:$A,$I2))</f>
        <v/>
      </c>
      <c r="C1888" s="134" t="inlineStr">
        <is>
          <t>9807003-232-NZ</t>
        </is>
      </c>
      <c r="D1888" s="5">
        <f>IF($I2="","",INDEX(Productos!$B:$B,$I2))</f>
        <v/>
      </c>
      <c r="E1888" s="5">
        <f>IF($I2="","",INDEX(Productos!$H:$H,$I2))</f>
        <v/>
      </c>
      <c r="F1888" s="5">
        <f>IF($I2="","",INDEX(Productos!$I:$I,$I2))</f>
        <v/>
      </c>
      <c r="G1888" s="135" t="n">
        <v>3</v>
      </c>
      <c r="H1888" s="5">
        <f>IF($I2="","",INDEX(Productos!$AG:$AG,$I2))</f>
        <v/>
      </c>
      <c r="I1888" s="136">
        <f>LET(_xlpm.r,Productos!$E$2:$E$2509,_xlpm.m,IFERROR(_xlfn.XMATCH(C1888,_xlpm.r),IFERROR(_xlfn.XMATCH(VALUE(C1888),_xlpm.r),0)),IF(_xlpm.m=0,"",_xlpm.m+1))</f>
        <v/>
      </c>
      <c r="J1888" s="137" t="inlineStr">
        <is>
          <t>NetSuite</t>
        </is>
      </c>
    </row>
    <row r="1889">
      <c r="A1889" s="5" t="inlineStr">
        <is>
          <t>WB OUTLET LERMA</t>
        </is>
      </c>
      <c r="B1889" s="5">
        <f>IF($I2="","",INDEX(Productos!$A:$A,$I2))</f>
        <v/>
      </c>
      <c r="C1889" s="134" t="inlineStr">
        <is>
          <t>9808003-19-NZ</t>
        </is>
      </c>
      <c r="D1889" s="5">
        <f>IF($I2="","",INDEX(Productos!$B:$B,$I2))</f>
        <v/>
      </c>
      <c r="E1889" s="5">
        <f>IF($I2="","",INDEX(Productos!$H:$H,$I2))</f>
        <v/>
      </c>
      <c r="F1889" s="5">
        <f>IF($I2="","",INDEX(Productos!$I:$I,$I2))</f>
        <v/>
      </c>
      <c r="G1889" s="135" t="n">
        <v>3</v>
      </c>
      <c r="H1889" s="5">
        <f>IF($I2="","",INDEX(Productos!$AG:$AG,$I2))</f>
        <v/>
      </c>
      <c r="I1889" s="136">
        <f>LET(_xlpm.r,Productos!$E$2:$E$2509,_xlpm.m,IFERROR(_xlfn.XMATCH(C1889,_xlpm.r),IFERROR(_xlfn.XMATCH(VALUE(C1889),_xlpm.r),0)),IF(_xlpm.m=0,"",_xlpm.m+1))</f>
        <v/>
      </c>
      <c r="J1889" s="137" t="inlineStr">
        <is>
          <t>NetSuite</t>
        </is>
      </c>
    </row>
    <row r="1890">
      <c r="A1890" s="5" t="inlineStr">
        <is>
          <t>WB OUTLET LERMA</t>
        </is>
      </c>
      <c r="B1890" s="5">
        <f>IF($I2="","",INDEX(Productos!$A:$A,$I2))</f>
        <v/>
      </c>
      <c r="C1890" s="134" t="inlineStr">
        <is>
          <t>9809003-200-NZ</t>
        </is>
      </c>
      <c r="D1890" s="5">
        <f>IF($I2="","",INDEX(Productos!$B:$B,$I2))</f>
        <v/>
      </c>
      <c r="E1890" s="5">
        <f>IF($I2="","",INDEX(Productos!$H:$H,$I2))</f>
        <v/>
      </c>
      <c r="F1890" s="5">
        <f>IF($I2="","",INDEX(Productos!$I:$I,$I2))</f>
        <v/>
      </c>
      <c r="G1890" s="135" t="n">
        <v>4</v>
      </c>
      <c r="H1890" s="5">
        <f>IF($I2="","",INDEX(Productos!$AG:$AG,$I2))</f>
        <v/>
      </c>
      <c r="I1890" s="136">
        <f>LET(_xlpm.r,Productos!$E$2:$E$2509,_xlpm.m,IFERROR(_xlfn.XMATCH(C1890,_xlpm.r),IFERROR(_xlfn.XMATCH(VALUE(C1890),_xlpm.r),0)),IF(_xlpm.m=0,"",_xlpm.m+1))</f>
        <v/>
      </c>
      <c r="J1890" s="137" t="inlineStr">
        <is>
          <t>NetSuite</t>
        </is>
      </c>
    </row>
    <row r="1891">
      <c r="A1891" s="5" t="inlineStr">
        <is>
          <t>WB OUTLET LERMA</t>
        </is>
      </c>
      <c r="B1891" s="5">
        <f>IF($I2="","",INDEX(Productos!$A:$A,$I2))</f>
        <v/>
      </c>
      <c r="C1891" s="134" t="inlineStr">
        <is>
          <t>9901500-204-36</t>
        </is>
      </c>
      <c r="D1891" s="5">
        <f>IF($I2="","",INDEX(Productos!$B:$B,$I2))</f>
        <v/>
      </c>
      <c r="E1891" s="5">
        <f>IF($I2="","",INDEX(Productos!$H:$H,$I2))</f>
        <v/>
      </c>
      <c r="F1891" s="5">
        <f>IF($I2="","",INDEX(Productos!$I:$I,$I2))</f>
        <v/>
      </c>
      <c r="G1891" s="135" t="n">
        <v>1</v>
      </c>
      <c r="H1891" s="5">
        <f>IF($I2="","",INDEX(Productos!$AG:$AG,$I2))</f>
        <v/>
      </c>
      <c r="I1891" s="136">
        <f>LET(_xlpm.r,Productos!$E$2:$E$2509,_xlpm.m,IFERROR(_xlfn.XMATCH(C1891,_xlpm.r),IFERROR(_xlfn.XMATCH(VALUE(C1891),_xlpm.r),0)),IF(_xlpm.m=0,"",_xlpm.m+1))</f>
        <v/>
      </c>
      <c r="J1891" s="137" t="inlineStr">
        <is>
          <t>NetSuite</t>
        </is>
      </c>
    </row>
    <row r="1892">
      <c r="A1892" s="5" t="inlineStr">
        <is>
          <t>WB OUTLET LERMA</t>
        </is>
      </c>
      <c r="B1892" s="5">
        <f>IF($I2="","",INDEX(Productos!$A:$A,$I2))</f>
        <v/>
      </c>
      <c r="C1892" s="134" t="inlineStr">
        <is>
          <t>9901500-204-38</t>
        </is>
      </c>
      <c r="D1892" s="5">
        <f>IF($I2="","",INDEX(Productos!$B:$B,$I2))</f>
        <v/>
      </c>
      <c r="E1892" s="5">
        <f>IF($I2="","",INDEX(Productos!$H:$H,$I2))</f>
        <v/>
      </c>
      <c r="F1892" s="5">
        <f>IF($I2="","",INDEX(Productos!$I:$I,$I2))</f>
        <v/>
      </c>
      <c r="G1892" s="135" t="n">
        <v>1</v>
      </c>
      <c r="H1892" s="5">
        <f>IF($I2="","",INDEX(Productos!$AG:$AG,$I2))</f>
        <v/>
      </c>
      <c r="I1892" s="136">
        <f>LET(_xlpm.r,Productos!$E$2:$E$2509,_xlpm.m,IFERROR(_xlfn.XMATCH(C1892,_xlpm.r),IFERROR(_xlfn.XMATCH(VALUE(C1892),_xlpm.r),0)),IF(_xlpm.m=0,"",_xlpm.m+1))</f>
        <v/>
      </c>
      <c r="J1892" s="137" t="inlineStr">
        <is>
          <t>NetSuite</t>
        </is>
      </c>
    </row>
    <row r="1893">
      <c r="A1893" s="5" t="inlineStr">
        <is>
          <t>WB OUTLET LERMA</t>
        </is>
      </c>
      <c r="B1893" s="5">
        <f>IF($I2="","",INDEX(Productos!$A:$A,$I2))</f>
        <v/>
      </c>
      <c r="C1893" s="134" t="inlineStr">
        <is>
          <t>9901500-204-40</t>
        </is>
      </c>
      <c r="D1893" s="5">
        <f>IF($I2="","",INDEX(Productos!$B:$B,$I2))</f>
        <v/>
      </c>
      <c r="E1893" s="5">
        <f>IF($I2="","",INDEX(Productos!$H:$H,$I2))</f>
        <v/>
      </c>
      <c r="F1893" s="5">
        <f>IF($I2="","",INDEX(Productos!$I:$I,$I2))</f>
        <v/>
      </c>
      <c r="G1893" s="135" t="n">
        <v>1</v>
      </c>
      <c r="H1893" s="5">
        <f>IF($I2="","",INDEX(Productos!$AG:$AG,$I2))</f>
        <v/>
      </c>
      <c r="I1893" s="136">
        <f>LET(_xlpm.r,Productos!$E$2:$E$2509,_xlpm.m,IFERROR(_xlfn.XMATCH(C1893,_xlpm.r),IFERROR(_xlfn.XMATCH(VALUE(C1893),_xlpm.r),0)),IF(_xlpm.m=0,"",_xlpm.m+1))</f>
        <v/>
      </c>
      <c r="J1893" s="137" t="inlineStr">
        <is>
          <t>NetSuite</t>
        </is>
      </c>
    </row>
    <row r="1894">
      <c r="A1894" s="5" t="inlineStr">
        <is>
          <t>WB OUTLET LERMA</t>
        </is>
      </c>
      <c r="B1894" s="5">
        <f>IF($I2="","",INDEX(Productos!$A:$A,$I2))</f>
        <v/>
      </c>
      <c r="C1894" s="134" t="inlineStr">
        <is>
          <t>9901500-204-42</t>
        </is>
      </c>
      <c r="D1894" s="5">
        <f>IF($I2="","",INDEX(Productos!$B:$B,$I2))</f>
        <v/>
      </c>
      <c r="E1894" s="5">
        <f>IF($I2="","",INDEX(Productos!$H:$H,$I2))</f>
        <v/>
      </c>
      <c r="F1894" s="5">
        <f>IF($I2="","",INDEX(Productos!$I:$I,$I2))</f>
        <v/>
      </c>
      <c r="G1894" s="135" t="n">
        <v>1</v>
      </c>
      <c r="H1894" s="5">
        <f>IF($I2="","",INDEX(Productos!$AG:$AG,$I2))</f>
        <v/>
      </c>
      <c r="I1894" s="136">
        <f>LET(_xlpm.r,Productos!$E$2:$E$2509,_xlpm.m,IFERROR(_xlfn.XMATCH(C1894,_xlpm.r),IFERROR(_xlfn.XMATCH(VALUE(C1894),_xlpm.r),0)),IF(_xlpm.m=0,"",_xlpm.m+1))</f>
        <v/>
      </c>
      <c r="J1894" s="137" t="inlineStr">
        <is>
          <t>NetSuite</t>
        </is>
      </c>
    </row>
    <row r="1895">
      <c r="A1895" s="5" t="inlineStr">
        <is>
          <t>WB OUTLET LERMA</t>
        </is>
      </c>
      <c r="B1895" s="5">
        <f>IF($I2="","",INDEX(Productos!$A:$A,$I2))</f>
        <v/>
      </c>
      <c r="C1895" s="134" t="inlineStr">
        <is>
          <t>9912500-203-36</t>
        </is>
      </c>
      <c r="D1895" s="5">
        <f>IF($I2="","",INDEX(Productos!$B:$B,$I2))</f>
        <v/>
      </c>
      <c r="E1895" s="5">
        <f>IF($I2="","",INDEX(Productos!$H:$H,$I2))</f>
        <v/>
      </c>
      <c r="F1895" s="5">
        <f>IF($I2="","",INDEX(Productos!$I:$I,$I2))</f>
        <v/>
      </c>
      <c r="G1895" s="135" t="n">
        <v>1</v>
      </c>
      <c r="H1895" s="5">
        <f>IF($I2="","",INDEX(Productos!$AG:$AG,$I2))</f>
        <v/>
      </c>
      <c r="I1895" s="136">
        <f>LET(_xlpm.r,Productos!$E$2:$E$2509,_xlpm.m,IFERROR(_xlfn.XMATCH(C1895,_xlpm.r),IFERROR(_xlfn.XMATCH(VALUE(C1895),_xlpm.r),0)),IF(_xlpm.m=0,"",_xlpm.m+1))</f>
        <v/>
      </c>
      <c r="J1895" s="137" t="inlineStr">
        <is>
          <t>NetSuite</t>
        </is>
      </c>
    </row>
    <row r="1896">
      <c r="A1896" s="5" t="inlineStr">
        <is>
          <t>WB OUTLET LERMA</t>
        </is>
      </c>
      <c r="B1896" s="5">
        <f>IF($I2="","",INDEX(Productos!$A:$A,$I2))</f>
        <v/>
      </c>
      <c r="C1896" s="134" t="inlineStr">
        <is>
          <t>9912500-203-40</t>
        </is>
      </c>
      <c r="D1896" s="5">
        <f>IF($I2="","",INDEX(Productos!$B:$B,$I2))</f>
        <v/>
      </c>
      <c r="E1896" s="5">
        <f>IF($I2="","",INDEX(Productos!$H:$H,$I2))</f>
        <v/>
      </c>
      <c r="F1896" s="5">
        <f>IF($I2="","",INDEX(Productos!$I:$I,$I2))</f>
        <v/>
      </c>
      <c r="G1896" s="135" t="n">
        <v>1</v>
      </c>
      <c r="H1896" s="5">
        <f>IF($I2="","",INDEX(Productos!$AG:$AG,$I2))</f>
        <v/>
      </c>
      <c r="I1896" s="136">
        <f>LET(_xlpm.r,Productos!$E$2:$E$2509,_xlpm.m,IFERROR(_xlfn.XMATCH(C1896,_xlpm.r),IFERROR(_xlfn.XMATCH(VALUE(C1896),_xlpm.r),0)),IF(_xlpm.m=0,"",_xlpm.m+1))</f>
        <v/>
      </c>
      <c r="J1896" s="137" t="inlineStr">
        <is>
          <t>NetSuite</t>
        </is>
      </c>
    </row>
    <row r="1897">
      <c r="A1897" s="5" t="inlineStr">
        <is>
          <t>WB OUTLET LERMA</t>
        </is>
      </c>
      <c r="B1897" s="5">
        <f>IF($I2="","",INDEX(Productos!$A:$A,$I2))</f>
        <v/>
      </c>
      <c r="C1897" s="134" t="inlineStr">
        <is>
          <t>9912500-203-42</t>
        </is>
      </c>
      <c r="D1897" s="5">
        <f>IF($I2="","",INDEX(Productos!$B:$B,$I2))</f>
        <v/>
      </c>
      <c r="E1897" s="5">
        <f>IF($I2="","",INDEX(Productos!$H:$H,$I2))</f>
        <v/>
      </c>
      <c r="F1897" s="5">
        <f>IF($I2="","",INDEX(Productos!$I:$I,$I2))</f>
        <v/>
      </c>
      <c r="G1897" s="135" t="n">
        <v>1</v>
      </c>
      <c r="H1897" s="5">
        <f>IF($I2="","",INDEX(Productos!$AG:$AG,$I2))</f>
        <v/>
      </c>
      <c r="I1897" s="136">
        <f>LET(_xlpm.r,Productos!$E$2:$E$2509,_xlpm.m,IFERROR(_xlfn.XMATCH(C1897,_xlpm.r),IFERROR(_xlfn.XMATCH(VALUE(C1897),_xlpm.r),0)),IF(_xlpm.m=0,"",_xlpm.m+1))</f>
        <v/>
      </c>
      <c r="J1897" s="137" t="inlineStr">
        <is>
          <t>NetSuite</t>
        </is>
      </c>
    </row>
    <row r="1898">
      <c r="A1898" s="5" t="inlineStr">
        <is>
          <t>WB OUTLET LERMA</t>
        </is>
      </c>
      <c r="B1898" s="5">
        <f>IF($I2="","",INDEX(Productos!$A:$A,$I2))</f>
        <v/>
      </c>
      <c r="C1898" s="134" t="inlineStr">
        <is>
          <t>9915500-001-36</t>
        </is>
      </c>
      <c r="D1898" s="5">
        <f>IF($I2="","",INDEX(Productos!$B:$B,$I2))</f>
        <v/>
      </c>
      <c r="E1898" s="5">
        <f>IF($I2="","",INDEX(Productos!$H:$H,$I2))</f>
        <v/>
      </c>
      <c r="F1898" s="5">
        <f>IF($I2="","",INDEX(Productos!$I:$I,$I2))</f>
        <v/>
      </c>
      <c r="G1898" s="135" t="n">
        <v>1</v>
      </c>
      <c r="H1898" s="5">
        <f>IF($I2="","",INDEX(Productos!$AG:$AG,$I2))</f>
        <v/>
      </c>
      <c r="I1898" s="136">
        <f>LET(_xlpm.r,Productos!$E$2:$E$2509,_xlpm.m,IFERROR(_xlfn.XMATCH(C1898,_xlpm.r),IFERROR(_xlfn.XMATCH(VALUE(C1898),_xlpm.r),0)),IF(_xlpm.m=0,"",_xlpm.m+1))</f>
        <v/>
      </c>
      <c r="J1898" s="137" t="inlineStr">
        <is>
          <t>NetSuite</t>
        </is>
      </c>
    </row>
    <row r="1899">
      <c r="A1899" s="5" t="inlineStr">
        <is>
          <t>WB OUTLET LERMA</t>
        </is>
      </c>
      <c r="B1899" s="5">
        <f>IF($I2="","",INDEX(Productos!$A:$A,$I2))</f>
        <v/>
      </c>
      <c r="C1899" s="134" t="inlineStr">
        <is>
          <t>9915500-625-36</t>
        </is>
      </c>
      <c r="D1899" s="5">
        <f>IF($I2="","",INDEX(Productos!$B:$B,$I2))</f>
        <v/>
      </c>
      <c r="E1899" s="5">
        <f>IF($I2="","",INDEX(Productos!$H:$H,$I2))</f>
        <v/>
      </c>
      <c r="F1899" s="5">
        <f>IF($I2="","",INDEX(Productos!$I:$I,$I2))</f>
        <v/>
      </c>
      <c r="G1899" s="135" t="n">
        <v>1</v>
      </c>
      <c r="H1899" s="5">
        <f>IF($I2="","",INDEX(Productos!$AG:$AG,$I2))</f>
        <v/>
      </c>
      <c r="I1899" s="136">
        <f>LET(_xlpm.r,Productos!$E$2:$E$2509,_xlpm.m,IFERROR(_xlfn.XMATCH(C1899,_xlpm.r),IFERROR(_xlfn.XMATCH(VALUE(C1899),_xlpm.r),0)),IF(_xlpm.m=0,"",_xlpm.m+1))</f>
        <v/>
      </c>
      <c r="J1899" s="137" t="inlineStr">
        <is>
          <t>NetSuite</t>
        </is>
      </c>
    </row>
    <row r="1900">
      <c r="A1900" s="5" t="inlineStr">
        <is>
          <t>WB OUTLET LERMA</t>
        </is>
      </c>
      <c r="B1900" s="5">
        <f>IF($I2="","",INDEX(Productos!$A:$A,$I2))</f>
        <v/>
      </c>
      <c r="C1900" s="134" t="inlineStr">
        <is>
          <t>9915500-625-38</t>
        </is>
      </c>
      <c r="D1900" s="5">
        <f>IF($I2="","",INDEX(Productos!$B:$B,$I2))</f>
        <v/>
      </c>
      <c r="E1900" s="5">
        <f>IF($I2="","",INDEX(Productos!$H:$H,$I2))</f>
        <v/>
      </c>
      <c r="F1900" s="5">
        <f>IF($I2="","",INDEX(Productos!$I:$I,$I2))</f>
        <v/>
      </c>
      <c r="G1900" s="135" t="n">
        <v>1</v>
      </c>
      <c r="H1900" s="5">
        <f>IF($I2="","",INDEX(Productos!$AG:$AG,$I2))</f>
        <v/>
      </c>
      <c r="I1900" s="136">
        <f>LET(_xlpm.r,Productos!$E$2:$E$2509,_xlpm.m,IFERROR(_xlfn.XMATCH(C1900,_xlpm.r),IFERROR(_xlfn.XMATCH(VALUE(C1900),_xlpm.r),0)),IF(_xlpm.m=0,"",_xlpm.m+1))</f>
        <v/>
      </c>
      <c r="J1900" s="137" t="inlineStr">
        <is>
          <t>NetSuite</t>
        </is>
      </c>
    </row>
    <row r="1901">
      <c r="A1901" s="5" t="inlineStr">
        <is>
          <t>WB OUTLET LERMA</t>
        </is>
      </c>
      <c r="B1901" s="5">
        <f>IF($I2="","",INDEX(Productos!$A:$A,$I2))</f>
        <v/>
      </c>
      <c r="C1901" s="134" t="inlineStr">
        <is>
          <t>9915500-625-40</t>
        </is>
      </c>
      <c r="D1901" s="5">
        <f>IF($I2="","",INDEX(Productos!$B:$B,$I2))</f>
        <v/>
      </c>
      <c r="E1901" s="5">
        <f>IF($I2="","",INDEX(Productos!$H:$H,$I2))</f>
        <v/>
      </c>
      <c r="F1901" s="5">
        <f>IF($I2="","",INDEX(Productos!$I:$I,$I2))</f>
        <v/>
      </c>
      <c r="G1901" s="135" t="n">
        <v>1</v>
      </c>
      <c r="H1901" s="5">
        <f>IF($I2="","",INDEX(Productos!$AG:$AG,$I2))</f>
        <v/>
      </c>
      <c r="I1901" s="136">
        <f>LET(_xlpm.r,Productos!$E$2:$E$2509,_xlpm.m,IFERROR(_xlfn.XMATCH(C1901,_xlpm.r),IFERROR(_xlfn.XMATCH(VALUE(C1901),_xlpm.r),0)),IF(_xlpm.m=0,"",_xlpm.m+1))</f>
        <v/>
      </c>
      <c r="J1901" s="137" t="inlineStr">
        <is>
          <t>NetSuite</t>
        </is>
      </c>
    </row>
    <row r="1902">
      <c r="A1902" s="5" t="inlineStr">
        <is>
          <t>WB OUTLET LERMA</t>
        </is>
      </c>
      <c r="B1902" s="5">
        <f>IF($I2="","",INDEX(Productos!$A:$A,$I2))</f>
        <v/>
      </c>
      <c r="C1902" s="134" t="inlineStr">
        <is>
          <t>9915500-625-42</t>
        </is>
      </c>
      <c r="D1902" s="5">
        <f>IF($I2="","",INDEX(Productos!$B:$B,$I2))</f>
        <v/>
      </c>
      <c r="E1902" s="5">
        <f>IF($I2="","",INDEX(Productos!$H:$H,$I2))</f>
        <v/>
      </c>
      <c r="F1902" s="5">
        <f>IF($I2="","",INDEX(Productos!$I:$I,$I2))</f>
        <v/>
      </c>
      <c r="G1902" s="135" t="n">
        <v>1</v>
      </c>
      <c r="H1902" s="5">
        <f>IF($I2="","",INDEX(Productos!$AG:$AG,$I2))</f>
        <v/>
      </c>
      <c r="I1902" s="136">
        <f>LET(_xlpm.r,Productos!$E$2:$E$2509,_xlpm.m,IFERROR(_xlfn.XMATCH(C1902,_xlpm.r),IFERROR(_xlfn.XMATCH(VALUE(C1902),_xlpm.r),0)),IF(_xlpm.m=0,"",_xlpm.m+1))</f>
        <v/>
      </c>
      <c r="J1902" s="137" t="inlineStr">
        <is>
          <t>NetSuite</t>
        </is>
      </c>
    </row>
    <row r="1903">
      <c r="A1903" s="5" t="inlineStr">
        <is>
          <t>WB OUTLET LERMA</t>
        </is>
      </c>
      <c r="B1903" s="5">
        <f>IF($I2="","",INDEX(Productos!$A:$A,$I2))</f>
        <v/>
      </c>
      <c r="C1903" s="134" t="inlineStr">
        <is>
          <t>9915500-625-46</t>
        </is>
      </c>
      <c r="D1903" s="5">
        <f>IF($I2="","",INDEX(Productos!$B:$B,$I2))</f>
        <v/>
      </c>
      <c r="E1903" s="5">
        <f>IF($I2="","",INDEX(Productos!$H:$H,$I2))</f>
        <v/>
      </c>
      <c r="F1903" s="5">
        <f>IF($I2="","",INDEX(Productos!$I:$I,$I2))</f>
        <v/>
      </c>
      <c r="G1903" s="135" t="n">
        <v>1</v>
      </c>
      <c r="H1903" s="5">
        <f>IF($I2="","",INDEX(Productos!$AG:$AG,$I2))</f>
        <v/>
      </c>
      <c r="I1903" s="136">
        <f>LET(_xlpm.r,Productos!$E$2:$E$2509,_xlpm.m,IFERROR(_xlfn.XMATCH(C1903,_xlpm.r),IFERROR(_xlfn.XMATCH(VALUE(C1903),_xlpm.r),0)),IF(_xlpm.m=0,"",_xlpm.m+1))</f>
        <v/>
      </c>
      <c r="J1903" s="137" t="inlineStr">
        <is>
          <t>NetSuite</t>
        </is>
      </c>
    </row>
    <row r="1904">
      <c r="A1904" s="5" t="inlineStr">
        <is>
          <t>WB OUTLET LERMA</t>
        </is>
      </c>
      <c r="B1904" s="5">
        <f>IF($I2="","",INDEX(Productos!$A:$A,$I2))</f>
        <v/>
      </c>
      <c r="C1904" s="134" t="inlineStr">
        <is>
          <t>9916500-19-36</t>
        </is>
      </c>
      <c r="D1904" s="5">
        <f>IF($I2="","",INDEX(Productos!$B:$B,$I2))</f>
        <v/>
      </c>
      <c r="E1904" s="5">
        <f>IF($I2="","",INDEX(Productos!$H:$H,$I2))</f>
        <v/>
      </c>
      <c r="F1904" s="5">
        <f>IF($I2="","",INDEX(Productos!$I:$I,$I2))</f>
        <v/>
      </c>
      <c r="G1904" s="135" t="n">
        <v>1</v>
      </c>
      <c r="H1904" s="5">
        <f>IF($I2="","",INDEX(Productos!$AG:$AG,$I2))</f>
        <v/>
      </c>
      <c r="I1904" s="136">
        <f>LET(_xlpm.r,Productos!$E$2:$E$2509,_xlpm.m,IFERROR(_xlfn.XMATCH(C1904,_xlpm.r),IFERROR(_xlfn.XMATCH(VALUE(C1904),_xlpm.r),0)),IF(_xlpm.m=0,"",_xlpm.m+1))</f>
        <v/>
      </c>
      <c r="J1904" s="137" t="inlineStr">
        <is>
          <t>NetSuite</t>
        </is>
      </c>
    </row>
    <row r="1905">
      <c r="A1905" s="5" t="inlineStr">
        <is>
          <t>WB OUTLET LERMA</t>
        </is>
      </c>
      <c r="B1905" s="5">
        <f>IF($I2="","",INDEX(Productos!$A:$A,$I2))</f>
        <v/>
      </c>
      <c r="C1905" s="134" t="inlineStr">
        <is>
          <t>9916500-19-40</t>
        </is>
      </c>
      <c r="D1905" s="5">
        <f>IF($I2="","",INDEX(Productos!$B:$B,$I2))</f>
        <v/>
      </c>
      <c r="E1905" s="5">
        <f>IF($I2="","",INDEX(Productos!$H:$H,$I2))</f>
        <v/>
      </c>
      <c r="F1905" s="5">
        <f>IF($I2="","",INDEX(Productos!$I:$I,$I2))</f>
        <v/>
      </c>
      <c r="G1905" s="135" t="n">
        <v>1</v>
      </c>
      <c r="H1905" s="5">
        <f>IF($I2="","",INDEX(Productos!$AG:$AG,$I2))</f>
        <v/>
      </c>
      <c r="I1905" s="136">
        <f>LET(_xlpm.r,Productos!$E$2:$E$2509,_xlpm.m,IFERROR(_xlfn.XMATCH(C1905,_xlpm.r),IFERROR(_xlfn.XMATCH(VALUE(C1905),_xlpm.r),0)),IF(_xlpm.m=0,"",_xlpm.m+1))</f>
        <v/>
      </c>
      <c r="J1905" s="137" t="inlineStr">
        <is>
          <t>NetSuite</t>
        </is>
      </c>
    </row>
    <row r="1906">
      <c r="A1906" s="5" t="inlineStr">
        <is>
          <t>WB OUTLET LERMA</t>
        </is>
      </c>
      <c r="B1906" s="5">
        <f>IF($I2="","",INDEX(Productos!$A:$A,$I2))</f>
        <v/>
      </c>
      <c r="C1906" s="134" t="inlineStr">
        <is>
          <t>9916500-19-44</t>
        </is>
      </c>
      <c r="D1906" s="5">
        <f>IF($I2="","",INDEX(Productos!$B:$B,$I2))</f>
        <v/>
      </c>
      <c r="E1906" s="5">
        <f>IF($I2="","",INDEX(Productos!$H:$H,$I2))</f>
        <v/>
      </c>
      <c r="F1906" s="5">
        <f>IF($I2="","",INDEX(Productos!$I:$I,$I2))</f>
        <v/>
      </c>
      <c r="G1906" s="135" t="n">
        <v>2</v>
      </c>
      <c r="H1906" s="5">
        <f>IF($I2="","",INDEX(Productos!$AG:$AG,$I2))</f>
        <v/>
      </c>
      <c r="I1906" s="136">
        <f>LET(_xlpm.r,Productos!$E$2:$E$2509,_xlpm.m,IFERROR(_xlfn.XMATCH(C1906,_xlpm.r),IFERROR(_xlfn.XMATCH(VALUE(C1906),_xlpm.r),0)),IF(_xlpm.m=0,"",_xlpm.m+1))</f>
        <v/>
      </c>
      <c r="J1906" s="137" t="inlineStr">
        <is>
          <t>NetSuite</t>
        </is>
      </c>
    </row>
    <row r="1907">
      <c r="A1907" s="5" t="inlineStr">
        <is>
          <t>WB OUTLET LERMA</t>
        </is>
      </c>
      <c r="B1907" s="5">
        <f>IF($I2="","",INDEX(Productos!$A:$A,$I2))</f>
        <v/>
      </c>
      <c r="C1907" s="134" t="inlineStr">
        <is>
          <t>9916500-260-36</t>
        </is>
      </c>
      <c r="D1907" s="5">
        <f>IF($I2="","",INDEX(Productos!$B:$B,$I2))</f>
        <v/>
      </c>
      <c r="E1907" s="5">
        <f>IF($I2="","",INDEX(Productos!$H:$H,$I2))</f>
        <v/>
      </c>
      <c r="F1907" s="5">
        <f>IF($I2="","",INDEX(Productos!$I:$I,$I2))</f>
        <v/>
      </c>
      <c r="G1907" s="135" t="n">
        <v>1</v>
      </c>
      <c r="H1907" s="5">
        <f>IF($I2="","",INDEX(Productos!$AG:$AG,$I2))</f>
        <v/>
      </c>
      <c r="I1907" s="136">
        <f>LET(_xlpm.r,Productos!$E$2:$E$2509,_xlpm.m,IFERROR(_xlfn.XMATCH(C1907,_xlpm.r),IFERROR(_xlfn.XMATCH(VALUE(C1907),_xlpm.r),0)),IF(_xlpm.m=0,"",_xlpm.m+1))</f>
        <v/>
      </c>
      <c r="J1907" s="137" t="inlineStr">
        <is>
          <t>NetSuite</t>
        </is>
      </c>
    </row>
    <row r="1908">
      <c r="A1908" s="5" t="inlineStr">
        <is>
          <t>WB OUTLET LERMA</t>
        </is>
      </c>
      <c r="B1908" s="5">
        <f>IF($I2="","",INDEX(Productos!$A:$A,$I2))</f>
        <v/>
      </c>
      <c r="C1908" s="134" t="inlineStr">
        <is>
          <t>9916500-260-42</t>
        </is>
      </c>
      <c r="D1908" s="5">
        <f>IF($I2="","",INDEX(Productos!$B:$B,$I2))</f>
        <v/>
      </c>
      <c r="E1908" s="5">
        <f>IF($I2="","",INDEX(Productos!$H:$H,$I2))</f>
        <v/>
      </c>
      <c r="F1908" s="5">
        <f>IF($I2="","",INDEX(Productos!$I:$I,$I2))</f>
        <v/>
      </c>
      <c r="G1908" s="135" t="n">
        <v>1</v>
      </c>
      <c r="H1908" s="5">
        <f>IF($I2="","",INDEX(Productos!$AG:$AG,$I2))</f>
        <v/>
      </c>
      <c r="I1908" s="136">
        <f>LET(_xlpm.r,Productos!$E$2:$E$2509,_xlpm.m,IFERROR(_xlfn.XMATCH(C1908,_xlpm.r),IFERROR(_xlfn.XMATCH(VALUE(C1908),_xlpm.r),0)),IF(_xlpm.m=0,"",_xlpm.m+1))</f>
        <v/>
      </c>
      <c r="J1908" s="137" t="inlineStr">
        <is>
          <t>NetSuite</t>
        </is>
      </c>
    </row>
    <row r="1909">
      <c r="A1909" s="5" t="inlineStr">
        <is>
          <t>WB OUTLET LERMA</t>
        </is>
      </c>
      <c r="B1909" s="5">
        <f>IF($I2="","",INDEX(Productos!$A:$A,$I2))</f>
        <v/>
      </c>
      <c r="C1909" s="134" t="inlineStr">
        <is>
          <t>9916500-260-44</t>
        </is>
      </c>
      <c r="D1909" s="5">
        <f>IF($I2="","",INDEX(Productos!$B:$B,$I2))</f>
        <v/>
      </c>
      <c r="E1909" s="5">
        <f>IF($I2="","",INDEX(Productos!$H:$H,$I2))</f>
        <v/>
      </c>
      <c r="F1909" s="5">
        <f>IF($I2="","",INDEX(Productos!$I:$I,$I2))</f>
        <v/>
      </c>
      <c r="G1909" s="135" t="n">
        <v>1</v>
      </c>
      <c r="H1909" s="5">
        <f>IF($I2="","",INDEX(Productos!$AG:$AG,$I2))</f>
        <v/>
      </c>
      <c r="I1909" s="136">
        <f>LET(_xlpm.r,Productos!$E$2:$E$2509,_xlpm.m,IFERROR(_xlfn.XMATCH(C1909,_xlpm.r),IFERROR(_xlfn.XMATCH(VALUE(C1909),_xlpm.r),0)),IF(_xlpm.m=0,"",_xlpm.m+1))</f>
        <v/>
      </c>
      <c r="J1909" s="137" t="inlineStr">
        <is>
          <t>NetSuite</t>
        </is>
      </c>
    </row>
    <row r="1910">
      <c r="A1910" s="5" t="inlineStr">
        <is>
          <t>WB OUTLET LERMA</t>
        </is>
      </c>
      <c r="B1910" s="5">
        <f>IF($I2="","",INDEX(Productos!$A:$A,$I2))</f>
        <v/>
      </c>
      <c r="C1910" s="134" t="inlineStr">
        <is>
          <t>9917500-014-40</t>
        </is>
      </c>
      <c r="D1910" s="5">
        <f>IF($I2="","",INDEX(Productos!$B:$B,$I2))</f>
        <v/>
      </c>
      <c r="E1910" s="5">
        <f>IF($I2="","",INDEX(Productos!$H:$H,$I2))</f>
        <v/>
      </c>
      <c r="F1910" s="5">
        <f>IF($I2="","",INDEX(Productos!$I:$I,$I2))</f>
        <v/>
      </c>
      <c r="G1910" s="135" t="n">
        <v>3</v>
      </c>
      <c r="H1910" s="5">
        <f>IF($I2="","",INDEX(Productos!$AG:$AG,$I2))</f>
        <v/>
      </c>
      <c r="I1910" s="136">
        <f>LET(_xlpm.r,Productos!$E$2:$E$2509,_xlpm.m,IFERROR(_xlfn.XMATCH(C1910,_xlpm.r),IFERROR(_xlfn.XMATCH(VALUE(C1910),_xlpm.r),0)),IF(_xlpm.m=0,"",_xlpm.m+1))</f>
        <v/>
      </c>
      <c r="J1910" s="137" t="inlineStr">
        <is>
          <t>NetSuite</t>
        </is>
      </c>
    </row>
    <row r="1911">
      <c r="A1911" s="5" t="inlineStr">
        <is>
          <t>WB OUTLET LERMA</t>
        </is>
      </c>
      <c r="B1911" s="5">
        <f>IF($I2="","",INDEX(Productos!$A:$A,$I2))</f>
        <v/>
      </c>
      <c r="C1911" s="134" t="inlineStr">
        <is>
          <t>9917500-014-42</t>
        </is>
      </c>
      <c r="D1911" s="5">
        <f>IF($I2="","",INDEX(Productos!$B:$B,$I2))</f>
        <v/>
      </c>
      <c r="E1911" s="5">
        <f>IF($I2="","",INDEX(Productos!$H:$H,$I2))</f>
        <v/>
      </c>
      <c r="F1911" s="5">
        <f>IF($I2="","",INDEX(Productos!$I:$I,$I2))</f>
        <v/>
      </c>
      <c r="G1911" s="135" t="n">
        <v>1</v>
      </c>
      <c r="H1911" s="5">
        <f>IF($I2="","",INDEX(Productos!$AG:$AG,$I2))</f>
        <v/>
      </c>
      <c r="I1911" s="136">
        <f>LET(_xlpm.r,Productos!$E$2:$E$2509,_xlpm.m,IFERROR(_xlfn.XMATCH(C1911,_xlpm.r),IFERROR(_xlfn.XMATCH(VALUE(C1911),_xlpm.r),0)),IF(_xlpm.m=0,"",_xlpm.m+1))</f>
        <v/>
      </c>
      <c r="J1911" s="137" t="inlineStr">
        <is>
          <t>NetSuite</t>
        </is>
      </c>
    </row>
    <row r="1912">
      <c r="A1912" s="5" t="inlineStr">
        <is>
          <t>WB OUTLET LERMA</t>
        </is>
      </c>
      <c r="B1912" s="5">
        <f>IF($I2="","",INDEX(Productos!$A:$A,$I2))</f>
        <v/>
      </c>
      <c r="C1912" s="134" t="inlineStr">
        <is>
          <t>9918500-203-36</t>
        </is>
      </c>
      <c r="D1912" s="5">
        <f>IF($I2="","",INDEX(Productos!$B:$B,$I2))</f>
        <v/>
      </c>
      <c r="E1912" s="5">
        <f>IF($I2="","",INDEX(Productos!$H:$H,$I2))</f>
        <v/>
      </c>
      <c r="F1912" s="5">
        <f>IF($I2="","",INDEX(Productos!$I:$I,$I2))</f>
        <v/>
      </c>
      <c r="G1912" s="135" t="n">
        <v>1</v>
      </c>
      <c r="H1912" s="5">
        <f>IF($I2="","",INDEX(Productos!$AG:$AG,$I2))</f>
        <v/>
      </c>
      <c r="I1912" s="136">
        <f>LET(_xlpm.r,Productos!$E$2:$E$2509,_xlpm.m,IFERROR(_xlfn.XMATCH(C1912,_xlpm.r),IFERROR(_xlfn.XMATCH(VALUE(C1912),_xlpm.r),0)),IF(_xlpm.m=0,"",_xlpm.m+1))</f>
        <v/>
      </c>
      <c r="J1912" s="137" t="inlineStr">
        <is>
          <t>NetSuite</t>
        </is>
      </c>
    </row>
    <row r="1913">
      <c r="A1913" s="5" t="inlineStr">
        <is>
          <t>WB OUTLET LERMA</t>
        </is>
      </c>
      <c r="B1913" s="5">
        <f>IF($I2="","",INDEX(Productos!$A:$A,$I2))</f>
        <v/>
      </c>
      <c r="C1913" s="134" t="inlineStr">
        <is>
          <t>9918500-203-38</t>
        </is>
      </c>
      <c r="D1913" s="5">
        <f>IF($I2="","",INDEX(Productos!$B:$B,$I2))</f>
        <v/>
      </c>
      <c r="E1913" s="5">
        <f>IF($I2="","",INDEX(Productos!$H:$H,$I2))</f>
        <v/>
      </c>
      <c r="F1913" s="5">
        <f>IF($I2="","",INDEX(Productos!$I:$I,$I2))</f>
        <v/>
      </c>
      <c r="G1913" s="135" t="n">
        <v>1</v>
      </c>
      <c r="H1913" s="5">
        <f>IF($I2="","",INDEX(Productos!$AG:$AG,$I2))</f>
        <v/>
      </c>
      <c r="I1913" s="136">
        <f>LET(_xlpm.r,Productos!$E$2:$E$2509,_xlpm.m,IFERROR(_xlfn.XMATCH(C1913,_xlpm.r),IFERROR(_xlfn.XMATCH(VALUE(C1913),_xlpm.r),0)),IF(_xlpm.m=0,"",_xlpm.m+1))</f>
        <v/>
      </c>
      <c r="J1913" s="137" t="inlineStr">
        <is>
          <t>NetSuite</t>
        </is>
      </c>
    </row>
    <row r="1914">
      <c r="A1914" s="5" t="inlineStr">
        <is>
          <t>WB OUTLET LERMA</t>
        </is>
      </c>
      <c r="B1914" s="5">
        <f>IF($I2="","",INDEX(Productos!$A:$A,$I2))</f>
        <v/>
      </c>
      <c r="C1914" s="134" t="inlineStr">
        <is>
          <t>9918500-203-40</t>
        </is>
      </c>
      <c r="D1914" s="5">
        <f>IF($I2="","",INDEX(Productos!$B:$B,$I2))</f>
        <v/>
      </c>
      <c r="E1914" s="5">
        <f>IF($I2="","",INDEX(Productos!$H:$H,$I2))</f>
        <v/>
      </c>
      <c r="F1914" s="5">
        <f>IF($I2="","",INDEX(Productos!$I:$I,$I2))</f>
        <v/>
      </c>
      <c r="G1914" s="135" t="n">
        <v>1</v>
      </c>
      <c r="H1914" s="5">
        <f>IF($I2="","",INDEX(Productos!$AG:$AG,$I2))</f>
        <v/>
      </c>
      <c r="I1914" s="136">
        <f>LET(_xlpm.r,Productos!$E$2:$E$2509,_xlpm.m,IFERROR(_xlfn.XMATCH(C1914,_xlpm.r),IFERROR(_xlfn.XMATCH(VALUE(C1914),_xlpm.r),0)),IF(_xlpm.m=0,"",_xlpm.m+1))</f>
        <v/>
      </c>
      <c r="J1914" s="137" t="inlineStr">
        <is>
          <t>NetSuite</t>
        </is>
      </c>
    </row>
    <row r="1915">
      <c r="A1915" s="5" t="inlineStr">
        <is>
          <t>WB OUTLET LERMA</t>
        </is>
      </c>
      <c r="B1915" s="5">
        <f>IF($I2="","",INDEX(Productos!$A:$A,$I2))</f>
        <v/>
      </c>
      <c r="C1915" s="134" t="inlineStr">
        <is>
          <t>9918500-203-42</t>
        </is>
      </c>
      <c r="D1915" s="5">
        <f>IF($I2="","",INDEX(Productos!$B:$B,$I2))</f>
        <v/>
      </c>
      <c r="E1915" s="5">
        <f>IF($I2="","",INDEX(Productos!$H:$H,$I2))</f>
        <v/>
      </c>
      <c r="F1915" s="5">
        <f>IF($I2="","",INDEX(Productos!$I:$I,$I2))</f>
        <v/>
      </c>
      <c r="G1915" s="135" t="n">
        <v>1</v>
      </c>
      <c r="H1915" s="5">
        <f>IF($I2="","",INDEX(Productos!$AG:$AG,$I2))</f>
        <v/>
      </c>
      <c r="I1915" s="136">
        <f>LET(_xlpm.r,Productos!$E$2:$E$2509,_xlpm.m,IFERROR(_xlfn.XMATCH(C1915,_xlpm.r),IFERROR(_xlfn.XMATCH(VALUE(C1915),_xlpm.r),0)),IF(_xlpm.m=0,"",_xlpm.m+1))</f>
        <v/>
      </c>
      <c r="J1915" s="137" t="inlineStr">
        <is>
          <t>NetSuite</t>
        </is>
      </c>
    </row>
    <row r="1916">
      <c r="A1916" s="5" t="inlineStr">
        <is>
          <t>WB OUTLET LERMA</t>
        </is>
      </c>
      <c r="B1916" s="5">
        <f>IF($I2="","",INDEX(Productos!$A:$A,$I2))</f>
        <v/>
      </c>
      <c r="C1916" s="134" t="inlineStr">
        <is>
          <t>9921500-97-36</t>
        </is>
      </c>
      <c r="D1916" s="5">
        <f>IF($I2="","",INDEX(Productos!$B:$B,$I2))</f>
        <v/>
      </c>
      <c r="E1916" s="5">
        <f>IF($I2="","",INDEX(Productos!$H:$H,$I2))</f>
        <v/>
      </c>
      <c r="F1916" s="5">
        <f>IF($I2="","",INDEX(Productos!$I:$I,$I2))</f>
        <v/>
      </c>
      <c r="G1916" s="135" t="n">
        <v>1</v>
      </c>
      <c r="H1916" s="5">
        <f>IF($I2="","",INDEX(Productos!$AG:$AG,$I2))</f>
        <v/>
      </c>
      <c r="I1916" s="136">
        <f>LET(_xlpm.r,Productos!$E$2:$E$2509,_xlpm.m,IFERROR(_xlfn.XMATCH(C1916,_xlpm.r),IFERROR(_xlfn.XMATCH(VALUE(C1916),_xlpm.r),0)),IF(_xlpm.m=0,"",_xlpm.m+1))</f>
        <v/>
      </c>
      <c r="J1916" s="137" t="inlineStr">
        <is>
          <t>NetSuite</t>
        </is>
      </c>
    </row>
    <row r="1917">
      <c r="A1917" s="5" t="inlineStr">
        <is>
          <t>WB OUTLET LERMA</t>
        </is>
      </c>
      <c r="B1917" s="5">
        <f>IF($I2="","",INDEX(Productos!$A:$A,$I2))</f>
        <v/>
      </c>
      <c r="C1917" s="134" t="inlineStr">
        <is>
          <t>9921500-97-38</t>
        </is>
      </c>
      <c r="D1917" s="5">
        <f>IF($I2="","",INDEX(Productos!$B:$B,$I2))</f>
        <v/>
      </c>
      <c r="E1917" s="5">
        <f>IF($I2="","",INDEX(Productos!$H:$H,$I2))</f>
        <v/>
      </c>
      <c r="F1917" s="5">
        <f>IF($I2="","",INDEX(Productos!$I:$I,$I2))</f>
        <v/>
      </c>
      <c r="G1917" s="135" t="n">
        <v>1</v>
      </c>
      <c r="H1917" s="5">
        <f>IF($I2="","",INDEX(Productos!$AG:$AG,$I2))</f>
        <v/>
      </c>
      <c r="I1917" s="136">
        <f>LET(_xlpm.r,Productos!$E$2:$E$2509,_xlpm.m,IFERROR(_xlfn.XMATCH(C1917,_xlpm.r),IFERROR(_xlfn.XMATCH(VALUE(C1917),_xlpm.r),0)),IF(_xlpm.m=0,"",_xlpm.m+1))</f>
        <v/>
      </c>
      <c r="J1917" s="137" t="inlineStr">
        <is>
          <t>NetSuite</t>
        </is>
      </c>
    </row>
    <row r="1918">
      <c r="A1918" s="5" t="inlineStr">
        <is>
          <t>WB OUTLET LERMA</t>
        </is>
      </c>
      <c r="B1918" s="5">
        <f>IF($I2="","",INDEX(Productos!$A:$A,$I2))</f>
        <v/>
      </c>
      <c r="C1918" s="134" t="inlineStr">
        <is>
          <t>9921500-97-40</t>
        </is>
      </c>
      <c r="D1918" s="5">
        <f>IF($I2="","",INDEX(Productos!$B:$B,$I2))</f>
        <v/>
      </c>
      <c r="E1918" s="5">
        <f>IF($I2="","",INDEX(Productos!$H:$H,$I2))</f>
        <v/>
      </c>
      <c r="F1918" s="5">
        <f>IF($I2="","",INDEX(Productos!$I:$I,$I2))</f>
        <v/>
      </c>
      <c r="G1918" s="135" t="n">
        <v>1</v>
      </c>
      <c r="H1918" s="5">
        <f>IF($I2="","",INDEX(Productos!$AG:$AG,$I2))</f>
        <v/>
      </c>
      <c r="I1918" s="136">
        <f>LET(_xlpm.r,Productos!$E$2:$E$2509,_xlpm.m,IFERROR(_xlfn.XMATCH(C1918,_xlpm.r),IFERROR(_xlfn.XMATCH(VALUE(C1918),_xlpm.r),0)),IF(_xlpm.m=0,"",_xlpm.m+1))</f>
        <v/>
      </c>
      <c r="J1918" s="137" t="inlineStr">
        <is>
          <t>NetSuite</t>
        </is>
      </c>
    </row>
    <row r="1919">
      <c r="A1919" s="5" t="inlineStr">
        <is>
          <t>WB OUTLET LERMA</t>
        </is>
      </c>
      <c r="B1919" s="5">
        <f>IF($I2="","",INDEX(Productos!$A:$A,$I2))</f>
        <v/>
      </c>
      <c r="C1919" s="134" t="inlineStr">
        <is>
          <t>9921500-97-42</t>
        </is>
      </c>
      <c r="D1919" s="5">
        <f>IF($I2="","",INDEX(Productos!$B:$B,$I2))</f>
        <v/>
      </c>
      <c r="E1919" s="5">
        <f>IF($I2="","",INDEX(Productos!$H:$H,$I2))</f>
        <v/>
      </c>
      <c r="F1919" s="5">
        <f>IF($I2="","",INDEX(Productos!$I:$I,$I2))</f>
        <v/>
      </c>
      <c r="G1919" s="135" t="n">
        <v>1</v>
      </c>
      <c r="H1919" s="5">
        <f>IF($I2="","",INDEX(Productos!$AG:$AG,$I2))</f>
        <v/>
      </c>
      <c r="I1919" s="136">
        <f>LET(_xlpm.r,Productos!$E$2:$E$2509,_xlpm.m,IFERROR(_xlfn.XMATCH(C1919,_xlpm.r),IFERROR(_xlfn.XMATCH(VALUE(C1919),_xlpm.r),0)),IF(_xlpm.m=0,"",_xlpm.m+1))</f>
        <v/>
      </c>
      <c r="J1919" s="137" t="inlineStr">
        <is>
          <t>NetSuite</t>
        </is>
      </c>
    </row>
    <row r="1920">
      <c r="A1920" s="5" t="inlineStr">
        <is>
          <t>WB OUTLET LERMA</t>
        </is>
      </c>
      <c r="B1920" s="5">
        <f>IF($I2="","",INDEX(Productos!$A:$A,$I2))</f>
        <v/>
      </c>
      <c r="C1920" s="134" t="inlineStr">
        <is>
          <t>9921500-97-46</t>
        </is>
      </c>
      <c r="D1920" s="5">
        <f>IF($I2="","",INDEX(Productos!$B:$B,$I2))</f>
        <v/>
      </c>
      <c r="E1920" s="5">
        <f>IF($I2="","",INDEX(Productos!$H:$H,$I2))</f>
        <v/>
      </c>
      <c r="F1920" s="5">
        <f>IF($I2="","",INDEX(Productos!$I:$I,$I2))</f>
        <v/>
      </c>
      <c r="G1920" s="135" t="n">
        <v>1</v>
      </c>
      <c r="H1920" s="5">
        <f>IF($I2="","",INDEX(Productos!$AG:$AG,$I2))</f>
        <v/>
      </c>
      <c r="I1920" s="136">
        <f>LET(_xlpm.r,Productos!$E$2:$E$2509,_xlpm.m,IFERROR(_xlfn.XMATCH(C1920,_xlpm.r),IFERROR(_xlfn.XMATCH(VALUE(C1920),_xlpm.r),0)),IF(_xlpm.m=0,"",_xlpm.m+1))</f>
        <v/>
      </c>
      <c r="J1920" s="137" t="inlineStr">
        <is>
          <t>NetSuite</t>
        </is>
      </c>
    </row>
    <row r="1921">
      <c r="A1921" s="5" t="inlineStr">
        <is>
          <t>WB OUTLET LERMA</t>
        </is>
      </c>
      <c r="B1921" s="5">
        <f>IF($I2="","",INDEX(Productos!$A:$A,$I2))</f>
        <v/>
      </c>
      <c r="C1921" s="134" t="inlineStr">
        <is>
          <t>9923500-104-36</t>
        </is>
      </c>
      <c r="D1921" s="5">
        <f>IF($I2="","",INDEX(Productos!$B:$B,$I2))</f>
        <v/>
      </c>
      <c r="E1921" s="5">
        <f>IF($I2="","",INDEX(Productos!$H:$H,$I2))</f>
        <v/>
      </c>
      <c r="F1921" s="5">
        <f>IF($I2="","",INDEX(Productos!$I:$I,$I2))</f>
        <v/>
      </c>
      <c r="G1921" s="135" t="n">
        <v>1</v>
      </c>
      <c r="H1921" s="5">
        <f>IF($I2="","",INDEX(Productos!$AG:$AG,$I2))</f>
        <v/>
      </c>
      <c r="I1921" s="136">
        <f>LET(_xlpm.r,Productos!$E$2:$E$2509,_xlpm.m,IFERROR(_xlfn.XMATCH(C1921,_xlpm.r),IFERROR(_xlfn.XMATCH(VALUE(C1921),_xlpm.r),0)),IF(_xlpm.m=0,"",_xlpm.m+1))</f>
        <v/>
      </c>
      <c r="J1921" s="137" t="inlineStr">
        <is>
          <t>NetSuite</t>
        </is>
      </c>
    </row>
    <row r="1922">
      <c r="A1922" s="5" t="inlineStr">
        <is>
          <t>WB OUTLET LERMA</t>
        </is>
      </c>
      <c r="B1922" s="5">
        <f>IF($I2="","",INDEX(Productos!$A:$A,$I2))</f>
        <v/>
      </c>
      <c r="C1922" s="134" t="inlineStr">
        <is>
          <t>9928500-104-40</t>
        </is>
      </c>
      <c r="D1922" s="5">
        <f>IF($I2="","",INDEX(Productos!$B:$B,$I2))</f>
        <v/>
      </c>
      <c r="E1922" s="5">
        <f>IF($I2="","",INDEX(Productos!$H:$H,$I2))</f>
        <v/>
      </c>
      <c r="F1922" s="5">
        <f>IF($I2="","",INDEX(Productos!$I:$I,$I2))</f>
        <v/>
      </c>
      <c r="G1922" s="135" t="n">
        <v>1</v>
      </c>
      <c r="H1922" s="5">
        <f>IF($I2="","",INDEX(Productos!$AG:$AG,$I2))</f>
        <v/>
      </c>
      <c r="I1922" s="136">
        <f>LET(_xlpm.r,Productos!$E$2:$E$2509,_xlpm.m,IFERROR(_xlfn.XMATCH(C1922,_xlpm.r),IFERROR(_xlfn.XMATCH(VALUE(C1922),_xlpm.r),0)),IF(_xlpm.m=0,"",_xlpm.m+1))</f>
        <v/>
      </c>
      <c r="J1922" s="137" t="inlineStr">
        <is>
          <t>NetSuite</t>
        </is>
      </c>
    </row>
    <row r="1923">
      <c r="A1923" s="5" t="inlineStr">
        <is>
          <t>WB OUTLET LERMA</t>
        </is>
      </c>
      <c r="B1923" s="5">
        <f>IF($I2="","",INDEX(Productos!$A:$A,$I2))</f>
        <v/>
      </c>
      <c r="C1923" s="134" t="inlineStr">
        <is>
          <t>9928500-104-44</t>
        </is>
      </c>
      <c r="D1923" s="5">
        <f>IF($I2="","",INDEX(Productos!$B:$B,$I2))</f>
        <v/>
      </c>
      <c r="E1923" s="5">
        <f>IF($I2="","",INDEX(Productos!$H:$H,$I2))</f>
        <v/>
      </c>
      <c r="F1923" s="5">
        <f>IF($I2="","",INDEX(Productos!$I:$I,$I2))</f>
        <v/>
      </c>
      <c r="G1923" s="135" t="n">
        <v>1</v>
      </c>
      <c r="H1923" s="5">
        <f>IF($I2="","",INDEX(Productos!$AG:$AG,$I2))</f>
        <v/>
      </c>
      <c r="I1923" s="136">
        <f>LET(_xlpm.r,Productos!$E$2:$E$2509,_xlpm.m,IFERROR(_xlfn.XMATCH(C1923,_xlpm.r),IFERROR(_xlfn.XMATCH(VALUE(C1923),_xlpm.r),0)),IF(_xlpm.m=0,"",_xlpm.m+1))</f>
        <v/>
      </c>
      <c r="J1923" s="137" t="inlineStr">
        <is>
          <t>NetSuite</t>
        </is>
      </c>
    </row>
    <row r="1924">
      <c r="A1924" s="5" t="inlineStr">
        <is>
          <t>WB OUTLET LERMA</t>
        </is>
      </c>
      <c r="B1924" s="5">
        <f>IF($I2="","",INDEX(Productos!$A:$A,$I2))</f>
        <v/>
      </c>
      <c r="C1924" s="134" t="inlineStr">
        <is>
          <t>ST-LT-002-FW25-OR-L</t>
        </is>
      </c>
      <c r="D1924" s="5">
        <f>IF($I2="","",INDEX(Productos!$B:$B,$I2))</f>
        <v/>
      </c>
      <c r="E1924" s="5">
        <f>IF($I2="","",INDEX(Productos!$H:$H,$I2))</f>
        <v/>
      </c>
      <c r="F1924" s="5">
        <f>IF($I2="","",INDEX(Productos!$I:$I,$I2))</f>
        <v/>
      </c>
      <c r="G1924" s="135" t="n">
        <v>3</v>
      </c>
      <c r="H1924" s="5">
        <f>IF($I2="","",INDEX(Productos!$AG:$AG,$I2))</f>
        <v/>
      </c>
      <c r="I1924" s="136">
        <f>LET(_xlpm.r,Productos!$E$2:$E$2509,_xlpm.m,IFERROR(_xlfn.XMATCH(C1924,_xlpm.r),IFERROR(_xlfn.XMATCH(VALUE(C1924),_xlpm.r),0)),IF(_xlpm.m=0,"",_xlpm.m+1))</f>
        <v/>
      </c>
      <c r="J1924" s="137" t="inlineStr">
        <is>
          <t>NetSuite</t>
        </is>
      </c>
    </row>
    <row r="1925">
      <c r="A1925" s="5" t="inlineStr">
        <is>
          <t>WB OUTLET LERMA</t>
        </is>
      </c>
      <c r="B1925" s="5">
        <f>IF($I2="","",INDEX(Productos!$A:$A,$I2))</f>
        <v/>
      </c>
      <c r="C1925" s="134" t="inlineStr">
        <is>
          <t>ST-LT-002-FW25-OR-M</t>
        </is>
      </c>
      <c r="D1925" s="5">
        <f>IF($I2="","",INDEX(Productos!$B:$B,$I2))</f>
        <v/>
      </c>
      <c r="E1925" s="5">
        <f>IF($I2="","",INDEX(Productos!$H:$H,$I2))</f>
        <v/>
      </c>
      <c r="F1925" s="5">
        <f>IF($I2="","",INDEX(Productos!$I:$I,$I2))</f>
        <v/>
      </c>
      <c r="G1925" s="135" t="n">
        <v>-1</v>
      </c>
      <c r="H1925" s="5">
        <f>IF($I2="","",INDEX(Productos!$AG:$AG,$I2))</f>
        <v/>
      </c>
      <c r="I1925" s="136">
        <f>LET(_xlpm.r,Productos!$E$2:$E$2509,_xlpm.m,IFERROR(_xlfn.XMATCH(C1925,_xlpm.r),IFERROR(_xlfn.XMATCH(VALUE(C1925),_xlpm.r),0)),IF(_xlpm.m=0,"",_xlpm.m+1))</f>
        <v/>
      </c>
      <c r="J1925" s="137" t="inlineStr">
        <is>
          <t>NetSuite</t>
        </is>
      </c>
    </row>
    <row r="1926">
      <c r="A1926" s="5" t="inlineStr">
        <is>
          <t>WB OUTLET LERMA</t>
        </is>
      </c>
      <c r="B1926" s="5">
        <f>IF($I2="","",INDEX(Productos!$A:$A,$I2))</f>
        <v/>
      </c>
      <c r="C1926" s="134" t="inlineStr">
        <is>
          <t>ST-LT-002-FW25-OR-XL</t>
        </is>
      </c>
      <c r="D1926" s="5">
        <f>IF($I2="","",INDEX(Productos!$B:$B,$I2))</f>
        <v/>
      </c>
      <c r="E1926" s="5">
        <f>IF($I2="","",INDEX(Productos!$H:$H,$I2))</f>
        <v/>
      </c>
      <c r="F1926" s="5">
        <f>IF($I2="","",INDEX(Productos!$I:$I,$I2))</f>
        <v/>
      </c>
      <c r="G1926" s="135" t="n">
        <v>2</v>
      </c>
      <c r="H1926" s="5">
        <f>IF($I2="","",INDEX(Productos!$AG:$AG,$I2))</f>
        <v/>
      </c>
      <c r="I1926" s="136">
        <f>LET(_xlpm.r,Productos!$E$2:$E$2509,_xlpm.m,IFERROR(_xlfn.XMATCH(C1926,_xlpm.r),IFERROR(_xlfn.XMATCH(VALUE(C1926),_xlpm.r),0)),IF(_xlpm.m=0,"",_xlpm.m+1))</f>
        <v/>
      </c>
      <c r="J1926" s="137" t="inlineStr">
        <is>
          <t>NetSuite</t>
        </is>
      </c>
    </row>
    <row r="1927">
      <c r="A1927" s="5" t="inlineStr">
        <is>
          <t>WB OUTLET LERMA</t>
        </is>
      </c>
      <c r="B1927" s="5">
        <f>IF($I2="","",INDEX(Productos!$A:$A,$I2))</f>
        <v/>
      </c>
      <c r="C1927" s="134" t="inlineStr">
        <is>
          <t>ST-LT-003-FW25-PN-L</t>
        </is>
      </c>
      <c r="D1927" s="5">
        <f>IF($I2="","",INDEX(Productos!$B:$B,$I2))</f>
        <v/>
      </c>
      <c r="E1927" s="5">
        <f>IF($I2="","",INDEX(Productos!$H:$H,$I2))</f>
        <v/>
      </c>
      <c r="F1927" s="5">
        <f>IF($I2="","",INDEX(Productos!$I:$I,$I2))</f>
        <v/>
      </c>
      <c r="G1927" s="135" t="n">
        <v>2</v>
      </c>
      <c r="H1927" s="5">
        <f>IF($I2="","",INDEX(Productos!$AG:$AG,$I2))</f>
        <v/>
      </c>
      <c r="I1927" s="136">
        <f>LET(_xlpm.r,Productos!$E$2:$E$2509,_xlpm.m,IFERROR(_xlfn.XMATCH(C1927,_xlpm.r),IFERROR(_xlfn.XMATCH(VALUE(C1927),_xlpm.r),0)),IF(_xlpm.m=0,"",_xlpm.m+1))</f>
        <v/>
      </c>
      <c r="J1927" s="137" t="inlineStr">
        <is>
          <t>NetSuite</t>
        </is>
      </c>
    </row>
    <row r="1928">
      <c r="A1928" s="5" t="inlineStr">
        <is>
          <t>WB OUTLET LERMA</t>
        </is>
      </c>
      <c r="B1928" s="5">
        <f>IF($I2="","",INDEX(Productos!$A:$A,$I2))</f>
        <v/>
      </c>
      <c r="C1928" s="134" t="inlineStr">
        <is>
          <t>ST-LT-003-FW25-PN-M</t>
        </is>
      </c>
      <c r="D1928" s="5">
        <f>IF($I2="","",INDEX(Productos!$B:$B,$I2))</f>
        <v/>
      </c>
      <c r="E1928" s="5">
        <f>IF($I2="","",INDEX(Productos!$H:$H,$I2))</f>
        <v/>
      </c>
      <c r="F1928" s="5">
        <f>IF($I2="","",INDEX(Productos!$I:$I,$I2))</f>
        <v/>
      </c>
      <c r="G1928" s="135" t="n">
        <v>-1</v>
      </c>
      <c r="H1928" s="5">
        <f>IF($I2="","",INDEX(Productos!$AG:$AG,$I2))</f>
        <v/>
      </c>
      <c r="I1928" s="136">
        <f>LET(_xlpm.r,Productos!$E$2:$E$2509,_xlpm.m,IFERROR(_xlfn.XMATCH(C1928,_xlpm.r),IFERROR(_xlfn.XMATCH(VALUE(C1928),_xlpm.r),0)),IF(_xlpm.m=0,"",_xlpm.m+1))</f>
        <v/>
      </c>
      <c r="J1928" s="137" t="inlineStr">
        <is>
          <t>NetSuite</t>
        </is>
      </c>
    </row>
    <row r="1929">
      <c r="A1929" s="5" t="inlineStr">
        <is>
          <t>WB OUTLET LERMA</t>
        </is>
      </c>
      <c r="B1929" s="5">
        <f>IF($I2="","",INDEX(Productos!$A:$A,$I2))</f>
        <v/>
      </c>
      <c r="C1929" s="134" t="inlineStr">
        <is>
          <t>ST-LT-003-FW25-PN-XL</t>
        </is>
      </c>
      <c r="D1929" s="5">
        <f>IF($I2="","",INDEX(Productos!$B:$B,$I2))</f>
        <v/>
      </c>
      <c r="E1929" s="5">
        <f>IF($I2="","",INDEX(Productos!$H:$H,$I2))</f>
        <v/>
      </c>
      <c r="F1929" s="5">
        <f>IF($I2="","",INDEX(Productos!$I:$I,$I2))</f>
        <v/>
      </c>
      <c r="G1929" s="135" t="n">
        <v>1</v>
      </c>
      <c r="H1929" s="5">
        <f>IF($I2="","",INDEX(Productos!$AG:$AG,$I2))</f>
        <v/>
      </c>
      <c r="I1929" s="136">
        <f>LET(_xlpm.r,Productos!$E$2:$E$2509,_xlpm.m,IFERROR(_xlfn.XMATCH(C1929,_xlpm.r),IFERROR(_xlfn.XMATCH(VALUE(C1929),_xlpm.r),0)),IF(_xlpm.m=0,"",_xlpm.m+1))</f>
        <v/>
      </c>
      <c r="J1929" s="137" t="inlineStr">
        <is>
          <t>NetSuite</t>
        </is>
      </c>
    </row>
    <row r="1930">
      <c r="A1930" s="5" t="inlineStr">
        <is>
          <t>WB OUTLET LERMA</t>
        </is>
      </c>
      <c r="B1930" s="5">
        <f>IF($I2="","",INDEX(Productos!$A:$A,$I2))</f>
        <v/>
      </c>
      <c r="C1930" s="134" t="inlineStr">
        <is>
          <t>ST-LT-004-FW25-TR-L</t>
        </is>
      </c>
      <c r="D1930" s="5">
        <f>IF($I2="","",INDEX(Productos!$B:$B,$I2))</f>
        <v/>
      </c>
      <c r="E1930" s="5">
        <f>IF($I2="","",INDEX(Productos!$H:$H,$I2))</f>
        <v/>
      </c>
      <c r="F1930" s="5">
        <f>IF($I2="","",INDEX(Productos!$I:$I,$I2))</f>
        <v/>
      </c>
      <c r="G1930" s="135" t="n">
        <v>-2</v>
      </c>
      <c r="H1930" s="5">
        <f>IF($I2="","",INDEX(Productos!$AG:$AG,$I2))</f>
        <v/>
      </c>
      <c r="I1930" s="136">
        <f>LET(_xlpm.r,Productos!$E$2:$E$2509,_xlpm.m,IFERROR(_xlfn.XMATCH(C1930,_xlpm.r),IFERROR(_xlfn.XMATCH(VALUE(C1930),_xlpm.r),0)),IF(_xlpm.m=0,"",_xlpm.m+1))</f>
        <v/>
      </c>
      <c r="J1930" s="137" t="inlineStr">
        <is>
          <t>NetSuite</t>
        </is>
      </c>
    </row>
    <row r="1931">
      <c r="A1931" s="5" t="inlineStr">
        <is>
          <t>WB OUTLET LERMA</t>
        </is>
      </c>
      <c r="B1931" s="5">
        <f>IF($I2="","",INDEX(Productos!$A:$A,$I2))</f>
        <v/>
      </c>
      <c r="C1931" s="134" t="inlineStr">
        <is>
          <t>ST-LT-004-FW25-TR-M</t>
        </is>
      </c>
      <c r="D1931" s="5">
        <f>IF($I2="","",INDEX(Productos!$B:$B,$I2))</f>
        <v/>
      </c>
      <c r="E1931" s="5">
        <f>IF($I2="","",INDEX(Productos!$H:$H,$I2))</f>
        <v/>
      </c>
      <c r="F1931" s="5">
        <f>IF($I2="","",INDEX(Productos!$I:$I,$I2))</f>
        <v/>
      </c>
      <c r="G1931" s="135" t="n">
        <v>-1</v>
      </c>
      <c r="H1931" s="5">
        <f>IF($I2="","",INDEX(Productos!$AG:$AG,$I2))</f>
        <v/>
      </c>
      <c r="I1931" s="136">
        <f>LET(_xlpm.r,Productos!$E$2:$E$2509,_xlpm.m,IFERROR(_xlfn.XMATCH(C1931,_xlpm.r),IFERROR(_xlfn.XMATCH(VALUE(C1931),_xlpm.r),0)),IF(_xlpm.m=0,"",_xlpm.m+1))</f>
        <v/>
      </c>
      <c r="J1931" s="137" t="inlineStr">
        <is>
          <t>NetSuite</t>
        </is>
      </c>
    </row>
    <row r="1932">
      <c r="A1932" s="5" t="inlineStr">
        <is>
          <t>WB OUTLET LERMA</t>
        </is>
      </c>
      <c r="B1932" s="5">
        <f>IF($I2="","",INDEX(Productos!$A:$A,$I2))</f>
        <v/>
      </c>
      <c r="C1932" s="134" t="inlineStr">
        <is>
          <t>ST-LT-004-FW25-TR-S</t>
        </is>
      </c>
      <c r="D1932" s="5">
        <f>IF($I2="","",INDEX(Productos!$B:$B,$I2))</f>
        <v/>
      </c>
      <c r="E1932" s="5">
        <f>IF($I2="","",INDEX(Productos!$H:$H,$I2))</f>
        <v/>
      </c>
      <c r="F1932" s="5">
        <f>IF($I2="","",INDEX(Productos!$I:$I,$I2))</f>
        <v/>
      </c>
      <c r="G1932" s="135" t="n">
        <v>-1</v>
      </c>
      <c r="H1932" s="5">
        <f>IF($I2="","",INDEX(Productos!$AG:$AG,$I2))</f>
        <v/>
      </c>
      <c r="I1932" s="136">
        <f>LET(_xlpm.r,Productos!$E$2:$E$2509,_xlpm.m,IFERROR(_xlfn.XMATCH(C1932,_xlpm.r),IFERROR(_xlfn.XMATCH(VALUE(C1932),_xlpm.r),0)),IF(_xlpm.m=0,"",_xlpm.m+1))</f>
        <v/>
      </c>
      <c r="J1932" s="137" t="inlineStr">
        <is>
          <t>NetSuite</t>
        </is>
      </c>
    </row>
    <row r="1933">
      <c r="A1933" s="5" t="inlineStr">
        <is>
          <t>WB OUTLET LERMA</t>
        </is>
      </c>
      <c r="B1933" s="5">
        <f>IF($I2="","",INDEX(Productos!$A:$A,$I2))</f>
        <v/>
      </c>
      <c r="C1933" s="134" t="inlineStr">
        <is>
          <t>ST-TI-001-FW25-TC-L</t>
        </is>
      </c>
      <c r="D1933" s="5">
        <f>IF($I2="","",INDEX(Productos!$B:$B,$I2))</f>
        <v/>
      </c>
      <c r="E1933" s="5">
        <f>IF($I2="","",INDEX(Productos!$H:$H,$I2))</f>
        <v/>
      </c>
      <c r="F1933" s="5">
        <f>IF($I2="","",INDEX(Productos!$I:$I,$I2))</f>
        <v/>
      </c>
      <c r="G1933" s="135" t="n">
        <v>4</v>
      </c>
      <c r="H1933" s="5">
        <f>IF($I2="","",INDEX(Productos!$AG:$AG,$I2))</f>
        <v/>
      </c>
      <c r="I1933" s="136">
        <f>LET(_xlpm.r,Productos!$E$2:$E$2509,_xlpm.m,IFERROR(_xlfn.XMATCH(C1933,_xlpm.r),IFERROR(_xlfn.XMATCH(VALUE(C1933),_xlpm.r),0)),IF(_xlpm.m=0,"",_xlpm.m+1))</f>
        <v/>
      </c>
      <c r="J1933" s="137" t="inlineStr">
        <is>
          <t>NetSuite</t>
        </is>
      </c>
    </row>
    <row r="1934">
      <c r="A1934" s="5" t="inlineStr">
        <is>
          <t>WB OUTLET LERMA</t>
        </is>
      </c>
      <c r="B1934" s="5">
        <f>IF($I2="","",INDEX(Productos!$A:$A,$I2))</f>
        <v/>
      </c>
      <c r="C1934" s="134" t="inlineStr">
        <is>
          <t>ST-TI-001-FW25-TC-XL</t>
        </is>
      </c>
      <c r="D1934" s="5">
        <f>IF($I2="","",INDEX(Productos!$B:$B,$I2))</f>
        <v/>
      </c>
      <c r="E1934" s="5">
        <f>IF($I2="","",INDEX(Productos!$H:$H,$I2))</f>
        <v/>
      </c>
      <c r="F1934" s="5">
        <f>IF($I2="","",INDEX(Productos!$I:$I,$I2))</f>
        <v/>
      </c>
      <c r="G1934" s="135" t="n">
        <v>3</v>
      </c>
      <c r="H1934" s="5">
        <f>IF($I2="","",INDEX(Productos!$AG:$AG,$I2))</f>
        <v/>
      </c>
      <c r="I1934" s="136">
        <f>LET(_xlpm.r,Productos!$E$2:$E$2509,_xlpm.m,IFERROR(_xlfn.XMATCH(C1934,_xlpm.r),IFERROR(_xlfn.XMATCH(VALUE(C1934),_xlpm.r),0)),IF(_xlpm.m=0,"",_xlpm.m+1))</f>
        <v/>
      </c>
      <c r="J1934" s="137" t="inlineStr">
        <is>
          <t>NetSuite</t>
        </is>
      </c>
    </row>
    <row r="1935">
      <c r="A1935" s="5" t="inlineStr">
        <is>
          <t>WB OUTLET LERMA</t>
        </is>
      </c>
      <c r="B1935" s="5">
        <f>IF($I2="","",INDEX(Productos!$A:$A,$I2))</f>
        <v/>
      </c>
      <c r="C1935" s="134" t="inlineStr">
        <is>
          <t>ST-TI-002-FW25-AF-L</t>
        </is>
      </c>
      <c r="D1935" s="5">
        <f>IF($I2="","",INDEX(Productos!$B:$B,$I2))</f>
        <v/>
      </c>
      <c r="E1935" s="5">
        <f>IF($I2="","",INDEX(Productos!$H:$H,$I2))</f>
        <v/>
      </c>
      <c r="F1935" s="5">
        <f>IF($I2="","",INDEX(Productos!$I:$I,$I2))</f>
        <v/>
      </c>
      <c r="G1935" s="135" t="n">
        <v>1</v>
      </c>
      <c r="H1935" s="5">
        <f>IF($I2="","",INDEX(Productos!$AG:$AG,$I2))</f>
        <v/>
      </c>
      <c r="I1935" s="136">
        <f>LET(_xlpm.r,Productos!$E$2:$E$2509,_xlpm.m,IFERROR(_xlfn.XMATCH(C1935,_xlpm.r),IFERROR(_xlfn.XMATCH(VALUE(C1935),_xlpm.r),0)),IF(_xlpm.m=0,"",_xlpm.m+1))</f>
        <v/>
      </c>
      <c r="J1935" s="137" t="inlineStr">
        <is>
          <t>NetSuite</t>
        </is>
      </c>
    </row>
    <row r="1936">
      <c r="A1936" s="5" t="inlineStr">
        <is>
          <t>WB OUTLET LERMA</t>
        </is>
      </c>
      <c r="B1936" s="5">
        <f>IF($I2="","",INDEX(Productos!$A:$A,$I2))</f>
        <v/>
      </c>
      <c r="C1936" s="134" t="inlineStr">
        <is>
          <t>ST-TI-002-FW25-AF-M</t>
        </is>
      </c>
      <c r="D1936" s="5">
        <f>IF($I2="","",INDEX(Productos!$B:$B,$I2))</f>
        <v/>
      </c>
      <c r="E1936" s="5">
        <f>IF($I2="","",INDEX(Productos!$H:$H,$I2))</f>
        <v/>
      </c>
      <c r="F1936" s="5">
        <f>IF($I2="","",INDEX(Productos!$I:$I,$I2))</f>
        <v/>
      </c>
      <c r="G1936" s="135" t="n">
        <v>-2</v>
      </c>
      <c r="H1936" s="5">
        <f>IF($I2="","",INDEX(Productos!$AG:$AG,$I2))</f>
        <v/>
      </c>
      <c r="I1936" s="136">
        <f>LET(_xlpm.r,Productos!$E$2:$E$2509,_xlpm.m,IFERROR(_xlfn.XMATCH(C1936,_xlpm.r),IFERROR(_xlfn.XMATCH(VALUE(C1936),_xlpm.r),0)),IF(_xlpm.m=0,"",_xlpm.m+1))</f>
        <v/>
      </c>
      <c r="J1936" s="137" t="inlineStr">
        <is>
          <t>NetSuite</t>
        </is>
      </c>
    </row>
    <row r="1937">
      <c r="A1937" s="5" t="inlineStr">
        <is>
          <t>WB OUTLET LERMA</t>
        </is>
      </c>
      <c r="B1937" s="5">
        <f>IF($I2="","",INDEX(Productos!$A:$A,$I2))</f>
        <v/>
      </c>
      <c r="C1937" s="134" t="inlineStr">
        <is>
          <t>ST-TI-002-FW25-AF-S</t>
        </is>
      </c>
      <c r="D1937" s="5">
        <f>IF($I2="","",INDEX(Productos!$B:$B,$I2))</f>
        <v/>
      </c>
      <c r="E1937" s="5">
        <f>IF($I2="","",INDEX(Productos!$H:$H,$I2))</f>
        <v/>
      </c>
      <c r="F1937" s="5">
        <f>IF($I2="","",INDEX(Productos!$I:$I,$I2))</f>
        <v/>
      </c>
      <c r="G1937" s="135" t="n">
        <v>-1</v>
      </c>
      <c r="H1937" s="5">
        <f>IF($I2="","",INDEX(Productos!$AG:$AG,$I2))</f>
        <v/>
      </c>
      <c r="I1937" s="136">
        <f>LET(_xlpm.r,Productos!$E$2:$E$2509,_xlpm.m,IFERROR(_xlfn.XMATCH(C1937,_xlpm.r),IFERROR(_xlfn.XMATCH(VALUE(C1937),_xlpm.r),0)),IF(_xlpm.m=0,"",_xlpm.m+1))</f>
        <v/>
      </c>
      <c r="J1937" s="137" t="inlineStr">
        <is>
          <t>NetSuite</t>
        </is>
      </c>
    </row>
    <row r="1938">
      <c r="A1938" s="5" t="inlineStr">
        <is>
          <t>WB OUTLET LERMA</t>
        </is>
      </c>
      <c r="B1938" s="5">
        <f>IF($I2="","",INDEX(Productos!$A:$A,$I2))</f>
        <v/>
      </c>
      <c r="C1938" s="134" t="inlineStr">
        <is>
          <t>ST-TI-002-FW25-AF-XL</t>
        </is>
      </c>
      <c r="D1938" s="5">
        <f>IF($I2="","",INDEX(Productos!$B:$B,$I2))</f>
        <v/>
      </c>
      <c r="E1938" s="5">
        <f>IF($I2="","",INDEX(Productos!$H:$H,$I2))</f>
        <v/>
      </c>
      <c r="F1938" s="5">
        <f>IF($I2="","",INDEX(Productos!$I:$I,$I2))</f>
        <v/>
      </c>
      <c r="G1938" s="135" t="n">
        <v>1</v>
      </c>
      <c r="H1938" s="5">
        <f>IF($I2="","",INDEX(Productos!$AG:$AG,$I2))</f>
        <v/>
      </c>
      <c r="I1938" s="136">
        <f>LET(_xlpm.r,Productos!$E$2:$E$2509,_xlpm.m,IFERROR(_xlfn.XMATCH(C1938,_xlpm.r),IFERROR(_xlfn.XMATCH(VALUE(C1938),_xlpm.r),0)),IF(_xlpm.m=0,"",_xlpm.m+1))</f>
        <v/>
      </c>
      <c r="J1938" s="137" t="inlineStr">
        <is>
          <t>NetSuite</t>
        </is>
      </c>
    </row>
    <row r="1939">
      <c r="A1939" s="5" t="inlineStr">
        <is>
          <t>WB OUTLET LERMA</t>
        </is>
      </c>
      <c r="B1939" s="5">
        <f>IF($I2="","",INDEX(Productos!$A:$A,$I2))</f>
        <v/>
      </c>
      <c r="C1939" s="134" t="inlineStr">
        <is>
          <t>ST-TI-003-FW25-OR-M</t>
        </is>
      </c>
      <c r="D1939" s="5">
        <f>IF($I2="","",INDEX(Productos!$B:$B,$I2))</f>
        <v/>
      </c>
      <c r="E1939" s="5">
        <f>IF($I2="","",INDEX(Productos!$H:$H,$I2))</f>
        <v/>
      </c>
      <c r="F1939" s="5">
        <f>IF($I2="","",INDEX(Productos!$I:$I,$I2))</f>
        <v/>
      </c>
      <c r="G1939" s="135" t="n">
        <v>-2</v>
      </c>
      <c r="H1939" s="5">
        <f>IF($I2="","",INDEX(Productos!$AG:$AG,$I2))</f>
        <v/>
      </c>
      <c r="I1939" s="136">
        <f>LET(_xlpm.r,Productos!$E$2:$E$2509,_xlpm.m,IFERROR(_xlfn.XMATCH(C1939,_xlpm.r),IFERROR(_xlfn.XMATCH(VALUE(C1939),_xlpm.r),0)),IF(_xlpm.m=0,"",_xlpm.m+1))</f>
        <v/>
      </c>
      <c r="J1939" s="137" t="inlineStr">
        <is>
          <t>NetSuite</t>
        </is>
      </c>
    </row>
    <row r="1940">
      <c r="A1940" s="5" t="inlineStr">
        <is>
          <t>WB OUTLET LERMA</t>
        </is>
      </c>
      <c r="B1940" s="5">
        <f>IF($I2="","",INDEX(Productos!$A:$A,$I2))</f>
        <v/>
      </c>
      <c r="C1940" s="134" t="inlineStr">
        <is>
          <t>ST-VR-P-001-FW25-HE-L</t>
        </is>
      </c>
      <c r="D1940" s="5">
        <f>IF($I2="","",INDEX(Productos!$B:$B,$I2))</f>
        <v/>
      </c>
      <c r="E1940" s="5">
        <f>IF($I2="","",INDEX(Productos!$H:$H,$I2))</f>
        <v/>
      </c>
      <c r="F1940" s="5">
        <f>IF($I2="","",INDEX(Productos!$I:$I,$I2))</f>
        <v/>
      </c>
      <c r="G1940" s="135" t="n">
        <v>2</v>
      </c>
      <c r="H1940" s="5">
        <f>IF($I2="","",INDEX(Productos!$AG:$AG,$I2))</f>
        <v/>
      </c>
      <c r="I1940" s="136">
        <f>LET(_xlpm.r,Productos!$E$2:$E$2509,_xlpm.m,IFERROR(_xlfn.XMATCH(C1940,_xlpm.r),IFERROR(_xlfn.XMATCH(VALUE(C1940),_xlpm.r),0)),IF(_xlpm.m=0,"",_xlpm.m+1))</f>
        <v/>
      </c>
      <c r="J1940" s="137" t="inlineStr">
        <is>
          <t>NetSuite</t>
        </is>
      </c>
    </row>
    <row r="1941">
      <c r="A1941" s="5" t="inlineStr">
        <is>
          <t>WB OUTLET LERMA</t>
        </is>
      </c>
      <c r="B1941" s="5">
        <f>IF($I2="","",INDEX(Productos!$A:$A,$I2))</f>
        <v/>
      </c>
      <c r="C1941" s="134" t="inlineStr">
        <is>
          <t>ST-VR-P-001-FW25-HE-S</t>
        </is>
      </c>
      <c r="D1941" s="5">
        <f>IF($I2="","",INDEX(Productos!$B:$B,$I2))</f>
        <v/>
      </c>
      <c r="E1941" s="5">
        <f>IF($I2="","",INDEX(Productos!$H:$H,$I2))</f>
        <v/>
      </c>
      <c r="F1941" s="5">
        <f>IF($I2="","",INDEX(Productos!$I:$I,$I2))</f>
        <v/>
      </c>
      <c r="G1941" s="135" t="n">
        <v>1</v>
      </c>
      <c r="H1941" s="5">
        <f>IF($I2="","",INDEX(Productos!$AG:$AG,$I2))</f>
        <v/>
      </c>
      <c r="I1941" s="136">
        <f>LET(_xlpm.r,Productos!$E$2:$E$2509,_xlpm.m,IFERROR(_xlfn.XMATCH(C1941,_xlpm.r),IFERROR(_xlfn.XMATCH(VALUE(C1941),_xlpm.r),0)),IF(_xlpm.m=0,"",_xlpm.m+1))</f>
        <v/>
      </c>
      <c r="J1941" s="137" t="inlineStr">
        <is>
          <t>NetSuite</t>
        </is>
      </c>
    </row>
    <row r="1942">
      <c r="A1942" s="5" t="inlineStr">
        <is>
          <t>WB OUTLET LERMA</t>
        </is>
      </c>
      <c r="B1942" s="5">
        <f>IF($I2="","",INDEX(Productos!$A:$A,$I2))</f>
        <v/>
      </c>
      <c r="C1942" s="134" t="inlineStr">
        <is>
          <t>ST-VR-P-007-FW25-SB-L</t>
        </is>
      </c>
      <c r="D1942" s="5">
        <f>IF($I2="","",INDEX(Productos!$B:$B,$I2))</f>
        <v/>
      </c>
      <c r="E1942" s="5">
        <f>IF($I2="","",INDEX(Productos!$H:$H,$I2))</f>
        <v/>
      </c>
      <c r="F1942" s="5">
        <f>IF($I2="","",INDEX(Productos!$I:$I,$I2))</f>
        <v/>
      </c>
      <c r="G1942" s="135" t="n">
        <v>-1</v>
      </c>
      <c r="H1942" s="5">
        <f>IF($I2="","",INDEX(Productos!$AG:$AG,$I2))</f>
        <v/>
      </c>
      <c r="I1942" s="136">
        <f>LET(_xlpm.r,Productos!$E$2:$E$2509,_xlpm.m,IFERROR(_xlfn.XMATCH(C1942,_xlpm.r),IFERROR(_xlfn.XMATCH(VALUE(C1942),_xlpm.r),0)),IF(_xlpm.m=0,"",_xlpm.m+1))</f>
        <v/>
      </c>
      <c r="J1942" s="137" t="inlineStr">
        <is>
          <t>NetSuite</t>
        </is>
      </c>
    </row>
    <row r="1943">
      <c r="A1943" s="5" t="inlineStr">
        <is>
          <t>WB OUTLET LERMA</t>
        </is>
      </c>
      <c r="B1943" s="5">
        <f>IF($I2="","",INDEX(Productos!$A:$A,$I2))</f>
        <v/>
      </c>
      <c r="C1943" s="134" t="inlineStr">
        <is>
          <t>ST-VR-P-007-FW25-SB-M</t>
        </is>
      </c>
      <c r="D1943" s="5">
        <f>IF($I2="","",INDEX(Productos!$B:$B,$I2))</f>
        <v/>
      </c>
      <c r="E1943" s="5">
        <f>IF($I2="","",INDEX(Productos!$H:$H,$I2))</f>
        <v/>
      </c>
      <c r="F1943" s="5">
        <f>IF($I2="","",INDEX(Productos!$I:$I,$I2))</f>
        <v/>
      </c>
      <c r="G1943" s="135" t="n">
        <v>-1</v>
      </c>
      <c r="H1943" s="5">
        <f>IF($I2="","",INDEX(Productos!$AG:$AG,$I2))</f>
        <v/>
      </c>
      <c r="I1943" s="136">
        <f>LET(_xlpm.r,Productos!$E$2:$E$2509,_xlpm.m,IFERROR(_xlfn.XMATCH(C1943,_xlpm.r),IFERROR(_xlfn.XMATCH(VALUE(C1943),_xlpm.r),0)),IF(_xlpm.m=0,"",_xlpm.m+1))</f>
        <v/>
      </c>
      <c r="J1943" s="137" t="inlineStr">
        <is>
          <t>NetSuite</t>
        </is>
      </c>
    </row>
    <row r="1944">
      <c r="A1944" s="5" t="inlineStr">
        <is>
          <t>WB OUTLET LERMA</t>
        </is>
      </c>
      <c r="B1944" s="5">
        <f>IF($I2="","",INDEX(Productos!$A:$A,$I2))</f>
        <v/>
      </c>
      <c r="C1944" s="134" t="inlineStr">
        <is>
          <t>ST-VR-P-007-FW25-SB-S</t>
        </is>
      </c>
      <c r="D1944" s="5">
        <f>IF($I2="","",INDEX(Productos!$B:$B,$I2))</f>
        <v/>
      </c>
      <c r="E1944" s="5">
        <f>IF($I2="","",INDEX(Productos!$H:$H,$I2))</f>
        <v/>
      </c>
      <c r="F1944" s="5">
        <f>IF($I2="","",INDEX(Productos!$I:$I,$I2))</f>
        <v/>
      </c>
      <c r="G1944" s="135" t="n">
        <v>1</v>
      </c>
      <c r="H1944" s="5">
        <f>IF($I2="","",INDEX(Productos!$AG:$AG,$I2))</f>
        <v/>
      </c>
      <c r="I1944" s="136">
        <f>LET(_xlpm.r,Productos!$E$2:$E$2509,_xlpm.m,IFERROR(_xlfn.XMATCH(C1944,_xlpm.r),IFERROR(_xlfn.XMATCH(VALUE(C1944),_xlpm.r),0)),IF(_xlpm.m=0,"",_xlpm.m+1))</f>
        <v/>
      </c>
      <c r="J1944" s="137" t="inlineStr">
        <is>
          <t>NetSuite</t>
        </is>
      </c>
    </row>
    <row r="1945">
      <c r="A1945" s="5" t="inlineStr">
        <is>
          <t>WB OUTLET LERMA</t>
        </is>
      </c>
      <c r="B1945" s="5">
        <f>IF($I2="","",INDEX(Productos!$A:$A,$I2))</f>
        <v/>
      </c>
      <c r="C1945" s="134" t="inlineStr">
        <is>
          <t>ST-VR-P-007-FW25-SB-XL</t>
        </is>
      </c>
      <c r="D1945" s="5">
        <f>IF($I2="","",INDEX(Productos!$B:$B,$I2))</f>
        <v/>
      </c>
      <c r="E1945" s="5">
        <f>IF($I2="","",INDEX(Productos!$H:$H,$I2))</f>
        <v/>
      </c>
      <c r="F1945" s="5">
        <f>IF($I2="","",INDEX(Productos!$I:$I,$I2))</f>
        <v/>
      </c>
      <c r="G1945" s="135" t="n">
        <v>2</v>
      </c>
      <c r="H1945" s="5">
        <f>IF($I2="","",INDEX(Productos!$AG:$AG,$I2))</f>
        <v/>
      </c>
      <c r="I1945" s="136">
        <f>LET(_xlpm.r,Productos!$E$2:$E$2509,_xlpm.m,IFERROR(_xlfn.XMATCH(C1945,_xlpm.r),IFERROR(_xlfn.XMATCH(VALUE(C1945),_xlpm.r),0)),IF(_xlpm.m=0,"",_xlpm.m+1))</f>
        <v/>
      </c>
      <c r="J1945" s="137" t="inlineStr">
        <is>
          <t>NetSuite</t>
        </is>
      </c>
    </row>
    <row r="1946">
      <c r="A1946" s="5" t="inlineStr">
        <is>
          <t>WB OUTLET LERMA</t>
        </is>
      </c>
      <c r="B1946" s="5">
        <f>IF($I2="","",INDEX(Productos!$A:$A,$I2))</f>
        <v/>
      </c>
      <c r="C1946" s="134" t="inlineStr">
        <is>
          <t>ST-VR-P-008-FW25-FN-L</t>
        </is>
      </c>
      <c r="D1946" s="5">
        <f>IF($I2="","",INDEX(Productos!$B:$B,$I2))</f>
        <v/>
      </c>
      <c r="E1946" s="5">
        <f>IF($I2="","",INDEX(Productos!$H:$H,$I2))</f>
        <v/>
      </c>
      <c r="F1946" s="5">
        <f>IF($I2="","",INDEX(Productos!$I:$I,$I2))</f>
        <v/>
      </c>
      <c r="G1946" s="135" t="n">
        <v>4</v>
      </c>
      <c r="H1946" s="5">
        <f>IF($I2="","",INDEX(Productos!$AG:$AG,$I2))</f>
        <v/>
      </c>
      <c r="I1946" s="136">
        <f>LET(_xlpm.r,Productos!$E$2:$E$2509,_xlpm.m,IFERROR(_xlfn.XMATCH(C1946,_xlpm.r),IFERROR(_xlfn.XMATCH(VALUE(C1946),_xlpm.r),0)),IF(_xlpm.m=0,"",_xlpm.m+1))</f>
        <v/>
      </c>
      <c r="J1946" s="137" t="inlineStr">
        <is>
          <t>NetSuite</t>
        </is>
      </c>
    </row>
    <row r="1947">
      <c r="A1947" s="5" t="inlineStr">
        <is>
          <t>WB OUTLET LERMA</t>
        </is>
      </c>
      <c r="B1947" s="5">
        <f>IF($I2="","",INDEX(Productos!$A:$A,$I2))</f>
        <v/>
      </c>
      <c r="C1947" s="134" t="inlineStr">
        <is>
          <t>ST-VR-P-011-FW25-TSAG-L</t>
        </is>
      </c>
      <c r="D1947" s="5">
        <f>IF($I2="","",INDEX(Productos!$B:$B,$I2))</f>
        <v/>
      </c>
      <c r="E1947" s="5">
        <f>IF($I2="","",INDEX(Productos!$H:$H,$I2))</f>
        <v/>
      </c>
      <c r="F1947" s="5">
        <f>IF($I2="","",INDEX(Productos!$I:$I,$I2))</f>
        <v/>
      </c>
      <c r="G1947" s="135" t="n">
        <v>4</v>
      </c>
      <c r="H1947" s="5">
        <f>IF($I2="","",INDEX(Productos!$AG:$AG,$I2))</f>
        <v/>
      </c>
      <c r="I1947" s="136">
        <f>LET(_xlpm.r,Productos!$E$2:$E$2509,_xlpm.m,IFERROR(_xlfn.XMATCH(C1947,_xlpm.r),IFERROR(_xlfn.XMATCH(VALUE(C1947),_xlpm.r),0)),IF(_xlpm.m=0,"",_xlpm.m+1))</f>
        <v/>
      </c>
      <c r="J1947" s="137" t="inlineStr">
        <is>
          <t>NetSuite</t>
        </is>
      </c>
    </row>
    <row r="1948">
      <c r="A1948" s="5" t="inlineStr">
        <is>
          <t>WB OUTLET LERMA</t>
        </is>
      </c>
      <c r="B1948" s="5">
        <f>IF($I2="","",INDEX(Productos!$A:$A,$I2))</f>
        <v/>
      </c>
      <c r="C1948" s="134" t="inlineStr">
        <is>
          <t>ST-VR-P-011-FW25-TSAG-M</t>
        </is>
      </c>
      <c r="D1948" s="5">
        <f>IF($I2="","",INDEX(Productos!$B:$B,$I2))</f>
        <v/>
      </c>
      <c r="E1948" s="5">
        <f>IF($I2="","",INDEX(Productos!$H:$H,$I2))</f>
        <v/>
      </c>
      <c r="F1948" s="5">
        <f>IF($I2="","",INDEX(Productos!$I:$I,$I2))</f>
        <v/>
      </c>
      <c r="G1948" s="135" t="n">
        <v>1</v>
      </c>
      <c r="H1948" s="5">
        <f>IF($I2="","",INDEX(Productos!$AG:$AG,$I2))</f>
        <v/>
      </c>
      <c r="I1948" s="136">
        <f>LET(_xlpm.r,Productos!$E$2:$E$2509,_xlpm.m,IFERROR(_xlfn.XMATCH(C1948,_xlpm.r),IFERROR(_xlfn.XMATCH(VALUE(C1948),_xlpm.r),0)),IF(_xlpm.m=0,"",_xlpm.m+1))</f>
        <v/>
      </c>
      <c r="J1948" s="137" t="inlineStr">
        <is>
          <t>NetSuite</t>
        </is>
      </c>
    </row>
    <row r="1949">
      <c r="A1949" s="5" t="inlineStr">
        <is>
          <t>WB OUTLET LERMA</t>
        </is>
      </c>
      <c r="B1949" s="5">
        <f>IF($I2="","",INDEX(Productos!$A:$A,$I2))</f>
        <v/>
      </c>
      <c r="C1949" s="134" t="inlineStr">
        <is>
          <t>ST-VR-P-011-FW25-TSAG-S</t>
        </is>
      </c>
      <c r="D1949" s="5">
        <f>IF($I2="","",INDEX(Productos!$B:$B,$I2))</f>
        <v/>
      </c>
      <c r="E1949" s="5">
        <f>IF($I2="","",INDEX(Productos!$H:$H,$I2))</f>
        <v/>
      </c>
      <c r="F1949" s="5">
        <f>IF($I2="","",INDEX(Productos!$I:$I,$I2))</f>
        <v/>
      </c>
      <c r="G1949" s="135" t="n">
        <v>1</v>
      </c>
      <c r="H1949" s="5">
        <f>IF($I2="","",INDEX(Productos!$AG:$AG,$I2))</f>
        <v/>
      </c>
      <c r="I1949" s="136">
        <f>LET(_xlpm.r,Productos!$E$2:$E$2509,_xlpm.m,IFERROR(_xlfn.XMATCH(C1949,_xlpm.r),IFERROR(_xlfn.XMATCH(VALUE(C1949),_xlpm.r),0)),IF(_xlpm.m=0,"",_xlpm.m+1))</f>
        <v/>
      </c>
      <c r="J1949" s="137" t="inlineStr">
        <is>
          <t>NetSuite</t>
        </is>
      </c>
    </row>
    <row r="1950">
      <c r="A1950" s="5" t="inlineStr">
        <is>
          <t>WB OUTLET LERMA</t>
        </is>
      </c>
      <c r="B1950" s="5">
        <f>IF($I2="","",INDEX(Productos!$A:$A,$I2))</f>
        <v/>
      </c>
      <c r="C1950" s="134" t="inlineStr">
        <is>
          <t>ST-VR-P-012-FW25-IF-L</t>
        </is>
      </c>
      <c r="D1950" s="5">
        <f>IF($I2="","",INDEX(Productos!$B:$B,$I2))</f>
        <v/>
      </c>
      <c r="E1950" s="5">
        <f>IF($I2="","",INDEX(Productos!$H:$H,$I2))</f>
        <v/>
      </c>
      <c r="F1950" s="5">
        <f>IF($I2="","",INDEX(Productos!$I:$I,$I2))</f>
        <v/>
      </c>
      <c r="G1950" s="135" t="n">
        <v>1</v>
      </c>
      <c r="H1950" s="5">
        <f>IF($I2="","",INDEX(Productos!$AG:$AG,$I2))</f>
        <v/>
      </c>
      <c r="I1950" s="136">
        <f>LET(_xlpm.r,Productos!$E$2:$E$2509,_xlpm.m,IFERROR(_xlfn.XMATCH(C1950,_xlpm.r),IFERROR(_xlfn.XMATCH(VALUE(C1950),_xlpm.r),0)),IF(_xlpm.m=0,"",_xlpm.m+1))</f>
        <v/>
      </c>
      <c r="J1950" s="137" t="inlineStr">
        <is>
          <t>NetSuite</t>
        </is>
      </c>
    </row>
    <row r="1951">
      <c r="A1951" s="5" t="inlineStr">
        <is>
          <t>WB OUTLET LERMA</t>
        </is>
      </c>
      <c r="B1951" s="5">
        <f>IF($I2="","",INDEX(Productos!$A:$A,$I2))</f>
        <v/>
      </c>
      <c r="C1951" s="134" t="inlineStr">
        <is>
          <t>ST-VR-P-012-FW25-IF-M</t>
        </is>
      </c>
      <c r="D1951" s="5">
        <f>IF($I2="","",INDEX(Productos!$B:$B,$I2))</f>
        <v/>
      </c>
      <c r="E1951" s="5">
        <f>IF($I2="","",INDEX(Productos!$H:$H,$I2))</f>
        <v/>
      </c>
      <c r="F1951" s="5">
        <f>IF($I2="","",INDEX(Productos!$I:$I,$I2))</f>
        <v/>
      </c>
      <c r="G1951" s="135" t="n">
        <v>-2</v>
      </c>
      <c r="H1951" s="5">
        <f>IF($I2="","",INDEX(Productos!$AG:$AG,$I2))</f>
        <v/>
      </c>
      <c r="I1951" s="136">
        <f>LET(_xlpm.r,Productos!$E$2:$E$2509,_xlpm.m,IFERROR(_xlfn.XMATCH(C1951,_xlpm.r),IFERROR(_xlfn.XMATCH(VALUE(C1951),_xlpm.r),0)),IF(_xlpm.m=0,"",_xlpm.m+1))</f>
        <v/>
      </c>
      <c r="J1951" s="137" t="inlineStr">
        <is>
          <t>NetSuite</t>
        </is>
      </c>
    </row>
    <row r="1952">
      <c r="A1952" s="5" t="inlineStr">
        <is>
          <t>WB OUTLET LERMA</t>
        </is>
      </c>
      <c r="B1952" s="5">
        <f>IF($I2="","",INDEX(Productos!$A:$A,$I2))</f>
        <v/>
      </c>
      <c r="C1952" s="134" t="inlineStr">
        <is>
          <t>ST-VR-P-012-FW25-IF-S</t>
        </is>
      </c>
      <c r="D1952" s="5">
        <f>IF($I2="","",INDEX(Productos!$B:$B,$I2))</f>
        <v/>
      </c>
      <c r="E1952" s="5">
        <f>IF($I2="","",INDEX(Productos!$H:$H,$I2))</f>
        <v/>
      </c>
      <c r="F1952" s="5">
        <f>IF($I2="","",INDEX(Productos!$I:$I,$I2))</f>
        <v/>
      </c>
      <c r="G1952" s="135" t="n">
        <v>-1</v>
      </c>
      <c r="H1952" s="5">
        <f>IF($I2="","",INDEX(Productos!$AG:$AG,$I2))</f>
        <v/>
      </c>
      <c r="I1952" s="136">
        <f>LET(_xlpm.r,Productos!$E$2:$E$2509,_xlpm.m,IFERROR(_xlfn.XMATCH(C1952,_xlpm.r),IFERROR(_xlfn.XMATCH(VALUE(C1952),_xlpm.r),0)),IF(_xlpm.m=0,"",_xlpm.m+1))</f>
        <v/>
      </c>
      <c r="J1952" s="137" t="inlineStr">
        <is>
          <t>NetSuite</t>
        </is>
      </c>
    </row>
    <row r="1953">
      <c r="A1953" s="5" t="inlineStr">
        <is>
          <t>WB OUTLET LERMA</t>
        </is>
      </c>
      <c r="B1953" s="5">
        <f>IF($I2="","",INDEX(Productos!$A:$A,$I2))</f>
        <v/>
      </c>
      <c r="C1953" s="134" t="inlineStr">
        <is>
          <t>ST-VR-P-012-FW25-IF-XL</t>
        </is>
      </c>
      <c r="D1953" s="5">
        <f>IF($I2="","",INDEX(Productos!$B:$B,$I2))</f>
        <v/>
      </c>
      <c r="E1953" s="5">
        <f>IF($I2="","",INDEX(Productos!$H:$H,$I2))</f>
        <v/>
      </c>
      <c r="F1953" s="5">
        <f>IF($I2="","",INDEX(Productos!$I:$I,$I2))</f>
        <v/>
      </c>
      <c r="G1953" s="135" t="n">
        <v>3</v>
      </c>
      <c r="H1953" s="5">
        <f>IF($I2="","",INDEX(Productos!$AG:$AG,$I2))</f>
        <v/>
      </c>
      <c r="I1953" s="136">
        <f>LET(_xlpm.r,Productos!$E$2:$E$2509,_xlpm.m,IFERROR(_xlfn.XMATCH(C1953,_xlpm.r),IFERROR(_xlfn.XMATCH(VALUE(C1953),_xlpm.r),0)),IF(_xlpm.m=0,"",_xlpm.m+1))</f>
        <v/>
      </c>
      <c r="J1953" s="137" t="inlineStr">
        <is>
          <t>NetSuite</t>
        </is>
      </c>
    </row>
    <row r="1954">
      <c r="A1954" s="5" t="inlineStr">
        <is>
          <t>WB OUTLET LERMA</t>
        </is>
      </c>
      <c r="B1954" s="5">
        <f>IF($I2="","",INDEX(Productos!$A:$A,$I2))</f>
        <v/>
      </c>
      <c r="C1954" s="134" t="inlineStr">
        <is>
          <t>ST-VR-P-017-FW25-SC-L</t>
        </is>
      </c>
      <c r="D1954" s="5">
        <f>IF($I2="","",INDEX(Productos!$B:$B,$I2))</f>
        <v/>
      </c>
      <c r="E1954" s="5">
        <f>IF($I2="","",INDEX(Productos!$H:$H,$I2))</f>
        <v/>
      </c>
      <c r="F1954" s="5">
        <f>IF($I2="","",INDEX(Productos!$I:$I,$I2))</f>
        <v/>
      </c>
      <c r="G1954" s="135" t="n">
        <v>-4</v>
      </c>
      <c r="H1954" s="5">
        <f>IF($I2="","",INDEX(Productos!$AG:$AG,$I2))</f>
        <v/>
      </c>
      <c r="I1954" s="136">
        <f>LET(_xlpm.r,Productos!$E$2:$E$2509,_xlpm.m,IFERROR(_xlfn.XMATCH(C1954,_xlpm.r),IFERROR(_xlfn.XMATCH(VALUE(C1954),_xlpm.r),0)),IF(_xlpm.m=0,"",_xlpm.m+1))</f>
        <v/>
      </c>
      <c r="J1954" s="137" t="inlineStr">
        <is>
          <t>NetSuite</t>
        </is>
      </c>
    </row>
    <row r="1955">
      <c r="A1955" s="5" t="inlineStr">
        <is>
          <t>WB OUTLET LERMA</t>
        </is>
      </c>
      <c r="B1955" s="5">
        <f>IF($I2="","",INDEX(Productos!$A:$A,$I2))</f>
        <v/>
      </c>
      <c r="C1955" s="134" t="inlineStr">
        <is>
          <t>ST-VR-P-017-FW25-SC-M</t>
        </is>
      </c>
      <c r="D1955" s="5">
        <f>IF($I2="","",INDEX(Productos!$B:$B,$I2))</f>
        <v/>
      </c>
      <c r="E1955" s="5">
        <f>IF($I2="","",INDEX(Productos!$H:$H,$I2))</f>
        <v/>
      </c>
      <c r="F1955" s="5">
        <f>IF($I2="","",INDEX(Productos!$I:$I,$I2))</f>
        <v/>
      </c>
      <c r="G1955" s="135" t="n">
        <v>-2</v>
      </c>
      <c r="H1955" s="5">
        <f>IF($I2="","",INDEX(Productos!$AG:$AG,$I2))</f>
        <v/>
      </c>
      <c r="I1955" s="136">
        <f>LET(_xlpm.r,Productos!$E$2:$E$2509,_xlpm.m,IFERROR(_xlfn.XMATCH(C1955,_xlpm.r),IFERROR(_xlfn.XMATCH(VALUE(C1955),_xlpm.r),0)),IF(_xlpm.m=0,"",_xlpm.m+1))</f>
        <v/>
      </c>
      <c r="J1955" s="137" t="inlineStr">
        <is>
          <t>NetSuite</t>
        </is>
      </c>
    </row>
    <row r="1956">
      <c r="A1956" s="5" t="inlineStr">
        <is>
          <t>WB OUTLET LERMA</t>
        </is>
      </c>
      <c r="B1956" s="5">
        <f>IF($I2="","",INDEX(Productos!$A:$A,$I2))</f>
        <v/>
      </c>
      <c r="C1956" s="134" t="inlineStr">
        <is>
          <t>ST-VR-P-017-FW25-SC-XL</t>
        </is>
      </c>
      <c r="D1956" s="5">
        <f>IF($I2="","",INDEX(Productos!$B:$B,$I2))</f>
        <v/>
      </c>
      <c r="E1956" s="5">
        <f>IF($I2="","",INDEX(Productos!$H:$H,$I2))</f>
        <v/>
      </c>
      <c r="F1956" s="5">
        <f>IF($I2="","",INDEX(Productos!$I:$I,$I2))</f>
        <v/>
      </c>
      <c r="G1956" s="135" t="n">
        <v>-1</v>
      </c>
      <c r="H1956" s="5">
        <f>IF($I2="","",INDEX(Productos!$AG:$AG,$I2))</f>
        <v/>
      </c>
      <c r="I1956" s="136">
        <f>LET(_xlpm.r,Productos!$E$2:$E$2509,_xlpm.m,IFERROR(_xlfn.XMATCH(C1956,_xlpm.r),IFERROR(_xlfn.XMATCH(VALUE(C1956),_xlpm.r),0)),IF(_xlpm.m=0,"",_xlpm.m+1))</f>
        <v/>
      </c>
      <c r="J1956" s="137" t="inlineStr">
        <is>
          <t>NetSuite</t>
        </is>
      </c>
    </row>
    <row r="1957">
      <c r="A1957" s="5" t="inlineStr">
        <is>
          <t>WB OUTLET LERMA</t>
        </is>
      </c>
      <c r="B1957" s="5">
        <f>IF($I2="","",INDEX(Productos!$A:$A,$I2))</f>
        <v/>
      </c>
      <c r="C1957" s="134" t="inlineStr">
        <is>
          <t>ST-VR-P-020-FW25-MT-L</t>
        </is>
      </c>
      <c r="D1957" s="5">
        <f>IF($I2="","",INDEX(Productos!$B:$B,$I2))</f>
        <v/>
      </c>
      <c r="E1957" s="5">
        <f>IF($I2="","",INDEX(Productos!$H:$H,$I2))</f>
        <v/>
      </c>
      <c r="F1957" s="5">
        <f>IF($I2="","",INDEX(Productos!$I:$I,$I2))</f>
        <v/>
      </c>
      <c r="G1957" s="135" t="n">
        <v>3</v>
      </c>
      <c r="H1957" s="5">
        <f>IF($I2="","",INDEX(Productos!$AG:$AG,$I2))</f>
        <v/>
      </c>
      <c r="I1957" s="136">
        <f>LET(_xlpm.r,Productos!$E$2:$E$2509,_xlpm.m,IFERROR(_xlfn.XMATCH(C1957,_xlpm.r),IFERROR(_xlfn.XMATCH(VALUE(C1957),_xlpm.r),0)),IF(_xlpm.m=0,"",_xlpm.m+1))</f>
        <v/>
      </c>
      <c r="J1957" s="137" t="inlineStr">
        <is>
          <t>NetSuite</t>
        </is>
      </c>
    </row>
    <row r="1958">
      <c r="A1958" s="5" t="inlineStr">
        <is>
          <t>WB OUTLET LERMA</t>
        </is>
      </c>
      <c r="B1958" s="5">
        <f>IF($I2="","",INDEX(Productos!$A:$A,$I2))</f>
        <v/>
      </c>
      <c r="C1958" s="134" t="inlineStr">
        <is>
          <t>ST-VR-S-001-FW25-AF-L</t>
        </is>
      </c>
      <c r="D1958" s="5">
        <f>IF($I2="","",INDEX(Productos!$B:$B,$I2))</f>
        <v/>
      </c>
      <c r="E1958" s="5">
        <f>IF($I2="","",INDEX(Productos!$H:$H,$I2))</f>
        <v/>
      </c>
      <c r="F1958" s="5">
        <f>IF($I2="","",INDEX(Productos!$I:$I,$I2))</f>
        <v/>
      </c>
      <c r="G1958" s="135" t="n">
        <v>-4</v>
      </c>
      <c r="H1958" s="5">
        <f>IF($I2="","",INDEX(Productos!$AG:$AG,$I2))</f>
        <v/>
      </c>
      <c r="I1958" s="136">
        <f>LET(_xlpm.r,Productos!$E$2:$E$2509,_xlpm.m,IFERROR(_xlfn.XMATCH(C1958,_xlpm.r),IFERROR(_xlfn.XMATCH(VALUE(C1958),_xlpm.r),0)),IF(_xlpm.m=0,"",_xlpm.m+1))</f>
        <v/>
      </c>
      <c r="J1958" s="137" t="inlineStr">
        <is>
          <t>NetSuite</t>
        </is>
      </c>
    </row>
    <row r="1959">
      <c r="A1959" s="5" t="inlineStr">
        <is>
          <t>WB OUTLET LERMA</t>
        </is>
      </c>
      <c r="B1959" s="5">
        <f>IF($I2="","",INDEX(Productos!$A:$A,$I2))</f>
        <v/>
      </c>
      <c r="C1959" s="134" t="inlineStr">
        <is>
          <t>ST-VR-S-001-FW25-AF-M</t>
        </is>
      </c>
      <c r="D1959" s="5">
        <f>IF($I2="","",INDEX(Productos!$B:$B,$I2))</f>
        <v/>
      </c>
      <c r="E1959" s="5">
        <f>IF($I2="","",INDEX(Productos!$H:$H,$I2))</f>
        <v/>
      </c>
      <c r="F1959" s="5">
        <f>IF($I2="","",INDEX(Productos!$I:$I,$I2))</f>
        <v/>
      </c>
      <c r="G1959" s="135" t="n">
        <v>-2</v>
      </c>
      <c r="H1959" s="5">
        <f>IF($I2="","",INDEX(Productos!$AG:$AG,$I2))</f>
        <v/>
      </c>
      <c r="I1959" s="136">
        <f>LET(_xlpm.r,Productos!$E$2:$E$2509,_xlpm.m,IFERROR(_xlfn.XMATCH(C1959,_xlpm.r),IFERROR(_xlfn.XMATCH(VALUE(C1959),_xlpm.r),0)),IF(_xlpm.m=0,"",_xlpm.m+1))</f>
        <v/>
      </c>
      <c r="J1959" s="137" t="inlineStr">
        <is>
          <t>NetSuite</t>
        </is>
      </c>
    </row>
    <row r="1960">
      <c r="A1960" s="5" t="inlineStr">
        <is>
          <t>WB OUTLET LERMA</t>
        </is>
      </c>
      <c r="B1960" s="5">
        <f>IF($I2="","",INDEX(Productos!$A:$A,$I2))</f>
        <v/>
      </c>
      <c r="C1960" s="134" t="inlineStr">
        <is>
          <t>ST-VR-S-001-FW25-AF-S</t>
        </is>
      </c>
      <c r="D1960" s="5">
        <f>IF($I2="","",INDEX(Productos!$B:$B,$I2))</f>
        <v/>
      </c>
      <c r="E1960" s="5">
        <f>IF($I2="","",INDEX(Productos!$H:$H,$I2))</f>
        <v/>
      </c>
      <c r="F1960" s="5">
        <f>IF($I2="","",INDEX(Productos!$I:$I,$I2))</f>
        <v/>
      </c>
      <c r="G1960" s="135" t="n">
        <v>-1</v>
      </c>
      <c r="H1960" s="5">
        <f>IF($I2="","",INDEX(Productos!$AG:$AG,$I2))</f>
        <v/>
      </c>
      <c r="I1960" s="136">
        <f>LET(_xlpm.r,Productos!$E$2:$E$2509,_xlpm.m,IFERROR(_xlfn.XMATCH(C1960,_xlpm.r),IFERROR(_xlfn.XMATCH(VALUE(C1960),_xlpm.r),0)),IF(_xlpm.m=0,"",_xlpm.m+1))</f>
        <v/>
      </c>
      <c r="J1960" s="137" t="inlineStr">
        <is>
          <t>NetSuite</t>
        </is>
      </c>
    </row>
    <row r="1961">
      <c r="A1961" s="5" t="inlineStr">
        <is>
          <t>WB OUTLET LERMA</t>
        </is>
      </c>
      <c r="B1961" s="5">
        <f>IF($I2="","",INDEX(Productos!$A:$A,$I2))</f>
        <v/>
      </c>
      <c r="C1961" s="134" t="inlineStr">
        <is>
          <t>ST-VR-S-001-FW25-AF-XL</t>
        </is>
      </c>
      <c r="D1961" s="5">
        <f>IF($I2="","",INDEX(Productos!$B:$B,$I2))</f>
        <v/>
      </c>
      <c r="E1961" s="5">
        <f>IF($I2="","",INDEX(Productos!$H:$H,$I2))</f>
        <v/>
      </c>
      <c r="F1961" s="5">
        <f>IF($I2="","",INDEX(Productos!$I:$I,$I2))</f>
        <v/>
      </c>
      <c r="G1961" s="135" t="n">
        <v>-3</v>
      </c>
      <c r="H1961" s="5">
        <f>IF($I2="","",INDEX(Productos!$AG:$AG,$I2))</f>
        <v/>
      </c>
      <c r="I1961" s="136">
        <f>LET(_xlpm.r,Productos!$E$2:$E$2509,_xlpm.m,IFERROR(_xlfn.XMATCH(C1961,_xlpm.r),IFERROR(_xlfn.XMATCH(VALUE(C1961),_xlpm.r),0)),IF(_xlpm.m=0,"",_xlpm.m+1))</f>
        <v/>
      </c>
      <c r="J1961" s="137" t="inlineStr">
        <is>
          <t>NetSuite</t>
        </is>
      </c>
    </row>
    <row r="1962">
      <c r="A1962" s="5" t="inlineStr">
        <is>
          <t>WB OUTLET LERMA</t>
        </is>
      </c>
      <c r="B1962" s="5">
        <f>IF($I2="","",INDEX(Productos!$A:$A,$I2))</f>
        <v/>
      </c>
      <c r="C1962" s="134" t="inlineStr">
        <is>
          <t>ST-VR-S-003-FW25-WB-L</t>
        </is>
      </c>
      <c r="D1962" s="5">
        <f>IF($I2="","",INDEX(Productos!$B:$B,$I2))</f>
        <v/>
      </c>
      <c r="E1962" s="5">
        <f>IF($I2="","",INDEX(Productos!$H:$H,$I2))</f>
        <v/>
      </c>
      <c r="F1962" s="5">
        <f>IF($I2="","",INDEX(Productos!$I:$I,$I2))</f>
        <v/>
      </c>
      <c r="G1962" s="135" t="n">
        <v>-3</v>
      </c>
      <c r="H1962" s="5">
        <f>IF($I2="","",INDEX(Productos!$AG:$AG,$I2))</f>
        <v/>
      </c>
      <c r="I1962" s="136">
        <f>LET(_xlpm.r,Productos!$E$2:$E$2509,_xlpm.m,IFERROR(_xlfn.XMATCH(C1962,_xlpm.r),IFERROR(_xlfn.XMATCH(VALUE(C1962),_xlpm.r),0)),IF(_xlpm.m=0,"",_xlpm.m+1))</f>
        <v/>
      </c>
      <c r="J1962" s="137" t="inlineStr">
        <is>
          <t>NetSuite</t>
        </is>
      </c>
    </row>
    <row r="1963">
      <c r="A1963" s="5" t="inlineStr">
        <is>
          <t>WB OUTLET LERMA</t>
        </is>
      </c>
      <c r="B1963" s="5">
        <f>IF($I2="","",INDEX(Productos!$A:$A,$I2))</f>
        <v/>
      </c>
      <c r="C1963" s="134" t="inlineStr">
        <is>
          <t>ST-VR-S-003-FW25-WB-M</t>
        </is>
      </c>
      <c r="D1963" s="5">
        <f>IF($I2="","",INDEX(Productos!$B:$B,$I2))</f>
        <v/>
      </c>
      <c r="E1963" s="5">
        <f>IF($I2="","",INDEX(Productos!$H:$H,$I2))</f>
        <v/>
      </c>
      <c r="F1963" s="5">
        <f>IF($I2="","",INDEX(Productos!$I:$I,$I2))</f>
        <v/>
      </c>
      <c r="G1963" s="135" t="n">
        <v>-2</v>
      </c>
      <c r="H1963" s="5">
        <f>IF($I2="","",INDEX(Productos!$AG:$AG,$I2))</f>
        <v/>
      </c>
      <c r="I1963" s="136">
        <f>LET(_xlpm.r,Productos!$E$2:$E$2509,_xlpm.m,IFERROR(_xlfn.XMATCH(C1963,_xlpm.r),IFERROR(_xlfn.XMATCH(VALUE(C1963),_xlpm.r),0)),IF(_xlpm.m=0,"",_xlpm.m+1))</f>
        <v/>
      </c>
      <c r="J1963" s="137" t="inlineStr">
        <is>
          <t>NetSuite</t>
        </is>
      </c>
    </row>
    <row r="1964">
      <c r="A1964" s="5" t="inlineStr">
        <is>
          <t>WB OUTLET LERMA</t>
        </is>
      </c>
      <c r="B1964" s="5">
        <f>IF($I2="","",INDEX(Productos!$A:$A,$I2))</f>
        <v/>
      </c>
      <c r="C1964" s="134" t="inlineStr">
        <is>
          <t>ST-VR-S-003-FW25-WB-S</t>
        </is>
      </c>
      <c r="D1964" s="5">
        <f>IF($I2="","",INDEX(Productos!$B:$B,$I2))</f>
        <v/>
      </c>
      <c r="E1964" s="5">
        <f>IF($I2="","",INDEX(Productos!$H:$H,$I2))</f>
        <v/>
      </c>
      <c r="F1964" s="5">
        <f>IF($I2="","",INDEX(Productos!$I:$I,$I2))</f>
        <v/>
      </c>
      <c r="G1964" s="135" t="n">
        <v>-1</v>
      </c>
      <c r="H1964" s="5">
        <f>IF($I2="","",INDEX(Productos!$AG:$AG,$I2))</f>
        <v/>
      </c>
      <c r="I1964" s="136">
        <f>LET(_xlpm.r,Productos!$E$2:$E$2509,_xlpm.m,IFERROR(_xlfn.XMATCH(C1964,_xlpm.r),IFERROR(_xlfn.XMATCH(VALUE(C1964),_xlpm.r),0)),IF(_xlpm.m=0,"",_xlpm.m+1))</f>
        <v/>
      </c>
      <c r="J1964" s="137" t="inlineStr">
        <is>
          <t>NetSuite</t>
        </is>
      </c>
    </row>
    <row r="1965">
      <c r="A1965" s="5" t="inlineStr">
        <is>
          <t>WB OUTLET LERMA</t>
        </is>
      </c>
      <c r="B1965" s="5">
        <f>IF($I2="","",INDEX(Productos!$A:$A,$I2))</f>
        <v/>
      </c>
      <c r="C1965" s="134" t="inlineStr">
        <is>
          <t>ST-VR-S-003-FW25-WB-XL</t>
        </is>
      </c>
      <c r="D1965" s="5">
        <f>IF($I2="","",INDEX(Productos!$B:$B,$I2))</f>
        <v/>
      </c>
      <c r="E1965" s="5">
        <f>IF($I2="","",INDEX(Productos!$H:$H,$I2))</f>
        <v/>
      </c>
      <c r="F1965" s="5">
        <f>IF($I2="","",INDEX(Productos!$I:$I,$I2))</f>
        <v/>
      </c>
      <c r="G1965" s="135" t="n">
        <v>-2</v>
      </c>
      <c r="H1965" s="5">
        <f>IF($I2="","",INDEX(Productos!$AG:$AG,$I2))</f>
        <v/>
      </c>
      <c r="I1965" s="136">
        <f>LET(_xlpm.r,Productos!$E$2:$E$2509,_xlpm.m,IFERROR(_xlfn.XMATCH(C1965,_xlpm.r),IFERROR(_xlfn.XMATCH(VALUE(C1965),_xlpm.r),0)),IF(_xlpm.m=0,"",_xlpm.m+1))</f>
        <v/>
      </c>
      <c r="J1965" s="137" t="inlineStr">
        <is>
          <t>NetSuite</t>
        </is>
      </c>
    </row>
    <row r="1966">
      <c r="A1966" s="5" t="inlineStr">
        <is>
          <t>Shopify Stetson México › Eventos</t>
        </is>
      </c>
      <c r="B1966" s="5">
        <f>IF($I2="","",INDEX(Productos!$A:$A,$I2))</f>
        <v/>
      </c>
      <c r="C1966" s="134" t="inlineStr">
        <is>
          <t>9401790-204-L</t>
        </is>
      </c>
      <c r="D1966" s="5">
        <f>IF($I2="","",INDEX(Productos!$B:$B,$I2))</f>
        <v/>
      </c>
      <c r="E1966" s="5">
        <f>IF($I2="","",INDEX(Productos!$H:$H,$I2))</f>
        <v/>
      </c>
      <c r="F1966" s="5">
        <f>IF($I2="","",INDEX(Productos!$I:$I,$I2))</f>
        <v/>
      </c>
      <c r="G1966" s="135" t="n">
        <v>1</v>
      </c>
      <c r="H1966" s="5">
        <f>IF($I2="","",INDEX(Productos!$AG:$AG,$I2))</f>
        <v/>
      </c>
      <c r="I1966" s="136">
        <f>LET(_xlpm.r,Productos!$E$2:$E$2509,_xlpm.m,IFERROR(_xlfn.XMATCH(C1966,_xlpm.r),IFERROR(_xlfn.XMATCH(VALUE(C1966),_xlpm.r),0)),IF(_xlpm.m=0,"",_xlpm.m+1))</f>
        <v/>
      </c>
      <c r="J1966" s="137" t="inlineStr">
        <is>
          <t>Shopify</t>
        </is>
      </c>
    </row>
    <row r="1967">
      <c r="A1967" s="5" t="inlineStr">
        <is>
          <t>Shopify Stetson México › Eventos</t>
        </is>
      </c>
      <c r="B1967" s="5">
        <f>IF($I2="","",INDEX(Productos!$A:$A,$I2))</f>
        <v/>
      </c>
      <c r="C1967" s="134" t="inlineStr">
        <is>
          <t>9402790-200-L</t>
        </is>
      </c>
      <c r="D1967" s="5">
        <f>IF($I2="","",INDEX(Productos!$B:$B,$I2))</f>
        <v/>
      </c>
      <c r="E1967" s="5">
        <f>IF($I2="","",INDEX(Productos!$H:$H,$I2))</f>
        <v/>
      </c>
      <c r="F1967" s="5">
        <f>IF($I2="","",INDEX(Productos!$I:$I,$I2))</f>
        <v/>
      </c>
      <c r="G1967" s="135" t="n">
        <v>1</v>
      </c>
      <c r="H1967" s="5">
        <f>IF($I2="","",INDEX(Productos!$AG:$AG,$I2))</f>
        <v/>
      </c>
      <c r="I1967" s="136">
        <f>LET(_xlpm.r,Productos!$E$2:$E$2509,_xlpm.m,IFERROR(_xlfn.XMATCH(C1967,_xlpm.r),IFERROR(_xlfn.XMATCH(VALUE(C1967),_xlpm.r),0)),IF(_xlpm.m=0,"",_xlpm.m+1))</f>
        <v/>
      </c>
      <c r="J1967" s="137" t="inlineStr">
        <is>
          <t>Shopify</t>
        </is>
      </c>
    </row>
    <row r="1968">
      <c r="A1968" s="5" t="inlineStr">
        <is>
          <t>Shopify Stetson México › Eventos</t>
        </is>
      </c>
      <c r="B1968" s="5">
        <f>IF($I2="","",INDEX(Productos!$A:$A,$I2))</f>
        <v/>
      </c>
      <c r="C1968" s="134" t="inlineStr">
        <is>
          <t>9402790-200-M</t>
        </is>
      </c>
      <c r="D1968" s="5">
        <f>IF($I2="","",INDEX(Productos!$B:$B,$I2))</f>
        <v/>
      </c>
      <c r="E1968" s="5">
        <f>IF($I2="","",INDEX(Productos!$H:$H,$I2))</f>
        <v/>
      </c>
      <c r="F1968" s="5">
        <f>IF($I2="","",INDEX(Productos!$I:$I,$I2))</f>
        <v/>
      </c>
      <c r="G1968" s="135" t="n">
        <v>1</v>
      </c>
      <c r="H1968" s="5">
        <f>IF($I2="","",INDEX(Productos!$AG:$AG,$I2))</f>
        <v/>
      </c>
      <c r="I1968" s="136">
        <f>LET(_xlpm.r,Productos!$E$2:$E$2509,_xlpm.m,IFERROR(_xlfn.XMATCH(C1968,_xlpm.r),IFERROR(_xlfn.XMATCH(VALUE(C1968),_xlpm.r),0)),IF(_xlpm.m=0,"",_xlpm.m+1))</f>
        <v/>
      </c>
      <c r="J1968" s="137" t="inlineStr">
        <is>
          <t>Shopify</t>
        </is>
      </c>
    </row>
    <row r="1969">
      <c r="A1969" s="5" t="inlineStr">
        <is>
          <t>Shopify Stetson México › Eventos</t>
        </is>
      </c>
      <c r="B1969" s="5">
        <f>IF($I2="","",INDEX(Productos!$A:$A,$I2))</f>
        <v/>
      </c>
      <c r="C1969" s="134" t="inlineStr">
        <is>
          <t>9402790-200-XL</t>
        </is>
      </c>
      <c r="D1969" s="5">
        <f>IF($I2="","",INDEX(Productos!$B:$B,$I2))</f>
        <v/>
      </c>
      <c r="E1969" s="5">
        <f>IF($I2="","",INDEX(Productos!$H:$H,$I2))</f>
        <v/>
      </c>
      <c r="F1969" s="5">
        <f>IF($I2="","",INDEX(Productos!$I:$I,$I2))</f>
        <v/>
      </c>
      <c r="G1969" s="135" t="n">
        <v>1</v>
      </c>
      <c r="H1969" s="5">
        <f>IF($I2="","",INDEX(Productos!$AG:$AG,$I2))</f>
        <v/>
      </c>
      <c r="I1969" s="136">
        <f>LET(_xlpm.r,Productos!$E$2:$E$2509,_xlpm.m,IFERROR(_xlfn.XMATCH(C1969,_xlpm.r),IFERROR(_xlfn.XMATCH(VALUE(C1969),_xlpm.r),0)),IF(_xlpm.m=0,"",_xlpm.m+1))</f>
        <v/>
      </c>
      <c r="J1969" s="137" t="inlineStr">
        <is>
          <t>Shopify</t>
        </is>
      </c>
    </row>
    <row r="1970">
      <c r="A1970" s="5" t="inlineStr">
        <is>
          <t>Shopify Stetson México › Eventos</t>
        </is>
      </c>
      <c r="B1970" s="5">
        <f>IF($I2="","",INDEX(Productos!$A:$A,$I2))</f>
        <v/>
      </c>
      <c r="C1970" s="134" t="inlineStr">
        <is>
          <t>9404790-104-L</t>
        </is>
      </c>
      <c r="D1970" s="5">
        <f>IF($I2="","",INDEX(Productos!$B:$B,$I2))</f>
        <v/>
      </c>
      <c r="E1970" s="5">
        <f>IF($I2="","",INDEX(Productos!$H:$H,$I2))</f>
        <v/>
      </c>
      <c r="F1970" s="5">
        <f>IF($I2="","",INDEX(Productos!$I:$I,$I2))</f>
        <v/>
      </c>
      <c r="G1970" s="135" t="n">
        <v>1</v>
      </c>
      <c r="H1970" s="5">
        <f>IF($I2="","",INDEX(Productos!$AG:$AG,$I2))</f>
        <v/>
      </c>
      <c r="I1970" s="136">
        <f>LET(_xlpm.r,Productos!$E$2:$E$2509,_xlpm.m,IFERROR(_xlfn.XMATCH(C1970,_xlpm.r),IFERROR(_xlfn.XMATCH(VALUE(C1970),_xlpm.r),0)),IF(_xlpm.m=0,"",_xlpm.m+1))</f>
        <v/>
      </c>
      <c r="J1970" s="137" t="inlineStr">
        <is>
          <t>Shopify</t>
        </is>
      </c>
    </row>
    <row r="1971">
      <c r="A1971" s="5" t="inlineStr">
        <is>
          <t>Shopify Stetson México › Eventos</t>
        </is>
      </c>
      <c r="B1971" s="5">
        <f>IF($I2="","",INDEX(Productos!$A:$A,$I2))</f>
        <v/>
      </c>
      <c r="C1971" s="134" t="inlineStr">
        <is>
          <t>9405790-210-L</t>
        </is>
      </c>
      <c r="D1971" s="5">
        <f>IF($I2="","",INDEX(Productos!$B:$B,$I2))</f>
        <v/>
      </c>
      <c r="E1971" s="5">
        <f>IF($I2="","",INDEX(Productos!$H:$H,$I2))</f>
        <v/>
      </c>
      <c r="F1971" s="5">
        <f>IF($I2="","",INDEX(Productos!$I:$I,$I2))</f>
        <v/>
      </c>
      <c r="G1971" s="135" t="n">
        <v>1</v>
      </c>
      <c r="H1971" s="5">
        <f>IF($I2="","",INDEX(Productos!$AG:$AG,$I2))</f>
        <v/>
      </c>
      <c r="I1971" s="136">
        <f>LET(_xlpm.r,Productos!$E$2:$E$2509,_xlpm.m,IFERROR(_xlfn.XMATCH(C1971,_xlpm.r),IFERROR(_xlfn.XMATCH(VALUE(C1971),_xlpm.r),0)),IF(_xlpm.m=0,"",_xlpm.m+1))</f>
        <v/>
      </c>
      <c r="J1971" s="137" t="inlineStr">
        <is>
          <t>Shopify</t>
        </is>
      </c>
    </row>
    <row r="1972">
      <c r="A1972" s="5" t="inlineStr">
        <is>
          <t>Shopify Stetson México › Eventos</t>
        </is>
      </c>
      <c r="B1972" s="5">
        <f>IF($I2="","",INDEX(Productos!$A:$A,$I2))</f>
        <v/>
      </c>
      <c r="C1972" s="134" t="inlineStr">
        <is>
          <t>9405790-210-M</t>
        </is>
      </c>
      <c r="D1972" s="5">
        <f>IF($I2="","",INDEX(Productos!$B:$B,$I2))</f>
        <v/>
      </c>
      <c r="E1972" s="5">
        <f>IF($I2="","",INDEX(Productos!$H:$H,$I2))</f>
        <v/>
      </c>
      <c r="F1972" s="5">
        <f>IF($I2="","",INDEX(Productos!$I:$I,$I2))</f>
        <v/>
      </c>
      <c r="G1972" s="135" t="n">
        <v>1</v>
      </c>
      <c r="H1972" s="5">
        <f>IF($I2="","",INDEX(Productos!$AG:$AG,$I2))</f>
        <v/>
      </c>
      <c r="I1972" s="136">
        <f>LET(_xlpm.r,Productos!$E$2:$E$2509,_xlpm.m,IFERROR(_xlfn.XMATCH(C1972,_xlpm.r),IFERROR(_xlfn.XMATCH(VALUE(C1972),_xlpm.r),0)),IF(_xlpm.m=0,"",_xlpm.m+1))</f>
        <v/>
      </c>
      <c r="J1972" s="137" t="inlineStr">
        <is>
          <t>Shopify</t>
        </is>
      </c>
    </row>
    <row r="1973">
      <c r="A1973" s="5" t="inlineStr">
        <is>
          <t>Shopify Stetson México › Eventos</t>
        </is>
      </c>
      <c r="B1973" s="5">
        <f>IF($I2="","",INDEX(Productos!$A:$A,$I2))</f>
        <v/>
      </c>
      <c r="C1973" s="134" t="inlineStr">
        <is>
          <t>9405790-210-S</t>
        </is>
      </c>
      <c r="D1973" s="5">
        <f>IF($I2="","",INDEX(Productos!$B:$B,$I2))</f>
        <v/>
      </c>
      <c r="E1973" s="5">
        <f>IF($I2="","",INDEX(Productos!$H:$H,$I2))</f>
        <v/>
      </c>
      <c r="F1973" s="5">
        <f>IF($I2="","",INDEX(Productos!$I:$I,$I2))</f>
        <v/>
      </c>
      <c r="G1973" s="135" t="n">
        <v>1</v>
      </c>
      <c r="H1973" s="5">
        <f>IF($I2="","",INDEX(Productos!$AG:$AG,$I2))</f>
        <v/>
      </c>
      <c r="I1973" s="136">
        <f>LET(_xlpm.r,Productos!$E$2:$E$2509,_xlpm.m,IFERROR(_xlfn.XMATCH(C1973,_xlpm.r),IFERROR(_xlfn.XMATCH(VALUE(C1973),_xlpm.r),0)),IF(_xlpm.m=0,"",_xlpm.m+1))</f>
        <v/>
      </c>
      <c r="J1973" s="137" t="inlineStr">
        <is>
          <t>Shopify</t>
        </is>
      </c>
    </row>
    <row r="1974">
      <c r="A1974" s="5" t="inlineStr">
        <is>
          <t>Shopify Stetson México › Eventos</t>
        </is>
      </c>
      <c r="B1974" s="5">
        <f>IF($I2="","",INDEX(Productos!$A:$A,$I2))</f>
        <v/>
      </c>
      <c r="C1974" s="134" t="inlineStr">
        <is>
          <t>9409790-001-L</t>
        </is>
      </c>
      <c r="D1974" s="5">
        <f>IF($I2="","",INDEX(Productos!$B:$B,$I2))</f>
        <v/>
      </c>
      <c r="E1974" s="5">
        <f>IF($I2="","",INDEX(Productos!$H:$H,$I2))</f>
        <v/>
      </c>
      <c r="F1974" s="5">
        <f>IF($I2="","",INDEX(Productos!$I:$I,$I2))</f>
        <v/>
      </c>
      <c r="G1974" s="135" t="n">
        <v>1</v>
      </c>
      <c r="H1974" s="5">
        <f>IF($I2="","",INDEX(Productos!$AG:$AG,$I2))</f>
        <v/>
      </c>
      <c r="I1974" s="136">
        <f>LET(_xlpm.r,Productos!$E$2:$E$2509,_xlpm.m,IFERROR(_xlfn.XMATCH(C1974,_xlpm.r),IFERROR(_xlfn.XMATCH(VALUE(C1974),_xlpm.r),0)),IF(_xlpm.m=0,"",_xlpm.m+1))</f>
        <v/>
      </c>
      <c r="J1974" s="137" t="inlineStr">
        <is>
          <t>Shopify</t>
        </is>
      </c>
    </row>
    <row r="1975">
      <c r="A1975" s="5" t="inlineStr">
        <is>
          <t>Shopify Stetson México › Eventos</t>
        </is>
      </c>
      <c r="B1975" s="5">
        <f>IF($I2="","",INDEX(Productos!$A:$A,$I2))</f>
        <v/>
      </c>
      <c r="C1975" s="134" t="inlineStr">
        <is>
          <t>9409790-001-M</t>
        </is>
      </c>
      <c r="D1975" s="5">
        <f>IF($I2="","",INDEX(Productos!$B:$B,$I2))</f>
        <v/>
      </c>
      <c r="E1975" s="5">
        <f>IF($I2="","",INDEX(Productos!$H:$H,$I2))</f>
        <v/>
      </c>
      <c r="F1975" s="5">
        <f>IF($I2="","",INDEX(Productos!$I:$I,$I2))</f>
        <v/>
      </c>
      <c r="G1975" s="135" t="n">
        <v>1</v>
      </c>
      <c r="H1975" s="5">
        <f>IF($I2="","",INDEX(Productos!$AG:$AG,$I2))</f>
        <v/>
      </c>
      <c r="I1975" s="136">
        <f>LET(_xlpm.r,Productos!$E$2:$E$2509,_xlpm.m,IFERROR(_xlfn.XMATCH(C1975,_xlpm.r),IFERROR(_xlfn.XMATCH(VALUE(C1975),_xlpm.r),0)),IF(_xlpm.m=0,"",_xlpm.m+1))</f>
        <v/>
      </c>
      <c r="J1975" s="137" t="inlineStr">
        <is>
          <t>Shopify</t>
        </is>
      </c>
    </row>
    <row r="1976">
      <c r="A1976" s="5" t="inlineStr">
        <is>
          <t>Shopify Stetson México › Eventos</t>
        </is>
      </c>
      <c r="B1976" s="5">
        <f>IF($I2="","",INDEX(Productos!$A:$A,$I2))</f>
        <v/>
      </c>
      <c r="C1976" s="134" t="inlineStr">
        <is>
          <t>9409790-001-XL</t>
        </is>
      </c>
      <c r="D1976" s="5">
        <f>IF($I2="","",INDEX(Productos!$B:$B,$I2))</f>
        <v/>
      </c>
      <c r="E1976" s="5">
        <f>IF($I2="","",INDEX(Productos!$H:$H,$I2))</f>
        <v/>
      </c>
      <c r="F1976" s="5">
        <f>IF($I2="","",INDEX(Productos!$I:$I,$I2))</f>
        <v/>
      </c>
      <c r="G1976" s="135" t="n">
        <v>1</v>
      </c>
      <c r="H1976" s="5">
        <f>IF($I2="","",INDEX(Productos!$AG:$AG,$I2))</f>
        <v/>
      </c>
      <c r="I1976" s="136">
        <f>LET(_xlpm.r,Productos!$E$2:$E$2509,_xlpm.m,IFERROR(_xlfn.XMATCH(C1976,_xlpm.r),IFERROR(_xlfn.XMATCH(VALUE(C1976),_xlpm.r),0)),IF(_xlpm.m=0,"",_xlpm.m+1))</f>
        <v/>
      </c>
      <c r="J1976" s="137" t="inlineStr">
        <is>
          <t>Shopify</t>
        </is>
      </c>
    </row>
    <row r="1977">
      <c r="A1977" s="5" t="inlineStr">
        <is>
          <t>Shopify Stetson México › Eventos</t>
        </is>
      </c>
      <c r="B1977" s="5">
        <f>IF($I2="","",INDEX(Productos!$A:$A,$I2))</f>
        <v/>
      </c>
      <c r="C1977" s="134" t="inlineStr">
        <is>
          <t>9410790-962-L</t>
        </is>
      </c>
      <c r="D1977" s="5">
        <f>IF($I2="","",INDEX(Productos!$B:$B,$I2))</f>
        <v/>
      </c>
      <c r="E1977" s="5">
        <f>IF($I2="","",INDEX(Productos!$H:$H,$I2))</f>
        <v/>
      </c>
      <c r="F1977" s="5">
        <f>IF($I2="","",INDEX(Productos!$I:$I,$I2))</f>
        <v/>
      </c>
      <c r="G1977" s="135" t="n">
        <v>1</v>
      </c>
      <c r="H1977" s="5">
        <f>IF($I2="","",INDEX(Productos!$AG:$AG,$I2))</f>
        <v/>
      </c>
      <c r="I1977" s="136">
        <f>LET(_xlpm.r,Productos!$E$2:$E$2509,_xlpm.m,IFERROR(_xlfn.XMATCH(C1977,_xlpm.r),IFERROR(_xlfn.XMATCH(VALUE(C1977),_xlpm.r),0)),IF(_xlpm.m=0,"",_xlpm.m+1))</f>
        <v/>
      </c>
      <c r="J1977" s="137" t="inlineStr">
        <is>
          <t>Shopify</t>
        </is>
      </c>
    </row>
    <row r="1978">
      <c r="A1978" s="5" t="inlineStr">
        <is>
          <t>Shopify Stetson México › Eventos</t>
        </is>
      </c>
      <c r="B1978" s="5">
        <f>IF($I2="","",INDEX(Productos!$A:$A,$I2))</f>
        <v/>
      </c>
      <c r="C1978" s="134" t="inlineStr">
        <is>
          <t>9411790-909-L</t>
        </is>
      </c>
      <c r="D1978" s="5">
        <f>IF($I2="","",INDEX(Productos!$B:$B,$I2))</f>
        <v/>
      </c>
      <c r="E1978" s="5">
        <f>IF($I2="","",INDEX(Productos!$H:$H,$I2))</f>
        <v/>
      </c>
      <c r="F1978" s="5">
        <f>IF($I2="","",INDEX(Productos!$I:$I,$I2))</f>
        <v/>
      </c>
      <c r="G1978" s="135" t="n">
        <v>1</v>
      </c>
      <c r="H1978" s="5">
        <f>IF($I2="","",INDEX(Productos!$AG:$AG,$I2))</f>
        <v/>
      </c>
      <c r="I1978" s="136">
        <f>LET(_xlpm.r,Productos!$E$2:$E$2509,_xlpm.m,IFERROR(_xlfn.XMATCH(C1978,_xlpm.r),IFERROR(_xlfn.XMATCH(VALUE(C1978),_xlpm.r),0)),IF(_xlpm.m=0,"",_xlpm.m+1))</f>
        <v/>
      </c>
      <c r="J1978" s="137" t="inlineStr">
        <is>
          <t>Shopify</t>
        </is>
      </c>
    </row>
    <row r="1979">
      <c r="A1979" s="5" t="inlineStr">
        <is>
          <t>Shopify Stetson México › Eventos</t>
        </is>
      </c>
      <c r="B1979" s="5">
        <f>IF($I2="","",INDEX(Productos!$A:$A,$I2))</f>
        <v/>
      </c>
      <c r="C1979" s="134" t="inlineStr">
        <is>
          <t>9411790-909-M</t>
        </is>
      </c>
      <c r="D1979" s="5">
        <f>IF($I2="","",INDEX(Productos!$B:$B,$I2))</f>
        <v/>
      </c>
      <c r="E1979" s="5">
        <f>IF($I2="","",INDEX(Productos!$H:$H,$I2))</f>
        <v/>
      </c>
      <c r="F1979" s="5">
        <f>IF($I2="","",INDEX(Productos!$I:$I,$I2))</f>
        <v/>
      </c>
      <c r="G1979" s="135" t="n">
        <v>1</v>
      </c>
      <c r="H1979" s="5">
        <f>IF($I2="","",INDEX(Productos!$AG:$AG,$I2))</f>
        <v/>
      </c>
      <c r="I1979" s="136">
        <f>LET(_xlpm.r,Productos!$E$2:$E$2509,_xlpm.m,IFERROR(_xlfn.XMATCH(C1979,_xlpm.r),IFERROR(_xlfn.XMATCH(VALUE(C1979),_xlpm.r),0)),IF(_xlpm.m=0,"",_xlpm.m+1))</f>
        <v/>
      </c>
      <c r="J1979" s="137" t="inlineStr">
        <is>
          <t>Shopify</t>
        </is>
      </c>
    </row>
    <row r="1980">
      <c r="A1980" s="5" t="inlineStr">
        <is>
          <t>Shopify Stetson México › Eventos</t>
        </is>
      </c>
      <c r="B1980" s="5">
        <f>IF($I2="","",INDEX(Productos!$A:$A,$I2))</f>
        <v/>
      </c>
      <c r="C1980" s="134" t="inlineStr">
        <is>
          <t>9501000-200-NZ</t>
        </is>
      </c>
      <c r="D1980" s="5">
        <f>IF($I2="","",INDEX(Productos!$B:$B,$I2))</f>
        <v/>
      </c>
      <c r="E1980" s="5">
        <f>IF($I2="","",INDEX(Productos!$H:$H,$I2))</f>
        <v/>
      </c>
      <c r="F1980" s="5">
        <f>IF($I2="","",INDEX(Productos!$I:$I,$I2))</f>
        <v/>
      </c>
      <c r="G1980" s="135" t="n">
        <v>2</v>
      </c>
      <c r="H1980" s="5">
        <f>IF($I2="","",INDEX(Productos!$AG:$AG,$I2))</f>
        <v/>
      </c>
      <c r="I1980" s="136">
        <f>LET(_xlpm.r,Productos!$E$2:$E$2509,_xlpm.m,IFERROR(_xlfn.XMATCH(C1980,_xlpm.r),IFERROR(_xlfn.XMATCH(VALUE(C1980),_xlpm.r),0)),IF(_xlpm.m=0,"",_xlpm.m+1))</f>
        <v/>
      </c>
      <c r="J1980" s="137" t="inlineStr">
        <is>
          <t>Shopify</t>
        </is>
      </c>
    </row>
    <row r="1981">
      <c r="A1981" s="5" t="inlineStr">
        <is>
          <t>Shopify Stetson México › Eventos</t>
        </is>
      </c>
      <c r="B1981" s="5">
        <f>IF($I2="","",INDEX(Productos!$A:$A,$I2))</f>
        <v/>
      </c>
      <c r="C1981" s="134" t="inlineStr">
        <is>
          <t>9502000-600-NZ</t>
        </is>
      </c>
      <c r="D1981" s="5">
        <f>IF($I2="","",INDEX(Productos!$B:$B,$I2))</f>
        <v/>
      </c>
      <c r="E1981" s="5">
        <f>IF($I2="","",INDEX(Productos!$H:$H,$I2))</f>
        <v/>
      </c>
      <c r="F1981" s="5">
        <f>IF($I2="","",INDEX(Productos!$I:$I,$I2))</f>
        <v/>
      </c>
      <c r="G1981" s="135" t="n">
        <v>2</v>
      </c>
      <c r="H1981" s="5">
        <f>IF($I2="","",INDEX(Productos!$AG:$AG,$I2))</f>
        <v/>
      </c>
      <c r="I1981" s="136">
        <f>LET(_xlpm.r,Productos!$E$2:$E$2509,_xlpm.m,IFERROR(_xlfn.XMATCH(C1981,_xlpm.r),IFERROR(_xlfn.XMATCH(VALUE(C1981),_xlpm.r),0)),IF(_xlpm.m=0,"",_xlpm.m+1))</f>
        <v/>
      </c>
      <c r="J1981" s="137" t="inlineStr">
        <is>
          <t>Shopify</t>
        </is>
      </c>
    </row>
    <row r="1982">
      <c r="A1982" s="5" t="inlineStr">
        <is>
          <t>Shopify Stetson México › Eventos</t>
        </is>
      </c>
      <c r="B1982" s="5">
        <f>IF($I2="","",INDEX(Productos!$A:$A,$I2))</f>
        <v/>
      </c>
      <c r="C1982" s="134" t="inlineStr">
        <is>
          <t>9506000-600-NZ</t>
        </is>
      </c>
      <c r="D1982" s="5">
        <f>IF($I2="","",INDEX(Productos!$B:$B,$I2))</f>
        <v/>
      </c>
      <c r="E1982" s="5">
        <f>IF($I2="","",INDEX(Productos!$H:$H,$I2))</f>
        <v/>
      </c>
      <c r="F1982" s="5">
        <f>IF($I2="","",INDEX(Productos!$I:$I,$I2))</f>
        <v/>
      </c>
      <c r="G1982" s="135" t="n">
        <v>2</v>
      </c>
      <c r="H1982" s="5">
        <f>IF($I2="","",INDEX(Productos!$AG:$AG,$I2))</f>
        <v/>
      </c>
      <c r="I1982" s="136">
        <f>LET(_xlpm.r,Productos!$E$2:$E$2509,_xlpm.m,IFERROR(_xlfn.XMATCH(C1982,_xlpm.r),IFERROR(_xlfn.XMATCH(VALUE(C1982),_xlpm.r),0)),IF(_xlpm.m=0,"",_xlpm.m+1))</f>
        <v/>
      </c>
      <c r="J1982" s="137" t="inlineStr">
        <is>
          <t>Shopify</t>
        </is>
      </c>
    </row>
    <row r="1983">
      <c r="A1983" s="5" t="inlineStr">
        <is>
          <t>Shopify Stetson México › Eventos</t>
        </is>
      </c>
      <c r="B1983" s="5">
        <f>IF($I2="","",INDEX(Productos!$A:$A,$I2))</f>
        <v/>
      </c>
      <c r="C1983" s="134" t="inlineStr">
        <is>
          <t>9508000-001-NZ</t>
        </is>
      </c>
      <c r="D1983" s="5">
        <f>IF($I2="","",INDEX(Productos!$B:$B,$I2))</f>
        <v/>
      </c>
      <c r="E1983" s="5">
        <f>IF($I2="","",INDEX(Productos!$H:$H,$I2))</f>
        <v/>
      </c>
      <c r="F1983" s="5">
        <f>IF($I2="","",INDEX(Productos!$I:$I,$I2))</f>
        <v/>
      </c>
      <c r="G1983" s="135" t="n">
        <v>2</v>
      </c>
      <c r="H1983" s="5">
        <f>IF($I2="","",INDEX(Productos!$AG:$AG,$I2))</f>
        <v/>
      </c>
      <c r="I1983" s="136">
        <f>LET(_xlpm.r,Productos!$E$2:$E$2509,_xlpm.m,IFERROR(_xlfn.XMATCH(C1983,_xlpm.r),IFERROR(_xlfn.XMATCH(VALUE(C1983),_xlpm.r),0)),IF(_xlpm.m=0,"",_xlpm.m+1))</f>
        <v/>
      </c>
      <c r="J1983" s="137" t="inlineStr">
        <is>
          <t>Shopify</t>
        </is>
      </c>
    </row>
    <row r="1984">
      <c r="A1984" s="5" t="inlineStr">
        <is>
          <t>Shopify Stetson México › Eventos</t>
        </is>
      </c>
      <c r="B1984" s="5">
        <f>IF($I2="","",INDEX(Productos!$A:$A,$I2))</f>
        <v/>
      </c>
      <c r="C1984" s="134" t="inlineStr">
        <is>
          <t>9509000-001-NZ</t>
        </is>
      </c>
      <c r="D1984" s="5">
        <f>IF($I2="","",INDEX(Productos!$B:$B,$I2))</f>
        <v/>
      </c>
      <c r="E1984" s="5">
        <f>IF($I2="","",INDEX(Productos!$H:$H,$I2))</f>
        <v/>
      </c>
      <c r="F1984" s="5">
        <f>IF($I2="","",INDEX(Productos!$I:$I,$I2))</f>
        <v/>
      </c>
      <c r="G1984" s="135" t="n">
        <v>2</v>
      </c>
      <c r="H1984" s="5">
        <f>IF($I2="","",INDEX(Productos!$AG:$AG,$I2))</f>
        <v/>
      </c>
      <c r="I1984" s="136">
        <f>LET(_xlpm.r,Productos!$E$2:$E$2509,_xlpm.m,IFERROR(_xlfn.XMATCH(C1984,_xlpm.r),IFERROR(_xlfn.XMATCH(VALUE(C1984),_xlpm.r),0)),IF(_xlpm.m=0,"",_xlpm.m+1))</f>
        <v/>
      </c>
      <c r="J1984" s="137" t="inlineStr">
        <is>
          <t>Shopify</t>
        </is>
      </c>
    </row>
    <row r="1985">
      <c r="A1985" s="5" t="inlineStr">
        <is>
          <t>Shopify Stetson México › Eventos</t>
        </is>
      </c>
      <c r="B1985" s="5">
        <f>IF($I2="","",INDEX(Productos!$A:$A,$I2))</f>
        <v/>
      </c>
      <c r="C1985" s="134" t="inlineStr">
        <is>
          <t>9510000-200-NZ</t>
        </is>
      </c>
      <c r="D1985" s="5">
        <f>IF($I2="","",INDEX(Productos!$B:$B,$I2))</f>
        <v/>
      </c>
      <c r="E1985" s="5">
        <f>IF($I2="","",INDEX(Productos!$H:$H,$I2))</f>
        <v/>
      </c>
      <c r="F1985" s="5">
        <f>IF($I2="","",INDEX(Productos!$I:$I,$I2))</f>
        <v/>
      </c>
      <c r="G1985" s="135" t="n">
        <v>2</v>
      </c>
      <c r="H1985" s="5">
        <f>IF($I2="","",INDEX(Productos!$AG:$AG,$I2))</f>
        <v/>
      </c>
      <c r="I1985" s="136">
        <f>LET(_xlpm.r,Productos!$E$2:$E$2509,_xlpm.m,IFERROR(_xlfn.XMATCH(C1985,_xlpm.r),IFERROR(_xlfn.XMATCH(VALUE(C1985),_xlpm.r),0)),IF(_xlpm.m=0,"",_xlpm.m+1))</f>
        <v/>
      </c>
      <c r="J1985" s="137" t="inlineStr">
        <is>
          <t>Shopify</t>
        </is>
      </c>
    </row>
    <row r="1986">
      <c r="A1986" s="5" t="inlineStr">
        <is>
          <t>Shopify Stetson México › Eventos</t>
        </is>
      </c>
      <c r="B1986" s="5">
        <f>IF($I2="","",INDEX(Productos!$A:$A,$I2))</f>
        <v/>
      </c>
      <c r="C1986" s="134" t="inlineStr">
        <is>
          <t>9510000-219-NZ</t>
        </is>
      </c>
      <c r="D1986" s="5">
        <f>IF($I2="","",INDEX(Productos!$B:$B,$I2))</f>
        <v/>
      </c>
      <c r="E1986" s="5">
        <f>IF($I2="","",INDEX(Productos!$H:$H,$I2))</f>
        <v/>
      </c>
      <c r="F1986" s="5">
        <f>IF($I2="","",INDEX(Productos!$I:$I,$I2))</f>
        <v/>
      </c>
      <c r="G1986" s="135" t="n">
        <v>2</v>
      </c>
      <c r="H1986" s="5">
        <f>IF($I2="","",INDEX(Productos!$AG:$AG,$I2))</f>
        <v/>
      </c>
      <c r="I1986" s="136">
        <f>LET(_xlpm.r,Productos!$E$2:$E$2509,_xlpm.m,IFERROR(_xlfn.XMATCH(C1986,_xlpm.r),IFERROR(_xlfn.XMATCH(VALUE(C1986),_xlpm.r),0)),IF(_xlpm.m=0,"",_xlpm.m+1))</f>
        <v/>
      </c>
      <c r="J1986" s="137" t="inlineStr">
        <is>
          <t>Shopify</t>
        </is>
      </c>
    </row>
    <row r="1987">
      <c r="A1987" s="5" t="inlineStr">
        <is>
          <t>Shopify Stetson México › Eventos</t>
        </is>
      </c>
      <c r="B1987" s="5">
        <f>IF($I2="","",INDEX(Productos!$A:$A,$I2))</f>
        <v/>
      </c>
      <c r="C1987" s="134" t="inlineStr">
        <is>
          <t>9511000-200-NZ</t>
        </is>
      </c>
      <c r="D1987" s="5">
        <f>IF($I2="","",INDEX(Productos!$B:$B,$I2))</f>
        <v/>
      </c>
      <c r="E1987" s="5">
        <f>IF($I2="","",INDEX(Productos!$H:$H,$I2))</f>
        <v/>
      </c>
      <c r="F1987" s="5">
        <f>IF($I2="","",INDEX(Productos!$I:$I,$I2))</f>
        <v/>
      </c>
      <c r="G1987" s="135" t="n">
        <v>2</v>
      </c>
      <c r="H1987" s="5">
        <f>IF($I2="","",INDEX(Productos!$AG:$AG,$I2))</f>
        <v/>
      </c>
      <c r="I1987" s="136">
        <f>LET(_xlpm.r,Productos!$E$2:$E$2509,_xlpm.m,IFERROR(_xlfn.XMATCH(C1987,_xlpm.r),IFERROR(_xlfn.XMATCH(VALUE(C1987),_xlpm.r),0)),IF(_xlpm.m=0,"",_xlpm.m+1))</f>
        <v/>
      </c>
      <c r="J1987" s="137" t="inlineStr">
        <is>
          <t>Shopify</t>
        </is>
      </c>
    </row>
    <row r="1988">
      <c r="A1988" s="5" t="inlineStr">
        <is>
          <t>Shopify Stetson México › Eventos</t>
        </is>
      </c>
      <c r="B1988" s="5">
        <f>IF($I2="","",INDEX(Productos!$A:$A,$I2))</f>
        <v/>
      </c>
      <c r="C1988" s="134" t="inlineStr">
        <is>
          <t>9512000-600-NZ</t>
        </is>
      </c>
      <c r="D1988" s="5">
        <f>IF($I2="","",INDEX(Productos!$B:$B,$I2))</f>
        <v/>
      </c>
      <c r="E1988" s="5">
        <f>IF($I2="","",INDEX(Productos!$H:$H,$I2))</f>
        <v/>
      </c>
      <c r="F1988" s="5">
        <f>IF($I2="","",INDEX(Productos!$I:$I,$I2))</f>
        <v/>
      </c>
      <c r="G1988" s="135" t="n">
        <v>2</v>
      </c>
      <c r="H1988" s="5">
        <f>IF($I2="","",INDEX(Productos!$AG:$AG,$I2))</f>
        <v/>
      </c>
      <c r="I1988" s="136">
        <f>LET(_xlpm.r,Productos!$E$2:$E$2509,_xlpm.m,IFERROR(_xlfn.XMATCH(C1988,_xlpm.r),IFERROR(_xlfn.XMATCH(VALUE(C1988),_xlpm.r),0)),IF(_xlpm.m=0,"",_xlpm.m+1))</f>
        <v/>
      </c>
      <c r="J1988" s="137" t="inlineStr">
        <is>
          <t>Shopify</t>
        </is>
      </c>
    </row>
    <row r="1989">
      <c r="A1989" s="5" t="inlineStr">
        <is>
          <t>Shopify Stetson México › Eventos</t>
        </is>
      </c>
      <c r="B1989" s="5">
        <f>IF($I2="","",INDEX(Productos!$A:$A,$I2))</f>
        <v/>
      </c>
      <c r="C1989" s="134" t="inlineStr">
        <is>
          <t>9513000-001-NZ</t>
        </is>
      </c>
      <c r="D1989" s="5">
        <f>IF($I2="","",INDEX(Productos!$B:$B,$I2))</f>
        <v/>
      </c>
      <c r="E1989" s="5">
        <f>IF($I2="","",INDEX(Productos!$H:$H,$I2))</f>
        <v/>
      </c>
      <c r="F1989" s="5">
        <f>IF($I2="","",INDEX(Productos!$I:$I,$I2))</f>
        <v/>
      </c>
      <c r="G1989" s="135" t="n">
        <v>2</v>
      </c>
      <c r="H1989" s="5">
        <f>IF($I2="","",INDEX(Productos!$AG:$AG,$I2))</f>
        <v/>
      </c>
      <c r="I1989" s="136">
        <f>LET(_xlpm.r,Productos!$E$2:$E$2509,_xlpm.m,IFERROR(_xlfn.XMATCH(C1989,_xlpm.r),IFERROR(_xlfn.XMATCH(VALUE(C1989),_xlpm.r),0)),IF(_xlpm.m=0,"",_xlpm.m+1))</f>
        <v/>
      </c>
      <c r="J1989" s="137" t="inlineStr">
        <is>
          <t>Shopify</t>
        </is>
      </c>
    </row>
    <row r="1990">
      <c r="A1990" s="5" t="inlineStr">
        <is>
          <t>Shopify Stetson México › Eventos</t>
        </is>
      </c>
      <c r="B1990" s="5">
        <f>IF($I2="","",INDEX(Productos!$A:$A,$I2))</f>
        <v/>
      </c>
      <c r="C1990" s="134" t="inlineStr">
        <is>
          <t>9513000-934-NZ</t>
        </is>
      </c>
      <c r="D1990" s="5">
        <f>IF($I2="","",INDEX(Productos!$B:$B,$I2))</f>
        <v/>
      </c>
      <c r="E1990" s="5">
        <f>IF($I2="","",INDEX(Productos!$H:$H,$I2))</f>
        <v/>
      </c>
      <c r="F1990" s="5">
        <f>IF($I2="","",INDEX(Productos!$I:$I,$I2))</f>
        <v/>
      </c>
      <c r="G1990" s="135" t="n">
        <v>1</v>
      </c>
      <c r="H1990" s="5">
        <f>IF($I2="","",INDEX(Productos!$AG:$AG,$I2))</f>
        <v/>
      </c>
      <c r="I1990" s="136">
        <f>LET(_xlpm.r,Productos!$E$2:$E$2509,_xlpm.m,IFERROR(_xlfn.XMATCH(C1990,_xlpm.r),IFERROR(_xlfn.XMATCH(VALUE(C1990),_xlpm.r),0)),IF(_xlpm.m=0,"",_xlpm.m+1))</f>
        <v/>
      </c>
      <c r="J1990" s="137" t="inlineStr">
        <is>
          <t>Shopify</t>
        </is>
      </c>
    </row>
    <row r="1991">
      <c r="A1991" s="5" t="inlineStr">
        <is>
          <t>Shopify Stetson México › Eventos</t>
        </is>
      </c>
      <c r="B1991" s="5">
        <f>IF($I2="","",INDEX(Productos!$A:$A,$I2))</f>
        <v/>
      </c>
      <c r="C1991" s="134" t="inlineStr">
        <is>
          <t>9803002-255-NZ</t>
        </is>
      </c>
      <c r="D1991" s="5">
        <f>IF($I2="","",INDEX(Productos!$B:$B,$I2))</f>
        <v/>
      </c>
      <c r="E1991" s="5">
        <f>IF($I2="","",INDEX(Productos!$H:$H,$I2))</f>
        <v/>
      </c>
      <c r="F1991" s="5">
        <f>IF($I2="","",INDEX(Productos!$I:$I,$I2))</f>
        <v/>
      </c>
      <c r="G1991" s="135" t="n">
        <v>2</v>
      </c>
      <c r="H1991" s="5">
        <f>IF($I2="","",INDEX(Productos!$AG:$AG,$I2))</f>
        <v/>
      </c>
      <c r="I1991" s="136">
        <f>LET(_xlpm.r,Productos!$E$2:$E$2509,_xlpm.m,IFERROR(_xlfn.XMATCH(C1991,_xlpm.r),IFERROR(_xlfn.XMATCH(VALUE(C1991),_xlpm.r),0)),IF(_xlpm.m=0,"",_xlpm.m+1))</f>
        <v/>
      </c>
      <c r="J1991" s="137" t="inlineStr">
        <is>
          <t>Shopify</t>
        </is>
      </c>
    </row>
    <row r="1992">
      <c r="A1992" s="5" t="inlineStr">
        <is>
          <t>Shopify Stetson México › Eventos</t>
        </is>
      </c>
      <c r="B1992" s="5">
        <f>IF($I2="","",INDEX(Productos!$A:$A,$I2))</f>
        <v/>
      </c>
      <c r="C1992" s="134" t="inlineStr">
        <is>
          <t>9805001-200-NZ</t>
        </is>
      </c>
      <c r="D1992" s="5">
        <f>IF($I2="","",INDEX(Productos!$B:$B,$I2))</f>
        <v/>
      </c>
      <c r="E1992" s="5">
        <f>IF($I2="","",INDEX(Productos!$H:$H,$I2))</f>
        <v/>
      </c>
      <c r="F1992" s="5">
        <f>IF($I2="","",INDEX(Productos!$I:$I,$I2))</f>
        <v/>
      </c>
      <c r="G1992" s="135" t="n">
        <v>2</v>
      </c>
      <c r="H1992" s="5">
        <f>IF($I2="","",INDEX(Productos!$AG:$AG,$I2))</f>
        <v/>
      </c>
      <c r="I1992" s="136">
        <f>LET(_xlpm.r,Productos!$E$2:$E$2509,_xlpm.m,IFERROR(_xlfn.XMATCH(C1992,_xlpm.r),IFERROR(_xlfn.XMATCH(VALUE(C1992),_xlpm.r),0)),IF(_xlpm.m=0,"",_xlpm.m+1))</f>
        <v/>
      </c>
      <c r="J1992" s="137" t="inlineStr">
        <is>
          <t>Shopify</t>
        </is>
      </c>
    </row>
    <row r="1993">
      <c r="A1993" s="5" t="inlineStr">
        <is>
          <t>Shopify Stetson México › Eventos</t>
        </is>
      </c>
      <c r="B1993" s="5">
        <f>IF($I2="","",INDEX(Productos!$A:$A,$I2))</f>
        <v/>
      </c>
      <c r="C1993" s="134" t="inlineStr">
        <is>
          <t>9805002-200-NZ</t>
        </is>
      </c>
      <c r="D1993" s="5">
        <f>IF($I2="","",INDEX(Productos!$B:$B,$I2))</f>
        <v/>
      </c>
      <c r="E1993" s="5">
        <f>IF($I2="","",INDEX(Productos!$H:$H,$I2))</f>
        <v/>
      </c>
      <c r="F1993" s="5">
        <f>IF($I2="","",INDEX(Productos!$I:$I,$I2))</f>
        <v/>
      </c>
      <c r="G1993" s="135" t="n">
        <v>2</v>
      </c>
      <c r="H1993" s="5">
        <f>IF($I2="","",INDEX(Productos!$AG:$AG,$I2))</f>
        <v/>
      </c>
      <c r="I1993" s="136">
        <f>LET(_xlpm.r,Productos!$E$2:$E$2509,_xlpm.m,IFERROR(_xlfn.XMATCH(C1993,_xlpm.r),IFERROR(_xlfn.XMATCH(VALUE(C1993),_xlpm.r),0)),IF(_xlpm.m=0,"",_xlpm.m+1))</f>
        <v/>
      </c>
      <c r="J1993" s="137" t="inlineStr">
        <is>
          <t>Shopify</t>
        </is>
      </c>
    </row>
    <row r="1994">
      <c r="A1994" s="5" t="inlineStr">
        <is>
          <t>Shopify Stetson México › Eventos</t>
        </is>
      </c>
      <c r="B1994" s="5">
        <f>IF($I2="","",INDEX(Productos!$A:$A,$I2))</f>
        <v/>
      </c>
      <c r="C1994" s="134" t="inlineStr">
        <is>
          <t>9805003-200-NZ</t>
        </is>
      </c>
      <c r="D1994" s="5">
        <f>IF($I2="","",INDEX(Productos!$B:$B,$I2))</f>
        <v/>
      </c>
      <c r="E1994" s="5">
        <f>IF($I2="","",INDEX(Productos!$H:$H,$I2))</f>
        <v/>
      </c>
      <c r="F1994" s="5">
        <f>IF($I2="","",INDEX(Productos!$I:$I,$I2))</f>
        <v/>
      </c>
      <c r="G1994" s="135" t="n">
        <v>2</v>
      </c>
      <c r="H1994" s="5">
        <f>IF($I2="","",INDEX(Productos!$AG:$AG,$I2))</f>
        <v/>
      </c>
      <c r="I1994" s="136">
        <f>LET(_xlpm.r,Productos!$E$2:$E$2509,_xlpm.m,IFERROR(_xlfn.XMATCH(C1994,_xlpm.r),IFERROR(_xlfn.XMATCH(VALUE(C1994),_xlpm.r),0)),IF(_xlpm.m=0,"",_xlpm.m+1))</f>
        <v/>
      </c>
      <c r="J1994" s="137" t="inlineStr">
        <is>
          <t>Shopify</t>
        </is>
      </c>
    </row>
    <row r="1995">
      <c r="A1995" s="5" t="inlineStr">
        <is>
          <t>Shopify Stetson México › Eventos</t>
        </is>
      </c>
      <c r="B1995" s="5">
        <f>IF($I2="","",INDEX(Productos!$A:$A,$I2))</f>
        <v/>
      </c>
      <c r="C1995" s="134" t="inlineStr">
        <is>
          <t>9805004-200-NZ</t>
        </is>
      </c>
      <c r="D1995" s="5">
        <f>IF($I2="","",INDEX(Productos!$B:$B,$I2))</f>
        <v/>
      </c>
      <c r="E1995" s="5">
        <f>IF($I2="","",INDEX(Productos!$H:$H,$I2))</f>
        <v/>
      </c>
      <c r="F1995" s="5">
        <f>IF($I2="","",INDEX(Productos!$I:$I,$I2))</f>
        <v/>
      </c>
      <c r="G1995" s="135" t="n">
        <v>2</v>
      </c>
      <c r="H1995" s="5">
        <f>IF($I2="","",INDEX(Productos!$AG:$AG,$I2))</f>
        <v/>
      </c>
      <c r="I1995" s="136">
        <f>LET(_xlpm.r,Productos!$E$2:$E$2509,_xlpm.m,IFERROR(_xlfn.XMATCH(C1995,_xlpm.r),IFERROR(_xlfn.XMATCH(VALUE(C1995),_xlpm.r),0)),IF(_xlpm.m=0,"",_xlpm.m+1))</f>
        <v/>
      </c>
      <c r="J1995" s="137" t="inlineStr">
        <is>
          <t>Shopify</t>
        </is>
      </c>
    </row>
    <row r="1996">
      <c r="A1996" s="5" t="inlineStr">
        <is>
          <t>Shopify Stetson México › Eventos</t>
        </is>
      </c>
      <c r="B1996" s="5">
        <f>IF($I2="","",INDEX(Productos!$A:$A,$I2))</f>
        <v/>
      </c>
      <c r="C1996" s="134" t="inlineStr">
        <is>
          <t>9806001-625-NZ</t>
        </is>
      </c>
      <c r="D1996" s="5">
        <f>IF($I2="","",INDEX(Productos!$B:$B,$I2))</f>
        <v/>
      </c>
      <c r="E1996" s="5">
        <f>IF($I2="","",INDEX(Productos!$H:$H,$I2))</f>
        <v/>
      </c>
      <c r="F1996" s="5">
        <f>IF($I2="","",INDEX(Productos!$I:$I,$I2))</f>
        <v/>
      </c>
      <c r="G1996" s="135" t="n">
        <v>2</v>
      </c>
      <c r="H1996" s="5">
        <f>IF($I2="","",INDEX(Productos!$AG:$AG,$I2))</f>
        <v/>
      </c>
      <c r="I1996" s="136">
        <f>LET(_xlpm.r,Productos!$E$2:$E$2509,_xlpm.m,IFERROR(_xlfn.XMATCH(C1996,_xlpm.r),IFERROR(_xlfn.XMATCH(VALUE(C1996),_xlpm.r),0)),IF(_xlpm.m=0,"",_xlpm.m+1))</f>
        <v/>
      </c>
      <c r="J1996" s="137" t="inlineStr">
        <is>
          <t>Shopify</t>
        </is>
      </c>
    </row>
    <row r="1997">
      <c r="A1997" s="5" t="inlineStr">
        <is>
          <t>Shopify Stetson México › Eventos</t>
        </is>
      </c>
      <c r="B1997" s="5">
        <f>IF($I2="","",INDEX(Productos!$A:$A,$I2))</f>
        <v/>
      </c>
      <c r="C1997" s="134" t="inlineStr">
        <is>
          <t>9806002-625-NZ</t>
        </is>
      </c>
      <c r="D1997" s="5">
        <f>IF($I2="","",INDEX(Productos!$B:$B,$I2))</f>
        <v/>
      </c>
      <c r="E1997" s="5">
        <f>IF($I2="","",INDEX(Productos!$H:$H,$I2))</f>
        <v/>
      </c>
      <c r="F1997" s="5">
        <f>IF($I2="","",INDEX(Productos!$I:$I,$I2))</f>
        <v/>
      </c>
      <c r="G1997" s="135" t="n">
        <v>2</v>
      </c>
      <c r="H1997" s="5">
        <f>IF($I2="","",INDEX(Productos!$AG:$AG,$I2))</f>
        <v/>
      </c>
      <c r="I1997" s="136">
        <f>LET(_xlpm.r,Productos!$E$2:$E$2509,_xlpm.m,IFERROR(_xlfn.XMATCH(C1997,_xlpm.r),IFERROR(_xlfn.XMATCH(VALUE(C1997),_xlpm.r),0)),IF(_xlpm.m=0,"",_xlpm.m+1))</f>
        <v/>
      </c>
      <c r="J1997" s="137" t="inlineStr">
        <is>
          <t>Shopify</t>
        </is>
      </c>
    </row>
    <row r="1998">
      <c r="A1998" s="5" t="inlineStr">
        <is>
          <t>Shopify Stetson México › Eventos</t>
        </is>
      </c>
      <c r="B1998" s="5">
        <f>IF($I2="","",INDEX(Productos!$A:$A,$I2))</f>
        <v/>
      </c>
      <c r="C1998" s="134" t="inlineStr">
        <is>
          <t>9809001-200-NZ</t>
        </is>
      </c>
      <c r="D1998" s="5">
        <f>IF($I2="","",INDEX(Productos!$B:$B,$I2))</f>
        <v/>
      </c>
      <c r="E1998" s="5">
        <f>IF($I2="","",INDEX(Productos!$H:$H,$I2))</f>
        <v/>
      </c>
      <c r="F1998" s="5">
        <f>IF($I2="","",INDEX(Productos!$I:$I,$I2))</f>
        <v/>
      </c>
      <c r="G1998" s="135" t="n">
        <v>2</v>
      </c>
      <c r="H1998" s="5">
        <f>IF($I2="","",INDEX(Productos!$AG:$AG,$I2))</f>
        <v/>
      </c>
      <c r="I1998" s="136">
        <f>LET(_xlpm.r,Productos!$E$2:$E$2509,_xlpm.m,IFERROR(_xlfn.XMATCH(C1998,_xlpm.r),IFERROR(_xlfn.XMATCH(VALUE(C1998),_xlpm.r),0)),IF(_xlpm.m=0,"",_xlpm.m+1))</f>
        <v/>
      </c>
      <c r="J1998" s="137" t="inlineStr">
        <is>
          <t>Shopify</t>
        </is>
      </c>
    </row>
    <row r="1999">
      <c r="A1999" s="5" t="inlineStr">
        <is>
          <t>Shopify Stetson México › Eventos</t>
        </is>
      </c>
      <c r="B1999" s="5">
        <f>IF($I2="","",INDEX(Productos!$A:$A,$I2))</f>
        <v/>
      </c>
      <c r="C1999" s="134" t="inlineStr">
        <is>
          <t>9809003-200-NZ</t>
        </is>
      </c>
      <c r="D1999" s="5">
        <f>IF($I2="","",INDEX(Productos!$B:$B,$I2))</f>
        <v/>
      </c>
      <c r="E1999" s="5">
        <f>IF($I2="","",INDEX(Productos!$H:$H,$I2))</f>
        <v/>
      </c>
      <c r="F1999" s="5">
        <f>IF($I2="","",INDEX(Productos!$I:$I,$I2))</f>
        <v/>
      </c>
      <c r="G1999" s="135" t="n">
        <v>2</v>
      </c>
      <c r="H1999" s="5">
        <f>IF($I2="","",INDEX(Productos!$AG:$AG,$I2))</f>
        <v/>
      </c>
      <c r="I1999" s="136">
        <f>LET(_xlpm.r,Productos!$E$2:$E$2509,_xlpm.m,IFERROR(_xlfn.XMATCH(C1999,_xlpm.r),IFERROR(_xlfn.XMATCH(VALUE(C1999),_xlpm.r),0)),IF(_xlpm.m=0,"",_xlpm.m+1))</f>
        <v/>
      </c>
      <c r="J1999" s="137" t="inlineStr">
        <is>
          <t>Shopify</t>
        </is>
      </c>
    </row>
    <row r="2000">
      <c r="A2000" s="5" t="inlineStr">
        <is>
          <t>Shopify Stetson México › Eventos</t>
        </is>
      </c>
      <c r="B2000" s="5">
        <f>IF($I2="","",INDEX(Productos!$A:$A,$I2))</f>
        <v/>
      </c>
      <c r="C2000" s="134" t="inlineStr">
        <is>
          <t>9901500-204-36</t>
        </is>
      </c>
      <c r="D2000" s="5">
        <f>IF($I2="","",INDEX(Productos!$B:$B,$I2))</f>
        <v/>
      </c>
      <c r="E2000" s="5">
        <f>IF($I2="","",INDEX(Productos!$H:$H,$I2))</f>
        <v/>
      </c>
      <c r="F2000" s="5">
        <f>IF($I2="","",INDEX(Productos!$I:$I,$I2))</f>
        <v/>
      </c>
      <c r="G2000" s="135" t="n">
        <v>1</v>
      </c>
      <c r="H2000" s="5">
        <f>IF($I2="","",INDEX(Productos!$AG:$AG,$I2))</f>
        <v/>
      </c>
      <c r="I2000" s="136">
        <f>LET(_xlpm.r,Productos!$E$2:$E$2509,_xlpm.m,IFERROR(_xlfn.XMATCH(C2000,_xlpm.r),IFERROR(_xlfn.XMATCH(VALUE(C2000),_xlpm.r),0)),IF(_xlpm.m=0,"",_xlpm.m+1))</f>
        <v/>
      </c>
      <c r="J2000" s="137" t="inlineStr">
        <is>
          <t>Shopify</t>
        </is>
      </c>
    </row>
    <row r="2001">
      <c r="A2001" s="5" t="inlineStr">
        <is>
          <t>Shopify Stetson México › Eventos</t>
        </is>
      </c>
      <c r="B2001" s="5">
        <f>IF($I2="","",INDEX(Productos!$A:$A,$I2))</f>
        <v/>
      </c>
      <c r="C2001" s="134" t="inlineStr">
        <is>
          <t>9901500-204-38</t>
        </is>
      </c>
      <c r="D2001" s="5">
        <f>IF($I2="","",INDEX(Productos!$B:$B,$I2))</f>
        <v/>
      </c>
      <c r="E2001" s="5">
        <f>IF($I2="","",INDEX(Productos!$H:$H,$I2))</f>
        <v/>
      </c>
      <c r="F2001" s="5">
        <f>IF($I2="","",INDEX(Productos!$I:$I,$I2))</f>
        <v/>
      </c>
      <c r="G2001" s="135" t="n">
        <v>1</v>
      </c>
      <c r="H2001" s="5">
        <f>IF($I2="","",INDEX(Productos!$AG:$AG,$I2))</f>
        <v/>
      </c>
      <c r="I2001" s="136">
        <f>LET(_xlpm.r,Productos!$E$2:$E$2509,_xlpm.m,IFERROR(_xlfn.XMATCH(C2001,_xlpm.r),IFERROR(_xlfn.XMATCH(VALUE(C2001),_xlpm.r),0)),IF(_xlpm.m=0,"",_xlpm.m+1))</f>
        <v/>
      </c>
      <c r="J2001" s="137" t="inlineStr">
        <is>
          <t>Shopify</t>
        </is>
      </c>
    </row>
    <row r="2002">
      <c r="A2002" s="5" t="inlineStr">
        <is>
          <t>Shopify Stetson México › Eventos</t>
        </is>
      </c>
      <c r="B2002" s="5">
        <f>IF($I2="","",INDEX(Productos!$A:$A,$I2))</f>
        <v/>
      </c>
      <c r="C2002" s="134" t="inlineStr">
        <is>
          <t>9901500-204-40</t>
        </is>
      </c>
      <c r="D2002" s="5">
        <f>IF($I2="","",INDEX(Productos!$B:$B,$I2))</f>
        <v/>
      </c>
      <c r="E2002" s="5">
        <f>IF($I2="","",INDEX(Productos!$H:$H,$I2))</f>
        <v/>
      </c>
      <c r="F2002" s="5">
        <f>IF($I2="","",INDEX(Productos!$I:$I,$I2))</f>
        <v/>
      </c>
      <c r="G2002" s="135" t="n">
        <v>1</v>
      </c>
      <c r="H2002" s="5">
        <f>IF($I2="","",INDEX(Productos!$AG:$AG,$I2))</f>
        <v/>
      </c>
      <c r="I2002" s="136">
        <f>LET(_xlpm.r,Productos!$E$2:$E$2509,_xlpm.m,IFERROR(_xlfn.XMATCH(C2002,_xlpm.r),IFERROR(_xlfn.XMATCH(VALUE(C2002),_xlpm.r),0)),IF(_xlpm.m=0,"",_xlpm.m+1))</f>
        <v/>
      </c>
      <c r="J2002" s="137" t="inlineStr">
        <is>
          <t>Shopify</t>
        </is>
      </c>
    </row>
    <row r="2003">
      <c r="A2003" s="5" t="inlineStr">
        <is>
          <t>Shopify Stetson México › Eventos</t>
        </is>
      </c>
      <c r="B2003" s="5">
        <f>IF($I2="","",INDEX(Productos!$A:$A,$I2))</f>
        <v/>
      </c>
      <c r="C2003" s="134" t="inlineStr">
        <is>
          <t>9901500-204-42</t>
        </is>
      </c>
      <c r="D2003" s="5">
        <f>IF($I2="","",INDEX(Productos!$B:$B,$I2))</f>
        <v/>
      </c>
      <c r="E2003" s="5">
        <f>IF($I2="","",INDEX(Productos!$H:$H,$I2))</f>
        <v/>
      </c>
      <c r="F2003" s="5">
        <f>IF($I2="","",INDEX(Productos!$I:$I,$I2))</f>
        <v/>
      </c>
      <c r="G2003" s="135" t="n">
        <v>1</v>
      </c>
      <c r="H2003" s="5">
        <f>IF($I2="","",INDEX(Productos!$AG:$AG,$I2))</f>
        <v/>
      </c>
      <c r="I2003" s="136">
        <f>LET(_xlpm.r,Productos!$E$2:$E$2509,_xlpm.m,IFERROR(_xlfn.XMATCH(C2003,_xlpm.r),IFERROR(_xlfn.XMATCH(VALUE(C2003),_xlpm.r),0)),IF(_xlpm.m=0,"",_xlpm.m+1))</f>
        <v/>
      </c>
      <c r="J2003" s="137" t="inlineStr">
        <is>
          <t>Shopify</t>
        </is>
      </c>
    </row>
    <row r="2004">
      <c r="A2004" s="5" t="inlineStr">
        <is>
          <t>Shopify Stetson México › Eventos</t>
        </is>
      </c>
      <c r="B2004" s="5">
        <f>IF($I2="","",INDEX(Productos!$A:$A,$I2))</f>
        <v/>
      </c>
      <c r="C2004" s="134" t="inlineStr">
        <is>
          <t>9901500-204-44</t>
        </is>
      </c>
      <c r="D2004" s="5">
        <f>IF($I2="","",INDEX(Productos!$B:$B,$I2))</f>
        <v/>
      </c>
      <c r="E2004" s="5">
        <f>IF($I2="","",INDEX(Productos!$H:$H,$I2))</f>
        <v/>
      </c>
      <c r="F2004" s="5">
        <f>IF($I2="","",INDEX(Productos!$I:$I,$I2))</f>
        <v/>
      </c>
      <c r="G2004" s="135" t="n">
        <v>1</v>
      </c>
      <c r="H2004" s="5">
        <f>IF($I2="","",INDEX(Productos!$AG:$AG,$I2))</f>
        <v/>
      </c>
      <c r="I2004" s="136">
        <f>LET(_xlpm.r,Productos!$E$2:$E$2509,_xlpm.m,IFERROR(_xlfn.XMATCH(C2004,_xlpm.r),IFERROR(_xlfn.XMATCH(VALUE(C2004),_xlpm.r),0)),IF(_xlpm.m=0,"",_xlpm.m+1))</f>
        <v/>
      </c>
      <c r="J2004" s="137" t="inlineStr">
        <is>
          <t>Shopify</t>
        </is>
      </c>
    </row>
    <row r="2005">
      <c r="A2005" s="5" t="inlineStr">
        <is>
          <t>Shopify Stetson México › Eventos</t>
        </is>
      </c>
      <c r="B2005" s="5">
        <f>IF($I2="","",INDEX(Productos!$A:$A,$I2))</f>
        <v/>
      </c>
      <c r="C2005" s="134" t="inlineStr">
        <is>
          <t>9901500-204-46</t>
        </is>
      </c>
      <c r="D2005" s="5">
        <f>IF($I2="","",INDEX(Productos!$B:$B,$I2))</f>
        <v/>
      </c>
      <c r="E2005" s="5">
        <f>IF($I2="","",INDEX(Productos!$H:$H,$I2))</f>
        <v/>
      </c>
      <c r="F2005" s="5">
        <f>IF($I2="","",INDEX(Productos!$I:$I,$I2))</f>
        <v/>
      </c>
      <c r="G2005" s="135" t="n">
        <v>1</v>
      </c>
      <c r="H2005" s="5">
        <f>IF($I2="","",INDEX(Productos!$AG:$AG,$I2))</f>
        <v/>
      </c>
      <c r="I2005" s="136">
        <f>LET(_xlpm.r,Productos!$E$2:$E$2509,_xlpm.m,IFERROR(_xlfn.XMATCH(C2005,_xlpm.r),IFERROR(_xlfn.XMATCH(VALUE(C2005),_xlpm.r),0)),IF(_xlpm.m=0,"",_xlpm.m+1))</f>
        <v/>
      </c>
      <c r="J2005" s="137" t="inlineStr">
        <is>
          <t>Shopify</t>
        </is>
      </c>
    </row>
    <row r="2006">
      <c r="A2006" s="5" t="inlineStr">
        <is>
          <t>Shopify Stetson México › Eventos</t>
        </is>
      </c>
      <c r="B2006" s="5">
        <f>IF($I2="","",INDEX(Productos!$A:$A,$I2))</f>
        <v/>
      </c>
      <c r="C2006" s="134" t="inlineStr">
        <is>
          <t>9903500-109-36</t>
        </is>
      </c>
      <c r="D2006" s="5">
        <f>IF($I2="","",INDEX(Productos!$B:$B,$I2))</f>
        <v/>
      </c>
      <c r="E2006" s="5">
        <f>IF($I2="","",INDEX(Productos!$H:$H,$I2))</f>
        <v/>
      </c>
      <c r="F2006" s="5">
        <f>IF($I2="","",INDEX(Productos!$I:$I,$I2))</f>
        <v/>
      </c>
      <c r="G2006" s="135" t="n">
        <v>1</v>
      </c>
      <c r="H2006" s="5">
        <f>IF($I2="","",INDEX(Productos!$AG:$AG,$I2))</f>
        <v/>
      </c>
      <c r="I2006" s="136">
        <f>LET(_xlpm.r,Productos!$E$2:$E$2509,_xlpm.m,IFERROR(_xlfn.XMATCH(C2006,_xlpm.r),IFERROR(_xlfn.XMATCH(VALUE(C2006),_xlpm.r),0)),IF(_xlpm.m=0,"",_xlpm.m+1))</f>
        <v/>
      </c>
      <c r="J2006" s="137" t="inlineStr">
        <is>
          <t>Shopify</t>
        </is>
      </c>
    </row>
    <row r="2007">
      <c r="A2007" s="5" t="inlineStr">
        <is>
          <t>Shopify Stetson México › Eventos</t>
        </is>
      </c>
      <c r="B2007" s="5">
        <f>IF($I2="","",INDEX(Productos!$A:$A,$I2))</f>
        <v/>
      </c>
      <c r="C2007" s="134" t="inlineStr">
        <is>
          <t>9903500-109-38</t>
        </is>
      </c>
      <c r="D2007" s="5">
        <f>IF($I2="","",INDEX(Productos!$B:$B,$I2))</f>
        <v/>
      </c>
      <c r="E2007" s="5">
        <f>IF($I2="","",INDEX(Productos!$H:$H,$I2))</f>
        <v/>
      </c>
      <c r="F2007" s="5">
        <f>IF($I2="","",INDEX(Productos!$I:$I,$I2))</f>
        <v/>
      </c>
      <c r="G2007" s="135" t="n">
        <v>1</v>
      </c>
      <c r="H2007" s="5">
        <f>IF($I2="","",INDEX(Productos!$AG:$AG,$I2))</f>
        <v/>
      </c>
      <c r="I2007" s="136">
        <f>LET(_xlpm.r,Productos!$E$2:$E$2509,_xlpm.m,IFERROR(_xlfn.XMATCH(C2007,_xlpm.r),IFERROR(_xlfn.XMATCH(VALUE(C2007),_xlpm.r),0)),IF(_xlpm.m=0,"",_xlpm.m+1))</f>
        <v/>
      </c>
      <c r="J2007" s="137" t="inlineStr">
        <is>
          <t>Shopify</t>
        </is>
      </c>
    </row>
    <row r="2008">
      <c r="A2008" s="5" t="inlineStr">
        <is>
          <t>Shopify Stetson México › Eventos</t>
        </is>
      </c>
      <c r="B2008" s="5">
        <f>IF($I2="","",INDEX(Productos!$A:$A,$I2))</f>
        <v/>
      </c>
      <c r="C2008" s="134" t="inlineStr">
        <is>
          <t>9903500-109-40</t>
        </is>
      </c>
      <c r="D2008" s="5">
        <f>IF($I2="","",INDEX(Productos!$B:$B,$I2))</f>
        <v/>
      </c>
      <c r="E2008" s="5">
        <f>IF($I2="","",INDEX(Productos!$H:$H,$I2))</f>
        <v/>
      </c>
      <c r="F2008" s="5">
        <f>IF($I2="","",INDEX(Productos!$I:$I,$I2))</f>
        <v/>
      </c>
      <c r="G2008" s="135" t="n">
        <v>1</v>
      </c>
      <c r="H2008" s="5">
        <f>IF($I2="","",INDEX(Productos!$AG:$AG,$I2))</f>
        <v/>
      </c>
      <c r="I2008" s="136">
        <f>LET(_xlpm.r,Productos!$E$2:$E$2509,_xlpm.m,IFERROR(_xlfn.XMATCH(C2008,_xlpm.r),IFERROR(_xlfn.XMATCH(VALUE(C2008),_xlpm.r),0)),IF(_xlpm.m=0,"",_xlpm.m+1))</f>
        <v/>
      </c>
      <c r="J2008" s="137" t="inlineStr">
        <is>
          <t>Shopify</t>
        </is>
      </c>
    </row>
    <row r="2009">
      <c r="A2009" s="5" t="inlineStr">
        <is>
          <t>Shopify Stetson México › Eventos</t>
        </is>
      </c>
      <c r="B2009" s="5">
        <f>IF($I2="","",INDEX(Productos!$A:$A,$I2))</f>
        <v/>
      </c>
      <c r="C2009" s="134" t="inlineStr">
        <is>
          <t>9903500-109-42</t>
        </is>
      </c>
      <c r="D2009" s="5">
        <f>IF($I2="","",INDEX(Productos!$B:$B,$I2))</f>
        <v/>
      </c>
      <c r="E2009" s="5">
        <f>IF($I2="","",INDEX(Productos!$H:$H,$I2))</f>
        <v/>
      </c>
      <c r="F2009" s="5">
        <f>IF($I2="","",INDEX(Productos!$I:$I,$I2))</f>
        <v/>
      </c>
      <c r="G2009" s="135" t="n">
        <v>1</v>
      </c>
      <c r="H2009" s="5">
        <f>IF($I2="","",INDEX(Productos!$AG:$AG,$I2))</f>
        <v/>
      </c>
      <c r="I2009" s="136">
        <f>LET(_xlpm.r,Productos!$E$2:$E$2509,_xlpm.m,IFERROR(_xlfn.XMATCH(C2009,_xlpm.r),IFERROR(_xlfn.XMATCH(VALUE(C2009),_xlpm.r),0)),IF(_xlpm.m=0,"",_xlpm.m+1))</f>
        <v/>
      </c>
      <c r="J2009" s="137" t="inlineStr">
        <is>
          <t>Shopify</t>
        </is>
      </c>
    </row>
    <row r="2010">
      <c r="A2010" s="5" t="inlineStr">
        <is>
          <t>Shopify Stetson México › Eventos</t>
        </is>
      </c>
      <c r="B2010" s="5">
        <f>IF($I2="","",INDEX(Productos!$A:$A,$I2))</f>
        <v/>
      </c>
      <c r="C2010" s="134" t="inlineStr">
        <is>
          <t>9903500-109-44</t>
        </is>
      </c>
      <c r="D2010" s="5">
        <f>IF($I2="","",INDEX(Productos!$B:$B,$I2))</f>
        <v/>
      </c>
      <c r="E2010" s="5">
        <f>IF($I2="","",INDEX(Productos!$H:$H,$I2))</f>
        <v/>
      </c>
      <c r="F2010" s="5">
        <f>IF($I2="","",INDEX(Productos!$I:$I,$I2))</f>
        <v/>
      </c>
      <c r="G2010" s="135" t="n">
        <v>1</v>
      </c>
      <c r="H2010" s="5">
        <f>IF($I2="","",INDEX(Productos!$AG:$AG,$I2))</f>
        <v/>
      </c>
      <c r="I2010" s="136">
        <f>LET(_xlpm.r,Productos!$E$2:$E$2509,_xlpm.m,IFERROR(_xlfn.XMATCH(C2010,_xlpm.r),IFERROR(_xlfn.XMATCH(VALUE(C2010),_xlpm.r),0)),IF(_xlpm.m=0,"",_xlpm.m+1))</f>
        <v/>
      </c>
      <c r="J2010" s="137" t="inlineStr">
        <is>
          <t>Shopify</t>
        </is>
      </c>
    </row>
    <row r="2011">
      <c r="A2011" s="5" t="inlineStr">
        <is>
          <t>Shopify Stetson México › Eventos</t>
        </is>
      </c>
      <c r="B2011" s="5">
        <f>IF($I2="","",INDEX(Productos!$A:$A,$I2))</f>
        <v/>
      </c>
      <c r="C2011" s="134" t="inlineStr">
        <is>
          <t>9903500-109-46</t>
        </is>
      </c>
      <c r="D2011" s="5">
        <f>IF($I2="","",INDEX(Productos!$B:$B,$I2))</f>
        <v/>
      </c>
      <c r="E2011" s="5">
        <f>IF($I2="","",INDEX(Productos!$H:$H,$I2))</f>
        <v/>
      </c>
      <c r="F2011" s="5">
        <f>IF($I2="","",INDEX(Productos!$I:$I,$I2))</f>
        <v/>
      </c>
      <c r="G2011" s="135" t="n">
        <v>1</v>
      </c>
      <c r="H2011" s="5">
        <f>IF($I2="","",INDEX(Productos!$AG:$AG,$I2))</f>
        <v/>
      </c>
      <c r="I2011" s="136">
        <f>LET(_xlpm.r,Productos!$E$2:$E$2509,_xlpm.m,IFERROR(_xlfn.XMATCH(C2011,_xlpm.r),IFERROR(_xlfn.XMATCH(VALUE(C2011),_xlpm.r),0)),IF(_xlpm.m=0,"",_xlpm.m+1))</f>
        <v/>
      </c>
      <c r="J2011" s="137" t="inlineStr">
        <is>
          <t>Shopify</t>
        </is>
      </c>
    </row>
    <row r="2012">
      <c r="A2012" s="5" t="inlineStr">
        <is>
          <t>Shopify Stetson México › Eventos</t>
        </is>
      </c>
      <c r="B2012" s="5">
        <f>IF($I2="","",INDEX(Productos!$A:$A,$I2))</f>
        <v/>
      </c>
      <c r="C2012" s="134" t="inlineStr">
        <is>
          <t>9907500-204-38</t>
        </is>
      </c>
      <c r="D2012" s="5">
        <f>IF($I2="","",INDEX(Productos!$B:$B,$I2))</f>
        <v/>
      </c>
      <c r="E2012" s="5">
        <f>IF($I2="","",INDEX(Productos!$H:$H,$I2))</f>
        <v/>
      </c>
      <c r="F2012" s="5">
        <f>IF($I2="","",INDEX(Productos!$I:$I,$I2))</f>
        <v/>
      </c>
      <c r="G2012" s="135" t="n">
        <v>1</v>
      </c>
      <c r="H2012" s="5">
        <f>IF($I2="","",INDEX(Productos!$AG:$AG,$I2))</f>
        <v/>
      </c>
      <c r="I2012" s="136">
        <f>LET(_xlpm.r,Productos!$E$2:$E$2509,_xlpm.m,IFERROR(_xlfn.XMATCH(C2012,_xlpm.r),IFERROR(_xlfn.XMATCH(VALUE(C2012),_xlpm.r),0)),IF(_xlpm.m=0,"",_xlpm.m+1))</f>
        <v/>
      </c>
      <c r="J2012" s="137" t="inlineStr">
        <is>
          <t>Shopify</t>
        </is>
      </c>
    </row>
    <row r="2013">
      <c r="A2013" s="5" t="inlineStr">
        <is>
          <t>Shopify Stetson México › Eventos</t>
        </is>
      </c>
      <c r="B2013" s="5">
        <f>IF($I2="","",INDEX(Productos!$A:$A,$I2))</f>
        <v/>
      </c>
      <c r="C2013" s="134" t="inlineStr">
        <is>
          <t>9907500-204-40</t>
        </is>
      </c>
      <c r="D2013" s="5">
        <f>IF($I2="","",INDEX(Productos!$B:$B,$I2))</f>
        <v/>
      </c>
      <c r="E2013" s="5">
        <f>IF($I2="","",INDEX(Productos!$H:$H,$I2))</f>
        <v/>
      </c>
      <c r="F2013" s="5">
        <f>IF($I2="","",INDEX(Productos!$I:$I,$I2))</f>
        <v/>
      </c>
      <c r="G2013" s="135" t="n">
        <v>1</v>
      </c>
      <c r="H2013" s="5">
        <f>IF($I2="","",INDEX(Productos!$AG:$AG,$I2))</f>
        <v/>
      </c>
      <c r="I2013" s="136">
        <f>LET(_xlpm.r,Productos!$E$2:$E$2509,_xlpm.m,IFERROR(_xlfn.XMATCH(C2013,_xlpm.r),IFERROR(_xlfn.XMATCH(VALUE(C2013),_xlpm.r),0)),IF(_xlpm.m=0,"",_xlpm.m+1))</f>
        <v/>
      </c>
      <c r="J2013" s="137" t="inlineStr">
        <is>
          <t>Shopify</t>
        </is>
      </c>
    </row>
    <row r="2014">
      <c r="A2014" s="5" t="inlineStr">
        <is>
          <t>Shopify Stetson México › Eventos</t>
        </is>
      </c>
      <c r="B2014" s="5">
        <f>IF($I2="","",INDEX(Productos!$A:$A,$I2))</f>
        <v/>
      </c>
      <c r="C2014" s="134" t="inlineStr">
        <is>
          <t>9907500-204-42</t>
        </is>
      </c>
      <c r="D2014" s="5">
        <f>IF($I2="","",INDEX(Productos!$B:$B,$I2))</f>
        <v/>
      </c>
      <c r="E2014" s="5">
        <f>IF($I2="","",INDEX(Productos!$H:$H,$I2))</f>
        <v/>
      </c>
      <c r="F2014" s="5">
        <f>IF($I2="","",INDEX(Productos!$I:$I,$I2))</f>
        <v/>
      </c>
      <c r="G2014" s="135" t="n">
        <v>1</v>
      </c>
      <c r="H2014" s="5">
        <f>IF($I2="","",INDEX(Productos!$AG:$AG,$I2))</f>
        <v/>
      </c>
      <c r="I2014" s="136">
        <f>LET(_xlpm.r,Productos!$E$2:$E$2509,_xlpm.m,IFERROR(_xlfn.XMATCH(C2014,_xlpm.r),IFERROR(_xlfn.XMATCH(VALUE(C2014),_xlpm.r),0)),IF(_xlpm.m=0,"",_xlpm.m+1))</f>
        <v/>
      </c>
      <c r="J2014" s="137" t="inlineStr">
        <is>
          <t>Shopify</t>
        </is>
      </c>
    </row>
    <row r="2015">
      <c r="A2015" s="5" t="inlineStr">
        <is>
          <t>Shopify Stetson México › Eventos</t>
        </is>
      </c>
      <c r="B2015" s="5">
        <f>IF($I2="","",INDEX(Productos!$A:$A,$I2))</f>
        <v/>
      </c>
      <c r="C2015" s="134" t="inlineStr">
        <is>
          <t>9907500-204-44</t>
        </is>
      </c>
      <c r="D2015" s="5">
        <f>IF($I2="","",INDEX(Productos!$B:$B,$I2))</f>
        <v/>
      </c>
      <c r="E2015" s="5">
        <f>IF($I2="","",INDEX(Productos!$H:$H,$I2))</f>
        <v/>
      </c>
      <c r="F2015" s="5">
        <f>IF($I2="","",INDEX(Productos!$I:$I,$I2))</f>
        <v/>
      </c>
      <c r="G2015" s="135" t="n">
        <v>1</v>
      </c>
      <c r="H2015" s="5">
        <f>IF($I2="","",INDEX(Productos!$AG:$AG,$I2))</f>
        <v/>
      </c>
      <c r="I2015" s="136">
        <f>LET(_xlpm.r,Productos!$E$2:$E$2509,_xlpm.m,IFERROR(_xlfn.XMATCH(C2015,_xlpm.r),IFERROR(_xlfn.XMATCH(VALUE(C2015),_xlpm.r),0)),IF(_xlpm.m=0,"",_xlpm.m+1))</f>
        <v/>
      </c>
      <c r="J2015" s="137" t="inlineStr">
        <is>
          <t>Shopify</t>
        </is>
      </c>
    </row>
    <row r="2016">
      <c r="A2016" s="5" t="inlineStr">
        <is>
          <t>Shopify Stetson México › Eventos</t>
        </is>
      </c>
      <c r="B2016" s="5">
        <f>IF($I2="","",INDEX(Productos!$A:$A,$I2))</f>
        <v/>
      </c>
      <c r="C2016" s="134" t="inlineStr">
        <is>
          <t>9907500-204-46</t>
        </is>
      </c>
      <c r="D2016" s="5">
        <f>IF($I2="","",INDEX(Productos!$B:$B,$I2))</f>
        <v/>
      </c>
      <c r="E2016" s="5">
        <f>IF($I2="","",INDEX(Productos!$H:$H,$I2))</f>
        <v/>
      </c>
      <c r="F2016" s="5">
        <f>IF($I2="","",INDEX(Productos!$I:$I,$I2))</f>
        <v/>
      </c>
      <c r="G2016" s="135" t="n">
        <v>1</v>
      </c>
      <c r="H2016" s="5">
        <f>IF($I2="","",INDEX(Productos!$AG:$AG,$I2))</f>
        <v/>
      </c>
      <c r="I2016" s="136">
        <f>LET(_xlpm.r,Productos!$E$2:$E$2509,_xlpm.m,IFERROR(_xlfn.XMATCH(C2016,_xlpm.r),IFERROR(_xlfn.XMATCH(VALUE(C2016),_xlpm.r),0)),IF(_xlpm.m=0,"",_xlpm.m+1))</f>
        <v/>
      </c>
      <c r="J2016" s="137" t="inlineStr">
        <is>
          <t>Shopify</t>
        </is>
      </c>
    </row>
    <row r="2017">
      <c r="A2017" s="5" t="inlineStr">
        <is>
          <t>Shopify Stetson México › Eventos</t>
        </is>
      </c>
      <c r="B2017" s="5">
        <f>IF($I2="","",INDEX(Productos!$A:$A,$I2))</f>
        <v/>
      </c>
      <c r="C2017" s="134" t="inlineStr">
        <is>
          <t>9915500-625-36</t>
        </is>
      </c>
      <c r="D2017" s="5">
        <f>IF($I2="","",INDEX(Productos!$B:$B,$I2))</f>
        <v/>
      </c>
      <c r="E2017" s="5">
        <f>IF($I2="","",INDEX(Productos!$H:$H,$I2))</f>
        <v/>
      </c>
      <c r="F2017" s="5">
        <f>IF($I2="","",INDEX(Productos!$I:$I,$I2))</f>
        <v/>
      </c>
      <c r="G2017" s="135" t="n">
        <v>1</v>
      </c>
      <c r="H2017" s="5">
        <f>IF($I2="","",INDEX(Productos!$AG:$AG,$I2))</f>
        <v/>
      </c>
      <c r="I2017" s="136">
        <f>LET(_xlpm.r,Productos!$E$2:$E$2509,_xlpm.m,IFERROR(_xlfn.XMATCH(C2017,_xlpm.r),IFERROR(_xlfn.XMATCH(VALUE(C2017),_xlpm.r),0)),IF(_xlpm.m=0,"",_xlpm.m+1))</f>
        <v/>
      </c>
      <c r="J2017" s="137" t="inlineStr">
        <is>
          <t>Shopify</t>
        </is>
      </c>
    </row>
    <row r="2018">
      <c r="A2018" s="5" t="inlineStr">
        <is>
          <t>Shopify Stetson México › Eventos</t>
        </is>
      </c>
      <c r="B2018" s="5">
        <f>IF($I2="","",INDEX(Productos!$A:$A,$I2))</f>
        <v/>
      </c>
      <c r="C2018" s="134" t="inlineStr">
        <is>
          <t>9915500-625-38</t>
        </is>
      </c>
      <c r="D2018" s="5">
        <f>IF($I2="","",INDEX(Productos!$B:$B,$I2))</f>
        <v/>
      </c>
      <c r="E2018" s="5">
        <f>IF($I2="","",INDEX(Productos!$H:$H,$I2))</f>
        <v/>
      </c>
      <c r="F2018" s="5">
        <f>IF($I2="","",INDEX(Productos!$I:$I,$I2))</f>
        <v/>
      </c>
      <c r="G2018" s="135" t="n">
        <v>1</v>
      </c>
      <c r="H2018" s="5">
        <f>IF($I2="","",INDEX(Productos!$AG:$AG,$I2))</f>
        <v/>
      </c>
      <c r="I2018" s="136">
        <f>LET(_xlpm.r,Productos!$E$2:$E$2509,_xlpm.m,IFERROR(_xlfn.XMATCH(C2018,_xlpm.r),IFERROR(_xlfn.XMATCH(VALUE(C2018),_xlpm.r),0)),IF(_xlpm.m=0,"",_xlpm.m+1))</f>
        <v/>
      </c>
      <c r="J2018" s="137" t="inlineStr">
        <is>
          <t>Shopify</t>
        </is>
      </c>
    </row>
    <row r="2019">
      <c r="A2019" s="5" t="inlineStr">
        <is>
          <t>Shopify Stetson México › Eventos</t>
        </is>
      </c>
      <c r="B2019" s="5">
        <f>IF($I2="","",INDEX(Productos!$A:$A,$I2))</f>
        <v/>
      </c>
      <c r="C2019" s="134" t="inlineStr">
        <is>
          <t>9915500-625-40</t>
        </is>
      </c>
      <c r="D2019" s="5">
        <f>IF($I2="","",INDEX(Productos!$B:$B,$I2))</f>
        <v/>
      </c>
      <c r="E2019" s="5">
        <f>IF($I2="","",INDEX(Productos!$H:$H,$I2))</f>
        <v/>
      </c>
      <c r="F2019" s="5">
        <f>IF($I2="","",INDEX(Productos!$I:$I,$I2))</f>
        <v/>
      </c>
      <c r="G2019" s="135" t="n">
        <v>1</v>
      </c>
      <c r="H2019" s="5">
        <f>IF($I2="","",INDEX(Productos!$AG:$AG,$I2))</f>
        <v/>
      </c>
      <c r="I2019" s="136">
        <f>LET(_xlpm.r,Productos!$E$2:$E$2509,_xlpm.m,IFERROR(_xlfn.XMATCH(C2019,_xlpm.r),IFERROR(_xlfn.XMATCH(VALUE(C2019),_xlpm.r),0)),IF(_xlpm.m=0,"",_xlpm.m+1))</f>
        <v/>
      </c>
      <c r="J2019" s="137" t="inlineStr">
        <is>
          <t>Shopify</t>
        </is>
      </c>
    </row>
    <row r="2020">
      <c r="A2020" s="5" t="inlineStr">
        <is>
          <t>Shopify Stetson México › Eventos</t>
        </is>
      </c>
      <c r="B2020" s="5">
        <f>IF($I2="","",INDEX(Productos!$A:$A,$I2))</f>
        <v/>
      </c>
      <c r="C2020" s="134" t="inlineStr">
        <is>
          <t>9915500-625-42</t>
        </is>
      </c>
      <c r="D2020" s="5">
        <f>IF($I2="","",INDEX(Productos!$B:$B,$I2))</f>
        <v/>
      </c>
      <c r="E2020" s="5">
        <f>IF($I2="","",INDEX(Productos!$H:$H,$I2))</f>
        <v/>
      </c>
      <c r="F2020" s="5">
        <f>IF($I2="","",INDEX(Productos!$I:$I,$I2))</f>
        <v/>
      </c>
      <c r="G2020" s="135" t="n">
        <v>1</v>
      </c>
      <c r="H2020" s="5">
        <f>IF($I2="","",INDEX(Productos!$AG:$AG,$I2))</f>
        <v/>
      </c>
      <c r="I2020" s="136">
        <f>LET(_xlpm.r,Productos!$E$2:$E$2509,_xlpm.m,IFERROR(_xlfn.XMATCH(C2020,_xlpm.r),IFERROR(_xlfn.XMATCH(VALUE(C2020),_xlpm.r),0)),IF(_xlpm.m=0,"",_xlpm.m+1))</f>
        <v/>
      </c>
      <c r="J2020" s="137" t="inlineStr">
        <is>
          <t>Shopify</t>
        </is>
      </c>
    </row>
    <row r="2021">
      <c r="A2021" s="5" t="inlineStr">
        <is>
          <t>Shopify Stetson México › Eventos</t>
        </is>
      </c>
      <c r="B2021" s="5">
        <f>IF($I2="","",INDEX(Productos!$A:$A,$I2))</f>
        <v/>
      </c>
      <c r="C2021" s="134" t="inlineStr">
        <is>
          <t>9915500-625-44</t>
        </is>
      </c>
      <c r="D2021" s="5">
        <f>IF($I2="","",INDEX(Productos!$B:$B,$I2))</f>
        <v/>
      </c>
      <c r="E2021" s="5">
        <f>IF($I2="","",INDEX(Productos!$H:$H,$I2))</f>
        <v/>
      </c>
      <c r="F2021" s="5">
        <f>IF($I2="","",INDEX(Productos!$I:$I,$I2))</f>
        <v/>
      </c>
      <c r="G2021" s="135" t="n">
        <v>1</v>
      </c>
      <c r="H2021" s="5">
        <f>IF($I2="","",INDEX(Productos!$AG:$AG,$I2))</f>
        <v/>
      </c>
      <c r="I2021" s="136">
        <f>LET(_xlpm.r,Productos!$E$2:$E$2509,_xlpm.m,IFERROR(_xlfn.XMATCH(C2021,_xlpm.r),IFERROR(_xlfn.XMATCH(VALUE(C2021),_xlpm.r),0)),IF(_xlpm.m=0,"",_xlpm.m+1))</f>
        <v/>
      </c>
      <c r="J2021" s="137" t="inlineStr">
        <is>
          <t>Shopify</t>
        </is>
      </c>
    </row>
    <row r="2022">
      <c r="A2022" s="5" t="inlineStr">
        <is>
          <t>Shopify Stetson México › Eventos</t>
        </is>
      </c>
      <c r="B2022" s="5">
        <f>IF($I2="","",INDEX(Productos!$A:$A,$I2))</f>
        <v/>
      </c>
      <c r="C2022" s="134" t="inlineStr">
        <is>
          <t>9915500-625-46</t>
        </is>
      </c>
      <c r="D2022" s="5">
        <f>IF($I2="","",INDEX(Productos!$B:$B,$I2))</f>
        <v/>
      </c>
      <c r="E2022" s="5">
        <f>IF($I2="","",INDEX(Productos!$H:$H,$I2))</f>
        <v/>
      </c>
      <c r="F2022" s="5">
        <f>IF($I2="","",INDEX(Productos!$I:$I,$I2))</f>
        <v/>
      </c>
      <c r="G2022" s="135" t="n">
        <v>1</v>
      </c>
      <c r="H2022" s="5">
        <f>IF($I2="","",INDEX(Productos!$AG:$AG,$I2))</f>
        <v/>
      </c>
      <c r="I2022" s="136">
        <f>LET(_xlpm.r,Productos!$E$2:$E$2509,_xlpm.m,IFERROR(_xlfn.XMATCH(C2022,_xlpm.r),IFERROR(_xlfn.XMATCH(VALUE(C2022),_xlpm.r),0)),IF(_xlpm.m=0,"",_xlpm.m+1))</f>
        <v/>
      </c>
      <c r="J2022" s="137" t="inlineStr">
        <is>
          <t>Shopify</t>
        </is>
      </c>
    </row>
    <row r="2023">
      <c r="A2023" s="5" t="inlineStr">
        <is>
          <t>Shopify Stetson México › Eventos</t>
        </is>
      </c>
      <c r="B2023" s="5">
        <f>IF($I2="","",INDEX(Productos!$A:$A,$I2))</f>
        <v/>
      </c>
      <c r="C2023" s="134" t="inlineStr">
        <is>
          <t>9918500-203-36</t>
        </is>
      </c>
      <c r="D2023" s="5">
        <f>IF($I2="","",INDEX(Productos!$B:$B,$I2))</f>
        <v/>
      </c>
      <c r="E2023" s="5">
        <f>IF($I2="","",INDEX(Productos!$H:$H,$I2))</f>
        <v/>
      </c>
      <c r="F2023" s="5">
        <f>IF($I2="","",INDEX(Productos!$I:$I,$I2))</f>
        <v/>
      </c>
      <c r="G2023" s="135" t="n">
        <v>1</v>
      </c>
      <c r="H2023" s="5">
        <f>IF($I2="","",INDEX(Productos!$AG:$AG,$I2))</f>
        <v/>
      </c>
      <c r="I2023" s="136">
        <f>LET(_xlpm.r,Productos!$E$2:$E$2509,_xlpm.m,IFERROR(_xlfn.XMATCH(C2023,_xlpm.r),IFERROR(_xlfn.XMATCH(VALUE(C2023),_xlpm.r),0)),IF(_xlpm.m=0,"",_xlpm.m+1))</f>
        <v/>
      </c>
      <c r="J2023" s="137" t="inlineStr">
        <is>
          <t>Shopify</t>
        </is>
      </c>
    </row>
    <row r="2024">
      <c r="A2024" s="5" t="inlineStr">
        <is>
          <t>Shopify Stetson México › Eventos</t>
        </is>
      </c>
      <c r="B2024" s="5">
        <f>IF($I2="","",INDEX(Productos!$A:$A,$I2))</f>
        <v/>
      </c>
      <c r="C2024" s="134" t="inlineStr">
        <is>
          <t>9918500-203-38</t>
        </is>
      </c>
      <c r="D2024" s="5">
        <f>IF($I2="","",INDEX(Productos!$B:$B,$I2))</f>
        <v/>
      </c>
      <c r="E2024" s="5">
        <f>IF($I2="","",INDEX(Productos!$H:$H,$I2))</f>
        <v/>
      </c>
      <c r="F2024" s="5">
        <f>IF($I2="","",INDEX(Productos!$I:$I,$I2))</f>
        <v/>
      </c>
      <c r="G2024" s="135" t="n">
        <v>1</v>
      </c>
      <c r="H2024" s="5">
        <f>IF($I2="","",INDEX(Productos!$AG:$AG,$I2))</f>
        <v/>
      </c>
      <c r="I2024" s="136">
        <f>LET(_xlpm.r,Productos!$E$2:$E$2509,_xlpm.m,IFERROR(_xlfn.XMATCH(C2024,_xlpm.r),IFERROR(_xlfn.XMATCH(VALUE(C2024),_xlpm.r),0)),IF(_xlpm.m=0,"",_xlpm.m+1))</f>
        <v/>
      </c>
      <c r="J2024" s="137" t="inlineStr">
        <is>
          <t>Shopify</t>
        </is>
      </c>
    </row>
    <row r="2025">
      <c r="A2025" s="5" t="inlineStr">
        <is>
          <t>Shopify Stetson México › Eventos</t>
        </is>
      </c>
      <c r="B2025" s="5">
        <f>IF($I2="","",INDEX(Productos!$A:$A,$I2))</f>
        <v/>
      </c>
      <c r="C2025" s="134" t="inlineStr">
        <is>
          <t>9918500-203-40</t>
        </is>
      </c>
      <c r="D2025" s="5">
        <f>IF($I2="","",INDEX(Productos!$B:$B,$I2))</f>
        <v/>
      </c>
      <c r="E2025" s="5">
        <f>IF($I2="","",INDEX(Productos!$H:$H,$I2))</f>
        <v/>
      </c>
      <c r="F2025" s="5">
        <f>IF($I2="","",INDEX(Productos!$I:$I,$I2))</f>
        <v/>
      </c>
      <c r="G2025" s="135" t="n">
        <v>1</v>
      </c>
      <c r="H2025" s="5">
        <f>IF($I2="","",INDEX(Productos!$AG:$AG,$I2))</f>
        <v/>
      </c>
      <c r="I2025" s="136">
        <f>LET(_xlpm.r,Productos!$E$2:$E$2509,_xlpm.m,IFERROR(_xlfn.XMATCH(C2025,_xlpm.r),IFERROR(_xlfn.XMATCH(VALUE(C2025),_xlpm.r),0)),IF(_xlpm.m=0,"",_xlpm.m+1))</f>
        <v/>
      </c>
      <c r="J2025" s="137" t="inlineStr">
        <is>
          <t>Shopify</t>
        </is>
      </c>
    </row>
    <row r="2026">
      <c r="A2026" s="5" t="inlineStr">
        <is>
          <t>Shopify Stetson México › Eventos</t>
        </is>
      </c>
      <c r="B2026" s="5">
        <f>IF($I2="","",INDEX(Productos!$A:$A,$I2))</f>
        <v/>
      </c>
      <c r="C2026" s="134" t="inlineStr">
        <is>
          <t>9918500-203-42</t>
        </is>
      </c>
      <c r="D2026" s="5">
        <f>IF($I2="","",INDEX(Productos!$B:$B,$I2))</f>
        <v/>
      </c>
      <c r="E2026" s="5">
        <f>IF($I2="","",INDEX(Productos!$H:$H,$I2))</f>
        <v/>
      </c>
      <c r="F2026" s="5">
        <f>IF($I2="","",INDEX(Productos!$I:$I,$I2))</f>
        <v/>
      </c>
      <c r="G2026" s="135" t="n">
        <v>1</v>
      </c>
      <c r="H2026" s="5">
        <f>IF($I2="","",INDEX(Productos!$AG:$AG,$I2))</f>
        <v/>
      </c>
      <c r="I2026" s="136">
        <f>LET(_xlpm.r,Productos!$E$2:$E$2509,_xlpm.m,IFERROR(_xlfn.XMATCH(C2026,_xlpm.r),IFERROR(_xlfn.XMATCH(VALUE(C2026),_xlpm.r),0)),IF(_xlpm.m=0,"",_xlpm.m+1))</f>
        <v/>
      </c>
      <c r="J2026" s="137" t="inlineStr">
        <is>
          <t>Shopify</t>
        </is>
      </c>
    </row>
    <row r="2027">
      <c r="A2027" s="5" t="inlineStr">
        <is>
          <t>Shopify Stetson México › Eventos</t>
        </is>
      </c>
      <c r="B2027" s="5">
        <f>IF($I2="","",INDEX(Productos!$A:$A,$I2))</f>
        <v/>
      </c>
      <c r="C2027" s="134" t="inlineStr">
        <is>
          <t>9918500-203-44</t>
        </is>
      </c>
      <c r="D2027" s="5">
        <f>IF($I2="","",INDEX(Productos!$B:$B,$I2))</f>
        <v/>
      </c>
      <c r="E2027" s="5">
        <f>IF($I2="","",INDEX(Productos!$H:$H,$I2))</f>
        <v/>
      </c>
      <c r="F2027" s="5">
        <f>IF($I2="","",INDEX(Productos!$I:$I,$I2))</f>
        <v/>
      </c>
      <c r="G2027" s="135" t="n">
        <v>1</v>
      </c>
      <c r="H2027" s="5">
        <f>IF($I2="","",INDEX(Productos!$AG:$AG,$I2))</f>
        <v/>
      </c>
      <c r="I2027" s="136">
        <f>LET(_xlpm.r,Productos!$E$2:$E$2509,_xlpm.m,IFERROR(_xlfn.XMATCH(C2027,_xlpm.r),IFERROR(_xlfn.XMATCH(VALUE(C2027),_xlpm.r),0)),IF(_xlpm.m=0,"",_xlpm.m+1))</f>
        <v/>
      </c>
      <c r="J2027" s="137" t="inlineStr">
        <is>
          <t>Shopify</t>
        </is>
      </c>
    </row>
    <row r="2028">
      <c r="A2028" s="5" t="inlineStr">
        <is>
          <t>Shopify Stetson México › Eventos</t>
        </is>
      </c>
      <c r="B2028" s="5">
        <f>IF($I2="","",INDEX(Productos!$A:$A,$I2))</f>
        <v/>
      </c>
      <c r="C2028" s="134" t="inlineStr">
        <is>
          <t>9918500-203-46</t>
        </is>
      </c>
      <c r="D2028" s="5">
        <f>IF($I2="","",INDEX(Productos!$B:$B,$I2))</f>
        <v/>
      </c>
      <c r="E2028" s="5">
        <f>IF($I2="","",INDEX(Productos!$H:$H,$I2))</f>
        <v/>
      </c>
      <c r="F2028" s="5">
        <f>IF($I2="","",INDEX(Productos!$I:$I,$I2))</f>
        <v/>
      </c>
      <c r="G2028" s="135" t="n">
        <v>1</v>
      </c>
      <c r="H2028" s="5">
        <f>IF($I2="","",INDEX(Productos!$AG:$AG,$I2))</f>
        <v/>
      </c>
      <c r="I2028" s="136">
        <f>LET(_xlpm.r,Productos!$E$2:$E$2509,_xlpm.m,IFERROR(_xlfn.XMATCH(C2028,_xlpm.r),IFERROR(_xlfn.XMATCH(VALUE(C2028),_xlpm.r),0)),IF(_xlpm.m=0,"",_xlpm.m+1))</f>
        <v/>
      </c>
      <c r="J2028" s="137" t="inlineStr">
        <is>
          <t>Shopify</t>
        </is>
      </c>
    </row>
    <row r="2029">
      <c r="A2029" s="5" t="inlineStr">
        <is>
          <t>Shopify Stetson México › Eventos</t>
        </is>
      </c>
      <c r="B2029" s="5">
        <f>IF($I2="","",INDEX(Productos!$A:$A,$I2))</f>
        <v/>
      </c>
      <c r="C2029" s="134" t="inlineStr">
        <is>
          <t>SFGUDL-48406171</t>
        </is>
      </c>
      <c r="D2029" s="5">
        <f>IF($I2="","",INDEX(Productos!$B:$B,$I2))</f>
        <v/>
      </c>
      <c r="E2029" s="5">
        <f>IF($I2="","",INDEX(Productos!$H:$H,$I2))</f>
        <v/>
      </c>
      <c r="F2029" s="5">
        <f>IF($I2="","",INDEX(Productos!$I:$I,$I2))</f>
        <v/>
      </c>
      <c r="G2029" s="135" t="n">
        <v>1</v>
      </c>
      <c r="H2029" s="5">
        <f>IF($I2="","",INDEX(Productos!$AG:$AG,$I2))</f>
        <v/>
      </c>
      <c r="I2029" s="136">
        <f>LET(_xlpm.r,Productos!$E$2:$E$2509,_xlpm.m,IFERROR(_xlfn.XMATCH(C2029,_xlpm.r),IFERROR(_xlfn.XMATCH(VALUE(C2029),_xlpm.r),0)),IF(_xlpm.m=0,"",_xlpm.m+1))</f>
        <v/>
      </c>
      <c r="J2029" s="137" t="inlineStr">
        <is>
          <t>Shopify</t>
        </is>
      </c>
    </row>
    <row r="2030">
      <c r="A2030" s="5" t="inlineStr">
        <is>
          <t>Shopify Stetson México › Eventos</t>
        </is>
      </c>
      <c r="B2030" s="5">
        <f>IF($I2="","",INDEX(Productos!$A:$A,$I2))</f>
        <v/>
      </c>
      <c r="C2030" s="134" t="inlineStr">
        <is>
          <t>SFR160-01400771</t>
        </is>
      </c>
      <c r="D2030" s="5">
        <f>IF($I2="","",INDEX(Productos!$B:$B,$I2))</f>
        <v/>
      </c>
      <c r="E2030" s="5">
        <f>IF($I2="","",INDEX(Productos!$H:$H,$I2))</f>
        <v/>
      </c>
      <c r="F2030" s="5">
        <f>IF($I2="","",INDEX(Productos!$I:$I,$I2))</f>
        <v/>
      </c>
      <c r="G2030" s="135" t="n">
        <v>1</v>
      </c>
      <c r="H2030" s="5">
        <f>IF($I2="","",INDEX(Productos!$AG:$AG,$I2))</f>
        <v/>
      </c>
      <c r="I2030" s="136">
        <f>LET(_xlpm.r,Productos!$E$2:$E$2509,_xlpm.m,IFERROR(_xlfn.XMATCH(C2030,_xlpm.r),IFERROR(_xlfn.XMATCH(VALUE(C2030),_xlpm.r),0)),IF(_xlpm.m=0,"",_xlpm.m+1))</f>
        <v/>
      </c>
      <c r="J2030" s="137" t="inlineStr">
        <is>
          <t>Shopify</t>
        </is>
      </c>
    </row>
    <row r="2031">
      <c r="A2031" s="5" t="inlineStr">
        <is>
          <t>Shopify Stetson México › Eventos</t>
        </is>
      </c>
      <c r="B2031" s="5">
        <f>IF($I2="","",INDEX(Productos!$A:$A,$I2))</f>
        <v/>
      </c>
      <c r="C2031" s="134" t="inlineStr">
        <is>
          <t>SFR160-01400773</t>
        </is>
      </c>
      <c r="D2031" s="5">
        <f>IF($I2="","",INDEX(Productos!$B:$B,$I2))</f>
        <v/>
      </c>
      <c r="E2031" s="5">
        <f>IF($I2="","",INDEX(Productos!$H:$H,$I2))</f>
        <v/>
      </c>
      <c r="F2031" s="5">
        <f>IF($I2="","",INDEX(Productos!$I:$I,$I2))</f>
        <v/>
      </c>
      <c r="G2031" s="135" t="n">
        <v>1</v>
      </c>
      <c r="H2031" s="5">
        <f>IF($I2="","",INDEX(Productos!$AG:$AG,$I2))</f>
        <v/>
      </c>
      <c r="I2031" s="136">
        <f>LET(_xlpm.r,Productos!$E$2:$E$2509,_xlpm.m,IFERROR(_xlfn.XMATCH(C2031,_xlpm.r),IFERROR(_xlfn.XMATCH(VALUE(C2031),_xlpm.r),0)),IF(_xlpm.m=0,"",_xlpm.m+1))</f>
        <v/>
      </c>
      <c r="J2031" s="137" t="inlineStr">
        <is>
          <t>Shopify</t>
        </is>
      </c>
    </row>
    <row r="2032">
      <c r="A2032" s="5" t="inlineStr">
        <is>
          <t>Shopify Stetson México › Eventos</t>
        </is>
      </c>
      <c r="B2032" s="5">
        <f>IF($I2="","",INDEX(Productos!$A:$A,$I2))</f>
        <v/>
      </c>
      <c r="C2032" s="134" t="inlineStr">
        <is>
          <t>SFR160-01400774</t>
        </is>
      </c>
      <c r="D2032" s="5">
        <f>IF($I2="","",INDEX(Productos!$B:$B,$I2))</f>
        <v/>
      </c>
      <c r="E2032" s="5">
        <f>IF($I2="","",INDEX(Productos!$H:$H,$I2))</f>
        <v/>
      </c>
      <c r="F2032" s="5">
        <f>IF($I2="","",INDEX(Productos!$I:$I,$I2))</f>
        <v/>
      </c>
      <c r="G2032" s="135" t="n">
        <v>1</v>
      </c>
      <c r="H2032" s="5">
        <f>IF($I2="","",INDEX(Productos!$AG:$AG,$I2))</f>
        <v/>
      </c>
      <c r="I2032" s="136">
        <f>LET(_xlpm.r,Productos!$E$2:$E$2509,_xlpm.m,IFERROR(_xlfn.XMATCH(C2032,_xlpm.r),IFERROR(_xlfn.XMATCH(VALUE(C2032),_xlpm.r),0)),IF(_xlpm.m=0,"",_xlpm.m+1))</f>
        <v/>
      </c>
      <c r="J2032" s="137" t="inlineStr">
        <is>
          <t>Shopify</t>
        </is>
      </c>
    </row>
    <row r="2033">
      <c r="A2033" s="5" t="inlineStr">
        <is>
          <t>Shopify Stetson México › Eventos</t>
        </is>
      </c>
      <c r="B2033" s="5">
        <f>IF($I2="","",INDEX(Productos!$A:$A,$I2))</f>
        <v/>
      </c>
      <c r="C2033" s="134" t="inlineStr">
        <is>
          <t>SFR160-01403571</t>
        </is>
      </c>
      <c r="D2033" s="5">
        <f>IF($I2="","",INDEX(Productos!$B:$B,$I2))</f>
        <v/>
      </c>
      <c r="E2033" s="5">
        <f>IF($I2="","",INDEX(Productos!$H:$H,$I2))</f>
        <v/>
      </c>
      <c r="F2033" s="5">
        <f>IF($I2="","",INDEX(Productos!$I:$I,$I2))</f>
        <v/>
      </c>
      <c r="G2033" s="135" t="n">
        <v>1</v>
      </c>
      <c r="H2033" s="5">
        <f>IF($I2="","",INDEX(Productos!$AG:$AG,$I2))</f>
        <v/>
      </c>
      <c r="I2033" s="136">
        <f>LET(_xlpm.r,Productos!$E$2:$E$2509,_xlpm.m,IFERROR(_xlfn.XMATCH(C2033,_xlpm.r),IFERROR(_xlfn.XMATCH(VALUE(C2033),_xlpm.r),0)),IF(_xlpm.m=0,"",_xlpm.m+1))</f>
        <v/>
      </c>
      <c r="J2033" s="137" t="inlineStr">
        <is>
          <t>Shopify</t>
        </is>
      </c>
    </row>
    <row r="2034">
      <c r="A2034" s="5" t="inlineStr">
        <is>
          <t>Shopify Stetson México › Eventos</t>
        </is>
      </c>
      <c r="B2034" s="5">
        <f>IF($I2="","",INDEX(Productos!$A:$A,$I2))</f>
        <v/>
      </c>
      <c r="C2034" s="134" t="inlineStr">
        <is>
          <t>SFR160-01403573</t>
        </is>
      </c>
      <c r="D2034" s="5">
        <f>IF($I2="","",INDEX(Productos!$B:$B,$I2))</f>
        <v/>
      </c>
      <c r="E2034" s="5">
        <f>IF($I2="","",INDEX(Productos!$H:$H,$I2))</f>
        <v/>
      </c>
      <c r="F2034" s="5">
        <f>IF($I2="","",INDEX(Productos!$I:$I,$I2))</f>
        <v/>
      </c>
      <c r="G2034" s="135" t="n">
        <v>1</v>
      </c>
      <c r="H2034" s="5">
        <f>IF($I2="","",INDEX(Productos!$AG:$AG,$I2))</f>
        <v/>
      </c>
      <c r="I2034" s="136">
        <f>LET(_xlpm.r,Productos!$E$2:$E$2509,_xlpm.m,IFERROR(_xlfn.XMATCH(C2034,_xlpm.r),IFERROR(_xlfn.XMATCH(VALUE(C2034),_xlpm.r),0)),IF(_xlpm.m=0,"",_xlpm.m+1))</f>
        <v/>
      </c>
      <c r="J2034" s="137" t="inlineStr">
        <is>
          <t>Shopify</t>
        </is>
      </c>
    </row>
    <row r="2035">
      <c r="A2035" s="5" t="inlineStr">
        <is>
          <t>Shopify Stetson México › Eventos</t>
        </is>
      </c>
      <c r="B2035" s="5">
        <f>IF($I2="","",INDEX(Productos!$A:$A,$I2))</f>
        <v/>
      </c>
      <c r="C2035" s="134" t="inlineStr">
        <is>
          <t>SFR160-01406170</t>
        </is>
      </c>
      <c r="D2035" s="5">
        <f>IF($I2="","",INDEX(Productos!$B:$B,$I2))</f>
        <v/>
      </c>
      <c r="E2035" s="5">
        <f>IF($I2="","",INDEX(Productos!$H:$H,$I2))</f>
        <v/>
      </c>
      <c r="F2035" s="5">
        <f>IF($I2="","",INDEX(Productos!$I:$I,$I2))</f>
        <v/>
      </c>
      <c r="G2035" s="135" t="n">
        <v>1</v>
      </c>
      <c r="H2035" s="5">
        <f>IF($I2="","",INDEX(Productos!$AG:$AG,$I2))</f>
        <v/>
      </c>
      <c r="I2035" s="136">
        <f>LET(_xlpm.r,Productos!$E$2:$E$2509,_xlpm.m,IFERROR(_xlfn.XMATCH(C2035,_xlpm.r),IFERROR(_xlfn.XMATCH(VALUE(C2035),_xlpm.r),0)),IF(_xlpm.m=0,"",_xlpm.m+1))</f>
        <v/>
      </c>
      <c r="J2035" s="137" t="inlineStr">
        <is>
          <t>Shopify</t>
        </is>
      </c>
    </row>
    <row r="2036">
      <c r="A2036" s="5" t="inlineStr">
        <is>
          <t>Shopify Stetson México › Eventos</t>
        </is>
      </c>
      <c r="B2036" s="5">
        <f>IF($I2="","",INDEX(Productos!$A:$A,$I2))</f>
        <v/>
      </c>
      <c r="C2036" s="134" t="inlineStr">
        <is>
          <t>SFR160-01406171</t>
        </is>
      </c>
      <c r="D2036" s="5">
        <f>IF($I2="","",INDEX(Productos!$B:$B,$I2))</f>
        <v/>
      </c>
      <c r="E2036" s="5">
        <f>IF($I2="","",INDEX(Productos!$H:$H,$I2))</f>
        <v/>
      </c>
      <c r="F2036" s="5">
        <f>IF($I2="","",INDEX(Productos!$I:$I,$I2))</f>
        <v/>
      </c>
      <c r="G2036" s="135" t="n">
        <v>1</v>
      </c>
      <c r="H2036" s="5">
        <f>IF($I2="","",INDEX(Productos!$AG:$AG,$I2))</f>
        <v/>
      </c>
      <c r="I2036" s="136">
        <f>LET(_xlpm.r,Productos!$E$2:$E$2509,_xlpm.m,IFERROR(_xlfn.XMATCH(C2036,_xlpm.r),IFERROR(_xlfn.XMATCH(VALUE(C2036),_xlpm.r),0)),IF(_xlpm.m=0,"",_xlpm.m+1))</f>
        <v/>
      </c>
      <c r="J2036" s="137" t="inlineStr">
        <is>
          <t>Shopify</t>
        </is>
      </c>
    </row>
    <row r="2037">
      <c r="A2037" s="5" t="inlineStr">
        <is>
          <t>Shopify Stetson México › Eventos</t>
        </is>
      </c>
      <c r="B2037" s="5">
        <f>IF($I2="","",INDEX(Productos!$A:$A,$I2))</f>
        <v/>
      </c>
      <c r="C2037" s="134" t="inlineStr">
        <is>
          <t>SFRNCH-01402271</t>
        </is>
      </c>
      <c r="D2037" s="5">
        <f>IF($I2="","",INDEX(Productos!$B:$B,$I2))</f>
        <v/>
      </c>
      <c r="E2037" s="5">
        <f>IF($I2="","",INDEX(Productos!$H:$H,$I2))</f>
        <v/>
      </c>
      <c r="F2037" s="5">
        <f>IF($I2="","",INDEX(Productos!$I:$I,$I2))</f>
        <v/>
      </c>
      <c r="G2037" s="135" t="n">
        <v>1</v>
      </c>
      <c r="H2037" s="5">
        <f>IF($I2="","",INDEX(Productos!$AG:$AG,$I2))</f>
        <v/>
      </c>
      <c r="I2037" s="136">
        <f>LET(_xlpm.r,Productos!$E$2:$E$2509,_xlpm.m,IFERROR(_xlfn.XMATCH(C2037,_xlpm.r),IFERROR(_xlfn.XMATCH(VALUE(C2037),_xlpm.r),0)),IF(_xlpm.m=0,"",_xlpm.m+1))</f>
        <v/>
      </c>
      <c r="J2037" s="137" t="inlineStr">
        <is>
          <t>Shopify</t>
        </is>
      </c>
    </row>
    <row r="2038">
      <c r="A2038" s="5" t="inlineStr">
        <is>
          <t>Shopify Stetson México › Eventos</t>
        </is>
      </c>
      <c r="B2038" s="5">
        <f>IF($I2="","",INDEX(Productos!$A:$A,$I2))</f>
        <v/>
      </c>
      <c r="C2038" s="134" t="inlineStr">
        <is>
          <t>SFRNCH-01406174</t>
        </is>
      </c>
      <c r="D2038" s="5">
        <f>IF($I2="","",INDEX(Productos!$B:$B,$I2))</f>
        <v/>
      </c>
      <c r="E2038" s="5">
        <f>IF($I2="","",INDEX(Productos!$H:$H,$I2))</f>
        <v/>
      </c>
      <c r="F2038" s="5">
        <f>IF($I2="","",INDEX(Productos!$I:$I,$I2))</f>
        <v/>
      </c>
      <c r="G2038" s="135" t="n">
        <v>1</v>
      </c>
      <c r="H2038" s="5">
        <f>IF($I2="","",INDEX(Productos!$AG:$AG,$I2))</f>
        <v/>
      </c>
      <c r="I2038" s="136">
        <f>LET(_xlpm.r,Productos!$E$2:$E$2509,_xlpm.m,IFERROR(_xlfn.XMATCH(C2038,_xlpm.r),IFERROR(_xlfn.XMATCH(VALUE(C2038),_xlpm.r),0)),IF(_xlpm.m=0,"",_xlpm.m+1))</f>
        <v/>
      </c>
      <c r="J2038" s="137" t="inlineStr">
        <is>
          <t>Shopify</t>
        </is>
      </c>
    </row>
    <row r="2039">
      <c r="A2039" s="5" t="inlineStr">
        <is>
          <t>Shopify Stetson México › Eventos</t>
        </is>
      </c>
      <c r="B2039" s="5">
        <f>IF($I2="","",INDEX(Productos!$A:$A,$I2))</f>
        <v/>
      </c>
      <c r="C2039" s="134" t="inlineStr">
        <is>
          <t>SFRNCH-01408870</t>
        </is>
      </c>
      <c r="D2039" s="5">
        <f>IF($I2="","",INDEX(Productos!$B:$B,$I2))</f>
        <v/>
      </c>
      <c r="E2039" s="5">
        <f>IF($I2="","",INDEX(Productos!$H:$H,$I2))</f>
        <v/>
      </c>
      <c r="F2039" s="5">
        <f>IF($I2="","",INDEX(Productos!$I:$I,$I2))</f>
        <v/>
      </c>
      <c r="G2039" s="135" t="n">
        <v>1</v>
      </c>
      <c r="H2039" s="5">
        <f>IF($I2="","",INDEX(Productos!$AG:$AG,$I2))</f>
        <v/>
      </c>
      <c r="I2039" s="136">
        <f>LET(_xlpm.r,Productos!$E$2:$E$2509,_xlpm.m,IFERROR(_xlfn.XMATCH(C2039,_xlpm.r),IFERROR(_xlfn.XMATCH(VALUE(C2039),_xlpm.r),0)),IF(_xlpm.m=0,"",_xlpm.m+1))</f>
        <v/>
      </c>
      <c r="J2039" s="137" t="inlineStr">
        <is>
          <t>Shopify</t>
        </is>
      </c>
    </row>
    <row r="2040">
      <c r="A2040" s="5" t="inlineStr">
        <is>
          <t>Shopify Stetson México › Eventos</t>
        </is>
      </c>
      <c r="B2040" s="5">
        <f>IF($I2="","",INDEX(Productos!$A:$A,$I2))</f>
        <v/>
      </c>
      <c r="C2040" s="134" t="inlineStr">
        <is>
          <t>SFRNCH-01408874</t>
        </is>
      </c>
      <c r="D2040" s="5">
        <f>IF($I2="","",INDEX(Productos!$B:$B,$I2))</f>
        <v/>
      </c>
      <c r="E2040" s="5">
        <f>IF($I2="","",INDEX(Productos!$H:$H,$I2))</f>
        <v/>
      </c>
      <c r="F2040" s="5">
        <f>IF($I2="","",INDEX(Productos!$I:$I,$I2))</f>
        <v/>
      </c>
      <c r="G2040" s="135" t="n">
        <v>1</v>
      </c>
      <c r="H2040" s="5">
        <f>IF($I2="","",INDEX(Productos!$AG:$AG,$I2))</f>
        <v/>
      </c>
      <c r="I2040" s="136">
        <f>LET(_xlpm.r,Productos!$E$2:$E$2509,_xlpm.m,IFERROR(_xlfn.XMATCH(C2040,_xlpm.r),IFERROR(_xlfn.XMATCH(VALUE(C2040),_xlpm.r),0)),IF(_xlpm.m=0,"",_xlpm.m+1))</f>
        <v/>
      </c>
      <c r="J2040" s="137" t="inlineStr">
        <is>
          <t>Shopify</t>
        </is>
      </c>
    </row>
    <row r="2041">
      <c r="A2041" s="5" t="inlineStr">
        <is>
          <t>Shopify Stetson México › Eventos</t>
        </is>
      </c>
      <c r="B2041" s="5">
        <f>IF($I2="","",INDEX(Productos!$A:$A,$I2))</f>
        <v/>
      </c>
      <c r="C2041" s="134" t="inlineStr">
        <is>
          <t>SFSHAS-75400770</t>
        </is>
      </c>
      <c r="D2041" s="5">
        <f>IF($I2="","",INDEX(Productos!$B:$B,$I2))</f>
        <v/>
      </c>
      <c r="E2041" s="5">
        <f>IF($I2="","",INDEX(Productos!$H:$H,$I2))</f>
        <v/>
      </c>
      <c r="F2041" s="5">
        <f>IF($I2="","",INDEX(Productos!$I:$I,$I2))</f>
        <v/>
      </c>
      <c r="G2041" s="135" t="n">
        <v>1</v>
      </c>
      <c r="H2041" s="5">
        <f>IF($I2="","",INDEX(Productos!$AG:$AG,$I2))</f>
        <v/>
      </c>
      <c r="I2041" s="136">
        <f>LET(_xlpm.r,Productos!$E$2:$E$2509,_xlpm.m,IFERROR(_xlfn.XMATCH(C2041,_xlpm.r),IFERROR(_xlfn.XMATCH(VALUE(C2041),_xlpm.r),0)),IF(_xlpm.m=0,"",_xlpm.m+1))</f>
        <v/>
      </c>
      <c r="J2041" s="137" t="inlineStr">
        <is>
          <t>Shopify</t>
        </is>
      </c>
    </row>
    <row r="2042">
      <c r="A2042" s="5" t="inlineStr">
        <is>
          <t>Shopify Stetson México › Eventos</t>
        </is>
      </c>
      <c r="B2042" s="5">
        <f>IF($I2="","",INDEX(Productos!$A:$A,$I2))</f>
        <v/>
      </c>
      <c r="C2042" s="134" t="inlineStr">
        <is>
          <t>SFSHAS-75400771</t>
        </is>
      </c>
      <c r="D2042" s="5">
        <f>IF($I2="","",INDEX(Productos!$B:$B,$I2))</f>
        <v/>
      </c>
      <c r="E2042" s="5">
        <f>IF($I2="","",INDEX(Productos!$H:$H,$I2))</f>
        <v/>
      </c>
      <c r="F2042" s="5">
        <f>IF($I2="","",INDEX(Productos!$I:$I,$I2))</f>
        <v/>
      </c>
      <c r="G2042" s="135" t="n">
        <v>1</v>
      </c>
      <c r="H2042" s="5">
        <f>IF($I2="","",INDEX(Productos!$AG:$AG,$I2))</f>
        <v/>
      </c>
      <c r="I2042" s="136">
        <f>LET(_xlpm.r,Productos!$E$2:$E$2509,_xlpm.m,IFERROR(_xlfn.XMATCH(C2042,_xlpm.r),IFERROR(_xlfn.XMATCH(VALUE(C2042),_xlpm.r),0)),IF(_xlpm.m=0,"",_xlpm.m+1))</f>
        <v/>
      </c>
      <c r="J2042" s="137" t="inlineStr">
        <is>
          <t>Shopify</t>
        </is>
      </c>
    </row>
    <row r="2043">
      <c r="A2043" s="5" t="inlineStr">
        <is>
          <t>Shopify Stetson México › Eventos</t>
        </is>
      </c>
      <c r="B2043" s="5">
        <f>IF($I2="","",INDEX(Productos!$A:$A,$I2))</f>
        <v/>
      </c>
      <c r="C2043" s="134" t="inlineStr">
        <is>
          <t>SFSHAS-75406171</t>
        </is>
      </c>
      <c r="D2043" s="5">
        <f>IF($I2="","",INDEX(Productos!$B:$B,$I2))</f>
        <v/>
      </c>
      <c r="E2043" s="5">
        <f>IF($I2="","",INDEX(Productos!$H:$H,$I2))</f>
        <v/>
      </c>
      <c r="F2043" s="5">
        <f>IF($I2="","",INDEX(Productos!$I:$I,$I2))</f>
        <v/>
      </c>
      <c r="G2043" s="135" t="n">
        <v>1</v>
      </c>
      <c r="H2043" s="5">
        <f>IF($I2="","",INDEX(Productos!$AG:$AG,$I2))</f>
        <v/>
      </c>
      <c r="I2043" s="136">
        <f>LET(_xlpm.r,Productos!$E$2:$E$2509,_xlpm.m,IFERROR(_xlfn.XMATCH(C2043,_xlpm.r),IFERROR(_xlfn.XMATCH(VALUE(C2043),_xlpm.r),0)),IF(_xlpm.m=0,"",_xlpm.m+1))</f>
        <v/>
      </c>
      <c r="J2043" s="137" t="inlineStr">
        <is>
          <t>Shopify</t>
        </is>
      </c>
    </row>
    <row r="2044">
      <c r="A2044" s="5" t="inlineStr">
        <is>
          <t>Shopify Stetson México › Eventos</t>
        </is>
      </c>
      <c r="B2044" s="5">
        <f>IF($I2="","",INDEX(Productos!$A:$A,$I2))</f>
        <v/>
      </c>
      <c r="C2044" s="134" t="inlineStr">
        <is>
          <t>SFSKYL-75400772</t>
        </is>
      </c>
      <c r="D2044" s="5">
        <f>IF($I2="","",INDEX(Productos!$B:$B,$I2))</f>
        <v/>
      </c>
      <c r="E2044" s="5">
        <f>IF($I2="","",INDEX(Productos!$H:$H,$I2))</f>
        <v/>
      </c>
      <c r="F2044" s="5">
        <f>IF($I2="","",INDEX(Productos!$I:$I,$I2))</f>
        <v/>
      </c>
      <c r="G2044" s="135" t="n">
        <v>1</v>
      </c>
      <c r="H2044" s="5">
        <f>IF($I2="","",INDEX(Productos!$AG:$AG,$I2))</f>
        <v/>
      </c>
      <c r="I2044" s="136">
        <f>LET(_xlpm.r,Productos!$E$2:$E$2509,_xlpm.m,IFERROR(_xlfn.XMATCH(C2044,_xlpm.r),IFERROR(_xlfn.XMATCH(VALUE(C2044),_xlpm.r),0)),IF(_xlpm.m=0,"",_xlpm.m+1))</f>
        <v/>
      </c>
      <c r="J2044" s="137" t="inlineStr">
        <is>
          <t>Shopify</t>
        </is>
      </c>
    </row>
    <row r="2045">
      <c r="A2045" s="5" t="inlineStr">
        <is>
          <t>Shopify Stetson México › Eventos</t>
        </is>
      </c>
      <c r="B2045" s="5">
        <f>IF($I2="","",INDEX(Productos!$A:$A,$I2))</f>
        <v/>
      </c>
      <c r="C2045" s="134" t="inlineStr">
        <is>
          <t>SFSKYL-75404970</t>
        </is>
      </c>
      <c r="D2045" s="5">
        <f>IF($I2="","",INDEX(Productos!$B:$B,$I2))</f>
        <v/>
      </c>
      <c r="E2045" s="5">
        <f>IF($I2="","",INDEX(Productos!$H:$H,$I2))</f>
        <v/>
      </c>
      <c r="F2045" s="5">
        <f>IF($I2="","",INDEX(Productos!$I:$I,$I2))</f>
        <v/>
      </c>
      <c r="G2045" s="135" t="n">
        <v>1</v>
      </c>
      <c r="H2045" s="5">
        <f>IF($I2="","",INDEX(Productos!$AG:$AG,$I2))</f>
        <v/>
      </c>
      <c r="I2045" s="136">
        <f>LET(_xlpm.r,Productos!$E$2:$E$2509,_xlpm.m,IFERROR(_xlfn.XMATCH(C2045,_xlpm.r),IFERROR(_xlfn.XMATCH(VALUE(C2045),_xlpm.r),0)),IF(_xlpm.m=0,"",_xlpm.m+1))</f>
        <v/>
      </c>
      <c r="J2045" s="137" t="inlineStr">
        <is>
          <t>Shopify</t>
        </is>
      </c>
    </row>
    <row r="2046">
      <c r="A2046" s="5" t="inlineStr">
        <is>
          <t>Shopify Stetson México › Eventos</t>
        </is>
      </c>
      <c r="B2046" s="5">
        <f>IF($I2="","",INDEX(Productos!$A:$A,$I2))</f>
        <v/>
      </c>
      <c r="C2046" s="134" t="inlineStr">
        <is>
          <t>SFSKYL-75404971</t>
        </is>
      </c>
      <c r="D2046" s="5">
        <f>IF($I2="","",INDEX(Productos!$B:$B,$I2))</f>
        <v/>
      </c>
      <c r="E2046" s="5">
        <f>IF($I2="","",INDEX(Productos!$H:$H,$I2))</f>
        <v/>
      </c>
      <c r="F2046" s="5">
        <f>IF($I2="","",INDEX(Productos!$I:$I,$I2))</f>
        <v/>
      </c>
      <c r="G2046" s="135" t="n">
        <v>2</v>
      </c>
      <c r="H2046" s="5">
        <f>IF($I2="","",INDEX(Productos!$AG:$AG,$I2))</f>
        <v/>
      </c>
      <c r="I2046" s="136">
        <f>LET(_xlpm.r,Productos!$E$2:$E$2509,_xlpm.m,IFERROR(_xlfn.XMATCH(C2046,_xlpm.r),IFERROR(_xlfn.XMATCH(VALUE(C2046),_xlpm.r),0)),IF(_xlpm.m=0,"",_xlpm.m+1))</f>
        <v/>
      </c>
      <c r="J2046" s="137" t="inlineStr">
        <is>
          <t>Shopify</t>
        </is>
      </c>
    </row>
    <row r="2047">
      <c r="A2047" s="5" t="inlineStr">
        <is>
          <t>Shopify Stetson México › Eventos</t>
        </is>
      </c>
      <c r="B2047" s="5">
        <f>IF($I2="","",INDEX(Productos!$A:$A,$I2))</f>
        <v/>
      </c>
      <c r="C2047" s="134" t="inlineStr">
        <is>
          <t>SFSKYL-75404973</t>
        </is>
      </c>
      <c r="D2047" s="5">
        <f>IF($I2="","",INDEX(Productos!$B:$B,$I2))</f>
        <v/>
      </c>
      <c r="E2047" s="5">
        <f>IF($I2="","",INDEX(Productos!$H:$H,$I2))</f>
        <v/>
      </c>
      <c r="F2047" s="5">
        <f>IF($I2="","",INDEX(Productos!$I:$I,$I2))</f>
        <v/>
      </c>
      <c r="G2047" s="135" t="n">
        <v>2</v>
      </c>
      <c r="H2047" s="5">
        <f>IF($I2="","",INDEX(Productos!$AG:$AG,$I2))</f>
        <v/>
      </c>
      <c r="I2047" s="136">
        <f>LET(_xlpm.r,Productos!$E$2:$E$2509,_xlpm.m,IFERROR(_xlfn.XMATCH(C2047,_xlpm.r),IFERROR(_xlfn.XMATCH(VALUE(C2047),_xlpm.r),0)),IF(_xlpm.m=0,"",_xlpm.m+1))</f>
        <v/>
      </c>
      <c r="J2047" s="137" t="inlineStr">
        <is>
          <t>Shopify</t>
        </is>
      </c>
    </row>
    <row r="2048">
      <c r="A2048" s="5" t="inlineStr">
        <is>
          <t>Shopify Stetson México › Eventos</t>
        </is>
      </c>
      <c r="B2048" s="5">
        <f>IF($I2="","",INDEX(Productos!$A:$A,$I2))</f>
        <v/>
      </c>
      <c r="C2048" s="134" t="inlineStr">
        <is>
          <t>SFSKYL-7540E571</t>
        </is>
      </c>
      <c r="D2048" s="5">
        <f>IF($I2="","",INDEX(Productos!$B:$B,$I2))</f>
        <v/>
      </c>
      <c r="E2048" s="5">
        <f>IF($I2="","",INDEX(Productos!$H:$H,$I2))</f>
        <v/>
      </c>
      <c r="F2048" s="5">
        <f>IF($I2="","",INDEX(Productos!$I:$I,$I2))</f>
        <v/>
      </c>
      <c r="G2048" s="135" t="n">
        <v>2</v>
      </c>
      <c r="H2048" s="5">
        <f>IF($I2="","",INDEX(Productos!$AG:$AG,$I2))</f>
        <v/>
      </c>
      <c r="I2048" s="136">
        <f>LET(_xlpm.r,Productos!$E$2:$E$2509,_xlpm.m,IFERROR(_xlfn.XMATCH(C2048,_xlpm.r),IFERROR(_xlfn.XMATCH(VALUE(C2048),_xlpm.r),0)),IF(_xlpm.m=0,"",_xlpm.m+1))</f>
        <v/>
      </c>
      <c r="J2048" s="137" t="inlineStr">
        <is>
          <t>Shopify</t>
        </is>
      </c>
    </row>
    <row r="2049">
      <c r="A2049" s="5" t="inlineStr">
        <is>
          <t>Shopify Stetson México › Stetson Americas</t>
        </is>
      </c>
      <c r="B2049" s="5">
        <f>IF($I2="","",INDEX(Productos!$A:$A,$I2))</f>
        <v/>
      </c>
      <c r="C2049" s="134" t="inlineStr">
        <is>
          <t>03-057-0590-2058-L</t>
        </is>
      </c>
      <c r="D2049" s="5">
        <f>IF($I2="","",INDEX(Productos!$B:$B,$I2))</f>
        <v/>
      </c>
      <c r="E2049" s="5">
        <f>IF($I2="","",INDEX(Productos!$H:$H,$I2))</f>
        <v/>
      </c>
      <c r="F2049" s="5">
        <f>IF($I2="","",INDEX(Productos!$I:$I,$I2))</f>
        <v/>
      </c>
      <c r="G2049" s="135" t="n">
        <v>1</v>
      </c>
      <c r="H2049" s="5">
        <f>IF($I2="","",INDEX(Productos!$AG:$AG,$I2))</f>
        <v/>
      </c>
      <c r="I2049" s="136">
        <f>LET(_xlpm.r,Productos!$E$2:$E$2509,_xlpm.m,IFERROR(_xlfn.XMATCH(C2049,_xlpm.r),IFERROR(_xlfn.XMATCH(VALUE(C2049),_xlpm.r),0)),IF(_xlpm.m=0,"",_xlpm.m+1))</f>
        <v/>
      </c>
      <c r="J2049" s="137" t="inlineStr">
        <is>
          <t>Shopify</t>
        </is>
      </c>
    </row>
    <row r="2050">
      <c r="A2050" s="5" t="inlineStr">
        <is>
          <t>Shopify Stetson México › Stetson Americas</t>
        </is>
      </c>
      <c r="B2050" s="5">
        <f>IF($I2="","",INDEX(Productos!$A:$A,$I2))</f>
        <v/>
      </c>
      <c r="C2050" s="134" t="inlineStr">
        <is>
          <t>03-057-0590-2058-M</t>
        </is>
      </c>
      <c r="D2050" s="5">
        <f>IF($I2="","",INDEX(Productos!$B:$B,$I2))</f>
        <v/>
      </c>
      <c r="E2050" s="5">
        <f>IF($I2="","",INDEX(Productos!$H:$H,$I2))</f>
        <v/>
      </c>
      <c r="F2050" s="5">
        <f>IF($I2="","",INDEX(Productos!$I:$I,$I2))</f>
        <v/>
      </c>
      <c r="G2050" s="135" t="n">
        <v>1</v>
      </c>
      <c r="H2050" s="5">
        <f>IF($I2="","",INDEX(Productos!$AG:$AG,$I2))</f>
        <v/>
      </c>
      <c r="I2050" s="136">
        <f>LET(_xlpm.r,Productos!$E$2:$E$2509,_xlpm.m,IFERROR(_xlfn.XMATCH(C2050,_xlpm.r),IFERROR(_xlfn.XMATCH(VALUE(C2050),_xlpm.r),0)),IF(_xlpm.m=0,"",_xlpm.m+1))</f>
        <v/>
      </c>
      <c r="J2050" s="137" t="inlineStr">
        <is>
          <t>Shopify</t>
        </is>
      </c>
    </row>
    <row r="2051">
      <c r="A2051" s="5" t="inlineStr">
        <is>
          <t>Shopify Stetson México › Stetson Americas</t>
        </is>
      </c>
      <c r="B2051" s="5">
        <f>IF($I2="","",INDEX(Productos!$A:$A,$I2))</f>
        <v/>
      </c>
      <c r="C2051" s="134" t="inlineStr">
        <is>
          <t>03-057-0590-2058-S</t>
        </is>
      </c>
      <c r="D2051" s="5">
        <f>IF($I2="","",INDEX(Productos!$B:$B,$I2))</f>
        <v/>
      </c>
      <c r="E2051" s="5">
        <f>IF($I2="","",INDEX(Productos!$H:$H,$I2))</f>
        <v/>
      </c>
      <c r="F2051" s="5">
        <f>IF($I2="","",INDEX(Productos!$I:$I,$I2))</f>
        <v/>
      </c>
      <c r="G2051" s="135" t="n">
        <v>1</v>
      </c>
      <c r="H2051" s="5">
        <f>IF($I2="","",INDEX(Productos!$AG:$AG,$I2))</f>
        <v/>
      </c>
      <c r="I2051" s="136">
        <f>LET(_xlpm.r,Productos!$E$2:$E$2509,_xlpm.m,IFERROR(_xlfn.XMATCH(C2051,_xlpm.r),IFERROR(_xlfn.XMATCH(VALUE(C2051),_xlpm.r),0)),IF(_xlpm.m=0,"",_xlpm.m+1))</f>
        <v/>
      </c>
      <c r="J2051" s="137" t="inlineStr">
        <is>
          <t>Shopify</t>
        </is>
      </c>
    </row>
    <row r="2052">
      <c r="A2052" s="5" t="inlineStr">
        <is>
          <t>Shopify Stetson México › Stetson Americas</t>
        </is>
      </c>
      <c r="B2052" s="5">
        <f>IF($I2="","",INDEX(Productos!$A:$A,$I2))</f>
        <v/>
      </c>
      <c r="C2052" s="134" t="inlineStr">
        <is>
          <t>03-057-0590-2058-XS</t>
        </is>
      </c>
      <c r="D2052" s="5">
        <f>IF($I2="","",INDEX(Productos!$B:$B,$I2))</f>
        <v/>
      </c>
      <c r="E2052" s="5">
        <f>IF($I2="","",INDEX(Productos!$H:$H,$I2))</f>
        <v/>
      </c>
      <c r="F2052" s="5">
        <f>IF($I2="","",INDEX(Productos!$I:$I,$I2))</f>
        <v/>
      </c>
      <c r="G2052" s="135" t="n">
        <v>1</v>
      </c>
      <c r="H2052" s="5">
        <f>IF($I2="","",INDEX(Productos!$AG:$AG,$I2))</f>
        <v/>
      </c>
      <c r="I2052" s="136">
        <f>LET(_xlpm.r,Productos!$E$2:$E$2509,_xlpm.m,IFERROR(_xlfn.XMATCH(C2052,_xlpm.r),IFERROR(_xlfn.XMATCH(VALUE(C2052),_xlpm.r),0)),IF(_xlpm.m=0,"",_xlpm.m+1))</f>
        <v/>
      </c>
      <c r="J2052" s="137" t="inlineStr">
        <is>
          <t>Shopify</t>
        </is>
      </c>
    </row>
    <row r="2053">
      <c r="A2053" s="5" t="inlineStr">
        <is>
          <t>Shopify Stetson México › Stetson Americas</t>
        </is>
      </c>
      <c r="B2053" s="5">
        <f>IF($I2="","",INDEX(Productos!$A:$A,$I2))</f>
        <v/>
      </c>
      <c r="C2053" s="134" t="inlineStr">
        <is>
          <t>107942</t>
        </is>
      </c>
      <c r="D2053" s="5">
        <f>IF($I2="","",INDEX(Productos!$B:$B,$I2))</f>
        <v/>
      </c>
      <c r="E2053" s="5">
        <f>IF($I2="","",INDEX(Productos!$H:$H,$I2))</f>
        <v/>
      </c>
      <c r="F2053" s="5">
        <f>IF($I2="","",INDEX(Productos!$I:$I,$I2))</f>
        <v/>
      </c>
      <c r="G2053" s="135" t="n">
        <v>11</v>
      </c>
      <c r="H2053" s="5">
        <f>IF($I2="","",INDEX(Productos!$AG:$AG,$I2))</f>
        <v/>
      </c>
      <c r="I2053" s="136">
        <f>LET(_xlpm.r,Productos!$E$2:$E$2509,_xlpm.m,IFERROR(_xlfn.XMATCH(C2053,_xlpm.r),IFERROR(_xlfn.XMATCH(VALUE(C2053),_xlpm.r),0)),IF(_xlpm.m=0,"",_xlpm.m+1))</f>
        <v/>
      </c>
      <c r="J2053" s="137" t="inlineStr">
        <is>
          <t>Shopify</t>
        </is>
      </c>
    </row>
    <row r="2054">
      <c r="A2054" s="5" t="inlineStr">
        <is>
          <t>Shopify Stetson México › Stetson Americas</t>
        </is>
      </c>
      <c r="B2054" s="5">
        <f>IF($I2="","",INDEX(Productos!$A:$A,$I2))</f>
        <v/>
      </c>
      <c r="C2054" s="134" t="inlineStr">
        <is>
          <t>11-001-0425-5019-S</t>
        </is>
      </c>
      <c r="D2054" s="5">
        <f>IF($I2="","",INDEX(Productos!$B:$B,$I2))</f>
        <v/>
      </c>
      <c r="E2054" s="5">
        <f>IF($I2="","",INDEX(Productos!$H:$H,$I2))</f>
        <v/>
      </c>
      <c r="F2054" s="5">
        <f>IF($I2="","",INDEX(Productos!$I:$I,$I2))</f>
        <v/>
      </c>
      <c r="G2054" s="135" t="n">
        <v>9</v>
      </c>
      <c r="H2054" s="5">
        <f>IF($I2="","",INDEX(Productos!$AG:$AG,$I2))</f>
        <v/>
      </c>
      <c r="I2054" s="136">
        <f>LET(_xlpm.r,Productos!$E$2:$E$2509,_xlpm.m,IFERROR(_xlfn.XMATCH(C2054,_xlpm.r),IFERROR(_xlfn.XMATCH(VALUE(C2054),_xlpm.r),0)),IF(_xlpm.m=0,"",_xlpm.m+1))</f>
        <v/>
      </c>
      <c r="J2054" s="137" t="inlineStr">
        <is>
          <t>Shopify</t>
        </is>
      </c>
    </row>
    <row r="2055">
      <c r="A2055" s="5" t="inlineStr">
        <is>
          <t>Shopify Stetson México › Stetson Americas</t>
        </is>
      </c>
      <c r="B2055" s="5">
        <f>IF($I2="","",INDEX(Productos!$A:$A,$I2))</f>
        <v/>
      </c>
      <c r="C2055" s="134" t="inlineStr">
        <is>
          <t>11-001-0465-9357-S</t>
        </is>
      </c>
      <c r="D2055" s="5">
        <f>IF($I2="","",INDEX(Productos!$B:$B,$I2))</f>
        <v/>
      </c>
      <c r="E2055" s="5">
        <f>IF($I2="","",INDEX(Productos!$H:$H,$I2))</f>
        <v/>
      </c>
      <c r="F2055" s="5">
        <f>IF($I2="","",INDEX(Productos!$I:$I,$I2))</f>
        <v/>
      </c>
      <c r="G2055" s="135" t="n">
        <v>1</v>
      </c>
      <c r="H2055" s="5">
        <f>IF($I2="","",INDEX(Productos!$AG:$AG,$I2))</f>
        <v/>
      </c>
      <c r="I2055" s="136">
        <f>LET(_xlpm.r,Productos!$E$2:$E$2509,_xlpm.m,IFERROR(_xlfn.XMATCH(C2055,_xlpm.r),IFERROR(_xlfn.XMATCH(VALUE(C2055),_xlpm.r),0)),IF(_xlpm.m=0,"",_xlpm.m+1))</f>
        <v/>
      </c>
      <c r="J2055" s="137" t="inlineStr">
        <is>
          <t>Shopify</t>
        </is>
      </c>
    </row>
    <row r="2056">
      <c r="A2056" s="5" t="inlineStr">
        <is>
          <t>Shopify Stetson México › Stetson Americas</t>
        </is>
      </c>
      <c r="B2056" s="5">
        <f>IF($I2="","",INDEX(Productos!$A:$A,$I2))</f>
        <v/>
      </c>
      <c r="C2056" s="134" t="inlineStr">
        <is>
          <t>11-001-0465-9357-XXL</t>
        </is>
      </c>
      <c r="D2056" s="5">
        <f>IF($I2="","",INDEX(Productos!$B:$B,$I2))</f>
        <v/>
      </c>
      <c r="E2056" s="5">
        <f>IF($I2="","",INDEX(Productos!$H:$H,$I2))</f>
        <v/>
      </c>
      <c r="F2056" s="5">
        <f>IF($I2="","",INDEX(Productos!$I:$I,$I2))</f>
        <v/>
      </c>
      <c r="G2056" s="135" t="n">
        <v>2</v>
      </c>
      <c r="H2056" s="5">
        <f>IF($I2="","",INDEX(Productos!$AG:$AG,$I2))</f>
        <v/>
      </c>
      <c r="I2056" s="136">
        <f>LET(_xlpm.r,Productos!$E$2:$E$2509,_xlpm.m,IFERROR(_xlfn.XMATCH(C2056,_xlpm.r),IFERROR(_xlfn.XMATCH(VALUE(C2056),_xlpm.r),0)),IF(_xlpm.m=0,"",_xlpm.m+1))</f>
        <v/>
      </c>
      <c r="J2056" s="137" t="inlineStr">
        <is>
          <t>Shopify</t>
        </is>
      </c>
    </row>
    <row r="2057">
      <c r="A2057" s="5" t="inlineStr">
        <is>
          <t>Shopify Stetson México › Stetson Americas</t>
        </is>
      </c>
      <c r="B2057" s="5">
        <f>IF($I2="","",INDEX(Productos!$A:$A,$I2))</f>
        <v/>
      </c>
      <c r="C2057" s="134" t="inlineStr">
        <is>
          <t>11-001-0476-0802-M</t>
        </is>
      </c>
      <c r="D2057" s="5">
        <f>IF($I2="","",INDEX(Productos!$B:$B,$I2))</f>
        <v/>
      </c>
      <c r="E2057" s="5">
        <f>IF($I2="","",INDEX(Productos!$H:$H,$I2))</f>
        <v/>
      </c>
      <c r="F2057" s="5">
        <f>IF($I2="","",INDEX(Productos!$I:$I,$I2))</f>
        <v/>
      </c>
      <c r="G2057" s="135" t="n">
        <v>1</v>
      </c>
      <c r="H2057" s="5">
        <f>IF($I2="","",INDEX(Productos!$AG:$AG,$I2))</f>
        <v/>
      </c>
      <c r="I2057" s="136">
        <f>LET(_xlpm.r,Productos!$E$2:$E$2509,_xlpm.m,IFERROR(_xlfn.XMATCH(C2057,_xlpm.r),IFERROR(_xlfn.XMATCH(VALUE(C2057),_xlpm.r),0)),IF(_xlpm.m=0,"",_xlpm.m+1))</f>
        <v/>
      </c>
      <c r="J2057" s="137" t="inlineStr">
        <is>
          <t>Shopify</t>
        </is>
      </c>
    </row>
    <row r="2058">
      <c r="A2058" s="5" t="inlineStr">
        <is>
          <t>Shopify Stetson México › Stetson Americas</t>
        </is>
      </c>
      <c r="B2058" s="5">
        <f>IF($I2="","",INDEX(Productos!$A:$A,$I2))</f>
        <v/>
      </c>
      <c r="C2058" s="134" t="inlineStr">
        <is>
          <t>11-001-0476-0802-XL</t>
        </is>
      </c>
      <c r="D2058" s="5">
        <f>IF($I2="","",INDEX(Productos!$B:$B,$I2))</f>
        <v/>
      </c>
      <c r="E2058" s="5">
        <f>IF($I2="","",INDEX(Productos!$H:$H,$I2))</f>
        <v/>
      </c>
      <c r="F2058" s="5">
        <f>IF($I2="","",INDEX(Productos!$I:$I,$I2))</f>
        <v/>
      </c>
      <c r="G2058" s="135" t="n">
        <v>1</v>
      </c>
      <c r="H2058" s="5">
        <f>IF($I2="","",INDEX(Productos!$AG:$AG,$I2))</f>
        <v/>
      </c>
      <c r="I2058" s="136">
        <f>LET(_xlpm.r,Productos!$E$2:$E$2509,_xlpm.m,IFERROR(_xlfn.XMATCH(C2058,_xlpm.r),IFERROR(_xlfn.XMATCH(VALUE(C2058),_xlpm.r),0)),IF(_xlpm.m=0,"",_xlpm.m+1))</f>
        <v/>
      </c>
      <c r="J2058" s="137" t="inlineStr">
        <is>
          <t>Shopify</t>
        </is>
      </c>
    </row>
    <row r="2059">
      <c r="A2059" s="5" t="inlineStr">
        <is>
          <t>Shopify Stetson México › Stetson Americas</t>
        </is>
      </c>
      <c r="B2059" s="5">
        <f>IF($I2="","",INDEX(Productos!$A:$A,$I2))</f>
        <v/>
      </c>
      <c r="C2059" s="134" t="inlineStr">
        <is>
          <t>11-001-0476-0802-XXL</t>
        </is>
      </c>
      <c r="D2059" s="5">
        <f>IF($I2="","",INDEX(Productos!$B:$B,$I2))</f>
        <v/>
      </c>
      <c r="E2059" s="5">
        <f>IF($I2="","",INDEX(Productos!$H:$H,$I2))</f>
        <v/>
      </c>
      <c r="F2059" s="5">
        <f>IF($I2="","",INDEX(Productos!$I:$I,$I2))</f>
        <v/>
      </c>
      <c r="G2059" s="135" t="n">
        <v>1</v>
      </c>
      <c r="H2059" s="5">
        <f>IF($I2="","",INDEX(Productos!$AG:$AG,$I2))</f>
        <v/>
      </c>
      <c r="I2059" s="136">
        <f>LET(_xlpm.r,Productos!$E$2:$E$2509,_xlpm.m,IFERROR(_xlfn.XMATCH(C2059,_xlpm.r),IFERROR(_xlfn.XMATCH(VALUE(C2059),_xlpm.r),0)),IF(_xlpm.m=0,"",_xlpm.m+1))</f>
        <v/>
      </c>
      <c r="J2059" s="137" t="inlineStr">
        <is>
          <t>Shopify</t>
        </is>
      </c>
    </row>
    <row r="2060">
      <c r="A2060" s="5" t="inlineStr">
        <is>
          <t>Shopify Stetson México › Stetson Americas</t>
        </is>
      </c>
      <c r="B2060" s="5">
        <f>IF($I2="","",INDEX(Productos!$A:$A,$I2))</f>
        <v/>
      </c>
      <c r="C2060" s="134" t="inlineStr">
        <is>
          <t>11-001-0526-2067-L</t>
        </is>
      </c>
      <c r="D2060" s="5">
        <f>IF($I2="","",INDEX(Productos!$B:$B,$I2))</f>
        <v/>
      </c>
      <c r="E2060" s="5">
        <f>IF($I2="","",INDEX(Productos!$H:$H,$I2))</f>
        <v/>
      </c>
      <c r="F2060" s="5">
        <f>IF($I2="","",INDEX(Productos!$I:$I,$I2))</f>
        <v/>
      </c>
      <c r="G2060" s="135" t="n">
        <v>1</v>
      </c>
      <c r="H2060" s="5">
        <f>IF($I2="","",INDEX(Productos!$AG:$AG,$I2))</f>
        <v/>
      </c>
      <c r="I2060" s="136">
        <f>LET(_xlpm.r,Productos!$E$2:$E$2509,_xlpm.m,IFERROR(_xlfn.XMATCH(C2060,_xlpm.r),IFERROR(_xlfn.XMATCH(VALUE(C2060),_xlpm.r),0)),IF(_xlpm.m=0,"",_xlpm.m+1))</f>
        <v/>
      </c>
      <c r="J2060" s="137" t="inlineStr">
        <is>
          <t>Shopify</t>
        </is>
      </c>
    </row>
    <row r="2061">
      <c r="A2061" s="5" t="inlineStr">
        <is>
          <t>Shopify Stetson México › Stetson Americas</t>
        </is>
      </c>
      <c r="B2061" s="5">
        <f>IF($I2="","",INDEX(Productos!$A:$A,$I2))</f>
        <v/>
      </c>
      <c r="C2061" s="134" t="inlineStr">
        <is>
          <t>11-001-0579-2033-M</t>
        </is>
      </c>
      <c r="D2061" s="5">
        <f>IF($I2="","",INDEX(Productos!$B:$B,$I2))</f>
        <v/>
      </c>
      <c r="E2061" s="5">
        <f>IF($I2="","",INDEX(Productos!$H:$H,$I2))</f>
        <v/>
      </c>
      <c r="F2061" s="5">
        <f>IF($I2="","",INDEX(Productos!$I:$I,$I2))</f>
        <v/>
      </c>
      <c r="G2061" s="135" t="n">
        <v>1</v>
      </c>
      <c r="H2061" s="5">
        <f>IF($I2="","",INDEX(Productos!$AG:$AG,$I2))</f>
        <v/>
      </c>
      <c r="I2061" s="136">
        <f>LET(_xlpm.r,Productos!$E$2:$E$2509,_xlpm.m,IFERROR(_xlfn.XMATCH(C2061,_xlpm.r),IFERROR(_xlfn.XMATCH(VALUE(C2061),_xlpm.r),0)),IF(_xlpm.m=0,"",_xlpm.m+1))</f>
        <v/>
      </c>
      <c r="J2061" s="137" t="inlineStr">
        <is>
          <t>Shopify</t>
        </is>
      </c>
    </row>
    <row r="2062">
      <c r="A2062" s="5" t="inlineStr">
        <is>
          <t>Shopify Stetson México › Stetson Americas</t>
        </is>
      </c>
      <c r="B2062" s="5">
        <f>IF($I2="","",INDEX(Productos!$A:$A,$I2))</f>
        <v/>
      </c>
      <c r="C2062" s="134" t="inlineStr">
        <is>
          <t>11-001-0579-2033-XL</t>
        </is>
      </c>
      <c r="D2062" s="5">
        <f>IF($I2="","",INDEX(Productos!$B:$B,$I2))</f>
        <v/>
      </c>
      <c r="E2062" s="5">
        <f>IF($I2="","",INDEX(Productos!$H:$H,$I2))</f>
        <v/>
      </c>
      <c r="F2062" s="5">
        <f>IF($I2="","",INDEX(Productos!$I:$I,$I2))</f>
        <v/>
      </c>
      <c r="G2062" s="135" t="n">
        <v>1</v>
      </c>
      <c r="H2062" s="5">
        <f>IF($I2="","",INDEX(Productos!$AG:$AG,$I2))</f>
        <v/>
      </c>
      <c r="I2062" s="136">
        <f>LET(_xlpm.r,Productos!$E$2:$E$2509,_xlpm.m,IFERROR(_xlfn.XMATCH(C2062,_xlpm.r),IFERROR(_xlfn.XMATCH(VALUE(C2062),_xlpm.r),0)),IF(_xlpm.m=0,"",_xlpm.m+1))</f>
        <v/>
      </c>
      <c r="J2062" s="137" t="inlineStr">
        <is>
          <t>Shopify</t>
        </is>
      </c>
    </row>
    <row r="2063">
      <c r="A2063" s="5" t="inlineStr">
        <is>
          <t>Shopify Stetson México › Stetson Americas</t>
        </is>
      </c>
      <c r="B2063" s="5">
        <f>IF($I2="","",INDEX(Productos!$A:$A,$I2))</f>
        <v/>
      </c>
      <c r="C2063" s="134" t="inlineStr">
        <is>
          <t>11-002-0526-2067-S</t>
        </is>
      </c>
      <c r="D2063" s="5">
        <f>IF($I2="","",INDEX(Productos!$B:$B,$I2))</f>
        <v/>
      </c>
      <c r="E2063" s="5">
        <f>IF($I2="","",INDEX(Productos!$H:$H,$I2))</f>
        <v/>
      </c>
      <c r="F2063" s="5">
        <f>IF($I2="","",INDEX(Productos!$I:$I,$I2))</f>
        <v/>
      </c>
      <c r="G2063" s="135" t="n">
        <v>1</v>
      </c>
      <c r="H2063" s="5">
        <f>IF($I2="","",INDEX(Productos!$AG:$AG,$I2))</f>
        <v/>
      </c>
      <c r="I2063" s="136">
        <f>LET(_xlpm.r,Productos!$E$2:$E$2509,_xlpm.m,IFERROR(_xlfn.XMATCH(C2063,_xlpm.r),IFERROR(_xlfn.XMATCH(VALUE(C2063),_xlpm.r),0)),IF(_xlpm.m=0,"",_xlpm.m+1))</f>
        <v/>
      </c>
      <c r="J2063" s="137" t="inlineStr">
        <is>
          <t>Shopify</t>
        </is>
      </c>
    </row>
    <row r="2064">
      <c r="A2064" s="5" t="inlineStr">
        <is>
          <t>Shopify Stetson México › Stetson Americas</t>
        </is>
      </c>
      <c r="B2064" s="5">
        <f>IF($I2="","",INDEX(Productos!$A:$A,$I2))</f>
        <v/>
      </c>
      <c r="C2064" s="134" t="inlineStr">
        <is>
          <t>11-002-0526-2067-XL</t>
        </is>
      </c>
      <c r="D2064" s="5">
        <f>IF($I2="","",INDEX(Productos!$B:$B,$I2))</f>
        <v/>
      </c>
      <c r="E2064" s="5">
        <f>IF($I2="","",INDEX(Productos!$H:$H,$I2))</f>
        <v/>
      </c>
      <c r="F2064" s="5">
        <f>IF($I2="","",INDEX(Productos!$I:$I,$I2))</f>
        <v/>
      </c>
      <c r="G2064" s="135" t="n">
        <v>1</v>
      </c>
      <c r="H2064" s="5">
        <f>IF($I2="","",INDEX(Productos!$AG:$AG,$I2))</f>
        <v/>
      </c>
      <c r="I2064" s="136">
        <f>LET(_xlpm.r,Productos!$E$2:$E$2509,_xlpm.m,IFERROR(_xlfn.XMATCH(C2064,_xlpm.r),IFERROR(_xlfn.XMATCH(VALUE(C2064),_xlpm.r),0)),IF(_xlpm.m=0,"",_xlpm.m+1))</f>
        <v/>
      </c>
      <c r="J2064" s="137" t="inlineStr">
        <is>
          <t>Shopify</t>
        </is>
      </c>
    </row>
    <row r="2065">
      <c r="A2065" s="5" t="inlineStr">
        <is>
          <t>Shopify Stetson México › Stetson Americas</t>
        </is>
      </c>
      <c r="B2065" s="5">
        <f>IF($I2="","",INDEX(Productos!$A:$A,$I2))</f>
        <v/>
      </c>
      <c r="C2065" s="134" t="inlineStr">
        <is>
          <t>11-004-1014-3000-29 32</t>
        </is>
      </c>
      <c r="D2065" s="5">
        <f>IF($I2="","",INDEX(Productos!$B:$B,$I2))</f>
        <v/>
      </c>
      <c r="E2065" s="5">
        <f>IF($I2="","",INDEX(Productos!$H:$H,$I2))</f>
        <v/>
      </c>
      <c r="F2065" s="5">
        <f>IF($I2="","",INDEX(Productos!$I:$I,$I2))</f>
        <v/>
      </c>
      <c r="G2065" s="135" t="n">
        <v>1</v>
      </c>
      <c r="H2065" s="5">
        <f>IF($I2="","",INDEX(Productos!$AG:$AG,$I2))</f>
        <v/>
      </c>
      <c r="I2065" s="136">
        <f>LET(_xlpm.r,Productos!$E$2:$E$2509,_xlpm.m,IFERROR(_xlfn.XMATCH(C2065,_xlpm.r),IFERROR(_xlfn.XMATCH(VALUE(C2065),_xlpm.r),0)),IF(_xlpm.m=0,"",_xlpm.m+1))</f>
        <v/>
      </c>
      <c r="J2065" s="137" t="inlineStr">
        <is>
          <t>Shopify</t>
        </is>
      </c>
    </row>
    <row r="2066">
      <c r="A2066" s="5" t="inlineStr">
        <is>
          <t>Shopify Stetson México › Stetson Americas</t>
        </is>
      </c>
      <c r="B2066" s="5">
        <f>IF($I2="","",INDEX(Productos!$A:$A,$I2))</f>
        <v/>
      </c>
      <c r="C2066" s="134" t="inlineStr">
        <is>
          <t>11-004-1014-3000-30 32</t>
        </is>
      </c>
      <c r="D2066" s="5">
        <f>IF($I2="","",INDEX(Productos!$B:$B,$I2))</f>
        <v/>
      </c>
      <c r="E2066" s="5">
        <f>IF($I2="","",INDEX(Productos!$H:$H,$I2))</f>
        <v/>
      </c>
      <c r="F2066" s="5">
        <f>IF($I2="","",INDEX(Productos!$I:$I,$I2))</f>
        <v/>
      </c>
      <c r="G2066" s="135" t="n">
        <v>3</v>
      </c>
      <c r="H2066" s="5">
        <f>IF($I2="","",INDEX(Productos!$AG:$AG,$I2))</f>
        <v/>
      </c>
      <c r="I2066" s="136">
        <f>LET(_xlpm.r,Productos!$E$2:$E$2509,_xlpm.m,IFERROR(_xlfn.XMATCH(C2066,_xlpm.r),IFERROR(_xlfn.XMATCH(VALUE(C2066),_xlpm.r),0)),IF(_xlpm.m=0,"",_xlpm.m+1))</f>
        <v/>
      </c>
      <c r="J2066" s="137" t="inlineStr">
        <is>
          <t>Shopify</t>
        </is>
      </c>
    </row>
    <row r="2067">
      <c r="A2067" s="5" t="inlineStr">
        <is>
          <t>Shopify Stetson México › Stetson Americas</t>
        </is>
      </c>
      <c r="B2067" s="5">
        <f>IF($I2="","",INDEX(Productos!$A:$A,$I2))</f>
        <v/>
      </c>
      <c r="C2067" s="134" t="inlineStr">
        <is>
          <t>11-004-1014-3000-31 32</t>
        </is>
      </c>
      <c r="D2067" s="5">
        <f>IF($I2="","",INDEX(Productos!$B:$B,$I2))</f>
        <v/>
      </c>
      <c r="E2067" s="5">
        <f>IF($I2="","",INDEX(Productos!$H:$H,$I2))</f>
        <v/>
      </c>
      <c r="F2067" s="5">
        <f>IF($I2="","",INDEX(Productos!$I:$I,$I2))</f>
        <v/>
      </c>
      <c r="G2067" s="135" t="n">
        <v>4</v>
      </c>
      <c r="H2067" s="5">
        <f>IF($I2="","",INDEX(Productos!$AG:$AG,$I2))</f>
        <v/>
      </c>
      <c r="I2067" s="136">
        <f>LET(_xlpm.r,Productos!$E$2:$E$2509,_xlpm.m,IFERROR(_xlfn.XMATCH(C2067,_xlpm.r),IFERROR(_xlfn.XMATCH(VALUE(C2067),_xlpm.r),0)),IF(_xlpm.m=0,"",_xlpm.m+1))</f>
        <v/>
      </c>
      <c r="J2067" s="137" t="inlineStr">
        <is>
          <t>Shopify</t>
        </is>
      </c>
    </row>
    <row r="2068">
      <c r="A2068" s="5" t="inlineStr">
        <is>
          <t>Shopify Stetson México › Stetson Americas</t>
        </is>
      </c>
      <c r="B2068" s="5">
        <f>IF($I2="","",INDEX(Productos!$A:$A,$I2))</f>
        <v/>
      </c>
      <c r="C2068" s="134" t="inlineStr">
        <is>
          <t>11-004-1014-3000-32 32</t>
        </is>
      </c>
      <c r="D2068" s="5">
        <f>IF($I2="","",INDEX(Productos!$B:$B,$I2))</f>
        <v/>
      </c>
      <c r="E2068" s="5">
        <f>IF($I2="","",INDEX(Productos!$H:$H,$I2))</f>
        <v/>
      </c>
      <c r="F2068" s="5">
        <f>IF($I2="","",INDEX(Productos!$I:$I,$I2))</f>
        <v/>
      </c>
      <c r="G2068" s="135" t="n">
        <v>7</v>
      </c>
      <c r="H2068" s="5">
        <f>IF($I2="","",INDEX(Productos!$AG:$AG,$I2))</f>
        <v/>
      </c>
      <c r="I2068" s="136">
        <f>LET(_xlpm.r,Productos!$E$2:$E$2509,_xlpm.m,IFERROR(_xlfn.XMATCH(C2068,_xlpm.r),IFERROR(_xlfn.XMATCH(VALUE(C2068),_xlpm.r),0)),IF(_xlpm.m=0,"",_xlpm.m+1))</f>
        <v/>
      </c>
      <c r="J2068" s="137" t="inlineStr">
        <is>
          <t>Shopify</t>
        </is>
      </c>
    </row>
    <row r="2069">
      <c r="A2069" s="5" t="inlineStr">
        <is>
          <t>Shopify Stetson México › Stetson Americas</t>
        </is>
      </c>
      <c r="B2069" s="5">
        <f>IF($I2="","",INDEX(Productos!$A:$A,$I2))</f>
        <v/>
      </c>
      <c r="C2069" s="134" t="inlineStr">
        <is>
          <t>11-004-1014-3000-32 34</t>
        </is>
      </c>
      <c r="D2069" s="5">
        <f>IF($I2="","",INDEX(Productos!$B:$B,$I2))</f>
        <v/>
      </c>
      <c r="E2069" s="5">
        <f>IF($I2="","",INDEX(Productos!$H:$H,$I2))</f>
        <v/>
      </c>
      <c r="F2069" s="5">
        <f>IF($I2="","",INDEX(Productos!$I:$I,$I2))</f>
        <v/>
      </c>
      <c r="G2069" s="135" t="n">
        <v>6</v>
      </c>
      <c r="H2069" s="5">
        <f>IF($I2="","",INDEX(Productos!$AG:$AG,$I2))</f>
        <v/>
      </c>
      <c r="I2069" s="136">
        <f>LET(_xlpm.r,Productos!$E$2:$E$2509,_xlpm.m,IFERROR(_xlfn.XMATCH(C2069,_xlpm.r),IFERROR(_xlfn.XMATCH(VALUE(C2069),_xlpm.r),0)),IF(_xlpm.m=0,"",_xlpm.m+1))</f>
        <v/>
      </c>
      <c r="J2069" s="137" t="inlineStr">
        <is>
          <t>Shopify</t>
        </is>
      </c>
    </row>
    <row r="2070">
      <c r="A2070" s="5" t="inlineStr">
        <is>
          <t>Shopify Stetson México › Stetson Americas</t>
        </is>
      </c>
      <c r="B2070" s="5">
        <f>IF($I2="","",INDEX(Productos!$A:$A,$I2))</f>
        <v/>
      </c>
      <c r="C2070" s="134" t="inlineStr">
        <is>
          <t>11-004-1014-3000-33 32</t>
        </is>
      </c>
      <c r="D2070" s="5">
        <f>IF($I2="","",INDEX(Productos!$B:$B,$I2))</f>
        <v/>
      </c>
      <c r="E2070" s="5">
        <f>IF($I2="","",INDEX(Productos!$H:$H,$I2))</f>
        <v/>
      </c>
      <c r="F2070" s="5">
        <f>IF($I2="","",INDEX(Productos!$I:$I,$I2))</f>
        <v/>
      </c>
      <c r="G2070" s="135" t="n">
        <v>4</v>
      </c>
      <c r="H2070" s="5">
        <f>IF($I2="","",INDEX(Productos!$AG:$AG,$I2))</f>
        <v/>
      </c>
      <c r="I2070" s="136">
        <f>LET(_xlpm.r,Productos!$E$2:$E$2509,_xlpm.m,IFERROR(_xlfn.XMATCH(C2070,_xlpm.r),IFERROR(_xlfn.XMATCH(VALUE(C2070),_xlpm.r),0)),IF(_xlpm.m=0,"",_xlpm.m+1))</f>
        <v/>
      </c>
      <c r="J2070" s="137" t="inlineStr">
        <is>
          <t>Shopify</t>
        </is>
      </c>
    </row>
    <row r="2071">
      <c r="A2071" s="5" t="inlineStr">
        <is>
          <t>Shopify Stetson México › Stetson Americas</t>
        </is>
      </c>
      <c r="B2071" s="5">
        <f>IF($I2="","",INDEX(Productos!$A:$A,$I2))</f>
        <v/>
      </c>
      <c r="C2071" s="134" t="inlineStr">
        <is>
          <t>11-004-1014-3000-34 32</t>
        </is>
      </c>
      <c r="D2071" s="5">
        <f>IF($I2="","",INDEX(Productos!$B:$B,$I2))</f>
        <v/>
      </c>
      <c r="E2071" s="5">
        <f>IF($I2="","",INDEX(Productos!$H:$H,$I2))</f>
        <v/>
      </c>
      <c r="F2071" s="5">
        <f>IF($I2="","",INDEX(Productos!$I:$I,$I2))</f>
        <v/>
      </c>
      <c r="G2071" s="135" t="n">
        <v>5</v>
      </c>
      <c r="H2071" s="5">
        <f>IF($I2="","",INDEX(Productos!$AG:$AG,$I2))</f>
        <v/>
      </c>
      <c r="I2071" s="136">
        <f>LET(_xlpm.r,Productos!$E$2:$E$2509,_xlpm.m,IFERROR(_xlfn.XMATCH(C2071,_xlpm.r),IFERROR(_xlfn.XMATCH(VALUE(C2071),_xlpm.r),0)),IF(_xlpm.m=0,"",_xlpm.m+1))</f>
        <v/>
      </c>
      <c r="J2071" s="137" t="inlineStr">
        <is>
          <t>Shopify</t>
        </is>
      </c>
    </row>
    <row r="2072">
      <c r="A2072" s="5" t="inlineStr">
        <is>
          <t>Shopify Stetson México › Stetson Americas</t>
        </is>
      </c>
      <c r="B2072" s="5">
        <f>IF($I2="","",INDEX(Productos!$A:$A,$I2))</f>
        <v/>
      </c>
      <c r="C2072" s="134" t="inlineStr">
        <is>
          <t>11-004-1014-3000-34 34</t>
        </is>
      </c>
      <c r="D2072" s="5">
        <f>IF($I2="","",INDEX(Productos!$B:$B,$I2))</f>
        <v/>
      </c>
      <c r="E2072" s="5">
        <f>IF($I2="","",INDEX(Productos!$H:$H,$I2))</f>
        <v/>
      </c>
      <c r="F2072" s="5">
        <f>IF($I2="","",INDEX(Productos!$I:$I,$I2))</f>
        <v/>
      </c>
      <c r="G2072" s="135" t="n">
        <v>6</v>
      </c>
      <c r="H2072" s="5">
        <f>IF($I2="","",INDEX(Productos!$AG:$AG,$I2))</f>
        <v/>
      </c>
      <c r="I2072" s="136">
        <f>LET(_xlpm.r,Productos!$E$2:$E$2509,_xlpm.m,IFERROR(_xlfn.XMATCH(C2072,_xlpm.r),IFERROR(_xlfn.XMATCH(VALUE(C2072),_xlpm.r),0)),IF(_xlpm.m=0,"",_xlpm.m+1))</f>
        <v/>
      </c>
      <c r="J2072" s="137" t="inlineStr">
        <is>
          <t>Shopify</t>
        </is>
      </c>
    </row>
    <row r="2073">
      <c r="A2073" s="5" t="inlineStr">
        <is>
          <t>Shopify Stetson México › Stetson Americas</t>
        </is>
      </c>
      <c r="B2073" s="5">
        <f>IF($I2="","",INDEX(Productos!$A:$A,$I2))</f>
        <v/>
      </c>
      <c r="C2073" s="134" t="inlineStr">
        <is>
          <t>11-004-1014-3000-34 36</t>
        </is>
      </c>
      <c r="D2073" s="5">
        <f>IF($I2="","",INDEX(Productos!$B:$B,$I2))</f>
        <v/>
      </c>
      <c r="E2073" s="5">
        <f>IF($I2="","",INDEX(Productos!$H:$H,$I2))</f>
        <v/>
      </c>
      <c r="F2073" s="5">
        <f>IF($I2="","",INDEX(Productos!$I:$I,$I2))</f>
        <v/>
      </c>
      <c r="G2073" s="135" t="n">
        <v>2</v>
      </c>
      <c r="H2073" s="5">
        <f>IF($I2="","",INDEX(Productos!$AG:$AG,$I2))</f>
        <v/>
      </c>
      <c r="I2073" s="136">
        <f>LET(_xlpm.r,Productos!$E$2:$E$2509,_xlpm.m,IFERROR(_xlfn.XMATCH(C2073,_xlpm.r),IFERROR(_xlfn.XMATCH(VALUE(C2073),_xlpm.r),0)),IF(_xlpm.m=0,"",_xlpm.m+1))</f>
        <v/>
      </c>
      <c r="J2073" s="137" t="inlineStr">
        <is>
          <t>Shopify</t>
        </is>
      </c>
    </row>
    <row r="2074">
      <c r="A2074" s="5" t="inlineStr">
        <is>
          <t>Shopify Stetson México › Stetson Americas</t>
        </is>
      </c>
      <c r="B2074" s="5">
        <f>IF($I2="","",INDEX(Productos!$A:$A,$I2))</f>
        <v/>
      </c>
      <c r="C2074" s="134" t="inlineStr">
        <is>
          <t>11-004-1014-3000-36 32</t>
        </is>
      </c>
      <c r="D2074" s="5">
        <f>IF($I2="","",INDEX(Productos!$B:$B,$I2))</f>
        <v/>
      </c>
      <c r="E2074" s="5">
        <f>IF($I2="","",INDEX(Productos!$H:$H,$I2))</f>
        <v/>
      </c>
      <c r="F2074" s="5">
        <f>IF($I2="","",INDEX(Productos!$I:$I,$I2))</f>
        <v/>
      </c>
      <c r="G2074" s="135" t="n">
        <v>2</v>
      </c>
      <c r="H2074" s="5">
        <f>IF($I2="","",INDEX(Productos!$AG:$AG,$I2))</f>
        <v/>
      </c>
      <c r="I2074" s="136">
        <f>LET(_xlpm.r,Productos!$E$2:$E$2509,_xlpm.m,IFERROR(_xlfn.XMATCH(C2074,_xlpm.r),IFERROR(_xlfn.XMATCH(VALUE(C2074),_xlpm.r),0)),IF(_xlpm.m=0,"",_xlpm.m+1))</f>
        <v/>
      </c>
      <c r="J2074" s="137" t="inlineStr">
        <is>
          <t>Shopify</t>
        </is>
      </c>
    </row>
    <row r="2075">
      <c r="A2075" s="5" t="inlineStr">
        <is>
          <t>Shopify Stetson México › Stetson Americas</t>
        </is>
      </c>
      <c r="B2075" s="5">
        <f>IF($I2="","",INDEX(Productos!$A:$A,$I2))</f>
        <v/>
      </c>
      <c r="C2075" s="134" t="inlineStr">
        <is>
          <t>11-004-1014-3000-36 34</t>
        </is>
      </c>
      <c r="D2075" s="5">
        <f>IF($I2="","",INDEX(Productos!$B:$B,$I2))</f>
        <v/>
      </c>
      <c r="E2075" s="5">
        <f>IF($I2="","",INDEX(Productos!$H:$H,$I2))</f>
        <v/>
      </c>
      <c r="F2075" s="5">
        <f>IF($I2="","",INDEX(Productos!$I:$I,$I2))</f>
        <v/>
      </c>
      <c r="G2075" s="135" t="n">
        <v>1</v>
      </c>
      <c r="H2075" s="5">
        <f>IF($I2="","",INDEX(Productos!$AG:$AG,$I2))</f>
        <v/>
      </c>
      <c r="I2075" s="136">
        <f>LET(_xlpm.r,Productos!$E$2:$E$2509,_xlpm.m,IFERROR(_xlfn.XMATCH(C2075,_xlpm.r),IFERROR(_xlfn.XMATCH(VALUE(C2075),_xlpm.r),0)),IF(_xlpm.m=0,"",_xlpm.m+1))</f>
        <v/>
      </c>
      <c r="J2075" s="137" t="inlineStr">
        <is>
          <t>Shopify</t>
        </is>
      </c>
    </row>
    <row r="2076">
      <c r="A2076" s="5" t="inlineStr">
        <is>
          <t>Shopify Stetson México › Stetson Americas</t>
        </is>
      </c>
      <c r="B2076" s="5">
        <f>IF($I2="","",INDEX(Productos!$A:$A,$I2))</f>
        <v/>
      </c>
      <c r="C2076" s="134" t="inlineStr">
        <is>
          <t>11-004-1014-3000-36 36</t>
        </is>
      </c>
      <c r="D2076" s="5">
        <f>IF($I2="","",INDEX(Productos!$B:$B,$I2))</f>
        <v/>
      </c>
      <c r="E2076" s="5">
        <f>IF($I2="","",INDEX(Productos!$H:$H,$I2))</f>
        <v/>
      </c>
      <c r="F2076" s="5">
        <f>IF($I2="","",INDEX(Productos!$I:$I,$I2))</f>
        <v/>
      </c>
      <c r="G2076" s="135" t="n">
        <v>3</v>
      </c>
      <c r="H2076" s="5">
        <f>IF($I2="","",INDEX(Productos!$AG:$AG,$I2))</f>
        <v/>
      </c>
      <c r="I2076" s="136">
        <f>LET(_xlpm.r,Productos!$E$2:$E$2509,_xlpm.m,IFERROR(_xlfn.XMATCH(C2076,_xlpm.r),IFERROR(_xlfn.XMATCH(VALUE(C2076),_xlpm.r),0)),IF(_xlpm.m=0,"",_xlpm.m+1))</f>
        <v/>
      </c>
      <c r="J2076" s="137" t="inlineStr">
        <is>
          <t>Shopify</t>
        </is>
      </c>
    </row>
    <row r="2077">
      <c r="A2077" s="5" t="inlineStr">
        <is>
          <t>Shopify Stetson México › Stetson Americas</t>
        </is>
      </c>
      <c r="B2077" s="5">
        <f>IF($I2="","",INDEX(Productos!$A:$A,$I2))</f>
        <v/>
      </c>
      <c r="C2077" s="134" t="inlineStr">
        <is>
          <t>11-004-1014-3000-38 32</t>
        </is>
      </c>
      <c r="D2077" s="5">
        <f>IF($I2="","",INDEX(Productos!$B:$B,$I2))</f>
        <v/>
      </c>
      <c r="E2077" s="5">
        <f>IF($I2="","",INDEX(Productos!$H:$H,$I2))</f>
        <v/>
      </c>
      <c r="F2077" s="5">
        <f>IF($I2="","",INDEX(Productos!$I:$I,$I2))</f>
        <v/>
      </c>
      <c r="G2077" s="135" t="n">
        <v>2</v>
      </c>
      <c r="H2077" s="5">
        <f>IF($I2="","",INDEX(Productos!$AG:$AG,$I2))</f>
        <v/>
      </c>
      <c r="I2077" s="136">
        <f>LET(_xlpm.r,Productos!$E$2:$E$2509,_xlpm.m,IFERROR(_xlfn.XMATCH(C2077,_xlpm.r),IFERROR(_xlfn.XMATCH(VALUE(C2077),_xlpm.r),0)),IF(_xlpm.m=0,"",_xlpm.m+1))</f>
        <v/>
      </c>
      <c r="J2077" s="137" t="inlineStr">
        <is>
          <t>Shopify</t>
        </is>
      </c>
    </row>
    <row r="2078">
      <c r="A2078" s="5" t="inlineStr">
        <is>
          <t>Shopify Stetson México › Stetson Americas</t>
        </is>
      </c>
      <c r="B2078" s="5">
        <f>IF($I2="","",INDEX(Productos!$A:$A,$I2))</f>
        <v/>
      </c>
      <c r="C2078" s="134" t="inlineStr">
        <is>
          <t>11-004-1014-3000-40 32</t>
        </is>
      </c>
      <c r="D2078" s="5">
        <f>IF($I2="","",INDEX(Productos!$B:$B,$I2))</f>
        <v/>
      </c>
      <c r="E2078" s="5">
        <f>IF($I2="","",INDEX(Productos!$H:$H,$I2))</f>
        <v/>
      </c>
      <c r="F2078" s="5">
        <f>IF($I2="","",INDEX(Productos!$I:$I,$I2))</f>
        <v/>
      </c>
      <c r="G2078" s="135" t="n">
        <v>2</v>
      </c>
      <c r="H2078" s="5">
        <f>IF($I2="","",INDEX(Productos!$AG:$AG,$I2))</f>
        <v/>
      </c>
      <c r="I2078" s="136">
        <f>LET(_xlpm.r,Productos!$E$2:$E$2509,_xlpm.m,IFERROR(_xlfn.XMATCH(C2078,_xlpm.r),IFERROR(_xlfn.XMATCH(VALUE(C2078),_xlpm.r),0)),IF(_xlpm.m=0,"",_xlpm.m+1))</f>
        <v/>
      </c>
      <c r="J2078" s="137" t="inlineStr">
        <is>
          <t>Shopify</t>
        </is>
      </c>
    </row>
    <row r="2079">
      <c r="A2079" s="5" t="inlineStr">
        <is>
          <t>Shopify Stetson México › Stetson Americas</t>
        </is>
      </c>
      <c r="B2079" s="5">
        <f>IF($I2="","",INDEX(Productos!$A:$A,$I2))</f>
        <v/>
      </c>
      <c r="C2079" s="134" t="inlineStr">
        <is>
          <t>11-004-1014-4012-30 32</t>
        </is>
      </c>
      <c r="D2079" s="5">
        <f>IF($I2="","",INDEX(Productos!$B:$B,$I2))</f>
        <v/>
      </c>
      <c r="E2079" s="5">
        <f>IF($I2="","",INDEX(Productos!$H:$H,$I2))</f>
        <v/>
      </c>
      <c r="F2079" s="5">
        <f>IF($I2="","",INDEX(Productos!$I:$I,$I2))</f>
        <v/>
      </c>
      <c r="G2079" s="135" t="n">
        <v>4</v>
      </c>
      <c r="H2079" s="5">
        <f>IF($I2="","",INDEX(Productos!$AG:$AG,$I2))</f>
        <v/>
      </c>
      <c r="I2079" s="136">
        <f>LET(_xlpm.r,Productos!$E$2:$E$2509,_xlpm.m,IFERROR(_xlfn.XMATCH(C2079,_xlpm.r),IFERROR(_xlfn.XMATCH(VALUE(C2079),_xlpm.r),0)),IF(_xlpm.m=0,"",_xlpm.m+1))</f>
        <v/>
      </c>
      <c r="J2079" s="137" t="inlineStr">
        <is>
          <t>Shopify</t>
        </is>
      </c>
    </row>
    <row r="2080">
      <c r="A2080" s="5" t="inlineStr">
        <is>
          <t>Shopify Stetson México › Stetson Americas</t>
        </is>
      </c>
      <c r="B2080" s="5">
        <f>IF($I2="","",INDEX(Productos!$A:$A,$I2))</f>
        <v/>
      </c>
      <c r="C2080" s="134" t="inlineStr">
        <is>
          <t>11-004-1014-4012-31 32</t>
        </is>
      </c>
      <c r="D2080" s="5">
        <f>IF($I2="","",INDEX(Productos!$B:$B,$I2))</f>
        <v/>
      </c>
      <c r="E2080" s="5">
        <f>IF($I2="","",INDEX(Productos!$H:$H,$I2))</f>
        <v/>
      </c>
      <c r="F2080" s="5">
        <f>IF($I2="","",INDEX(Productos!$I:$I,$I2))</f>
        <v/>
      </c>
      <c r="G2080" s="135" t="n">
        <v>5</v>
      </c>
      <c r="H2080" s="5">
        <f>IF($I2="","",INDEX(Productos!$AG:$AG,$I2))</f>
        <v/>
      </c>
      <c r="I2080" s="136">
        <f>LET(_xlpm.r,Productos!$E$2:$E$2509,_xlpm.m,IFERROR(_xlfn.XMATCH(C2080,_xlpm.r),IFERROR(_xlfn.XMATCH(VALUE(C2080),_xlpm.r),0)),IF(_xlpm.m=0,"",_xlpm.m+1))</f>
        <v/>
      </c>
      <c r="J2080" s="137" t="inlineStr">
        <is>
          <t>Shopify</t>
        </is>
      </c>
    </row>
    <row r="2081">
      <c r="A2081" s="5" t="inlineStr">
        <is>
          <t>Shopify Stetson México › Stetson Americas</t>
        </is>
      </c>
      <c r="B2081" s="5">
        <f>IF($I2="","",INDEX(Productos!$A:$A,$I2))</f>
        <v/>
      </c>
      <c r="C2081" s="134" t="inlineStr">
        <is>
          <t>11-004-1014-4012-32 32</t>
        </is>
      </c>
      <c r="D2081" s="5">
        <f>IF($I2="","",INDEX(Productos!$B:$B,$I2))</f>
        <v/>
      </c>
      <c r="E2081" s="5">
        <f>IF($I2="","",INDEX(Productos!$H:$H,$I2))</f>
        <v/>
      </c>
      <c r="F2081" s="5">
        <f>IF($I2="","",INDEX(Productos!$I:$I,$I2))</f>
        <v/>
      </c>
      <c r="G2081" s="135" t="n">
        <v>2</v>
      </c>
      <c r="H2081" s="5">
        <f>IF($I2="","",INDEX(Productos!$AG:$AG,$I2))</f>
        <v/>
      </c>
      <c r="I2081" s="136">
        <f>LET(_xlpm.r,Productos!$E$2:$E$2509,_xlpm.m,IFERROR(_xlfn.XMATCH(C2081,_xlpm.r),IFERROR(_xlfn.XMATCH(VALUE(C2081),_xlpm.r),0)),IF(_xlpm.m=0,"",_xlpm.m+1))</f>
        <v/>
      </c>
      <c r="J2081" s="137" t="inlineStr">
        <is>
          <t>Shopify</t>
        </is>
      </c>
    </row>
    <row r="2082">
      <c r="A2082" s="5" t="inlineStr">
        <is>
          <t>Shopify Stetson México › Stetson Americas</t>
        </is>
      </c>
      <c r="B2082" s="5">
        <f>IF($I2="","",INDEX(Productos!$A:$A,$I2))</f>
        <v/>
      </c>
      <c r="C2082" s="134" t="inlineStr">
        <is>
          <t>11-004-1014-4012-32 34</t>
        </is>
      </c>
      <c r="D2082" s="5">
        <f>IF($I2="","",INDEX(Productos!$B:$B,$I2))</f>
        <v/>
      </c>
      <c r="E2082" s="5">
        <f>IF($I2="","",INDEX(Productos!$H:$H,$I2))</f>
        <v/>
      </c>
      <c r="F2082" s="5">
        <f>IF($I2="","",INDEX(Productos!$I:$I,$I2))</f>
        <v/>
      </c>
      <c r="G2082" s="135" t="n">
        <v>2</v>
      </c>
      <c r="H2082" s="5">
        <f>IF($I2="","",INDEX(Productos!$AG:$AG,$I2))</f>
        <v/>
      </c>
      <c r="I2082" s="136">
        <f>LET(_xlpm.r,Productos!$E$2:$E$2509,_xlpm.m,IFERROR(_xlfn.XMATCH(C2082,_xlpm.r),IFERROR(_xlfn.XMATCH(VALUE(C2082),_xlpm.r),0)),IF(_xlpm.m=0,"",_xlpm.m+1))</f>
        <v/>
      </c>
      <c r="J2082" s="137" t="inlineStr">
        <is>
          <t>Shopify</t>
        </is>
      </c>
    </row>
    <row r="2083">
      <c r="A2083" s="5" t="inlineStr">
        <is>
          <t>Shopify Stetson México › Stetson Americas</t>
        </is>
      </c>
      <c r="B2083" s="5">
        <f>IF($I2="","",INDEX(Productos!$A:$A,$I2))</f>
        <v/>
      </c>
      <c r="C2083" s="134" t="inlineStr">
        <is>
          <t>11-004-1014-4012-33 32</t>
        </is>
      </c>
      <c r="D2083" s="5">
        <f>IF($I2="","",INDEX(Productos!$B:$B,$I2))</f>
        <v/>
      </c>
      <c r="E2083" s="5">
        <f>IF($I2="","",INDEX(Productos!$H:$H,$I2))</f>
        <v/>
      </c>
      <c r="F2083" s="5">
        <f>IF($I2="","",INDEX(Productos!$I:$I,$I2))</f>
        <v/>
      </c>
      <c r="G2083" s="135" t="n">
        <v>8</v>
      </c>
      <c r="H2083" s="5">
        <f>IF($I2="","",INDEX(Productos!$AG:$AG,$I2))</f>
        <v/>
      </c>
      <c r="I2083" s="136">
        <f>LET(_xlpm.r,Productos!$E$2:$E$2509,_xlpm.m,IFERROR(_xlfn.XMATCH(C2083,_xlpm.r),IFERROR(_xlfn.XMATCH(VALUE(C2083),_xlpm.r),0)),IF(_xlpm.m=0,"",_xlpm.m+1))</f>
        <v/>
      </c>
      <c r="J2083" s="137" t="inlineStr">
        <is>
          <t>Shopify</t>
        </is>
      </c>
    </row>
    <row r="2084">
      <c r="A2084" s="5" t="inlineStr">
        <is>
          <t>Shopify Stetson México › Stetson Americas</t>
        </is>
      </c>
      <c r="B2084" s="5">
        <f>IF($I2="","",INDEX(Productos!$A:$A,$I2))</f>
        <v/>
      </c>
      <c r="C2084" s="134" t="inlineStr">
        <is>
          <t>11-004-1014-4012-34 34</t>
        </is>
      </c>
      <c r="D2084" s="5">
        <f>IF($I2="","",INDEX(Productos!$B:$B,$I2))</f>
        <v/>
      </c>
      <c r="E2084" s="5">
        <f>IF($I2="","",INDEX(Productos!$H:$H,$I2))</f>
        <v/>
      </c>
      <c r="F2084" s="5">
        <f>IF($I2="","",INDEX(Productos!$I:$I,$I2))</f>
        <v/>
      </c>
      <c r="G2084" s="135" t="n">
        <v>12</v>
      </c>
      <c r="H2084" s="5">
        <f>IF($I2="","",INDEX(Productos!$AG:$AG,$I2))</f>
        <v/>
      </c>
      <c r="I2084" s="136">
        <f>LET(_xlpm.r,Productos!$E$2:$E$2509,_xlpm.m,IFERROR(_xlfn.XMATCH(C2084,_xlpm.r),IFERROR(_xlfn.XMATCH(VALUE(C2084),_xlpm.r),0)),IF(_xlpm.m=0,"",_xlpm.m+1))</f>
        <v/>
      </c>
      <c r="J2084" s="137" t="inlineStr">
        <is>
          <t>Shopify</t>
        </is>
      </c>
    </row>
    <row r="2085">
      <c r="A2085" s="5" t="inlineStr">
        <is>
          <t>Shopify Stetson México › Stetson Americas</t>
        </is>
      </c>
      <c r="B2085" s="5">
        <f>IF($I2="","",INDEX(Productos!$A:$A,$I2))</f>
        <v/>
      </c>
      <c r="C2085" s="134" t="inlineStr">
        <is>
          <t>11-004-1014-4012-34 36</t>
        </is>
      </c>
      <c r="D2085" s="5">
        <f>IF($I2="","",INDEX(Productos!$B:$B,$I2))</f>
        <v/>
      </c>
      <c r="E2085" s="5">
        <f>IF($I2="","",INDEX(Productos!$H:$H,$I2))</f>
        <v/>
      </c>
      <c r="F2085" s="5">
        <f>IF($I2="","",INDEX(Productos!$I:$I,$I2))</f>
        <v/>
      </c>
      <c r="G2085" s="135" t="n">
        <v>4</v>
      </c>
      <c r="H2085" s="5">
        <f>IF($I2="","",INDEX(Productos!$AG:$AG,$I2))</f>
        <v/>
      </c>
      <c r="I2085" s="136">
        <f>LET(_xlpm.r,Productos!$E$2:$E$2509,_xlpm.m,IFERROR(_xlfn.XMATCH(C2085,_xlpm.r),IFERROR(_xlfn.XMATCH(VALUE(C2085),_xlpm.r),0)),IF(_xlpm.m=0,"",_xlpm.m+1))</f>
        <v/>
      </c>
      <c r="J2085" s="137" t="inlineStr">
        <is>
          <t>Shopify</t>
        </is>
      </c>
    </row>
    <row r="2086">
      <c r="A2086" s="5" t="inlineStr">
        <is>
          <t>Shopify Stetson México › Stetson Americas</t>
        </is>
      </c>
      <c r="B2086" s="5">
        <f>IF($I2="","",INDEX(Productos!$A:$A,$I2))</f>
        <v/>
      </c>
      <c r="C2086" s="134" t="inlineStr">
        <is>
          <t>11-004-1014-4012-36 34</t>
        </is>
      </c>
      <c r="D2086" s="5">
        <f>IF($I2="","",INDEX(Productos!$B:$B,$I2))</f>
        <v/>
      </c>
      <c r="E2086" s="5">
        <f>IF($I2="","",INDEX(Productos!$H:$H,$I2))</f>
        <v/>
      </c>
      <c r="F2086" s="5">
        <f>IF($I2="","",INDEX(Productos!$I:$I,$I2))</f>
        <v/>
      </c>
      <c r="G2086" s="135" t="n">
        <v>3</v>
      </c>
      <c r="H2086" s="5">
        <f>IF($I2="","",INDEX(Productos!$AG:$AG,$I2))</f>
        <v/>
      </c>
      <c r="I2086" s="136">
        <f>LET(_xlpm.r,Productos!$E$2:$E$2509,_xlpm.m,IFERROR(_xlfn.XMATCH(C2086,_xlpm.r),IFERROR(_xlfn.XMATCH(VALUE(C2086),_xlpm.r),0)),IF(_xlpm.m=0,"",_xlpm.m+1))</f>
        <v/>
      </c>
      <c r="J2086" s="137" t="inlineStr">
        <is>
          <t>Shopify</t>
        </is>
      </c>
    </row>
    <row r="2087">
      <c r="A2087" s="5" t="inlineStr">
        <is>
          <t>Shopify Stetson México › Stetson Americas</t>
        </is>
      </c>
      <c r="B2087" s="5">
        <f>IF($I2="","",INDEX(Productos!$A:$A,$I2))</f>
        <v/>
      </c>
      <c r="C2087" s="134" t="inlineStr">
        <is>
          <t>11-004-1014-4016-29 32</t>
        </is>
      </c>
      <c r="D2087" s="5">
        <f>IF($I2="","",INDEX(Productos!$B:$B,$I2))</f>
        <v/>
      </c>
      <c r="E2087" s="5">
        <f>IF($I2="","",INDEX(Productos!$H:$H,$I2))</f>
        <v/>
      </c>
      <c r="F2087" s="5">
        <f>IF($I2="","",INDEX(Productos!$I:$I,$I2))</f>
        <v/>
      </c>
      <c r="G2087" s="135" t="n">
        <v>2</v>
      </c>
      <c r="H2087" s="5">
        <f>IF($I2="","",INDEX(Productos!$AG:$AG,$I2))</f>
        <v/>
      </c>
      <c r="I2087" s="136">
        <f>LET(_xlpm.r,Productos!$E$2:$E$2509,_xlpm.m,IFERROR(_xlfn.XMATCH(C2087,_xlpm.r),IFERROR(_xlfn.XMATCH(VALUE(C2087),_xlpm.r),0)),IF(_xlpm.m=0,"",_xlpm.m+1))</f>
        <v/>
      </c>
      <c r="J2087" s="137" t="inlineStr">
        <is>
          <t>Shopify</t>
        </is>
      </c>
    </row>
    <row r="2088">
      <c r="A2088" s="5" t="inlineStr">
        <is>
          <t>Shopify Stetson México › Stetson Americas</t>
        </is>
      </c>
      <c r="B2088" s="5">
        <f>IF($I2="","",INDEX(Productos!$A:$A,$I2))</f>
        <v/>
      </c>
      <c r="C2088" s="134" t="inlineStr">
        <is>
          <t>11-004-1014-4016-30 32</t>
        </is>
      </c>
      <c r="D2088" s="5">
        <f>IF($I2="","",INDEX(Productos!$B:$B,$I2))</f>
        <v/>
      </c>
      <c r="E2088" s="5">
        <f>IF($I2="","",INDEX(Productos!$H:$H,$I2))</f>
        <v/>
      </c>
      <c r="F2088" s="5">
        <f>IF($I2="","",INDEX(Productos!$I:$I,$I2))</f>
        <v/>
      </c>
      <c r="G2088" s="135" t="n">
        <v>2</v>
      </c>
      <c r="H2088" s="5">
        <f>IF($I2="","",INDEX(Productos!$AG:$AG,$I2))</f>
        <v/>
      </c>
      <c r="I2088" s="136">
        <f>LET(_xlpm.r,Productos!$E$2:$E$2509,_xlpm.m,IFERROR(_xlfn.XMATCH(C2088,_xlpm.r),IFERROR(_xlfn.XMATCH(VALUE(C2088),_xlpm.r),0)),IF(_xlpm.m=0,"",_xlpm.m+1))</f>
        <v/>
      </c>
      <c r="J2088" s="137" t="inlineStr">
        <is>
          <t>Shopify</t>
        </is>
      </c>
    </row>
    <row r="2089">
      <c r="A2089" s="5" t="inlineStr">
        <is>
          <t>Shopify Stetson México › Stetson Americas</t>
        </is>
      </c>
      <c r="B2089" s="5">
        <f>IF($I2="","",INDEX(Productos!$A:$A,$I2))</f>
        <v/>
      </c>
      <c r="C2089" s="134" t="inlineStr">
        <is>
          <t>11-004-1014-4016-31 32</t>
        </is>
      </c>
      <c r="D2089" s="5">
        <f>IF($I2="","",INDEX(Productos!$B:$B,$I2))</f>
        <v/>
      </c>
      <c r="E2089" s="5">
        <f>IF($I2="","",INDEX(Productos!$H:$H,$I2))</f>
        <v/>
      </c>
      <c r="F2089" s="5">
        <f>IF($I2="","",INDEX(Productos!$I:$I,$I2))</f>
        <v/>
      </c>
      <c r="G2089" s="135" t="n">
        <v>4</v>
      </c>
      <c r="H2089" s="5">
        <f>IF($I2="","",INDEX(Productos!$AG:$AG,$I2))</f>
        <v/>
      </c>
      <c r="I2089" s="136">
        <f>LET(_xlpm.r,Productos!$E$2:$E$2509,_xlpm.m,IFERROR(_xlfn.XMATCH(C2089,_xlpm.r),IFERROR(_xlfn.XMATCH(VALUE(C2089),_xlpm.r),0)),IF(_xlpm.m=0,"",_xlpm.m+1))</f>
        <v/>
      </c>
      <c r="J2089" s="137" t="inlineStr">
        <is>
          <t>Shopify</t>
        </is>
      </c>
    </row>
    <row r="2090">
      <c r="A2090" s="5" t="inlineStr">
        <is>
          <t>Shopify Stetson México › Stetson Americas</t>
        </is>
      </c>
      <c r="B2090" s="5">
        <f>IF($I2="","",INDEX(Productos!$A:$A,$I2))</f>
        <v/>
      </c>
      <c r="C2090" s="134" t="inlineStr">
        <is>
          <t>11-004-1014-4016-32 32</t>
        </is>
      </c>
      <c r="D2090" s="5">
        <f>IF($I2="","",INDEX(Productos!$B:$B,$I2))</f>
        <v/>
      </c>
      <c r="E2090" s="5">
        <f>IF($I2="","",INDEX(Productos!$H:$H,$I2))</f>
        <v/>
      </c>
      <c r="F2090" s="5">
        <f>IF($I2="","",INDEX(Productos!$I:$I,$I2))</f>
        <v/>
      </c>
      <c r="G2090" s="135" t="n">
        <v>1</v>
      </c>
      <c r="H2090" s="5">
        <f>IF($I2="","",INDEX(Productos!$AG:$AG,$I2))</f>
        <v/>
      </c>
      <c r="I2090" s="136">
        <f>LET(_xlpm.r,Productos!$E$2:$E$2509,_xlpm.m,IFERROR(_xlfn.XMATCH(C2090,_xlpm.r),IFERROR(_xlfn.XMATCH(VALUE(C2090),_xlpm.r),0)),IF(_xlpm.m=0,"",_xlpm.m+1))</f>
        <v/>
      </c>
      <c r="J2090" s="137" t="inlineStr">
        <is>
          <t>Shopify</t>
        </is>
      </c>
    </row>
    <row r="2091">
      <c r="A2091" s="5" t="inlineStr">
        <is>
          <t>Shopify Stetson México › Stetson Americas</t>
        </is>
      </c>
      <c r="B2091" s="5">
        <f>IF($I2="","",INDEX(Productos!$A:$A,$I2))</f>
        <v/>
      </c>
      <c r="C2091" s="134" t="inlineStr">
        <is>
          <t>11-004-1014-4016-32 34</t>
        </is>
      </c>
      <c r="D2091" s="5">
        <f>IF($I2="","",INDEX(Productos!$B:$B,$I2))</f>
        <v/>
      </c>
      <c r="E2091" s="5">
        <f>IF($I2="","",INDEX(Productos!$H:$H,$I2))</f>
        <v/>
      </c>
      <c r="F2091" s="5">
        <f>IF($I2="","",INDEX(Productos!$I:$I,$I2))</f>
        <v/>
      </c>
      <c r="G2091" s="135" t="n">
        <v>5</v>
      </c>
      <c r="H2091" s="5">
        <f>IF($I2="","",INDEX(Productos!$AG:$AG,$I2))</f>
        <v/>
      </c>
      <c r="I2091" s="136">
        <f>LET(_xlpm.r,Productos!$E$2:$E$2509,_xlpm.m,IFERROR(_xlfn.XMATCH(C2091,_xlpm.r),IFERROR(_xlfn.XMATCH(VALUE(C2091),_xlpm.r),0)),IF(_xlpm.m=0,"",_xlpm.m+1))</f>
        <v/>
      </c>
      <c r="J2091" s="137" t="inlineStr">
        <is>
          <t>Shopify</t>
        </is>
      </c>
    </row>
    <row r="2092">
      <c r="A2092" s="5" t="inlineStr">
        <is>
          <t>Shopify Stetson México › Stetson Americas</t>
        </is>
      </c>
      <c r="B2092" s="5">
        <f>IF($I2="","",INDEX(Productos!$A:$A,$I2))</f>
        <v/>
      </c>
      <c r="C2092" s="134" t="inlineStr">
        <is>
          <t>11-004-1014-4016-33 32</t>
        </is>
      </c>
      <c r="D2092" s="5">
        <f>IF($I2="","",INDEX(Productos!$B:$B,$I2))</f>
        <v/>
      </c>
      <c r="E2092" s="5">
        <f>IF($I2="","",INDEX(Productos!$H:$H,$I2))</f>
        <v/>
      </c>
      <c r="F2092" s="5">
        <f>IF($I2="","",INDEX(Productos!$I:$I,$I2))</f>
        <v/>
      </c>
      <c r="G2092" s="135" t="n">
        <v>5</v>
      </c>
      <c r="H2092" s="5">
        <f>IF($I2="","",INDEX(Productos!$AG:$AG,$I2))</f>
        <v/>
      </c>
      <c r="I2092" s="136">
        <f>LET(_xlpm.r,Productos!$E$2:$E$2509,_xlpm.m,IFERROR(_xlfn.XMATCH(C2092,_xlpm.r),IFERROR(_xlfn.XMATCH(VALUE(C2092),_xlpm.r),0)),IF(_xlpm.m=0,"",_xlpm.m+1))</f>
        <v/>
      </c>
      <c r="J2092" s="137" t="inlineStr">
        <is>
          <t>Shopify</t>
        </is>
      </c>
    </row>
    <row r="2093">
      <c r="A2093" s="5" t="inlineStr">
        <is>
          <t>Shopify Stetson México › Stetson Americas</t>
        </is>
      </c>
      <c r="B2093" s="5">
        <f>IF($I2="","",INDEX(Productos!$A:$A,$I2))</f>
        <v/>
      </c>
      <c r="C2093" s="134" t="inlineStr">
        <is>
          <t>11-004-1014-4016-34 34</t>
        </is>
      </c>
      <c r="D2093" s="5">
        <f>IF($I2="","",INDEX(Productos!$B:$B,$I2))</f>
        <v/>
      </c>
      <c r="E2093" s="5">
        <f>IF($I2="","",INDEX(Productos!$H:$H,$I2))</f>
        <v/>
      </c>
      <c r="F2093" s="5">
        <f>IF($I2="","",INDEX(Productos!$I:$I,$I2))</f>
        <v/>
      </c>
      <c r="G2093" s="135" t="n">
        <v>4</v>
      </c>
      <c r="H2093" s="5">
        <f>IF($I2="","",INDEX(Productos!$AG:$AG,$I2))</f>
        <v/>
      </c>
      <c r="I2093" s="136">
        <f>LET(_xlpm.r,Productos!$E$2:$E$2509,_xlpm.m,IFERROR(_xlfn.XMATCH(C2093,_xlpm.r),IFERROR(_xlfn.XMATCH(VALUE(C2093),_xlpm.r),0)),IF(_xlpm.m=0,"",_xlpm.m+1))</f>
        <v/>
      </c>
      <c r="J2093" s="137" t="inlineStr">
        <is>
          <t>Shopify</t>
        </is>
      </c>
    </row>
    <row r="2094">
      <c r="A2094" s="5" t="inlineStr">
        <is>
          <t>Shopify Stetson México › Stetson Americas</t>
        </is>
      </c>
      <c r="B2094" s="5">
        <f>IF($I2="","",INDEX(Productos!$A:$A,$I2))</f>
        <v/>
      </c>
      <c r="C2094" s="134" t="inlineStr">
        <is>
          <t>11-004-1014-4016-36 32</t>
        </is>
      </c>
      <c r="D2094" s="5">
        <f>IF($I2="","",INDEX(Productos!$B:$B,$I2))</f>
        <v/>
      </c>
      <c r="E2094" s="5">
        <f>IF($I2="","",INDEX(Productos!$H:$H,$I2))</f>
        <v/>
      </c>
      <c r="F2094" s="5">
        <f>IF($I2="","",INDEX(Productos!$I:$I,$I2))</f>
        <v/>
      </c>
      <c r="G2094" s="135" t="n">
        <v>2</v>
      </c>
      <c r="H2094" s="5">
        <f>IF($I2="","",INDEX(Productos!$AG:$AG,$I2))</f>
        <v/>
      </c>
      <c r="I2094" s="136">
        <f>LET(_xlpm.r,Productos!$E$2:$E$2509,_xlpm.m,IFERROR(_xlfn.XMATCH(C2094,_xlpm.r),IFERROR(_xlfn.XMATCH(VALUE(C2094),_xlpm.r),0)),IF(_xlpm.m=0,"",_xlpm.m+1))</f>
        <v/>
      </c>
      <c r="J2094" s="137" t="inlineStr">
        <is>
          <t>Shopify</t>
        </is>
      </c>
    </row>
    <row r="2095">
      <c r="A2095" s="5" t="inlineStr">
        <is>
          <t>Shopify Stetson México › Stetson Americas</t>
        </is>
      </c>
      <c r="B2095" s="5">
        <f>IF($I2="","",INDEX(Productos!$A:$A,$I2))</f>
        <v/>
      </c>
      <c r="C2095" s="134" t="inlineStr">
        <is>
          <t>11-004-1014-4016-36 34</t>
        </is>
      </c>
      <c r="D2095" s="5">
        <f>IF($I2="","",INDEX(Productos!$B:$B,$I2))</f>
        <v/>
      </c>
      <c r="E2095" s="5">
        <f>IF($I2="","",INDEX(Productos!$H:$H,$I2))</f>
        <v/>
      </c>
      <c r="F2095" s="5">
        <f>IF($I2="","",INDEX(Productos!$I:$I,$I2))</f>
        <v/>
      </c>
      <c r="G2095" s="135" t="n">
        <v>2</v>
      </c>
      <c r="H2095" s="5">
        <f>IF($I2="","",INDEX(Productos!$AG:$AG,$I2))</f>
        <v/>
      </c>
      <c r="I2095" s="136">
        <f>LET(_xlpm.r,Productos!$E$2:$E$2509,_xlpm.m,IFERROR(_xlfn.XMATCH(C2095,_xlpm.r),IFERROR(_xlfn.XMATCH(VALUE(C2095),_xlpm.r),0)),IF(_xlpm.m=0,"",_xlpm.m+1))</f>
        <v/>
      </c>
      <c r="J2095" s="137" t="inlineStr">
        <is>
          <t>Shopify</t>
        </is>
      </c>
    </row>
    <row r="2096">
      <c r="A2096" s="5" t="inlineStr">
        <is>
          <t>Shopify Stetson México › Stetson Americas</t>
        </is>
      </c>
      <c r="B2096" s="5">
        <f>IF($I2="","",INDEX(Productos!$A:$A,$I2))</f>
        <v/>
      </c>
      <c r="C2096" s="134" t="inlineStr">
        <is>
          <t>11-004-1014-4016-36 36</t>
        </is>
      </c>
      <c r="D2096" s="5">
        <f>IF($I2="","",INDEX(Productos!$B:$B,$I2))</f>
        <v/>
      </c>
      <c r="E2096" s="5">
        <f>IF($I2="","",INDEX(Productos!$H:$H,$I2))</f>
        <v/>
      </c>
      <c r="F2096" s="5">
        <f>IF($I2="","",INDEX(Productos!$I:$I,$I2))</f>
        <v/>
      </c>
      <c r="G2096" s="135" t="n">
        <v>2</v>
      </c>
      <c r="H2096" s="5">
        <f>IF($I2="","",INDEX(Productos!$AG:$AG,$I2))</f>
        <v/>
      </c>
      <c r="I2096" s="136">
        <f>LET(_xlpm.r,Productos!$E$2:$E$2509,_xlpm.m,IFERROR(_xlfn.XMATCH(C2096,_xlpm.r),IFERROR(_xlfn.XMATCH(VALUE(C2096),_xlpm.r),0)),IF(_xlpm.m=0,"",_xlpm.m+1))</f>
        <v/>
      </c>
      <c r="J2096" s="137" t="inlineStr">
        <is>
          <t>Shopify</t>
        </is>
      </c>
    </row>
    <row r="2097">
      <c r="A2097" s="5" t="inlineStr">
        <is>
          <t>Shopify Stetson México › Stetson Americas</t>
        </is>
      </c>
      <c r="B2097" s="5">
        <f>IF($I2="","",INDEX(Productos!$A:$A,$I2))</f>
        <v/>
      </c>
      <c r="C2097" s="134" t="inlineStr">
        <is>
          <t>11-004-1014-4016-38 32</t>
        </is>
      </c>
      <c r="D2097" s="5">
        <f>IF($I2="","",INDEX(Productos!$B:$B,$I2))</f>
        <v/>
      </c>
      <c r="E2097" s="5">
        <f>IF($I2="","",INDEX(Productos!$H:$H,$I2))</f>
        <v/>
      </c>
      <c r="F2097" s="5">
        <f>IF($I2="","",INDEX(Productos!$I:$I,$I2))</f>
        <v/>
      </c>
      <c r="G2097" s="135" t="n">
        <v>2</v>
      </c>
      <c r="H2097" s="5">
        <f>IF($I2="","",INDEX(Productos!$AG:$AG,$I2))</f>
        <v/>
      </c>
      <c r="I2097" s="136">
        <f>LET(_xlpm.r,Productos!$E$2:$E$2509,_xlpm.m,IFERROR(_xlfn.XMATCH(C2097,_xlpm.r),IFERROR(_xlfn.XMATCH(VALUE(C2097),_xlpm.r),0)),IF(_xlpm.m=0,"",_xlpm.m+1))</f>
        <v/>
      </c>
      <c r="J2097" s="137" t="inlineStr">
        <is>
          <t>Shopify</t>
        </is>
      </c>
    </row>
    <row r="2098">
      <c r="A2098" s="5" t="inlineStr">
        <is>
          <t>Shopify Stetson México › Stetson Americas</t>
        </is>
      </c>
      <c r="B2098" s="5">
        <f>IF($I2="","",INDEX(Productos!$A:$A,$I2))</f>
        <v/>
      </c>
      <c r="C2098" s="134" t="inlineStr">
        <is>
          <t>11-004-1014-4082-29 32</t>
        </is>
      </c>
      <c r="D2098" s="5">
        <f>IF($I2="","",INDEX(Productos!$B:$B,$I2))</f>
        <v/>
      </c>
      <c r="E2098" s="5">
        <f>IF($I2="","",INDEX(Productos!$H:$H,$I2))</f>
        <v/>
      </c>
      <c r="F2098" s="5">
        <f>IF($I2="","",INDEX(Productos!$I:$I,$I2))</f>
        <v/>
      </c>
      <c r="G2098" s="135" t="n">
        <v>4</v>
      </c>
      <c r="H2098" s="5">
        <f>IF($I2="","",INDEX(Productos!$AG:$AG,$I2))</f>
        <v/>
      </c>
      <c r="I2098" s="136">
        <f>LET(_xlpm.r,Productos!$E$2:$E$2509,_xlpm.m,IFERROR(_xlfn.XMATCH(C2098,_xlpm.r),IFERROR(_xlfn.XMATCH(VALUE(C2098),_xlpm.r),0)),IF(_xlpm.m=0,"",_xlpm.m+1))</f>
        <v/>
      </c>
      <c r="J2098" s="137" t="inlineStr">
        <is>
          <t>Shopify</t>
        </is>
      </c>
    </row>
    <row r="2099">
      <c r="A2099" s="5" t="inlineStr">
        <is>
          <t>Shopify Stetson México › Stetson Americas</t>
        </is>
      </c>
      <c r="B2099" s="5">
        <f>IF($I2="","",INDEX(Productos!$A:$A,$I2))</f>
        <v/>
      </c>
      <c r="C2099" s="134" t="inlineStr">
        <is>
          <t>11-004-1014-4082-30 32</t>
        </is>
      </c>
      <c r="D2099" s="5">
        <f>IF($I2="","",INDEX(Productos!$B:$B,$I2))</f>
        <v/>
      </c>
      <c r="E2099" s="5">
        <f>IF($I2="","",INDEX(Productos!$H:$H,$I2))</f>
        <v/>
      </c>
      <c r="F2099" s="5">
        <f>IF($I2="","",INDEX(Productos!$I:$I,$I2))</f>
        <v/>
      </c>
      <c r="G2099" s="135" t="n">
        <v>3</v>
      </c>
      <c r="H2099" s="5">
        <f>IF($I2="","",INDEX(Productos!$AG:$AG,$I2))</f>
        <v/>
      </c>
      <c r="I2099" s="136">
        <f>LET(_xlpm.r,Productos!$E$2:$E$2509,_xlpm.m,IFERROR(_xlfn.XMATCH(C2099,_xlpm.r),IFERROR(_xlfn.XMATCH(VALUE(C2099),_xlpm.r),0)),IF(_xlpm.m=0,"",_xlpm.m+1))</f>
        <v/>
      </c>
      <c r="J2099" s="137" t="inlineStr">
        <is>
          <t>Shopify</t>
        </is>
      </c>
    </row>
    <row r="2100">
      <c r="A2100" s="5" t="inlineStr">
        <is>
          <t>Shopify Stetson México › Stetson Americas</t>
        </is>
      </c>
      <c r="B2100" s="5">
        <f>IF($I2="","",INDEX(Productos!$A:$A,$I2))</f>
        <v/>
      </c>
      <c r="C2100" s="134" t="inlineStr">
        <is>
          <t>11-004-1014-4082-31 32</t>
        </is>
      </c>
      <c r="D2100" s="5">
        <f>IF($I2="","",INDEX(Productos!$B:$B,$I2))</f>
        <v/>
      </c>
      <c r="E2100" s="5">
        <f>IF($I2="","",INDEX(Productos!$H:$H,$I2))</f>
        <v/>
      </c>
      <c r="F2100" s="5">
        <f>IF($I2="","",INDEX(Productos!$I:$I,$I2))</f>
        <v/>
      </c>
      <c r="G2100" s="135" t="n">
        <v>7</v>
      </c>
      <c r="H2100" s="5">
        <f>IF($I2="","",INDEX(Productos!$AG:$AG,$I2))</f>
        <v/>
      </c>
      <c r="I2100" s="136">
        <f>LET(_xlpm.r,Productos!$E$2:$E$2509,_xlpm.m,IFERROR(_xlfn.XMATCH(C2100,_xlpm.r),IFERROR(_xlfn.XMATCH(VALUE(C2100),_xlpm.r),0)),IF(_xlpm.m=0,"",_xlpm.m+1))</f>
        <v/>
      </c>
      <c r="J2100" s="137" t="inlineStr">
        <is>
          <t>Shopify</t>
        </is>
      </c>
    </row>
    <row r="2101">
      <c r="A2101" s="5" t="inlineStr">
        <is>
          <t>Shopify Stetson México › Stetson Americas</t>
        </is>
      </c>
      <c r="B2101" s="5">
        <f>IF($I2="","",INDEX(Productos!$A:$A,$I2))</f>
        <v/>
      </c>
      <c r="C2101" s="134" t="inlineStr">
        <is>
          <t>11-004-1014-4082-32 32</t>
        </is>
      </c>
      <c r="D2101" s="5">
        <f>IF($I2="","",INDEX(Productos!$B:$B,$I2))</f>
        <v/>
      </c>
      <c r="E2101" s="5">
        <f>IF($I2="","",INDEX(Productos!$H:$H,$I2))</f>
        <v/>
      </c>
      <c r="F2101" s="5">
        <f>IF($I2="","",INDEX(Productos!$I:$I,$I2))</f>
        <v/>
      </c>
      <c r="G2101" s="135" t="n">
        <v>12</v>
      </c>
      <c r="H2101" s="5">
        <f>IF($I2="","",INDEX(Productos!$AG:$AG,$I2))</f>
        <v/>
      </c>
      <c r="I2101" s="136">
        <f>LET(_xlpm.r,Productos!$E$2:$E$2509,_xlpm.m,IFERROR(_xlfn.XMATCH(C2101,_xlpm.r),IFERROR(_xlfn.XMATCH(VALUE(C2101),_xlpm.r),0)),IF(_xlpm.m=0,"",_xlpm.m+1))</f>
        <v/>
      </c>
      <c r="J2101" s="137" t="inlineStr">
        <is>
          <t>Shopify</t>
        </is>
      </c>
    </row>
    <row r="2102">
      <c r="A2102" s="5" t="inlineStr">
        <is>
          <t>Shopify Stetson México › Stetson Americas</t>
        </is>
      </c>
      <c r="B2102" s="5">
        <f>IF($I2="","",INDEX(Productos!$A:$A,$I2))</f>
        <v/>
      </c>
      <c r="C2102" s="134" t="inlineStr">
        <is>
          <t>11-004-1014-4082-32 34</t>
        </is>
      </c>
      <c r="D2102" s="5">
        <f>IF($I2="","",INDEX(Productos!$B:$B,$I2))</f>
        <v/>
      </c>
      <c r="E2102" s="5">
        <f>IF($I2="","",INDEX(Productos!$H:$H,$I2))</f>
        <v/>
      </c>
      <c r="F2102" s="5">
        <f>IF($I2="","",INDEX(Productos!$I:$I,$I2))</f>
        <v/>
      </c>
      <c r="G2102" s="135" t="n">
        <v>3</v>
      </c>
      <c r="H2102" s="5">
        <f>IF($I2="","",INDEX(Productos!$AG:$AG,$I2))</f>
        <v/>
      </c>
      <c r="I2102" s="136">
        <f>LET(_xlpm.r,Productos!$E$2:$E$2509,_xlpm.m,IFERROR(_xlfn.XMATCH(C2102,_xlpm.r),IFERROR(_xlfn.XMATCH(VALUE(C2102),_xlpm.r),0)),IF(_xlpm.m=0,"",_xlpm.m+1))</f>
        <v/>
      </c>
      <c r="J2102" s="137" t="inlineStr">
        <is>
          <t>Shopify</t>
        </is>
      </c>
    </row>
    <row r="2103">
      <c r="A2103" s="5" t="inlineStr">
        <is>
          <t>Shopify Stetson México › Stetson Americas</t>
        </is>
      </c>
      <c r="B2103" s="5">
        <f>IF($I2="","",INDEX(Productos!$A:$A,$I2))</f>
        <v/>
      </c>
      <c r="C2103" s="134" t="inlineStr">
        <is>
          <t>11-004-1014-4082-33 32</t>
        </is>
      </c>
      <c r="D2103" s="5">
        <f>IF($I2="","",INDEX(Productos!$B:$B,$I2))</f>
        <v/>
      </c>
      <c r="E2103" s="5">
        <f>IF($I2="","",INDEX(Productos!$H:$H,$I2))</f>
        <v/>
      </c>
      <c r="F2103" s="5">
        <f>IF($I2="","",INDEX(Productos!$I:$I,$I2))</f>
        <v/>
      </c>
      <c r="G2103" s="135" t="n">
        <v>1</v>
      </c>
      <c r="H2103" s="5">
        <f>IF($I2="","",INDEX(Productos!$AG:$AG,$I2))</f>
        <v/>
      </c>
      <c r="I2103" s="136">
        <f>LET(_xlpm.r,Productos!$E$2:$E$2509,_xlpm.m,IFERROR(_xlfn.XMATCH(C2103,_xlpm.r),IFERROR(_xlfn.XMATCH(VALUE(C2103),_xlpm.r),0)),IF(_xlpm.m=0,"",_xlpm.m+1))</f>
        <v/>
      </c>
      <c r="J2103" s="137" t="inlineStr">
        <is>
          <t>Shopify</t>
        </is>
      </c>
    </row>
    <row r="2104">
      <c r="A2104" s="5" t="inlineStr">
        <is>
          <t>Shopify Stetson México › Stetson Americas</t>
        </is>
      </c>
      <c r="B2104" s="5">
        <f>IF($I2="","",INDEX(Productos!$A:$A,$I2))</f>
        <v/>
      </c>
      <c r="C2104" s="134" t="inlineStr">
        <is>
          <t>11-004-1014-4082-34 32</t>
        </is>
      </c>
      <c r="D2104" s="5">
        <f>IF($I2="","",INDEX(Productos!$B:$B,$I2))</f>
        <v/>
      </c>
      <c r="E2104" s="5">
        <f>IF($I2="","",INDEX(Productos!$H:$H,$I2))</f>
        <v/>
      </c>
      <c r="F2104" s="5">
        <f>IF($I2="","",INDEX(Productos!$I:$I,$I2))</f>
        <v/>
      </c>
      <c r="G2104" s="135" t="n">
        <v>4</v>
      </c>
      <c r="H2104" s="5">
        <f>IF($I2="","",INDEX(Productos!$AG:$AG,$I2))</f>
        <v/>
      </c>
      <c r="I2104" s="136">
        <f>LET(_xlpm.r,Productos!$E$2:$E$2509,_xlpm.m,IFERROR(_xlfn.XMATCH(C2104,_xlpm.r),IFERROR(_xlfn.XMATCH(VALUE(C2104),_xlpm.r),0)),IF(_xlpm.m=0,"",_xlpm.m+1))</f>
        <v/>
      </c>
      <c r="J2104" s="137" t="inlineStr">
        <is>
          <t>Shopify</t>
        </is>
      </c>
    </row>
    <row r="2105">
      <c r="A2105" s="5" t="inlineStr">
        <is>
          <t>Shopify Stetson México › Stetson Americas</t>
        </is>
      </c>
      <c r="B2105" s="5">
        <f>IF($I2="","",INDEX(Productos!$A:$A,$I2))</f>
        <v/>
      </c>
      <c r="C2105" s="134" t="inlineStr">
        <is>
          <t>11-004-1014-4082-34 34</t>
        </is>
      </c>
      <c r="D2105" s="5">
        <f>IF($I2="","",INDEX(Productos!$B:$B,$I2))</f>
        <v/>
      </c>
      <c r="E2105" s="5">
        <f>IF($I2="","",INDEX(Productos!$H:$H,$I2))</f>
        <v/>
      </c>
      <c r="F2105" s="5">
        <f>IF($I2="","",INDEX(Productos!$I:$I,$I2))</f>
        <v/>
      </c>
      <c r="G2105" s="135" t="n">
        <v>4</v>
      </c>
      <c r="H2105" s="5">
        <f>IF($I2="","",INDEX(Productos!$AG:$AG,$I2))</f>
        <v/>
      </c>
      <c r="I2105" s="136">
        <f>LET(_xlpm.r,Productos!$E$2:$E$2509,_xlpm.m,IFERROR(_xlfn.XMATCH(C2105,_xlpm.r),IFERROR(_xlfn.XMATCH(VALUE(C2105),_xlpm.r),0)),IF(_xlpm.m=0,"",_xlpm.m+1))</f>
        <v/>
      </c>
      <c r="J2105" s="137" t="inlineStr">
        <is>
          <t>Shopify</t>
        </is>
      </c>
    </row>
    <row r="2106">
      <c r="A2106" s="5" t="inlineStr">
        <is>
          <t>Shopify Stetson México › Stetson Americas</t>
        </is>
      </c>
      <c r="B2106" s="5">
        <f>IF($I2="","",INDEX(Productos!$A:$A,$I2))</f>
        <v/>
      </c>
      <c r="C2106" s="134" t="inlineStr">
        <is>
          <t>11-004-1015-6001-28 32</t>
        </is>
      </c>
      <c r="D2106" s="5">
        <f>IF($I2="","",INDEX(Productos!$B:$B,$I2))</f>
        <v/>
      </c>
      <c r="E2106" s="5">
        <f>IF($I2="","",INDEX(Productos!$H:$H,$I2))</f>
        <v/>
      </c>
      <c r="F2106" s="5">
        <f>IF($I2="","",INDEX(Productos!$I:$I,$I2))</f>
        <v/>
      </c>
      <c r="G2106" s="135" t="n">
        <v>4</v>
      </c>
      <c r="H2106" s="5">
        <f>IF($I2="","",INDEX(Productos!$AG:$AG,$I2))</f>
        <v/>
      </c>
      <c r="I2106" s="136">
        <f>LET(_xlpm.r,Productos!$E$2:$E$2509,_xlpm.m,IFERROR(_xlfn.XMATCH(C2106,_xlpm.r),IFERROR(_xlfn.XMATCH(VALUE(C2106),_xlpm.r),0)),IF(_xlpm.m=0,"",_xlpm.m+1))</f>
        <v/>
      </c>
      <c r="J2106" s="137" t="inlineStr">
        <is>
          <t>Shopify</t>
        </is>
      </c>
    </row>
    <row r="2107">
      <c r="A2107" s="5" t="inlineStr">
        <is>
          <t>Shopify Stetson México › Stetson Americas</t>
        </is>
      </c>
      <c r="B2107" s="5">
        <f>IF($I2="","",INDEX(Productos!$A:$A,$I2))</f>
        <v/>
      </c>
      <c r="C2107" s="134" t="inlineStr">
        <is>
          <t>11-004-1015-6001-29 32</t>
        </is>
      </c>
      <c r="D2107" s="5">
        <f>IF($I2="","",INDEX(Productos!$B:$B,$I2))</f>
        <v/>
      </c>
      <c r="E2107" s="5">
        <f>IF($I2="","",INDEX(Productos!$H:$H,$I2))</f>
        <v/>
      </c>
      <c r="F2107" s="5">
        <f>IF($I2="","",INDEX(Productos!$I:$I,$I2))</f>
        <v/>
      </c>
      <c r="G2107" s="135" t="n">
        <v>7</v>
      </c>
      <c r="H2107" s="5">
        <f>IF($I2="","",INDEX(Productos!$AG:$AG,$I2))</f>
        <v/>
      </c>
      <c r="I2107" s="136">
        <f>LET(_xlpm.r,Productos!$E$2:$E$2509,_xlpm.m,IFERROR(_xlfn.XMATCH(C2107,_xlpm.r),IFERROR(_xlfn.XMATCH(VALUE(C2107),_xlpm.r),0)),IF(_xlpm.m=0,"",_xlpm.m+1))</f>
        <v/>
      </c>
      <c r="J2107" s="137" t="inlineStr">
        <is>
          <t>Shopify</t>
        </is>
      </c>
    </row>
    <row r="2108">
      <c r="A2108" s="5" t="inlineStr">
        <is>
          <t>Shopify Stetson México › Stetson Americas</t>
        </is>
      </c>
      <c r="B2108" s="5">
        <f>IF($I2="","",INDEX(Productos!$A:$A,$I2))</f>
        <v/>
      </c>
      <c r="C2108" s="134" t="inlineStr">
        <is>
          <t>11-004-1015-6001-30 32</t>
        </is>
      </c>
      <c r="D2108" s="5">
        <f>IF($I2="","",INDEX(Productos!$B:$B,$I2))</f>
        <v/>
      </c>
      <c r="E2108" s="5">
        <f>IF($I2="","",INDEX(Productos!$H:$H,$I2))</f>
        <v/>
      </c>
      <c r="F2108" s="5">
        <f>IF($I2="","",INDEX(Productos!$I:$I,$I2))</f>
        <v/>
      </c>
      <c r="G2108" s="135" t="n">
        <v>3</v>
      </c>
      <c r="H2108" s="5">
        <f>IF($I2="","",INDEX(Productos!$AG:$AG,$I2))</f>
        <v/>
      </c>
      <c r="I2108" s="136">
        <f>LET(_xlpm.r,Productos!$E$2:$E$2509,_xlpm.m,IFERROR(_xlfn.XMATCH(C2108,_xlpm.r),IFERROR(_xlfn.XMATCH(VALUE(C2108),_xlpm.r),0)),IF(_xlpm.m=0,"",_xlpm.m+1))</f>
        <v/>
      </c>
      <c r="J2108" s="137" t="inlineStr">
        <is>
          <t>Shopify</t>
        </is>
      </c>
    </row>
    <row r="2109">
      <c r="A2109" s="5" t="inlineStr">
        <is>
          <t>Shopify Stetson México › Stetson Americas</t>
        </is>
      </c>
      <c r="B2109" s="5">
        <f>IF($I2="","",INDEX(Productos!$A:$A,$I2))</f>
        <v/>
      </c>
      <c r="C2109" s="134" t="inlineStr">
        <is>
          <t>11-004-1015-6001-31 32</t>
        </is>
      </c>
      <c r="D2109" s="5">
        <f>IF($I2="","",INDEX(Productos!$B:$B,$I2))</f>
        <v/>
      </c>
      <c r="E2109" s="5">
        <f>IF($I2="","",INDEX(Productos!$H:$H,$I2))</f>
        <v/>
      </c>
      <c r="F2109" s="5">
        <f>IF($I2="","",INDEX(Productos!$I:$I,$I2))</f>
        <v/>
      </c>
      <c r="G2109" s="135" t="n">
        <v>6</v>
      </c>
      <c r="H2109" s="5">
        <f>IF($I2="","",INDEX(Productos!$AG:$AG,$I2))</f>
        <v/>
      </c>
      <c r="I2109" s="136">
        <f>LET(_xlpm.r,Productos!$E$2:$E$2509,_xlpm.m,IFERROR(_xlfn.XMATCH(C2109,_xlpm.r),IFERROR(_xlfn.XMATCH(VALUE(C2109),_xlpm.r),0)),IF(_xlpm.m=0,"",_xlpm.m+1))</f>
        <v/>
      </c>
      <c r="J2109" s="137" t="inlineStr">
        <is>
          <t>Shopify</t>
        </is>
      </c>
    </row>
    <row r="2110">
      <c r="A2110" s="5" t="inlineStr">
        <is>
          <t>Shopify Stetson México › Stetson Americas</t>
        </is>
      </c>
      <c r="B2110" s="5">
        <f>IF($I2="","",INDEX(Productos!$A:$A,$I2))</f>
        <v/>
      </c>
      <c r="C2110" s="134" t="inlineStr">
        <is>
          <t>11-004-1015-6001-32 34</t>
        </is>
      </c>
      <c r="D2110" s="5">
        <f>IF($I2="","",INDEX(Productos!$B:$B,$I2))</f>
        <v/>
      </c>
      <c r="E2110" s="5">
        <f>IF($I2="","",INDEX(Productos!$H:$H,$I2))</f>
        <v/>
      </c>
      <c r="F2110" s="5">
        <f>IF($I2="","",INDEX(Productos!$I:$I,$I2))</f>
        <v/>
      </c>
      <c r="G2110" s="135" t="n">
        <v>2</v>
      </c>
      <c r="H2110" s="5">
        <f>IF($I2="","",INDEX(Productos!$AG:$AG,$I2))</f>
        <v/>
      </c>
      <c r="I2110" s="136">
        <f>LET(_xlpm.r,Productos!$E$2:$E$2509,_xlpm.m,IFERROR(_xlfn.XMATCH(C2110,_xlpm.r),IFERROR(_xlfn.XMATCH(VALUE(C2110),_xlpm.r),0)),IF(_xlpm.m=0,"",_xlpm.m+1))</f>
        <v/>
      </c>
      <c r="J2110" s="137" t="inlineStr">
        <is>
          <t>Shopify</t>
        </is>
      </c>
    </row>
    <row r="2111">
      <c r="A2111" s="5" t="inlineStr">
        <is>
          <t>Shopify Stetson México › Stetson Americas</t>
        </is>
      </c>
      <c r="B2111" s="5">
        <f>IF($I2="","",INDEX(Productos!$A:$A,$I2))</f>
        <v/>
      </c>
      <c r="C2111" s="134" t="inlineStr">
        <is>
          <t>11-004-1015-6001-36 32</t>
        </is>
      </c>
      <c r="D2111" s="5">
        <f>IF($I2="","",INDEX(Productos!$B:$B,$I2))</f>
        <v/>
      </c>
      <c r="E2111" s="5">
        <f>IF($I2="","",INDEX(Productos!$H:$H,$I2))</f>
        <v/>
      </c>
      <c r="F2111" s="5">
        <f>IF($I2="","",INDEX(Productos!$I:$I,$I2))</f>
        <v/>
      </c>
      <c r="G2111" s="135" t="n">
        <v>1</v>
      </c>
      <c r="H2111" s="5">
        <f>IF($I2="","",INDEX(Productos!$AG:$AG,$I2))</f>
        <v/>
      </c>
      <c r="I2111" s="136">
        <f>LET(_xlpm.r,Productos!$E$2:$E$2509,_xlpm.m,IFERROR(_xlfn.XMATCH(C2111,_xlpm.r),IFERROR(_xlfn.XMATCH(VALUE(C2111),_xlpm.r),0)),IF(_xlpm.m=0,"",_xlpm.m+1))</f>
        <v/>
      </c>
      <c r="J2111" s="137" t="inlineStr">
        <is>
          <t>Shopify</t>
        </is>
      </c>
    </row>
    <row r="2112">
      <c r="A2112" s="5" t="inlineStr">
        <is>
          <t>Shopify Stetson México › Stetson Americas</t>
        </is>
      </c>
      <c r="B2112" s="5">
        <f>IF($I2="","",INDEX(Productos!$A:$A,$I2))</f>
        <v/>
      </c>
      <c r="C2112" s="134" t="inlineStr">
        <is>
          <t>11-004-1015-6001-36 34</t>
        </is>
      </c>
      <c r="D2112" s="5">
        <f>IF($I2="","",INDEX(Productos!$B:$B,$I2))</f>
        <v/>
      </c>
      <c r="E2112" s="5">
        <f>IF($I2="","",INDEX(Productos!$H:$H,$I2))</f>
        <v/>
      </c>
      <c r="F2112" s="5">
        <f>IF($I2="","",INDEX(Productos!$I:$I,$I2))</f>
        <v/>
      </c>
      <c r="G2112" s="135" t="n">
        <v>1</v>
      </c>
      <c r="H2112" s="5">
        <f>IF($I2="","",INDEX(Productos!$AG:$AG,$I2))</f>
        <v/>
      </c>
      <c r="I2112" s="136">
        <f>LET(_xlpm.r,Productos!$E$2:$E$2509,_xlpm.m,IFERROR(_xlfn.XMATCH(C2112,_xlpm.r),IFERROR(_xlfn.XMATCH(VALUE(C2112),_xlpm.r),0)),IF(_xlpm.m=0,"",_xlpm.m+1))</f>
        <v/>
      </c>
      <c r="J2112" s="137" t="inlineStr">
        <is>
          <t>Shopify</t>
        </is>
      </c>
    </row>
    <row r="2113">
      <c r="A2113" s="5" t="inlineStr">
        <is>
          <t>Shopify Stetson México › Stetson Americas</t>
        </is>
      </c>
      <c r="B2113" s="5">
        <f>IF($I2="","",INDEX(Productos!$A:$A,$I2))</f>
        <v/>
      </c>
      <c r="C2113" s="134" t="inlineStr">
        <is>
          <t>11-004-1015-6001-38 32</t>
        </is>
      </c>
      <c r="D2113" s="5">
        <f>IF($I2="","",INDEX(Productos!$B:$B,$I2))</f>
        <v/>
      </c>
      <c r="E2113" s="5">
        <f>IF($I2="","",INDEX(Productos!$H:$H,$I2))</f>
        <v/>
      </c>
      <c r="F2113" s="5">
        <f>IF($I2="","",INDEX(Productos!$I:$I,$I2))</f>
        <v/>
      </c>
      <c r="G2113" s="135" t="n">
        <v>2</v>
      </c>
      <c r="H2113" s="5">
        <f>IF($I2="","",INDEX(Productos!$AG:$AG,$I2))</f>
        <v/>
      </c>
      <c r="I2113" s="136">
        <f>LET(_xlpm.r,Productos!$E$2:$E$2509,_xlpm.m,IFERROR(_xlfn.XMATCH(C2113,_xlpm.r),IFERROR(_xlfn.XMATCH(VALUE(C2113),_xlpm.r),0)),IF(_xlpm.m=0,"",_xlpm.m+1))</f>
        <v/>
      </c>
      <c r="J2113" s="137" t="inlineStr">
        <is>
          <t>Shopify</t>
        </is>
      </c>
    </row>
    <row r="2114">
      <c r="A2114" s="5" t="inlineStr">
        <is>
          <t>Shopify Stetson México › Stetson Americas</t>
        </is>
      </c>
      <c r="B2114" s="5">
        <f>IF($I2="","",INDEX(Productos!$A:$A,$I2))</f>
        <v/>
      </c>
      <c r="C2114" s="134" t="inlineStr">
        <is>
          <t>11-004-1015-6002-31 32</t>
        </is>
      </c>
      <c r="D2114" s="5">
        <f>IF($I2="","",INDEX(Productos!$B:$B,$I2))</f>
        <v/>
      </c>
      <c r="E2114" s="5">
        <f>IF($I2="","",INDEX(Productos!$H:$H,$I2))</f>
        <v/>
      </c>
      <c r="F2114" s="5">
        <f>IF($I2="","",INDEX(Productos!$I:$I,$I2))</f>
        <v/>
      </c>
      <c r="G2114" s="135" t="n">
        <v>3</v>
      </c>
      <c r="H2114" s="5">
        <f>IF($I2="","",INDEX(Productos!$AG:$AG,$I2))</f>
        <v/>
      </c>
      <c r="I2114" s="136">
        <f>LET(_xlpm.r,Productos!$E$2:$E$2509,_xlpm.m,IFERROR(_xlfn.XMATCH(C2114,_xlpm.r),IFERROR(_xlfn.XMATCH(VALUE(C2114),_xlpm.r),0)),IF(_xlpm.m=0,"",_xlpm.m+1))</f>
        <v/>
      </c>
      <c r="J2114" s="137" t="inlineStr">
        <is>
          <t>Shopify</t>
        </is>
      </c>
    </row>
    <row r="2115">
      <c r="A2115" s="5" t="inlineStr">
        <is>
          <t>Shopify Stetson México › Stetson Americas</t>
        </is>
      </c>
      <c r="B2115" s="5">
        <f>IF($I2="","",INDEX(Productos!$A:$A,$I2))</f>
        <v/>
      </c>
      <c r="C2115" s="134" t="inlineStr">
        <is>
          <t>11-004-1015-6002-32 32</t>
        </is>
      </c>
      <c r="D2115" s="5">
        <f>IF($I2="","",INDEX(Productos!$B:$B,$I2))</f>
        <v/>
      </c>
      <c r="E2115" s="5">
        <f>IF($I2="","",INDEX(Productos!$H:$H,$I2))</f>
        <v/>
      </c>
      <c r="F2115" s="5">
        <f>IF($I2="","",INDEX(Productos!$I:$I,$I2))</f>
        <v/>
      </c>
      <c r="G2115" s="135" t="n">
        <v>1</v>
      </c>
      <c r="H2115" s="5">
        <f>IF($I2="","",INDEX(Productos!$AG:$AG,$I2))</f>
        <v/>
      </c>
      <c r="I2115" s="136">
        <f>LET(_xlpm.r,Productos!$E$2:$E$2509,_xlpm.m,IFERROR(_xlfn.XMATCH(C2115,_xlpm.r),IFERROR(_xlfn.XMATCH(VALUE(C2115),_xlpm.r),0)),IF(_xlpm.m=0,"",_xlpm.m+1))</f>
        <v/>
      </c>
      <c r="J2115" s="137" t="inlineStr">
        <is>
          <t>Shopify</t>
        </is>
      </c>
    </row>
    <row r="2116">
      <c r="A2116" s="5" t="inlineStr">
        <is>
          <t>Shopify Stetson México › Stetson Americas</t>
        </is>
      </c>
      <c r="B2116" s="5">
        <f>IF($I2="","",INDEX(Productos!$A:$A,$I2))</f>
        <v/>
      </c>
      <c r="C2116" s="134" t="inlineStr">
        <is>
          <t>11-004-1015-6002-32 34</t>
        </is>
      </c>
      <c r="D2116" s="5">
        <f>IF($I2="","",INDEX(Productos!$B:$B,$I2))</f>
        <v/>
      </c>
      <c r="E2116" s="5">
        <f>IF($I2="","",INDEX(Productos!$H:$H,$I2))</f>
        <v/>
      </c>
      <c r="F2116" s="5">
        <f>IF($I2="","",INDEX(Productos!$I:$I,$I2))</f>
        <v/>
      </c>
      <c r="G2116" s="135" t="n">
        <v>1</v>
      </c>
      <c r="H2116" s="5">
        <f>IF($I2="","",INDEX(Productos!$AG:$AG,$I2))</f>
        <v/>
      </c>
      <c r="I2116" s="136">
        <f>LET(_xlpm.r,Productos!$E$2:$E$2509,_xlpm.m,IFERROR(_xlfn.XMATCH(C2116,_xlpm.r),IFERROR(_xlfn.XMATCH(VALUE(C2116),_xlpm.r),0)),IF(_xlpm.m=0,"",_xlpm.m+1))</f>
        <v/>
      </c>
      <c r="J2116" s="137" t="inlineStr">
        <is>
          <t>Shopify</t>
        </is>
      </c>
    </row>
    <row r="2117">
      <c r="A2117" s="5" t="inlineStr">
        <is>
          <t>Shopify Stetson México › Stetson Americas</t>
        </is>
      </c>
      <c r="B2117" s="5">
        <f>IF($I2="","",INDEX(Productos!$A:$A,$I2))</f>
        <v/>
      </c>
      <c r="C2117" s="134" t="inlineStr">
        <is>
          <t>11-004-1015-6002-34 32</t>
        </is>
      </c>
      <c r="D2117" s="5">
        <f>IF($I2="","",INDEX(Productos!$B:$B,$I2))</f>
        <v/>
      </c>
      <c r="E2117" s="5">
        <f>IF($I2="","",INDEX(Productos!$H:$H,$I2))</f>
        <v/>
      </c>
      <c r="F2117" s="5">
        <f>IF($I2="","",INDEX(Productos!$I:$I,$I2))</f>
        <v/>
      </c>
      <c r="G2117" s="135" t="n">
        <v>1</v>
      </c>
      <c r="H2117" s="5">
        <f>IF($I2="","",INDEX(Productos!$AG:$AG,$I2))</f>
        <v/>
      </c>
      <c r="I2117" s="136">
        <f>LET(_xlpm.r,Productos!$E$2:$E$2509,_xlpm.m,IFERROR(_xlfn.XMATCH(C2117,_xlpm.r),IFERROR(_xlfn.XMATCH(VALUE(C2117),_xlpm.r),0)),IF(_xlpm.m=0,"",_xlpm.m+1))</f>
        <v/>
      </c>
      <c r="J2117" s="137" t="inlineStr">
        <is>
          <t>Shopify</t>
        </is>
      </c>
    </row>
    <row r="2118">
      <c r="A2118" s="5" t="inlineStr">
        <is>
          <t>Shopify Stetson México › Stetson Americas</t>
        </is>
      </c>
      <c r="B2118" s="5">
        <f>IF($I2="","",INDEX(Productos!$A:$A,$I2))</f>
        <v/>
      </c>
      <c r="C2118" s="134" t="inlineStr">
        <is>
          <t>11-004-1210-8003-29 32</t>
        </is>
      </c>
      <c r="D2118" s="5">
        <f>IF($I2="","",INDEX(Productos!$B:$B,$I2))</f>
        <v/>
      </c>
      <c r="E2118" s="5">
        <f>IF($I2="","",INDEX(Productos!$H:$H,$I2))</f>
        <v/>
      </c>
      <c r="F2118" s="5">
        <f>IF($I2="","",INDEX(Productos!$I:$I,$I2))</f>
        <v/>
      </c>
      <c r="G2118" s="135" t="n">
        <v>1</v>
      </c>
      <c r="H2118" s="5">
        <f>IF($I2="","",INDEX(Productos!$AG:$AG,$I2))</f>
        <v/>
      </c>
      <c r="I2118" s="136">
        <f>LET(_xlpm.r,Productos!$E$2:$E$2509,_xlpm.m,IFERROR(_xlfn.XMATCH(C2118,_xlpm.r),IFERROR(_xlfn.XMATCH(VALUE(C2118),_xlpm.r),0)),IF(_xlpm.m=0,"",_xlpm.m+1))</f>
        <v/>
      </c>
      <c r="J2118" s="137" t="inlineStr">
        <is>
          <t>Shopify</t>
        </is>
      </c>
    </row>
    <row r="2119">
      <c r="A2119" s="5" t="inlineStr">
        <is>
          <t>Shopify Stetson México › Stetson Americas</t>
        </is>
      </c>
      <c r="B2119" s="5">
        <f>IF($I2="","",INDEX(Productos!$A:$A,$I2))</f>
        <v/>
      </c>
      <c r="C2119" s="134" t="inlineStr">
        <is>
          <t>11-004-1210-8003-30 32</t>
        </is>
      </c>
      <c r="D2119" s="5">
        <f>IF($I2="","",INDEX(Productos!$B:$B,$I2))</f>
        <v/>
      </c>
      <c r="E2119" s="5">
        <f>IF($I2="","",INDEX(Productos!$H:$H,$I2))</f>
        <v/>
      </c>
      <c r="F2119" s="5">
        <f>IF($I2="","",INDEX(Productos!$I:$I,$I2))</f>
        <v/>
      </c>
      <c r="G2119" s="135" t="n">
        <v>6</v>
      </c>
      <c r="H2119" s="5">
        <f>IF($I2="","",INDEX(Productos!$AG:$AG,$I2))</f>
        <v/>
      </c>
      <c r="I2119" s="136">
        <f>LET(_xlpm.r,Productos!$E$2:$E$2509,_xlpm.m,IFERROR(_xlfn.XMATCH(C2119,_xlpm.r),IFERROR(_xlfn.XMATCH(VALUE(C2119),_xlpm.r),0)),IF(_xlpm.m=0,"",_xlpm.m+1))</f>
        <v/>
      </c>
      <c r="J2119" s="137" t="inlineStr">
        <is>
          <t>Shopify</t>
        </is>
      </c>
    </row>
    <row r="2120">
      <c r="A2120" s="5" t="inlineStr">
        <is>
          <t>Shopify Stetson México › Stetson Americas</t>
        </is>
      </c>
      <c r="B2120" s="5">
        <f>IF($I2="","",INDEX(Productos!$A:$A,$I2))</f>
        <v/>
      </c>
      <c r="C2120" s="134" t="inlineStr">
        <is>
          <t>11-004-1210-8003-31 32</t>
        </is>
      </c>
      <c r="D2120" s="5">
        <f>IF($I2="","",INDEX(Productos!$B:$B,$I2))</f>
        <v/>
      </c>
      <c r="E2120" s="5">
        <f>IF($I2="","",INDEX(Productos!$H:$H,$I2))</f>
        <v/>
      </c>
      <c r="F2120" s="5">
        <f>IF($I2="","",INDEX(Productos!$I:$I,$I2))</f>
        <v/>
      </c>
      <c r="G2120" s="135" t="n">
        <v>6</v>
      </c>
      <c r="H2120" s="5">
        <f>IF($I2="","",INDEX(Productos!$AG:$AG,$I2))</f>
        <v/>
      </c>
      <c r="I2120" s="136">
        <f>LET(_xlpm.r,Productos!$E$2:$E$2509,_xlpm.m,IFERROR(_xlfn.XMATCH(C2120,_xlpm.r),IFERROR(_xlfn.XMATCH(VALUE(C2120),_xlpm.r),0)),IF(_xlpm.m=0,"",_xlpm.m+1))</f>
        <v/>
      </c>
      <c r="J2120" s="137" t="inlineStr">
        <is>
          <t>Shopify</t>
        </is>
      </c>
    </row>
    <row r="2121">
      <c r="A2121" s="5" t="inlineStr">
        <is>
          <t>Shopify Stetson México › Stetson Americas</t>
        </is>
      </c>
      <c r="B2121" s="5">
        <f>IF($I2="","",INDEX(Productos!$A:$A,$I2))</f>
        <v/>
      </c>
      <c r="C2121" s="134" t="inlineStr">
        <is>
          <t>11-004-1210-8003-32 32</t>
        </is>
      </c>
      <c r="D2121" s="5">
        <f>IF($I2="","",INDEX(Productos!$B:$B,$I2))</f>
        <v/>
      </c>
      <c r="E2121" s="5">
        <f>IF($I2="","",INDEX(Productos!$H:$H,$I2))</f>
        <v/>
      </c>
      <c r="F2121" s="5">
        <f>IF($I2="","",INDEX(Productos!$I:$I,$I2))</f>
        <v/>
      </c>
      <c r="G2121" s="135" t="n">
        <v>9</v>
      </c>
      <c r="H2121" s="5">
        <f>IF($I2="","",INDEX(Productos!$AG:$AG,$I2))</f>
        <v/>
      </c>
      <c r="I2121" s="136">
        <f>LET(_xlpm.r,Productos!$E$2:$E$2509,_xlpm.m,IFERROR(_xlfn.XMATCH(C2121,_xlpm.r),IFERROR(_xlfn.XMATCH(VALUE(C2121),_xlpm.r),0)),IF(_xlpm.m=0,"",_xlpm.m+1))</f>
        <v/>
      </c>
      <c r="J2121" s="137" t="inlineStr">
        <is>
          <t>Shopify</t>
        </is>
      </c>
    </row>
    <row r="2122">
      <c r="A2122" s="5" t="inlineStr">
        <is>
          <t>Shopify Stetson México › Stetson Americas</t>
        </is>
      </c>
      <c r="B2122" s="5">
        <f>IF($I2="","",INDEX(Productos!$A:$A,$I2))</f>
        <v/>
      </c>
      <c r="C2122" s="134" t="inlineStr">
        <is>
          <t>11-004-1210-8003-32 34</t>
        </is>
      </c>
      <c r="D2122" s="5">
        <f>IF($I2="","",INDEX(Productos!$B:$B,$I2))</f>
        <v/>
      </c>
      <c r="E2122" s="5">
        <f>IF($I2="","",INDEX(Productos!$H:$H,$I2))</f>
        <v/>
      </c>
      <c r="F2122" s="5">
        <f>IF($I2="","",INDEX(Productos!$I:$I,$I2))</f>
        <v/>
      </c>
      <c r="G2122" s="135" t="n">
        <v>5</v>
      </c>
      <c r="H2122" s="5">
        <f>IF($I2="","",INDEX(Productos!$AG:$AG,$I2))</f>
        <v/>
      </c>
      <c r="I2122" s="136">
        <f>LET(_xlpm.r,Productos!$E$2:$E$2509,_xlpm.m,IFERROR(_xlfn.XMATCH(C2122,_xlpm.r),IFERROR(_xlfn.XMATCH(VALUE(C2122),_xlpm.r),0)),IF(_xlpm.m=0,"",_xlpm.m+1))</f>
        <v/>
      </c>
      <c r="J2122" s="137" t="inlineStr">
        <is>
          <t>Shopify</t>
        </is>
      </c>
    </row>
    <row r="2123">
      <c r="A2123" s="5" t="inlineStr">
        <is>
          <t>Shopify Stetson México › Stetson Americas</t>
        </is>
      </c>
      <c r="B2123" s="5">
        <f>IF($I2="","",INDEX(Productos!$A:$A,$I2))</f>
        <v/>
      </c>
      <c r="C2123" s="134" t="inlineStr">
        <is>
          <t>11-004-1210-8003-34 32</t>
        </is>
      </c>
      <c r="D2123" s="5">
        <f>IF($I2="","",INDEX(Productos!$B:$B,$I2))</f>
        <v/>
      </c>
      <c r="E2123" s="5">
        <f>IF($I2="","",INDEX(Productos!$H:$H,$I2))</f>
        <v/>
      </c>
      <c r="F2123" s="5">
        <f>IF($I2="","",INDEX(Productos!$I:$I,$I2))</f>
        <v/>
      </c>
      <c r="G2123" s="135" t="n">
        <v>1</v>
      </c>
      <c r="H2123" s="5">
        <f>IF($I2="","",INDEX(Productos!$AG:$AG,$I2))</f>
        <v/>
      </c>
      <c r="I2123" s="136">
        <f>LET(_xlpm.r,Productos!$E$2:$E$2509,_xlpm.m,IFERROR(_xlfn.XMATCH(C2123,_xlpm.r),IFERROR(_xlfn.XMATCH(VALUE(C2123),_xlpm.r),0)),IF(_xlpm.m=0,"",_xlpm.m+1))</f>
        <v/>
      </c>
      <c r="J2123" s="137" t="inlineStr">
        <is>
          <t>Shopify</t>
        </is>
      </c>
    </row>
    <row r="2124">
      <c r="A2124" s="5" t="inlineStr">
        <is>
          <t>Shopify Stetson México › Stetson Americas</t>
        </is>
      </c>
      <c r="B2124" s="5">
        <f>IF($I2="","",INDEX(Productos!$A:$A,$I2))</f>
        <v/>
      </c>
      <c r="C2124" s="134" t="inlineStr">
        <is>
          <t>11-004-1210-8003-34 34</t>
        </is>
      </c>
      <c r="D2124" s="5">
        <f>IF($I2="","",INDEX(Productos!$B:$B,$I2))</f>
        <v/>
      </c>
      <c r="E2124" s="5">
        <f>IF($I2="","",INDEX(Productos!$H:$H,$I2))</f>
        <v/>
      </c>
      <c r="F2124" s="5">
        <f>IF($I2="","",INDEX(Productos!$I:$I,$I2))</f>
        <v/>
      </c>
      <c r="G2124" s="135" t="n">
        <v>7</v>
      </c>
      <c r="H2124" s="5">
        <f>IF($I2="","",INDEX(Productos!$AG:$AG,$I2))</f>
        <v/>
      </c>
      <c r="I2124" s="136">
        <f>LET(_xlpm.r,Productos!$E$2:$E$2509,_xlpm.m,IFERROR(_xlfn.XMATCH(C2124,_xlpm.r),IFERROR(_xlfn.XMATCH(VALUE(C2124),_xlpm.r),0)),IF(_xlpm.m=0,"",_xlpm.m+1))</f>
        <v/>
      </c>
      <c r="J2124" s="137" t="inlineStr">
        <is>
          <t>Shopify</t>
        </is>
      </c>
    </row>
    <row r="2125">
      <c r="A2125" s="5" t="inlineStr">
        <is>
          <t>Shopify Stetson México › Stetson Americas</t>
        </is>
      </c>
      <c r="B2125" s="5">
        <f>IF($I2="","",INDEX(Productos!$A:$A,$I2))</f>
        <v/>
      </c>
      <c r="C2125" s="134" t="inlineStr">
        <is>
          <t>11-004-1210-8006-30 32</t>
        </is>
      </c>
      <c r="D2125" s="5">
        <f>IF($I2="","",INDEX(Productos!$B:$B,$I2))</f>
        <v/>
      </c>
      <c r="E2125" s="5">
        <f>IF($I2="","",INDEX(Productos!$H:$H,$I2))</f>
        <v/>
      </c>
      <c r="F2125" s="5">
        <f>IF($I2="","",INDEX(Productos!$I:$I,$I2))</f>
        <v/>
      </c>
      <c r="G2125" s="135" t="n">
        <v>2</v>
      </c>
      <c r="H2125" s="5">
        <f>IF($I2="","",INDEX(Productos!$AG:$AG,$I2))</f>
        <v/>
      </c>
      <c r="I2125" s="136">
        <f>LET(_xlpm.r,Productos!$E$2:$E$2509,_xlpm.m,IFERROR(_xlfn.XMATCH(C2125,_xlpm.r),IFERROR(_xlfn.XMATCH(VALUE(C2125),_xlpm.r),0)),IF(_xlpm.m=0,"",_xlpm.m+1))</f>
        <v/>
      </c>
      <c r="J2125" s="137" t="inlineStr">
        <is>
          <t>Shopify</t>
        </is>
      </c>
    </row>
    <row r="2126">
      <c r="A2126" s="5" t="inlineStr">
        <is>
          <t>Shopify Stetson México › Stetson Americas</t>
        </is>
      </c>
      <c r="B2126" s="5">
        <f>IF($I2="","",INDEX(Productos!$A:$A,$I2))</f>
        <v/>
      </c>
      <c r="C2126" s="134" t="inlineStr">
        <is>
          <t>11-004-1210-8006-31 32</t>
        </is>
      </c>
      <c r="D2126" s="5">
        <f>IF($I2="","",INDEX(Productos!$B:$B,$I2))</f>
        <v/>
      </c>
      <c r="E2126" s="5">
        <f>IF($I2="","",INDEX(Productos!$H:$H,$I2))</f>
        <v/>
      </c>
      <c r="F2126" s="5">
        <f>IF($I2="","",INDEX(Productos!$I:$I,$I2))</f>
        <v/>
      </c>
      <c r="G2126" s="135" t="n">
        <v>3</v>
      </c>
      <c r="H2126" s="5">
        <f>IF($I2="","",INDEX(Productos!$AG:$AG,$I2))</f>
        <v/>
      </c>
      <c r="I2126" s="136">
        <f>LET(_xlpm.r,Productos!$E$2:$E$2509,_xlpm.m,IFERROR(_xlfn.XMATCH(C2126,_xlpm.r),IFERROR(_xlfn.XMATCH(VALUE(C2126),_xlpm.r),0)),IF(_xlpm.m=0,"",_xlpm.m+1))</f>
        <v/>
      </c>
      <c r="J2126" s="137" t="inlineStr">
        <is>
          <t>Shopify</t>
        </is>
      </c>
    </row>
    <row r="2127">
      <c r="A2127" s="5" t="inlineStr">
        <is>
          <t>Shopify Stetson México › Stetson Americas</t>
        </is>
      </c>
      <c r="B2127" s="5">
        <f>IF($I2="","",INDEX(Productos!$A:$A,$I2))</f>
        <v/>
      </c>
      <c r="C2127" s="134" t="inlineStr">
        <is>
          <t>11-004-1210-8006-32 32</t>
        </is>
      </c>
      <c r="D2127" s="5">
        <f>IF($I2="","",INDEX(Productos!$B:$B,$I2))</f>
        <v/>
      </c>
      <c r="E2127" s="5">
        <f>IF($I2="","",INDEX(Productos!$H:$H,$I2))</f>
        <v/>
      </c>
      <c r="F2127" s="5">
        <f>IF($I2="","",INDEX(Productos!$I:$I,$I2))</f>
        <v/>
      </c>
      <c r="G2127" s="135" t="n">
        <v>5</v>
      </c>
      <c r="H2127" s="5">
        <f>IF($I2="","",INDEX(Productos!$AG:$AG,$I2))</f>
        <v/>
      </c>
      <c r="I2127" s="136">
        <f>LET(_xlpm.r,Productos!$E$2:$E$2509,_xlpm.m,IFERROR(_xlfn.XMATCH(C2127,_xlpm.r),IFERROR(_xlfn.XMATCH(VALUE(C2127),_xlpm.r),0)),IF(_xlpm.m=0,"",_xlpm.m+1))</f>
        <v/>
      </c>
      <c r="J2127" s="137" t="inlineStr">
        <is>
          <t>Shopify</t>
        </is>
      </c>
    </row>
    <row r="2128">
      <c r="A2128" s="5" t="inlineStr">
        <is>
          <t>Shopify Stetson México › Stetson Americas</t>
        </is>
      </c>
      <c r="B2128" s="5">
        <f>IF($I2="","",INDEX(Productos!$A:$A,$I2))</f>
        <v/>
      </c>
      <c r="C2128" s="134" t="inlineStr">
        <is>
          <t>11-004-1210-8006-32 34</t>
        </is>
      </c>
      <c r="D2128" s="5">
        <f>IF($I2="","",INDEX(Productos!$B:$B,$I2))</f>
        <v/>
      </c>
      <c r="E2128" s="5">
        <f>IF($I2="","",INDEX(Productos!$H:$H,$I2))</f>
        <v/>
      </c>
      <c r="F2128" s="5">
        <f>IF($I2="","",INDEX(Productos!$I:$I,$I2))</f>
        <v/>
      </c>
      <c r="G2128" s="135" t="n">
        <v>3</v>
      </c>
      <c r="H2128" s="5">
        <f>IF($I2="","",INDEX(Productos!$AG:$AG,$I2))</f>
        <v/>
      </c>
      <c r="I2128" s="136">
        <f>LET(_xlpm.r,Productos!$E$2:$E$2509,_xlpm.m,IFERROR(_xlfn.XMATCH(C2128,_xlpm.r),IFERROR(_xlfn.XMATCH(VALUE(C2128),_xlpm.r),0)),IF(_xlpm.m=0,"",_xlpm.m+1))</f>
        <v/>
      </c>
      <c r="J2128" s="137" t="inlineStr">
        <is>
          <t>Shopify</t>
        </is>
      </c>
    </row>
    <row r="2129">
      <c r="A2129" s="5" t="inlineStr">
        <is>
          <t>Shopify Stetson México › Stetson Americas</t>
        </is>
      </c>
      <c r="B2129" s="5">
        <f>IF($I2="","",INDEX(Productos!$A:$A,$I2))</f>
        <v/>
      </c>
      <c r="C2129" s="134" t="inlineStr">
        <is>
          <t>11-004-1210-8006-33 32</t>
        </is>
      </c>
      <c r="D2129" s="5">
        <f>IF($I2="","",INDEX(Productos!$B:$B,$I2))</f>
        <v/>
      </c>
      <c r="E2129" s="5">
        <f>IF($I2="","",INDEX(Productos!$H:$H,$I2))</f>
        <v/>
      </c>
      <c r="F2129" s="5">
        <f>IF($I2="","",INDEX(Productos!$I:$I,$I2))</f>
        <v/>
      </c>
      <c r="G2129" s="135" t="n">
        <v>3</v>
      </c>
      <c r="H2129" s="5">
        <f>IF($I2="","",INDEX(Productos!$AG:$AG,$I2))</f>
        <v/>
      </c>
      <c r="I2129" s="136">
        <f>LET(_xlpm.r,Productos!$E$2:$E$2509,_xlpm.m,IFERROR(_xlfn.XMATCH(C2129,_xlpm.r),IFERROR(_xlfn.XMATCH(VALUE(C2129),_xlpm.r),0)),IF(_xlpm.m=0,"",_xlpm.m+1))</f>
        <v/>
      </c>
      <c r="J2129" s="137" t="inlineStr">
        <is>
          <t>Shopify</t>
        </is>
      </c>
    </row>
    <row r="2130">
      <c r="A2130" s="5" t="inlineStr">
        <is>
          <t>Shopify Stetson México › Stetson Americas</t>
        </is>
      </c>
      <c r="B2130" s="5">
        <f>IF($I2="","",INDEX(Productos!$A:$A,$I2))</f>
        <v/>
      </c>
      <c r="C2130" s="134" t="inlineStr">
        <is>
          <t>11-004-1210-8006-34 32</t>
        </is>
      </c>
      <c r="D2130" s="5">
        <f>IF($I2="","",INDEX(Productos!$B:$B,$I2))</f>
        <v/>
      </c>
      <c r="E2130" s="5">
        <f>IF($I2="","",INDEX(Productos!$H:$H,$I2))</f>
        <v/>
      </c>
      <c r="F2130" s="5">
        <f>IF($I2="","",INDEX(Productos!$I:$I,$I2))</f>
        <v/>
      </c>
      <c r="G2130" s="135" t="n">
        <v>2</v>
      </c>
      <c r="H2130" s="5">
        <f>IF($I2="","",INDEX(Productos!$AG:$AG,$I2))</f>
        <v/>
      </c>
      <c r="I2130" s="136">
        <f>LET(_xlpm.r,Productos!$E$2:$E$2509,_xlpm.m,IFERROR(_xlfn.XMATCH(C2130,_xlpm.r),IFERROR(_xlfn.XMATCH(VALUE(C2130),_xlpm.r),0)),IF(_xlpm.m=0,"",_xlpm.m+1))</f>
        <v/>
      </c>
      <c r="J2130" s="137" t="inlineStr">
        <is>
          <t>Shopify</t>
        </is>
      </c>
    </row>
    <row r="2131">
      <c r="A2131" s="5" t="inlineStr">
        <is>
          <t>Shopify Stetson México › Stetson Americas</t>
        </is>
      </c>
      <c r="B2131" s="5">
        <f>IF($I2="","",INDEX(Productos!$A:$A,$I2))</f>
        <v/>
      </c>
      <c r="C2131" s="134" t="inlineStr">
        <is>
          <t>11-004-1210-8006-34 34</t>
        </is>
      </c>
      <c r="D2131" s="5">
        <f>IF($I2="","",INDEX(Productos!$B:$B,$I2))</f>
        <v/>
      </c>
      <c r="E2131" s="5">
        <f>IF($I2="","",INDEX(Productos!$H:$H,$I2))</f>
        <v/>
      </c>
      <c r="F2131" s="5">
        <f>IF($I2="","",INDEX(Productos!$I:$I,$I2))</f>
        <v/>
      </c>
      <c r="G2131" s="135" t="n">
        <v>2</v>
      </c>
      <c r="H2131" s="5">
        <f>IF($I2="","",INDEX(Productos!$AG:$AG,$I2))</f>
        <v/>
      </c>
      <c r="I2131" s="136">
        <f>LET(_xlpm.r,Productos!$E$2:$E$2509,_xlpm.m,IFERROR(_xlfn.XMATCH(C2131,_xlpm.r),IFERROR(_xlfn.XMATCH(VALUE(C2131),_xlpm.r),0)),IF(_xlpm.m=0,"",_xlpm.m+1))</f>
        <v/>
      </c>
      <c r="J2131" s="137" t="inlineStr">
        <is>
          <t>Shopify</t>
        </is>
      </c>
    </row>
    <row r="2132">
      <c r="A2132" s="5" t="inlineStr">
        <is>
          <t>Shopify Stetson México › Stetson Americas</t>
        </is>
      </c>
      <c r="B2132" s="5">
        <f>IF($I2="","",INDEX(Productos!$A:$A,$I2))</f>
        <v/>
      </c>
      <c r="C2132" s="134" t="inlineStr">
        <is>
          <t>11-004-1312-4039-29 32</t>
        </is>
      </c>
      <c r="D2132" s="5">
        <f>IF($I2="","",INDEX(Productos!$B:$B,$I2))</f>
        <v/>
      </c>
      <c r="E2132" s="5">
        <f>IF($I2="","",INDEX(Productos!$H:$H,$I2))</f>
        <v/>
      </c>
      <c r="F2132" s="5">
        <f>IF($I2="","",INDEX(Productos!$I:$I,$I2))</f>
        <v/>
      </c>
      <c r="G2132" s="135" t="n">
        <v>3</v>
      </c>
      <c r="H2132" s="5">
        <f>IF($I2="","",INDEX(Productos!$AG:$AG,$I2))</f>
        <v/>
      </c>
      <c r="I2132" s="136">
        <f>LET(_xlpm.r,Productos!$E$2:$E$2509,_xlpm.m,IFERROR(_xlfn.XMATCH(C2132,_xlpm.r),IFERROR(_xlfn.XMATCH(VALUE(C2132),_xlpm.r),0)),IF(_xlpm.m=0,"",_xlpm.m+1))</f>
        <v/>
      </c>
      <c r="J2132" s="137" t="inlineStr">
        <is>
          <t>Shopify</t>
        </is>
      </c>
    </row>
    <row r="2133">
      <c r="A2133" s="5" t="inlineStr">
        <is>
          <t>Shopify Stetson México › Stetson Americas</t>
        </is>
      </c>
      <c r="B2133" s="5">
        <f>IF($I2="","",INDEX(Productos!$A:$A,$I2))</f>
        <v/>
      </c>
      <c r="C2133" s="134" t="inlineStr">
        <is>
          <t>11-004-1312-4039-30 32</t>
        </is>
      </c>
      <c r="D2133" s="5">
        <f>IF($I2="","",INDEX(Productos!$B:$B,$I2))</f>
        <v/>
      </c>
      <c r="E2133" s="5">
        <f>IF($I2="","",INDEX(Productos!$H:$H,$I2))</f>
        <v/>
      </c>
      <c r="F2133" s="5">
        <f>IF($I2="","",INDEX(Productos!$I:$I,$I2))</f>
        <v/>
      </c>
      <c r="G2133" s="135" t="n">
        <v>4</v>
      </c>
      <c r="H2133" s="5">
        <f>IF($I2="","",INDEX(Productos!$AG:$AG,$I2))</f>
        <v/>
      </c>
      <c r="I2133" s="136">
        <f>LET(_xlpm.r,Productos!$E$2:$E$2509,_xlpm.m,IFERROR(_xlfn.XMATCH(C2133,_xlpm.r),IFERROR(_xlfn.XMATCH(VALUE(C2133),_xlpm.r),0)),IF(_xlpm.m=0,"",_xlpm.m+1))</f>
        <v/>
      </c>
      <c r="J2133" s="137" t="inlineStr">
        <is>
          <t>Shopify</t>
        </is>
      </c>
    </row>
    <row r="2134">
      <c r="A2134" s="5" t="inlineStr">
        <is>
          <t>Shopify Stetson México › Stetson Americas</t>
        </is>
      </c>
      <c r="B2134" s="5">
        <f>IF($I2="","",INDEX(Productos!$A:$A,$I2))</f>
        <v/>
      </c>
      <c r="C2134" s="134" t="inlineStr">
        <is>
          <t>11-004-1312-4039-31 32</t>
        </is>
      </c>
      <c r="D2134" s="5">
        <f>IF($I2="","",INDEX(Productos!$B:$B,$I2))</f>
        <v/>
      </c>
      <c r="E2134" s="5">
        <f>IF($I2="","",INDEX(Productos!$H:$H,$I2))</f>
        <v/>
      </c>
      <c r="F2134" s="5">
        <f>IF($I2="","",INDEX(Productos!$I:$I,$I2))</f>
        <v/>
      </c>
      <c r="G2134" s="135" t="n">
        <v>6</v>
      </c>
      <c r="H2134" s="5">
        <f>IF($I2="","",INDEX(Productos!$AG:$AG,$I2))</f>
        <v/>
      </c>
      <c r="I2134" s="136">
        <f>LET(_xlpm.r,Productos!$E$2:$E$2509,_xlpm.m,IFERROR(_xlfn.XMATCH(C2134,_xlpm.r),IFERROR(_xlfn.XMATCH(VALUE(C2134),_xlpm.r),0)),IF(_xlpm.m=0,"",_xlpm.m+1))</f>
        <v/>
      </c>
      <c r="J2134" s="137" t="inlineStr">
        <is>
          <t>Shopify</t>
        </is>
      </c>
    </row>
    <row r="2135">
      <c r="A2135" s="5" t="inlineStr">
        <is>
          <t>Shopify Stetson México › Stetson Americas</t>
        </is>
      </c>
      <c r="B2135" s="5">
        <f>IF($I2="","",INDEX(Productos!$A:$A,$I2))</f>
        <v/>
      </c>
      <c r="C2135" s="134" t="inlineStr">
        <is>
          <t>11-004-1312-4039-32 32</t>
        </is>
      </c>
      <c r="D2135" s="5">
        <f>IF($I2="","",INDEX(Productos!$B:$B,$I2))</f>
        <v/>
      </c>
      <c r="E2135" s="5">
        <f>IF($I2="","",INDEX(Productos!$H:$H,$I2))</f>
        <v/>
      </c>
      <c r="F2135" s="5">
        <f>IF($I2="","",INDEX(Productos!$I:$I,$I2))</f>
        <v/>
      </c>
      <c r="G2135" s="135" t="n">
        <v>9</v>
      </c>
      <c r="H2135" s="5">
        <f>IF($I2="","",INDEX(Productos!$AG:$AG,$I2))</f>
        <v/>
      </c>
      <c r="I2135" s="136">
        <f>LET(_xlpm.r,Productos!$E$2:$E$2509,_xlpm.m,IFERROR(_xlfn.XMATCH(C2135,_xlpm.r),IFERROR(_xlfn.XMATCH(VALUE(C2135),_xlpm.r),0)),IF(_xlpm.m=0,"",_xlpm.m+1))</f>
        <v/>
      </c>
      <c r="J2135" s="137" t="inlineStr">
        <is>
          <t>Shopify</t>
        </is>
      </c>
    </row>
    <row r="2136">
      <c r="A2136" s="5" t="inlineStr">
        <is>
          <t>Shopify Stetson México › Stetson Americas</t>
        </is>
      </c>
      <c r="B2136" s="5">
        <f>IF($I2="","",INDEX(Productos!$A:$A,$I2))</f>
        <v/>
      </c>
      <c r="C2136" s="134" t="inlineStr">
        <is>
          <t>11-004-1312-4039-32 34</t>
        </is>
      </c>
      <c r="D2136" s="5">
        <f>IF($I2="","",INDEX(Productos!$B:$B,$I2))</f>
        <v/>
      </c>
      <c r="E2136" s="5">
        <f>IF($I2="","",INDEX(Productos!$H:$H,$I2))</f>
        <v/>
      </c>
      <c r="F2136" s="5">
        <f>IF($I2="","",INDEX(Productos!$I:$I,$I2))</f>
        <v/>
      </c>
      <c r="G2136" s="135" t="n">
        <v>7</v>
      </c>
      <c r="H2136" s="5">
        <f>IF($I2="","",INDEX(Productos!$AG:$AG,$I2))</f>
        <v/>
      </c>
      <c r="I2136" s="136">
        <f>LET(_xlpm.r,Productos!$E$2:$E$2509,_xlpm.m,IFERROR(_xlfn.XMATCH(C2136,_xlpm.r),IFERROR(_xlfn.XMATCH(VALUE(C2136),_xlpm.r),0)),IF(_xlpm.m=0,"",_xlpm.m+1))</f>
        <v/>
      </c>
      <c r="J2136" s="137" t="inlineStr">
        <is>
          <t>Shopify</t>
        </is>
      </c>
    </row>
    <row r="2137">
      <c r="A2137" s="5" t="inlineStr">
        <is>
          <t>Shopify Stetson México › Stetson Americas</t>
        </is>
      </c>
      <c r="B2137" s="5">
        <f>IF($I2="","",INDEX(Productos!$A:$A,$I2))</f>
        <v/>
      </c>
      <c r="C2137" s="134" t="inlineStr">
        <is>
          <t>11-004-1312-4039-33 32</t>
        </is>
      </c>
      <c r="D2137" s="5">
        <f>IF($I2="","",INDEX(Productos!$B:$B,$I2))</f>
        <v/>
      </c>
      <c r="E2137" s="5">
        <f>IF($I2="","",INDEX(Productos!$H:$H,$I2))</f>
        <v/>
      </c>
      <c r="F2137" s="5">
        <f>IF($I2="","",INDEX(Productos!$I:$I,$I2))</f>
        <v/>
      </c>
      <c r="G2137" s="135" t="n">
        <v>5</v>
      </c>
      <c r="H2137" s="5">
        <f>IF($I2="","",INDEX(Productos!$AG:$AG,$I2))</f>
        <v/>
      </c>
      <c r="I2137" s="136">
        <f>LET(_xlpm.r,Productos!$E$2:$E$2509,_xlpm.m,IFERROR(_xlfn.XMATCH(C2137,_xlpm.r),IFERROR(_xlfn.XMATCH(VALUE(C2137),_xlpm.r),0)),IF(_xlpm.m=0,"",_xlpm.m+1))</f>
        <v/>
      </c>
      <c r="J2137" s="137" t="inlineStr">
        <is>
          <t>Shopify</t>
        </is>
      </c>
    </row>
    <row r="2138">
      <c r="A2138" s="5" t="inlineStr">
        <is>
          <t>Shopify Stetson México › Stetson Americas</t>
        </is>
      </c>
      <c r="B2138" s="5">
        <f>IF($I2="","",INDEX(Productos!$A:$A,$I2))</f>
        <v/>
      </c>
      <c r="C2138" s="134" t="inlineStr">
        <is>
          <t>11-004-1312-4039-34 32</t>
        </is>
      </c>
      <c r="D2138" s="5">
        <f>IF($I2="","",INDEX(Productos!$B:$B,$I2))</f>
        <v/>
      </c>
      <c r="E2138" s="5">
        <f>IF($I2="","",INDEX(Productos!$H:$H,$I2))</f>
        <v/>
      </c>
      <c r="F2138" s="5">
        <f>IF($I2="","",INDEX(Productos!$I:$I,$I2))</f>
        <v/>
      </c>
      <c r="G2138" s="135" t="n">
        <v>6</v>
      </c>
      <c r="H2138" s="5">
        <f>IF($I2="","",INDEX(Productos!$AG:$AG,$I2))</f>
        <v/>
      </c>
      <c r="I2138" s="136">
        <f>LET(_xlpm.r,Productos!$E$2:$E$2509,_xlpm.m,IFERROR(_xlfn.XMATCH(C2138,_xlpm.r),IFERROR(_xlfn.XMATCH(VALUE(C2138),_xlpm.r),0)),IF(_xlpm.m=0,"",_xlpm.m+1))</f>
        <v/>
      </c>
      <c r="J2138" s="137" t="inlineStr">
        <is>
          <t>Shopify</t>
        </is>
      </c>
    </row>
    <row r="2139">
      <c r="A2139" s="5" t="inlineStr">
        <is>
          <t>Shopify Stetson México › Stetson Americas</t>
        </is>
      </c>
      <c r="B2139" s="5">
        <f>IF($I2="","",INDEX(Productos!$A:$A,$I2))</f>
        <v/>
      </c>
      <c r="C2139" s="134" t="inlineStr">
        <is>
          <t>11-004-1312-4039-34 34</t>
        </is>
      </c>
      <c r="D2139" s="5">
        <f>IF($I2="","",INDEX(Productos!$B:$B,$I2))</f>
        <v/>
      </c>
      <c r="E2139" s="5">
        <f>IF($I2="","",INDEX(Productos!$H:$H,$I2))</f>
        <v/>
      </c>
      <c r="F2139" s="5">
        <f>IF($I2="","",INDEX(Productos!$I:$I,$I2))</f>
        <v/>
      </c>
      <c r="G2139" s="135" t="n">
        <v>6</v>
      </c>
      <c r="H2139" s="5">
        <f>IF($I2="","",INDEX(Productos!$AG:$AG,$I2))</f>
        <v/>
      </c>
      <c r="I2139" s="136">
        <f>LET(_xlpm.r,Productos!$E$2:$E$2509,_xlpm.m,IFERROR(_xlfn.XMATCH(C2139,_xlpm.r),IFERROR(_xlfn.XMATCH(VALUE(C2139),_xlpm.r),0)),IF(_xlpm.m=0,"",_xlpm.m+1))</f>
        <v/>
      </c>
      <c r="J2139" s="137" t="inlineStr">
        <is>
          <t>Shopify</t>
        </is>
      </c>
    </row>
    <row r="2140">
      <c r="A2140" s="5" t="inlineStr">
        <is>
          <t>Shopify Stetson México › Stetson Americas</t>
        </is>
      </c>
      <c r="B2140" s="5">
        <f>IF($I2="","",INDEX(Productos!$A:$A,$I2))</f>
        <v/>
      </c>
      <c r="C2140" s="134" t="inlineStr">
        <is>
          <t>11-004-1312-4039-34 36</t>
        </is>
      </c>
      <c r="D2140" s="5">
        <f>IF($I2="","",INDEX(Productos!$B:$B,$I2))</f>
        <v/>
      </c>
      <c r="E2140" s="5">
        <f>IF($I2="","",INDEX(Productos!$H:$H,$I2))</f>
        <v/>
      </c>
      <c r="F2140" s="5">
        <f>IF($I2="","",INDEX(Productos!$I:$I,$I2))</f>
        <v/>
      </c>
      <c r="G2140" s="135" t="n">
        <v>3</v>
      </c>
      <c r="H2140" s="5">
        <f>IF($I2="","",INDEX(Productos!$AG:$AG,$I2))</f>
        <v/>
      </c>
      <c r="I2140" s="136">
        <f>LET(_xlpm.r,Productos!$E$2:$E$2509,_xlpm.m,IFERROR(_xlfn.XMATCH(C2140,_xlpm.r),IFERROR(_xlfn.XMATCH(VALUE(C2140),_xlpm.r),0)),IF(_xlpm.m=0,"",_xlpm.m+1))</f>
        <v/>
      </c>
      <c r="J2140" s="137" t="inlineStr">
        <is>
          <t>Shopify</t>
        </is>
      </c>
    </row>
    <row r="2141">
      <c r="A2141" s="5" t="inlineStr">
        <is>
          <t>Shopify Stetson México › Stetson Americas</t>
        </is>
      </c>
      <c r="B2141" s="5">
        <f>IF($I2="","",INDEX(Productos!$A:$A,$I2))</f>
        <v/>
      </c>
      <c r="C2141" s="134" t="inlineStr">
        <is>
          <t>11-004-1312-4039-36 32</t>
        </is>
      </c>
      <c r="D2141" s="5">
        <f>IF($I2="","",INDEX(Productos!$B:$B,$I2))</f>
        <v/>
      </c>
      <c r="E2141" s="5">
        <f>IF($I2="","",INDEX(Productos!$H:$H,$I2))</f>
        <v/>
      </c>
      <c r="F2141" s="5">
        <f>IF($I2="","",INDEX(Productos!$I:$I,$I2))</f>
        <v/>
      </c>
      <c r="G2141" s="135" t="n">
        <v>6</v>
      </c>
      <c r="H2141" s="5">
        <f>IF($I2="","",INDEX(Productos!$AG:$AG,$I2))</f>
        <v/>
      </c>
      <c r="I2141" s="136">
        <f>LET(_xlpm.r,Productos!$E$2:$E$2509,_xlpm.m,IFERROR(_xlfn.XMATCH(C2141,_xlpm.r),IFERROR(_xlfn.XMATCH(VALUE(C2141),_xlpm.r),0)),IF(_xlpm.m=0,"",_xlpm.m+1))</f>
        <v/>
      </c>
      <c r="J2141" s="137" t="inlineStr">
        <is>
          <t>Shopify</t>
        </is>
      </c>
    </row>
    <row r="2142">
      <c r="A2142" s="5" t="inlineStr">
        <is>
          <t>Shopify Stetson México › Stetson Americas</t>
        </is>
      </c>
      <c r="B2142" s="5">
        <f>IF($I2="","",INDEX(Productos!$A:$A,$I2))</f>
        <v/>
      </c>
      <c r="C2142" s="134" t="inlineStr">
        <is>
          <t>11-004-1312-4039-36 34</t>
        </is>
      </c>
      <c r="D2142" s="5">
        <f>IF($I2="","",INDEX(Productos!$B:$B,$I2))</f>
        <v/>
      </c>
      <c r="E2142" s="5">
        <f>IF($I2="","",INDEX(Productos!$H:$H,$I2))</f>
        <v/>
      </c>
      <c r="F2142" s="5">
        <f>IF($I2="","",INDEX(Productos!$I:$I,$I2))</f>
        <v/>
      </c>
      <c r="G2142" s="135" t="n">
        <v>3</v>
      </c>
      <c r="H2142" s="5">
        <f>IF($I2="","",INDEX(Productos!$AG:$AG,$I2))</f>
        <v/>
      </c>
      <c r="I2142" s="136">
        <f>LET(_xlpm.r,Productos!$E$2:$E$2509,_xlpm.m,IFERROR(_xlfn.XMATCH(C2142,_xlpm.r),IFERROR(_xlfn.XMATCH(VALUE(C2142),_xlpm.r),0)),IF(_xlpm.m=0,"",_xlpm.m+1))</f>
        <v/>
      </c>
      <c r="J2142" s="137" t="inlineStr">
        <is>
          <t>Shopify</t>
        </is>
      </c>
    </row>
    <row r="2143">
      <c r="A2143" s="5" t="inlineStr">
        <is>
          <t>Shopify Stetson México › Stetson Americas</t>
        </is>
      </c>
      <c r="B2143" s="5">
        <f>IF($I2="","",INDEX(Productos!$A:$A,$I2))</f>
        <v/>
      </c>
      <c r="C2143" s="134" t="inlineStr">
        <is>
          <t>11-004-1312-4039-36 36</t>
        </is>
      </c>
      <c r="D2143" s="5">
        <f>IF($I2="","",INDEX(Productos!$B:$B,$I2))</f>
        <v/>
      </c>
      <c r="E2143" s="5">
        <f>IF($I2="","",INDEX(Productos!$H:$H,$I2))</f>
        <v/>
      </c>
      <c r="F2143" s="5">
        <f>IF($I2="","",INDEX(Productos!$I:$I,$I2))</f>
        <v/>
      </c>
      <c r="G2143" s="135" t="n">
        <v>4</v>
      </c>
      <c r="H2143" s="5">
        <f>IF($I2="","",INDEX(Productos!$AG:$AG,$I2))</f>
        <v/>
      </c>
      <c r="I2143" s="136">
        <f>LET(_xlpm.r,Productos!$E$2:$E$2509,_xlpm.m,IFERROR(_xlfn.XMATCH(C2143,_xlpm.r),IFERROR(_xlfn.XMATCH(VALUE(C2143),_xlpm.r),0)),IF(_xlpm.m=0,"",_xlpm.m+1))</f>
        <v/>
      </c>
      <c r="J2143" s="137" t="inlineStr">
        <is>
          <t>Shopify</t>
        </is>
      </c>
    </row>
    <row r="2144">
      <c r="A2144" s="5" t="inlineStr">
        <is>
          <t>Shopify Stetson México › Stetson Americas</t>
        </is>
      </c>
      <c r="B2144" s="5">
        <f>IF($I2="","",INDEX(Productos!$A:$A,$I2))</f>
        <v/>
      </c>
      <c r="C2144" s="134" t="inlineStr">
        <is>
          <t>11-004-1312-4039-38 32</t>
        </is>
      </c>
      <c r="D2144" s="5">
        <f>IF($I2="","",INDEX(Productos!$B:$B,$I2))</f>
        <v/>
      </c>
      <c r="E2144" s="5">
        <f>IF($I2="","",INDEX(Productos!$H:$H,$I2))</f>
        <v/>
      </c>
      <c r="F2144" s="5">
        <f>IF($I2="","",INDEX(Productos!$I:$I,$I2))</f>
        <v/>
      </c>
      <c r="G2144" s="135" t="n">
        <v>3</v>
      </c>
      <c r="H2144" s="5">
        <f>IF($I2="","",INDEX(Productos!$AG:$AG,$I2))</f>
        <v/>
      </c>
      <c r="I2144" s="136">
        <f>LET(_xlpm.r,Productos!$E$2:$E$2509,_xlpm.m,IFERROR(_xlfn.XMATCH(C2144,_xlpm.r),IFERROR(_xlfn.XMATCH(VALUE(C2144),_xlpm.r),0)),IF(_xlpm.m=0,"",_xlpm.m+1))</f>
        <v/>
      </c>
      <c r="J2144" s="137" t="inlineStr">
        <is>
          <t>Shopify</t>
        </is>
      </c>
    </row>
    <row r="2145">
      <c r="A2145" s="5" t="inlineStr">
        <is>
          <t>Shopify Stetson México › Stetson Americas</t>
        </is>
      </c>
      <c r="B2145" s="5">
        <f>IF($I2="","",INDEX(Productos!$A:$A,$I2))</f>
        <v/>
      </c>
      <c r="C2145" s="134" t="inlineStr">
        <is>
          <t>11-004-1312-4039-40 32</t>
        </is>
      </c>
      <c r="D2145" s="5">
        <f>IF($I2="","",INDEX(Productos!$B:$B,$I2))</f>
        <v/>
      </c>
      <c r="E2145" s="5">
        <f>IF($I2="","",INDEX(Productos!$H:$H,$I2))</f>
        <v/>
      </c>
      <c r="F2145" s="5">
        <f>IF($I2="","",INDEX(Productos!$I:$I,$I2))</f>
        <v/>
      </c>
      <c r="G2145" s="135" t="n">
        <v>1</v>
      </c>
      <c r="H2145" s="5">
        <f>IF($I2="","",INDEX(Productos!$AG:$AG,$I2))</f>
        <v/>
      </c>
      <c r="I2145" s="136">
        <f>LET(_xlpm.r,Productos!$E$2:$E$2509,_xlpm.m,IFERROR(_xlfn.XMATCH(C2145,_xlpm.r),IFERROR(_xlfn.XMATCH(VALUE(C2145),_xlpm.r),0)),IF(_xlpm.m=0,"",_xlpm.m+1))</f>
        <v/>
      </c>
      <c r="J2145" s="137" t="inlineStr">
        <is>
          <t>Shopify</t>
        </is>
      </c>
    </row>
    <row r="2146">
      <c r="A2146" s="5" t="inlineStr">
        <is>
          <t>Shopify Stetson México › Stetson Americas</t>
        </is>
      </c>
      <c r="B2146" s="5">
        <f>IF($I2="","",INDEX(Productos!$A:$A,$I2))</f>
        <v/>
      </c>
      <c r="C2146" s="134" t="inlineStr">
        <is>
          <t>11-004-1312-4040-28 32</t>
        </is>
      </c>
      <c r="D2146" s="5">
        <f>IF($I2="","",INDEX(Productos!$B:$B,$I2))</f>
        <v/>
      </c>
      <c r="E2146" s="5">
        <f>IF($I2="","",INDEX(Productos!$H:$H,$I2))</f>
        <v/>
      </c>
      <c r="F2146" s="5">
        <f>IF($I2="","",INDEX(Productos!$I:$I,$I2))</f>
        <v/>
      </c>
      <c r="G2146" s="135" t="n">
        <v>1</v>
      </c>
      <c r="H2146" s="5">
        <f>IF($I2="","",INDEX(Productos!$AG:$AG,$I2))</f>
        <v/>
      </c>
      <c r="I2146" s="136">
        <f>LET(_xlpm.r,Productos!$E$2:$E$2509,_xlpm.m,IFERROR(_xlfn.XMATCH(C2146,_xlpm.r),IFERROR(_xlfn.XMATCH(VALUE(C2146),_xlpm.r),0)),IF(_xlpm.m=0,"",_xlpm.m+1))</f>
        <v/>
      </c>
      <c r="J2146" s="137" t="inlineStr">
        <is>
          <t>Shopify</t>
        </is>
      </c>
    </row>
    <row r="2147">
      <c r="A2147" s="5" t="inlineStr">
        <is>
          <t>Shopify Stetson México › Stetson Americas</t>
        </is>
      </c>
      <c r="B2147" s="5">
        <f>IF($I2="","",INDEX(Productos!$A:$A,$I2))</f>
        <v/>
      </c>
      <c r="C2147" s="134" t="inlineStr">
        <is>
          <t>11-004-1312-4040-29 32</t>
        </is>
      </c>
      <c r="D2147" s="5">
        <f>IF($I2="","",INDEX(Productos!$B:$B,$I2))</f>
        <v/>
      </c>
      <c r="E2147" s="5">
        <f>IF($I2="","",INDEX(Productos!$H:$H,$I2))</f>
        <v/>
      </c>
      <c r="F2147" s="5">
        <f>IF($I2="","",INDEX(Productos!$I:$I,$I2))</f>
        <v/>
      </c>
      <c r="G2147" s="135" t="n">
        <v>3</v>
      </c>
      <c r="H2147" s="5">
        <f>IF($I2="","",INDEX(Productos!$AG:$AG,$I2))</f>
        <v/>
      </c>
      <c r="I2147" s="136">
        <f>LET(_xlpm.r,Productos!$E$2:$E$2509,_xlpm.m,IFERROR(_xlfn.XMATCH(C2147,_xlpm.r),IFERROR(_xlfn.XMATCH(VALUE(C2147),_xlpm.r),0)),IF(_xlpm.m=0,"",_xlpm.m+1))</f>
        <v/>
      </c>
      <c r="J2147" s="137" t="inlineStr">
        <is>
          <t>Shopify</t>
        </is>
      </c>
    </row>
    <row r="2148">
      <c r="A2148" s="5" t="inlineStr">
        <is>
          <t>Shopify Stetson México › Stetson Americas</t>
        </is>
      </c>
      <c r="B2148" s="5">
        <f>IF($I2="","",INDEX(Productos!$A:$A,$I2))</f>
        <v/>
      </c>
      <c r="C2148" s="134" t="inlineStr">
        <is>
          <t>11-004-1312-4040-30 32</t>
        </is>
      </c>
      <c r="D2148" s="5">
        <f>IF($I2="","",INDEX(Productos!$B:$B,$I2))</f>
        <v/>
      </c>
      <c r="E2148" s="5">
        <f>IF($I2="","",INDEX(Productos!$H:$H,$I2))</f>
        <v/>
      </c>
      <c r="F2148" s="5">
        <f>IF($I2="","",INDEX(Productos!$I:$I,$I2))</f>
        <v/>
      </c>
      <c r="G2148" s="135" t="n">
        <v>2</v>
      </c>
      <c r="H2148" s="5">
        <f>IF($I2="","",INDEX(Productos!$AG:$AG,$I2))</f>
        <v/>
      </c>
      <c r="I2148" s="136">
        <f>LET(_xlpm.r,Productos!$E$2:$E$2509,_xlpm.m,IFERROR(_xlfn.XMATCH(C2148,_xlpm.r),IFERROR(_xlfn.XMATCH(VALUE(C2148),_xlpm.r),0)),IF(_xlpm.m=0,"",_xlpm.m+1))</f>
        <v/>
      </c>
      <c r="J2148" s="137" t="inlineStr">
        <is>
          <t>Shopify</t>
        </is>
      </c>
    </row>
    <row r="2149">
      <c r="A2149" s="5" t="inlineStr">
        <is>
          <t>Shopify Stetson México › Stetson Americas</t>
        </is>
      </c>
      <c r="B2149" s="5">
        <f>IF($I2="","",INDEX(Productos!$A:$A,$I2))</f>
        <v/>
      </c>
      <c r="C2149" s="134" t="inlineStr">
        <is>
          <t>11-004-1312-4040-31 32</t>
        </is>
      </c>
      <c r="D2149" s="5">
        <f>IF($I2="","",INDEX(Productos!$B:$B,$I2))</f>
        <v/>
      </c>
      <c r="E2149" s="5">
        <f>IF($I2="","",INDEX(Productos!$H:$H,$I2))</f>
        <v/>
      </c>
      <c r="F2149" s="5">
        <f>IF($I2="","",INDEX(Productos!$I:$I,$I2))</f>
        <v/>
      </c>
      <c r="G2149" s="135" t="n">
        <v>3</v>
      </c>
      <c r="H2149" s="5">
        <f>IF($I2="","",INDEX(Productos!$AG:$AG,$I2))</f>
        <v/>
      </c>
      <c r="I2149" s="136">
        <f>LET(_xlpm.r,Productos!$E$2:$E$2509,_xlpm.m,IFERROR(_xlfn.XMATCH(C2149,_xlpm.r),IFERROR(_xlfn.XMATCH(VALUE(C2149),_xlpm.r),0)),IF(_xlpm.m=0,"",_xlpm.m+1))</f>
        <v/>
      </c>
      <c r="J2149" s="137" t="inlineStr">
        <is>
          <t>Shopify</t>
        </is>
      </c>
    </row>
    <row r="2150">
      <c r="A2150" s="5" t="inlineStr">
        <is>
          <t>Shopify Stetson México › Stetson Americas</t>
        </is>
      </c>
      <c r="B2150" s="5">
        <f>IF($I2="","",INDEX(Productos!$A:$A,$I2))</f>
        <v/>
      </c>
      <c r="C2150" s="134" t="inlineStr">
        <is>
          <t>11-004-1312-4040-32 32</t>
        </is>
      </c>
      <c r="D2150" s="5">
        <f>IF($I2="","",INDEX(Productos!$B:$B,$I2))</f>
        <v/>
      </c>
      <c r="E2150" s="5">
        <f>IF($I2="","",INDEX(Productos!$H:$H,$I2))</f>
        <v/>
      </c>
      <c r="F2150" s="5">
        <f>IF($I2="","",INDEX(Productos!$I:$I,$I2))</f>
        <v/>
      </c>
      <c r="G2150" s="135" t="n">
        <v>4</v>
      </c>
      <c r="H2150" s="5">
        <f>IF($I2="","",INDEX(Productos!$AG:$AG,$I2))</f>
        <v/>
      </c>
      <c r="I2150" s="136">
        <f>LET(_xlpm.r,Productos!$E$2:$E$2509,_xlpm.m,IFERROR(_xlfn.XMATCH(C2150,_xlpm.r),IFERROR(_xlfn.XMATCH(VALUE(C2150),_xlpm.r),0)),IF(_xlpm.m=0,"",_xlpm.m+1))</f>
        <v/>
      </c>
      <c r="J2150" s="137" t="inlineStr">
        <is>
          <t>Shopify</t>
        </is>
      </c>
    </row>
    <row r="2151">
      <c r="A2151" s="5" t="inlineStr">
        <is>
          <t>Shopify Stetson México › Stetson Americas</t>
        </is>
      </c>
      <c r="B2151" s="5">
        <f>IF($I2="","",INDEX(Productos!$A:$A,$I2))</f>
        <v/>
      </c>
      <c r="C2151" s="134" t="inlineStr">
        <is>
          <t>11-004-1312-4040-32 34</t>
        </is>
      </c>
      <c r="D2151" s="5">
        <f>IF($I2="","",INDEX(Productos!$B:$B,$I2))</f>
        <v/>
      </c>
      <c r="E2151" s="5">
        <f>IF($I2="","",INDEX(Productos!$H:$H,$I2))</f>
        <v/>
      </c>
      <c r="F2151" s="5">
        <f>IF($I2="","",INDEX(Productos!$I:$I,$I2))</f>
        <v/>
      </c>
      <c r="G2151" s="135" t="n">
        <v>2</v>
      </c>
      <c r="H2151" s="5">
        <f>IF($I2="","",INDEX(Productos!$AG:$AG,$I2))</f>
        <v/>
      </c>
      <c r="I2151" s="136">
        <f>LET(_xlpm.r,Productos!$E$2:$E$2509,_xlpm.m,IFERROR(_xlfn.XMATCH(C2151,_xlpm.r),IFERROR(_xlfn.XMATCH(VALUE(C2151),_xlpm.r),0)),IF(_xlpm.m=0,"",_xlpm.m+1))</f>
        <v/>
      </c>
      <c r="J2151" s="137" t="inlineStr">
        <is>
          <t>Shopify</t>
        </is>
      </c>
    </row>
    <row r="2152">
      <c r="A2152" s="5" t="inlineStr">
        <is>
          <t>Shopify Stetson México › Stetson Americas</t>
        </is>
      </c>
      <c r="B2152" s="5">
        <f>IF($I2="","",INDEX(Productos!$A:$A,$I2))</f>
        <v/>
      </c>
      <c r="C2152" s="134" t="inlineStr">
        <is>
          <t>11-004-1312-4040-33 32</t>
        </is>
      </c>
      <c r="D2152" s="5">
        <f>IF($I2="","",INDEX(Productos!$B:$B,$I2))</f>
        <v/>
      </c>
      <c r="E2152" s="5">
        <f>IF($I2="","",INDEX(Productos!$H:$H,$I2))</f>
        <v/>
      </c>
      <c r="F2152" s="5">
        <f>IF($I2="","",INDEX(Productos!$I:$I,$I2))</f>
        <v/>
      </c>
      <c r="G2152" s="135" t="n">
        <v>4</v>
      </c>
      <c r="H2152" s="5">
        <f>IF($I2="","",INDEX(Productos!$AG:$AG,$I2))</f>
        <v/>
      </c>
      <c r="I2152" s="136">
        <f>LET(_xlpm.r,Productos!$E$2:$E$2509,_xlpm.m,IFERROR(_xlfn.XMATCH(C2152,_xlpm.r),IFERROR(_xlfn.XMATCH(VALUE(C2152),_xlpm.r),0)),IF(_xlpm.m=0,"",_xlpm.m+1))</f>
        <v/>
      </c>
      <c r="J2152" s="137" t="inlineStr">
        <is>
          <t>Shopify</t>
        </is>
      </c>
    </row>
    <row r="2153">
      <c r="A2153" s="5" t="inlineStr">
        <is>
          <t>Shopify Stetson México › Stetson Americas</t>
        </is>
      </c>
      <c r="B2153" s="5">
        <f>IF($I2="","",INDEX(Productos!$A:$A,$I2))</f>
        <v/>
      </c>
      <c r="C2153" s="134" t="inlineStr">
        <is>
          <t>11-004-1312-4040-34 32</t>
        </is>
      </c>
      <c r="D2153" s="5">
        <f>IF($I2="","",INDEX(Productos!$B:$B,$I2))</f>
        <v/>
      </c>
      <c r="E2153" s="5">
        <f>IF($I2="","",INDEX(Productos!$H:$H,$I2))</f>
        <v/>
      </c>
      <c r="F2153" s="5">
        <f>IF($I2="","",INDEX(Productos!$I:$I,$I2))</f>
        <v/>
      </c>
      <c r="G2153" s="135" t="n">
        <v>5</v>
      </c>
      <c r="H2153" s="5">
        <f>IF($I2="","",INDEX(Productos!$AG:$AG,$I2))</f>
        <v/>
      </c>
      <c r="I2153" s="136">
        <f>LET(_xlpm.r,Productos!$E$2:$E$2509,_xlpm.m,IFERROR(_xlfn.XMATCH(C2153,_xlpm.r),IFERROR(_xlfn.XMATCH(VALUE(C2153),_xlpm.r),0)),IF(_xlpm.m=0,"",_xlpm.m+1))</f>
        <v/>
      </c>
      <c r="J2153" s="137" t="inlineStr">
        <is>
          <t>Shopify</t>
        </is>
      </c>
    </row>
    <row r="2154">
      <c r="A2154" s="5" t="inlineStr">
        <is>
          <t>Shopify Stetson México › Stetson Americas</t>
        </is>
      </c>
      <c r="B2154" s="5">
        <f>IF($I2="","",INDEX(Productos!$A:$A,$I2))</f>
        <v/>
      </c>
      <c r="C2154" s="134" t="inlineStr">
        <is>
          <t>11-004-1312-4040-34 34</t>
        </is>
      </c>
      <c r="D2154" s="5">
        <f>IF($I2="","",INDEX(Productos!$B:$B,$I2))</f>
        <v/>
      </c>
      <c r="E2154" s="5">
        <f>IF($I2="","",INDEX(Productos!$H:$H,$I2))</f>
        <v/>
      </c>
      <c r="F2154" s="5">
        <f>IF($I2="","",INDEX(Productos!$I:$I,$I2))</f>
        <v/>
      </c>
      <c r="G2154" s="135" t="n">
        <v>3</v>
      </c>
      <c r="H2154" s="5">
        <f>IF($I2="","",INDEX(Productos!$AG:$AG,$I2))</f>
        <v/>
      </c>
      <c r="I2154" s="136">
        <f>LET(_xlpm.r,Productos!$E$2:$E$2509,_xlpm.m,IFERROR(_xlfn.XMATCH(C2154,_xlpm.r),IFERROR(_xlfn.XMATCH(VALUE(C2154),_xlpm.r),0)),IF(_xlpm.m=0,"",_xlpm.m+1))</f>
        <v/>
      </c>
      <c r="J2154" s="137" t="inlineStr">
        <is>
          <t>Shopify</t>
        </is>
      </c>
    </row>
    <row r="2155">
      <c r="A2155" s="5" t="inlineStr">
        <is>
          <t>Shopify Stetson México › Stetson Americas</t>
        </is>
      </c>
      <c r="B2155" s="5">
        <f>IF($I2="","",INDEX(Productos!$A:$A,$I2))</f>
        <v/>
      </c>
      <c r="C2155" s="134" t="inlineStr">
        <is>
          <t>11-004-1312-4070-28 32</t>
        </is>
      </c>
      <c r="D2155" s="5">
        <f>IF($I2="","",INDEX(Productos!$B:$B,$I2))</f>
        <v/>
      </c>
      <c r="E2155" s="5">
        <f>IF($I2="","",INDEX(Productos!$H:$H,$I2))</f>
        <v/>
      </c>
      <c r="F2155" s="5">
        <f>IF($I2="","",INDEX(Productos!$I:$I,$I2))</f>
        <v/>
      </c>
      <c r="G2155" s="135" t="n">
        <v>2</v>
      </c>
      <c r="H2155" s="5">
        <f>IF($I2="","",INDEX(Productos!$AG:$AG,$I2))</f>
        <v/>
      </c>
      <c r="I2155" s="136">
        <f>LET(_xlpm.r,Productos!$E$2:$E$2509,_xlpm.m,IFERROR(_xlfn.XMATCH(C2155,_xlpm.r),IFERROR(_xlfn.XMATCH(VALUE(C2155),_xlpm.r),0)),IF(_xlpm.m=0,"",_xlpm.m+1))</f>
        <v/>
      </c>
      <c r="J2155" s="137" t="inlineStr">
        <is>
          <t>Shopify</t>
        </is>
      </c>
    </row>
    <row r="2156">
      <c r="A2156" s="5" t="inlineStr">
        <is>
          <t>Shopify Stetson México › Stetson Americas</t>
        </is>
      </c>
      <c r="B2156" s="5">
        <f>IF($I2="","",INDEX(Productos!$A:$A,$I2))</f>
        <v/>
      </c>
      <c r="C2156" s="134" t="inlineStr">
        <is>
          <t>11-004-1312-4070-29 32</t>
        </is>
      </c>
      <c r="D2156" s="5">
        <f>IF($I2="","",INDEX(Productos!$B:$B,$I2))</f>
        <v/>
      </c>
      <c r="E2156" s="5">
        <f>IF($I2="","",INDEX(Productos!$H:$H,$I2))</f>
        <v/>
      </c>
      <c r="F2156" s="5">
        <f>IF($I2="","",INDEX(Productos!$I:$I,$I2))</f>
        <v/>
      </c>
      <c r="G2156" s="135" t="n">
        <v>4</v>
      </c>
      <c r="H2156" s="5">
        <f>IF($I2="","",INDEX(Productos!$AG:$AG,$I2))</f>
        <v/>
      </c>
      <c r="I2156" s="136">
        <f>LET(_xlpm.r,Productos!$E$2:$E$2509,_xlpm.m,IFERROR(_xlfn.XMATCH(C2156,_xlpm.r),IFERROR(_xlfn.XMATCH(VALUE(C2156),_xlpm.r),0)),IF(_xlpm.m=0,"",_xlpm.m+1))</f>
        <v/>
      </c>
      <c r="J2156" s="137" t="inlineStr">
        <is>
          <t>Shopify</t>
        </is>
      </c>
    </row>
    <row r="2157">
      <c r="A2157" s="5" t="inlineStr">
        <is>
          <t>Shopify Stetson México › Stetson Americas</t>
        </is>
      </c>
      <c r="B2157" s="5">
        <f>IF($I2="","",INDEX(Productos!$A:$A,$I2))</f>
        <v/>
      </c>
      <c r="C2157" s="134" t="inlineStr">
        <is>
          <t>11-004-1312-4070-30 32</t>
        </is>
      </c>
      <c r="D2157" s="5">
        <f>IF($I2="","",INDEX(Productos!$B:$B,$I2))</f>
        <v/>
      </c>
      <c r="E2157" s="5">
        <f>IF($I2="","",INDEX(Productos!$H:$H,$I2))</f>
        <v/>
      </c>
      <c r="F2157" s="5">
        <f>IF($I2="","",INDEX(Productos!$I:$I,$I2))</f>
        <v/>
      </c>
      <c r="G2157" s="135" t="n">
        <v>4</v>
      </c>
      <c r="H2157" s="5">
        <f>IF($I2="","",INDEX(Productos!$AG:$AG,$I2))</f>
        <v/>
      </c>
      <c r="I2157" s="136">
        <f>LET(_xlpm.r,Productos!$E$2:$E$2509,_xlpm.m,IFERROR(_xlfn.XMATCH(C2157,_xlpm.r),IFERROR(_xlfn.XMATCH(VALUE(C2157),_xlpm.r),0)),IF(_xlpm.m=0,"",_xlpm.m+1))</f>
        <v/>
      </c>
      <c r="J2157" s="137" t="inlineStr">
        <is>
          <t>Shopify</t>
        </is>
      </c>
    </row>
    <row r="2158">
      <c r="A2158" s="5" t="inlineStr">
        <is>
          <t>Shopify Stetson México › Stetson Americas</t>
        </is>
      </c>
      <c r="B2158" s="5">
        <f>IF($I2="","",INDEX(Productos!$A:$A,$I2))</f>
        <v/>
      </c>
      <c r="C2158" s="134" t="inlineStr">
        <is>
          <t>11-004-1312-4070-31 32</t>
        </is>
      </c>
      <c r="D2158" s="5">
        <f>IF($I2="","",INDEX(Productos!$B:$B,$I2))</f>
        <v/>
      </c>
      <c r="E2158" s="5">
        <f>IF($I2="","",INDEX(Productos!$H:$H,$I2))</f>
        <v/>
      </c>
      <c r="F2158" s="5">
        <f>IF($I2="","",INDEX(Productos!$I:$I,$I2))</f>
        <v/>
      </c>
      <c r="G2158" s="135" t="n">
        <v>6</v>
      </c>
      <c r="H2158" s="5">
        <f>IF($I2="","",INDEX(Productos!$AG:$AG,$I2))</f>
        <v/>
      </c>
      <c r="I2158" s="136">
        <f>LET(_xlpm.r,Productos!$E$2:$E$2509,_xlpm.m,IFERROR(_xlfn.XMATCH(C2158,_xlpm.r),IFERROR(_xlfn.XMATCH(VALUE(C2158),_xlpm.r),0)),IF(_xlpm.m=0,"",_xlpm.m+1))</f>
        <v/>
      </c>
      <c r="J2158" s="137" t="inlineStr">
        <is>
          <t>Shopify</t>
        </is>
      </c>
    </row>
    <row r="2159">
      <c r="A2159" s="5" t="inlineStr">
        <is>
          <t>Shopify Stetson México › Stetson Americas</t>
        </is>
      </c>
      <c r="B2159" s="5">
        <f>IF($I2="","",INDEX(Productos!$A:$A,$I2))</f>
        <v/>
      </c>
      <c r="C2159" s="134" t="inlineStr">
        <is>
          <t>11-004-1312-4070-32 32</t>
        </is>
      </c>
      <c r="D2159" s="5">
        <f>IF($I2="","",INDEX(Productos!$B:$B,$I2))</f>
        <v/>
      </c>
      <c r="E2159" s="5">
        <f>IF($I2="","",INDEX(Productos!$H:$H,$I2))</f>
        <v/>
      </c>
      <c r="F2159" s="5">
        <f>IF($I2="","",INDEX(Productos!$I:$I,$I2))</f>
        <v/>
      </c>
      <c r="G2159" s="135" t="n">
        <v>10</v>
      </c>
      <c r="H2159" s="5">
        <f>IF($I2="","",INDEX(Productos!$AG:$AG,$I2))</f>
        <v/>
      </c>
      <c r="I2159" s="136">
        <f>LET(_xlpm.r,Productos!$E$2:$E$2509,_xlpm.m,IFERROR(_xlfn.XMATCH(C2159,_xlpm.r),IFERROR(_xlfn.XMATCH(VALUE(C2159),_xlpm.r),0)),IF(_xlpm.m=0,"",_xlpm.m+1))</f>
        <v/>
      </c>
      <c r="J2159" s="137" t="inlineStr">
        <is>
          <t>Shopify</t>
        </is>
      </c>
    </row>
    <row r="2160">
      <c r="A2160" s="5" t="inlineStr">
        <is>
          <t>Shopify Stetson México › Stetson Americas</t>
        </is>
      </c>
      <c r="B2160" s="5">
        <f>IF($I2="","",INDEX(Productos!$A:$A,$I2))</f>
        <v/>
      </c>
      <c r="C2160" s="134" t="inlineStr">
        <is>
          <t>11-004-1312-4070-32 34</t>
        </is>
      </c>
      <c r="D2160" s="5">
        <f>IF($I2="","",INDEX(Productos!$B:$B,$I2))</f>
        <v/>
      </c>
      <c r="E2160" s="5">
        <f>IF($I2="","",INDEX(Productos!$H:$H,$I2))</f>
        <v/>
      </c>
      <c r="F2160" s="5">
        <f>IF($I2="","",INDEX(Productos!$I:$I,$I2))</f>
        <v/>
      </c>
      <c r="G2160" s="135" t="n">
        <v>6</v>
      </c>
      <c r="H2160" s="5">
        <f>IF($I2="","",INDEX(Productos!$AG:$AG,$I2))</f>
        <v/>
      </c>
      <c r="I2160" s="136">
        <f>LET(_xlpm.r,Productos!$E$2:$E$2509,_xlpm.m,IFERROR(_xlfn.XMATCH(C2160,_xlpm.r),IFERROR(_xlfn.XMATCH(VALUE(C2160),_xlpm.r),0)),IF(_xlpm.m=0,"",_xlpm.m+1))</f>
        <v/>
      </c>
      <c r="J2160" s="137" t="inlineStr">
        <is>
          <t>Shopify</t>
        </is>
      </c>
    </row>
    <row r="2161">
      <c r="A2161" s="5" t="inlineStr">
        <is>
          <t>Shopify Stetson México › Stetson Americas</t>
        </is>
      </c>
      <c r="B2161" s="5">
        <f>IF($I2="","",INDEX(Productos!$A:$A,$I2))</f>
        <v/>
      </c>
      <c r="C2161" s="134" t="inlineStr">
        <is>
          <t>11-004-1312-4070-33 32</t>
        </is>
      </c>
      <c r="D2161" s="5">
        <f>IF($I2="","",INDEX(Productos!$B:$B,$I2))</f>
        <v/>
      </c>
      <c r="E2161" s="5">
        <f>IF($I2="","",INDEX(Productos!$H:$H,$I2))</f>
        <v/>
      </c>
      <c r="F2161" s="5">
        <f>IF($I2="","",INDEX(Productos!$I:$I,$I2))</f>
        <v/>
      </c>
      <c r="G2161" s="135" t="n">
        <v>5</v>
      </c>
      <c r="H2161" s="5">
        <f>IF($I2="","",INDEX(Productos!$AG:$AG,$I2))</f>
        <v/>
      </c>
      <c r="I2161" s="136">
        <f>LET(_xlpm.r,Productos!$E$2:$E$2509,_xlpm.m,IFERROR(_xlfn.XMATCH(C2161,_xlpm.r),IFERROR(_xlfn.XMATCH(VALUE(C2161),_xlpm.r),0)),IF(_xlpm.m=0,"",_xlpm.m+1))</f>
        <v/>
      </c>
      <c r="J2161" s="137" t="inlineStr">
        <is>
          <t>Shopify</t>
        </is>
      </c>
    </row>
    <row r="2162">
      <c r="A2162" s="5" t="inlineStr">
        <is>
          <t>Shopify Stetson México › Stetson Americas</t>
        </is>
      </c>
      <c r="B2162" s="5">
        <f>IF($I2="","",INDEX(Productos!$A:$A,$I2))</f>
        <v/>
      </c>
      <c r="C2162" s="134" t="inlineStr">
        <is>
          <t>11-004-1312-4070-34 32</t>
        </is>
      </c>
      <c r="D2162" s="5">
        <f>IF($I2="","",INDEX(Productos!$B:$B,$I2))</f>
        <v/>
      </c>
      <c r="E2162" s="5">
        <f>IF($I2="","",INDEX(Productos!$H:$H,$I2))</f>
        <v/>
      </c>
      <c r="F2162" s="5">
        <f>IF($I2="","",INDEX(Productos!$I:$I,$I2))</f>
        <v/>
      </c>
      <c r="G2162" s="135" t="n">
        <v>3</v>
      </c>
      <c r="H2162" s="5">
        <f>IF($I2="","",INDEX(Productos!$AG:$AG,$I2))</f>
        <v/>
      </c>
      <c r="I2162" s="136">
        <f>LET(_xlpm.r,Productos!$E$2:$E$2509,_xlpm.m,IFERROR(_xlfn.XMATCH(C2162,_xlpm.r),IFERROR(_xlfn.XMATCH(VALUE(C2162),_xlpm.r),0)),IF(_xlpm.m=0,"",_xlpm.m+1))</f>
        <v/>
      </c>
      <c r="J2162" s="137" t="inlineStr">
        <is>
          <t>Shopify</t>
        </is>
      </c>
    </row>
    <row r="2163">
      <c r="A2163" s="5" t="inlineStr">
        <is>
          <t>Shopify Stetson México › Stetson Americas</t>
        </is>
      </c>
      <c r="B2163" s="5">
        <f>IF($I2="","",INDEX(Productos!$A:$A,$I2))</f>
        <v/>
      </c>
      <c r="C2163" s="134" t="inlineStr">
        <is>
          <t>11-004-1312-4070-34 34</t>
        </is>
      </c>
      <c r="D2163" s="5">
        <f>IF($I2="","",INDEX(Productos!$B:$B,$I2))</f>
        <v/>
      </c>
      <c r="E2163" s="5">
        <f>IF($I2="","",INDEX(Productos!$H:$H,$I2))</f>
        <v/>
      </c>
      <c r="F2163" s="5">
        <f>IF($I2="","",INDEX(Productos!$I:$I,$I2))</f>
        <v/>
      </c>
      <c r="G2163" s="135" t="n">
        <v>4</v>
      </c>
      <c r="H2163" s="5">
        <f>IF($I2="","",INDEX(Productos!$AG:$AG,$I2))</f>
        <v/>
      </c>
      <c r="I2163" s="136">
        <f>LET(_xlpm.r,Productos!$E$2:$E$2509,_xlpm.m,IFERROR(_xlfn.XMATCH(C2163,_xlpm.r),IFERROR(_xlfn.XMATCH(VALUE(C2163),_xlpm.r),0)),IF(_xlpm.m=0,"",_xlpm.m+1))</f>
        <v/>
      </c>
      <c r="J2163" s="137" t="inlineStr">
        <is>
          <t>Shopify</t>
        </is>
      </c>
    </row>
    <row r="2164">
      <c r="A2164" s="5" t="inlineStr">
        <is>
          <t>Shopify Stetson México › Stetson Americas</t>
        </is>
      </c>
      <c r="B2164" s="5">
        <f>IF($I2="","",INDEX(Productos!$A:$A,$I2))</f>
        <v/>
      </c>
      <c r="C2164" s="134" t="inlineStr">
        <is>
          <t>11-004-1312-4070-34 36</t>
        </is>
      </c>
      <c r="D2164" s="5">
        <f>IF($I2="","",INDEX(Productos!$B:$B,$I2))</f>
        <v/>
      </c>
      <c r="E2164" s="5">
        <f>IF($I2="","",INDEX(Productos!$H:$H,$I2))</f>
        <v/>
      </c>
      <c r="F2164" s="5">
        <f>IF($I2="","",INDEX(Productos!$I:$I,$I2))</f>
        <v/>
      </c>
      <c r="G2164" s="135" t="n">
        <v>2</v>
      </c>
      <c r="H2164" s="5">
        <f>IF($I2="","",INDEX(Productos!$AG:$AG,$I2))</f>
        <v/>
      </c>
      <c r="I2164" s="136">
        <f>LET(_xlpm.r,Productos!$E$2:$E$2509,_xlpm.m,IFERROR(_xlfn.XMATCH(C2164,_xlpm.r),IFERROR(_xlfn.XMATCH(VALUE(C2164),_xlpm.r),0)),IF(_xlpm.m=0,"",_xlpm.m+1))</f>
        <v/>
      </c>
      <c r="J2164" s="137" t="inlineStr">
        <is>
          <t>Shopify</t>
        </is>
      </c>
    </row>
    <row r="2165">
      <c r="A2165" s="5" t="inlineStr">
        <is>
          <t>Shopify Stetson México › Stetson Americas</t>
        </is>
      </c>
      <c r="B2165" s="5">
        <f>IF($I2="","",INDEX(Productos!$A:$A,$I2))</f>
        <v/>
      </c>
      <c r="C2165" s="134" t="inlineStr">
        <is>
          <t>11-004-1312-4070-36 32</t>
        </is>
      </c>
      <c r="D2165" s="5">
        <f>IF($I2="","",INDEX(Productos!$B:$B,$I2))</f>
        <v/>
      </c>
      <c r="E2165" s="5">
        <f>IF($I2="","",INDEX(Productos!$H:$H,$I2))</f>
        <v/>
      </c>
      <c r="F2165" s="5">
        <f>IF($I2="","",INDEX(Productos!$I:$I,$I2))</f>
        <v/>
      </c>
      <c r="G2165" s="135" t="n">
        <v>1</v>
      </c>
      <c r="H2165" s="5">
        <f>IF($I2="","",INDEX(Productos!$AG:$AG,$I2))</f>
        <v/>
      </c>
      <c r="I2165" s="136">
        <f>LET(_xlpm.r,Productos!$E$2:$E$2509,_xlpm.m,IFERROR(_xlfn.XMATCH(C2165,_xlpm.r),IFERROR(_xlfn.XMATCH(VALUE(C2165),_xlpm.r),0)),IF(_xlpm.m=0,"",_xlpm.m+1))</f>
        <v/>
      </c>
      <c r="J2165" s="137" t="inlineStr">
        <is>
          <t>Shopify</t>
        </is>
      </c>
    </row>
    <row r="2166">
      <c r="A2166" s="5" t="inlineStr">
        <is>
          <t>Shopify Stetson México › Stetson Americas</t>
        </is>
      </c>
      <c r="B2166" s="5">
        <f>IF($I2="","",INDEX(Productos!$A:$A,$I2))</f>
        <v/>
      </c>
      <c r="C2166" s="134" t="inlineStr">
        <is>
          <t>11-004-1312-4070-36 34</t>
        </is>
      </c>
      <c r="D2166" s="5">
        <f>IF($I2="","",INDEX(Productos!$B:$B,$I2))</f>
        <v/>
      </c>
      <c r="E2166" s="5">
        <f>IF($I2="","",INDEX(Productos!$H:$H,$I2))</f>
        <v/>
      </c>
      <c r="F2166" s="5">
        <f>IF($I2="","",INDEX(Productos!$I:$I,$I2))</f>
        <v/>
      </c>
      <c r="G2166" s="135" t="n">
        <v>2</v>
      </c>
      <c r="H2166" s="5">
        <f>IF($I2="","",INDEX(Productos!$AG:$AG,$I2))</f>
        <v/>
      </c>
      <c r="I2166" s="136">
        <f>LET(_xlpm.r,Productos!$E$2:$E$2509,_xlpm.m,IFERROR(_xlfn.XMATCH(C2166,_xlpm.r),IFERROR(_xlfn.XMATCH(VALUE(C2166),_xlpm.r),0)),IF(_xlpm.m=0,"",_xlpm.m+1))</f>
        <v/>
      </c>
      <c r="J2166" s="137" t="inlineStr">
        <is>
          <t>Shopify</t>
        </is>
      </c>
    </row>
    <row r="2167">
      <c r="A2167" s="5" t="inlineStr">
        <is>
          <t>Shopify Stetson México › Stetson Americas</t>
        </is>
      </c>
      <c r="B2167" s="5">
        <f>IF($I2="","",INDEX(Productos!$A:$A,$I2))</f>
        <v/>
      </c>
      <c r="C2167" s="134" t="inlineStr">
        <is>
          <t>11-004-1312-4070-36 36</t>
        </is>
      </c>
      <c r="D2167" s="5">
        <f>IF($I2="","",INDEX(Productos!$B:$B,$I2))</f>
        <v/>
      </c>
      <c r="E2167" s="5">
        <f>IF($I2="","",INDEX(Productos!$H:$H,$I2))</f>
        <v/>
      </c>
      <c r="F2167" s="5">
        <f>IF($I2="","",INDEX(Productos!$I:$I,$I2))</f>
        <v/>
      </c>
      <c r="G2167" s="135" t="n">
        <v>2</v>
      </c>
      <c r="H2167" s="5">
        <f>IF($I2="","",INDEX(Productos!$AG:$AG,$I2))</f>
        <v/>
      </c>
      <c r="I2167" s="136">
        <f>LET(_xlpm.r,Productos!$E$2:$E$2509,_xlpm.m,IFERROR(_xlfn.XMATCH(C2167,_xlpm.r),IFERROR(_xlfn.XMATCH(VALUE(C2167),_xlpm.r),0)),IF(_xlpm.m=0,"",_xlpm.m+1))</f>
        <v/>
      </c>
      <c r="J2167" s="137" t="inlineStr">
        <is>
          <t>Shopify</t>
        </is>
      </c>
    </row>
    <row r="2168">
      <c r="A2168" s="5" t="inlineStr">
        <is>
          <t>Shopify Stetson México › Stetson Americas</t>
        </is>
      </c>
      <c r="B2168" s="5">
        <f>IF($I2="","",INDEX(Productos!$A:$A,$I2))</f>
        <v/>
      </c>
      <c r="C2168" s="134" t="inlineStr">
        <is>
          <t>11-004-1520-4065-33 32</t>
        </is>
      </c>
      <c r="D2168" s="5">
        <f>IF($I2="","",INDEX(Productos!$B:$B,$I2))</f>
        <v/>
      </c>
      <c r="E2168" s="5">
        <f>IF($I2="","",INDEX(Productos!$H:$H,$I2))</f>
        <v/>
      </c>
      <c r="F2168" s="5">
        <f>IF($I2="","",INDEX(Productos!$I:$I,$I2))</f>
        <v/>
      </c>
      <c r="G2168" s="135" t="n">
        <v>1</v>
      </c>
      <c r="H2168" s="5">
        <f>IF($I2="","",INDEX(Productos!$AG:$AG,$I2))</f>
        <v/>
      </c>
      <c r="I2168" s="136">
        <f>LET(_xlpm.r,Productos!$E$2:$E$2509,_xlpm.m,IFERROR(_xlfn.XMATCH(C2168,_xlpm.r),IFERROR(_xlfn.XMATCH(VALUE(C2168),_xlpm.r),0)),IF(_xlpm.m=0,"",_xlpm.m+1))</f>
        <v/>
      </c>
      <c r="J2168" s="137" t="inlineStr">
        <is>
          <t>Shopify</t>
        </is>
      </c>
    </row>
    <row r="2169">
      <c r="A2169" s="5" t="inlineStr">
        <is>
          <t>Shopify Stetson México › Stetson Americas</t>
        </is>
      </c>
      <c r="B2169" s="5">
        <f>IF($I2="","",INDEX(Productos!$A:$A,$I2))</f>
        <v/>
      </c>
      <c r="C2169" s="134" t="inlineStr">
        <is>
          <t>11-004-1520-4074-30 32</t>
        </is>
      </c>
      <c r="D2169" s="5">
        <f>IF($I2="","",INDEX(Productos!$B:$B,$I2))</f>
        <v/>
      </c>
      <c r="E2169" s="5">
        <f>IF($I2="","",INDEX(Productos!$H:$H,$I2))</f>
        <v/>
      </c>
      <c r="F2169" s="5">
        <f>IF($I2="","",INDEX(Productos!$I:$I,$I2))</f>
        <v/>
      </c>
      <c r="G2169" s="135" t="n">
        <v>1</v>
      </c>
      <c r="H2169" s="5">
        <f>IF($I2="","",INDEX(Productos!$AG:$AG,$I2))</f>
        <v/>
      </c>
      <c r="I2169" s="136">
        <f>LET(_xlpm.r,Productos!$E$2:$E$2509,_xlpm.m,IFERROR(_xlfn.XMATCH(C2169,_xlpm.r),IFERROR(_xlfn.XMATCH(VALUE(C2169),_xlpm.r),0)),IF(_xlpm.m=0,"",_xlpm.m+1))</f>
        <v/>
      </c>
      <c r="J2169" s="137" t="inlineStr">
        <is>
          <t>Shopify</t>
        </is>
      </c>
    </row>
    <row r="2170">
      <c r="A2170" s="5" t="inlineStr">
        <is>
          <t>Shopify Stetson México › Stetson Americas</t>
        </is>
      </c>
      <c r="B2170" s="5">
        <f>IF($I2="","",INDEX(Productos!$A:$A,$I2))</f>
        <v/>
      </c>
      <c r="C2170" s="134" t="inlineStr">
        <is>
          <t>11-004-1520-4074-32 32</t>
        </is>
      </c>
      <c r="D2170" s="5">
        <f>IF($I2="","",INDEX(Productos!$B:$B,$I2))</f>
        <v/>
      </c>
      <c r="E2170" s="5">
        <f>IF($I2="","",INDEX(Productos!$H:$H,$I2))</f>
        <v/>
      </c>
      <c r="F2170" s="5">
        <f>IF($I2="","",INDEX(Productos!$I:$I,$I2))</f>
        <v/>
      </c>
      <c r="G2170" s="135" t="n">
        <v>4</v>
      </c>
      <c r="H2170" s="5">
        <f>IF($I2="","",INDEX(Productos!$AG:$AG,$I2))</f>
        <v/>
      </c>
      <c r="I2170" s="136">
        <f>LET(_xlpm.r,Productos!$E$2:$E$2509,_xlpm.m,IFERROR(_xlfn.XMATCH(C2170,_xlpm.r),IFERROR(_xlfn.XMATCH(VALUE(C2170),_xlpm.r),0)),IF(_xlpm.m=0,"",_xlpm.m+1))</f>
        <v/>
      </c>
      <c r="J2170" s="137" t="inlineStr">
        <is>
          <t>Shopify</t>
        </is>
      </c>
    </row>
    <row r="2171">
      <c r="A2171" s="5" t="inlineStr">
        <is>
          <t>Shopify Stetson México › Stetson Americas</t>
        </is>
      </c>
      <c r="B2171" s="5">
        <f>IF($I2="","",INDEX(Productos!$A:$A,$I2))</f>
        <v/>
      </c>
      <c r="C2171" s="134" t="inlineStr">
        <is>
          <t>11-004-1520-4074-33 32</t>
        </is>
      </c>
      <c r="D2171" s="5">
        <f>IF($I2="","",INDEX(Productos!$B:$B,$I2))</f>
        <v/>
      </c>
      <c r="E2171" s="5">
        <f>IF($I2="","",INDEX(Productos!$H:$H,$I2))</f>
        <v/>
      </c>
      <c r="F2171" s="5">
        <f>IF($I2="","",INDEX(Productos!$I:$I,$I2))</f>
        <v/>
      </c>
      <c r="G2171" s="135" t="n">
        <v>4</v>
      </c>
      <c r="H2171" s="5">
        <f>IF($I2="","",INDEX(Productos!$AG:$AG,$I2))</f>
        <v/>
      </c>
      <c r="I2171" s="136">
        <f>LET(_xlpm.r,Productos!$E$2:$E$2509,_xlpm.m,IFERROR(_xlfn.XMATCH(C2171,_xlpm.r),IFERROR(_xlfn.XMATCH(VALUE(C2171),_xlpm.r),0)),IF(_xlpm.m=0,"",_xlpm.m+1))</f>
        <v/>
      </c>
      <c r="J2171" s="137" t="inlineStr">
        <is>
          <t>Shopify</t>
        </is>
      </c>
    </row>
    <row r="2172">
      <c r="A2172" s="5" t="inlineStr">
        <is>
          <t>Shopify Stetson México › Stetson Americas</t>
        </is>
      </c>
      <c r="B2172" s="5">
        <f>IF($I2="","",INDEX(Productos!$A:$A,$I2))</f>
        <v/>
      </c>
      <c r="C2172" s="134" t="inlineStr">
        <is>
          <t>11-004-1520-4074-34 32</t>
        </is>
      </c>
      <c r="D2172" s="5">
        <f>IF($I2="","",INDEX(Productos!$B:$B,$I2))</f>
        <v/>
      </c>
      <c r="E2172" s="5">
        <f>IF($I2="","",INDEX(Productos!$H:$H,$I2))</f>
        <v/>
      </c>
      <c r="F2172" s="5">
        <f>IF($I2="","",INDEX(Productos!$I:$I,$I2))</f>
        <v/>
      </c>
      <c r="G2172" s="135" t="n">
        <v>3</v>
      </c>
      <c r="H2172" s="5">
        <f>IF($I2="","",INDEX(Productos!$AG:$AG,$I2))</f>
        <v/>
      </c>
      <c r="I2172" s="136">
        <f>LET(_xlpm.r,Productos!$E$2:$E$2509,_xlpm.m,IFERROR(_xlfn.XMATCH(C2172,_xlpm.r),IFERROR(_xlfn.XMATCH(VALUE(C2172),_xlpm.r),0)),IF(_xlpm.m=0,"",_xlpm.m+1))</f>
        <v/>
      </c>
      <c r="J2172" s="137" t="inlineStr">
        <is>
          <t>Shopify</t>
        </is>
      </c>
    </row>
    <row r="2173">
      <c r="A2173" s="5" t="inlineStr">
        <is>
          <t>Shopify Stetson México › Stetson Americas</t>
        </is>
      </c>
      <c r="B2173" s="5">
        <f>IF($I2="","",INDEX(Productos!$A:$A,$I2))</f>
        <v/>
      </c>
      <c r="C2173" s="134" t="inlineStr">
        <is>
          <t>11-004-1520-4074-34 34</t>
        </is>
      </c>
      <c r="D2173" s="5">
        <f>IF($I2="","",INDEX(Productos!$B:$B,$I2))</f>
        <v/>
      </c>
      <c r="E2173" s="5">
        <f>IF($I2="","",INDEX(Productos!$H:$H,$I2))</f>
        <v/>
      </c>
      <c r="F2173" s="5">
        <f>IF($I2="","",INDEX(Productos!$I:$I,$I2))</f>
        <v/>
      </c>
      <c r="G2173" s="135" t="n">
        <v>1</v>
      </c>
      <c r="H2173" s="5">
        <f>IF($I2="","",INDEX(Productos!$AG:$AG,$I2))</f>
        <v/>
      </c>
      <c r="I2173" s="136">
        <f>LET(_xlpm.r,Productos!$E$2:$E$2509,_xlpm.m,IFERROR(_xlfn.XMATCH(C2173,_xlpm.r),IFERROR(_xlfn.XMATCH(VALUE(C2173),_xlpm.r),0)),IF(_xlpm.m=0,"",_xlpm.m+1))</f>
        <v/>
      </c>
      <c r="J2173" s="137" t="inlineStr">
        <is>
          <t>Shopify</t>
        </is>
      </c>
    </row>
    <row r="2174">
      <c r="A2174" s="5" t="inlineStr">
        <is>
          <t>Shopify Stetson México › Stetson Americas</t>
        </is>
      </c>
      <c r="B2174" s="5">
        <f>IF($I2="","",INDEX(Productos!$A:$A,$I2))</f>
        <v/>
      </c>
      <c r="C2174" s="134" t="inlineStr">
        <is>
          <t>11-004-1520-4074-36 32</t>
        </is>
      </c>
      <c r="D2174" s="5">
        <f>IF($I2="","",INDEX(Productos!$B:$B,$I2))</f>
        <v/>
      </c>
      <c r="E2174" s="5">
        <f>IF($I2="","",INDEX(Productos!$H:$H,$I2))</f>
        <v/>
      </c>
      <c r="F2174" s="5">
        <f>IF($I2="","",INDEX(Productos!$I:$I,$I2))</f>
        <v/>
      </c>
      <c r="G2174" s="135" t="n">
        <v>1</v>
      </c>
      <c r="H2174" s="5">
        <f>IF($I2="","",INDEX(Productos!$AG:$AG,$I2))</f>
        <v/>
      </c>
      <c r="I2174" s="136">
        <f>LET(_xlpm.r,Productos!$E$2:$E$2509,_xlpm.m,IFERROR(_xlfn.XMATCH(C2174,_xlpm.r),IFERROR(_xlfn.XMATCH(VALUE(C2174),_xlpm.r),0)),IF(_xlpm.m=0,"",_xlpm.m+1))</f>
        <v/>
      </c>
      <c r="J2174" s="137" t="inlineStr">
        <is>
          <t>Shopify</t>
        </is>
      </c>
    </row>
    <row r="2175">
      <c r="A2175" s="5" t="inlineStr">
        <is>
          <t>Shopify Stetson México › Stetson Americas</t>
        </is>
      </c>
      <c r="B2175" s="5">
        <f>IF($I2="","",INDEX(Productos!$A:$A,$I2))</f>
        <v/>
      </c>
      <c r="C2175" s="134" t="inlineStr">
        <is>
          <t>11-004-1521-2000-29 32</t>
        </is>
      </c>
      <c r="D2175" s="5">
        <f>IF($I2="","",INDEX(Productos!$B:$B,$I2))</f>
        <v/>
      </c>
      <c r="E2175" s="5">
        <f>IF($I2="","",INDEX(Productos!$H:$H,$I2))</f>
        <v/>
      </c>
      <c r="F2175" s="5">
        <f>IF($I2="","",INDEX(Productos!$I:$I,$I2))</f>
        <v/>
      </c>
      <c r="G2175" s="135" t="n">
        <v>1</v>
      </c>
      <c r="H2175" s="5">
        <f>IF($I2="","",INDEX(Productos!$AG:$AG,$I2))</f>
        <v/>
      </c>
      <c r="I2175" s="136">
        <f>LET(_xlpm.r,Productos!$E$2:$E$2509,_xlpm.m,IFERROR(_xlfn.XMATCH(C2175,_xlpm.r),IFERROR(_xlfn.XMATCH(VALUE(C2175),_xlpm.r),0)),IF(_xlpm.m=0,"",_xlpm.m+1))</f>
        <v/>
      </c>
      <c r="J2175" s="137" t="inlineStr">
        <is>
          <t>Shopify</t>
        </is>
      </c>
    </row>
    <row r="2176">
      <c r="A2176" s="5" t="inlineStr">
        <is>
          <t>Shopify Stetson México › Stetson Americas</t>
        </is>
      </c>
      <c r="B2176" s="5">
        <f>IF($I2="","",INDEX(Productos!$A:$A,$I2))</f>
        <v/>
      </c>
      <c r="C2176" s="134" t="inlineStr">
        <is>
          <t>11-004-1521-2000-30 32</t>
        </is>
      </c>
      <c r="D2176" s="5">
        <f>IF($I2="","",INDEX(Productos!$B:$B,$I2))</f>
        <v/>
      </c>
      <c r="E2176" s="5">
        <f>IF($I2="","",INDEX(Productos!$H:$H,$I2))</f>
        <v/>
      </c>
      <c r="F2176" s="5">
        <f>IF($I2="","",INDEX(Productos!$I:$I,$I2))</f>
        <v/>
      </c>
      <c r="G2176" s="135" t="n">
        <v>3</v>
      </c>
      <c r="H2176" s="5">
        <f>IF($I2="","",INDEX(Productos!$AG:$AG,$I2))</f>
        <v/>
      </c>
      <c r="I2176" s="136">
        <f>LET(_xlpm.r,Productos!$E$2:$E$2509,_xlpm.m,IFERROR(_xlfn.XMATCH(C2176,_xlpm.r),IFERROR(_xlfn.XMATCH(VALUE(C2176),_xlpm.r),0)),IF(_xlpm.m=0,"",_xlpm.m+1))</f>
        <v/>
      </c>
      <c r="J2176" s="137" t="inlineStr">
        <is>
          <t>Shopify</t>
        </is>
      </c>
    </row>
    <row r="2177">
      <c r="A2177" s="5" t="inlineStr">
        <is>
          <t>Shopify Stetson México › Stetson Americas</t>
        </is>
      </c>
      <c r="B2177" s="5">
        <f>IF($I2="","",INDEX(Productos!$A:$A,$I2))</f>
        <v/>
      </c>
      <c r="C2177" s="134" t="inlineStr">
        <is>
          <t>11-004-1521-2000-31 32</t>
        </is>
      </c>
      <c r="D2177" s="5">
        <f>IF($I2="","",INDEX(Productos!$B:$B,$I2))</f>
        <v/>
      </c>
      <c r="E2177" s="5">
        <f>IF($I2="","",INDEX(Productos!$H:$H,$I2))</f>
        <v/>
      </c>
      <c r="F2177" s="5">
        <f>IF($I2="","",INDEX(Productos!$I:$I,$I2))</f>
        <v/>
      </c>
      <c r="G2177" s="135" t="n">
        <v>4</v>
      </c>
      <c r="H2177" s="5">
        <f>IF($I2="","",INDEX(Productos!$AG:$AG,$I2))</f>
        <v/>
      </c>
      <c r="I2177" s="136">
        <f>LET(_xlpm.r,Productos!$E$2:$E$2509,_xlpm.m,IFERROR(_xlfn.XMATCH(C2177,_xlpm.r),IFERROR(_xlfn.XMATCH(VALUE(C2177),_xlpm.r),0)),IF(_xlpm.m=0,"",_xlpm.m+1))</f>
        <v/>
      </c>
      <c r="J2177" s="137" t="inlineStr">
        <is>
          <t>Shopify</t>
        </is>
      </c>
    </row>
    <row r="2178">
      <c r="A2178" s="5" t="inlineStr">
        <is>
          <t>Shopify Stetson México › Stetson Americas</t>
        </is>
      </c>
      <c r="B2178" s="5">
        <f>IF($I2="","",INDEX(Productos!$A:$A,$I2))</f>
        <v/>
      </c>
      <c r="C2178" s="134" t="inlineStr">
        <is>
          <t>11-004-1521-2000-32 32</t>
        </is>
      </c>
      <c r="D2178" s="5">
        <f>IF($I2="","",INDEX(Productos!$B:$B,$I2))</f>
        <v/>
      </c>
      <c r="E2178" s="5">
        <f>IF($I2="","",INDEX(Productos!$H:$H,$I2))</f>
        <v/>
      </c>
      <c r="F2178" s="5">
        <f>IF($I2="","",INDEX(Productos!$I:$I,$I2))</f>
        <v/>
      </c>
      <c r="G2178" s="135" t="n">
        <v>7</v>
      </c>
      <c r="H2178" s="5">
        <f>IF($I2="","",INDEX(Productos!$AG:$AG,$I2))</f>
        <v/>
      </c>
      <c r="I2178" s="136">
        <f>LET(_xlpm.r,Productos!$E$2:$E$2509,_xlpm.m,IFERROR(_xlfn.XMATCH(C2178,_xlpm.r),IFERROR(_xlfn.XMATCH(VALUE(C2178),_xlpm.r),0)),IF(_xlpm.m=0,"",_xlpm.m+1))</f>
        <v/>
      </c>
      <c r="J2178" s="137" t="inlineStr">
        <is>
          <t>Shopify</t>
        </is>
      </c>
    </row>
    <row r="2179">
      <c r="A2179" s="5" t="inlineStr">
        <is>
          <t>Shopify Stetson México › Stetson Americas</t>
        </is>
      </c>
      <c r="B2179" s="5">
        <f>IF($I2="","",INDEX(Productos!$A:$A,$I2))</f>
        <v/>
      </c>
      <c r="C2179" s="134" t="inlineStr">
        <is>
          <t>11-004-1521-2000-32 34</t>
        </is>
      </c>
      <c r="D2179" s="5">
        <f>IF($I2="","",INDEX(Productos!$B:$B,$I2))</f>
        <v/>
      </c>
      <c r="E2179" s="5">
        <f>IF($I2="","",INDEX(Productos!$H:$H,$I2))</f>
        <v/>
      </c>
      <c r="F2179" s="5">
        <f>IF($I2="","",INDEX(Productos!$I:$I,$I2))</f>
        <v/>
      </c>
      <c r="G2179" s="135" t="n">
        <v>4</v>
      </c>
      <c r="H2179" s="5">
        <f>IF($I2="","",INDEX(Productos!$AG:$AG,$I2))</f>
        <v/>
      </c>
      <c r="I2179" s="136">
        <f>LET(_xlpm.r,Productos!$E$2:$E$2509,_xlpm.m,IFERROR(_xlfn.XMATCH(C2179,_xlpm.r),IFERROR(_xlfn.XMATCH(VALUE(C2179),_xlpm.r),0)),IF(_xlpm.m=0,"",_xlpm.m+1))</f>
        <v/>
      </c>
      <c r="J2179" s="137" t="inlineStr">
        <is>
          <t>Shopify</t>
        </is>
      </c>
    </row>
    <row r="2180">
      <c r="A2180" s="5" t="inlineStr">
        <is>
          <t>Shopify Stetson México › Stetson Americas</t>
        </is>
      </c>
      <c r="B2180" s="5">
        <f>IF($I2="","",INDEX(Productos!$A:$A,$I2))</f>
        <v/>
      </c>
      <c r="C2180" s="134" t="inlineStr">
        <is>
          <t>11-004-1521-2000-33 32</t>
        </is>
      </c>
      <c r="D2180" s="5">
        <f>IF($I2="","",INDEX(Productos!$B:$B,$I2))</f>
        <v/>
      </c>
      <c r="E2180" s="5">
        <f>IF($I2="","",INDEX(Productos!$H:$H,$I2))</f>
        <v/>
      </c>
      <c r="F2180" s="5">
        <f>IF($I2="","",INDEX(Productos!$I:$I,$I2))</f>
        <v/>
      </c>
      <c r="G2180" s="135" t="n">
        <v>4</v>
      </c>
      <c r="H2180" s="5">
        <f>IF($I2="","",INDEX(Productos!$AG:$AG,$I2))</f>
        <v/>
      </c>
      <c r="I2180" s="136">
        <f>LET(_xlpm.r,Productos!$E$2:$E$2509,_xlpm.m,IFERROR(_xlfn.XMATCH(C2180,_xlpm.r),IFERROR(_xlfn.XMATCH(VALUE(C2180),_xlpm.r),0)),IF(_xlpm.m=0,"",_xlpm.m+1))</f>
        <v/>
      </c>
      <c r="J2180" s="137" t="inlineStr">
        <is>
          <t>Shopify</t>
        </is>
      </c>
    </row>
    <row r="2181">
      <c r="A2181" s="5" t="inlineStr">
        <is>
          <t>Shopify Stetson México › Stetson Americas</t>
        </is>
      </c>
      <c r="B2181" s="5">
        <f>IF($I2="","",INDEX(Productos!$A:$A,$I2))</f>
        <v/>
      </c>
      <c r="C2181" s="134" t="inlineStr">
        <is>
          <t>11-004-1521-2000-34 32</t>
        </is>
      </c>
      <c r="D2181" s="5">
        <f>IF($I2="","",INDEX(Productos!$B:$B,$I2))</f>
        <v/>
      </c>
      <c r="E2181" s="5">
        <f>IF($I2="","",INDEX(Productos!$H:$H,$I2))</f>
        <v/>
      </c>
      <c r="F2181" s="5">
        <f>IF($I2="","",INDEX(Productos!$I:$I,$I2))</f>
        <v/>
      </c>
      <c r="G2181" s="135" t="n">
        <v>7</v>
      </c>
      <c r="H2181" s="5">
        <f>IF($I2="","",INDEX(Productos!$AG:$AG,$I2))</f>
        <v/>
      </c>
      <c r="I2181" s="136">
        <f>LET(_xlpm.r,Productos!$E$2:$E$2509,_xlpm.m,IFERROR(_xlfn.XMATCH(C2181,_xlpm.r),IFERROR(_xlfn.XMATCH(VALUE(C2181),_xlpm.r),0)),IF(_xlpm.m=0,"",_xlpm.m+1))</f>
        <v/>
      </c>
      <c r="J2181" s="137" t="inlineStr">
        <is>
          <t>Shopify</t>
        </is>
      </c>
    </row>
    <row r="2182">
      <c r="A2182" s="5" t="inlineStr">
        <is>
          <t>Shopify Stetson México › Stetson Americas</t>
        </is>
      </c>
      <c r="B2182" s="5">
        <f>IF($I2="","",INDEX(Productos!$A:$A,$I2))</f>
        <v/>
      </c>
      <c r="C2182" s="134" t="inlineStr">
        <is>
          <t>11-004-1521-2000-34 34</t>
        </is>
      </c>
      <c r="D2182" s="5">
        <f>IF($I2="","",INDEX(Productos!$B:$B,$I2))</f>
        <v/>
      </c>
      <c r="E2182" s="5">
        <f>IF($I2="","",INDEX(Productos!$H:$H,$I2))</f>
        <v/>
      </c>
      <c r="F2182" s="5">
        <f>IF($I2="","",INDEX(Productos!$I:$I,$I2))</f>
        <v/>
      </c>
      <c r="G2182" s="135" t="n">
        <v>6</v>
      </c>
      <c r="H2182" s="5">
        <f>IF($I2="","",INDEX(Productos!$AG:$AG,$I2))</f>
        <v/>
      </c>
      <c r="I2182" s="136">
        <f>LET(_xlpm.r,Productos!$E$2:$E$2509,_xlpm.m,IFERROR(_xlfn.XMATCH(C2182,_xlpm.r),IFERROR(_xlfn.XMATCH(VALUE(C2182),_xlpm.r),0)),IF(_xlpm.m=0,"",_xlpm.m+1))</f>
        <v/>
      </c>
      <c r="J2182" s="137" t="inlineStr">
        <is>
          <t>Shopify</t>
        </is>
      </c>
    </row>
    <row r="2183">
      <c r="A2183" s="5" t="inlineStr">
        <is>
          <t>Shopify Stetson México › Stetson Americas</t>
        </is>
      </c>
      <c r="B2183" s="5">
        <f>IF($I2="","",INDEX(Productos!$A:$A,$I2))</f>
        <v/>
      </c>
      <c r="C2183" s="134" t="inlineStr">
        <is>
          <t>11-004-1521-2000-36 32</t>
        </is>
      </c>
      <c r="D2183" s="5">
        <f>IF($I2="","",INDEX(Productos!$B:$B,$I2))</f>
        <v/>
      </c>
      <c r="E2183" s="5">
        <f>IF($I2="","",INDEX(Productos!$H:$H,$I2))</f>
        <v/>
      </c>
      <c r="F2183" s="5">
        <f>IF($I2="","",INDEX(Productos!$I:$I,$I2))</f>
        <v/>
      </c>
      <c r="G2183" s="135" t="n">
        <v>1</v>
      </c>
      <c r="H2183" s="5">
        <f>IF($I2="","",INDEX(Productos!$AG:$AG,$I2))</f>
        <v/>
      </c>
      <c r="I2183" s="136">
        <f>LET(_xlpm.r,Productos!$E$2:$E$2509,_xlpm.m,IFERROR(_xlfn.XMATCH(C2183,_xlpm.r),IFERROR(_xlfn.XMATCH(VALUE(C2183),_xlpm.r),0)),IF(_xlpm.m=0,"",_xlpm.m+1))</f>
        <v/>
      </c>
      <c r="J2183" s="137" t="inlineStr">
        <is>
          <t>Shopify</t>
        </is>
      </c>
    </row>
    <row r="2184">
      <c r="A2184" s="5" t="inlineStr">
        <is>
          <t>Shopify Stetson México › Stetson Americas</t>
        </is>
      </c>
      <c r="B2184" s="5">
        <f>IF($I2="","",INDEX(Productos!$A:$A,$I2))</f>
        <v/>
      </c>
      <c r="C2184" s="134" t="inlineStr">
        <is>
          <t>11-004-1521-2000-36 34</t>
        </is>
      </c>
      <c r="D2184" s="5">
        <f>IF($I2="","",INDEX(Productos!$B:$B,$I2))</f>
        <v/>
      </c>
      <c r="E2184" s="5">
        <f>IF($I2="","",INDEX(Productos!$H:$H,$I2))</f>
        <v/>
      </c>
      <c r="F2184" s="5">
        <f>IF($I2="","",INDEX(Productos!$I:$I,$I2))</f>
        <v/>
      </c>
      <c r="G2184" s="135" t="n">
        <v>2</v>
      </c>
      <c r="H2184" s="5">
        <f>IF($I2="","",INDEX(Productos!$AG:$AG,$I2))</f>
        <v/>
      </c>
      <c r="I2184" s="136">
        <f>LET(_xlpm.r,Productos!$E$2:$E$2509,_xlpm.m,IFERROR(_xlfn.XMATCH(C2184,_xlpm.r),IFERROR(_xlfn.XMATCH(VALUE(C2184),_xlpm.r),0)),IF(_xlpm.m=0,"",_xlpm.m+1))</f>
        <v/>
      </c>
      <c r="J2184" s="137" t="inlineStr">
        <is>
          <t>Shopify</t>
        </is>
      </c>
    </row>
    <row r="2185">
      <c r="A2185" s="5" t="inlineStr">
        <is>
          <t>Shopify Stetson México › Stetson Americas</t>
        </is>
      </c>
      <c r="B2185" s="5">
        <f>IF($I2="","",INDEX(Productos!$A:$A,$I2))</f>
        <v/>
      </c>
      <c r="C2185" s="134" t="inlineStr">
        <is>
          <t>11-039-0562-0831-L</t>
        </is>
      </c>
      <c r="D2185" s="5">
        <f>IF($I2="","",INDEX(Productos!$B:$B,$I2))</f>
        <v/>
      </c>
      <c r="E2185" s="5">
        <f>IF($I2="","",INDEX(Productos!$H:$H,$I2))</f>
        <v/>
      </c>
      <c r="F2185" s="5">
        <f>IF($I2="","",INDEX(Productos!$I:$I,$I2))</f>
        <v/>
      </c>
      <c r="G2185" s="135" t="n">
        <v>2</v>
      </c>
      <c r="H2185" s="5">
        <f>IF($I2="","",INDEX(Productos!$AG:$AG,$I2))</f>
        <v/>
      </c>
      <c r="I2185" s="136">
        <f>LET(_xlpm.r,Productos!$E$2:$E$2509,_xlpm.m,IFERROR(_xlfn.XMATCH(C2185,_xlpm.r),IFERROR(_xlfn.XMATCH(VALUE(C2185),_xlpm.r),0)),IF(_xlpm.m=0,"",_xlpm.m+1))</f>
        <v/>
      </c>
      <c r="J2185" s="137" t="inlineStr">
        <is>
          <t>Shopify</t>
        </is>
      </c>
    </row>
    <row r="2186">
      <c r="A2186" s="5" t="inlineStr">
        <is>
          <t>Shopify Stetson México › Stetson Americas</t>
        </is>
      </c>
      <c r="B2186" s="5">
        <f>IF($I2="","",INDEX(Productos!$A:$A,$I2))</f>
        <v/>
      </c>
      <c r="C2186" s="134" t="inlineStr">
        <is>
          <t>11-039-0562-0831-XL</t>
        </is>
      </c>
      <c r="D2186" s="5">
        <f>IF($I2="","",INDEX(Productos!$B:$B,$I2))</f>
        <v/>
      </c>
      <c r="E2186" s="5">
        <f>IF($I2="","",INDEX(Productos!$H:$H,$I2))</f>
        <v/>
      </c>
      <c r="F2186" s="5">
        <f>IF($I2="","",INDEX(Productos!$I:$I,$I2))</f>
        <v/>
      </c>
      <c r="G2186" s="135" t="n">
        <v>1</v>
      </c>
      <c r="H2186" s="5">
        <f>IF($I2="","",INDEX(Productos!$AG:$AG,$I2))</f>
        <v/>
      </c>
      <c r="I2186" s="136">
        <f>LET(_xlpm.r,Productos!$E$2:$E$2509,_xlpm.m,IFERROR(_xlfn.XMATCH(C2186,_xlpm.r),IFERROR(_xlfn.XMATCH(VALUE(C2186),_xlpm.r),0)),IF(_xlpm.m=0,"",_xlpm.m+1))</f>
        <v/>
      </c>
      <c r="J2186" s="137" t="inlineStr">
        <is>
          <t>Shopify</t>
        </is>
      </c>
    </row>
    <row r="2187">
      <c r="A2187" s="5" t="inlineStr">
        <is>
          <t>Shopify Stetson México › Stetson Americas</t>
        </is>
      </c>
      <c r="B2187" s="5">
        <f>IF($I2="","",INDEX(Productos!$A:$A,$I2))</f>
        <v/>
      </c>
      <c r="C2187" s="134" t="inlineStr">
        <is>
          <t>11-050-0565-0552-M</t>
        </is>
      </c>
      <c r="D2187" s="5">
        <f>IF($I2="","",INDEX(Productos!$B:$B,$I2))</f>
        <v/>
      </c>
      <c r="E2187" s="5">
        <f>IF($I2="","",INDEX(Productos!$H:$H,$I2))</f>
        <v/>
      </c>
      <c r="F2187" s="5">
        <f>IF($I2="","",INDEX(Productos!$I:$I,$I2))</f>
        <v/>
      </c>
      <c r="G2187" s="135" t="n">
        <v>1</v>
      </c>
      <c r="H2187" s="5">
        <f>IF($I2="","",INDEX(Productos!$AG:$AG,$I2))</f>
        <v/>
      </c>
      <c r="I2187" s="136">
        <f>LET(_xlpm.r,Productos!$E$2:$E$2509,_xlpm.m,IFERROR(_xlfn.XMATCH(C2187,_xlpm.r),IFERROR(_xlfn.XMATCH(VALUE(C2187),_xlpm.r),0)),IF(_xlpm.m=0,"",_xlpm.m+1))</f>
        <v/>
      </c>
      <c r="J2187" s="137" t="inlineStr">
        <is>
          <t>Shopify</t>
        </is>
      </c>
    </row>
    <row r="2188">
      <c r="A2188" s="5" t="inlineStr">
        <is>
          <t>Shopify Stetson México › Stetson Americas</t>
        </is>
      </c>
      <c r="B2188" s="5">
        <f>IF($I2="","",INDEX(Productos!$A:$A,$I2))</f>
        <v/>
      </c>
      <c r="C2188" s="134" t="inlineStr">
        <is>
          <t>11-054-0214-0817-2R</t>
        </is>
      </c>
      <c r="D2188" s="5">
        <f>IF($I2="","",INDEX(Productos!$B:$B,$I2))</f>
        <v/>
      </c>
      <c r="E2188" s="5">
        <f>IF($I2="","",INDEX(Productos!$H:$H,$I2))</f>
        <v/>
      </c>
      <c r="F2188" s="5">
        <f>IF($I2="","",INDEX(Productos!$I:$I,$I2))</f>
        <v/>
      </c>
      <c r="G2188" s="135" t="n">
        <v>1</v>
      </c>
      <c r="H2188" s="5">
        <f>IF($I2="","",INDEX(Productos!$AG:$AG,$I2))</f>
        <v/>
      </c>
      <c r="I2188" s="136">
        <f>LET(_xlpm.r,Productos!$E$2:$E$2509,_xlpm.m,IFERROR(_xlfn.XMATCH(C2188,_xlpm.r),IFERROR(_xlfn.XMATCH(VALUE(C2188),_xlpm.r),0)),IF(_xlpm.m=0,"",_xlpm.m+1))</f>
        <v/>
      </c>
      <c r="J2188" s="137" t="inlineStr">
        <is>
          <t>Shopify</t>
        </is>
      </c>
    </row>
    <row r="2189">
      <c r="A2189" s="5" t="inlineStr">
        <is>
          <t>Shopify Stetson México › Stetson Americas</t>
        </is>
      </c>
      <c r="B2189" s="5">
        <f>IF($I2="","",INDEX(Productos!$A:$A,$I2))</f>
        <v/>
      </c>
      <c r="C2189" s="134" t="inlineStr">
        <is>
          <t>11-054-0214-0817-6R</t>
        </is>
      </c>
      <c r="D2189" s="5">
        <f>IF($I2="","",INDEX(Productos!$B:$B,$I2))</f>
        <v/>
      </c>
      <c r="E2189" s="5">
        <f>IF($I2="","",INDEX(Productos!$H:$H,$I2))</f>
        <v/>
      </c>
      <c r="F2189" s="5">
        <f>IF($I2="","",INDEX(Productos!$I:$I,$I2))</f>
        <v/>
      </c>
      <c r="G2189" s="135" t="n">
        <v>1</v>
      </c>
      <c r="H2189" s="5">
        <f>IF($I2="","",INDEX(Productos!$AG:$AG,$I2))</f>
        <v/>
      </c>
      <c r="I2189" s="136">
        <f>LET(_xlpm.r,Productos!$E$2:$E$2509,_xlpm.m,IFERROR(_xlfn.XMATCH(C2189,_xlpm.r),IFERROR(_xlfn.XMATCH(VALUE(C2189),_xlpm.r),0)),IF(_xlpm.m=0,"",_xlpm.m+1))</f>
        <v/>
      </c>
      <c r="J2189" s="137" t="inlineStr">
        <is>
          <t>Shopify</t>
        </is>
      </c>
    </row>
    <row r="2190">
      <c r="A2190" s="5" t="inlineStr">
        <is>
          <t>Shopify Stetson México › Stetson Americas</t>
        </is>
      </c>
      <c r="B2190" s="5">
        <f>IF($I2="","",INDEX(Productos!$A:$A,$I2))</f>
        <v/>
      </c>
      <c r="C2190" s="134" t="inlineStr">
        <is>
          <t>11-054-0214-0817-8R</t>
        </is>
      </c>
      <c r="D2190" s="5">
        <f>IF($I2="","",INDEX(Productos!$B:$B,$I2))</f>
        <v/>
      </c>
      <c r="E2190" s="5">
        <f>IF($I2="","",INDEX(Productos!$H:$H,$I2))</f>
        <v/>
      </c>
      <c r="F2190" s="5">
        <f>IF($I2="","",INDEX(Productos!$I:$I,$I2))</f>
        <v/>
      </c>
      <c r="G2190" s="135" t="n">
        <v>1</v>
      </c>
      <c r="H2190" s="5">
        <f>IF($I2="","",INDEX(Productos!$AG:$AG,$I2))</f>
        <v/>
      </c>
      <c r="I2190" s="136">
        <f>LET(_xlpm.r,Productos!$E$2:$E$2509,_xlpm.m,IFERROR(_xlfn.XMATCH(C2190,_xlpm.r),IFERROR(_xlfn.XMATCH(VALUE(C2190),_xlpm.r),0)),IF(_xlpm.m=0,"",_xlpm.m+1))</f>
        <v/>
      </c>
      <c r="J2190" s="137" t="inlineStr">
        <is>
          <t>Shopify</t>
        </is>
      </c>
    </row>
    <row r="2191">
      <c r="A2191" s="5" t="inlineStr">
        <is>
          <t>Shopify Stetson México › Stetson Americas</t>
        </is>
      </c>
      <c r="B2191" s="5">
        <f>IF($I2="","",INDEX(Productos!$A:$A,$I2))</f>
        <v/>
      </c>
      <c r="C2191" s="134" t="inlineStr">
        <is>
          <t>11-054-0751-0204-10R</t>
        </is>
      </c>
      <c r="D2191" s="5">
        <f>IF($I2="","",INDEX(Productos!$B:$B,$I2))</f>
        <v/>
      </c>
      <c r="E2191" s="5">
        <f>IF($I2="","",INDEX(Productos!$H:$H,$I2))</f>
        <v/>
      </c>
      <c r="F2191" s="5">
        <f>IF($I2="","",INDEX(Productos!$I:$I,$I2))</f>
        <v/>
      </c>
      <c r="G2191" s="135" t="n">
        <v>3</v>
      </c>
      <c r="H2191" s="5">
        <f>IF($I2="","",INDEX(Productos!$AG:$AG,$I2))</f>
        <v/>
      </c>
      <c r="I2191" s="136">
        <f>LET(_xlpm.r,Productos!$E$2:$E$2509,_xlpm.m,IFERROR(_xlfn.XMATCH(C2191,_xlpm.r),IFERROR(_xlfn.XMATCH(VALUE(C2191),_xlpm.r),0)),IF(_xlpm.m=0,"",_xlpm.m+1))</f>
        <v/>
      </c>
      <c r="J2191" s="137" t="inlineStr">
        <is>
          <t>Shopify</t>
        </is>
      </c>
    </row>
    <row r="2192">
      <c r="A2192" s="5" t="inlineStr">
        <is>
          <t>Shopify Stetson México › Stetson Americas</t>
        </is>
      </c>
      <c r="B2192" s="5">
        <f>IF($I2="","",INDEX(Productos!$A:$A,$I2))</f>
        <v/>
      </c>
      <c r="C2192" s="134" t="inlineStr">
        <is>
          <t>11-054-0751-0204-4R</t>
        </is>
      </c>
      <c r="D2192" s="5">
        <f>IF($I2="","",INDEX(Productos!$B:$B,$I2))</f>
        <v/>
      </c>
      <c r="E2192" s="5">
        <f>IF($I2="","",INDEX(Productos!$H:$H,$I2))</f>
        <v/>
      </c>
      <c r="F2192" s="5">
        <f>IF($I2="","",INDEX(Productos!$I:$I,$I2))</f>
        <v/>
      </c>
      <c r="G2192" s="135" t="n">
        <v>3</v>
      </c>
      <c r="H2192" s="5">
        <f>IF($I2="","",INDEX(Productos!$AG:$AG,$I2))</f>
        <v/>
      </c>
      <c r="I2192" s="136">
        <f>LET(_xlpm.r,Productos!$E$2:$E$2509,_xlpm.m,IFERROR(_xlfn.XMATCH(C2192,_xlpm.r),IFERROR(_xlfn.XMATCH(VALUE(C2192),_xlpm.r),0)),IF(_xlpm.m=0,"",_xlpm.m+1))</f>
        <v/>
      </c>
      <c r="J2192" s="137" t="inlineStr">
        <is>
          <t>Shopify</t>
        </is>
      </c>
    </row>
    <row r="2193">
      <c r="A2193" s="5" t="inlineStr">
        <is>
          <t>Shopify Stetson México › Stetson Americas</t>
        </is>
      </c>
      <c r="B2193" s="5">
        <f>IF($I2="","",INDEX(Productos!$A:$A,$I2))</f>
        <v/>
      </c>
      <c r="C2193" s="134" t="inlineStr">
        <is>
          <t>11-054-0751-0204-6R</t>
        </is>
      </c>
      <c r="D2193" s="5">
        <f>IF($I2="","",INDEX(Productos!$B:$B,$I2))</f>
        <v/>
      </c>
      <c r="E2193" s="5">
        <f>IF($I2="","",INDEX(Productos!$H:$H,$I2))</f>
        <v/>
      </c>
      <c r="F2193" s="5">
        <f>IF($I2="","",INDEX(Productos!$I:$I,$I2))</f>
        <v/>
      </c>
      <c r="G2193" s="135" t="n">
        <v>2</v>
      </c>
      <c r="H2193" s="5">
        <f>IF($I2="","",INDEX(Productos!$AG:$AG,$I2))</f>
        <v/>
      </c>
      <c r="I2193" s="136">
        <f>LET(_xlpm.r,Productos!$E$2:$E$2509,_xlpm.m,IFERROR(_xlfn.XMATCH(C2193,_xlpm.r),IFERROR(_xlfn.XMATCH(VALUE(C2193),_xlpm.r),0)),IF(_xlpm.m=0,"",_xlpm.m+1))</f>
        <v/>
      </c>
      <c r="J2193" s="137" t="inlineStr">
        <is>
          <t>Shopify</t>
        </is>
      </c>
    </row>
    <row r="2194">
      <c r="A2194" s="5" t="inlineStr">
        <is>
          <t>Shopify Stetson México › Stetson Americas</t>
        </is>
      </c>
      <c r="B2194" s="5">
        <f>IF($I2="","",INDEX(Productos!$A:$A,$I2))</f>
        <v/>
      </c>
      <c r="C2194" s="134" t="inlineStr">
        <is>
          <t>11-054-0751-0204-8R</t>
        </is>
      </c>
      <c r="D2194" s="5">
        <f>IF($I2="","",INDEX(Productos!$B:$B,$I2))</f>
        <v/>
      </c>
      <c r="E2194" s="5">
        <f>IF($I2="","",INDEX(Productos!$H:$H,$I2))</f>
        <v/>
      </c>
      <c r="F2194" s="5">
        <f>IF($I2="","",INDEX(Productos!$I:$I,$I2))</f>
        <v/>
      </c>
      <c r="G2194" s="135" t="n">
        <v>1</v>
      </c>
      <c r="H2194" s="5">
        <f>IF($I2="","",INDEX(Productos!$AG:$AG,$I2))</f>
        <v/>
      </c>
      <c r="I2194" s="136">
        <f>LET(_xlpm.r,Productos!$E$2:$E$2509,_xlpm.m,IFERROR(_xlfn.XMATCH(C2194,_xlpm.r),IFERROR(_xlfn.XMATCH(VALUE(C2194),_xlpm.r),0)),IF(_xlpm.m=0,"",_xlpm.m+1))</f>
        <v/>
      </c>
      <c r="J2194" s="137" t="inlineStr">
        <is>
          <t>Shopify</t>
        </is>
      </c>
    </row>
    <row r="2195">
      <c r="A2195" s="5" t="inlineStr">
        <is>
          <t>Shopify Stetson México › Stetson Americas</t>
        </is>
      </c>
      <c r="B2195" s="5">
        <f>IF($I2="","",INDEX(Productos!$A:$A,$I2))</f>
        <v/>
      </c>
      <c r="C2195" s="134" t="inlineStr">
        <is>
          <t>11-054-0751-0205-6R</t>
        </is>
      </c>
      <c r="D2195" s="5">
        <f>IF($I2="","",INDEX(Productos!$B:$B,$I2))</f>
        <v/>
      </c>
      <c r="E2195" s="5">
        <f>IF($I2="","",INDEX(Productos!$H:$H,$I2))</f>
        <v/>
      </c>
      <c r="F2195" s="5">
        <f>IF($I2="","",INDEX(Productos!$I:$I,$I2))</f>
        <v/>
      </c>
      <c r="G2195" s="135" t="n">
        <v>1</v>
      </c>
      <c r="H2195" s="5">
        <f>IF($I2="","",INDEX(Productos!$AG:$AG,$I2))</f>
        <v/>
      </c>
      <c r="I2195" s="136">
        <f>LET(_xlpm.r,Productos!$E$2:$E$2509,_xlpm.m,IFERROR(_xlfn.XMATCH(C2195,_xlpm.r),IFERROR(_xlfn.XMATCH(VALUE(C2195),_xlpm.r),0)),IF(_xlpm.m=0,"",_xlpm.m+1))</f>
        <v/>
      </c>
      <c r="J2195" s="137" t="inlineStr">
        <is>
          <t>Shopify</t>
        </is>
      </c>
    </row>
    <row r="2196">
      <c r="A2196" s="5" t="inlineStr">
        <is>
          <t>Shopify Stetson México › Stetson Americas</t>
        </is>
      </c>
      <c r="B2196" s="5">
        <f>IF($I2="","",INDEX(Productos!$A:$A,$I2))</f>
        <v/>
      </c>
      <c r="C2196" s="134" t="inlineStr">
        <is>
          <t>11-054-0751-0205-8R</t>
        </is>
      </c>
      <c r="D2196" s="5">
        <f>IF($I2="","",INDEX(Productos!$B:$B,$I2))</f>
        <v/>
      </c>
      <c r="E2196" s="5">
        <f>IF($I2="","",INDEX(Productos!$H:$H,$I2))</f>
        <v/>
      </c>
      <c r="F2196" s="5">
        <f>IF($I2="","",INDEX(Productos!$I:$I,$I2))</f>
        <v/>
      </c>
      <c r="G2196" s="135" t="n">
        <v>2</v>
      </c>
      <c r="H2196" s="5">
        <f>IF($I2="","",INDEX(Productos!$AG:$AG,$I2))</f>
        <v/>
      </c>
      <c r="I2196" s="136">
        <f>LET(_xlpm.r,Productos!$E$2:$E$2509,_xlpm.m,IFERROR(_xlfn.XMATCH(C2196,_xlpm.r),IFERROR(_xlfn.XMATCH(VALUE(C2196),_xlpm.r),0)),IF(_xlpm.m=0,"",_xlpm.m+1))</f>
        <v/>
      </c>
      <c r="J2196" s="137" t="inlineStr">
        <is>
          <t>Shopify</t>
        </is>
      </c>
    </row>
    <row r="2197">
      <c r="A2197" s="5" t="inlineStr">
        <is>
          <t>Shopify Stetson México › Stetson Americas</t>
        </is>
      </c>
      <c r="B2197" s="5">
        <f>IF($I2="","",INDEX(Productos!$A:$A,$I2))</f>
        <v/>
      </c>
      <c r="C2197" s="134" t="inlineStr">
        <is>
          <t>11-054-0816-1320-10R</t>
        </is>
      </c>
      <c r="D2197" s="5">
        <f>IF($I2="","",INDEX(Productos!$B:$B,$I2))</f>
        <v/>
      </c>
      <c r="E2197" s="5">
        <f>IF($I2="","",INDEX(Productos!$H:$H,$I2))</f>
        <v/>
      </c>
      <c r="F2197" s="5">
        <f>IF($I2="","",INDEX(Productos!$I:$I,$I2))</f>
        <v/>
      </c>
      <c r="G2197" s="135" t="n">
        <v>1</v>
      </c>
      <c r="H2197" s="5">
        <f>IF($I2="","",INDEX(Productos!$AG:$AG,$I2))</f>
        <v/>
      </c>
      <c r="I2197" s="136">
        <f>LET(_xlpm.r,Productos!$E$2:$E$2509,_xlpm.m,IFERROR(_xlfn.XMATCH(C2197,_xlpm.r),IFERROR(_xlfn.XMATCH(VALUE(C2197),_xlpm.r),0)),IF(_xlpm.m=0,"",_xlpm.m+1))</f>
        <v/>
      </c>
      <c r="J2197" s="137" t="inlineStr">
        <is>
          <t>Shopify</t>
        </is>
      </c>
    </row>
    <row r="2198">
      <c r="A2198" s="5" t="inlineStr">
        <is>
          <t>Shopify Stetson México › Stetson Americas</t>
        </is>
      </c>
      <c r="B2198" s="5">
        <f>IF($I2="","",INDEX(Productos!$A:$A,$I2))</f>
        <v/>
      </c>
      <c r="C2198" s="134" t="inlineStr">
        <is>
          <t>11-054-0816-1320-12R</t>
        </is>
      </c>
      <c r="D2198" s="5">
        <f>IF($I2="","",INDEX(Productos!$B:$B,$I2))</f>
        <v/>
      </c>
      <c r="E2198" s="5">
        <f>IF($I2="","",INDEX(Productos!$H:$H,$I2))</f>
        <v/>
      </c>
      <c r="F2198" s="5">
        <f>IF($I2="","",INDEX(Productos!$I:$I,$I2))</f>
        <v/>
      </c>
      <c r="G2198" s="135" t="n">
        <v>1</v>
      </c>
      <c r="H2198" s="5">
        <f>IF($I2="","",INDEX(Productos!$AG:$AG,$I2))</f>
        <v/>
      </c>
      <c r="I2198" s="136">
        <f>LET(_xlpm.r,Productos!$E$2:$E$2509,_xlpm.m,IFERROR(_xlfn.XMATCH(C2198,_xlpm.r),IFERROR(_xlfn.XMATCH(VALUE(C2198),_xlpm.r),0)),IF(_xlpm.m=0,"",_xlpm.m+1))</f>
        <v/>
      </c>
      <c r="J2198" s="137" t="inlineStr">
        <is>
          <t>Shopify</t>
        </is>
      </c>
    </row>
    <row r="2199">
      <c r="A2199" s="5" t="inlineStr">
        <is>
          <t>Shopify Stetson México › Stetson Americas</t>
        </is>
      </c>
      <c r="B2199" s="5">
        <f>IF($I2="","",INDEX(Productos!$A:$A,$I2))</f>
        <v/>
      </c>
      <c r="C2199" s="134" t="inlineStr">
        <is>
          <t>11-054-0816-1320-6R</t>
        </is>
      </c>
      <c r="D2199" s="5">
        <f>IF($I2="","",INDEX(Productos!$B:$B,$I2))</f>
        <v/>
      </c>
      <c r="E2199" s="5">
        <f>IF($I2="","",INDEX(Productos!$H:$H,$I2))</f>
        <v/>
      </c>
      <c r="F2199" s="5">
        <f>IF($I2="","",INDEX(Productos!$I:$I,$I2))</f>
        <v/>
      </c>
      <c r="G2199" s="135" t="n">
        <v>1</v>
      </c>
      <c r="H2199" s="5">
        <f>IF($I2="","",INDEX(Productos!$AG:$AG,$I2))</f>
        <v/>
      </c>
      <c r="I2199" s="136">
        <f>LET(_xlpm.r,Productos!$E$2:$E$2509,_xlpm.m,IFERROR(_xlfn.XMATCH(C2199,_xlpm.r),IFERROR(_xlfn.XMATCH(VALUE(C2199),_xlpm.r),0)),IF(_xlpm.m=0,"",_xlpm.m+1))</f>
        <v/>
      </c>
      <c r="J2199" s="137" t="inlineStr">
        <is>
          <t>Shopify</t>
        </is>
      </c>
    </row>
    <row r="2200">
      <c r="A2200" s="5" t="inlineStr">
        <is>
          <t>Shopify Stetson México › Stetson Americas</t>
        </is>
      </c>
      <c r="B2200" s="5">
        <f>IF($I2="","",INDEX(Productos!$A:$A,$I2))</f>
        <v/>
      </c>
      <c r="C2200" s="134" t="inlineStr">
        <is>
          <t>11-054-0816-1320-8R</t>
        </is>
      </c>
      <c r="D2200" s="5">
        <f>IF($I2="","",INDEX(Productos!$B:$B,$I2))</f>
        <v/>
      </c>
      <c r="E2200" s="5">
        <f>IF($I2="","",INDEX(Productos!$H:$H,$I2))</f>
        <v/>
      </c>
      <c r="F2200" s="5">
        <f>IF($I2="","",INDEX(Productos!$I:$I,$I2))</f>
        <v/>
      </c>
      <c r="G2200" s="135" t="n">
        <v>1</v>
      </c>
      <c r="H2200" s="5">
        <f>IF($I2="","",INDEX(Productos!$AG:$AG,$I2))</f>
        <v/>
      </c>
      <c r="I2200" s="136">
        <f>LET(_xlpm.r,Productos!$E$2:$E$2509,_xlpm.m,IFERROR(_xlfn.XMATCH(C2200,_xlpm.r),IFERROR(_xlfn.XMATCH(VALUE(C2200),_xlpm.r),0)),IF(_xlpm.m=0,"",_xlpm.m+1))</f>
        <v/>
      </c>
      <c r="J2200" s="137" t="inlineStr">
        <is>
          <t>Shopify</t>
        </is>
      </c>
    </row>
    <row r="2201">
      <c r="A2201" s="5" t="inlineStr">
        <is>
          <t>Shopify Stetson México › Stetson Americas</t>
        </is>
      </c>
      <c r="B2201" s="5">
        <f>IF($I2="","",INDEX(Productos!$A:$A,$I2))</f>
        <v/>
      </c>
      <c r="C2201" s="134" t="inlineStr">
        <is>
          <t>11-054-0816-1322-2R</t>
        </is>
      </c>
      <c r="D2201" s="5">
        <f>IF($I2="","",INDEX(Productos!$B:$B,$I2))</f>
        <v/>
      </c>
      <c r="E2201" s="5">
        <f>IF($I2="","",INDEX(Productos!$H:$H,$I2))</f>
        <v/>
      </c>
      <c r="F2201" s="5">
        <f>IF($I2="","",INDEX(Productos!$I:$I,$I2))</f>
        <v/>
      </c>
      <c r="G2201" s="135" t="n">
        <v>2</v>
      </c>
      <c r="H2201" s="5">
        <f>IF($I2="","",INDEX(Productos!$AG:$AG,$I2))</f>
        <v/>
      </c>
      <c r="I2201" s="136">
        <f>LET(_xlpm.r,Productos!$E$2:$E$2509,_xlpm.m,IFERROR(_xlfn.XMATCH(C2201,_xlpm.r),IFERROR(_xlfn.XMATCH(VALUE(C2201),_xlpm.r),0)),IF(_xlpm.m=0,"",_xlpm.m+1))</f>
        <v/>
      </c>
      <c r="J2201" s="137" t="inlineStr">
        <is>
          <t>Shopify</t>
        </is>
      </c>
    </row>
    <row r="2202">
      <c r="A2202" s="5" t="inlineStr">
        <is>
          <t>Shopify Stetson México › Stetson Americas</t>
        </is>
      </c>
      <c r="B2202" s="5">
        <f>IF($I2="","",INDEX(Productos!$A:$A,$I2))</f>
        <v/>
      </c>
      <c r="C2202" s="134" t="inlineStr">
        <is>
          <t>11-054-0816-1322-4R</t>
        </is>
      </c>
      <c r="D2202" s="5">
        <f>IF($I2="","",INDEX(Productos!$B:$B,$I2))</f>
        <v/>
      </c>
      <c r="E2202" s="5">
        <f>IF($I2="","",INDEX(Productos!$H:$H,$I2))</f>
        <v/>
      </c>
      <c r="F2202" s="5">
        <f>IF($I2="","",INDEX(Productos!$I:$I,$I2))</f>
        <v/>
      </c>
      <c r="G2202" s="135" t="n">
        <v>1</v>
      </c>
      <c r="H2202" s="5">
        <f>IF($I2="","",INDEX(Productos!$AG:$AG,$I2))</f>
        <v/>
      </c>
      <c r="I2202" s="136">
        <f>LET(_xlpm.r,Productos!$E$2:$E$2509,_xlpm.m,IFERROR(_xlfn.XMATCH(C2202,_xlpm.r),IFERROR(_xlfn.XMATCH(VALUE(C2202),_xlpm.r),0)),IF(_xlpm.m=0,"",_xlpm.m+1))</f>
        <v/>
      </c>
      <c r="J2202" s="137" t="inlineStr">
        <is>
          <t>Shopify</t>
        </is>
      </c>
    </row>
    <row r="2203">
      <c r="A2203" s="5" t="inlineStr">
        <is>
          <t>Shopify Stetson México › Stetson Americas</t>
        </is>
      </c>
      <c r="B2203" s="5">
        <f>IF($I2="","",INDEX(Productos!$A:$A,$I2))</f>
        <v/>
      </c>
      <c r="C2203" s="134" t="inlineStr">
        <is>
          <t>11-054-0816-1322-6R</t>
        </is>
      </c>
      <c r="D2203" s="5">
        <f>IF($I2="","",INDEX(Productos!$B:$B,$I2))</f>
        <v/>
      </c>
      <c r="E2203" s="5">
        <f>IF($I2="","",INDEX(Productos!$H:$H,$I2))</f>
        <v/>
      </c>
      <c r="F2203" s="5">
        <f>IF($I2="","",INDEX(Productos!$I:$I,$I2))</f>
        <v/>
      </c>
      <c r="G2203" s="135" t="n">
        <v>8</v>
      </c>
      <c r="H2203" s="5">
        <f>IF($I2="","",INDEX(Productos!$AG:$AG,$I2))</f>
        <v/>
      </c>
      <c r="I2203" s="136">
        <f>LET(_xlpm.r,Productos!$E$2:$E$2509,_xlpm.m,IFERROR(_xlfn.XMATCH(C2203,_xlpm.r),IFERROR(_xlfn.XMATCH(VALUE(C2203),_xlpm.r),0)),IF(_xlpm.m=0,"",_xlpm.m+1))</f>
        <v/>
      </c>
      <c r="J2203" s="137" t="inlineStr">
        <is>
          <t>Shopify</t>
        </is>
      </c>
    </row>
    <row r="2204">
      <c r="A2204" s="5" t="inlineStr">
        <is>
          <t>Shopify Stetson México › Stetson Americas</t>
        </is>
      </c>
      <c r="B2204" s="5">
        <f>IF($I2="","",INDEX(Productos!$A:$A,$I2))</f>
        <v/>
      </c>
      <c r="C2204" s="134" t="inlineStr">
        <is>
          <t>11-054-0816-1322-8R</t>
        </is>
      </c>
      <c r="D2204" s="5">
        <f>IF($I2="","",INDEX(Productos!$B:$B,$I2))</f>
        <v/>
      </c>
      <c r="E2204" s="5">
        <f>IF($I2="","",INDEX(Productos!$H:$H,$I2))</f>
        <v/>
      </c>
      <c r="F2204" s="5">
        <f>IF($I2="","",INDEX(Productos!$I:$I,$I2))</f>
        <v/>
      </c>
      <c r="G2204" s="135" t="n">
        <v>2</v>
      </c>
      <c r="H2204" s="5">
        <f>IF($I2="","",INDEX(Productos!$AG:$AG,$I2))</f>
        <v/>
      </c>
      <c r="I2204" s="136">
        <f>LET(_xlpm.r,Productos!$E$2:$E$2509,_xlpm.m,IFERROR(_xlfn.XMATCH(C2204,_xlpm.r),IFERROR(_xlfn.XMATCH(VALUE(C2204),_xlpm.r),0)),IF(_xlpm.m=0,"",_xlpm.m+1))</f>
        <v/>
      </c>
      <c r="J2204" s="137" t="inlineStr">
        <is>
          <t>Shopify</t>
        </is>
      </c>
    </row>
    <row r="2205">
      <c r="A2205" s="5" t="inlineStr">
        <is>
          <t>Shopify Stetson México › Stetson Americas</t>
        </is>
      </c>
      <c r="B2205" s="5">
        <f>IF($I2="","",INDEX(Productos!$A:$A,$I2))</f>
        <v/>
      </c>
      <c r="C2205" s="134" t="inlineStr">
        <is>
          <t>11-054-0921-2407-0R</t>
        </is>
      </c>
      <c r="D2205" s="5">
        <f>IF($I2="","",INDEX(Productos!$B:$B,$I2))</f>
        <v/>
      </c>
      <c r="E2205" s="5">
        <f>IF($I2="","",INDEX(Productos!$H:$H,$I2))</f>
        <v/>
      </c>
      <c r="F2205" s="5">
        <f>IF($I2="","",INDEX(Productos!$I:$I,$I2))</f>
        <v/>
      </c>
      <c r="G2205" s="135" t="n">
        <v>1</v>
      </c>
      <c r="H2205" s="5">
        <f>IF($I2="","",INDEX(Productos!$AG:$AG,$I2))</f>
        <v/>
      </c>
      <c r="I2205" s="136">
        <f>LET(_xlpm.r,Productos!$E$2:$E$2509,_xlpm.m,IFERROR(_xlfn.XMATCH(C2205,_xlpm.r),IFERROR(_xlfn.XMATCH(VALUE(C2205),_xlpm.r),0)),IF(_xlpm.m=0,"",_xlpm.m+1))</f>
        <v/>
      </c>
      <c r="J2205" s="137" t="inlineStr">
        <is>
          <t>Shopify</t>
        </is>
      </c>
    </row>
    <row r="2206">
      <c r="A2206" s="5" t="inlineStr">
        <is>
          <t>Shopify Stetson México › Stetson Americas</t>
        </is>
      </c>
      <c r="B2206" s="5">
        <f>IF($I2="","",INDEX(Productos!$A:$A,$I2))</f>
        <v/>
      </c>
      <c r="C2206" s="134" t="inlineStr">
        <is>
          <t>11-054-0921-2407-10L</t>
        </is>
      </c>
      <c r="D2206" s="5">
        <f>IF($I2="","",INDEX(Productos!$B:$B,$I2))</f>
        <v/>
      </c>
      <c r="E2206" s="5">
        <f>IF($I2="","",INDEX(Productos!$H:$H,$I2))</f>
        <v/>
      </c>
      <c r="F2206" s="5">
        <f>IF($I2="","",INDEX(Productos!$I:$I,$I2))</f>
        <v/>
      </c>
      <c r="G2206" s="135" t="n">
        <v>1</v>
      </c>
      <c r="H2206" s="5">
        <f>IF($I2="","",INDEX(Productos!$AG:$AG,$I2))</f>
        <v/>
      </c>
      <c r="I2206" s="136">
        <f>LET(_xlpm.r,Productos!$E$2:$E$2509,_xlpm.m,IFERROR(_xlfn.XMATCH(C2206,_xlpm.r),IFERROR(_xlfn.XMATCH(VALUE(C2206),_xlpm.r),0)),IF(_xlpm.m=0,"",_xlpm.m+1))</f>
        <v/>
      </c>
      <c r="J2206" s="137" t="inlineStr">
        <is>
          <t>Shopify</t>
        </is>
      </c>
    </row>
    <row r="2207">
      <c r="A2207" s="5" t="inlineStr">
        <is>
          <t>Shopify Stetson México › Stetson Americas</t>
        </is>
      </c>
      <c r="B2207" s="5">
        <f>IF($I2="","",INDEX(Productos!$A:$A,$I2))</f>
        <v/>
      </c>
      <c r="C2207" s="134" t="inlineStr">
        <is>
          <t>11-054-0921-2407-10R</t>
        </is>
      </c>
      <c r="D2207" s="5">
        <f>IF($I2="","",INDEX(Productos!$B:$B,$I2))</f>
        <v/>
      </c>
      <c r="E2207" s="5">
        <f>IF($I2="","",INDEX(Productos!$H:$H,$I2))</f>
        <v/>
      </c>
      <c r="F2207" s="5">
        <f>IF($I2="","",INDEX(Productos!$I:$I,$I2))</f>
        <v/>
      </c>
      <c r="G2207" s="135" t="n">
        <v>1</v>
      </c>
      <c r="H2207" s="5">
        <f>IF($I2="","",INDEX(Productos!$AG:$AG,$I2))</f>
        <v/>
      </c>
      <c r="I2207" s="136">
        <f>LET(_xlpm.r,Productos!$E$2:$E$2509,_xlpm.m,IFERROR(_xlfn.XMATCH(C2207,_xlpm.r),IFERROR(_xlfn.XMATCH(VALUE(C2207),_xlpm.r),0)),IF(_xlpm.m=0,"",_xlpm.m+1))</f>
        <v/>
      </c>
      <c r="J2207" s="137" t="inlineStr">
        <is>
          <t>Shopify</t>
        </is>
      </c>
    </row>
    <row r="2208">
      <c r="A2208" s="5" t="inlineStr">
        <is>
          <t>Shopify Stetson México › Stetson Americas</t>
        </is>
      </c>
      <c r="B2208" s="5">
        <f>IF($I2="","",INDEX(Productos!$A:$A,$I2))</f>
        <v/>
      </c>
      <c r="C2208" s="134" t="inlineStr">
        <is>
          <t>11-054-0921-2407-2R</t>
        </is>
      </c>
      <c r="D2208" s="5">
        <f>IF($I2="","",INDEX(Productos!$B:$B,$I2))</f>
        <v/>
      </c>
      <c r="E2208" s="5">
        <f>IF($I2="","",INDEX(Productos!$H:$H,$I2))</f>
        <v/>
      </c>
      <c r="F2208" s="5">
        <f>IF($I2="","",INDEX(Productos!$I:$I,$I2))</f>
        <v/>
      </c>
      <c r="G2208" s="135" t="n">
        <v>1</v>
      </c>
      <c r="H2208" s="5">
        <f>IF($I2="","",INDEX(Productos!$AG:$AG,$I2))</f>
        <v/>
      </c>
      <c r="I2208" s="136">
        <f>LET(_xlpm.r,Productos!$E$2:$E$2509,_xlpm.m,IFERROR(_xlfn.XMATCH(C2208,_xlpm.r),IFERROR(_xlfn.XMATCH(VALUE(C2208),_xlpm.r),0)),IF(_xlpm.m=0,"",_xlpm.m+1))</f>
        <v/>
      </c>
      <c r="J2208" s="137" t="inlineStr">
        <is>
          <t>Shopify</t>
        </is>
      </c>
    </row>
    <row r="2209">
      <c r="A2209" s="5" t="inlineStr">
        <is>
          <t>Shopify Stetson México › Stetson Americas</t>
        </is>
      </c>
      <c r="B2209" s="5">
        <f>IF($I2="","",INDEX(Productos!$A:$A,$I2))</f>
        <v/>
      </c>
      <c r="C2209" s="134" t="inlineStr">
        <is>
          <t>11-054-0921-2407-4L</t>
        </is>
      </c>
      <c r="D2209" s="5">
        <f>IF($I2="","",INDEX(Productos!$B:$B,$I2))</f>
        <v/>
      </c>
      <c r="E2209" s="5">
        <f>IF($I2="","",INDEX(Productos!$H:$H,$I2))</f>
        <v/>
      </c>
      <c r="F2209" s="5">
        <f>IF($I2="","",INDEX(Productos!$I:$I,$I2))</f>
        <v/>
      </c>
      <c r="G2209" s="135" t="n">
        <v>1</v>
      </c>
      <c r="H2209" s="5">
        <f>IF($I2="","",INDEX(Productos!$AG:$AG,$I2))</f>
        <v/>
      </c>
      <c r="I2209" s="136">
        <f>LET(_xlpm.r,Productos!$E$2:$E$2509,_xlpm.m,IFERROR(_xlfn.XMATCH(C2209,_xlpm.r),IFERROR(_xlfn.XMATCH(VALUE(C2209),_xlpm.r),0)),IF(_xlpm.m=0,"",_xlpm.m+1))</f>
        <v/>
      </c>
      <c r="J2209" s="137" t="inlineStr">
        <is>
          <t>Shopify</t>
        </is>
      </c>
    </row>
    <row r="2210">
      <c r="A2210" s="5" t="inlineStr">
        <is>
          <t>Shopify Stetson México › Stetson Americas</t>
        </is>
      </c>
      <c r="B2210" s="5">
        <f>IF($I2="","",INDEX(Productos!$A:$A,$I2))</f>
        <v/>
      </c>
      <c r="C2210" s="134" t="inlineStr">
        <is>
          <t>11-054-0921-2407-4R</t>
        </is>
      </c>
      <c r="D2210" s="5">
        <f>IF($I2="","",INDEX(Productos!$B:$B,$I2))</f>
        <v/>
      </c>
      <c r="E2210" s="5">
        <f>IF($I2="","",INDEX(Productos!$H:$H,$I2))</f>
        <v/>
      </c>
      <c r="F2210" s="5">
        <f>IF($I2="","",INDEX(Productos!$I:$I,$I2))</f>
        <v/>
      </c>
      <c r="G2210" s="135" t="n">
        <v>2</v>
      </c>
      <c r="H2210" s="5">
        <f>IF($I2="","",INDEX(Productos!$AG:$AG,$I2))</f>
        <v/>
      </c>
      <c r="I2210" s="136">
        <f>LET(_xlpm.r,Productos!$E$2:$E$2509,_xlpm.m,IFERROR(_xlfn.XMATCH(C2210,_xlpm.r),IFERROR(_xlfn.XMATCH(VALUE(C2210),_xlpm.r),0)),IF(_xlpm.m=0,"",_xlpm.m+1))</f>
        <v/>
      </c>
      <c r="J2210" s="137" t="inlineStr">
        <is>
          <t>Shopify</t>
        </is>
      </c>
    </row>
    <row r="2211">
      <c r="A2211" s="5" t="inlineStr">
        <is>
          <t>Shopify Stetson México › Stetson Americas</t>
        </is>
      </c>
      <c r="B2211" s="5">
        <f>IF($I2="","",INDEX(Productos!$A:$A,$I2))</f>
        <v/>
      </c>
      <c r="C2211" s="134" t="inlineStr">
        <is>
          <t>11-054-0921-2407-6L</t>
        </is>
      </c>
      <c r="D2211" s="5">
        <f>IF($I2="","",INDEX(Productos!$B:$B,$I2))</f>
        <v/>
      </c>
      <c r="E2211" s="5">
        <f>IF($I2="","",INDEX(Productos!$H:$H,$I2))</f>
        <v/>
      </c>
      <c r="F2211" s="5">
        <f>IF($I2="","",INDEX(Productos!$I:$I,$I2))</f>
        <v/>
      </c>
      <c r="G2211" s="135" t="n">
        <v>1</v>
      </c>
      <c r="H2211" s="5">
        <f>IF($I2="","",INDEX(Productos!$AG:$AG,$I2))</f>
        <v/>
      </c>
      <c r="I2211" s="136">
        <f>LET(_xlpm.r,Productos!$E$2:$E$2509,_xlpm.m,IFERROR(_xlfn.XMATCH(C2211,_xlpm.r),IFERROR(_xlfn.XMATCH(VALUE(C2211),_xlpm.r),0)),IF(_xlpm.m=0,"",_xlpm.m+1))</f>
        <v/>
      </c>
      <c r="J2211" s="137" t="inlineStr">
        <is>
          <t>Shopify</t>
        </is>
      </c>
    </row>
    <row r="2212">
      <c r="A2212" s="5" t="inlineStr">
        <is>
          <t>Shopify Stetson México › Stetson Americas</t>
        </is>
      </c>
      <c r="B2212" s="5">
        <f>IF($I2="","",INDEX(Productos!$A:$A,$I2))</f>
        <v/>
      </c>
      <c r="C2212" s="134" t="inlineStr">
        <is>
          <t>11-054-0921-2407-6R</t>
        </is>
      </c>
      <c r="D2212" s="5">
        <f>IF($I2="","",INDEX(Productos!$B:$B,$I2))</f>
        <v/>
      </c>
      <c r="E2212" s="5">
        <f>IF($I2="","",INDEX(Productos!$H:$H,$I2))</f>
        <v/>
      </c>
      <c r="F2212" s="5">
        <f>IF($I2="","",INDEX(Productos!$I:$I,$I2))</f>
        <v/>
      </c>
      <c r="G2212" s="135" t="n">
        <v>1</v>
      </c>
      <c r="H2212" s="5">
        <f>IF($I2="","",INDEX(Productos!$AG:$AG,$I2))</f>
        <v/>
      </c>
      <c r="I2212" s="136">
        <f>LET(_xlpm.r,Productos!$E$2:$E$2509,_xlpm.m,IFERROR(_xlfn.XMATCH(C2212,_xlpm.r),IFERROR(_xlfn.XMATCH(VALUE(C2212),_xlpm.r),0)),IF(_xlpm.m=0,"",_xlpm.m+1))</f>
        <v/>
      </c>
      <c r="J2212" s="137" t="inlineStr">
        <is>
          <t>Shopify</t>
        </is>
      </c>
    </row>
    <row r="2213">
      <c r="A2213" s="5" t="inlineStr">
        <is>
          <t>Shopify Stetson México › Stetson Americas</t>
        </is>
      </c>
      <c r="B2213" s="5">
        <f>IF($I2="","",INDEX(Productos!$A:$A,$I2))</f>
        <v/>
      </c>
      <c r="C2213" s="134" t="inlineStr">
        <is>
          <t>11-054-0921-2407-8L</t>
        </is>
      </c>
      <c r="D2213" s="5">
        <f>IF($I2="","",INDEX(Productos!$B:$B,$I2))</f>
        <v/>
      </c>
      <c r="E2213" s="5">
        <f>IF($I2="","",INDEX(Productos!$H:$H,$I2))</f>
        <v/>
      </c>
      <c r="F2213" s="5">
        <f>IF($I2="","",INDEX(Productos!$I:$I,$I2))</f>
        <v/>
      </c>
      <c r="G2213" s="135" t="n">
        <v>1</v>
      </c>
      <c r="H2213" s="5">
        <f>IF($I2="","",INDEX(Productos!$AG:$AG,$I2))</f>
        <v/>
      </c>
      <c r="I2213" s="136">
        <f>LET(_xlpm.r,Productos!$E$2:$E$2509,_xlpm.m,IFERROR(_xlfn.XMATCH(C2213,_xlpm.r),IFERROR(_xlfn.XMATCH(VALUE(C2213),_xlpm.r),0)),IF(_xlpm.m=0,"",_xlpm.m+1))</f>
        <v/>
      </c>
      <c r="J2213" s="137" t="inlineStr">
        <is>
          <t>Shopify</t>
        </is>
      </c>
    </row>
    <row r="2214">
      <c r="A2214" s="5" t="inlineStr">
        <is>
          <t>Shopify Stetson México › Stetson Americas</t>
        </is>
      </c>
      <c r="B2214" s="5">
        <f>IF($I2="","",INDEX(Productos!$A:$A,$I2))</f>
        <v/>
      </c>
      <c r="C2214" s="134" t="inlineStr">
        <is>
          <t>11-054-0921-2414-10R</t>
        </is>
      </c>
      <c r="D2214" s="5">
        <f>IF($I2="","",INDEX(Productos!$B:$B,$I2))</f>
        <v/>
      </c>
      <c r="E2214" s="5">
        <f>IF($I2="","",INDEX(Productos!$H:$H,$I2))</f>
        <v/>
      </c>
      <c r="F2214" s="5">
        <f>IF($I2="","",INDEX(Productos!$I:$I,$I2))</f>
        <v/>
      </c>
      <c r="G2214" s="135" t="n">
        <v>1</v>
      </c>
      <c r="H2214" s="5">
        <f>IF($I2="","",INDEX(Productos!$AG:$AG,$I2))</f>
        <v/>
      </c>
      <c r="I2214" s="136">
        <f>LET(_xlpm.r,Productos!$E$2:$E$2509,_xlpm.m,IFERROR(_xlfn.XMATCH(C2214,_xlpm.r),IFERROR(_xlfn.XMATCH(VALUE(C2214),_xlpm.r),0)),IF(_xlpm.m=0,"",_xlpm.m+1))</f>
        <v/>
      </c>
      <c r="J2214" s="137" t="inlineStr">
        <is>
          <t>Shopify</t>
        </is>
      </c>
    </row>
    <row r="2215">
      <c r="A2215" s="5" t="inlineStr">
        <is>
          <t>Shopify Stetson México › Stetson Americas</t>
        </is>
      </c>
      <c r="B2215" s="5">
        <f>IF($I2="","",INDEX(Productos!$A:$A,$I2))</f>
        <v/>
      </c>
      <c r="C2215" s="134" t="inlineStr">
        <is>
          <t>11-054-0921-2414-2R</t>
        </is>
      </c>
      <c r="D2215" s="5">
        <f>IF($I2="","",INDEX(Productos!$B:$B,$I2))</f>
        <v/>
      </c>
      <c r="E2215" s="5">
        <f>IF($I2="","",INDEX(Productos!$H:$H,$I2))</f>
        <v/>
      </c>
      <c r="F2215" s="5">
        <f>IF($I2="","",INDEX(Productos!$I:$I,$I2))</f>
        <v/>
      </c>
      <c r="G2215" s="135" t="n">
        <v>2</v>
      </c>
      <c r="H2215" s="5">
        <f>IF($I2="","",INDEX(Productos!$AG:$AG,$I2))</f>
        <v/>
      </c>
      <c r="I2215" s="136">
        <f>LET(_xlpm.r,Productos!$E$2:$E$2509,_xlpm.m,IFERROR(_xlfn.XMATCH(C2215,_xlpm.r),IFERROR(_xlfn.XMATCH(VALUE(C2215),_xlpm.r),0)),IF(_xlpm.m=0,"",_xlpm.m+1))</f>
        <v/>
      </c>
      <c r="J2215" s="137" t="inlineStr">
        <is>
          <t>Shopify</t>
        </is>
      </c>
    </row>
    <row r="2216">
      <c r="A2216" s="5" t="inlineStr">
        <is>
          <t>Shopify Stetson México › Stetson Americas</t>
        </is>
      </c>
      <c r="B2216" s="5">
        <f>IF($I2="","",INDEX(Productos!$A:$A,$I2))</f>
        <v/>
      </c>
      <c r="C2216" s="134" t="inlineStr">
        <is>
          <t>11-054-0921-2414-6R</t>
        </is>
      </c>
      <c r="D2216" s="5">
        <f>IF($I2="","",INDEX(Productos!$B:$B,$I2))</f>
        <v/>
      </c>
      <c r="E2216" s="5">
        <f>IF($I2="","",INDEX(Productos!$H:$H,$I2))</f>
        <v/>
      </c>
      <c r="F2216" s="5">
        <f>IF($I2="","",INDEX(Productos!$I:$I,$I2))</f>
        <v/>
      </c>
      <c r="G2216" s="135" t="n">
        <v>1</v>
      </c>
      <c r="H2216" s="5">
        <f>IF($I2="","",INDEX(Productos!$AG:$AG,$I2))</f>
        <v/>
      </c>
      <c r="I2216" s="136">
        <f>LET(_xlpm.r,Productos!$E$2:$E$2509,_xlpm.m,IFERROR(_xlfn.XMATCH(C2216,_xlpm.r),IFERROR(_xlfn.XMATCH(VALUE(C2216),_xlpm.r),0)),IF(_xlpm.m=0,"",_xlpm.m+1))</f>
        <v/>
      </c>
      <c r="J2216" s="137" t="inlineStr">
        <is>
          <t>Shopify</t>
        </is>
      </c>
    </row>
    <row r="2217">
      <c r="A2217" s="5" t="inlineStr">
        <is>
          <t>Shopify Stetson México › Stetson Americas</t>
        </is>
      </c>
      <c r="B2217" s="5">
        <f>IF($I2="","",INDEX(Productos!$A:$A,$I2))</f>
        <v/>
      </c>
      <c r="C2217" s="134" t="inlineStr">
        <is>
          <t>11-054-0921-2414-8R</t>
        </is>
      </c>
      <c r="D2217" s="5">
        <f>IF($I2="","",INDEX(Productos!$B:$B,$I2))</f>
        <v/>
      </c>
      <c r="E2217" s="5">
        <f>IF($I2="","",INDEX(Productos!$H:$H,$I2))</f>
        <v/>
      </c>
      <c r="F2217" s="5">
        <f>IF($I2="","",INDEX(Productos!$I:$I,$I2))</f>
        <v/>
      </c>
      <c r="G2217" s="135" t="n">
        <v>1</v>
      </c>
      <c r="H2217" s="5">
        <f>IF($I2="","",INDEX(Productos!$AG:$AG,$I2))</f>
        <v/>
      </c>
      <c r="I2217" s="136">
        <f>LET(_xlpm.r,Productos!$E$2:$E$2509,_xlpm.m,IFERROR(_xlfn.XMATCH(C2217,_xlpm.r),IFERROR(_xlfn.XMATCH(VALUE(C2217),_xlpm.r),0)),IF(_xlpm.m=0,"",_xlpm.m+1))</f>
        <v/>
      </c>
      <c r="J2217" s="137" t="inlineStr">
        <is>
          <t>Shopify</t>
        </is>
      </c>
    </row>
    <row r="2218">
      <c r="A2218" s="5" t="inlineStr">
        <is>
          <t>Shopify Stetson México › Stetson Americas</t>
        </is>
      </c>
      <c r="B2218" s="5">
        <f>IF($I2="","",INDEX(Productos!$A:$A,$I2))</f>
        <v/>
      </c>
      <c r="C2218" s="134" t="inlineStr">
        <is>
          <t>11-057-0202-9160-L</t>
        </is>
      </c>
      <c r="D2218" s="5">
        <f>IF($I2="","",INDEX(Productos!$B:$B,$I2))</f>
        <v/>
      </c>
      <c r="E2218" s="5">
        <f>IF($I2="","",INDEX(Productos!$H:$H,$I2))</f>
        <v/>
      </c>
      <c r="F2218" s="5">
        <f>IF($I2="","",INDEX(Productos!$I:$I,$I2))</f>
        <v/>
      </c>
      <c r="G2218" s="135" t="n">
        <v>3</v>
      </c>
      <c r="H2218" s="5">
        <f>IF($I2="","",INDEX(Productos!$AG:$AG,$I2))</f>
        <v/>
      </c>
      <c r="I2218" s="136">
        <f>LET(_xlpm.r,Productos!$E$2:$E$2509,_xlpm.m,IFERROR(_xlfn.XMATCH(C2218,_xlpm.r),IFERROR(_xlfn.XMATCH(VALUE(C2218),_xlpm.r),0)),IF(_xlpm.m=0,"",_xlpm.m+1))</f>
        <v/>
      </c>
      <c r="J2218" s="137" t="inlineStr">
        <is>
          <t>Shopify</t>
        </is>
      </c>
    </row>
    <row r="2219">
      <c r="A2219" s="5" t="inlineStr">
        <is>
          <t>Shopify Stetson México › Stetson Americas</t>
        </is>
      </c>
      <c r="B2219" s="5">
        <f>IF($I2="","",INDEX(Productos!$A:$A,$I2))</f>
        <v/>
      </c>
      <c r="C2219" s="134" t="inlineStr">
        <is>
          <t>11-057-0202-9160-M</t>
        </is>
      </c>
      <c r="D2219" s="5">
        <f>IF($I2="","",INDEX(Productos!$B:$B,$I2))</f>
        <v/>
      </c>
      <c r="E2219" s="5">
        <f>IF($I2="","",INDEX(Productos!$H:$H,$I2))</f>
        <v/>
      </c>
      <c r="F2219" s="5">
        <f>IF($I2="","",INDEX(Productos!$I:$I,$I2))</f>
        <v/>
      </c>
      <c r="G2219" s="135" t="n">
        <v>7</v>
      </c>
      <c r="H2219" s="5">
        <f>IF($I2="","",INDEX(Productos!$AG:$AG,$I2))</f>
        <v/>
      </c>
      <c r="I2219" s="136">
        <f>LET(_xlpm.r,Productos!$E$2:$E$2509,_xlpm.m,IFERROR(_xlfn.XMATCH(C2219,_xlpm.r),IFERROR(_xlfn.XMATCH(VALUE(C2219),_xlpm.r),0)),IF(_xlpm.m=0,"",_xlpm.m+1))</f>
        <v/>
      </c>
      <c r="J2219" s="137" t="inlineStr">
        <is>
          <t>Shopify</t>
        </is>
      </c>
    </row>
    <row r="2220">
      <c r="A2220" s="5" t="inlineStr">
        <is>
          <t>Shopify Stetson México › Stetson Americas</t>
        </is>
      </c>
      <c r="B2220" s="5">
        <f>IF($I2="","",INDEX(Productos!$A:$A,$I2))</f>
        <v/>
      </c>
      <c r="C2220" s="134" t="inlineStr">
        <is>
          <t>11-057-0202-9160-S</t>
        </is>
      </c>
      <c r="D2220" s="5">
        <f>IF($I2="","",INDEX(Productos!$B:$B,$I2))</f>
        <v/>
      </c>
      <c r="E2220" s="5">
        <f>IF($I2="","",INDEX(Productos!$H:$H,$I2))</f>
        <v/>
      </c>
      <c r="F2220" s="5">
        <f>IF($I2="","",INDEX(Productos!$I:$I,$I2))</f>
        <v/>
      </c>
      <c r="G2220" s="135" t="n">
        <v>7</v>
      </c>
      <c r="H2220" s="5">
        <f>IF($I2="","",INDEX(Productos!$AG:$AG,$I2))</f>
        <v/>
      </c>
      <c r="I2220" s="136">
        <f>LET(_xlpm.r,Productos!$E$2:$E$2509,_xlpm.m,IFERROR(_xlfn.XMATCH(C2220,_xlpm.r),IFERROR(_xlfn.XMATCH(VALUE(C2220),_xlpm.r),0)),IF(_xlpm.m=0,"",_xlpm.m+1))</f>
        <v/>
      </c>
      <c r="J2220" s="137" t="inlineStr">
        <is>
          <t>Shopify</t>
        </is>
      </c>
    </row>
    <row r="2221">
      <c r="A2221" s="5" t="inlineStr">
        <is>
          <t>Shopify Stetson México › Stetson Americas</t>
        </is>
      </c>
      <c r="B2221" s="5">
        <f>IF($I2="","",INDEX(Productos!$A:$A,$I2))</f>
        <v/>
      </c>
      <c r="C2221" s="134" t="inlineStr">
        <is>
          <t>11-057-0202-9160-XL</t>
        </is>
      </c>
      <c r="D2221" s="5">
        <f>IF($I2="","",INDEX(Productos!$B:$B,$I2))</f>
        <v/>
      </c>
      <c r="E2221" s="5">
        <f>IF($I2="","",INDEX(Productos!$H:$H,$I2))</f>
        <v/>
      </c>
      <c r="F2221" s="5">
        <f>IF($I2="","",INDEX(Productos!$I:$I,$I2))</f>
        <v/>
      </c>
      <c r="G2221" s="135" t="n">
        <v>1</v>
      </c>
      <c r="H2221" s="5">
        <f>IF($I2="","",INDEX(Productos!$AG:$AG,$I2))</f>
        <v/>
      </c>
      <c r="I2221" s="136">
        <f>LET(_xlpm.r,Productos!$E$2:$E$2509,_xlpm.m,IFERROR(_xlfn.XMATCH(C2221,_xlpm.r),IFERROR(_xlfn.XMATCH(VALUE(C2221),_xlpm.r),0)),IF(_xlpm.m=0,"",_xlpm.m+1))</f>
        <v/>
      </c>
      <c r="J2221" s="137" t="inlineStr">
        <is>
          <t>Shopify</t>
        </is>
      </c>
    </row>
    <row r="2222">
      <c r="A2222" s="5" t="inlineStr">
        <is>
          <t>Shopify Stetson México › Stetson Americas</t>
        </is>
      </c>
      <c r="B2222" s="5">
        <f>IF($I2="","",INDEX(Productos!$A:$A,$I2))</f>
        <v/>
      </c>
      <c r="C2222" s="134" t="inlineStr">
        <is>
          <t>11-057-0565-0557-L</t>
        </is>
      </c>
      <c r="D2222" s="5">
        <f>IF($I2="","",INDEX(Productos!$B:$B,$I2))</f>
        <v/>
      </c>
      <c r="E2222" s="5">
        <f>IF($I2="","",INDEX(Productos!$H:$H,$I2))</f>
        <v/>
      </c>
      <c r="F2222" s="5">
        <f>IF($I2="","",INDEX(Productos!$I:$I,$I2))</f>
        <v/>
      </c>
      <c r="G2222" s="135" t="n">
        <v>1</v>
      </c>
      <c r="H2222" s="5">
        <f>IF($I2="","",INDEX(Productos!$AG:$AG,$I2))</f>
        <v/>
      </c>
      <c r="I2222" s="136">
        <f>LET(_xlpm.r,Productos!$E$2:$E$2509,_xlpm.m,IFERROR(_xlfn.XMATCH(C2222,_xlpm.r),IFERROR(_xlfn.XMATCH(VALUE(C2222),_xlpm.r),0)),IF(_xlpm.m=0,"",_xlpm.m+1))</f>
        <v/>
      </c>
      <c r="J2222" s="137" t="inlineStr">
        <is>
          <t>Shopify</t>
        </is>
      </c>
    </row>
    <row r="2223">
      <c r="A2223" s="5" t="inlineStr">
        <is>
          <t>Shopify Stetson México › Stetson Americas</t>
        </is>
      </c>
      <c r="B2223" s="5">
        <f>IF($I2="","",INDEX(Productos!$A:$A,$I2))</f>
        <v/>
      </c>
      <c r="C2223" s="134" t="inlineStr">
        <is>
          <t>11-057-0565-0557-M</t>
        </is>
      </c>
      <c r="D2223" s="5">
        <f>IF($I2="","",INDEX(Productos!$B:$B,$I2))</f>
        <v/>
      </c>
      <c r="E2223" s="5">
        <f>IF($I2="","",INDEX(Productos!$H:$H,$I2))</f>
        <v/>
      </c>
      <c r="F2223" s="5">
        <f>IF($I2="","",INDEX(Productos!$I:$I,$I2))</f>
        <v/>
      </c>
      <c r="G2223" s="135" t="n">
        <v>1</v>
      </c>
      <c r="H2223" s="5">
        <f>IF($I2="","",INDEX(Productos!$AG:$AG,$I2))</f>
        <v/>
      </c>
      <c r="I2223" s="136">
        <f>LET(_xlpm.r,Productos!$E$2:$E$2509,_xlpm.m,IFERROR(_xlfn.XMATCH(C2223,_xlpm.r),IFERROR(_xlfn.XMATCH(VALUE(C2223),_xlpm.r),0)),IF(_xlpm.m=0,"",_xlpm.m+1))</f>
        <v/>
      </c>
      <c r="J2223" s="137" t="inlineStr">
        <is>
          <t>Shopify</t>
        </is>
      </c>
    </row>
    <row r="2224">
      <c r="A2224" s="5" t="inlineStr">
        <is>
          <t>Shopify Stetson México › Stetson Americas</t>
        </is>
      </c>
      <c r="B2224" s="5">
        <f>IF($I2="","",INDEX(Productos!$A:$A,$I2))</f>
        <v/>
      </c>
      <c r="C2224" s="134" t="inlineStr">
        <is>
          <t>11-057-0565-0557-XL</t>
        </is>
      </c>
      <c r="D2224" s="5">
        <f>IF($I2="","",INDEX(Productos!$B:$B,$I2))</f>
        <v/>
      </c>
      <c r="E2224" s="5">
        <f>IF($I2="","",INDEX(Productos!$H:$H,$I2))</f>
        <v/>
      </c>
      <c r="F2224" s="5">
        <f>IF($I2="","",INDEX(Productos!$I:$I,$I2))</f>
        <v/>
      </c>
      <c r="G2224" s="135" t="n">
        <v>1</v>
      </c>
      <c r="H2224" s="5">
        <f>IF($I2="","",INDEX(Productos!$AG:$AG,$I2))</f>
        <v/>
      </c>
      <c r="I2224" s="136">
        <f>LET(_xlpm.r,Productos!$E$2:$E$2509,_xlpm.m,IFERROR(_xlfn.XMATCH(C2224,_xlpm.r),IFERROR(_xlfn.XMATCH(VALUE(C2224),_xlpm.r),0)),IF(_xlpm.m=0,"",_xlpm.m+1))</f>
        <v/>
      </c>
      <c r="J2224" s="137" t="inlineStr">
        <is>
          <t>Shopify</t>
        </is>
      </c>
    </row>
    <row r="2225">
      <c r="A2225" s="5" t="inlineStr">
        <is>
          <t>Shopify Stetson México › Stetson Americas</t>
        </is>
      </c>
      <c r="B2225" s="5">
        <f>IF($I2="","",INDEX(Productos!$A:$A,$I2))</f>
        <v/>
      </c>
      <c r="C2225" s="134" t="inlineStr">
        <is>
          <t>11-057-0565-0557-XS</t>
        </is>
      </c>
      <c r="D2225" s="5">
        <f>IF($I2="","",INDEX(Productos!$B:$B,$I2))</f>
        <v/>
      </c>
      <c r="E2225" s="5">
        <f>IF($I2="","",INDEX(Productos!$H:$H,$I2))</f>
        <v/>
      </c>
      <c r="F2225" s="5">
        <f>IF($I2="","",INDEX(Productos!$I:$I,$I2))</f>
        <v/>
      </c>
      <c r="G2225" s="135" t="n">
        <v>1</v>
      </c>
      <c r="H2225" s="5">
        <f>IF($I2="","",INDEX(Productos!$AG:$AG,$I2))</f>
        <v/>
      </c>
      <c r="I2225" s="136">
        <f>LET(_xlpm.r,Productos!$E$2:$E$2509,_xlpm.m,IFERROR(_xlfn.XMATCH(C2225,_xlpm.r),IFERROR(_xlfn.XMATCH(VALUE(C2225),_xlpm.r),0)),IF(_xlpm.m=0,"",_xlpm.m+1))</f>
        <v/>
      </c>
      <c r="J2225" s="137" t="inlineStr">
        <is>
          <t>Shopify</t>
        </is>
      </c>
    </row>
    <row r="2226">
      <c r="A2226" s="5" t="inlineStr">
        <is>
          <t>Shopify Stetson México › Stetson Americas</t>
        </is>
      </c>
      <c r="B2226" s="5">
        <f>IF($I2="","",INDEX(Productos!$A:$A,$I2))</f>
        <v/>
      </c>
      <c r="C2226" s="134" t="inlineStr">
        <is>
          <t>11-057-0565-3002-L</t>
        </is>
      </c>
      <c r="D2226" s="5">
        <f>IF($I2="","",INDEX(Productos!$B:$B,$I2))</f>
        <v/>
      </c>
      <c r="E2226" s="5">
        <f>IF($I2="","",INDEX(Productos!$H:$H,$I2))</f>
        <v/>
      </c>
      <c r="F2226" s="5">
        <f>IF($I2="","",INDEX(Productos!$I:$I,$I2))</f>
        <v/>
      </c>
      <c r="G2226" s="135" t="n">
        <v>2</v>
      </c>
      <c r="H2226" s="5">
        <f>IF($I2="","",INDEX(Productos!$AG:$AG,$I2))</f>
        <v/>
      </c>
      <c r="I2226" s="136">
        <f>LET(_xlpm.r,Productos!$E$2:$E$2509,_xlpm.m,IFERROR(_xlfn.XMATCH(C2226,_xlpm.r),IFERROR(_xlfn.XMATCH(VALUE(C2226),_xlpm.r),0)),IF(_xlpm.m=0,"",_xlpm.m+1))</f>
        <v/>
      </c>
      <c r="J2226" s="137" t="inlineStr">
        <is>
          <t>Shopify</t>
        </is>
      </c>
    </row>
    <row r="2227">
      <c r="A2227" s="5" t="inlineStr">
        <is>
          <t>Shopify Stetson México › Stetson Americas</t>
        </is>
      </c>
      <c r="B2227" s="5">
        <f>IF($I2="","",INDEX(Productos!$A:$A,$I2))</f>
        <v/>
      </c>
      <c r="C2227" s="134" t="inlineStr">
        <is>
          <t>11-057-0565-3002-M</t>
        </is>
      </c>
      <c r="D2227" s="5">
        <f>IF($I2="","",INDEX(Productos!$B:$B,$I2))</f>
        <v/>
      </c>
      <c r="E2227" s="5">
        <f>IF($I2="","",INDEX(Productos!$H:$H,$I2))</f>
        <v/>
      </c>
      <c r="F2227" s="5">
        <f>IF($I2="","",INDEX(Productos!$I:$I,$I2))</f>
        <v/>
      </c>
      <c r="G2227" s="135" t="n">
        <v>2</v>
      </c>
      <c r="H2227" s="5">
        <f>IF($I2="","",INDEX(Productos!$AG:$AG,$I2))</f>
        <v/>
      </c>
      <c r="I2227" s="136">
        <f>LET(_xlpm.r,Productos!$E$2:$E$2509,_xlpm.m,IFERROR(_xlfn.XMATCH(C2227,_xlpm.r),IFERROR(_xlfn.XMATCH(VALUE(C2227),_xlpm.r),0)),IF(_xlpm.m=0,"",_xlpm.m+1))</f>
        <v/>
      </c>
      <c r="J2227" s="137" t="inlineStr">
        <is>
          <t>Shopify</t>
        </is>
      </c>
    </row>
    <row r="2228">
      <c r="A2228" s="5" t="inlineStr">
        <is>
          <t>Shopify Stetson México › Stetson Americas</t>
        </is>
      </c>
      <c r="B2228" s="5">
        <f>IF($I2="","",INDEX(Productos!$A:$A,$I2))</f>
        <v/>
      </c>
      <c r="C2228" s="134" t="inlineStr">
        <is>
          <t>11-057-0565-3002-S</t>
        </is>
      </c>
      <c r="D2228" s="5">
        <f>IF($I2="","",INDEX(Productos!$B:$B,$I2))</f>
        <v/>
      </c>
      <c r="E2228" s="5">
        <f>IF($I2="","",INDEX(Productos!$H:$H,$I2))</f>
        <v/>
      </c>
      <c r="F2228" s="5">
        <f>IF($I2="","",INDEX(Productos!$I:$I,$I2))</f>
        <v/>
      </c>
      <c r="G2228" s="135" t="n">
        <v>3</v>
      </c>
      <c r="H2228" s="5">
        <f>IF($I2="","",INDEX(Productos!$AG:$AG,$I2))</f>
        <v/>
      </c>
      <c r="I2228" s="136">
        <f>LET(_xlpm.r,Productos!$E$2:$E$2509,_xlpm.m,IFERROR(_xlfn.XMATCH(C2228,_xlpm.r),IFERROR(_xlfn.XMATCH(VALUE(C2228),_xlpm.r),0)),IF(_xlpm.m=0,"",_xlpm.m+1))</f>
        <v/>
      </c>
      <c r="J2228" s="137" t="inlineStr">
        <is>
          <t>Shopify</t>
        </is>
      </c>
    </row>
    <row r="2229">
      <c r="A2229" s="5" t="inlineStr">
        <is>
          <t>Shopify Stetson México › Stetson Americas</t>
        </is>
      </c>
      <c r="B2229" s="5">
        <f>IF($I2="","",INDEX(Productos!$A:$A,$I2))</f>
        <v/>
      </c>
      <c r="C2229" s="134" t="inlineStr">
        <is>
          <t>11-057-0565-3002-XL</t>
        </is>
      </c>
      <c r="D2229" s="5">
        <f>IF($I2="","",INDEX(Productos!$B:$B,$I2))</f>
        <v/>
      </c>
      <c r="E2229" s="5">
        <f>IF($I2="","",INDEX(Productos!$H:$H,$I2))</f>
        <v/>
      </c>
      <c r="F2229" s="5">
        <f>IF($I2="","",INDEX(Productos!$I:$I,$I2))</f>
        <v/>
      </c>
      <c r="G2229" s="135" t="n">
        <v>1</v>
      </c>
      <c r="H2229" s="5">
        <f>IF($I2="","",INDEX(Productos!$AG:$AG,$I2))</f>
        <v/>
      </c>
      <c r="I2229" s="136">
        <f>LET(_xlpm.r,Productos!$E$2:$E$2509,_xlpm.m,IFERROR(_xlfn.XMATCH(C2229,_xlpm.r),IFERROR(_xlfn.XMATCH(VALUE(C2229),_xlpm.r),0)),IF(_xlpm.m=0,"",_xlpm.m+1))</f>
        <v/>
      </c>
      <c r="J2229" s="137" t="inlineStr">
        <is>
          <t>Shopify</t>
        </is>
      </c>
    </row>
    <row r="2230">
      <c r="A2230" s="5" t="inlineStr">
        <is>
          <t>Shopify Stetson México › Stetson Americas</t>
        </is>
      </c>
      <c r="B2230" s="5">
        <f>IF($I2="","",INDEX(Productos!$A:$A,$I2))</f>
        <v/>
      </c>
      <c r="C2230" s="134" t="inlineStr">
        <is>
          <t>11-057-0590-2014-L</t>
        </is>
      </c>
      <c r="D2230" s="5">
        <f>IF($I2="","",INDEX(Productos!$B:$B,$I2))</f>
        <v/>
      </c>
      <c r="E2230" s="5">
        <f>IF($I2="","",INDEX(Productos!$H:$H,$I2))</f>
        <v/>
      </c>
      <c r="F2230" s="5">
        <f>IF($I2="","",INDEX(Productos!$I:$I,$I2))</f>
        <v/>
      </c>
      <c r="G2230" s="135" t="n">
        <v>3</v>
      </c>
      <c r="H2230" s="5">
        <f>IF($I2="","",INDEX(Productos!$AG:$AG,$I2))</f>
        <v/>
      </c>
      <c r="I2230" s="136">
        <f>LET(_xlpm.r,Productos!$E$2:$E$2509,_xlpm.m,IFERROR(_xlfn.XMATCH(C2230,_xlpm.r),IFERROR(_xlfn.XMATCH(VALUE(C2230),_xlpm.r),0)),IF(_xlpm.m=0,"",_xlpm.m+1))</f>
        <v/>
      </c>
      <c r="J2230" s="137" t="inlineStr">
        <is>
          <t>Shopify</t>
        </is>
      </c>
    </row>
    <row r="2231">
      <c r="A2231" s="5" t="inlineStr">
        <is>
          <t>Shopify Stetson México › Stetson Americas</t>
        </is>
      </c>
      <c r="B2231" s="5">
        <f>IF($I2="","",INDEX(Productos!$A:$A,$I2))</f>
        <v/>
      </c>
      <c r="C2231" s="134" t="inlineStr">
        <is>
          <t>11-057-0590-2014-M</t>
        </is>
      </c>
      <c r="D2231" s="5">
        <f>IF($I2="","",INDEX(Productos!$B:$B,$I2))</f>
        <v/>
      </c>
      <c r="E2231" s="5">
        <f>IF($I2="","",INDEX(Productos!$H:$H,$I2))</f>
        <v/>
      </c>
      <c r="F2231" s="5">
        <f>IF($I2="","",INDEX(Productos!$I:$I,$I2))</f>
        <v/>
      </c>
      <c r="G2231" s="135" t="n">
        <v>6</v>
      </c>
      <c r="H2231" s="5">
        <f>IF($I2="","",INDEX(Productos!$AG:$AG,$I2))</f>
        <v/>
      </c>
      <c r="I2231" s="136">
        <f>LET(_xlpm.r,Productos!$E$2:$E$2509,_xlpm.m,IFERROR(_xlfn.XMATCH(C2231,_xlpm.r),IFERROR(_xlfn.XMATCH(VALUE(C2231),_xlpm.r),0)),IF(_xlpm.m=0,"",_xlpm.m+1))</f>
        <v/>
      </c>
      <c r="J2231" s="137" t="inlineStr">
        <is>
          <t>Shopify</t>
        </is>
      </c>
    </row>
    <row r="2232">
      <c r="A2232" s="5" t="inlineStr">
        <is>
          <t>Shopify Stetson México › Stetson Americas</t>
        </is>
      </c>
      <c r="B2232" s="5">
        <f>IF($I2="","",INDEX(Productos!$A:$A,$I2))</f>
        <v/>
      </c>
      <c r="C2232" s="134" t="inlineStr">
        <is>
          <t>11-057-0590-2014-S</t>
        </is>
      </c>
      <c r="D2232" s="5">
        <f>IF($I2="","",INDEX(Productos!$B:$B,$I2))</f>
        <v/>
      </c>
      <c r="E2232" s="5">
        <f>IF($I2="","",INDEX(Productos!$H:$H,$I2))</f>
        <v/>
      </c>
      <c r="F2232" s="5">
        <f>IF($I2="","",INDEX(Productos!$I:$I,$I2))</f>
        <v/>
      </c>
      <c r="G2232" s="135" t="n">
        <v>5</v>
      </c>
      <c r="H2232" s="5">
        <f>IF($I2="","",INDEX(Productos!$AG:$AG,$I2))</f>
        <v/>
      </c>
      <c r="I2232" s="136">
        <f>LET(_xlpm.r,Productos!$E$2:$E$2509,_xlpm.m,IFERROR(_xlfn.XMATCH(C2232,_xlpm.r),IFERROR(_xlfn.XMATCH(VALUE(C2232),_xlpm.r),0)),IF(_xlpm.m=0,"",_xlpm.m+1))</f>
        <v/>
      </c>
      <c r="J2232" s="137" t="inlineStr">
        <is>
          <t>Shopify</t>
        </is>
      </c>
    </row>
    <row r="2233">
      <c r="A2233" s="5" t="inlineStr">
        <is>
          <t>Shopify Stetson México › Stetson Americas</t>
        </is>
      </c>
      <c r="B2233" s="5">
        <f>IF($I2="","",INDEX(Productos!$A:$A,$I2))</f>
        <v/>
      </c>
      <c r="C2233" s="134" t="inlineStr">
        <is>
          <t>11-057-0590-2014-XS</t>
        </is>
      </c>
      <c r="D2233" s="5">
        <f>IF($I2="","",INDEX(Productos!$B:$B,$I2))</f>
        <v/>
      </c>
      <c r="E2233" s="5">
        <f>IF($I2="","",INDEX(Productos!$H:$H,$I2))</f>
        <v/>
      </c>
      <c r="F2233" s="5">
        <f>IF($I2="","",INDEX(Productos!$I:$I,$I2))</f>
        <v/>
      </c>
      <c r="G2233" s="135" t="n">
        <v>2</v>
      </c>
      <c r="H2233" s="5">
        <f>IF($I2="","",INDEX(Productos!$AG:$AG,$I2))</f>
        <v/>
      </c>
      <c r="I2233" s="136">
        <f>LET(_xlpm.r,Productos!$E$2:$E$2509,_xlpm.m,IFERROR(_xlfn.XMATCH(C2233,_xlpm.r),IFERROR(_xlfn.XMATCH(VALUE(C2233),_xlpm.r),0)),IF(_xlpm.m=0,"",_xlpm.m+1))</f>
        <v/>
      </c>
      <c r="J2233" s="137" t="inlineStr">
        <is>
          <t>Shopify</t>
        </is>
      </c>
    </row>
    <row r="2234">
      <c r="A2234" s="5" t="inlineStr">
        <is>
          <t>Shopify Stetson México › Stetson Americas</t>
        </is>
      </c>
      <c r="B2234" s="5">
        <f>IF($I2="","",INDEX(Productos!$A:$A,$I2))</f>
        <v/>
      </c>
      <c r="C2234" s="134" t="inlineStr">
        <is>
          <t>11-057-0590-3004-L</t>
        </is>
      </c>
      <c r="D2234" s="5">
        <f>IF($I2="","",INDEX(Productos!$B:$B,$I2))</f>
        <v/>
      </c>
      <c r="E2234" s="5">
        <f>IF($I2="","",INDEX(Productos!$H:$H,$I2))</f>
        <v/>
      </c>
      <c r="F2234" s="5">
        <f>IF($I2="","",INDEX(Productos!$I:$I,$I2))</f>
        <v/>
      </c>
      <c r="G2234" s="135" t="n">
        <v>1</v>
      </c>
      <c r="H2234" s="5">
        <f>IF($I2="","",INDEX(Productos!$AG:$AG,$I2))</f>
        <v/>
      </c>
      <c r="I2234" s="136">
        <f>LET(_xlpm.r,Productos!$E$2:$E$2509,_xlpm.m,IFERROR(_xlfn.XMATCH(C2234,_xlpm.r),IFERROR(_xlfn.XMATCH(VALUE(C2234),_xlpm.r),0)),IF(_xlpm.m=0,"",_xlpm.m+1))</f>
        <v/>
      </c>
      <c r="J2234" s="137" t="inlineStr">
        <is>
          <t>Shopify</t>
        </is>
      </c>
    </row>
    <row r="2235">
      <c r="A2235" s="5" t="inlineStr">
        <is>
          <t>Shopify Stetson México › Stetson Americas</t>
        </is>
      </c>
      <c r="B2235" s="5">
        <f>IF($I2="","",INDEX(Productos!$A:$A,$I2))</f>
        <v/>
      </c>
      <c r="C2235" s="134" t="inlineStr">
        <is>
          <t>11-057-0590-3004-M</t>
        </is>
      </c>
      <c r="D2235" s="5">
        <f>IF($I2="","",INDEX(Productos!$B:$B,$I2))</f>
        <v/>
      </c>
      <c r="E2235" s="5">
        <f>IF($I2="","",INDEX(Productos!$H:$H,$I2))</f>
        <v/>
      </c>
      <c r="F2235" s="5">
        <f>IF($I2="","",INDEX(Productos!$I:$I,$I2))</f>
        <v/>
      </c>
      <c r="G2235" s="135" t="n">
        <v>1</v>
      </c>
      <c r="H2235" s="5">
        <f>IF($I2="","",INDEX(Productos!$AG:$AG,$I2))</f>
        <v/>
      </c>
      <c r="I2235" s="136">
        <f>LET(_xlpm.r,Productos!$E$2:$E$2509,_xlpm.m,IFERROR(_xlfn.XMATCH(C2235,_xlpm.r),IFERROR(_xlfn.XMATCH(VALUE(C2235),_xlpm.r),0)),IF(_xlpm.m=0,"",_xlpm.m+1))</f>
        <v/>
      </c>
      <c r="J2235" s="137" t="inlineStr">
        <is>
          <t>Shopify</t>
        </is>
      </c>
    </row>
    <row r="2236">
      <c r="A2236" s="5" t="inlineStr">
        <is>
          <t>Shopify Stetson México › Stetson Americas</t>
        </is>
      </c>
      <c r="B2236" s="5">
        <f>IF($I2="","",INDEX(Productos!$A:$A,$I2))</f>
        <v/>
      </c>
      <c r="C2236" s="134" t="inlineStr">
        <is>
          <t>11-057-0590-3004-S</t>
        </is>
      </c>
      <c r="D2236" s="5">
        <f>IF($I2="","",INDEX(Productos!$B:$B,$I2))</f>
        <v/>
      </c>
      <c r="E2236" s="5">
        <f>IF($I2="","",INDEX(Productos!$H:$H,$I2))</f>
        <v/>
      </c>
      <c r="F2236" s="5">
        <f>IF($I2="","",INDEX(Productos!$I:$I,$I2))</f>
        <v/>
      </c>
      <c r="G2236" s="135" t="n">
        <v>1</v>
      </c>
      <c r="H2236" s="5">
        <f>IF($I2="","",INDEX(Productos!$AG:$AG,$I2))</f>
        <v/>
      </c>
      <c r="I2236" s="136">
        <f>LET(_xlpm.r,Productos!$E$2:$E$2509,_xlpm.m,IFERROR(_xlfn.XMATCH(C2236,_xlpm.r),IFERROR(_xlfn.XMATCH(VALUE(C2236),_xlpm.r),0)),IF(_xlpm.m=0,"",_xlpm.m+1))</f>
        <v/>
      </c>
      <c r="J2236" s="137" t="inlineStr">
        <is>
          <t>Shopify</t>
        </is>
      </c>
    </row>
    <row r="2237">
      <c r="A2237" s="5" t="inlineStr">
        <is>
          <t>Shopify Stetson México › Stetson Americas</t>
        </is>
      </c>
      <c r="B2237" s="5">
        <f>IF($I2="","",INDEX(Productos!$A:$A,$I2))</f>
        <v/>
      </c>
      <c r="C2237" s="134" t="inlineStr">
        <is>
          <t>11-057-0590-3004-XL</t>
        </is>
      </c>
      <c r="D2237" s="5">
        <f>IF($I2="","",INDEX(Productos!$B:$B,$I2))</f>
        <v/>
      </c>
      <c r="E2237" s="5">
        <f>IF($I2="","",INDEX(Productos!$H:$H,$I2))</f>
        <v/>
      </c>
      <c r="F2237" s="5">
        <f>IF($I2="","",INDEX(Productos!$I:$I,$I2))</f>
        <v/>
      </c>
      <c r="G2237" s="135" t="n">
        <v>1</v>
      </c>
      <c r="H2237" s="5">
        <f>IF($I2="","",INDEX(Productos!$AG:$AG,$I2))</f>
        <v/>
      </c>
      <c r="I2237" s="136">
        <f>LET(_xlpm.r,Productos!$E$2:$E$2509,_xlpm.m,IFERROR(_xlfn.XMATCH(C2237,_xlpm.r),IFERROR(_xlfn.XMATCH(VALUE(C2237),_xlpm.r),0)),IF(_xlpm.m=0,"",_xlpm.m+1))</f>
        <v/>
      </c>
      <c r="J2237" s="137" t="inlineStr">
        <is>
          <t>Shopify</t>
        </is>
      </c>
    </row>
    <row r="2238">
      <c r="A2238" s="5" t="inlineStr">
        <is>
          <t>Shopify Stetson México › Stetson Americas</t>
        </is>
      </c>
      <c r="B2238" s="5">
        <f>IF($I2="","",INDEX(Productos!$A:$A,$I2))</f>
        <v/>
      </c>
      <c r="C2238" s="134" t="inlineStr">
        <is>
          <t>11-057-0590-3004-XS</t>
        </is>
      </c>
      <c r="D2238" s="5">
        <f>IF($I2="","",INDEX(Productos!$B:$B,$I2))</f>
        <v/>
      </c>
      <c r="E2238" s="5">
        <f>IF($I2="","",INDEX(Productos!$H:$H,$I2))</f>
        <v/>
      </c>
      <c r="F2238" s="5">
        <f>IF($I2="","",INDEX(Productos!$I:$I,$I2))</f>
        <v/>
      </c>
      <c r="G2238" s="135" t="n">
        <v>1</v>
      </c>
      <c r="H2238" s="5">
        <f>IF($I2="","",INDEX(Productos!$AG:$AG,$I2))</f>
        <v/>
      </c>
      <c r="I2238" s="136">
        <f>LET(_xlpm.r,Productos!$E$2:$E$2509,_xlpm.m,IFERROR(_xlfn.XMATCH(C2238,_xlpm.r),IFERROR(_xlfn.XMATCH(VALUE(C2238),_xlpm.r),0)),IF(_xlpm.m=0,"",_xlpm.m+1))</f>
        <v/>
      </c>
      <c r="J2238" s="137" t="inlineStr">
        <is>
          <t>Shopify</t>
        </is>
      </c>
    </row>
    <row r="2239">
      <c r="A2239" s="5" t="inlineStr">
        <is>
          <t>Shopify Stetson México › Stetson Americas</t>
        </is>
      </c>
      <c r="B2239" s="5">
        <f>IF($I2="","",INDEX(Productos!$A:$A,$I2))</f>
        <v/>
      </c>
      <c r="C2239" s="134" t="inlineStr">
        <is>
          <t>11-057-0590-6031-S</t>
        </is>
      </c>
      <c r="D2239" s="5">
        <f>IF($I2="","",INDEX(Productos!$B:$B,$I2))</f>
        <v/>
      </c>
      <c r="E2239" s="5">
        <f>IF($I2="","",INDEX(Productos!$H:$H,$I2))</f>
        <v/>
      </c>
      <c r="F2239" s="5">
        <f>IF($I2="","",INDEX(Productos!$I:$I,$I2))</f>
        <v/>
      </c>
      <c r="G2239" s="135" t="n">
        <v>5</v>
      </c>
      <c r="H2239" s="5">
        <f>IF($I2="","",INDEX(Productos!$AG:$AG,$I2))</f>
        <v/>
      </c>
      <c r="I2239" s="136">
        <f>LET(_xlpm.r,Productos!$E$2:$E$2509,_xlpm.m,IFERROR(_xlfn.XMATCH(C2239,_xlpm.r),IFERROR(_xlfn.XMATCH(VALUE(C2239),_xlpm.r),0)),IF(_xlpm.m=0,"",_xlpm.m+1))</f>
        <v/>
      </c>
      <c r="J2239" s="137" t="inlineStr">
        <is>
          <t>Shopify</t>
        </is>
      </c>
    </row>
    <row r="2240">
      <c r="A2240" s="5" t="inlineStr">
        <is>
          <t>Shopify Stetson México › Stetson Americas</t>
        </is>
      </c>
      <c r="B2240" s="5">
        <f>IF($I2="","",INDEX(Productos!$A:$A,$I2))</f>
        <v/>
      </c>
      <c r="C2240" s="134" t="inlineStr">
        <is>
          <t>11-057-0590-6031-XL</t>
        </is>
      </c>
      <c r="D2240" s="5">
        <f>IF($I2="","",INDEX(Productos!$B:$B,$I2))</f>
        <v/>
      </c>
      <c r="E2240" s="5">
        <f>IF($I2="","",INDEX(Productos!$H:$H,$I2))</f>
        <v/>
      </c>
      <c r="F2240" s="5">
        <f>IF($I2="","",INDEX(Productos!$I:$I,$I2))</f>
        <v/>
      </c>
      <c r="G2240" s="135" t="n">
        <v>1</v>
      </c>
      <c r="H2240" s="5">
        <f>IF($I2="","",INDEX(Productos!$AG:$AG,$I2))</f>
        <v/>
      </c>
      <c r="I2240" s="136">
        <f>LET(_xlpm.r,Productos!$E$2:$E$2509,_xlpm.m,IFERROR(_xlfn.XMATCH(C2240,_xlpm.r),IFERROR(_xlfn.XMATCH(VALUE(C2240),_xlpm.r),0)),IF(_xlpm.m=0,"",_xlpm.m+1))</f>
        <v/>
      </c>
      <c r="J2240" s="137" t="inlineStr">
        <is>
          <t>Shopify</t>
        </is>
      </c>
    </row>
    <row r="2241">
      <c r="A2241" s="5" t="inlineStr">
        <is>
          <t>Shopify Stetson México › Stetson Americas</t>
        </is>
      </c>
      <c r="B2241" s="5">
        <f>IF($I2="","",INDEX(Productos!$A:$A,$I2))</f>
        <v/>
      </c>
      <c r="C2241" s="134" t="inlineStr">
        <is>
          <t>11-057-0590-6031-XS</t>
        </is>
      </c>
      <c r="D2241" s="5">
        <f>IF($I2="","",INDEX(Productos!$B:$B,$I2))</f>
        <v/>
      </c>
      <c r="E2241" s="5">
        <f>IF($I2="","",INDEX(Productos!$H:$H,$I2))</f>
        <v/>
      </c>
      <c r="F2241" s="5">
        <f>IF($I2="","",INDEX(Productos!$I:$I,$I2))</f>
        <v/>
      </c>
      <c r="G2241" s="135" t="n">
        <v>3</v>
      </c>
      <c r="H2241" s="5">
        <f>IF($I2="","",INDEX(Productos!$AG:$AG,$I2))</f>
        <v/>
      </c>
      <c r="I2241" s="136">
        <f>LET(_xlpm.r,Productos!$E$2:$E$2509,_xlpm.m,IFERROR(_xlfn.XMATCH(C2241,_xlpm.r),IFERROR(_xlfn.XMATCH(VALUE(C2241),_xlpm.r),0)),IF(_xlpm.m=0,"",_xlpm.m+1))</f>
        <v/>
      </c>
      <c r="J2241" s="137" t="inlineStr">
        <is>
          <t>Shopify</t>
        </is>
      </c>
    </row>
    <row r="2242">
      <c r="A2242" s="5" t="inlineStr">
        <is>
          <t>Shopify Stetson México › Stetson Americas</t>
        </is>
      </c>
      <c r="B2242" s="5">
        <f>IF($I2="","",INDEX(Productos!$A:$A,$I2))</f>
        <v/>
      </c>
      <c r="C2242" s="134" t="inlineStr">
        <is>
          <t>11-057-0592-0104-4</t>
        </is>
      </c>
      <c r="D2242" s="5">
        <f>IF($I2="","",INDEX(Productos!$B:$B,$I2))</f>
        <v/>
      </c>
      <c r="E2242" s="5">
        <f>IF($I2="","",INDEX(Productos!$H:$H,$I2))</f>
        <v/>
      </c>
      <c r="F2242" s="5">
        <f>IF($I2="","",INDEX(Productos!$I:$I,$I2))</f>
        <v/>
      </c>
      <c r="G2242" s="135" t="n">
        <v>1</v>
      </c>
      <c r="H2242" s="5">
        <f>IF($I2="","",INDEX(Productos!$AG:$AG,$I2))</f>
        <v/>
      </c>
      <c r="I2242" s="136">
        <f>LET(_xlpm.r,Productos!$E$2:$E$2509,_xlpm.m,IFERROR(_xlfn.XMATCH(C2242,_xlpm.r),IFERROR(_xlfn.XMATCH(VALUE(C2242),_xlpm.r),0)),IF(_xlpm.m=0,"",_xlpm.m+1))</f>
        <v/>
      </c>
      <c r="J2242" s="137" t="inlineStr">
        <is>
          <t>Shopify</t>
        </is>
      </c>
    </row>
    <row r="2243">
      <c r="A2243" s="5" t="inlineStr">
        <is>
          <t>Shopify Stetson México › Stetson Americas</t>
        </is>
      </c>
      <c r="B2243" s="5">
        <f>IF($I2="","",INDEX(Productos!$A:$A,$I2))</f>
        <v/>
      </c>
      <c r="C2243" s="134" t="inlineStr">
        <is>
          <t>11-057-0592-0104-6</t>
        </is>
      </c>
      <c r="D2243" s="5">
        <f>IF($I2="","",INDEX(Productos!$B:$B,$I2))</f>
        <v/>
      </c>
      <c r="E2243" s="5">
        <f>IF($I2="","",INDEX(Productos!$H:$H,$I2))</f>
        <v/>
      </c>
      <c r="F2243" s="5">
        <f>IF($I2="","",INDEX(Productos!$I:$I,$I2))</f>
        <v/>
      </c>
      <c r="G2243" s="135" t="n">
        <v>2</v>
      </c>
      <c r="H2243" s="5">
        <f>IF($I2="","",INDEX(Productos!$AG:$AG,$I2))</f>
        <v/>
      </c>
      <c r="I2243" s="136">
        <f>LET(_xlpm.r,Productos!$E$2:$E$2509,_xlpm.m,IFERROR(_xlfn.XMATCH(C2243,_xlpm.r),IFERROR(_xlfn.XMATCH(VALUE(C2243),_xlpm.r),0)),IF(_xlpm.m=0,"",_xlpm.m+1))</f>
        <v/>
      </c>
      <c r="J2243" s="137" t="inlineStr">
        <is>
          <t>Shopify</t>
        </is>
      </c>
    </row>
    <row r="2244">
      <c r="A2244" s="5" t="inlineStr">
        <is>
          <t>Shopify Stetson México › Stetson Americas</t>
        </is>
      </c>
      <c r="B2244" s="5">
        <f>IF($I2="","",INDEX(Productos!$A:$A,$I2))</f>
        <v/>
      </c>
      <c r="C2244" s="134" t="inlineStr">
        <is>
          <t>11-057-0592-0104-8</t>
        </is>
      </c>
      <c r="D2244" s="5">
        <f>IF($I2="","",INDEX(Productos!$B:$B,$I2))</f>
        <v/>
      </c>
      <c r="E2244" s="5">
        <f>IF($I2="","",INDEX(Productos!$H:$H,$I2))</f>
        <v/>
      </c>
      <c r="F2244" s="5">
        <f>IF($I2="","",INDEX(Productos!$I:$I,$I2))</f>
        <v/>
      </c>
      <c r="G2244" s="135" t="n">
        <v>1</v>
      </c>
      <c r="H2244" s="5">
        <f>IF($I2="","",INDEX(Productos!$AG:$AG,$I2))</f>
        <v/>
      </c>
      <c r="I2244" s="136">
        <f>LET(_xlpm.r,Productos!$E$2:$E$2509,_xlpm.m,IFERROR(_xlfn.XMATCH(C2244,_xlpm.r),IFERROR(_xlfn.XMATCH(VALUE(C2244),_xlpm.r),0)),IF(_xlpm.m=0,"",_xlpm.m+1))</f>
        <v/>
      </c>
      <c r="J2244" s="137" t="inlineStr">
        <is>
          <t>Shopify</t>
        </is>
      </c>
    </row>
    <row r="2245">
      <c r="A2245" s="5" t="inlineStr">
        <is>
          <t>Shopify Stetson México › Stetson Americas</t>
        </is>
      </c>
      <c r="B2245" s="5">
        <f>IF($I2="","",INDEX(Productos!$A:$A,$I2))</f>
        <v/>
      </c>
      <c r="C2245" s="134" t="inlineStr">
        <is>
          <t>11-057-0592-7081-M</t>
        </is>
      </c>
      <c r="D2245" s="5">
        <f>IF($I2="","",INDEX(Productos!$B:$B,$I2))</f>
        <v/>
      </c>
      <c r="E2245" s="5">
        <f>IF($I2="","",INDEX(Productos!$H:$H,$I2))</f>
        <v/>
      </c>
      <c r="F2245" s="5">
        <f>IF($I2="","",INDEX(Productos!$I:$I,$I2))</f>
        <v/>
      </c>
      <c r="G2245" s="135" t="n">
        <v>1</v>
      </c>
      <c r="H2245" s="5">
        <f>IF($I2="","",INDEX(Productos!$AG:$AG,$I2))</f>
        <v/>
      </c>
      <c r="I2245" s="136">
        <f>LET(_xlpm.r,Productos!$E$2:$E$2509,_xlpm.m,IFERROR(_xlfn.XMATCH(C2245,_xlpm.r),IFERROR(_xlfn.XMATCH(VALUE(C2245),_xlpm.r),0)),IF(_xlpm.m=0,"",_xlpm.m+1))</f>
        <v/>
      </c>
      <c r="J2245" s="137" t="inlineStr">
        <is>
          <t>Shopify</t>
        </is>
      </c>
    </row>
    <row r="2246">
      <c r="A2246" s="5" t="inlineStr">
        <is>
          <t>Shopify Stetson México › Stetson Americas</t>
        </is>
      </c>
      <c r="B2246" s="5">
        <f>IF($I2="","",INDEX(Productos!$A:$A,$I2))</f>
        <v/>
      </c>
      <c r="C2246" s="134" t="inlineStr">
        <is>
          <t>11-057-0592-7081-XL</t>
        </is>
      </c>
      <c r="D2246" s="5">
        <f>IF($I2="","",INDEX(Productos!$B:$B,$I2))</f>
        <v/>
      </c>
      <c r="E2246" s="5">
        <f>IF($I2="","",INDEX(Productos!$H:$H,$I2))</f>
        <v/>
      </c>
      <c r="F2246" s="5">
        <f>IF($I2="","",INDEX(Productos!$I:$I,$I2))</f>
        <v/>
      </c>
      <c r="G2246" s="135" t="n">
        <v>1</v>
      </c>
      <c r="H2246" s="5">
        <f>IF($I2="","",INDEX(Productos!$AG:$AG,$I2))</f>
        <v/>
      </c>
      <c r="I2246" s="136">
        <f>LET(_xlpm.r,Productos!$E$2:$E$2509,_xlpm.m,IFERROR(_xlfn.XMATCH(C2246,_xlpm.r),IFERROR(_xlfn.XMATCH(VALUE(C2246),_xlpm.r),0)),IF(_xlpm.m=0,"",_xlpm.m+1))</f>
        <v/>
      </c>
      <c r="J2246" s="137" t="inlineStr">
        <is>
          <t>Shopify</t>
        </is>
      </c>
    </row>
    <row r="2247">
      <c r="A2247" s="5" t="inlineStr">
        <is>
          <t>Shopify Stetson México › Stetson Americas</t>
        </is>
      </c>
      <c r="B2247" s="5">
        <f>IF($I2="","",INDEX(Productos!$A:$A,$I2))</f>
        <v/>
      </c>
      <c r="C2247" s="134" t="inlineStr">
        <is>
          <t>11-062-0565-7066-L</t>
        </is>
      </c>
      <c r="D2247" s="5">
        <f>IF($I2="","",INDEX(Productos!$B:$B,$I2))</f>
        <v/>
      </c>
      <c r="E2247" s="5">
        <f>IF($I2="","",INDEX(Productos!$H:$H,$I2))</f>
        <v/>
      </c>
      <c r="F2247" s="5">
        <f>IF($I2="","",INDEX(Productos!$I:$I,$I2))</f>
        <v/>
      </c>
      <c r="G2247" s="135" t="n">
        <v>2</v>
      </c>
      <c r="H2247" s="5">
        <f>IF($I2="","",INDEX(Productos!$AG:$AG,$I2))</f>
        <v/>
      </c>
      <c r="I2247" s="136">
        <f>LET(_xlpm.r,Productos!$E$2:$E$2509,_xlpm.m,IFERROR(_xlfn.XMATCH(C2247,_xlpm.r),IFERROR(_xlfn.XMATCH(VALUE(C2247),_xlpm.r),0)),IF(_xlpm.m=0,"",_xlpm.m+1))</f>
        <v/>
      </c>
      <c r="J2247" s="137" t="inlineStr">
        <is>
          <t>Shopify</t>
        </is>
      </c>
    </row>
    <row r="2248">
      <c r="A2248" s="5" t="inlineStr">
        <is>
          <t>Shopify Stetson México › Stetson Americas</t>
        </is>
      </c>
      <c r="B2248" s="5">
        <f>IF($I2="","",INDEX(Productos!$A:$A,$I2))</f>
        <v/>
      </c>
      <c r="C2248" s="134" t="inlineStr">
        <is>
          <t>11-062-0565-7066-M</t>
        </is>
      </c>
      <c r="D2248" s="5">
        <f>IF($I2="","",INDEX(Productos!$B:$B,$I2))</f>
        <v/>
      </c>
      <c r="E2248" s="5">
        <f>IF($I2="","",INDEX(Productos!$H:$H,$I2))</f>
        <v/>
      </c>
      <c r="F2248" s="5">
        <f>IF($I2="","",INDEX(Productos!$I:$I,$I2))</f>
        <v/>
      </c>
      <c r="G2248" s="135" t="n">
        <v>2</v>
      </c>
      <c r="H2248" s="5">
        <f>IF($I2="","",INDEX(Productos!$AG:$AG,$I2))</f>
        <v/>
      </c>
      <c r="I2248" s="136">
        <f>LET(_xlpm.r,Productos!$E$2:$E$2509,_xlpm.m,IFERROR(_xlfn.XMATCH(C2248,_xlpm.r),IFERROR(_xlfn.XMATCH(VALUE(C2248),_xlpm.r),0)),IF(_xlpm.m=0,"",_xlpm.m+1))</f>
        <v/>
      </c>
      <c r="J2248" s="137" t="inlineStr">
        <is>
          <t>Shopify</t>
        </is>
      </c>
    </row>
    <row r="2249">
      <c r="A2249" s="5" t="inlineStr">
        <is>
          <t>Shopify Stetson México › Stetson Americas</t>
        </is>
      </c>
      <c r="B2249" s="5">
        <f>IF($I2="","",INDEX(Productos!$A:$A,$I2))</f>
        <v/>
      </c>
      <c r="C2249" s="134" t="inlineStr">
        <is>
          <t>11-062-0565-7066-S</t>
        </is>
      </c>
      <c r="D2249" s="5">
        <f>IF($I2="","",INDEX(Productos!$B:$B,$I2))</f>
        <v/>
      </c>
      <c r="E2249" s="5">
        <f>IF($I2="","",INDEX(Productos!$H:$H,$I2))</f>
        <v/>
      </c>
      <c r="F2249" s="5">
        <f>IF($I2="","",INDEX(Productos!$I:$I,$I2))</f>
        <v/>
      </c>
      <c r="G2249" s="135" t="n">
        <v>4</v>
      </c>
      <c r="H2249" s="5">
        <f>IF($I2="","",INDEX(Productos!$AG:$AG,$I2))</f>
        <v/>
      </c>
      <c r="I2249" s="136">
        <f>LET(_xlpm.r,Productos!$E$2:$E$2509,_xlpm.m,IFERROR(_xlfn.XMATCH(C2249,_xlpm.r),IFERROR(_xlfn.XMATCH(VALUE(C2249),_xlpm.r),0)),IF(_xlpm.m=0,"",_xlpm.m+1))</f>
        <v/>
      </c>
      <c r="J2249" s="137" t="inlineStr">
        <is>
          <t>Shopify</t>
        </is>
      </c>
    </row>
    <row r="2250">
      <c r="A2250" s="5" t="inlineStr">
        <is>
          <t>Shopify Stetson México › Stetson Americas</t>
        </is>
      </c>
      <c r="B2250" s="5">
        <f>IF($I2="","",INDEX(Productos!$A:$A,$I2))</f>
        <v/>
      </c>
      <c r="C2250" s="134" t="inlineStr">
        <is>
          <t>11-062-0565-7066-XS</t>
        </is>
      </c>
      <c r="D2250" s="5">
        <f>IF($I2="","",INDEX(Productos!$B:$B,$I2))</f>
        <v/>
      </c>
      <c r="E2250" s="5">
        <f>IF($I2="","",INDEX(Productos!$H:$H,$I2))</f>
        <v/>
      </c>
      <c r="F2250" s="5">
        <f>IF($I2="","",INDEX(Productos!$I:$I,$I2))</f>
        <v/>
      </c>
      <c r="G2250" s="135" t="n">
        <v>1</v>
      </c>
      <c r="H2250" s="5">
        <f>IF($I2="","",INDEX(Productos!$AG:$AG,$I2))</f>
        <v/>
      </c>
      <c r="I2250" s="136">
        <f>LET(_xlpm.r,Productos!$E$2:$E$2509,_xlpm.m,IFERROR(_xlfn.XMATCH(C2250,_xlpm.r),IFERROR(_xlfn.XMATCH(VALUE(C2250),_xlpm.r),0)),IF(_xlpm.m=0,"",_xlpm.m+1))</f>
        <v/>
      </c>
      <c r="J2250" s="137" t="inlineStr">
        <is>
          <t>Shopify</t>
        </is>
      </c>
    </row>
    <row r="2251">
      <c r="A2251" s="5" t="inlineStr">
        <is>
          <t>Shopify Stetson México › Stetson Americas</t>
        </is>
      </c>
      <c r="B2251" s="5">
        <f>IF($I2="","",INDEX(Productos!$A:$A,$I2))</f>
        <v/>
      </c>
      <c r="C2251" s="134" t="inlineStr">
        <is>
          <t>11-074-0539-7080-M</t>
        </is>
      </c>
      <c r="D2251" s="5">
        <f>IF($I2="","",INDEX(Productos!$B:$B,$I2))</f>
        <v/>
      </c>
      <c r="E2251" s="5">
        <f>IF($I2="","",INDEX(Productos!$H:$H,$I2))</f>
        <v/>
      </c>
      <c r="F2251" s="5">
        <f>IF($I2="","",INDEX(Productos!$I:$I,$I2))</f>
        <v/>
      </c>
      <c r="G2251" s="135" t="n">
        <v>1</v>
      </c>
      <c r="H2251" s="5">
        <f>IF($I2="","",INDEX(Productos!$AG:$AG,$I2))</f>
        <v/>
      </c>
      <c r="I2251" s="136">
        <f>LET(_xlpm.r,Productos!$E$2:$E$2509,_xlpm.m,IFERROR(_xlfn.XMATCH(C2251,_xlpm.r),IFERROR(_xlfn.XMATCH(VALUE(C2251),_xlpm.r),0)),IF(_xlpm.m=0,"",_xlpm.m+1))</f>
        <v/>
      </c>
      <c r="J2251" s="137" t="inlineStr">
        <is>
          <t>Shopify</t>
        </is>
      </c>
    </row>
    <row r="2252">
      <c r="A2252" s="5" t="inlineStr">
        <is>
          <t>Shopify Stetson México › Stetson Americas</t>
        </is>
      </c>
      <c r="B2252" s="5">
        <f>IF($I2="","",INDEX(Productos!$A:$A,$I2))</f>
        <v/>
      </c>
      <c r="C2252" s="134" t="inlineStr">
        <is>
          <t>11-097-0539-6620-L</t>
        </is>
      </c>
      <c r="D2252" s="5">
        <f>IF($I2="","",INDEX(Productos!$B:$B,$I2))</f>
        <v/>
      </c>
      <c r="E2252" s="5">
        <f>IF($I2="","",INDEX(Productos!$H:$H,$I2))</f>
        <v/>
      </c>
      <c r="F2252" s="5">
        <f>IF($I2="","",INDEX(Productos!$I:$I,$I2))</f>
        <v/>
      </c>
      <c r="G2252" s="135" t="n">
        <v>1</v>
      </c>
      <c r="H2252" s="5">
        <f>IF($I2="","",INDEX(Productos!$AG:$AG,$I2))</f>
        <v/>
      </c>
      <c r="I2252" s="136">
        <f>LET(_xlpm.r,Productos!$E$2:$E$2509,_xlpm.m,IFERROR(_xlfn.XMATCH(C2252,_xlpm.r),IFERROR(_xlfn.XMATCH(VALUE(C2252),_xlpm.r),0)),IF(_xlpm.m=0,"",_xlpm.m+1))</f>
        <v/>
      </c>
      <c r="J2252" s="137" t="inlineStr">
        <is>
          <t>Shopify</t>
        </is>
      </c>
    </row>
    <row r="2253">
      <c r="A2253" s="5" t="inlineStr">
        <is>
          <t>Shopify Stetson México › Stetson Americas</t>
        </is>
      </c>
      <c r="B2253" s="5">
        <f>IF($I2="","",INDEX(Productos!$A:$A,$I2))</f>
        <v/>
      </c>
      <c r="C2253" s="134" t="inlineStr">
        <is>
          <t>11-097-0539-6620-S</t>
        </is>
      </c>
      <c r="D2253" s="5">
        <f>IF($I2="","",INDEX(Productos!$B:$B,$I2))</f>
        <v/>
      </c>
      <c r="E2253" s="5">
        <f>IF($I2="","",INDEX(Productos!$H:$H,$I2))</f>
        <v/>
      </c>
      <c r="F2253" s="5">
        <f>IF($I2="","",INDEX(Productos!$I:$I,$I2))</f>
        <v/>
      </c>
      <c r="G2253" s="135" t="n">
        <v>1</v>
      </c>
      <c r="H2253" s="5">
        <f>IF($I2="","",INDEX(Productos!$AG:$AG,$I2))</f>
        <v/>
      </c>
      <c r="I2253" s="136">
        <f>LET(_xlpm.r,Productos!$E$2:$E$2509,_xlpm.m,IFERROR(_xlfn.XMATCH(C2253,_xlpm.r),IFERROR(_xlfn.XMATCH(VALUE(C2253),_xlpm.r),0)),IF(_xlpm.m=0,"",_xlpm.m+1))</f>
        <v/>
      </c>
      <c r="J2253" s="137" t="inlineStr">
        <is>
          <t>Shopify</t>
        </is>
      </c>
    </row>
    <row r="2254">
      <c r="A2254" s="5" t="inlineStr">
        <is>
          <t>Shopify Stetson México › Stetson Americas</t>
        </is>
      </c>
      <c r="B2254" s="5">
        <f>IF($I2="","",INDEX(Productos!$A:$A,$I2))</f>
        <v/>
      </c>
      <c r="C2254" s="134" t="inlineStr">
        <is>
          <t>11-097-0562-0919-L</t>
        </is>
      </c>
      <c r="D2254" s="5">
        <f>IF($I2="","",INDEX(Productos!$B:$B,$I2))</f>
        <v/>
      </c>
      <c r="E2254" s="5">
        <f>IF($I2="","",INDEX(Productos!$H:$H,$I2))</f>
        <v/>
      </c>
      <c r="F2254" s="5">
        <f>IF($I2="","",INDEX(Productos!$I:$I,$I2))</f>
        <v/>
      </c>
      <c r="G2254" s="135" t="n">
        <v>2</v>
      </c>
      <c r="H2254" s="5">
        <f>IF($I2="","",INDEX(Productos!$AG:$AG,$I2))</f>
        <v/>
      </c>
      <c r="I2254" s="136">
        <f>LET(_xlpm.r,Productos!$E$2:$E$2509,_xlpm.m,IFERROR(_xlfn.XMATCH(C2254,_xlpm.r),IFERROR(_xlfn.XMATCH(VALUE(C2254),_xlpm.r),0)),IF(_xlpm.m=0,"",_xlpm.m+1))</f>
        <v/>
      </c>
      <c r="J2254" s="137" t="inlineStr">
        <is>
          <t>Shopify</t>
        </is>
      </c>
    </row>
    <row r="2255">
      <c r="A2255" s="5" t="inlineStr">
        <is>
          <t>Shopify Stetson México › Stetson Americas</t>
        </is>
      </c>
      <c r="B2255" s="5">
        <f>IF($I2="","",INDEX(Productos!$A:$A,$I2))</f>
        <v/>
      </c>
      <c r="C2255" s="134" t="inlineStr">
        <is>
          <t>11-097-0562-0919-M</t>
        </is>
      </c>
      <c r="D2255" s="5">
        <f>IF($I2="","",INDEX(Productos!$B:$B,$I2))</f>
        <v/>
      </c>
      <c r="E2255" s="5">
        <f>IF($I2="","",INDEX(Productos!$H:$H,$I2))</f>
        <v/>
      </c>
      <c r="F2255" s="5">
        <f>IF($I2="","",INDEX(Productos!$I:$I,$I2))</f>
        <v/>
      </c>
      <c r="G2255" s="135" t="n">
        <v>2</v>
      </c>
      <c r="H2255" s="5">
        <f>IF($I2="","",INDEX(Productos!$AG:$AG,$I2))</f>
        <v/>
      </c>
      <c r="I2255" s="136">
        <f>LET(_xlpm.r,Productos!$E$2:$E$2509,_xlpm.m,IFERROR(_xlfn.XMATCH(C2255,_xlpm.r),IFERROR(_xlfn.XMATCH(VALUE(C2255),_xlpm.r),0)),IF(_xlpm.m=0,"",_xlpm.m+1))</f>
        <v/>
      </c>
      <c r="J2255" s="137" t="inlineStr">
        <is>
          <t>Shopify</t>
        </is>
      </c>
    </row>
    <row r="2256">
      <c r="A2256" s="5" t="inlineStr">
        <is>
          <t>Shopify Stetson México › Stetson Americas</t>
        </is>
      </c>
      <c r="B2256" s="5">
        <f>IF($I2="","",INDEX(Productos!$A:$A,$I2))</f>
        <v/>
      </c>
      <c r="C2256" s="134" t="inlineStr">
        <is>
          <t>11-097-0562-0924-M</t>
        </is>
      </c>
      <c r="D2256" s="5">
        <f>IF($I2="","",INDEX(Productos!$B:$B,$I2))</f>
        <v/>
      </c>
      <c r="E2256" s="5">
        <f>IF($I2="","",INDEX(Productos!$H:$H,$I2))</f>
        <v/>
      </c>
      <c r="F2256" s="5">
        <f>IF($I2="","",INDEX(Productos!$I:$I,$I2))</f>
        <v/>
      </c>
      <c r="G2256" s="135" t="n">
        <v>3</v>
      </c>
      <c r="H2256" s="5">
        <f>IF($I2="","",INDEX(Productos!$AG:$AG,$I2))</f>
        <v/>
      </c>
      <c r="I2256" s="136">
        <f>LET(_xlpm.r,Productos!$E$2:$E$2509,_xlpm.m,IFERROR(_xlfn.XMATCH(C2256,_xlpm.r),IFERROR(_xlfn.XMATCH(VALUE(C2256),_xlpm.r),0)),IF(_xlpm.m=0,"",_xlpm.m+1))</f>
        <v/>
      </c>
      <c r="J2256" s="137" t="inlineStr">
        <is>
          <t>Shopify</t>
        </is>
      </c>
    </row>
    <row r="2257">
      <c r="A2257" s="5" t="inlineStr">
        <is>
          <t>Shopify Stetson México › Stetson Americas</t>
        </is>
      </c>
      <c r="B2257" s="5">
        <f>IF($I2="","",INDEX(Productos!$A:$A,$I2))</f>
        <v/>
      </c>
      <c r="C2257" s="134" t="inlineStr">
        <is>
          <t>11-097-0562-0924-S</t>
        </is>
      </c>
      <c r="D2257" s="5">
        <f>IF($I2="","",INDEX(Productos!$B:$B,$I2))</f>
        <v/>
      </c>
      <c r="E2257" s="5">
        <f>IF($I2="","",INDEX(Productos!$H:$H,$I2))</f>
        <v/>
      </c>
      <c r="F2257" s="5">
        <f>IF($I2="","",INDEX(Productos!$I:$I,$I2))</f>
        <v/>
      </c>
      <c r="G2257" s="135" t="n">
        <v>1</v>
      </c>
      <c r="H2257" s="5">
        <f>IF($I2="","",INDEX(Productos!$AG:$AG,$I2))</f>
        <v/>
      </c>
      <c r="I2257" s="136">
        <f>LET(_xlpm.r,Productos!$E$2:$E$2509,_xlpm.m,IFERROR(_xlfn.XMATCH(C2257,_xlpm.r),IFERROR(_xlfn.XMATCH(VALUE(C2257),_xlpm.r),0)),IF(_xlpm.m=0,"",_xlpm.m+1))</f>
        <v/>
      </c>
      <c r="J2257" s="137" t="inlineStr">
        <is>
          <t>Shopify</t>
        </is>
      </c>
    </row>
    <row r="2258">
      <c r="A2258" s="5" t="inlineStr">
        <is>
          <t>Shopify Stetson México › Stetson Americas</t>
        </is>
      </c>
      <c r="B2258" s="5">
        <f>IF($I2="","",INDEX(Productos!$A:$A,$I2))</f>
        <v/>
      </c>
      <c r="C2258" s="134" t="inlineStr">
        <is>
          <t>11-097-0562-0924-XL</t>
        </is>
      </c>
      <c r="D2258" s="5">
        <f>IF($I2="","",INDEX(Productos!$B:$B,$I2))</f>
        <v/>
      </c>
      <c r="E2258" s="5">
        <f>IF($I2="","",INDEX(Productos!$H:$H,$I2))</f>
        <v/>
      </c>
      <c r="F2258" s="5">
        <f>IF($I2="","",INDEX(Productos!$I:$I,$I2))</f>
        <v/>
      </c>
      <c r="G2258" s="135" t="n">
        <v>1</v>
      </c>
      <c r="H2258" s="5">
        <f>IF($I2="","",INDEX(Productos!$AG:$AG,$I2))</f>
        <v/>
      </c>
      <c r="I2258" s="136">
        <f>LET(_xlpm.r,Productos!$E$2:$E$2509,_xlpm.m,IFERROR(_xlfn.XMATCH(C2258,_xlpm.r),IFERROR(_xlfn.XMATCH(VALUE(C2258),_xlpm.r),0)),IF(_xlpm.m=0,"",_xlpm.m+1))</f>
        <v/>
      </c>
      <c r="J2258" s="137" t="inlineStr">
        <is>
          <t>Shopify</t>
        </is>
      </c>
    </row>
    <row r="2259">
      <c r="A2259" s="5" t="inlineStr">
        <is>
          <t>Shopify Stetson México › Stetson Americas</t>
        </is>
      </c>
      <c r="B2259" s="5">
        <f>IF($I2="","",INDEX(Productos!$A:$A,$I2))</f>
        <v/>
      </c>
      <c r="C2259" s="134" t="inlineStr">
        <is>
          <t>11-098-0202-7076-L</t>
        </is>
      </c>
      <c r="D2259" s="5">
        <f>IF($I2="","",INDEX(Productos!$B:$B,$I2))</f>
        <v/>
      </c>
      <c r="E2259" s="5">
        <f>IF($I2="","",INDEX(Productos!$H:$H,$I2))</f>
        <v/>
      </c>
      <c r="F2259" s="5">
        <f>IF($I2="","",INDEX(Productos!$I:$I,$I2))</f>
        <v/>
      </c>
      <c r="G2259" s="135" t="n">
        <v>1</v>
      </c>
      <c r="H2259" s="5">
        <f>IF($I2="","",INDEX(Productos!$AG:$AG,$I2))</f>
        <v/>
      </c>
      <c r="I2259" s="136">
        <f>LET(_xlpm.r,Productos!$E$2:$E$2509,_xlpm.m,IFERROR(_xlfn.XMATCH(C2259,_xlpm.r),IFERROR(_xlfn.XMATCH(VALUE(C2259),_xlpm.r),0)),IF(_xlpm.m=0,"",_xlpm.m+1))</f>
        <v/>
      </c>
      <c r="J2259" s="137" t="inlineStr">
        <is>
          <t>Shopify</t>
        </is>
      </c>
    </row>
    <row r="2260">
      <c r="A2260" s="5" t="inlineStr">
        <is>
          <t>Shopify Stetson México › Stetson Americas</t>
        </is>
      </c>
      <c r="B2260" s="5">
        <f>IF($I2="","",INDEX(Productos!$A:$A,$I2))</f>
        <v/>
      </c>
      <c r="C2260" s="134" t="inlineStr">
        <is>
          <t>11-098-0539-0080-L</t>
        </is>
      </c>
      <c r="D2260" s="5">
        <f>IF($I2="","",INDEX(Productos!$B:$B,$I2))</f>
        <v/>
      </c>
      <c r="E2260" s="5">
        <f>IF($I2="","",INDEX(Productos!$H:$H,$I2))</f>
        <v/>
      </c>
      <c r="F2260" s="5">
        <f>IF($I2="","",INDEX(Productos!$I:$I,$I2))</f>
        <v/>
      </c>
      <c r="G2260" s="135" t="n">
        <v>1</v>
      </c>
      <c r="H2260" s="5">
        <f>IF($I2="","",INDEX(Productos!$AG:$AG,$I2))</f>
        <v/>
      </c>
      <c r="I2260" s="136">
        <f>LET(_xlpm.r,Productos!$E$2:$E$2509,_xlpm.m,IFERROR(_xlfn.XMATCH(C2260,_xlpm.r),IFERROR(_xlfn.XMATCH(VALUE(C2260),_xlpm.r),0)),IF(_xlpm.m=0,"",_xlpm.m+1))</f>
        <v/>
      </c>
      <c r="J2260" s="137" t="inlineStr">
        <is>
          <t>Shopify</t>
        </is>
      </c>
    </row>
    <row r="2261">
      <c r="A2261" s="5" t="inlineStr">
        <is>
          <t>Shopify Stetson México › Stetson Americas</t>
        </is>
      </c>
      <c r="B2261" s="5">
        <f>IF($I2="","",INDEX(Productos!$A:$A,$I2))</f>
        <v/>
      </c>
      <c r="C2261" s="134" t="inlineStr">
        <is>
          <t>11-098-0539-0080-M</t>
        </is>
      </c>
      <c r="D2261" s="5">
        <f>IF($I2="","",INDEX(Productos!$B:$B,$I2))</f>
        <v/>
      </c>
      <c r="E2261" s="5">
        <f>IF($I2="","",INDEX(Productos!$H:$H,$I2))</f>
        <v/>
      </c>
      <c r="F2261" s="5">
        <f>IF($I2="","",INDEX(Productos!$I:$I,$I2))</f>
        <v/>
      </c>
      <c r="G2261" s="135" t="n">
        <v>1</v>
      </c>
      <c r="H2261" s="5">
        <f>IF($I2="","",INDEX(Productos!$AG:$AG,$I2))</f>
        <v/>
      </c>
      <c r="I2261" s="136">
        <f>LET(_xlpm.r,Productos!$E$2:$E$2509,_xlpm.m,IFERROR(_xlfn.XMATCH(C2261,_xlpm.r),IFERROR(_xlfn.XMATCH(VALUE(C2261),_xlpm.r),0)),IF(_xlpm.m=0,"",_xlpm.m+1))</f>
        <v/>
      </c>
      <c r="J2261" s="137" t="inlineStr">
        <is>
          <t>Shopify</t>
        </is>
      </c>
    </row>
    <row r="2262">
      <c r="A2262" s="5" t="inlineStr">
        <is>
          <t>Shopify Stetson México › Stetson Americas</t>
        </is>
      </c>
      <c r="B2262" s="5">
        <f>IF($I2="","",INDEX(Productos!$A:$A,$I2))</f>
        <v/>
      </c>
      <c r="C2262" s="134" t="inlineStr">
        <is>
          <t>11-098-0539-0080-S</t>
        </is>
      </c>
      <c r="D2262" s="5">
        <f>IF($I2="","",INDEX(Productos!$B:$B,$I2))</f>
        <v/>
      </c>
      <c r="E2262" s="5">
        <f>IF($I2="","",INDEX(Productos!$H:$H,$I2))</f>
        <v/>
      </c>
      <c r="F2262" s="5">
        <f>IF($I2="","",INDEX(Productos!$I:$I,$I2))</f>
        <v/>
      </c>
      <c r="G2262" s="135" t="n">
        <v>2</v>
      </c>
      <c r="H2262" s="5">
        <f>IF($I2="","",INDEX(Productos!$AG:$AG,$I2))</f>
        <v/>
      </c>
      <c r="I2262" s="136">
        <f>LET(_xlpm.r,Productos!$E$2:$E$2509,_xlpm.m,IFERROR(_xlfn.XMATCH(C2262,_xlpm.r),IFERROR(_xlfn.XMATCH(VALUE(C2262),_xlpm.r),0)),IF(_xlpm.m=0,"",_xlpm.m+1))</f>
        <v/>
      </c>
      <c r="J2262" s="137" t="inlineStr">
        <is>
          <t>Shopify</t>
        </is>
      </c>
    </row>
    <row r="2263">
      <c r="A2263" s="5" t="inlineStr">
        <is>
          <t>Shopify Stetson México › Stetson Americas</t>
        </is>
      </c>
      <c r="B2263" s="5">
        <f>IF($I2="","",INDEX(Productos!$A:$A,$I2))</f>
        <v/>
      </c>
      <c r="C2263" s="134" t="inlineStr">
        <is>
          <t>11-098-0539-0080-XL</t>
        </is>
      </c>
      <c r="D2263" s="5">
        <f>IF($I2="","",INDEX(Productos!$B:$B,$I2))</f>
        <v/>
      </c>
      <c r="E2263" s="5">
        <f>IF($I2="","",INDEX(Productos!$H:$H,$I2))</f>
        <v/>
      </c>
      <c r="F2263" s="5">
        <f>IF($I2="","",INDEX(Productos!$I:$I,$I2))</f>
        <v/>
      </c>
      <c r="G2263" s="135" t="n">
        <v>1</v>
      </c>
      <c r="H2263" s="5">
        <f>IF($I2="","",INDEX(Productos!$AG:$AG,$I2))</f>
        <v/>
      </c>
      <c r="I2263" s="136">
        <f>LET(_xlpm.r,Productos!$E$2:$E$2509,_xlpm.m,IFERROR(_xlfn.XMATCH(C2263,_xlpm.r),IFERROR(_xlfn.XMATCH(VALUE(C2263),_xlpm.r),0)),IF(_xlpm.m=0,"",_xlpm.m+1))</f>
        <v/>
      </c>
      <c r="J2263" s="137" t="inlineStr">
        <is>
          <t>Shopify</t>
        </is>
      </c>
    </row>
    <row r="2264">
      <c r="A2264" s="5" t="inlineStr">
        <is>
          <t>Shopify Stetson México › Stetson Americas</t>
        </is>
      </c>
      <c r="B2264" s="5">
        <f>IF($I2="","",INDEX(Productos!$A:$A,$I2))</f>
        <v/>
      </c>
      <c r="C2264" s="134" t="inlineStr">
        <is>
          <t>11-098-0539-0080-XS</t>
        </is>
      </c>
      <c r="D2264" s="5">
        <f>IF($I2="","",INDEX(Productos!$B:$B,$I2))</f>
        <v/>
      </c>
      <c r="E2264" s="5">
        <f>IF($I2="","",INDEX(Productos!$H:$H,$I2))</f>
        <v/>
      </c>
      <c r="F2264" s="5">
        <f>IF($I2="","",INDEX(Productos!$I:$I,$I2))</f>
        <v/>
      </c>
      <c r="G2264" s="135" t="n">
        <v>1</v>
      </c>
      <c r="H2264" s="5">
        <f>IF($I2="","",INDEX(Productos!$AG:$AG,$I2))</f>
        <v/>
      </c>
      <c r="I2264" s="136">
        <f>LET(_xlpm.r,Productos!$E$2:$E$2509,_xlpm.m,IFERROR(_xlfn.XMATCH(C2264,_xlpm.r),IFERROR(_xlfn.XMATCH(VALUE(C2264),_xlpm.r),0)),IF(_xlpm.m=0,"",_xlpm.m+1))</f>
        <v/>
      </c>
      <c r="J2264" s="137" t="inlineStr">
        <is>
          <t>Shopify</t>
        </is>
      </c>
    </row>
    <row r="2265">
      <c r="A2265" s="5" t="inlineStr">
        <is>
          <t>Shopify Stetson México › Stetson Americas</t>
        </is>
      </c>
      <c r="B2265" s="5">
        <f>IF($I2="","",INDEX(Productos!$A:$A,$I2))</f>
        <v/>
      </c>
      <c r="C2265" s="134" t="inlineStr">
        <is>
          <t>11-098-0539-0081-L</t>
        </is>
      </c>
      <c r="D2265" s="5">
        <f>IF($I2="","",INDEX(Productos!$B:$B,$I2))</f>
        <v/>
      </c>
      <c r="E2265" s="5">
        <f>IF($I2="","",INDEX(Productos!$H:$H,$I2))</f>
        <v/>
      </c>
      <c r="F2265" s="5">
        <f>IF($I2="","",INDEX(Productos!$I:$I,$I2))</f>
        <v/>
      </c>
      <c r="G2265" s="135" t="n">
        <v>1</v>
      </c>
      <c r="H2265" s="5">
        <f>IF($I2="","",INDEX(Productos!$AG:$AG,$I2))</f>
        <v/>
      </c>
      <c r="I2265" s="136">
        <f>LET(_xlpm.r,Productos!$E$2:$E$2509,_xlpm.m,IFERROR(_xlfn.XMATCH(C2265,_xlpm.r),IFERROR(_xlfn.XMATCH(VALUE(C2265),_xlpm.r),0)),IF(_xlpm.m=0,"",_xlpm.m+1))</f>
        <v/>
      </c>
      <c r="J2265" s="137" t="inlineStr">
        <is>
          <t>Shopify</t>
        </is>
      </c>
    </row>
    <row r="2266">
      <c r="A2266" s="5" t="inlineStr">
        <is>
          <t>Shopify Stetson México › Stetson Americas</t>
        </is>
      </c>
      <c r="B2266" s="5">
        <f>IF($I2="","",INDEX(Productos!$A:$A,$I2))</f>
        <v/>
      </c>
      <c r="C2266" s="134" t="inlineStr">
        <is>
          <t>11-098-0539-0081-M</t>
        </is>
      </c>
      <c r="D2266" s="5">
        <f>IF($I2="","",INDEX(Productos!$B:$B,$I2))</f>
        <v/>
      </c>
      <c r="E2266" s="5">
        <f>IF($I2="","",INDEX(Productos!$H:$H,$I2))</f>
        <v/>
      </c>
      <c r="F2266" s="5">
        <f>IF($I2="","",INDEX(Productos!$I:$I,$I2))</f>
        <v/>
      </c>
      <c r="G2266" s="135" t="n">
        <v>2</v>
      </c>
      <c r="H2266" s="5">
        <f>IF($I2="","",INDEX(Productos!$AG:$AG,$I2))</f>
        <v/>
      </c>
      <c r="I2266" s="136">
        <f>LET(_xlpm.r,Productos!$E$2:$E$2509,_xlpm.m,IFERROR(_xlfn.XMATCH(C2266,_xlpm.r),IFERROR(_xlfn.XMATCH(VALUE(C2266),_xlpm.r),0)),IF(_xlpm.m=0,"",_xlpm.m+1))</f>
        <v/>
      </c>
      <c r="J2266" s="137" t="inlineStr">
        <is>
          <t>Shopify</t>
        </is>
      </c>
    </row>
    <row r="2267">
      <c r="A2267" s="5" t="inlineStr">
        <is>
          <t>Shopify Stetson México › Stetson Americas</t>
        </is>
      </c>
      <c r="B2267" s="5">
        <f>IF($I2="","",INDEX(Productos!$A:$A,$I2))</f>
        <v/>
      </c>
      <c r="C2267" s="134" t="inlineStr">
        <is>
          <t>11-098-0539-0081-XS</t>
        </is>
      </c>
      <c r="D2267" s="5">
        <f>IF($I2="","",INDEX(Productos!$B:$B,$I2))</f>
        <v/>
      </c>
      <c r="E2267" s="5">
        <f>IF($I2="","",INDEX(Productos!$H:$H,$I2))</f>
        <v/>
      </c>
      <c r="F2267" s="5">
        <f>IF($I2="","",INDEX(Productos!$I:$I,$I2))</f>
        <v/>
      </c>
      <c r="G2267" s="135" t="n">
        <v>1</v>
      </c>
      <c r="H2267" s="5">
        <f>IF($I2="","",INDEX(Productos!$AG:$AG,$I2))</f>
        <v/>
      </c>
      <c r="I2267" s="136">
        <f>LET(_xlpm.r,Productos!$E$2:$E$2509,_xlpm.m,IFERROR(_xlfn.XMATCH(C2267,_xlpm.r),IFERROR(_xlfn.XMATCH(VALUE(C2267),_xlpm.r),0)),IF(_xlpm.m=0,"",_xlpm.m+1))</f>
        <v/>
      </c>
      <c r="J2267" s="137" t="inlineStr">
        <is>
          <t>Shopify</t>
        </is>
      </c>
    </row>
    <row r="2268">
      <c r="A2268" s="5" t="inlineStr">
        <is>
          <t>Shopify Stetson México › Stetson Americas</t>
        </is>
      </c>
      <c r="B2268" s="5">
        <f>IF($I2="","",INDEX(Productos!$A:$A,$I2))</f>
        <v/>
      </c>
      <c r="C2268" s="134" t="inlineStr">
        <is>
          <t>11-098-0539-7039-M</t>
        </is>
      </c>
      <c r="D2268" s="5">
        <f>IF($I2="","",INDEX(Productos!$B:$B,$I2))</f>
        <v/>
      </c>
      <c r="E2268" s="5">
        <f>IF($I2="","",INDEX(Productos!$H:$H,$I2))</f>
        <v/>
      </c>
      <c r="F2268" s="5">
        <f>IF($I2="","",INDEX(Productos!$I:$I,$I2))</f>
        <v/>
      </c>
      <c r="G2268" s="135" t="n">
        <v>1</v>
      </c>
      <c r="H2268" s="5">
        <f>IF($I2="","",INDEX(Productos!$AG:$AG,$I2))</f>
        <v/>
      </c>
      <c r="I2268" s="136">
        <f>LET(_xlpm.r,Productos!$E$2:$E$2509,_xlpm.m,IFERROR(_xlfn.XMATCH(C2268,_xlpm.r),IFERROR(_xlfn.XMATCH(VALUE(C2268),_xlpm.r),0)),IF(_xlpm.m=0,"",_xlpm.m+1))</f>
        <v/>
      </c>
      <c r="J2268" s="137" t="inlineStr">
        <is>
          <t>Shopify</t>
        </is>
      </c>
    </row>
    <row r="2269">
      <c r="A2269" s="5" t="inlineStr">
        <is>
          <t>Shopify Stetson México › Stetson Americas</t>
        </is>
      </c>
      <c r="B2269" s="5">
        <f>IF($I2="","",INDEX(Productos!$A:$A,$I2))</f>
        <v/>
      </c>
      <c r="C2269" s="134" t="inlineStr">
        <is>
          <t>11-098-0539-7108-L</t>
        </is>
      </c>
      <c r="D2269" s="5">
        <f>IF($I2="","",INDEX(Productos!$B:$B,$I2))</f>
        <v/>
      </c>
      <c r="E2269" s="5">
        <f>IF($I2="","",INDEX(Productos!$H:$H,$I2))</f>
        <v/>
      </c>
      <c r="F2269" s="5">
        <f>IF($I2="","",INDEX(Productos!$I:$I,$I2))</f>
        <v/>
      </c>
      <c r="G2269" s="135" t="n">
        <v>1</v>
      </c>
      <c r="H2269" s="5">
        <f>IF($I2="","",INDEX(Productos!$AG:$AG,$I2))</f>
        <v/>
      </c>
      <c r="I2269" s="136">
        <f>LET(_xlpm.r,Productos!$E$2:$E$2509,_xlpm.m,IFERROR(_xlfn.XMATCH(C2269,_xlpm.r),IFERROR(_xlfn.XMATCH(VALUE(C2269),_xlpm.r),0)),IF(_xlpm.m=0,"",_xlpm.m+1))</f>
        <v/>
      </c>
      <c r="J2269" s="137" t="inlineStr">
        <is>
          <t>Shopify</t>
        </is>
      </c>
    </row>
    <row r="2270">
      <c r="A2270" s="5" t="inlineStr">
        <is>
          <t>Shopify Stetson México › Stetson Americas</t>
        </is>
      </c>
      <c r="B2270" s="5">
        <f>IF($I2="","",INDEX(Productos!$A:$A,$I2))</f>
        <v/>
      </c>
      <c r="C2270" s="134" t="inlineStr">
        <is>
          <t>11-098-0539-7108-M</t>
        </is>
      </c>
      <c r="D2270" s="5">
        <f>IF($I2="","",INDEX(Productos!$B:$B,$I2))</f>
        <v/>
      </c>
      <c r="E2270" s="5">
        <f>IF($I2="","",INDEX(Productos!$H:$H,$I2))</f>
        <v/>
      </c>
      <c r="F2270" s="5">
        <f>IF($I2="","",INDEX(Productos!$I:$I,$I2))</f>
        <v/>
      </c>
      <c r="G2270" s="135" t="n">
        <v>2</v>
      </c>
      <c r="H2270" s="5">
        <f>IF($I2="","",INDEX(Productos!$AG:$AG,$I2))</f>
        <v/>
      </c>
      <c r="I2270" s="136">
        <f>LET(_xlpm.r,Productos!$E$2:$E$2509,_xlpm.m,IFERROR(_xlfn.XMATCH(C2270,_xlpm.r),IFERROR(_xlfn.XMATCH(VALUE(C2270),_xlpm.r),0)),IF(_xlpm.m=0,"",_xlpm.m+1))</f>
        <v/>
      </c>
      <c r="J2270" s="137" t="inlineStr">
        <is>
          <t>Shopify</t>
        </is>
      </c>
    </row>
    <row r="2271">
      <c r="A2271" s="5" t="inlineStr">
        <is>
          <t>Shopify Stetson México › Stetson Americas</t>
        </is>
      </c>
      <c r="B2271" s="5">
        <f>IF($I2="","",INDEX(Productos!$A:$A,$I2))</f>
        <v/>
      </c>
      <c r="C2271" s="134" t="inlineStr">
        <is>
          <t>11-098-0539-7108-S</t>
        </is>
      </c>
      <c r="D2271" s="5">
        <f>IF($I2="","",INDEX(Productos!$B:$B,$I2))</f>
        <v/>
      </c>
      <c r="E2271" s="5">
        <f>IF($I2="","",INDEX(Productos!$H:$H,$I2))</f>
        <v/>
      </c>
      <c r="F2271" s="5">
        <f>IF($I2="","",INDEX(Productos!$I:$I,$I2))</f>
        <v/>
      </c>
      <c r="G2271" s="135" t="n">
        <v>1</v>
      </c>
      <c r="H2271" s="5">
        <f>IF($I2="","",INDEX(Productos!$AG:$AG,$I2))</f>
        <v/>
      </c>
      <c r="I2271" s="136">
        <f>LET(_xlpm.r,Productos!$E$2:$E$2509,_xlpm.m,IFERROR(_xlfn.XMATCH(C2271,_xlpm.r),IFERROR(_xlfn.XMATCH(VALUE(C2271),_xlpm.r),0)),IF(_xlpm.m=0,"",_xlpm.m+1))</f>
        <v/>
      </c>
      <c r="J2271" s="137" t="inlineStr">
        <is>
          <t>Shopify</t>
        </is>
      </c>
    </row>
    <row r="2272">
      <c r="A2272" s="5" t="inlineStr">
        <is>
          <t>Shopify Stetson México › Stetson Americas</t>
        </is>
      </c>
      <c r="B2272" s="5">
        <f>IF($I2="","",INDEX(Productos!$A:$A,$I2))</f>
        <v/>
      </c>
      <c r="C2272" s="134" t="inlineStr">
        <is>
          <t>11-098-0539-9161-L</t>
        </is>
      </c>
      <c r="D2272" s="5">
        <f>IF($I2="","",INDEX(Productos!$B:$B,$I2))</f>
        <v/>
      </c>
      <c r="E2272" s="5">
        <f>IF($I2="","",INDEX(Productos!$H:$H,$I2))</f>
        <v/>
      </c>
      <c r="F2272" s="5">
        <f>IF($I2="","",INDEX(Productos!$I:$I,$I2))</f>
        <v/>
      </c>
      <c r="G2272" s="135" t="n">
        <v>1</v>
      </c>
      <c r="H2272" s="5">
        <f>IF($I2="","",INDEX(Productos!$AG:$AG,$I2))</f>
        <v/>
      </c>
      <c r="I2272" s="136">
        <f>LET(_xlpm.r,Productos!$E$2:$E$2509,_xlpm.m,IFERROR(_xlfn.XMATCH(C2272,_xlpm.r),IFERROR(_xlfn.XMATCH(VALUE(C2272),_xlpm.r),0)),IF(_xlpm.m=0,"",_xlpm.m+1))</f>
        <v/>
      </c>
      <c r="J2272" s="137" t="inlineStr">
        <is>
          <t>Shopify</t>
        </is>
      </c>
    </row>
    <row r="2273">
      <c r="A2273" s="5" t="inlineStr">
        <is>
          <t>Shopify Stetson México › Stetson Americas</t>
        </is>
      </c>
      <c r="B2273" s="5">
        <f>IF($I2="","",INDEX(Productos!$A:$A,$I2))</f>
        <v/>
      </c>
      <c r="C2273" s="134" t="inlineStr">
        <is>
          <t>11-098-0539-9161-M</t>
        </is>
      </c>
      <c r="D2273" s="5">
        <f>IF($I2="","",INDEX(Productos!$B:$B,$I2))</f>
        <v/>
      </c>
      <c r="E2273" s="5">
        <f>IF($I2="","",INDEX(Productos!$H:$H,$I2))</f>
        <v/>
      </c>
      <c r="F2273" s="5">
        <f>IF($I2="","",INDEX(Productos!$I:$I,$I2))</f>
        <v/>
      </c>
      <c r="G2273" s="135" t="n">
        <v>1</v>
      </c>
      <c r="H2273" s="5">
        <f>IF($I2="","",INDEX(Productos!$AG:$AG,$I2))</f>
        <v/>
      </c>
      <c r="I2273" s="136">
        <f>LET(_xlpm.r,Productos!$E$2:$E$2509,_xlpm.m,IFERROR(_xlfn.XMATCH(C2273,_xlpm.r),IFERROR(_xlfn.XMATCH(VALUE(C2273),_xlpm.r),0)),IF(_xlpm.m=0,"",_xlpm.m+1))</f>
        <v/>
      </c>
      <c r="J2273" s="137" t="inlineStr">
        <is>
          <t>Shopify</t>
        </is>
      </c>
    </row>
    <row r="2274">
      <c r="A2274" s="5" t="inlineStr">
        <is>
          <t>Shopify Stetson México › Stetson Americas</t>
        </is>
      </c>
      <c r="B2274" s="5">
        <f>IF($I2="","",INDEX(Productos!$A:$A,$I2))</f>
        <v/>
      </c>
      <c r="C2274" s="134" t="inlineStr">
        <is>
          <t>11-098-0539-9161-XS</t>
        </is>
      </c>
      <c r="D2274" s="5">
        <f>IF($I2="","",INDEX(Productos!$B:$B,$I2))</f>
        <v/>
      </c>
      <c r="E2274" s="5">
        <f>IF($I2="","",INDEX(Productos!$H:$H,$I2))</f>
        <v/>
      </c>
      <c r="F2274" s="5">
        <f>IF($I2="","",INDEX(Productos!$I:$I,$I2))</f>
        <v/>
      </c>
      <c r="G2274" s="135" t="n">
        <v>1</v>
      </c>
      <c r="H2274" s="5">
        <f>IF($I2="","",INDEX(Productos!$AG:$AG,$I2))</f>
        <v/>
      </c>
      <c r="I2274" s="136">
        <f>LET(_xlpm.r,Productos!$E$2:$E$2509,_xlpm.m,IFERROR(_xlfn.XMATCH(C2274,_xlpm.r),IFERROR(_xlfn.XMATCH(VALUE(C2274),_xlpm.r),0)),IF(_xlpm.m=0,"",_xlpm.m+1))</f>
        <v/>
      </c>
      <c r="J2274" s="137" t="inlineStr">
        <is>
          <t>Shopify</t>
        </is>
      </c>
    </row>
    <row r="2275">
      <c r="A2275" s="5" t="inlineStr">
        <is>
          <t>Shopify Stetson México › Stetson Americas</t>
        </is>
      </c>
      <c r="B2275" s="5">
        <f>IF($I2="","",INDEX(Productos!$A:$A,$I2))</f>
        <v/>
      </c>
      <c r="C2275" s="134" t="inlineStr">
        <is>
          <t>11-098-0594-0075-M</t>
        </is>
      </c>
      <c r="D2275" s="5">
        <f>IF($I2="","",INDEX(Productos!$B:$B,$I2))</f>
        <v/>
      </c>
      <c r="E2275" s="5">
        <f>IF($I2="","",INDEX(Productos!$H:$H,$I2))</f>
        <v/>
      </c>
      <c r="F2275" s="5">
        <f>IF($I2="","",INDEX(Productos!$I:$I,$I2))</f>
        <v/>
      </c>
      <c r="G2275" s="135" t="n">
        <v>2</v>
      </c>
      <c r="H2275" s="5">
        <f>IF($I2="","",INDEX(Productos!$AG:$AG,$I2))</f>
        <v/>
      </c>
      <c r="I2275" s="136">
        <f>LET(_xlpm.r,Productos!$E$2:$E$2509,_xlpm.m,IFERROR(_xlfn.XMATCH(C2275,_xlpm.r),IFERROR(_xlfn.XMATCH(VALUE(C2275),_xlpm.r),0)),IF(_xlpm.m=0,"",_xlpm.m+1))</f>
        <v/>
      </c>
      <c r="J2275" s="137" t="inlineStr">
        <is>
          <t>Shopify</t>
        </is>
      </c>
    </row>
    <row r="2276">
      <c r="A2276" s="5" t="inlineStr">
        <is>
          <t>Shopify Stetson México › Stetson Americas</t>
        </is>
      </c>
      <c r="B2276" s="5">
        <f>IF($I2="","",INDEX(Productos!$A:$A,$I2))</f>
        <v/>
      </c>
      <c r="C2276" s="134" t="inlineStr">
        <is>
          <t>12-020-BS000-10-1017-027</t>
        </is>
      </c>
      <c r="D2276" s="5">
        <f>IF($I2="","",INDEX(Productos!$B:$B,$I2))</f>
        <v/>
      </c>
      <c r="E2276" s="5">
        <f>IF($I2="","",INDEX(Productos!$H:$H,$I2))</f>
        <v/>
      </c>
      <c r="F2276" s="5">
        <f>IF($I2="","",INDEX(Productos!$I:$I,$I2))</f>
        <v/>
      </c>
      <c r="G2276" s="135" t="n">
        <v>1</v>
      </c>
      <c r="H2276" s="5">
        <f>IF($I2="","",INDEX(Productos!$AG:$AG,$I2))</f>
        <v/>
      </c>
      <c r="I2276" s="136">
        <f>LET(_xlpm.r,Productos!$E$2:$E$2509,_xlpm.m,IFERROR(_xlfn.XMATCH(C2276,_xlpm.r),IFERROR(_xlfn.XMATCH(VALUE(C2276),_xlpm.r),0)),IF(_xlpm.m=0,"",_xlpm.m+1))</f>
        <v/>
      </c>
      <c r="J2276" s="137" t="inlineStr">
        <is>
          <t>Shopify</t>
        </is>
      </c>
    </row>
    <row r="2277">
      <c r="A2277" s="5" t="inlineStr">
        <is>
          <t>Shopify Stetson México › Stetson Americas</t>
        </is>
      </c>
      <c r="B2277" s="5">
        <f>IF($I2="","",INDEX(Productos!$A:$A,$I2))</f>
        <v/>
      </c>
      <c r="C2277" s="134" t="inlineStr">
        <is>
          <t>12-020-BS000-10-1017-029</t>
        </is>
      </c>
      <c r="D2277" s="5">
        <f>IF($I2="","",INDEX(Productos!$B:$B,$I2))</f>
        <v/>
      </c>
      <c r="E2277" s="5">
        <f>IF($I2="","",INDEX(Productos!$H:$H,$I2))</f>
        <v/>
      </c>
      <c r="F2277" s="5">
        <f>IF($I2="","",INDEX(Productos!$I:$I,$I2))</f>
        <v/>
      </c>
      <c r="G2277" s="135" t="n">
        <v>1</v>
      </c>
      <c r="H2277" s="5">
        <f>IF($I2="","",INDEX(Productos!$AG:$AG,$I2))</f>
        <v/>
      </c>
      <c r="I2277" s="136">
        <f>LET(_xlpm.r,Productos!$E$2:$E$2509,_xlpm.m,IFERROR(_xlfn.XMATCH(C2277,_xlpm.r),IFERROR(_xlfn.XMATCH(VALUE(C2277),_xlpm.r),0)),IF(_xlpm.m=0,"",_xlpm.m+1))</f>
        <v/>
      </c>
      <c r="J2277" s="137" t="inlineStr">
        <is>
          <t>Shopify</t>
        </is>
      </c>
    </row>
    <row r="2278">
      <c r="A2278" s="5" t="inlineStr">
        <is>
          <t>Shopify Stetson México › Stetson Americas</t>
        </is>
      </c>
      <c r="B2278" s="5">
        <f>IF($I2="","",INDEX(Productos!$A:$A,$I2))</f>
        <v/>
      </c>
      <c r="C2278" s="134" t="inlineStr">
        <is>
          <t>12-020-BS000-10-1017-275</t>
        </is>
      </c>
      <c r="D2278" s="5">
        <f>IF($I2="","",INDEX(Productos!$B:$B,$I2))</f>
        <v/>
      </c>
      <c r="E2278" s="5">
        <f>IF($I2="","",INDEX(Productos!$H:$H,$I2))</f>
        <v/>
      </c>
      <c r="F2278" s="5">
        <f>IF($I2="","",INDEX(Productos!$I:$I,$I2))</f>
        <v/>
      </c>
      <c r="G2278" s="135" t="n">
        <v>1</v>
      </c>
      <c r="H2278" s="5">
        <f>IF($I2="","",INDEX(Productos!$AG:$AG,$I2))</f>
        <v/>
      </c>
      <c r="I2278" s="136">
        <f>LET(_xlpm.r,Productos!$E$2:$E$2509,_xlpm.m,IFERROR(_xlfn.XMATCH(C2278,_xlpm.r),IFERROR(_xlfn.XMATCH(VALUE(C2278),_xlpm.r),0)),IF(_xlpm.m=0,"",_xlpm.m+1))</f>
        <v/>
      </c>
      <c r="J2278" s="137" t="inlineStr">
        <is>
          <t>Shopify</t>
        </is>
      </c>
    </row>
    <row r="2279">
      <c r="A2279" s="5" t="inlineStr">
        <is>
          <t>Shopify Stetson México › Stetson Americas</t>
        </is>
      </c>
      <c r="B2279" s="5">
        <f>IF($I2="","",INDEX(Productos!$A:$A,$I2))</f>
        <v/>
      </c>
      <c r="C2279" s="134" t="inlineStr">
        <is>
          <t>12-020-BS000-10-1017-285</t>
        </is>
      </c>
      <c r="D2279" s="5">
        <f>IF($I2="","",INDEX(Productos!$B:$B,$I2))</f>
        <v/>
      </c>
      <c r="E2279" s="5">
        <f>IF($I2="","",INDEX(Productos!$H:$H,$I2))</f>
        <v/>
      </c>
      <c r="F2279" s="5">
        <f>IF($I2="","",INDEX(Productos!$I:$I,$I2))</f>
        <v/>
      </c>
      <c r="G2279" s="135" t="n">
        <v>2</v>
      </c>
      <c r="H2279" s="5">
        <f>IF($I2="","",INDEX(Productos!$AG:$AG,$I2))</f>
        <v/>
      </c>
      <c r="I2279" s="136">
        <f>LET(_xlpm.r,Productos!$E$2:$E$2509,_xlpm.m,IFERROR(_xlfn.XMATCH(C2279,_xlpm.r),IFERROR(_xlfn.XMATCH(VALUE(C2279),_xlpm.r),0)),IF(_xlpm.m=0,"",_xlpm.m+1))</f>
        <v/>
      </c>
      <c r="J2279" s="137" t="inlineStr">
        <is>
          <t>Shopify</t>
        </is>
      </c>
    </row>
    <row r="2280">
      <c r="A2280" s="5" t="inlineStr">
        <is>
          <t>Shopify Stetson México › Stetson Americas</t>
        </is>
      </c>
      <c r="B2280" s="5">
        <f>IF($I2="","",INDEX(Productos!$A:$A,$I2))</f>
        <v/>
      </c>
      <c r="C2280" s="134" t="inlineStr">
        <is>
          <t>12-020-BS000-10-1018-027</t>
        </is>
      </c>
      <c r="D2280" s="5">
        <f>IF($I2="","",INDEX(Productos!$B:$B,$I2))</f>
        <v/>
      </c>
      <c r="E2280" s="5">
        <f>IF($I2="","",INDEX(Productos!$H:$H,$I2))</f>
        <v/>
      </c>
      <c r="F2280" s="5">
        <f>IF($I2="","",INDEX(Productos!$I:$I,$I2))</f>
        <v/>
      </c>
      <c r="G2280" s="135" t="n">
        <v>1</v>
      </c>
      <c r="H2280" s="5">
        <f>IF($I2="","",INDEX(Productos!$AG:$AG,$I2))</f>
        <v/>
      </c>
      <c r="I2280" s="136">
        <f>LET(_xlpm.r,Productos!$E$2:$E$2509,_xlpm.m,IFERROR(_xlfn.XMATCH(C2280,_xlpm.r),IFERROR(_xlfn.XMATCH(VALUE(C2280),_xlpm.r),0)),IF(_xlpm.m=0,"",_xlpm.m+1))</f>
        <v/>
      </c>
      <c r="J2280" s="137" t="inlineStr">
        <is>
          <t>Shopify</t>
        </is>
      </c>
    </row>
    <row r="2281">
      <c r="A2281" s="5" t="inlineStr">
        <is>
          <t>Shopify Stetson México › Stetson Americas</t>
        </is>
      </c>
      <c r="B2281" s="5">
        <f>IF($I2="","",INDEX(Productos!$A:$A,$I2))</f>
        <v/>
      </c>
      <c r="C2281" s="134" t="inlineStr">
        <is>
          <t>12-020-BS000-10-1018-029</t>
        </is>
      </c>
      <c r="D2281" s="5">
        <f>IF($I2="","",INDEX(Productos!$B:$B,$I2))</f>
        <v/>
      </c>
      <c r="E2281" s="5">
        <f>IF($I2="","",INDEX(Productos!$H:$H,$I2))</f>
        <v/>
      </c>
      <c r="F2281" s="5">
        <f>IF($I2="","",INDEX(Productos!$I:$I,$I2))</f>
        <v/>
      </c>
      <c r="G2281" s="135" t="n">
        <v>1</v>
      </c>
      <c r="H2281" s="5">
        <f>IF($I2="","",INDEX(Productos!$AG:$AG,$I2))</f>
        <v/>
      </c>
      <c r="I2281" s="136">
        <f>LET(_xlpm.r,Productos!$E$2:$E$2509,_xlpm.m,IFERROR(_xlfn.XMATCH(C2281,_xlpm.r),IFERROR(_xlfn.XMATCH(VALUE(C2281),_xlpm.r),0)),IF(_xlpm.m=0,"",_xlpm.m+1))</f>
        <v/>
      </c>
      <c r="J2281" s="137" t="inlineStr">
        <is>
          <t>Shopify</t>
        </is>
      </c>
    </row>
    <row r="2282">
      <c r="A2282" s="5" t="inlineStr">
        <is>
          <t>Shopify Stetson México › Stetson Americas</t>
        </is>
      </c>
      <c r="B2282" s="5">
        <f>IF($I2="","",INDEX(Productos!$A:$A,$I2))</f>
        <v/>
      </c>
      <c r="C2282" s="134" t="inlineStr">
        <is>
          <t>12-020-BS000-10-1018-275</t>
        </is>
      </c>
      <c r="D2282" s="5">
        <f>IF($I2="","",INDEX(Productos!$B:$B,$I2))</f>
        <v/>
      </c>
      <c r="E2282" s="5">
        <f>IF($I2="","",INDEX(Productos!$H:$H,$I2))</f>
        <v/>
      </c>
      <c r="F2282" s="5">
        <f>IF($I2="","",INDEX(Productos!$I:$I,$I2))</f>
        <v/>
      </c>
      <c r="G2282" s="135" t="n">
        <v>1</v>
      </c>
      <c r="H2282" s="5">
        <f>IF($I2="","",INDEX(Productos!$AG:$AG,$I2))</f>
        <v/>
      </c>
      <c r="I2282" s="136">
        <f>LET(_xlpm.r,Productos!$E$2:$E$2509,_xlpm.m,IFERROR(_xlfn.XMATCH(C2282,_xlpm.r),IFERROR(_xlfn.XMATCH(VALUE(C2282),_xlpm.r),0)),IF(_xlpm.m=0,"",_xlpm.m+1))</f>
        <v/>
      </c>
      <c r="J2282" s="137" t="inlineStr">
        <is>
          <t>Shopify</t>
        </is>
      </c>
    </row>
    <row r="2283">
      <c r="A2283" s="5" t="inlineStr">
        <is>
          <t>Shopify Stetson México › Stetson Americas</t>
        </is>
      </c>
      <c r="B2283" s="5">
        <f>IF($I2="","",INDEX(Productos!$A:$A,$I2))</f>
        <v/>
      </c>
      <c r="C2283" s="134" t="inlineStr">
        <is>
          <t>12-020-BS000-10-1018-285</t>
        </is>
      </c>
      <c r="D2283" s="5">
        <f>IF($I2="","",INDEX(Productos!$B:$B,$I2))</f>
        <v/>
      </c>
      <c r="E2283" s="5">
        <f>IF($I2="","",INDEX(Productos!$H:$H,$I2))</f>
        <v/>
      </c>
      <c r="F2283" s="5">
        <f>IF($I2="","",INDEX(Productos!$I:$I,$I2))</f>
        <v/>
      </c>
      <c r="G2283" s="135" t="n">
        <v>2</v>
      </c>
      <c r="H2283" s="5">
        <f>IF($I2="","",INDEX(Productos!$AG:$AG,$I2))</f>
        <v/>
      </c>
      <c r="I2283" s="136">
        <f>LET(_xlpm.r,Productos!$E$2:$E$2509,_xlpm.m,IFERROR(_xlfn.XMATCH(C2283,_xlpm.r),IFERROR(_xlfn.XMATCH(VALUE(C2283),_xlpm.r),0)),IF(_xlpm.m=0,"",_xlpm.m+1))</f>
        <v/>
      </c>
      <c r="J2283" s="137" t="inlineStr">
        <is>
          <t>Shopify</t>
        </is>
      </c>
    </row>
    <row r="2284">
      <c r="A2284" s="5" t="inlineStr">
        <is>
          <t>Shopify Stetson México › Stetson Americas</t>
        </is>
      </c>
      <c r="B2284" s="5">
        <f>IF($I2="","",INDEX(Productos!$A:$A,$I2))</f>
        <v/>
      </c>
      <c r="C2284" s="134" t="inlineStr">
        <is>
          <t>12-020-BS000-13-1043-255</t>
        </is>
      </c>
      <c r="D2284" s="5">
        <f>IF($I2="","",INDEX(Productos!$B:$B,$I2))</f>
        <v/>
      </c>
      <c r="E2284" s="5">
        <f>IF($I2="","",INDEX(Productos!$H:$H,$I2))</f>
        <v/>
      </c>
      <c r="F2284" s="5">
        <f>IF($I2="","",INDEX(Productos!$I:$I,$I2))</f>
        <v/>
      </c>
      <c r="G2284" s="135" t="n">
        <v>1</v>
      </c>
      <c r="H2284" s="5">
        <f>IF($I2="","",INDEX(Productos!$AG:$AG,$I2))</f>
        <v/>
      </c>
      <c r="I2284" s="136">
        <f>LET(_xlpm.r,Productos!$E$2:$E$2509,_xlpm.m,IFERROR(_xlfn.XMATCH(C2284,_xlpm.r),IFERROR(_xlfn.XMATCH(VALUE(C2284),_xlpm.r),0)),IF(_xlpm.m=0,"",_xlpm.m+1))</f>
        <v/>
      </c>
      <c r="J2284" s="137" t="inlineStr">
        <is>
          <t>Shopify</t>
        </is>
      </c>
    </row>
    <row r="2285">
      <c r="A2285" s="5" t="inlineStr">
        <is>
          <t>Shopify Stetson México › Stetson Americas</t>
        </is>
      </c>
      <c r="B2285" s="5">
        <f>IF($I2="","",INDEX(Productos!$A:$A,$I2))</f>
        <v/>
      </c>
      <c r="C2285" s="134" t="inlineStr">
        <is>
          <t>12-020-BS000-13-1044-255</t>
        </is>
      </c>
      <c r="D2285" s="5">
        <f>IF($I2="","",INDEX(Productos!$B:$B,$I2))</f>
        <v/>
      </c>
      <c r="E2285" s="5">
        <f>IF($I2="","",INDEX(Productos!$H:$H,$I2))</f>
        <v/>
      </c>
      <c r="F2285" s="5">
        <f>IF($I2="","",INDEX(Productos!$I:$I,$I2))</f>
        <v/>
      </c>
      <c r="G2285" s="135" t="n">
        <v>1</v>
      </c>
      <c r="H2285" s="5">
        <f>IF($I2="","",INDEX(Productos!$AG:$AG,$I2))</f>
        <v/>
      </c>
      <c r="I2285" s="136">
        <f>LET(_xlpm.r,Productos!$E$2:$E$2509,_xlpm.m,IFERROR(_xlfn.XMATCH(C2285,_xlpm.r),IFERROR(_xlfn.XMATCH(VALUE(C2285),_xlpm.r),0)),IF(_xlpm.m=0,"",_xlpm.m+1))</f>
        <v/>
      </c>
      <c r="J2285" s="137" t="inlineStr">
        <is>
          <t>Shopify</t>
        </is>
      </c>
    </row>
    <row r="2286">
      <c r="A2286" s="5" t="inlineStr">
        <is>
          <t>Shopify Stetson México › Stetson Americas</t>
        </is>
      </c>
      <c r="B2286" s="5">
        <f>IF($I2="","",INDEX(Productos!$A:$A,$I2))</f>
        <v/>
      </c>
      <c r="C2286" s="134" t="inlineStr">
        <is>
          <t>12-020-BS000-13-1045-255</t>
        </is>
      </c>
      <c r="D2286" s="5">
        <f>IF($I2="","",INDEX(Productos!$B:$B,$I2))</f>
        <v/>
      </c>
      <c r="E2286" s="5">
        <f>IF($I2="","",INDEX(Productos!$H:$H,$I2))</f>
        <v/>
      </c>
      <c r="F2286" s="5">
        <f>IF($I2="","",INDEX(Productos!$I:$I,$I2))</f>
        <v/>
      </c>
      <c r="G2286" s="135" t="n">
        <v>2</v>
      </c>
      <c r="H2286" s="5">
        <f>IF($I2="","",INDEX(Productos!$AG:$AG,$I2))</f>
        <v/>
      </c>
      <c r="I2286" s="136">
        <f>LET(_xlpm.r,Productos!$E$2:$E$2509,_xlpm.m,IFERROR(_xlfn.XMATCH(C2286,_xlpm.r),IFERROR(_xlfn.XMATCH(VALUE(C2286),_xlpm.r),0)),IF(_xlpm.m=0,"",_xlpm.m+1))</f>
        <v/>
      </c>
      <c r="J2286" s="137" t="inlineStr">
        <is>
          <t>Shopify</t>
        </is>
      </c>
    </row>
    <row r="2287">
      <c r="A2287" s="5" t="inlineStr">
        <is>
          <t>Shopify Stetson México › Stetson Americas</t>
        </is>
      </c>
      <c r="B2287" s="5">
        <f>IF($I2="","",INDEX(Productos!$A:$A,$I2))</f>
        <v/>
      </c>
      <c r="C2287" s="134" t="inlineStr">
        <is>
          <t>12-020-BS001-10-1000-027</t>
        </is>
      </c>
      <c r="D2287" s="5">
        <f>IF($I2="","",INDEX(Productos!$B:$B,$I2))</f>
        <v/>
      </c>
      <c r="E2287" s="5">
        <f>IF($I2="","",INDEX(Productos!$H:$H,$I2))</f>
        <v/>
      </c>
      <c r="F2287" s="5">
        <f>IF($I2="","",INDEX(Productos!$I:$I,$I2))</f>
        <v/>
      </c>
      <c r="G2287" s="135" t="n">
        <v>1</v>
      </c>
      <c r="H2287" s="5">
        <f>IF($I2="","",INDEX(Productos!$AG:$AG,$I2))</f>
        <v/>
      </c>
      <c r="I2287" s="136">
        <f>LET(_xlpm.r,Productos!$E$2:$E$2509,_xlpm.m,IFERROR(_xlfn.XMATCH(C2287,_xlpm.r),IFERROR(_xlfn.XMATCH(VALUE(C2287),_xlpm.r),0)),IF(_xlpm.m=0,"",_xlpm.m+1))</f>
        <v/>
      </c>
      <c r="J2287" s="137" t="inlineStr">
        <is>
          <t>Shopify</t>
        </is>
      </c>
    </row>
    <row r="2288">
      <c r="A2288" s="5" t="inlineStr">
        <is>
          <t>Shopify Stetson México › Stetson Americas</t>
        </is>
      </c>
      <c r="B2288" s="5">
        <f>IF($I2="","",INDEX(Productos!$A:$A,$I2))</f>
        <v/>
      </c>
      <c r="C2288" s="134" t="inlineStr">
        <is>
          <t>12-020-BS001-10-1000-029</t>
        </is>
      </c>
      <c r="D2288" s="5">
        <f>IF($I2="","",INDEX(Productos!$B:$B,$I2))</f>
        <v/>
      </c>
      <c r="E2288" s="5">
        <f>IF($I2="","",INDEX(Productos!$H:$H,$I2))</f>
        <v/>
      </c>
      <c r="F2288" s="5">
        <f>IF($I2="","",INDEX(Productos!$I:$I,$I2))</f>
        <v/>
      </c>
      <c r="G2288" s="135" t="n">
        <v>1</v>
      </c>
      <c r="H2288" s="5">
        <f>IF($I2="","",INDEX(Productos!$AG:$AG,$I2))</f>
        <v/>
      </c>
      <c r="I2288" s="136">
        <f>LET(_xlpm.r,Productos!$E$2:$E$2509,_xlpm.m,IFERROR(_xlfn.XMATCH(C2288,_xlpm.r),IFERROR(_xlfn.XMATCH(VALUE(C2288),_xlpm.r),0)),IF(_xlpm.m=0,"",_xlpm.m+1))</f>
        <v/>
      </c>
      <c r="J2288" s="137" t="inlineStr">
        <is>
          <t>Shopify</t>
        </is>
      </c>
    </row>
    <row r="2289">
      <c r="A2289" s="5" t="inlineStr">
        <is>
          <t>Shopify Stetson México › Stetson Americas</t>
        </is>
      </c>
      <c r="B2289" s="5">
        <f>IF($I2="","",INDEX(Productos!$A:$A,$I2))</f>
        <v/>
      </c>
      <c r="C2289" s="134" t="inlineStr">
        <is>
          <t>12-020-BS001-10-1000-030</t>
        </is>
      </c>
      <c r="D2289" s="5">
        <f>IF($I2="","",INDEX(Productos!$B:$B,$I2))</f>
        <v/>
      </c>
      <c r="E2289" s="5">
        <f>IF($I2="","",INDEX(Productos!$H:$H,$I2))</f>
        <v/>
      </c>
      <c r="F2289" s="5">
        <f>IF($I2="","",INDEX(Productos!$I:$I,$I2))</f>
        <v/>
      </c>
      <c r="G2289" s="135" t="n">
        <v>1</v>
      </c>
      <c r="H2289" s="5">
        <f>IF($I2="","",INDEX(Productos!$AG:$AG,$I2))</f>
        <v/>
      </c>
      <c r="I2289" s="136">
        <f>LET(_xlpm.r,Productos!$E$2:$E$2509,_xlpm.m,IFERROR(_xlfn.XMATCH(C2289,_xlpm.r),IFERROR(_xlfn.XMATCH(VALUE(C2289),_xlpm.r),0)),IF(_xlpm.m=0,"",_xlpm.m+1))</f>
        <v/>
      </c>
      <c r="J2289" s="137" t="inlineStr">
        <is>
          <t>Shopify</t>
        </is>
      </c>
    </row>
    <row r="2290">
      <c r="A2290" s="5" t="inlineStr">
        <is>
          <t>Shopify Stetson México › Stetson Americas</t>
        </is>
      </c>
      <c r="B2290" s="5">
        <f>IF($I2="","",INDEX(Productos!$A:$A,$I2))</f>
        <v/>
      </c>
      <c r="C2290" s="134" t="inlineStr">
        <is>
          <t>12-020-BS001-10-1000-265</t>
        </is>
      </c>
      <c r="D2290" s="5">
        <f>IF($I2="","",INDEX(Productos!$B:$B,$I2))</f>
        <v/>
      </c>
      <c r="E2290" s="5">
        <f>IF($I2="","",INDEX(Productos!$H:$H,$I2))</f>
        <v/>
      </c>
      <c r="F2290" s="5">
        <f>IF($I2="","",INDEX(Productos!$I:$I,$I2))</f>
        <v/>
      </c>
      <c r="G2290" s="135" t="n">
        <v>1</v>
      </c>
      <c r="H2290" s="5">
        <f>IF($I2="","",INDEX(Productos!$AG:$AG,$I2))</f>
        <v/>
      </c>
      <c r="I2290" s="136">
        <f>LET(_xlpm.r,Productos!$E$2:$E$2509,_xlpm.m,IFERROR(_xlfn.XMATCH(C2290,_xlpm.r),IFERROR(_xlfn.XMATCH(VALUE(C2290),_xlpm.r),0)),IF(_xlpm.m=0,"",_xlpm.m+1))</f>
        <v/>
      </c>
      <c r="J2290" s="137" t="inlineStr">
        <is>
          <t>Shopify</t>
        </is>
      </c>
    </row>
    <row r="2291">
      <c r="A2291" s="5" t="inlineStr">
        <is>
          <t>Shopify Stetson México › Stetson Americas</t>
        </is>
      </c>
      <c r="B2291" s="5">
        <f>IF($I2="","",INDEX(Productos!$A:$A,$I2))</f>
        <v/>
      </c>
      <c r="C2291" s="134" t="inlineStr">
        <is>
          <t>12-020-BS001-10-1001-026</t>
        </is>
      </c>
      <c r="D2291" s="5">
        <f>IF($I2="","",INDEX(Productos!$B:$B,$I2))</f>
        <v/>
      </c>
      <c r="E2291" s="5">
        <f>IF($I2="","",INDEX(Productos!$H:$H,$I2))</f>
        <v/>
      </c>
      <c r="F2291" s="5">
        <f>IF($I2="","",INDEX(Productos!$I:$I,$I2))</f>
        <v/>
      </c>
      <c r="G2291" s="135" t="n">
        <v>1</v>
      </c>
      <c r="H2291" s="5">
        <f>IF($I2="","",INDEX(Productos!$AG:$AG,$I2))</f>
        <v/>
      </c>
      <c r="I2291" s="136">
        <f>LET(_xlpm.r,Productos!$E$2:$E$2509,_xlpm.m,IFERROR(_xlfn.XMATCH(C2291,_xlpm.r),IFERROR(_xlfn.XMATCH(VALUE(C2291),_xlpm.r),0)),IF(_xlpm.m=0,"",_xlpm.m+1))</f>
        <v/>
      </c>
      <c r="J2291" s="137" t="inlineStr">
        <is>
          <t>Shopify</t>
        </is>
      </c>
    </row>
    <row r="2292">
      <c r="A2292" s="5" t="inlineStr">
        <is>
          <t>Shopify Stetson México › Stetson Americas</t>
        </is>
      </c>
      <c r="B2292" s="5">
        <f>IF($I2="","",INDEX(Productos!$A:$A,$I2))</f>
        <v/>
      </c>
      <c r="C2292" s="134" t="inlineStr">
        <is>
          <t>12-020-BS001-10-1001-027</t>
        </is>
      </c>
      <c r="D2292" s="5">
        <f>IF($I2="","",INDEX(Productos!$B:$B,$I2))</f>
        <v/>
      </c>
      <c r="E2292" s="5">
        <f>IF($I2="","",INDEX(Productos!$H:$H,$I2))</f>
        <v/>
      </c>
      <c r="F2292" s="5">
        <f>IF($I2="","",INDEX(Productos!$I:$I,$I2))</f>
        <v/>
      </c>
      <c r="G2292" s="135" t="n">
        <v>2</v>
      </c>
      <c r="H2292" s="5">
        <f>IF($I2="","",INDEX(Productos!$AG:$AG,$I2))</f>
        <v/>
      </c>
      <c r="I2292" s="136">
        <f>LET(_xlpm.r,Productos!$E$2:$E$2509,_xlpm.m,IFERROR(_xlfn.XMATCH(C2292,_xlpm.r),IFERROR(_xlfn.XMATCH(VALUE(C2292),_xlpm.r),0)),IF(_xlpm.m=0,"",_xlpm.m+1))</f>
        <v/>
      </c>
      <c r="J2292" s="137" t="inlineStr">
        <is>
          <t>Shopify</t>
        </is>
      </c>
    </row>
    <row r="2293">
      <c r="A2293" s="5" t="inlineStr">
        <is>
          <t>Shopify Stetson México › Stetson Americas</t>
        </is>
      </c>
      <c r="B2293" s="5">
        <f>IF($I2="","",INDEX(Productos!$A:$A,$I2))</f>
        <v/>
      </c>
      <c r="C2293" s="134" t="inlineStr">
        <is>
          <t>12-020-BS001-10-1001-029</t>
        </is>
      </c>
      <c r="D2293" s="5">
        <f>IF($I2="","",INDEX(Productos!$B:$B,$I2))</f>
        <v/>
      </c>
      <c r="E2293" s="5">
        <f>IF($I2="","",INDEX(Productos!$H:$H,$I2))</f>
        <v/>
      </c>
      <c r="F2293" s="5">
        <f>IF($I2="","",INDEX(Productos!$I:$I,$I2))</f>
        <v/>
      </c>
      <c r="G2293" s="135" t="n">
        <v>2</v>
      </c>
      <c r="H2293" s="5">
        <f>IF($I2="","",INDEX(Productos!$AG:$AG,$I2))</f>
        <v/>
      </c>
      <c r="I2293" s="136">
        <f>LET(_xlpm.r,Productos!$E$2:$E$2509,_xlpm.m,IFERROR(_xlfn.XMATCH(C2293,_xlpm.r),IFERROR(_xlfn.XMATCH(VALUE(C2293),_xlpm.r),0)),IF(_xlpm.m=0,"",_xlpm.m+1))</f>
        <v/>
      </c>
      <c r="J2293" s="137" t="inlineStr">
        <is>
          <t>Shopify</t>
        </is>
      </c>
    </row>
    <row r="2294">
      <c r="A2294" s="5" t="inlineStr">
        <is>
          <t>Shopify Stetson México › Stetson Americas</t>
        </is>
      </c>
      <c r="B2294" s="5">
        <f>IF($I2="","",INDEX(Productos!$A:$A,$I2))</f>
        <v/>
      </c>
      <c r="C2294" s="134" t="inlineStr">
        <is>
          <t>12-020-BS001-10-1001-030</t>
        </is>
      </c>
      <c r="D2294" s="5">
        <f>IF($I2="","",INDEX(Productos!$B:$B,$I2))</f>
        <v/>
      </c>
      <c r="E2294" s="5">
        <f>IF($I2="","",INDEX(Productos!$H:$H,$I2))</f>
        <v/>
      </c>
      <c r="F2294" s="5">
        <f>IF($I2="","",INDEX(Productos!$I:$I,$I2))</f>
        <v/>
      </c>
      <c r="G2294" s="135" t="n">
        <v>1</v>
      </c>
      <c r="H2294" s="5">
        <f>IF($I2="","",INDEX(Productos!$AG:$AG,$I2))</f>
        <v/>
      </c>
      <c r="I2294" s="136">
        <f>LET(_xlpm.r,Productos!$E$2:$E$2509,_xlpm.m,IFERROR(_xlfn.XMATCH(C2294,_xlpm.r),IFERROR(_xlfn.XMATCH(VALUE(C2294),_xlpm.r),0)),IF(_xlpm.m=0,"",_xlpm.m+1))</f>
        <v/>
      </c>
      <c r="J2294" s="137" t="inlineStr">
        <is>
          <t>Shopify</t>
        </is>
      </c>
    </row>
    <row r="2295">
      <c r="A2295" s="5" t="inlineStr">
        <is>
          <t>Shopify Stetson México › Stetson Americas</t>
        </is>
      </c>
      <c r="B2295" s="5">
        <f>IF($I2="","",INDEX(Productos!$A:$A,$I2))</f>
        <v/>
      </c>
      <c r="C2295" s="134" t="inlineStr">
        <is>
          <t>12-020-BS001-10-1001-031</t>
        </is>
      </c>
      <c r="D2295" s="5">
        <f>IF($I2="","",INDEX(Productos!$B:$B,$I2))</f>
        <v/>
      </c>
      <c r="E2295" s="5">
        <f>IF($I2="","",INDEX(Productos!$H:$H,$I2))</f>
        <v/>
      </c>
      <c r="F2295" s="5">
        <f>IF($I2="","",INDEX(Productos!$I:$I,$I2))</f>
        <v/>
      </c>
      <c r="G2295" s="135" t="n">
        <v>1</v>
      </c>
      <c r="H2295" s="5">
        <f>IF($I2="","",INDEX(Productos!$AG:$AG,$I2))</f>
        <v/>
      </c>
      <c r="I2295" s="136">
        <f>LET(_xlpm.r,Productos!$E$2:$E$2509,_xlpm.m,IFERROR(_xlfn.XMATCH(C2295,_xlpm.r),IFERROR(_xlfn.XMATCH(VALUE(C2295),_xlpm.r),0)),IF(_xlpm.m=0,"",_xlpm.m+1))</f>
        <v/>
      </c>
      <c r="J2295" s="137" t="inlineStr">
        <is>
          <t>Shopify</t>
        </is>
      </c>
    </row>
    <row r="2296">
      <c r="A2296" s="5" t="inlineStr">
        <is>
          <t>Shopify Stetson México › Stetson Americas</t>
        </is>
      </c>
      <c r="B2296" s="5">
        <f>IF($I2="","",INDEX(Productos!$A:$A,$I2))</f>
        <v/>
      </c>
      <c r="C2296" s="134" t="inlineStr">
        <is>
          <t>12-020-BS001-10-1001-265</t>
        </is>
      </c>
      <c r="D2296" s="5">
        <f>IF($I2="","",INDEX(Productos!$B:$B,$I2))</f>
        <v/>
      </c>
      <c r="E2296" s="5">
        <f>IF($I2="","",INDEX(Productos!$H:$H,$I2))</f>
        <v/>
      </c>
      <c r="F2296" s="5">
        <f>IF($I2="","",INDEX(Productos!$I:$I,$I2))</f>
        <v/>
      </c>
      <c r="G2296" s="135" t="n">
        <v>2</v>
      </c>
      <c r="H2296" s="5">
        <f>IF($I2="","",INDEX(Productos!$AG:$AG,$I2))</f>
        <v/>
      </c>
      <c r="I2296" s="136">
        <f>LET(_xlpm.r,Productos!$E$2:$E$2509,_xlpm.m,IFERROR(_xlfn.XMATCH(C2296,_xlpm.r),IFERROR(_xlfn.XMATCH(VALUE(C2296),_xlpm.r),0)),IF(_xlpm.m=0,"",_xlpm.m+1))</f>
        <v/>
      </c>
      <c r="J2296" s="137" t="inlineStr">
        <is>
          <t>Shopify</t>
        </is>
      </c>
    </row>
    <row r="2297">
      <c r="A2297" s="5" t="inlineStr">
        <is>
          <t>Shopify Stetson México › Stetson Americas</t>
        </is>
      </c>
      <c r="B2297" s="5">
        <f>IF($I2="","",INDEX(Productos!$A:$A,$I2))</f>
        <v/>
      </c>
      <c r="C2297" s="134" t="inlineStr">
        <is>
          <t>12-020-BS001-10-1001-275</t>
        </is>
      </c>
      <c r="D2297" s="5">
        <f>IF($I2="","",INDEX(Productos!$B:$B,$I2))</f>
        <v/>
      </c>
      <c r="E2297" s="5">
        <f>IF($I2="","",INDEX(Productos!$H:$H,$I2))</f>
        <v/>
      </c>
      <c r="F2297" s="5">
        <f>IF($I2="","",INDEX(Productos!$I:$I,$I2))</f>
        <v/>
      </c>
      <c r="G2297" s="135" t="n">
        <v>2</v>
      </c>
      <c r="H2297" s="5">
        <f>IF($I2="","",INDEX(Productos!$AG:$AG,$I2))</f>
        <v/>
      </c>
      <c r="I2297" s="136">
        <f>LET(_xlpm.r,Productos!$E$2:$E$2509,_xlpm.m,IFERROR(_xlfn.XMATCH(C2297,_xlpm.r),IFERROR(_xlfn.XMATCH(VALUE(C2297),_xlpm.r),0)),IF(_xlpm.m=0,"",_xlpm.m+1))</f>
        <v/>
      </c>
      <c r="J2297" s="137" t="inlineStr">
        <is>
          <t>Shopify</t>
        </is>
      </c>
    </row>
    <row r="2298">
      <c r="A2298" s="5" t="inlineStr">
        <is>
          <t>Shopify Stetson México › Stetson Americas</t>
        </is>
      </c>
      <c r="B2298" s="5">
        <f>IF($I2="","",INDEX(Productos!$A:$A,$I2))</f>
        <v/>
      </c>
      <c r="C2298" s="134" t="inlineStr">
        <is>
          <t>12-020-BS001-10-1001-285</t>
        </is>
      </c>
      <c r="D2298" s="5">
        <f>IF($I2="","",INDEX(Productos!$B:$B,$I2))</f>
        <v/>
      </c>
      <c r="E2298" s="5">
        <f>IF($I2="","",INDEX(Productos!$H:$H,$I2))</f>
        <v/>
      </c>
      <c r="F2298" s="5">
        <f>IF($I2="","",INDEX(Productos!$I:$I,$I2))</f>
        <v/>
      </c>
      <c r="G2298" s="135" t="n">
        <v>2</v>
      </c>
      <c r="H2298" s="5">
        <f>IF($I2="","",INDEX(Productos!$AG:$AG,$I2))</f>
        <v/>
      </c>
      <c r="I2298" s="136">
        <f>LET(_xlpm.r,Productos!$E$2:$E$2509,_xlpm.m,IFERROR(_xlfn.XMATCH(C2298,_xlpm.r),IFERROR(_xlfn.XMATCH(VALUE(C2298),_xlpm.r),0)),IF(_xlpm.m=0,"",_xlpm.m+1))</f>
        <v/>
      </c>
      <c r="J2298" s="137" t="inlineStr">
        <is>
          <t>Shopify</t>
        </is>
      </c>
    </row>
    <row r="2299">
      <c r="A2299" s="5" t="inlineStr">
        <is>
          <t>Shopify Stetson México › Stetson Americas</t>
        </is>
      </c>
      <c r="B2299" s="5">
        <f>IF($I2="","",INDEX(Productos!$A:$A,$I2))</f>
        <v/>
      </c>
      <c r="C2299" s="134" t="inlineStr">
        <is>
          <t>12-020-BS001-10-1001-295</t>
        </is>
      </c>
      <c r="D2299" s="5">
        <f>IF($I2="","",INDEX(Productos!$B:$B,$I2))</f>
        <v/>
      </c>
      <c r="E2299" s="5">
        <f>IF($I2="","",INDEX(Productos!$H:$H,$I2))</f>
        <v/>
      </c>
      <c r="F2299" s="5">
        <f>IF($I2="","",INDEX(Productos!$I:$I,$I2))</f>
        <v/>
      </c>
      <c r="G2299" s="135" t="n">
        <v>1</v>
      </c>
      <c r="H2299" s="5">
        <f>IF($I2="","",INDEX(Productos!$AG:$AG,$I2))</f>
        <v/>
      </c>
      <c r="I2299" s="136">
        <f>LET(_xlpm.r,Productos!$E$2:$E$2509,_xlpm.m,IFERROR(_xlfn.XMATCH(C2299,_xlpm.r),IFERROR(_xlfn.XMATCH(VALUE(C2299),_xlpm.r),0)),IF(_xlpm.m=0,"",_xlpm.m+1))</f>
        <v/>
      </c>
      <c r="J2299" s="137" t="inlineStr">
        <is>
          <t>Shopify</t>
        </is>
      </c>
    </row>
    <row r="2300">
      <c r="A2300" s="5" t="inlineStr">
        <is>
          <t>Shopify Stetson México › Stetson Americas</t>
        </is>
      </c>
      <c r="B2300" s="5">
        <f>IF($I2="","",INDEX(Productos!$A:$A,$I2))</f>
        <v/>
      </c>
      <c r="C2300" s="134" t="inlineStr">
        <is>
          <t>12-020-BS001-10-1001-305</t>
        </is>
      </c>
      <c r="D2300" s="5">
        <f>IF($I2="","",INDEX(Productos!$B:$B,$I2))</f>
        <v/>
      </c>
      <c r="E2300" s="5">
        <f>IF($I2="","",INDEX(Productos!$H:$H,$I2))</f>
        <v/>
      </c>
      <c r="F2300" s="5">
        <f>IF($I2="","",INDEX(Productos!$I:$I,$I2))</f>
        <v/>
      </c>
      <c r="G2300" s="135" t="n">
        <v>1</v>
      </c>
      <c r="H2300" s="5">
        <f>IF($I2="","",INDEX(Productos!$AG:$AG,$I2))</f>
        <v/>
      </c>
      <c r="I2300" s="136">
        <f>LET(_xlpm.r,Productos!$E$2:$E$2509,_xlpm.m,IFERROR(_xlfn.XMATCH(C2300,_xlpm.r),IFERROR(_xlfn.XMATCH(VALUE(C2300),_xlpm.r),0)),IF(_xlpm.m=0,"",_xlpm.m+1))</f>
        <v/>
      </c>
      <c r="J2300" s="137" t="inlineStr">
        <is>
          <t>Shopify</t>
        </is>
      </c>
    </row>
    <row r="2301">
      <c r="A2301" s="5" t="inlineStr">
        <is>
          <t>Shopify Stetson México › Stetson Americas</t>
        </is>
      </c>
      <c r="B2301" s="5">
        <f>IF($I2="","",INDEX(Productos!$A:$A,$I2))</f>
        <v/>
      </c>
      <c r="C2301" s="134" t="inlineStr">
        <is>
          <t>12-020-BS001-10-1002-029</t>
        </is>
      </c>
      <c r="D2301" s="5">
        <f>IF($I2="","",INDEX(Productos!$B:$B,$I2))</f>
        <v/>
      </c>
      <c r="E2301" s="5">
        <f>IF($I2="","",INDEX(Productos!$H:$H,$I2))</f>
        <v/>
      </c>
      <c r="F2301" s="5">
        <f>IF($I2="","",INDEX(Productos!$I:$I,$I2))</f>
        <v/>
      </c>
      <c r="G2301" s="135" t="n">
        <v>1</v>
      </c>
      <c r="H2301" s="5">
        <f>IF($I2="","",INDEX(Productos!$AG:$AG,$I2))</f>
        <v/>
      </c>
      <c r="I2301" s="136">
        <f>LET(_xlpm.r,Productos!$E$2:$E$2509,_xlpm.m,IFERROR(_xlfn.XMATCH(C2301,_xlpm.r),IFERROR(_xlfn.XMATCH(VALUE(C2301),_xlpm.r),0)),IF(_xlpm.m=0,"",_xlpm.m+1))</f>
        <v/>
      </c>
      <c r="J2301" s="137" t="inlineStr">
        <is>
          <t>Shopify</t>
        </is>
      </c>
    </row>
    <row r="2302">
      <c r="A2302" s="5" t="inlineStr">
        <is>
          <t>Shopify Stetson México › Stetson Americas</t>
        </is>
      </c>
      <c r="B2302" s="5">
        <f>IF($I2="","",INDEX(Productos!$A:$A,$I2))</f>
        <v/>
      </c>
      <c r="C2302" s="134" t="inlineStr">
        <is>
          <t>12-020-BS001-10-1002-295</t>
        </is>
      </c>
      <c r="D2302" s="5">
        <f>IF($I2="","",INDEX(Productos!$B:$B,$I2))</f>
        <v/>
      </c>
      <c r="E2302" s="5">
        <f>IF($I2="","",INDEX(Productos!$H:$H,$I2))</f>
        <v/>
      </c>
      <c r="F2302" s="5">
        <f>IF($I2="","",INDEX(Productos!$I:$I,$I2))</f>
        <v/>
      </c>
      <c r="G2302" s="135" t="n">
        <v>1</v>
      </c>
      <c r="H2302" s="5">
        <f>IF($I2="","",INDEX(Productos!$AG:$AG,$I2))</f>
        <v/>
      </c>
      <c r="I2302" s="136">
        <f>LET(_xlpm.r,Productos!$E$2:$E$2509,_xlpm.m,IFERROR(_xlfn.XMATCH(C2302,_xlpm.r),IFERROR(_xlfn.XMATCH(VALUE(C2302),_xlpm.r),0)),IF(_xlpm.m=0,"",_xlpm.m+1))</f>
        <v/>
      </c>
      <c r="J2302" s="137" t="inlineStr">
        <is>
          <t>Shopify</t>
        </is>
      </c>
    </row>
    <row r="2303">
      <c r="A2303" s="5" t="inlineStr">
        <is>
          <t>Shopify Stetson México › Stetson Americas</t>
        </is>
      </c>
      <c r="B2303" s="5">
        <f>IF($I2="","",INDEX(Productos!$A:$A,$I2))</f>
        <v/>
      </c>
      <c r="C2303" s="134" t="inlineStr">
        <is>
          <t>12-020-BS001-10-1003-027</t>
        </is>
      </c>
      <c r="D2303" s="5">
        <f>IF($I2="","",INDEX(Productos!$B:$B,$I2))</f>
        <v/>
      </c>
      <c r="E2303" s="5">
        <f>IF($I2="","",INDEX(Productos!$H:$H,$I2))</f>
        <v/>
      </c>
      <c r="F2303" s="5">
        <f>IF($I2="","",INDEX(Productos!$I:$I,$I2))</f>
        <v/>
      </c>
      <c r="G2303" s="135" t="n">
        <v>1</v>
      </c>
      <c r="H2303" s="5">
        <f>IF($I2="","",INDEX(Productos!$AG:$AG,$I2))</f>
        <v/>
      </c>
      <c r="I2303" s="136">
        <f>LET(_xlpm.r,Productos!$E$2:$E$2509,_xlpm.m,IFERROR(_xlfn.XMATCH(C2303,_xlpm.r),IFERROR(_xlfn.XMATCH(VALUE(C2303),_xlpm.r),0)),IF(_xlpm.m=0,"",_xlpm.m+1))</f>
        <v/>
      </c>
      <c r="J2303" s="137" t="inlineStr">
        <is>
          <t>Shopify</t>
        </is>
      </c>
    </row>
    <row r="2304">
      <c r="A2304" s="5" t="inlineStr">
        <is>
          <t>Shopify Stetson México › Stetson Americas</t>
        </is>
      </c>
      <c r="B2304" s="5">
        <f>IF($I2="","",INDEX(Productos!$A:$A,$I2))</f>
        <v/>
      </c>
      <c r="C2304" s="134" t="inlineStr">
        <is>
          <t>12-020-BS001-10-1003-028</t>
        </is>
      </c>
      <c r="D2304" s="5">
        <f>IF($I2="","",INDEX(Productos!$B:$B,$I2))</f>
        <v/>
      </c>
      <c r="E2304" s="5">
        <f>IF($I2="","",INDEX(Productos!$H:$H,$I2))</f>
        <v/>
      </c>
      <c r="F2304" s="5">
        <f>IF($I2="","",INDEX(Productos!$I:$I,$I2))</f>
        <v/>
      </c>
      <c r="G2304" s="135" t="n">
        <v>2</v>
      </c>
      <c r="H2304" s="5">
        <f>IF($I2="","",INDEX(Productos!$AG:$AG,$I2))</f>
        <v/>
      </c>
      <c r="I2304" s="136">
        <f>LET(_xlpm.r,Productos!$E$2:$E$2509,_xlpm.m,IFERROR(_xlfn.XMATCH(C2304,_xlpm.r),IFERROR(_xlfn.XMATCH(VALUE(C2304),_xlpm.r),0)),IF(_xlpm.m=0,"",_xlpm.m+1))</f>
        <v/>
      </c>
      <c r="J2304" s="137" t="inlineStr">
        <is>
          <t>Shopify</t>
        </is>
      </c>
    </row>
    <row r="2305">
      <c r="A2305" s="5" t="inlineStr">
        <is>
          <t>Shopify Stetson México › Stetson Americas</t>
        </is>
      </c>
      <c r="B2305" s="5">
        <f>IF($I2="","",INDEX(Productos!$A:$A,$I2))</f>
        <v/>
      </c>
      <c r="C2305" s="134" t="inlineStr">
        <is>
          <t>12-020-BS001-10-1003-029</t>
        </is>
      </c>
      <c r="D2305" s="5">
        <f>IF($I2="","",INDEX(Productos!$B:$B,$I2))</f>
        <v/>
      </c>
      <c r="E2305" s="5">
        <f>IF($I2="","",INDEX(Productos!$H:$H,$I2))</f>
        <v/>
      </c>
      <c r="F2305" s="5">
        <f>IF($I2="","",INDEX(Productos!$I:$I,$I2))</f>
        <v/>
      </c>
      <c r="G2305" s="135" t="n">
        <v>1</v>
      </c>
      <c r="H2305" s="5">
        <f>IF($I2="","",INDEX(Productos!$AG:$AG,$I2))</f>
        <v/>
      </c>
      <c r="I2305" s="136">
        <f>LET(_xlpm.r,Productos!$E$2:$E$2509,_xlpm.m,IFERROR(_xlfn.XMATCH(C2305,_xlpm.r),IFERROR(_xlfn.XMATCH(VALUE(C2305),_xlpm.r),0)),IF(_xlpm.m=0,"",_xlpm.m+1))</f>
        <v/>
      </c>
      <c r="J2305" s="137" t="inlineStr">
        <is>
          <t>Shopify</t>
        </is>
      </c>
    </row>
    <row r="2306">
      <c r="A2306" s="5" t="inlineStr">
        <is>
          <t>Shopify Stetson México › Stetson Americas</t>
        </is>
      </c>
      <c r="B2306" s="5">
        <f>IF($I2="","",INDEX(Productos!$A:$A,$I2))</f>
        <v/>
      </c>
      <c r="C2306" s="134" t="inlineStr">
        <is>
          <t>12-020-BS001-10-1003-031</t>
        </is>
      </c>
      <c r="D2306" s="5">
        <f>IF($I2="","",INDEX(Productos!$B:$B,$I2))</f>
        <v/>
      </c>
      <c r="E2306" s="5">
        <f>IF($I2="","",INDEX(Productos!$H:$H,$I2))</f>
        <v/>
      </c>
      <c r="F2306" s="5">
        <f>IF($I2="","",INDEX(Productos!$I:$I,$I2))</f>
        <v/>
      </c>
      <c r="G2306" s="135" t="n">
        <v>1</v>
      </c>
      <c r="H2306" s="5">
        <f>IF($I2="","",INDEX(Productos!$AG:$AG,$I2))</f>
        <v/>
      </c>
      <c r="I2306" s="136">
        <f>LET(_xlpm.r,Productos!$E$2:$E$2509,_xlpm.m,IFERROR(_xlfn.XMATCH(C2306,_xlpm.r),IFERROR(_xlfn.XMATCH(VALUE(C2306),_xlpm.r),0)),IF(_xlpm.m=0,"",_xlpm.m+1))</f>
        <v/>
      </c>
      <c r="J2306" s="137" t="inlineStr">
        <is>
          <t>Shopify</t>
        </is>
      </c>
    </row>
    <row r="2307">
      <c r="A2307" s="5" t="inlineStr">
        <is>
          <t>Shopify Stetson México › Stetson Americas</t>
        </is>
      </c>
      <c r="B2307" s="5">
        <f>IF($I2="","",INDEX(Productos!$A:$A,$I2))</f>
        <v/>
      </c>
      <c r="C2307" s="134" t="inlineStr">
        <is>
          <t>12-020-BS001-10-1003-265</t>
        </is>
      </c>
      <c r="D2307" s="5">
        <f>IF($I2="","",INDEX(Productos!$B:$B,$I2))</f>
        <v/>
      </c>
      <c r="E2307" s="5">
        <f>IF($I2="","",INDEX(Productos!$H:$H,$I2))</f>
        <v/>
      </c>
      <c r="F2307" s="5">
        <f>IF($I2="","",INDEX(Productos!$I:$I,$I2))</f>
        <v/>
      </c>
      <c r="G2307" s="135" t="n">
        <v>2</v>
      </c>
      <c r="H2307" s="5">
        <f>IF($I2="","",INDEX(Productos!$AG:$AG,$I2))</f>
        <v/>
      </c>
      <c r="I2307" s="136">
        <f>LET(_xlpm.r,Productos!$E$2:$E$2509,_xlpm.m,IFERROR(_xlfn.XMATCH(C2307,_xlpm.r),IFERROR(_xlfn.XMATCH(VALUE(C2307),_xlpm.r),0)),IF(_xlpm.m=0,"",_xlpm.m+1))</f>
        <v/>
      </c>
      <c r="J2307" s="137" t="inlineStr">
        <is>
          <t>Shopify</t>
        </is>
      </c>
    </row>
    <row r="2308">
      <c r="A2308" s="5" t="inlineStr">
        <is>
          <t>Shopify Stetson México › Stetson Americas</t>
        </is>
      </c>
      <c r="B2308" s="5">
        <f>IF($I2="","",INDEX(Productos!$A:$A,$I2))</f>
        <v/>
      </c>
      <c r="C2308" s="134" t="inlineStr">
        <is>
          <t>12-020-BS001-10-1003-275</t>
        </is>
      </c>
      <c r="D2308" s="5">
        <f>IF($I2="","",INDEX(Productos!$B:$B,$I2))</f>
        <v/>
      </c>
      <c r="E2308" s="5">
        <f>IF($I2="","",INDEX(Productos!$H:$H,$I2))</f>
        <v/>
      </c>
      <c r="F2308" s="5">
        <f>IF($I2="","",INDEX(Productos!$I:$I,$I2))</f>
        <v/>
      </c>
      <c r="G2308" s="135" t="n">
        <v>1</v>
      </c>
      <c r="H2308" s="5">
        <f>IF($I2="","",INDEX(Productos!$AG:$AG,$I2))</f>
        <v/>
      </c>
      <c r="I2308" s="136">
        <f>LET(_xlpm.r,Productos!$E$2:$E$2509,_xlpm.m,IFERROR(_xlfn.XMATCH(C2308,_xlpm.r),IFERROR(_xlfn.XMATCH(VALUE(C2308),_xlpm.r),0)),IF(_xlpm.m=0,"",_xlpm.m+1))</f>
        <v/>
      </c>
      <c r="J2308" s="137" t="inlineStr">
        <is>
          <t>Shopify</t>
        </is>
      </c>
    </row>
    <row r="2309">
      <c r="A2309" s="5" t="inlineStr">
        <is>
          <t>Shopify Stetson México › Stetson Americas</t>
        </is>
      </c>
      <c r="B2309" s="5">
        <f>IF($I2="","",INDEX(Productos!$A:$A,$I2))</f>
        <v/>
      </c>
      <c r="C2309" s="134" t="inlineStr">
        <is>
          <t>12-020-BS001-10-1003-285</t>
        </is>
      </c>
      <c r="D2309" s="5">
        <f>IF($I2="","",INDEX(Productos!$B:$B,$I2))</f>
        <v/>
      </c>
      <c r="E2309" s="5">
        <f>IF($I2="","",INDEX(Productos!$H:$H,$I2))</f>
        <v/>
      </c>
      <c r="F2309" s="5">
        <f>IF($I2="","",INDEX(Productos!$I:$I,$I2))</f>
        <v/>
      </c>
      <c r="G2309" s="135" t="n">
        <v>1</v>
      </c>
      <c r="H2309" s="5">
        <f>IF($I2="","",INDEX(Productos!$AG:$AG,$I2))</f>
        <v/>
      </c>
      <c r="I2309" s="136">
        <f>LET(_xlpm.r,Productos!$E$2:$E$2509,_xlpm.m,IFERROR(_xlfn.XMATCH(C2309,_xlpm.r),IFERROR(_xlfn.XMATCH(VALUE(C2309),_xlpm.r),0)),IF(_xlpm.m=0,"",_xlpm.m+1))</f>
        <v/>
      </c>
      <c r="J2309" s="137" t="inlineStr">
        <is>
          <t>Shopify</t>
        </is>
      </c>
    </row>
    <row r="2310">
      <c r="A2310" s="5" t="inlineStr">
        <is>
          <t>Shopify Stetson México › Stetson Americas</t>
        </is>
      </c>
      <c r="B2310" s="5">
        <f>IF($I2="","",INDEX(Productos!$A:$A,$I2))</f>
        <v/>
      </c>
      <c r="C2310" s="134" t="inlineStr">
        <is>
          <t>12-020-BS001-10-1003-295</t>
        </is>
      </c>
      <c r="D2310" s="5">
        <f>IF($I2="","",INDEX(Productos!$B:$B,$I2))</f>
        <v/>
      </c>
      <c r="E2310" s="5">
        <f>IF($I2="","",INDEX(Productos!$H:$H,$I2))</f>
        <v/>
      </c>
      <c r="F2310" s="5">
        <f>IF($I2="","",INDEX(Productos!$I:$I,$I2))</f>
        <v/>
      </c>
      <c r="G2310" s="135" t="n">
        <v>1</v>
      </c>
      <c r="H2310" s="5">
        <f>IF($I2="","",INDEX(Productos!$AG:$AG,$I2))</f>
        <v/>
      </c>
      <c r="I2310" s="136">
        <f>LET(_xlpm.r,Productos!$E$2:$E$2509,_xlpm.m,IFERROR(_xlfn.XMATCH(C2310,_xlpm.r),IFERROR(_xlfn.XMATCH(VALUE(C2310),_xlpm.r),0)),IF(_xlpm.m=0,"",_xlpm.m+1))</f>
        <v/>
      </c>
      <c r="J2310" s="137" t="inlineStr">
        <is>
          <t>Shopify</t>
        </is>
      </c>
    </row>
    <row r="2311">
      <c r="A2311" s="5" t="inlineStr">
        <is>
          <t>Shopify Stetson México › Stetson Americas</t>
        </is>
      </c>
      <c r="B2311" s="5">
        <f>IF($I2="","",INDEX(Productos!$A:$A,$I2))</f>
        <v/>
      </c>
      <c r="C2311" s="134" t="inlineStr">
        <is>
          <t>12-020-BS001-10-1003-305</t>
        </is>
      </c>
      <c r="D2311" s="5">
        <f>IF($I2="","",INDEX(Productos!$B:$B,$I2))</f>
        <v/>
      </c>
      <c r="E2311" s="5">
        <f>IF($I2="","",INDEX(Productos!$H:$H,$I2))</f>
        <v/>
      </c>
      <c r="F2311" s="5">
        <f>IF($I2="","",INDEX(Productos!$I:$I,$I2))</f>
        <v/>
      </c>
      <c r="G2311" s="135" t="n">
        <v>1</v>
      </c>
      <c r="H2311" s="5">
        <f>IF($I2="","",INDEX(Productos!$AG:$AG,$I2))</f>
        <v/>
      </c>
      <c r="I2311" s="136">
        <f>LET(_xlpm.r,Productos!$E$2:$E$2509,_xlpm.m,IFERROR(_xlfn.XMATCH(C2311,_xlpm.r),IFERROR(_xlfn.XMATCH(VALUE(C2311),_xlpm.r),0)),IF(_xlpm.m=0,"",_xlpm.m+1))</f>
        <v/>
      </c>
      <c r="J2311" s="137" t="inlineStr">
        <is>
          <t>Shopify</t>
        </is>
      </c>
    </row>
    <row r="2312">
      <c r="A2312" s="5" t="inlineStr">
        <is>
          <t>Shopify Stetson México › Stetson Americas</t>
        </is>
      </c>
      <c r="B2312" s="5">
        <f>IF($I2="","",INDEX(Productos!$A:$A,$I2))</f>
        <v/>
      </c>
      <c r="C2312" s="134" t="inlineStr">
        <is>
          <t>12-020-BS001-10-1004-026</t>
        </is>
      </c>
      <c r="D2312" s="5">
        <f>IF($I2="","",INDEX(Productos!$B:$B,$I2))</f>
        <v/>
      </c>
      <c r="E2312" s="5">
        <f>IF($I2="","",INDEX(Productos!$H:$H,$I2))</f>
        <v/>
      </c>
      <c r="F2312" s="5">
        <f>IF($I2="","",INDEX(Productos!$I:$I,$I2))</f>
        <v/>
      </c>
      <c r="G2312" s="135" t="n">
        <v>1</v>
      </c>
      <c r="H2312" s="5">
        <f>IF($I2="","",INDEX(Productos!$AG:$AG,$I2))</f>
        <v/>
      </c>
      <c r="I2312" s="136">
        <f>LET(_xlpm.r,Productos!$E$2:$E$2509,_xlpm.m,IFERROR(_xlfn.XMATCH(C2312,_xlpm.r),IFERROR(_xlfn.XMATCH(VALUE(C2312),_xlpm.r),0)),IF(_xlpm.m=0,"",_xlpm.m+1))</f>
        <v/>
      </c>
      <c r="J2312" s="137" t="inlineStr">
        <is>
          <t>Shopify</t>
        </is>
      </c>
    </row>
    <row r="2313">
      <c r="A2313" s="5" t="inlineStr">
        <is>
          <t>Shopify Stetson México › Stetson Americas</t>
        </is>
      </c>
      <c r="B2313" s="5">
        <f>IF($I2="","",INDEX(Productos!$A:$A,$I2))</f>
        <v/>
      </c>
      <c r="C2313" s="134" t="inlineStr">
        <is>
          <t>12-020-BS001-10-1004-027</t>
        </is>
      </c>
      <c r="D2313" s="5">
        <f>IF($I2="","",INDEX(Productos!$B:$B,$I2))</f>
        <v/>
      </c>
      <c r="E2313" s="5">
        <f>IF($I2="","",INDEX(Productos!$H:$H,$I2))</f>
        <v/>
      </c>
      <c r="F2313" s="5">
        <f>IF($I2="","",INDEX(Productos!$I:$I,$I2))</f>
        <v/>
      </c>
      <c r="G2313" s="135" t="n">
        <v>1</v>
      </c>
      <c r="H2313" s="5">
        <f>IF($I2="","",INDEX(Productos!$AG:$AG,$I2))</f>
        <v/>
      </c>
      <c r="I2313" s="136">
        <f>LET(_xlpm.r,Productos!$E$2:$E$2509,_xlpm.m,IFERROR(_xlfn.XMATCH(C2313,_xlpm.r),IFERROR(_xlfn.XMATCH(VALUE(C2313),_xlpm.r),0)),IF(_xlpm.m=0,"",_xlpm.m+1))</f>
        <v/>
      </c>
      <c r="J2313" s="137" t="inlineStr">
        <is>
          <t>Shopify</t>
        </is>
      </c>
    </row>
    <row r="2314">
      <c r="A2314" s="5" t="inlineStr">
        <is>
          <t>Shopify Stetson México › Stetson Americas</t>
        </is>
      </c>
      <c r="B2314" s="5">
        <f>IF($I2="","",INDEX(Productos!$A:$A,$I2))</f>
        <v/>
      </c>
      <c r="C2314" s="134" t="inlineStr">
        <is>
          <t>12-020-BS001-10-1004-028</t>
        </is>
      </c>
      <c r="D2314" s="5">
        <f>IF($I2="","",INDEX(Productos!$B:$B,$I2))</f>
        <v/>
      </c>
      <c r="E2314" s="5">
        <f>IF($I2="","",INDEX(Productos!$H:$H,$I2))</f>
        <v/>
      </c>
      <c r="F2314" s="5">
        <f>IF($I2="","",INDEX(Productos!$I:$I,$I2))</f>
        <v/>
      </c>
      <c r="G2314" s="135" t="n">
        <v>1</v>
      </c>
      <c r="H2314" s="5">
        <f>IF($I2="","",INDEX(Productos!$AG:$AG,$I2))</f>
        <v/>
      </c>
      <c r="I2314" s="136">
        <f>LET(_xlpm.r,Productos!$E$2:$E$2509,_xlpm.m,IFERROR(_xlfn.XMATCH(C2314,_xlpm.r),IFERROR(_xlfn.XMATCH(VALUE(C2314),_xlpm.r),0)),IF(_xlpm.m=0,"",_xlpm.m+1))</f>
        <v/>
      </c>
      <c r="J2314" s="137" t="inlineStr">
        <is>
          <t>Shopify</t>
        </is>
      </c>
    </row>
    <row r="2315">
      <c r="A2315" s="5" t="inlineStr">
        <is>
          <t>Shopify Stetson México › Stetson Americas</t>
        </is>
      </c>
      <c r="B2315" s="5">
        <f>IF($I2="","",INDEX(Productos!$A:$A,$I2))</f>
        <v/>
      </c>
      <c r="C2315" s="134" t="inlineStr">
        <is>
          <t>12-020-BS001-10-1004-029</t>
        </is>
      </c>
      <c r="D2315" s="5">
        <f>IF($I2="","",INDEX(Productos!$B:$B,$I2))</f>
        <v/>
      </c>
      <c r="E2315" s="5">
        <f>IF($I2="","",INDEX(Productos!$H:$H,$I2))</f>
        <v/>
      </c>
      <c r="F2315" s="5">
        <f>IF($I2="","",INDEX(Productos!$I:$I,$I2))</f>
        <v/>
      </c>
      <c r="G2315" s="135" t="n">
        <v>2</v>
      </c>
      <c r="H2315" s="5">
        <f>IF($I2="","",INDEX(Productos!$AG:$AG,$I2))</f>
        <v/>
      </c>
      <c r="I2315" s="136">
        <f>LET(_xlpm.r,Productos!$E$2:$E$2509,_xlpm.m,IFERROR(_xlfn.XMATCH(C2315,_xlpm.r),IFERROR(_xlfn.XMATCH(VALUE(C2315),_xlpm.r),0)),IF(_xlpm.m=0,"",_xlpm.m+1))</f>
        <v/>
      </c>
      <c r="J2315" s="137" t="inlineStr">
        <is>
          <t>Shopify</t>
        </is>
      </c>
    </row>
    <row r="2316">
      <c r="A2316" s="5" t="inlineStr">
        <is>
          <t>Shopify Stetson México › Stetson Americas</t>
        </is>
      </c>
      <c r="B2316" s="5">
        <f>IF($I2="","",INDEX(Productos!$A:$A,$I2))</f>
        <v/>
      </c>
      <c r="C2316" s="134" t="inlineStr">
        <is>
          <t>12-020-BS001-10-1004-030</t>
        </is>
      </c>
      <c r="D2316" s="5">
        <f>IF($I2="","",INDEX(Productos!$B:$B,$I2))</f>
        <v/>
      </c>
      <c r="E2316" s="5">
        <f>IF($I2="","",INDEX(Productos!$H:$H,$I2))</f>
        <v/>
      </c>
      <c r="F2316" s="5">
        <f>IF($I2="","",INDEX(Productos!$I:$I,$I2))</f>
        <v/>
      </c>
      <c r="G2316" s="135" t="n">
        <v>1</v>
      </c>
      <c r="H2316" s="5">
        <f>IF($I2="","",INDEX(Productos!$AG:$AG,$I2))</f>
        <v/>
      </c>
      <c r="I2316" s="136">
        <f>LET(_xlpm.r,Productos!$E$2:$E$2509,_xlpm.m,IFERROR(_xlfn.XMATCH(C2316,_xlpm.r),IFERROR(_xlfn.XMATCH(VALUE(C2316),_xlpm.r),0)),IF(_xlpm.m=0,"",_xlpm.m+1))</f>
        <v/>
      </c>
      <c r="J2316" s="137" t="inlineStr">
        <is>
          <t>Shopify</t>
        </is>
      </c>
    </row>
    <row r="2317">
      <c r="A2317" s="5" t="inlineStr">
        <is>
          <t>Shopify Stetson México › Stetson Americas</t>
        </is>
      </c>
      <c r="B2317" s="5">
        <f>IF($I2="","",INDEX(Productos!$A:$A,$I2))</f>
        <v/>
      </c>
      <c r="C2317" s="134" t="inlineStr">
        <is>
          <t>12-020-BS001-10-1004-265</t>
        </is>
      </c>
      <c r="D2317" s="5">
        <f>IF($I2="","",INDEX(Productos!$B:$B,$I2))</f>
        <v/>
      </c>
      <c r="E2317" s="5">
        <f>IF($I2="","",INDEX(Productos!$H:$H,$I2))</f>
        <v/>
      </c>
      <c r="F2317" s="5">
        <f>IF($I2="","",INDEX(Productos!$I:$I,$I2))</f>
        <v/>
      </c>
      <c r="G2317" s="135" t="n">
        <v>2</v>
      </c>
      <c r="H2317" s="5">
        <f>IF($I2="","",INDEX(Productos!$AG:$AG,$I2))</f>
        <v/>
      </c>
      <c r="I2317" s="136">
        <f>LET(_xlpm.r,Productos!$E$2:$E$2509,_xlpm.m,IFERROR(_xlfn.XMATCH(C2317,_xlpm.r),IFERROR(_xlfn.XMATCH(VALUE(C2317),_xlpm.r),0)),IF(_xlpm.m=0,"",_xlpm.m+1))</f>
        <v/>
      </c>
      <c r="J2317" s="137" t="inlineStr">
        <is>
          <t>Shopify</t>
        </is>
      </c>
    </row>
    <row r="2318">
      <c r="A2318" s="5" t="inlineStr">
        <is>
          <t>Shopify Stetson México › Stetson Americas</t>
        </is>
      </c>
      <c r="B2318" s="5">
        <f>IF($I2="","",INDEX(Productos!$A:$A,$I2))</f>
        <v/>
      </c>
      <c r="C2318" s="134" t="inlineStr">
        <is>
          <t>12-020-BS001-10-1004-275</t>
        </is>
      </c>
      <c r="D2318" s="5">
        <f>IF($I2="","",INDEX(Productos!$B:$B,$I2))</f>
        <v/>
      </c>
      <c r="E2318" s="5">
        <f>IF($I2="","",INDEX(Productos!$H:$H,$I2))</f>
        <v/>
      </c>
      <c r="F2318" s="5">
        <f>IF($I2="","",INDEX(Productos!$I:$I,$I2))</f>
        <v/>
      </c>
      <c r="G2318" s="135" t="n">
        <v>2</v>
      </c>
      <c r="H2318" s="5">
        <f>IF($I2="","",INDEX(Productos!$AG:$AG,$I2))</f>
        <v/>
      </c>
      <c r="I2318" s="136">
        <f>LET(_xlpm.r,Productos!$E$2:$E$2509,_xlpm.m,IFERROR(_xlfn.XMATCH(C2318,_xlpm.r),IFERROR(_xlfn.XMATCH(VALUE(C2318),_xlpm.r),0)),IF(_xlpm.m=0,"",_xlpm.m+1))</f>
        <v/>
      </c>
      <c r="J2318" s="137" t="inlineStr">
        <is>
          <t>Shopify</t>
        </is>
      </c>
    </row>
    <row r="2319">
      <c r="A2319" s="5" t="inlineStr">
        <is>
          <t>Shopify Stetson México › Stetson Americas</t>
        </is>
      </c>
      <c r="B2319" s="5">
        <f>IF($I2="","",INDEX(Productos!$A:$A,$I2))</f>
        <v/>
      </c>
      <c r="C2319" s="134" t="inlineStr">
        <is>
          <t>12-020-BS001-10-1004-285</t>
        </is>
      </c>
      <c r="D2319" s="5">
        <f>IF($I2="","",INDEX(Productos!$B:$B,$I2))</f>
        <v/>
      </c>
      <c r="E2319" s="5">
        <f>IF($I2="","",INDEX(Productos!$H:$H,$I2))</f>
        <v/>
      </c>
      <c r="F2319" s="5">
        <f>IF($I2="","",INDEX(Productos!$I:$I,$I2))</f>
        <v/>
      </c>
      <c r="G2319" s="135" t="n">
        <v>2</v>
      </c>
      <c r="H2319" s="5">
        <f>IF($I2="","",INDEX(Productos!$AG:$AG,$I2))</f>
        <v/>
      </c>
      <c r="I2319" s="136">
        <f>LET(_xlpm.r,Productos!$E$2:$E$2509,_xlpm.m,IFERROR(_xlfn.XMATCH(C2319,_xlpm.r),IFERROR(_xlfn.XMATCH(VALUE(C2319),_xlpm.r),0)),IF(_xlpm.m=0,"",_xlpm.m+1))</f>
        <v/>
      </c>
      <c r="J2319" s="137" t="inlineStr">
        <is>
          <t>Shopify</t>
        </is>
      </c>
    </row>
    <row r="2320">
      <c r="A2320" s="5" t="inlineStr">
        <is>
          <t>Shopify Stetson México › Stetson Americas</t>
        </is>
      </c>
      <c r="B2320" s="5">
        <f>IF($I2="","",INDEX(Productos!$A:$A,$I2))</f>
        <v/>
      </c>
      <c r="C2320" s="134" t="inlineStr">
        <is>
          <t>12-020-BS001-10-1004-295</t>
        </is>
      </c>
      <c r="D2320" s="5">
        <f>IF($I2="","",INDEX(Productos!$B:$B,$I2))</f>
        <v/>
      </c>
      <c r="E2320" s="5">
        <f>IF($I2="","",INDEX(Productos!$H:$H,$I2))</f>
        <v/>
      </c>
      <c r="F2320" s="5">
        <f>IF($I2="","",INDEX(Productos!$I:$I,$I2))</f>
        <v/>
      </c>
      <c r="G2320" s="135" t="n">
        <v>1</v>
      </c>
      <c r="H2320" s="5">
        <f>IF($I2="","",INDEX(Productos!$AG:$AG,$I2))</f>
        <v/>
      </c>
      <c r="I2320" s="136">
        <f>LET(_xlpm.r,Productos!$E$2:$E$2509,_xlpm.m,IFERROR(_xlfn.XMATCH(C2320,_xlpm.r),IFERROR(_xlfn.XMATCH(VALUE(C2320),_xlpm.r),0)),IF(_xlpm.m=0,"",_xlpm.m+1))</f>
        <v/>
      </c>
      <c r="J2320" s="137" t="inlineStr">
        <is>
          <t>Shopify</t>
        </is>
      </c>
    </row>
    <row r="2321">
      <c r="A2321" s="5" t="inlineStr">
        <is>
          <t>Shopify Stetson México › Stetson Americas</t>
        </is>
      </c>
      <c r="B2321" s="5">
        <f>IF($I2="","",INDEX(Productos!$A:$A,$I2))</f>
        <v/>
      </c>
      <c r="C2321" s="134" t="inlineStr">
        <is>
          <t>12-020-BS002-10-1005-026</t>
        </is>
      </c>
      <c r="D2321" s="5">
        <f>IF($I2="","",INDEX(Productos!$B:$B,$I2))</f>
        <v/>
      </c>
      <c r="E2321" s="5">
        <f>IF($I2="","",INDEX(Productos!$H:$H,$I2))</f>
        <v/>
      </c>
      <c r="F2321" s="5">
        <f>IF($I2="","",INDEX(Productos!$I:$I,$I2))</f>
        <v/>
      </c>
      <c r="G2321" s="135" t="n">
        <v>1</v>
      </c>
      <c r="H2321" s="5">
        <f>IF($I2="","",INDEX(Productos!$AG:$AG,$I2))</f>
        <v/>
      </c>
      <c r="I2321" s="136">
        <f>LET(_xlpm.r,Productos!$E$2:$E$2509,_xlpm.m,IFERROR(_xlfn.XMATCH(C2321,_xlpm.r),IFERROR(_xlfn.XMATCH(VALUE(C2321),_xlpm.r),0)),IF(_xlpm.m=0,"",_xlpm.m+1))</f>
        <v/>
      </c>
      <c r="J2321" s="137" t="inlineStr">
        <is>
          <t>Shopify</t>
        </is>
      </c>
    </row>
    <row r="2322">
      <c r="A2322" s="5" t="inlineStr">
        <is>
          <t>Shopify Stetson México › Stetson Americas</t>
        </is>
      </c>
      <c r="B2322" s="5">
        <f>IF($I2="","",INDEX(Productos!$A:$A,$I2))</f>
        <v/>
      </c>
      <c r="C2322" s="134" t="inlineStr">
        <is>
          <t>12-020-BS002-10-1005-027</t>
        </is>
      </c>
      <c r="D2322" s="5">
        <f>IF($I2="","",INDEX(Productos!$B:$B,$I2))</f>
        <v/>
      </c>
      <c r="E2322" s="5">
        <f>IF($I2="","",INDEX(Productos!$H:$H,$I2))</f>
        <v/>
      </c>
      <c r="F2322" s="5">
        <f>IF($I2="","",INDEX(Productos!$I:$I,$I2))</f>
        <v/>
      </c>
      <c r="G2322" s="135" t="n">
        <v>2</v>
      </c>
      <c r="H2322" s="5">
        <f>IF($I2="","",INDEX(Productos!$AG:$AG,$I2))</f>
        <v/>
      </c>
      <c r="I2322" s="136">
        <f>LET(_xlpm.r,Productos!$E$2:$E$2509,_xlpm.m,IFERROR(_xlfn.XMATCH(C2322,_xlpm.r),IFERROR(_xlfn.XMATCH(VALUE(C2322),_xlpm.r),0)),IF(_xlpm.m=0,"",_xlpm.m+1))</f>
        <v/>
      </c>
      <c r="J2322" s="137" t="inlineStr">
        <is>
          <t>Shopify</t>
        </is>
      </c>
    </row>
    <row r="2323">
      <c r="A2323" s="5" t="inlineStr">
        <is>
          <t>Shopify Stetson México › Stetson Americas</t>
        </is>
      </c>
      <c r="B2323" s="5">
        <f>IF($I2="","",INDEX(Productos!$A:$A,$I2))</f>
        <v/>
      </c>
      <c r="C2323" s="134" t="inlineStr">
        <is>
          <t>12-020-BS002-10-1005-028</t>
        </is>
      </c>
      <c r="D2323" s="5">
        <f>IF($I2="","",INDEX(Productos!$B:$B,$I2))</f>
        <v/>
      </c>
      <c r="E2323" s="5">
        <f>IF($I2="","",INDEX(Productos!$H:$H,$I2))</f>
        <v/>
      </c>
      <c r="F2323" s="5">
        <f>IF($I2="","",INDEX(Productos!$I:$I,$I2))</f>
        <v/>
      </c>
      <c r="G2323" s="135" t="n">
        <v>1</v>
      </c>
      <c r="H2323" s="5">
        <f>IF($I2="","",INDEX(Productos!$AG:$AG,$I2))</f>
        <v/>
      </c>
      <c r="I2323" s="136">
        <f>LET(_xlpm.r,Productos!$E$2:$E$2509,_xlpm.m,IFERROR(_xlfn.XMATCH(C2323,_xlpm.r),IFERROR(_xlfn.XMATCH(VALUE(C2323),_xlpm.r),0)),IF(_xlpm.m=0,"",_xlpm.m+1))</f>
        <v/>
      </c>
      <c r="J2323" s="137" t="inlineStr">
        <is>
          <t>Shopify</t>
        </is>
      </c>
    </row>
    <row r="2324">
      <c r="A2324" s="5" t="inlineStr">
        <is>
          <t>Shopify Stetson México › Stetson Americas</t>
        </is>
      </c>
      <c r="B2324" s="5">
        <f>IF($I2="","",INDEX(Productos!$A:$A,$I2))</f>
        <v/>
      </c>
      <c r="C2324" s="134" t="inlineStr">
        <is>
          <t>12-020-BS002-10-1005-029</t>
        </is>
      </c>
      <c r="D2324" s="5">
        <f>IF($I2="","",INDEX(Productos!$B:$B,$I2))</f>
        <v/>
      </c>
      <c r="E2324" s="5">
        <f>IF($I2="","",INDEX(Productos!$H:$H,$I2))</f>
        <v/>
      </c>
      <c r="F2324" s="5">
        <f>IF($I2="","",INDEX(Productos!$I:$I,$I2))</f>
        <v/>
      </c>
      <c r="G2324" s="135" t="n">
        <v>1</v>
      </c>
      <c r="H2324" s="5">
        <f>IF($I2="","",INDEX(Productos!$AG:$AG,$I2))</f>
        <v/>
      </c>
      <c r="I2324" s="136">
        <f>LET(_xlpm.r,Productos!$E$2:$E$2509,_xlpm.m,IFERROR(_xlfn.XMATCH(C2324,_xlpm.r),IFERROR(_xlfn.XMATCH(VALUE(C2324),_xlpm.r),0)),IF(_xlpm.m=0,"",_xlpm.m+1))</f>
        <v/>
      </c>
      <c r="J2324" s="137" t="inlineStr">
        <is>
          <t>Shopify</t>
        </is>
      </c>
    </row>
    <row r="2325">
      <c r="A2325" s="5" t="inlineStr">
        <is>
          <t>Shopify Stetson México › Stetson Americas</t>
        </is>
      </c>
      <c r="B2325" s="5">
        <f>IF($I2="","",INDEX(Productos!$A:$A,$I2))</f>
        <v/>
      </c>
      <c r="C2325" s="134" t="inlineStr">
        <is>
          <t>12-020-BS002-10-1005-030</t>
        </is>
      </c>
      <c r="D2325" s="5">
        <f>IF($I2="","",INDEX(Productos!$B:$B,$I2))</f>
        <v/>
      </c>
      <c r="E2325" s="5">
        <f>IF($I2="","",INDEX(Productos!$H:$H,$I2))</f>
        <v/>
      </c>
      <c r="F2325" s="5">
        <f>IF($I2="","",INDEX(Productos!$I:$I,$I2))</f>
        <v/>
      </c>
      <c r="G2325" s="135" t="n">
        <v>1</v>
      </c>
      <c r="H2325" s="5">
        <f>IF($I2="","",INDEX(Productos!$AG:$AG,$I2))</f>
        <v/>
      </c>
      <c r="I2325" s="136">
        <f>LET(_xlpm.r,Productos!$E$2:$E$2509,_xlpm.m,IFERROR(_xlfn.XMATCH(C2325,_xlpm.r),IFERROR(_xlfn.XMATCH(VALUE(C2325),_xlpm.r),0)),IF(_xlpm.m=0,"",_xlpm.m+1))</f>
        <v/>
      </c>
      <c r="J2325" s="137" t="inlineStr">
        <is>
          <t>Shopify</t>
        </is>
      </c>
    </row>
    <row r="2326">
      <c r="A2326" s="5" t="inlineStr">
        <is>
          <t>Shopify Stetson México › Stetson Americas</t>
        </is>
      </c>
      <c r="B2326" s="5">
        <f>IF($I2="","",INDEX(Productos!$A:$A,$I2))</f>
        <v/>
      </c>
      <c r="C2326" s="134" t="inlineStr">
        <is>
          <t>12-020-BS002-10-1005-031</t>
        </is>
      </c>
      <c r="D2326" s="5">
        <f>IF($I2="","",INDEX(Productos!$B:$B,$I2))</f>
        <v/>
      </c>
      <c r="E2326" s="5">
        <f>IF($I2="","",INDEX(Productos!$H:$H,$I2))</f>
        <v/>
      </c>
      <c r="F2326" s="5">
        <f>IF($I2="","",INDEX(Productos!$I:$I,$I2))</f>
        <v/>
      </c>
      <c r="G2326" s="135" t="n">
        <v>1</v>
      </c>
      <c r="H2326" s="5">
        <f>IF($I2="","",INDEX(Productos!$AG:$AG,$I2))</f>
        <v/>
      </c>
      <c r="I2326" s="136">
        <f>LET(_xlpm.r,Productos!$E$2:$E$2509,_xlpm.m,IFERROR(_xlfn.XMATCH(C2326,_xlpm.r),IFERROR(_xlfn.XMATCH(VALUE(C2326),_xlpm.r),0)),IF(_xlpm.m=0,"",_xlpm.m+1))</f>
        <v/>
      </c>
      <c r="J2326" s="137" t="inlineStr">
        <is>
          <t>Shopify</t>
        </is>
      </c>
    </row>
    <row r="2327">
      <c r="A2327" s="5" t="inlineStr">
        <is>
          <t>Shopify Stetson México › Stetson Americas</t>
        </is>
      </c>
      <c r="B2327" s="5">
        <f>IF($I2="","",INDEX(Productos!$A:$A,$I2))</f>
        <v/>
      </c>
      <c r="C2327" s="134" t="inlineStr">
        <is>
          <t>12-020-BS002-10-1005-265</t>
        </is>
      </c>
      <c r="D2327" s="5">
        <f>IF($I2="","",INDEX(Productos!$B:$B,$I2))</f>
        <v/>
      </c>
      <c r="E2327" s="5">
        <f>IF($I2="","",INDEX(Productos!$H:$H,$I2))</f>
        <v/>
      </c>
      <c r="F2327" s="5">
        <f>IF($I2="","",INDEX(Productos!$I:$I,$I2))</f>
        <v/>
      </c>
      <c r="G2327" s="135" t="n">
        <v>2</v>
      </c>
      <c r="H2327" s="5">
        <f>IF($I2="","",INDEX(Productos!$AG:$AG,$I2))</f>
        <v/>
      </c>
      <c r="I2327" s="136">
        <f>LET(_xlpm.r,Productos!$E$2:$E$2509,_xlpm.m,IFERROR(_xlfn.XMATCH(C2327,_xlpm.r),IFERROR(_xlfn.XMATCH(VALUE(C2327),_xlpm.r),0)),IF(_xlpm.m=0,"",_xlpm.m+1))</f>
        <v/>
      </c>
      <c r="J2327" s="137" t="inlineStr">
        <is>
          <t>Shopify</t>
        </is>
      </c>
    </row>
    <row r="2328">
      <c r="A2328" s="5" t="inlineStr">
        <is>
          <t>Shopify Stetson México › Stetson Americas</t>
        </is>
      </c>
      <c r="B2328" s="5">
        <f>IF($I2="","",INDEX(Productos!$A:$A,$I2))</f>
        <v/>
      </c>
      <c r="C2328" s="134" t="inlineStr">
        <is>
          <t>12-020-BS002-10-1005-275</t>
        </is>
      </c>
      <c r="D2328" s="5">
        <f>IF($I2="","",INDEX(Productos!$B:$B,$I2))</f>
        <v/>
      </c>
      <c r="E2328" s="5">
        <f>IF($I2="","",INDEX(Productos!$H:$H,$I2))</f>
        <v/>
      </c>
      <c r="F2328" s="5">
        <f>IF($I2="","",INDEX(Productos!$I:$I,$I2))</f>
        <v/>
      </c>
      <c r="G2328" s="135" t="n">
        <v>1</v>
      </c>
      <c r="H2328" s="5">
        <f>IF($I2="","",INDEX(Productos!$AG:$AG,$I2))</f>
        <v/>
      </c>
      <c r="I2328" s="136">
        <f>LET(_xlpm.r,Productos!$E$2:$E$2509,_xlpm.m,IFERROR(_xlfn.XMATCH(C2328,_xlpm.r),IFERROR(_xlfn.XMATCH(VALUE(C2328),_xlpm.r),0)),IF(_xlpm.m=0,"",_xlpm.m+1))</f>
        <v/>
      </c>
      <c r="J2328" s="137" t="inlineStr">
        <is>
          <t>Shopify</t>
        </is>
      </c>
    </row>
    <row r="2329">
      <c r="A2329" s="5" t="inlineStr">
        <is>
          <t>Shopify Stetson México › Stetson Americas</t>
        </is>
      </c>
      <c r="B2329" s="5">
        <f>IF($I2="","",INDEX(Productos!$A:$A,$I2))</f>
        <v/>
      </c>
      <c r="C2329" s="134" t="inlineStr">
        <is>
          <t>12-020-BS002-10-1005-285</t>
        </is>
      </c>
      <c r="D2329" s="5">
        <f>IF($I2="","",INDEX(Productos!$B:$B,$I2))</f>
        <v/>
      </c>
      <c r="E2329" s="5">
        <f>IF($I2="","",INDEX(Productos!$H:$H,$I2))</f>
        <v/>
      </c>
      <c r="F2329" s="5">
        <f>IF($I2="","",INDEX(Productos!$I:$I,$I2))</f>
        <v/>
      </c>
      <c r="G2329" s="135" t="n">
        <v>1</v>
      </c>
      <c r="H2329" s="5">
        <f>IF($I2="","",INDEX(Productos!$AG:$AG,$I2))</f>
        <v/>
      </c>
      <c r="I2329" s="136">
        <f>LET(_xlpm.r,Productos!$E$2:$E$2509,_xlpm.m,IFERROR(_xlfn.XMATCH(C2329,_xlpm.r),IFERROR(_xlfn.XMATCH(VALUE(C2329),_xlpm.r),0)),IF(_xlpm.m=0,"",_xlpm.m+1))</f>
        <v/>
      </c>
      <c r="J2329" s="137" t="inlineStr">
        <is>
          <t>Shopify</t>
        </is>
      </c>
    </row>
    <row r="2330">
      <c r="A2330" s="5" t="inlineStr">
        <is>
          <t>Shopify Stetson México › Stetson Americas</t>
        </is>
      </c>
      <c r="B2330" s="5">
        <f>IF($I2="","",INDEX(Productos!$A:$A,$I2))</f>
        <v/>
      </c>
      <c r="C2330" s="134" t="inlineStr">
        <is>
          <t>12-020-BS002-10-1005-295</t>
        </is>
      </c>
      <c r="D2330" s="5">
        <f>IF($I2="","",INDEX(Productos!$B:$B,$I2))</f>
        <v/>
      </c>
      <c r="E2330" s="5">
        <f>IF($I2="","",INDEX(Productos!$H:$H,$I2))</f>
        <v/>
      </c>
      <c r="F2330" s="5">
        <f>IF($I2="","",INDEX(Productos!$I:$I,$I2))</f>
        <v/>
      </c>
      <c r="G2330" s="135" t="n">
        <v>1</v>
      </c>
      <c r="H2330" s="5">
        <f>IF($I2="","",INDEX(Productos!$AG:$AG,$I2))</f>
        <v/>
      </c>
      <c r="I2330" s="136">
        <f>LET(_xlpm.r,Productos!$E$2:$E$2509,_xlpm.m,IFERROR(_xlfn.XMATCH(C2330,_xlpm.r),IFERROR(_xlfn.XMATCH(VALUE(C2330),_xlpm.r),0)),IF(_xlpm.m=0,"",_xlpm.m+1))</f>
        <v/>
      </c>
      <c r="J2330" s="137" t="inlineStr">
        <is>
          <t>Shopify</t>
        </is>
      </c>
    </row>
    <row r="2331">
      <c r="A2331" s="5" t="inlineStr">
        <is>
          <t>Shopify Stetson México › Stetson Americas</t>
        </is>
      </c>
      <c r="B2331" s="5">
        <f>IF($I2="","",INDEX(Productos!$A:$A,$I2))</f>
        <v/>
      </c>
      <c r="C2331" s="134" t="inlineStr">
        <is>
          <t>12-020-BS002-10-1005-305</t>
        </is>
      </c>
      <c r="D2331" s="5">
        <f>IF($I2="","",INDEX(Productos!$B:$B,$I2))</f>
        <v/>
      </c>
      <c r="E2331" s="5">
        <f>IF($I2="","",INDEX(Productos!$H:$H,$I2))</f>
        <v/>
      </c>
      <c r="F2331" s="5">
        <f>IF($I2="","",INDEX(Productos!$I:$I,$I2))</f>
        <v/>
      </c>
      <c r="G2331" s="135" t="n">
        <v>1</v>
      </c>
      <c r="H2331" s="5">
        <f>IF($I2="","",INDEX(Productos!$AG:$AG,$I2))</f>
        <v/>
      </c>
      <c r="I2331" s="136">
        <f>LET(_xlpm.r,Productos!$E$2:$E$2509,_xlpm.m,IFERROR(_xlfn.XMATCH(C2331,_xlpm.r),IFERROR(_xlfn.XMATCH(VALUE(C2331),_xlpm.r),0)),IF(_xlpm.m=0,"",_xlpm.m+1))</f>
        <v/>
      </c>
      <c r="J2331" s="137" t="inlineStr">
        <is>
          <t>Shopify</t>
        </is>
      </c>
    </row>
    <row r="2332">
      <c r="A2332" s="5" t="inlineStr">
        <is>
          <t>Shopify Stetson México › Stetson Americas</t>
        </is>
      </c>
      <c r="B2332" s="5">
        <f>IF($I2="","",INDEX(Productos!$A:$A,$I2))</f>
        <v/>
      </c>
      <c r="C2332" s="134" t="inlineStr">
        <is>
          <t>12-020-BS002-10-1006-027</t>
        </is>
      </c>
      <c r="D2332" s="5">
        <f>IF($I2="","",INDEX(Productos!$B:$B,$I2))</f>
        <v/>
      </c>
      <c r="E2332" s="5">
        <f>IF($I2="","",INDEX(Productos!$H:$H,$I2))</f>
        <v/>
      </c>
      <c r="F2332" s="5">
        <f>IF($I2="","",INDEX(Productos!$I:$I,$I2))</f>
        <v/>
      </c>
      <c r="G2332" s="135" t="n">
        <v>2</v>
      </c>
      <c r="H2332" s="5">
        <f>IF($I2="","",INDEX(Productos!$AG:$AG,$I2))</f>
        <v/>
      </c>
      <c r="I2332" s="136">
        <f>LET(_xlpm.r,Productos!$E$2:$E$2509,_xlpm.m,IFERROR(_xlfn.XMATCH(C2332,_xlpm.r),IFERROR(_xlfn.XMATCH(VALUE(C2332),_xlpm.r),0)),IF(_xlpm.m=0,"",_xlpm.m+1))</f>
        <v/>
      </c>
      <c r="J2332" s="137" t="inlineStr">
        <is>
          <t>Shopify</t>
        </is>
      </c>
    </row>
    <row r="2333">
      <c r="A2333" s="5" t="inlineStr">
        <is>
          <t>Shopify Stetson México › Stetson Americas</t>
        </is>
      </c>
      <c r="B2333" s="5">
        <f>IF($I2="","",INDEX(Productos!$A:$A,$I2))</f>
        <v/>
      </c>
      <c r="C2333" s="134" t="inlineStr">
        <is>
          <t>12-020-BS002-10-1006-028</t>
        </is>
      </c>
      <c r="D2333" s="5">
        <f>IF($I2="","",INDEX(Productos!$B:$B,$I2))</f>
        <v/>
      </c>
      <c r="E2333" s="5">
        <f>IF($I2="","",INDEX(Productos!$H:$H,$I2))</f>
        <v/>
      </c>
      <c r="F2333" s="5">
        <f>IF($I2="","",INDEX(Productos!$I:$I,$I2))</f>
        <v/>
      </c>
      <c r="G2333" s="135" t="n">
        <v>2</v>
      </c>
      <c r="H2333" s="5">
        <f>IF($I2="","",INDEX(Productos!$AG:$AG,$I2))</f>
        <v/>
      </c>
      <c r="I2333" s="136">
        <f>LET(_xlpm.r,Productos!$E$2:$E$2509,_xlpm.m,IFERROR(_xlfn.XMATCH(C2333,_xlpm.r),IFERROR(_xlfn.XMATCH(VALUE(C2333),_xlpm.r),0)),IF(_xlpm.m=0,"",_xlpm.m+1))</f>
        <v/>
      </c>
      <c r="J2333" s="137" t="inlineStr">
        <is>
          <t>Shopify</t>
        </is>
      </c>
    </row>
    <row r="2334">
      <c r="A2334" s="5" t="inlineStr">
        <is>
          <t>Shopify Stetson México › Stetson Americas</t>
        </is>
      </c>
      <c r="B2334" s="5">
        <f>IF($I2="","",INDEX(Productos!$A:$A,$I2))</f>
        <v/>
      </c>
      <c r="C2334" s="134" t="inlineStr">
        <is>
          <t>12-020-BS002-10-1006-029</t>
        </is>
      </c>
      <c r="D2334" s="5">
        <f>IF($I2="","",INDEX(Productos!$B:$B,$I2))</f>
        <v/>
      </c>
      <c r="E2334" s="5">
        <f>IF($I2="","",INDEX(Productos!$H:$H,$I2))</f>
        <v/>
      </c>
      <c r="F2334" s="5">
        <f>IF($I2="","",INDEX(Productos!$I:$I,$I2))</f>
        <v/>
      </c>
      <c r="G2334" s="135" t="n">
        <v>2</v>
      </c>
      <c r="H2334" s="5">
        <f>IF($I2="","",INDEX(Productos!$AG:$AG,$I2))</f>
        <v/>
      </c>
      <c r="I2334" s="136">
        <f>LET(_xlpm.r,Productos!$E$2:$E$2509,_xlpm.m,IFERROR(_xlfn.XMATCH(C2334,_xlpm.r),IFERROR(_xlfn.XMATCH(VALUE(C2334),_xlpm.r),0)),IF(_xlpm.m=0,"",_xlpm.m+1))</f>
        <v/>
      </c>
      <c r="J2334" s="137" t="inlineStr">
        <is>
          <t>Shopify</t>
        </is>
      </c>
    </row>
    <row r="2335">
      <c r="A2335" s="5" t="inlineStr">
        <is>
          <t>Shopify Stetson México › Stetson Americas</t>
        </is>
      </c>
      <c r="B2335" s="5">
        <f>IF($I2="","",INDEX(Productos!$A:$A,$I2))</f>
        <v/>
      </c>
      <c r="C2335" s="134" t="inlineStr">
        <is>
          <t>12-020-BS002-10-1006-030</t>
        </is>
      </c>
      <c r="D2335" s="5">
        <f>IF($I2="","",INDEX(Productos!$B:$B,$I2))</f>
        <v/>
      </c>
      <c r="E2335" s="5">
        <f>IF($I2="","",INDEX(Productos!$H:$H,$I2))</f>
        <v/>
      </c>
      <c r="F2335" s="5">
        <f>IF($I2="","",INDEX(Productos!$I:$I,$I2))</f>
        <v/>
      </c>
      <c r="G2335" s="135" t="n">
        <v>1</v>
      </c>
      <c r="H2335" s="5">
        <f>IF($I2="","",INDEX(Productos!$AG:$AG,$I2))</f>
        <v/>
      </c>
      <c r="I2335" s="136">
        <f>LET(_xlpm.r,Productos!$E$2:$E$2509,_xlpm.m,IFERROR(_xlfn.XMATCH(C2335,_xlpm.r),IFERROR(_xlfn.XMATCH(VALUE(C2335),_xlpm.r),0)),IF(_xlpm.m=0,"",_xlpm.m+1))</f>
        <v/>
      </c>
      <c r="J2335" s="137" t="inlineStr">
        <is>
          <t>Shopify</t>
        </is>
      </c>
    </row>
    <row r="2336">
      <c r="A2336" s="5" t="inlineStr">
        <is>
          <t>Shopify Stetson México › Stetson Americas</t>
        </is>
      </c>
      <c r="B2336" s="5">
        <f>IF($I2="","",INDEX(Productos!$A:$A,$I2))</f>
        <v/>
      </c>
      <c r="C2336" s="134" t="inlineStr">
        <is>
          <t>12-020-BS002-10-1006-265</t>
        </is>
      </c>
      <c r="D2336" s="5">
        <f>IF($I2="","",INDEX(Productos!$B:$B,$I2))</f>
        <v/>
      </c>
      <c r="E2336" s="5">
        <f>IF($I2="","",INDEX(Productos!$H:$H,$I2))</f>
        <v/>
      </c>
      <c r="F2336" s="5">
        <f>IF($I2="","",INDEX(Productos!$I:$I,$I2))</f>
        <v/>
      </c>
      <c r="G2336" s="135" t="n">
        <v>2</v>
      </c>
      <c r="H2336" s="5">
        <f>IF($I2="","",INDEX(Productos!$AG:$AG,$I2))</f>
        <v/>
      </c>
      <c r="I2336" s="136">
        <f>LET(_xlpm.r,Productos!$E$2:$E$2509,_xlpm.m,IFERROR(_xlfn.XMATCH(C2336,_xlpm.r),IFERROR(_xlfn.XMATCH(VALUE(C2336),_xlpm.r),0)),IF(_xlpm.m=0,"",_xlpm.m+1))</f>
        <v/>
      </c>
      <c r="J2336" s="137" t="inlineStr">
        <is>
          <t>Shopify</t>
        </is>
      </c>
    </row>
    <row r="2337">
      <c r="A2337" s="5" t="inlineStr">
        <is>
          <t>Shopify Stetson México › Stetson Americas</t>
        </is>
      </c>
      <c r="B2337" s="5">
        <f>IF($I2="","",INDEX(Productos!$A:$A,$I2))</f>
        <v/>
      </c>
      <c r="C2337" s="134" t="inlineStr">
        <is>
          <t>12-020-BS002-10-1006-275</t>
        </is>
      </c>
      <c r="D2337" s="5">
        <f>IF($I2="","",INDEX(Productos!$B:$B,$I2))</f>
        <v/>
      </c>
      <c r="E2337" s="5">
        <f>IF($I2="","",INDEX(Productos!$H:$H,$I2))</f>
        <v/>
      </c>
      <c r="F2337" s="5">
        <f>IF($I2="","",INDEX(Productos!$I:$I,$I2))</f>
        <v/>
      </c>
      <c r="G2337" s="135" t="n">
        <v>1</v>
      </c>
      <c r="H2337" s="5">
        <f>IF($I2="","",INDEX(Productos!$AG:$AG,$I2))</f>
        <v/>
      </c>
      <c r="I2337" s="136">
        <f>LET(_xlpm.r,Productos!$E$2:$E$2509,_xlpm.m,IFERROR(_xlfn.XMATCH(C2337,_xlpm.r),IFERROR(_xlfn.XMATCH(VALUE(C2337),_xlpm.r),0)),IF(_xlpm.m=0,"",_xlpm.m+1))</f>
        <v/>
      </c>
      <c r="J2337" s="137" t="inlineStr">
        <is>
          <t>Shopify</t>
        </is>
      </c>
    </row>
    <row r="2338">
      <c r="A2338" s="5" t="inlineStr">
        <is>
          <t>Shopify Stetson México › Stetson Americas</t>
        </is>
      </c>
      <c r="B2338" s="5">
        <f>IF($I2="","",INDEX(Productos!$A:$A,$I2))</f>
        <v/>
      </c>
      <c r="C2338" s="134" t="inlineStr">
        <is>
          <t>12-020-BS002-10-1006-285</t>
        </is>
      </c>
      <c r="D2338" s="5">
        <f>IF($I2="","",INDEX(Productos!$B:$B,$I2))</f>
        <v/>
      </c>
      <c r="E2338" s="5">
        <f>IF($I2="","",INDEX(Productos!$H:$H,$I2))</f>
        <v/>
      </c>
      <c r="F2338" s="5">
        <f>IF($I2="","",INDEX(Productos!$I:$I,$I2))</f>
        <v/>
      </c>
      <c r="G2338" s="135" t="n">
        <v>1</v>
      </c>
      <c r="H2338" s="5">
        <f>IF($I2="","",INDEX(Productos!$AG:$AG,$I2))</f>
        <v/>
      </c>
      <c r="I2338" s="136">
        <f>LET(_xlpm.r,Productos!$E$2:$E$2509,_xlpm.m,IFERROR(_xlfn.XMATCH(C2338,_xlpm.r),IFERROR(_xlfn.XMATCH(VALUE(C2338),_xlpm.r),0)),IF(_xlpm.m=0,"",_xlpm.m+1))</f>
        <v/>
      </c>
      <c r="J2338" s="137" t="inlineStr">
        <is>
          <t>Shopify</t>
        </is>
      </c>
    </row>
    <row r="2339">
      <c r="A2339" s="5" t="inlineStr">
        <is>
          <t>Shopify Stetson México › Stetson Americas</t>
        </is>
      </c>
      <c r="B2339" s="5">
        <f>IF($I2="","",INDEX(Productos!$A:$A,$I2))</f>
        <v/>
      </c>
      <c r="C2339" s="134" t="inlineStr">
        <is>
          <t>12-020-BS002-10-1006-295</t>
        </is>
      </c>
      <c r="D2339" s="5">
        <f>IF($I2="","",INDEX(Productos!$B:$B,$I2))</f>
        <v/>
      </c>
      <c r="E2339" s="5">
        <f>IF($I2="","",INDEX(Productos!$H:$H,$I2))</f>
        <v/>
      </c>
      <c r="F2339" s="5">
        <f>IF($I2="","",INDEX(Productos!$I:$I,$I2))</f>
        <v/>
      </c>
      <c r="G2339" s="135" t="n">
        <v>1</v>
      </c>
      <c r="H2339" s="5">
        <f>IF($I2="","",INDEX(Productos!$AG:$AG,$I2))</f>
        <v/>
      </c>
      <c r="I2339" s="136">
        <f>LET(_xlpm.r,Productos!$E$2:$E$2509,_xlpm.m,IFERROR(_xlfn.XMATCH(C2339,_xlpm.r),IFERROR(_xlfn.XMATCH(VALUE(C2339),_xlpm.r),0)),IF(_xlpm.m=0,"",_xlpm.m+1))</f>
        <v/>
      </c>
      <c r="J2339" s="137" t="inlineStr">
        <is>
          <t>Shopify</t>
        </is>
      </c>
    </row>
    <row r="2340">
      <c r="A2340" s="5" t="inlineStr">
        <is>
          <t>Shopify Stetson México › Stetson Americas</t>
        </is>
      </c>
      <c r="B2340" s="5">
        <f>IF($I2="","",INDEX(Productos!$A:$A,$I2))</f>
        <v/>
      </c>
      <c r="C2340" s="134" t="inlineStr">
        <is>
          <t>12-020-BS002-10-1007-027</t>
        </is>
      </c>
      <c r="D2340" s="5">
        <f>IF($I2="","",INDEX(Productos!$B:$B,$I2))</f>
        <v/>
      </c>
      <c r="E2340" s="5">
        <f>IF($I2="","",INDEX(Productos!$H:$H,$I2))</f>
        <v/>
      </c>
      <c r="F2340" s="5">
        <f>IF($I2="","",INDEX(Productos!$I:$I,$I2))</f>
        <v/>
      </c>
      <c r="G2340" s="135" t="n">
        <v>1</v>
      </c>
      <c r="H2340" s="5">
        <f>IF($I2="","",INDEX(Productos!$AG:$AG,$I2))</f>
        <v/>
      </c>
      <c r="I2340" s="136">
        <f>LET(_xlpm.r,Productos!$E$2:$E$2509,_xlpm.m,IFERROR(_xlfn.XMATCH(C2340,_xlpm.r),IFERROR(_xlfn.XMATCH(VALUE(C2340),_xlpm.r),0)),IF(_xlpm.m=0,"",_xlpm.m+1))</f>
        <v/>
      </c>
      <c r="J2340" s="137" t="inlineStr">
        <is>
          <t>Shopify</t>
        </is>
      </c>
    </row>
    <row r="2341">
      <c r="A2341" s="5" t="inlineStr">
        <is>
          <t>Shopify Stetson México › Stetson Americas</t>
        </is>
      </c>
      <c r="B2341" s="5">
        <f>IF($I2="","",INDEX(Productos!$A:$A,$I2))</f>
        <v/>
      </c>
      <c r="C2341" s="134" t="inlineStr">
        <is>
          <t>12-020-BS002-10-1007-275</t>
        </is>
      </c>
      <c r="D2341" s="5">
        <f>IF($I2="","",INDEX(Productos!$B:$B,$I2))</f>
        <v/>
      </c>
      <c r="E2341" s="5">
        <f>IF($I2="","",INDEX(Productos!$H:$H,$I2))</f>
        <v/>
      </c>
      <c r="F2341" s="5">
        <f>IF($I2="","",INDEX(Productos!$I:$I,$I2))</f>
        <v/>
      </c>
      <c r="G2341" s="135" t="n">
        <v>1</v>
      </c>
      <c r="H2341" s="5">
        <f>IF($I2="","",INDEX(Productos!$AG:$AG,$I2))</f>
        <v/>
      </c>
      <c r="I2341" s="136">
        <f>LET(_xlpm.r,Productos!$E$2:$E$2509,_xlpm.m,IFERROR(_xlfn.XMATCH(C2341,_xlpm.r),IFERROR(_xlfn.XMATCH(VALUE(C2341),_xlpm.r),0)),IF(_xlpm.m=0,"",_xlpm.m+1))</f>
        <v/>
      </c>
      <c r="J2341" s="137" t="inlineStr">
        <is>
          <t>Shopify</t>
        </is>
      </c>
    </row>
    <row r="2342">
      <c r="A2342" s="5" t="inlineStr">
        <is>
          <t>Shopify Stetson México › Stetson Americas</t>
        </is>
      </c>
      <c r="B2342" s="5">
        <f>IF($I2="","",INDEX(Productos!$A:$A,$I2))</f>
        <v/>
      </c>
      <c r="C2342" s="134" t="inlineStr">
        <is>
          <t>12-020-BS002-10-1007-285</t>
        </is>
      </c>
      <c r="D2342" s="5">
        <f>IF($I2="","",INDEX(Productos!$B:$B,$I2))</f>
        <v/>
      </c>
      <c r="E2342" s="5">
        <f>IF($I2="","",INDEX(Productos!$H:$H,$I2))</f>
        <v/>
      </c>
      <c r="F2342" s="5">
        <f>IF($I2="","",INDEX(Productos!$I:$I,$I2))</f>
        <v/>
      </c>
      <c r="G2342" s="135" t="n">
        <v>1</v>
      </c>
      <c r="H2342" s="5">
        <f>IF($I2="","",INDEX(Productos!$AG:$AG,$I2))</f>
        <v/>
      </c>
      <c r="I2342" s="136">
        <f>LET(_xlpm.r,Productos!$E$2:$E$2509,_xlpm.m,IFERROR(_xlfn.XMATCH(C2342,_xlpm.r),IFERROR(_xlfn.XMATCH(VALUE(C2342),_xlpm.r),0)),IF(_xlpm.m=0,"",_xlpm.m+1))</f>
        <v/>
      </c>
      <c r="J2342" s="137" t="inlineStr">
        <is>
          <t>Shopify</t>
        </is>
      </c>
    </row>
    <row r="2343">
      <c r="A2343" s="5" t="inlineStr">
        <is>
          <t>Shopify Stetson México › Stetson Americas</t>
        </is>
      </c>
      <c r="B2343" s="5">
        <f>IF($I2="","",INDEX(Productos!$A:$A,$I2))</f>
        <v/>
      </c>
      <c r="C2343" s="134" t="inlineStr">
        <is>
          <t>12-020-BS002-10-1007-305</t>
        </is>
      </c>
      <c r="D2343" s="5">
        <f>IF($I2="","",INDEX(Productos!$B:$B,$I2))</f>
        <v/>
      </c>
      <c r="E2343" s="5">
        <f>IF($I2="","",INDEX(Productos!$H:$H,$I2))</f>
        <v/>
      </c>
      <c r="F2343" s="5">
        <f>IF($I2="","",INDEX(Productos!$I:$I,$I2))</f>
        <v/>
      </c>
      <c r="G2343" s="135" t="n">
        <v>1</v>
      </c>
      <c r="H2343" s="5">
        <f>IF($I2="","",INDEX(Productos!$AG:$AG,$I2))</f>
        <v/>
      </c>
      <c r="I2343" s="136">
        <f>LET(_xlpm.r,Productos!$E$2:$E$2509,_xlpm.m,IFERROR(_xlfn.XMATCH(C2343,_xlpm.r),IFERROR(_xlfn.XMATCH(VALUE(C2343),_xlpm.r),0)),IF(_xlpm.m=0,"",_xlpm.m+1))</f>
        <v/>
      </c>
      <c r="J2343" s="137" t="inlineStr">
        <is>
          <t>Shopify</t>
        </is>
      </c>
    </row>
    <row r="2344">
      <c r="A2344" s="5" t="inlineStr">
        <is>
          <t>Shopify Stetson México › Stetson Americas</t>
        </is>
      </c>
      <c r="B2344" s="5">
        <f>IF($I2="","",INDEX(Productos!$A:$A,$I2))</f>
        <v/>
      </c>
      <c r="C2344" s="134" t="inlineStr">
        <is>
          <t>12-020-BS002-13-1034-026</t>
        </is>
      </c>
      <c r="D2344" s="5">
        <f>IF($I2="","",INDEX(Productos!$B:$B,$I2))</f>
        <v/>
      </c>
      <c r="E2344" s="5">
        <f>IF($I2="","",INDEX(Productos!$H:$H,$I2))</f>
        <v/>
      </c>
      <c r="F2344" s="5">
        <f>IF($I2="","",INDEX(Productos!$I:$I,$I2))</f>
        <v/>
      </c>
      <c r="G2344" s="135" t="n">
        <v>1</v>
      </c>
      <c r="H2344" s="5">
        <f>IF($I2="","",INDEX(Productos!$AG:$AG,$I2))</f>
        <v/>
      </c>
      <c r="I2344" s="136">
        <f>LET(_xlpm.r,Productos!$E$2:$E$2509,_xlpm.m,IFERROR(_xlfn.XMATCH(C2344,_xlpm.r),IFERROR(_xlfn.XMATCH(VALUE(C2344),_xlpm.r),0)),IF(_xlpm.m=0,"",_xlpm.m+1))</f>
        <v/>
      </c>
      <c r="J2344" s="137" t="inlineStr">
        <is>
          <t>Shopify</t>
        </is>
      </c>
    </row>
    <row r="2345">
      <c r="A2345" s="5" t="inlineStr">
        <is>
          <t>Shopify Stetson México › Stetson Americas</t>
        </is>
      </c>
      <c r="B2345" s="5">
        <f>IF($I2="","",INDEX(Productos!$A:$A,$I2))</f>
        <v/>
      </c>
      <c r="C2345" s="134" t="inlineStr">
        <is>
          <t>12-020-BS002-13-1034-255</t>
        </is>
      </c>
      <c r="D2345" s="5">
        <f>IF($I2="","",INDEX(Productos!$B:$B,$I2))</f>
        <v/>
      </c>
      <c r="E2345" s="5">
        <f>IF($I2="","",INDEX(Productos!$H:$H,$I2))</f>
        <v/>
      </c>
      <c r="F2345" s="5">
        <f>IF($I2="","",INDEX(Productos!$I:$I,$I2))</f>
        <v/>
      </c>
      <c r="G2345" s="135" t="n">
        <v>1</v>
      </c>
      <c r="H2345" s="5">
        <f>IF($I2="","",INDEX(Productos!$AG:$AG,$I2))</f>
        <v/>
      </c>
      <c r="I2345" s="136">
        <f>LET(_xlpm.r,Productos!$E$2:$E$2509,_xlpm.m,IFERROR(_xlfn.XMATCH(C2345,_xlpm.r),IFERROR(_xlfn.XMATCH(VALUE(C2345),_xlpm.r),0)),IF(_xlpm.m=0,"",_xlpm.m+1))</f>
        <v/>
      </c>
      <c r="J2345" s="137" t="inlineStr">
        <is>
          <t>Shopify</t>
        </is>
      </c>
    </row>
    <row r="2346">
      <c r="A2346" s="5" t="inlineStr">
        <is>
          <t>Shopify Stetson México › Stetson Americas</t>
        </is>
      </c>
      <c r="B2346" s="5">
        <f>IF($I2="","",INDEX(Productos!$A:$A,$I2))</f>
        <v/>
      </c>
      <c r="C2346" s="134" t="inlineStr">
        <is>
          <t>12-020-BS002-13-1035-026</t>
        </is>
      </c>
      <c r="D2346" s="5">
        <f>IF($I2="","",INDEX(Productos!$B:$B,$I2))</f>
        <v/>
      </c>
      <c r="E2346" s="5">
        <f>IF($I2="","",INDEX(Productos!$H:$H,$I2))</f>
        <v/>
      </c>
      <c r="F2346" s="5">
        <f>IF($I2="","",INDEX(Productos!$I:$I,$I2))</f>
        <v/>
      </c>
      <c r="G2346" s="135" t="n">
        <v>1</v>
      </c>
      <c r="H2346" s="5">
        <f>IF($I2="","",INDEX(Productos!$AG:$AG,$I2))</f>
        <v/>
      </c>
      <c r="I2346" s="136">
        <f>LET(_xlpm.r,Productos!$E$2:$E$2509,_xlpm.m,IFERROR(_xlfn.XMATCH(C2346,_xlpm.r),IFERROR(_xlfn.XMATCH(VALUE(C2346),_xlpm.r),0)),IF(_xlpm.m=0,"",_xlpm.m+1))</f>
        <v/>
      </c>
      <c r="J2346" s="137" t="inlineStr">
        <is>
          <t>Shopify</t>
        </is>
      </c>
    </row>
    <row r="2347">
      <c r="A2347" s="5" t="inlineStr">
        <is>
          <t>Shopify Stetson México › Stetson Americas</t>
        </is>
      </c>
      <c r="B2347" s="5">
        <f>IF($I2="","",INDEX(Productos!$A:$A,$I2))</f>
        <v/>
      </c>
      <c r="C2347" s="134" t="inlineStr">
        <is>
          <t>12-020-BS002-13-1035-255</t>
        </is>
      </c>
      <c r="D2347" s="5">
        <f>IF($I2="","",INDEX(Productos!$B:$B,$I2))</f>
        <v/>
      </c>
      <c r="E2347" s="5">
        <f>IF($I2="","",INDEX(Productos!$H:$H,$I2))</f>
        <v/>
      </c>
      <c r="F2347" s="5">
        <f>IF($I2="","",INDEX(Productos!$I:$I,$I2))</f>
        <v/>
      </c>
      <c r="G2347" s="135" t="n">
        <v>1</v>
      </c>
      <c r="H2347" s="5">
        <f>IF($I2="","",INDEX(Productos!$AG:$AG,$I2))</f>
        <v/>
      </c>
      <c r="I2347" s="136">
        <f>LET(_xlpm.r,Productos!$E$2:$E$2509,_xlpm.m,IFERROR(_xlfn.XMATCH(C2347,_xlpm.r),IFERROR(_xlfn.XMATCH(VALUE(C2347),_xlpm.r),0)),IF(_xlpm.m=0,"",_xlpm.m+1))</f>
        <v/>
      </c>
      <c r="J2347" s="137" t="inlineStr">
        <is>
          <t>Shopify</t>
        </is>
      </c>
    </row>
    <row r="2348">
      <c r="A2348" s="5" t="inlineStr">
        <is>
          <t>Shopify Stetson México › Stetson Americas</t>
        </is>
      </c>
      <c r="B2348" s="5">
        <f>IF($I2="","",INDEX(Productos!$A:$A,$I2))</f>
        <v/>
      </c>
      <c r="C2348" s="134" t="inlineStr">
        <is>
          <t>12-020-BS002-13-1036-026</t>
        </is>
      </c>
      <c r="D2348" s="5">
        <f>IF($I2="","",INDEX(Productos!$B:$B,$I2))</f>
        <v/>
      </c>
      <c r="E2348" s="5">
        <f>IF($I2="","",INDEX(Productos!$H:$H,$I2))</f>
        <v/>
      </c>
      <c r="F2348" s="5">
        <f>IF($I2="","",INDEX(Productos!$I:$I,$I2))</f>
        <v/>
      </c>
      <c r="G2348" s="135" t="n">
        <v>1</v>
      </c>
      <c r="H2348" s="5">
        <f>IF($I2="","",INDEX(Productos!$AG:$AG,$I2))</f>
        <v/>
      </c>
      <c r="I2348" s="136">
        <f>LET(_xlpm.r,Productos!$E$2:$E$2509,_xlpm.m,IFERROR(_xlfn.XMATCH(C2348,_xlpm.r),IFERROR(_xlfn.XMATCH(VALUE(C2348),_xlpm.r),0)),IF(_xlpm.m=0,"",_xlpm.m+1))</f>
        <v/>
      </c>
      <c r="J2348" s="137" t="inlineStr">
        <is>
          <t>Shopify</t>
        </is>
      </c>
    </row>
    <row r="2349">
      <c r="A2349" s="5" t="inlineStr">
        <is>
          <t>Shopify Stetson México › Stetson Americas</t>
        </is>
      </c>
      <c r="B2349" s="5">
        <f>IF($I2="","",INDEX(Productos!$A:$A,$I2))</f>
        <v/>
      </c>
      <c r="C2349" s="134" t="inlineStr">
        <is>
          <t>12-020-BS002-13-1036-255</t>
        </is>
      </c>
      <c r="D2349" s="5">
        <f>IF($I2="","",INDEX(Productos!$B:$B,$I2))</f>
        <v/>
      </c>
      <c r="E2349" s="5">
        <f>IF($I2="","",INDEX(Productos!$H:$H,$I2))</f>
        <v/>
      </c>
      <c r="F2349" s="5">
        <f>IF($I2="","",INDEX(Productos!$I:$I,$I2))</f>
        <v/>
      </c>
      <c r="G2349" s="135" t="n">
        <v>2</v>
      </c>
      <c r="H2349" s="5">
        <f>IF($I2="","",INDEX(Productos!$AG:$AG,$I2))</f>
        <v/>
      </c>
      <c r="I2349" s="136">
        <f>LET(_xlpm.r,Productos!$E$2:$E$2509,_xlpm.m,IFERROR(_xlfn.XMATCH(C2349,_xlpm.r),IFERROR(_xlfn.XMATCH(VALUE(C2349),_xlpm.r),0)),IF(_xlpm.m=0,"",_xlpm.m+1))</f>
        <v/>
      </c>
      <c r="J2349" s="137" t="inlineStr">
        <is>
          <t>Shopify</t>
        </is>
      </c>
    </row>
    <row r="2350">
      <c r="A2350" s="5" t="inlineStr">
        <is>
          <t>Shopify Stetson México › Stetson Americas</t>
        </is>
      </c>
      <c r="B2350" s="5">
        <f>IF($I2="","",INDEX(Productos!$A:$A,$I2))</f>
        <v/>
      </c>
      <c r="C2350" s="134" t="inlineStr">
        <is>
          <t>12-020-BS002-13-1036-265</t>
        </is>
      </c>
      <c r="D2350" s="5">
        <f>IF($I2="","",INDEX(Productos!$B:$B,$I2))</f>
        <v/>
      </c>
      <c r="E2350" s="5">
        <f>IF($I2="","",INDEX(Productos!$H:$H,$I2))</f>
        <v/>
      </c>
      <c r="F2350" s="5">
        <f>IF($I2="","",INDEX(Productos!$I:$I,$I2))</f>
        <v/>
      </c>
      <c r="G2350" s="135" t="n">
        <v>1</v>
      </c>
      <c r="H2350" s="5">
        <f>IF($I2="","",INDEX(Productos!$AG:$AG,$I2))</f>
        <v/>
      </c>
      <c r="I2350" s="136">
        <f>LET(_xlpm.r,Productos!$E$2:$E$2509,_xlpm.m,IFERROR(_xlfn.XMATCH(C2350,_xlpm.r),IFERROR(_xlfn.XMATCH(VALUE(C2350),_xlpm.r),0)),IF(_xlpm.m=0,"",_xlpm.m+1))</f>
        <v/>
      </c>
      <c r="J2350" s="137" t="inlineStr">
        <is>
          <t>Shopify</t>
        </is>
      </c>
    </row>
    <row r="2351">
      <c r="A2351" s="5" t="inlineStr">
        <is>
          <t>Shopify Stetson México › Stetson Americas</t>
        </is>
      </c>
      <c r="B2351" s="5">
        <f>IF($I2="","",INDEX(Productos!$A:$A,$I2))</f>
        <v/>
      </c>
      <c r="C2351" s="134" t="inlineStr">
        <is>
          <t>12-020-BS003-10-1008-027</t>
        </is>
      </c>
      <c r="D2351" s="5">
        <f>IF($I2="","",INDEX(Productos!$B:$B,$I2))</f>
        <v/>
      </c>
      <c r="E2351" s="5">
        <f>IF($I2="","",INDEX(Productos!$H:$H,$I2))</f>
        <v/>
      </c>
      <c r="F2351" s="5">
        <f>IF($I2="","",INDEX(Productos!$I:$I,$I2))</f>
        <v/>
      </c>
      <c r="G2351" s="135" t="n">
        <v>2</v>
      </c>
      <c r="H2351" s="5">
        <f>IF($I2="","",INDEX(Productos!$AG:$AG,$I2))</f>
        <v/>
      </c>
      <c r="I2351" s="136">
        <f>LET(_xlpm.r,Productos!$E$2:$E$2509,_xlpm.m,IFERROR(_xlfn.XMATCH(C2351,_xlpm.r),IFERROR(_xlfn.XMATCH(VALUE(C2351),_xlpm.r),0)),IF(_xlpm.m=0,"",_xlpm.m+1))</f>
        <v/>
      </c>
      <c r="J2351" s="137" t="inlineStr">
        <is>
          <t>Shopify</t>
        </is>
      </c>
    </row>
    <row r="2352">
      <c r="A2352" s="5" t="inlineStr">
        <is>
          <t>Shopify Stetson México › Stetson Americas</t>
        </is>
      </c>
      <c r="B2352" s="5">
        <f>IF($I2="","",INDEX(Productos!$A:$A,$I2))</f>
        <v/>
      </c>
      <c r="C2352" s="134" t="inlineStr">
        <is>
          <t>12-020-BS003-10-1008-028</t>
        </is>
      </c>
      <c r="D2352" s="5">
        <f>IF($I2="","",INDEX(Productos!$B:$B,$I2))</f>
        <v/>
      </c>
      <c r="E2352" s="5">
        <f>IF($I2="","",INDEX(Productos!$H:$H,$I2))</f>
        <v/>
      </c>
      <c r="F2352" s="5">
        <f>IF($I2="","",INDEX(Productos!$I:$I,$I2))</f>
        <v/>
      </c>
      <c r="G2352" s="135" t="n">
        <v>1</v>
      </c>
      <c r="H2352" s="5">
        <f>IF($I2="","",INDEX(Productos!$AG:$AG,$I2))</f>
        <v/>
      </c>
      <c r="I2352" s="136">
        <f>LET(_xlpm.r,Productos!$E$2:$E$2509,_xlpm.m,IFERROR(_xlfn.XMATCH(C2352,_xlpm.r),IFERROR(_xlfn.XMATCH(VALUE(C2352),_xlpm.r),0)),IF(_xlpm.m=0,"",_xlpm.m+1))</f>
        <v/>
      </c>
      <c r="J2352" s="137" t="inlineStr">
        <is>
          <t>Shopify</t>
        </is>
      </c>
    </row>
    <row r="2353">
      <c r="A2353" s="5" t="inlineStr">
        <is>
          <t>Shopify Stetson México › Stetson Americas</t>
        </is>
      </c>
      <c r="B2353" s="5">
        <f>IF($I2="","",INDEX(Productos!$A:$A,$I2))</f>
        <v/>
      </c>
      <c r="C2353" s="134" t="inlineStr">
        <is>
          <t>12-020-BS003-10-1008-029</t>
        </is>
      </c>
      <c r="D2353" s="5">
        <f>IF($I2="","",INDEX(Productos!$B:$B,$I2))</f>
        <v/>
      </c>
      <c r="E2353" s="5">
        <f>IF($I2="","",INDEX(Productos!$H:$H,$I2))</f>
        <v/>
      </c>
      <c r="F2353" s="5">
        <f>IF($I2="","",INDEX(Productos!$I:$I,$I2))</f>
        <v/>
      </c>
      <c r="G2353" s="135" t="n">
        <v>1</v>
      </c>
      <c r="H2353" s="5">
        <f>IF($I2="","",INDEX(Productos!$AG:$AG,$I2))</f>
        <v/>
      </c>
      <c r="I2353" s="136">
        <f>LET(_xlpm.r,Productos!$E$2:$E$2509,_xlpm.m,IFERROR(_xlfn.XMATCH(C2353,_xlpm.r),IFERROR(_xlfn.XMATCH(VALUE(C2353),_xlpm.r),0)),IF(_xlpm.m=0,"",_xlpm.m+1))</f>
        <v/>
      </c>
      <c r="J2353" s="137" t="inlineStr">
        <is>
          <t>Shopify</t>
        </is>
      </c>
    </row>
    <row r="2354">
      <c r="A2354" s="5" t="inlineStr">
        <is>
          <t>Shopify Stetson México › Stetson Americas</t>
        </is>
      </c>
      <c r="B2354" s="5">
        <f>IF($I2="","",INDEX(Productos!$A:$A,$I2))</f>
        <v/>
      </c>
      <c r="C2354" s="134" t="inlineStr">
        <is>
          <t>12-020-BS003-10-1008-030</t>
        </is>
      </c>
      <c r="D2354" s="5">
        <f>IF($I2="","",INDEX(Productos!$B:$B,$I2))</f>
        <v/>
      </c>
      <c r="E2354" s="5">
        <f>IF($I2="","",INDEX(Productos!$H:$H,$I2))</f>
        <v/>
      </c>
      <c r="F2354" s="5">
        <f>IF($I2="","",INDEX(Productos!$I:$I,$I2))</f>
        <v/>
      </c>
      <c r="G2354" s="135" t="n">
        <v>1</v>
      </c>
      <c r="H2354" s="5">
        <f>IF($I2="","",INDEX(Productos!$AG:$AG,$I2))</f>
        <v/>
      </c>
      <c r="I2354" s="136">
        <f>LET(_xlpm.r,Productos!$E$2:$E$2509,_xlpm.m,IFERROR(_xlfn.XMATCH(C2354,_xlpm.r),IFERROR(_xlfn.XMATCH(VALUE(C2354),_xlpm.r),0)),IF(_xlpm.m=0,"",_xlpm.m+1))</f>
        <v/>
      </c>
      <c r="J2354" s="137" t="inlineStr">
        <is>
          <t>Shopify</t>
        </is>
      </c>
    </row>
    <row r="2355">
      <c r="A2355" s="5" t="inlineStr">
        <is>
          <t>Shopify Stetson México › Stetson Americas</t>
        </is>
      </c>
      <c r="B2355" s="5">
        <f>IF($I2="","",INDEX(Productos!$A:$A,$I2))</f>
        <v/>
      </c>
      <c r="C2355" s="134" t="inlineStr">
        <is>
          <t>12-020-BS003-10-1008-285</t>
        </is>
      </c>
      <c r="D2355" s="5">
        <f>IF($I2="","",INDEX(Productos!$B:$B,$I2))</f>
        <v/>
      </c>
      <c r="E2355" s="5">
        <f>IF($I2="","",INDEX(Productos!$H:$H,$I2))</f>
        <v/>
      </c>
      <c r="F2355" s="5">
        <f>IF($I2="","",INDEX(Productos!$I:$I,$I2))</f>
        <v/>
      </c>
      <c r="G2355" s="135" t="n">
        <v>1</v>
      </c>
      <c r="H2355" s="5">
        <f>IF($I2="","",INDEX(Productos!$AG:$AG,$I2))</f>
        <v/>
      </c>
      <c r="I2355" s="136">
        <f>LET(_xlpm.r,Productos!$E$2:$E$2509,_xlpm.m,IFERROR(_xlfn.XMATCH(C2355,_xlpm.r),IFERROR(_xlfn.XMATCH(VALUE(C2355),_xlpm.r),0)),IF(_xlpm.m=0,"",_xlpm.m+1))</f>
        <v/>
      </c>
      <c r="J2355" s="137" t="inlineStr">
        <is>
          <t>Shopify</t>
        </is>
      </c>
    </row>
    <row r="2356">
      <c r="A2356" s="5" t="inlineStr">
        <is>
          <t>Shopify Stetson México › Stetson Americas</t>
        </is>
      </c>
      <c r="B2356" s="5">
        <f>IF($I2="","",INDEX(Productos!$A:$A,$I2))</f>
        <v/>
      </c>
      <c r="C2356" s="134" t="inlineStr">
        <is>
          <t>12-020-BS003-10-1009-027</t>
        </is>
      </c>
      <c r="D2356" s="5">
        <f>IF($I2="","",INDEX(Productos!$B:$B,$I2))</f>
        <v/>
      </c>
      <c r="E2356" s="5">
        <f>IF($I2="","",INDEX(Productos!$H:$H,$I2))</f>
        <v/>
      </c>
      <c r="F2356" s="5">
        <f>IF($I2="","",INDEX(Productos!$I:$I,$I2))</f>
        <v/>
      </c>
      <c r="G2356" s="135" t="n">
        <v>1</v>
      </c>
      <c r="H2356" s="5">
        <f>IF($I2="","",INDEX(Productos!$AG:$AG,$I2))</f>
        <v/>
      </c>
      <c r="I2356" s="136">
        <f>LET(_xlpm.r,Productos!$E$2:$E$2509,_xlpm.m,IFERROR(_xlfn.XMATCH(C2356,_xlpm.r),IFERROR(_xlfn.XMATCH(VALUE(C2356),_xlpm.r),0)),IF(_xlpm.m=0,"",_xlpm.m+1))</f>
        <v/>
      </c>
      <c r="J2356" s="137" t="inlineStr">
        <is>
          <t>Shopify</t>
        </is>
      </c>
    </row>
    <row r="2357">
      <c r="A2357" s="5" t="inlineStr">
        <is>
          <t>Shopify Stetson México › Stetson Americas</t>
        </is>
      </c>
      <c r="B2357" s="5">
        <f>IF($I2="","",INDEX(Productos!$A:$A,$I2))</f>
        <v/>
      </c>
      <c r="C2357" s="134" t="inlineStr">
        <is>
          <t>12-020-BS003-10-1009-028</t>
        </is>
      </c>
      <c r="D2357" s="5">
        <f>IF($I2="","",INDEX(Productos!$B:$B,$I2))</f>
        <v/>
      </c>
      <c r="E2357" s="5">
        <f>IF($I2="","",INDEX(Productos!$H:$H,$I2))</f>
        <v/>
      </c>
      <c r="F2357" s="5">
        <f>IF($I2="","",INDEX(Productos!$I:$I,$I2))</f>
        <v/>
      </c>
      <c r="G2357" s="135" t="n">
        <v>2</v>
      </c>
      <c r="H2357" s="5">
        <f>IF($I2="","",INDEX(Productos!$AG:$AG,$I2))</f>
        <v/>
      </c>
      <c r="I2357" s="136">
        <f>LET(_xlpm.r,Productos!$E$2:$E$2509,_xlpm.m,IFERROR(_xlfn.XMATCH(C2357,_xlpm.r),IFERROR(_xlfn.XMATCH(VALUE(C2357),_xlpm.r),0)),IF(_xlpm.m=0,"",_xlpm.m+1))</f>
        <v/>
      </c>
      <c r="J2357" s="137" t="inlineStr">
        <is>
          <t>Shopify</t>
        </is>
      </c>
    </row>
    <row r="2358">
      <c r="A2358" s="5" t="inlineStr">
        <is>
          <t>Shopify Stetson México › Stetson Americas</t>
        </is>
      </c>
      <c r="B2358" s="5">
        <f>IF($I2="","",INDEX(Productos!$A:$A,$I2))</f>
        <v/>
      </c>
      <c r="C2358" s="134" t="inlineStr">
        <is>
          <t>12-020-BS003-10-1009-029</t>
        </is>
      </c>
      <c r="D2358" s="5">
        <f>IF($I2="","",INDEX(Productos!$B:$B,$I2))</f>
        <v/>
      </c>
      <c r="E2358" s="5">
        <f>IF($I2="","",INDEX(Productos!$H:$H,$I2))</f>
        <v/>
      </c>
      <c r="F2358" s="5">
        <f>IF($I2="","",INDEX(Productos!$I:$I,$I2))</f>
        <v/>
      </c>
      <c r="G2358" s="135" t="n">
        <v>2</v>
      </c>
      <c r="H2358" s="5">
        <f>IF($I2="","",INDEX(Productos!$AG:$AG,$I2))</f>
        <v/>
      </c>
      <c r="I2358" s="136">
        <f>LET(_xlpm.r,Productos!$E$2:$E$2509,_xlpm.m,IFERROR(_xlfn.XMATCH(C2358,_xlpm.r),IFERROR(_xlfn.XMATCH(VALUE(C2358),_xlpm.r),0)),IF(_xlpm.m=0,"",_xlpm.m+1))</f>
        <v/>
      </c>
      <c r="J2358" s="137" t="inlineStr">
        <is>
          <t>Shopify</t>
        </is>
      </c>
    </row>
    <row r="2359">
      <c r="A2359" s="5" t="inlineStr">
        <is>
          <t>Shopify Stetson México › Stetson Americas</t>
        </is>
      </c>
      <c r="B2359" s="5">
        <f>IF($I2="","",INDEX(Productos!$A:$A,$I2))</f>
        <v/>
      </c>
      <c r="C2359" s="134" t="inlineStr">
        <is>
          <t>12-020-BS003-10-1009-030</t>
        </is>
      </c>
      <c r="D2359" s="5">
        <f>IF($I2="","",INDEX(Productos!$B:$B,$I2))</f>
        <v/>
      </c>
      <c r="E2359" s="5">
        <f>IF($I2="","",INDEX(Productos!$H:$H,$I2))</f>
        <v/>
      </c>
      <c r="F2359" s="5">
        <f>IF($I2="","",INDEX(Productos!$I:$I,$I2))</f>
        <v/>
      </c>
      <c r="G2359" s="135" t="n">
        <v>1</v>
      </c>
      <c r="H2359" s="5">
        <f>IF($I2="","",INDEX(Productos!$AG:$AG,$I2))</f>
        <v/>
      </c>
      <c r="I2359" s="136">
        <f>LET(_xlpm.r,Productos!$E$2:$E$2509,_xlpm.m,IFERROR(_xlfn.XMATCH(C2359,_xlpm.r),IFERROR(_xlfn.XMATCH(VALUE(C2359),_xlpm.r),0)),IF(_xlpm.m=0,"",_xlpm.m+1))</f>
        <v/>
      </c>
      <c r="J2359" s="137" t="inlineStr">
        <is>
          <t>Shopify</t>
        </is>
      </c>
    </row>
    <row r="2360">
      <c r="A2360" s="5" t="inlineStr">
        <is>
          <t>Shopify Stetson México › Stetson Americas</t>
        </is>
      </c>
      <c r="B2360" s="5">
        <f>IF($I2="","",INDEX(Productos!$A:$A,$I2))</f>
        <v/>
      </c>
      <c r="C2360" s="134" t="inlineStr">
        <is>
          <t>12-020-BS003-10-1009-031</t>
        </is>
      </c>
      <c r="D2360" s="5">
        <f>IF($I2="","",INDEX(Productos!$B:$B,$I2))</f>
        <v/>
      </c>
      <c r="E2360" s="5">
        <f>IF($I2="","",INDEX(Productos!$H:$H,$I2))</f>
        <v/>
      </c>
      <c r="F2360" s="5">
        <f>IF($I2="","",INDEX(Productos!$I:$I,$I2))</f>
        <v/>
      </c>
      <c r="G2360" s="135" t="n">
        <v>1</v>
      </c>
      <c r="H2360" s="5">
        <f>IF($I2="","",INDEX(Productos!$AG:$AG,$I2))</f>
        <v/>
      </c>
      <c r="I2360" s="136">
        <f>LET(_xlpm.r,Productos!$E$2:$E$2509,_xlpm.m,IFERROR(_xlfn.XMATCH(C2360,_xlpm.r),IFERROR(_xlfn.XMATCH(VALUE(C2360),_xlpm.r),0)),IF(_xlpm.m=0,"",_xlpm.m+1))</f>
        <v/>
      </c>
      <c r="J2360" s="137" t="inlineStr">
        <is>
          <t>Shopify</t>
        </is>
      </c>
    </row>
    <row r="2361">
      <c r="A2361" s="5" t="inlineStr">
        <is>
          <t>Shopify Stetson México › Stetson Americas</t>
        </is>
      </c>
      <c r="B2361" s="5">
        <f>IF($I2="","",INDEX(Productos!$A:$A,$I2))</f>
        <v/>
      </c>
      <c r="C2361" s="134" t="inlineStr">
        <is>
          <t>12-020-BS003-10-1009-265</t>
        </is>
      </c>
      <c r="D2361" s="5">
        <f>IF($I2="","",INDEX(Productos!$B:$B,$I2))</f>
        <v/>
      </c>
      <c r="E2361" s="5">
        <f>IF($I2="","",INDEX(Productos!$H:$H,$I2))</f>
        <v/>
      </c>
      <c r="F2361" s="5">
        <f>IF($I2="","",INDEX(Productos!$I:$I,$I2))</f>
        <v/>
      </c>
      <c r="G2361" s="135" t="n">
        <v>1</v>
      </c>
      <c r="H2361" s="5">
        <f>IF($I2="","",INDEX(Productos!$AG:$AG,$I2))</f>
        <v/>
      </c>
      <c r="I2361" s="136">
        <f>LET(_xlpm.r,Productos!$E$2:$E$2509,_xlpm.m,IFERROR(_xlfn.XMATCH(C2361,_xlpm.r),IFERROR(_xlfn.XMATCH(VALUE(C2361),_xlpm.r),0)),IF(_xlpm.m=0,"",_xlpm.m+1))</f>
        <v/>
      </c>
      <c r="J2361" s="137" t="inlineStr">
        <is>
          <t>Shopify</t>
        </is>
      </c>
    </row>
    <row r="2362">
      <c r="A2362" s="5" t="inlineStr">
        <is>
          <t>Shopify Stetson México › Stetson Americas</t>
        </is>
      </c>
      <c r="B2362" s="5">
        <f>IF($I2="","",INDEX(Productos!$A:$A,$I2))</f>
        <v/>
      </c>
      <c r="C2362" s="134" t="inlineStr">
        <is>
          <t>12-020-BS003-10-1009-275</t>
        </is>
      </c>
      <c r="D2362" s="5">
        <f>IF($I2="","",INDEX(Productos!$B:$B,$I2))</f>
        <v/>
      </c>
      <c r="E2362" s="5">
        <f>IF($I2="","",INDEX(Productos!$H:$H,$I2))</f>
        <v/>
      </c>
      <c r="F2362" s="5">
        <f>IF($I2="","",INDEX(Productos!$I:$I,$I2))</f>
        <v/>
      </c>
      <c r="G2362" s="135" t="n">
        <v>1</v>
      </c>
      <c r="H2362" s="5">
        <f>IF($I2="","",INDEX(Productos!$AG:$AG,$I2))</f>
        <v/>
      </c>
      <c r="I2362" s="136">
        <f>LET(_xlpm.r,Productos!$E$2:$E$2509,_xlpm.m,IFERROR(_xlfn.XMATCH(C2362,_xlpm.r),IFERROR(_xlfn.XMATCH(VALUE(C2362),_xlpm.r),0)),IF(_xlpm.m=0,"",_xlpm.m+1))</f>
        <v/>
      </c>
      <c r="J2362" s="137" t="inlineStr">
        <is>
          <t>Shopify</t>
        </is>
      </c>
    </row>
    <row r="2363">
      <c r="A2363" s="5" t="inlineStr">
        <is>
          <t>Shopify Stetson México › Stetson Americas</t>
        </is>
      </c>
      <c r="B2363" s="5">
        <f>IF($I2="","",INDEX(Productos!$A:$A,$I2))</f>
        <v/>
      </c>
      <c r="C2363" s="134" t="inlineStr">
        <is>
          <t>12-020-BS003-10-1009-305</t>
        </is>
      </c>
      <c r="D2363" s="5">
        <f>IF($I2="","",INDEX(Productos!$B:$B,$I2))</f>
        <v/>
      </c>
      <c r="E2363" s="5">
        <f>IF($I2="","",INDEX(Productos!$H:$H,$I2))</f>
        <v/>
      </c>
      <c r="F2363" s="5">
        <f>IF($I2="","",INDEX(Productos!$I:$I,$I2))</f>
        <v/>
      </c>
      <c r="G2363" s="135" t="n">
        <v>1</v>
      </c>
      <c r="H2363" s="5">
        <f>IF($I2="","",INDEX(Productos!$AG:$AG,$I2))</f>
        <v/>
      </c>
      <c r="I2363" s="136">
        <f>LET(_xlpm.r,Productos!$E$2:$E$2509,_xlpm.m,IFERROR(_xlfn.XMATCH(C2363,_xlpm.r),IFERROR(_xlfn.XMATCH(VALUE(C2363),_xlpm.r),0)),IF(_xlpm.m=0,"",_xlpm.m+1))</f>
        <v/>
      </c>
      <c r="J2363" s="137" t="inlineStr">
        <is>
          <t>Shopify</t>
        </is>
      </c>
    </row>
    <row r="2364">
      <c r="A2364" s="5" t="inlineStr">
        <is>
          <t>Shopify Stetson México › Stetson Americas</t>
        </is>
      </c>
      <c r="B2364" s="5">
        <f>IF($I2="","",INDEX(Productos!$A:$A,$I2))</f>
        <v/>
      </c>
      <c r="C2364" s="134" t="inlineStr">
        <is>
          <t>12-020-BS003-10-1010-026</t>
        </is>
      </c>
      <c r="D2364" s="5">
        <f>IF($I2="","",INDEX(Productos!$B:$B,$I2))</f>
        <v/>
      </c>
      <c r="E2364" s="5">
        <f>IF($I2="","",INDEX(Productos!$H:$H,$I2))</f>
        <v/>
      </c>
      <c r="F2364" s="5">
        <f>IF($I2="","",INDEX(Productos!$I:$I,$I2))</f>
        <v/>
      </c>
      <c r="G2364" s="135" t="n">
        <v>1</v>
      </c>
      <c r="H2364" s="5">
        <f>IF($I2="","",INDEX(Productos!$AG:$AG,$I2))</f>
        <v/>
      </c>
      <c r="I2364" s="136">
        <f>LET(_xlpm.r,Productos!$E$2:$E$2509,_xlpm.m,IFERROR(_xlfn.XMATCH(C2364,_xlpm.r),IFERROR(_xlfn.XMATCH(VALUE(C2364),_xlpm.r),0)),IF(_xlpm.m=0,"",_xlpm.m+1))</f>
        <v/>
      </c>
      <c r="J2364" s="137" t="inlineStr">
        <is>
          <t>Shopify</t>
        </is>
      </c>
    </row>
    <row r="2365">
      <c r="A2365" s="5" t="inlineStr">
        <is>
          <t>Shopify Stetson México › Stetson Americas</t>
        </is>
      </c>
      <c r="B2365" s="5">
        <f>IF($I2="","",INDEX(Productos!$A:$A,$I2))</f>
        <v/>
      </c>
      <c r="C2365" s="134" t="inlineStr">
        <is>
          <t>12-020-BS003-10-1010-029</t>
        </is>
      </c>
      <c r="D2365" s="5">
        <f>IF($I2="","",INDEX(Productos!$B:$B,$I2))</f>
        <v/>
      </c>
      <c r="E2365" s="5">
        <f>IF($I2="","",INDEX(Productos!$H:$H,$I2))</f>
        <v/>
      </c>
      <c r="F2365" s="5">
        <f>IF($I2="","",INDEX(Productos!$I:$I,$I2))</f>
        <v/>
      </c>
      <c r="G2365" s="135" t="n">
        <v>2</v>
      </c>
      <c r="H2365" s="5">
        <f>IF($I2="","",INDEX(Productos!$AG:$AG,$I2))</f>
        <v/>
      </c>
      <c r="I2365" s="136">
        <f>LET(_xlpm.r,Productos!$E$2:$E$2509,_xlpm.m,IFERROR(_xlfn.XMATCH(C2365,_xlpm.r),IFERROR(_xlfn.XMATCH(VALUE(C2365),_xlpm.r),0)),IF(_xlpm.m=0,"",_xlpm.m+1))</f>
        <v/>
      </c>
      <c r="J2365" s="137" t="inlineStr">
        <is>
          <t>Shopify</t>
        </is>
      </c>
    </row>
    <row r="2366">
      <c r="A2366" s="5" t="inlineStr">
        <is>
          <t>Shopify Stetson México › Stetson Americas</t>
        </is>
      </c>
      <c r="B2366" s="5">
        <f>IF($I2="","",INDEX(Productos!$A:$A,$I2))</f>
        <v/>
      </c>
      <c r="C2366" s="134" t="inlineStr">
        <is>
          <t>12-020-BS003-10-1010-030</t>
        </is>
      </c>
      <c r="D2366" s="5">
        <f>IF($I2="","",INDEX(Productos!$B:$B,$I2))</f>
        <v/>
      </c>
      <c r="E2366" s="5">
        <f>IF($I2="","",INDEX(Productos!$H:$H,$I2))</f>
        <v/>
      </c>
      <c r="F2366" s="5">
        <f>IF($I2="","",INDEX(Productos!$I:$I,$I2))</f>
        <v/>
      </c>
      <c r="G2366" s="135" t="n">
        <v>1</v>
      </c>
      <c r="H2366" s="5">
        <f>IF($I2="","",INDEX(Productos!$AG:$AG,$I2))</f>
        <v/>
      </c>
      <c r="I2366" s="136">
        <f>LET(_xlpm.r,Productos!$E$2:$E$2509,_xlpm.m,IFERROR(_xlfn.XMATCH(C2366,_xlpm.r),IFERROR(_xlfn.XMATCH(VALUE(C2366),_xlpm.r),0)),IF(_xlpm.m=0,"",_xlpm.m+1))</f>
        <v/>
      </c>
      <c r="J2366" s="137" t="inlineStr">
        <is>
          <t>Shopify</t>
        </is>
      </c>
    </row>
    <row r="2367">
      <c r="A2367" s="5" t="inlineStr">
        <is>
          <t>Shopify Stetson México › Stetson Americas</t>
        </is>
      </c>
      <c r="B2367" s="5">
        <f>IF($I2="","",INDEX(Productos!$A:$A,$I2))</f>
        <v/>
      </c>
      <c r="C2367" s="134" t="inlineStr">
        <is>
          <t>12-020-BS003-10-1010-265</t>
        </is>
      </c>
      <c r="D2367" s="5">
        <f>IF($I2="","",INDEX(Productos!$B:$B,$I2))</f>
        <v/>
      </c>
      <c r="E2367" s="5">
        <f>IF($I2="","",INDEX(Productos!$H:$H,$I2))</f>
        <v/>
      </c>
      <c r="F2367" s="5">
        <f>IF($I2="","",INDEX(Productos!$I:$I,$I2))</f>
        <v/>
      </c>
      <c r="G2367" s="135" t="n">
        <v>2</v>
      </c>
      <c r="H2367" s="5">
        <f>IF($I2="","",INDEX(Productos!$AG:$AG,$I2))</f>
        <v/>
      </c>
      <c r="I2367" s="136">
        <f>LET(_xlpm.r,Productos!$E$2:$E$2509,_xlpm.m,IFERROR(_xlfn.XMATCH(C2367,_xlpm.r),IFERROR(_xlfn.XMATCH(VALUE(C2367),_xlpm.r),0)),IF(_xlpm.m=0,"",_xlpm.m+1))</f>
        <v/>
      </c>
      <c r="J2367" s="137" t="inlineStr">
        <is>
          <t>Shopify</t>
        </is>
      </c>
    </row>
    <row r="2368">
      <c r="A2368" s="5" t="inlineStr">
        <is>
          <t>Shopify Stetson México › Stetson Americas</t>
        </is>
      </c>
      <c r="B2368" s="5">
        <f>IF($I2="","",INDEX(Productos!$A:$A,$I2))</f>
        <v/>
      </c>
      <c r="C2368" s="134" t="inlineStr">
        <is>
          <t>12-020-BS003-10-1010-275</t>
        </is>
      </c>
      <c r="D2368" s="5">
        <f>IF($I2="","",INDEX(Productos!$B:$B,$I2))</f>
        <v/>
      </c>
      <c r="E2368" s="5">
        <f>IF($I2="","",INDEX(Productos!$H:$H,$I2))</f>
        <v/>
      </c>
      <c r="F2368" s="5">
        <f>IF($I2="","",INDEX(Productos!$I:$I,$I2))</f>
        <v/>
      </c>
      <c r="G2368" s="135" t="n">
        <v>2</v>
      </c>
      <c r="H2368" s="5">
        <f>IF($I2="","",INDEX(Productos!$AG:$AG,$I2))</f>
        <v/>
      </c>
      <c r="I2368" s="136">
        <f>LET(_xlpm.r,Productos!$E$2:$E$2509,_xlpm.m,IFERROR(_xlfn.XMATCH(C2368,_xlpm.r),IFERROR(_xlfn.XMATCH(VALUE(C2368),_xlpm.r),0)),IF(_xlpm.m=0,"",_xlpm.m+1))</f>
        <v/>
      </c>
      <c r="J2368" s="137" t="inlineStr">
        <is>
          <t>Shopify</t>
        </is>
      </c>
    </row>
    <row r="2369">
      <c r="A2369" s="5" t="inlineStr">
        <is>
          <t>Shopify Stetson México › Stetson Americas</t>
        </is>
      </c>
      <c r="B2369" s="5">
        <f>IF($I2="","",INDEX(Productos!$A:$A,$I2))</f>
        <v/>
      </c>
      <c r="C2369" s="134" t="inlineStr">
        <is>
          <t>12-020-BS003-10-1010-285</t>
        </is>
      </c>
      <c r="D2369" s="5">
        <f>IF($I2="","",INDEX(Productos!$B:$B,$I2))</f>
        <v/>
      </c>
      <c r="E2369" s="5">
        <f>IF($I2="","",INDEX(Productos!$H:$H,$I2))</f>
        <v/>
      </c>
      <c r="F2369" s="5">
        <f>IF($I2="","",INDEX(Productos!$I:$I,$I2))</f>
        <v/>
      </c>
      <c r="G2369" s="135" t="n">
        <v>1</v>
      </c>
      <c r="H2369" s="5">
        <f>IF($I2="","",INDEX(Productos!$AG:$AG,$I2))</f>
        <v/>
      </c>
      <c r="I2369" s="136">
        <f>LET(_xlpm.r,Productos!$E$2:$E$2509,_xlpm.m,IFERROR(_xlfn.XMATCH(C2369,_xlpm.r),IFERROR(_xlfn.XMATCH(VALUE(C2369),_xlpm.r),0)),IF(_xlpm.m=0,"",_xlpm.m+1))</f>
        <v/>
      </c>
      <c r="J2369" s="137" t="inlineStr">
        <is>
          <t>Shopify</t>
        </is>
      </c>
    </row>
    <row r="2370">
      <c r="A2370" s="5" t="inlineStr">
        <is>
          <t>Shopify Stetson México › Stetson Americas</t>
        </is>
      </c>
      <c r="B2370" s="5">
        <f>IF($I2="","",INDEX(Productos!$A:$A,$I2))</f>
        <v/>
      </c>
      <c r="C2370" s="134" t="inlineStr">
        <is>
          <t>12-020-BS003-10-1010-295</t>
        </is>
      </c>
      <c r="D2370" s="5">
        <f>IF($I2="","",INDEX(Productos!$B:$B,$I2))</f>
        <v/>
      </c>
      <c r="E2370" s="5">
        <f>IF($I2="","",INDEX(Productos!$H:$H,$I2))</f>
        <v/>
      </c>
      <c r="F2370" s="5">
        <f>IF($I2="","",INDEX(Productos!$I:$I,$I2))</f>
        <v/>
      </c>
      <c r="G2370" s="135" t="n">
        <v>1</v>
      </c>
      <c r="H2370" s="5">
        <f>IF($I2="","",INDEX(Productos!$AG:$AG,$I2))</f>
        <v/>
      </c>
      <c r="I2370" s="136">
        <f>LET(_xlpm.r,Productos!$E$2:$E$2509,_xlpm.m,IFERROR(_xlfn.XMATCH(C2370,_xlpm.r),IFERROR(_xlfn.XMATCH(VALUE(C2370),_xlpm.r),0)),IF(_xlpm.m=0,"",_xlpm.m+1))</f>
        <v/>
      </c>
      <c r="J2370" s="137" t="inlineStr">
        <is>
          <t>Shopify</t>
        </is>
      </c>
    </row>
    <row r="2371">
      <c r="A2371" s="5" t="inlineStr">
        <is>
          <t>Shopify Stetson México › Stetson Americas</t>
        </is>
      </c>
      <c r="B2371" s="5">
        <f>IF($I2="","",INDEX(Productos!$A:$A,$I2))</f>
        <v/>
      </c>
      <c r="C2371" s="134" t="inlineStr">
        <is>
          <t>12-020-BS003-10-1011-027</t>
        </is>
      </c>
      <c r="D2371" s="5">
        <f>IF($I2="","",INDEX(Productos!$B:$B,$I2))</f>
        <v/>
      </c>
      <c r="E2371" s="5">
        <f>IF($I2="","",INDEX(Productos!$H:$H,$I2))</f>
        <v/>
      </c>
      <c r="F2371" s="5">
        <f>IF($I2="","",INDEX(Productos!$I:$I,$I2))</f>
        <v/>
      </c>
      <c r="G2371" s="135" t="n">
        <v>1</v>
      </c>
      <c r="H2371" s="5">
        <f>IF($I2="","",INDEX(Productos!$AG:$AG,$I2))</f>
        <v/>
      </c>
      <c r="I2371" s="136">
        <f>LET(_xlpm.r,Productos!$E$2:$E$2509,_xlpm.m,IFERROR(_xlfn.XMATCH(C2371,_xlpm.r),IFERROR(_xlfn.XMATCH(VALUE(C2371),_xlpm.r),0)),IF(_xlpm.m=0,"",_xlpm.m+1))</f>
        <v/>
      </c>
      <c r="J2371" s="137" t="inlineStr">
        <is>
          <t>Shopify</t>
        </is>
      </c>
    </row>
    <row r="2372">
      <c r="A2372" s="5" t="inlineStr">
        <is>
          <t>Shopify Stetson México › Stetson Americas</t>
        </is>
      </c>
      <c r="B2372" s="5">
        <f>IF($I2="","",INDEX(Productos!$A:$A,$I2))</f>
        <v/>
      </c>
      <c r="C2372" s="134" t="inlineStr">
        <is>
          <t>12-020-BS003-10-1011-028</t>
        </is>
      </c>
      <c r="D2372" s="5">
        <f>IF($I2="","",INDEX(Productos!$B:$B,$I2))</f>
        <v/>
      </c>
      <c r="E2372" s="5">
        <f>IF($I2="","",INDEX(Productos!$H:$H,$I2))</f>
        <v/>
      </c>
      <c r="F2372" s="5">
        <f>IF($I2="","",INDEX(Productos!$I:$I,$I2))</f>
        <v/>
      </c>
      <c r="G2372" s="135" t="n">
        <v>1</v>
      </c>
      <c r="H2372" s="5">
        <f>IF($I2="","",INDEX(Productos!$AG:$AG,$I2))</f>
        <v/>
      </c>
      <c r="I2372" s="136">
        <f>LET(_xlpm.r,Productos!$E$2:$E$2509,_xlpm.m,IFERROR(_xlfn.XMATCH(C2372,_xlpm.r),IFERROR(_xlfn.XMATCH(VALUE(C2372),_xlpm.r),0)),IF(_xlpm.m=0,"",_xlpm.m+1))</f>
        <v/>
      </c>
      <c r="J2372" s="137" t="inlineStr">
        <is>
          <t>Shopify</t>
        </is>
      </c>
    </row>
    <row r="2373">
      <c r="A2373" s="5" t="inlineStr">
        <is>
          <t>Shopify Stetson México › Stetson Americas</t>
        </is>
      </c>
      <c r="B2373" s="5">
        <f>IF($I2="","",INDEX(Productos!$A:$A,$I2))</f>
        <v/>
      </c>
      <c r="C2373" s="134" t="inlineStr">
        <is>
          <t>12-020-BS003-10-1011-029</t>
        </is>
      </c>
      <c r="D2373" s="5">
        <f>IF($I2="","",INDEX(Productos!$B:$B,$I2))</f>
        <v/>
      </c>
      <c r="E2373" s="5">
        <f>IF($I2="","",INDEX(Productos!$H:$H,$I2))</f>
        <v/>
      </c>
      <c r="F2373" s="5">
        <f>IF($I2="","",INDEX(Productos!$I:$I,$I2))</f>
        <v/>
      </c>
      <c r="G2373" s="135" t="n">
        <v>1</v>
      </c>
      <c r="H2373" s="5">
        <f>IF($I2="","",INDEX(Productos!$AG:$AG,$I2))</f>
        <v/>
      </c>
      <c r="I2373" s="136">
        <f>LET(_xlpm.r,Productos!$E$2:$E$2509,_xlpm.m,IFERROR(_xlfn.XMATCH(C2373,_xlpm.r),IFERROR(_xlfn.XMATCH(VALUE(C2373),_xlpm.r),0)),IF(_xlpm.m=0,"",_xlpm.m+1))</f>
        <v/>
      </c>
      <c r="J2373" s="137" t="inlineStr">
        <is>
          <t>Shopify</t>
        </is>
      </c>
    </row>
    <row r="2374">
      <c r="A2374" s="5" t="inlineStr">
        <is>
          <t>Shopify Stetson México › Stetson Americas</t>
        </is>
      </c>
      <c r="B2374" s="5">
        <f>IF($I2="","",INDEX(Productos!$A:$A,$I2))</f>
        <v/>
      </c>
      <c r="C2374" s="134" t="inlineStr">
        <is>
          <t>12-020-BS003-10-1011-030</t>
        </is>
      </c>
      <c r="D2374" s="5">
        <f>IF($I2="","",INDEX(Productos!$B:$B,$I2))</f>
        <v/>
      </c>
      <c r="E2374" s="5">
        <f>IF($I2="","",INDEX(Productos!$H:$H,$I2))</f>
        <v/>
      </c>
      <c r="F2374" s="5">
        <f>IF($I2="","",INDEX(Productos!$I:$I,$I2))</f>
        <v/>
      </c>
      <c r="G2374" s="135" t="n">
        <v>1</v>
      </c>
      <c r="H2374" s="5">
        <f>IF($I2="","",INDEX(Productos!$AG:$AG,$I2))</f>
        <v/>
      </c>
      <c r="I2374" s="136">
        <f>LET(_xlpm.r,Productos!$E$2:$E$2509,_xlpm.m,IFERROR(_xlfn.XMATCH(C2374,_xlpm.r),IFERROR(_xlfn.XMATCH(VALUE(C2374),_xlpm.r),0)),IF(_xlpm.m=0,"",_xlpm.m+1))</f>
        <v/>
      </c>
      <c r="J2374" s="137" t="inlineStr">
        <is>
          <t>Shopify</t>
        </is>
      </c>
    </row>
    <row r="2375">
      <c r="A2375" s="5" t="inlineStr">
        <is>
          <t>Shopify Stetson México › Stetson Americas</t>
        </is>
      </c>
      <c r="B2375" s="5">
        <f>IF($I2="","",INDEX(Productos!$A:$A,$I2))</f>
        <v/>
      </c>
      <c r="C2375" s="134" t="inlineStr">
        <is>
          <t>12-020-BS003-10-1011-275</t>
        </is>
      </c>
      <c r="D2375" s="5">
        <f>IF($I2="","",INDEX(Productos!$B:$B,$I2))</f>
        <v/>
      </c>
      <c r="E2375" s="5">
        <f>IF($I2="","",INDEX(Productos!$H:$H,$I2))</f>
        <v/>
      </c>
      <c r="F2375" s="5">
        <f>IF($I2="","",INDEX(Productos!$I:$I,$I2))</f>
        <v/>
      </c>
      <c r="G2375" s="135" t="n">
        <v>1</v>
      </c>
      <c r="H2375" s="5">
        <f>IF($I2="","",INDEX(Productos!$AG:$AG,$I2))</f>
        <v/>
      </c>
      <c r="I2375" s="136">
        <f>LET(_xlpm.r,Productos!$E$2:$E$2509,_xlpm.m,IFERROR(_xlfn.XMATCH(C2375,_xlpm.r),IFERROR(_xlfn.XMATCH(VALUE(C2375),_xlpm.r),0)),IF(_xlpm.m=0,"",_xlpm.m+1))</f>
        <v/>
      </c>
      <c r="J2375" s="137" t="inlineStr">
        <is>
          <t>Shopify</t>
        </is>
      </c>
    </row>
    <row r="2376">
      <c r="A2376" s="5" t="inlineStr">
        <is>
          <t>Shopify Stetson México › Stetson Americas</t>
        </is>
      </c>
      <c r="B2376" s="5">
        <f>IF($I2="","",INDEX(Productos!$A:$A,$I2))</f>
        <v/>
      </c>
      <c r="C2376" s="134" t="inlineStr">
        <is>
          <t>12-020-BS003-10-1011-295</t>
        </is>
      </c>
      <c r="D2376" s="5">
        <f>IF($I2="","",INDEX(Productos!$B:$B,$I2))</f>
        <v/>
      </c>
      <c r="E2376" s="5">
        <f>IF($I2="","",INDEX(Productos!$H:$H,$I2))</f>
        <v/>
      </c>
      <c r="F2376" s="5">
        <f>IF($I2="","",INDEX(Productos!$I:$I,$I2))</f>
        <v/>
      </c>
      <c r="G2376" s="135" t="n">
        <v>1</v>
      </c>
      <c r="H2376" s="5">
        <f>IF($I2="","",INDEX(Productos!$AG:$AG,$I2))</f>
        <v/>
      </c>
      <c r="I2376" s="136">
        <f>LET(_xlpm.r,Productos!$E$2:$E$2509,_xlpm.m,IFERROR(_xlfn.XMATCH(C2376,_xlpm.r),IFERROR(_xlfn.XMATCH(VALUE(C2376),_xlpm.r),0)),IF(_xlpm.m=0,"",_xlpm.m+1))</f>
        <v/>
      </c>
      <c r="J2376" s="137" t="inlineStr">
        <is>
          <t>Shopify</t>
        </is>
      </c>
    </row>
    <row r="2377">
      <c r="A2377" s="5" t="inlineStr">
        <is>
          <t>Shopify Stetson México › Stetson Americas</t>
        </is>
      </c>
      <c r="B2377" s="5">
        <f>IF($I2="","",INDEX(Productos!$A:$A,$I2))</f>
        <v/>
      </c>
      <c r="C2377" s="134" t="inlineStr">
        <is>
          <t>12-020-BS003-10-1011-305</t>
        </is>
      </c>
      <c r="D2377" s="5">
        <f>IF($I2="","",INDEX(Productos!$B:$B,$I2))</f>
        <v/>
      </c>
      <c r="E2377" s="5">
        <f>IF($I2="","",INDEX(Productos!$H:$H,$I2))</f>
        <v/>
      </c>
      <c r="F2377" s="5">
        <f>IF($I2="","",INDEX(Productos!$I:$I,$I2))</f>
        <v/>
      </c>
      <c r="G2377" s="135" t="n">
        <v>1</v>
      </c>
      <c r="H2377" s="5">
        <f>IF($I2="","",INDEX(Productos!$AG:$AG,$I2))</f>
        <v/>
      </c>
      <c r="I2377" s="136">
        <f>LET(_xlpm.r,Productos!$E$2:$E$2509,_xlpm.m,IFERROR(_xlfn.XMATCH(C2377,_xlpm.r),IFERROR(_xlfn.XMATCH(VALUE(C2377),_xlpm.r),0)),IF(_xlpm.m=0,"",_xlpm.m+1))</f>
        <v/>
      </c>
      <c r="J2377" s="137" t="inlineStr">
        <is>
          <t>Shopify</t>
        </is>
      </c>
    </row>
    <row r="2378">
      <c r="A2378" s="5" t="inlineStr">
        <is>
          <t>Shopify Stetson México › Stetson Americas</t>
        </is>
      </c>
      <c r="B2378" s="5">
        <f>IF($I2="","",INDEX(Productos!$A:$A,$I2))</f>
        <v/>
      </c>
      <c r="C2378" s="134" t="inlineStr">
        <is>
          <t>12-020-BS003-13-1037-255</t>
        </is>
      </c>
      <c r="D2378" s="5">
        <f>IF($I2="","",INDEX(Productos!$B:$B,$I2))</f>
        <v/>
      </c>
      <c r="E2378" s="5">
        <f>IF($I2="","",INDEX(Productos!$H:$H,$I2))</f>
        <v/>
      </c>
      <c r="F2378" s="5">
        <f>IF($I2="","",INDEX(Productos!$I:$I,$I2))</f>
        <v/>
      </c>
      <c r="G2378" s="135" t="n">
        <v>2</v>
      </c>
      <c r="H2378" s="5">
        <f>IF($I2="","",INDEX(Productos!$AG:$AG,$I2))</f>
        <v/>
      </c>
      <c r="I2378" s="136">
        <f>LET(_xlpm.r,Productos!$E$2:$E$2509,_xlpm.m,IFERROR(_xlfn.XMATCH(C2378,_xlpm.r),IFERROR(_xlfn.XMATCH(VALUE(C2378),_xlpm.r),0)),IF(_xlpm.m=0,"",_xlpm.m+1))</f>
        <v/>
      </c>
      <c r="J2378" s="137" t="inlineStr">
        <is>
          <t>Shopify</t>
        </is>
      </c>
    </row>
    <row r="2379">
      <c r="A2379" s="5" t="inlineStr">
        <is>
          <t>Shopify Stetson México › Stetson Americas</t>
        </is>
      </c>
      <c r="B2379" s="5">
        <f>IF($I2="","",INDEX(Productos!$A:$A,$I2))</f>
        <v/>
      </c>
      <c r="C2379" s="134" t="inlineStr">
        <is>
          <t>12-020-BS003-13-1038-026</t>
        </is>
      </c>
      <c r="D2379" s="5">
        <f>IF($I2="","",INDEX(Productos!$B:$B,$I2))</f>
        <v/>
      </c>
      <c r="E2379" s="5">
        <f>IF($I2="","",INDEX(Productos!$H:$H,$I2))</f>
        <v/>
      </c>
      <c r="F2379" s="5">
        <f>IF($I2="","",INDEX(Productos!$I:$I,$I2))</f>
        <v/>
      </c>
      <c r="G2379" s="135" t="n">
        <v>1</v>
      </c>
      <c r="H2379" s="5">
        <f>IF($I2="","",INDEX(Productos!$AG:$AG,$I2))</f>
        <v/>
      </c>
      <c r="I2379" s="136">
        <f>LET(_xlpm.r,Productos!$E$2:$E$2509,_xlpm.m,IFERROR(_xlfn.XMATCH(C2379,_xlpm.r),IFERROR(_xlfn.XMATCH(VALUE(C2379),_xlpm.r),0)),IF(_xlpm.m=0,"",_xlpm.m+1))</f>
        <v/>
      </c>
      <c r="J2379" s="137" t="inlineStr">
        <is>
          <t>Shopify</t>
        </is>
      </c>
    </row>
    <row r="2380">
      <c r="A2380" s="5" t="inlineStr">
        <is>
          <t>Shopify Stetson México › Stetson Americas</t>
        </is>
      </c>
      <c r="B2380" s="5">
        <f>IF($I2="","",INDEX(Productos!$A:$A,$I2))</f>
        <v/>
      </c>
      <c r="C2380" s="134" t="inlineStr">
        <is>
          <t>12-020-BS003-13-1038-255</t>
        </is>
      </c>
      <c r="D2380" s="5">
        <f>IF($I2="","",INDEX(Productos!$B:$B,$I2))</f>
        <v/>
      </c>
      <c r="E2380" s="5">
        <f>IF($I2="","",INDEX(Productos!$H:$H,$I2))</f>
        <v/>
      </c>
      <c r="F2380" s="5">
        <f>IF($I2="","",INDEX(Productos!$I:$I,$I2))</f>
        <v/>
      </c>
      <c r="G2380" s="135" t="n">
        <v>2</v>
      </c>
      <c r="H2380" s="5">
        <f>IF($I2="","",INDEX(Productos!$AG:$AG,$I2))</f>
        <v/>
      </c>
      <c r="I2380" s="136">
        <f>LET(_xlpm.r,Productos!$E$2:$E$2509,_xlpm.m,IFERROR(_xlfn.XMATCH(C2380,_xlpm.r),IFERROR(_xlfn.XMATCH(VALUE(C2380),_xlpm.r),0)),IF(_xlpm.m=0,"",_xlpm.m+1))</f>
        <v/>
      </c>
      <c r="J2380" s="137" t="inlineStr">
        <is>
          <t>Shopify</t>
        </is>
      </c>
    </row>
    <row r="2381">
      <c r="A2381" s="5" t="inlineStr">
        <is>
          <t>Shopify Stetson México › Stetson Americas</t>
        </is>
      </c>
      <c r="B2381" s="5">
        <f>IF($I2="","",INDEX(Productos!$A:$A,$I2))</f>
        <v/>
      </c>
      <c r="C2381" s="134" t="inlineStr">
        <is>
          <t>12-020-BS003-13-1039-026</t>
        </is>
      </c>
      <c r="D2381" s="5">
        <f>IF($I2="","",INDEX(Productos!$B:$B,$I2))</f>
        <v/>
      </c>
      <c r="E2381" s="5">
        <f>IF($I2="","",INDEX(Productos!$H:$H,$I2))</f>
        <v/>
      </c>
      <c r="F2381" s="5">
        <f>IF($I2="","",INDEX(Productos!$I:$I,$I2))</f>
        <v/>
      </c>
      <c r="G2381" s="135" t="n">
        <v>2</v>
      </c>
      <c r="H2381" s="5">
        <f>IF($I2="","",INDEX(Productos!$AG:$AG,$I2))</f>
        <v/>
      </c>
      <c r="I2381" s="136">
        <f>LET(_xlpm.r,Productos!$E$2:$E$2509,_xlpm.m,IFERROR(_xlfn.XMATCH(C2381,_xlpm.r),IFERROR(_xlfn.XMATCH(VALUE(C2381),_xlpm.r),0)),IF(_xlpm.m=0,"",_xlpm.m+1))</f>
        <v/>
      </c>
      <c r="J2381" s="137" t="inlineStr">
        <is>
          <t>Shopify</t>
        </is>
      </c>
    </row>
    <row r="2382">
      <c r="A2382" s="5" t="inlineStr">
        <is>
          <t>Shopify Stetson México › Stetson Americas</t>
        </is>
      </c>
      <c r="B2382" s="5">
        <f>IF($I2="","",INDEX(Productos!$A:$A,$I2))</f>
        <v/>
      </c>
      <c r="C2382" s="134" t="inlineStr">
        <is>
          <t>12-020-BS003-13-1039-255</t>
        </is>
      </c>
      <c r="D2382" s="5">
        <f>IF($I2="","",INDEX(Productos!$B:$B,$I2))</f>
        <v/>
      </c>
      <c r="E2382" s="5">
        <f>IF($I2="","",INDEX(Productos!$H:$H,$I2))</f>
        <v/>
      </c>
      <c r="F2382" s="5">
        <f>IF($I2="","",INDEX(Productos!$I:$I,$I2))</f>
        <v/>
      </c>
      <c r="G2382" s="135" t="n">
        <v>3</v>
      </c>
      <c r="H2382" s="5">
        <f>IF($I2="","",INDEX(Productos!$AG:$AG,$I2))</f>
        <v/>
      </c>
      <c r="I2382" s="136">
        <f>LET(_xlpm.r,Productos!$E$2:$E$2509,_xlpm.m,IFERROR(_xlfn.XMATCH(C2382,_xlpm.r),IFERROR(_xlfn.XMATCH(VALUE(C2382),_xlpm.r),0)),IF(_xlpm.m=0,"",_xlpm.m+1))</f>
        <v/>
      </c>
      <c r="J2382" s="137" t="inlineStr">
        <is>
          <t>Shopify</t>
        </is>
      </c>
    </row>
    <row r="2383">
      <c r="A2383" s="5" t="inlineStr">
        <is>
          <t>Shopify Stetson México › Stetson Americas</t>
        </is>
      </c>
      <c r="B2383" s="5">
        <f>IF($I2="","",INDEX(Productos!$A:$A,$I2))</f>
        <v/>
      </c>
      <c r="C2383" s="134" t="inlineStr">
        <is>
          <t>12-020-BS003-13-1040-026</t>
        </is>
      </c>
      <c r="D2383" s="5">
        <f>IF($I2="","",INDEX(Productos!$B:$B,$I2))</f>
        <v/>
      </c>
      <c r="E2383" s="5">
        <f>IF($I2="","",INDEX(Productos!$H:$H,$I2))</f>
        <v/>
      </c>
      <c r="F2383" s="5">
        <f>IF($I2="","",INDEX(Productos!$I:$I,$I2))</f>
        <v/>
      </c>
      <c r="G2383" s="135" t="n">
        <v>1</v>
      </c>
      <c r="H2383" s="5">
        <f>IF($I2="","",INDEX(Productos!$AG:$AG,$I2))</f>
        <v/>
      </c>
      <c r="I2383" s="136">
        <f>LET(_xlpm.r,Productos!$E$2:$E$2509,_xlpm.m,IFERROR(_xlfn.XMATCH(C2383,_xlpm.r),IFERROR(_xlfn.XMATCH(VALUE(C2383),_xlpm.r),0)),IF(_xlpm.m=0,"",_xlpm.m+1))</f>
        <v/>
      </c>
      <c r="J2383" s="137" t="inlineStr">
        <is>
          <t>Shopify</t>
        </is>
      </c>
    </row>
    <row r="2384">
      <c r="A2384" s="5" t="inlineStr">
        <is>
          <t>Shopify Stetson México › Stetson Americas</t>
        </is>
      </c>
      <c r="B2384" s="5">
        <f>IF($I2="","",INDEX(Productos!$A:$A,$I2))</f>
        <v/>
      </c>
      <c r="C2384" s="134" t="inlineStr">
        <is>
          <t>12-020-BS003-13-1040-265</t>
        </is>
      </c>
      <c r="D2384" s="5">
        <f>IF($I2="","",INDEX(Productos!$B:$B,$I2))</f>
        <v/>
      </c>
      <c r="E2384" s="5">
        <f>IF($I2="","",INDEX(Productos!$H:$H,$I2))</f>
        <v/>
      </c>
      <c r="F2384" s="5">
        <f>IF($I2="","",INDEX(Productos!$I:$I,$I2))</f>
        <v/>
      </c>
      <c r="G2384" s="135" t="n">
        <v>1</v>
      </c>
      <c r="H2384" s="5">
        <f>IF($I2="","",INDEX(Productos!$AG:$AG,$I2))</f>
        <v/>
      </c>
      <c r="I2384" s="136">
        <f>LET(_xlpm.r,Productos!$E$2:$E$2509,_xlpm.m,IFERROR(_xlfn.XMATCH(C2384,_xlpm.r),IFERROR(_xlfn.XMATCH(VALUE(C2384),_xlpm.r),0)),IF(_xlpm.m=0,"",_xlpm.m+1))</f>
        <v/>
      </c>
      <c r="J2384" s="137" t="inlineStr">
        <is>
          <t>Shopify</t>
        </is>
      </c>
    </row>
    <row r="2385">
      <c r="A2385" s="5" t="inlineStr">
        <is>
          <t>Shopify Stetson México › Stetson Americas</t>
        </is>
      </c>
      <c r="B2385" s="5">
        <f>IF($I2="","",INDEX(Productos!$A:$A,$I2))</f>
        <v/>
      </c>
      <c r="C2385" s="134" t="inlineStr">
        <is>
          <t>12-020-BS004-10-1012-027</t>
        </is>
      </c>
      <c r="D2385" s="5">
        <f>IF($I2="","",INDEX(Productos!$B:$B,$I2))</f>
        <v/>
      </c>
      <c r="E2385" s="5">
        <f>IF($I2="","",INDEX(Productos!$H:$H,$I2))</f>
        <v/>
      </c>
      <c r="F2385" s="5">
        <f>IF($I2="","",INDEX(Productos!$I:$I,$I2))</f>
        <v/>
      </c>
      <c r="G2385" s="135" t="n">
        <v>2</v>
      </c>
      <c r="H2385" s="5">
        <f>IF($I2="","",INDEX(Productos!$AG:$AG,$I2))</f>
        <v/>
      </c>
      <c r="I2385" s="136">
        <f>LET(_xlpm.r,Productos!$E$2:$E$2509,_xlpm.m,IFERROR(_xlfn.XMATCH(C2385,_xlpm.r),IFERROR(_xlfn.XMATCH(VALUE(C2385),_xlpm.r),0)),IF(_xlpm.m=0,"",_xlpm.m+1))</f>
        <v/>
      </c>
      <c r="J2385" s="137" t="inlineStr">
        <is>
          <t>Shopify</t>
        </is>
      </c>
    </row>
    <row r="2386">
      <c r="A2386" s="5" t="inlineStr">
        <is>
          <t>Shopify Stetson México › Stetson Americas</t>
        </is>
      </c>
      <c r="B2386" s="5">
        <f>IF($I2="","",INDEX(Productos!$A:$A,$I2))</f>
        <v/>
      </c>
      <c r="C2386" s="134" t="inlineStr">
        <is>
          <t>12-020-BS004-10-1012-028</t>
        </is>
      </c>
      <c r="D2386" s="5">
        <f>IF($I2="","",INDEX(Productos!$B:$B,$I2))</f>
        <v/>
      </c>
      <c r="E2386" s="5">
        <f>IF($I2="","",INDEX(Productos!$H:$H,$I2))</f>
        <v/>
      </c>
      <c r="F2386" s="5">
        <f>IF($I2="","",INDEX(Productos!$I:$I,$I2))</f>
        <v/>
      </c>
      <c r="G2386" s="135" t="n">
        <v>1</v>
      </c>
      <c r="H2386" s="5">
        <f>IF($I2="","",INDEX(Productos!$AG:$AG,$I2))</f>
        <v/>
      </c>
      <c r="I2386" s="136">
        <f>LET(_xlpm.r,Productos!$E$2:$E$2509,_xlpm.m,IFERROR(_xlfn.XMATCH(C2386,_xlpm.r),IFERROR(_xlfn.XMATCH(VALUE(C2386),_xlpm.r),0)),IF(_xlpm.m=0,"",_xlpm.m+1))</f>
        <v/>
      </c>
      <c r="J2386" s="137" t="inlineStr">
        <is>
          <t>Shopify</t>
        </is>
      </c>
    </row>
    <row r="2387">
      <c r="A2387" s="5" t="inlineStr">
        <is>
          <t>Shopify Stetson México › Stetson Americas</t>
        </is>
      </c>
      <c r="B2387" s="5">
        <f>IF($I2="","",INDEX(Productos!$A:$A,$I2))</f>
        <v/>
      </c>
      <c r="C2387" s="134" t="inlineStr">
        <is>
          <t>12-020-BS004-10-1012-029</t>
        </is>
      </c>
      <c r="D2387" s="5">
        <f>IF($I2="","",INDEX(Productos!$B:$B,$I2))</f>
        <v/>
      </c>
      <c r="E2387" s="5">
        <f>IF($I2="","",INDEX(Productos!$H:$H,$I2))</f>
        <v/>
      </c>
      <c r="F2387" s="5">
        <f>IF($I2="","",INDEX(Productos!$I:$I,$I2))</f>
        <v/>
      </c>
      <c r="G2387" s="135" t="n">
        <v>1</v>
      </c>
      <c r="H2387" s="5">
        <f>IF($I2="","",INDEX(Productos!$AG:$AG,$I2))</f>
        <v/>
      </c>
      <c r="I2387" s="136">
        <f>LET(_xlpm.r,Productos!$E$2:$E$2509,_xlpm.m,IFERROR(_xlfn.XMATCH(C2387,_xlpm.r),IFERROR(_xlfn.XMATCH(VALUE(C2387),_xlpm.r),0)),IF(_xlpm.m=0,"",_xlpm.m+1))</f>
        <v/>
      </c>
      <c r="J2387" s="137" t="inlineStr">
        <is>
          <t>Shopify</t>
        </is>
      </c>
    </row>
    <row r="2388">
      <c r="A2388" s="5" t="inlineStr">
        <is>
          <t>Shopify Stetson México › Stetson Americas</t>
        </is>
      </c>
      <c r="B2388" s="5">
        <f>IF($I2="","",INDEX(Productos!$A:$A,$I2))</f>
        <v/>
      </c>
      <c r="C2388" s="134" t="inlineStr">
        <is>
          <t>12-020-BS004-10-1012-265</t>
        </is>
      </c>
      <c r="D2388" s="5">
        <f>IF($I2="","",INDEX(Productos!$B:$B,$I2))</f>
        <v/>
      </c>
      <c r="E2388" s="5">
        <f>IF($I2="","",INDEX(Productos!$H:$H,$I2))</f>
        <v/>
      </c>
      <c r="F2388" s="5">
        <f>IF($I2="","",INDEX(Productos!$I:$I,$I2))</f>
        <v/>
      </c>
      <c r="G2388" s="135" t="n">
        <v>1</v>
      </c>
      <c r="H2388" s="5">
        <f>IF($I2="","",INDEX(Productos!$AG:$AG,$I2))</f>
        <v/>
      </c>
      <c r="I2388" s="136">
        <f>LET(_xlpm.r,Productos!$E$2:$E$2509,_xlpm.m,IFERROR(_xlfn.XMATCH(C2388,_xlpm.r),IFERROR(_xlfn.XMATCH(VALUE(C2388),_xlpm.r),0)),IF(_xlpm.m=0,"",_xlpm.m+1))</f>
        <v/>
      </c>
      <c r="J2388" s="137" t="inlineStr">
        <is>
          <t>Shopify</t>
        </is>
      </c>
    </row>
    <row r="2389">
      <c r="A2389" s="5" t="inlineStr">
        <is>
          <t>Shopify Stetson México › Stetson Americas</t>
        </is>
      </c>
      <c r="B2389" s="5">
        <f>IF($I2="","",INDEX(Productos!$A:$A,$I2))</f>
        <v/>
      </c>
      <c r="C2389" s="134" t="inlineStr">
        <is>
          <t>12-020-BS004-10-1012-275</t>
        </is>
      </c>
      <c r="D2389" s="5">
        <f>IF($I2="","",INDEX(Productos!$B:$B,$I2))</f>
        <v/>
      </c>
      <c r="E2389" s="5">
        <f>IF($I2="","",INDEX(Productos!$H:$H,$I2))</f>
        <v/>
      </c>
      <c r="F2389" s="5">
        <f>IF($I2="","",INDEX(Productos!$I:$I,$I2))</f>
        <v/>
      </c>
      <c r="G2389" s="135" t="n">
        <v>1</v>
      </c>
      <c r="H2389" s="5">
        <f>IF($I2="","",INDEX(Productos!$AG:$AG,$I2))</f>
        <v/>
      </c>
      <c r="I2389" s="136">
        <f>LET(_xlpm.r,Productos!$E$2:$E$2509,_xlpm.m,IFERROR(_xlfn.XMATCH(C2389,_xlpm.r),IFERROR(_xlfn.XMATCH(VALUE(C2389),_xlpm.r),0)),IF(_xlpm.m=0,"",_xlpm.m+1))</f>
        <v/>
      </c>
      <c r="J2389" s="137" t="inlineStr">
        <is>
          <t>Shopify</t>
        </is>
      </c>
    </row>
    <row r="2390">
      <c r="A2390" s="5" t="inlineStr">
        <is>
          <t>Shopify Stetson México › Stetson Americas</t>
        </is>
      </c>
      <c r="B2390" s="5">
        <f>IF($I2="","",INDEX(Productos!$A:$A,$I2))</f>
        <v/>
      </c>
      <c r="C2390" s="134" t="inlineStr">
        <is>
          <t>12-020-BS004-10-1013-027</t>
        </is>
      </c>
      <c r="D2390" s="5">
        <f>IF($I2="","",INDEX(Productos!$B:$B,$I2))</f>
        <v/>
      </c>
      <c r="E2390" s="5">
        <f>IF($I2="","",INDEX(Productos!$H:$H,$I2))</f>
        <v/>
      </c>
      <c r="F2390" s="5">
        <f>IF($I2="","",INDEX(Productos!$I:$I,$I2))</f>
        <v/>
      </c>
      <c r="G2390" s="135" t="n">
        <v>1</v>
      </c>
      <c r="H2390" s="5">
        <f>IF($I2="","",INDEX(Productos!$AG:$AG,$I2))</f>
        <v/>
      </c>
      <c r="I2390" s="136">
        <f>LET(_xlpm.r,Productos!$E$2:$E$2509,_xlpm.m,IFERROR(_xlfn.XMATCH(C2390,_xlpm.r),IFERROR(_xlfn.XMATCH(VALUE(C2390),_xlpm.r),0)),IF(_xlpm.m=0,"",_xlpm.m+1))</f>
        <v/>
      </c>
      <c r="J2390" s="137" t="inlineStr">
        <is>
          <t>Shopify</t>
        </is>
      </c>
    </row>
    <row r="2391">
      <c r="A2391" s="5" t="inlineStr">
        <is>
          <t>Shopify Stetson México › Stetson Americas</t>
        </is>
      </c>
      <c r="B2391" s="5">
        <f>IF($I2="","",INDEX(Productos!$A:$A,$I2))</f>
        <v/>
      </c>
      <c r="C2391" s="134" t="inlineStr">
        <is>
          <t>12-020-BS004-10-1013-028</t>
        </is>
      </c>
      <c r="D2391" s="5">
        <f>IF($I2="","",INDEX(Productos!$B:$B,$I2))</f>
        <v/>
      </c>
      <c r="E2391" s="5">
        <f>IF($I2="","",INDEX(Productos!$H:$H,$I2))</f>
        <v/>
      </c>
      <c r="F2391" s="5">
        <f>IF($I2="","",INDEX(Productos!$I:$I,$I2))</f>
        <v/>
      </c>
      <c r="G2391" s="135" t="n">
        <v>1</v>
      </c>
      <c r="H2391" s="5">
        <f>IF($I2="","",INDEX(Productos!$AG:$AG,$I2))</f>
        <v/>
      </c>
      <c r="I2391" s="136">
        <f>LET(_xlpm.r,Productos!$E$2:$E$2509,_xlpm.m,IFERROR(_xlfn.XMATCH(C2391,_xlpm.r),IFERROR(_xlfn.XMATCH(VALUE(C2391),_xlpm.r),0)),IF(_xlpm.m=0,"",_xlpm.m+1))</f>
        <v/>
      </c>
      <c r="J2391" s="137" t="inlineStr">
        <is>
          <t>Shopify</t>
        </is>
      </c>
    </row>
    <row r="2392">
      <c r="A2392" s="5" t="inlineStr">
        <is>
          <t>Shopify Stetson México › Stetson Americas</t>
        </is>
      </c>
      <c r="B2392" s="5">
        <f>IF($I2="","",INDEX(Productos!$A:$A,$I2))</f>
        <v/>
      </c>
      <c r="C2392" s="134" t="inlineStr">
        <is>
          <t>12-020-BS004-10-1013-029</t>
        </is>
      </c>
      <c r="D2392" s="5">
        <f>IF($I2="","",INDEX(Productos!$B:$B,$I2))</f>
        <v/>
      </c>
      <c r="E2392" s="5">
        <f>IF($I2="","",INDEX(Productos!$H:$H,$I2))</f>
        <v/>
      </c>
      <c r="F2392" s="5">
        <f>IF($I2="","",INDEX(Productos!$I:$I,$I2))</f>
        <v/>
      </c>
      <c r="G2392" s="135" t="n">
        <v>1</v>
      </c>
      <c r="H2392" s="5">
        <f>IF($I2="","",INDEX(Productos!$AG:$AG,$I2))</f>
        <v/>
      </c>
      <c r="I2392" s="136">
        <f>LET(_xlpm.r,Productos!$E$2:$E$2509,_xlpm.m,IFERROR(_xlfn.XMATCH(C2392,_xlpm.r),IFERROR(_xlfn.XMATCH(VALUE(C2392),_xlpm.r),0)),IF(_xlpm.m=0,"",_xlpm.m+1))</f>
        <v/>
      </c>
      <c r="J2392" s="137" t="inlineStr">
        <is>
          <t>Shopify</t>
        </is>
      </c>
    </row>
    <row r="2393">
      <c r="A2393" s="5" t="inlineStr">
        <is>
          <t>Shopify Stetson México › Stetson Americas</t>
        </is>
      </c>
      <c r="B2393" s="5">
        <f>IF($I2="","",INDEX(Productos!$A:$A,$I2))</f>
        <v/>
      </c>
      <c r="C2393" s="134" t="inlineStr">
        <is>
          <t>12-020-BS004-10-1013-265</t>
        </is>
      </c>
      <c r="D2393" s="5">
        <f>IF($I2="","",INDEX(Productos!$B:$B,$I2))</f>
        <v/>
      </c>
      <c r="E2393" s="5">
        <f>IF($I2="","",INDEX(Productos!$H:$H,$I2))</f>
        <v/>
      </c>
      <c r="F2393" s="5">
        <f>IF($I2="","",INDEX(Productos!$I:$I,$I2))</f>
        <v/>
      </c>
      <c r="G2393" s="135" t="n">
        <v>1</v>
      </c>
      <c r="H2393" s="5">
        <f>IF($I2="","",INDEX(Productos!$AG:$AG,$I2))</f>
        <v/>
      </c>
      <c r="I2393" s="136">
        <f>LET(_xlpm.r,Productos!$E$2:$E$2509,_xlpm.m,IFERROR(_xlfn.XMATCH(C2393,_xlpm.r),IFERROR(_xlfn.XMATCH(VALUE(C2393),_xlpm.r),0)),IF(_xlpm.m=0,"",_xlpm.m+1))</f>
        <v/>
      </c>
      <c r="J2393" s="137" t="inlineStr">
        <is>
          <t>Shopify</t>
        </is>
      </c>
    </row>
    <row r="2394">
      <c r="A2394" s="5" t="inlineStr">
        <is>
          <t>Shopify Stetson México › Stetson Americas</t>
        </is>
      </c>
      <c r="B2394" s="5">
        <f>IF($I2="","",INDEX(Productos!$A:$A,$I2))</f>
        <v/>
      </c>
      <c r="C2394" s="134" t="inlineStr">
        <is>
          <t>12-020-BS004-10-1013-275</t>
        </is>
      </c>
      <c r="D2394" s="5">
        <f>IF($I2="","",INDEX(Productos!$B:$B,$I2))</f>
        <v/>
      </c>
      <c r="E2394" s="5">
        <f>IF($I2="","",INDEX(Productos!$H:$H,$I2))</f>
        <v/>
      </c>
      <c r="F2394" s="5">
        <f>IF($I2="","",INDEX(Productos!$I:$I,$I2))</f>
        <v/>
      </c>
      <c r="G2394" s="135" t="n">
        <v>2</v>
      </c>
      <c r="H2394" s="5">
        <f>IF($I2="","",INDEX(Productos!$AG:$AG,$I2))</f>
        <v/>
      </c>
      <c r="I2394" s="136">
        <f>LET(_xlpm.r,Productos!$E$2:$E$2509,_xlpm.m,IFERROR(_xlfn.XMATCH(C2394,_xlpm.r),IFERROR(_xlfn.XMATCH(VALUE(C2394),_xlpm.r),0)),IF(_xlpm.m=0,"",_xlpm.m+1))</f>
        <v/>
      </c>
      <c r="J2394" s="137" t="inlineStr">
        <is>
          <t>Shopify</t>
        </is>
      </c>
    </row>
    <row r="2395">
      <c r="A2395" s="5" t="inlineStr">
        <is>
          <t>Shopify Stetson México › Stetson Americas</t>
        </is>
      </c>
      <c r="B2395" s="5">
        <f>IF($I2="","",INDEX(Productos!$A:$A,$I2))</f>
        <v/>
      </c>
      <c r="C2395" s="134" t="inlineStr">
        <is>
          <t>12-020-BS004-10-1013-285</t>
        </is>
      </c>
      <c r="D2395" s="5">
        <f>IF($I2="","",INDEX(Productos!$B:$B,$I2))</f>
        <v/>
      </c>
      <c r="E2395" s="5">
        <f>IF($I2="","",INDEX(Productos!$H:$H,$I2))</f>
        <v/>
      </c>
      <c r="F2395" s="5">
        <f>IF($I2="","",INDEX(Productos!$I:$I,$I2))</f>
        <v/>
      </c>
      <c r="G2395" s="135" t="n">
        <v>2</v>
      </c>
      <c r="H2395" s="5">
        <f>IF($I2="","",INDEX(Productos!$AG:$AG,$I2))</f>
        <v/>
      </c>
      <c r="I2395" s="136">
        <f>LET(_xlpm.r,Productos!$E$2:$E$2509,_xlpm.m,IFERROR(_xlfn.XMATCH(C2395,_xlpm.r),IFERROR(_xlfn.XMATCH(VALUE(C2395),_xlpm.r),0)),IF(_xlpm.m=0,"",_xlpm.m+1))</f>
        <v/>
      </c>
      <c r="J2395" s="137" t="inlineStr">
        <is>
          <t>Shopify</t>
        </is>
      </c>
    </row>
    <row r="2396">
      <c r="A2396" s="5" t="inlineStr">
        <is>
          <t>Shopify Stetson México › Stetson Americas</t>
        </is>
      </c>
      <c r="B2396" s="5">
        <f>IF($I2="","",INDEX(Productos!$A:$A,$I2))</f>
        <v/>
      </c>
      <c r="C2396" s="134" t="inlineStr">
        <is>
          <t>12-020-BS004-10-1014-027</t>
        </is>
      </c>
      <c r="D2396" s="5">
        <f>IF($I2="","",INDEX(Productos!$B:$B,$I2))</f>
        <v/>
      </c>
      <c r="E2396" s="5">
        <f>IF($I2="","",INDEX(Productos!$H:$H,$I2))</f>
        <v/>
      </c>
      <c r="F2396" s="5">
        <f>IF($I2="","",INDEX(Productos!$I:$I,$I2))</f>
        <v/>
      </c>
      <c r="G2396" s="135" t="n">
        <v>1</v>
      </c>
      <c r="H2396" s="5">
        <f>IF($I2="","",INDEX(Productos!$AG:$AG,$I2))</f>
        <v/>
      </c>
      <c r="I2396" s="136">
        <f>LET(_xlpm.r,Productos!$E$2:$E$2509,_xlpm.m,IFERROR(_xlfn.XMATCH(C2396,_xlpm.r),IFERROR(_xlfn.XMATCH(VALUE(C2396),_xlpm.r),0)),IF(_xlpm.m=0,"",_xlpm.m+1))</f>
        <v/>
      </c>
      <c r="J2396" s="137" t="inlineStr">
        <is>
          <t>Shopify</t>
        </is>
      </c>
    </row>
    <row r="2397">
      <c r="A2397" s="5" t="inlineStr">
        <is>
          <t>Shopify Stetson México › Stetson Americas</t>
        </is>
      </c>
      <c r="B2397" s="5">
        <f>IF($I2="","",INDEX(Productos!$A:$A,$I2))</f>
        <v/>
      </c>
      <c r="C2397" s="134" t="inlineStr">
        <is>
          <t>12-020-BS004-10-1014-028</t>
        </is>
      </c>
      <c r="D2397" s="5">
        <f>IF($I2="","",INDEX(Productos!$B:$B,$I2))</f>
        <v/>
      </c>
      <c r="E2397" s="5">
        <f>IF($I2="","",INDEX(Productos!$H:$H,$I2))</f>
        <v/>
      </c>
      <c r="F2397" s="5">
        <f>IF($I2="","",INDEX(Productos!$I:$I,$I2))</f>
        <v/>
      </c>
      <c r="G2397" s="135" t="n">
        <v>1</v>
      </c>
      <c r="H2397" s="5">
        <f>IF($I2="","",INDEX(Productos!$AG:$AG,$I2))</f>
        <v/>
      </c>
      <c r="I2397" s="136">
        <f>LET(_xlpm.r,Productos!$E$2:$E$2509,_xlpm.m,IFERROR(_xlfn.XMATCH(C2397,_xlpm.r),IFERROR(_xlfn.XMATCH(VALUE(C2397),_xlpm.r),0)),IF(_xlpm.m=0,"",_xlpm.m+1))</f>
        <v/>
      </c>
      <c r="J2397" s="137" t="inlineStr">
        <is>
          <t>Shopify</t>
        </is>
      </c>
    </row>
    <row r="2398">
      <c r="A2398" s="5" t="inlineStr">
        <is>
          <t>Shopify Stetson México › Stetson Americas</t>
        </is>
      </c>
      <c r="B2398" s="5">
        <f>IF($I2="","",INDEX(Productos!$A:$A,$I2))</f>
        <v/>
      </c>
      <c r="C2398" s="134" t="inlineStr">
        <is>
          <t>12-020-BS004-10-1014-029</t>
        </is>
      </c>
      <c r="D2398" s="5">
        <f>IF($I2="","",INDEX(Productos!$B:$B,$I2))</f>
        <v/>
      </c>
      <c r="E2398" s="5">
        <f>IF($I2="","",INDEX(Productos!$H:$H,$I2))</f>
        <v/>
      </c>
      <c r="F2398" s="5">
        <f>IF($I2="","",INDEX(Productos!$I:$I,$I2))</f>
        <v/>
      </c>
      <c r="G2398" s="135" t="n">
        <v>1</v>
      </c>
      <c r="H2398" s="5">
        <f>IF($I2="","",INDEX(Productos!$AG:$AG,$I2))</f>
        <v/>
      </c>
      <c r="I2398" s="136">
        <f>LET(_xlpm.r,Productos!$E$2:$E$2509,_xlpm.m,IFERROR(_xlfn.XMATCH(C2398,_xlpm.r),IFERROR(_xlfn.XMATCH(VALUE(C2398),_xlpm.r),0)),IF(_xlpm.m=0,"",_xlpm.m+1))</f>
        <v/>
      </c>
      <c r="J2398" s="137" t="inlineStr">
        <is>
          <t>Shopify</t>
        </is>
      </c>
    </row>
    <row r="2399">
      <c r="A2399" s="5" t="inlineStr">
        <is>
          <t>Shopify Stetson México › Stetson Americas</t>
        </is>
      </c>
      <c r="B2399" s="5">
        <f>IF($I2="","",INDEX(Productos!$A:$A,$I2))</f>
        <v/>
      </c>
      <c r="C2399" s="134" t="inlineStr">
        <is>
          <t>12-020-BS004-10-1014-275</t>
        </is>
      </c>
      <c r="D2399" s="5">
        <f>IF($I2="","",INDEX(Productos!$B:$B,$I2))</f>
        <v/>
      </c>
      <c r="E2399" s="5">
        <f>IF($I2="","",INDEX(Productos!$H:$H,$I2))</f>
        <v/>
      </c>
      <c r="F2399" s="5">
        <f>IF($I2="","",INDEX(Productos!$I:$I,$I2))</f>
        <v/>
      </c>
      <c r="G2399" s="135" t="n">
        <v>1</v>
      </c>
      <c r="H2399" s="5">
        <f>IF($I2="","",INDEX(Productos!$AG:$AG,$I2))</f>
        <v/>
      </c>
      <c r="I2399" s="136">
        <f>LET(_xlpm.r,Productos!$E$2:$E$2509,_xlpm.m,IFERROR(_xlfn.XMATCH(C2399,_xlpm.r),IFERROR(_xlfn.XMATCH(VALUE(C2399),_xlpm.r),0)),IF(_xlpm.m=0,"",_xlpm.m+1))</f>
        <v/>
      </c>
      <c r="J2399" s="137" t="inlineStr">
        <is>
          <t>Shopify</t>
        </is>
      </c>
    </row>
    <row r="2400">
      <c r="A2400" s="5" t="inlineStr">
        <is>
          <t>Shopify Stetson México › Stetson Americas</t>
        </is>
      </c>
      <c r="B2400" s="5">
        <f>IF($I2="","",INDEX(Productos!$A:$A,$I2))</f>
        <v/>
      </c>
      <c r="C2400" s="134" t="inlineStr">
        <is>
          <t>12-020-BS004-10-1014-285</t>
        </is>
      </c>
      <c r="D2400" s="5">
        <f>IF($I2="","",INDEX(Productos!$B:$B,$I2))</f>
        <v/>
      </c>
      <c r="E2400" s="5">
        <f>IF($I2="","",INDEX(Productos!$H:$H,$I2))</f>
        <v/>
      </c>
      <c r="F2400" s="5">
        <f>IF($I2="","",INDEX(Productos!$I:$I,$I2))</f>
        <v/>
      </c>
      <c r="G2400" s="135" t="n">
        <v>1</v>
      </c>
      <c r="H2400" s="5">
        <f>IF($I2="","",INDEX(Productos!$AG:$AG,$I2))</f>
        <v/>
      </c>
      <c r="I2400" s="136">
        <f>LET(_xlpm.r,Productos!$E$2:$E$2509,_xlpm.m,IFERROR(_xlfn.XMATCH(C2400,_xlpm.r),IFERROR(_xlfn.XMATCH(VALUE(C2400),_xlpm.r),0)),IF(_xlpm.m=0,"",_xlpm.m+1))</f>
        <v/>
      </c>
      <c r="J2400" s="137" t="inlineStr">
        <is>
          <t>Shopify</t>
        </is>
      </c>
    </row>
    <row r="2401">
      <c r="A2401" s="5" t="inlineStr">
        <is>
          <t>Shopify Stetson México › Stetson Americas</t>
        </is>
      </c>
      <c r="B2401" s="5">
        <f>IF($I2="","",INDEX(Productos!$A:$A,$I2))</f>
        <v/>
      </c>
      <c r="C2401" s="134" t="inlineStr">
        <is>
          <t>12-020-BS004-10-1015-027</t>
        </is>
      </c>
      <c r="D2401" s="5">
        <f>IF($I2="","",INDEX(Productos!$B:$B,$I2))</f>
        <v/>
      </c>
      <c r="E2401" s="5">
        <f>IF($I2="","",INDEX(Productos!$H:$H,$I2))</f>
        <v/>
      </c>
      <c r="F2401" s="5">
        <f>IF($I2="","",INDEX(Productos!$I:$I,$I2))</f>
        <v/>
      </c>
      <c r="G2401" s="135" t="n">
        <v>1</v>
      </c>
      <c r="H2401" s="5">
        <f>IF($I2="","",INDEX(Productos!$AG:$AG,$I2))</f>
        <v/>
      </c>
      <c r="I2401" s="136">
        <f>LET(_xlpm.r,Productos!$E$2:$E$2509,_xlpm.m,IFERROR(_xlfn.XMATCH(C2401,_xlpm.r),IFERROR(_xlfn.XMATCH(VALUE(C2401),_xlpm.r),0)),IF(_xlpm.m=0,"",_xlpm.m+1))</f>
        <v/>
      </c>
      <c r="J2401" s="137" t="inlineStr">
        <is>
          <t>Shopify</t>
        </is>
      </c>
    </row>
    <row r="2402">
      <c r="A2402" s="5" t="inlineStr">
        <is>
          <t>Shopify Stetson México › Stetson Americas</t>
        </is>
      </c>
      <c r="B2402" s="5">
        <f>IF($I2="","",INDEX(Productos!$A:$A,$I2))</f>
        <v/>
      </c>
      <c r="C2402" s="134" t="inlineStr">
        <is>
          <t>12-020-BS004-10-1015-029</t>
        </is>
      </c>
      <c r="D2402" s="5">
        <f>IF($I2="","",INDEX(Productos!$B:$B,$I2))</f>
        <v/>
      </c>
      <c r="E2402" s="5">
        <f>IF($I2="","",INDEX(Productos!$H:$H,$I2))</f>
        <v/>
      </c>
      <c r="F2402" s="5">
        <f>IF($I2="","",INDEX(Productos!$I:$I,$I2))</f>
        <v/>
      </c>
      <c r="G2402" s="135" t="n">
        <v>1</v>
      </c>
      <c r="H2402" s="5">
        <f>IF($I2="","",INDEX(Productos!$AG:$AG,$I2))</f>
        <v/>
      </c>
      <c r="I2402" s="136">
        <f>LET(_xlpm.r,Productos!$E$2:$E$2509,_xlpm.m,IFERROR(_xlfn.XMATCH(C2402,_xlpm.r),IFERROR(_xlfn.XMATCH(VALUE(C2402),_xlpm.r),0)),IF(_xlpm.m=0,"",_xlpm.m+1))</f>
        <v/>
      </c>
      <c r="J2402" s="137" t="inlineStr">
        <is>
          <t>Shopify</t>
        </is>
      </c>
    </row>
    <row r="2403">
      <c r="A2403" s="5" t="inlineStr">
        <is>
          <t>Shopify Stetson México › Stetson Americas</t>
        </is>
      </c>
      <c r="B2403" s="5">
        <f>IF($I2="","",INDEX(Productos!$A:$A,$I2))</f>
        <v/>
      </c>
      <c r="C2403" s="134" t="inlineStr">
        <is>
          <t>12-020-BS004-10-1015-275</t>
        </is>
      </c>
      <c r="D2403" s="5">
        <f>IF($I2="","",INDEX(Productos!$B:$B,$I2))</f>
        <v/>
      </c>
      <c r="E2403" s="5">
        <f>IF($I2="","",INDEX(Productos!$H:$H,$I2))</f>
        <v/>
      </c>
      <c r="F2403" s="5">
        <f>IF($I2="","",INDEX(Productos!$I:$I,$I2))</f>
        <v/>
      </c>
      <c r="G2403" s="135" t="n">
        <v>1</v>
      </c>
      <c r="H2403" s="5">
        <f>IF($I2="","",INDEX(Productos!$AG:$AG,$I2))</f>
        <v/>
      </c>
      <c r="I2403" s="136">
        <f>LET(_xlpm.r,Productos!$E$2:$E$2509,_xlpm.m,IFERROR(_xlfn.XMATCH(C2403,_xlpm.r),IFERROR(_xlfn.XMATCH(VALUE(C2403),_xlpm.r),0)),IF(_xlpm.m=0,"",_xlpm.m+1))</f>
        <v/>
      </c>
      <c r="J2403" s="137" t="inlineStr">
        <is>
          <t>Shopify</t>
        </is>
      </c>
    </row>
    <row r="2404">
      <c r="A2404" s="5" t="inlineStr">
        <is>
          <t>Shopify Stetson México › Stetson Americas</t>
        </is>
      </c>
      <c r="B2404" s="5">
        <f>IF($I2="","",INDEX(Productos!$A:$A,$I2))</f>
        <v/>
      </c>
      <c r="C2404" s="134" t="inlineStr">
        <is>
          <t>12-020-BS004-10-1015-285</t>
        </is>
      </c>
      <c r="D2404" s="5">
        <f>IF($I2="","",INDEX(Productos!$B:$B,$I2))</f>
        <v/>
      </c>
      <c r="E2404" s="5">
        <f>IF($I2="","",INDEX(Productos!$H:$H,$I2))</f>
        <v/>
      </c>
      <c r="F2404" s="5">
        <f>IF($I2="","",INDEX(Productos!$I:$I,$I2))</f>
        <v/>
      </c>
      <c r="G2404" s="135" t="n">
        <v>2</v>
      </c>
      <c r="H2404" s="5">
        <f>IF($I2="","",INDEX(Productos!$AG:$AG,$I2))</f>
        <v/>
      </c>
      <c r="I2404" s="136">
        <f>LET(_xlpm.r,Productos!$E$2:$E$2509,_xlpm.m,IFERROR(_xlfn.XMATCH(C2404,_xlpm.r),IFERROR(_xlfn.XMATCH(VALUE(C2404),_xlpm.r),0)),IF(_xlpm.m=0,"",_xlpm.m+1))</f>
        <v/>
      </c>
      <c r="J2404" s="137" t="inlineStr">
        <is>
          <t>Shopify</t>
        </is>
      </c>
    </row>
    <row r="2405">
      <c r="A2405" s="5" t="inlineStr">
        <is>
          <t>Shopify Stetson México › Stetson Americas</t>
        </is>
      </c>
      <c r="B2405" s="5">
        <f>IF($I2="","",INDEX(Productos!$A:$A,$I2))</f>
        <v/>
      </c>
      <c r="C2405" s="134" t="inlineStr">
        <is>
          <t>12-020-BS004-10-1016-027</t>
        </is>
      </c>
      <c r="D2405" s="5">
        <f>IF($I2="","",INDEX(Productos!$B:$B,$I2))</f>
        <v/>
      </c>
      <c r="E2405" s="5">
        <f>IF($I2="","",INDEX(Productos!$H:$H,$I2))</f>
        <v/>
      </c>
      <c r="F2405" s="5">
        <f>IF($I2="","",INDEX(Productos!$I:$I,$I2))</f>
        <v/>
      </c>
      <c r="G2405" s="135" t="n">
        <v>1</v>
      </c>
      <c r="H2405" s="5">
        <f>IF($I2="","",INDEX(Productos!$AG:$AG,$I2))</f>
        <v/>
      </c>
      <c r="I2405" s="136">
        <f>LET(_xlpm.r,Productos!$E$2:$E$2509,_xlpm.m,IFERROR(_xlfn.XMATCH(C2405,_xlpm.r),IFERROR(_xlfn.XMATCH(VALUE(C2405),_xlpm.r),0)),IF(_xlpm.m=0,"",_xlpm.m+1))</f>
        <v/>
      </c>
      <c r="J2405" s="137" t="inlineStr">
        <is>
          <t>Shopify</t>
        </is>
      </c>
    </row>
    <row r="2406">
      <c r="A2406" s="5" t="inlineStr">
        <is>
          <t>Shopify Stetson México › Stetson Americas</t>
        </is>
      </c>
      <c r="B2406" s="5">
        <f>IF($I2="","",INDEX(Productos!$A:$A,$I2))</f>
        <v/>
      </c>
      <c r="C2406" s="134" t="inlineStr">
        <is>
          <t>12-020-BS004-10-1016-028</t>
        </is>
      </c>
      <c r="D2406" s="5">
        <f>IF($I2="","",INDEX(Productos!$B:$B,$I2))</f>
        <v/>
      </c>
      <c r="E2406" s="5">
        <f>IF($I2="","",INDEX(Productos!$H:$H,$I2))</f>
        <v/>
      </c>
      <c r="F2406" s="5">
        <f>IF($I2="","",INDEX(Productos!$I:$I,$I2))</f>
        <v/>
      </c>
      <c r="G2406" s="135" t="n">
        <v>2</v>
      </c>
      <c r="H2406" s="5">
        <f>IF($I2="","",INDEX(Productos!$AG:$AG,$I2))</f>
        <v/>
      </c>
      <c r="I2406" s="136">
        <f>LET(_xlpm.r,Productos!$E$2:$E$2509,_xlpm.m,IFERROR(_xlfn.XMATCH(C2406,_xlpm.r),IFERROR(_xlfn.XMATCH(VALUE(C2406),_xlpm.r),0)),IF(_xlpm.m=0,"",_xlpm.m+1))</f>
        <v/>
      </c>
      <c r="J2406" s="137" t="inlineStr">
        <is>
          <t>Shopify</t>
        </is>
      </c>
    </row>
    <row r="2407">
      <c r="A2407" s="5" t="inlineStr">
        <is>
          <t>Shopify Stetson México › Stetson Americas</t>
        </is>
      </c>
      <c r="B2407" s="5">
        <f>IF($I2="","",INDEX(Productos!$A:$A,$I2))</f>
        <v/>
      </c>
      <c r="C2407" s="134" t="inlineStr">
        <is>
          <t>12-020-BS004-10-1016-029</t>
        </is>
      </c>
      <c r="D2407" s="5">
        <f>IF($I2="","",INDEX(Productos!$B:$B,$I2))</f>
        <v/>
      </c>
      <c r="E2407" s="5">
        <f>IF($I2="","",INDEX(Productos!$H:$H,$I2))</f>
        <v/>
      </c>
      <c r="F2407" s="5">
        <f>IF($I2="","",INDEX(Productos!$I:$I,$I2))</f>
        <v/>
      </c>
      <c r="G2407" s="135" t="n">
        <v>2</v>
      </c>
      <c r="H2407" s="5">
        <f>IF($I2="","",INDEX(Productos!$AG:$AG,$I2))</f>
        <v/>
      </c>
      <c r="I2407" s="136">
        <f>LET(_xlpm.r,Productos!$E$2:$E$2509,_xlpm.m,IFERROR(_xlfn.XMATCH(C2407,_xlpm.r),IFERROR(_xlfn.XMATCH(VALUE(C2407),_xlpm.r),0)),IF(_xlpm.m=0,"",_xlpm.m+1))</f>
        <v/>
      </c>
      <c r="J2407" s="137" t="inlineStr">
        <is>
          <t>Shopify</t>
        </is>
      </c>
    </row>
    <row r="2408">
      <c r="A2408" s="5" t="inlineStr">
        <is>
          <t>Shopify Stetson México › Stetson Americas</t>
        </is>
      </c>
      <c r="B2408" s="5">
        <f>IF($I2="","",INDEX(Productos!$A:$A,$I2))</f>
        <v/>
      </c>
      <c r="C2408" s="134" t="inlineStr">
        <is>
          <t>12-020-BS004-10-1016-265</t>
        </is>
      </c>
      <c r="D2408" s="5">
        <f>IF($I2="","",INDEX(Productos!$B:$B,$I2))</f>
        <v/>
      </c>
      <c r="E2408" s="5">
        <f>IF($I2="","",INDEX(Productos!$H:$H,$I2))</f>
        <v/>
      </c>
      <c r="F2408" s="5">
        <f>IF($I2="","",INDEX(Productos!$I:$I,$I2))</f>
        <v/>
      </c>
      <c r="G2408" s="135" t="n">
        <v>1</v>
      </c>
      <c r="H2408" s="5">
        <f>IF($I2="","",INDEX(Productos!$AG:$AG,$I2))</f>
        <v/>
      </c>
      <c r="I2408" s="136">
        <f>LET(_xlpm.r,Productos!$E$2:$E$2509,_xlpm.m,IFERROR(_xlfn.XMATCH(C2408,_xlpm.r),IFERROR(_xlfn.XMATCH(VALUE(C2408),_xlpm.r),0)),IF(_xlpm.m=0,"",_xlpm.m+1))</f>
        <v/>
      </c>
      <c r="J2408" s="137" t="inlineStr">
        <is>
          <t>Shopify</t>
        </is>
      </c>
    </row>
    <row r="2409">
      <c r="A2409" s="5" t="inlineStr">
        <is>
          <t>Shopify Stetson México › Stetson Americas</t>
        </is>
      </c>
      <c r="B2409" s="5">
        <f>IF($I2="","",INDEX(Productos!$A:$A,$I2))</f>
        <v/>
      </c>
      <c r="C2409" s="134" t="inlineStr">
        <is>
          <t>12-020-BS004-10-1016-275</t>
        </is>
      </c>
      <c r="D2409" s="5">
        <f>IF($I2="","",INDEX(Productos!$B:$B,$I2))</f>
        <v/>
      </c>
      <c r="E2409" s="5">
        <f>IF($I2="","",INDEX(Productos!$H:$H,$I2))</f>
        <v/>
      </c>
      <c r="F2409" s="5">
        <f>IF($I2="","",INDEX(Productos!$I:$I,$I2))</f>
        <v/>
      </c>
      <c r="G2409" s="135" t="n">
        <v>2</v>
      </c>
      <c r="H2409" s="5">
        <f>IF($I2="","",INDEX(Productos!$AG:$AG,$I2))</f>
        <v/>
      </c>
      <c r="I2409" s="136">
        <f>LET(_xlpm.r,Productos!$E$2:$E$2509,_xlpm.m,IFERROR(_xlfn.XMATCH(C2409,_xlpm.r),IFERROR(_xlfn.XMATCH(VALUE(C2409),_xlpm.r),0)),IF(_xlpm.m=0,"",_xlpm.m+1))</f>
        <v/>
      </c>
      <c r="J2409" s="137" t="inlineStr">
        <is>
          <t>Shopify</t>
        </is>
      </c>
    </row>
    <row r="2410">
      <c r="A2410" s="5" t="inlineStr">
        <is>
          <t>Shopify Stetson México › Stetson Americas</t>
        </is>
      </c>
      <c r="B2410" s="5">
        <f>IF($I2="","",INDEX(Productos!$A:$A,$I2))</f>
        <v/>
      </c>
      <c r="C2410" s="134" t="inlineStr">
        <is>
          <t>12-020-BS004-10-1016-285</t>
        </is>
      </c>
      <c r="D2410" s="5">
        <f>IF($I2="","",INDEX(Productos!$B:$B,$I2))</f>
        <v/>
      </c>
      <c r="E2410" s="5">
        <f>IF($I2="","",INDEX(Productos!$H:$H,$I2))</f>
        <v/>
      </c>
      <c r="F2410" s="5">
        <f>IF($I2="","",INDEX(Productos!$I:$I,$I2))</f>
        <v/>
      </c>
      <c r="G2410" s="135" t="n">
        <v>1</v>
      </c>
      <c r="H2410" s="5">
        <f>IF($I2="","",INDEX(Productos!$AG:$AG,$I2))</f>
        <v/>
      </c>
      <c r="I2410" s="136">
        <f>LET(_xlpm.r,Productos!$E$2:$E$2509,_xlpm.m,IFERROR(_xlfn.XMATCH(C2410,_xlpm.r),IFERROR(_xlfn.XMATCH(VALUE(C2410),_xlpm.r),0)),IF(_xlpm.m=0,"",_xlpm.m+1))</f>
        <v/>
      </c>
      <c r="J2410" s="137" t="inlineStr">
        <is>
          <t>Shopify</t>
        </is>
      </c>
    </row>
    <row r="2411">
      <c r="A2411" s="5" t="inlineStr">
        <is>
          <t>Shopify Stetson México › Stetson Americas</t>
        </is>
      </c>
      <c r="B2411" s="5">
        <f>IF($I2="","",INDEX(Productos!$A:$A,$I2))</f>
        <v/>
      </c>
      <c r="C2411" s="134" t="inlineStr">
        <is>
          <t>12-020-BS004-10-1016-295</t>
        </is>
      </c>
      <c r="D2411" s="5">
        <f>IF($I2="","",INDEX(Productos!$B:$B,$I2))</f>
        <v/>
      </c>
      <c r="E2411" s="5">
        <f>IF($I2="","",INDEX(Productos!$H:$H,$I2))</f>
        <v/>
      </c>
      <c r="F2411" s="5">
        <f>IF($I2="","",INDEX(Productos!$I:$I,$I2))</f>
        <v/>
      </c>
      <c r="G2411" s="135" t="n">
        <v>1</v>
      </c>
      <c r="H2411" s="5">
        <f>IF($I2="","",INDEX(Productos!$AG:$AG,$I2))</f>
        <v/>
      </c>
      <c r="I2411" s="136">
        <f>LET(_xlpm.r,Productos!$E$2:$E$2509,_xlpm.m,IFERROR(_xlfn.XMATCH(C2411,_xlpm.r),IFERROR(_xlfn.XMATCH(VALUE(C2411),_xlpm.r),0)),IF(_xlpm.m=0,"",_xlpm.m+1))</f>
        <v/>
      </c>
      <c r="J2411" s="137" t="inlineStr">
        <is>
          <t>Shopify</t>
        </is>
      </c>
    </row>
    <row r="2412">
      <c r="A2412" s="5" t="inlineStr">
        <is>
          <t>Shopify Stetson México › Stetson Americas</t>
        </is>
      </c>
      <c r="B2412" s="5">
        <f>IF($I2="","",INDEX(Productos!$A:$A,$I2))</f>
        <v/>
      </c>
      <c r="C2412" s="134" t="inlineStr">
        <is>
          <t>12-020-BS004-10-1021-027</t>
        </is>
      </c>
      <c r="D2412" s="5">
        <f>IF($I2="","",INDEX(Productos!$B:$B,$I2))</f>
        <v/>
      </c>
      <c r="E2412" s="5">
        <f>IF($I2="","",INDEX(Productos!$H:$H,$I2))</f>
        <v/>
      </c>
      <c r="F2412" s="5">
        <f>IF($I2="","",INDEX(Productos!$I:$I,$I2))</f>
        <v/>
      </c>
      <c r="G2412" s="135" t="n">
        <v>1</v>
      </c>
      <c r="H2412" s="5">
        <f>IF($I2="","",INDEX(Productos!$AG:$AG,$I2))</f>
        <v/>
      </c>
      <c r="I2412" s="136">
        <f>LET(_xlpm.r,Productos!$E$2:$E$2509,_xlpm.m,IFERROR(_xlfn.XMATCH(C2412,_xlpm.r),IFERROR(_xlfn.XMATCH(VALUE(C2412),_xlpm.r),0)),IF(_xlpm.m=0,"",_xlpm.m+1))</f>
        <v/>
      </c>
      <c r="J2412" s="137" t="inlineStr">
        <is>
          <t>Shopify</t>
        </is>
      </c>
    </row>
    <row r="2413">
      <c r="A2413" s="5" t="inlineStr">
        <is>
          <t>Shopify Stetson México › Stetson Americas</t>
        </is>
      </c>
      <c r="B2413" s="5">
        <f>IF($I2="","",INDEX(Productos!$A:$A,$I2))</f>
        <v/>
      </c>
      <c r="C2413" s="134" t="inlineStr">
        <is>
          <t>12-020-BS004-10-1021-255</t>
        </is>
      </c>
      <c r="D2413" s="5">
        <f>IF($I2="","",INDEX(Productos!$B:$B,$I2))</f>
        <v/>
      </c>
      <c r="E2413" s="5">
        <f>IF($I2="","",INDEX(Productos!$H:$H,$I2))</f>
        <v/>
      </c>
      <c r="F2413" s="5">
        <f>IF($I2="","",INDEX(Productos!$I:$I,$I2))</f>
        <v/>
      </c>
      <c r="G2413" s="135" t="n">
        <v>1</v>
      </c>
      <c r="H2413" s="5">
        <f>IF($I2="","",INDEX(Productos!$AG:$AG,$I2))</f>
        <v/>
      </c>
      <c r="I2413" s="136">
        <f>LET(_xlpm.r,Productos!$E$2:$E$2509,_xlpm.m,IFERROR(_xlfn.XMATCH(C2413,_xlpm.r),IFERROR(_xlfn.XMATCH(VALUE(C2413),_xlpm.r),0)),IF(_xlpm.m=0,"",_xlpm.m+1))</f>
        <v/>
      </c>
      <c r="J2413" s="137" t="inlineStr">
        <is>
          <t>Shopify</t>
        </is>
      </c>
    </row>
    <row r="2414">
      <c r="A2414" s="5" t="inlineStr">
        <is>
          <t>Shopify Stetson México › Stetson Americas</t>
        </is>
      </c>
      <c r="B2414" s="5">
        <f>IF($I2="","",INDEX(Productos!$A:$A,$I2))</f>
        <v/>
      </c>
      <c r="C2414" s="134" t="inlineStr">
        <is>
          <t>12-020-BS004-10-1021-275</t>
        </is>
      </c>
      <c r="D2414" s="5">
        <f>IF($I2="","",INDEX(Productos!$B:$B,$I2))</f>
        <v/>
      </c>
      <c r="E2414" s="5">
        <f>IF($I2="","",INDEX(Productos!$H:$H,$I2))</f>
        <v/>
      </c>
      <c r="F2414" s="5">
        <f>IF($I2="","",INDEX(Productos!$I:$I,$I2))</f>
        <v/>
      </c>
      <c r="G2414" s="135" t="n">
        <v>1</v>
      </c>
      <c r="H2414" s="5">
        <f>IF($I2="","",INDEX(Productos!$AG:$AG,$I2))</f>
        <v/>
      </c>
      <c r="I2414" s="136">
        <f>LET(_xlpm.r,Productos!$E$2:$E$2509,_xlpm.m,IFERROR(_xlfn.XMATCH(C2414,_xlpm.r),IFERROR(_xlfn.XMATCH(VALUE(C2414),_xlpm.r),0)),IF(_xlpm.m=0,"",_xlpm.m+1))</f>
        <v/>
      </c>
      <c r="J2414" s="137" t="inlineStr">
        <is>
          <t>Shopify</t>
        </is>
      </c>
    </row>
    <row r="2415">
      <c r="A2415" s="5" t="inlineStr">
        <is>
          <t>Shopify Stetson México › Stetson Americas</t>
        </is>
      </c>
      <c r="B2415" s="5">
        <f>IF($I2="","",INDEX(Productos!$A:$A,$I2))</f>
        <v/>
      </c>
      <c r="C2415" s="134" t="inlineStr">
        <is>
          <t>12-020-BS004-10-1021-285</t>
        </is>
      </c>
      <c r="D2415" s="5">
        <f>IF($I2="","",INDEX(Productos!$B:$B,$I2))</f>
        <v/>
      </c>
      <c r="E2415" s="5">
        <f>IF($I2="","",INDEX(Productos!$H:$H,$I2))</f>
        <v/>
      </c>
      <c r="F2415" s="5">
        <f>IF($I2="","",INDEX(Productos!$I:$I,$I2))</f>
        <v/>
      </c>
      <c r="G2415" s="135" t="n">
        <v>1</v>
      </c>
      <c r="H2415" s="5">
        <f>IF($I2="","",INDEX(Productos!$AG:$AG,$I2))</f>
        <v/>
      </c>
      <c r="I2415" s="136">
        <f>LET(_xlpm.r,Productos!$E$2:$E$2509,_xlpm.m,IFERROR(_xlfn.XMATCH(C2415,_xlpm.r),IFERROR(_xlfn.XMATCH(VALUE(C2415),_xlpm.r),0)),IF(_xlpm.m=0,"",_xlpm.m+1))</f>
        <v/>
      </c>
      <c r="J2415" s="137" t="inlineStr">
        <is>
          <t>Shopify</t>
        </is>
      </c>
    </row>
    <row r="2416">
      <c r="A2416" s="5" t="inlineStr">
        <is>
          <t>Shopify Stetson México › Stetson Americas</t>
        </is>
      </c>
      <c r="B2416" s="5">
        <f>IF($I2="","",INDEX(Productos!$A:$A,$I2))</f>
        <v/>
      </c>
      <c r="C2416" s="134" t="inlineStr">
        <is>
          <t>12-020-BS004-10-1021-295</t>
        </is>
      </c>
      <c r="D2416" s="5">
        <f>IF($I2="","",INDEX(Productos!$B:$B,$I2))</f>
        <v/>
      </c>
      <c r="E2416" s="5">
        <f>IF($I2="","",INDEX(Productos!$H:$H,$I2))</f>
        <v/>
      </c>
      <c r="F2416" s="5">
        <f>IF($I2="","",INDEX(Productos!$I:$I,$I2))</f>
        <v/>
      </c>
      <c r="G2416" s="135" t="n">
        <v>1</v>
      </c>
      <c r="H2416" s="5">
        <f>IF($I2="","",INDEX(Productos!$AG:$AG,$I2))</f>
        <v/>
      </c>
      <c r="I2416" s="136">
        <f>LET(_xlpm.r,Productos!$E$2:$E$2509,_xlpm.m,IFERROR(_xlfn.XMATCH(C2416,_xlpm.r),IFERROR(_xlfn.XMATCH(VALUE(C2416),_xlpm.r),0)),IF(_xlpm.m=0,"",_xlpm.m+1))</f>
        <v/>
      </c>
      <c r="J2416" s="137" t="inlineStr">
        <is>
          <t>Shopify</t>
        </is>
      </c>
    </row>
    <row r="2417">
      <c r="A2417" s="5" t="inlineStr">
        <is>
          <t>Shopify Stetson México › Stetson Americas</t>
        </is>
      </c>
      <c r="B2417" s="5">
        <f>IF($I2="","",INDEX(Productos!$A:$A,$I2))</f>
        <v/>
      </c>
      <c r="C2417" s="134" t="inlineStr">
        <is>
          <t>12-020-BS004-10-1022-027</t>
        </is>
      </c>
      <c r="D2417" s="5">
        <f>IF($I2="","",INDEX(Productos!$B:$B,$I2))</f>
        <v/>
      </c>
      <c r="E2417" s="5">
        <f>IF($I2="","",INDEX(Productos!$H:$H,$I2))</f>
        <v/>
      </c>
      <c r="F2417" s="5">
        <f>IF($I2="","",INDEX(Productos!$I:$I,$I2))</f>
        <v/>
      </c>
      <c r="G2417" s="135" t="n">
        <v>1</v>
      </c>
      <c r="H2417" s="5">
        <f>IF($I2="","",INDEX(Productos!$AG:$AG,$I2))</f>
        <v/>
      </c>
      <c r="I2417" s="136">
        <f>LET(_xlpm.r,Productos!$E$2:$E$2509,_xlpm.m,IFERROR(_xlfn.XMATCH(C2417,_xlpm.r),IFERROR(_xlfn.XMATCH(VALUE(C2417),_xlpm.r),0)),IF(_xlpm.m=0,"",_xlpm.m+1))</f>
        <v/>
      </c>
      <c r="J2417" s="137" t="inlineStr">
        <is>
          <t>Shopify</t>
        </is>
      </c>
    </row>
    <row r="2418">
      <c r="A2418" s="5" t="inlineStr">
        <is>
          <t>Shopify Stetson México › Stetson Americas</t>
        </is>
      </c>
      <c r="B2418" s="5">
        <f>IF($I2="","",INDEX(Productos!$A:$A,$I2))</f>
        <v/>
      </c>
      <c r="C2418" s="134" t="inlineStr">
        <is>
          <t>12-020-BS004-10-1022-028</t>
        </is>
      </c>
      <c r="D2418" s="5">
        <f>IF($I2="","",INDEX(Productos!$B:$B,$I2))</f>
        <v/>
      </c>
      <c r="E2418" s="5">
        <f>IF($I2="","",INDEX(Productos!$H:$H,$I2))</f>
        <v/>
      </c>
      <c r="F2418" s="5">
        <f>IF($I2="","",INDEX(Productos!$I:$I,$I2))</f>
        <v/>
      </c>
      <c r="G2418" s="135" t="n">
        <v>1</v>
      </c>
      <c r="H2418" s="5">
        <f>IF($I2="","",INDEX(Productos!$AG:$AG,$I2))</f>
        <v/>
      </c>
      <c r="I2418" s="136">
        <f>LET(_xlpm.r,Productos!$E$2:$E$2509,_xlpm.m,IFERROR(_xlfn.XMATCH(C2418,_xlpm.r),IFERROR(_xlfn.XMATCH(VALUE(C2418),_xlpm.r),0)),IF(_xlpm.m=0,"",_xlpm.m+1))</f>
        <v/>
      </c>
      <c r="J2418" s="137" t="inlineStr">
        <is>
          <t>Shopify</t>
        </is>
      </c>
    </row>
    <row r="2419">
      <c r="A2419" s="5" t="inlineStr">
        <is>
          <t>Shopify Stetson México › Stetson Americas</t>
        </is>
      </c>
      <c r="B2419" s="5">
        <f>IF($I2="","",INDEX(Productos!$A:$A,$I2))</f>
        <v/>
      </c>
      <c r="C2419" s="134" t="inlineStr">
        <is>
          <t>12-020-BS004-10-1022-265</t>
        </is>
      </c>
      <c r="D2419" s="5">
        <f>IF($I2="","",INDEX(Productos!$B:$B,$I2))</f>
        <v/>
      </c>
      <c r="E2419" s="5">
        <f>IF($I2="","",INDEX(Productos!$H:$H,$I2))</f>
        <v/>
      </c>
      <c r="F2419" s="5">
        <f>IF($I2="","",INDEX(Productos!$I:$I,$I2))</f>
        <v/>
      </c>
      <c r="G2419" s="135" t="n">
        <v>1</v>
      </c>
      <c r="H2419" s="5">
        <f>IF($I2="","",INDEX(Productos!$AG:$AG,$I2))</f>
        <v/>
      </c>
      <c r="I2419" s="136">
        <f>LET(_xlpm.r,Productos!$E$2:$E$2509,_xlpm.m,IFERROR(_xlfn.XMATCH(C2419,_xlpm.r),IFERROR(_xlfn.XMATCH(VALUE(C2419),_xlpm.r),0)),IF(_xlpm.m=0,"",_xlpm.m+1))</f>
        <v/>
      </c>
      <c r="J2419" s="137" t="inlineStr">
        <is>
          <t>Shopify</t>
        </is>
      </c>
    </row>
    <row r="2420">
      <c r="A2420" s="5" t="inlineStr">
        <is>
          <t>Shopify Stetson México › Stetson Americas</t>
        </is>
      </c>
      <c r="B2420" s="5">
        <f>IF($I2="","",INDEX(Productos!$A:$A,$I2))</f>
        <v/>
      </c>
      <c r="C2420" s="134" t="inlineStr">
        <is>
          <t>12-020-BS004-10-1022-295</t>
        </is>
      </c>
      <c r="D2420" s="5">
        <f>IF($I2="","",INDEX(Productos!$B:$B,$I2))</f>
        <v/>
      </c>
      <c r="E2420" s="5">
        <f>IF($I2="","",INDEX(Productos!$H:$H,$I2))</f>
        <v/>
      </c>
      <c r="F2420" s="5">
        <f>IF($I2="","",INDEX(Productos!$I:$I,$I2))</f>
        <v/>
      </c>
      <c r="G2420" s="135" t="n">
        <v>1</v>
      </c>
      <c r="H2420" s="5">
        <f>IF($I2="","",INDEX(Productos!$AG:$AG,$I2))</f>
        <v/>
      </c>
      <c r="I2420" s="136">
        <f>LET(_xlpm.r,Productos!$E$2:$E$2509,_xlpm.m,IFERROR(_xlfn.XMATCH(C2420,_xlpm.r),IFERROR(_xlfn.XMATCH(VALUE(C2420),_xlpm.r),0)),IF(_xlpm.m=0,"",_xlpm.m+1))</f>
        <v/>
      </c>
      <c r="J2420" s="137" t="inlineStr">
        <is>
          <t>Shopify</t>
        </is>
      </c>
    </row>
    <row r="2421">
      <c r="A2421" s="5" t="inlineStr">
        <is>
          <t>Shopify Stetson México › Stetson Americas</t>
        </is>
      </c>
      <c r="B2421" s="5">
        <f>IF($I2="","",INDEX(Productos!$A:$A,$I2))</f>
        <v/>
      </c>
      <c r="C2421" s="134" t="inlineStr">
        <is>
          <t>12-020-BS004-10-1025-027</t>
        </is>
      </c>
      <c r="D2421" s="5">
        <f>IF($I2="","",INDEX(Productos!$B:$B,$I2))</f>
        <v/>
      </c>
      <c r="E2421" s="5">
        <f>IF($I2="","",INDEX(Productos!$H:$H,$I2))</f>
        <v/>
      </c>
      <c r="F2421" s="5">
        <f>IF($I2="","",INDEX(Productos!$I:$I,$I2))</f>
        <v/>
      </c>
      <c r="G2421" s="135" t="n">
        <v>2</v>
      </c>
      <c r="H2421" s="5">
        <f>IF($I2="","",INDEX(Productos!$AG:$AG,$I2))</f>
        <v/>
      </c>
      <c r="I2421" s="136">
        <f>LET(_xlpm.r,Productos!$E$2:$E$2509,_xlpm.m,IFERROR(_xlfn.XMATCH(C2421,_xlpm.r),IFERROR(_xlfn.XMATCH(VALUE(C2421),_xlpm.r),0)),IF(_xlpm.m=0,"",_xlpm.m+1))</f>
        <v/>
      </c>
      <c r="J2421" s="137" t="inlineStr">
        <is>
          <t>Shopify</t>
        </is>
      </c>
    </row>
    <row r="2422">
      <c r="A2422" s="5" t="inlineStr">
        <is>
          <t>Shopify Stetson México › Stetson Americas</t>
        </is>
      </c>
      <c r="B2422" s="5">
        <f>IF($I2="","",INDEX(Productos!$A:$A,$I2))</f>
        <v/>
      </c>
      <c r="C2422" s="134" t="inlineStr">
        <is>
          <t>12-020-BS004-10-1025-028</t>
        </is>
      </c>
      <c r="D2422" s="5">
        <f>IF($I2="","",INDEX(Productos!$B:$B,$I2))</f>
        <v/>
      </c>
      <c r="E2422" s="5">
        <f>IF($I2="","",INDEX(Productos!$H:$H,$I2))</f>
        <v/>
      </c>
      <c r="F2422" s="5">
        <f>IF($I2="","",INDEX(Productos!$I:$I,$I2))</f>
        <v/>
      </c>
      <c r="G2422" s="135" t="n">
        <v>1</v>
      </c>
      <c r="H2422" s="5">
        <f>IF($I2="","",INDEX(Productos!$AG:$AG,$I2))</f>
        <v/>
      </c>
      <c r="I2422" s="136">
        <f>LET(_xlpm.r,Productos!$E$2:$E$2509,_xlpm.m,IFERROR(_xlfn.XMATCH(C2422,_xlpm.r),IFERROR(_xlfn.XMATCH(VALUE(C2422),_xlpm.r),0)),IF(_xlpm.m=0,"",_xlpm.m+1))</f>
        <v/>
      </c>
      <c r="J2422" s="137" t="inlineStr">
        <is>
          <t>Shopify</t>
        </is>
      </c>
    </row>
    <row r="2423">
      <c r="A2423" s="5" t="inlineStr">
        <is>
          <t>Shopify Stetson México › Stetson Americas</t>
        </is>
      </c>
      <c r="B2423" s="5">
        <f>IF($I2="","",INDEX(Productos!$A:$A,$I2))</f>
        <v/>
      </c>
      <c r="C2423" s="134" t="inlineStr">
        <is>
          <t>12-020-BS004-10-1025-029</t>
        </is>
      </c>
      <c r="D2423" s="5">
        <f>IF($I2="","",INDEX(Productos!$B:$B,$I2))</f>
        <v/>
      </c>
      <c r="E2423" s="5">
        <f>IF($I2="","",INDEX(Productos!$H:$H,$I2))</f>
        <v/>
      </c>
      <c r="F2423" s="5">
        <f>IF($I2="","",INDEX(Productos!$I:$I,$I2))</f>
        <v/>
      </c>
      <c r="G2423" s="135" t="n">
        <v>1</v>
      </c>
      <c r="H2423" s="5">
        <f>IF($I2="","",INDEX(Productos!$AG:$AG,$I2))</f>
        <v/>
      </c>
      <c r="I2423" s="136">
        <f>LET(_xlpm.r,Productos!$E$2:$E$2509,_xlpm.m,IFERROR(_xlfn.XMATCH(C2423,_xlpm.r),IFERROR(_xlfn.XMATCH(VALUE(C2423),_xlpm.r),0)),IF(_xlpm.m=0,"",_xlpm.m+1))</f>
        <v/>
      </c>
      <c r="J2423" s="137" t="inlineStr">
        <is>
          <t>Shopify</t>
        </is>
      </c>
    </row>
    <row r="2424">
      <c r="A2424" s="5" t="inlineStr">
        <is>
          <t>Shopify Stetson México › Stetson Americas</t>
        </is>
      </c>
      <c r="B2424" s="5">
        <f>IF($I2="","",INDEX(Productos!$A:$A,$I2))</f>
        <v/>
      </c>
      <c r="C2424" s="134" t="inlineStr">
        <is>
          <t>12-020-BS004-10-1025-265</t>
        </is>
      </c>
      <c r="D2424" s="5">
        <f>IF($I2="","",INDEX(Productos!$B:$B,$I2))</f>
        <v/>
      </c>
      <c r="E2424" s="5">
        <f>IF($I2="","",INDEX(Productos!$H:$H,$I2))</f>
        <v/>
      </c>
      <c r="F2424" s="5">
        <f>IF($I2="","",INDEX(Productos!$I:$I,$I2))</f>
        <v/>
      </c>
      <c r="G2424" s="135" t="n">
        <v>1</v>
      </c>
      <c r="H2424" s="5">
        <f>IF($I2="","",INDEX(Productos!$AG:$AG,$I2))</f>
        <v/>
      </c>
      <c r="I2424" s="136">
        <f>LET(_xlpm.r,Productos!$E$2:$E$2509,_xlpm.m,IFERROR(_xlfn.XMATCH(C2424,_xlpm.r),IFERROR(_xlfn.XMATCH(VALUE(C2424),_xlpm.r),0)),IF(_xlpm.m=0,"",_xlpm.m+1))</f>
        <v/>
      </c>
      <c r="J2424" s="137" t="inlineStr">
        <is>
          <t>Shopify</t>
        </is>
      </c>
    </row>
    <row r="2425">
      <c r="A2425" s="5" t="inlineStr">
        <is>
          <t>Shopify Stetson México › Stetson Americas</t>
        </is>
      </c>
      <c r="B2425" s="5">
        <f>IF($I2="","",INDEX(Productos!$A:$A,$I2))</f>
        <v/>
      </c>
      <c r="C2425" s="134" t="inlineStr">
        <is>
          <t>12-020-BS004-10-1025-275</t>
        </is>
      </c>
      <c r="D2425" s="5">
        <f>IF($I2="","",INDEX(Productos!$B:$B,$I2))</f>
        <v/>
      </c>
      <c r="E2425" s="5">
        <f>IF($I2="","",INDEX(Productos!$H:$H,$I2))</f>
        <v/>
      </c>
      <c r="F2425" s="5">
        <f>IF($I2="","",INDEX(Productos!$I:$I,$I2))</f>
        <v/>
      </c>
      <c r="G2425" s="135" t="n">
        <v>1</v>
      </c>
      <c r="H2425" s="5">
        <f>IF($I2="","",INDEX(Productos!$AG:$AG,$I2))</f>
        <v/>
      </c>
      <c r="I2425" s="136">
        <f>LET(_xlpm.r,Productos!$E$2:$E$2509,_xlpm.m,IFERROR(_xlfn.XMATCH(C2425,_xlpm.r),IFERROR(_xlfn.XMATCH(VALUE(C2425),_xlpm.r),0)),IF(_xlpm.m=0,"",_xlpm.m+1))</f>
        <v/>
      </c>
      <c r="J2425" s="137" t="inlineStr">
        <is>
          <t>Shopify</t>
        </is>
      </c>
    </row>
    <row r="2426">
      <c r="A2426" s="5" t="inlineStr">
        <is>
          <t>Shopify Stetson México › Stetson Americas</t>
        </is>
      </c>
      <c r="B2426" s="5">
        <f>IF($I2="","",INDEX(Productos!$A:$A,$I2))</f>
        <v/>
      </c>
      <c r="C2426" s="134" t="inlineStr">
        <is>
          <t>12-020-BS004-10-1025-285</t>
        </is>
      </c>
      <c r="D2426" s="5">
        <f>IF($I2="","",INDEX(Productos!$B:$B,$I2))</f>
        <v/>
      </c>
      <c r="E2426" s="5">
        <f>IF($I2="","",INDEX(Productos!$H:$H,$I2))</f>
        <v/>
      </c>
      <c r="F2426" s="5">
        <f>IF($I2="","",INDEX(Productos!$I:$I,$I2))</f>
        <v/>
      </c>
      <c r="G2426" s="135" t="n">
        <v>1</v>
      </c>
      <c r="H2426" s="5">
        <f>IF($I2="","",INDEX(Productos!$AG:$AG,$I2))</f>
        <v/>
      </c>
      <c r="I2426" s="136">
        <f>LET(_xlpm.r,Productos!$E$2:$E$2509,_xlpm.m,IFERROR(_xlfn.XMATCH(C2426,_xlpm.r),IFERROR(_xlfn.XMATCH(VALUE(C2426),_xlpm.r),0)),IF(_xlpm.m=0,"",_xlpm.m+1))</f>
        <v/>
      </c>
      <c r="J2426" s="137" t="inlineStr">
        <is>
          <t>Shopify</t>
        </is>
      </c>
    </row>
    <row r="2427">
      <c r="A2427" s="5" t="inlineStr">
        <is>
          <t>Shopify Stetson México › Stetson Americas</t>
        </is>
      </c>
      <c r="B2427" s="5">
        <f>IF($I2="","",INDEX(Productos!$A:$A,$I2))</f>
        <v/>
      </c>
      <c r="C2427" s="134" t="inlineStr">
        <is>
          <t>12-020-BS004-10-1025-295</t>
        </is>
      </c>
      <c r="D2427" s="5">
        <f>IF($I2="","",INDEX(Productos!$B:$B,$I2))</f>
        <v/>
      </c>
      <c r="E2427" s="5">
        <f>IF($I2="","",INDEX(Productos!$H:$H,$I2))</f>
        <v/>
      </c>
      <c r="F2427" s="5">
        <f>IF($I2="","",INDEX(Productos!$I:$I,$I2))</f>
        <v/>
      </c>
      <c r="G2427" s="135" t="n">
        <v>1</v>
      </c>
      <c r="H2427" s="5">
        <f>IF($I2="","",INDEX(Productos!$AG:$AG,$I2))</f>
        <v/>
      </c>
      <c r="I2427" s="136">
        <f>LET(_xlpm.r,Productos!$E$2:$E$2509,_xlpm.m,IFERROR(_xlfn.XMATCH(C2427,_xlpm.r),IFERROR(_xlfn.XMATCH(VALUE(C2427),_xlpm.r),0)),IF(_xlpm.m=0,"",_xlpm.m+1))</f>
        <v/>
      </c>
      <c r="J2427" s="137" t="inlineStr">
        <is>
          <t>Shopify</t>
        </is>
      </c>
    </row>
    <row r="2428">
      <c r="A2428" s="5" t="inlineStr">
        <is>
          <t>Shopify Stetson México › Stetson Americas</t>
        </is>
      </c>
      <c r="B2428" s="5">
        <f>IF($I2="","",INDEX(Productos!$A:$A,$I2))</f>
        <v/>
      </c>
      <c r="C2428" s="134" t="inlineStr">
        <is>
          <t>12-020-BS004-10-1026-275</t>
        </is>
      </c>
      <c r="D2428" s="5">
        <f>IF($I2="","",INDEX(Productos!$B:$B,$I2))</f>
        <v/>
      </c>
      <c r="E2428" s="5">
        <f>IF($I2="","",INDEX(Productos!$H:$H,$I2))</f>
        <v/>
      </c>
      <c r="F2428" s="5">
        <f>IF($I2="","",INDEX(Productos!$I:$I,$I2))</f>
        <v/>
      </c>
      <c r="G2428" s="135" t="n">
        <v>1</v>
      </c>
      <c r="H2428" s="5">
        <f>IF($I2="","",INDEX(Productos!$AG:$AG,$I2))</f>
        <v/>
      </c>
      <c r="I2428" s="136">
        <f>LET(_xlpm.r,Productos!$E$2:$E$2509,_xlpm.m,IFERROR(_xlfn.XMATCH(C2428,_xlpm.r),IFERROR(_xlfn.XMATCH(VALUE(C2428),_xlpm.r),0)),IF(_xlpm.m=0,"",_xlpm.m+1))</f>
        <v/>
      </c>
      <c r="J2428" s="137" t="inlineStr">
        <is>
          <t>Shopify</t>
        </is>
      </c>
    </row>
    <row r="2429">
      <c r="A2429" s="5" t="inlineStr">
        <is>
          <t>Shopify Stetson México › Stetson Americas</t>
        </is>
      </c>
      <c r="B2429" s="5">
        <f>IF($I2="","",INDEX(Productos!$A:$A,$I2))</f>
        <v/>
      </c>
      <c r="C2429" s="134" t="inlineStr">
        <is>
          <t>12-020-BS004-10-1027-027</t>
        </is>
      </c>
      <c r="D2429" s="5">
        <f>IF($I2="","",INDEX(Productos!$B:$B,$I2))</f>
        <v/>
      </c>
      <c r="E2429" s="5">
        <f>IF($I2="","",INDEX(Productos!$H:$H,$I2))</f>
        <v/>
      </c>
      <c r="F2429" s="5">
        <f>IF($I2="","",INDEX(Productos!$I:$I,$I2))</f>
        <v/>
      </c>
      <c r="G2429" s="135" t="n">
        <v>1</v>
      </c>
      <c r="H2429" s="5">
        <f>IF($I2="","",INDEX(Productos!$AG:$AG,$I2))</f>
        <v/>
      </c>
      <c r="I2429" s="136">
        <f>LET(_xlpm.r,Productos!$E$2:$E$2509,_xlpm.m,IFERROR(_xlfn.XMATCH(C2429,_xlpm.r),IFERROR(_xlfn.XMATCH(VALUE(C2429),_xlpm.r),0)),IF(_xlpm.m=0,"",_xlpm.m+1))</f>
        <v/>
      </c>
      <c r="J2429" s="137" t="inlineStr">
        <is>
          <t>Shopify</t>
        </is>
      </c>
    </row>
    <row r="2430">
      <c r="A2430" s="5" t="inlineStr">
        <is>
          <t>Shopify Stetson México › Stetson Americas</t>
        </is>
      </c>
      <c r="B2430" s="5">
        <f>IF($I2="","",INDEX(Productos!$A:$A,$I2))</f>
        <v/>
      </c>
      <c r="C2430" s="134" t="inlineStr">
        <is>
          <t>12-020-BS004-10-1027-029</t>
        </is>
      </c>
      <c r="D2430" s="5">
        <f>IF($I2="","",INDEX(Productos!$B:$B,$I2))</f>
        <v/>
      </c>
      <c r="E2430" s="5">
        <f>IF($I2="","",INDEX(Productos!$H:$H,$I2))</f>
        <v/>
      </c>
      <c r="F2430" s="5">
        <f>IF($I2="","",INDEX(Productos!$I:$I,$I2))</f>
        <v/>
      </c>
      <c r="G2430" s="135" t="n">
        <v>1</v>
      </c>
      <c r="H2430" s="5">
        <f>IF($I2="","",INDEX(Productos!$AG:$AG,$I2))</f>
        <v/>
      </c>
      <c r="I2430" s="136">
        <f>LET(_xlpm.r,Productos!$E$2:$E$2509,_xlpm.m,IFERROR(_xlfn.XMATCH(C2430,_xlpm.r),IFERROR(_xlfn.XMATCH(VALUE(C2430),_xlpm.r),0)),IF(_xlpm.m=0,"",_xlpm.m+1))</f>
        <v/>
      </c>
      <c r="J2430" s="137" t="inlineStr">
        <is>
          <t>Shopify</t>
        </is>
      </c>
    </row>
    <row r="2431">
      <c r="A2431" s="5" t="inlineStr">
        <is>
          <t>Shopify Stetson México › Stetson Americas</t>
        </is>
      </c>
      <c r="B2431" s="5">
        <f>IF($I2="","",INDEX(Productos!$A:$A,$I2))</f>
        <v/>
      </c>
      <c r="C2431" s="134" t="inlineStr">
        <is>
          <t>12-020-BS004-10-1027-275</t>
        </is>
      </c>
      <c r="D2431" s="5">
        <f>IF($I2="","",INDEX(Productos!$B:$B,$I2))</f>
        <v/>
      </c>
      <c r="E2431" s="5">
        <f>IF($I2="","",INDEX(Productos!$H:$H,$I2))</f>
        <v/>
      </c>
      <c r="F2431" s="5">
        <f>IF($I2="","",INDEX(Productos!$I:$I,$I2))</f>
        <v/>
      </c>
      <c r="G2431" s="135" t="n">
        <v>1</v>
      </c>
      <c r="H2431" s="5">
        <f>IF($I2="","",INDEX(Productos!$AG:$AG,$I2))</f>
        <v/>
      </c>
      <c r="I2431" s="136">
        <f>LET(_xlpm.r,Productos!$E$2:$E$2509,_xlpm.m,IFERROR(_xlfn.XMATCH(C2431,_xlpm.r),IFERROR(_xlfn.XMATCH(VALUE(C2431),_xlpm.r),0)),IF(_xlpm.m=0,"",_xlpm.m+1))</f>
        <v/>
      </c>
      <c r="J2431" s="137" t="inlineStr">
        <is>
          <t>Shopify</t>
        </is>
      </c>
    </row>
    <row r="2432">
      <c r="A2432" s="5" t="inlineStr">
        <is>
          <t>Shopify Stetson México › Stetson Americas</t>
        </is>
      </c>
      <c r="B2432" s="5">
        <f>IF($I2="","",INDEX(Productos!$A:$A,$I2))</f>
        <v/>
      </c>
      <c r="C2432" s="134" t="inlineStr">
        <is>
          <t>12-020-BS004-12-1030-255</t>
        </is>
      </c>
      <c r="D2432" s="5">
        <f>IF($I2="","",INDEX(Productos!$B:$B,$I2))</f>
        <v/>
      </c>
      <c r="E2432" s="5">
        <f>IF($I2="","",INDEX(Productos!$H:$H,$I2))</f>
        <v/>
      </c>
      <c r="F2432" s="5">
        <f>IF($I2="","",INDEX(Productos!$I:$I,$I2))</f>
        <v/>
      </c>
      <c r="G2432" s="135" t="n">
        <v>1</v>
      </c>
      <c r="H2432" s="5">
        <f>IF($I2="","",INDEX(Productos!$AG:$AG,$I2))</f>
        <v/>
      </c>
      <c r="I2432" s="136">
        <f>LET(_xlpm.r,Productos!$E$2:$E$2509,_xlpm.m,IFERROR(_xlfn.XMATCH(C2432,_xlpm.r),IFERROR(_xlfn.XMATCH(VALUE(C2432),_xlpm.r),0)),IF(_xlpm.m=0,"",_xlpm.m+1))</f>
        <v/>
      </c>
      <c r="J2432" s="137" t="inlineStr">
        <is>
          <t>Shopify</t>
        </is>
      </c>
    </row>
    <row r="2433">
      <c r="A2433" s="5" t="inlineStr">
        <is>
          <t>Shopify Stetson México › Stetson Americas</t>
        </is>
      </c>
      <c r="B2433" s="5">
        <f>IF($I2="","",INDEX(Productos!$A:$A,$I2))</f>
        <v/>
      </c>
      <c r="C2433" s="134" t="inlineStr">
        <is>
          <t>12-020-BS004-12-1032-255</t>
        </is>
      </c>
      <c r="D2433" s="5">
        <f>IF($I2="","",INDEX(Productos!$B:$B,$I2))</f>
        <v/>
      </c>
      <c r="E2433" s="5">
        <f>IF($I2="","",INDEX(Productos!$H:$H,$I2))</f>
        <v/>
      </c>
      <c r="F2433" s="5">
        <f>IF($I2="","",INDEX(Productos!$I:$I,$I2))</f>
        <v/>
      </c>
      <c r="G2433" s="135" t="n">
        <v>2</v>
      </c>
      <c r="H2433" s="5">
        <f>IF($I2="","",INDEX(Productos!$AG:$AG,$I2))</f>
        <v/>
      </c>
      <c r="I2433" s="136">
        <f>LET(_xlpm.r,Productos!$E$2:$E$2509,_xlpm.m,IFERROR(_xlfn.XMATCH(C2433,_xlpm.r),IFERROR(_xlfn.XMATCH(VALUE(C2433),_xlpm.r),0)),IF(_xlpm.m=0,"",_xlpm.m+1))</f>
        <v/>
      </c>
      <c r="J2433" s="137" t="inlineStr">
        <is>
          <t>Shopify</t>
        </is>
      </c>
    </row>
    <row r="2434">
      <c r="A2434" s="5" t="inlineStr">
        <is>
          <t>Shopify Stetson México › Stetson Americas</t>
        </is>
      </c>
      <c r="B2434" s="5">
        <f>IF($I2="","",INDEX(Productos!$A:$A,$I2))</f>
        <v/>
      </c>
      <c r="C2434" s="134" t="inlineStr">
        <is>
          <t>12-020-BS004-12-1032-265</t>
        </is>
      </c>
      <c r="D2434" s="5">
        <f>IF($I2="","",INDEX(Productos!$B:$B,$I2))</f>
        <v/>
      </c>
      <c r="E2434" s="5">
        <f>IF($I2="","",INDEX(Productos!$H:$H,$I2))</f>
        <v/>
      </c>
      <c r="F2434" s="5">
        <f>IF($I2="","",INDEX(Productos!$I:$I,$I2))</f>
        <v/>
      </c>
      <c r="G2434" s="135" t="n">
        <v>1</v>
      </c>
      <c r="H2434" s="5">
        <f>IF($I2="","",INDEX(Productos!$AG:$AG,$I2))</f>
        <v/>
      </c>
      <c r="I2434" s="136">
        <f>LET(_xlpm.r,Productos!$E$2:$E$2509,_xlpm.m,IFERROR(_xlfn.XMATCH(C2434,_xlpm.r),IFERROR(_xlfn.XMATCH(VALUE(C2434),_xlpm.r),0)),IF(_xlpm.m=0,"",_xlpm.m+1))</f>
        <v/>
      </c>
      <c r="J2434" s="137" t="inlineStr">
        <is>
          <t>Shopify</t>
        </is>
      </c>
    </row>
    <row r="2435">
      <c r="A2435" s="5" t="inlineStr">
        <is>
          <t>Shopify Stetson México › Stetson Americas</t>
        </is>
      </c>
      <c r="B2435" s="5">
        <f>IF($I2="","",INDEX(Productos!$A:$A,$I2))</f>
        <v/>
      </c>
      <c r="C2435" s="134" t="inlineStr">
        <is>
          <t>12-020-BS004-12-1033-255</t>
        </is>
      </c>
      <c r="D2435" s="5">
        <f>IF($I2="","",INDEX(Productos!$B:$B,$I2))</f>
        <v/>
      </c>
      <c r="E2435" s="5">
        <f>IF($I2="","",INDEX(Productos!$H:$H,$I2))</f>
        <v/>
      </c>
      <c r="F2435" s="5">
        <f>IF($I2="","",INDEX(Productos!$I:$I,$I2))</f>
        <v/>
      </c>
      <c r="G2435" s="135" t="n">
        <v>2</v>
      </c>
      <c r="H2435" s="5">
        <f>IF($I2="","",INDEX(Productos!$AG:$AG,$I2))</f>
        <v/>
      </c>
      <c r="I2435" s="136">
        <f>LET(_xlpm.r,Productos!$E$2:$E$2509,_xlpm.m,IFERROR(_xlfn.XMATCH(C2435,_xlpm.r),IFERROR(_xlfn.XMATCH(VALUE(C2435),_xlpm.r),0)),IF(_xlpm.m=0,"",_xlpm.m+1))</f>
        <v/>
      </c>
      <c r="J2435" s="137" t="inlineStr">
        <is>
          <t>Shopify</t>
        </is>
      </c>
    </row>
    <row r="2436">
      <c r="A2436" s="5" t="inlineStr">
        <is>
          <t>Shopify Stetson México › Stetson Americas</t>
        </is>
      </c>
      <c r="B2436" s="5">
        <f>IF($I2="","",INDEX(Productos!$A:$A,$I2))</f>
        <v/>
      </c>
      <c r="C2436" s="134" t="inlineStr">
        <is>
          <t>12-020-BS004-12-1033-265</t>
        </is>
      </c>
      <c r="D2436" s="5">
        <f>IF($I2="","",INDEX(Productos!$B:$B,$I2))</f>
        <v/>
      </c>
      <c r="E2436" s="5">
        <f>IF($I2="","",INDEX(Productos!$H:$H,$I2))</f>
        <v/>
      </c>
      <c r="F2436" s="5">
        <f>IF($I2="","",INDEX(Productos!$I:$I,$I2))</f>
        <v/>
      </c>
      <c r="G2436" s="135" t="n">
        <v>1</v>
      </c>
      <c r="H2436" s="5">
        <f>IF($I2="","",INDEX(Productos!$AG:$AG,$I2))</f>
        <v/>
      </c>
      <c r="I2436" s="136">
        <f>LET(_xlpm.r,Productos!$E$2:$E$2509,_xlpm.m,IFERROR(_xlfn.XMATCH(C2436,_xlpm.r),IFERROR(_xlfn.XMATCH(VALUE(C2436),_xlpm.r),0)),IF(_xlpm.m=0,"",_xlpm.m+1))</f>
        <v/>
      </c>
      <c r="J2436" s="137" t="inlineStr">
        <is>
          <t>Shopify</t>
        </is>
      </c>
    </row>
    <row r="2437">
      <c r="A2437" s="5" t="inlineStr">
        <is>
          <t>Shopify Stetson México › Stetson Americas</t>
        </is>
      </c>
      <c r="B2437" s="5">
        <f>IF($I2="","",INDEX(Productos!$A:$A,$I2))</f>
        <v/>
      </c>
      <c r="C2437" s="134" t="inlineStr">
        <is>
          <t>12-020-BS004-13-1042-255</t>
        </is>
      </c>
      <c r="D2437" s="5">
        <f>IF($I2="","",INDEX(Productos!$B:$B,$I2))</f>
        <v/>
      </c>
      <c r="E2437" s="5">
        <f>IF($I2="","",INDEX(Productos!$H:$H,$I2))</f>
        <v/>
      </c>
      <c r="F2437" s="5">
        <f>IF($I2="","",INDEX(Productos!$I:$I,$I2))</f>
        <v/>
      </c>
      <c r="G2437" s="135" t="n">
        <v>1</v>
      </c>
      <c r="H2437" s="5">
        <f>IF($I2="","",INDEX(Productos!$AG:$AG,$I2))</f>
        <v/>
      </c>
      <c r="I2437" s="136">
        <f>LET(_xlpm.r,Productos!$E$2:$E$2509,_xlpm.m,IFERROR(_xlfn.XMATCH(C2437,_xlpm.r),IFERROR(_xlfn.XMATCH(VALUE(C2437),_xlpm.r),0)),IF(_xlpm.m=0,"",_xlpm.m+1))</f>
        <v/>
      </c>
      <c r="J2437" s="137" t="inlineStr">
        <is>
          <t>Shopify</t>
        </is>
      </c>
    </row>
    <row r="2438">
      <c r="A2438" s="5" t="inlineStr">
        <is>
          <t>Shopify Stetson México › Stetson Americas</t>
        </is>
      </c>
      <c r="B2438" s="5">
        <f>IF($I2="","",INDEX(Productos!$A:$A,$I2))</f>
        <v/>
      </c>
      <c r="C2438" s="134" t="inlineStr">
        <is>
          <t>12-020-BS005-11-1019-027</t>
        </is>
      </c>
      <c r="D2438" s="5">
        <f>IF($I2="","",INDEX(Productos!$B:$B,$I2))</f>
        <v/>
      </c>
      <c r="E2438" s="5">
        <f>IF($I2="","",INDEX(Productos!$H:$H,$I2))</f>
        <v/>
      </c>
      <c r="F2438" s="5">
        <f>IF($I2="","",INDEX(Productos!$I:$I,$I2))</f>
        <v/>
      </c>
      <c r="G2438" s="135" t="n">
        <v>1</v>
      </c>
      <c r="H2438" s="5">
        <f>IF($I2="","",INDEX(Productos!$AG:$AG,$I2))</f>
        <v/>
      </c>
      <c r="I2438" s="136">
        <f>LET(_xlpm.r,Productos!$E$2:$E$2509,_xlpm.m,IFERROR(_xlfn.XMATCH(C2438,_xlpm.r),IFERROR(_xlfn.XMATCH(VALUE(C2438),_xlpm.r),0)),IF(_xlpm.m=0,"",_xlpm.m+1))</f>
        <v/>
      </c>
      <c r="J2438" s="137" t="inlineStr">
        <is>
          <t>Shopify</t>
        </is>
      </c>
    </row>
    <row r="2439">
      <c r="A2439" s="5" t="inlineStr">
        <is>
          <t>Shopify Stetson México › Stetson Americas</t>
        </is>
      </c>
      <c r="B2439" s="5">
        <f>IF($I2="","",INDEX(Productos!$A:$A,$I2))</f>
        <v/>
      </c>
      <c r="C2439" s="134" t="inlineStr">
        <is>
          <t>12-020-BS005-11-1019-029</t>
        </is>
      </c>
      <c r="D2439" s="5">
        <f>IF($I2="","",INDEX(Productos!$B:$B,$I2))</f>
        <v/>
      </c>
      <c r="E2439" s="5">
        <f>IF($I2="","",INDEX(Productos!$H:$H,$I2))</f>
        <v/>
      </c>
      <c r="F2439" s="5">
        <f>IF($I2="","",INDEX(Productos!$I:$I,$I2))</f>
        <v/>
      </c>
      <c r="G2439" s="135" t="n">
        <v>1</v>
      </c>
      <c r="H2439" s="5">
        <f>IF($I2="","",INDEX(Productos!$AG:$AG,$I2))</f>
        <v/>
      </c>
      <c r="I2439" s="136">
        <f>LET(_xlpm.r,Productos!$E$2:$E$2509,_xlpm.m,IFERROR(_xlfn.XMATCH(C2439,_xlpm.r),IFERROR(_xlfn.XMATCH(VALUE(C2439),_xlpm.r),0)),IF(_xlpm.m=0,"",_xlpm.m+1))</f>
        <v/>
      </c>
      <c r="J2439" s="137" t="inlineStr">
        <is>
          <t>Shopify</t>
        </is>
      </c>
    </row>
    <row r="2440">
      <c r="A2440" s="5" t="inlineStr">
        <is>
          <t>Shopify Stetson México › Stetson Americas</t>
        </is>
      </c>
      <c r="B2440" s="5">
        <f>IF($I2="","",INDEX(Productos!$A:$A,$I2))</f>
        <v/>
      </c>
      <c r="C2440" s="134" t="inlineStr">
        <is>
          <t>12-020-BS005-11-1019-265</t>
        </is>
      </c>
      <c r="D2440" s="5">
        <f>IF($I2="","",INDEX(Productos!$B:$B,$I2))</f>
        <v/>
      </c>
      <c r="E2440" s="5">
        <f>IF($I2="","",INDEX(Productos!$H:$H,$I2))</f>
        <v/>
      </c>
      <c r="F2440" s="5">
        <f>IF($I2="","",INDEX(Productos!$I:$I,$I2))</f>
        <v/>
      </c>
      <c r="G2440" s="135" t="n">
        <v>1</v>
      </c>
      <c r="H2440" s="5">
        <f>IF($I2="","",INDEX(Productos!$AG:$AG,$I2))</f>
        <v/>
      </c>
      <c r="I2440" s="136">
        <f>LET(_xlpm.r,Productos!$E$2:$E$2509,_xlpm.m,IFERROR(_xlfn.XMATCH(C2440,_xlpm.r),IFERROR(_xlfn.XMATCH(VALUE(C2440),_xlpm.r),0)),IF(_xlpm.m=0,"",_xlpm.m+1))</f>
        <v/>
      </c>
      <c r="J2440" s="137" t="inlineStr">
        <is>
          <t>Shopify</t>
        </is>
      </c>
    </row>
    <row r="2441">
      <c r="A2441" s="5" t="inlineStr">
        <is>
          <t>Shopify Stetson México › Stetson Americas</t>
        </is>
      </c>
      <c r="B2441" s="5">
        <f>IF($I2="","",INDEX(Productos!$A:$A,$I2))</f>
        <v/>
      </c>
      <c r="C2441" s="134" t="inlineStr">
        <is>
          <t>12-020-BS005-11-1019-275</t>
        </is>
      </c>
      <c r="D2441" s="5">
        <f>IF($I2="","",INDEX(Productos!$B:$B,$I2))</f>
        <v/>
      </c>
      <c r="E2441" s="5">
        <f>IF($I2="","",INDEX(Productos!$H:$H,$I2))</f>
        <v/>
      </c>
      <c r="F2441" s="5">
        <f>IF($I2="","",INDEX(Productos!$I:$I,$I2))</f>
        <v/>
      </c>
      <c r="G2441" s="135" t="n">
        <v>2</v>
      </c>
      <c r="H2441" s="5">
        <f>IF($I2="","",INDEX(Productos!$AG:$AG,$I2))</f>
        <v/>
      </c>
      <c r="I2441" s="136">
        <f>LET(_xlpm.r,Productos!$E$2:$E$2509,_xlpm.m,IFERROR(_xlfn.XMATCH(C2441,_xlpm.r),IFERROR(_xlfn.XMATCH(VALUE(C2441),_xlpm.r),0)),IF(_xlpm.m=0,"",_xlpm.m+1))</f>
        <v/>
      </c>
      <c r="J2441" s="137" t="inlineStr">
        <is>
          <t>Shopify</t>
        </is>
      </c>
    </row>
    <row r="2442">
      <c r="A2442" s="5" t="inlineStr">
        <is>
          <t>Shopify Stetson México › Stetson Americas</t>
        </is>
      </c>
      <c r="B2442" s="5">
        <f>IF($I2="","",INDEX(Productos!$A:$A,$I2))</f>
        <v/>
      </c>
      <c r="C2442" s="134" t="inlineStr">
        <is>
          <t>12-020-BS005-11-1019-285</t>
        </is>
      </c>
      <c r="D2442" s="5">
        <f>IF($I2="","",INDEX(Productos!$B:$B,$I2))</f>
        <v/>
      </c>
      <c r="E2442" s="5">
        <f>IF($I2="","",INDEX(Productos!$H:$H,$I2))</f>
        <v/>
      </c>
      <c r="F2442" s="5">
        <f>IF($I2="","",INDEX(Productos!$I:$I,$I2))</f>
        <v/>
      </c>
      <c r="G2442" s="135" t="n">
        <v>2</v>
      </c>
      <c r="H2442" s="5">
        <f>IF($I2="","",INDEX(Productos!$AG:$AG,$I2))</f>
        <v/>
      </c>
      <c r="I2442" s="136">
        <f>LET(_xlpm.r,Productos!$E$2:$E$2509,_xlpm.m,IFERROR(_xlfn.XMATCH(C2442,_xlpm.r),IFERROR(_xlfn.XMATCH(VALUE(C2442),_xlpm.r),0)),IF(_xlpm.m=0,"",_xlpm.m+1))</f>
        <v/>
      </c>
      <c r="J2442" s="137" t="inlineStr">
        <is>
          <t>Shopify</t>
        </is>
      </c>
    </row>
    <row r="2443">
      <c r="A2443" s="5" t="inlineStr">
        <is>
          <t>Shopify Stetson México › Stetson Americas</t>
        </is>
      </c>
      <c r="B2443" s="5">
        <f>IF($I2="","",INDEX(Productos!$A:$A,$I2))</f>
        <v/>
      </c>
      <c r="C2443" s="134" t="inlineStr">
        <is>
          <t>12-020-BS005-11-1019-295</t>
        </is>
      </c>
      <c r="D2443" s="5">
        <f>IF($I2="","",INDEX(Productos!$B:$B,$I2))</f>
        <v/>
      </c>
      <c r="E2443" s="5">
        <f>IF($I2="","",INDEX(Productos!$H:$H,$I2))</f>
        <v/>
      </c>
      <c r="F2443" s="5">
        <f>IF($I2="","",INDEX(Productos!$I:$I,$I2))</f>
        <v/>
      </c>
      <c r="G2443" s="135" t="n">
        <v>1</v>
      </c>
      <c r="H2443" s="5">
        <f>IF($I2="","",INDEX(Productos!$AG:$AG,$I2))</f>
        <v/>
      </c>
      <c r="I2443" s="136">
        <f>LET(_xlpm.r,Productos!$E$2:$E$2509,_xlpm.m,IFERROR(_xlfn.XMATCH(C2443,_xlpm.r),IFERROR(_xlfn.XMATCH(VALUE(C2443),_xlpm.r),0)),IF(_xlpm.m=0,"",_xlpm.m+1))</f>
        <v/>
      </c>
      <c r="J2443" s="137" t="inlineStr">
        <is>
          <t>Shopify</t>
        </is>
      </c>
    </row>
    <row r="2444">
      <c r="A2444" s="5" t="inlineStr">
        <is>
          <t>Shopify Stetson México › Stetson Americas</t>
        </is>
      </c>
      <c r="B2444" s="5">
        <f>IF($I2="","",INDEX(Productos!$A:$A,$I2))</f>
        <v/>
      </c>
      <c r="C2444" s="134" t="inlineStr">
        <is>
          <t>12-020-BS005-11-1020-028</t>
        </is>
      </c>
      <c r="D2444" s="5">
        <f>IF($I2="","",INDEX(Productos!$B:$B,$I2))</f>
        <v/>
      </c>
      <c r="E2444" s="5">
        <f>IF($I2="","",INDEX(Productos!$H:$H,$I2))</f>
        <v/>
      </c>
      <c r="F2444" s="5">
        <f>IF($I2="","",INDEX(Productos!$I:$I,$I2))</f>
        <v/>
      </c>
      <c r="G2444" s="135" t="n">
        <v>2</v>
      </c>
      <c r="H2444" s="5">
        <f>IF($I2="","",INDEX(Productos!$AG:$AG,$I2))</f>
        <v/>
      </c>
      <c r="I2444" s="136">
        <f>LET(_xlpm.r,Productos!$E$2:$E$2509,_xlpm.m,IFERROR(_xlfn.XMATCH(C2444,_xlpm.r),IFERROR(_xlfn.XMATCH(VALUE(C2444),_xlpm.r),0)),IF(_xlpm.m=0,"",_xlpm.m+1))</f>
        <v/>
      </c>
      <c r="J2444" s="137" t="inlineStr">
        <is>
          <t>Shopify</t>
        </is>
      </c>
    </row>
    <row r="2445">
      <c r="A2445" s="5" t="inlineStr">
        <is>
          <t>Shopify Stetson México › Stetson Americas</t>
        </is>
      </c>
      <c r="B2445" s="5">
        <f>IF($I2="","",INDEX(Productos!$A:$A,$I2))</f>
        <v/>
      </c>
      <c r="C2445" s="134" t="inlineStr">
        <is>
          <t>12-020-BS005-11-1020-029</t>
        </is>
      </c>
      <c r="D2445" s="5">
        <f>IF($I2="","",INDEX(Productos!$B:$B,$I2))</f>
        <v/>
      </c>
      <c r="E2445" s="5">
        <f>IF($I2="","",INDEX(Productos!$H:$H,$I2))</f>
        <v/>
      </c>
      <c r="F2445" s="5">
        <f>IF($I2="","",INDEX(Productos!$I:$I,$I2))</f>
        <v/>
      </c>
      <c r="G2445" s="135" t="n">
        <v>1</v>
      </c>
      <c r="H2445" s="5">
        <f>IF($I2="","",INDEX(Productos!$AG:$AG,$I2))</f>
        <v/>
      </c>
      <c r="I2445" s="136">
        <f>LET(_xlpm.r,Productos!$E$2:$E$2509,_xlpm.m,IFERROR(_xlfn.XMATCH(C2445,_xlpm.r),IFERROR(_xlfn.XMATCH(VALUE(C2445),_xlpm.r),0)),IF(_xlpm.m=0,"",_xlpm.m+1))</f>
        <v/>
      </c>
      <c r="J2445" s="137" t="inlineStr">
        <is>
          <t>Shopify</t>
        </is>
      </c>
    </row>
    <row r="2446">
      <c r="A2446" s="5" t="inlineStr">
        <is>
          <t>Shopify Stetson México › Stetson Americas</t>
        </is>
      </c>
      <c r="B2446" s="5">
        <f>IF($I2="","",INDEX(Productos!$A:$A,$I2))</f>
        <v/>
      </c>
      <c r="C2446" s="134" t="inlineStr">
        <is>
          <t>12-020-BS005-11-1020-265</t>
        </is>
      </c>
      <c r="D2446" s="5">
        <f>IF($I2="","",INDEX(Productos!$B:$B,$I2))</f>
        <v/>
      </c>
      <c r="E2446" s="5">
        <f>IF($I2="","",INDEX(Productos!$H:$H,$I2))</f>
        <v/>
      </c>
      <c r="F2446" s="5">
        <f>IF($I2="","",INDEX(Productos!$I:$I,$I2))</f>
        <v/>
      </c>
      <c r="G2446" s="135" t="n">
        <v>1</v>
      </c>
      <c r="H2446" s="5">
        <f>IF($I2="","",INDEX(Productos!$AG:$AG,$I2))</f>
        <v/>
      </c>
      <c r="I2446" s="136">
        <f>LET(_xlpm.r,Productos!$E$2:$E$2509,_xlpm.m,IFERROR(_xlfn.XMATCH(C2446,_xlpm.r),IFERROR(_xlfn.XMATCH(VALUE(C2446),_xlpm.r),0)),IF(_xlpm.m=0,"",_xlpm.m+1))</f>
        <v/>
      </c>
      <c r="J2446" s="137" t="inlineStr">
        <is>
          <t>Shopify</t>
        </is>
      </c>
    </row>
    <row r="2447">
      <c r="A2447" s="5" t="inlineStr">
        <is>
          <t>Shopify Stetson México › Stetson Americas</t>
        </is>
      </c>
      <c r="B2447" s="5">
        <f>IF($I2="","",INDEX(Productos!$A:$A,$I2))</f>
        <v/>
      </c>
      <c r="C2447" s="134" t="inlineStr">
        <is>
          <t>12-020-BS005-11-1020-275</t>
        </is>
      </c>
      <c r="D2447" s="5">
        <f>IF($I2="","",INDEX(Productos!$B:$B,$I2))</f>
        <v/>
      </c>
      <c r="E2447" s="5">
        <f>IF($I2="","",INDEX(Productos!$H:$H,$I2))</f>
        <v/>
      </c>
      <c r="F2447" s="5">
        <f>IF($I2="","",INDEX(Productos!$I:$I,$I2))</f>
        <v/>
      </c>
      <c r="G2447" s="135" t="n">
        <v>1</v>
      </c>
      <c r="H2447" s="5">
        <f>IF($I2="","",INDEX(Productos!$AG:$AG,$I2))</f>
        <v/>
      </c>
      <c r="I2447" s="136">
        <f>LET(_xlpm.r,Productos!$E$2:$E$2509,_xlpm.m,IFERROR(_xlfn.XMATCH(C2447,_xlpm.r),IFERROR(_xlfn.XMATCH(VALUE(C2447),_xlpm.r),0)),IF(_xlpm.m=0,"",_xlpm.m+1))</f>
        <v/>
      </c>
      <c r="J2447" s="137" t="inlineStr">
        <is>
          <t>Shopify</t>
        </is>
      </c>
    </row>
    <row r="2448">
      <c r="A2448" s="5" t="inlineStr">
        <is>
          <t>Shopify Stetson México › Stetson Americas</t>
        </is>
      </c>
      <c r="B2448" s="5">
        <f>IF($I2="","",INDEX(Productos!$A:$A,$I2))</f>
        <v/>
      </c>
      <c r="C2448" s="134" t="inlineStr">
        <is>
          <t>12-020-BS005-11-1020-285</t>
        </is>
      </c>
      <c r="D2448" s="5">
        <f>IF($I2="","",INDEX(Productos!$B:$B,$I2))</f>
        <v/>
      </c>
      <c r="E2448" s="5">
        <f>IF($I2="","",INDEX(Productos!$H:$H,$I2))</f>
        <v/>
      </c>
      <c r="F2448" s="5">
        <f>IF($I2="","",INDEX(Productos!$I:$I,$I2))</f>
        <v/>
      </c>
      <c r="G2448" s="135" t="n">
        <v>1</v>
      </c>
      <c r="H2448" s="5">
        <f>IF($I2="","",INDEX(Productos!$AG:$AG,$I2))</f>
        <v/>
      </c>
      <c r="I2448" s="136">
        <f>LET(_xlpm.r,Productos!$E$2:$E$2509,_xlpm.m,IFERROR(_xlfn.XMATCH(C2448,_xlpm.r),IFERROR(_xlfn.XMATCH(VALUE(C2448),_xlpm.r),0)),IF(_xlpm.m=0,"",_xlpm.m+1))</f>
        <v/>
      </c>
      <c r="J2448" s="137" t="inlineStr">
        <is>
          <t>Shopify</t>
        </is>
      </c>
    </row>
    <row r="2449">
      <c r="A2449" s="5" t="inlineStr">
        <is>
          <t>Shopify Stetson México › Stetson Americas</t>
        </is>
      </c>
      <c r="B2449" s="5">
        <f>IF($I2="","",INDEX(Productos!$A:$A,$I2))</f>
        <v/>
      </c>
      <c r="C2449" s="134" t="inlineStr">
        <is>
          <t>12-020-BS005-11-1020-295</t>
        </is>
      </c>
      <c r="D2449" s="5">
        <f>IF($I2="","",INDEX(Productos!$B:$B,$I2))</f>
        <v/>
      </c>
      <c r="E2449" s="5">
        <f>IF($I2="","",INDEX(Productos!$H:$H,$I2))</f>
        <v/>
      </c>
      <c r="F2449" s="5">
        <f>IF($I2="","",INDEX(Productos!$I:$I,$I2))</f>
        <v/>
      </c>
      <c r="G2449" s="135" t="n">
        <v>1</v>
      </c>
      <c r="H2449" s="5">
        <f>IF($I2="","",INDEX(Productos!$AG:$AG,$I2))</f>
        <v/>
      </c>
      <c r="I2449" s="136">
        <f>LET(_xlpm.r,Productos!$E$2:$E$2509,_xlpm.m,IFERROR(_xlfn.XMATCH(C2449,_xlpm.r),IFERROR(_xlfn.XMATCH(VALUE(C2449),_xlpm.r),0)),IF(_xlpm.m=0,"",_xlpm.m+1))</f>
        <v/>
      </c>
      <c r="J2449" s="137" t="inlineStr">
        <is>
          <t>Shopify</t>
        </is>
      </c>
    </row>
    <row r="2450">
      <c r="A2450" s="5" t="inlineStr">
        <is>
          <t>Shopify Stetson México › Stetson Americas</t>
        </is>
      </c>
      <c r="B2450" s="5">
        <f>IF($I2="","",INDEX(Productos!$A:$A,$I2))</f>
        <v/>
      </c>
      <c r="C2450" s="134" t="inlineStr">
        <is>
          <t>12-020-BS005-11-1023-029</t>
        </is>
      </c>
      <c r="D2450" s="5">
        <f>IF($I2="","",INDEX(Productos!$B:$B,$I2))</f>
        <v/>
      </c>
      <c r="E2450" s="5">
        <f>IF($I2="","",INDEX(Productos!$H:$H,$I2))</f>
        <v/>
      </c>
      <c r="F2450" s="5">
        <f>IF($I2="","",INDEX(Productos!$I:$I,$I2))</f>
        <v/>
      </c>
      <c r="G2450" s="135" t="n">
        <v>1</v>
      </c>
      <c r="H2450" s="5">
        <f>IF($I2="","",INDEX(Productos!$AG:$AG,$I2))</f>
        <v/>
      </c>
      <c r="I2450" s="136">
        <f>LET(_xlpm.r,Productos!$E$2:$E$2509,_xlpm.m,IFERROR(_xlfn.XMATCH(C2450,_xlpm.r),IFERROR(_xlfn.XMATCH(VALUE(C2450),_xlpm.r),0)),IF(_xlpm.m=0,"",_xlpm.m+1))</f>
        <v/>
      </c>
      <c r="J2450" s="137" t="inlineStr">
        <is>
          <t>Shopify</t>
        </is>
      </c>
    </row>
    <row r="2451">
      <c r="A2451" s="5" t="inlineStr">
        <is>
          <t>Shopify Stetson México › Stetson Americas</t>
        </is>
      </c>
      <c r="B2451" s="5">
        <f>IF($I2="","",INDEX(Productos!$A:$A,$I2))</f>
        <v/>
      </c>
      <c r="C2451" s="134" t="inlineStr">
        <is>
          <t>12-020-BS005-11-1023-275</t>
        </is>
      </c>
      <c r="D2451" s="5">
        <f>IF($I2="","",INDEX(Productos!$B:$B,$I2))</f>
        <v/>
      </c>
      <c r="E2451" s="5">
        <f>IF($I2="","",INDEX(Productos!$H:$H,$I2))</f>
        <v/>
      </c>
      <c r="F2451" s="5">
        <f>IF($I2="","",INDEX(Productos!$I:$I,$I2))</f>
        <v/>
      </c>
      <c r="G2451" s="135" t="n">
        <v>2</v>
      </c>
      <c r="H2451" s="5">
        <f>IF($I2="","",INDEX(Productos!$AG:$AG,$I2))</f>
        <v/>
      </c>
      <c r="I2451" s="136">
        <f>LET(_xlpm.r,Productos!$E$2:$E$2509,_xlpm.m,IFERROR(_xlfn.XMATCH(C2451,_xlpm.r),IFERROR(_xlfn.XMATCH(VALUE(C2451),_xlpm.r),0)),IF(_xlpm.m=0,"",_xlpm.m+1))</f>
        <v/>
      </c>
      <c r="J2451" s="137" t="inlineStr">
        <is>
          <t>Shopify</t>
        </is>
      </c>
    </row>
    <row r="2452">
      <c r="A2452" s="5" t="inlineStr">
        <is>
          <t>Shopify Stetson México › Stetson Americas</t>
        </is>
      </c>
      <c r="B2452" s="5">
        <f>IF($I2="","",INDEX(Productos!$A:$A,$I2))</f>
        <v/>
      </c>
      <c r="C2452" s="134" t="inlineStr">
        <is>
          <t>12-020-BS005-11-1023-295</t>
        </is>
      </c>
      <c r="D2452" s="5">
        <f>IF($I2="","",INDEX(Productos!$B:$B,$I2))</f>
        <v/>
      </c>
      <c r="E2452" s="5">
        <f>IF($I2="","",INDEX(Productos!$H:$H,$I2))</f>
        <v/>
      </c>
      <c r="F2452" s="5">
        <f>IF($I2="","",INDEX(Productos!$I:$I,$I2))</f>
        <v/>
      </c>
      <c r="G2452" s="135" t="n">
        <v>1</v>
      </c>
      <c r="H2452" s="5">
        <f>IF($I2="","",INDEX(Productos!$AG:$AG,$I2))</f>
        <v/>
      </c>
      <c r="I2452" s="136">
        <f>LET(_xlpm.r,Productos!$E$2:$E$2509,_xlpm.m,IFERROR(_xlfn.XMATCH(C2452,_xlpm.r),IFERROR(_xlfn.XMATCH(VALUE(C2452),_xlpm.r),0)),IF(_xlpm.m=0,"",_xlpm.m+1))</f>
        <v/>
      </c>
      <c r="J2452" s="137" t="inlineStr">
        <is>
          <t>Shopify</t>
        </is>
      </c>
    </row>
    <row r="2453">
      <c r="A2453" s="5" t="inlineStr">
        <is>
          <t>Shopify Stetson México › Stetson Americas</t>
        </is>
      </c>
      <c r="B2453" s="5">
        <f>IF($I2="","",INDEX(Productos!$A:$A,$I2))</f>
        <v/>
      </c>
      <c r="C2453" s="134" t="inlineStr">
        <is>
          <t>12-020-BS005-11-1024-027</t>
        </is>
      </c>
      <c r="D2453" s="5">
        <f>IF($I2="","",INDEX(Productos!$B:$B,$I2))</f>
        <v/>
      </c>
      <c r="E2453" s="5">
        <f>IF($I2="","",INDEX(Productos!$H:$H,$I2))</f>
        <v/>
      </c>
      <c r="F2453" s="5">
        <f>IF($I2="","",INDEX(Productos!$I:$I,$I2))</f>
        <v/>
      </c>
      <c r="G2453" s="135" t="n">
        <v>2</v>
      </c>
      <c r="H2453" s="5">
        <f>IF($I2="","",INDEX(Productos!$AG:$AG,$I2))</f>
        <v/>
      </c>
      <c r="I2453" s="136">
        <f>LET(_xlpm.r,Productos!$E$2:$E$2509,_xlpm.m,IFERROR(_xlfn.XMATCH(C2453,_xlpm.r),IFERROR(_xlfn.XMATCH(VALUE(C2453),_xlpm.r),0)),IF(_xlpm.m=0,"",_xlpm.m+1))</f>
        <v/>
      </c>
      <c r="J2453" s="137" t="inlineStr">
        <is>
          <t>Shopify</t>
        </is>
      </c>
    </row>
    <row r="2454">
      <c r="A2454" s="5" t="inlineStr">
        <is>
          <t>Shopify Stetson México › Stetson Americas</t>
        </is>
      </c>
      <c r="B2454" s="5">
        <f>IF($I2="","",INDEX(Productos!$A:$A,$I2))</f>
        <v/>
      </c>
      <c r="C2454" s="134" t="inlineStr">
        <is>
          <t>12-020-BS005-11-1024-028</t>
        </is>
      </c>
      <c r="D2454" s="5">
        <f>IF($I2="","",INDEX(Productos!$B:$B,$I2))</f>
        <v/>
      </c>
      <c r="E2454" s="5">
        <f>IF($I2="","",INDEX(Productos!$H:$H,$I2))</f>
        <v/>
      </c>
      <c r="F2454" s="5">
        <f>IF($I2="","",INDEX(Productos!$I:$I,$I2))</f>
        <v/>
      </c>
      <c r="G2454" s="135" t="n">
        <v>2</v>
      </c>
      <c r="H2454" s="5">
        <f>IF($I2="","",INDEX(Productos!$AG:$AG,$I2))</f>
        <v/>
      </c>
      <c r="I2454" s="136">
        <f>LET(_xlpm.r,Productos!$E$2:$E$2509,_xlpm.m,IFERROR(_xlfn.XMATCH(C2454,_xlpm.r),IFERROR(_xlfn.XMATCH(VALUE(C2454),_xlpm.r),0)),IF(_xlpm.m=0,"",_xlpm.m+1))</f>
        <v/>
      </c>
      <c r="J2454" s="137" t="inlineStr">
        <is>
          <t>Shopify</t>
        </is>
      </c>
    </row>
    <row r="2455">
      <c r="A2455" s="5" t="inlineStr">
        <is>
          <t>Shopify Stetson México › Stetson Americas</t>
        </is>
      </c>
      <c r="B2455" s="5">
        <f>IF($I2="","",INDEX(Productos!$A:$A,$I2))</f>
        <v/>
      </c>
      <c r="C2455" s="134" t="inlineStr">
        <is>
          <t>12-020-BS005-11-1024-265</t>
        </is>
      </c>
      <c r="D2455" s="5">
        <f>IF($I2="","",INDEX(Productos!$B:$B,$I2))</f>
        <v/>
      </c>
      <c r="E2455" s="5">
        <f>IF($I2="","",INDEX(Productos!$H:$H,$I2))</f>
        <v/>
      </c>
      <c r="F2455" s="5">
        <f>IF($I2="","",INDEX(Productos!$I:$I,$I2))</f>
        <v/>
      </c>
      <c r="G2455" s="135" t="n">
        <v>1</v>
      </c>
      <c r="H2455" s="5">
        <f>IF($I2="","",INDEX(Productos!$AG:$AG,$I2))</f>
        <v/>
      </c>
      <c r="I2455" s="136">
        <f>LET(_xlpm.r,Productos!$E$2:$E$2509,_xlpm.m,IFERROR(_xlfn.XMATCH(C2455,_xlpm.r),IFERROR(_xlfn.XMATCH(VALUE(C2455),_xlpm.r),0)),IF(_xlpm.m=0,"",_xlpm.m+1))</f>
        <v/>
      </c>
      <c r="J2455" s="137" t="inlineStr">
        <is>
          <t>Shopify</t>
        </is>
      </c>
    </row>
    <row r="2456">
      <c r="A2456" s="5" t="inlineStr">
        <is>
          <t>Shopify Stetson México › Stetson Americas</t>
        </is>
      </c>
      <c r="B2456" s="5">
        <f>IF($I2="","",INDEX(Productos!$A:$A,$I2))</f>
        <v/>
      </c>
      <c r="C2456" s="134" t="inlineStr">
        <is>
          <t>12-020-BS005-11-1024-275</t>
        </is>
      </c>
      <c r="D2456" s="5">
        <f>IF($I2="","",INDEX(Productos!$B:$B,$I2))</f>
        <v/>
      </c>
      <c r="E2456" s="5">
        <f>IF($I2="","",INDEX(Productos!$H:$H,$I2))</f>
        <v/>
      </c>
      <c r="F2456" s="5">
        <f>IF($I2="","",INDEX(Productos!$I:$I,$I2))</f>
        <v/>
      </c>
      <c r="G2456" s="135" t="n">
        <v>1</v>
      </c>
      <c r="H2456" s="5">
        <f>IF($I2="","",INDEX(Productos!$AG:$AG,$I2))</f>
        <v/>
      </c>
      <c r="I2456" s="136">
        <f>LET(_xlpm.r,Productos!$E$2:$E$2509,_xlpm.m,IFERROR(_xlfn.XMATCH(C2456,_xlpm.r),IFERROR(_xlfn.XMATCH(VALUE(C2456),_xlpm.r),0)),IF(_xlpm.m=0,"",_xlpm.m+1))</f>
        <v/>
      </c>
      <c r="J2456" s="137" t="inlineStr">
        <is>
          <t>Shopify</t>
        </is>
      </c>
    </row>
    <row r="2457">
      <c r="A2457" s="5" t="inlineStr">
        <is>
          <t>Shopify Stetson México › Stetson Americas</t>
        </is>
      </c>
      <c r="B2457" s="5">
        <f>IF($I2="","",INDEX(Productos!$A:$A,$I2))</f>
        <v/>
      </c>
      <c r="C2457" s="134" t="inlineStr">
        <is>
          <t>12-020-BS006-11-1028-027</t>
        </is>
      </c>
      <c r="D2457" s="5">
        <f>IF($I2="","",INDEX(Productos!$B:$B,$I2))</f>
        <v/>
      </c>
      <c r="E2457" s="5">
        <f>IF($I2="","",INDEX(Productos!$H:$H,$I2))</f>
        <v/>
      </c>
      <c r="F2457" s="5">
        <f>IF($I2="","",INDEX(Productos!$I:$I,$I2))</f>
        <v/>
      </c>
      <c r="G2457" s="135" t="n">
        <v>1</v>
      </c>
      <c r="H2457" s="5">
        <f>IF($I2="","",INDEX(Productos!$AG:$AG,$I2))</f>
        <v/>
      </c>
      <c r="I2457" s="136">
        <f>LET(_xlpm.r,Productos!$E$2:$E$2509,_xlpm.m,IFERROR(_xlfn.XMATCH(C2457,_xlpm.r),IFERROR(_xlfn.XMATCH(VALUE(C2457),_xlpm.r),0)),IF(_xlpm.m=0,"",_xlpm.m+1))</f>
        <v/>
      </c>
      <c r="J2457" s="137" t="inlineStr">
        <is>
          <t>Shopify</t>
        </is>
      </c>
    </row>
    <row r="2458">
      <c r="A2458" s="5" t="inlineStr">
        <is>
          <t>Shopify Stetson México › Stetson Americas</t>
        </is>
      </c>
      <c r="B2458" s="5">
        <f>IF($I2="","",INDEX(Productos!$A:$A,$I2))</f>
        <v/>
      </c>
      <c r="C2458" s="134" t="inlineStr">
        <is>
          <t>12-020-BS006-11-1028-028</t>
        </is>
      </c>
      <c r="D2458" s="5">
        <f>IF($I2="","",INDEX(Productos!$B:$B,$I2))</f>
        <v/>
      </c>
      <c r="E2458" s="5">
        <f>IF($I2="","",INDEX(Productos!$H:$H,$I2))</f>
        <v/>
      </c>
      <c r="F2458" s="5">
        <f>IF($I2="","",INDEX(Productos!$I:$I,$I2))</f>
        <v/>
      </c>
      <c r="G2458" s="135" t="n">
        <v>2</v>
      </c>
      <c r="H2458" s="5">
        <f>IF($I2="","",INDEX(Productos!$AG:$AG,$I2))</f>
        <v/>
      </c>
      <c r="I2458" s="136">
        <f>LET(_xlpm.r,Productos!$E$2:$E$2509,_xlpm.m,IFERROR(_xlfn.XMATCH(C2458,_xlpm.r),IFERROR(_xlfn.XMATCH(VALUE(C2458),_xlpm.r),0)),IF(_xlpm.m=0,"",_xlpm.m+1))</f>
        <v/>
      </c>
      <c r="J2458" s="137" t="inlineStr">
        <is>
          <t>Shopify</t>
        </is>
      </c>
    </row>
    <row r="2459">
      <c r="A2459" s="5" t="inlineStr">
        <is>
          <t>Shopify Stetson México › Stetson Americas</t>
        </is>
      </c>
      <c r="B2459" s="5">
        <f>IF($I2="","",INDEX(Productos!$A:$A,$I2))</f>
        <v/>
      </c>
      <c r="C2459" s="134" t="inlineStr">
        <is>
          <t>12-020-BS006-11-1028-285</t>
        </is>
      </c>
      <c r="D2459" s="5">
        <f>IF($I2="","",INDEX(Productos!$B:$B,$I2))</f>
        <v/>
      </c>
      <c r="E2459" s="5">
        <f>IF($I2="","",INDEX(Productos!$H:$H,$I2))</f>
        <v/>
      </c>
      <c r="F2459" s="5">
        <f>IF($I2="","",INDEX(Productos!$I:$I,$I2))</f>
        <v/>
      </c>
      <c r="G2459" s="135" t="n">
        <v>1</v>
      </c>
      <c r="H2459" s="5">
        <f>IF($I2="","",INDEX(Productos!$AG:$AG,$I2))</f>
        <v/>
      </c>
      <c r="I2459" s="136">
        <f>LET(_xlpm.r,Productos!$E$2:$E$2509,_xlpm.m,IFERROR(_xlfn.XMATCH(C2459,_xlpm.r),IFERROR(_xlfn.XMATCH(VALUE(C2459),_xlpm.r),0)),IF(_xlpm.m=0,"",_xlpm.m+1))</f>
        <v/>
      </c>
      <c r="J2459" s="137" t="inlineStr">
        <is>
          <t>Shopify</t>
        </is>
      </c>
    </row>
    <row r="2460">
      <c r="A2460" s="5" t="inlineStr">
        <is>
          <t>Shopify Stetson México › Stetson Americas</t>
        </is>
      </c>
      <c r="B2460" s="5">
        <f>IF($I2="","",INDEX(Productos!$A:$A,$I2))</f>
        <v/>
      </c>
      <c r="C2460" s="134" t="inlineStr">
        <is>
          <t>12-020-BS006-11-1028-295</t>
        </is>
      </c>
      <c r="D2460" s="5">
        <f>IF($I2="","",INDEX(Productos!$B:$B,$I2))</f>
        <v/>
      </c>
      <c r="E2460" s="5">
        <f>IF($I2="","",INDEX(Productos!$H:$H,$I2))</f>
        <v/>
      </c>
      <c r="F2460" s="5">
        <f>IF($I2="","",INDEX(Productos!$I:$I,$I2))</f>
        <v/>
      </c>
      <c r="G2460" s="135" t="n">
        <v>1</v>
      </c>
      <c r="H2460" s="5">
        <f>IF($I2="","",INDEX(Productos!$AG:$AG,$I2))</f>
        <v/>
      </c>
      <c r="I2460" s="136">
        <f>LET(_xlpm.r,Productos!$E$2:$E$2509,_xlpm.m,IFERROR(_xlfn.XMATCH(C2460,_xlpm.r),IFERROR(_xlfn.XMATCH(VALUE(C2460),_xlpm.r),0)),IF(_xlpm.m=0,"",_xlpm.m+1))</f>
        <v/>
      </c>
      <c r="J2460" s="137" t="inlineStr">
        <is>
          <t>Shopify</t>
        </is>
      </c>
    </row>
    <row r="2461">
      <c r="A2461" s="5" t="inlineStr">
        <is>
          <t>Shopify Stetson México › Stetson Americas</t>
        </is>
      </c>
      <c r="B2461" s="5">
        <f>IF($I2="","",INDEX(Productos!$A:$A,$I2))</f>
        <v/>
      </c>
      <c r="C2461" s="134" t="inlineStr">
        <is>
          <t>12-020-BS006-11-1029-027</t>
        </is>
      </c>
      <c r="D2461" s="5">
        <f>IF($I2="","",INDEX(Productos!$B:$B,$I2))</f>
        <v/>
      </c>
      <c r="E2461" s="5">
        <f>IF($I2="","",INDEX(Productos!$H:$H,$I2))</f>
        <v/>
      </c>
      <c r="F2461" s="5">
        <f>IF($I2="","",INDEX(Productos!$I:$I,$I2))</f>
        <v/>
      </c>
      <c r="G2461" s="135" t="n">
        <v>2</v>
      </c>
      <c r="H2461" s="5">
        <f>IF($I2="","",INDEX(Productos!$AG:$AG,$I2))</f>
        <v/>
      </c>
      <c r="I2461" s="136">
        <f>LET(_xlpm.r,Productos!$E$2:$E$2509,_xlpm.m,IFERROR(_xlfn.XMATCH(C2461,_xlpm.r),IFERROR(_xlfn.XMATCH(VALUE(C2461),_xlpm.r),0)),IF(_xlpm.m=0,"",_xlpm.m+1))</f>
        <v/>
      </c>
      <c r="J2461" s="137" t="inlineStr">
        <is>
          <t>Shopify</t>
        </is>
      </c>
    </row>
    <row r="2462">
      <c r="A2462" s="5" t="inlineStr">
        <is>
          <t>Shopify Stetson México › Stetson Americas</t>
        </is>
      </c>
      <c r="B2462" s="5">
        <f>IF($I2="","",INDEX(Productos!$A:$A,$I2))</f>
        <v/>
      </c>
      <c r="C2462" s="134" t="inlineStr">
        <is>
          <t>12-020-BS006-11-1029-028</t>
        </is>
      </c>
      <c r="D2462" s="5">
        <f>IF($I2="","",INDEX(Productos!$B:$B,$I2))</f>
        <v/>
      </c>
      <c r="E2462" s="5">
        <f>IF($I2="","",INDEX(Productos!$H:$H,$I2))</f>
        <v/>
      </c>
      <c r="F2462" s="5">
        <f>IF($I2="","",INDEX(Productos!$I:$I,$I2))</f>
        <v/>
      </c>
      <c r="G2462" s="135" t="n">
        <v>1</v>
      </c>
      <c r="H2462" s="5">
        <f>IF($I2="","",INDEX(Productos!$AG:$AG,$I2))</f>
        <v/>
      </c>
      <c r="I2462" s="136">
        <f>LET(_xlpm.r,Productos!$E$2:$E$2509,_xlpm.m,IFERROR(_xlfn.XMATCH(C2462,_xlpm.r),IFERROR(_xlfn.XMATCH(VALUE(C2462),_xlpm.r),0)),IF(_xlpm.m=0,"",_xlpm.m+1))</f>
        <v/>
      </c>
      <c r="J2462" s="137" t="inlineStr">
        <is>
          <t>Shopify</t>
        </is>
      </c>
    </row>
    <row r="2463">
      <c r="A2463" s="5" t="inlineStr">
        <is>
          <t>Shopify Stetson México › Stetson Americas</t>
        </is>
      </c>
      <c r="B2463" s="5">
        <f>IF($I2="","",INDEX(Productos!$A:$A,$I2))</f>
        <v/>
      </c>
      <c r="C2463" s="134" t="inlineStr">
        <is>
          <t>12-020-BS006-11-1029-029</t>
        </is>
      </c>
      <c r="D2463" s="5">
        <f>IF($I2="","",INDEX(Productos!$B:$B,$I2))</f>
        <v/>
      </c>
      <c r="E2463" s="5">
        <f>IF($I2="","",INDEX(Productos!$H:$H,$I2))</f>
        <v/>
      </c>
      <c r="F2463" s="5">
        <f>IF($I2="","",INDEX(Productos!$I:$I,$I2))</f>
        <v/>
      </c>
      <c r="G2463" s="135" t="n">
        <v>1</v>
      </c>
      <c r="H2463" s="5">
        <f>IF($I2="","",INDEX(Productos!$AG:$AG,$I2))</f>
        <v/>
      </c>
      <c r="I2463" s="136">
        <f>LET(_xlpm.r,Productos!$E$2:$E$2509,_xlpm.m,IFERROR(_xlfn.XMATCH(C2463,_xlpm.r),IFERROR(_xlfn.XMATCH(VALUE(C2463),_xlpm.r),0)),IF(_xlpm.m=0,"",_xlpm.m+1))</f>
        <v/>
      </c>
      <c r="J2463" s="137" t="inlineStr">
        <is>
          <t>Shopify</t>
        </is>
      </c>
    </row>
    <row r="2464">
      <c r="A2464" s="5" t="inlineStr">
        <is>
          <t>Shopify Stetson México › Stetson Americas</t>
        </is>
      </c>
      <c r="B2464" s="5">
        <f>IF($I2="","",INDEX(Productos!$A:$A,$I2))</f>
        <v/>
      </c>
      <c r="C2464" s="134" t="inlineStr">
        <is>
          <t>12-020-BS006-11-1029-265</t>
        </is>
      </c>
      <c r="D2464" s="5">
        <f>IF($I2="","",INDEX(Productos!$B:$B,$I2))</f>
        <v/>
      </c>
      <c r="E2464" s="5">
        <f>IF($I2="","",INDEX(Productos!$H:$H,$I2))</f>
        <v/>
      </c>
      <c r="F2464" s="5">
        <f>IF($I2="","",INDEX(Productos!$I:$I,$I2))</f>
        <v/>
      </c>
      <c r="G2464" s="135" t="n">
        <v>1</v>
      </c>
      <c r="H2464" s="5">
        <f>IF($I2="","",INDEX(Productos!$AG:$AG,$I2))</f>
        <v/>
      </c>
      <c r="I2464" s="136">
        <f>LET(_xlpm.r,Productos!$E$2:$E$2509,_xlpm.m,IFERROR(_xlfn.XMATCH(C2464,_xlpm.r),IFERROR(_xlfn.XMATCH(VALUE(C2464),_xlpm.r),0)),IF(_xlpm.m=0,"",_xlpm.m+1))</f>
        <v/>
      </c>
      <c r="J2464" s="137" t="inlineStr">
        <is>
          <t>Shopify</t>
        </is>
      </c>
    </row>
    <row r="2465">
      <c r="A2465" s="5" t="inlineStr">
        <is>
          <t>Shopify Stetson México › Stetson Americas</t>
        </is>
      </c>
      <c r="B2465" s="5">
        <f>IF($I2="","",INDEX(Productos!$A:$A,$I2))</f>
        <v/>
      </c>
      <c r="C2465" s="134" t="inlineStr">
        <is>
          <t>12-020-BS006-11-1029-285</t>
        </is>
      </c>
      <c r="D2465" s="5">
        <f>IF($I2="","",INDEX(Productos!$B:$B,$I2))</f>
        <v/>
      </c>
      <c r="E2465" s="5">
        <f>IF($I2="","",INDEX(Productos!$H:$H,$I2))</f>
        <v/>
      </c>
      <c r="F2465" s="5">
        <f>IF($I2="","",INDEX(Productos!$I:$I,$I2))</f>
        <v/>
      </c>
      <c r="G2465" s="135" t="n">
        <v>1</v>
      </c>
      <c r="H2465" s="5">
        <f>IF($I2="","",INDEX(Productos!$AG:$AG,$I2))</f>
        <v/>
      </c>
      <c r="I2465" s="136">
        <f>LET(_xlpm.r,Productos!$E$2:$E$2509,_xlpm.m,IFERROR(_xlfn.XMATCH(C2465,_xlpm.r),IFERROR(_xlfn.XMATCH(VALUE(C2465),_xlpm.r),0)),IF(_xlpm.m=0,"",_xlpm.m+1))</f>
        <v/>
      </c>
      <c r="J2465" s="137" t="inlineStr">
        <is>
          <t>Shopify</t>
        </is>
      </c>
    </row>
    <row r="2466">
      <c r="A2466" s="5" t="inlineStr">
        <is>
          <t>Shopify Stetson México › Stetson Americas</t>
        </is>
      </c>
      <c r="B2466" s="5">
        <f>IF($I2="","",INDEX(Productos!$A:$A,$I2))</f>
        <v/>
      </c>
      <c r="C2466" s="134" t="inlineStr">
        <is>
          <t>12-021-BS000-13-1043-024</t>
        </is>
      </c>
      <c r="D2466" s="5">
        <f>IF($I2="","",INDEX(Productos!$B:$B,$I2))</f>
        <v/>
      </c>
      <c r="E2466" s="5">
        <f>IF($I2="","",INDEX(Productos!$H:$H,$I2))</f>
        <v/>
      </c>
      <c r="F2466" s="5">
        <f>IF($I2="","",INDEX(Productos!$I:$I,$I2))</f>
        <v/>
      </c>
      <c r="G2466" s="135" t="n">
        <v>1</v>
      </c>
      <c r="H2466" s="5">
        <f>IF($I2="","",INDEX(Productos!$AG:$AG,$I2))</f>
        <v/>
      </c>
      <c r="I2466" s="136">
        <f>LET(_xlpm.r,Productos!$E$2:$E$2509,_xlpm.m,IFERROR(_xlfn.XMATCH(C2466,_xlpm.r),IFERROR(_xlfn.XMATCH(VALUE(C2466),_xlpm.r),0)),IF(_xlpm.m=0,"",_xlpm.m+1))</f>
        <v/>
      </c>
      <c r="J2466" s="137" t="inlineStr">
        <is>
          <t>Shopify</t>
        </is>
      </c>
    </row>
    <row r="2467">
      <c r="A2467" s="5" t="inlineStr">
        <is>
          <t>Shopify Stetson México › Stetson Americas</t>
        </is>
      </c>
      <c r="B2467" s="5">
        <f>IF($I2="","",INDEX(Productos!$A:$A,$I2))</f>
        <v/>
      </c>
      <c r="C2467" s="134" t="inlineStr">
        <is>
          <t>12-021-BS000-13-1043-025</t>
        </is>
      </c>
      <c r="D2467" s="5">
        <f>IF($I2="","",INDEX(Productos!$B:$B,$I2))</f>
        <v/>
      </c>
      <c r="E2467" s="5">
        <f>IF($I2="","",INDEX(Productos!$H:$H,$I2))</f>
        <v/>
      </c>
      <c r="F2467" s="5">
        <f>IF($I2="","",INDEX(Productos!$I:$I,$I2))</f>
        <v/>
      </c>
      <c r="G2467" s="135" t="n">
        <v>2</v>
      </c>
      <c r="H2467" s="5">
        <f>IF($I2="","",INDEX(Productos!$AG:$AG,$I2))</f>
        <v/>
      </c>
      <c r="I2467" s="136">
        <f>LET(_xlpm.r,Productos!$E$2:$E$2509,_xlpm.m,IFERROR(_xlfn.XMATCH(C2467,_xlpm.r),IFERROR(_xlfn.XMATCH(VALUE(C2467),_xlpm.r),0)),IF(_xlpm.m=0,"",_xlpm.m+1))</f>
        <v/>
      </c>
      <c r="J2467" s="137" t="inlineStr">
        <is>
          <t>Shopify</t>
        </is>
      </c>
    </row>
    <row r="2468">
      <c r="A2468" s="5" t="inlineStr">
        <is>
          <t>Shopify Stetson México › Stetson Americas</t>
        </is>
      </c>
      <c r="B2468" s="5">
        <f>IF($I2="","",INDEX(Productos!$A:$A,$I2))</f>
        <v/>
      </c>
      <c r="C2468" s="134" t="inlineStr">
        <is>
          <t>12-021-BS000-13-1043-245</t>
        </is>
      </c>
      <c r="D2468" s="5">
        <f>IF($I2="","",INDEX(Productos!$B:$B,$I2))</f>
        <v/>
      </c>
      <c r="E2468" s="5">
        <f>IF($I2="","",INDEX(Productos!$H:$H,$I2))</f>
        <v/>
      </c>
      <c r="F2468" s="5">
        <f>IF($I2="","",INDEX(Productos!$I:$I,$I2))</f>
        <v/>
      </c>
      <c r="G2468" s="135" t="n">
        <v>2</v>
      </c>
      <c r="H2468" s="5">
        <f>IF($I2="","",INDEX(Productos!$AG:$AG,$I2))</f>
        <v/>
      </c>
      <c r="I2468" s="136">
        <f>LET(_xlpm.r,Productos!$E$2:$E$2509,_xlpm.m,IFERROR(_xlfn.XMATCH(C2468,_xlpm.r),IFERROR(_xlfn.XMATCH(VALUE(C2468),_xlpm.r),0)),IF(_xlpm.m=0,"",_xlpm.m+1))</f>
        <v/>
      </c>
      <c r="J2468" s="137" t="inlineStr">
        <is>
          <t>Shopify</t>
        </is>
      </c>
    </row>
    <row r="2469">
      <c r="A2469" s="5" t="inlineStr">
        <is>
          <t>Shopify Stetson México › Stetson Americas</t>
        </is>
      </c>
      <c r="B2469" s="5">
        <f>IF($I2="","",INDEX(Productos!$A:$A,$I2))</f>
        <v/>
      </c>
      <c r="C2469" s="134" t="inlineStr">
        <is>
          <t>12-021-BS000-13-1044-024</t>
        </is>
      </c>
      <c r="D2469" s="5">
        <f>IF($I2="","",INDEX(Productos!$B:$B,$I2))</f>
        <v/>
      </c>
      <c r="E2469" s="5">
        <f>IF($I2="","",INDEX(Productos!$H:$H,$I2))</f>
        <v/>
      </c>
      <c r="F2469" s="5">
        <f>IF($I2="","",INDEX(Productos!$I:$I,$I2))</f>
        <v/>
      </c>
      <c r="G2469" s="135" t="n">
        <v>1</v>
      </c>
      <c r="H2469" s="5">
        <f>IF($I2="","",INDEX(Productos!$AG:$AG,$I2))</f>
        <v/>
      </c>
      <c r="I2469" s="136">
        <f>LET(_xlpm.r,Productos!$E$2:$E$2509,_xlpm.m,IFERROR(_xlfn.XMATCH(C2469,_xlpm.r),IFERROR(_xlfn.XMATCH(VALUE(C2469),_xlpm.r),0)),IF(_xlpm.m=0,"",_xlpm.m+1))</f>
        <v/>
      </c>
      <c r="J2469" s="137" t="inlineStr">
        <is>
          <t>Shopify</t>
        </is>
      </c>
    </row>
    <row r="2470">
      <c r="A2470" s="5" t="inlineStr">
        <is>
          <t>Shopify Stetson México › Stetson Americas</t>
        </is>
      </c>
      <c r="B2470" s="5">
        <f>IF($I2="","",INDEX(Productos!$A:$A,$I2))</f>
        <v/>
      </c>
      <c r="C2470" s="134" t="inlineStr">
        <is>
          <t>12-021-BS000-13-1044-025</t>
        </is>
      </c>
      <c r="D2470" s="5">
        <f>IF($I2="","",INDEX(Productos!$B:$B,$I2))</f>
        <v/>
      </c>
      <c r="E2470" s="5">
        <f>IF($I2="","",INDEX(Productos!$H:$H,$I2))</f>
        <v/>
      </c>
      <c r="F2470" s="5">
        <f>IF($I2="","",INDEX(Productos!$I:$I,$I2))</f>
        <v/>
      </c>
      <c r="G2470" s="135" t="n">
        <v>2</v>
      </c>
      <c r="H2470" s="5">
        <f>IF($I2="","",INDEX(Productos!$AG:$AG,$I2))</f>
        <v/>
      </c>
      <c r="I2470" s="136">
        <f>LET(_xlpm.r,Productos!$E$2:$E$2509,_xlpm.m,IFERROR(_xlfn.XMATCH(C2470,_xlpm.r),IFERROR(_xlfn.XMATCH(VALUE(C2470),_xlpm.r),0)),IF(_xlpm.m=0,"",_xlpm.m+1))</f>
        <v/>
      </c>
      <c r="J2470" s="137" t="inlineStr">
        <is>
          <t>Shopify</t>
        </is>
      </c>
    </row>
    <row r="2471">
      <c r="A2471" s="5" t="inlineStr">
        <is>
          <t>Shopify Stetson México › Stetson Americas</t>
        </is>
      </c>
      <c r="B2471" s="5">
        <f>IF($I2="","",INDEX(Productos!$A:$A,$I2))</f>
        <v/>
      </c>
      <c r="C2471" s="134" t="inlineStr">
        <is>
          <t>12-021-BS000-13-1044-245</t>
        </is>
      </c>
      <c r="D2471" s="5">
        <f>IF($I2="","",INDEX(Productos!$B:$B,$I2))</f>
        <v/>
      </c>
      <c r="E2471" s="5">
        <f>IF($I2="","",INDEX(Productos!$H:$H,$I2))</f>
        <v/>
      </c>
      <c r="F2471" s="5">
        <f>IF($I2="","",INDEX(Productos!$I:$I,$I2))</f>
        <v/>
      </c>
      <c r="G2471" s="135" t="n">
        <v>1</v>
      </c>
      <c r="H2471" s="5">
        <f>IF($I2="","",INDEX(Productos!$AG:$AG,$I2))</f>
        <v/>
      </c>
      <c r="I2471" s="136">
        <f>LET(_xlpm.r,Productos!$E$2:$E$2509,_xlpm.m,IFERROR(_xlfn.XMATCH(C2471,_xlpm.r),IFERROR(_xlfn.XMATCH(VALUE(C2471),_xlpm.r),0)),IF(_xlpm.m=0,"",_xlpm.m+1))</f>
        <v/>
      </c>
      <c r="J2471" s="137" t="inlineStr">
        <is>
          <t>Shopify</t>
        </is>
      </c>
    </row>
    <row r="2472">
      <c r="A2472" s="5" t="inlineStr">
        <is>
          <t>Shopify Stetson México › Stetson Americas</t>
        </is>
      </c>
      <c r="B2472" s="5">
        <f>IF($I2="","",INDEX(Productos!$A:$A,$I2))</f>
        <v/>
      </c>
      <c r="C2472" s="134" t="inlineStr">
        <is>
          <t>12-021-BS000-13-1045-024</t>
        </is>
      </c>
      <c r="D2472" s="5">
        <f>IF($I2="","",INDEX(Productos!$B:$B,$I2))</f>
        <v/>
      </c>
      <c r="E2472" s="5">
        <f>IF($I2="","",INDEX(Productos!$H:$H,$I2))</f>
        <v/>
      </c>
      <c r="F2472" s="5">
        <f>IF($I2="","",INDEX(Productos!$I:$I,$I2))</f>
        <v/>
      </c>
      <c r="G2472" s="135" t="n">
        <v>2</v>
      </c>
      <c r="H2472" s="5">
        <f>IF($I2="","",INDEX(Productos!$AG:$AG,$I2))</f>
        <v/>
      </c>
      <c r="I2472" s="136">
        <f>LET(_xlpm.r,Productos!$E$2:$E$2509,_xlpm.m,IFERROR(_xlfn.XMATCH(C2472,_xlpm.r),IFERROR(_xlfn.XMATCH(VALUE(C2472),_xlpm.r),0)),IF(_xlpm.m=0,"",_xlpm.m+1))</f>
        <v/>
      </c>
      <c r="J2472" s="137" t="inlineStr">
        <is>
          <t>Shopify</t>
        </is>
      </c>
    </row>
    <row r="2473">
      <c r="A2473" s="5" t="inlineStr">
        <is>
          <t>Shopify Stetson México › Stetson Americas</t>
        </is>
      </c>
      <c r="B2473" s="5">
        <f>IF($I2="","",INDEX(Productos!$A:$A,$I2))</f>
        <v/>
      </c>
      <c r="C2473" s="134" t="inlineStr">
        <is>
          <t>12-021-BS000-13-1045-025</t>
        </is>
      </c>
      <c r="D2473" s="5">
        <f>IF($I2="","",INDEX(Productos!$B:$B,$I2))</f>
        <v/>
      </c>
      <c r="E2473" s="5">
        <f>IF($I2="","",INDEX(Productos!$H:$H,$I2))</f>
        <v/>
      </c>
      <c r="F2473" s="5">
        <f>IF($I2="","",INDEX(Productos!$I:$I,$I2))</f>
        <v/>
      </c>
      <c r="G2473" s="135" t="n">
        <v>1</v>
      </c>
      <c r="H2473" s="5">
        <f>IF($I2="","",INDEX(Productos!$AG:$AG,$I2))</f>
        <v/>
      </c>
      <c r="I2473" s="136">
        <f>LET(_xlpm.r,Productos!$E$2:$E$2509,_xlpm.m,IFERROR(_xlfn.XMATCH(C2473,_xlpm.r),IFERROR(_xlfn.XMATCH(VALUE(C2473),_xlpm.r),0)),IF(_xlpm.m=0,"",_xlpm.m+1))</f>
        <v/>
      </c>
      <c r="J2473" s="137" t="inlineStr">
        <is>
          <t>Shopify</t>
        </is>
      </c>
    </row>
    <row r="2474">
      <c r="A2474" s="5" t="inlineStr">
        <is>
          <t>Shopify Stetson México › Stetson Americas</t>
        </is>
      </c>
      <c r="B2474" s="5">
        <f>IF($I2="","",INDEX(Productos!$A:$A,$I2))</f>
        <v/>
      </c>
      <c r="C2474" s="134" t="inlineStr">
        <is>
          <t>12-021-BS000-13-1045-245</t>
        </is>
      </c>
      <c r="D2474" s="5">
        <f>IF($I2="","",INDEX(Productos!$B:$B,$I2))</f>
        <v/>
      </c>
      <c r="E2474" s="5">
        <f>IF($I2="","",INDEX(Productos!$H:$H,$I2))</f>
        <v/>
      </c>
      <c r="F2474" s="5">
        <f>IF($I2="","",INDEX(Productos!$I:$I,$I2))</f>
        <v/>
      </c>
      <c r="G2474" s="135" t="n">
        <v>1</v>
      </c>
      <c r="H2474" s="5">
        <f>IF($I2="","",INDEX(Productos!$AG:$AG,$I2))</f>
        <v/>
      </c>
      <c r="I2474" s="136">
        <f>LET(_xlpm.r,Productos!$E$2:$E$2509,_xlpm.m,IFERROR(_xlfn.XMATCH(C2474,_xlpm.r),IFERROR(_xlfn.XMATCH(VALUE(C2474),_xlpm.r),0)),IF(_xlpm.m=0,"",_xlpm.m+1))</f>
        <v/>
      </c>
      <c r="J2474" s="137" t="inlineStr">
        <is>
          <t>Shopify</t>
        </is>
      </c>
    </row>
    <row r="2475">
      <c r="A2475" s="5" t="inlineStr">
        <is>
          <t>Shopify Stetson México › Stetson Americas</t>
        </is>
      </c>
      <c r="B2475" s="5">
        <f>IF($I2="","",INDEX(Productos!$A:$A,$I2))</f>
        <v/>
      </c>
      <c r="C2475" s="134" t="inlineStr">
        <is>
          <t>12-021-BS001-12-1030-023</t>
        </is>
      </c>
      <c r="D2475" s="5">
        <f>IF($I2="","",INDEX(Productos!$B:$B,$I2))</f>
        <v/>
      </c>
      <c r="E2475" s="5">
        <f>IF($I2="","",INDEX(Productos!$H:$H,$I2))</f>
        <v/>
      </c>
      <c r="F2475" s="5">
        <f>IF($I2="","",INDEX(Productos!$I:$I,$I2))</f>
        <v/>
      </c>
      <c r="G2475" s="135" t="n">
        <v>1</v>
      </c>
      <c r="H2475" s="5">
        <f>IF($I2="","",INDEX(Productos!$AG:$AG,$I2))</f>
        <v/>
      </c>
      <c r="I2475" s="136">
        <f>LET(_xlpm.r,Productos!$E$2:$E$2509,_xlpm.m,IFERROR(_xlfn.XMATCH(C2475,_xlpm.r),IFERROR(_xlfn.XMATCH(VALUE(C2475),_xlpm.r),0)),IF(_xlpm.m=0,"",_xlpm.m+1))</f>
        <v/>
      </c>
      <c r="J2475" s="137" t="inlineStr">
        <is>
          <t>Shopify</t>
        </is>
      </c>
    </row>
    <row r="2476">
      <c r="A2476" s="5" t="inlineStr">
        <is>
          <t>Shopify Stetson México › Stetson Americas</t>
        </is>
      </c>
      <c r="B2476" s="5">
        <f>IF($I2="","",INDEX(Productos!$A:$A,$I2))</f>
        <v/>
      </c>
      <c r="C2476" s="134" t="inlineStr">
        <is>
          <t>12-021-BS001-12-1031-024</t>
        </is>
      </c>
      <c r="D2476" s="5">
        <f>IF($I2="","",INDEX(Productos!$B:$B,$I2))</f>
        <v/>
      </c>
      <c r="E2476" s="5">
        <f>IF($I2="","",INDEX(Productos!$H:$H,$I2))</f>
        <v/>
      </c>
      <c r="F2476" s="5">
        <f>IF($I2="","",INDEX(Productos!$I:$I,$I2))</f>
        <v/>
      </c>
      <c r="G2476" s="135" t="n">
        <v>2</v>
      </c>
      <c r="H2476" s="5">
        <f>IF($I2="","",INDEX(Productos!$AG:$AG,$I2))</f>
        <v/>
      </c>
      <c r="I2476" s="136">
        <f>LET(_xlpm.r,Productos!$E$2:$E$2509,_xlpm.m,IFERROR(_xlfn.XMATCH(C2476,_xlpm.r),IFERROR(_xlfn.XMATCH(VALUE(C2476),_xlpm.r),0)),IF(_xlpm.m=0,"",_xlpm.m+1))</f>
        <v/>
      </c>
      <c r="J2476" s="137" t="inlineStr">
        <is>
          <t>Shopify</t>
        </is>
      </c>
    </row>
    <row r="2477">
      <c r="A2477" s="5" t="inlineStr">
        <is>
          <t>Shopify Stetson México › Stetson Americas</t>
        </is>
      </c>
      <c r="B2477" s="5">
        <f>IF($I2="","",INDEX(Productos!$A:$A,$I2))</f>
        <v/>
      </c>
      <c r="C2477" s="134" t="inlineStr">
        <is>
          <t>12-021-BS001-12-1031-235</t>
        </is>
      </c>
      <c r="D2477" s="5">
        <f>IF($I2="","",INDEX(Productos!$B:$B,$I2))</f>
        <v/>
      </c>
      <c r="E2477" s="5">
        <f>IF($I2="","",INDEX(Productos!$H:$H,$I2))</f>
        <v/>
      </c>
      <c r="F2477" s="5">
        <f>IF($I2="","",INDEX(Productos!$I:$I,$I2))</f>
        <v/>
      </c>
      <c r="G2477" s="135" t="n">
        <v>1</v>
      </c>
      <c r="H2477" s="5">
        <f>IF($I2="","",INDEX(Productos!$AG:$AG,$I2))</f>
        <v/>
      </c>
      <c r="I2477" s="136">
        <f>LET(_xlpm.r,Productos!$E$2:$E$2509,_xlpm.m,IFERROR(_xlfn.XMATCH(C2477,_xlpm.r),IFERROR(_xlfn.XMATCH(VALUE(C2477),_xlpm.r),0)),IF(_xlpm.m=0,"",_xlpm.m+1))</f>
        <v/>
      </c>
      <c r="J2477" s="137" t="inlineStr">
        <is>
          <t>Shopify</t>
        </is>
      </c>
    </row>
    <row r="2478">
      <c r="A2478" s="5" t="inlineStr">
        <is>
          <t>Shopify Stetson México › Stetson Americas</t>
        </is>
      </c>
      <c r="B2478" s="5">
        <f>IF($I2="","",INDEX(Productos!$A:$A,$I2))</f>
        <v/>
      </c>
      <c r="C2478" s="134" t="inlineStr">
        <is>
          <t>12-021-BS001-12-1032-025</t>
        </is>
      </c>
      <c r="D2478" s="5">
        <f>IF($I2="","",INDEX(Productos!$B:$B,$I2))</f>
        <v/>
      </c>
      <c r="E2478" s="5">
        <f>IF($I2="","",INDEX(Productos!$H:$H,$I2))</f>
        <v/>
      </c>
      <c r="F2478" s="5">
        <f>IF($I2="","",INDEX(Productos!$I:$I,$I2))</f>
        <v/>
      </c>
      <c r="G2478" s="135" t="n">
        <v>1</v>
      </c>
      <c r="H2478" s="5">
        <f>IF($I2="","",INDEX(Productos!$AG:$AG,$I2))</f>
        <v/>
      </c>
      <c r="I2478" s="136">
        <f>LET(_xlpm.r,Productos!$E$2:$E$2509,_xlpm.m,IFERROR(_xlfn.XMATCH(C2478,_xlpm.r),IFERROR(_xlfn.XMATCH(VALUE(C2478),_xlpm.r),0)),IF(_xlpm.m=0,"",_xlpm.m+1))</f>
        <v/>
      </c>
      <c r="J2478" s="137" t="inlineStr">
        <is>
          <t>Shopify</t>
        </is>
      </c>
    </row>
    <row r="2479">
      <c r="A2479" s="5" t="inlineStr">
        <is>
          <t>Shopify Stetson México › Stetson Americas</t>
        </is>
      </c>
      <c r="B2479" s="5">
        <f>IF($I2="","",INDEX(Productos!$A:$A,$I2))</f>
        <v/>
      </c>
      <c r="C2479" s="134" t="inlineStr">
        <is>
          <t>12-021-BS001-12-1032-235</t>
        </is>
      </c>
      <c r="D2479" s="5">
        <f>IF($I2="","",INDEX(Productos!$B:$B,$I2))</f>
        <v/>
      </c>
      <c r="E2479" s="5">
        <f>IF($I2="","",INDEX(Productos!$H:$H,$I2))</f>
        <v/>
      </c>
      <c r="F2479" s="5">
        <f>IF($I2="","",INDEX(Productos!$I:$I,$I2))</f>
        <v/>
      </c>
      <c r="G2479" s="135" t="n">
        <v>1</v>
      </c>
      <c r="H2479" s="5">
        <f>IF($I2="","",INDEX(Productos!$AG:$AG,$I2))</f>
        <v/>
      </c>
      <c r="I2479" s="136">
        <f>LET(_xlpm.r,Productos!$E$2:$E$2509,_xlpm.m,IFERROR(_xlfn.XMATCH(C2479,_xlpm.r),IFERROR(_xlfn.XMATCH(VALUE(C2479),_xlpm.r),0)),IF(_xlpm.m=0,"",_xlpm.m+1))</f>
        <v/>
      </c>
      <c r="J2479" s="137" t="inlineStr">
        <is>
          <t>Shopify</t>
        </is>
      </c>
    </row>
    <row r="2480">
      <c r="A2480" s="5" t="inlineStr">
        <is>
          <t>Shopify Stetson México › Stetson Americas</t>
        </is>
      </c>
      <c r="B2480" s="5">
        <f>IF($I2="","",INDEX(Productos!$A:$A,$I2))</f>
        <v/>
      </c>
      <c r="C2480" s="134" t="inlineStr">
        <is>
          <t>12-021-BS001-12-1032-245</t>
        </is>
      </c>
      <c r="D2480" s="5">
        <f>IF($I2="","",INDEX(Productos!$B:$B,$I2))</f>
        <v/>
      </c>
      <c r="E2480" s="5">
        <f>IF($I2="","",INDEX(Productos!$H:$H,$I2))</f>
        <v/>
      </c>
      <c r="F2480" s="5">
        <f>IF($I2="","",INDEX(Productos!$I:$I,$I2))</f>
        <v/>
      </c>
      <c r="G2480" s="135" t="n">
        <v>1</v>
      </c>
      <c r="H2480" s="5">
        <f>IF($I2="","",INDEX(Productos!$AG:$AG,$I2))</f>
        <v/>
      </c>
      <c r="I2480" s="136">
        <f>LET(_xlpm.r,Productos!$E$2:$E$2509,_xlpm.m,IFERROR(_xlfn.XMATCH(C2480,_xlpm.r),IFERROR(_xlfn.XMATCH(VALUE(C2480),_xlpm.r),0)),IF(_xlpm.m=0,"",_xlpm.m+1))</f>
        <v/>
      </c>
      <c r="J2480" s="137" t="inlineStr">
        <is>
          <t>Shopify</t>
        </is>
      </c>
    </row>
    <row r="2481">
      <c r="A2481" s="5" t="inlineStr">
        <is>
          <t>Shopify Stetson México › Stetson Americas</t>
        </is>
      </c>
      <c r="B2481" s="5">
        <f>IF($I2="","",INDEX(Productos!$A:$A,$I2))</f>
        <v/>
      </c>
      <c r="C2481" s="134" t="inlineStr">
        <is>
          <t>12-021-BS001-12-1033-023</t>
        </is>
      </c>
      <c r="D2481" s="5">
        <f>IF($I2="","",INDEX(Productos!$B:$B,$I2))</f>
        <v/>
      </c>
      <c r="E2481" s="5">
        <f>IF($I2="","",INDEX(Productos!$H:$H,$I2))</f>
        <v/>
      </c>
      <c r="F2481" s="5">
        <f>IF($I2="","",INDEX(Productos!$I:$I,$I2))</f>
        <v/>
      </c>
      <c r="G2481" s="135" t="n">
        <v>1</v>
      </c>
      <c r="H2481" s="5">
        <f>IF($I2="","",INDEX(Productos!$AG:$AG,$I2))</f>
        <v/>
      </c>
      <c r="I2481" s="136">
        <f>LET(_xlpm.r,Productos!$E$2:$E$2509,_xlpm.m,IFERROR(_xlfn.XMATCH(C2481,_xlpm.r),IFERROR(_xlfn.XMATCH(VALUE(C2481),_xlpm.r),0)),IF(_xlpm.m=0,"",_xlpm.m+1))</f>
        <v/>
      </c>
      <c r="J2481" s="137" t="inlineStr">
        <is>
          <t>Shopify</t>
        </is>
      </c>
    </row>
    <row r="2482">
      <c r="A2482" s="5" t="inlineStr">
        <is>
          <t>Shopify Stetson México › Stetson Americas</t>
        </is>
      </c>
      <c r="B2482" s="5">
        <f>IF($I2="","",INDEX(Productos!$A:$A,$I2))</f>
        <v/>
      </c>
      <c r="C2482" s="134" t="inlineStr">
        <is>
          <t>12-021-BS001-12-1033-024</t>
        </is>
      </c>
      <c r="D2482" s="5">
        <f>IF($I2="","",INDEX(Productos!$B:$B,$I2))</f>
        <v/>
      </c>
      <c r="E2482" s="5">
        <f>IF($I2="","",INDEX(Productos!$H:$H,$I2))</f>
        <v/>
      </c>
      <c r="F2482" s="5">
        <f>IF($I2="","",INDEX(Productos!$I:$I,$I2))</f>
        <v/>
      </c>
      <c r="G2482" s="135" t="n">
        <v>1</v>
      </c>
      <c r="H2482" s="5">
        <f>IF($I2="","",INDEX(Productos!$AG:$AG,$I2))</f>
        <v/>
      </c>
      <c r="I2482" s="136">
        <f>LET(_xlpm.r,Productos!$E$2:$E$2509,_xlpm.m,IFERROR(_xlfn.XMATCH(C2482,_xlpm.r),IFERROR(_xlfn.XMATCH(VALUE(C2482),_xlpm.r),0)),IF(_xlpm.m=0,"",_xlpm.m+1))</f>
        <v/>
      </c>
      <c r="J2482" s="137" t="inlineStr">
        <is>
          <t>Shopify</t>
        </is>
      </c>
    </row>
    <row r="2483">
      <c r="A2483" s="5" t="inlineStr">
        <is>
          <t>Shopify Stetson México › Stetson Americas</t>
        </is>
      </c>
      <c r="B2483" s="5">
        <f>IF($I2="","",INDEX(Productos!$A:$A,$I2))</f>
        <v/>
      </c>
      <c r="C2483" s="134" t="inlineStr">
        <is>
          <t>12-021-BS001-12-1033-025</t>
        </is>
      </c>
      <c r="D2483" s="5">
        <f>IF($I2="","",INDEX(Productos!$B:$B,$I2))</f>
        <v/>
      </c>
      <c r="E2483" s="5">
        <f>IF($I2="","",INDEX(Productos!$H:$H,$I2))</f>
        <v/>
      </c>
      <c r="F2483" s="5">
        <f>IF($I2="","",INDEX(Productos!$I:$I,$I2))</f>
        <v/>
      </c>
      <c r="G2483" s="135" t="n">
        <v>2</v>
      </c>
      <c r="H2483" s="5">
        <f>IF($I2="","",INDEX(Productos!$AG:$AG,$I2))</f>
        <v/>
      </c>
      <c r="I2483" s="136">
        <f>LET(_xlpm.r,Productos!$E$2:$E$2509,_xlpm.m,IFERROR(_xlfn.XMATCH(C2483,_xlpm.r),IFERROR(_xlfn.XMATCH(VALUE(C2483),_xlpm.r),0)),IF(_xlpm.m=0,"",_xlpm.m+1))</f>
        <v/>
      </c>
      <c r="J2483" s="137" t="inlineStr">
        <is>
          <t>Shopify</t>
        </is>
      </c>
    </row>
    <row r="2484">
      <c r="A2484" s="5" t="inlineStr">
        <is>
          <t>Shopify Stetson México › Stetson Americas</t>
        </is>
      </c>
      <c r="B2484" s="5">
        <f>IF($I2="","",INDEX(Productos!$A:$A,$I2))</f>
        <v/>
      </c>
      <c r="C2484" s="134" t="inlineStr">
        <is>
          <t>12-021-BS002-13-1034-024</t>
        </is>
      </c>
      <c r="D2484" s="5">
        <f>IF($I2="","",INDEX(Productos!$B:$B,$I2))</f>
        <v/>
      </c>
      <c r="E2484" s="5">
        <f>IF($I2="","",INDEX(Productos!$H:$H,$I2))</f>
        <v/>
      </c>
      <c r="F2484" s="5">
        <f>IF($I2="","",INDEX(Productos!$I:$I,$I2))</f>
        <v/>
      </c>
      <c r="G2484" s="135" t="n">
        <v>2</v>
      </c>
      <c r="H2484" s="5">
        <f>IF($I2="","",INDEX(Productos!$AG:$AG,$I2))</f>
        <v/>
      </c>
      <c r="I2484" s="136">
        <f>LET(_xlpm.r,Productos!$E$2:$E$2509,_xlpm.m,IFERROR(_xlfn.XMATCH(C2484,_xlpm.r),IFERROR(_xlfn.XMATCH(VALUE(C2484),_xlpm.r),0)),IF(_xlpm.m=0,"",_xlpm.m+1))</f>
        <v/>
      </c>
      <c r="J2484" s="137" t="inlineStr">
        <is>
          <t>Shopify</t>
        </is>
      </c>
    </row>
    <row r="2485">
      <c r="A2485" s="5" t="inlineStr">
        <is>
          <t>Shopify Stetson México › Stetson Americas</t>
        </is>
      </c>
      <c r="B2485" s="5">
        <f>IF($I2="","",INDEX(Productos!$A:$A,$I2))</f>
        <v/>
      </c>
      <c r="C2485" s="134" t="inlineStr">
        <is>
          <t>12-021-BS002-13-1034-025</t>
        </is>
      </c>
      <c r="D2485" s="5">
        <f>IF($I2="","",INDEX(Productos!$B:$B,$I2))</f>
        <v/>
      </c>
      <c r="E2485" s="5">
        <f>IF($I2="","",INDEX(Productos!$H:$H,$I2))</f>
        <v/>
      </c>
      <c r="F2485" s="5">
        <f>IF($I2="","",INDEX(Productos!$I:$I,$I2))</f>
        <v/>
      </c>
      <c r="G2485" s="135" t="n">
        <v>2</v>
      </c>
      <c r="H2485" s="5">
        <f>IF($I2="","",INDEX(Productos!$AG:$AG,$I2))</f>
        <v/>
      </c>
      <c r="I2485" s="136">
        <f>LET(_xlpm.r,Productos!$E$2:$E$2509,_xlpm.m,IFERROR(_xlfn.XMATCH(C2485,_xlpm.r),IFERROR(_xlfn.XMATCH(VALUE(C2485),_xlpm.r),0)),IF(_xlpm.m=0,"",_xlpm.m+1))</f>
        <v/>
      </c>
      <c r="J2485" s="137" t="inlineStr">
        <is>
          <t>Shopify</t>
        </is>
      </c>
    </row>
    <row r="2486">
      <c r="A2486" s="5" t="inlineStr">
        <is>
          <t>Shopify Stetson México › Stetson Americas</t>
        </is>
      </c>
      <c r="B2486" s="5">
        <f>IF($I2="","",INDEX(Productos!$A:$A,$I2))</f>
        <v/>
      </c>
      <c r="C2486" s="134" t="inlineStr">
        <is>
          <t>12-021-BS002-13-1034-245</t>
        </is>
      </c>
      <c r="D2486" s="5">
        <f>IF($I2="","",INDEX(Productos!$B:$B,$I2))</f>
        <v/>
      </c>
      <c r="E2486" s="5">
        <f>IF($I2="","",INDEX(Productos!$H:$H,$I2))</f>
        <v/>
      </c>
      <c r="F2486" s="5">
        <f>IF($I2="","",INDEX(Productos!$I:$I,$I2))</f>
        <v/>
      </c>
      <c r="G2486" s="135" t="n">
        <v>2</v>
      </c>
      <c r="H2486" s="5">
        <f>IF($I2="","",INDEX(Productos!$AG:$AG,$I2))</f>
        <v/>
      </c>
      <c r="I2486" s="136">
        <f>LET(_xlpm.r,Productos!$E$2:$E$2509,_xlpm.m,IFERROR(_xlfn.XMATCH(C2486,_xlpm.r),IFERROR(_xlfn.XMATCH(VALUE(C2486),_xlpm.r),0)),IF(_xlpm.m=0,"",_xlpm.m+1))</f>
        <v/>
      </c>
      <c r="J2486" s="137" t="inlineStr">
        <is>
          <t>Shopify</t>
        </is>
      </c>
    </row>
    <row r="2487">
      <c r="A2487" s="5" t="inlineStr">
        <is>
          <t>Shopify Stetson México › Stetson Americas</t>
        </is>
      </c>
      <c r="B2487" s="5">
        <f>IF($I2="","",INDEX(Productos!$A:$A,$I2))</f>
        <v/>
      </c>
      <c r="C2487" s="134" t="inlineStr">
        <is>
          <t>12-021-BS002-13-1035-024</t>
        </is>
      </c>
      <c r="D2487" s="5">
        <f>IF($I2="","",INDEX(Productos!$B:$B,$I2))</f>
        <v/>
      </c>
      <c r="E2487" s="5">
        <f>IF($I2="","",INDEX(Productos!$H:$H,$I2))</f>
        <v/>
      </c>
      <c r="F2487" s="5">
        <f>IF($I2="","",INDEX(Productos!$I:$I,$I2))</f>
        <v/>
      </c>
      <c r="G2487" s="135" t="n">
        <v>2</v>
      </c>
      <c r="H2487" s="5">
        <f>IF($I2="","",INDEX(Productos!$AG:$AG,$I2))</f>
        <v/>
      </c>
      <c r="I2487" s="136">
        <f>LET(_xlpm.r,Productos!$E$2:$E$2509,_xlpm.m,IFERROR(_xlfn.XMATCH(C2487,_xlpm.r),IFERROR(_xlfn.XMATCH(VALUE(C2487),_xlpm.r),0)),IF(_xlpm.m=0,"",_xlpm.m+1))</f>
        <v/>
      </c>
      <c r="J2487" s="137" t="inlineStr">
        <is>
          <t>Shopify</t>
        </is>
      </c>
    </row>
    <row r="2488">
      <c r="A2488" s="5" t="inlineStr">
        <is>
          <t>Shopify Stetson México › Stetson Americas</t>
        </is>
      </c>
      <c r="B2488" s="5">
        <f>IF($I2="","",INDEX(Productos!$A:$A,$I2))</f>
        <v/>
      </c>
      <c r="C2488" s="134" t="inlineStr">
        <is>
          <t>12-021-BS002-13-1035-025</t>
        </is>
      </c>
      <c r="D2488" s="5">
        <f>IF($I2="","",INDEX(Productos!$B:$B,$I2))</f>
        <v/>
      </c>
      <c r="E2488" s="5">
        <f>IF($I2="","",INDEX(Productos!$H:$H,$I2))</f>
        <v/>
      </c>
      <c r="F2488" s="5">
        <f>IF($I2="","",INDEX(Productos!$I:$I,$I2))</f>
        <v/>
      </c>
      <c r="G2488" s="135" t="n">
        <v>2</v>
      </c>
      <c r="H2488" s="5">
        <f>IF($I2="","",INDEX(Productos!$AG:$AG,$I2))</f>
        <v/>
      </c>
      <c r="I2488" s="136">
        <f>LET(_xlpm.r,Productos!$E$2:$E$2509,_xlpm.m,IFERROR(_xlfn.XMATCH(C2488,_xlpm.r),IFERROR(_xlfn.XMATCH(VALUE(C2488),_xlpm.r),0)),IF(_xlpm.m=0,"",_xlpm.m+1))</f>
        <v/>
      </c>
      <c r="J2488" s="137" t="inlineStr">
        <is>
          <t>Shopify</t>
        </is>
      </c>
    </row>
    <row r="2489">
      <c r="A2489" s="5" t="inlineStr">
        <is>
          <t>Shopify Stetson México › Stetson Americas</t>
        </is>
      </c>
      <c r="B2489" s="5">
        <f>IF($I2="","",INDEX(Productos!$A:$A,$I2))</f>
        <v/>
      </c>
      <c r="C2489" s="134" t="inlineStr">
        <is>
          <t>12-021-BS002-13-1035-245</t>
        </is>
      </c>
      <c r="D2489" s="5">
        <f>IF($I2="","",INDEX(Productos!$B:$B,$I2))</f>
        <v/>
      </c>
      <c r="E2489" s="5">
        <f>IF($I2="","",INDEX(Productos!$H:$H,$I2))</f>
        <v/>
      </c>
      <c r="F2489" s="5">
        <f>IF($I2="","",INDEX(Productos!$I:$I,$I2))</f>
        <v/>
      </c>
      <c r="G2489" s="135" t="n">
        <v>2</v>
      </c>
      <c r="H2489" s="5">
        <f>IF($I2="","",INDEX(Productos!$AG:$AG,$I2))</f>
        <v/>
      </c>
      <c r="I2489" s="136">
        <f>LET(_xlpm.r,Productos!$E$2:$E$2509,_xlpm.m,IFERROR(_xlfn.XMATCH(C2489,_xlpm.r),IFERROR(_xlfn.XMATCH(VALUE(C2489),_xlpm.r),0)),IF(_xlpm.m=0,"",_xlpm.m+1))</f>
        <v/>
      </c>
      <c r="J2489" s="137" t="inlineStr">
        <is>
          <t>Shopify</t>
        </is>
      </c>
    </row>
    <row r="2490">
      <c r="A2490" s="5" t="inlineStr">
        <is>
          <t>Shopify Stetson México › Stetson Americas</t>
        </is>
      </c>
      <c r="B2490" s="5">
        <f>IF($I2="","",INDEX(Productos!$A:$A,$I2))</f>
        <v/>
      </c>
      <c r="C2490" s="134" t="inlineStr">
        <is>
          <t>12-021-BS002-13-1036-023</t>
        </is>
      </c>
      <c r="D2490" s="5">
        <f>IF($I2="","",INDEX(Productos!$B:$B,$I2))</f>
        <v/>
      </c>
      <c r="E2490" s="5">
        <f>IF($I2="","",INDEX(Productos!$H:$H,$I2))</f>
        <v/>
      </c>
      <c r="F2490" s="5">
        <f>IF($I2="","",INDEX(Productos!$I:$I,$I2))</f>
        <v/>
      </c>
      <c r="G2490" s="135" t="n">
        <v>1</v>
      </c>
      <c r="H2490" s="5">
        <f>IF($I2="","",INDEX(Productos!$AG:$AG,$I2))</f>
        <v/>
      </c>
      <c r="I2490" s="136">
        <f>LET(_xlpm.r,Productos!$E$2:$E$2509,_xlpm.m,IFERROR(_xlfn.XMATCH(C2490,_xlpm.r),IFERROR(_xlfn.XMATCH(VALUE(C2490),_xlpm.r),0)),IF(_xlpm.m=0,"",_xlpm.m+1))</f>
        <v/>
      </c>
      <c r="J2490" s="137" t="inlineStr">
        <is>
          <t>Shopify</t>
        </is>
      </c>
    </row>
    <row r="2491">
      <c r="A2491" s="5" t="inlineStr">
        <is>
          <t>Shopify Stetson México › Stetson Americas</t>
        </is>
      </c>
      <c r="B2491" s="5">
        <f>IF($I2="","",INDEX(Productos!$A:$A,$I2))</f>
        <v/>
      </c>
      <c r="C2491" s="134" t="inlineStr">
        <is>
          <t>12-021-BS002-13-1036-024</t>
        </is>
      </c>
      <c r="D2491" s="5">
        <f>IF($I2="","",INDEX(Productos!$B:$B,$I2))</f>
        <v/>
      </c>
      <c r="E2491" s="5">
        <f>IF($I2="","",INDEX(Productos!$H:$H,$I2))</f>
        <v/>
      </c>
      <c r="F2491" s="5">
        <f>IF($I2="","",INDEX(Productos!$I:$I,$I2))</f>
        <v/>
      </c>
      <c r="G2491" s="135" t="n">
        <v>2</v>
      </c>
      <c r="H2491" s="5">
        <f>IF($I2="","",INDEX(Productos!$AG:$AG,$I2))</f>
        <v/>
      </c>
      <c r="I2491" s="136">
        <f>LET(_xlpm.r,Productos!$E$2:$E$2509,_xlpm.m,IFERROR(_xlfn.XMATCH(C2491,_xlpm.r),IFERROR(_xlfn.XMATCH(VALUE(C2491),_xlpm.r),0)),IF(_xlpm.m=0,"",_xlpm.m+1))</f>
        <v/>
      </c>
      <c r="J2491" s="137" t="inlineStr">
        <is>
          <t>Shopify</t>
        </is>
      </c>
    </row>
    <row r="2492">
      <c r="A2492" s="5" t="inlineStr">
        <is>
          <t>Shopify Stetson México › Stetson Americas</t>
        </is>
      </c>
      <c r="B2492" s="5">
        <f>IF($I2="","",INDEX(Productos!$A:$A,$I2))</f>
        <v/>
      </c>
      <c r="C2492" s="134" t="inlineStr">
        <is>
          <t>12-021-BS002-13-1036-025</t>
        </is>
      </c>
      <c r="D2492" s="5">
        <f>IF($I2="","",INDEX(Productos!$B:$B,$I2))</f>
        <v/>
      </c>
      <c r="E2492" s="5">
        <f>IF($I2="","",INDEX(Productos!$H:$H,$I2))</f>
        <v/>
      </c>
      <c r="F2492" s="5">
        <f>IF($I2="","",INDEX(Productos!$I:$I,$I2))</f>
        <v/>
      </c>
      <c r="G2492" s="135" t="n">
        <v>2</v>
      </c>
      <c r="H2492" s="5">
        <f>IF($I2="","",INDEX(Productos!$AG:$AG,$I2))</f>
        <v/>
      </c>
      <c r="I2492" s="136">
        <f>LET(_xlpm.r,Productos!$E$2:$E$2509,_xlpm.m,IFERROR(_xlfn.XMATCH(C2492,_xlpm.r),IFERROR(_xlfn.XMATCH(VALUE(C2492),_xlpm.r),0)),IF(_xlpm.m=0,"",_xlpm.m+1))</f>
        <v/>
      </c>
      <c r="J2492" s="137" t="inlineStr">
        <is>
          <t>Shopify</t>
        </is>
      </c>
    </row>
    <row r="2493">
      <c r="A2493" s="5" t="inlineStr">
        <is>
          <t>Shopify Stetson México › Stetson Americas</t>
        </is>
      </c>
      <c r="B2493" s="5">
        <f>IF($I2="","",INDEX(Productos!$A:$A,$I2))</f>
        <v/>
      </c>
      <c r="C2493" s="134" t="inlineStr">
        <is>
          <t>12-021-BS002-13-1036-245</t>
        </is>
      </c>
      <c r="D2493" s="5">
        <f>IF($I2="","",INDEX(Productos!$B:$B,$I2))</f>
        <v/>
      </c>
      <c r="E2493" s="5">
        <f>IF($I2="","",INDEX(Productos!$H:$H,$I2))</f>
        <v/>
      </c>
      <c r="F2493" s="5">
        <f>IF($I2="","",INDEX(Productos!$I:$I,$I2))</f>
        <v/>
      </c>
      <c r="G2493" s="135" t="n">
        <v>2</v>
      </c>
      <c r="H2493" s="5">
        <f>IF($I2="","",INDEX(Productos!$AG:$AG,$I2))</f>
        <v/>
      </c>
      <c r="I2493" s="136">
        <f>LET(_xlpm.r,Productos!$E$2:$E$2509,_xlpm.m,IFERROR(_xlfn.XMATCH(C2493,_xlpm.r),IFERROR(_xlfn.XMATCH(VALUE(C2493),_xlpm.r),0)),IF(_xlpm.m=0,"",_xlpm.m+1))</f>
        <v/>
      </c>
      <c r="J2493" s="137" t="inlineStr">
        <is>
          <t>Shopify</t>
        </is>
      </c>
    </row>
    <row r="2494">
      <c r="A2494" s="5" t="inlineStr">
        <is>
          <t>Shopify Stetson México › Stetson Americas</t>
        </is>
      </c>
      <c r="B2494" s="5">
        <f>IF($I2="","",INDEX(Productos!$A:$A,$I2))</f>
        <v/>
      </c>
      <c r="C2494" s="134" t="inlineStr">
        <is>
          <t>12-021-BS003-13-1037-023</t>
        </is>
      </c>
      <c r="D2494" s="5">
        <f>IF($I2="","",INDEX(Productos!$B:$B,$I2))</f>
        <v/>
      </c>
      <c r="E2494" s="5">
        <f>IF($I2="","",INDEX(Productos!$H:$H,$I2))</f>
        <v/>
      </c>
      <c r="F2494" s="5">
        <f>IF($I2="","",INDEX(Productos!$I:$I,$I2))</f>
        <v/>
      </c>
      <c r="G2494" s="135" t="n">
        <v>1</v>
      </c>
      <c r="H2494" s="5">
        <f>IF($I2="","",INDEX(Productos!$AG:$AG,$I2))</f>
        <v/>
      </c>
      <c r="I2494" s="136">
        <f>LET(_xlpm.r,Productos!$E$2:$E$2509,_xlpm.m,IFERROR(_xlfn.XMATCH(C2494,_xlpm.r),IFERROR(_xlfn.XMATCH(VALUE(C2494),_xlpm.r),0)),IF(_xlpm.m=0,"",_xlpm.m+1))</f>
        <v/>
      </c>
      <c r="J2494" s="137" t="inlineStr">
        <is>
          <t>Shopify</t>
        </is>
      </c>
    </row>
    <row r="2495">
      <c r="A2495" s="5" t="inlineStr">
        <is>
          <t>Shopify Stetson México › Stetson Americas</t>
        </is>
      </c>
      <c r="B2495" s="5">
        <f>IF($I2="","",INDEX(Productos!$A:$A,$I2))</f>
        <v/>
      </c>
      <c r="C2495" s="134" t="inlineStr">
        <is>
          <t>12-021-BS003-13-1037-025</t>
        </is>
      </c>
      <c r="D2495" s="5">
        <f>IF($I2="","",INDEX(Productos!$B:$B,$I2))</f>
        <v/>
      </c>
      <c r="E2495" s="5">
        <f>IF($I2="","",INDEX(Productos!$H:$H,$I2))</f>
        <v/>
      </c>
      <c r="F2495" s="5">
        <f>IF($I2="","",INDEX(Productos!$I:$I,$I2))</f>
        <v/>
      </c>
      <c r="G2495" s="135" t="n">
        <v>2</v>
      </c>
      <c r="H2495" s="5">
        <f>IF($I2="","",INDEX(Productos!$AG:$AG,$I2))</f>
        <v/>
      </c>
      <c r="I2495" s="136">
        <f>LET(_xlpm.r,Productos!$E$2:$E$2509,_xlpm.m,IFERROR(_xlfn.XMATCH(C2495,_xlpm.r),IFERROR(_xlfn.XMATCH(VALUE(C2495),_xlpm.r),0)),IF(_xlpm.m=0,"",_xlpm.m+1))</f>
        <v/>
      </c>
      <c r="J2495" s="137" t="inlineStr">
        <is>
          <t>Shopify</t>
        </is>
      </c>
    </row>
    <row r="2496">
      <c r="A2496" s="5" t="inlineStr">
        <is>
          <t>Shopify Stetson México › Stetson Americas</t>
        </is>
      </c>
      <c r="B2496" s="5">
        <f>IF($I2="","",INDEX(Productos!$A:$A,$I2))</f>
        <v/>
      </c>
      <c r="C2496" s="134" t="inlineStr">
        <is>
          <t>12-021-BS003-13-1037-235</t>
        </is>
      </c>
      <c r="D2496" s="5">
        <f>IF($I2="","",INDEX(Productos!$B:$B,$I2))</f>
        <v/>
      </c>
      <c r="E2496" s="5">
        <f>IF($I2="","",INDEX(Productos!$H:$H,$I2))</f>
        <v/>
      </c>
      <c r="F2496" s="5">
        <f>IF($I2="","",INDEX(Productos!$I:$I,$I2))</f>
        <v/>
      </c>
      <c r="G2496" s="135" t="n">
        <v>1</v>
      </c>
      <c r="H2496" s="5">
        <f>IF($I2="","",INDEX(Productos!$AG:$AG,$I2))</f>
        <v/>
      </c>
      <c r="I2496" s="136">
        <f>LET(_xlpm.r,Productos!$E$2:$E$2509,_xlpm.m,IFERROR(_xlfn.XMATCH(C2496,_xlpm.r),IFERROR(_xlfn.XMATCH(VALUE(C2496),_xlpm.r),0)),IF(_xlpm.m=0,"",_xlpm.m+1))</f>
        <v/>
      </c>
      <c r="J2496" s="137" t="inlineStr">
        <is>
          <t>Shopify</t>
        </is>
      </c>
    </row>
    <row r="2497">
      <c r="A2497" s="5" t="inlineStr">
        <is>
          <t>Shopify Stetson México › Stetson Americas</t>
        </is>
      </c>
      <c r="B2497" s="5">
        <f>IF($I2="","",INDEX(Productos!$A:$A,$I2))</f>
        <v/>
      </c>
      <c r="C2497" s="134" t="inlineStr">
        <is>
          <t>12-021-BS003-13-1037-245</t>
        </is>
      </c>
      <c r="D2497" s="5">
        <f>IF($I2="","",INDEX(Productos!$B:$B,$I2))</f>
        <v/>
      </c>
      <c r="E2497" s="5">
        <f>IF($I2="","",INDEX(Productos!$H:$H,$I2))</f>
        <v/>
      </c>
      <c r="F2497" s="5">
        <f>IF($I2="","",INDEX(Productos!$I:$I,$I2))</f>
        <v/>
      </c>
      <c r="G2497" s="135" t="n">
        <v>2</v>
      </c>
      <c r="H2497" s="5">
        <f>IF($I2="","",INDEX(Productos!$AG:$AG,$I2))</f>
        <v/>
      </c>
      <c r="I2497" s="136">
        <f>LET(_xlpm.r,Productos!$E$2:$E$2509,_xlpm.m,IFERROR(_xlfn.XMATCH(C2497,_xlpm.r),IFERROR(_xlfn.XMATCH(VALUE(C2497),_xlpm.r),0)),IF(_xlpm.m=0,"",_xlpm.m+1))</f>
        <v/>
      </c>
      <c r="J2497" s="137" t="inlineStr">
        <is>
          <t>Shopify</t>
        </is>
      </c>
    </row>
    <row r="2498">
      <c r="A2498" s="5" t="inlineStr">
        <is>
          <t>Shopify Stetson México › Stetson Americas</t>
        </is>
      </c>
      <c r="B2498" s="5">
        <f>IF($I2="","",INDEX(Productos!$A:$A,$I2))</f>
        <v/>
      </c>
      <c r="C2498" s="134" t="inlineStr">
        <is>
          <t>12-021-BS003-13-1038-024</t>
        </is>
      </c>
      <c r="D2498" s="5">
        <f>IF($I2="","",INDEX(Productos!$B:$B,$I2))</f>
        <v/>
      </c>
      <c r="E2498" s="5">
        <f>IF($I2="","",INDEX(Productos!$H:$H,$I2))</f>
        <v/>
      </c>
      <c r="F2498" s="5">
        <f>IF($I2="","",INDEX(Productos!$I:$I,$I2))</f>
        <v/>
      </c>
      <c r="G2498" s="135" t="n">
        <v>2</v>
      </c>
      <c r="H2498" s="5">
        <f>IF($I2="","",INDEX(Productos!$AG:$AG,$I2))</f>
        <v/>
      </c>
      <c r="I2498" s="136">
        <f>LET(_xlpm.r,Productos!$E$2:$E$2509,_xlpm.m,IFERROR(_xlfn.XMATCH(C2498,_xlpm.r),IFERROR(_xlfn.XMATCH(VALUE(C2498),_xlpm.r),0)),IF(_xlpm.m=0,"",_xlpm.m+1))</f>
        <v/>
      </c>
      <c r="J2498" s="137" t="inlineStr">
        <is>
          <t>Shopify</t>
        </is>
      </c>
    </row>
    <row r="2499">
      <c r="A2499" s="5" t="inlineStr">
        <is>
          <t>Shopify Stetson México › Stetson Americas</t>
        </is>
      </c>
      <c r="B2499" s="5">
        <f>IF($I2="","",INDEX(Productos!$A:$A,$I2))</f>
        <v/>
      </c>
      <c r="C2499" s="134" t="inlineStr">
        <is>
          <t>12-021-BS003-13-1038-245</t>
        </is>
      </c>
      <c r="D2499" s="5">
        <f>IF($I2="","",INDEX(Productos!$B:$B,$I2))</f>
        <v/>
      </c>
      <c r="E2499" s="5">
        <f>IF($I2="","",INDEX(Productos!$H:$H,$I2))</f>
        <v/>
      </c>
      <c r="F2499" s="5">
        <f>IF($I2="","",INDEX(Productos!$I:$I,$I2))</f>
        <v/>
      </c>
      <c r="G2499" s="135" t="n">
        <v>1</v>
      </c>
      <c r="H2499" s="5">
        <f>IF($I2="","",INDEX(Productos!$AG:$AG,$I2))</f>
        <v/>
      </c>
      <c r="I2499" s="136">
        <f>LET(_xlpm.r,Productos!$E$2:$E$2509,_xlpm.m,IFERROR(_xlfn.XMATCH(C2499,_xlpm.r),IFERROR(_xlfn.XMATCH(VALUE(C2499),_xlpm.r),0)),IF(_xlpm.m=0,"",_xlpm.m+1))</f>
        <v/>
      </c>
      <c r="J2499" s="137" t="inlineStr">
        <is>
          <t>Shopify</t>
        </is>
      </c>
    </row>
    <row r="2500">
      <c r="A2500" s="5" t="inlineStr">
        <is>
          <t>Shopify Stetson México › Stetson Americas</t>
        </is>
      </c>
      <c r="B2500" s="5">
        <f>IF($I2="","",INDEX(Productos!$A:$A,$I2))</f>
        <v/>
      </c>
      <c r="C2500" s="134" t="inlineStr">
        <is>
          <t>12-021-BS003-13-1039-024</t>
        </is>
      </c>
      <c r="D2500" s="5">
        <f>IF($I2="","",INDEX(Productos!$B:$B,$I2))</f>
        <v/>
      </c>
      <c r="E2500" s="5">
        <f>IF($I2="","",INDEX(Productos!$H:$H,$I2))</f>
        <v/>
      </c>
      <c r="F2500" s="5">
        <f>IF($I2="","",INDEX(Productos!$I:$I,$I2))</f>
        <v/>
      </c>
      <c r="G2500" s="135" t="n">
        <v>3</v>
      </c>
      <c r="H2500" s="5">
        <f>IF($I2="","",INDEX(Productos!$AG:$AG,$I2))</f>
        <v/>
      </c>
      <c r="I2500" s="136">
        <f>LET(_xlpm.r,Productos!$E$2:$E$2509,_xlpm.m,IFERROR(_xlfn.XMATCH(C2500,_xlpm.r),IFERROR(_xlfn.XMATCH(VALUE(C2500),_xlpm.r),0)),IF(_xlpm.m=0,"",_xlpm.m+1))</f>
        <v/>
      </c>
      <c r="J2500" s="137" t="inlineStr">
        <is>
          <t>Shopify</t>
        </is>
      </c>
    </row>
    <row r="2501">
      <c r="A2501" s="5" t="inlineStr">
        <is>
          <t>Shopify Stetson México › Stetson Americas</t>
        </is>
      </c>
      <c r="B2501" s="5">
        <f>IF($I2="","",INDEX(Productos!$A:$A,$I2))</f>
        <v/>
      </c>
      <c r="C2501" s="134" t="inlineStr">
        <is>
          <t>12-021-BS003-13-1039-235</t>
        </is>
      </c>
      <c r="D2501" s="5">
        <f>IF($I2="","",INDEX(Productos!$B:$B,$I2))</f>
        <v/>
      </c>
      <c r="E2501" s="5">
        <f>IF($I2="","",INDEX(Productos!$H:$H,$I2))</f>
        <v/>
      </c>
      <c r="F2501" s="5">
        <f>IF($I2="","",INDEX(Productos!$I:$I,$I2))</f>
        <v/>
      </c>
      <c r="G2501" s="135" t="n">
        <v>1</v>
      </c>
      <c r="H2501" s="5">
        <f>IF($I2="","",INDEX(Productos!$AG:$AG,$I2))</f>
        <v/>
      </c>
      <c r="I2501" s="136">
        <f>LET(_xlpm.r,Productos!$E$2:$E$2509,_xlpm.m,IFERROR(_xlfn.XMATCH(C2501,_xlpm.r),IFERROR(_xlfn.XMATCH(VALUE(C2501),_xlpm.r),0)),IF(_xlpm.m=0,"",_xlpm.m+1))</f>
        <v/>
      </c>
      <c r="J2501" s="137" t="inlineStr">
        <is>
          <t>Shopify</t>
        </is>
      </c>
    </row>
    <row r="2502">
      <c r="A2502" s="5" t="inlineStr">
        <is>
          <t>Shopify Stetson México › Stetson Americas</t>
        </is>
      </c>
      <c r="B2502" s="5">
        <f>IF($I2="","",INDEX(Productos!$A:$A,$I2))</f>
        <v/>
      </c>
      <c r="C2502" s="134" t="inlineStr">
        <is>
          <t>12-021-BS003-13-1039-245</t>
        </is>
      </c>
      <c r="D2502" s="5">
        <f>IF($I2="","",INDEX(Productos!$B:$B,$I2))</f>
        <v/>
      </c>
      <c r="E2502" s="5">
        <f>IF($I2="","",INDEX(Productos!$H:$H,$I2))</f>
        <v/>
      </c>
      <c r="F2502" s="5">
        <f>IF($I2="","",INDEX(Productos!$I:$I,$I2))</f>
        <v/>
      </c>
      <c r="G2502" s="135" t="n">
        <v>4</v>
      </c>
      <c r="H2502" s="5">
        <f>IF($I2="","",INDEX(Productos!$AG:$AG,$I2))</f>
        <v/>
      </c>
      <c r="I2502" s="136">
        <f>LET(_xlpm.r,Productos!$E$2:$E$2509,_xlpm.m,IFERROR(_xlfn.XMATCH(C2502,_xlpm.r),IFERROR(_xlfn.XMATCH(VALUE(C2502),_xlpm.r),0)),IF(_xlpm.m=0,"",_xlpm.m+1))</f>
        <v/>
      </c>
      <c r="J2502" s="137" t="inlineStr">
        <is>
          <t>Shopify</t>
        </is>
      </c>
    </row>
    <row r="2503">
      <c r="A2503" s="5" t="inlineStr">
        <is>
          <t>Shopify Stetson México › Stetson Americas</t>
        </is>
      </c>
      <c r="B2503" s="5">
        <f>IF($I2="","",INDEX(Productos!$A:$A,$I2))</f>
        <v/>
      </c>
      <c r="C2503" s="134" t="inlineStr">
        <is>
          <t>12-021-BS003-13-1040-023</t>
        </is>
      </c>
      <c r="D2503" s="5">
        <f>IF($I2="","",INDEX(Productos!$B:$B,$I2))</f>
        <v/>
      </c>
      <c r="E2503" s="5">
        <f>IF($I2="","",INDEX(Productos!$H:$H,$I2))</f>
        <v/>
      </c>
      <c r="F2503" s="5">
        <f>IF($I2="","",INDEX(Productos!$I:$I,$I2))</f>
        <v/>
      </c>
      <c r="G2503" s="135" t="n">
        <v>1</v>
      </c>
      <c r="H2503" s="5">
        <f>IF($I2="","",INDEX(Productos!$AG:$AG,$I2))</f>
        <v/>
      </c>
      <c r="I2503" s="136">
        <f>LET(_xlpm.r,Productos!$E$2:$E$2509,_xlpm.m,IFERROR(_xlfn.XMATCH(C2503,_xlpm.r),IFERROR(_xlfn.XMATCH(VALUE(C2503),_xlpm.r),0)),IF(_xlpm.m=0,"",_xlpm.m+1))</f>
        <v/>
      </c>
      <c r="J2503" s="137" t="inlineStr">
        <is>
          <t>Shopify</t>
        </is>
      </c>
    </row>
    <row r="2504">
      <c r="A2504" s="5" t="inlineStr">
        <is>
          <t>Shopify Stetson México › Stetson Americas</t>
        </is>
      </c>
      <c r="B2504" s="5">
        <f>IF($I2="","",INDEX(Productos!$A:$A,$I2))</f>
        <v/>
      </c>
      <c r="C2504" s="134" t="inlineStr">
        <is>
          <t>12-021-BS003-13-1040-024</t>
        </is>
      </c>
      <c r="D2504" s="5">
        <f>IF($I2="","",INDEX(Productos!$B:$B,$I2))</f>
        <v/>
      </c>
      <c r="E2504" s="5">
        <f>IF($I2="","",INDEX(Productos!$H:$H,$I2))</f>
        <v/>
      </c>
      <c r="F2504" s="5">
        <f>IF($I2="","",INDEX(Productos!$I:$I,$I2))</f>
        <v/>
      </c>
      <c r="G2504" s="135" t="n">
        <v>1</v>
      </c>
      <c r="H2504" s="5">
        <f>IF($I2="","",INDEX(Productos!$AG:$AG,$I2))</f>
        <v/>
      </c>
      <c r="I2504" s="136">
        <f>LET(_xlpm.r,Productos!$E$2:$E$2509,_xlpm.m,IFERROR(_xlfn.XMATCH(C2504,_xlpm.r),IFERROR(_xlfn.XMATCH(VALUE(C2504),_xlpm.r),0)),IF(_xlpm.m=0,"",_xlpm.m+1))</f>
        <v/>
      </c>
      <c r="J2504" s="137" t="inlineStr">
        <is>
          <t>Shopify</t>
        </is>
      </c>
    </row>
    <row r="2505">
      <c r="A2505" s="5" t="inlineStr">
        <is>
          <t>Shopify Stetson México › Stetson Americas</t>
        </is>
      </c>
      <c r="B2505" s="5">
        <f>IF($I2="","",INDEX(Productos!$A:$A,$I2))</f>
        <v/>
      </c>
      <c r="C2505" s="134" t="inlineStr">
        <is>
          <t>12-021-BS003-13-1040-025</t>
        </is>
      </c>
      <c r="D2505" s="5">
        <f>IF($I2="","",INDEX(Productos!$B:$B,$I2))</f>
        <v/>
      </c>
      <c r="E2505" s="5">
        <f>IF($I2="","",INDEX(Productos!$H:$H,$I2))</f>
        <v/>
      </c>
      <c r="F2505" s="5">
        <f>IF($I2="","",INDEX(Productos!$I:$I,$I2))</f>
        <v/>
      </c>
      <c r="G2505" s="135" t="n">
        <v>1</v>
      </c>
      <c r="H2505" s="5">
        <f>IF($I2="","",INDEX(Productos!$AG:$AG,$I2))</f>
        <v/>
      </c>
      <c r="I2505" s="136">
        <f>LET(_xlpm.r,Productos!$E$2:$E$2509,_xlpm.m,IFERROR(_xlfn.XMATCH(C2505,_xlpm.r),IFERROR(_xlfn.XMATCH(VALUE(C2505),_xlpm.r),0)),IF(_xlpm.m=0,"",_xlpm.m+1))</f>
        <v/>
      </c>
      <c r="J2505" s="137" t="inlineStr">
        <is>
          <t>Shopify</t>
        </is>
      </c>
    </row>
    <row r="2506">
      <c r="A2506" s="5" t="inlineStr">
        <is>
          <t>Shopify Stetson México › Stetson Americas</t>
        </is>
      </c>
      <c r="B2506" s="5">
        <f>IF($I2="","",INDEX(Productos!$A:$A,$I2))</f>
        <v/>
      </c>
      <c r="C2506" s="134" t="inlineStr">
        <is>
          <t>12-021-BS004-13-1041-245</t>
        </is>
      </c>
      <c r="D2506" s="5">
        <f>IF($I2="","",INDEX(Productos!$B:$B,$I2))</f>
        <v/>
      </c>
      <c r="E2506" s="5">
        <f>IF($I2="","",INDEX(Productos!$H:$H,$I2))</f>
        <v/>
      </c>
      <c r="F2506" s="5">
        <f>IF($I2="","",INDEX(Productos!$I:$I,$I2))</f>
        <v/>
      </c>
      <c r="G2506" s="135" t="n">
        <v>1</v>
      </c>
      <c r="H2506" s="5">
        <f>IF($I2="","",INDEX(Productos!$AG:$AG,$I2))</f>
        <v/>
      </c>
      <c r="I2506" s="136">
        <f>LET(_xlpm.r,Productos!$E$2:$E$2509,_xlpm.m,IFERROR(_xlfn.XMATCH(C2506,_xlpm.r),IFERROR(_xlfn.XMATCH(VALUE(C2506),_xlpm.r),0)),IF(_xlpm.m=0,"",_xlpm.m+1))</f>
        <v/>
      </c>
      <c r="J2506" s="137" t="inlineStr">
        <is>
          <t>Shopify</t>
        </is>
      </c>
    </row>
    <row r="2507">
      <c r="A2507" s="5" t="inlineStr">
        <is>
          <t>Shopify Stetson México › Stetson Americas</t>
        </is>
      </c>
      <c r="B2507" s="5">
        <f>IF($I2="","",INDEX(Productos!$A:$A,$I2))</f>
        <v/>
      </c>
      <c r="C2507" s="134" t="inlineStr">
        <is>
          <t>12-021-BS004-13-1042-025</t>
        </is>
      </c>
      <c r="D2507" s="5">
        <f>IF($I2="","",INDEX(Productos!$B:$B,$I2))</f>
        <v/>
      </c>
      <c r="E2507" s="5">
        <f>IF($I2="","",INDEX(Productos!$H:$H,$I2))</f>
        <v/>
      </c>
      <c r="F2507" s="5">
        <f>IF($I2="","",INDEX(Productos!$I:$I,$I2))</f>
        <v/>
      </c>
      <c r="G2507" s="135" t="n">
        <v>1</v>
      </c>
      <c r="H2507" s="5">
        <f>IF($I2="","",INDEX(Productos!$AG:$AG,$I2))</f>
        <v/>
      </c>
      <c r="I2507" s="136">
        <f>LET(_xlpm.r,Productos!$E$2:$E$2509,_xlpm.m,IFERROR(_xlfn.XMATCH(C2507,_xlpm.r),IFERROR(_xlfn.XMATCH(VALUE(C2507),_xlpm.r),0)),IF(_xlpm.m=0,"",_xlpm.m+1))</f>
        <v/>
      </c>
      <c r="J2507" s="137" t="inlineStr">
        <is>
          <t>Shopify</t>
        </is>
      </c>
    </row>
    <row r="2508">
      <c r="A2508" s="5" t="inlineStr">
        <is>
          <t>Shopify Stetson México › Stetson Americas</t>
        </is>
      </c>
      <c r="B2508" s="5">
        <f>IF($I2="","",INDEX(Productos!$A:$A,$I2))</f>
        <v/>
      </c>
      <c r="C2508" s="134" t="inlineStr">
        <is>
          <t>1360002</t>
        </is>
      </c>
      <c r="D2508" s="5">
        <f>IF($I2="","",INDEX(Productos!$B:$B,$I2))</f>
        <v/>
      </c>
      <c r="E2508" s="5">
        <f>IF($I2="","",INDEX(Productos!$H:$H,$I2))</f>
        <v/>
      </c>
      <c r="F2508" s="5">
        <f>IF($I2="","",INDEX(Productos!$I:$I,$I2))</f>
        <v/>
      </c>
      <c r="G2508" s="135" t="n">
        <v>6</v>
      </c>
      <c r="H2508" s="5">
        <f>IF($I2="","",INDEX(Productos!$AG:$AG,$I2))</f>
        <v/>
      </c>
      <c r="I2508" s="136">
        <f>LET(_xlpm.r,Productos!$E$2:$E$2509,_xlpm.m,IFERROR(_xlfn.XMATCH(C2508,_xlpm.r),IFERROR(_xlfn.XMATCH(VALUE(C2508),_xlpm.r),0)),IF(_xlpm.m=0,"",_xlpm.m+1))</f>
        <v/>
      </c>
      <c r="J2508" s="137" t="inlineStr">
        <is>
          <t>Shopify</t>
        </is>
      </c>
    </row>
    <row r="2509">
      <c r="A2509" s="5" t="inlineStr">
        <is>
          <t>Shopify Stetson México › Stetson Americas</t>
        </is>
      </c>
      <c r="B2509" s="5">
        <f>IF($I2="","",INDEX(Productos!$A:$A,$I2))</f>
        <v/>
      </c>
      <c r="C2509" s="134" t="inlineStr">
        <is>
          <t>200738</t>
        </is>
      </c>
      <c r="D2509" s="5">
        <f>IF($I2="","",INDEX(Productos!$B:$B,$I2))</f>
        <v/>
      </c>
      <c r="E2509" s="5">
        <f>IF($I2="","",INDEX(Productos!$H:$H,$I2))</f>
        <v/>
      </c>
      <c r="F2509" s="5">
        <f>IF($I2="","",INDEX(Productos!$I:$I,$I2))</f>
        <v/>
      </c>
      <c r="G2509" s="135" t="n">
        <v>12</v>
      </c>
      <c r="H2509" s="5">
        <f>IF($I2="","",INDEX(Productos!$AG:$AG,$I2))</f>
        <v/>
      </c>
      <c r="I2509" s="136">
        <f>LET(_xlpm.r,Productos!$E$2:$E$2509,_xlpm.m,IFERROR(_xlfn.XMATCH(C2509,_xlpm.r),IFERROR(_xlfn.XMATCH(VALUE(C2509),_xlpm.r),0)),IF(_xlpm.m=0,"",_xlpm.m+1))</f>
        <v/>
      </c>
      <c r="J2509" s="137" t="inlineStr">
        <is>
          <t>Shopify</t>
        </is>
      </c>
    </row>
    <row r="2510">
      <c r="A2510" s="5" t="inlineStr">
        <is>
          <t>Shopify Stetson México › Stetson Americas</t>
        </is>
      </c>
      <c r="B2510" s="5">
        <f>IF($I2="","",INDEX(Productos!$A:$A,$I2))</f>
        <v/>
      </c>
      <c r="C2510" s="134" t="inlineStr">
        <is>
          <t>200885</t>
        </is>
      </c>
      <c r="D2510" s="5">
        <f>IF($I2="","",INDEX(Productos!$B:$B,$I2))</f>
        <v/>
      </c>
      <c r="E2510" s="5">
        <f>IF($I2="","",INDEX(Productos!$H:$H,$I2))</f>
        <v/>
      </c>
      <c r="F2510" s="5">
        <f>IF($I2="","",INDEX(Productos!$I:$I,$I2))</f>
        <v/>
      </c>
      <c r="G2510" s="135" t="n">
        <v>10</v>
      </c>
      <c r="H2510" s="5">
        <f>IF($I2="","",INDEX(Productos!$AG:$AG,$I2))</f>
        <v/>
      </c>
      <c r="I2510" s="136">
        <f>LET(_xlpm.r,Productos!$E$2:$E$2509,_xlpm.m,IFERROR(_xlfn.XMATCH(C2510,_xlpm.r),IFERROR(_xlfn.XMATCH(VALUE(C2510),_xlpm.r),0)),IF(_xlpm.m=0,"",_xlpm.m+1))</f>
        <v/>
      </c>
      <c r="J2510" s="137" t="inlineStr">
        <is>
          <t>Shopify</t>
        </is>
      </c>
    </row>
    <row r="2511">
      <c r="A2511" s="5" t="inlineStr">
        <is>
          <t>Shopify Stetson México › Stetson Americas</t>
        </is>
      </c>
      <c r="B2511" s="5">
        <f>IF($I2="","",INDEX(Productos!$A:$A,$I2))</f>
        <v/>
      </c>
      <c r="C2511" s="134" t="inlineStr">
        <is>
          <t>202071</t>
        </is>
      </c>
      <c r="D2511" s="5">
        <f>IF($I2="","",INDEX(Productos!$B:$B,$I2))</f>
        <v/>
      </c>
      <c r="E2511" s="5">
        <f>IF($I2="","",INDEX(Productos!$H:$H,$I2))</f>
        <v/>
      </c>
      <c r="F2511" s="5">
        <f>IF($I2="","",INDEX(Productos!$I:$I,$I2))</f>
        <v/>
      </c>
      <c r="G2511" s="135" t="n">
        <v>1</v>
      </c>
      <c r="H2511" s="5">
        <f>IF($I2="","",INDEX(Productos!$AG:$AG,$I2))</f>
        <v/>
      </c>
      <c r="I2511" s="136">
        <f>LET(_xlpm.r,Productos!$E$2:$E$2509,_xlpm.m,IFERROR(_xlfn.XMATCH(C2511,_xlpm.r),IFERROR(_xlfn.XMATCH(VALUE(C2511),_xlpm.r),0)),IF(_xlpm.m=0,"",_xlpm.m+1))</f>
        <v/>
      </c>
      <c r="J2511" s="137" t="inlineStr">
        <is>
          <t>Shopify</t>
        </is>
      </c>
    </row>
    <row r="2512">
      <c r="A2512" s="5" t="inlineStr">
        <is>
          <t>Shopify Stetson México › Stetson Americas</t>
        </is>
      </c>
      <c r="B2512" s="5">
        <f>IF($I2="","",INDEX(Productos!$A:$A,$I2))</f>
        <v/>
      </c>
      <c r="C2512" s="134" t="inlineStr">
        <is>
          <t>202197</t>
        </is>
      </c>
      <c r="D2512" s="5">
        <f>IF($I2="","",INDEX(Productos!$B:$B,$I2))</f>
        <v/>
      </c>
      <c r="E2512" s="5">
        <f>IF($I2="","",INDEX(Productos!$H:$H,$I2))</f>
        <v/>
      </c>
      <c r="F2512" s="5">
        <f>IF($I2="","",INDEX(Productos!$I:$I,$I2))</f>
        <v/>
      </c>
      <c r="G2512" s="135" t="n">
        <v>10</v>
      </c>
      <c r="H2512" s="5">
        <f>IF($I2="","",INDEX(Productos!$AG:$AG,$I2))</f>
        <v/>
      </c>
      <c r="I2512" s="136">
        <f>LET(_xlpm.r,Productos!$E$2:$E$2509,_xlpm.m,IFERROR(_xlfn.XMATCH(C2512,_xlpm.r),IFERROR(_xlfn.XMATCH(VALUE(C2512),_xlpm.r),0)),IF(_xlpm.m=0,"",_xlpm.m+1))</f>
        <v/>
      </c>
      <c r="J2512" s="137" t="inlineStr">
        <is>
          <t>Shopify</t>
        </is>
      </c>
    </row>
    <row r="2513">
      <c r="A2513" s="5" t="inlineStr">
        <is>
          <t>Shopify Stetson México › Stetson Americas</t>
        </is>
      </c>
      <c r="B2513" s="5">
        <f>IF($I2="","",INDEX(Productos!$A:$A,$I2))</f>
        <v/>
      </c>
      <c r="C2513" s="134" t="inlineStr">
        <is>
          <t>205922</t>
        </is>
      </c>
      <c r="D2513" s="5">
        <f>IF($I2="","",INDEX(Productos!$B:$B,$I2))</f>
        <v/>
      </c>
      <c r="E2513" s="5">
        <f>IF($I2="","",INDEX(Productos!$H:$H,$I2))</f>
        <v/>
      </c>
      <c r="F2513" s="5">
        <f>IF($I2="","",INDEX(Productos!$I:$I,$I2))</f>
        <v/>
      </c>
      <c r="G2513" s="135" t="n">
        <v>12</v>
      </c>
      <c r="H2513" s="5">
        <f>IF($I2="","",INDEX(Productos!$AG:$AG,$I2))</f>
        <v/>
      </c>
      <c r="I2513" s="136">
        <f>LET(_xlpm.r,Productos!$E$2:$E$2509,_xlpm.m,IFERROR(_xlfn.XMATCH(C2513,_xlpm.r),IFERROR(_xlfn.XMATCH(VALUE(C2513),_xlpm.r),0)),IF(_xlpm.m=0,"",_xlpm.m+1))</f>
        <v/>
      </c>
      <c r="J2513" s="137" t="inlineStr">
        <is>
          <t>Shopify</t>
        </is>
      </c>
    </row>
    <row r="2514">
      <c r="A2514" s="5" t="inlineStr">
        <is>
          <t>Shopify Stetson México › Stetson Americas</t>
        </is>
      </c>
      <c r="B2514" s="5">
        <f>IF($I2="","",INDEX(Productos!$A:$A,$I2))</f>
        <v/>
      </c>
      <c r="C2514" s="134" t="inlineStr">
        <is>
          <t>206004-100</t>
        </is>
      </c>
      <c r="D2514" s="5">
        <f>IF($I2="","",INDEX(Productos!$B:$B,$I2))</f>
        <v/>
      </c>
      <c r="E2514" s="5">
        <f>IF($I2="","",INDEX(Productos!$H:$H,$I2))</f>
        <v/>
      </c>
      <c r="F2514" s="5">
        <f>IF($I2="","",INDEX(Productos!$I:$I,$I2))</f>
        <v/>
      </c>
      <c r="G2514" s="135" t="n">
        <v>1</v>
      </c>
      <c r="H2514" s="5">
        <f>IF($I2="","",INDEX(Productos!$AG:$AG,$I2))</f>
        <v/>
      </c>
      <c r="I2514" s="136">
        <f>LET(_xlpm.r,Productos!$E$2:$E$2509,_xlpm.m,IFERROR(_xlfn.XMATCH(C2514,_xlpm.r),IFERROR(_xlfn.XMATCH(VALUE(C2514),_xlpm.r),0)),IF(_xlpm.m=0,"",_xlpm.m+1))</f>
        <v/>
      </c>
      <c r="J2514" s="137" t="inlineStr">
        <is>
          <t>Shopify</t>
        </is>
      </c>
    </row>
    <row r="2515">
      <c r="A2515" s="5" t="inlineStr">
        <is>
          <t>Shopify Stetson México › Stetson Americas</t>
        </is>
      </c>
      <c r="B2515" s="5">
        <f>IF($I2="","",INDEX(Productos!$A:$A,$I2))</f>
        <v/>
      </c>
      <c r="C2515" s="134" t="inlineStr">
        <is>
          <t>206012</t>
        </is>
      </c>
      <c r="D2515" s="5">
        <f>IF($I2="","",INDEX(Productos!$B:$B,$I2))</f>
        <v/>
      </c>
      <c r="E2515" s="5">
        <f>IF($I2="","",INDEX(Productos!$H:$H,$I2))</f>
        <v/>
      </c>
      <c r="F2515" s="5">
        <f>IF($I2="","",INDEX(Productos!$I:$I,$I2))</f>
        <v/>
      </c>
      <c r="G2515" s="135" t="n">
        <v>6</v>
      </c>
      <c r="H2515" s="5">
        <f>IF($I2="","",INDEX(Productos!$AG:$AG,$I2))</f>
        <v/>
      </c>
      <c r="I2515" s="136">
        <f>LET(_xlpm.r,Productos!$E$2:$E$2509,_xlpm.m,IFERROR(_xlfn.XMATCH(C2515,_xlpm.r),IFERROR(_xlfn.XMATCH(VALUE(C2515),_xlpm.r),0)),IF(_xlpm.m=0,"",_xlpm.m+1))</f>
        <v/>
      </c>
      <c r="J2515" s="137" t="inlineStr">
        <is>
          <t>Shopify</t>
        </is>
      </c>
    </row>
    <row r="2516">
      <c r="A2516" s="5" t="inlineStr">
        <is>
          <t>Shopify Stetson México › Stetson Americas</t>
        </is>
      </c>
      <c r="B2516" s="5">
        <f>IF($I2="","",INDEX(Productos!$A:$A,$I2))</f>
        <v/>
      </c>
      <c r="C2516" s="134" t="inlineStr">
        <is>
          <t>206556</t>
        </is>
      </c>
      <c r="D2516" s="5">
        <f>IF($I2="","",INDEX(Productos!$B:$B,$I2))</f>
        <v/>
      </c>
      <c r="E2516" s="5">
        <f>IF($I2="","",INDEX(Productos!$H:$H,$I2))</f>
        <v/>
      </c>
      <c r="F2516" s="5">
        <f>IF($I2="","",INDEX(Productos!$I:$I,$I2))</f>
        <v/>
      </c>
      <c r="G2516" s="135" t="n">
        <v>13</v>
      </c>
      <c r="H2516" s="5">
        <f>IF($I2="","",INDEX(Productos!$AG:$AG,$I2))</f>
        <v/>
      </c>
      <c r="I2516" s="136">
        <f>LET(_xlpm.r,Productos!$E$2:$E$2509,_xlpm.m,IFERROR(_xlfn.XMATCH(C2516,_xlpm.r),IFERROR(_xlfn.XMATCH(VALUE(C2516),_xlpm.r),0)),IF(_xlpm.m=0,"",_xlpm.m+1))</f>
        <v/>
      </c>
      <c r="J2516" s="137" t="inlineStr">
        <is>
          <t>Shopify</t>
        </is>
      </c>
    </row>
    <row r="2517">
      <c r="A2517" s="5" t="inlineStr">
        <is>
          <t>Shopify Stetson México › Stetson Americas</t>
        </is>
      </c>
      <c r="B2517" s="5">
        <f>IF($I2="","",INDEX(Productos!$A:$A,$I2))</f>
        <v/>
      </c>
      <c r="C2517" s="134" t="inlineStr">
        <is>
          <t>9401790-204-L</t>
        </is>
      </c>
      <c r="D2517" s="5">
        <f>IF($I2="","",INDEX(Productos!$B:$B,$I2))</f>
        <v/>
      </c>
      <c r="E2517" s="5">
        <f>IF($I2="","",INDEX(Productos!$H:$H,$I2))</f>
        <v/>
      </c>
      <c r="F2517" s="5">
        <f>IF($I2="","",INDEX(Productos!$I:$I,$I2))</f>
        <v/>
      </c>
      <c r="G2517" s="135" t="n">
        <v>2</v>
      </c>
      <c r="H2517" s="5">
        <f>IF($I2="","",INDEX(Productos!$AG:$AG,$I2))</f>
        <v/>
      </c>
      <c r="I2517" s="136">
        <f>LET(_xlpm.r,Productos!$E$2:$E$2509,_xlpm.m,IFERROR(_xlfn.XMATCH(C2517,_xlpm.r),IFERROR(_xlfn.XMATCH(VALUE(C2517),_xlpm.r),0)),IF(_xlpm.m=0,"",_xlpm.m+1))</f>
        <v/>
      </c>
      <c r="J2517" s="137" t="inlineStr">
        <is>
          <t>Shopify</t>
        </is>
      </c>
    </row>
    <row r="2518">
      <c r="A2518" s="5" t="inlineStr">
        <is>
          <t>Shopify Stetson México › Stetson Americas</t>
        </is>
      </c>
      <c r="B2518" s="5">
        <f>IF($I2="","",INDEX(Productos!$A:$A,$I2))</f>
        <v/>
      </c>
      <c r="C2518" s="134" t="inlineStr">
        <is>
          <t>9401790-204-XL</t>
        </is>
      </c>
      <c r="D2518" s="5">
        <f>IF($I2="","",INDEX(Productos!$B:$B,$I2))</f>
        <v/>
      </c>
      <c r="E2518" s="5">
        <f>IF($I2="","",INDEX(Productos!$H:$H,$I2))</f>
        <v/>
      </c>
      <c r="F2518" s="5">
        <f>IF($I2="","",INDEX(Productos!$I:$I,$I2))</f>
        <v/>
      </c>
      <c r="G2518" s="135" t="n">
        <v>1</v>
      </c>
      <c r="H2518" s="5">
        <f>IF($I2="","",INDEX(Productos!$AG:$AG,$I2))</f>
        <v/>
      </c>
      <c r="I2518" s="136">
        <f>LET(_xlpm.r,Productos!$E$2:$E$2509,_xlpm.m,IFERROR(_xlfn.XMATCH(C2518,_xlpm.r),IFERROR(_xlfn.XMATCH(VALUE(C2518),_xlpm.r),0)),IF(_xlpm.m=0,"",_xlpm.m+1))</f>
        <v/>
      </c>
      <c r="J2518" s="137" t="inlineStr">
        <is>
          <t>Shopify</t>
        </is>
      </c>
    </row>
    <row r="2519">
      <c r="A2519" s="5" t="inlineStr">
        <is>
          <t>Shopify Stetson México › Stetson Americas</t>
        </is>
      </c>
      <c r="B2519" s="5">
        <f>IF($I2="","",INDEX(Productos!$A:$A,$I2))</f>
        <v/>
      </c>
      <c r="C2519" s="134" t="inlineStr">
        <is>
          <t>9402790-200-L</t>
        </is>
      </c>
      <c r="D2519" s="5">
        <f>IF($I2="","",INDEX(Productos!$B:$B,$I2))</f>
        <v/>
      </c>
      <c r="E2519" s="5">
        <f>IF($I2="","",INDEX(Productos!$H:$H,$I2))</f>
        <v/>
      </c>
      <c r="F2519" s="5">
        <f>IF($I2="","",INDEX(Productos!$I:$I,$I2))</f>
        <v/>
      </c>
      <c r="G2519" s="135" t="n">
        <v>3</v>
      </c>
      <c r="H2519" s="5">
        <f>IF($I2="","",INDEX(Productos!$AG:$AG,$I2))</f>
        <v/>
      </c>
      <c r="I2519" s="136">
        <f>LET(_xlpm.r,Productos!$E$2:$E$2509,_xlpm.m,IFERROR(_xlfn.XMATCH(C2519,_xlpm.r),IFERROR(_xlfn.XMATCH(VALUE(C2519),_xlpm.r),0)),IF(_xlpm.m=0,"",_xlpm.m+1))</f>
        <v/>
      </c>
      <c r="J2519" s="137" t="inlineStr">
        <is>
          <t>Shopify</t>
        </is>
      </c>
    </row>
    <row r="2520">
      <c r="A2520" s="5" t="inlineStr">
        <is>
          <t>Shopify Stetson México › Stetson Americas</t>
        </is>
      </c>
      <c r="B2520" s="5">
        <f>IF($I2="","",INDEX(Productos!$A:$A,$I2))</f>
        <v/>
      </c>
      <c r="C2520" s="134" t="inlineStr">
        <is>
          <t>9402790-200-S</t>
        </is>
      </c>
      <c r="D2520" s="5">
        <f>IF($I2="","",INDEX(Productos!$B:$B,$I2))</f>
        <v/>
      </c>
      <c r="E2520" s="5">
        <f>IF($I2="","",INDEX(Productos!$H:$H,$I2))</f>
        <v/>
      </c>
      <c r="F2520" s="5">
        <f>IF($I2="","",INDEX(Productos!$I:$I,$I2))</f>
        <v/>
      </c>
      <c r="G2520" s="135" t="n">
        <v>1</v>
      </c>
      <c r="H2520" s="5">
        <f>IF($I2="","",INDEX(Productos!$AG:$AG,$I2))</f>
        <v/>
      </c>
      <c r="I2520" s="136">
        <f>LET(_xlpm.r,Productos!$E$2:$E$2509,_xlpm.m,IFERROR(_xlfn.XMATCH(C2520,_xlpm.r),IFERROR(_xlfn.XMATCH(VALUE(C2520),_xlpm.r),0)),IF(_xlpm.m=0,"",_xlpm.m+1))</f>
        <v/>
      </c>
      <c r="J2520" s="137" t="inlineStr">
        <is>
          <t>Shopify</t>
        </is>
      </c>
    </row>
    <row r="2521">
      <c r="A2521" s="5" t="inlineStr">
        <is>
          <t>Shopify Stetson México › Stetson Americas</t>
        </is>
      </c>
      <c r="B2521" s="5">
        <f>IF($I2="","",INDEX(Productos!$A:$A,$I2))</f>
        <v/>
      </c>
      <c r="C2521" s="134" t="inlineStr">
        <is>
          <t>9402790-200-XL</t>
        </is>
      </c>
      <c r="D2521" s="5">
        <f>IF($I2="","",INDEX(Productos!$B:$B,$I2))</f>
        <v/>
      </c>
      <c r="E2521" s="5">
        <f>IF($I2="","",INDEX(Productos!$H:$H,$I2))</f>
        <v/>
      </c>
      <c r="F2521" s="5">
        <f>IF($I2="","",INDEX(Productos!$I:$I,$I2))</f>
        <v/>
      </c>
      <c r="G2521" s="135" t="n">
        <v>1</v>
      </c>
      <c r="H2521" s="5">
        <f>IF($I2="","",INDEX(Productos!$AG:$AG,$I2))</f>
        <v/>
      </c>
      <c r="I2521" s="136">
        <f>LET(_xlpm.r,Productos!$E$2:$E$2509,_xlpm.m,IFERROR(_xlfn.XMATCH(C2521,_xlpm.r),IFERROR(_xlfn.XMATCH(VALUE(C2521),_xlpm.r),0)),IF(_xlpm.m=0,"",_xlpm.m+1))</f>
        <v/>
      </c>
      <c r="J2521" s="137" t="inlineStr">
        <is>
          <t>Shopify</t>
        </is>
      </c>
    </row>
    <row r="2522">
      <c r="A2522" s="5" t="inlineStr">
        <is>
          <t>Shopify Stetson México › Stetson Americas</t>
        </is>
      </c>
      <c r="B2522" s="5">
        <f>IF($I2="","",INDEX(Productos!$A:$A,$I2))</f>
        <v/>
      </c>
      <c r="C2522" s="134" t="inlineStr">
        <is>
          <t>9403790-200-L</t>
        </is>
      </c>
      <c r="D2522" s="5">
        <f>IF($I2="","",INDEX(Productos!$B:$B,$I2))</f>
        <v/>
      </c>
      <c r="E2522" s="5">
        <f>IF($I2="","",INDEX(Productos!$H:$H,$I2))</f>
        <v/>
      </c>
      <c r="F2522" s="5">
        <f>IF($I2="","",INDEX(Productos!$I:$I,$I2))</f>
        <v/>
      </c>
      <c r="G2522" s="135" t="n">
        <v>2</v>
      </c>
      <c r="H2522" s="5">
        <f>IF($I2="","",INDEX(Productos!$AG:$AG,$I2))</f>
        <v/>
      </c>
      <c r="I2522" s="136">
        <f>LET(_xlpm.r,Productos!$E$2:$E$2509,_xlpm.m,IFERROR(_xlfn.XMATCH(C2522,_xlpm.r),IFERROR(_xlfn.XMATCH(VALUE(C2522),_xlpm.r),0)),IF(_xlpm.m=0,"",_xlpm.m+1))</f>
        <v/>
      </c>
      <c r="J2522" s="137" t="inlineStr">
        <is>
          <t>Shopify</t>
        </is>
      </c>
    </row>
    <row r="2523">
      <c r="A2523" s="5" t="inlineStr">
        <is>
          <t>Shopify Stetson México › Stetson Americas</t>
        </is>
      </c>
      <c r="B2523" s="5">
        <f>IF($I2="","",INDEX(Productos!$A:$A,$I2))</f>
        <v/>
      </c>
      <c r="C2523" s="134" t="inlineStr">
        <is>
          <t>9404790-104-L</t>
        </is>
      </c>
      <c r="D2523" s="5">
        <f>IF($I2="","",INDEX(Productos!$B:$B,$I2))</f>
        <v/>
      </c>
      <c r="E2523" s="5">
        <f>IF($I2="","",INDEX(Productos!$H:$H,$I2))</f>
        <v/>
      </c>
      <c r="F2523" s="5">
        <f>IF($I2="","",INDEX(Productos!$I:$I,$I2))</f>
        <v/>
      </c>
      <c r="G2523" s="135" t="n">
        <v>2</v>
      </c>
      <c r="H2523" s="5">
        <f>IF($I2="","",INDEX(Productos!$AG:$AG,$I2))</f>
        <v/>
      </c>
      <c r="I2523" s="136">
        <f>LET(_xlpm.r,Productos!$E$2:$E$2509,_xlpm.m,IFERROR(_xlfn.XMATCH(C2523,_xlpm.r),IFERROR(_xlfn.XMATCH(VALUE(C2523),_xlpm.r),0)),IF(_xlpm.m=0,"",_xlpm.m+1))</f>
        <v/>
      </c>
      <c r="J2523" s="137" t="inlineStr">
        <is>
          <t>Shopify</t>
        </is>
      </c>
    </row>
    <row r="2524">
      <c r="A2524" s="5" t="inlineStr">
        <is>
          <t>Shopify Stetson México › Stetson Americas</t>
        </is>
      </c>
      <c r="B2524" s="5">
        <f>IF($I2="","",INDEX(Productos!$A:$A,$I2))</f>
        <v/>
      </c>
      <c r="C2524" s="134" t="inlineStr">
        <is>
          <t>9404790-104-S</t>
        </is>
      </c>
      <c r="D2524" s="5">
        <f>IF($I2="","",INDEX(Productos!$B:$B,$I2))</f>
        <v/>
      </c>
      <c r="E2524" s="5">
        <f>IF($I2="","",INDEX(Productos!$H:$H,$I2))</f>
        <v/>
      </c>
      <c r="F2524" s="5">
        <f>IF($I2="","",INDEX(Productos!$I:$I,$I2))</f>
        <v/>
      </c>
      <c r="G2524" s="135" t="n">
        <v>1</v>
      </c>
      <c r="H2524" s="5">
        <f>IF($I2="","",INDEX(Productos!$AG:$AG,$I2))</f>
        <v/>
      </c>
      <c r="I2524" s="136">
        <f>LET(_xlpm.r,Productos!$E$2:$E$2509,_xlpm.m,IFERROR(_xlfn.XMATCH(C2524,_xlpm.r),IFERROR(_xlfn.XMATCH(VALUE(C2524),_xlpm.r),0)),IF(_xlpm.m=0,"",_xlpm.m+1))</f>
        <v/>
      </c>
      <c r="J2524" s="137" t="inlineStr">
        <is>
          <t>Shopify</t>
        </is>
      </c>
    </row>
    <row r="2525">
      <c r="A2525" s="5" t="inlineStr">
        <is>
          <t>Shopify Stetson México › Stetson Americas</t>
        </is>
      </c>
      <c r="B2525" s="5">
        <f>IF($I2="","",INDEX(Productos!$A:$A,$I2))</f>
        <v/>
      </c>
      <c r="C2525" s="134" t="inlineStr">
        <is>
          <t>9404790-104-XL</t>
        </is>
      </c>
      <c r="D2525" s="5">
        <f>IF($I2="","",INDEX(Productos!$B:$B,$I2))</f>
        <v/>
      </c>
      <c r="E2525" s="5">
        <f>IF($I2="","",INDEX(Productos!$H:$H,$I2))</f>
        <v/>
      </c>
      <c r="F2525" s="5">
        <f>IF($I2="","",INDEX(Productos!$I:$I,$I2))</f>
        <v/>
      </c>
      <c r="G2525" s="135" t="n">
        <v>2</v>
      </c>
      <c r="H2525" s="5">
        <f>IF($I2="","",INDEX(Productos!$AG:$AG,$I2))</f>
        <v/>
      </c>
      <c r="I2525" s="136">
        <f>LET(_xlpm.r,Productos!$E$2:$E$2509,_xlpm.m,IFERROR(_xlfn.XMATCH(C2525,_xlpm.r),IFERROR(_xlfn.XMATCH(VALUE(C2525),_xlpm.r),0)),IF(_xlpm.m=0,"",_xlpm.m+1))</f>
        <v/>
      </c>
      <c r="J2525" s="137" t="inlineStr">
        <is>
          <t>Shopify</t>
        </is>
      </c>
    </row>
    <row r="2526">
      <c r="A2526" s="5" t="inlineStr">
        <is>
          <t>Shopify Stetson México › Stetson Americas</t>
        </is>
      </c>
      <c r="B2526" s="5">
        <f>IF($I2="","",INDEX(Productos!$A:$A,$I2))</f>
        <v/>
      </c>
      <c r="C2526" s="134" t="inlineStr">
        <is>
          <t>9405790-210-L</t>
        </is>
      </c>
      <c r="D2526" s="5">
        <f>IF($I2="","",INDEX(Productos!$B:$B,$I2))</f>
        <v/>
      </c>
      <c r="E2526" s="5">
        <f>IF($I2="","",INDEX(Productos!$H:$H,$I2))</f>
        <v/>
      </c>
      <c r="F2526" s="5">
        <f>IF($I2="","",INDEX(Productos!$I:$I,$I2))</f>
        <v/>
      </c>
      <c r="G2526" s="135" t="n">
        <v>2</v>
      </c>
      <c r="H2526" s="5">
        <f>IF($I2="","",INDEX(Productos!$AG:$AG,$I2))</f>
        <v/>
      </c>
      <c r="I2526" s="136">
        <f>LET(_xlpm.r,Productos!$E$2:$E$2509,_xlpm.m,IFERROR(_xlfn.XMATCH(C2526,_xlpm.r),IFERROR(_xlfn.XMATCH(VALUE(C2526),_xlpm.r),0)),IF(_xlpm.m=0,"",_xlpm.m+1))</f>
        <v/>
      </c>
      <c r="J2526" s="137" t="inlineStr">
        <is>
          <t>Shopify</t>
        </is>
      </c>
    </row>
    <row r="2527">
      <c r="A2527" s="5" t="inlineStr">
        <is>
          <t>Shopify Stetson México › Stetson Americas</t>
        </is>
      </c>
      <c r="B2527" s="5">
        <f>IF($I2="","",INDEX(Productos!$A:$A,$I2))</f>
        <v/>
      </c>
      <c r="C2527" s="134" t="inlineStr">
        <is>
          <t>9405790-210-M</t>
        </is>
      </c>
      <c r="D2527" s="5">
        <f>IF($I2="","",INDEX(Productos!$B:$B,$I2))</f>
        <v/>
      </c>
      <c r="E2527" s="5">
        <f>IF($I2="","",INDEX(Productos!$H:$H,$I2))</f>
        <v/>
      </c>
      <c r="F2527" s="5">
        <f>IF($I2="","",INDEX(Productos!$I:$I,$I2))</f>
        <v/>
      </c>
      <c r="G2527" s="135" t="n">
        <v>1</v>
      </c>
      <c r="H2527" s="5">
        <f>IF($I2="","",INDEX(Productos!$AG:$AG,$I2))</f>
        <v/>
      </c>
      <c r="I2527" s="136">
        <f>LET(_xlpm.r,Productos!$E$2:$E$2509,_xlpm.m,IFERROR(_xlfn.XMATCH(C2527,_xlpm.r),IFERROR(_xlfn.XMATCH(VALUE(C2527),_xlpm.r),0)),IF(_xlpm.m=0,"",_xlpm.m+1))</f>
        <v/>
      </c>
      <c r="J2527" s="137" t="inlineStr">
        <is>
          <t>Shopify</t>
        </is>
      </c>
    </row>
    <row r="2528">
      <c r="A2528" s="5" t="inlineStr">
        <is>
          <t>Shopify Stetson México › Stetson Americas</t>
        </is>
      </c>
      <c r="B2528" s="5">
        <f>IF($I2="","",INDEX(Productos!$A:$A,$I2))</f>
        <v/>
      </c>
      <c r="C2528" s="134" t="inlineStr">
        <is>
          <t>9405790-210-XL</t>
        </is>
      </c>
      <c r="D2528" s="5">
        <f>IF($I2="","",INDEX(Productos!$B:$B,$I2))</f>
        <v/>
      </c>
      <c r="E2528" s="5">
        <f>IF($I2="","",INDEX(Productos!$H:$H,$I2))</f>
        <v/>
      </c>
      <c r="F2528" s="5">
        <f>IF($I2="","",INDEX(Productos!$I:$I,$I2))</f>
        <v/>
      </c>
      <c r="G2528" s="135" t="n">
        <v>1</v>
      </c>
      <c r="H2528" s="5">
        <f>IF($I2="","",INDEX(Productos!$AG:$AG,$I2))</f>
        <v/>
      </c>
      <c r="I2528" s="136">
        <f>LET(_xlpm.r,Productos!$E$2:$E$2509,_xlpm.m,IFERROR(_xlfn.XMATCH(C2528,_xlpm.r),IFERROR(_xlfn.XMATCH(VALUE(C2528),_xlpm.r),0)),IF(_xlpm.m=0,"",_xlpm.m+1))</f>
        <v/>
      </c>
      <c r="J2528" s="137" t="inlineStr">
        <is>
          <t>Shopify</t>
        </is>
      </c>
    </row>
    <row r="2529">
      <c r="A2529" s="5" t="inlineStr">
        <is>
          <t>Shopify Stetson México › Stetson Americas</t>
        </is>
      </c>
      <c r="B2529" s="5">
        <f>IF($I2="","",INDEX(Productos!$A:$A,$I2))</f>
        <v/>
      </c>
      <c r="C2529" s="134" t="inlineStr">
        <is>
          <t>9408790-001-L</t>
        </is>
      </c>
      <c r="D2529" s="5">
        <f>IF($I2="","",INDEX(Productos!$B:$B,$I2))</f>
        <v/>
      </c>
      <c r="E2529" s="5">
        <f>IF($I2="","",INDEX(Productos!$H:$H,$I2))</f>
        <v/>
      </c>
      <c r="F2529" s="5">
        <f>IF($I2="","",INDEX(Productos!$I:$I,$I2))</f>
        <v/>
      </c>
      <c r="G2529" s="135" t="n">
        <v>2</v>
      </c>
      <c r="H2529" s="5">
        <f>IF($I2="","",INDEX(Productos!$AG:$AG,$I2))</f>
        <v/>
      </c>
      <c r="I2529" s="136">
        <f>LET(_xlpm.r,Productos!$E$2:$E$2509,_xlpm.m,IFERROR(_xlfn.XMATCH(C2529,_xlpm.r),IFERROR(_xlfn.XMATCH(VALUE(C2529),_xlpm.r),0)),IF(_xlpm.m=0,"",_xlpm.m+1))</f>
        <v/>
      </c>
      <c r="J2529" s="137" t="inlineStr">
        <is>
          <t>Shopify</t>
        </is>
      </c>
    </row>
    <row r="2530">
      <c r="A2530" s="5" t="inlineStr">
        <is>
          <t>Shopify Stetson México › Stetson Americas</t>
        </is>
      </c>
      <c r="B2530" s="5">
        <f>IF($I2="","",INDEX(Productos!$A:$A,$I2))</f>
        <v/>
      </c>
      <c r="C2530" s="134" t="inlineStr">
        <is>
          <t>9408790-001-M</t>
        </is>
      </c>
      <c r="D2530" s="5">
        <f>IF($I2="","",INDEX(Productos!$B:$B,$I2))</f>
        <v/>
      </c>
      <c r="E2530" s="5">
        <f>IF($I2="","",INDEX(Productos!$H:$H,$I2))</f>
        <v/>
      </c>
      <c r="F2530" s="5">
        <f>IF($I2="","",INDEX(Productos!$I:$I,$I2))</f>
        <v/>
      </c>
      <c r="G2530" s="135" t="n">
        <v>2</v>
      </c>
      <c r="H2530" s="5">
        <f>IF($I2="","",INDEX(Productos!$AG:$AG,$I2))</f>
        <v/>
      </c>
      <c r="I2530" s="136">
        <f>LET(_xlpm.r,Productos!$E$2:$E$2509,_xlpm.m,IFERROR(_xlfn.XMATCH(C2530,_xlpm.r),IFERROR(_xlfn.XMATCH(VALUE(C2530),_xlpm.r),0)),IF(_xlpm.m=0,"",_xlpm.m+1))</f>
        <v/>
      </c>
      <c r="J2530" s="137" t="inlineStr">
        <is>
          <t>Shopify</t>
        </is>
      </c>
    </row>
    <row r="2531">
      <c r="A2531" s="5" t="inlineStr">
        <is>
          <t>Shopify Stetson México › Stetson Americas</t>
        </is>
      </c>
      <c r="B2531" s="5">
        <f>IF($I2="","",INDEX(Productos!$A:$A,$I2))</f>
        <v/>
      </c>
      <c r="C2531" s="134" t="inlineStr">
        <is>
          <t>9408790-001-S</t>
        </is>
      </c>
      <c r="D2531" s="5">
        <f>IF($I2="","",INDEX(Productos!$B:$B,$I2))</f>
        <v/>
      </c>
      <c r="E2531" s="5">
        <f>IF($I2="","",INDEX(Productos!$H:$H,$I2))</f>
        <v/>
      </c>
      <c r="F2531" s="5">
        <f>IF($I2="","",INDEX(Productos!$I:$I,$I2))</f>
        <v/>
      </c>
      <c r="G2531" s="135" t="n">
        <v>1</v>
      </c>
      <c r="H2531" s="5">
        <f>IF($I2="","",INDEX(Productos!$AG:$AG,$I2))</f>
        <v/>
      </c>
      <c r="I2531" s="136">
        <f>LET(_xlpm.r,Productos!$E$2:$E$2509,_xlpm.m,IFERROR(_xlfn.XMATCH(C2531,_xlpm.r),IFERROR(_xlfn.XMATCH(VALUE(C2531),_xlpm.r),0)),IF(_xlpm.m=0,"",_xlpm.m+1))</f>
        <v/>
      </c>
      <c r="J2531" s="137" t="inlineStr">
        <is>
          <t>Shopify</t>
        </is>
      </c>
    </row>
    <row r="2532">
      <c r="A2532" s="5" t="inlineStr">
        <is>
          <t>Shopify Stetson México › Stetson Americas</t>
        </is>
      </c>
      <c r="B2532" s="5">
        <f>IF($I2="","",INDEX(Productos!$A:$A,$I2))</f>
        <v/>
      </c>
      <c r="C2532" s="134" t="inlineStr">
        <is>
          <t>9408790-001-XL</t>
        </is>
      </c>
      <c r="D2532" s="5">
        <f>IF($I2="","",INDEX(Productos!$B:$B,$I2))</f>
        <v/>
      </c>
      <c r="E2532" s="5">
        <f>IF($I2="","",INDEX(Productos!$H:$H,$I2))</f>
        <v/>
      </c>
      <c r="F2532" s="5">
        <f>IF($I2="","",INDEX(Productos!$I:$I,$I2))</f>
        <v/>
      </c>
      <c r="G2532" s="135" t="n">
        <v>4</v>
      </c>
      <c r="H2532" s="5">
        <f>IF($I2="","",INDEX(Productos!$AG:$AG,$I2))</f>
        <v/>
      </c>
      <c r="I2532" s="136">
        <f>LET(_xlpm.r,Productos!$E$2:$E$2509,_xlpm.m,IFERROR(_xlfn.XMATCH(C2532,_xlpm.r),IFERROR(_xlfn.XMATCH(VALUE(C2532),_xlpm.r),0)),IF(_xlpm.m=0,"",_xlpm.m+1))</f>
        <v/>
      </c>
      <c r="J2532" s="137" t="inlineStr">
        <is>
          <t>Shopify</t>
        </is>
      </c>
    </row>
    <row r="2533">
      <c r="A2533" s="5" t="inlineStr">
        <is>
          <t>Shopify Stetson México › Stetson Americas</t>
        </is>
      </c>
      <c r="B2533" s="5">
        <f>IF($I2="","",INDEX(Productos!$A:$A,$I2))</f>
        <v/>
      </c>
      <c r="C2533" s="134" t="inlineStr">
        <is>
          <t>9408790-233-L</t>
        </is>
      </c>
      <c r="D2533" s="5">
        <f>IF($I2="","",INDEX(Productos!$B:$B,$I2))</f>
        <v/>
      </c>
      <c r="E2533" s="5">
        <f>IF($I2="","",INDEX(Productos!$H:$H,$I2))</f>
        <v/>
      </c>
      <c r="F2533" s="5">
        <f>IF($I2="","",INDEX(Productos!$I:$I,$I2))</f>
        <v/>
      </c>
      <c r="G2533" s="135" t="n">
        <v>2</v>
      </c>
      <c r="H2533" s="5">
        <f>IF($I2="","",INDEX(Productos!$AG:$AG,$I2))</f>
        <v/>
      </c>
      <c r="I2533" s="136">
        <f>LET(_xlpm.r,Productos!$E$2:$E$2509,_xlpm.m,IFERROR(_xlfn.XMATCH(C2533,_xlpm.r),IFERROR(_xlfn.XMATCH(VALUE(C2533),_xlpm.r),0)),IF(_xlpm.m=0,"",_xlpm.m+1))</f>
        <v/>
      </c>
      <c r="J2533" s="137" t="inlineStr">
        <is>
          <t>Shopify</t>
        </is>
      </c>
    </row>
    <row r="2534">
      <c r="A2534" s="5" t="inlineStr">
        <is>
          <t>Shopify Stetson México › Stetson Americas</t>
        </is>
      </c>
      <c r="B2534" s="5">
        <f>IF($I2="","",INDEX(Productos!$A:$A,$I2))</f>
        <v/>
      </c>
      <c r="C2534" s="134" t="inlineStr">
        <is>
          <t>9408790-233-M</t>
        </is>
      </c>
      <c r="D2534" s="5">
        <f>IF($I2="","",INDEX(Productos!$B:$B,$I2))</f>
        <v/>
      </c>
      <c r="E2534" s="5">
        <f>IF($I2="","",INDEX(Productos!$H:$H,$I2))</f>
        <v/>
      </c>
      <c r="F2534" s="5">
        <f>IF($I2="","",INDEX(Productos!$I:$I,$I2))</f>
        <v/>
      </c>
      <c r="G2534" s="135" t="n">
        <v>3</v>
      </c>
      <c r="H2534" s="5">
        <f>IF($I2="","",INDEX(Productos!$AG:$AG,$I2))</f>
        <v/>
      </c>
      <c r="I2534" s="136">
        <f>LET(_xlpm.r,Productos!$E$2:$E$2509,_xlpm.m,IFERROR(_xlfn.XMATCH(C2534,_xlpm.r),IFERROR(_xlfn.XMATCH(VALUE(C2534),_xlpm.r),0)),IF(_xlpm.m=0,"",_xlpm.m+1))</f>
        <v/>
      </c>
      <c r="J2534" s="137" t="inlineStr">
        <is>
          <t>Shopify</t>
        </is>
      </c>
    </row>
    <row r="2535">
      <c r="A2535" s="5" t="inlineStr">
        <is>
          <t>Shopify Stetson México › Stetson Americas</t>
        </is>
      </c>
      <c r="B2535" s="5">
        <f>IF($I2="","",INDEX(Productos!$A:$A,$I2))</f>
        <v/>
      </c>
      <c r="C2535" s="134" t="inlineStr">
        <is>
          <t>9408790-233-S</t>
        </is>
      </c>
      <c r="D2535" s="5">
        <f>IF($I2="","",INDEX(Productos!$B:$B,$I2))</f>
        <v/>
      </c>
      <c r="E2535" s="5">
        <f>IF($I2="","",INDEX(Productos!$H:$H,$I2))</f>
        <v/>
      </c>
      <c r="F2535" s="5">
        <f>IF($I2="","",INDEX(Productos!$I:$I,$I2))</f>
        <v/>
      </c>
      <c r="G2535" s="135" t="n">
        <v>3</v>
      </c>
      <c r="H2535" s="5">
        <f>IF($I2="","",INDEX(Productos!$AG:$AG,$I2))</f>
        <v/>
      </c>
      <c r="I2535" s="136">
        <f>LET(_xlpm.r,Productos!$E$2:$E$2509,_xlpm.m,IFERROR(_xlfn.XMATCH(C2535,_xlpm.r),IFERROR(_xlfn.XMATCH(VALUE(C2535),_xlpm.r),0)),IF(_xlpm.m=0,"",_xlpm.m+1))</f>
        <v/>
      </c>
      <c r="J2535" s="137" t="inlineStr">
        <is>
          <t>Shopify</t>
        </is>
      </c>
    </row>
    <row r="2536">
      <c r="A2536" s="5" t="inlineStr">
        <is>
          <t>Shopify Stetson México › Stetson Americas</t>
        </is>
      </c>
      <c r="B2536" s="5">
        <f>IF($I2="","",INDEX(Productos!$A:$A,$I2))</f>
        <v/>
      </c>
      <c r="C2536" s="134" t="inlineStr">
        <is>
          <t>9409790-001-L</t>
        </is>
      </c>
      <c r="D2536" s="5">
        <f>IF($I2="","",INDEX(Productos!$B:$B,$I2))</f>
        <v/>
      </c>
      <c r="E2536" s="5">
        <f>IF($I2="","",INDEX(Productos!$H:$H,$I2))</f>
        <v/>
      </c>
      <c r="F2536" s="5">
        <f>IF($I2="","",INDEX(Productos!$I:$I,$I2))</f>
        <v/>
      </c>
      <c r="G2536" s="135" t="n">
        <v>4</v>
      </c>
      <c r="H2536" s="5">
        <f>IF($I2="","",INDEX(Productos!$AG:$AG,$I2))</f>
        <v/>
      </c>
      <c r="I2536" s="136">
        <f>LET(_xlpm.r,Productos!$E$2:$E$2509,_xlpm.m,IFERROR(_xlfn.XMATCH(C2536,_xlpm.r),IFERROR(_xlfn.XMATCH(VALUE(C2536),_xlpm.r),0)),IF(_xlpm.m=0,"",_xlpm.m+1))</f>
        <v/>
      </c>
      <c r="J2536" s="137" t="inlineStr">
        <is>
          <t>Shopify</t>
        </is>
      </c>
    </row>
    <row r="2537">
      <c r="A2537" s="5" t="inlineStr">
        <is>
          <t>Shopify Stetson México › Stetson Americas</t>
        </is>
      </c>
      <c r="B2537" s="5">
        <f>IF($I2="","",INDEX(Productos!$A:$A,$I2))</f>
        <v/>
      </c>
      <c r="C2537" s="134" t="inlineStr">
        <is>
          <t>9409790-001-M</t>
        </is>
      </c>
      <c r="D2537" s="5">
        <f>IF($I2="","",INDEX(Productos!$B:$B,$I2))</f>
        <v/>
      </c>
      <c r="E2537" s="5">
        <f>IF($I2="","",INDEX(Productos!$H:$H,$I2))</f>
        <v/>
      </c>
      <c r="F2537" s="5">
        <f>IF($I2="","",INDEX(Productos!$I:$I,$I2))</f>
        <v/>
      </c>
      <c r="G2537" s="135" t="n">
        <v>2</v>
      </c>
      <c r="H2537" s="5">
        <f>IF($I2="","",INDEX(Productos!$AG:$AG,$I2))</f>
        <v/>
      </c>
      <c r="I2537" s="136">
        <f>LET(_xlpm.r,Productos!$E$2:$E$2509,_xlpm.m,IFERROR(_xlfn.XMATCH(C2537,_xlpm.r),IFERROR(_xlfn.XMATCH(VALUE(C2537),_xlpm.r),0)),IF(_xlpm.m=0,"",_xlpm.m+1))</f>
        <v/>
      </c>
      <c r="J2537" s="137" t="inlineStr">
        <is>
          <t>Shopify</t>
        </is>
      </c>
    </row>
    <row r="2538">
      <c r="A2538" s="5" t="inlineStr">
        <is>
          <t>Shopify Stetson México › Stetson Americas</t>
        </is>
      </c>
      <c r="B2538" s="5">
        <f>IF($I2="","",INDEX(Productos!$A:$A,$I2))</f>
        <v/>
      </c>
      <c r="C2538" s="134" t="inlineStr">
        <is>
          <t>9409790-001-S</t>
        </is>
      </c>
      <c r="D2538" s="5">
        <f>IF($I2="","",INDEX(Productos!$B:$B,$I2))</f>
        <v/>
      </c>
      <c r="E2538" s="5">
        <f>IF($I2="","",INDEX(Productos!$H:$H,$I2))</f>
        <v/>
      </c>
      <c r="F2538" s="5">
        <f>IF($I2="","",INDEX(Productos!$I:$I,$I2))</f>
        <v/>
      </c>
      <c r="G2538" s="135" t="n">
        <v>1</v>
      </c>
      <c r="H2538" s="5">
        <f>IF($I2="","",INDEX(Productos!$AG:$AG,$I2))</f>
        <v/>
      </c>
      <c r="I2538" s="136">
        <f>LET(_xlpm.r,Productos!$E$2:$E$2509,_xlpm.m,IFERROR(_xlfn.XMATCH(C2538,_xlpm.r),IFERROR(_xlfn.XMATCH(VALUE(C2538),_xlpm.r),0)),IF(_xlpm.m=0,"",_xlpm.m+1))</f>
        <v/>
      </c>
      <c r="J2538" s="137" t="inlineStr">
        <is>
          <t>Shopify</t>
        </is>
      </c>
    </row>
    <row r="2539">
      <c r="A2539" s="5" t="inlineStr">
        <is>
          <t>Shopify Stetson México › Stetson Americas</t>
        </is>
      </c>
      <c r="B2539" s="5">
        <f>IF($I2="","",INDEX(Productos!$A:$A,$I2))</f>
        <v/>
      </c>
      <c r="C2539" s="134" t="inlineStr">
        <is>
          <t>9409790-001-XL</t>
        </is>
      </c>
      <c r="D2539" s="5">
        <f>IF($I2="","",INDEX(Productos!$B:$B,$I2))</f>
        <v/>
      </c>
      <c r="E2539" s="5">
        <f>IF($I2="","",INDEX(Productos!$H:$H,$I2))</f>
        <v/>
      </c>
      <c r="F2539" s="5">
        <f>IF($I2="","",INDEX(Productos!$I:$I,$I2))</f>
        <v/>
      </c>
      <c r="G2539" s="135" t="n">
        <v>2</v>
      </c>
      <c r="H2539" s="5">
        <f>IF($I2="","",INDEX(Productos!$AG:$AG,$I2))</f>
        <v/>
      </c>
      <c r="I2539" s="136">
        <f>LET(_xlpm.r,Productos!$E$2:$E$2509,_xlpm.m,IFERROR(_xlfn.XMATCH(C2539,_xlpm.r),IFERROR(_xlfn.XMATCH(VALUE(C2539),_xlpm.r),0)),IF(_xlpm.m=0,"",_xlpm.m+1))</f>
        <v/>
      </c>
      <c r="J2539" s="137" t="inlineStr">
        <is>
          <t>Shopify</t>
        </is>
      </c>
    </row>
    <row r="2540">
      <c r="A2540" s="5" t="inlineStr">
        <is>
          <t>Shopify Stetson México › Stetson Americas</t>
        </is>
      </c>
      <c r="B2540" s="5">
        <f>IF($I2="","",INDEX(Productos!$A:$A,$I2))</f>
        <v/>
      </c>
      <c r="C2540" s="134" t="inlineStr">
        <is>
          <t>9409790-600-L</t>
        </is>
      </c>
      <c r="D2540" s="5">
        <f>IF($I2="","",INDEX(Productos!$B:$B,$I2))</f>
        <v/>
      </c>
      <c r="E2540" s="5">
        <f>IF($I2="","",INDEX(Productos!$H:$H,$I2))</f>
        <v/>
      </c>
      <c r="F2540" s="5">
        <f>IF($I2="","",INDEX(Productos!$I:$I,$I2))</f>
        <v/>
      </c>
      <c r="G2540" s="135" t="n">
        <v>3</v>
      </c>
      <c r="H2540" s="5">
        <f>IF($I2="","",INDEX(Productos!$AG:$AG,$I2))</f>
        <v/>
      </c>
      <c r="I2540" s="136">
        <f>LET(_xlpm.r,Productos!$E$2:$E$2509,_xlpm.m,IFERROR(_xlfn.XMATCH(C2540,_xlpm.r),IFERROR(_xlfn.XMATCH(VALUE(C2540),_xlpm.r),0)),IF(_xlpm.m=0,"",_xlpm.m+1))</f>
        <v/>
      </c>
      <c r="J2540" s="137" t="inlineStr">
        <is>
          <t>Shopify</t>
        </is>
      </c>
    </row>
    <row r="2541">
      <c r="A2541" s="5" t="inlineStr">
        <is>
          <t>Shopify Stetson México › Stetson Americas</t>
        </is>
      </c>
      <c r="B2541" s="5">
        <f>IF($I2="","",INDEX(Productos!$A:$A,$I2))</f>
        <v/>
      </c>
      <c r="C2541" s="134" t="inlineStr">
        <is>
          <t>9409790-600-M</t>
        </is>
      </c>
      <c r="D2541" s="5">
        <f>IF($I2="","",INDEX(Productos!$B:$B,$I2))</f>
        <v/>
      </c>
      <c r="E2541" s="5">
        <f>IF($I2="","",INDEX(Productos!$H:$H,$I2))</f>
        <v/>
      </c>
      <c r="F2541" s="5">
        <f>IF($I2="","",INDEX(Productos!$I:$I,$I2))</f>
        <v/>
      </c>
      <c r="G2541" s="135" t="n">
        <v>4</v>
      </c>
      <c r="H2541" s="5">
        <f>IF($I2="","",INDEX(Productos!$AG:$AG,$I2))</f>
        <v/>
      </c>
      <c r="I2541" s="136">
        <f>LET(_xlpm.r,Productos!$E$2:$E$2509,_xlpm.m,IFERROR(_xlfn.XMATCH(C2541,_xlpm.r),IFERROR(_xlfn.XMATCH(VALUE(C2541),_xlpm.r),0)),IF(_xlpm.m=0,"",_xlpm.m+1))</f>
        <v/>
      </c>
      <c r="J2541" s="137" t="inlineStr">
        <is>
          <t>Shopify</t>
        </is>
      </c>
    </row>
    <row r="2542">
      <c r="A2542" s="5" t="inlineStr">
        <is>
          <t>Shopify Stetson México › Stetson Americas</t>
        </is>
      </c>
      <c r="B2542" s="5">
        <f>IF($I2="","",INDEX(Productos!$A:$A,$I2))</f>
        <v/>
      </c>
      <c r="C2542" s="134" t="inlineStr">
        <is>
          <t>9409790-600-S</t>
        </is>
      </c>
      <c r="D2542" s="5">
        <f>IF($I2="","",INDEX(Productos!$B:$B,$I2))</f>
        <v/>
      </c>
      <c r="E2542" s="5">
        <f>IF($I2="","",INDEX(Productos!$H:$H,$I2))</f>
        <v/>
      </c>
      <c r="F2542" s="5">
        <f>IF($I2="","",INDEX(Productos!$I:$I,$I2))</f>
        <v/>
      </c>
      <c r="G2542" s="135" t="n">
        <v>2</v>
      </c>
      <c r="H2542" s="5">
        <f>IF($I2="","",INDEX(Productos!$AG:$AG,$I2))</f>
        <v/>
      </c>
      <c r="I2542" s="136">
        <f>LET(_xlpm.r,Productos!$E$2:$E$2509,_xlpm.m,IFERROR(_xlfn.XMATCH(C2542,_xlpm.r),IFERROR(_xlfn.XMATCH(VALUE(C2542),_xlpm.r),0)),IF(_xlpm.m=0,"",_xlpm.m+1))</f>
        <v/>
      </c>
      <c r="J2542" s="137" t="inlineStr">
        <is>
          <t>Shopify</t>
        </is>
      </c>
    </row>
    <row r="2543">
      <c r="A2543" s="5" t="inlineStr">
        <is>
          <t>Shopify Stetson México › Stetson Americas</t>
        </is>
      </c>
      <c r="B2543" s="5">
        <f>IF($I2="","",INDEX(Productos!$A:$A,$I2))</f>
        <v/>
      </c>
      <c r="C2543" s="134" t="inlineStr">
        <is>
          <t>9410790-962-M</t>
        </is>
      </c>
      <c r="D2543" s="5">
        <f>IF($I2="","",INDEX(Productos!$B:$B,$I2))</f>
        <v/>
      </c>
      <c r="E2543" s="5">
        <f>IF($I2="","",INDEX(Productos!$H:$H,$I2))</f>
        <v/>
      </c>
      <c r="F2543" s="5">
        <f>IF($I2="","",INDEX(Productos!$I:$I,$I2))</f>
        <v/>
      </c>
      <c r="G2543" s="135" t="n">
        <v>3</v>
      </c>
      <c r="H2543" s="5">
        <f>IF($I2="","",INDEX(Productos!$AG:$AG,$I2))</f>
        <v/>
      </c>
      <c r="I2543" s="136">
        <f>LET(_xlpm.r,Productos!$E$2:$E$2509,_xlpm.m,IFERROR(_xlfn.XMATCH(C2543,_xlpm.r),IFERROR(_xlfn.XMATCH(VALUE(C2543),_xlpm.r),0)),IF(_xlpm.m=0,"",_xlpm.m+1))</f>
        <v/>
      </c>
      <c r="J2543" s="137" t="inlineStr">
        <is>
          <t>Shopify</t>
        </is>
      </c>
    </row>
    <row r="2544">
      <c r="A2544" s="5" t="inlineStr">
        <is>
          <t>Shopify Stetson México › Stetson Americas</t>
        </is>
      </c>
      <c r="B2544" s="5">
        <f>IF($I2="","",INDEX(Productos!$A:$A,$I2))</f>
        <v/>
      </c>
      <c r="C2544" s="134" t="inlineStr">
        <is>
          <t>9410790-962-S</t>
        </is>
      </c>
      <c r="D2544" s="5">
        <f>IF($I2="","",INDEX(Productos!$B:$B,$I2))</f>
        <v/>
      </c>
      <c r="E2544" s="5">
        <f>IF($I2="","",INDEX(Productos!$H:$H,$I2))</f>
        <v/>
      </c>
      <c r="F2544" s="5">
        <f>IF($I2="","",INDEX(Productos!$I:$I,$I2))</f>
        <v/>
      </c>
      <c r="G2544" s="135" t="n">
        <v>1</v>
      </c>
      <c r="H2544" s="5">
        <f>IF($I2="","",INDEX(Productos!$AG:$AG,$I2))</f>
        <v/>
      </c>
      <c r="I2544" s="136">
        <f>LET(_xlpm.r,Productos!$E$2:$E$2509,_xlpm.m,IFERROR(_xlfn.XMATCH(C2544,_xlpm.r),IFERROR(_xlfn.XMATCH(VALUE(C2544),_xlpm.r),0)),IF(_xlpm.m=0,"",_xlpm.m+1))</f>
        <v/>
      </c>
      <c r="J2544" s="137" t="inlineStr">
        <is>
          <t>Shopify</t>
        </is>
      </c>
    </row>
    <row r="2545">
      <c r="A2545" s="5" t="inlineStr">
        <is>
          <t>Shopify Stetson México › Stetson Americas</t>
        </is>
      </c>
      <c r="B2545" s="5">
        <f>IF($I2="","",INDEX(Productos!$A:$A,$I2))</f>
        <v/>
      </c>
      <c r="C2545" s="134" t="inlineStr">
        <is>
          <t>9411790-909-L</t>
        </is>
      </c>
      <c r="D2545" s="5">
        <f>IF($I2="","",INDEX(Productos!$B:$B,$I2))</f>
        <v/>
      </c>
      <c r="E2545" s="5">
        <f>IF($I2="","",INDEX(Productos!$H:$H,$I2))</f>
        <v/>
      </c>
      <c r="F2545" s="5">
        <f>IF($I2="","",INDEX(Productos!$I:$I,$I2))</f>
        <v/>
      </c>
      <c r="G2545" s="135" t="n">
        <v>2</v>
      </c>
      <c r="H2545" s="5">
        <f>IF($I2="","",INDEX(Productos!$AG:$AG,$I2))</f>
        <v/>
      </c>
      <c r="I2545" s="136">
        <f>LET(_xlpm.r,Productos!$E$2:$E$2509,_xlpm.m,IFERROR(_xlfn.XMATCH(C2545,_xlpm.r),IFERROR(_xlfn.XMATCH(VALUE(C2545),_xlpm.r),0)),IF(_xlpm.m=0,"",_xlpm.m+1))</f>
        <v/>
      </c>
      <c r="J2545" s="137" t="inlineStr">
        <is>
          <t>Shopify</t>
        </is>
      </c>
    </row>
    <row r="2546">
      <c r="A2546" s="5" t="inlineStr">
        <is>
          <t>Shopify Stetson México › Stetson Americas</t>
        </is>
      </c>
      <c r="B2546" s="5">
        <f>IF($I2="","",INDEX(Productos!$A:$A,$I2))</f>
        <v/>
      </c>
      <c r="C2546" s="134" t="inlineStr">
        <is>
          <t>9411790-909-XL</t>
        </is>
      </c>
      <c r="D2546" s="5">
        <f>IF($I2="","",INDEX(Productos!$B:$B,$I2))</f>
        <v/>
      </c>
      <c r="E2546" s="5">
        <f>IF($I2="","",INDEX(Productos!$H:$H,$I2))</f>
        <v/>
      </c>
      <c r="F2546" s="5">
        <f>IF($I2="","",INDEX(Productos!$I:$I,$I2))</f>
        <v/>
      </c>
      <c r="G2546" s="135" t="n">
        <v>1</v>
      </c>
      <c r="H2546" s="5">
        <f>IF($I2="","",INDEX(Productos!$AG:$AG,$I2))</f>
        <v/>
      </c>
      <c r="I2546" s="136">
        <f>LET(_xlpm.r,Productos!$E$2:$E$2509,_xlpm.m,IFERROR(_xlfn.XMATCH(C2546,_xlpm.r),IFERROR(_xlfn.XMATCH(VALUE(C2546),_xlpm.r),0)),IF(_xlpm.m=0,"",_xlpm.m+1))</f>
        <v/>
      </c>
      <c r="J2546" s="137" t="inlineStr">
        <is>
          <t>Shopify</t>
        </is>
      </c>
    </row>
    <row r="2547">
      <c r="A2547" s="5" t="inlineStr">
        <is>
          <t>Shopify Stetson México › Stetson Americas</t>
        </is>
      </c>
      <c r="B2547" s="5">
        <f>IF($I2="","",INDEX(Productos!$A:$A,$I2))</f>
        <v/>
      </c>
      <c r="C2547" s="134" t="inlineStr">
        <is>
          <t>9412790-100-L</t>
        </is>
      </c>
      <c r="D2547" s="5">
        <f>IF($I2="","",INDEX(Productos!$B:$B,$I2))</f>
        <v/>
      </c>
      <c r="E2547" s="5">
        <f>IF($I2="","",INDEX(Productos!$H:$H,$I2))</f>
        <v/>
      </c>
      <c r="F2547" s="5">
        <f>IF($I2="","",INDEX(Productos!$I:$I,$I2))</f>
        <v/>
      </c>
      <c r="G2547" s="135" t="n">
        <v>4</v>
      </c>
      <c r="H2547" s="5">
        <f>IF($I2="","",INDEX(Productos!$AG:$AG,$I2))</f>
        <v/>
      </c>
      <c r="I2547" s="136">
        <f>LET(_xlpm.r,Productos!$E$2:$E$2509,_xlpm.m,IFERROR(_xlfn.XMATCH(C2547,_xlpm.r),IFERROR(_xlfn.XMATCH(VALUE(C2547),_xlpm.r),0)),IF(_xlpm.m=0,"",_xlpm.m+1))</f>
        <v/>
      </c>
      <c r="J2547" s="137" t="inlineStr">
        <is>
          <t>Shopify</t>
        </is>
      </c>
    </row>
    <row r="2548">
      <c r="A2548" s="5" t="inlineStr">
        <is>
          <t>Shopify Stetson México › Stetson Americas</t>
        </is>
      </c>
      <c r="B2548" s="5">
        <f>IF($I2="","",INDEX(Productos!$A:$A,$I2))</f>
        <v/>
      </c>
      <c r="C2548" s="134" t="inlineStr">
        <is>
          <t>9412790-100-M</t>
        </is>
      </c>
      <c r="D2548" s="5">
        <f>IF($I2="","",INDEX(Productos!$B:$B,$I2))</f>
        <v/>
      </c>
      <c r="E2548" s="5">
        <f>IF($I2="","",INDEX(Productos!$H:$H,$I2))</f>
        <v/>
      </c>
      <c r="F2548" s="5">
        <f>IF($I2="","",INDEX(Productos!$I:$I,$I2))</f>
        <v/>
      </c>
      <c r="G2548" s="135" t="n">
        <v>6</v>
      </c>
      <c r="H2548" s="5">
        <f>IF($I2="","",INDEX(Productos!$AG:$AG,$I2))</f>
        <v/>
      </c>
      <c r="I2548" s="136">
        <f>LET(_xlpm.r,Productos!$E$2:$E$2509,_xlpm.m,IFERROR(_xlfn.XMATCH(C2548,_xlpm.r),IFERROR(_xlfn.XMATCH(VALUE(C2548),_xlpm.r),0)),IF(_xlpm.m=0,"",_xlpm.m+1))</f>
        <v/>
      </c>
      <c r="J2548" s="137" t="inlineStr">
        <is>
          <t>Shopify</t>
        </is>
      </c>
    </row>
    <row r="2549">
      <c r="A2549" s="5" t="inlineStr">
        <is>
          <t>Shopify Stetson México › Stetson Americas</t>
        </is>
      </c>
      <c r="B2549" s="5">
        <f>IF($I2="","",INDEX(Productos!$A:$A,$I2))</f>
        <v/>
      </c>
      <c r="C2549" s="134" t="inlineStr">
        <is>
          <t>9412790-100-S</t>
        </is>
      </c>
      <c r="D2549" s="5">
        <f>IF($I2="","",INDEX(Productos!$B:$B,$I2))</f>
        <v/>
      </c>
      <c r="E2549" s="5">
        <f>IF($I2="","",INDEX(Productos!$H:$H,$I2))</f>
        <v/>
      </c>
      <c r="F2549" s="5">
        <f>IF($I2="","",INDEX(Productos!$I:$I,$I2))</f>
        <v/>
      </c>
      <c r="G2549" s="135" t="n">
        <v>3</v>
      </c>
      <c r="H2549" s="5">
        <f>IF($I2="","",INDEX(Productos!$AG:$AG,$I2))</f>
        <v/>
      </c>
      <c r="I2549" s="136">
        <f>LET(_xlpm.r,Productos!$E$2:$E$2509,_xlpm.m,IFERROR(_xlfn.XMATCH(C2549,_xlpm.r),IFERROR(_xlfn.XMATCH(VALUE(C2549),_xlpm.r),0)),IF(_xlpm.m=0,"",_xlpm.m+1))</f>
        <v/>
      </c>
      <c r="J2549" s="137" t="inlineStr">
        <is>
          <t>Shopify</t>
        </is>
      </c>
    </row>
    <row r="2550">
      <c r="A2550" s="5" t="inlineStr">
        <is>
          <t>Shopify Stetson México › Stetson Americas</t>
        </is>
      </c>
      <c r="B2550" s="5">
        <f>IF($I2="","",INDEX(Productos!$A:$A,$I2))</f>
        <v/>
      </c>
      <c r="C2550" s="134" t="inlineStr">
        <is>
          <t>9501000-200-NZ</t>
        </is>
      </c>
      <c r="D2550" s="5">
        <f>IF($I2="","",INDEX(Productos!$B:$B,$I2))</f>
        <v/>
      </c>
      <c r="E2550" s="5">
        <f>IF($I2="","",INDEX(Productos!$H:$H,$I2))</f>
        <v/>
      </c>
      <c r="F2550" s="5">
        <f>IF($I2="","",INDEX(Productos!$I:$I,$I2))</f>
        <v/>
      </c>
      <c r="G2550" s="135" t="n">
        <v>10</v>
      </c>
      <c r="H2550" s="5">
        <f>IF($I2="","",INDEX(Productos!$AG:$AG,$I2))</f>
        <v/>
      </c>
      <c r="I2550" s="136">
        <f>LET(_xlpm.r,Productos!$E$2:$E$2509,_xlpm.m,IFERROR(_xlfn.XMATCH(C2550,_xlpm.r),IFERROR(_xlfn.XMATCH(VALUE(C2550),_xlpm.r),0)),IF(_xlpm.m=0,"",_xlpm.m+1))</f>
        <v/>
      </c>
      <c r="J2550" s="137" t="inlineStr">
        <is>
          <t>Shopify</t>
        </is>
      </c>
    </row>
    <row r="2551">
      <c r="A2551" s="5" t="inlineStr">
        <is>
          <t>Shopify Stetson México › Stetson Americas</t>
        </is>
      </c>
      <c r="B2551" s="5">
        <f>IF($I2="","",INDEX(Productos!$A:$A,$I2))</f>
        <v/>
      </c>
      <c r="C2551" s="134" t="inlineStr">
        <is>
          <t>9502000-600-NZ</t>
        </is>
      </c>
      <c r="D2551" s="5">
        <f>IF($I2="","",INDEX(Productos!$B:$B,$I2))</f>
        <v/>
      </c>
      <c r="E2551" s="5">
        <f>IF($I2="","",INDEX(Productos!$H:$H,$I2))</f>
        <v/>
      </c>
      <c r="F2551" s="5">
        <f>IF($I2="","",INDEX(Productos!$I:$I,$I2))</f>
        <v/>
      </c>
      <c r="G2551" s="135" t="n">
        <v>5</v>
      </c>
      <c r="H2551" s="5">
        <f>IF($I2="","",INDEX(Productos!$AG:$AG,$I2))</f>
        <v/>
      </c>
      <c r="I2551" s="136">
        <f>LET(_xlpm.r,Productos!$E$2:$E$2509,_xlpm.m,IFERROR(_xlfn.XMATCH(C2551,_xlpm.r),IFERROR(_xlfn.XMATCH(VALUE(C2551),_xlpm.r),0)),IF(_xlpm.m=0,"",_xlpm.m+1))</f>
        <v/>
      </c>
      <c r="J2551" s="137" t="inlineStr">
        <is>
          <t>Shopify</t>
        </is>
      </c>
    </row>
    <row r="2552">
      <c r="A2552" s="5" t="inlineStr">
        <is>
          <t>Shopify Stetson México › Stetson Americas</t>
        </is>
      </c>
      <c r="B2552" s="5">
        <f>IF($I2="","",INDEX(Productos!$A:$A,$I2))</f>
        <v/>
      </c>
      <c r="C2552" s="134" t="inlineStr">
        <is>
          <t>9506000-600-NZ</t>
        </is>
      </c>
      <c r="D2552" s="5">
        <f>IF($I2="","",INDEX(Productos!$B:$B,$I2))</f>
        <v/>
      </c>
      <c r="E2552" s="5">
        <f>IF($I2="","",INDEX(Productos!$H:$H,$I2))</f>
        <v/>
      </c>
      <c r="F2552" s="5">
        <f>IF($I2="","",INDEX(Productos!$I:$I,$I2))</f>
        <v/>
      </c>
      <c r="G2552" s="135" t="n">
        <v>4</v>
      </c>
      <c r="H2552" s="5">
        <f>IF($I2="","",INDEX(Productos!$AG:$AG,$I2))</f>
        <v/>
      </c>
      <c r="I2552" s="136">
        <f>LET(_xlpm.r,Productos!$E$2:$E$2509,_xlpm.m,IFERROR(_xlfn.XMATCH(C2552,_xlpm.r),IFERROR(_xlfn.XMATCH(VALUE(C2552),_xlpm.r),0)),IF(_xlpm.m=0,"",_xlpm.m+1))</f>
        <v/>
      </c>
      <c r="J2552" s="137" t="inlineStr">
        <is>
          <t>Shopify</t>
        </is>
      </c>
    </row>
    <row r="2553">
      <c r="A2553" s="5" t="inlineStr">
        <is>
          <t>Shopify Stetson México › Stetson Americas</t>
        </is>
      </c>
      <c r="B2553" s="5">
        <f>IF($I2="","",INDEX(Productos!$A:$A,$I2))</f>
        <v/>
      </c>
      <c r="C2553" s="134" t="inlineStr">
        <is>
          <t>9508000-001-NZ</t>
        </is>
      </c>
      <c r="D2553" s="5">
        <f>IF($I2="","",INDEX(Productos!$B:$B,$I2))</f>
        <v/>
      </c>
      <c r="E2553" s="5">
        <f>IF($I2="","",INDEX(Productos!$H:$H,$I2))</f>
        <v/>
      </c>
      <c r="F2553" s="5">
        <f>IF($I2="","",INDEX(Productos!$I:$I,$I2))</f>
        <v/>
      </c>
      <c r="G2553" s="135" t="n">
        <v>5</v>
      </c>
      <c r="H2553" s="5">
        <f>IF($I2="","",INDEX(Productos!$AG:$AG,$I2))</f>
        <v/>
      </c>
      <c r="I2553" s="136">
        <f>LET(_xlpm.r,Productos!$E$2:$E$2509,_xlpm.m,IFERROR(_xlfn.XMATCH(C2553,_xlpm.r),IFERROR(_xlfn.XMATCH(VALUE(C2553),_xlpm.r),0)),IF(_xlpm.m=0,"",_xlpm.m+1))</f>
        <v/>
      </c>
      <c r="J2553" s="137" t="inlineStr">
        <is>
          <t>Shopify</t>
        </is>
      </c>
    </row>
    <row r="2554">
      <c r="A2554" s="5" t="inlineStr">
        <is>
          <t>Shopify Stetson México › Stetson Americas</t>
        </is>
      </c>
      <c r="B2554" s="5">
        <f>IF($I2="","",INDEX(Productos!$A:$A,$I2))</f>
        <v/>
      </c>
      <c r="C2554" s="134" t="inlineStr">
        <is>
          <t>9509000-001-NZ</t>
        </is>
      </c>
      <c r="D2554" s="5">
        <f>IF($I2="","",INDEX(Productos!$B:$B,$I2))</f>
        <v/>
      </c>
      <c r="E2554" s="5">
        <f>IF($I2="","",INDEX(Productos!$H:$H,$I2))</f>
        <v/>
      </c>
      <c r="F2554" s="5">
        <f>IF($I2="","",INDEX(Productos!$I:$I,$I2))</f>
        <v/>
      </c>
      <c r="G2554" s="135" t="n">
        <v>9</v>
      </c>
      <c r="H2554" s="5">
        <f>IF($I2="","",INDEX(Productos!$AG:$AG,$I2))</f>
        <v/>
      </c>
      <c r="I2554" s="136">
        <f>LET(_xlpm.r,Productos!$E$2:$E$2509,_xlpm.m,IFERROR(_xlfn.XMATCH(C2554,_xlpm.r),IFERROR(_xlfn.XMATCH(VALUE(C2554),_xlpm.r),0)),IF(_xlpm.m=0,"",_xlpm.m+1))</f>
        <v/>
      </c>
      <c r="J2554" s="137" t="inlineStr">
        <is>
          <t>Shopify</t>
        </is>
      </c>
    </row>
    <row r="2555">
      <c r="A2555" s="5" t="inlineStr">
        <is>
          <t>Shopify Stetson México › Stetson Americas</t>
        </is>
      </c>
      <c r="B2555" s="5">
        <f>IF($I2="","",INDEX(Productos!$A:$A,$I2))</f>
        <v/>
      </c>
      <c r="C2555" s="134" t="inlineStr">
        <is>
          <t>9510000-200-NZ</t>
        </is>
      </c>
      <c r="D2555" s="5">
        <f>IF($I2="","",INDEX(Productos!$B:$B,$I2))</f>
        <v/>
      </c>
      <c r="E2555" s="5">
        <f>IF($I2="","",INDEX(Productos!$H:$H,$I2))</f>
        <v/>
      </c>
      <c r="F2555" s="5">
        <f>IF($I2="","",INDEX(Productos!$I:$I,$I2))</f>
        <v/>
      </c>
      <c r="G2555" s="135" t="n">
        <v>10</v>
      </c>
      <c r="H2555" s="5">
        <f>IF($I2="","",INDEX(Productos!$AG:$AG,$I2))</f>
        <v/>
      </c>
      <c r="I2555" s="136">
        <f>LET(_xlpm.r,Productos!$E$2:$E$2509,_xlpm.m,IFERROR(_xlfn.XMATCH(C2555,_xlpm.r),IFERROR(_xlfn.XMATCH(VALUE(C2555),_xlpm.r),0)),IF(_xlpm.m=0,"",_xlpm.m+1))</f>
        <v/>
      </c>
      <c r="J2555" s="137" t="inlineStr">
        <is>
          <t>Shopify</t>
        </is>
      </c>
    </row>
    <row r="2556">
      <c r="A2556" s="5" t="inlineStr">
        <is>
          <t>Shopify Stetson México › Stetson Americas</t>
        </is>
      </c>
      <c r="B2556" s="5">
        <f>IF($I2="","",INDEX(Productos!$A:$A,$I2))</f>
        <v/>
      </c>
      <c r="C2556" s="134" t="inlineStr">
        <is>
          <t>9510000-219-NZ</t>
        </is>
      </c>
      <c r="D2556" s="5">
        <f>IF($I2="","",INDEX(Productos!$B:$B,$I2))</f>
        <v/>
      </c>
      <c r="E2556" s="5">
        <f>IF($I2="","",INDEX(Productos!$H:$H,$I2))</f>
        <v/>
      </c>
      <c r="F2556" s="5">
        <f>IF($I2="","",INDEX(Productos!$I:$I,$I2))</f>
        <v/>
      </c>
      <c r="G2556" s="135" t="n">
        <v>4</v>
      </c>
      <c r="H2556" s="5">
        <f>IF($I2="","",INDEX(Productos!$AG:$AG,$I2))</f>
        <v/>
      </c>
      <c r="I2556" s="136">
        <f>LET(_xlpm.r,Productos!$E$2:$E$2509,_xlpm.m,IFERROR(_xlfn.XMATCH(C2556,_xlpm.r),IFERROR(_xlfn.XMATCH(VALUE(C2556),_xlpm.r),0)),IF(_xlpm.m=0,"",_xlpm.m+1))</f>
        <v/>
      </c>
      <c r="J2556" s="137" t="inlineStr">
        <is>
          <t>Shopify</t>
        </is>
      </c>
    </row>
    <row r="2557">
      <c r="A2557" s="5" t="inlineStr">
        <is>
          <t>Shopify Stetson México › Stetson Americas</t>
        </is>
      </c>
      <c r="B2557" s="5">
        <f>IF($I2="","",INDEX(Productos!$A:$A,$I2))</f>
        <v/>
      </c>
      <c r="C2557" s="134" t="inlineStr">
        <is>
          <t>9512000-600-NZ</t>
        </is>
      </c>
      <c r="D2557" s="5">
        <f>IF($I2="","",INDEX(Productos!$B:$B,$I2))</f>
        <v/>
      </c>
      <c r="E2557" s="5">
        <f>IF($I2="","",INDEX(Productos!$H:$H,$I2))</f>
        <v/>
      </c>
      <c r="F2557" s="5">
        <f>IF($I2="","",INDEX(Productos!$I:$I,$I2))</f>
        <v/>
      </c>
      <c r="G2557" s="135" t="n">
        <v>4</v>
      </c>
      <c r="H2557" s="5">
        <f>IF($I2="","",INDEX(Productos!$AG:$AG,$I2))</f>
        <v/>
      </c>
      <c r="I2557" s="136">
        <f>LET(_xlpm.r,Productos!$E$2:$E$2509,_xlpm.m,IFERROR(_xlfn.XMATCH(C2557,_xlpm.r),IFERROR(_xlfn.XMATCH(VALUE(C2557),_xlpm.r),0)),IF(_xlpm.m=0,"",_xlpm.m+1))</f>
        <v/>
      </c>
      <c r="J2557" s="137" t="inlineStr">
        <is>
          <t>Shopify</t>
        </is>
      </c>
    </row>
    <row r="2558">
      <c r="A2558" s="5" t="inlineStr">
        <is>
          <t>Shopify Stetson México › Stetson Americas</t>
        </is>
      </c>
      <c r="B2558" s="5">
        <f>IF($I2="","",INDEX(Productos!$A:$A,$I2))</f>
        <v/>
      </c>
      <c r="C2558" s="134" t="inlineStr">
        <is>
          <t>9513000-001-NZ</t>
        </is>
      </c>
      <c r="D2558" s="5">
        <f>IF($I2="","",INDEX(Productos!$B:$B,$I2))</f>
        <v/>
      </c>
      <c r="E2558" s="5">
        <f>IF($I2="","",INDEX(Productos!$H:$H,$I2))</f>
        <v/>
      </c>
      <c r="F2558" s="5">
        <f>IF($I2="","",INDEX(Productos!$I:$I,$I2))</f>
        <v/>
      </c>
      <c r="G2558" s="135" t="n">
        <v>8</v>
      </c>
      <c r="H2558" s="5">
        <f>IF($I2="","",INDEX(Productos!$AG:$AG,$I2))</f>
        <v/>
      </c>
      <c r="I2558" s="136">
        <f>LET(_xlpm.r,Productos!$E$2:$E$2509,_xlpm.m,IFERROR(_xlfn.XMATCH(C2558,_xlpm.r),IFERROR(_xlfn.XMATCH(VALUE(C2558),_xlpm.r),0)),IF(_xlpm.m=0,"",_xlpm.m+1))</f>
        <v/>
      </c>
      <c r="J2558" s="137" t="inlineStr">
        <is>
          <t>Shopify</t>
        </is>
      </c>
    </row>
    <row r="2559">
      <c r="A2559" s="5" t="inlineStr">
        <is>
          <t>Shopify Stetson México › Stetson Americas</t>
        </is>
      </c>
      <c r="B2559" s="5">
        <f>IF($I2="","",INDEX(Productos!$A:$A,$I2))</f>
        <v/>
      </c>
      <c r="C2559" s="134" t="inlineStr">
        <is>
          <t>9513000-934-NZ</t>
        </is>
      </c>
      <c r="D2559" s="5">
        <f>IF($I2="","",INDEX(Productos!$B:$B,$I2))</f>
        <v/>
      </c>
      <c r="E2559" s="5">
        <f>IF($I2="","",INDEX(Productos!$H:$H,$I2))</f>
        <v/>
      </c>
      <c r="F2559" s="5">
        <f>IF($I2="","",INDEX(Productos!$I:$I,$I2))</f>
        <v/>
      </c>
      <c r="G2559" s="135" t="n">
        <v>8</v>
      </c>
      <c r="H2559" s="5">
        <f>IF($I2="","",INDEX(Productos!$AG:$AG,$I2))</f>
        <v/>
      </c>
      <c r="I2559" s="136">
        <f>LET(_xlpm.r,Productos!$E$2:$E$2509,_xlpm.m,IFERROR(_xlfn.XMATCH(C2559,_xlpm.r),IFERROR(_xlfn.XMATCH(VALUE(C2559),_xlpm.r),0)),IF(_xlpm.m=0,"",_xlpm.m+1))</f>
        <v/>
      </c>
      <c r="J2559" s="137" t="inlineStr">
        <is>
          <t>Shopify</t>
        </is>
      </c>
    </row>
    <row r="2560">
      <c r="A2560" s="5" t="inlineStr">
        <is>
          <t>Shopify Stetson México › Stetson Americas</t>
        </is>
      </c>
      <c r="B2560" s="5">
        <f>IF($I2="","",INDEX(Productos!$A:$A,$I2))</f>
        <v/>
      </c>
      <c r="C2560" s="134" t="inlineStr">
        <is>
          <t>9803001-255-NZ</t>
        </is>
      </c>
      <c r="D2560" s="5">
        <f>IF($I2="","",INDEX(Productos!$B:$B,$I2))</f>
        <v/>
      </c>
      <c r="E2560" s="5">
        <f>IF($I2="","",INDEX(Productos!$H:$H,$I2))</f>
        <v/>
      </c>
      <c r="F2560" s="5">
        <f>IF($I2="","",INDEX(Productos!$I:$I,$I2))</f>
        <v/>
      </c>
      <c r="G2560" s="135" t="n">
        <v>8</v>
      </c>
      <c r="H2560" s="5">
        <f>IF($I2="","",INDEX(Productos!$AG:$AG,$I2))</f>
        <v/>
      </c>
      <c r="I2560" s="136">
        <f>LET(_xlpm.r,Productos!$E$2:$E$2509,_xlpm.m,IFERROR(_xlfn.XMATCH(C2560,_xlpm.r),IFERROR(_xlfn.XMATCH(VALUE(C2560),_xlpm.r),0)),IF(_xlpm.m=0,"",_xlpm.m+1))</f>
        <v/>
      </c>
      <c r="J2560" s="137" t="inlineStr">
        <is>
          <t>Shopify</t>
        </is>
      </c>
    </row>
    <row r="2561">
      <c r="A2561" s="5" t="inlineStr">
        <is>
          <t>Shopify Stetson México › Stetson Americas</t>
        </is>
      </c>
      <c r="B2561" s="5">
        <f>IF($I2="","",INDEX(Productos!$A:$A,$I2))</f>
        <v/>
      </c>
      <c r="C2561" s="134" t="inlineStr">
        <is>
          <t>9803002-255-NZ</t>
        </is>
      </c>
      <c r="D2561" s="5">
        <f>IF($I2="","",INDEX(Productos!$B:$B,$I2))</f>
        <v/>
      </c>
      <c r="E2561" s="5">
        <f>IF($I2="","",INDEX(Productos!$H:$H,$I2))</f>
        <v/>
      </c>
      <c r="F2561" s="5">
        <f>IF($I2="","",INDEX(Productos!$I:$I,$I2))</f>
        <v/>
      </c>
      <c r="G2561" s="135" t="n">
        <v>4</v>
      </c>
      <c r="H2561" s="5">
        <f>IF($I2="","",INDEX(Productos!$AG:$AG,$I2))</f>
        <v/>
      </c>
      <c r="I2561" s="136">
        <f>LET(_xlpm.r,Productos!$E$2:$E$2509,_xlpm.m,IFERROR(_xlfn.XMATCH(C2561,_xlpm.r),IFERROR(_xlfn.XMATCH(VALUE(C2561),_xlpm.r),0)),IF(_xlpm.m=0,"",_xlpm.m+1))</f>
        <v/>
      </c>
      <c r="J2561" s="137" t="inlineStr">
        <is>
          <t>Shopify</t>
        </is>
      </c>
    </row>
    <row r="2562">
      <c r="A2562" s="5" t="inlineStr">
        <is>
          <t>Shopify Stetson México › Stetson Americas</t>
        </is>
      </c>
      <c r="B2562" s="5">
        <f>IF($I2="","",INDEX(Productos!$A:$A,$I2))</f>
        <v/>
      </c>
      <c r="C2562" s="134" t="inlineStr">
        <is>
          <t>9804001-203-NZ</t>
        </is>
      </c>
      <c r="D2562" s="5">
        <f>IF($I2="","",INDEX(Productos!$B:$B,$I2))</f>
        <v/>
      </c>
      <c r="E2562" s="5">
        <f>IF($I2="","",INDEX(Productos!$H:$H,$I2))</f>
        <v/>
      </c>
      <c r="F2562" s="5">
        <f>IF($I2="","",INDEX(Productos!$I:$I,$I2))</f>
        <v/>
      </c>
      <c r="G2562" s="135" t="n">
        <v>8</v>
      </c>
      <c r="H2562" s="5">
        <f>IF($I2="","",INDEX(Productos!$AG:$AG,$I2))</f>
        <v/>
      </c>
      <c r="I2562" s="136">
        <f>LET(_xlpm.r,Productos!$E$2:$E$2509,_xlpm.m,IFERROR(_xlfn.XMATCH(C2562,_xlpm.r),IFERROR(_xlfn.XMATCH(VALUE(C2562),_xlpm.r),0)),IF(_xlpm.m=0,"",_xlpm.m+1))</f>
        <v/>
      </c>
      <c r="J2562" s="137" t="inlineStr">
        <is>
          <t>Shopify</t>
        </is>
      </c>
    </row>
    <row r="2563">
      <c r="A2563" s="5" t="inlineStr">
        <is>
          <t>Shopify Stetson México › Stetson Americas</t>
        </is>
      </c>
      <c r="B2563" s="5">
        <f>IF($I2="","",INDEX(Productos!$A:$A,$I2))</f>
        <v/>
      </c>
      <c r="C2563" s="134" t="inlineStr">
        <is>
          <t>9804002-203-NZ</t>
        </is>
      </c>
      <c r="D2563" s="5">
        <f>IF($I2="","",INDEX(Productos!$B:$B,$I2))</f>
        <v/>
      </c>
      <c r="E2563" s="5">
        <f>IF($I2="","",INDEX(Productos!$H:$H,$I2))</f>
        <v/>
      </c>
      <c r="F2563" s="5">
        <f>IF($I2="","",INDEX(Productos!$I:$I,$I2))</f>
        <v/>
      </c>
      <c r="G2563" s="135" t="n">
        <v>3</v>
      </c>
      <c r="H2563" s="5">
        <f>IF($I2="","",INDEX(Productos!$AG:$AG,$I2))</f>
        <v/>
      </c>
      <c r="I2563" s="136">
        <f>LET(_xlpm.r,Productos!$E$2:$E$2509,_xlpm.m,IFERROR(_xlfn.XMATCH(C2563,_xlpm.r),IFERROR(_xlfn.XMATCH(VALUE(C2563),_xlpm.r),0)),IF(_xlpm.m=0,"",_xlpm.m+1))</f>
        <v/>
      </c>
      <c r="J2563" s="137" t="inlineStr">
        <is>
          <t>Shopify</t>
        </is>
      </c>
    </row>
    <row r="2564">
      <c r="A2564" s="5" t="inlineStr">
        <is>
          <t>Shopify Stetson México › Stetson Americas</t>
        </is>
      </c>
      <c r="B2564" s="5">
        <f>IF($I2="","",INDEX(Productos!$A:$A,$I2))</f>
        <v/>
      </c>
      <c r="C2564" s="134" t="inlineStr">
        <is>
          <t>9804003-203-NZ</t>
        </is>
      </c>
      <c r="D2564" s="5">
        <f>IF($I2="","",INDEX(Productos!$B:$B,$I2))</f>
        <v/>
      </c>
      <c r="E2564" s="5">
        <f>IF($I2="","",INDEX(Productos!$H:$H,$I2))</f>
        <v/>
      </c>
      <c r="F2564" s="5">
        <f>IF($I2="","",INDEX(Productos!$I:$I,$I2))</f>
        <v/>
      </c>
      <c r="G2564" s="135" t="n">
        <v>1</v>
      </c>
      <c r="H2564" s="5">
        <f>IF($I2="","",INDEX(Productos!$AG:$AG,$I2))</f>
        <v/>
      </c>
      <c r="I2564" s="136">
        <f>LET(_xlpm.r,Productos!$E$2:$E$2509,_xlpm.m,IFERROR(_xlfn.XMATCH(C2564,_xlpm.r),IFERROR(_xlfn.XMATCH(VALUE(C2564),_xlpm.r),0)),IF(_xlpm.m=0,"",_xlpm.m+1))</f>
        <v/>
      </c>
      <c r="J2564" s="137" t="inlineStr">
        <is>
          <t>Shopify</t>
        </is>
      </c>
    </row>
    <row r="2565">
      <c r="A2565" s="5" t="inlineStr">
        <is>
          <t>Shopify Stetson México › Stetson Americas</t>
        </is>
      </c>
      <c r="B2565" s="5">
        <f>IF($I2="","",INDEX(Productos!$A:$A,$I2))</f>
        <v/>
      </c>
      <c r="C2565" s="134" t="inlineStr">
        <is>
          <t>9805001-200-NZ</t>
        </is>
      </c>
      <c r="D2565" s="5">
        <f>IF($I2="","",INDEX(Productos!$B:$B,$I2))</f>
        <v/>
      </c>
      <c r="E2565" s="5">
        <f>IF($I2="","",INDEX(Productos!$H:$H,$I2))</f>
        <v/>
      </c>
      <c r="F2565" s="5">
        <f>IF($I2="","",INDEX(Productos!$I:$I,$I2))</f>
        <v/>
      </c>
      <c r="G2565" s="135" t="n">
        <v>10</v>
      </c>
      <c r="H2565" s="5">
        <f>IF($I2="","",INDEX(Productos!$AG:$AG,$I2))</f>
        <v/>
      </c>
      <c r="I2565" s="136">
        <f>LET(_xlpm.r,Productos!$E$2:$E$2509,_xlpm.m,IFERROR(_xlfn.XMATCH(C2565,_xlpm.r),IFERROR(_xlfn.XMATCH(VALUE(C2565),_xlpm.r),0)),IF(_xlpm.m=0,"",_xlpm.m+1))</f>
        <v/>
      </c>
      <c r="J2565" s="137" t="inlineStr">
        <is>
          <t>Shopify</t>
        </is>
      </c>
    </row>
    <row r="2566">
      <c r="A2566" s="5" t="inlineStr">
        <is>
          <t>Shopify Stetson México › Stetson Americas</t>
        </is>
      </c>
      <c r="B2566" s="5">
        <f>IF($I2="","",INDEX(Productos!$A:$A,$I2))</f>
        <v/>
      </c>
      <c r="C2566" s="134" t="inlineStr">
        <is>
          <t>9805002-200-NZ</t>
        </is>
      </c>
      <c r="D2566" s="5">
        <f>IF($I2="","",INDEX(Productos!$B:$B,$I2))</f>
        <v/>
      </c>
      <c r="E2566" s="5">
        <f>IF($I2="","",INDEX(Productos!$H:$H,$I2))</f>
        <v/>
      </c>
      <c r="F2566" s="5">
        <f>IF($I2="","",INDEX(Productos!$I:$I,$I2))</f>
        <v/>
      </c>
      <c r="G2566" s="135" t="n">
        <v>10</v>
      </c>
      <c r="H2566" s="5">
        <f>IF($I2="","",INDEX(Productos!$AG:$AG,$I2))</f>
        <v/>
      </c>
      <c r="I2566" s="136">
        <f>LET(_xlpm.r,Productos!$E$2:$E$2509,_xlpm.m,IFERROR(_xlfn.XMATCH(C2566,_xlpm.r),IFERROR(_xlfn.XMATCH(VALUE(C2566),_xlpm.r),0)),IF(_xlpm.m=0,"",_xlpm.m+1))</f>
        <v/>
      </c>
      <c r="J2566" s="137" t="inlineStr">
        <is>
          <t>Shopify</t>
        </is>
      </c>
    </row>
    <row r="2567">
      <c r="A2567" s="5" t="inlineStr">
        <is>
          <t>Shopify Stetson México › Stetson Americas</t>
        </is>
      </c>
      <c r="B2567" s="5">
        <f>IF($I2="","",INDEX(Productos!$A:$A,$I2))</f>
        <v/>
      </c>
      <c r="C2567" s="134" t="inlineStr">
        <is>
          <t>9805003-200-NZ</t>
        </is>
      </c>
      <c r="D2567" s="5">
        <f>IF($I2="","",INDEX(Productos!$B:$B,$I2))</f>
        <v/>
      </c>
      <c r="E2567" s="5">
        <f>IF($I2="","",INDEX(Productos!$H:$H,$I2))</f>
        <v/>
      </c>
      <c r="F2567" s="5">
        <f>IF($I2="","",INDEX(Productos!$I:$I,$I2))</f>
        <v/>
      </c>
      <c r="G2567" s="135" t="n">
        <v>5</v>
      </c>
      <c r="H2567" s="5">
        <f>IF($I2="","",INDEX(Productos!$AG:$AG,$I2))</f>
        <v/>
      </c>
      <c r="I2567" s="136">
        <f>LET(_xlpm.r,Productos!$E$2:$E$2509,_xlpm.m,IFERROR(_xlfn.XMATCH(C2567,_xlpm.r),IFERROR(_xlfn.XMATCH(VALUE(C2567),_xlpm.r),0)),IF(_xlpm.m=0,"",_xlpm.m+1))</f>
        <v/>
      </c>
      <c r="J2567" s="137" t="inlineStr">
        <is>
          <t>Shopify</t>
        </is>
      </c>
    </row>
    <row r="2568">
      <c r="A2568" s="5" t="inlineStr">
        <is>
          <t>Shopify Stetson México › Stetson Americas</t>
        </is>
      </c>
      <c r="B2568" s="5">
        <f>IF($I2="","",INDEX(Productos!$A:$A,$I2))</f>
        <v/>
      </c>
      <c r="C2568" s="134" t="inlineStr">
        <is>
          <t>9806001-625-NZ</t>
        </is>
      </c>
      <c r="D2568" s="5">
        <f>IF($I2="","",INDEX(Productos!$B:$B,$I2))</f>
        <v/>
      </c>
      <c r="E2568" s="5">
        <f>IF($I2="","",INDEX(Productos!$H:$H,$I2))</f>
        <v/>
      </c>
      <c r="F2568" s="5">
        <f>IF($I2="","",INDEX(Productos!$I:$I,$I2))</f>
        <v/>
      </c>
      <c r="G2568" s="135" t="n">
        <v>8</v>
      </c>
      <c r="H2568" s="5">
        <f>IF($I2="","",INDEX(Productos!$AG:$AG,$I2))</f>
        <v/>
      </c>
      <c r="I2568" s="136">
        <f>LET(_xlpm.r,Productos!$E$2:$E$2509,_xlpm.m,IFERROR(_xlfn.XMATCH(C2568,_xlpm.r),IFERROR(_xlfn.XMATCH(VALUE(C2568),_xlpm.r),0)),IF(_xlpm.m=0,"",_xlpm.m+1))</f>
        <v/>
      </c>
      <c r="J2568" s="137" t="inlineStr">
        <is>
          <t>Shopify</t>
        </is>
      </c>
    </row>
    <row r="2569">
      <c r="A2569" s="5" t="inlineStr">
        <is>
          <t>Shopify Stetson México › Stetson Americas</t>
        </is>
      </c>
      <c r="B2569" s="5">
        <f>IF($I2="","",INDEX(Productos!$A:$A,$I2))</f>
        <v/>
      </c>
      <c r="C2569" s="134" t="inlineStr">
        <is>
          <t>9806002-625-NZ</t>
        </is>
      </c>
      <c r="D2569" s="5">
        <f>IF($I2="","",INDEX(Productos!$B:$B,$I2))</f>
        <v/>
      </c>
      <c r="E2569" s="5">
        <f>IF($I2="","",INDEX(Productos!$H:$H,$I2))</f>
        <v/>
      </c>
      <c r="F2569" s="5">
        <f>IF($I2="","",INDEX(Productos!$I:$I,$I2))</f>
        <v/>
      </c>
      <c r="G2569" s="135" t="n">
        <v>8</v>
      </c>
      <c r="H2569" s="5">
        <f>IF($I2="","",INDEX(Productos!$AG:$AG,$I2))</f>
        <v/>
      </c>
      <c r="I2569" s="136">
        <f>LET(_xlpm.r,Productos!$E$2:$E$2509,_xlpm.m,IFERROR(_xlfn.XMATCH(C2569,_xlpm.r),IFERROR(_xlfn.XMATCH(VALUE(C2569),_xlpm.r),0)),IF(_xlpm.m=0,"",_xlpm.m+1))</f>
        <v/>
      </c>
      <c r="J2569" s="137" t="inlineStr">
        <is>
          <t>Shopify</t>
        </is>
      </c>
    </row>
    <row r="2570">
      <c r="A2570" s="5" t="inlineStr">
        <is>
          <t>Shopify Stetson México › Stetson Americas</t>
        </is>
      </c>
      <c r="B2570" s="5">
        <f>IF($I2="","",INDEX(Productos!$A:$A,$I2))</f>
        <v/>
      </c>
      <c r="C2570" s="134" t="inlineStr">
        <is>
          <t>9806003-625-NZ</t>
        </is>
      </c>
      <c r="D2570" s="5">
        <f>IF($I2="","",INDEX(Productos!$B:$B,$I2))</f>
        <v/>
      </c>
      <c r="E2570" s="5">
        <f>IF($I2="","",INDEX(Productos!$H:$H,$I2))</f>
        <v/>
      </c>
      <c r="F2570" s="5">
        <f>IF($I2="","",INDEX(Productos!$I:$I,$I2))</f>
        <v/>
      </c>
      <c r="G2570" s="135" t="n">
        <v>7</v>
      </c>
      <c r="H2570" s="5">
        <f>IF($I2="","",INDEX(Productos!$AG:$AG,$I2))</f>
        <v/>
      </c>
      <c r="I2570" s="136">
        <f>LET(_xlpm.r,Productos!$E$2:$E$2509,_xlpm.m,IFERROR(_xlfn.XMATCH(C2570,_xlpm.r),IFERROR(_xlfn.XMATCH(VALUE(C2570),_xlpm.r),0)),IF(_xlpm.m=0,"",_xlpm.m+1))</f>
        <v/>
      </c>
      <c r="J2570" s="137" t="inlineStr">
        <is>
          <t>Shopify</t>
        </is>
      </c>
    </row>
    <row r="2571">
      <c r="A2571" s="5" t="inlineStr">
        <is>
          <t>Shopify Stetson México › Stetson Americas</t>
        </is>
      </c>
      <c r="B2571" s="5">
        <f>IF($I2="","",INDEX(Productos!$A:$A,$I2))</f>
        <v/>
      </c>
      <c r="C2571" s="134" t="inlineStr">
        <is>
          <t>9807001-14-NZ</t>
        </is>
      </c>
      <c r="D2571" s="5">
        <f>IF($I2="","",INDEX(Productos!$B:$B,$I2))</f>
        <v/>
      </c>
      <c r="E2571" s="5">
        <f>IF($I2="","",INDEX(Productos!$H:$H,$I2))</f>
        <v/>
      </c>
      <c r="F2571" s="5">
        <f>IF($I2="","",INDEX(Productos!$I:$I,$I2))</f>
        <v/>
      </c>
      <c r="G2571" s="135" t="n">
        <v>5</v>
      </c>
      <c r="H2571" s="5">
        <f>IF($I2="","",INDEX(Productos!$AG:$AG,$I2))</f>
        <v/>
      </c>
      <c r="I2571" s="136">
        <f>LET(_xlpm.r,Productos!$E$2:$E$2509,_xlpm.m,IFERROR(_xlfn.XMATCH(C2571,_xlpm.r),IFERROR(_xlfn.XMATCH(VALUE(C2571),_xlpm.r),0)),IF(_xlpm.m=0,"",_xlpm.m+1))</f>
        <v/>
      </c>
      <c r="J2571" s="137" t="inlineStr">
        <is>
          <t>Shopify</t>
        </is>
      </c>
    </row>
    <row r="2572">
      <c r="A2572" s="5" t="inlineStr">
        <is>
          <t>Shopify Stetson México › Stetson Americas</t>
        </is>
      </c>
      <c r="B2572" s="5">
        <f>IF($I2="","",INDEX(Productos!$A:$A,$I2))</f>
        <v/>
      </c>
      <c r="C2572" s="134" t="inlineStr">
        <is>
          <t>9807001-232-NZ</t>
        </is>
      </c>
      <c r="D2572" s="5">
        <f>IF($I2="","",INDEX(Productos!$B:$B,$I2))</f>
        <v/>
      </c>
      <c r="E2572" s="5">
        <f>IF($I2="","",INDEX(Productos!$H:$H,$I2))</f>
        <v/>
      </c>
      <c r="F2572" s="5">
        <f>IF($I2="","",INDEX(Productos!$I:$I,$I2))</f>
        <v/>
      </c>
      <c r="G2572" s="135" t="n">
        <v>5</v>
      </c>
      <c r="H2572" s="5">
        <f>IF($I2="","",INDEX(Productos!$AG:$AG,$I2))</f>
        <v/>
      </c>
      <c r="I2572" s="136">
        <f>LET(_xlpm.r,Productos!$E$2:$E$2509,_xlpm.m,IFERROR(_xlfn.XMATCH(C2572,_xlpm.r),IFERROR(_xlfn.XMATCH(VALUE(C2572),_xlpm.r),0)),IF(_xlpm.m=0,"",_xlpm.m+1))</f>
        <v/>
      </c>
      <c r="J2572" s="137" t="inlineStr">
        <is>
          <t>Shopify</t>
        </is>
      </c>
    </row>
    <row r="2573">
      <c r="A2573" s="5" t="inlineStr">
        <is>
          <t>Shopify Stetson México › Stetson Americas</t>
        </is>
      </c>
      <c r="B2573" s="5">
        <f>IF($I2="","",INDEX(Productos!$A:$A,$I2))</f>
        <v/>
      </c>
      <c r="C2573" s="134" t="inlineStr">
        <is>
          <t>9807002-14-NZ</t>
        </is>
      </c>
      <c r="D2573" s="5">
        <f>IF($I2="","",INDEX(Productos!$B:$B,$I2))</f>
        <v/>
      </c>
      <c r="E2573" s="5">
        <f>IF($I2="","",INDEX(Productos!$H:$H,$I2))</f>
        <v/>
      </c>
      <c r="F2573" s="5">
        <f>IF($I2="","",INDEX(Productos!$I:$I,$I2))</f>
        <v/>
      </c>
      <c r="G2573" s="135" t="n">
        <v>4</v>
      </c>
      <c r="H2573" s="5">
        <f>IF($I2="","",INDEX(Productos!$AG:$AG,$I2))</f>
        <v/>
      </c>
      <c r="I2573" s="136">
        <f>LET(_xlpm.r,Productos!$E$2:$E$2509,_xlpm.m,IFERROR(_xlfn.XMATCH(C2573,_xlpm.r),IFERROR(_xlfn.XMATCH(VALUE(C2573),_xlpm.r),0)),IF(_xlpm.m=0,"",_xlpm.m+1))</f>
        <v/>
      </c>
      <c r="J2573" s="137" t="inlineStr">
        <is>
          <t>Shopify</t>
        </is>
      </c>
    </row>
    <row r="2574">
      <c r="A2574" s="5" t="inlineStr">
        <is>
          <t>Shopify Stetson México › Stetson Americas</t>
        </is>
      </c>
      <c r="B2574" s="5">
        <f>IF($I2="","",INDEX(Productos!$A:$A,$I2))</f>
        <v/>
      </c>
      <c r="C2574" s="134" t="inlineStr">
        <is>
          <t>9808003-19-NZ</t>
        </is>
      </c>
      <c r="D2574" s="5">
        <f>IF($I2="","",INDEX(Productos!$B:$B,$I2))</f>
        <v/>
      </c>
      <c r="E2574" s="5">
        <f>IF($I2="","",INDEX(Productos!$H:$H,$I2))</f>
        <v/>
      </c>
      <c r="F2574" s="5">
        <f>IF($I2="","",INDEX(Productos!$I:$I,$I2))</f>
        <v/>
      </c>
      <c r="G2574" s="135" t="n">
        <v>2</v>
      </c>
      <c r="H2574" s="5">
        <f>IF($I2="","",INDEX(Productos!$AG:$AG,$I2))</f>
        <v/>
      </c>
      <c r="I2574" s="136">
        <f>LET(_xlpm.r,Productos!$E$2:$E$2509,_xlpm.m,IFERROR(_xlfn.XMATCH(C2574,_xlpm.r),IFERROR(_xlfn.XMATCH(VALUE(C2574),_xlpm.r),0)),IF(_xlpm.m=0,"",_xlpm.m+1))</f>
        <v/>
      </c>
      <c r="J2574" s="137" t="inlineStr">
        <is>
          <t>Shopify</t>
        </is>
      </c>
    </row>
    <row r="2575">
      <c r="A2575" s="5" t="inlineStr">
        <is>
          <t>Shopify Stetson México › Stetson Americas</t>
        </is>
      </c>
      <c r="B2575" s="5">
        <f>IF($I2="","",INDEX(Productos!$A:$A,$I2))</f>
        <v/>
      </c>
      <c r="C2575" s="134" t="inlineStr">
        <is>
          <t>9809001-200-NZ</t>
        </is>
      </c>
      <c r="D2575" s="5">
        <f>IF($I2="","",INDEX(Productos!$B:$B,$I2))</f>
        <v/>
      </c>
      <c r="E2575" s="5">
        <f>IF($I2="","",INDEX(Productos!$H:$H,$I2))</f>
        <v/>
      </c>
      <c r="F2575" s="5">
        <f>IF($I2="","",INDEX(Productos!$I:$I,$I2))</f>
        <v/>
      </c>
      <c r="G2575" s="135" t="n">
        <v>18</v>
      </c>
      <c r="H2575" s="5">
        <f>IF($I2="","",INDEX(Productos!$AG:$AG,$I2))</f>
        <v/>
      </c>
      <c r="I2575" s="136">
        <f>LET(_xlpm.r,Productos!$E$2:$E$2509,_xlpm.m,IFERROR(_xlfn.XMATCH(C2575,_xlpm.r),IFERROR(_xlfn.XMATCH(VALUE(C2575),_xlpm.r),0)),IF(_xlpm.m=0,"",_xlpm.m+1))</f>
        <v/>
      </c>
      <c r="J2575" s="137" t="inlineStr">
        <is>
          <t>Shopify</t>
        </is>
      </c>
    </row>
    <row r="2576">
      <c r="A2576" s="5" t="inlineStr">
        <is>
          <t>Shopify Stetson México › Stetson Americas</t>
        </is>
      </c>
      <c r="B2576" s="5">
        <f>IF($I2="","",INDEX(Productos!$A:$A,$I2))</f>
        <v/>
      </c>
      <c r="C2576" s="134" t="inlineStr">
        <is>
          <t>9809003-200-NZ</t>
        </is>
      </c>
      <c r="D2576" s="5">
        <f>IF($I2="","",INDEX(Productos!$B:$B,$I2))</f>
        <v/>
      </c>
      <c r="E2576" s="5">
        <f>IF($I2="","",INDEX(Productos!$H:$H,$I2))</f>
        <v/>
      </c>
      <c r="F2576" s="5">
        <f>IF($I2="","",INDEX(Productos!$I:$I,$I2))</f>
        <v/>
      </c>
      <c r="G2576" s="135" t="n">
        <v>5</v>
      </c>
      <c r="H2576" s="5">
        <f>IF($I2="","",INDEX(Productos!$AG:$AG,$I2))</f>
        <v/>
      </c>
      <c r="I2576" s="136">
        <f>LET(_xlpm.r,Productos!$E$2:$E$2509,_xlpm.m,IFERROR(_xlfn.XMATCH(C2576,_xlpm.r),IFERROR(_xlfn.XMATCH(VALUE(C2576),_xlpm.r),0)),IF(_xlpm.m=0,"",_xlpm.m+1))</f>
        <v/>
      </c>
      <c r="J2576" s="137" t="inlineStr">
        <is>
          <t>Shopify</t>
        </is>
      </c>
    </row>
    <row r="2577">
      <c r="A2577" s="5" t="inlineStr">
        <is>
          <t>Shopify Stetson México › Stetson Americas</t>
        </is>
      </c>
      <c r="B2577" s="5">
        <f>IF($I2="","",INDEX(Productos!$A:$A,$I2))</f>
        <v/>
      </c>
      <c r="C2577" s="134" t="inlineStr">
        <is>
          <t>9901500-204-40</t>
        </is>
      </c>
      <c r="D2577" s="5">
        <f>IF($I2="","",INDEX(Productos!$B:$B,$I2))</f>
        <v/>
      </c>
      <c r="E2577" s="5">
        <f>IF($I2="","",INDEX(Productos!$H:$H,$I2))</f>
        <v/>
      </c>
      <c r="F2577" s="5">
        <f>IF($I2="","",INDEX(Productos!$I:$I,$I2))</f>
        <v/>
      </c>
      <c r="G2577" s="135" t="n">
        <v>2</v>
      </c>
      <c r="H2577" s="5">
        <f>IF($I2="","",INDEX(Productos!$AG:$AG,$I2))</f>
        <v/>
      </c>
      <c r="I2577" s="136">
        <f>LET(_xlpm.r,Productos!$E$2:$E$2509,_xlpm.m,IFERROR(_xlfn.XMATCH(C2577,_xlpm.r),IFERROR(_xlfn.XMATCH(VALUE(C2577),_xlpm.r),0)),IF(_xlpm.m=0,"",_xlpm.m+1))</f>
        <v/>
      </c>
      <c r="J2577" s="137" t="inlineStr">
        <is>
          <t>Shopify</t>
        </is>
      </c>
    </row>
    <row r="2578">
      <c r="A2578" s="5" t="inlineStr">
        <is>
          <t>Shopify Stetson México › Stetson Americas</t>
        </is>
      </c>
      <c r="B2578" s="5">
        <f>IF($I2="","",INDEX(Productos!$A:$A,$I2))</f>
        <v/>
      </c>
      <c r="C2578" s="134" t="inlineStr">
        <is>
          <t>9901500-204-42</t>
        </is>
      </c>
      <c r="D2578" s="5">
        <f>IF($I2="","",INDEX(Productos!$B:$B,$I2))</f>
        <v/>
      </c>
      <c r="E2578" s="5">
        <f>IF($I2="","",INDEX(Productos!$H:$H,$I2))</f>
        <v/>
      </c>
      <c r="F2578" s="5">
        <f>IF($I2="","",INDEX(Productos!$I:$I,$I2))</f>
        <v/>
      </c>
      <c r="G2578" s="135" t="n">
        <v>2</v>
      </c>
      <c r="H2578" s="5">
        <f>IF($I2="","",INDEX(Productos!$AG:$AG,$I2))</f>
        <v/>
      </c>
      <c r="I2578" s="136">
        <f>LET(_xlpm.r,Productos!$E$2:$E$2509,_xlpm.m,IFERROR(_xlfn.XMATCH(C2578,_xlpm.r),IFERROR(_xlfn.XMATCH(VALUE(C2578),_xlpm.r),0)),IF(_xlpm.m=0,"",_xlpm.m+1))</f>
        <v/>
      </c>
      <c r="J2578" s="137" t="inlineStr">
        <is>
          <t>Shopify</t>
        </is>
      </c>
    </row>
    <row r="2579">
      <c r="A2579" s="5" t="inlineStr">
        <is>
          <t>Shopify Stetson México › Stetson Americas</t>
        </is>
      </c>
      <c r="B2579" s="5">
        <f>IF($I2="","",INDEX(Productos!$A:$A,$I2))</f>
        <v/>
      </c>
      <c r="C2579" s="134" t="inlineStr">
        <is>
          <t>9903500-109-40</t>
        </is>
      </c>
      <c r="D2579" s="5">
        <f>IF($I2="","",INDEX(Productos!$B:$B,$I2))</f>
        <v/>
      </c>
      <c r="E2579" s="5">
        <f>IF($I2="","",INDEX(Productos!$H:$H,$I2))</f>
        <v/>
      </c>
      <c r="F2579" s="5">
        <f>IF($I2="","",INDEX(Productos!$I:$I,$I2))</f>
        <v/>
      </c>
      <c r="G2579" s="135" t="n">
        <v>4</v>
      </c>
      <c r="H2579" s="5">
        <f>IF($I2="","",INDEX(Productos!$AG:$AG,$I2))</f>
        <v/>
      </c>
      <c r="I2579" s="136">
        <f>LET(_xlpm.r,Productos!$E$2:$E$2509,_xlpm.m,IFERROR(_xlfn.XMATCH(C2579,_xlpm.r),IFERROR(_xlfn.XMATCH(VALUE(C2579),_xlpm.r),0)),IF(_xlpm.m=0,"",_xlpm.m+1))</f>
        <v/>
      </c>
      <c r="J2579" s="137" t="inlineStr">
        <is>
          <t>Shopify</t>
        </is>
      </c>
    </row>
    <row r="2580">
      <c r="A2580" s="5" t="inlineStr">
        <is>
          <t>Shopify Stetson México › Stetson Americas</t>
        </is>
      </c>
      <c r="B2580" s="5">
        <f>IF($I2="","",INDEX(Productos!$A:$A,$I2))</f>
        <v/>
      </c>
      <c r="C2580" s="134" t="inlineStr">
        <is>
          <t>9903500-109-42</t>
        </is>
      </c>
      <c r="D2580" s="5">
        <f>IF($I2="","",INDEX(Productos!$B:$B,$I2))</f>
        <v/>
      </c>
      <c r="E2580" s="5">
        <f>IF($I2="","",INDEX(Productos!$H:$H,$I2))</f>
        <v/>
      </c>
      <c r="F2580" s="5">
        <f>IF($I2="","",INDEX(Productos!$I:$I,$I2))</f>
        <v/>
      </c>
      <c r="G2580" s="135" t="n">
        <v>1</v>
      </c>
      <c r="H2580" s="5">
        <f>IF($I2="","",INDEX(Productos!$AG:$AG,$I2))</f>
        <v/>
      </c>
      <c r="I2580" s="136">
        <f>LET(_xlpm.r,Productos!$E$2:$E$2509,_xlpm.m,IFERROR(_xlfn.XMATCH(C2580,_xlpm.r),IFERROR(_xlfn.XMATCH(VALUE(C2580),_xlpm.r),0)),IF(_xlpm.m=0,"",_xlpm.m+1))</f>
        <v/>
      </c>
      <c r="J2580" s="137" t="inlineStr">
        <is>
          <t>Shopify</t>
        </is>
      </c>
    </row>
    <row r="2581">
      <c r="A2581" s="5" t="inlineStr">
        <is>
          <t>Shopify Stetson México › Stetson Americas</t>
        </is>
      </c>
      <c r="B2581" s="5">
        <f>IF($I2="","",INDEX(Productos!$A:$A,$I2))</f>
        <v/>
      </c>
      <c r="C2581" s="134" t="inlineStr">
        <is>
          <t>9908500-233-40</t>
        </is>
      </c>
      <c r="D2581" s="5">
        <f>IF($I2="","",INDEX(Productos!$B:$B,$I2))</f>
        <v/>
      </c>
      <c r="E2581" s="5">
        <f>IF($I2="","",INDEX(Productos!$H:$H,$I2))</f>
        <v/>
      </c>
      <c r="F2581" s="5">
        <f>IF($I2="","",INDEX(Productos!$I:$I,$I2))</f>
        <v/>
      </c>
      <c r="G2581" s="135" t="n">
        <v>4</v>
      </c>
      <c r="H2581" s="5">
        <f>IF($I2="","",INDEX(Productos!$AG:$AG,$I2))</f>
        <v/>
      </c>
      <c r="I2581" s="136">
        <f>LET(_xlpm.r,Productos!$E$2:$E$2509,_xlpm.m,IFERROR(_xlfn.XMATCH(C2581,_xlpm.r),IFERROR(_xlfn.XMATCH(VALUE(C2581),_xlpm.r),0)),IF(_xlpm.m=0,"",_xlpm.m+1))</f>
        <v/>
      </c>
      <c r="J2581" s="137" t="inlineStr">
        <is>
          <t>Shopify</t>
        </is>
      </c>
    </row>
    <row r="2582">
      <c r="A2582" s="5" t="inlineStr">
        <is>
          <t>Shopify Stetson México › Stetson Americas</t>
        </is>
      </c>
      <c r="B2582" s="5">
        <f>IF($I2="","",INDEX(Productos!$A:$A,$I2))</f>
        <v/>
      </c>
      <c r="C2582" s="134" t="inlineStr">
        <is>
          <t>9908500-233-46</t>
        </is>
      </c>
      <c r="D2582" s="5">
        <f>IF($I2="","",INDEX(Productos!$B:$B,$I2))</f>
        <v/>
      </c>
      <c r="E2582" s="5">
        <f>IF($I2="","",INDEX(Productos!$H:$H,$I2))</f>
        <v/>
      </c>
      <c r="F2582" s="5">
        <f>IF($I2="","",INDEX(Productos!$I:$I,$I2))</f>
        <v/>
      </c>
      <c r="G2582" s="135" t="n">
        <v>2</v>
      </c>
      <c r="H2582" s="5">
        <f>IF($I2="","",INDEX(Productos!$AG:$AG,$I2))</f>
        <v/>
      </c>
      <c r="I2582" s="136">
        <f>LET(_xlpm.r,Productos!$E$2:$E$2509,_xlpm.m,IFERROR(_xlfn.XMATCH(C2582,_xlpm.r),IFERROR(_xlfn.XMATCH(VALUE(C2582),_xlpm.r),0)),IF(_xlpm.m=0,"",_xlpm.m+1))</f>
        <v/>
      </c>
      <c r="J2582" s="137" t="inlineStr">
        <is>
          <t>Shopify</t>
        </is>
      </c>
    </row>
    <row r="2583">
      <c r="A2583" s="5" t="inlineStr">
        <is>
          <t>Shopify Stetson México › Stetson Americas</t>
        </is>
      </c>
      <c r="B2583" s="5">
        <f>IF($I2="","",INDEX(Productos!$A:$A,$I2))</f>
        <v/>
      </c>
      <c r="C2583" s="134" t="inlineStr">
        <is>
          <t>9912500-203-38</t>
        </is>
      </c>
      <c r="D2583" s="5">
        <f>IF($I2="","",INDEX(Productos!$B:$B,$I2))</f>
        <v/>
      </c>
      <c r="E2583" s="5">
        <f>IF($I2="","",INDEX(Productos!$H:$H,$I2))</f>
        <v/>
      </c>
      <c r="F2583" s="5">
        <f>IF($I2="","",INDEX(Productos!$I:$I,$I2))</f>
        <v/>
      </c>
      <c r="G2583" s="135" t="n">
        <v>3</v>
      </c>
      <c r="H2583" s="5">
        <f>IF($I2="","",INDEX(Productos!$AG:$AG,$I2))</f>
        <v/>
      </c>
      <c r="I2583" s="136">
        <f>LET(_xlpm.r,Productos!$E$2:$E$2509,_xlpm.m,IFERROR(_xlfn.XMATCH(C2583,_xlpm.r),IFERROR(_xlfn.XMATCH(VALUE(C2583),_xlpm.r),0)),IF(_xlpm.m=0,"",_xlpm.m+1))</f>
        <v/>
      </c>
      <c r="J2583" s="137" t="inlineStr">
        <is>
          <t>Shopify</t>
        </is>
      </c>
    </row>
    <row r="2584">
      <c r="A2584" s="5" t="inlineStr">
        <is>
          <t>Shopify Stetson México › Stetson Americas</t>
        </is>
      </c>
      <c r="B2584" s="5">
        <f>IF($I2="","",INDEX(Productos!$A:$A,$I2))</f>
        <v/>
      </c>
      <c r="C2584" s="134" t="inlineStr">
        <is>
          <t>9912500-203-40</t>
        </is>
      </c>
      <c r="D2584" s="5">
        <f>IF($I2="","",INDEX(Productos!$B:$B,$I2))</f>
        <v/>
      </c>
      <c r="E2584" s="5">
        <f>IF($I2="","",INDEX(Productos!$H:$H,$I2))</f>
        <v/>
      </c>
      <c r="F2584" s="5">
        <f>IF($I2="","",INDEX(Productos!$I:$I,$I2))</f>
        <v/>
      </c>
      <c r="G2584" s="135" t="n">
        <v>2</v>
      </c>
      <c r="H2584" s="5">
        <f>IF($I2="","",INDEX(Productos!$AG:$AG,$I2))</f>
        <v/>
      </c>
      <c r="I2584" s="136">
        <f>LET(_xlpm.r,Productos!$E$2:$E$2509,_xlpm.m,IFERROR(_xlfn.XMATCH(C2584,_xlpm.r),IFERROR(_xlfn.XMATCH(VALUE(C2584),_xlpm.r),0)),IF(_xlpm.m=0,"",_xlpm.m+1))</f>
        <v/>
      </c>
      <c r="J2584" s="137" t="inlineStr">
        <is>
          <t>Shopify</t>
        </is>
      </c>
    </row>
    <row r="2585">
      <c r="A2585" s="5" t="inlineStr">
        <is>
          <t>Shopify Stetson México › Stetson Americas</t>
        </is>
      </c>
      <c r="B2585" s="5">
        <f>IF($I2="","",INDEX(Productos!$A:$A,$I2))</f>
        <v/>
      </c>
      <c r="C2585" s="134" t="inlineStr">
        <is>
          <t>9912500-203-42</t>
        </is>
      </c>
      <c r="D2585" s="5">
        <f>IF($I2="","",INDEX(Productos!$B:$B,$I2))</f>
        <v/>
      </c>
      <c r="E2585" s="5">
        <f>IF($I2="","",INDEX(Productos!$H:$H,$I2))</f>
        <v/>
      </c>
      <c r="F2585" s="5">
        <f>IF($I2="","",INDEX(Productos!$I:$I,$I2))</f>
        <v/>
      </c>
      <c r="G2585" s="135" t="n">
        <v>2</v>
      </c>
      <c r="H2585" s="5">
        <f>IF($I2="","",INDEX(Productos!$AG:$AG,$I2))</f>
        <v/>
      </c>
      <c r="I2585" s="136">
        <f>LET(_xlpm.r,Productos!$E$2:$E$2509,_xlpm.m,IFERROR(_xlfn.XMATCH(C2585,_xlpm.r),IFERROR(_xlfn.XMATCH(VALUE(C2585),_xlpm.r),0)),IF(_xlpm.m=0,"",_xlpm.m+1))</f>
        <v/>
      </c>
      <c r="J2585" s="137" t="inlineStr">
        <is>
          <t>Shopify</t>
        </is>
      </c>
    </row>
    <row r="2586">
      <c r="A2586" s="5" t="inlineStr">
        <is>
          <t>Shopify Stetson México › Stetson Americas</t>
        </is>
      </c>
      <c r="B2586" s="5">
        <f>IF($I2="","",INDEX(Productos!$A:$A,$I2))</f>
        <v/>
      </c>
      <c r="C2586" s="134" t="inlineStr">
        <is>
          <t>9914500-001-38</t>
        </is>
      </c>
      <c r="D2586" s="5">
        <f>IF($I2="","",INDEX(Productos!$B:$B,$I2))</f>
        <v/>
      </c>
      <c r="E2586" s="5">
        <f>IF($I2="","",INDEX(Productos!$H:$H,$I2))</f>
        <v/>
      </c>
      <c r="F2586" s="5">
        <f>IF($I2="","",INDEX(Productos!$I:$I,$I2))</f>
        <v/>
      </c>
      <c r="G2586" s="135" t="n">
        <v>1</v>
      </c>
      <c r="H2586" s="5">
        <f>IF($I2="","",INDEX(Productos!$AG:$AG,$I2))</f>
        <v/>
      </c>
      <c r="I2586" s="136">
        <f>LET(_xlpm.r,Productos!$E$2:$E$2509,_xlpm.m,IFERROR(_xlfn.XMATCH(C2586,_xlpm.r),IFERROR(_xlfn.XMATCH(VALUE(C2586),_xlpm.r),0)),IF(_xlpm.m=0,"",_xlpm.m+1))</f>
        <v/>
      </c>
      <c r="J2586" s="137" t="inlineStr">
        <is>
          <t>Shopify</t>
        </is>
      </c>
    </row>
    <row r="2587">
      <c r="A2587" s="5" t="inlineStr">
        <is>
          <t>Shopify Stetson México › Stetson Americas</t>
        </is>
      </c>
      <c r="B2587" s="5">
        <f>IF($I2="","",INDEX(Productos!$A:$A,$I2))</f>
        <v/>
      </c>
      <c r="C2587" s="134" t="inlineStr">
        <is>
          <t>9914500-001-44</t>
        </is>
      </c>
      <c r="D2587" s="5">
        <f>IF($I2="","",INDEX(Productos!$B:$B,$I2))</f>
        <v/>
      </c>
      <c r="E2587" s="5">
        <f>IF($I2="","",INDEX(Productos!$H:$H,$I2))</f>
        <v/>
      </c>
      <c r="F2587" s="5">
        <f>IF($I2="","",INDEX(Productos!$I:$I,$I2))</f>
        <v/>
      </c>
      <c r="G2587" s="135" t="n">
        <v>3</v>
      </c>
      <c r="H2587" s="5">
        <f>IF($I2="","",INDEX(Productos!$AG:$AG,$I2))</f>
        <v/>
      </c>
      <c r="I2587" s="136">
        <f>LET(_xlpm.r,Productos!$E$2:$E$2509,_xlpm.m,IFERROR(_xlfn.XMATCH(C2587,_xlpm.r),IFERROR(_xlfn.XMATCH(VALUE(C2587),_xlpm.r),0)),IF(_xlpm.m=0,"",_xlpm.m+1))</f>
        <v/>
      </c>
      <c r="J2587" s="137" t="inlineStr">
        <is>
          <t>Shopify</t>
        </is>
      </c>
    </row>
    <row r="2588">
      <c r="A2588" s="5" t="inlineStr">
        <is>
          <t>Shopify Stetson México › Stetson Americas</t>
        </is>
      </c>
      <c r="B2588" s="5">
        <f>IF($I2="","",INDEX(Productos!$A:$A,$I2))</f>
        <v/>
      </c>
      <c r="C2588" s="134" t="inlineStr">
        <is>
          <t>9914500-625-42</t>
        </is>
      </c>
      <c r="D2588" s="5">
        <f>IF($I2="","",INDEX(Productos!$B:$B,$I2))</f>
        <v/>
      </c>
      <c r="E2588" s="5">
        <f>IF($I2="","",INDEX(Productos!$H:$H,$I2))</f>
        <v/>
      </c>
      <c r="F2588" s="5">
        <f>IF($I2="","",INDEX(Productos!$I:$I,$I2))</f>
        <v/>
      </c>
      <c r="G2588" s="135" t="n">
        <v>4</v>
      </c>
      <c r="H2588" s="5">
        <f>IF($I2="","",INDEX(Productos!$AG:$AG,$I2))</f>
        <v/>
      </c>
      <c r="I2588" s="136">
        <f>LET(_xlpm.r,Productos!$E$2:$E$2509,_xlpm.m,IFERROR(_xlfn.XMATCH(C2588,_xlpm.r),IFERROR(_xlfn.XMATCH(VALUE(C2588),_xlpm.r),0)),IF(_xlpm.m=0,"",_xlpm.m+1))</f>
        <v/>
      </c>
      <c r="J2588" s="137" t="inlineStr">
        <is>
          <t>Shopify</t>
        </is>
      </c>
    </row>
    <row r="2589">
      <c r="A2589" s="5" t="inlineStr">
        <is>
          <t>Shopify Stetson México › Stetson Americas</t>
        </is>
      </c>
      <c r="B2589" s="5">
        <f>IF($I2="","",INDEX(Productos!$A:$A,$I2))</f>
        <v/>
      </c>
      <c r="C2589" s="134" t="inlineStr">
        <is>
          <t>9914500-625-44</t>
        </is>
      </c>
      <c r="D2589" s="5">
        <f>IF($I2="","",INDEX(Productos!$B:$B,$I2))</f>
        <v/>
      </c>
      <c r="E2589" s="5">
        <f>IF($I2="","",INDEX(Productos!$H:$H,$I2))</f>
        <v/>
      </c>
      <c r="F2589" s="5">
        <f>IF($I2="","",INDEX(Productos!$I:$I,$I2))</f>
        <v/>
      </c>
      <c r="G2589" s="135" t="n">
        <v>4</v>
      </c>
      <c r="H2589" s="5">
        <f>IF($I2="","",INDEX(Productos!$AG:$AG,$I2))</f>
        <v/>
      </c>
      <c r="I2589" s="136">
        <f>LET(_xlpm.r,Productos!$E$2:$E$2509,_xlpm.m,IFERROR(_xlfn.XMATCH(C2589,_xlpm.r),IFERROR(_xlfn.XMATCH(VALUE(C2589),_xlpm.r),0)),IF(_xlpm.m=0,"",_xlpm.m+1))</f>
        <v/>
      </c>
      <c r="J2589" s="137" t="inlineStr">
        <is>
          <t>Shopify</t>
        </is>
      </c>
    </row>
    <row r="2590">
      <c r="A2590" s="5" t="inlineStr">
        <is>
          <t>Shopify Stetson México › Stetson Americas</t>
        </is>
      </c>
      <c r="B2590" s="5">
        <f>IF($I2="","",INDEX(Productos!$A:$A,$I2))</f>
        <v/>
      </c>
      <c r="C2590" s="134" t="inlineStr">
        <is>
          <t>9914500-625-46</t>
        </is>
      </c>
      <c r="D2590" s="5">
        <f>IF($I2="","",INDEX(Productos!$B:$B,$I2))</f>
        <v/>
      </c>
      <c r="E2590" s="5">
        <f>IF($I2="","",INDEX(Productos!$H:$H,$I2))</f>
        <v/>
      </c>
      <c r="F2590" s="5">
        <f>IF($I2="","",INDEX(Productos!$I:$I,$I2))</f>
        <v/>
      </c>
      <c r="G2590" s="135" t="n">
        <v>2</v>
      </c>
      <c r="H2590" s="5">
        <f>IF($I2="","",INDEX(Productos!$AG:$AG,$I2))</f>
        <v/>
      </c>
      <c r="I2590" s="136">
        <f>LET(_xlpm.r,Productos!$E$2:$E$2509,_xlpm.m,IFERROR(_xlfn.XMATCH(C2590,_xlpm.r),IFERROR(_xlfn.XMATCH(VALUE(C2590),_xlpm.r),0)),IF(_xlpm.m=0,"",_xlpm.m+1))</f>
        <v/>
      </c>
      <c r="J2590" s="137" t="inlineStr">
        <is>
          <t>Shopify</t>
        </is>
      </c>
    </row>
    <row r="2591">
      <c r="A2591" s="5" t="inlineStr">
        <is>
          <t>Shopify Stetson México › Stetson Americas</t>
        </is>
      </c>
      <c r="B2591" s="5">
        <f>IF($I2="","",INDEX(Productos!$A:$A,$I2))</f>
        <v/>
      </c>
      <c r="C2591" s="134" t="inlineStr">
        <is>
          <t>9915500-625-40</t>
        </is>
      </c>
      <c r="D2591" s="5">
        <f>IF($I2="","",INDEX(Productos!$B:$B,$I2))</f>
        <v/>
      </c>
      <c r="E2591" s="5">
        <f>IF($I2="","",INDEX(Productos!$H:$H,$I2))</f>
        <v/>
      </c>
      <c r="F2591" s="5">
        <f>IF($I2="","",INDEX(Productos!$I:$I,$I2))</f>
        <v/>
      </c>
      <c r="G2591" s="135" t="n">
        <v>1</v>
      </c>
      <c r="H2591" s="5">
        <f>IF($I2="","",INDEX(Productos!$AG:$AG,$I2))</f>
        <v/>
      </c>
      <c r="I2591" s="136">
        <f>LET(_xlpm.r,Productos!$E$2:$E$2509,_xlpm.m,IFERROR(_xlfn.XMATCH(C2591,_xlpm.r),IFERROR(_xlfn.XMATCH(VALUE(C2591),_xlpm.r),0)),IF(_xlpm.m=0,"",_xlpm.m+1))</f>
        <v/>
      </c>
      <c r="J2591" s="137" t="inlineStr">
        <is>
          <t>Shopify</t>
        </is>
      </c>
    </row>
    <row r="2592">
      <c r="A2592" s="5" t="inlineStr">
        <is>
          <t>Shopify Stetson México › Stetson Americas</t>
        </is>
      </c>
      <c r="B2592" s="5">
        <f>IF($I2="","",INDEX(Productos!$A:$A,$I2))</f>
        <v/>
      </c>
      <c r="C2592" s="134" t="inlineStr">
        <is>
          <t>9915500-625-42</t>
        </is>
      </c>
      <c r="D2592" s="5">
        <f>IF($I2="","",INDEX(Productos!$B:$B,$I2))</f>
        <v/>
      </c>
      <c r="E2592" s="5">
        <f>IF($I2="","",INDEX(Productos!$H:$H,$I2))</f>
        <v/>
      </c>
      <c r="F2592" s="5">
        <f>IF($I2="","",INDEX(Productos!$I:$I,$I2))</f>
        <v/>
      </c>
      <c r="G2592" s="135" t="n">
        <v>5</v>
      </c>
      <c r="H2592" s="5">
        <f>IF($I2="","",INDEX(Productos!$AG:$AG,$I2))</f>
        <v/>
      </c>
      <c r="I2592" s="136">
        <f>LET(_xlpm.r,Productos!$E$2:$E$2509,_xlpm.m,IFERROR(_xlfn.XMATCH(C2592,_xlpm.r),IFERROR(_xlfn.XMATCH(VALUE(C2592),_xlpm.r),0)),IF(_xlpm.m=0,"",_xlpm.m+1))</f>
        <v/>
      </c>
      <c r="J2592" s="137" t="inlineStr">
        <is>
          <t>Shopify</t>
        </is>
      </c>
    </row>
    <row r="2593">
      <c r="A2593" s="5" t="inlineStr">
        <is>
          <t>Shopify Stetson México › Stetson Americas</t>
        </is>
      </c>
      <c r="B2593" s="5">
        <f>IF($I2="","",INDEX(Productos!$A:$A,$I2))</f>
        <v/>
      </c>
      <c r="C2593" s="134" t="inlineStr">
        <is>
          <t>9915500-625-44</t>
        </is>
      </c>
      <c r="D2593" s="5">
        <f>IF($I2="","",INDEX(Productos!$B:$B,$I2))</f>
        <v/>
      </c>
      <c r="E2593" s="5">
        <f>IF($I2="","",INDEX(Productos!$H:$H,$I2))</f>
        <v/>
      </c>
      <c r="F2593" s="5">
        <f>IF($I2="","",INDEX(Productos!$I:$I,$I2))</f>
        <v/>
      </c>
      <c r="G2593" s="135" t="n">
        <v>1</v>
      </c>
      <c r="H2593" s="5">
        <f>IF($I2="","",INDEX(Productos!$AG:$AG,$I2))</f>
        <v/>
      </c>
      <c r="I2593" s="136">
        <f>LET(_xlpm.r,Productos!$E$2:$E$2509,_xlpm.m,IFERROR(_xlfn.XMATCH(C2593,_xlpm.r),IFERROR(_xlfn.XMATCH(VALUE(C2593),_xlpm.r),0)),IF(_xlpm.m=0,"",_xlpm.m+1))</f>
        <v/>
      </c>
      <c r="J2593" s="137" t="inlineStr">
        <is>
          <t>Shopify</t>
        </is>
      </c>
    </row>
    <row r="2594">
      <c r="A2594" s="5" t="inlineStr">
        <is>
          <t>Shopify Stetson México › Stetson Americas</t>
        </is>
      </c>
      <c r="B2594" s="5">
        <f>IF($I2="","",INDEX(Productos!$A:$A,$I2))</f>
        <v/>
      </c>
      <c r="C2594" s="134" t="inlineStr">
        <is>
          <t>9915500-625-46</t>
        </is>
      </c>
      <c r="D2594" s="5">
        <f>IF($I2="","",INDEX(Productos!$B:$B,$I2))</f>
        <v/>
      </c>
      <c r="E2594" s="5">
        <f>IF($I2="","",INDEX(Productos!$H:$H,$I2))</f>
        <v/>
      </c>
      <c r="F2594" s="5">
        <f>IF($I2="","",INDEX(Productos!$I:$I,$I2))</f>
        <v/>
      </c>
      <c r="G2594" s="135" t="n">
        <v>1</v>
      </c>
      <c r="H2594" s="5">
        <f>IF($I2="","",INDEX(Productos!$AG:$AG,$I2))</f>
        <v/>
      </c>
      <c r="I2594" s="136">
        <f>LET(_xlpm.r,Productos!$E$2:$E$2509,_xlpm.m,IFERROR(_xlfn.XMATCH(C2594,_xlpm.r),IFERROR(_xlfn.XMATCH(VALUE(C2594),_xlpm.r),0)),IF(_xlpm.m=0,"",_xlpm.m+1))</f>
        <v/>
      </c>
      <c r="J2594" s="137" t="inlineStr">
        <is>
          <t>Shopify</t>
        </is>
      </c>
    </row>
    <row r="2595">
      <c r="A2595" s="5" t="inlineStr">
        <is>
          <t>Shopify Stetson México › Stetson Americas</t>
        </is>
      </c>
      <c r="B2595" s="5">
        <f>IF($I2="","",INDEX(Productos!$A:$A,$I2))</f>
        <v/>
      </c>
      <c r="C2595" s="134" t="inlineStr">
        <is>
          <t>9916500-19-38</t>
        </is>
      </c>
      <c r="D2595" s="5">
        <f>IF($I2="","",INDEX(Productos!$B:$B,$I2))</f>
        <v/>
      </c>
      <c r="E2595" s="5">
        <f>IF($I2="","",INDEX(Productos!$H:$H,$I2))</f>
        <v/>
      </c>
      <c r="F2595" s="5">
        <f>IF($I2="","",INDEX(Productos!$I:$I,$I2))</f>
        <v/>
      </c>
      <c r="G2595" s="135" t="n">
        <v>1</v>
      </c>
      <c r="H2595" s="5">
        <f>IF($I2="","",INDEX(Productos!$AG:$AG,$I2))</f>
        <v/>
      </c>
      <c r="I2595" s="136">
        <f>LET(_xlpm.r,Productos!$E$2:$E$2509,_xlpm.m,IFERROR(_xlfn.XMATCH(C2595,_xlpm.r),IFERROR(_xlfn.XMATCH(VALUE(C2595),_xlpm.r),0)),IF(_xlpm.m=0,"",_xlpm.m+1))</f>
        <v/>
      </c>
      <c r="J2595" s="137" t="inlineStr">
        <is>
          <t>Shopify</t>
        </is>
      </c>
    </row>
    <row r="2596">
      <c r="A2596" s="5" t="inlineStr">
        <is>
          <t>Shopify Stetson México › Stetson Americas</t>
        </is>
      </c>
      <c r="B2596" s="5">
        <f>IF($I2="","",INDEX(Productos!$A:$A,$I2))</f>
        <v/>
      </c>
      <c r="C2596" s="134" t="inlineStr">
        <is>
          <t>9916500-19-44</t>
        </is>
      </c>
      <c r="D2596" s="5">
        <f>IF($I2="","",INDEX(Productos!$B:$B,$I2))</f>
        <v/>
      </c>
      <c r="E2596" s="5">
        <f>IF($I2="","",INDEX(Productos!$H:$H,$I2))</f>
        <v/>
      </c>
      <c r="F2596" s="5">
        <f>IF($I2="","",INDEX(Productos!$I:$I,$I2))</f>
        <v/>
      </c>
      <c r="G2596" s="135" t="n">
        <v>2</v>
      </c>
      <c r="H2596" s="5">
        <f>IF($I2="","",INDEX(Productos!$AG:$AG,$I2))</f>
        <v/>
      </c>
      <c r="I2596" s="136">
        <f>LET(_xlpm.r,Productos!$E$2:$E$2509,_xlpm.m,IFERROR(_xlfn.XMATCH(C2596,_xlpm.r),IFERROR(_xlfn.XMATCH(VALUE(C2596),_xlpm.r),0)),IF(_xlpm.m=0,"",_xlpm.m+1))</f>
        <v/>
      </c>
      <c r="J2596" s="137" t="inlineStr">
        <is>
          <t>Shopify</t>
        </is>
      </c>
    </row>
    <row r="2597">
      <c r="A2597" s="5" t="inlineStr">
        <is>
          <t>Shopify Stetson México › Stetson Americas</t>
        </is>
      </c>
      <c r="B2597" s="5">
        <f>IF($I2="","",INDEX(Productos!$A:$A,$I2))</f>
        <v/>
      </c>
      <c r="C2597" s="134" t="inlineStr">
        <is>
          <t>9916500-19-46</t>
        </is>
      </c>
      <c r="D2597" s="5">
        <f>IF($I2="","",INDEX(Productos!$B:$B,$I2))</f>
        <v/>
      </c>
      <c r="E2597" s="5">
        <f>IF($I2="","",INDEX(Productos!$H:$H,$I2))</f>
        <v/>
      </c>
      <c r="F2597" s="5">
        <f>IF($I2="","",INDEX(Productos!$I:$I,$I2))</f>
        <v/>
      </c>
      <c r="G2597" s="135" t="n">
        <v>1</v>
      </c>
      <c r="H2597" s="5">
        <f>IF($I2="","",INDEX(Productos!$AG:$AG,$I2))</f>
        <v/>
      </c>
      <c r="I2597" s="136">
        <f>LET(_xlpm.r,Productos!$E$2:$E$2509,_xlpm.m,IFERROR(_xlfn.XMATCH(C2597,_xlpm.r),IFERROR(_xlfn.XMATCH(VALUE(C2597),_xlpm.r),0)),IF(_xlpm.m=0,"",_xlpm.m+1))</f>
        <v/>
      </c>
      <c r="J2597" s="137" t="inlineStr">
        <is>
          <t>Shopify</t>
        </is>
      </c>
    </row>
    <row r="2598">
      <c r="A2598" s="5" t="inlineStr">
        <is>
          <t>Shopify Stetson México › Stetson Americas</t>
        </is>
      </c>
      <c r="B2598" s="5">
        <f>IF($I2="","",INDEX(Productos!$A:$A,$I2))</f>
        <v/>
      </c>
      <c r="C2598" s="134" t="inlineStr">
        <is>
          <t>9916500-260-40</t>
        </is>
      </c>
      <c r="D2598" s="5">
        <f>IF($I2="","",INDEX(Productos!$B:$B,$I2))</f>
        <v/>
      </c>
      <c r="E2598" s="5">
        <f>IF($I2="","",INDEX(Productos!$H:$H,$I2))</f>
        <v/>
      </c>
      <c r="F2598" s="5">
        <f>IF($I2="","",INDEX(Productos!$I:$I,$I2))</f>
        <v/>
      </c>
      <c r="G2598" s="135" t="n">
        <v>6</v>
      </c>
      <c r="H2598" s="5">
        <f>IF($I2="","",INDEX(Productos!$AG:$AG,$I2))</f>
        <v/>
      </c>
      <c r="I2598" s="136">
        <f>LET(_xlpm.r,Productos!$E$2:$E$2509,_xlpm.m,IFERROR(_xlfn.XMATCH(C2598,_xlpm.r),IFERROR(_xlfn.XMATCH(VALUE(C2598),_xlpm.r),0)),IF(_xlpm.m=0,"",_xlpm.m+1))</f>
        <v/>
      </c>
      <c r="J2598" s="137" t="inlineStr">
        <is>
          <t>Shopify</t>
        </is>
      </c>
    </row>
    <row r="2599">
      <c r="A2599" s="5" t="inlineStr">
        <is>
          <t>Shopify Stetson México › Stetson Americas</t>
        </is>
      </c>
      <c r="B2599" s="5">
        <f>IF($I2="","",INDEX(Productos!$A:$A,$I2))</f>
        <v/>
      </c>
      <c r="C2599" s="134" t="inlineStr">
        <is>
          <t>9916500-260-42</t>
        </is>
      </c>
      <c r="D2599" s="5">
        <f>IF($I2="","",INDEX(Productos!$B:$B,$I2))</f>
        <v/>
      </c>
      <c r="E2599" s="5">
        <f>IF($I2="","",INDEX(Productos!$H:$H,$I2))</f>
        <v/>
      </c>
      <c r="F2599" s="5">
        <f>IF($I2="","",INDEX(Productos!$I:$I,$I2))</f>
        <v/>
      </c>
      <c r="G2599" s="135" t="n">
        <v>2</v>
      </c>
      <c r="H2599" s="5">
        <f>IF($I2="","",INDEX(Productos!$AG:$AG,$I2))</f>
        <v/>
      </c>
      <c r="I2599" s="136">
        <f>LET(_xlpm.r,Productos!$E$2:$E$2509,_xlpm.m,IFERROR(_xlfn.XMATCH(C2599,_xlpm.r),IFERROR(_xlfn.XMATCH(VALUE(C2599),_xlpm.r),0)),IF(_xlpm.m=0,"",_xlpm.m+1))</f>
        <v/>
      </c>
      <c r="J2599" s="137" t="inlineStr">
        <is>
          <t>Shopify</t>
        </is>
      </c>
    </row>
    <row r="2600">
      <c r="A2600" s="5" t="inlineStr">
        <is>
          <t>Shopify Stetson México › Stetson Americas</t>
        </is>
      </c>
      <c r="B2600" s="5">
        <f>IF($I2="","",INDEX(Productos!$A:$A,$I2))</f>
        <v/>
      </c>
      <c r="C2600" s="134" t="inlineStr">
        <is>
          <t>9917500-014-40</t>
        </is>
      </c>
      <c r="D2600" s="5">
        <f>IF($I2="","",INDEX(Productos!$B:$B,$I2))</f>
        <v/>
      </c>
      <c r="E2600" s="5">
        <f>IF($I2="","",INDEX(Productos!$H:$H,$I2))</f>
        <v/>
      </c>
      <c r="F2600" s="5">
        <f>IF($I2="","",INDEX(Productos!$I:$I,$I2))</f>
        <v/>
      </c>
      <c r="G2600" s="135" t="n">
        <v>2</v>
      </c>
      <c r="H2600" s="5">
        <f>IF($I2="","",INDEX(Productos!$AG:$AG,$I2))</f>
        <v/>
      </c>
      <c r="I2600" s="136">
        <f>LET(_xlpm.r,Productos!$E$2:$E$2509,_xlpm.m,IFERROR(_xlfn.XMATCH(C2600,_xlpm.r),IFERROR(_xlfn.XMATCH(VALUE(C2600),_xlpm.r),0)),IF(_xlpm.m=0,"",_xlpm.m+1))</f>
        <v/>
      </c>
      <c r="J2600" s="137" t="inlineStr">
        <is>
          <t>Shopify</t>
        </is>
      </c>
    </row>
    <row r="2601">
      <c r="A2601" s="5" t="inlineStr">
        <is>
          <t>Shopify Stetson México › Stetson Americas</t>
        </is>
      </c>
      <c r="B2601" s="5">
        <f>IF($I2="","",INDEX(Productos!$A:$A,$I2))</f>
        <v/>
      </c>
      <c r="C2601" s="134" t="inlineStr">
        <is>
          <t>9917500-014-42</t>
        </is>
      </c>
      <c r="D2601" s="5">
        <f>IF($I2="","",INDEX(Productos!$B:$B,$I2))</f>
        <v/>
      </c>
      <c r="E2601" s="5">
        <f>IF($I2="","",INDEX(Productos!$H:$H,$I2))</f>
        <v/>
      </c>
      <c r="F2601" s="5">
        <f>IF($I2="","",INDEX(Productos!$I:$I,$I2))</f>
        <v/>
      </c>
      <c r="G2601" s="135" t="n">
        <v>5</v>
      </c>
      <c r="H2601" s="5">
        <f>IF($I2="","",INDEX(Productos!$AG:$AG,$I2))</f>
        <v/>
      </c>
      <c r="I2601" s="136">
        <f>LET(_xlpm.r,Productos!$E$2:$E$2509,_xlpm.m,IFERROR(_xlfn.XMATCH(C2601,_xlpm.r),IFERROR(_xlfn.XMATCH(VALUE(C2601),_xlpm.r),0)),IF(_xlpm.m=0,"",_xlpm.m+1))</f>
        <v/>
      </c>
      <c r="J2601" s="137" t="inlineStr">
        <is>
          <t>Shopify</t>
        </is>
      </c>
    </row>
    <row r="2602">
      <c r="A2602" s="5" t="inlineStr">
        <is>
          <t>Shopify Stetson México › Stetson Americas</t>
        </is>
      </c>
      <c r="B2602" s="5">
        <f>IF($I2="","",INDEX(Productos!$A:$A,$I2))</f>
        <v/>
      </c>
      <c r="C2602" s="134" t="inlineStr">
        <is>
          <t>9917500-014-44</t>
        </is>
      </c>
      <c r="D2602" s="5">
        <f>IF($I2="","",INDEX(Productos!$B:$B,$I2))</f>
        <v/>
      </c>
      <c r="E2602" s="5">
        <f>IF($I2="","",INDEX(Productos!$H:$H,$I2))</f>
        <v/>
      </c>
      <c r="F2602" s="5">
        <f>IF($I2="","",INDEX(Productos!$I:$I,$I2))</f>
        <v/>
      </c>
      <c r="G2602" s="135" t="n">
        <v>4</v>
      </c>
      <c r="H2602" s="5">
        <f>IF($I2="","",INDEX(Productos!$AG:$AG,$I2))</f>
        <v/>
      </c>
      <c r="I2602" s="136">
        <f>LET(_xlpm.r,Productos!$E$2:$E$2509,_xlpm.m,IFERROR(_xlfn.XMATCH(C2602,_xlpm.r),IFERROR(_xlfn.XMATCH(VALUE(C2602),_xlpm.r),0)),IF(_xlpm.m=0,"",_xlpm.m+1))</f>
        <v/>
      </c>
      <c r="J2602" s="137" t="inlineStr">
        <is>
          <t>Shopify</t>
        </is>
      </c>
    </row>
    <row r="2603">
      <c r="A2603" s="5" t="inlineStr">
        <is>
          <t>Shopify Stetson México › Stetson Americas</t>
        </is>
      </c>
      <c r="B2603" s="5">
        <f>IF($I2="","",INDEX(Productos!$A:$A,$I2))</f>
        <v/>
      </c>
      <c r="C2603" s="134" t="inlineStr">
        <is>
          <t>9917500-014-46</t>
        </is>
      </c>
      <c r="D2603" s="5">
        <f>IF($I2="","",INDEX(Productos!$B:$B,$I2))</f>
        <v/>
      </c>
      <c r="E2603" s="5">
        <f>IF($I2="","",INDEX(Productos!$H:$H,$I2))</f>
        <v/>
      </c>
      <c r="F2603" s="5">
        <f>IF($I2="","",INDEX(Productos!$I:$I,$I2))</f>
        <v/>
      </c>
      <c r="G2603" s="135" t="n">
        <v>2</v>
      </c>
      <c r="H2603" s="5">
        <f>IF($I2="","",INDEX(Productos!$AG:$AG,$I2))</f>
        <v/>
      </c>
      <c r="I2603" s="136">
        <f>LET(_xlpm.r,Productos!$E$2:$E$2509,_xlpm.m,IFERROR(_xlfn.XMATCH(C2603,_xlpm.r),IFERROR(_xlfn.XMATCH(VALUE(C2603),_xlpm.r),0)),IF(_xlpm.m=0,"",_xlpm.m+1))</f>
        <v/>
      </c>
      <c r="J2603" s="137" t="inlineStr">
        <is>
          <t>Shopify</t>
        </is>
      </c>
    </row>
    <row r="2604">
      <c r="A2604" s="5" t="inlineStr">
        <is>
          <t>Shopify Stetson México › Stetson Americas</t>
        </is>
      </c>
      <c r="B2604" s="5">
        <f>IF($I2="","",INDEX(Productos!$A:$A,$I2))</f>
        <v/>
      </c>
      <c r="C2604" s="134" t="inlineStr">
        <is>
          <t>9917500-232-40</t>
        </is>
      </c>
      <c r="D2604" s="5">
        <f>IF($I2="","",INDEX(Productos!$B:$B,$I2))</f>
        <v/>
      </c>
      <c r="E2604" s="5">
        <f>IF($I2="","",INDEX(Productos!$H:$H,$I2))</f>
        <v/>
      </c>
      <c r="F2604" s="5">
        <f>IF($I2="","",INDEX(Productos!$I:$I,$I2))</f>
        <v/>
      </c>
      <c r="G2604" s="135" t="n">
        <v>3</v>
      </c>
      <c r="H2604" s="5">
        <f>IF($I2="","",INDEX(Productos!$AG:$AG,$I2))</f>
        <v/>
      </c>
      <c r="I2604" s="136">
        <f>LET(_xlpm.r,Productos!$E$2:$E$2509,_xlpm.m,IFERROR(_xlfn.XMATCH(C2604,_xlpm.r),IFERROR(_xlfn.XMATCH(VALUE(C2604),_xlpm.r),0)),IF(_xlpm.m=0,"",_xlpm.m+1))</f>
        <v/>
      </c>
      <c r="J2604" s="137" t="inlineStr">
        <is>
          <t>Shopify</t>
        </is>
      </c>
    </row>
    <row r="2605">
      <c r="A2605" s="5" t="inlineStr">
        <is>
          <t>Shopify Stetson México › Stetson Americas</t>
        </is>
      </c>
      <c r="B2605" s="5">
        <f>IF($I2="","",INDEX(Productos!$A:$A,$I2))</f>
        <v/>
      </c>
      <c r="C2605" s="134" t="inlineStr">
        <is>
          <t>9917500-232-42</t>
        </is>
      </c>
      <c r="D2605" s="5">
        <f>IF($I2="","",INDEX(Productos!$B:$B,$I2))</f>
        <v/>
      </c>
      <c r="E2605" s="5">
        <f>IF($I2="","",INDEX(Productos!$H:$H,$I2))</f>
        <v/>
      </c>
      <c r="F2605" s="5">
        <f>IF($I2="","",INDEX(Productos!$I:$I,$I2))</f>
        <v/>
      </c>
      <c r="G2605" s="135" t="n">
        <v>1</v>
      </c>
      <c r="H2605" s="5">
        <f>IF($I2="","",INDEX(Productos!$AG:$AG,$I2))</f>
        <v/>
      </c>
      <c r="I2605" s="136">
        <f>LET(_xlpm.r,Productos!$E$2:$E$2509,_xlpm.m,IFERROR(_xlfn.XMATCH(C2605,_xlpm.r),IFERROR(_xlfn.XMATCH(VALUE(C2605),_xlpm.r),0)),IF(_xlpm.m=0,"",_xlpm.m+1))</f>
        <v/>
      </c>
      <c r="J2605" s="137" t="inlineStr">
        <is>
          <t>Shopify</t>
        </is>
      </c>
    </row>
    <row r="2606">
      <c r="A2606" s="5" t="inlineStr">
        <is>
          <t>Shopify Stetson México › Stetson Americas</t>
        </is>
      </c>
      <c r="B2606" s="5">
        <f>IF($I2="","",INDEX(Productos!$A:$A,$I2))</f>
        <v/>
      </c>
      <c r="C2606" s="134" t="inlineStr">
        <is>
          <t>9917500-232-44</t>
        </is>
      </c>
      <c r="D2606" s="5">
        <f>IF($I2="","",INDEX(Productos!$B:$B,$I2))</f>
        <v/>
      </c>
      <c r="E2606" s="5">
        <f>IF($I2="","",INDEX(Productos!$H:$H,$I2))</f>
        <v/>
      </c>
      <c r="F2606" s="5">
        <f>IF($I2="","",INDEX(Productos!$I:$I,$I2))</f>
        <v/>
      </c>
      <c r="G2606" s="135" t="n">
        <v>2</v>
      </c>
      <c r="H2606" s="5">
        <f>IF($I2="","",INDEX(Productos!$AG:$AG,$I2))</f>
        <v/>
      </c>
      <c r="I2606" s="136">
        <f>LET(_xlpm.r,Productos!$E$2:$E$2509,_xlpm.m,IFERROR(_xlfn.XMATCH(C2606,_xlpm.r),IFERROR(_xlfn.XMATCH(VALUE(C2606),_xlpm.r),0)),IF(_xlpm.m=0,"",_xlpm.m+1))</f>
        <v/>
      </c>
      <c r="J2606" s="137" t="inlineStr">
        <is>
          <t>Shopify</t>
        </is>
      </c>
    </row>
    <row r="2607">
      <c r="A2607" s="5" t="inlineStr">
        <is>
          <t>Shopify Stetson México › Stetson Americas</t>
        </is>
      </c>
      <c r="B2607" s="5">
        <f>IF($I2="","",INDEX(Productos!$A:$A,$I2))</f>
        <v/>
      </c>
      <c r="C2607" s="134" t="inlineStr">
        <is>
          <t>9918500-203-38</t>
        </is>
      </c>
      <c r="D2607" s="5">
        <f>IF($I2="","",INDEX(Productos!$B:$B,$I2))</f>
        <v/>
      </c>
      <c r="E2607" s="5">
        <f>IF($I2="","",INDEX(Productos!$H:$H,$I2))</f>
        <v/>
      </c>
      <c r="F2607" s="5">
        <f>IF($I2="","",INDEX(Productos!$I:$I,$I2))</f>
        <v/>
      </c>
      <c r="G2607" s="135" t="n">
        <v>1</v>
      </c>
      <c r="H2607" s="5">
        <f>IF($I2="","",INDEX(Productos!$AG:$AG,$I2))</f>
        <v/>
      </c>
      <c r="I2607" s="136">
        <f>LET(_xlpm.r,Productos!$E$2:$E$2509,_xlpm.m,IFERROR(_xlfn.XMATCH(C2607,_xlpm.r),IFERROR(_xlfn.XMATCH(VALUE(C2607),_xlpm.r),0)),IF(_xlpm.m=0,"",_xlpm.m+1))</f>
        <v/>
      </c>
      <c r="J2607" s="137" t="inlineStr">
        <is>
          <t>Shopify</t>
        </is>
      </c>
    </row>
    <row r="2608">
      <c r="A2608" s="5" t="inlineStr">
        <is>
          <t>Shopify Stetson México › Stetson Americas</t>
        </is>
      </c>
      <c r="B2608" s="5">
        <f>IF($I2="","",INDEX(Productos!$A:$A,$I2))</f>
        <v/>
      </c>
      <c r="C2608" s="134" t="inlineStr">
        <is>
          <t>9918500-203-40</t>
        </is>
      </c>
      <c r="D2608" s="5">
        <f>IF($I2="","",INDEX(Productos!$B:$B,$I2))</f>
        <v/>
      </c>
      <c r="E2608" s="5">
        <f>IF($I2="","",INDEX(Productos!$H:$H,$I2))</f>
        <v/>
      </c>
      <c r="F2608" s="5">
        <f>IF($I2="","",INDEX(Productos!$I:$I,$I2))</f>
        <v/>
      </c>
      <c r="G2608" s="135" t="n">
        <v>3</v>
      </c>
      <c r="H2608" s="5">
        <f>IF($I2="","",INDEX(Productos!$AG:$AG,$I2))</f>
        <v/>
      </c>
      <c r="I2608" s="136">
        <f>LET(_xlpm.r,Productos!$E$2:$E$2509,_xlpm.m,IFERROR(_xlfn.XMATCH(C2608,_xlpm.r),IFERROR(_xlfn.XMATCH(VALUE(C2608),_xlpm.r),0)),IF(_xlpm.m=0,"",_xlpm.m+1))</f>
        <v/>
      </c>
      <c r="J2608" s="137" t="inlineStr">
        <is>
          <t>Shopify</t>
        </is>
      </c>
    </row>
    <row r="2609">
      <c r="A2609" s="5" t="inlineStr">
        <is>
          <t>Shopify Stetson México › Stetson Americas</t>
        </is>
      </c>
      <c r="B2609" s="5">
        <f>IF($I2="","",INDEX(Productos!$A:$A,$I2))</f>
        <v/>
      </c>
      <c r="C2609" s="134" t="inlineStr">
        <is>
          <t>9918500-203-42</t>
        </is>
      </c>
      <c r="D2609" s="5">
        <f>IF($I2="","",INDEX(Productos!$B:$B,$I2))</f>
        <v/>
      </c>
      <c r="E2609" s="5">
        <f>IF($I2="","",INDEX(Productos!$H:$H,$I2))</f>
        <v/>
      </c>
      <c r="F2609" s="5">
        <f>IF($I2="","",INDEX(Productos!$I:$I,$I2))</f>
        <v/>
      </c>
      <c r="G2609" s="135" t="n">
        <v>2</v>
      </c>
      <c r="H2609" s="5">
        <f>IF($I2="","",INDEX(Productos!$AG:$AG,$I2))</f>
        <v/>
      </c>
      <c r="I2609" s="136">
        <f>LET(_xlpm.r,Productos!$E$2:$E$2509,_xlpm.m,IFERROR(_xlfn.XMATCH(C2609,_xlpm.r),IFERROR(_xlfn.XMATCH(VALUE(C2609),_xlpm.r),0)),IF(_xlpm.m=0,"",_xlpm.m+1))</f>
        <v/>
      </c>
      <c r="J2609" s="137" t="inlineStr">
        <is>
          <t>Shopify</t>
        </is>
      </c>
    </row>
    <row r="2610">
      <c r="A2610" s="5" t="inlineStr">
        <is>
          <t>Shopify Stetson México › Stetson Americas</t>
        </is>
      </c>
      <c r="B2610" s="5">
        <f>IF($I2="","",INDEX(Productos!$A:$A,$I2))</f>
        <v/>
      </c>
      <c r="C2610" s="134" t="inlineStr">
        <is>
          <t>9918500-203-44</t>
        </is>
      </c>
      <c r="D2610" s="5">
        <f>IF($I2="","",INDEX(Productos!$B:$B,$I2))</f>
        <v/>
      </c>
      <c r="E2610" s="5">
        <f>IF($I2="","",INDEX(Productos!$H:$H,$I2))</f>
        <v/>
      </c>
      <c r="F2610" s="5">
        <f>IF($I2="","",INDEX(Productos!$I:$I,$I2))</f>
        <v/>
      </c>
      <c r="G2610" s="135" t="n">
        <v>2</v>
      </c>
      <c r="H2610" s="5">
        <f>IF($I2="","",INDEX(Productos!$AG:$AG,$I2))</f>
        <v/>
      </c>
      <c r="I2610" s="136">
        <f>LET(_xlpm.r,Productos!$E$2:$E$2509,_xlpm.m,IFERROR(_xlfn.XMATCH(C2610,_xlpm.r),IFERROR(_xlfn.XMATCH(VALUE(C2610),_xlpm.r),0)),IF(_xlpm.m=0,"",_xlpm.m+1))</f>
        <v/>
      </c>
      <c r="J2610" s="137" t="inlineStr">
        <is>
          <t>Shopify</t>
        </is>
      </c>
    </row>
    <row r="2611">
      <c r="A2611" s="5" t="inlineStr">
        <is>
          <t>Shopify Stetson México › Stetson Americas</t>
        </is>
      </c>
      <c r="B2611" s="5">
        <f>IF($I2="","",INDEX(Productos!$A:$A,$I2))</f>
        <v/>
      </c>
      <c r="C2611" s="134" t="inlineStr">
        <is>
          <t>9918500-203-46</t>
        </is>
      </c>
      <c r="D2611" s="5">
        <f>IF($I2="","",INDEX(Productos!$B:$B,$I2))</f>
        <v/>
      </c>
      <c r="E2611" s="5">
        <f>IF($I2="","",INDEX(Productos!$H:$H,$I2))</f>
        <v/>
      </c>
      <c r="F2611" s="5">
        <f>IF($I2="","",INDEX(Productos!$I:$I,$I2))</f>
        <v/>
      </c>
      <c r="G2611" s="135" t="n">
        <v>2</v>
      </c>
      <c r="H2611" s="5">
        <f>IF($I2="","",INDEX(Productos!$AG:$AG,$I2))</f>
        <v/>
      </c>
      <c r="I2611" s="136">
        <f>LET(_xlpm.r,Productos!$E$2:$E$2509,_xlpm.m,IFERROR(_xlfn.XMATCH(C2611,_xlpm.r),IFERROR(_xlfn.XMATCH(VALUE(C2611),_xlpm.r),0)),IF(_xlpm.m=0,"",_xlpm.m+1))</f>
        <v/>
      </c>
      <c r="J2611" s="137" t="inlineStr">
        <is>
          <t>Shopify</t>
        </is>
      </c>
    </row>
    <row r="2612">
      <c r="A2612" s="5" t="inlineStr">
        <is>
          <t>Shopify Stetson México › Stetson Americas</t>
        </is>
      </c>
      <c r="B2612" s="5">
        <f>IF($I2="","",INDEX(Productos!$A:$A,$I2))</f>
        <v/>
      </c>
      <c r="C2612" s="134" t="inlineStr">
        <is>
          <t>9921500-97-36</t>
        </is>
      </c>
      <c r="D2612" s="5">
        <f>IF($I2="","",INDEX(Productos!$B:$B,$I2))</f>
        <v/>
      </c>
      <c r="E2612" s="5">
        <f>IF($I2="","",INDEX(Productos!$H:$H,$I2))</f>
        <v/>
      </c>
      <c r="F2612" s="5">
        <f>IF($I2="","",INDEX(Productos!$I:$I,$I2))</f>
        <v/>
      </c>
      <c r="G2612" s="135" t="n">
        <v>1</v>
      </c>
      <c r="H2612" s="5">
        <f>IF($I2="","",INDEX(Productos!$AG:$AG,$I2))</f>
        <v/>
      </c>
      <c r="I2612" s="136">
        <f>LET(_xlpm.r,Productos!$E$2:$E$2509,_xlpm.m,IFERROR(_xlfn.XMATCH(C2612,_xlpm.r),IFERROR(_xlfn.XMATCH(VALUE(C2612),_xlpm.r),0)),IF(_xlpm.m=0,"",_xlpm.m+1))</f>
        <v/>
      </c>
      <c r="J2612" s="137" t="inlineStr">
        <is>
          <t>Shopify</t>
        </is>
      </c>
    </row>
    <row r="2613">
      <c r="A2613" s="5" t="inlineStr">
        <is>
          <t>Shopify Stetson México › Stetson Americas</t>
        </is>
      </c>
      <c r="B2613" s="5">
        <f>IF($I2="","",INDEX(Productos!$A:$A,$I2))</f>
        <v/>
      </c>
      <c r="C2613" s="134" t="inlineStr">
        <is>
          <t>9921500-97-38</t>
        </is>
      </c>
      <c r="D2613" s="5">
        <f>IF($I2="","",INDEX(Productos!$B:$B,$I2))</f>
        <v/>
      </c>
      <c r="E2613" s="5">
        <f>IF($I2="","",INDEX(Productos!$H:$H,$I2))</f>
        <v/>
      </c>
      <c r="F2613" s="5">
        <f>IF($I2="","",INDEX(Productos!$I:$I,$I2))</f>
        <v/>
      </c>
      <c r="G2613" s="135" t="n">
        <v>2</v>
      </c>
      <c r="H2613" s="5">
        <f>IF($I2="","",INDEX(Productos!$AG:$AG,$I2))</f>
        <v/>
      </c>
      <c r="I2613" s="136">
        <f>LET(_xlpm.r,Productos!$E$2:$E$2509,_xlpm.m,IFERROR(_xlfn.XMATCH(C2613,_xlpm.r),IFERROR(_xlfn.XMATCH(VALUE(C2613),_xlpm.r),0)),IF(_xlpm.m=0,"",_xlpm.m+1))</f>
        <v/>
      </c>
      <c r="J2613" s="137" t="inlineStr">
        <is>
          <t>Shopify</t>
        </is>
      </c>
    </row>
    <row r="2614">
      <c r="A2614" s="5" t="inlineStr">
        <is>
          <t>Shopify Stetson México › Stetson Americas</t>
        </is>
      </c>
      <c r="B2614" s="5">
        <f>IF($I2="","",INDEX(Productos!$A:$A,$I2))</f>
        <v/>
      </c>
      <c r="C2614" s="134" t="inlineStr">
        <is>
          <t>9921500-97-40</t>
        </is>
      </c>
      <c r="D2614" s="5">
        <f>IF($I2="","",INDEX(Productos!$B:$B,$I2))</f>
        <v/>
      </c>
      <c r="E2614" s="5">
        <f>IF($I2="","",INDEX(Productos!$H:$H,$I2))</f>
        <v/>
      </c>
      <c r="F2614" s="5">
        <f>IF($I2="","",INDEX(Productos!$I:$I,$I2))</f>
        <v/>
      </c>
      <c r="G2614" s="135" t="n">
        <v>3</v>
      </c>
      <c r="H2614" s="5">
        <f>IF($I2="","",INDEX(Productos!$AG:$AG,$I2))</f>
        <v/>
      </c>
      <c r="I2614" s="136">
        <f>LET(_xlpm.r,Productos!$E$2:$E$2509,_xlpm.m,IFERROR(_xlfn.XMATCH(C2614,_xlpm.r),IFERROR(_xlfn.XMATCH(VALUE(C2614),_xlpm.r),0)),IF(_xlpm.m=0,"",_xlpm.m+1))</f>
        <v/>
      </c>
      <c r="J2614" s="137" t="inlineStr">
        <is>
          <t>Shopify</t>
        </is>
      </c>
    </row>
    <row r="2615">
      <c r="A2615" s="5" t="inlineStr">
        <is>
          <t>Shopify Stetson México › Stetson Americas</t>
        </is>
      </c>
      <c r="B2615" s="5">
        <f>IF($I2="","",INDEX(Productos!$A:$A,$I2))</f>
        <v/>
      </c>
      <c r="C2615" s="134" t="inlineStr">
        <is>
          <t>9921500-97-42</t>
        </is>
      </c>
      <c r="D2615" s="5">
        <f>IF($I2="","",INDEX(Productos!$B:$B,$I2))</f>
        <v/>
      </c>
      <c r="E2615" s="5">
        <f>IF($I2="","",INDEX(Productos!$H:$H,$I2))</f>
        <v/>
      </c>
      <c r="F2615" s="5">
        <f>IF($I2="","",INDEX(Productos!$I:$I,$I2))</f>
        <v/>
      </c>
      <c r="G2615" s="135" t="n">
        <v>3</v>
      </c>
      <c r="H2615" s="5">
        <f>IF($I2="","",INDEX(Productos!$AG:$AG,$I2))</f>
        <v/>
      </c>
      <c r="I2615" s="136">
        <f>LET(_xlpm.r,Productos!$E$2:$E$2509,_xlpm.m,IFERROR(_xlfn.XMATCH(C2615,_xlpm.r),IFERROR(_xlfn.XMATCH(VALUE(C2615),_xlpm.r),0)),IF(_xlpm.m=0,"",_xlpm.m+1))</f>
        <v/>
      </c>
      <c r="J2615" s="137" t="inlineStr">
        <is>
          <t>Shopify</t>
        </is>
      </c>
    </row>
    <row r="2616">
      <c r="A2616" s="5" t="inlineStr">
        <is>
          <t>Shopify Stetson México › Stetson Americas</t>
        </is>
      </c>
      <c r="B2616" s="5">
        <f>IF($I2="","",INDEX(Productos!$A:$A,$I2))</f>
        <v/>
      </c>
      <c r="C2616" s="134" t="inlineStr">
        <is>
          <t>9921500-97-44</t>
        </is>
      </c>
      <c r="D2616" s="5">
        <f>IF($I2="","",INDEX(Productos!$B:$B,$I2))</f>
        <v/>
      </c>
      <c r="E2616" s="5">
        <f>IF($I2="","",INDEX(Productos!$H:$H,$I2))</f>
        <v/>
      </c>
      <c r="F2616" s="5">
        <f>IF($I2="","",INDEX(Productos!$I:$I,$I2))</f>
        <v/>
      </c>
      <c r="G2616" s="135" t="n">
        <v>3</v>
      </c>
      <c r="H2616" s="5">
        <f>IF($I2="","",INDEX(Productos!$AG:$AG,$I2))</f>
        <v/>
      </c>
      <c r="I2616" s="136">
        <f>LET(_xlpm.r,Productos!$E$2:$E$2509,_xlpm.m,IFERROR(_xlfn.XMATCH(C2616,_xlpm.r),IFERROR(_xlfn.XMATCH(VALUE(C2616),_xlpm.r),0)),IF(_xlpm.m=0,"",_xlpm.m+1))</f>
        <v/>
      </c>
      <c r="J2616" s="137" t="inlineStr">
        <is>
          <t>Shopify</t>
        </is>
      </c>
    </row>
    <row r="2617">
      <c r="A2617" s="5" t="inlineStr">
        <is>
          <t>Shopify Stetson México › Stetson Americas</t>
        </is>
      </c>
      <c r="B2617" s="5">
        <f>IF($I2="","",INDEX(Productos!$A:$A,$I2))</f>
        <v/>
      </c>
      <c r="C2617" s="134" t="inlineStr">
        <is>
          <t>9921500-97-46</t>
        </is>
      </c>
      <c r="D2617" s="5">
        <f>IF($I2="","",INDEX(Productos!$B:$B,$I2))</f>
        <v/>
      </c>
      <c r="E2617" s="5">
        <f>IF($I2="","",INDEX(Productos!$H:$H,$I2))</f>
        <v/>
      </c>
      <c r="F2617" s="5">
        <f>IF($I2="","",INDEX(Productos!$I:$I,$I2))</f>
        <v/>
      </c>
      <c r="G2617" s="135" t="n">
        <v>1</v>
      </c>
      <c r="H2617" s="5">
        <f>IF($I2="","",INDEX(Productos!$AG:$AG,$I2))</f>
        <v/>
      </c>
      <c r="I2617" s="136">
        <f>LET(_xlpm.r,Productos!$E$2:$E$2509,_xlpm.m,IFERROR(_xlfn.XMATCH(C2617,_xlpm.r),IFERROR(_xlfn.XMATCH(VALUE(C2617),_xlpm.r),0)),IF(_xlpm.m=0,"",_xlpm.m+1))</f>
        <v/>
      </c>
      <c r="J2617" s="137" t="inlineStr">
        <is>
          <t>Shopify</t>
        </is>
      </c>
    </row>
    <row r="2618">
      <c r="A2618" s="5" t="inlineStr">
        <is>
          <t>Shopify Stetson México › Stetson Americas</t>
        </is>
      </c>
      <c r="B2618" s="5">
        <f>IF($I2="","",INDEX(Productos!$A:$A,$I2))</f>
        <v/>
      </c>
      <c r="C2618" s="134" t="inlineStr">
        <is>
          <t>9923500-104-40</t>
        </is>
      </c>
      <c r="D2618" s="5">
        <f>IF($I2="","",INDEX(Productos!$B:$B,$I2))</f>
        <v/>
      </c>
      <c r="E2618" s="5">
        <f>IF($I2="","",INDEX(Productos!$H:$H,$I2))</f>
        <v/>
      </c>
      <c r="F2618" s="5">
        <f>IF($I2="","",INDEX(Productos!$I:$I,$I2))</f>
        <v/>
      </c>
      <c r="G2618" s="135" t="n">
        <v>1</v>
      </c>
      <c r="H2618" s="5">
        <f>IF($I2="","",INDEX(Productos!$AG:$AG,$I2))</f>
        <v/>
      </c>
      <c r="I2618" s="136">
        <f>LET(_xlpm.r,Productos!$E$2:$E$2509,_xlpm.m,IFERROR(_xlfn.XMATCH(C2618,_xlpm.r),IFERROR(_xlfn.XMATCH(VALUE(C2618),_xlpm.r),0)),IF(_xlpm.m=0,"",_xlpm.m+1))</f>
        <v/>
      </c>
      <c r="J2618" s="137" t="inlineStr">
        <is>
          <t>Shopify</t>
        </is>
      </c>
    </row>
    <row r="2619">
      <c r="A2619" s="5" t="inlineStr">
        <is>
          <t>Shopify Stetson México › Stetson Americas</t>
        </is>
      </c>
      <c r="B2619" s="5">
        <f>IF($I2="","",INDEX(Productos!$A:$A,$I2))</f>
        <v/>
      </c>
      <c r="C2619" s="134" t="inlineStr">
        <is>
          <t>9923500-104-42</t>
        </is>
      </c>
      <c r="D2619" s="5">
        <f>IF($I2="","",INDEX(Productos!$B:$B,$I2))</f>
        <v/>
      </c>
      <c r="E2619" s="5">
        <f>IF($I2="","",INDEX(Productos!$H:$H,$I2))</f>
        <v/>
      </c>
      <c r="F2619" s="5">
        <f>IF($I2="","",INDEX(Productos!$I:$I,$I2))</f>
        <v/>
      </c>
      <c r="G2619" s="135" t="n">
        <v>2</v>
      </c>
      <c r="H2619" s="5">
        <f>IF($I2="","",INDEX(Productos!$AG:$AG,$I2))</f>
        <v/>
      </c>
      <c r="I2619" s="136">
        <f>LET(_xlpm.r,Productos!$E$2:$E$2509,_xlpm.m,IFERROR(_xlfn.XMATCH(C2619,_xlpm.r),IFERROR(_xlfn.XMATCH(VALUE(C2619),_xlpm.r),0)),IF(_xlpm.m=0,"",_xlpm.m+1))</f>
        <v/>
      </c>
      <c r="J2619" s="137" t="inlineStr">
        <is>
          <t>Shopify</t>
        </is>
      </c>
    </row>
    <row r="2620">
      <c r="A2620" s="5" t="inlineStr">
        <is>
          <t>Shopify Stetson México › Stetson Americas</t>
        </is>
      </c>
      <c r="B2620" s="5">
        <f>IF($I2="","",INDEX(Productos!$A:$A,$I2))</f>
        <v/>
      </c>
      <c r="C2620" s="134" t="inlineStr">
        <is>
          <t>9923500-104-46</t>
        </is>
      </c>
      <c r="D2620" s="5">
        <f>IF($I2="","",INDEX(Productos!$B:$B,$I2))</f>
        <v/>
      </c>
      <c r="E2620" s="5">
        <f>IF($I2="","",INDEX(Productos!$H:$H,$I2))</f>
        <v/>
      </c>
      <c r="F2620" s="5">
        <f>IF($I2="","",INDEX(Productos!$I:$I,$I2))</f>
        <v/>
      </c>
      <c r="G2620" s="135" t="n">
        <v>1</v>
      </c>
      <c r="H2620" s="5">
        <f>IF($I2="","",INDEX(Productos!$AG:$AG,$I2))</f>
        <v/>
      </c>
      <c r="I2620" s="136">
        <f>LET(_xlpm.r,Productos!$E$2:$E$2509,_xlpm.m,IFERROR(_xlfn.XMATCH(C2620,_xlpm.r),IFERROR(_xlfn.XMATCH(VALUE(C2620),_xlpm.r),0)),IF(_xlpm.m=0,"",_xlpm.m+1))</f>
        <v/>
      </c>
      <c r="J2620" s="137" t="inlineStr">
        <is>
          <t>Shopify</t>
        </is>
      </c>
    </row>
    <row r="2621">
      <c r="A2621" s="5" t="inlineStr">
        <is>
          <t>Shopify Stetson México › Stetson Americas</t>
        </is>
      </c>
      <c r="B2621" s="5">
        <f>IF($I2="","",INDEX(Productos!$A:$A,$I2))</f>
        <v/>
      </c>
      <c r="C2621" s="134" t="inlineStr">
        <is>
          <t>9927500-001-36</t>
        </is>
      </c>
      <c r="D2621" s="5">
        <f>IF($I2="","",INDEX(Productos!$B:$B,$I2))</f>
        <v/>
      </c>
      <c r="E2621" s="5">
        <f>IF($I2="","",INDEX(Productos!$H:$H,$I2))</f>
        <v/>
      </c>
      <c r="F2621" s="5">
        <f>IF($I2="","",INDEX(Productos!$I:$I,$I2))</f>
        <v/>
      </c>
      <c r="G2621" s="135" t="n">
        <v>2</v>
      </c>
      <c r="H2621" s="5">
        <f>IF($I2="","",INDEX(Productos!$AG:$AG,$I2))</f>
        <v/>
      </c>
      <c r="I2621" s="136">
        <f>LET(_xlpm.r,Productos!$E$2:$E$2509,_xlpm.m,IFERROR(_xlfn.XMATCH(C2621,_xlpm.r),IFERROR(_xlfn.XMATCH(VALUE(C2621),_xlpm.r),0)),IF(_xlpm.m=0,"",_xlpm.m+1))</f>
        <v/>
      </c>
      <c r="J2621" s="137" t="inlineStr">
        <is>
          <t>Shopify</t>
        </is>
      </c>
    </row>
    <row r="2622">
      <c r="A2622" s="5" t="inlineStr">
        <is>
          <t>Shopify Stetson México › Stetson Americas</t>
        </is>
      </c>
      <c r="B2622" s="5">
        <f>IF($I2="","",INDEX(Productos!$A:$A,$I2))</f>
        <v/>
      </c>
      <c r="C2622" s="134" t="inlineStr">
        <is>
          <t>9927500-001-38</t>
        </is>
      </c>
      <c r="D2622" s="5">
        <f>IF($I2="","",INDEX(Productos!$B:$B,$I2))</f>
        <v/>
      </c>
      <c r="E2622" s="5">
        <f>IF($I2="","",INDEX(Productos!$H:$H,$I2))</f>
        <v/>
      </c>
      <c r="F2622" s="5">
        <f>IF($I2="","",INDEX(Productos!$I:$I,$I2))</f>
        <v/>
      </c>
      <c r="G2622" s="135" t="n">
        <v>2</v>
      </c>
      <c r="H2622" s="5">
        <f>IF($I2="","",INDEX(Productos!$AG:$AG,$I2))</f>
        <v/>
      </c>
      <c r="I2622" s="136">
        <f>LET(_xlpm.r,Productos!$E$2:$E$2509,_xlpm.m,IFERROR(_xlfn.XMATCH(C2622,_xlpm.r),IFERROR(_xlfn.XMATCH(VALUE(C2622),_xlpm.r),0)),IF(_xlpm.m=0,"",_xlpm.m+1))</f>
        <v/>
      </c>
      <c r="J2622" s="137" t="inlineStr">
        <is>
          <t>Shopify</t>
        </is>
      </c>
    </row>
    <row r="2623">
      <c r="A2623" s="5" t="inlineStr">
        <is>
          <t>Shopify Stetson México › Stetson Americas</t>
        </is>
      </c>
      <c r="B2623" s="5">
        <f>IF($I2="","",INDEX(Productos!$A:$A,$I2))</f>
        <v/>
      </c>
      <c r="C2623" s="134" t="inlineStr">
        <is>
          <t>9927500-001-40</t>
        </is>
      </c>
      <c r="D2623" s="5">
        <f>IF($I2="","",INDEX(Productos!$B:$B,$I2))</f>
        <v/>
      </c>
      <c r="E2623" s="5">
        <f>IF($I2="","",INDEX(Productos!$H:$H,$I2))</f>
        <v/>
      </c>
      <c r="F2623" s="5">
        <f>IF($I2="","",INDEX(Productos!$I:$I,$I2))</f>
        <v/>
      </c>
      <c r="G2623" s="135" t="n">
        <v>2</v>
      </c>
      <c r="H2623" s="5">
        <f>IF($I2="","",INDEX(Productos!$AG:$AG,$I2))</f>
        <v/>
      </c>
      <c r="I2623" s="136">
        <f>LET(_xlpm.r,Productos!$E$2:$E$2509,_xlpm.m,IFERROR(_xlfn.XMATCH(C2623,_xlpm.r),IFERROR(_xlfn.XMATCH(VALUE(C2623),_xlpm.r),0)),IF(_xlpm.m=0,"",_xlpm.m+1))</f>
        <v/>
      </c>
      <c r="J2623" s="137" t="inlineStr">
        <is>
          <t>Shopify</t>
        </is>
      </c>
    </row>
    <row r="2624">
      <c r="A2624" s="5" t="inlineStr">
        <is>
          <t>Shopify Stetson México › Stetson Americas</t>
        </is>
      </c>
      <c r="B2624" s="5">
        <f>IF($I2="","",INDEX(Productos!$A:$A,$I2))</f>
        <v/>
      </c>
      <c r="C2624" s="134" t="inlineStr">
        <is>
          <t>9927500-001-42</t>
        </is>
      </c>
      <c r="D2624" s="5">
        <f>IF($I2="","",INDEX(Productos!$B:$B,$I2))</f>
        <v/>
      </c>
      <c r="E2624" s="5">
        <f>IF($I2="","",INDEX(Productos!$H:$H,$I2))</f>
        <v/>
      </c>
      <c r="F2624" s="5">
        <f>IF($I2="","",INDEX(Productos!$I:$I,$I2))</f>
        <v/>
      </c>
      <c r="G2624" s="135" t="n">
        <v>4</v>
      </c>
      <c r="H2624" s="5">
        <f>IF($I2="","",INDEX(Productos!$AG:$AG,$I2))</f>
        <v/>
      </c>
      <c r="I2624" s="136">
        <f>LET(_xlpm.r,Productos!$E$2:$E$2509,_xlpm.m,IFERROR(_xlfn.XMATCH(C2624,_xlpm.r),IFERROR(_xlfn.XMATCH(VALUE(C2624),_xlpm.r),0)),IF(_xlpm.m=0,"",_xlpm.m+1))</f>
        <v/>
      </c>
      <c r="J2624" s="137" t="inlineStr">
        <is>
          <t>Shopify</t>
        </is>
      </c>
    </row>
    <row r="2625">
      <c r="A2625" s="5" t="inlineStr">
        <is>
          <t>Shopify Stetson México › Stetson Americas</t>
        </is>
      </c>
      <c r="B2625" s="5">
        <f>IF($I2="","",INDEX(Productos!$A:$A,$I2))</f>
        <v/>
      </c>
      <c r="C2625" s="134" t="inlineStr">
        <is>
          <t>9927500-001-44</t>
        </is>
      </c>
      <c r="D2625" s="5">
        <f>IF($I2="","",INDEX(Productos!$B:$B,$I2))</f>
        <v/>
      </c>
      <c r="E2625" s="5">
        <f>IF($I2="","",INDEX(Productos!$H:$H,$I2))</f>
        <v/>
      </c>
      <c r="F2625" s="5">
        <f>IF($I2="","",INDEX(Productos!$I:$I,$I2))</f>
        <v/>
      </c>
      <c r="G2625" s="135" t="n">
        <v>4</v>
      </c>
      <c r="H2625" s="5">
        <f>IF($I2="","",INDEX(Productos!$AG:$AG,$I2))</f>
        <v/>
      </c>
      <c r="I2625" s="136">
        <f>LET(_xlpm.r,Productos!$E$2:$E$2509,_xlpm.m,IFERROR(_xlfn.XMATCH(C2625,_xlpm.r),IFERROR(_xlfn.XMATCH(VALUE(C2625),_xlpm.r),0)),IF(_xlpm.m=0,"",_xlpm.m+1))</f>
        <v/>
      </c>
      <c r="J2625" s="137" t="inlineStr">
        <is>
          <t>Shopify</t>
        </is>
      </c>
    </row>
    <row r="2626">
      <c r="A2626" s="5" t="inlineStr">
        <is>
          <t>Shopify Stetson México › Stetson Americas</t>
        </is>
      </c>
      <c r="B2626" s="5">
        <f>IF($I2="","",INDEX(Productos!$A:$A,$I2))</f>
        <v/>
      </c>
      <c r="C2626" s="134" t="inlineStr">
        <is>
          <t>9927500-001-46</t>
        </is>
      </c>
      <c r="D2626" s="5">
        <f>IF($I2="","",INDEX(Productos!$B:$B,$I2))</f>
        <v/>
      </c>
      <c r="E2626" s="5">
        <f>IF($I2="","",INDEX(Productos!$H:$H,$I2))</f>
        <v/>
      </c>
      <c r="F2626" s="5">
        <f>IF($I2="","",INDEX(Productos!$I:$I,$I2))</f>
        <v/>
      </c>
      <c r="G2626" s="135" t="n">
        <v>2</v>
      </c>
      <c r="H2626" s="5">
        <f>IF($I2="","",INDEX(Productos!$AG:$AG,$I2))</f>
        <v/>
      </c>
      <c r="I2626" s="136">
        <f>LET(_xlpm.r,Productos!$E$2:$E$2509,_xlpm.m,IFERROR(_xlfn.XMATCH(C2626,_xlpm.r),IFERROR(_xlfn.XMATCH(VALUE(C2626),_xlpm.r),0)),IF(_xlpm.m=0,"",_xlpm.m+1))</f>
        <v/>
      </c>
      <c r="J2626" s="137" t="inlineStr">
        <is>
          <t>Shopify</t>
        </is>
      </c>
    </row>
    <row r="2627">
      <c r="A2627" s="5" t="inlineStr">
        <is>
          <t>Shopify Stetson México › Stetson Americas</t>
        </is>
      </c>
      <c r="B2627" s="5">
        <f>IF($I2="","",INDEX(Productos!$A:$A,$I2))</f>
        <v/>
      </c>
      <c r="C2627" s="134" t="inlineStr">
        <is>
          <t>9928500-104-36</t>
        </is>
      </c>
      <c r="D2627" s="5">
        <f>IF($I2="","",INDEX(Productos!$B:$B,$I2))</f>
        <v/>
      </c>
      <c r="E2627" s="5">
        <f>IF($I2="","",INDEX(Productos!$H:$H,$I2))</f>
        <v/>
      </c>
      <c r="F2627" s="5">
        <f>IF($I2="","",INDEX(Productos!$I:$I,$I2))</f>
        <v/>
      </c>
      <c r="G2627" s="135" t="n">
        <v>1</v>
      </c>
      <c r="H2627" s="5">
        <f>IF($I2="","",INDEX(Productos!$AG:$AG,$I2))</f>
        <v/>
      </c>
      <c r="I2627" s="136">
        <f>LET(_xlpm.r,Productos!$E$2:$E$2509,_xlpm.m,IFERROR(_xlfn.XMATCH(C2627,_xlpm.r),IFERROR(_xlfn.XMATCH(VALUE(C2627),_xlpm.r),0)),IF(_xlpm.m=0,"",_xlpm.m+1))</f>
        <v/>
      </c>
      <c r="J2627" s="137" t="inlineStr">
        <is>
          <t>Shopify</t>
        </is>
      </c>
    </row>
    <row r="2628">
      <c r="A2628" s="5" t="inlineStr">
        <is>
          <t>Shopify Stetson México › Stetson Americas</t>
        </is>
      </c>
      <c r="B2628" s="5">
        <f>IF($I2="","",INDEX(Productos!$A:$A,$I2))</f>
        <v/>
      </c>
      <c r="C2628" s="134" t="inlineStr">
        <is>
          <t>9928500-104-38</t>
        </is>
      </c>
      <c r="D2628" s="5">
        <f>IF($I2="","",INDEX(Productos!$B:$B,$I2))</f>
        <v/>
      </c>
      <c r="E2628" s="5">
        <f>IF($I2="","",INDEX(Productos!$H:$H,$I2))</f>
        <v/>
      </c>
      <c r="F2628" s="5">
        <f>IF($I2="","",INDEX(Productos!$I:$I,$I2))</f>
        <v/>
      </c>
      <c r="G2628" s="135" t="n">
        <v>2</v>
      </c>
      <c r="H2628" s="5">
        <f>IF($I2="","",INDEX(Productos!$AG:$AG,$I2))</f>
        <v/>
      </c>
      <c r="I2628" s="136">
        <f>LET(_xlpm.r,Productos!$E$2:$E$2509,_xlpm.m,IFERROR(_xlfn.XMATCH(C2628,_xlpm.r),IFERROR(_xlfn.XMATCH(VALUE(C2628),_xlpm.r),0)),IF(_xlpm.m=0,"",_xlpm.m+1))</f>
        <v/>
      </c>
      <c r="J2628" s="137" t="inlineStr">
        <is>
          <t>Shopify</t>
        </is>
      </c>
    </row>
    <row r="2629">
      <c r="A2629" s="5" t="inlineStr">
        <is>
          <t>Shopify Stetson México › Stetson Americas</t>
        </is>
      </c>
      <c r="B2629" s="5">
        <f>IF($I2="","",INDEX(Productos!$A:$A,$I2))</f>
        <v/>
      </c>
      <c r="C2629" s="134" t="inlineStr">
        <is>
          <t>9928500-104-40</t>
        </is>
      </c>
      <c r="D2629" s="5">
        <f>IF($I2="","",INDEX(Productos!$B:$B,$I2))</f>
        <v/>
      </c>
      <c r="E2629" s="5">
        <f>IF($I2="","",INDEX(Productos!$H:$H,$I2))</f>
        <v/>
      </c>
      <c r="F2629" s="5">
        <f>IF($I2="","",INDEX(Productos!$I:$I,$I2))</f>
        <v/>
      </c>
      <c r="G2629" s="135" t="n">
        <v>6</v>
      </c>
      <c r="H2629" s="5">
        <f>IF($I2="","",INDEX(Productos!$AG:$AG,$I2))</f>
        <v/>
      </c>
      <c r="I2629" s="136">
        <f>LET(_xlpm.r,Productos!$E$2:$E$2509,_xlpm.m,IFERROR(_xlfn.XMATCH(C2629,_xlpm.r),IFERROR(_xlfn.XMATCH(VALUE(C2629),_xlpm.r),0)),IF(_xlpm.m=0,"",_xlpm.m+1))</f>
        <v/>
      </c>
      <c r="J2629" s="137" t="inlineStr">
        <is>
          <t>Shopify</t>
        </is>
      </c>
    </row>
    <row r="2630">
      <c r="A2630" s="5" t="inlineStr">
        <is>
          <t>Shopify Stetson México › Stetson Americas</t>
        </is>
      </c>
      <c r="B2630" s="5">
        <f>IF($I2="","",INDEX(Productos!$A:$A,$I2))</f>
        <v/>
      </c>
      <c r="C2630" s="134" t="inlineStr">
        <is>
          <t>9928500-104-42</t>
        </is>
      </c>
      <c r="D2630" s="5">
        <f>IF($I2="","",INDEX(Productos!$B:$B,$I2))</f>
        <v/>
      </c>
      <c r="E2630" s="5">
        <f>IF($I2="","",INDEX(Productos!$H:$H,$I2))</f>
        <v/>
      </c>
      <c r="F2630" s="5">
        <f>IF($I2="","",INDEX(Productos!$I:$I,$I2))</f>
        <v/>
      </c>
      <c r="G2630" s="135" t="n">
        <v>4</v>
      </c>
      <c r="H2630" s="5">
        <f>IF($I2="","",INDEX(Productos!$AG:$AG,$I2))</f>
        <v/>
      </c>
      <c r="I2630" s="136">
        <f>LET(_xlpm.r,Productos!$E$2:$E$2509,_xlpm.m,IFERROR(_xlfn.XMATCH(C2630,_xlpm.r),IFERROR(_xlfn.XMATCH(VALUE(C2630),_xlpm.r),0)),IF(_xlpm.m=0,"",_xlpm.m+1))</f>
        <v/>
      </c>
      <c r="J2630" s="137" t="inlineStr">
        <is>
          <t>Shopify</t>
        </is>
      </c>
    </row>
    <row r="2631">
      <c r="A2631" s="5" t="inlineStr">
        <is>
          <t>Shopify Stetson México › Stetson Americas</t>
        </is>
      </c>
      <c r="B2631" s="5">
        <f>IF($I2="","",INDEX(Productos!$A:$A,$I2))</f>
        <v/>
      </c>
      <c r="C2631" s="134" t="inlineStr">
        <is>
          <t>9928500-104-44</t>
        </is>
      </c>
      <c r="D2631" s="5">
        <f>IF($I2="","",INDEX(Productos!$B:$B,$I2))</f>
        <v/>
      </c>
      <c r="E2631" s="5">
        <f>IF($I2="","",INDEX(Productos!$H:$H,$I2))</f>
        <v/>
      </c>
      <c r="F2631" s="5">
        <f>IF($I2="","",INDEX(Productos!$I:$I,$I2))</f>
        <v/>
      </c>
      <c r="G2631" s="135" t="n">
        <v>3</v>
      </c>
      <c r="H2631" s="5">
        <f>IF($I2="","",INDEX(Productos!$AG:$AG,$I2))</f>
        <v/>
      </c>
      <c r="I2631" s="136">
        <f>LET(_xlpm.r,Productos!$E$2:$E$2509,_xlpm.m,IFERROR(_xlfn.XMATCH(C2631,_xlpm.r),IFERROR(_xlfn.XMATCH(VALUE(C2631),_xlpm.r),0)),IF(_xlpm.m=0,"",_xlpm.m+1))</f>
        <v/>
      </c>
      <c r="J2631" s="137" t="inlineStr">
        <is>
          <t>Shopify</t>
        </is>
      </c>
    </row>
    <row r="2632">
      <c r="A2632" s="5" t="inlineStr">
        <is>
          <t>Shopify Stetson México › Stetson Americas</t>
        </is>
      </c>
      <c r="B2632" s="5">
        <f>IF($I2="","",INDEX(Productos!$A:$A,$I2))</f>
        <v/>
      </c>
      <c r="C2632" s="134" t="inlineStr">
        <is>
          <t>9928500-104-46</t>
        </is>
      </c>
      <c r="D2632" s="5">
        <f>IF($I2="","",INDEX(Productos!$B:$B,$I2))</f>
        <v/>
      </c>
      <c r="E2632" s="5">
        <f>IF($I2="","",INDEX(Productos!$H:$H,$I2))</f>
        <v/>
      </c>
      <c r="F2632" s="5">
        <f>IF($I2="","",INDEX(Productos!$I:$I,$I2))</f>
        <v/>
      </c>
      <c r="G2632" s="135" t="n">
        <v>3</v>
      </c>
      <c r="H2632" s="5">
        <f>IF($I2="","",INDEX(Productos!$AG:$AG,$I2))</f>
        <v/>
      </c>
      <c r="I2632" s="136">
        <f>LET(_xlpm.r,Productos!$E$2:$E$2509,_xlpm.m,IFERROR(_xlfn.XMATCH(C2632,_xlpm.r),IFERROR(_xlfn.XMATCH(VALUE(C2632),_xlpm.r),0)),IF(_xlpm.m=0,"",_xlpm.m+1))</f>
        <v/>
      </c>
      <c r="J2632" s="137" t="inlineStr">
        <is>
          <t>Shopify</t>
        </is>
      </c>
    </row>
    <row r="2633">
      <c r="A2633" s="5" t="inlineStr">
        <is>
          <t>Shopify Stetson México › Stetson Americas</t>
        </is>
      </c>
      <c r="B2633" s="5">
        <f>IF($I2="","",INDEX(Productos!$A:$A,$I2))</f>
        <v/>
      </c>
      <c r="C2633" s="134" t="inlineStr">
        <is>
          <t>SBAPCH-75400767</t>
        </is>
      </c>
      <c r="D2633" s="5">
        <f>IF($I2="","",INDEX(Productos!$B:$B,$I2))</f>
        <v/>
      </c>
      <c r="E2633" s="5">
        <f>IF($I2="","",INDEX(Productos!$H:$H,$I2))</f>
        <v/>
      </c>
      <c r="F2633" s="5">
        <f>IF($I2="","",INDEX(Productos!$I:$I,$I2))</f>
        <v/>
      </c>
      <c r="G2633" s="135" t="n">
        <v>1</v>
      </c>
      <c r="H2633" s="5">
        <f>IF($I2="","",INDEX(Productos!$AG:$AG,$I2))</f>
        <v/>
      </c>
      <c r="I2633" s="136">
        <f>LET(_xlpm.r,Productos!$E$2:$E$2509,_xlpm.m,IFERROR(_xlfn.XMATCH(C2633,_xlpm.r),IFERROR(_xlfn.XMATCH(VALUE(C2633),_xlpm.r),0)),IF(_xlpm.m=0,"",_xlpm.m+1))</f>
        <v/>
      </c>
      <c r="J2633" s="137" t="inlineStr">
        <is>
          <t>Shopify</t>
        </is>
      </c>
    </row>
    <row r="2634">
      <c r="A2634" s="5" t="inlineStr">
        <is>
          <t>Shopify Stetson México › Stetson Americas</t>
        </is>
      </c>
      <c r="B2634" s="5">
        <f>IF($I2="","",INDEX(Productos!$A:$A,$I2))</f>
        <v/>
      </c>
      <c r="C2634" s="134" t="inlineStr">
        <is>
          <t>SBAPCH-75400774</t>
        </is>
      </c>
      <c r="D2634" s="5">
        <f>IF($I2="","",INDEX(Productos!$B:$B,$I2))</f>
        <v/>
      </c>
      <c r="E2634" s="5">
        <f>IF($I2="","",INDEX(Productos!$H:$H,$I2))</f>
        <v/>
      </c>
      <c r="F2634" s="5">
        <f>IF($I2="","",INDEX(Productos!$I:$I,$I2))</f>
        <v/>
      </c>
      <c r="G2634" s="135" t="n">
        <v>1</v>
      </c>
      <c r="H2634" s="5">
        <f>IF($I2="","",INDEX(Productos!$AG:$AG,$I2))</f>
        <v/>
      </c>
      <c r="I2634" s="136">
        <f>LET(_xlpm.r,Productos!$E$2:$E$2509,_xlpm.m,IFERROR(_xlfn.XMATCH(C2634,_xlpm.r),IFERROR(_xlfn.XMATCH(VALUE(C2634),_xlpm.r),0)),IF(_xlpm.m=0,"",_xlpm.m+1))</f>
        <v/>
      </c>
      <c r="J2634" s="137" t="inlineStr">
        <is>
          <t>Shopify</t>
        </is>
      </c>
    </row>
    <row r="2635">
      <c r="A2635" s="5" t="inlineStr">
        <is>
          <t>Shopify Stetson México › Stetson Americas</t>
        </is>
      </c>
      <c r="B2635" s="5">
        <f>IF($I2="","",INDEX(Productos!$A:$A,$I2))</f>
        <v/>
      </c>
      <c r="C2635" s="134" t="inlineStr">
        <is>
          <t>SBAPCH-75402367</t>
        </is>
      </c>
      <c r="D2635" s="5">
        <f>IF($I2="","",INDEX(Productos!$B:$B,$I2))</f>
        <v/>
      </c>
      <c r="E2635" s="5">
        <f>IF($I2="","",INDEX(Productos!$H:$H,$I2))</f>
        <v/>
      </c>
      <c r="F2635" s="5">
        <f>IF($I2="","",INDEX(Productos!$I:$I,$I2))</f>
        <v/>
      </c>
      <c r="G2635" s="135" t="n">
        <v>1</v>
      </c>
      <c r="H2635" s="5">
        <f>IF($I2="","",INDEX(Productos!$AG:$AG,$I2))</f>
        <v/>
      </c>
      <c r="I2635" s="136">
        <f>LET(_xlpm.r,Productos!$E$2:$E$2509,_xlpm.m,IFERROR(_xlfn.XMATCH(C2635,_xlpm.r),IFERROR(_xlfn.XMATCH(VALUE(C2635),_xlpm.r),0)),IF(_xlpm.m=0,"",_xlpm.m+1))</f>
        <v/>
      </c>
      <c r="J2635" s="137" t="inlineStr">
        <is>
          <t>Shopify</t>
        </is>
      </c>
    </row>
    <row r="2636">
      <c r="A2636" s="5" t="inlineStr">
        <is>
          <t>Shopify Stetson México › Stetson Americas</t>
        </is>
      </c>
      <c r="B2636" s="5">
        <f>IF($I2="","",INDEX(Productos!$A:$A,$I2))</f>
        <v/>
      </c>
      <c r="C2636" s="134" t="inlineStr">
        <is>
          <t>SBAPCH-75402371</t>
        </is>
      </c>
      <c r="D2636" s="5">
        <f>IF($I2="","",INDEX(Productos!$B:$B,$I2))</f>
        <v/>
      </c>
      <c r="E2636" s="5">
        <f>IF($I2="","",INDEX(Productos!$H:$H,$I2))</f>
        <v/>
      </c>
      <c r="F2636" s="5">
        <f>IF($I2="","",INDEX(Productos!$I:$I,$I2))</f>
        <v/>
      </c>
      <c r="G2636" s="135" t="n">
        <v>1</v>
      </c>
      <c r="H2636" s="5">
        <f>IF($I2="","",INDEX(Productos!$AG:$AG,$I2))</f>
        <v/>
      </c>
      <c r="I2636" s="136">
        <f>LET(_xlpm.r,Productos!$E$2:$E$2509,_xlpm.m,IFERROR(_xlfn.XMATCH(C2636,_xlpm.r),IFERROR(_xlfn.XMATCH(VALUE(C2636),_xlpm.r),0)),IF(_xlpm.m=0,"",_xlpm.m+1))</f>
        <v/>
      </c>
      <c r="J2636" s="137" t="inlineStr">
        <is>
          <t>Shopify</t>
        </is>
      </c>
    </row>
    <row r="2637">
      <c r="A2637" s="5" t="inlineStr">
        <is>
          <t>Shopify Stetson México › Stetson Americas</t>
        </is>
      </c>
      <c r="B2637" s="5">
        <f>IF($I2="","",INDEX(Productos!$A:$A,$I2))</f>
        <v/>
      </c>
      <c r="C2637" s="134" t="inlineStr">
        <is>
          <t>SBAPCH-75402372</t>
        </is>
      </c>
      <c r="D2637" s="5">
        <f>IF($I2="","",INDEX(Productos!$B:$B,$I2))</f>
        <v/>
      </c>
      <c r="E2637" s="5">
        <f>IF($I2="","",INDEX(Productos!$H:$H,$I2))</f>
        <v/>
      </c>
      <c r="F2637" s="5">
        <f>IF($I2="","",INDEX(Productos!$I:$I,$I2))</f>
        <v/>
      </c>
      <c r="G2637" s="135" t="n">
        <v>1</v>
      </c>
      <c r="H2637" s="5">
        <f>IF($I2="","",INDEX(Productos!$AG:$AG,$I2))</f>
        <v/>
      </c>
      <c r="I2637" s="136">
        <f>LET(_xlpm.r,Productos!$E$2:$E$2509,_xlpm.m,IFERROR(_xlfn.XMATCH(C2637,_xlpm.r),IFERROR(_xlfn.XMATCH(VALUE(C2637),_xlpm.r),0)),IF(_xlpm.m=0,"",_xlpm.m+1))</f>
        <v/>
      </c>
      <c r="J2637" s="137" t="inlineStr">
        <is>
          <t>Shopify</t>
        </is>
      </c>
    </row>
    <row r="2638">
      <c r="A2638" s="5" t="inlineStr">
        <is>
          <t>Shopify Stetson México › Stetson Americas</t>
        </is>
      </c>
      <c r="B2638" s="5">
        <f>IF($I2="","",INDEX(Productos!$A:$A,$I2))</f>
        <v/>
      </c>
      <c r="C2638" s="134" t="inlineStr">
        <is>
          <t>SBAPCH-75402373</t>
        </is>
      </c>
      <c r="D2638" s="5">
        <f>IF($I2="","",INDEX(Productos!$B:$B,$I2))</f>
        <v/>
      </c>
      <c r="E2638" s="5">
        <f>IF($I2="","",INDEX(Productos!$H:$H,$I2))</f>
        <v/>
      </c>
      <c r="F2638" s="5">
        <f>IF($I2="","",INDEX(Productos!$I:$I,$I2))</f>
        <v/>
      </c>
      <c r="G2638" s="135" t="n">
        <v>1</v>
      </c>
      <c r="H2638" s="5">
        <f>IF($I2="","",INDEX(Productos!$AG:$AG,$I2))</f>
        <v/>
      </c>
      <c r="I2638" s="136">
        <f>LET(_xlpm.r,Productos!$E$2:$E$2509,_xlpm.m,IFERROR(_xlfn.XMATCH(C2638,_xlpm.r),IFERROR(_xlfn.XMATCH(VALUE(C2638),_xlpm.r),0)),IF(_xlpm.m=0,"",_xlpm.m+1))</f>
        <v/>
      </c>
      <c r="J2638" s="137" t="inlineStr">
        <is>
          <t>Shopify</t>
        </is>
      </c>
    </row>
    <row r="2639">
      <c r="A2639" s="5" t="inlineStr">
        <is>
          <t>Shopify Stetson México › Stetson Americas</t>
        </is>
      </c>
      <c r="B2639" s="5">
        <f>IF($I2="","",INDEX(Productos!$A:$A,$I2))</f>
        <v/>
      </c>
      <c r="C2639" s="134" t="inlineStr">
        <is>
          <t>SBBBOW-69432467</t>
        </is>
      </c>
      <c r="D2639" s="5">
        <f>IF($I2="","",INDEX(Productos!$B:$B,$I2))</f>
        <v/>
      </c>
      <c r="E2639" s="5">
        <f>IF($I2="","",INDEX(Productos!$H:$H,$I2))</f>
        <v/>
      </c>
      <c r="F2639" s="5">
        <f>IF($I2="","",INDEX(Productos!$I:$I,$I2))</f>
        <v/>
      </c>
      <c r="G2639" s="135" t="n">
        <v>1</v>
      </c>
      <c r="H2639" s="5">
        <f>IF($I2="","",INDEX(Productos!$AG:$AG,$I2))</f>
        <v/>
      </c>
      <c r="I2639" s="136">
        <f>LET(_xlpm.r,Productos!$E$2:$E$2509,_xlpm.m,IFERROR(_xlfn.XMATCH(C2639,_xlpm.r),IFERROR(_xlfn.XMATCH(VALUE(C2639),_xlpm.r),0)),IF(_xlpm.m=0,"",_xlpm.m+1))</f>
        <v/>
      </c>
      <c r="J2639" s="137" t="inlineStr">
        <is>
          <t>Shopify</t>
        </is>
      </c>
    </row>
    <row r="2640">
      <c r="A2640" s="5" t="inlineStr">
        <is>
          <t>Shopify Stetson México › Stetson Americas</t>
        </is>
      </c>
      <c r="B2640" s="5">
        <f>IF($I2="","",INDEX(Productos!$A:$A,$I2))</f>
        <v/>
      </c>
      <c r="C2640" s="134" t="inlineStr">
        <is>
          <t>SBBBOW-69432470</t>
        </is>
      </c>
      <c r="D2640" s="5">
        <f>IF($I2="","",INDEX(Productos!$B:$B,$I2))</f>
        <v/>
      </c>
      <c r="E2640" s="5">
        <f>IF($I2="","",INDEX(Productos!$H:$H,$I2))</f>
        <v/>
      </c>
      <c r="F2640" s="5">
        <f>IF($I2="","",INDEX(Productos!$I:$I,$I2))</f>
        <v/>
      </c>
      <c r="G2640" s="135" t="n">
        <v>1</v>
      </c>
      <c r="H2640" s="5">
        <f>IF($I2="","",INDEX(Productos!$AG:$AG,$I2))</f>
        <v/>
      </c>
      <c r="I2640" s="136">
        <f>LET(_xlpm.r,Productos!$E$2:$E$2509,_xlpm.m,IFERROR(_xlfn.XMATCH(C2640,_xlpm.r),IFERROR(_xlfn.XMATCH(VALUE(C2640),_xlpm.r),0)),IF(_xlpm.m=0,"",_xlpm.m+1))</f>
        <v/>
      </c>
      <c r="J2640" s="137" t="inlineStr">
        <is>
          <t>Shopify</t>
        </is>
      </c>
    </row>
    <row r="2641">
      <c r="A2641" s="5" t="inlineStr">
        <is>
          <t>Shopify Stetson México › Stetson Americas</t>
        </is>
      </c>
      <c r="B2641" s="5">
        <f>IF($I2="","",INDEX(Productos!$A:$A,$I2))</f>
        <v/>
      </c>
      <c r="C2641" s="134" t="inlineStr">
        <is>
          <t>SBBBOW-69432471</t>
        </is>
      </c>
      <c r="D2641" s="5">
        <f>IF($I2="","",INDEX(Productos!$B:$B,$I2))</f>
        <v/>
      </c>
      <c r="E2641" s="5">
        <f>IF($I2="","",INDEX(Productos!$H:$H,$I2))</f>
        <v/>
      </c>
      <c r="F2641" s="5">
        <f>IF($I2="","",INDEX(Productos!$I:$I,$I2))</f>
        <v/>
      </c>
      <c r="G2641" s="135" t="n">
        <v>1</v>
      </c>
      <c r="H2641" s="5">
        <f>IF($I2="","",INDEX(Productos!$AG:$AG,$I2))</f>
        <v/>
      </c>
      <c r="I2641" s="136">
        <f>LET(_xlpm.r,Productos!$E$2:$E$2509,_xlpm.m,IFERROR(_xlfn.XMATCH(C2641,_xlpm.r),IFERROR(_xlfn.XMATCH(VALUE(C2641),_xlpm.r),0)),IF(_xlpm.m=0,"",_xlpm.m+1))</f>
        <v/>
      </c>
      <c r="J2641" s="137" t="inlineStr">
        <is>
          <t>Shopify</t>
        </is>
      </c>
    </row>
    <row r="2642">
      <c r="A2642" s="5" t="inlineStr">
        <is>
          <t>Shopify Stetson México › Stetson Americas</t>
        </is>
      </c>
      <c r="B2642" s="5">
        <f>IF($I2="","",INDEX(Productos!$A:$A,$I2))</f>
        <v/>
      </c>
      <c r="C2642" s="134" t="inlineStr">
        <is>
          <t>SBCRAL-75402271</t>
        </is>
      </c>
      <c r="D2642" s="5">
        <f>IF($I2="","",INDEX(Productos!$B:$B,$I2))</f>
        <v/>
      </c>
      <c r="E2642" s="5">
        <f>IF($I2="","",INDEX(Productos!$H:$H,$I2))</f>
        <v/>
      </c>
      <c r="F2642" s="5">
        <f>IF($I2="","",INDEX(Productos!$I:$I,$I2))</f>
        <v/>
      </c>
      <c r="G2642" s="135" t="n">
        <v>1</v>
      </c>
      <c r="H2642" s="5">
        <f>IF($I2="","",INDEX(Productos!$AG:$AG,$I2))</f>
        <v/>
      </c>
      <c r="I2642" s="136">
        <f>LET(_xlpm.r,Productos!$E$2:$E$2509,_xlpm.m,IFERROR(_xlfn.XMATCH(C2642,_xlpm.r),IFERROR(_xlfn.XMATCH(VALUE(C2642),_xlpm.r),0)),IF(_xlpm.m=0,"",_xlpm.m+1))</f>
        <v/>
      </c>
      <c r="J2642" s="137" t="inlineStr">
        <is>
          <t>Shopify</t>
        </is>
      </c>
    </row>
    <row r="2643">
      <c r="A2643" s="5" t="inlineStr">
        <is>
          <t>Shopify Stetson México › Stetson Americas</t>
        </is>
      </c>
      <c r="B2643" s="5">
        <f>IF($I2="","",INDEX(Productos!$A:$A,$I2))</f>
        <v/>
      </c>
      <c r="C2643" s="134" t="inlineStr">
        <is>
          <t>SBCRAL-75402273</t>
        </is>
      </c>
      <c r="D2643" s="5">
        <f>IF($I2="","",INDEX(Productos!$B:$B,$I2))</f>
        <v/>
      </c>
      <c r="E2643" s="5">
        <f>IF($I2="","",INDEX(Productos!$H:$H,$I2))</f>
        <v/>
      </c>
      <c r="F2643" s="5">
        <f>IF($I2="","",INDEX(Productos!$I:$I,$I2))</f>
        <v/>
      </c>
      <c r="G2643" s="135" t="n">
        <v>1</v>
      </c>
      <c r="H2643" s="5">
        <f>IF($I2="","",INDEX(Productos!$AG:$AG,$I2))</f>
        <v/>
      </c>
      <c r="I2643" s="136">
        <f>LET(_xlpm.r,Productos!$E$2:$E$2509,_xlpm.m,IFERROR(_xlfn.XMATCH(C2643,_xlpm.r),IFERROR(_xlfn.XMATCH(VALUE(C2643),_xlpm.r),0)),IF(_xlpm.m=0,"",_xlpm.m+1))</f>
        <v/>
      </c>
      <c r="J2643" s="137" t="inlineStr">
        <is>
          <t>Shopify</t>
        </is>
      </c>
    </row>
    <row r="2644">
      <c r="A2644" s="5" t="inlineStr">
        <is>
          <t>Shopify Stetson México › Stetson Americas</t>
        </is>
      </c>
      <c r="B2644" s="5">
        <f>IF($I2="","",INDEX(Productos!$A:$A,$I2))</f>
        <v/>
      </c>
      <c r="C2644" s="134" t="inlineStr">
        <is>
          <t>SBCRAL-75402274</t>
        </is>
      </c>
      <c r="D2644" s="5">
        <f>IF($I2="","",INDEX(Productos!$B:$B,$I2))</f>
        <v/>
      </c>
      <c r="E2644" s="5">
        <f>IF($I2="","",INDEX(Productos!$H:$H,$I2))</f>
        <v/>
      </c>
      <c r="F2644" s="5">
        <f>IF($I2="","",INDEX(Productos!$I:$I,$I2))</f>
        <v/>
      </c>
      <c r="G2644" s="135" t="n">
        <v>1</v>
      </c>
      <c r="H2644" s="5">
        <f>IF($I2="","",INDEX(Productos!$AG:$AG,$I2))</f>
        <v/>
      </c>
      <c r="I2644" s="136">
        <f>LET(_xlpm.r,Productos!$E$2:$E$2509,_xlpm.m,IFERROR(_xlfn.XMATCH(C2644,_xlpm.r),IFERROR(_xlfn.XMATCH(VALUE(C2644),_xlpm.r),0)),IF(_xlpm.m=0,"",_xlpm.m+1))</f>
        <v/>
      </c>
      <c r="J2644" s="137" t="inlineStr">
        <is>
          <t>Shopify</t>
        </is>
      </c>
    </row>
    <row r="2645">
      <c r="A2645" s="5" t="inlineStr">
        <is>
          <t>Shopify Stetson México › Stetson Americas</t>
        </is>
      </c>
      <c r="B2645" s="5">
        <f>IF($I2="","",INDEX(Productos!$A:$A,$I2))</f>
        <v/>
      </c>
      <c r="C2645" s="134" t="inlineStr">
        <is>
          <t>SFACST-4442B570</t>
        </is>
      </c>
      <c r="D2645" s="5">
        <f>IF($I2="","",INDEX(Productos!$B:$B,$I2))</f>
        <v/>
      </c>
      <c r="E2645" s="5">
        <f>IF($I2="","",INDEX(Productos!$H:$H,$I2))</f>
        <v/>
      </c>
      <c r="F2645" s="5">
        <f>IF($I2="","",INDEX(Productos!$I:$I,$I2))</f>
        <v/>
      </c>
      <c r="G2645" s="135" t="n">
        <v>1</v>
      </c>
      <c r="H2645" s="5">
        <f>IF($I2="","",INDEX(Productos!$AG:$AG,$I2))</f>
        <v/>
      </c>
      <c r="I2645" s="136">
        <f>LET(_xlpm.r,Productos!$E$2:$E$2509,_xlpm.m,IFERROR(_xlfn.XMATCH(C2645,_xlpm.r),IFERROR(_xlfn.XMATCH(VALUE(C2645),_xlpm.r),0)),IF(_xlpm.m=0,"",_xlpm.m+1))</f>
        <v/>
      </c>
      <c r="J2645" s="137" t="inlineStr">
        <is>
          <t>Shopify</t>
        </is>
      </c>
    </row>
    <row r="2646">
      <c r="A2646" s="5" t="inlineStr">
        <is>
          <t>Shopify Stetson México › Stetson Americas</t>
        </is>
      </c>
      <c r="B2646" s="5">
        <f>IF($I2="","",INDEX(Productos!$A:$A,$I2))</f>
        <v/>
      </c>
      <c r="C2646" s="134" t="inlineStr">
        <is>
          <t>SFACST-4442B571</t>
        </is>
      </c>
      <c r="D2646" s="5">
        <f>IF($I2="","",INDEX(Productos!$B:$B,$I2))</f>
        <v/>
      </c>
      <c r="E2646" s="5">
        <f>IF($I2="","",INDEX(Productos!$H:$H,$I2))</f>
        <v/>
      </c>
      <c r="F2646" s="5">
        <f>IF($I2="","",INDEX(Productos!$I:$I,$I2))</f>
        <v/>
      </c>
      <c r="G2646" s="135" t="n">
        <v>1</v>
      </c>
      <c r="H2646" s="5">
        <f>IF($I2="","",INDEX(Productos!$AG:$AG,$I2))</f>
        <v/>
      </c>
      <c r="I2646" s="136">
        <f>LET(_xlpm.r,Productos!$E$2:$E$2509,_xlpm.m,IFERROR(_xlfn.XMATCH(C2646,_xlpm.r),IFERROR(_xlfn.XMATCH(VALUE(C2646),_xlpm.r),0)),IF(_xlpm.m=0,"",_xlpm.m+1))</f>
        <v/>
      </c>
      <c r="J2646" s="137" t="inlineStr">
        <is>
          <t>Shopify</t>
        </is>
      </c>
    </row>
    <row r="2647">
      <c r="A2647" s="5" t="inlineStr">
        <is>
          <t>Shopify Stetson México › Stetson Americas</t>
        </is>
      </c>
      <c r="B2647" s="5">
        <f>IF($I2="","",INDEX(Productos!$A:$A,$I2))</f>
        <v/>
      </c>
      <c r="C2647" s="134" t="inlineStr">
        <is>
          <t>SFACST-4442B573</t>
        </is>
      </c>
      <c r="D2647" s="5">
        <f>IF($I2="","",INDEX(Productos!$B:$B,$I2))</f>
        <v/>
      </c>
      <c r="E2647" s="5">
        <f>IF($I2="","",INDEX(Productos!$H:$H,$I2))</f>
        <v/>
      </c>
      <c r="F2647" s="5">
        <f>IF($I2="","",INDEX(Productos!$I:$I,$I2))</f>
        <v/>
      </c>
      <c r="G2647" s="135" t="n">
        <v>1</v>
      </c>
      <c r="H2647" s="5">
        <f>IF($I2="","",INDEX(Productos!$AG:$AG,$I2))</f>
        <v/>
      </c>
      <c r="I2647" s="136">
        <f>LET(_xlpm.r,Productos!$E$2:$E$2509,_xlpm.m,IFERROR(_xlfn.XMATCH(C2647,_xlpm.r),IFERROR(_xlfn.XMATCH(VALUE(C2647),_xlpm.r),0)),IF(_xlpm.m=0,"",_xlpm.m+1))</f>
        <v/>
      </c>
      <c r="J2647" s="137" t="inlineStr">
        <is>
          <t>Shopify</t>
        </is>
      </c>
    </row>
    <row r="2648">
      <c r="A2648" s="5" t="inlineStr">
        <is>
          <t>Shopify Stetson México › Stetson Americas</t>
        </is>
      </c>
      <c r="B2648" s="5">
        <f>IF($I2="","",INDEX(Productos!$A:$A,$I2))</f>
        <v/>
      </c>
      <c r="C2648" s="134" t="inlineStr">
        <is>
          <t>SFASPN-41342272</t>
        </is>
      </c>
      <c r="D2648" s="5">
        <f>IF($I2="","",INDEX(Productos!$B:$B,$I2))</f>
        <v/>
      </c>
      <c r="E2648" s="5">
        <f>IF($I2="","",INDEX(Productos!$H:$H,$I2))</f>
        <v/>
      </c>
      <c r="F2648" s="5">
        <f>IF($I2="","",INDEX(Productos!$I:$I,$I2))</f>
        <v/>
      </c>
      <c r="G2648" s="135" t="n">
        <v>2</v>
      </c>
      <c r="H2648" s="5">
        <f>IF($I2="","",INDEX(Productos!$AG:$AG,$I2))</f>
        <v/>
      </c>
      <c r="I2648" s="136">
        <f>LET(_xlpm.r,Productos!$E$2:$E$2509,_xlpm.m,IFERROR(_xlfn.XMATCH(C2648,_xlpm.r),IFERROR(_xlfn.XMATCH(VALUE(C2648),_xlpm.r),0)),IF(_xlpm.m=0,"",_xlpm.m+1))</f>
        <v/>
      </c>
      <c r="J2648" s="137" t="inlineStr">
        <is>
          <t>Shopify</t>
        </is>
      </c>
    </row>
    <row r="2649">
      <c r="A2649" s="5" t="inlineStr">
        <is>
          <t>Shopify Stetson México › Stetson Americas</t>
        </is>
      </c>
      <c r="B2649" s="5">
        <f>IF($I2="","",INDEX(Productos!$A:$A,$I2))</f>
        <v/>
      </c>
      <c r="C2649" s="134" t="inlineStr">
        <is>
          <t>SFASPN-41342273</t>
        </is>
      </c>
      <c r="D2649" s="5">
        <f>IF($I2="","",INDEX(Productos!$B:$B,$I2))</f>
        <v/>
      </c>
      <c r="E2649" s="5">
        <f>IF($I2="","",INDEX(Productos!$H:$H,$I2))</f>
        <v/>
      </c>
      <c r="F2649" s="5">
        <f>IF($I2="","",INDEX(Productos!$I:$I,$I2))</f>
        <v/>
      </c>
      <c r="G2649" s="135" t="n">
        <v>2</v>
      </c>
      <c r="H2649" s="5">
        <f>IF($I2="","",INDEX(Productos!$AG:$AG,$I2))</f>
        <v/>
      </c>
      <c r="I2649" s="136">
        <f>LET(_xlpm.r,Productos!$E$2:$E$2509,_xlpm.m,IFERROR(_xlfn.XMATCH(C2649,_xlpm.r),IFERROR(_xlfn.XMATCH(VALUE(C2649),_xlpm.r),0)),IF(_xlpm.m=0,"",_xlpm.m+1))</f>
        <v/>
      </c>
      <c r="J2649" s="137" t="inlineStr">
        <is>
          <t>Shopify</t>
        </is>
      </c>
    </row>
    <row r="2650">
      <c r="A2650" s="5" t="inlineStr">
        <is>
          <t>Shopify Stetson México › Stetson Americas</t>
        </is>
      </c>
      <c r="B2650" s="5">
        <f>IF($I2="","",INDEX(Productos!$A:$A,$I2))</f>
        <v/>
      </c>
      <c r="C2650" s="134" t="inlineStr">
        <is>
          <t>SFCRSN-40340770</t>
        </is>
      </c>
      <c r="D2650" s="5">
        <f>IF($I2="","",INDEX(Productos!$B:$B,$I2))</f>
        <v/>
      </c>
      <c r="E2650" s="5">
        <f>IF($I2="","",INDEX(Productos!$H:$H,$I2))</f>
        <v/>
      </c>
      <c r="F2650" s="5">
        <f>IF($I2="","",INDEX(Productos!$I:$I,$I2))</f>
        <v/>
      </c>
      <c r="G2650" s="135" t="n">
        <v>1</v>
      </c>
      <c r="H2650" s="5">
        <f>IF($I2="","",INDEX(Productos!$AG:$AG,$I2))</f>
        <v/>
      </c>
      <c r="I2650" s="136">
        <f>LET(_xlpm.r,Productos!$E$2:$E$2509,_xlpm.m,IFERROR(_xlfn.XMATCH(C2650,_xlpm.r),IFERROR(_xlfn.XMATCH(VALUE(C2650),_xlpm.r),0)),IF(_xlpm.m=0,"",_xlpm.m+1))</f>
        <v/>
      </c>
      <c r="J2650" s="137" t="inlineStr">
        <is>
          <t>Shopify</t>
        </is>
      </c>
    </row>
    <row r="2651">
      <c r="A2651" s="5" t="inlineStr">
        <is>
          <t>Shopify Stetson México › Stetson Americas</t>
        </is>
      </c>
      <c r="B2651" s="5">
        <f>IF($I2="","",INDEX(Productos!$A:$A,$I2))</f>
        <v/>
      </c>
      <c r="C2651" s="134" t="inlineStr">
        <is>
          <t>SFCRSN-40340771</t>
        </is>
      </c>
      <c r="D2651" s="5">
        <f>IF($I2="","",INDEX(Productos!$B:$B,$I2))</f>
        <v/>
      </c>
      <c r="E2651" s="5">
        <f>IF($I2="","",INDEX(Productos!$H:$H,$I2))</f>
        <v/>
      </c>
      <c r="F2651" s="5">
        <f>IF($I2="","",INDEX(Productos!$I:$I,$I2))</f>
        <v/>
      </c>
      <c r="G2651" s="135" t="n">
        <v>1</v>
      </c>
      <c r="H2651" s="5">
        <f>IF($I2="","",INDEX(Productos!$AG:$AG,$I2))</f>
        <v/>
      </c>
      <c r="I2651" s="136">
        <f>LET(_xlpm.r,Productos!$E$2:$E$2509,_xlpm.m,IFERROR(_xlfn.XMATCH(C2651,_xlpm.r),IFERROR(_xlfn.XMATCH(VALUE(C2651),_xlpm.r),0)),IF(_xlpm.m=0,"",_xlpm.m+1))</f>
        <v/>
      </c>
      <c r="J2651" s="137" t="inlineStr">
        <is>
          <t>Shopify</t>
        </is>
      </c>
    </row>
    <row r="2652">
      <c r="A2652" s="5" t="inlineStr">
        <is>
          <t>Shopify Stetson México › Stetson Americas</t>
        </is>
      </c>
      <c r="B2652" s="5">
        <f>IF($I2="","",INDEX(Productos!$A:$A,$I2))</f>
        <v/>
      </c>
      <c r="C2652" s="134" t="inlineStr">
        <is>
          <t>SFCRSN-40340772</t>
        </is>
      </c>
      <c r="D2652" s="5">
        <f>IF($I2="","",INDEX(Productos!$B:$B,$I2))</f>
        <v/>
      </c>
      <c r="E2652" s="5">
        <f>IF($I2="","",INDEX(Productos!$H:$H,$I2))</f>
        <v/>
      </c>
      <c r="F2652" s="5">
        <f>IF($I2="","",INDEX(Productos!$I:$I,$I2))</f>
        <v/>
      </c>
      <c r="G2652" s="135" t="n">
        <v>1</v>
      </c>
      <c r="H2652" s="5">
        <f>IF($I2="","",INDEX(Productos!$AG:$AG,$I2))</f>
        <v/>
      </c>
      <c r="I2652" s="136">
        <f>LET(_xlpm.r,Productos!$E$2:$E$2509,_xlpm.m,IFERROR(_xlfn.XMATCH(C2652,_xlpm.r),IFERROR(_xlfn.XMATCH(VALUE(C2652),_xlpm.r),0)),IF(_xlpm.m=0,"",_xlpm.m+1))</f>
        <v/>
      </c>
      <c r="J2652" s="137" t="inlineStr">
        <is>
          <t>Shopify</t>
        </is>
      </c>
    </row>
    <row r="2653">
      <c r="A2653" s="5" t="inlineStr">
        <is>
          <t>Shopify Stetson México › Stetson Americas</t>
        </is>
      </c>
      <c r="B2653" s="5">
        <f>IF($I2="","",INDEX(Productos!$A:$A,$I2))</f>
        <v/>
      </c>
      <c r="C2653" s="134" t="inlineStr">
        <is>
          <t>SFCRSN-40340773</t>
        </is>
      </c>
      <c r="D2653" s="5">
        <f>IF($I2="","",INDEX(Productos!$B:$B,$I2))</f>
        <v/>
      </c>
      <c r="E2653" s="5">
        <f>IF($I2="","",INDEX(Productos!$H:$H,$I2))</f>
        <v/>
      </c>
      <c r="F2653" s="5">
        <f>IF($I2="","",INDEX(Productos!$I:$I,$I2))</f>
        <v/>
      </c>
      <c r="G2653" s="135" t="n">
        <v>1</v>
      </c>
      <c r="H2653" s="5">
        <f>IF($I2="","",INDEX(Productos!$AG:$AG,$I2))</f>
        <v/>
      </c>
      <c r="I2653" s="136">
        <f>LET(_xlpm.r,Productos!$E$2:$E$2509,_xlpm.m,IFERROR(_xlfn.XMATCH(C2653,_xlpm.r),IFERROR(_xlfn.XMATCH(VALUE(C2653),_xlpm.r),0)),IF(_xlpm.m=0,"",_xlpm.m+1))</f>
        <v/>
      </c>
      <c r="J2653" s="137" t="inlineStr">
        <is>
          <t>Shopify</t>
        </is>
      </c>
    </row>
    <row r="2654">
      <c r="A2654" s="5" t="inlineStr">
        <is>
          <t>Shopify Stetson México › Stetson Americas</t>
        </is>
      </c>
      <c r="B2654" s="5">
        <f>IF($I2="","",INDEX(Productos!$A:$A,$I2))</f>
        <v/>
      </c>
      <c r="C2654" s="134" t="inlineStr">
        <is>
          <t>SFCRSN-40341166</t>
        </is>
      </c>
      <c r="D2654" s="5">
        <f>IF($I2="","",INDEX(Productos!$B:$B,$I2))</f>
        <v/>
      </c>
      <c r="E2654" s="5">
        <f>IF($I2="","",INDEX(Productos!$H:$H,$I2))</f>
        <v/>
      </c>
      <c r="F2654" s="5">
        <f>IF($I2="","",INDEX(Productos!$I:$I,$I2))</f>
        <v/>
      </c>
      <c r="G2654" s="135" t="n">
        <v>1</v>
      </c>
      <c r="H2654" s="5">
        <f>IF($I2="","",INDEX(Productos!$AG:$AG,$I2))</f>
        <v/>
      </c>
      <c r="I2654" s="136">
        <f>LET(_xlpm.r,Productos!$E$2:$E$2509,_xlpm.m,IFERROR(_xlfn.XMATCH(C2654,_xlpm.r),IFERROR(_xlfn.XMATCH(VALUE(C2654),_xlpm.r),0)),IF(_xlpm.m=0,"",_xlpm.m+1))</f>
        <v/>
      </c>
      <c r="J2654" s="137" t="inlineStr">
        <is>
          <t>Shopify</t>
        </is>
      </c>
    </row>
    <row r="2655">
      <c r="A2655" s="5" t="inlineStr">
        <is>
          <t>Shopify Stetson México › Stetson Americas</t>
        </is>
      </c>
      <c r="B2655" s="5">
        <f>IF($I2="","",INDEX(Productos!$A:$A,$I2))</f>
        <v/>
      </c>
      <c r="C2655" s="134" t="inlineStr">
        <is>
          <t>SFCRSN-40341170</t>
        </is>
      </c>
      <c r="D2655" s="5">
        <f>IF($I2="","",INDEX(Productos!$B:$B,$I2))</f>
        <v/>
      </c>
      <c r="E2655" s="5">
        <f>IF($I2="","",INDEX(Productos!$H:$H,$I2))</f>
        <v/>
      </c>
      <c r="F2655" s="5">
        <f>IF($I2="","",INDEX(Productos!$I:$I,$I2))</f>
        <v/>
      </c>
      <c r="G2655" s="135" t="n">
        <v>1</v>
      </c>
      <c r="H2655" s="5">
        <f>IF($I2="","",INDEX(Productos!$AG:$AG,$I2))</f>
        <v/>
      </c>
      <c r="I2655" s="136">
        <f>LET(_xlpm.r,Productos!$E$2:$E$2509,_xlpm.m,IFERROR(_xlfn.XMATCH(C2655,_xlpm.r),IFERROR(_xlfn.XMATCH(VALUE(C2655),_xlpm.r),0)),IF(_xlpm.m=0,"",_xlpm.m+1))</f>
        <v/>
      </c>
      <c r="J2655" s="137" t="inlineStr">
        <is>
          <t>Shopify</t>
        </is>
      </c>
    </row>
    <row r="2656">
      <c r="A2656" s="5" t="inlineStr">
        <is>
          <t>Shopify Stetson México › Stetson Americas</t>
        </is>
      </c>
      <c r="B2656" s="5">
        <f>IF($I2="","",INDEX(Productos!$A:$A,$I2))</f>
        <v/>
      </c>
      <c r="C2656" s="134" t="inlineStr">
        <is>
          <t>SFCRSN-40341171</t>
        </is>
      </c>
      <c r="D2656" s="5">
        <f>IF($I2="","",INDEX(Productos!$B:$B,$I2))</f>
        <v/>
      </c>
      <c r="E2656" s="5">
        <f>IF($I2="","",INDEX(Productos!$H:$H,$I2))</f>
        <v/>
      </c>
      <c r="F2656" s="5">
        <f>IF($I2="","",INDEX(Productos!$I:$I,$I2))</f>
        <v/>
      </c>
      <c r="G2656" s="135" t="n">
        <v>1</v>
      </c>
      <c r="H2656" s="5">
        <f>IF($I2="","",INDEX(Productos!$AG:$AG,$I2))</f>
        <v/>
      </c>
      <c r="I2656" s="136">
        <f>LET(_xlpm.r,Productos!$E$2:$E$2509,_xlpm.m,IFERROR(_xlfn.XMATCH(C2656,_xlpm.r),IFERROR(_xlfn.XMATCH(VALUE(C2656),_xlpm.r),0)),IF(_xlpm.m=0,"",_xlpm.m+1))</f>
        <v/>
      </c>
      <c r="J2656" s="137" t="inlineStr">
        <is>
          <t>Shopify</t>
        </is>
      </c>
    </row>
    <row r="2657">
      <c r="A2657" s="5" t="inlineStr">
        <is>
          <t>Shopify Stetson México › Stetson Americas</t>
        </is>
      </c>
      <c r="B2657" s="5">
        <f>IF($I2="","",INDEX(Productos!$A:$A,$I2))</f>
        <v/>
      </c>
      <c r="C2657" s="134" t="inlineStr">
        <is>
          <t>SFCRSN-40341172</t>
        </is>
      </c>
      <c r="D2657" s="5">
        <f>IF($I2="","",INDEX(Productos!$B:$B,$I2))</f>
        <v/>
      </c>
      <c r="E2657" s="5">
        <f>IF($I2="","",INDEX(Productos!$H:$H,$I2))</f>
        <v/>
      </c>
      <c r="F2657" s="5">
        <f>IF($I2="","",INDEX(Productos!$I:$I,$I2))</f>
        <v/>
      </c>
      <c r="G2657" s="135" t="n">
        <v>1</v>
      </c>
      <c r="H2657" s="5">
        <f>IF($I2="","",INDEX(Productos!$AG:$AG,$I2))</f>
        <v/>
      </c>
      <c r="I2657" s="136">
        <f>LET(_xlpm.r,Productos!$E$2:$E$2509,_xlpm.m,IFERROR(_xlfn.XMATCH(C2657,_xlpm.r),IFERROR(_xlfn.XMATCH(VALUE(C2657),_xlpm.r),0)),IF(_xlpm.m=0,"",_xlpm.m+1))</f>
        <v/>
      </c>
      <c r="J2657" s="137" t="inlineStr">
        <is>
          <t>Shopify</t>
        </is>
      </c>
    </row>
    <row r="2658">
      <c r="A2658" s="5" t="inlineStr">
        <is>
          <t>Shopify Stetson México › Stetson Americas</t>
        </is>
      </c>
      <c r="B2658" s="5">
        <f>IF($I2="","",INDEX(Productos!$A:$A,$I2))</f>
        <v/>
      </c>
      <c r="C2658" s="134" t="inlineStr">
        <is>
          <t>SFCRSN-40346170</t>
        </is>
      </c>
      <c r="D2658" s="5">
        <f>IF($I2="","",INDEX(Productos!$B:$B,$I2))</f>
        <v/>
      </c>
      <c r="E2658" s="5">
        <f>IF($I2="","",INDEX(Productos!$H:$H,$I2))</f>
        <v/>
      </c>
      <c r="F2658" s="5">
        <f>IF($I2="","",INDEX(Productos!$I:$I,$I2))</f>
        <v/>
      </c>
      <c r="G2658" s="135" t="n">
        <v>1</v>
      </c>
      <c r="H2658" s="5">
        <f>IF($I2="","",INDEX(Productos!$AG:$AG,$I2))</f>
        <v/>
      </c>
      <c r="I2658" s="136">
        <f>LET(_xlpm.r,Productos!$E$2:$E$2509,_xlpm.m,IFERROR(_xlfn.XMATCH(C2658,_xlpm.r),IFERROR(_xlfn.XMATCH(VALUE(C2658),_xlpm.r),0)),IF(_xlpm.m=0,"",_xlpm.m+1))</f>
        <v/>
      </c>
      <c r="J2658" s="137" t="inlineStr">
        <is>
          <t>Shopify</t>
        </is>
      </c>
    </row>
    <row r="2659">
      <c r="A2659" s="5" t="inlineStr">
        <is>
          <t>Shopify Stetson México › Stetson Americas</t>
        </is>
      </c>
      <c r="B2659" s="5">
        <f>IF($I2="","",INDEX(Productos!$A:$A,$I2))</f>
        <v/>
      </c>
      <c r="C2659" s="134" t="inlineStr">
        <is>
          <t>SFCRSN-40346171</t>
        </is>
      </c>
      <c r="D2659" s="5">
        <f>IF($I2="","",INDEX(Productos!$B:$B,$I2))</f>
        <v/>
      </c>
      <c r="E2659" s="5">
        <f>IF($I2="","",INDEX(Productos!$H:$H,$I2))</f>
        <v/>
      </c>
      <c r="F2659" s="5">
        <f>IF($I2="","",INDEX(Productos!$I:$I,$I2))</f>
        <v/>
      </c>
      <c r="G2659" s="135" t="n">
        <v>2</v>
      </c>
      <c r="H2659" s="5">
        <f>IF($I2="","",INDEX(Productos!$AG:$AG,$I2))</f>
        <v/>
      </c>
      <c r="I2659" s="136">
        <f>LET(_xlpm.r,Productos!$E$2:$E$2509,_xlpm.m,IFERROR(_xlfn.XMATCH(C2659,_xlpm.r),IFERROR(_xlfn.XMATCH(VALUE(C2659),_xlpm.r),0)),IF(_xlpm.m=0,"",_xlpm.m+1))</f>
        <v/>
      </c>
      <c r="J2659" s="137" t="inlineStr">
        <is>
          <t>Shopify</t>
        </is>
      </c>
    </row>
    <row r="2660">
      <c r="A2660" s="5" t="inlineStr">
        <is>
          <t>Shopify Stetson México › Stetson Americas</t>
        </is>
      </c>
      <c r="B2660" s="5">
        <f>IF($I2="","",INDEX(Productos!$A:$A,$I2))</f>
        <v/>
      </c>
      <c r="C2660" s="134" t="inlineStr">
        <is>
          <t>SFCRSN-40346172</t>
        </is>
      </c>
      <c r="D2660" s="5">
        <f>IF($I2="","",INDEX(Productos!$B:$B,$I2))</f>
        <v/>
      </c>
      <c r="E2660" s="5">
        <f>IF($I2="","",INDEX(Productos!$H:$H,$I2))</f>
        <v/>
      </c>
      <c r="F2660" s="5">
        <f>IF($I2="","",INDEX(Productos!$I:$I,$I2))</f>
        <v/>
      </c>
      <c r="G2660" s="135" t="n">
        <v>1</v>
      </c>
      <c r="H2660" s="5">
        <f>IF($I2="","",INDEX(Productos!$AG:$AG,$I2))</f>
        <v/>
      </c>
      <c r="I2660" s="136">
        <f>LET(_xlpm.r,Productos!$E$2:$E$2509,_xlpm.m,IFERROR(_xlfn.XMATCH(C2660,_xlpm.r),IFERROR(_xlfn.XMATCH(VALUE(C2660),_xlpm.r),0)),IF(_xlpm.m=0,"",_xlpm.m+1))</f>
        <v/>
      </c>
      <c r="J2660" s="137" t="inlineStr">
        <is>
          <t>Shopify</t>
        </is>
      </c>
    </row>
    <row r="2661">
      <c r="A2661" s="5" t="inlineStr">
        <is>
          <t>Shopify Stetson México › Stetson Americas</t>
        </is>
      </c>
      <c r="B2661" s="5">
        <f>IF($I2="","",INDEX(Productos!$A:$A,$I2))</f>
        <v/>
      </c>
      <c r="C2661" s="134" t="inlineStr">
        <is>
          <t>SFCRSN-40346173</t>
        </is>
      </c>
      <c r="D2661" s="5">
        <f>IF($I2="","",INDEX(Productos!$B:$B,$I2))</f>
        <v/>
      </c>
      <c r="E2661" s="5">
        <f>IF($I2="","",INDEX(Productos!$H:$H,$I2))</f>
        <v/>
      </c>
      <c r="F2661" s="5">
        <f>IF($I2="","",INDEX(Productos!$I:$I,$I2))</f>
        <v/>
      </c>
      <c r="G2661" s="135" t="n">
        <v>1</v>
      </c>
      <c r="H2661" s="5">
        <f>IF($I2="","",INDEX(Productos!$AG:$AG,$I2))</f>
        <v/>
      </c>
      <c r="I2661" s="136">
        <f>LET(_xlpm.r,Productos!$E$2:$E$2509,_xlpm.m,IFERROR(_xlfn.XMATCH(C2661,_xlpm.r),IFERROR(_xlfn.XMATCH(VALUE(C2661),_xlpm.r),0)),IF(_xlpm.m=0,"",_xlpm.m+1))</f>
        <v/>
      </c>
      <c r="J2661" s="137" t="inlineStr">
        <is>
          <t>Shopify</t>
        </is>
      </c>
    </row>
    <row r="2662">
      <c r="A2662" s="5" t="inlineStr">
        <is>
          <t>Shopify Stetson México › Stetson Americas</t>
        </is>
      </c>
      <c r="B2662" s="5">
        <f>IF($I2="","",INDEX(Productos!$A:$A,$I2))</f>
        <v/>
      </c>
      <c r="C2662" s="134" t="inlineStr">
        <is>
          <t>SFDMTE-48400772</t>
        </is>
      </c>
      <c r="D2662" s="5">
        <f>IF($I2="","",INDEX(Productos!$B:$B,$I2))</f>
        <v/>
      </c>
      <c r="E2662" s="5">
        <f>IF($I2="","",INDEX(Productos!$H:$H,$I2))</f>
        <v/>
      </c>
      <c r="F2662" s="5">
        <f>IF($I2="","",INDEX(Productos!$I:$I,$I2))</f>
        <v/>
      </c>
      <c r="G2662" s="135" t="n">
        <v>1</v>
      </c>
      <c r="H2662" s="5">
        <f>IF($I2="","",INDEX(Productos!$AG:$AG,$I2))</f>
        <v/>
      </c>
      <c r="I2662" s="136">
        <f>LET(_xlpm.r,Productos!$E$2:$E$2509,_xlpm.m,IFERROR(_xlfn.XMATCH(C2662,_xlpm.r),IFERROR(_xlfn.XMATCH(VALUE(C2662),_xlpm.r),0)),IF(_xlpm.m=0,"",_xlpm.m+1))</f>
        <v/>
      </c>
      <c r="J2662" s="137" t="inlineStr">
        <is>
          <t>Shopify</t>
        </is>
      </c>
    </row>
    <row r="2663">
      <c r="A2663" s="5" t="inlineStr">
        <is>
          <t>Shopify Stetson México › Stetson Americas</t>
        </is>
      </c>
      <c r="B2663" s="5">
        <f>IF($I2="","",INDEX(Productos!$A:$A,$I2))</f>
        <v/>
      </c>
      <c r="C2663" s="134" t="inlineStr">
        <is>
          <t>SFDMTE-48406171</t>
        </is>
      </c>
      <c r="D2663" s="5">
        <f>IF($I2="","",INDEX(Productos!$B:$B,$I2))</f>
        <v/>
      </c>
      <c r="E2663" s="5">
        <f>IF($I2="","",INDEX(Productos!$H:$H,$I2))</f>
        <v/>
      </c>
      <c r="F2663" s="5">
        <f>IF($I2="","",INDEX(Productos!$I:$I,$I2))</f>
        <v/>
      </c>
      <c r="G2663" s="135" t="n">
        <v>1</v>
      </c>
      <c r="H2663" s="5">
        <f>IF($I2="","",INDEX(Productos!$AG:$AG,$I2))</f>
        <v/>
      </c>
      <c r="I2663" s="136">
        <f>LET(_xlpm.r,Productos!$E$2:$E$2509,_xlpm.m,IFERROR(_xlfn.XMATCH(C2663,_xlpm.r),IFERROR(_xlfn.XMATCH(VALUE(C2663),_xlpm.r),0)),IF(_xlpm.m=0,"",_xlpm.m+1))</f>
        <v/>
      </c>
      <c r="J2663" s="137" t="inlineStr">
        <is>
          <t>Shopify</t>
        </is>
      </c>
    </row>
    <row r="2664">
      <c r="A2664" s="5" t="inlineStr">
        <is>
          <t>Shopify Stetson México › Stetson Americas</t>
        </is>
      </c>
      <c r="B2664" s="5">
        <f>IF($I2="","",INDEX(Productos!$A:$A,$I2))</f>
        <v/>
      </c>
      <c r="C2664" s="134" t="inlineStr">
        <is>
          <t>SFDMTE-48406172</t>
        </is>
      </c>
      <c r="D2664" s="5">
        <f>IF($I2="","",INDEX(Productos!$B:$B,$I2))</f>
        <v/>
      </c>
      <c r="E2664" s="5">
        <f>IF($I2="","",INDEX(Productos!$H:$H,$I2))</f>
        <v/>
      </c>
      <c r="F2664" s="5">
        <f>IF($I2="","",INDEX(Productos!$I:$I,$I2))</f>
        <v/>
      </c>
      <c r="G2664" s="135" t="n">
        <v>1</v>
      </c>
      <c r="H2664" s="5">
        <f>IF($I2="","",INDEX(Productos!$AG:$AG,$I2))</f>
        <v/>
      </c>
      <c r="I2664" s="136">
        <f>LET(_xlpm.r,Productos!$E$2:$E$2509,_xlpm.m,IFERROR(_xlfn.XMATCH(C2664,_xlpm.r),IFERROR(_xlfn.XMATCH(VALUE(C2664),_xlpm.r),0)),IF(_xlpm.m=0,"",_xlpm.m+1))</f>
        <v/>
      </c>
      <c r="J2664" s="137" t="inlineStr">
        <is>
          <t>Shopify</t>
        </is>
      </c>
    </row>
    <row r="2665">
      <c r="A2665" s="5" t="inlineStr">
        <is>
          <t>Shopify Stetson México › Stetson Americas</t>
        </is>
      </c>
      <c r="B2665" s="5">
        <f>IF($I2="","",INDEX(Productos!$A:$A,$I2))</f>
        <v/>
      </c>
      <c r="C2665" s="134" t="inlineStr">
        <is>
          <t>SFELAM-48400771</t>
        </is>
      </c>
      <c r="D2665" s="5">
        <f>IF($I2="","",INDEX(Productos!$B:$B,$I2))</f>
        <v/>
      </c>
      <c r="E2665" s="5">
        <f>IF($I2="","",INDEX(Productos!$H:$H,$I2))</f>
        <v/>
      </c>
      <c r="F2665" s="5">
        <f>IF($I2="","",INDEX(Productos!$I:$I,$I2))</f>
        <v/>
      </c>
      <c r="G2665" s="135" t="n">
        <v>2</v>
      </c>
      <c r="H2665" s="5">
        <f>IF($I2="","",INDEX(Productos!$AG:$AG,$I2))</f>
        <v/>
      </c>
      <c r="I2665" s="136">
        <f>LET(_xlpm.r,Productos!$E$2:$E$2509,_xlpm.m,IFERROR(_xlfn.XMATCH(C2665,_xlpm.r),IFERROR(_xlfn.XMATCH(VALUE(C2665),_xlpm.r),0)),IF(_xlpm.m=0,"",_xlpm.m+1))</f>
        <v/>
      </c>
      <c r="J2665" s="137" t="inlineStr">
        <is>
          <t>Shopify</t>
        </is>
      </c>
    </row>
    <row r="2666">
      <c r="A2666" s="5" t="inlineStr">
        <is>
          <t>Shopify Stetson México › Stetson Americas</t>
        </is>
      </c>
      <c r="B2666" s="5">
        <f>IF($I2="","",INDEX(Productos!$A:$A,$I2))</f>
        <v/>
      </c>
      <c r="C2666" s="134" t="inlineStr">
        <is>
          <t>SFELAM-48400773</t>
        </is>
      </c>
      <c r="D2666" s="5">
        <f>IF($I2="","",INDEX(Productos!$B:$B,$I2))</f>
        <v/>
      </c>
      <c r="E2666" s="5">
        <f>IF($I2="","",INDEX(Productos!$H:$H,$I2))</f>
        <v/>
      </c>
      <c r="F2666" s="5">
        <f>IF($I2="","",INDEX(Productos!$I:$I,$I2))</f>
        <v/>
      </c>
      <c r="G2666" s="135" t="n">
        <v>1</v>
      </c>
      <c r="H2666" s="5">
        <f>IF($I2="","",INDEX(Productos!$AG:$AG,$I2))</f>
        <v/>
      </c>
      <c r="I2666" s="136">
        <f>LET(_xlpm.r,Productos!$E$2:$E$2509,_xlpm.m,IFERROR(_xlfn.XMATCH(C2666,_xlpm.r),IFERROR(_xlfn.XMATCH(VALUE(C2666),_xlpm.r),0)),IF(_xlpm.m=0,"",_xlpm.m+1))</f>
        <v/>
      </c>
      <c r="J2666" s="137" t="inlineStr">
        <is>
          <t>Shopify</t>
        </is>
      </c>
    </row>
    <row r="2667">
      <c r="A2667" s="5" t="inlineStr">
        <is>
          <t>Shopify Stetson México › Stetson Americas</t>
        </is>
      </c>
      <c r="B2667" s="5">
        <f>IF($I2="","",INDEX(Productos!$A:$A,$I2))</f>
        <v/>
      </c>
      <c r="C2667" s="134" t="inlineStr">
        <is>
          <t>SFELAM-48406171</t>
        </is>
      </c>
      <c r="D2667" s="5">
        <f>IF($I2="","",INDEX(Productos!$B:$B,$I2))</f>
        <v/>
      </c>
      <c r="E2667" s="5">
        <f>IF($I2="","",INDEX(Productos!$H:$H,$I2))</f>
        <v/>
      </c>
      <c r="F2667" s="5">
        <f>IF($I2="","",INDEX(Productos!$I:$I,$I2))</f>
        <v/>
      </c>
      <c r="G2667" s="135" t="n">
        <v>2</v>
      </c>
      <c r="H2667" s="5">
        <f>IF($I2="","",INDEX(Productos!$AG:$AG,$I2))</f>
        <v/>
      </c>
      <c r="I2667" s="136">
        <f>LET(_xlpm.r,Productos!$E$2:$E$2509,_xlpm.m,IFERROR(_xlfn.XMATCH(C2667,_xlpm.r),IFERROR(_xlfn.XMATCH(VALUE(C2667),_xlpm.r),0)),IF(_xlpm.m=0,"",_xlpm.m+1))</f>
        <v/>
      </c>
      <c r="J2667" s="137" t="inlineStr">
        <is>
          <t>Shopify</t>
        </is>
      </c>
    </row>
    <row r="2668">
      <c r="A2668" s="5" t="inlineStr">
        <is>
          <t>Shopify Stetson México › Stetson Americas</t>
        </is>
      </c>
      <c r="B2668" s="5">
        <f>IF($I2="","",INDEX(Productos!$A:$A,$I2))</f>
        <v/>
      </c>
      <c r="C2668" s="134" t="inlineStr">
        <is>
          <t>SFELAM-48406173</t>
        </is>
      </c>
      <c r="D2668" s="5">
        <f>IF($I2="","",INDEX(Productos!$B:$B,$I2))</f>
        <v/>
      </c>
      <c r="E2668" s="5">
        <f>IF($I2="","",INDEX(Productos!$H:$H,$I2))</f>
        <v/>
      </c>
      <c r="F2668" s="5">
        <f>IF($I2="","",INDEX(Productos!$I:$I,$I2))</f>
        <v/>
      </c>
      <c r="G2668" s="135" t="n">
        <v>2</v>
      </c>
      <c r="H2668" s="5">
        <f>IF($I2="","",INDEX(Productos!$AG:$AG,$I2))</f>
        <v/>
      </c>
      <c r="I2668" s="136">
        <f>LET(_xlpm.r,Productos!$E$2:$E$2509,_xlpm.m,IFERROR(_xlfn.XMATCH(C2668,_xlpm.r),IFERROR(_xlfn.XMATCH(VALUE(C2668),_xlpm.r),0)),IF(_xlpm.m=0,"",_xlpm.m+1))</f>
        <v/>
      </c>
      <c r="J2668" s="137" t="inlineStr">
        <is>
          <t>Shopify</t>
        </is>
      </c>
    </row>
    <row r="2669">
      <c r="A2669" s="5" t="inlineStr">
        <is>
          <t>Shopify Stetson México › Stetson Americas</t>
        </is>
      </c>
      <c r="B2669" s="5">
        <f>IF($I2="","",INDEX(Productos!$A:$A,$I2))</f>
        <v/>
      </c>
      <c r="C2669" s="134" t="inlineStr">
        <is>
          <t>SFEPTN-48407270</t>
        </is>
      </c>
      <c r="D2669" s="5">
        <f>IF($I2="","",INDEX(Productos!$B:$B,$I2))</f>
        <v/>
      </c>
      <c r="E2669" s="5">
        <f>IF($I2="","",INDEX(Productos!$H:$H,$I2))</f>
        <v/>
      </c>
      <c r="F2669" s="5">
        <f>IF($I2="","",INDEX(Productos!$I:$I,$I2))</f>
        <v/>
      </c>
      <c r="G2669" s="135" t="n">
        <v>1</v>
      </c>
      <c r="H2669" s="5">
        <f>IF($I2="","",INDEX(Productos!$AG:$AG,$I2))</f>
        <v/>
      </c>
      <c r="I2669" s="136">
        <f>LET(_xlpm.r,Productos!$E$2:$E$2509,_xlpm.m,IFERROR(_xlfn.XMATCH(C2669,_xlpm.r),IFERROR(_xlfn.XMATCH(VALUE(C2669),_xlpm.r),0)),IF(_xlpm.m=0,"",_xlpm.m+1))</f>
        <v/>
      </c>
      <c r="J2669" s="137" t="inlineStr">
        <is>
          <t>Shopify</t>
        </is>
      </c>
    </row>
    <row r="2670">
      <c r="A2670" s="5" t="inlineStr">
        <is>
          <t>Shopify Stetson México › Stetson Americas</t>
        </is>
      </c>
      <c r="B2670" s="5">
        <f>IF($I2="","",INDEX(Productos!$A:$A,$I2))</f>
        <v/>
      </c>
      <c r="C2670" s="134" t="inlineStr">
        <is>
          <t>SFEPTN-4840MO72</t>
        </is>
      </c>
      <c r="D2670" s="5">
        <f>IF($I2="","",INDEX(Productos!$B:$B,$I2))</f>
        <v/>
      </c>
      <c r="E2670" s="5">
        <f>IF($I2="","",INDEX(Productos!$H:$H,$I2))</f>
        <v/>
      </c>
      <c r="F2670" s="5">
        <f>IF($I2="","",INDEX(Productos!$I:$I,$I2))</f>
        <v/>
      </c>
      <c r="G2670" s="135" t="n">
        <v>1</v>
      </c>
      <c r="H2670" s="5">
        <f>IF($I2="","",INDEX(Productos!$AG:$AG,$I2))</f>
        <v/>
      </c>
      <c r="I2670" s="136">
        <f>LET(_xlpm.r,Productos!$E$2:$E$2509,_xlpm.m,IFERROR(_xlfn.XMATCH(C2670,_xlpm.r),IFERROR(_xlfn.XMATCH(VALUE(C2670),_xlpm.r),0)),IF(_xlpm.m=0,"",_xlpm.m+1))</f>
        <v/>
      </c>
      <c r="J2670" s="137" t="inlineStr">
        <is>
          <t>Shopify</t>
        </is>
      </c>
    </row>
    <row r="2671">
      <c r="A2671" s="5" t="inlineStr">
        <is>
          <t>Shopify Stetson México › Stetson Americas</t>
        </is>
      </c>
      <c r="B2671" s="5">
        <f>IF($I2="","",INDEX(Productos!$A:$A,$I2))</f>
        <v/>
      </c>
      <c r="C2671" s="134" t="inlineStr">
        <is>
          <t>SFEPTN-4840MO74</t>
        </is>
      </c>
      <c r="D2671" s="5">
        <f>IF($I2="","",INDEX(Productos!$B:$B,$I2))</f>
        <v/>
      </c>
      <c r="E2671" s="5">
        <f>IF($I2="","",INDEX(Productos!$H:$H,$I2))</f>
        <v/>
      </c>
      <c r="F2671" s="5">
        <f>IF($I2="","",INDEX(Productos!$I:$I,$I2))</f>
        <v/>
      </c>
      <c r="G2671" s="135" t="n">
        <v>1</v>
      </c>
      <c r="H2671" s="5">
        <f>IF($I2="","",INDEX(Productos!$AG:$AG,$I2))</f>
        <v/>
      </c>
      <c r="I2671" s="136">
        <f>LET(_xlpm.r,Productos!$E$2:$E$2509,_xlpm.m,IFERROR(_xlfn.XMATCH(C2671,_xlpm.r),IFERROR(_xlfn.XMATCH(VALUE(C2671),_xlpm.r),0)),IF(_xlpm.m=0,"",_xlpm.m+1))</f>
        <v/>
      </c>
      <c r="J2671" s="137" t="inlineStr">
        <is>
          <t>Shopify</t>
        </is>
      </c>
    </row>
    <row r="2672">
      <c r="A2672" s="5" t="inlineStr">
        <is>
          <t>Shopify Stetson México › Stetson Americas</t>
        </is>
      </c>
      <c r="B2672" s="5">
        <f>IF($I2="","",INDEX(Productos!$A:$A,$I2))</f>
        <v/>
      </c>
      <c r="C2672" s="134" t="inlineStr">
        <is>
          <t>SFG160-01400770</t>
        </is>
      </c>
      <c r="D2672" s="5">
        <f>IF($I2="","",INDEX(Productos!$B:$B,$I2))</f>
        <v/>
      </c>
      <c r="E2672" s="5">
        <f>IF($I2="","",INDEX(Productos!$H:$H,$I2))</f>
        <v/>
      </c>
      <c r="F2672" s="5">
        <f>IF($I2="","",INDEX(Productos!$I:$I,$I2))</f>
        <v/>
      </c>
      <c r="G2672" s="135" t="n">
        <v>1</v>
      </c>
      <c r="H2672" s="5">
        <f>IF($I2="","",INDEX(Productos!$AG:$AG,$I2))</f>
        <v/>
      </c>
      <c r="I2672" s="136">
        <f>LET(_xlpm.r,Productos!$E$2:$E$2509,_xlpm.m,IFERROR(_xlfn.XMATCH(C2672,_xlpm.r),IFERROR(_xlfn.XMATCH(VALUE(C2672),_xlpm.r),0)),IF(_xlpm.m=0,"",_xlpm.m+1))</f>
        <v/>
      </c>
      <c r="J2672" s="137" t="inlineStr">
        <is>
          <t>Shopify</t>
        </is>
      </c>
    </row>
    <row r="2673">
      <c r="A2673" s="5" t="inlineStr">
        <is>
          <t>Shopify Stetson México › Stetson Americas</t>
        </is>
      </c>
      <c r="B2673" s="5">
        <f>IF($I2="","",INDEX(Productos!$A:$A,$I2))</f>
        <v/>
      </c>
      <c r="C2673" s="134" t="inlineStr">
        <is>
          <t>SFG160-01400771</t>
        </is>
      </c>
      <c r="D2673" s="5">
        <f>IF($I2="","",INDEX(Productos!$B:$B,$I2))</f>
        <v/>
      </c>
      <c r="E2673" s="5">
        <f>IF($I2="","",INDEX(Productos!$H:$H,$I2))</f>
        <v/>
      </c>
      <c r="F2673" s="5">
        <f>IF($I2="","",INDEX(Productos!$I:$I,$I2))</f>
        <v/>
      </c>
      <c r="G2673" s="135" t="n">
        <v>1</v>
      </c>
      <c r="H2673" s="5">
        <f>IF($I2="","",INDEX(Productos!$AG:$AG,$I2))</f>
        <v/>
      </c>
      <c r="I2673" s="136">
        <f>LET(_xlpm.r,Productos!$E$2:$E$2509,_xlpm.m,IFERROR(_xlfn.XMATCH(C2673,_xlpm.r),IFERROR(_xlfn.XMATCH(VALUE(C2673),_xlpm.r),0)),IF(_xlpm.m=0,"",_xlpm.m+1))</f>
        <v/>
      </c>
      <c r="J2673" s="137" t="inlineStr">
        <is>
          <t>Shopify</t>
        </is>
      </c>
    </row>
    <row r="2674">
      <c r="A2674" s="5" t="inlineStr">
        <is>
          <t>Shopify Stetson México › Stetson Americas</t>
        </is>
      </c>
      <c r="B2674" s="5">
        <f>IF($I2="","",INDEX(Productos!$A:$A,$I2))</f>
        <v/>
      </c>
      <c r="C2674" s="134" t="inlineStr">
        <is>
          <t>SFG160-01400772</t>
        </is>
      </c>
      <c r="D2674" s="5">
        <f>IF($I2="","",INDEX(Productos!$B:$B,$I2))</f>
        <v/>
      </c>
      <c r="E2674" s="5">
        <f>IF($I2="","",INDEX(Productos!$H:$H,$I2))</f>
        <v/>
      </c>
      <c r="F2674" s="5">
        <f>IF($I2="","",INDEX(Productos!$I:$I,$I2))</f>
        <v/>
      </c>
      <c r="G2674" s="135" t="n">
        <v>2</v>
      </c>
      <c r="H2674" s="5">
        <f>IF($I2="","",INDEX(Productos!$AG:$AG,$I2))</f>
        <v/>
      </c>
      <c r="I2674" s="136">
        <f>LET(_xlpm.r,Productos!$E$2:$E$2509,_xlpm.m,IFERROR(_xlfn.XMATCH(C2674,_xlpm.r),IFERROR(_xlfn.XMATCH(VALUE(C2674),_xlpm.r),0)),IF(_xlpm.m=0,"",_xlpm.m+1))</f>
        <v/>
      </c>
      <c r="J2674" s="137" t="inlineStr">
        <is>
          <t>Shopify</t>
        </is>
      </c>
    </row>
    <row r="2675">
      <c r="A2675" s="5" t="inlineStr">
        <is>
          <t>Shopify Stetson México › Stetson Americas</t>
        </is>
      </c>
      <c r="B2675" s="5">
        <f>IF($I2="","",INDEX(Productos!$A:$A,$I2))</f>
        <v/>
      </c>
      <c r="C2675" s="134" t="inlineStr">
        <is>
          <t>SFG160-01400773</t>
        </is>
      </c>
      <c r="D2675" s="5">
        <f>IF($I2="","",INDEX(Productos!$B:$B,$I2))</f>
        <v/>
      </c>
      <c r="E2675" s="5">
        <f>IF($I2="","",INDEX(Productos!$H:$H,$I2))</f>
        <v/>
      </c>
      <c r="F2675" s="5">
        <f>IF($I2="","",INDEX(Productos!$I:$I,$I2))</f>
        <v/>
      </c>
      <c r="G2675" s="135" t="n">
        <v>1</v>
      </c>
      <c r="H2675" s="5">
        <f>IF($I2="","",INDEX(Productos!$AG:$AG,$I2))</f>
        <v/>
      </c>
      <c r="I2675" s="136">
        <f>LET(_xlpm.r,Productos!$E$2:$E$2509,_xlpm.m,IFERROR(_xlfn.XMATCH(C2675,_xlpm.r),IFERROR(_xlfn.XMATCH(VALUE(C2675),_xlpm.r),0)),IF(_xlpm.m=0,"",_xlpm.m+1))</f>
        <v/>
      </c>
      <c r="J2675" s="137" t="inlineStr">
        <is>
          <t>Shopify</t>
        </is>
      </c>
    </row>
    <row r="2676">
      <c r="A2676" s="5" t="inlineStr">
        <is>
          <t>Shopify Stetson México › Stetson Americas</t>
        </is>
      </c>
      <c r="B2676" s="5">
        <f>IF($I2="","",INDEX(Productos!$A:$A,$I2))</f>
        <v/>
      </c>
      <c r="C2676" s="134" t="inlineStr">
        <is>
          <t>SFG160-01402273</t>
        </is>
      </c>
      <c r="D2676" s="5">
        <f>IF($I2="","",INDEX(Productos!$B:$B,$I2))</f>
        <v/>
      </c>
      <c r="E2676" s="5">
        <f>IF($I2="","",INDEX(Productos!$H:$H,$I2))</f>
        <v/>
      </c>
      <c r="F2676" s="5">
        <f>IF($I2="","",INDEX(Productos!$I:$I,$I2))</f>
        <v/>
      </c>
      <c r="G2676" s="135" t="n">
        <v>1</v>
      </c>
      <c r="H2676" s="5">
        <f>IF($I2="","",INDEX(Productos!$AG:$AG,$I2))</f>
        <v/>
      </c>
      <c r="I2676" s="136">
        <f>LET(_xlpm.r,Productos!$E$2:$E$2509,_xlpm.m,IFERROR(_xlfn.XMATCH(C2676,_xlpm.r),IFERROR(_xlfn.XMATCH(VALUE(C2676),_xlpm.r),0)),IF(_xlpm.m=0,"",_xlpm.m+1))</f>
        <v/>
      </c>
      <c r="J2676" s="137" t="inlineStr">
        <is>
          <t>Shopify</t>
        </is>
      </c>
    </row>
    <row r="2677">
      <c r="A2677" s="5" t="inlineStr">
        <is>
          <t>Shopify Stetson México › Stetson Americas</t>
        </is>
      </c>
      <c r="B2677" s="5">
        <f>IF($I2="","",INDEX(Productos!$A:$A,$I2))</f>
        <v/>
      </c>
      <c r="C2677" s="134" t="inlineStr">
        <is>
          <t>SFG160-01406171</t>
        </is>
      </c>
      <c r="D2677" s="5">
        <f>IF($I2="","",INDEX(Productos!$B:$B,$I2))</f>
        <v/>
      </c>
      <c r="E2677" s="5">
        <f>IF($I2="","",INDEX(Productos!$H:$H,$I2))</f>
        <v/>
      </c>
      <c r="F2677" s="5">
        <f>IF($I2="","",INDEX(Productos!$I:$I,$I2))</f>
        <v/>
      </c>
      <c r="G2677" s="135" t="n">
        <v>1</v>
      </c>
      <c r="H2677" s="5">
        <f>IF($I2="","",INDEX(Productos!$AG:$AG,$I2))</f>
        <v/>
      </c>
      <c r="I2677" s="136">
        <f>LET(_xlpm.r,Productos!$E$2:$E$2509,_xlpm.m,IFERROR(_xlfn.XMATCH(C2677,_xlpm.r),IFERROR(_xlfn.XMATCH(VALUE(C2677),_xlpm.r),0)),IF(_xlpm.m=0,"",_xlpm.m+1))</f>
        <v/>
      </c>
      <c r="J2677" s="137" t="inlineStr">
        <is>
          <t>Shopify</t>
        </is>
      </c>
    </row>
    <row r="2678">
      <c r="A2678" s="5" t="inlineStr">
        <is>
          <t>Shopify Stetson México › Stetson Americas</t>
        </is>
      </c>
      <c r="B2678" s="5">
        <f>IF($I2="","",INDEX(Productos!$A:$A,$I2))</f>
        <v/>
      </c>
      <c r="C2678" s="134" t="inlineStr">
        <is>
          <t>SFGRFN-9142DU73</t>
        </is>
      </c>
      <c r="D2678" s="5">
        <f>IF($I2="","",INDEX(Productos!$B:$B,$I2))</f>
        <v/>
      </c>
      <c r="E2678" s="5">
        <f>IF($I2="","",INDEX(Productos!$H:$H,$I2))</f>
        <v/>
      </c>
      <c r="F2678" s="5">
        <f>IF($I2="","",INDEX(Productos!$I:$I,$I2))</f>
        <v/>
      </c>
      <c r="G2678" s="135" t="n">
        <v>1</v>
      </c>
      <c r="H2678" s="5">
        <f>IF($I2="","",INDEX(Productos!$AG:$AG,$I2))</f>
        <v/>
      </c>
      <c r="I2678" s="136">
        <f>LET(_xlpm.r,Productos!$E$2:$E$2509,_xlpm.m,IFERROR(_xlfn.XMATCH(C2678,_xlpm.r),IFERROR(_xlfn.XMATCH(VALUE(C2678),_xlpm.r),0)),IF(_xlpm.m=0,"",_xlpm.m+1))</f>
        <v/>
      </c>
      <c r="J2678" s="137" t="inlineStr">
        <is>
          <t>Shopify</t>
        </is>
      </c>
    </row>
    <row r="2679">
      <c r="A2679" s="5" t="inlineStr">
        <is>
          <t>Shopify Stetson México › Stetson Americas</t>
        </is>
      </c>
      <c r="B2679" s="5">
        <f>IF($I2="","",INDEX(Productos!$A:$A,$I2))</f>
        <v/>
      </c>
      <c r="C2679" s="134" t="inlineStr">
        <is>
          <t>SFGUDL-48400771</t>
        </is>
      </c>
      <c r="D2679" s="5">
        <f>IF($I2="","",INDEX(Productos!$B:$B,$I2))</f>
        <v/>
      </c>
      <c r="E2679" s="5">
        <f>IF($I2="","",INDEX(Productos!$H:$H,$I2))</f>
        <v/>
      </c>
      <c r="F2679" s="5">
        <f>IF($I2="","",INDEX(Productos!$I:$I,$I2))</f>
        <v/>
      </c>
      <c r="G2679" s="135" t="n">
        <v>2</v>
      </c>
      <c r="H2679" s="5">
        <f>IF($I2="","",INDEX(Productos!$AG:$AG,$I2))</f>
        <v/>
      </c>
      <c r="I2679" s="136">
        <f>LET(_xlpm.r,Productos!$E$2:$E$2509,_xlpm.m,IFERROR(_xlfn.XMATCH(C2679,_xlpm.r),IFERROR(_xlfn.XMATCH(VALUE(C2679),_xlpm.r),0)),IF(_xlpm.m=0,"",_xlpm.m+1))</f>
        <v/>
      </c>
      <c r="J2679" s="137" t="inlineStr">
        <is>
          <t>Shopify</t>
        </is>
      </c>
    </row>
    <row r="2680">
      <c r="A2680" s="5" t="inlineStr">
        <is>
          <t>Shopify Stetson México › Stetson Americas</t>
        </is>
      </c>
      <c r="B2680" s="5">
        <f>IF($I2="","",INDEX(Productos!$A:$A,$I2))</f>
        <v/>
      </c>
      <c r="C2680" s="134" t="inlineStr">
        <is>
          <t>SFGUDL-48400772</t>
        </is>
      </c>
      <c r="D2680" s="5">
        <f>IF($I2="","",INDEX(Productos!$B:$B,$I2))</f>
        <v/>
      </c>
      <c r="E2680" s="5">
        <f>IF($I2="","",INDEX(Productos!$H:$H,$I2))</f>
        <v/>
      </c>
      <c r="F2680" s="5">
        <f>IF($I2="","",INDEX(Productos!$I:$I,$I2))</f>
        <v/>
      </c>
      <c r="G2680" s="135" t="n">
        <v>2</v>
      </c>
      <c r="H2680" s="5">
        <f>IF($I2="","",INDEX(Productos!$AG:$AG,$I2))</f>
        <v/>
      </c>
      <c r="I2680" s="136">
        <f>LET(_xlpm.r,Productos!$E$2:$E$2509,_xlpm.m,IFERROR(_xlfn.XMATCH(C2680,_xlpm.r),IFERROR(_xlfn.XMATCH(VALUE(C2680),_xlpm.r),0)),IF(_xlpm.m=0,"",_xlpm.m+1))</f>
        <v/>
      </c>
      <c r="J2680" s="137" t="inlineStr">
        <is>
          <t>Shopify</t>
        </is>
      </c>
    </row>
    <row r="2681">
      <c r="A2681" s="5" t="inlineStr">
        <is>
          <t>Shopify Stetson México › Stetson Americas</t>
        </is>
      </c>
      <c r="B2681" s="5">
        <f>IF($I2="","",INDEX(Productos!$A:$A,$I2))</f>
        <v/>
      </c>
      <c r="C2681" s="134" t="inlineStr">
        <is>
          <t>SFGUDL-48400774</t>
        </is>
      </c>
      <c r="D2681" s="5">
        <f>IF($I2="","",INDEX(Productos!$B:$B,$I2))</f>
        <v/>
      </c>
      <c r="E2681" s="5">
        <f>IF($I2="","",INDEX(Productos!$H:$H,$I2))</f>
        <v/>
      </c>
      <c r="F2681" s="5">
        <f>IF($I2="","",INDEX(Productos!$I:$I,$I2))</f>
        <v/>
      </c>
      <c r="G2681" s="135" t="n">
        <v>1</v>
      </c>
      <c r="H2681" s="5">
        <f>IF($I2="","",INDEX(Productos!$AG:$AG,$I2))</f>
        <v/>
      </c>
      <c r="I2681" s="136">
        <f>LET(_xlpm.r,Productos!$E$2:$E$2509,_xlpm.m,IFERROR(_xlfn.XMATCH(C2681,_xlpm.r),IFERROR(_xlfn.XMATCH(VALUE(C2681),_xlpm.r),0)),IF(_xlpm.m=0,"",_xlpm.m+1))</f>
        <v/>
      </c>
      <c r="J2681" s="137" t="inlineStr">
        <is>
          <t>Shopify</t>
        </is>
      </c>
    </row>
    <row r="2682">
      <c r="A2682" s="5" t="inlineStr">
        <is>
          <t>Shopify Stetson México › Stetson Americas</t>
        </is>
      </c>
      <c r="B2682" s="5">
        <f>IF($I2="","",INDEX(Productos!$A:$A,$I2))</f>
        <v/>
      </c>
      <c r="C2682" s="134" t="inlineStr">
        <is>
          <t>SFGUDL-48400775</t>
        </is>
      </c>
      <c r="D2682" s="5">
        <f>IF($I2="","",INDEX(Productos!$B:$B,$I2))</f>
        <v/>
      </c>
      <c r="E2682" s="5">
        <f>IF($I2="","",INDEX(Productos!$H:$H,$I2))</f>
        <v/>
      </c>
      <c r="F2682" s="5">
        <f>IF($I2="","",INDEX(Productos!$I:$I,$I2))</f>
        <v/>
      </c>
      <c r="G2682" s="135" t="n">
        <v>1</v>
      </c>
      <c r="H2682" s="5">
        <f>IF($I2="","",INDEX(Productos!$AG:$AG,$I2))</f>
        <v/>
      </c>
      <c r="I2682" s="136">
        <f>LET(_xlpm.r,Productos!$E$2:$E$2509,_xlpm.m,IFERROR(_xlfn.XMATCH(C2682,_xlpm.r),IFERROR(_xlfn.XMATCH(VALUE(C2682),_xlpm.r),0)),IF(_xlpm.m=0,"",_xlpm.m+1))</f>
        <v/>
      </c>
      <c r="J2682" s="137" t="inlineStr">
        <is>
          <t>Shopify</t>
        </is>
      </c>
    </row>
    <row r="2683">
      <c r="A2683" s="5" t="inlineStr">
        <is>
          <t>Shopify Stetson México › Stetson Americas</t>
        </is>
      </c>
      <c r="B2683" s="5">
        <f>IF($I2="","",INDEX(Productos!$A:$A,$I2))</f>
        <v/>
      </c>
      <c r="C2683" s="134" t="inlineStr">
        <is>
          <t>SFGUDL-48406171</t>
        </is>
      </c>
      <c r="D2683" s="5">
        <f>IF($I2="","",INDEX(Productos!$B:$B,$I2))</f>
        <v/>
      </c>
      <c r="E2683" s="5">
        <f>IF($I2="","",INDEX(Productos!$H:$H,$I2))</f>
        <v/>
      </c>
      <c r="F2683" s="5">
        <f>IF($I2="","",INDEX(Productos!$I:$I,$I2))</f>
        <v/>
      </c>
      <c r="G2683" s="135" t="n">
        <v>3</v>
      </c>
      <c r="H2683" s="5">
        <f>IF($I2="","",INDEX(Productos!$AG:$AG,$I2))</f>
        <v/>
      </c>
      <c r="I2683" s="136">
        <f>LET(_xlpm.r,Productos!$E$2:$E$2509,_xlpm.m,IFERROR(_xlfn.XMATCH(C2683,_xlpm.r),IFERROR(_xlfn.XMATCH(VALUE(C2683),_xlpm.r),0)),IF(_xlpm.m=0,"",_xlpm.m+1))</f>
        <v/>
      </c>
      <c r="J2683" s="137" t="inlineStr">
        <is>
          <t>Shopify</t>
        </is>
      </c>
    </row>
    <row r="2684">
      <c r="A2684" s="5" t="inlineStr">
        <is>
          <t>Shopify Stetson México › Stetson Americas</t>
        </is>
      </c>
      <c r="B2684" s="5">
        <f>IF($I2="","",INDEX(Productos!$A:$A,$I2))</f>
        <v/>
      </c>
      <c r="C2684" s="134" t="inlineStr">
        <is>
          <t>SFGUDL-48406172</t>
        </is>
      </c>
      <c r="D2684" s="5">
        <f>IF($I2="","",INDEX(Productos!$B:$B,$I2))</f>
        <v/>
      </c>
      <c r="E2684" s="5">
        <f>IF($I2="","",INDEX(Productos!$H:$H,$I2))</f>
        <v/>
      </c>
      <c r="F2684" s="5">
        <f>IF($I2="","",INDEX(Productos!$I:$I,$I2))</f>
        <v/>
      </c>
      <c r="G2684" s="135" t="n">
        <v>1</v>
      </c>
      <c r="H2684" s="5">
        <f>IF($I2="","",INDEX(Productos!$AG:$AG,$I2))</f>
        <v/>
      </c>
      <c r="I2684" s="136">
        <f>LET(_xlpm.r,Productos!$E$2:$E$2509,_xlpm.m,IFERROR(_xlfn.XMATCH(C2684,_xlpm.r),IFERROR(_xlfn.XMATCH(VALUE(C2684),_xlpm.r),0)),IF(_xlpm.m=0,"",_xlpm.m+1))</f>
        <v/>
      </c>
      <c r="J2684" s="137" t="inlineStr">
        <is>
          <t>Shopify</t>
        </is>
      </c>
    </row>
    <row r="2685">
      <c r="A2685" s="5" t="inlineStr">
        <is>
          <t>Shopify Stetson México › Stetson Americas</t>
        </is>
      </c>
      <c r="B2685" s="5">
        <f>IF($I2="","",INDEX(Productos!$A:$A,$I2))</f>
        <v/>
      </c>
      <c r="C2685" s="134" t="inlineStr">
        <is>
          <t>SFGUSS-50400766</t>
        </is>
      </c>
      <c r="D2685" s="5">
        <f>IF($I2="","",INDEX(Productos!$B:$B,$I2))</f>
        <v/>
      </c>
      <c r="E2685" s="5">
        <f>IF($I2="","",INDEX(Productos!$H:$H,$I2))</f>
        <v/>
      </c>
      <c r="F2685" s="5">
        <f>IF($I2="","",INDEX(Productos!$I:$I,$I2))</f>
        <v/>
      </c>
      <c r="G2685" s="135" t="n">
        <v>1</v>
      </c>
      <c r="H2685" s="5">
        <f>IF($I2="","",INDEX(Productos!$AG:$AG,$I2))</f>
        <v/>
      </c>
      <c r="I2685" s="136">
        <f>LET(_xlpm.r,Productos!$E$2:$E$2509,_xlpm.m,IFERROR(_xlfn.XMATCH(C2685,_xlpm.r),IFERROR(_xlfn.XMATCH(VALUE(C2685),_xlpm.r),0)),IF(_xlpm.m=0,"",_xlpm.m+1))</f>
        <v/>
      </c>
      <c r="J2685" s="137" t="inlineStr">
        <is>
          <t>Shopify</t>
        </is>
      </c>
    </row>
    <row r="2686">
      <c r="A2686" s="5" t="inlineStr">
        <is>
          <t>Shopify Stetson México › Stetson Americas</t>
        </is>
      </c>
      <c r="B2686" s="5">
        <f>IF($I2="","",INDEX(Productos!$A:$A,$I2))</f>
        <v/>
      </c>
      <c r="C2686" s="134" t="inlineStr">
        <is>
          <t>SFGUSS-50400767</t>
        </is>
      </c>
      <c r="D2686" s="5">
        <f>IF($I2="","",INDEX(Productos!$B:$B,$I2))</f>
        <v/>
      </c>
      <c r="E2686" s="5">
        <f>IF($I2="","",INDEX(Productos!$H:$H,$I2))</f>
        <v/>
      </c>
      <c r="F2686" s="5">
        <f>IF($I2="","",INDEX(Productos!$I:$I,$I2))</f>
        <v/>
      </c>
      <c r="G2686" s="135" t="n">
        <v>1</v>
      </c>
      <c r="H2686" s="5">
        <f>IF($I2="","",INDEX(Productos!$AG:$AG,$I2))</f>
        <v/>
      </c>
      <c r="I2686" s="136">
        <f>LET(_xlpm.r,Productos!$E$2:$E$2509,_xlpm.m,IFERROR(_xlfn.XMATCH(C2686,_xlpm.r),IFERROR(_xlfn.XMATCH(VALUE(C2686),_xlpm.r),0)),IF(_xlpm.m=0,"",_xlpm.m+1))</f>
        <v/>
      </c>
      <c r="J2686" s="137" t="inlineStr">
        <is>
          <t>Shopify</t>
        </is>
      </c>
    </row>
    <row r="2687">
      <c r="A2687" s="5" t="inlineStr">
        <is>
          <t>Shopify Stetson México › Stetson Americas</t>
        </is>
      </c>
      <c r="B2687" s="5">
        <f>IF($I2="","",INDEX(Productos!$A:$A,$I2))</f>
        <v/>
      </c>
      <c r="C2687" s="134" t="inlineStr">
        <is>
          <t>SFGUSS-50400770</t>
        </is>
      </c>
      <c r="D2687" s="5">
        <f>IF($I2="","",INDEX(Productos!$B:$B,$I2))</f>
        <v/>
      </c>
      <c r="E2687" s="5">
        <f>IF($I2="","",INDEX(Productos!$H:$H,$I2))</f>
        <v/>
      </c>
      <c r="F2687" s="5">
        <f>IF($I2="","",INDEX(Productos!$I:$I,$I2))</f>
        <v/>
      </c>
      <c r="G2687" s="135" t="n">
        <v>1</v>
      </c>
      <c r="H2687" s="5">
        <f>IF($I2="","",INDEX(Productos!$AG:$AG,$I2))</f>
        <v/>
      </c>
      <c r="I2687" s="136">
        <f>LET(_xlpm.r,Productos!$E$2:$E$2509,_xlpm.m,IFERROR(_xlfn.XMATCH(C2687,_xlpm.r),IFERROR(_xlfn.XMATCH(VALUE(C2687),_xlpm.r),0)),IF(_xlpm.m=0,"",_xlpm.m+1))</f>
        <v/>
      </c>
      <c r="J2687" s="137" t="inlineStr">
        <is>
          <t>Shopify</t>
        </is>
      </c>
    </row>
    <row r="2688">
      <c r="A2688" s="5" t="inlineStr">
        <is>
          <t>Shopify Stetson México › Stetson Americas</t>
        </is>
      </c>
      <c r="B2688" s="5">
        <f>IF($I2="","",INDEX(Productos!$A:$A,$I2))</f>
        <v/>
      </c>
      <c r="C2688" s="134" t="inlineStr">
        <is>
          <t>SFGUSS-50400771</t>
        </is>
      </c>
      <c r="D2688" s="5">
        <f>IF($I2="","",INDEX(Productos!$B:$B,$I2))</f>
        <v/>
      </c>
      <c r="E2688" s="5">
        <f>IF($I2="","",INDEX(Productos!$H:$H,$I2))</f>
        <v/>
      </c>
      <c r="F2688" s="5">
        <f>IF($I2="","",INDEX(Productos!$I:$I,$I2))</f>
        <v/>
      </c>
      <c r="G2688" s="135" t="n">
        <v>1</v>
      </c>
      <c r="H2688" s="5">
        <f>IF($I2="","",INDEX(Productos!$AG:$AG,$I2))</f>
        <v/>
      </c>
      <c r="I2688" s="136">
        <f>LET(_xlpm.r,Productos!$E$2:$E$2509,_xlpm.m,IFERROR(_xlfn.XMATCH(C2688,_xlpm.r),IFERROR(_xlfn.XMATCH(VALUE(C2688),_xlpm.r),0)),IF(_xlpm.m=0,"",_xlpm.m+1))</f>
        <v/>
      </c>
      <c r="J2688" s="137" t="inlineStr">
        <is>
          <t>Shopify</t>
        </is>
      </c>
    </row>
    <row r="2689">
      <c r="A2689" s="5" t="inlineStr">
        <is>
          <t>Shopify Stetson México › Stetson Americas</t>
        </is>
      </c>
      <c r="B2689" s="5">
        <f>IF($I2="","",INDEX(Productos!$A:$A,$I2))</f>
        <v/>
      </c>
      <c r="C2689" s="134" t="inlineStr">
        <is>
          <t>SFGUSS-50406167</t>
        </is>
      </c>
      <c r="D2689" s="5">
        <f>IF($I2="","",INDEX(Productos!$B:$B,$I2))</f>
        <v/>
      </c>
      <c r="E2689" s="5">
        <f>IF($I2="","",INDEX(Productos!$H:$H,$I2))</f>
        <v/>
      </c>
      <c r="F2689" s="5">
        <f>IF($I2="","",INDEX(Productos!$I:$I,$I2))</f>
        <v/>
      </c>
      <c r="G2689" s="135" t="n">
        <v>1</v>
      </c>
      <c r="H2689" s="5">
        <f>IF($I2="","",INDEX(Productos!$AG:$AG,$I2))</f>
        <v/>
      </c>
      <c r="I2689" s="136">
        <f>LET(_xlpm.r,Productos!$E$2:$E$2509,_xlpm.m,IFERROR(_xlfn.XMATCH(C2689,_xlpm.r),IFERROR(_xlfn.XMATCH(VALUE(C2689),_xlpm.r),0)),IF(_xlpm.m=0,"",_xlpm.m+1))</f>
        <v/>
      </c>
      <c r="J2689" s="137" t="inlineStr">
        <is>
          <t>Shopify</t>
        </is>
      </c>
    </row>
    <row r="2690">
      <c r="A2690" s="5" t="inlineStr">
        <is>
          <t>Shopify Stetson México › Stetson Americas</t>
        </is>
      </c>
      <c r="B2690" s="5">
        <f>IF($I2="","",INDEX(Productos!$A:$A,$I2))</f>
        <v/>
      </c>
      <c r="C2690" s="134" t="inlineStr">
        <is>
          <t>SFGUSS-50406170</t>
        </is>
      </c>
      <c r="D2690" s="5">
        <f>IF($I2="","",INDEX(Productos!$B:$B,$I2))</f>
        <v/>
      </c>
      <c r="E2690" s="5">
        <f>IF($I2="","",INDEX(Productos!$H:$H,$I2))</f>
        <v/>
      </c>
      <c r="F2690" s="5">
        <f>IF($I2="","",INDEX(Productos!$I:$I,$I2))</f>
        <v/>
      </c>
      <c r="G2690" s="135" t="n">
        <v>1</v>
      </c>
      <c r="H2690" s="5">
        <f>IF($I2="","",INDEX(Productos!$AG:$AG,$I2))</f>
        <v/>
      </c>
      <c r="I2690" s="136">
        <f>LET(_xlpm.r,Productos!$E$2:$E$2509,_xlpm.m,IFERROR(_xlfn.XMATCH(C2690,_xlpm.r),IFERROR(_xlfn.XMATCH(VALUE(C2690),_xlpm.r),0)),IF(_xlpm.m=0,"",_xlpm.m+1))</f>
        <v/>
      </c>
      <c r="J2690" s="137" t="inlineStr">
        <is>
          <t>Shopify</t>
        </is>
      </c>
    </row>
    <row r="2691">
      <c r="A2691" s="5" t="inlineStr">
        <is>
          <t>Shopify Stetson México › Stetson Americas</t>
        </is>
      </c>
      <c r="B2691" s="5">
        <f>IF($I2="","",INDEX(Productos!$A:$A,$I2))</f>
        <v/>
      </c>
      <c r="C2691" s="134" t="inlineStr">
        <is>
          <t>SFMCKN-72420770</t>
        </is>
      </c>
      <c r="D2691" s="5">
        <f>IF($I2="","",INDEX(Productos!$B:$B,$I2))</f>
        <v/>
      </c>
      <c r="E2691" s="5">
        <f>IF($I2="","",INDEX(Productos!$H:$H,$I2))</f>
        <v/>
      </c>
      <c r="F2691" s="5">
        <f>IF($I2="","",INDEX(Productos!$I:$I,$I2))</f>
        <v/>
      </c>
      <c r="G2691" s="135" t="n">
        <v>1</v>
      </c>
      <c r="H2691" s="5">
        <f>IF($I2="","",INDEX(Productos!$AG:$AG,$I2))</f>
        <v/>
      </c>
      <c r="I2691" s="136">
        <f>LET(_xlpm.r,Productos!$E$2:$E$2509,_xlpm.m,IFERROR(_xlfn.XMATCH(C2691,_xlpm.r),IFERROR(_xlfn.XMATCH(VALUE(C2691),_xlpm.r),0)),IF(_xlpm.m=0,"",_xlpm.m+1))</f>
        <v/>
      </c>
      <c r="J2691" s="137" t="inlineStr">
        <is>
          <t>Shopify</t>
        </is>
      </c>
    </row>
    <row r="2692">
      <c r="A2692" s="5" t="inlineStr">
        <is>
          <t>Shopify Stetson México › Stetson Americas</t>
        </is>
      </c>
      <c r="B2692" s="5">
        <f>IF($I2="","",INDEX(Productos!$A:$A,$I2))</f>
        <v/>
      </c>
      <c r="C2692" s="134" t="inlineStr">
        <is>
          <t>SFMCKN-72420772</t>
        </is>
      </c>
      <c r="D2692" s="5">
        <f>IF($I2="","",INDEX(Productos!$B:$B,$I2))</f>
        <v/>
      </c>
      <c r="E2692" s="5">
        <f>IF($I2="","",INDEX(Productos!$H:$H,$I2))</f>
        <v/>
      </c>
      <c r="F2692" s="5">
        <f>IF($I2="","",INDEX(Productos!$I:$I,$I2))</f>
        <v/>
      </c>
      <c r="G2692" s="135" t="n">
        <v>1</v>
      </c>
      <c r="H2692" s="5">
        <f>IF($I2="","",INDEX(Productos!$AG:$AG,$I2))</f>
        <v/>
      </c>
      <c r="I2692" s="136">
        <f>LET(_xlpm.r,Productos!$E$2:$E$2509,_xlpm.m,IFERROR(_xlfn.XMATCH(C2692,_xlpm.r),IFERROR(_xlfn.XMATCH(VALUE(C2692),_xlpm.r),0)),IF(_xlpm.m=0,"",_xlpm.m+1))</f>
        <v/>
      </c>
      <c r="J2692" s="137" t="inlineStr">
        <is>
          <t>Shopify</t>
        </is>
      </c>
    </row>
    <row r="2693">
      <c r="A2693" s="5" t="inlineStr">
        <is>
          <t>Shopify Stetson México › Stetson Americas</t>
        </is>
      </c>
      <c r="B2693" s="5">
        <f>IF($I2="","",INDEX(Productos!$A:$A,$I2))</f>
        <v/>
      </c>
      <c r="C2693" s="134" t="inlineStr">
        <is>
          <t>SFMZCL-01404867</t>
        </is>
      </c>
      <c r="D2693" s="5">
        <f>IF($I2="","",INDEX(Productos!$B:$B,$I2))</f>
        <v/>
      </c>
      <c r="E2693" s="5">
        <f>IF($I2="","",INDEX(Productos!$H:$H,$I2))</f>
        <v/>
      </c>
      <c r="F2693" s="5">
        <f>IF($I2="","",INDEX(Productos!$I:$I,$I2))</f>
        <v/>
      </c>
      <c r="G2693" s="135" t="n">
        <v>1</v>
      </c>
      <c r="H2693" s="5">
        <f>IF($I2="","",INDEX(Productos!$AG:$AG,$I2))</f>
        <v/>
      </c>
      <c r="I2693" s="136">
        <f>LET(_xlpm.r,Productos!$E$2:$E$2509,_xlpm.m,IFERROR(_xlfn.XMATCH(C2693,_xlpm.r),IFERROR(_xlfn.XMATCH(VALUE(C2693),_xlpm.r),0)),IF(_xlpm.m=0,"",_xlpm.m+1))</f>
        <v/>
      </c>
      <c r="J2693" s="137" t="inlineStr">
        <is>
          <t>Shopify</t>
        </is>
      </c>
    </row>
    <row r="2694">
      <c r="A2694" s="5" t="inlineStr">
        <is>
          <t>Shopify Stetson México › Stetson Americas</t>
        </is>
      </c>
      <c r="B2694" s="5">
        <f>IF($I2="","",INDEX(Productos!$A:$A,$I2))</f>
        <v/>
      </c>
      <c r="C2694" s="134" t="inlineStr">
        <is>
          <t>SFMZCL-01404870</t>
        </is>
      </c>
      <c r="D2694" s="5">
        <f>IF($I2="","",INDEX(Productos!$B:$B,$I2))</f>
        <v/>
      </c>
      <c r="E2694" s="5">
        <f>IF($I2="","",INDEX(Productos!$H:$H,$I2))</f>
        <v/>
      </c>
      <c r="F2694" s="5">
        <f>IF($I2="","",INDEX(Productos!$I:$I,$I2))</f>
        <v/>
      </c>
      <c r="G2694" s="135" t="n">
        <v>1</v>
      </c>
      <c r="H2694" s="5">
        <f>IF($I2="","",INDEX(Productos!$AG:$AG,$I2))</f>
        <v/>
      </c>
      <c r="I2694" s="136">
        <f>LET(_xlpm.r,Productos!$E$2:$E$2509,_xlpm.m,IFERROR(_xlfn.XMATCH(C2694,_xlpm.r),IFERROR(_xlfn.XMATCH(VALUE(C2694),_xlpm.r),0)),IF(_xlpm.m=0,"",_xlpm.m+1))</f>
        <v/>
      </c>
      <c r="J2694" s="137" t="inlineStr">
        <is>
          <t>Shopify</t>
        </is>
      </c>
    </row>
    <row r="2695">
      <c r="A2695" s="5" t="inlineStr">
        <is>
          <t>Shopify Stetson México › Stetson Americas</t>
        </is>
      </c>
      <c r="B2695" s="5">
        <f>IF($I2="","",INDEX(Productos!$A:$A,$I2))</f>
        <v/>
      </c>
      <c r="C2695" s="134" t="inlineStr">
        <is>
          <t>SFMZCL-01404872</t>
        </is>
      </c>
      <c r="D2695" s="5">
        <f>IF($I2="","",INDEX(Productos!$B:$B,$I2))</f>
        <v/>
      </c>
      <c r="E2695" s="5">
        <f>IF($I2="","",INDEX(Productos!$H:$H,$I2))</f>
        <v/>
      </c>
      <c r="F2695" s="5">
        <f>IF($I2="","",INDEX(Productos!$I:$I,$I2))</f>
        <v/>
      </c>
      <c r="G2695" s="135" t="n">
        <v>1</v>
      </c>
      <c r="H2695" s="5">
        <f>IF($I2="","",INDEX(Productos!$AG:$AG,$I2))</f>
        <v/>
      </c>
      <c r="I2695" s="136">
        <f>LET(_xlpm.r,Productos!$E$2:$E$2509,_xlpm.m,IFERROR(_xlfn.XMATCH(C2695,_xlpm.r),IFERROR(_xlfn.XMATCH(VALUE(C2695),_xlpm.r),0)),IF(_xlpm.m=0,"",_xlpm.m+1))</f>
        <v/>
      </c>
      <c r="J2695" s="137" t="inlineStr">
        <is>
          <t>Shopify</t>
        </is>
      </c>
    </row>
    <row r="2696">
      <c r="A2696" s="5" t="inlineStr">
        <is>
          <t>Shopify Stetson México › Stetson Americas</t>
        </is>
      </c>
      <c r="B2696" s="5">
        <f>IF($I2="","",INDEX(Productos!$A:$A,$I2))</f>
        <v/>
      </c>
      <c r="C2696" s="134" t="inlineStr">
        <is>
          <t>SFO250B05260770</t>
        </is>
      </c>
      <c r="D2696" s="5">
        <f>IF($I2="","",INDEX(Productos!$B:$B,$I2))</f>
        <v/>
      </c>
      <c r="E2696" s="5">
        <f>IF($I2="","",INDEX(Productos!$H:$H,$I2))</f>
        <v/>
      </c>
      <c r="F2696" s="5">
        <f>IF($I2="","",INDEX(Productos!$I:$I,$I2))</f>
        <v/>
      </c>
      <c r="G2696" s="135" t="n">
        <v>1</v>
      </c>
      <c r="H2696" s="5">
        <f>IF($I2="","",INDEX(Productos!$AG:$AG,$I2))</f>
        <v/>
      </c>
      <c r="I2696" s="136">
        <f>LET(_xlpm.r,Productos!$E$2:$E$2509,_xlpm.m,IFERROR(_xlfn.XMATCH(C2696,_xlpm.r),IFERROR(_xlfn.XMATCH(VALUE(C2696),_xlpm.r),0)),IF(_xlpm.m=0,"",_xlpm.m+1))</f>
        <v/>
      </c>
      <c r="J2696" s="137" t="inlineStr">
        <is>
          <t>Shopify</t>
        </is>
      </c>
    </row>
    <row r="2697">
      <c r="A2697" s="5" t="inlineStr">
        <is>
          <t>Shopify Stetson México › Stetson Americas</t>
        </is>
      </c>
      <c r="B2697" s="5">
        <f>IF($I2="","",INDEX(Productos!$A:$A,$I2))</f>
        <v/>
      </c>
      <c r="C2697" s="134" t="inlineStr">
        <is>
          <t>SFO250B05260771</t>
        </is>
      </c>
      <c r="D2697" s="5">
        <f>IF($I2="","",INDEX(Productos!$B:$B,$I2))</f>
        <v/>
      </c>
      <c r="E2697" s="5">
        <f>IF($I2="","",INDEX(Productos!$H:$H,$I2))</f>
        <v/>
      </c>
      <c r="F2697" s="5">
        <f>IF($I2="","",INDEX(Productos!$I:$I,$I2))</f>
        <v/>
      </c>
      <c r="G2697" s="135" t="n">
        <v>1</v>
      </c>
      <c r="H2697" s="5">
        <f>IF($I2="","",INDEX(Productos!$AG:$AG,$I2))</f>
        <v/>
      </c>
      <c r="I2697" s="136">
        <f>LET(_xlpm.r,Productos!$E$2:$E$2509,_xlpm.m,IFERROR(_xlfn.XMATCH(C2697,_xlpm.r),IFERROR(_xlfn.XMATCH(VALUE(C2697),_xlpm.r),0)),IF(_xlpm.m=0,"",_xlpm.m+1))</f>
        <v/>
      </c>
      <c r="J2697" s="137" t="inlineStr">
        <is>
          <t>Shopify</t>
        </is>
      </c>
    </row>
    <row r="2698">
      <c r="A2698" s="5" t="inlineStr">
        <is>
          <t>Shopify Stetson México › Stetson Americas</t>
        </is>
      </c>
      <c r="B2698" s="5">
        <f>IF($I2="","",INDEX(Productos!$A:$A,$I2))</f>
        <v/>
      </c>
      <c r="C2698" s="134" t="inlineStr">
        <is>
          <t>SFO250B05260772</t>
        </is>
      </c>
      <c r="D2698" s="5">
        <f>IF($I2="","",INDEX(Productos!$B:$B,$I2))</f>
        <v/>
      </c>
      <c r="E2698" s="5">
        <f>IF($I2="","",INDEX(Productos!$H:$H,$I2))</f>
        <v/>
      </c>
      <c r="F2698" s="5">
        <f>IF($I2="","",INDEX(Productos!$I:$I,$I2))</f>
        <v/>
      </c>
      <c r="G2698" s="135" t="n">
        <v>1</v>
      </c>
      <c r="H2698" s="5">
        <f>IF($I2="","",INDEX(Productos!$AG:$AG,$I2))</f>
        <v/>
      </c>
      <c r="I2698" s="136">
        <f>LET(_xlpm.r,Productos!$E$2:$E$2509,_xlpm.m,IFERROR(_xlfn.XMATCH(C2698,_xlpm.r),IFERROR(_xlfn.XMATCH(VALUE(C2698),_xlpm.r),0)),IF(_xlpm.m=0,"",_xlpm.m+1))</f>
        <v/>
      </c>
      <c r="J2698" s="137" t="inlineStr">
        <is>
          <t>Shopify</t>
        </is>
      </c>
    </row>
    <row r="2699">
      <c r="A2699" s="5" t="inlineStr">
        <is>
          <t>Shopify Stetson México › Stetson Americas</t>
        </is>
      </c>
      <c r="B2699" s="5">
        <f>IF($I2="","",INDEX(Productos!$A:$A,$I2))</f>
        <v/>
      </c>
      <c r="C2699" s="134" t="inlineStr">
        <is>
          <t>SFO250B05266167</t>
        </is>
      </c>
      <c r="D2699" s="5">
        <f>IF($I2="","",INDEX(Productos!$B:$B,$I2))</f>
        <v/>
      </c>
      <c r="E2699" s="5">
        <f>IF($I2="","",INDEX(Productos!$H:$H,$I2))</f>
        <v/>
      </c>
      <c r="F2699" s="5">
        <f>IF($I2="","",INDEX(Productos!$I:$I,$I2))</f>
        <v/>
      </c>
      <c r="G2699" s="135" t="n">
        <v>1</v>
      </c>
      <c r="H2699" s="5">
        <f>IF($I2="","",INDEX(Productos!$AG:$AG,$I2))</f>
        <v/>
      </c>
      <c r="I2699" s="136">
        <f>LET(_xlpm.r,Productos!$E$2:$E$2509,_xlpm.m,IFERROR(_xlfn.XMATCH(C2699,_xlpm.r),IFERROR(_xlfn.XMATCH(VALUE(C2699),_xlpm.r),0)),IF(_xlpm.m=0,"",_xlpm.m+1))</f>
        <v/>
      </c>
      <c r="J2699" s="137" t="inlineStr">
        <is>
          <t>Shopify</t>
        </is>
      </c>
    </row>
    <row r="2700">
      <c r="A2700" s="5" t="inlineStr">
        <is>
          <t>Shopify Stetson México › Stetson Americas</t>
        </is>
      </c>
      <c r="B2700" s="5">
        <f>IF($I2="","",INDEX(Productos!$A:$A,$I2))</f>
        <v/>
      </c>
      <c r="C2700" s="134" t="inlineStr">
        <is>
          <t>SFO250B05266170</t>
        </is>
      </c>
      <c r="D2700" s="5">
        <f>IF($I2="","",INDEX(Productos!$B:$B,$I2))</f>
        <v/>
      </c>
      <c r="E2700" s="5">
        <f>IF($I2="","",INDEX(Productos!$H:$H,$I2))</f>
        <v/>
      </c>
      <c r="F2700" s="5">
        <f>IF($I2="","",INDEX(Productos!$I:$I,$I2))</f>
        <v/>
      </c>
      <c r="G2700" s="135" t="n">
        <v>1</v>
      </c>
      <c r="H2700" s="5">
        <f>IF($I2="","",INDEX(Productos!$AG:$AG,$I2))</f>
        <v/>
      </c>
      <c r="I2700" s="136">
        <f>LET(_xlpm.r,Productos!$E$2:$E$2509,_xlpm.m,IFERROR(_xlfn.XMATCH(C2700,_xlpm.r),IFERROR(_xlfn.XMATCH(VALUE(C2700),_xlpm.r),0)),IF(_xlpm.m=0,"",_xlpm.m+1))</f>
        <v/>
      </c>
      <c r="J2700" s="137" t="inlineStr">
        <is>
          <t>Shopify</t>
        </is>
      </c>
    </row>
    <row r="2701">
      <c r="A2701" s="5" t="inlineStr">
        <is>
          <t>Shopify Stetson México › Stetson Americas</t>
        </is>
      </c>
      <c r="B2701" s="5">
        <f>IF($I2="","",INDEX(Productos!$A:$A,$I2))</f>
        <v/>
      </c>
      <c r="C2701" s="134" t="inlineStr">
        <is>
          <t>SFO250B05266171</t>
        </is>
      </c>
      <c r="D2701" s="5">
        <f>IF($I2="","",INDEX(Productos!$B:$B,$I2))</f>
        <v/>
      </c>
      <c r="E2701" s="5">
        <f>IF($I2="","",INDEX(Productos!$H:$H,$I2))</f>
        <v/>
      </c>
      <c r="F2701" s="5">
        <f>IF($I2="","",INDEX(Productos!$I:$I,$I2))</f>
        <v/>
      </c>
      <c r="G2701" s="135" t="n">
        <v>1</v>
      </c>
      <c r="H2701" s="5">
        <f>IF($I2="","",INDEX(Productos!$AG:$AG,$I2))</f>
        <v/>
      </c>
      <c r="I2701" s="136">
        <f>LET(_xlpm.r,Productos!$E$2:$E$2509,_xlpm.m,IFERROR(_xlfn.XMATCH(C2701,_xlpm.r),IFERROR(_xlfn.XMATCH(VALUE(C2701),_xlpm.r),0)),IF(_xlpm.m=0,"",_xlpm.m+1))</f>
        <v/>
      </c>
      <c r="J2701" s="137" t="inlineStr">
        <is>
          <t>Shopify</t>
        </is>
      </c>
    </row>
    <row r="2702">
      <c r="A2702" s="5" t="inlineStr">
        <is>
          <t>Shopify Stetson México › Stetson Americas</t>
        </is>
      </c>
      <c r="B2702" s="5">
        <f>IF($I2="","",INDEX(Productos!$A:$A,$I2))</f>
        <v/>
      </c>
      <c r="C2702" s="134" t="inlineStr">
        <is>
          <t>SFO250B05266172</t>
        </is>
      </c>
      <c r="D2702" s="5">
        <f>IF($I2="","",INDEX(Productos!$B:$B,$I2))</f>
        <v/>
      </c>
      <c r="E2702" s="5">
        <f>IF($I2="","",INDEX(Productos!$H:$H,$I2))</f>
        <v/>
      </c>
      <c r="F2702" s="5">
        <f>IF($I2="","",INDEX(Productos!$I:$I,$I2))</f>
        <v/>
      </c>
      <c r="G2702" s="135" t="n">
        <v>1</v>
      </c>
      <c r="H2702" s="5">
        <f>IF($I2="","",INDEX(Productos!$AG:$AG,$I2))</f>
        <v/>
      </c>
      <c r="I2702" s="136">
        <f>LET(_xlpm.r,Productos!$E$2:$E$2509,_xlpm.m,IFERROR(_xlfn.XMATCH(C2702,_xlpm.r),IFERROR(_xlfn.XMATCH(VALUE(C2702),_xlpm.r),0)),IF(_xlpm.m=0,"",_xlpm.m+1))</f>
        <v/>
      </c>
      <c r="J2702" s="137" t="inlineStr">
        <is>
          <t>Shopify</t>
        </is>
      </c>
    </row>
    <row r="2703">
      <c r="A2703" s="5" t="inlineStr">
        <is>
          <t>Shopify Stetson México › Stetson Americas</t>
        </is>
      </c>
      <c r="B2703" s="5">
        <f>IF($I2="","",INDEX(Productos!$A:$A,$I2))</f>
        <v/>
      </c>
      <c r="C2703" s="134" t="inlineStr">
        <is>
          <t>SFO250B05266267</t>
        </is>
      </c>
      <c r="D2703" s="5">
        <f>IF($I2="","",INDEX(Productos!$B:$B,$I2))</f>
        <v/>
      </c>
      <c r="E2703" s="5">
        <f>IF($I2="","",INDEX(Productos!$H:$H,$I2))</f>
        <v/>
      </c>
      <c r="F2703" s="5">
        <f>IF($I2="","",INDEX(Productos!$I:$I,$I2))</f>
        <v/>
      </c>
      <c r="G2703" s="135" t="n">
        <v>1</v>
      </c>
      <c r="H2703" s="5">
        <f>IF($I2="","",INDEX(Productos!$AG:$AG,$I2))</f>
        <v/>
      </c>
      <c r="I2703" s="136">
        <f>LET(_xlpm.r,Productos!$E$2:$E$2509,_xlpm.m,IFERROR(_xlfn.XMATCH(C2703,_xlpm.r),IFERROR(_xlfn.XMATCH(VALUE(C2703),_xlpm.r),0)),IF(_xlpm.m=0,"",_xlpm.m+1))</f>
        <v/>
      </c>
      <c r="J2703" s="137" t="inlineStr">
        <is>
          <t>Shopify</t>
        </is>
      </c>
    </row>
    <row r="2704">
      <c r="A2704" s="5" t="inlineStr">
        <is>
          <t>Shopify Stetson México › Stetson Americas</t>
        </is>
      </c>
      <c r="B2704" s="5">
        <f>IF($I2="","",INDEX(Productos!$A:$A,$I2))</f>
        <v/>
      </c>
      <c r="C2704" s="134" t="inlineStr">
        <is>
          <t>SFO250B05266270</t>
        </is>
      </c>
      <c r="D2704" s="5">
        <f>IF($I2="","",INDEX(Productos!$B:$B,$I2))</f>
        <v/>
      </c>
      <c r="E2704" s="5">
        <f>IF($I2="","",INDEX(Productos!$H:$H,$I2))</f>
        <v/>
      </c>
      <c r="F2704" s="5">
        <f>IF($I2="","",INDEX(Productos!$I:$I,$I2))</f>
        <v/>
      </c>
      <c r="G2704" s="135" t="n">
        <v>1</v>
      </c>
      <c r="H2704" s="5">
        <f>IF($I2="","",INDEX(Productos!$AG:$AG,$I2))</f>
        <v/>
      </c>
      <c r="I2704" s="136">
        <f>LET(_xlpm.r,Productos!$E$2:$E$2509,_xlpm.m,IFERROR(_xlfn.XMATCH(C2704,_xlpm.r),IFERROR(_xlfn.XMATCH(VALUE(C2704),_xlpm.r),0)),IF(_xlpm.m=0,"",_xlpm.m+1))</f>
        <v/>
      </c>
      <c r="J2704" s="137" t="inlineStr">
        <is>
          <t>Shopify</t>
        </is>
      </c>
    </row>
    <row r="2705">
      <c r="A2705" s="5" t="inlineStr">
        <is>
          <t>Shopify Stetson México › Stetson Americas</t>
        </is>
      </c>
      <c r="B2705" s="5">
        <f>IF($I2="","",INDEX(Productos!$A:$A,$I2))</f>
        <v/>
      </c>
      <c r="C2705" s="134" t="inlineStr">
        <is>
          <t>SFO250B05266271</t>
        </is>
      </c>
      <c r="D2705" s="5">
        <f>IF($I2="","",INDEX(Productos!$B:$B,$I2))</f>
        <v/>
      </c>
      <c r="E2705" s="5">
        <f>IF($I2="","",INDEX(Productos!$H:$H,$I2))</f>
        <v/>
      </c>
      <c r="F2705" s="5">
        <f>IF($I2="","",INDEX(Productos!$I:$I,$I2))</f>
        <v/>
      </c>
      <c r="G2705" s="135" t="n">
        <v>1</v>
      </c>
      <c r="H2705" s="5">
        <f>IF($I2="","",INDEX(Productos!$AG:$AG,$I2))</f>
        <v/>
      </c>
      <c r="I2705" s="136">
        <f>LET(_xlpm.r,Productos!$E$2:$E$2509,_xlpm.m,IFERROR(_xlfn.XMATCH(C2705,_xlpm.r),IFERROR(_xlfn.XMATCH(VALUE(C2705),_xlpm.r),0)),IF(_xlpm.m=0,"",_xlpm.m+1))</f>
        <v/>
      </c>
      <c r="J2705" s="137" t="inlineStr">
        <is>
          <t>Shopify</t>
        </is>
      </c>
    </row>
    <row r="2706">
      <c r="A2706" s="5" t="inlineStr">
        <is>
          <t>Shopify Stetson México › Stetson Americas</t>
        </is>
      </c>
      <c r="B2706" s="5">
        <f>IF($I2="","",INDEX(Productos!$A:$A,$I2))</f>
        <v/>
      </c>
      <c r="C2706" s="134" t="inlineStr">
        <is>
          <t>SFO250B05266272</t>
        </is>
      </c>
      <c r="D2706" s="5">
        <f>IF($I2="","",INDEX(Productos!$B:$B,$I2))</f>
        <v/>
      </c>
      <c r="E2706" s="5">
        <f>IF($I2="","",INDEX(Productos!$H:$H,$I2))</f>
        <v/>
      </c>
      <c r="F2706" s="5">
        <f>IF($I2="","",INDEX(Productos!$I:$I,$I2))</f>
        <v/>
      </c>
      <c r="G2706" s="135" t="n">
        <v>1</v>
      </c>
      <c r="H2706" s="5">
        <f>IF($I2="","",INDEX(Productos!$AG:$AG,$I2))</f>
        <v/>
      </c>
      <c r="I2706" s="136">
        <f>LET(_xlpm.r,Productos!$E$2:$E$2509,_xlpm.m,IFERROR(_xlfn.XMATCH(C2706,_xlpm.r),IFERROR(_xlfn.XMATCH(VALUE(C2706),_xlpm.r),0)),IF(_xlpm.m=0,"",_xlpm.m+1))</f>
        <v/>
      </c>
      <c r="J2706" s="137" t="inlineStr">
        <is>
          <t>Shopify</t>
        </is>
      </c>
    </row>
    <row r="2707">
      <c r="A2707" s="5" t="inlineStr">
        <is>
          <t>Shopify Stetson México › Stetson Americas</t>
        </is>
      </c>
      <c r="B2707" s="5">
        <f>IF($I2="","",INDEX(Productos!$A:$A,$I2))</f>
        <v/>
      </c>
      <c r="C2707" s="134" t="inlineStr">
        <is>
          <t>SFPALC-01400770</t>
        </is>
      </c>
      <c r="D2707" s="5">
        <f>IF($I2="","",INDEX(Productos!$B:$B,$I2))</f>
        <v/>
      </c>
      <c r="E2707" s="5">
        <f>IF($I2="","",INDEX(Productos!$H:$H,$I2))</f>
        <v/>
      </c>
      <c r="F2707" s="5">
        <f>IF($I2="","",INDEX(Productos!$I:$I,$I2))</f>
        <v/>
      </c>
      <c r="G2707" s="135" t="n">
        <v>2</v>
      </c>
      <c r="H2707" s="5">
        <f>IF($I2="","",INDEX(Productos!$AG:$AG,$I2))</f>
        <v/>
      </c>
      <c r="I2707" s="136">
        <f>LET(_xlpm.r,Productos!$E$2:$E$2509,_xlpm.m,IFERROR(_xlfn.XMATCH(C2707,_xlpm.r),IFERROR(_xlfn.XMATCH(VALUE(C2707),_xlpm.r),0)),IF(_xlpm.m=0,"",_xlpm.m+1))</f>
        <v/>
      </c>
      <c r="J2707" s="137" t="inlineStr">
        <is>
          <t>Shopify</t>
        </is>
      </c>
    </row>
    <row r="2708">
      <c r="A2708" s="5" t="inlineStr">
        <is>
          <t>Shopify Stetson México › Stetson Americas</t>
        </is>
      </c>
      <c r="B2708" s="5">
        <f>IF($I2="","",INDEX(Productos!$A:$A,$I2))</f>
        <v/>
      </c>
      <c r="C2708" s="134" t="inlineStr">
        <is>
          <t>SFPALC-01400771</t>
        </is>
      </c>
      <c r="D2708" s="5">
        <f>IF($I2="","",INDEX(Productos!$B:$B,$I2))</f>
        <v/>
      </c>
      <c r="E2708" s="5">
        <f>IF($I2="","",INDEX(Productos!$H:$H,$I2))</f>
        <v/>
      </c>
      <c r="F2708" s="5">
        <f>IF($I2="","",INDEX(Productos!$I:$I,$I2))</f>
        <v/>
      </c>
      <c r="G2708" s="135" t="n">
        <v>1</v>
      </c>
      <c r="H2708" s="5">
        <f>IF($I2="","",INDEX(Productos!$AG:$AG,$I2))</f>
        <v/>
      </c>
      <c r="I2708" s="136">
        <f>LET(_xlpm.r,Productos!$E$2:$E$2509,_xlpm.m,IFERROR(_xlfn.XMATCH(C2708,_xlpm.r),IFERROR(_xlfn.XMATCH(VALUE(C2708),_xlpm.r),0)),IF(_xlpm.m=0,"",_xlpm.m+1))</f>
        <v/>
      </c>
      <c r="J2708" s="137" t="inlineStr">
        <is>
          <t>Shopify</t>
        </is>
      </c>
    </row>
    <row r="2709">
      <c r="A2709" s="5" t="inlineStr">
        <is>
          <t>Shopify Stetson México › Stetson Americas</t>
        </is>
      </c>
      <c r="B2709" s="5">
        <f>IF($I2="","",INDEX(Productos!$A:$A,$I2))</f>
        <v/>
      </c>
      <c r="C2709" s="134" t="inlineStr">
        <is>
          <t>SFPALC-01400772</t>
        </is>
      </c>
      <c r="D2709" s="5">
        <f>IF($I2="","",INDEX(Productos!$B:$B,$I2))</f>
        <v/>
      </c>
      <c r="E2709" s="5">
        <f>IF($I2="","",INDEX(Productos!$H:$H,$I2))</f>
        <v/>
      </c>
      <c r="F2709" s="5">
        <f>IF($I2="","",INDEX(Productos!$I:$I,$I2))</f>
        <v/>
      </c>
      <c r="G2709" s="135" t="n">
        <v>1</v>
      </c>
      <c r="H2709" s="5">
        <f>IF($I2="","",INDEX(Productos!$AG:$AG,$I2))</f>
        <v/>
      </c>
      <c r="I2709" s="136">
        <f>LET(_xlpm.r,Productos!$E$2:$E$2509,_xlpm.m,IFERROR(_xlfn.XMATCH(C2709,_xlpm.r),IFERROR(_xlfn.XMATCH(VALUE(C2709),_xlpm.r),0)),IF(_xlpm.m=0,"",_xlpm.m+1))</f>
        <v/>
      </c>
      <c r="J2709" s="137" t="inlineStr">
        <is>
          <t>Shopify</t>
        </is>
      </c>
    </row>
    <row r="2710">
      <c r="A2710" s="5" t="inlineStr">
        <is>
          <t>Shopify Stetson México › Stetson Americas</t>
        </is>
      </c>
      <c r="B2710" s="5">
        <f>IF($I2="","",INDEX(Productos!$A:$A,$I2))</f>
        <v/>
      </c>
      <c r="C2710" s="134" t="inlineStr">
        <is>
          <t>SFPALC-01400773</t>
        </is>
      </c>
      <c r="D2710" s="5">
        <f>IF($I2="","",INDEX(Productos!$B:$B,$I2))</f>
        <v/>
      </c>
      <c r="E2710" s="5">
        <f>IF($I2="","",INDEX(Productos!$H:$H,$I2))</f>
        <v/>
      </c>
      <c r="F2710" s="5">
        <f>IF($I2="","",INDEX(Productos!$I:$I,$I2))</f>
        <v/>
      </c>
      <c r="G2710" s="135" t="n">
        <v>1</v>
      </c>
      <c r="H2710" s="5">
        <f>IF($I2="","",INDEX(Productos!$AG:$AG,$I2))</f>
        <v/>
      </c>
      <c r="I2710" s="136">
        <f>LET(_xlpm.r,Productos!$E$2:$E$2509,_xlpm.m,IFERROR(_xlfn.XMATCH(C2710,_xlpm.r),IFERROR(_xlfn.XMATCH(VALUE(C2710),_xlpm.r),0)),IF(_xlpm.m=0,"",_xlpm.m+1))</f>
        <v/>
      </c>
      <c r="J2710" s="137" t="inlineStr">
        <is>
          <t>Shopify</t>
        </is>
      </c>
    </row>
    <row r="2711">
      <c r="A2711" s="5" t="inlineStr">
        <is>
          <t>Shopify Stetson México › Stetson Americas</t>
        </is>
      </c>
      <c r="B2711" s="5">
        <f>IF($I2="","",INDEX(Productos!$A:$A,$I2))</f>
        <v/>
      </c>
      <c r="C2711" s="134" t="inlineStr">
        <is>
          <t>SFPALC-01400774</t>
        </is>
      </c>
      <c r="D2711" s="5">
        <f>IF($I2="","",INDEX(Productos!$B:$B,$I2))</f>
        <v/>
      </c>
      <c r="E2711" s="5">
        <f>IF($I2="","",INDEX(Productos!$H:$H,$I2))</f>
        <v/>
      </c>
      <c r="F2711" s="5">
        <f>IF($I2="","",INDEX(Productos!$I:$I,$I2))</f>
        <v/>
      </c>
      <c r="G2711" s="135" t="n">
        <v>1</v>
      </c>
      <c r="H2711" s="5">
        <f>IF($I2="","",INDEX(Productos!$AG:$AG,$I2))</f>
        <v/>
      </c>
      <c r="I2711" s="136">
        <f>LET(_xlpm.r,Productos!$E$2:$E$2509,_xlpm.m,IFERROR(_xlfn.XMATCH(C2711,_xlpm.r),IFERROR(_xlfn.XMATCH(VALUE(C2711),_xlpm.r),0)),IF(_xlpm.m=0,"",_xlpm.m+1))</f>
        <v/>
      </c>
      <c r="J2711" s="137" t="inlineStr">
        <is>
          <t>Shopify</t>
        </is>
      </c>
    </row>
    <row r="2712">
      <c r="A2712" s="5" t="inlineStr">
        <is>
          <t>Shopify Stetson México › Stetson Americas</t>
        </is>
      </c>
      <c r="B2712" s="5">
        <f>IF($I2="","",INDEX(Productos!$A:$A,$I2))</f>
        <v/>
      </c>
      <c r="C2712" s="134" t="inlineStr">
        <is>
          <t>SFPALC-01406171</t>
        </is>
      </c>
      <c r="D2712" s="5">
        <f>IF($I2="","",INDEX(Productos!$B:$B,$I2))</f>
        <v/>
      </c>
      <c r="E2712" s="5">
        <f>IF($I2="","",INDEX(Productos!$H:$H,$I2))</f>
        <v/>
      </c>
      <c r="F2712" s="5">
        <f>IF($I2="","",INDEX(Productos!$I:$I,$I2))</f>
        <v/>
      </c>
      <c r="G2712" s="135" t="n">
        <v>1</v>
      </c>
      <c r="H2712" s="5">
        <f>IF($I2="","",INDEX(Productos!$AG:$AG,$I2))</f>
        <v/>
      </c>
      <c r="I2712" s="136">
        <f>LET(_xlpm.r,Productos!$E$2:$E$2509,_xlpm.m,IFERROR(_xlfn.XMATCH(C2712,_xlpm.r),IFERROR(_xlfn.XMATCH(VALUE(C2712),_xlpm.r),0)),IF(_xlpm.m=0,"",_xlpm.m+1))</f>
        <v/>
      </c>
      <c r="J2712" s="137" t="inlineStr">
        <is>
          <t>Shopify</t>
        </is>
      </c>
    </row>
    <row r="2713">
      <c r="A2713" s="5" t="inlineStr">
        <is>
          <t>Shopify Stetson México › Stetson Americas</t>
        </is>
      </c>
      <c r="B2713" s="5">
        <f>IF($I2="","",INDEX(Productos!$A:$A,$I2))</f>
        <v/>
      </c>
      <c r="C2713" s="134" t="inlineStr">
        <is>
          <t>SFPALC-01406173</t>
        </is>
      </c>
      <c r="D2713" s="5">
        <f>IF($I2="","",INDEX(Productos!$B:$B,$I2))</f>
        <v/>
      </c>
      <c r="E2713" s="5">
        <f>IF($I2="","",INDEX(Productos!$H:$H,$I2))</f>
        <v/>
      </c>
      <c r="F2713" s="5">
        <f>IF($I2="","",INDEX(Productos!$I:$I,$I2))</f>
        <v/>
      </c>
      <c r="G2713" s="135" t="n">
        <v>2</v>
      </c>
      <c r="H2713" s="5">
        <f>IF($I2="","",INDEX(Productos!$AG:$AG,$I2))</f>
        <v/>
      </c>
      <c r="I2713" s="136">
        <f>LET(_xlpm.r,Productos!$E$2:$E$2509,_xlpm.m,IFERROR(_xlfn.XMATCH(C2713,_xlpm.r),IFERROR(_xlfn.XMATCH(VALUE(C2713),_xlpm.r),0)),IF(_xlpm.m=0,"",_xlpm.m+1))</f>
        <v/>
      </c>
      <c r="J2713" s="137" t="inlineStr">
        <is>
          <t>Shopify</t>
        </is>
      </c>
    </row>
    <row r="2714">
      <c r="A2714" s="5" t="inlineStr">
        <is>
          <t>Shopify Stetson México › Stetson Americas</t>
        </is>
      </c>
      <c r="B2714" s="5">
        <f>IF($I2="","",INDEX(Productos!$A:$A,$I2))</f>
        <v/>
      </c>
      <c r="C2714" s="134" t="inlineStr">
        <is>
          <t>SFPALC-01407273</t>
        </is>
      </c>
      <c r="D2714" s="5">
        <f>IF($I2="","",INDEX(Productos!$B:$B,$I2))</f>
        <v/>
      </c>
      <c r="E2714" s="5">
        <f>IF($I2="","",INDEX(Productos!$H:$H,$I2))</f>
        <v/>
      </c>
      <c r="F2714" s="5">
        <f>IF($I2="","",INDEX(Productos!$I:$I,$I2))</f>
        <v/>
      </c>
      <c r="G2714" s="135" t="n">
        <v>1</v>
      </c>
      <c r="H2714" s="5">
        <f>IF($I2="","",INDEX(Productos!$AG:$AG,$I2))</f>
        <v/>
      </c>
      <c r="I2714" s="136">
        <f>LET(_xlpm.r,Productos!$E$2:$E$2509,_xlpm.m,IFERROR(_xlfn.XMATCH(C2714,_xlpm.r),IFERROR(_xlfn.XMATCH(VALUE(C2714),_xlpm.r),0)),IF(_xlpm.m=0,"",_xlpm.m+1))</f>
        <v/>
      </c>
      <c r="J2714" s="137" t="inlineStr">
        <is>
          <t>Shopify</t>
        </is>
      </c>
    </row>
    <row r="2715">
      <c r="A2715" s="5" t="inlineStr">
        <is>
          <t>Shopify Stetson México › Stetson Americas</t>
        </is>
      </c>
      <c r="B2715" s="5">
        <f>IF($I2="","",INDEX(Productos!$A:$A,$I2))</f>
        <v/>
      </c>
      <c r="C2715" s="134" t="inlineStr">
        <is>
          <t>SFPALC-48400766</t>
        </is>
      </c>
      <c r="D2715" s="5">
        <f>IF($I2="","",INDEX(Productos!$B:$B,$I2))</f>
        <v/>
      </c>
      <c r="E2715" s="5">
        <f>IF($I2="","",INDEX(Productos!$H:$H,$I2))</f>
        <v/>
      </c>
      <c r="F2715" s="5">
        <f>IF($I2="","",INDEX(Productos!$I:$I,$I2))</f>
        <v/>
      </c>
      <c r="G2715" s="135" t="n">
        <v>1</v>
      </c>
      <c r="H2715" s="5">
        <f>IF($I2="","",INDEX(Productos!$AG:$AG,$I2))</f>
        <v/>
      </c>
      <c r="I2715" s="136">
        <f>LET(_xlpm.r,Productos!$E$2:$E$2509,_xlpm.m,IFERROR(_xlfn.XMATCH(C2715,_xlpm.r),IFERROR(_xlfn.XMATCH(VALUE(C2715),_xlpm.r),0)),IF(_xlpm.m=0,"",_xlpm.m+1))</f>
        <v/>
      </c>
      <c r="J2715" s="137" t="inlineStr">
        <is>
          <t>Shopify</t>
        </is>
      </c>
    </row>
    <row r="2716">
      <c r="A2716" s="5" t="inlineStr">
        <is>
          <t>Shopify Stetson México › Stetson Americas</t>
        </is>
      </c>
      <c r="B2716" s="5">
        <f>IF($I2="","",INDEX(Productos!$A:$A,$I2))</f>
        <v/>
      </c>
      <c r="C2716" s="134" t="inlineStr">
        <is>
          <t>SFPALC-48400767</t>
        </is>
      </c>
      <c r="D2716" s="5">
        <f>IF($I2="","",INDEX(Productos!$B:$B,$I2))</f>
        <v/>
      </c>
      <c r="E2716" s="5">
        <f>IF($I2="","",INDEX(Productos!$H:$H,$I2))</f>
        <v/>
      </c>
      <c r="F2716" s="5">
        <f>IF($I2="","",INDEX(Productos!$I:$I,$I2))</f>
        <v/>
      </c>
      <c r="G2716" s="135" t="n">
        <v>1</v>
      </c>
      <c r="H2716" s="5">
        <f>IF($I2="","",INDEX(Productos!$AG:$AG,$I2))</f>
        <v/>
      </c>
      <c r="I2716" s="136">
        <f>LET(_xlpm.r,Productos!$E$2:$E$2509,_xlpm.m,IFERROR(_xlfn.XMATCH(C2716,_xlpm.r),IFERROR(_xlfn.XMATCH(VALUE(C2716),_xlpm.r),0)),IF(_xlpm.m=0,"",_xlpm.m+1))</f>
        <v/>
      </c>
      <c r="J2716" s="137" t="inlineStr">
        <is>
          <t>Shopify</t>
        </is>
      </c>
    </row>
    <row r="2717">
      <c r="A2717" s="5" t="inlineStr">
        <is>
          <t>Shopify Stetson México › Stetson Americas</t>
        </is>
      </c>
      <c r="B2717" s="5">
        <f>IF($I2="","",INDEX(Productos!$A:$A,$I2))</f>
        <v/>
      </c>
      <c r="C2717" s="134" t="inlineStr">
        <is>
          <t>SFPALC-48400772</t>
        </is>
      </c>
      <c r="D2717" s="5">
        <f>IF($I2="","",INDEX(Productos!$B:$B,$I2))</f>
        <v/>
      </c>
      <c r="E2717" s="5">
        <f>IF($I2="","",INDEX(Productos!$H:$H,$I2))</f>
        <v/>
      </c>
      <c r="F2717" s="5">
        <f>IF($I2="","",INDEX(Productos!$I:$I,$I2))</f>
        <v/>
      </c>
      <c r="G2717" s="135" t="n">
        <v>1</v>
      </c>
      <c r="H2717" s="5">
        <f>IF($I2="","",INDEX(Productos!$AG:$AG,$I2))</f>
        <v/>
      </c>
      <c r="I2717" s="136">
        <f>LET(_xlpm.r,Productos!$E$2:$E$2509,_xlpm.m,IFERROR(_xlfn.XMATCH(C2717,_xlpm.r),IFERROR(_xlfn.XMATCH(VALUE(C2717),_xlpm.r),0)),IF(_xlpm.m=0,"",_xlpm.m+1))</f>
        <v/>
      </c>
      <c r="J2717" s="137" t="inlineStr">
        <is>
          <t>Shopify</t>
        </is>
      </c>
    </row>
    <row r="2718">
      <c r="A2718" s="5" t="inlineStr">
        <is>
          <t>Shopify Stetson México › Stetson Americas</t>
        </is>
      </c>
      <c r="B2718" s="5">
        <f>IF($I2="","",INDEX(Productos!$A:$A,$I2))</f>
        <v/>
      </c>
      <c r="C2718" s="134" t="inlineStr">
        <is>
          <t>SFPALC-48400774</t>
        </is>
      </c>
      <c r="D2718" s="5">
        <f>IF($I2="","",INDEX(Productos!$B:$B,$I2))</f>
        <v/>
      </c>
      <c r="E2718" s="5">
        <f>IF($I2="","",INDEX(Productos!$H:$H,$I2))</f>
        <v/>
      </c>
      <c r="F2718" s="5">
        <f>IF($I2="","",INDEX(Productos!$I:$I,$I2))</f>
        <v/>
      </c>
      <c r="G2718" s="135" t="n">
        <v>1</v>
      </c>
      <c r="H2718" s="5">
        <f>IF($I2="","",INDEX(Productos!$AG:$AG,$I2))</f>
        <v/>
      </c>
      <c r="I2718" s="136">
        <f>LET(_xlpm.r,Productos!$E$2:$E$2509,_xlpm.m,IFERROR(_xlfn.XMATCH(C2718,_xlpm.r),IFERROR(_xlfn.XMATCH(VALUE(C2718),_xlpm.r),0)),IF(_xlpm.m=0,"",_xlpm.m+1))</f>
        <v/>
      </c>
      <c r="J2718" s="137" t="inlineStr">
        <is>
          <t>Shopify</t>
        </is>
      </c>
    </row>
    <row r="2719">
      <c r="A2719" s="5" t="inlineStr">
        <is>
          <t>Shopify Stetson México › Stetson Americas</t>
        </is>
      </c>
      <c r="B2719" s="5">
        <f>IF($I2="","",INDEX(Productos!$A:$A,$I2))</f>
        <v/>
      </c>
      <c r="C2719" s="134" t="inlineStr">
        <is>
          <t>SFPRES-48402270</t>
        </is>
      </c>
      <c r="D2719" s="5">
        <f>IF($I2="","",INDEX(Productos!$B:$B,$I2))</f>
        <v/>
      </c>
      <c r="E2719" s="5">
        <f>IF($I2="","",INDEX(Productos!$H:$H,$I2))</f>
        <v/>
      </c>
      <c r="F2719" s="5">
        <f>IF($I2="","",INDEX(Productos!$I:$I,$I2))</f>
        <v/>
      </c>
      <c r="G2719" s="135" t="n">
        <v>1</v>
      </c>
      <c r="H2719" s="5">
        <f>IF($I2="","",INDEX(Productos!$AG:$AG,$I2))</f>
        <v/>
      </c>
      <c r="I2719" s="136">
        <f>LET(_xlpm.r,Productos!$E$2:$E$2509,_xlpm.m,IFERROR(_xlfn.XMATCH(C2719,_xlpm.r),IFERROR(_xlfn.XMATCH(VALUE(C2719),_xlpm.r),0)),IF(_xlpm.m=0,"",_xlpm.m+1))</f>
        <v/>
      </c>
      <c r="J2719" s="137" t="inlineStr">
        <is>
          <t>Shopify</t>
        </is>
      </c>
    </row>
    <row r="2720">
      <c r="A2720" s="5" t="inlineStr">
        <is>
          <t>Shopify Stetson México › Stetson Americas</t>
        </is>
      </c>
      <c r="B2720" s="5">
        <f>IF($I2="","",INDEX(Productos!$A:$A,$I2))</f>
        <v/>
      </c>
      <c r="C2720" s="134" t="inlineStr">
        <is>
          <t>SFPRES-48402271</t>
        </is>
      </c>
      <c r="D2720" s="5">
        <f>IF($I2="","",INDEX(Productos!$B:$B,$I2))</f>
        <v/>
      </c>
      <c r="E2720" s="5">
        <f>IF($I2="","",INDEX(Productos!$H:$H,$I2))</f>
        <v/>
      </c>
      <c r="F2720" s="5">
        <f>IF($I2="","",INDEX(Productos!$I:$I,$I2))</f>
        <v/>
      </c>
      <c r="G2720" s="135" t="n">
        <v>2</v>
      </c>
      <c r="H2720" s="5">
        <f>IF($I2="","",INDEX(Productos!$AG:$AG,$I2))</f>
        <v/>
      </c>
      <c r="I2720" s="136">
        <f>LET(_xlpm.r,Productos!$E$2:$E$2509,_xlpm.m,IFERROR(_xlfn.XMATCH(C2720,_xlpm.r),IFERROR(_xlfn.XMATCH(VALUE(C2720),_xlpm.r),0)),IF(_xlpm.m=0,"",_xlpm.m+1))</f>
        <v/>
      </c>
      <c r="J2720" s="137" t="inlineStr">
        <is>
          <t>Shopify</t>
        </is>
      </c>
    </row>
    <row r="2721">
      <c r="A2721" s="5" t="inlineStr">
        <is>
          <t>Shopify Stetson México › Stetson Americas</t>
        </is>
      </c>
      <c r="B2721" s="5">
        <f>IF($I2="","",INDEX(Productos!$A:$A,$I2))</f>
        <v/>
      </c>
      <c r="C2721" s="134" t="inlineStr">
        <is>
          <t>SFPRES-48402272</t>
        </is>
      </c>
      <c r="D2721" s="5">
        <f>IF($I2="","",INDEX(Productos!$B:$B,$I2))</f>
        <v/>
      </c>
      <c r="E2721" s="5">
        <f>IF($I2="","",INDEX(Productos!$H:$H,$I2))</f>
        <v/>
      </c>
      <c r="F2721" s="5">
        <f>IF($I2="","",INDEX(Productos!$I:$I,$I2))</f>
        <v/>
      </c>
      <c r="G2721" s="135" t="n">
        <v>2</v>
      </c>
      <c r="H2721" s="5">
        <f>IF($I2="","",INDEX(Productos!$AG:$AG,$I2))</f>
        <v/>
      </c>
      <c r="I2721" s="136">
        <f>LET(_xlpm.r,Productos!$E$2:$E$2509,_xlpm.m,IFERROR(_xlfn.XMATCH(C2721,_xlpm.r),IFERROR(_xlfn.XMATCH(VALUE(C2721),_xlpm.r),0)),IF(_xlpm.m=0,"",_xlpm.m+1))</f>
        <v/>
      </c>
      <c r="J2721" s="137" t="inlineStr">
        <is>
          <t>Shopify</t>
        </is>
      </c>
    </row>
    <row r="2722">
      <c r="A2722" s="5" t="inlineStr">
        <is>
          <t>Shopify Stetson México › Stetson Americas</t>
        </is>
      </c>
      <c r="B2722" s="5">
        <f>IF($I2="","",INDEX(Productos!$A:$A,$I2))</f>
        <v/>
      </c>
      <c r="C2722" s="134" t="inlineStr">
        <is>
          <t>SFPRES-48402273</t>
        </is>
      </c>
      <c r="D2722" s="5">
        <f>IF($I2="","",INDEX(Productos!$B:$B,$I2))</f>
        <v/>
      </c>
      <c r="E2722" s="5">
        <f>IF($I2="","",INDEX(Productos!$H:$H,$I2))</f>
        <v/>
      </c>
      <c r="F2722" s="5">
        <f>IF($I2="","",INDEX(Productos!$I:$I,$I2))</f>
        <v/>
      </c>
      <c r="G2722" s="135" t="n">
        <v>1</v>
      </c>
      <c r="H2722" s="5">
        <f>IF($I2="","",INDEX(Productos!$AG:$AG,$I2))</f>
        <v/>
      </c>
      <c r="I2722" s="136">
        <f>LET(_xlpm.r,Productos!$E$2:$E$2509,_xlpm.m,IFERROR(_xlfn.XMATCH(C2722,_xlpm.r),IFERROR(_xlfn.XMATCH(VALUE(C2722),_xlpm.r),0)),IF(_xlpm.m=0,"",_xlpm.m+1))</f>
        <v/>
      </c>
      <c r="J2722" s="137" t="inlineStr">
        <is>
          <t>Shopify</t>
        </is>
      </c>
    </row>
    <row r="2723">
      <c r="A2723" s="5" t="inlineStr">
        <is>
          <t>Shopify Stetson México › Stetson Americas</t>
        </is>
      </c>
      <c r="B2723" s="5">
        <f>IF($I2="","",INDEX(Productos!$A:$A,$I2))</f>
        <v/>
      </c>
      <c r="C2723" s="134" t="inlineStr">
        <is>
          <t>SFPRES-48403470</t>
        </is>
      </c>
      <c r="D2723" s="5">
        <f>IF($I2="","",INDEX(Productos!$B:$B,$I2))</f>
        <v/>
      </c>
      <c r="E2723" s="5">
        <f>IF($I2="","",INDEX(Productos!$H:$H,$I2))</f>
        <v/>
      </c>
      <c r="F2723" s="5">
        <f>IF($I2="","",INDEX(Productos!$I:$I,$I2))</f>
        <v/>
      </c>
      <c r="G2723" s="135" t="n">
        <v>1</v>
      </c>
      <c r="H2723" s="5">
        <f>IF($I2="","",INDEX(Productos!$AG:$AG,$I2))</f>
        <v/>
      </c>
      <c r="I2723" s="136">
        <f>LET(_xlpm.r,Productos!$E$2:$E$2509,_xlpm.m,IFERROR(_xlfn.XMATCH(C2723,_xlpm.r),IFERROR(_xlfn.XMATCH(VALUE(C2723),_xlpm.r),0)),IF(_xlpm.m=0,"",_xlpm.m+1))</f>
        <v/>
      </c>
      <c r="J2723" s="137" t="inlineStr">
        <is>
          <t>Shopify</t>
        </is>
      </c>
    </row>
    <row r="2724">
      <c r="A2724" s="5" t="inlineStr">
        <is>
          <t>Shopify Stetson México › Stetson Americas</t>
        </is>
      </c>
      <c r="B2724" s="5">
        <f>IF($I2="","",INDEX(Productos!$A:$A,$I2))</f>
        <v/>
      </c>
      <c r="C2724" s="134" t="inlineStr">
        <is>
          <t>SFPRES-48403471</t>
        </is>
      </c>
      <c r="D2724" s="5">
        <f>IF($I2="","",INDEX(Productos!$B:$B,$I2))</f>
        <v/>
      </c>
      <c r="E2724" s="5">
        <f>IF($I2="","",INDEX(Productos!$H:$H,$I2))</f>
        <v/>
      </c>
      <c r="F2724" s="5">
        <f>IF($I2="","",INDEX(Productos!$I:$I,$I2))</f>
        <v/>
      </c>
      <c r="G2724" s="135" t="n">
        <v>1</v>
      </c>
      <c r="H2724" s="5">
        <f>IF($I2="","",INDEX(Productos!$AG:$AG,$I2))</f>
        <v/>
      </c>
      <c r="I2724" s="136">
        <f>LET(_xlpm.r,Productos!$E$2:$E$2509,_xlpm.m,IFERROR(_xlfn.XMATCH(C2724,_xlpm.r),IFERROR(_xlfn.XMATCH(VALUE(C2724),_xlpm.r),0)),IF(_xlpm.m=0,"",_xlpm.m+1))</f>
        <v/>
      </c>
      <c r="J2724" s="137" t="inlineStr">
        <is>
          <t>Shopify</t>
        </is>
      </c>
    </row>
    <row r="2725">
      <c r="A2725" s="5" t="inlineStr">
        <is>
          <t>Shopify Stetson México › Stetson Americas</t>
        </is>
      </c>
      <c r="B2725" s="5">
        <f>IF($I2="","",INDEX(Productos!$A:$A,$I2))</f>
        <v/>
      </c>
      <c r="C2725" s="134" t="inlineStr">
        <is>
          <t>SFPRES-48403472</t>
        </is>
      </c>
      <c r="D2725" s="5">
        <f>IF($I2="","",INDEX(Productos!$B:$B,$I2))</f>
        <v/>
      </c>
      <c r="E2725" s="5">
        <f>IF($I2="","",INDEX(Productos!$H:$H,$I2))</f>
        <v/>
      </c>
      <c r="F2725" s="5">
        <f>IF($I2="","",INDEX(Productos!$I:$I,$I2))</f>
        <v/>
      </c>
      <c r="G2725" s="135" t="n">
        <v>2</v>
      </c>
      <c r="H2725" s="5">
        <f>IF($I2="","",INDEX(Productos!$AG:$AG,$I2))</f>
        <v/>
      </c>
      <c r="I2725" s="136">
        <f>LET(_xlpm.r,Productos!$E$2:$E$2509,_xlpm.m,IFERROR(_xlfn.XMATCH(C2725,_xlpm.r),IFERROR(_xlfn.XMATCH(VALUE(C2725),_xlpm.r),0)),IF(_xlpm.m=0,"",_xlpm.m+1))</f>
        <v/>
      </c>
      <c r="J2725" s="137" t="inlineStr">
        <is>
          <t>Shopify</t>
        </is>
      </c>
    </row>
    <row r="2726">
      <c r="A2726" s="5" t="inlineStr">
        <is>
          <t>Shopify Stetson México › Stetson Americas</t>
        </is>
      </c>
      <c r="B2726" s="5">
        <f>IF($I2="","",INDEX(Productos!$A:$A,$I2))</f>
        <v/>
      </c>
      <c r="C2726" s="134" t="inlineStr">
        <is>
          <t>SFPRES-48406172</t>
        </is>
      </c>
      <c r="D2726" s="5">
        <f>IF($I2="","",INDEX(Productos!$B:$B,$I2))</f>
        <v/>
      </c>
      <c r="E2726" s="5">
        <f>IF($I2="","",INDEX(Productos!$H:$H,$I2))</f>
        <v/>
      </c>
      <c r="F2726" s="5">
        <f>IF($I2="","",INDEX(Productos!$I:$I,$I2))</f>
        <v/>
      </c>
      <c r="G2726" s="135" t="n">
        <v>2</v>
      </c>
      <c r="H2726" s="5">
        <f>IF($I2="","",INDEX(Productos!$AG:$AG,$I2))</f>
        <v/>
      </c>
      <c r="I2726" s="136">
        <f>LET(_xlpm.r,Productos!$E$2:$E$2509,_xlpm.m,IFERROR(_xlfn.XMATCH(C2726,_xlpm.r),IFERROR(_xlfn.XMATCH(VALUE(C2726),_xlpm.r),0)),IF(_xlpm.m=0,"",_xlpm.m+1))</f>
        <v/>
      </c>
      <c r="J2726" s="137" t="inlineStr">
        <is>
          <t>Shopify</t>
        </is>
      </c>
    </row>
    <row r="2727">
      <c r="A2727" s="5" t="inlineStr">
        <is>
          <t>Shopify Stetson México › Stetson Americas</t>
        </is>
      </c>
      <c r="B2727" s="5">
        <f>IF($I2="","",INDEX(Productos!$A:$A,$I2))</f>
        <v/>
      </c>
      <c r="C2727" s="134" t="inlineStr">
        <is>
          <t>SFR160-01400770</t>
        </is>
      </c>
      <c r="D2727" s="5">
        <f>IF($I2="","",INDEX(Productos!$B:$B,$I2))</f>
        <v/>
      </c>
      <c r="E2727" s="5">
        <f>IF($I2="","",INDEX(Productos!$H:$H,$I2))</f>
        <v/>
      </c>
      <c r="F2727" s="5">
        <f>IF($I2="","",INDEX(Productos!$I:$I,$I2))</f>
        <v/>
      </c>
      <c r="G2727" s="135" t="n">
        <v>1</v>
      </c>
      <c r="H2727" s="5">
        <f>IF($I2="","",INDEX(Productos!$AG:$AG,$I2))</f>
        <v/>
      </c>
      <c r="I2727" s="136">
        <f>LET(_xlpm.r,Productos!$E$2:$E$2509,_xlpm.m,IFERROR(_xlfn.XMATCH(C2727,_xlpm.r),IFERROR(_xlfn.XMATCH(VALUE(C2727),_xlpm.r),0)),IF(_xlpm.m=0,"",_xlpm.m+1))</f>
        <v/>
      </c>
      <c r="J2727" s="137" t="inlineStr">
        <is>
          <t>Shopify</t>
        </is>
      </c>
    </row>
    <row r="2728">
      <c r="A2728" s="5" t="inlineStr">
        <is>
          <t>Shopify Stetson México › Stetson Americas</t>
        </is>
      </c>
      <c r="B2728" s="5">
        <f>IF($I2="","",INDEX(Productos!$A:$A,$I2))</f>
        <v/>
      </c>
      <c r="C2728" s="134" t="inlineStr">
        <is>
          <t>SFR160-01400771</t>
        </is>
      </c>
      <c r="D2728" s="5">
        <f>IF($I2="","",INDEX(Productos!$B:$B,$I2))</f>
        <v/>
      </c>
      <c r="E2728" s="5">
        <f>IF($I2="","",INDEX(Productos!$H:$H,$I2))</f>
        <v/>
      </c>
      <c r="F2728" s="5">
        <f>IF($I2="","",INDEX(Productos!$I:$I,$I2))</f>
        <v/>
      </c>
      <c r="G2728" s="135" t="n">
        <v>1</v>
      </c>
      <c r="H2728" s="5">
        <f>IF($I2="","",INDEX(Productos!$AG:$AG,$I2))</f>
        <v/>
      </c>
      <c r="I2728" s="136">
        <f>LET(_xlpm.r,Productos!$E$2:$E$2509,_xlpm.m,IFERROR(_xlfn.XMATCH(C2728,_xlpm.r),IFERROR(_xlfn.XMATCH(VALUE(C2728),_xlpm.r),0)),IF(_xlpm.m=0,"",_xlpm.m+1))</f>
        <v/>
      </c>
      <c r="J2728" s="137" t="inlineStr">
        <is>
          <t>Shopify</t>
        </is>
      </c>
    </row>
    <row r="2729">
      <c r="A2729" s="5" t="inlineStr">
        <is>
          <t>Shopify Stetson México › Stetson Americas</t>
        </is>
      </c>
      <c r="B2729" s="5">
        <f>IF($I2="","",INDEX(Productos!$A:$A,$I2))</f>
        <v/>
      </c>
      <c r="C2729" s="134" t="inlineStr">
        <is>
          <t>SFR160-01400774</t>
        </is>
      </c>
      <c r="D2729" s="5">
        <f>IF($I2="","",INDEX(Productos!$B:$B,$I2))</f>
        <v/>
      </c>
      <c r="E2729" s="5">
        <f>IF($I2="","",INDEX(Productos!$H:$H,$I2))</f>
        <v/>
      </c>
      <c r="F2729" s="5">
        <f>IF($I2="","",INDEX(Productos!$I:$I,$I2))</f>
        <v/>
      </c>
      <c r="G2729" s="135" t="n">
        <v>2</v>
      </c>
      <c r="H2729" s="5">
        <f>IF($I2="","",INDEX(Productos!$AG:$AG,$I2))</f>
        <v/>
      </c>
      <c r="I2729" s="136">
        <f>LET(_xlpm.r,Productos!$E$2:$E$2509,_xlpm.m,IFERROR(_xlfn.XMATCH(C2729,_xlpm.r),IFERROR(_xlfn.XMATCH(VALUE(C2729),_xlpm.r),0)),IF(_xlpm.m=0,"",_xlpm.m+1))</f>
        <v/>
      </c>
      <c r="J2729" s="137" t="inlineStr">
        <is>
          <t>Shopify</t>
        </is>
      </c>
    </row>
    <row r="2730">
      <c r="A2730" s="5" t="inlineStr">
        <is>
          <t>Shopify Stetson México › Stetson Americas</t>
        </is>
      </c>
      <c r="B2730" s="5">
        <f>IF($I2="","",INDEX(Productos!$A:$A,$I2))</f>
        <v/>
      </c>
      <c r="C2730" s="134" t="inlineStr">
        <is>
          <t>SFR160-01402271</t>
        </is>
      </c>
      <c r="D2730" s="5">
        <f>IF($I2="","",INDEX(Productos!$B:$B,$I2))</f>
        <v/>
      </c>
      <c r="E2730" s="5">
        <f>IF($I2="","",INDEX(Productos!$H:$H,$I2))</f>
        <v/>
      </c>
      <c r="F2730" s="5">
        <f>IF($I2="","",INDEX(Productos!$I:$I,$I2))</f>
        <v/>
      </c>
      <c r="G2730" s="135" t="n">
        <v>1</v>
      </c>
      <c r="H2730" s="5">
        <f>IF($I2="","",INDEX(Productos!$AG:$AG,$I2))</f>
        <v/>
      </c>
      <c r="I2730" s="136">
        <f>LET(_xlpm.r,Productos!$E$2:$E$2509,_xlpm.m,IFERROR(_xlfn.XMATCH(C2730,_xlpm.r),IFERROR(_xlfn.XMATCH(VALUE(C2730),_xlpm.r),0)),IF(_xlpm.m=0,"",_xlpm.m+1))</f>
        <v/>
      </c>
      <c r="J2730" s="137" t="inlineStr">
        <is>
          <t>Shopify</t>
        </is>
      </c>
    </row>
    <row r="2731">
      <c r="A2731" s="5" t="inlineStr">
        <is>
          <t>Shopify Stetson México › Stetson Americas</t>
        </is>
      </c>
      <c r="B2731" s="5">
        <f>IF($I2="","",INDEX(Productos!$A:$A,$I2))</f>
        <v/>
      </c>
      <c r="C2731" s="134" t="inlineStr">
        <is>
          <t>SFR160-01403571</t>
        </is>
      </c>
      <c r="D2731" s="5">
        <f>IF($I2="","",INDEX(Productos!$B:$B,$I2))</f>
        <v/>
      </c>
      <c r="E2731" s="5">
        <f>IF($I2="","",INDEX(Productos!$H:$H,$I2))</f>
        <v/>
      </c>
      <c r="F2731" s="5">
        <f>IF($I2="","",INDEX(Productos!$I:$I,$I2))</f>
        <v/>
      </c>
      <c r="G2731" s="135" t="n">
        <v>1</v>
      </c>
      <c r="H2731" s="5">
        <f>IF($I2="","",INDEX(Productos!$AG:$AG,$I2))</f>
        <v/>
      </c>
      <c r="I2731" s="136">
        <f>LET(_xlpm.r,Productos!$E$2:$E$2509,_xlpm.m,IFERROR(_xlfn.XMATCH(C2731,_xlpm.r),IFERROR(_xlfn.XMATCH(VALUE(C2731),_xlpm.r),0)),IF(_xlpm.m=0,"",_xlpm.m+1))</f>
        <v/>
      </c>
      <c r="J2731" s="137" t="inlineStr">
        <is>
          <t>Shopify</t>
        </is>
      </c>
    </row>
    <row r="2732">
      <c r="A2732" s="5" t="inlineStr">
        <is>
          <t>Shopify Stetson México › Stetson Americas</t>
        </is>
      </c>
      <c r="B2732" s="5">
        <f>IF($I2="","",INDEX(Productos!$A:$A,$I2))</f>
        <v/>
      </c>
      <c r="C2732" s="134" t="inlineStr">
        <is>
          <t>SFR160-01406170</t>
        </is>
      </c>
      <c r="D2732" s="5">
        <f>IF($I2="","",INDEX(Productos!$B:$B,$I2))</f>
        <v/>
      </c>
      <c r="E2732" s="5">
        <f>IF($I2="","",INDEX(Productos!$H:$H,$I2))</f>
        <v/>
      </c>
      <c r="F2732" s="5">
        <f>IF($I2="","",INDEX(Productos!$I:$I,$I2))</f>
        <v/>
      </c>
      <c r="G2732" s="135" t="n">
        <v>1</v>
      </c>
      <c r="H2732" s="5">
        <f>IF($I2="","",INDEX(Productos!$AG:$AG,$I2))</f>
        <v/>
      </c>
      <c r="I2732" s="136">
        <f>LET(_xlpm.r,Productos!$E$2:$E$2509,_xlpm.m,IFERROR(_xlfn.XMATCH(C2732,_xlpm.r),IFERROR(_xlfn.XMATCH(VALUE(C2732),_xlpm.r),0)),IF(_xlpm.m=0,"",_xlpm.m+1))</f>
        <v/>
      </c>
      <c r="J2732" s="137" t="inlineStr">
        <is>
          <t>Shopify</t>
        </is>
      </c>
    </row>
    <row r="2733">
      <c r="A2733" s="5" t="inlineStr">
        <is>
          <t>Shopify Stetson México › Stetson Americas</t>
        </is>
      </c>
      <c r="B2733" s="5">
        <f>IF($I2="","",INDEX(Productos!$A:$A,$I2))</f>
        <v/>
      </c>
      <c r="C2733" s="134" t="inlineStr">
        <is>
          <t>SFR160-01406171</t>
        </is>
      </c>
      <c r="D2733" s="5">
        <f>IF($I2="","",INDEX(Productos!$B:$B,$I2))</f>
        <v/>
      </c>
      <c r="E2733" s="5">
        <f>IF($I2="","",INDEX(Productos!$H:$H,$I2))</f>
        <v/>
      </c>
      <c r="F2733" s="5">
        <f>IF($I2="","",INDEX(Productos!$I:$I,$I2))</f>
        <v/>
      </c>
      <c r="G2733" s="135" t="n">
        <v>1</v>
      </c>
      <c r="H2733" s="5">
        <f>IF($I2="","",INDEX(Productos!$AG:$AG,$I2))</f>
        <v/>
      </c>
      <c r="I2733" s="136">
        <f>LET(_xlpm.r,Productos!$E$2:$E$2509,_xlpm.m,IFERROR(_xlfn.XMATCH(C2733,_xlpm.r),IFERROR(_xlfn.XMATCH(VALUE(C2733),_xlpm.r),0)),IF(_xlpm.m=0,"",_xlpm.m+1))</f>
        <v/>
      </c>
      <c r="J2733" s="137" t="inlineStr">
        <is>
          <t>Shopify</t>
        </is>
      </c>
    </row>
    <row r="2734">
      <c r="A2734" s="5" t="inlineStr">
        <is>
          <t>Shopify Stetson México › Stetson Americas</t>
        </is>
      </c>
      <c r="B2734" s="5">
        <f>IF($I2="","",INDEX(Productos!$A:$A,$I2))</f>
        <v/>
      </c>
      <c r="C2734" s="134" t="inlineStr">
        <is>
          <t>SFR160-01406173</t>
        </is>
      </c>
      <c r="D2734" s="5">
        <f>IF($I2="","",INDEX(Productos!$B:$B,$I2))</f>
        <v/>
      </c>
      <c r="E2734" s="5">
        <f>IF($I2="","",INDEX(Productos!$H:$H,$I2))</f>
        <v/>
      </c>
      <c r="F2734" s="5">
        <f>IF($I2="","",INDEX(Productos!$I:$I,$I2))</f>
        <v/>
      </c>
      <c r="G2734" s="135" t="n">
        <v>2</v>
      </c>
      <c r="H2734" s="5">
        <f>IF($I2="","",INDEX(Productos!$AG:$AG,$I2))</f>
        <v/>
      </c>
      <c r="I2734" s="136">
        <f>LET(_xlpm.r,Productos!$E$2:$E$2509,_xlpm.m,IFERROR(_xlfn.XMATCH(C2734,_xlpm.r),IFERROR(_xlfn.XMATCH(VALUE(C2734),_xlpm.r),0)),IF(_xlpm.m=0,"",_xlpm.m+1))</f>
        <v/>
      </c>
      <c r="J2734" s="137" t="inlineStr">
        <is>
          <t>Shopify</t>
        </is>
      </c>
    </row>
    <row r="2735">
      <c r="A2735" s="5" t="inlineStr">
        <is>
          <t>Shopify Stetson México › Stetson Americas</t>
        </is>
      </c>
      <c r="B2735" s="5">
        <f>IF($I2="","",INDEX(Productos!$A:$A,$I2))</f>
        <v/>
      </c>
      <c r="C2735" s="134" t="inlineStr">
        <is>
          <t>SFRN30-01402270</t>
        </is>
      </c>
      <c r="D2735" s="5">
        <f>IF($I2="","",INDEX(Productos!$B:$B,$I2))</f>
        <v/>
      </c>
      <c r="E2735" s="5">
        <f>IF($I2="","",INDEX(Productos!$H:$H,$I2))</f>
        <v/>
      </c>
      <c r="F2735" s="5">
        <f>IF($I2="","",INDEX(Productos!$I:$I,$I2))</f>
        <v/>
      </c>
      <c r="G2735" s="135" t="n">
        <v>2</v>
      </c>
      <c r="H2735" s="5">
        <f>IF($I2="","",INDEX(Productos!$AG:$AG,$I2))</f>
        <v/>
      </c>
      <c r="I2735" s="136">
        <f>LET(_xlpm.r,Productos!$E$2:$E$2509,_xlpm.m,IFERROR(_xlfn.XMATCH(C2735,_xlpm.r),IFERROR(_xlfn.XMATCH(VALUE(C2735),_xlpm.r),0)),IF(_xlpm.m=0,"",_xlpm.m+1))</f>
        <v/>
      </c>
      <c r="J2735" s="137" t="inlineStr">
        <is>
          <t>Shopify</t>
        </is>
      </c>
    </row>
    <row r="2736">
      <c r="A2736" s="5" t="inlineStr">
        <is>
          <t>Shopify Stetson México › Stetson Americas</t>
        </is>
      </c>
      <c r="B2736" s="5">
        <f>IF($I2="","",INDEX(Productos!$A:$A,$I2))</f>
        <v/>
      </c>
      <c r="C2736" s="134" t="inlineStr">
        <is>
          <t>SFRN30-01402271</t>
        </is>
      </c>
      <c r="D2736" s="5">
        <f>IF($I2="","",INDEX(Productos!$B:$B,$I2))</f>
        <v/>
      </c>
      <c r="E2736" s="5">
        <f>IF($I2="","",INDEX(Productos!$H:$H,$I2))</f>
        <v/>
      </c>
      <c r="F2736" s="5">
        <f>IF($I2="","",INDEX(Productos!$I:$I,$I2))</f>
        <v/>
      </c>
      <c r="G2736" s="135" t="n">
        <v>1</v>
      </c>
      <c r="H2736" s="5">
        <f>IF($I2="","",INDEX(Productos!$AG:$AG,$I2))</f>
        <v/>
      </c>
      <c r="I2736" s="136">
        <f>LET(_xlpm.r,Productos!$E$2:$E$2509,_xlpm.m,IFERROR(_xlfn.XMATCH(C2736,_xlpm.r),IFERROR(_xlfn.XMATCH(VALUE(C2736),_xlpm.r),0)),IF(_xlpm.m=0,"",_xlpm.m+1))</f>
        <v/>
      </c>
      <c r="J2736" s="137" t="inlineStr">
        <is>
          <t>Shopify</t>
        </is>
      </c>
    </row>
    <row r="2737">
      <c r="A2737" s="5" t="inlineStr">
        <is>
          <t>Shopify Stetson México › Stetson Americas</t>
        </is>
      </c>
      <c r="B2737" s="5">
        <f>IF($I2="","",INDEX(Productos!$A:$A,$I2))</f>
        <v/>
      </c>
      <c r="C2737" s="134" t="inlineStr">
        <is>
          <t>SFRN30-01402272</t>
        </is>
      </c>
      <c r="D2737" s="5">
        <f>IF($I2="","",INDEX(Productos!$B:$B,$I2))</f>
        <v/>
      </c>
      <c r="E2737" s="5">
        <f>IF($I2="","",INDEX(Productos!$H:$H,$I2))</f>
        <v/>
      </c>
      <c r="F2737" s="5">
        <f>IF($I2="","",INDEX(Productos!$I:$I,$I2))</f>
        <v/>
      </c>
      <c r="G2737" s="135" t="n">
        <v>2</v>
      </c>
      <c r="H2737" s="5">
        <f>IF($I2="","",INDEX(Productos!$AG:$AG,$I2))</f>
        <v/>
      </c>
      <c r="I2737" s="136">
        <f>LET(_xlpm.r,Productos!$E$2:$E$2509,_xlpm.m,IFERROR(_xlfn.XMATCH(C2737,_xlpm.r),IFERROR(_xlfn.XMATCH(VALUE(C2737),_xlpm.r),0)),IF(_xlpm.m=0,"",_xlpm.m+1))</f>
        <v/>
      </c>
      <c r="J2737" s="137" t="inlineStr">
        <is>
          <t>Shopify</t>
        </is>
      </c>
    </row>
    <row r="2738">
      <c r="A2738" s="5" t="inlineStr">
        <is>
          <t>Shopify Stetson México › Stetson Americas</t>
        </is>
      </c>
      <c r="B2738" s="5">
        <f>IF($I2="","",INDEX(Productos!$A:$A,$I2))</f>
        <v/>
      </c>
      <c r="C2738" s="134" t="inlineStr">
        <is>
          <t>SFRN30-01402273</t>
        </is>
      </c>
      <c r="D2738" s="5">
        <f>IF($I2="","",INDEX(Productos!$B:$B,$I2))</f>
        <v/>
      </c>
      <c r="E2738" s="5">
        <f>IF($I2="","",INDEX(Productos!$H:$H,$I2))</f>
        <v/>
      </c>
      <c r="F2738" s="5">
        <f>IF($I2="","",INDEX(Productos!$I:$I,$I2))</f>
        <v/>
      </c>
      <c r="G2738" s="135" t="n">
        <v>2</v>
      </c>
      <c r="H2738" s="5">
        <f>IF($I2="","",INDEX(Productos!$AG:$AG,$I2))</f>
        <v/>
      </c>
      <c r="I2738" s="136">
        <f>LET(_xlpm.r,Productos!$E$2:$E$2509,_xlpm.m,IFERROR(_xlfn.XMATCH(C2738,_xlpm.r),IFERROR(_xlfn.XMATCH(VALUE(C2738),_xlpm.r),0)),IF(_xlpm.m=0,"",_xlpm.m+1))</f>
        <v/>
      </c>
      <c r="J2738" s="137" t="inlineStr">
        <is>
          <t>Shopify</t>
        </is>
      </c>
    </row>
    <row r="2739">
      <c r="A2739" s="5" t="inlineStr">
        <is>
          <t>Shopify Stetson México › Stetson Americas</t>
        </is>
      </c>
      <c r="B2739" s="5">
        <f>IF($I2="","",INDEX(Productos!$A:$A,$I2))</f>
        <v/>
      </c>
      <c r="C2739" s="134" t="inlineStr">
        <is>
          <t>SFRNCH-01400772</t>
        </is>
      </c>
      <c r="D2739" s="5">
        <f>IF($I2="","",INDEX(Productos!$B:$B,$I2))</f>
        <v/>
      </c>
      <c r="E2739" s="5">
        <f>IF($I2="","",INDEX(Productos!$H:$H,$I2))</f>
        <v/>
      </c>
      <c r="F2739" s="5">
        <f>IF($I2="","",INDEX(Productos!$I:$I,$I2))</f>
        <v/>
      </c>
      <c r="G2739" s="135" t="n">
        <v>1</v>
      </c>
      <c r="H2739" s="5">
        <f>IF($I2="","",INDEX(Productos!$AG:$AG,$I2))</f>
        <v/>
      </c>
      <c r="I2739" s="136">
        <f>LET(_xlpm.r,Productos!$E$2:$E$2509,_xlpm.m,IFERROR(_xlfn.XMATCH(C2739,_xlpm.r),IFERROR(_xlfn.XMATCH(VALUE(C2739),_xlpm.r),0)),IF(_xlpm.m=0,"",_xlpm.m+1))</f>
        <v/>
      </c>
      <c r="J2739" s="137" t="inlineStr">
        <is>
          <t>Shopify</t>
        </is>
      </c>
    </row>
    <row r="2740">
      <c r="A2740" s="5" t="inlineStr">
        <is>
          <t>Shopify Stetson México › Stetson Americas</t>
        </is>
      </c>
      <c r="B2740" s="5">
        <f>IF($I2="","",INDEX(Productos!$A:$A,$I2))</f>
        <v/>
      </c>
      <c r="C2740" s="134" t="inlineStr">
        <is>
          <t>SFRNCH-01400773</t>
        </is>
      </c>
      <c r="D2740" s="5">
        <f>IF($I2="","",INDEX(Productos!$B:$B,$I2))</f>
        <v/>
      </c>
      <c r="E2740" s="5">
        <f>IF($I2="","",INDEX(Productos!$H:$H,$I2))</f>
        <v/>
      </c>
      <c r="F2740" s="5">
        <f>IF($I2="","",INDEX(Productos!$I:$I,$I2))</f>
        <v/>
      </c>
      <c r="G2740" s="135" t="n">
        <v>1</v>
      </c>
      <c r="H2740" s="5">
        <f>IF($I2="","",INDEX(Productos!$AG:$AG,$I2))</f>
        <v/>
      </c>
      <c r="I2740" s="136">
        <f>LET(_xlpm.r,Productos!$E$2:$E$2509,_xlpm.m,IFERROR(_xlfn.XMATCH(C2740,_xlpm.r),IFERROR(_xlfn.XMATCH(VALUE(C2740),_xlpm.r),0)),IF(_xlpm.m=0,"",_xlpm.m+1))</f>
        <v/>
      </c>
      <c r="J2740" s="137" t="inlineStr">
        <is>
          <t>Shopify</t>
        </is>
      </c>
    </row>
    <row r="2741">
      <c r="A2741" s="5" t="inlineStr">
        <is>
          <t>Shopify Stetson México › Stetson Americas</t>
        </is>
      </c>
      <c r="B2741" s="5">
        <f>IF($I2="","",INDEX(Productos!$A:$A,$I2))</f>
        <v/>
      </c>
      <c r="C2741" s="134" t="inlineStr">
        <is>
          <t>SFRNCH-01400775</t>
        </is>
      </c>
      <c r="D2741" s="5">
        <f>IF($I2="","",INDEX(Productos!$B:$B,$I2))</f>
        <v/>
      </c>
      <c r="E2741" s="5">
        <f>IF($I2="","",INDEX(Productos!$H:$H,$I2))</f>
        <v/>
      </c>
      <c r="F2741" s="5">
        <f>IF($I2="","",INDEX(Productos!$I:$I,$I2))</f>
        <v/>
      </c>
      <c r="G2741" s="135" t="n">
        <v>1</v>
      </c>
      <c r="H2741" s="5">
        <f>IF($I2="","",INDEX(Productos!$AG:$AG,$I2))</f>
        <v/>
      </c>
      <c r="I2741" s="136">
        <f>LET(_xlpm.r,Productos!$E$2:$E$2509,_xlpm.m,IFERROR(_xlfn.XMATCH(C2741,_xlpm.r),IFERROR(_xlfn.XMATCH(VALUE(C2741),_xlpm.r),0)),IF(_xlpm.m=0,"",_xlpm.m+1))</f>
        <v/>
      </c>
      <c r="J2741" s="137" t="inlineStr">
        <is>
          <t>Shopify</t>
        </is>
      </c>
    </row>
    <row r="2742">
      <c r="A2742" s="5" t="inlineStr">
        <is>
          <t>Shopify Stetson México › Stetson Americas</t>
        </is>
      </c>
      <c r="B2742" s="5">
        <f>IF($I2="","",INDEX(Productos!$A:$A,$I2))</f>
        <v/>
      </c>
      <c r="C2742" s="134" t="inlineStr">
        <is>
          <t>SFRNCH-01402267</t>
        </is>
      </c>
      <c r="D2742" s="5">
        <f>IF($I2="","",INDEX(Productos!$B:$B,$I2))</f>
        <v/>
      </c>
      <c r="E2742" s="5">
        <f>IF($I2="","",INDEX(Productos!$H:$H,$I2))</f>
        <v/>
      </c>
      <c r="F2742" s="5">
        <f>IF($I2="","",INDEX(Productos!$I:$I,$I2))</f>
        <v/>
      </c>
      <c r="G2742" s="135" t="n">
        <v>1</v>
      </c>
      <c r="H2742" s="5">
        <f>IF($I2="","",INDEX(Productos!$AG:$AG,$I2))</f>
        <v/>
      </c>
      <c r="I2742" s="136">
        <f>LET(_xlpm.r,Productos!$E$2:$E$2509,_xlpm.m,IFERROR(_xlfn.XMATCH(C2742,_xlpm.r),IFERROR(_xlfn.XMATCH(VALUE(C2742),_xlpm.r),0)),IF(_xlpm.m=0,"",_xlpm.m+1))</f>
        <v/>
      </c>
      <c r="J2742" s="137" t="inlineStr">
        <is>
          <t>Shopify</t>
        </is>
      </c>
    </row>
    <row r="2743">
      <c r="A2743" s="5" t="inlineStr">
        <is>
          <t>Shopify Stetson México › Stetson Americas</t>
        </is>
      </c>
      <c r="B2743" s="5">
        <f>IF($I2="","",INDEX(Productos!$A:$A,$I2))</f>
        <v/>
      </c>
      <c r="C2743" s="134" t="inlineStr">
        <is>
          <t>SFRNCH-01402272</t>
        </is>
      </c>
      <c r="D2743" s="5">
        <f>IF($I2="","",INDEX(Productos!$B:$B,$I2))</f>
        <v/>
      </c>
      <c r="E2743" s="5">
        <f>IF($I2="","",INDEX(Productos!$H:$H,$I2))</f>
        <v/>
      </c>
      <c r="F2743" s="5">
        <f>IF($I2="","",INDEX(Productos!$I:$I,$I2))</f>
        <v/>
      </c>
      <c r="G2743" s="135" t="n">
        <v>1</v>
      </c>
      <c r="H2743" s="5">
        <f>IF($I2="","",INDEX(Productos!$AG:$AG,$I2))</f>
        <v/>
      </c>
      <c r="I2743" s="136">
        <f>LET(_xlpm.r,Productos!$E$2:$E$2509,_xlpm.m,IFERROR(_xlfn.XMATCH(C2743,_xlpm.r),IFERROR(_xlfn.XMATCH(VALUE(C2743),_xlpm.r),0)),IF(_xlpm.m=0,"",_xlpm.m+1))</f>
        <v/>
      </c>
      <c r="J2743" s="137" t="inlineStr">
        <is>
          <t>Shopify</t>
        </is>
      </c>
    </row>
    <row r="2744">
      <c r="A2744" s="5" t="inlineStr">
        <is>
          <t>Shopify Stetson México › Stetson Americas</t>
        </is>
      </c>
      <c r="B2744" s="5">
        <f>IF($I2="","",INDEX(Productos!$A:$A,$I2))</f>
        <v/>
      </c>
      <c r="C2744" s="134" t="inlineStr">
        <is>
          <t>SFRNCH-01403570</t>
        </is>
      </c>
      <c r="D2744" s="5">
        <f>IF($I2="","",INDEX(Productos!$B:$B,$I2))</f>
        <v/>
      </c>
      <c r="E2744" s="5">
        <f>IF($I2="","",INDEX(Productos!$H:$H,$I2))</f>
        <v/>
      </c>
      <c r="F2744" s="5">
        <f>IF($I2="","",INDEX(Productos!$I:$I,$I2))</f>
        <v/>
      </c>
      <c r="G2744" s="135" t="n">
        <v>2</v>
      </c>
      <c r="H2744" s="5">
        <f>IF($I2="","",INDEX(Productos!$AG:$AG,$I2))</f>
        <v/>
      </c>
      <c r="I2744" s="136">
        <f>LET(_xlpm.r,Productos!$E$2:$E$2509,_xlpm.m,IFERROR(_xlfn.XMATCH(C2744,_xlpm.r),IFERROR(_xlfn.XMATCH(VALUE(C2744),_xlpm.r),0)),IF(_xlpm.m=0,"",_xlpm.m+1))</f>
        <v/>
      </c>
      <c r="J2744" s="137" t="inlineStr">
        <is>
          <t>Shopify</t>
        </is>
      </c>
    </row>
    <row r="2745">
      <c r="A2745" s="5" t="inlineStr">
        <is>
          <t>Shopify Stetson México › Stetson Americas</t>
        </is>
      </c>
      <c r="B2745" s="5">
        <f>IF($I2="","",INDEX(Productos!$A:$A,$I2))</f>
        <v/>
      </c>
      <c r="C2745" s="134" t="inlineStr">
        <is>
          <t>SFRNCH-01403571</t>
        </is>
      </c>
      <c r="D2745" s="5">
        <f>IF($I2="","",INDEX(Productos!$B:$B,$I2))</f>
        <v/>
      </c>
      <c r="E2745" s="5">
        <f>IF($I2="","",INDEX(Productos!$H:$H,$I2))</f>
        <v/>
      </c>
      <c r="F2745" s="5">
        <f>IF($I2="","",INDEX(Productos!$I:$I,$I2))</f>
        <v/>
      </c>
      <c r="G2745" s="135" t="n">
        <v>1</v>
      </c>
      <c r="H2745" s="5">
        <f>IF($I2="","",INDEX(Productos!$AG:$AG,$I2))</f>
        <v/>
      </c>
      <c r="I2745" s="136">
        <f>LET(_xlpm.r,Productos!$E$2:$E$2509,_xlpm.m,IFERROR(_xlfn.XMATCH(C2745,_xlpm.r),IFERROR(_xlfn.XMATCH(VALUE(C2745),_xlpm.r),0)),IF(_xlpm.m=0,"",_xlpm.m+1))</f>
        <v/>
      </c>
      <c r="J2745" s="137" t="inlineStr">
        <is>
          <t>Shopify</t>
        </is>
      </c>
    </row>
    <row r="2746">
      <c r="A2746" s="5" t="inlineStr">
        <is>
          <t>Shopify Stetson México › Stetson Americas</t>
        </is>
      </c>
      <c r="B2746" s="5">
        <f>IF($I2="","",INDEX(Productos!$A:$A,$I2))</f>
        <v/>
      </c>
      <c r="C2746" s="134" t="inlineStr">
        <is>
          <t>SFRNCH-01403573</t>
        </is>
      </c>
      <c r="D2746" s="5">
        <f>IF($I2="","",INDEX(Productos!$B:$B,$I2))</f>
        <v/>
      </c>
      <c r="E2746" s="5">
        <f>IF($I2="","",INDEX(Productos!$H:$H,$I2))</f>
        <v/>
      </c>
      <c r="F2746" s="5">
        <f>IF($I2="","",INDEX(Productos!$I:$I,$I2))</f>
        <v/>
      </c>
      <c r="G2746" s="135" t="n">
        <v>1</v>
      </c>
      <c r="H2746" s="5">
        <f>IF($I2="","",INDEX(Productos!$AG:$AG,$I2))</f>
        <v/>
      </c>
      <c r="I2746" s="136">
        <f>LET(_xlpm.r,Productos!$E$2:$E$2509,_xlpm.m,IFERROR(_xlfn.XMATCH(C2746,_xlpm.r),IFERROR(_xlfn.XMATCH(VALUE(C2746),_xlpm.r),0)),IF(_xlpm.m=0,"",_xlpm.m+1))</f>
        <v/>
      </c>
      <c r="J2746" s="137" t="inlineStr">
        <is>
          <t>Shopify</t>
        </is>
      </c>
    </row>
    <row r="2747">
      <c r="A2747" s="5" t="inlineStr">
        <is>
          <t>Shopify Stetson México › Stetson Americas</t>
        </is>
      </c>
      <c r="B2747" s="5">
        <f>IF($I2="","",INDEX(Productos!$A:$A,$I2))</f>
        <v/>
      </c>
      <c r="C2747" s="134" t="inlineStr">
        <is>
          <t>SFRNCH-01406167</t>
        </is>
      </c>
      <c r="D2747" s="5">
        <f>IF($I2="","",INDEX(Productos!$B:$B,$I2))</f>
        <v/>
      </c>
      <c r="E2747" s="5">
        <f>IF($I2="","",INDEX(Productos!$H:$H,$I2))</f>
        <v/>
      </c>
      <c r="F2747" s="5">
        <f>IF($I2="","",INDEX(Productos!$I:$I,$I2))</f>
        <v/>
      </c>
      <c r="G2747" s="135" t="n">
        <v>1</v>
      </c>
      <c r="H2747" s="5">
        <f>IF($I2="","",INDEX(Productos!$AG:$AG,$I2))</f>
        <v/>
      </c>
      <c r="I2747" s="136">
        <f>LET(_xlpm.r,Productos!$E$2:$E$2509,_xlpm.m,IFERROR(_xlfn.XMATCH(C2747,_xlpm.r),IFERROR(_xlfn.XMATCH(VALUE(C2747),_xlpm.r),0)),IF(_xlpm.m=0,"",_xlpm.m+1))</f>
        <v/>
      </c>
      <c r="J2747" s="137" t="inlineStr">
        <is>
          <t>Shopify</t>
        </is>
      </c>
    </row>
    <row r="2748">
      <c r="A2748" s="5" t="inlineStr">
        <is>
          <t>Shopify Stetson México › Stetson Americas</t>
        </is>
      </c>
      <c r="B2748" s="5">
        <f>IF($I2="","",INDEX(Productos!$A:$A,$I2))</f>
        <v/>
      </c>
      <c r="C2748" s="134" t="inlineStr">
        <is>
          <t>SFRNCH-01406170</t>
        </is>
      </c>
      <c r="D2748" s="5">
        <f>IF($I2="","",INDEX(Productos!$B:$B,$I2))</f>
        <v/>
      </c>
      <c r="E2748" s="5">
        <f>IF($I2="","",INDEX(Productos!$H:$H,$I2))</f>
        <v/>
      </c>
      <c r="F2748" s="5">
        <f>IF($I2="","",INDEX(Productos!$I:$I,$I2))</f>
        <v/>
      </c>
      <c r="G2748" s="135" t="n">
        <v>1</v>
      </c>
      <c r="H2748" s="5">
        <f>IF($I2="","",INDEX(Productos!$AG:$AG,$I2))</f>
        <v/>
      </c>
      <c r="I2748" s="136">
        <f>LET(_xlpm.r,Productos!$E$2:$E$2509,_xlpm.m,IFERROR(_xlfn.XMATCH(C2748,_xlpm.r),IFERROR(_xlfn.XMATCH(VALUE(C2748),_xlpm.r),0)),IF(_xlpm.m=0,"",_xlpm.m+1))</f>
        <v/>
      </c>
      <c r="J2748" s="137" t="inlineStr">
        <is>
          <t>Shopify</t>
        </is>
      </c>
    </row>
    <row r="2749">
      <c r="A2749" s="5" t="inlineStr">
        <is>
          <t>Shopify Stetson México › Stetson Americas</t>
        </is>
      </c>
      <c r="B2749" s="5">
        <f>IF($I2="","",INDEX(Productos!$A:$A,$I2))</f>
        <v/>
      </c>
      <c r="C2749" s="134" t="inlineStr">
        <is>
          <t>SFRNCH-01406171</t>
        </is>
      </c>
      <c r="D2749" s="5">
        <f>IF($I2="","",INDEX(Productos!$B:$B,$I2))</f>
        <v/>
      </c>
      <c r="E2749" s="5">
        <f>IF($I2="","",INDEX(Productos!$H:$H,$I2))</f>
        <v/>
      </c>
      <c r="F2749" s="5">
        <f>IF($I2="","",INDEX(Productos!$I:$I,$I2))</f>
        <v/>
      </c>
      <c r="G2749" s="135" t="n">
        <v>1</v>
      </c>
      <c r="H2749" s="5">
        <f>IF($I2="","",INDEX(Productos!$AG:$AG,$I2))</f>
        <v/>
      </c>
      <c r="I2749" s="136">
        <f>LET(_xlpm.r,Productos!$E$2:$E$2509,_xlpm.m,IFERROR(_xlfn.XMATCH(C2749,_xlpm.r),IFERROR(_xlfn.XMATCH(VALUE(C2749),_xlpm.r),0)),IF(_xlpm.m=0,"",_xlpm.m+1))</f>
        <v/>
      </c>
      <c r="J2749" s="137" t="inlineStr">
        <is>
          <t>Shopify</t>
        </is>
      </c>
    </row>
    <row r="2750">
      <c r="A2750" s="5" t="inlineStr">
        <is>
          <t>Shopify Stetson México › Stetson Americas</t>
        </is>
      </c>
      <c r="B2750" s="5">
        <f>IF($I2="","",INDEX(Productos!$A:$A,$I2))</f>
        <v/>
      </c>
      <c r="C2750" s="134" t="inlineStr">
        <is>
          <t>SFRNCH-01406172</t>
        </is>
      </c>
      <c r="D2750" s="5">
        <f>IF($I2="","",INDEX(Productos!$B:$B,$I2))</f>
        <v/>
      </c>
      <c r="E2750" s="5">
        <f>IF($I2="","",INDEX(Productos!$H:$H,$I2))</f>
        <v/>
      </c>
      <c r="F2750" s="5">
        <f>IF($I2="","",INDEX(Productos!$I:$I,$I2))</f>
        <v/>
      </c>
      <c r="G2750" s="135" t="n">
        <v>1</v>
      </c>
      <c r="H2750" s="5">
        <f>IF($I2="","",INDEX(Productos!$AG:$AG,$I2))</f>
        <v/>
      </c>
      <c r="I2750" s="136">
        <f>LET(_xlpm.r,Productos!$E$2:$E$2509,_xlpm.m,IFERROR(_xlfn.XMATCH(C2750,_xlpm.r),IFERROR(_xlfn.XMATCH(VALUE(C2750),_xlpm.r),0)),IF(_xlpm.m=0,"",_xlpm.m+1))</f>
        <v/>
      </c>
      <c r="J2750" s="137" t="inlineStr">
        <is>
          <t>Shopify</t>
        </is>
      </c>
    </row>
    <row r="2751">
      <c r="A2751" s="5" t="inlineStr">
        <is>
          <t>Shopify Stetson México › Stetson Americas</t>
        </is>
      </c>
      <c r="B2751" s="5">
        <f>IF($I2="","",INDEX(Productos!$A:$A,$I2))</f>
        <v/>
      </c>
      <c r="C2751" s="134" t="inlineStr">
        <is>
          <t>SFRNCH-01406174</t>
        </is>
      </c>
      <c r="D2751" s="5">
        <f>IF($I2="","",INDEX(Productos!$B:$B,$I2))</f>
        <v/>
      </c>
      <c r="E2751" s="5">
        <f>IF($I2="","",INDEX(Productos!$H:$H,$I2))</f>
        <v/>
      </c>
      <c r="F2751" s="5">
        <f>IF($I2="","",INDEX(Productos!$I:$I,$I2))</f>
        <v/>
      </c>
      <c r="G2751" s="135" t="n">
        <v>1</v>
      </c>
      <c r="H2751" s="5">
        <f>IF($I2="","",INDEX(Productos!$AG:$AG,$I2))</f>
        <v/>
      </c>
      <c r="I2751" s="136">
        <f>LET(_xlpm.r,Productos!$E$2:$E$2509,_xlpm.m,IFERROR(_xlfn.XMATCH(C2751,_xlpm.r),IFERROR(_xlfn.XMATCH(VALUE(C2751),_xlpm.r),0)),IF(_xlpm.m=0,"",_xlpm.m+1))</f>
        <v/>
      </c>
      <c r="J2751" s="137" t="inlineStr">
        <is>
          <t>Shopify</t>
        </is>
      </c>
    </row>
    <row r="2752">
      <c r="A2752" s="5" t="inlineStr">
        <is>
          <t>Shopify Stetson México › Stetson Americas</t>
        </is>
      </c>
      <c r="B2752" s="5">
        <f>IF($I2="","",INDEX(Productos!$A:$A,$I2))</f>
        <v/>
      </c>
      <c r="C2752" s="134" t="inlineStr">
        <is>
          <t>SFRNCH-01408870</t>
        </is>
      </c>
      <c r="D2752" s="5">
        <f>IF($I2="","",INDEX(Productos!$B:$B,$I2))</f>
        <v/>
      </c>
      <c r="E2752" s="5">
        <f>IF($I2="","",INDEX(Productos!$H:$H,$I2))</f>
        <v/>
      </c>
      <c r="F2752" s="5">
        <f>IF($I2="","",INDEX(Productos!$I:$I,$I2))</f>
        <v/>
      </c>
      <c r="G2752" s="135" t="n">
        <v>2</v>
      </c>
      <c r="H2752" s="5">
        <f>IF($I2="","",INDEX(Productos!$AG:$AG,$I2))</f>
        <v/>
      </c>
      <c r="I2752" s="136">
        <f>LET(_xlpm.r,Productos!$E$2:$E$2509,_xlpm.m,IFERROR(_xlfn.XMATCH(C2752,_xlpm.r),IFERROR(_xlfn.XMATCH(VALUE(C2752),_xlpm.r),0)),IF(_xlpm.m=0,"",_xlpm.m+1))</f>
        <v/>
      </c>
      <c r="J2752" s="137" t="inlineStr">
        <is>
          <t>Shopify</t>
        </is>
      </c>
    </row>
    <row r="2753">
      <c r="A2753" s="5" t="inlineStr">
        <is>
          <t>Shopify Stetson México › Stetson Americas</t>
        </is>
      </c>
      <c r="B2753" s="5">
        <f>IF($I2="","",INDEX(Productos!$A:$A,$I2))</f>
        <v/>
      </c>
      <c r="C2753" s="134" t="inlineStr">
        <is>
          <t>SFRNCH-01408871</t>
        </is>
      </c>
      <c r="D2753" s="5">
        <f>IF($I2="","",INDEX(Productos!$B:$B,$I2))</f>
        <v/>
      </c>
      <c r="E2753" s="5">
        <f>IF($I2="","",INDEX(Productos!$H:$H,$I2))</f>
        <v/>
      </c>
      <c r="F2753" s="5">
        <f>IF($I2="","",INDEX(Productos!$I:$I,$I2))</f>
        <v/>
      </c>
      <c r="G2753" s="135" t="n">
        <v>1</v>
      </c>
      <c r="H2753" s="5">
        <f>IF($I2="","",INDEX(Productos!$AG:$AG,$I2))</f>
        <v/>
      </c>
      <c r="I2753" s="136">
        <f>LET(_xlpm.r,Productos!$E$2:$E$2509,_xlpm.m,IFERROR(_xlfn.XMATCH(C2753,_xlpm.r),IFERROR(_xlfn.XMATCH(VALUE(C2753),_xlpm.r),0)),IF(_xlpm.m=0,"",_xlpm.m+1))</f>
        <v/>
      </c>
      <c r="J2753" s="137" t="inlineStr">
        <is>
          <t>Shopify</t>
        </is>
      </c>
    </row>
    <row r="2754">
      <c r="A2754" s="5" t="inlineStr">
        <is>
          <t>Shopify Stetson México › Stetson Americas</t>
        </is>
      </c>
      <c r="B2754" s="5">
        <f>IF($I2="","",INDEX(Productos!$A:$A,$I2))</f>
        <v/>
      </c>
      <c r="C2754" s="134" t="inlineStr">
        <is>
          <t>SFRNCH-01408872</t>
        </is>
      </c>
      <c r="D2754" s="5">
        <f>IF($I2="","",INDEX(Productos!$B:$B,$I2))</f>
        <v/>
      </c>
      <c r="E2754" s="5">
        <f>IF($I2="","",INDEX(Productos!$H:$H,$I2))</f>
        <v/>
      </c>
      <c r="F2754" s="5">
        <f>IF($I2="","",INDEX(Productos!$I:$I,$I2))</f>
        <v/>
      </c>
      <c r="G2754" s="135" t="n">
        <v>1</v>
      </c>
      <c r="H2754" s="5">
        <f>IF($I2="","",INDEX(Productos!$AG:$AG,$I2))</f>
        <v/>
      </c>
      <c r="I2754" s="136">
        <f>LET(_xlpm.r,Productos!$E$2:$E$2509,_xlpm.m,IFERROR(_xlfn.XMATCH(C2754,_xlpm.r),IFERROR(_xlfn.XMATCH(VALUE(C2754),_xlpm.r),0)),IF(_xlpm.m=0,"",_xlpm.m+1))</f>
        <v/>
      </c>
      <c r="J2754" s="137" t="inlineStr">
        <is>
          <t>Shopify</t>
        </is>
      </c>
    </row>
    <row r="2755">
      <c r="A2755" s="5" t="inlineStr">
        <is>
          <t>Shopify Stetson México › Stetson Americas</t>
        </is>
      </c>
      <c r="B2755" s="5">
        <f>IF($I2="","",INDEX(Productos!$A:$A,$I2))</f>
        <v/>
      </c>
      <c r="C2755" s="134" t="inlineStr">
        <is>
          <t>SFRNCH-01408873</t>
        </is>
      </c>
      <c r="D2755" s="5">
        <f>IF($I2="","",INDEX(Productos!$B:$B,$I2))</f>
        <v/>
      </c>
      <c r="E2755" s="5">
        <f>IF($I2="","",INDEX(Productos!$H:$H,$I2))</f>
        <v/>
      </c>
      <c r="F2755" s="5">
        <f>IF($I2="","",INDEX(Productos!$I:$I,$I2))</f>
        <v/>
      </c>
      <c r="G2755" s="135" t="n">
        <v>1</v>
      </c>
      <c r="H2755" s="5">
        <f>IF($I2="","",INDEX(Productos!$AG:$AG,$I2))</f>
        <v/>
      </c>
      <c r="I2755" s="136">
        <f>LET(_xlpm.r,Productos!$E$2:$E$2509,_xlpm.m,IFERROR(_xlfn.XMATCH(C2755,_xlpm.r),IFERROR(_xlfn.XMATCH(VALUE(C2755),_xlpm.r),0)),IF(_xlpm.m=0,"",_xlpm.m+1))</f>
        <v/>
      </c>
      <c r="J2755" s="137" t="inlineStr">
        <is>
          <t>Shopify</t>
        </is>
      </c>
    </row>
    <row r="2756">
      <c r="A2756" s="5" t="inlineStr">
        <is>
          <t>Shopify Stetson México › Stetson Americas</t>
        </is>
      </c>
      <c r="B2756" s="5">
        <f>IF($I2="","",INDEX(Productos!$A:$A,$I2))</f>
        <v/>
      </c>
      <c r="C2756" s="134" t="inlineStr">
        <is>
          <t>SFRNCH-01408874</t>
        </is>
      </c>
      <c r="D2756" s="5">
        <f>IF($I2="","",INDEX(Productos!$B:$B,$I2))</f>
        <v/>
      </c>
      <c r="E2756" s="5">
        <f>IF($I2="","",INDEX(Productos!$H:$H,$I2))</f>
        <v/>
      </c>
      <c r="F2756" s="5">
        <f>IF($I2="","",INDEX(Productos!$I:$I,$I2))</f>
        <v/>
      </c>
      <c r="G2756" s="135" t="n">
        <v>1</v>
      </c>
      <c r="H2756" s="5">
        <f>IF($I2="","",INDEX(Productos!$AG:$AG,$I2))</f>
        <v/>
      </c>
      <c r="I2756" s="136">
        <f>LET(_xlpm.r,Productos!$E$2:$E$2509,_xlpm.m,IFERROR(_xlfn.XMATCH(C2756,_xlpm.r),IFERROR(_xlfn.XMATCH(VALUE(C2756),_xlpm.r),0)),IF(_xlpm.m=0,"",_xlpm.m+1))</f>
        <v/>
      </c>
      <c r="J2756" s="137" t="inlineStr">
        <is>
          <t>Shopify</t>
        </is>
      </c>
    </row>
    <row r="2757">
      <c r="A2757" s="5" t="inlineStr">
        <is>
          <t>Shopify Stetson México › Stetson Americas</t>
        </is>
      </c>
      <c r="B2757" s="5">
        <f>IF($I2="","",INDEX(Productos!$A:$A,$I2))</f>
        <v/>
      </c>
      <c r="C2757" s="134" t="inlineStr">
        <is>
          <t>SFROPR-75400770</t>
        </is>
      </c>
      <c r="D2757" s="5">
        <f>IF($I2="","",INDEX(Productos!$B:$B,$I2))</f>
        <v/>
      </c>
      <c r="E2757" s="5">
        <f>IF($I2="","",INDEX(Productos!$H:$H,$I2))</f>
        <v/>
      </c>
      <c r="F2757" s="5">
        <f>IF($I2="","",INDEX(Productos!$I:$I,$I2))</f>
        <v/>
      </c>
      <c r="G2757" s="135" t="n">
        <v>1</v>
      </c>
      <c r="H2757" s="5">
        <f>IF($I2="","",INDEX(Productos!$AG:$AG,$I2))</f>
        <v/>
      </c>
      <c r="I2757" s="136">
        <f>LET(_xlpm.r,Productos!$E$2:$E$2509,_xlpm.m,IFERROR(_xlfn.XMATCH(C2757,_xlpm.r),IFERROR(_xlfn.XMATCH(VALUE(C2757),_xlpm.r),0)),IF(_xlpm.m=0,"",_xlpm.m+1))</f>
        <v/>
      </c>
      <c r="J2757" s="137" t="inlineStr">
        <is>
          <t>Shopify</t>
        </is>
      </c>
    </row>
    <row r="2758">
      <c r="A2758" s="5" t="inlineStr">
        <is>
          <t>Shopify Stetson México › Stetson Americas</t>
        </is>
      </c>
      <c r="B2758" s="5">
        <f>IF($I2="","",INDEX(Productos!$A:$A,$I2))</f>
        <v/>
      </c>
      <c r="C2758" s="134" t="inlineStr">
        <is>
          <t>SFROPR-75400772</t>
        </is>
      </c>
      <c r="D2758" s="5">
        <f>IF($I2="","",INDEX(Productos!$B:$B,$I2))</f>
        <v/>
      </c>
      <c r="E2758" s="5">
        <f>IF($I2="","",INDEX(Productos!$H:$H,$I2))</f>
        <v/>
      </c>
      <c r="F2758" s="5">
        <f>IF($I2="","",INDEX(Productos!$I:$I,$I2))</f>
        <v/>
      </c>
      <c r="G2758" s="135" t="n">
        <v>1</v>
      </c>
      <c r="H2758" s="5">
        <f>IF($I2="","",INDEX(Productos!$AG:$AG,$I2))</f>
        <v/>
      </c>
      <c r="I2758" s="136">
        <f>LET(_xlpm.r,Productos!$E$2:$E$2509,_xlpm.m,IFERROR(_xlfn.XMATCH(C2758,_xlpm.r),IFERROR(_xlfn.XMATCH(VALUE(C2758),_xlpm.r),0)),IF(_xlpm.m=0,"",_xlpm.m+1))</f>
        <v/>
      </c>
      <c r="J2758" s="137" t="inlineStr">
        <is>
          <t>Shopify</t>
        </is>
      </c>
    </row>
    <row r="2759">
      <c r="A2759" s="5" t="inlineStr">
        <is>
          <t>Shopify Stetson México › Stetson Americas</t>
        </is>
      </c>
      <c r="B2759" s="5">
        <f>IF($I2="","",INDEX(Productos!$A:$A,$I2))</f>
        <v/>
      </c>
      <c r="C2759" s="134" t="inlineStr">
        <is>
          <t>SFROPR-75400773</t>
        </is>
      </c>
      <c r="D2759" s="5">
        <f>IF($I2="","",INDEX(Productos!$B:$B,$I2))</f>
        <v/>
      </c>
      <c r="E2759" s="5">
        <f>IF($I2="","",INDEX(Productos!$H:$H,$I2))</f>
        <v/>
      </c>
      <c r="F2759" s="5">
        <f>IF($I2="","",INDEX(Productos!$I:$I,$I2))</f>
        <v/>
      </c>
      <c r="G2759" s="135" t="n">
        <v>1</v>
      </c>
      <c r="H2759" s="5">
        <f>IF($I2="","",INDEX(Productos!$AG:$AG,$I2))</f>
        <v/>
      </c>
      <c r="I2759" s="136">
        <f>LET(_xlpm.r,Productos!$E$2:$E$2509,_xlpm.m,IFERROR(_xlfn.XMATCH(C2759,_xlpm.r),IFERROR(_xlfn.XMATCH(VALUE(C2759),_xlpm.r),0)),IF(_xlpm.m=0,"",_xlpm.m+1))</f>
        <v/>
      </c>
      <c r="J2759" s="137" t="inlineStr">
        <is>
          <t>Shopify</t>
        </is>
      </c>
    </row>
    <row r="2760">
      <c r="A2760" s="5" t="inlineStr">
        <is>
          <t>Shopify Stetson México › Stetson Americas</t>
        </is>
      </c>
      <c r="B2760" s="5">
        <f>IF($I2="","",INDEX(Productos!$A:$A,$I2))</f>
        <v/>
      </c>
      <c r="C2760" s="134" t="inlineStr">
        <is>
          <t>SFROPR-75406167</t>
        </is>
      </c>
      <c r="D2760" s="5">
        <f>IF($I2="","",INDEX(Productos!$B:$B,$I2))</f>
        <v/>
      </c>
      <c r="E2760" s="5">
        <f>IF($I2="","",INDEX(Productos!$H:$H,$I2))</f>
        <v/>
      </c>
      <c r="F2760" s="5">
        <f>IF($I2="","",INDEX(Productos!$I:$I,$I2))</f>
        <v/>
      </c>
      <c r="G2760" s="135" t="n">
        <v>1</v>
      </c>
      <c r="H2760" s="5">
        <f>IF($I2="","",INDEX(Productos!$AG:$AG,$I2))</f>
        <v/>
      </c>
      <c r="I2760" s="136">
        <f>LET(_xlpm.r,Productos!$E$2:$E$2509,_xlpm.m,IFERROR(_xlfn.XMATCH(C2760,_xlpm.r),IFERROR(_xlfn.XMATCH(VALUE(C2760),_xlpm.r),0)),IF(_xlpm.m=0,"",_xlpm.m+1))</f>
        <v/>
      </c>
      <c r="J2760" s="137" t="inlineStr">
        <is>
          <t>Shopify</t>
        </is>
      </c>
    </row>
    <row r="2761">
      <c r="A2761" s="5" t="inlineStr">
        <is>
          <t>Shopify Stetson México › Stetson Americas</t>
        </is>
      </c>
      <c r="B2761" s="5">
        <f>IF($I2="","",INDEX(Productos!$A:$A,$I2))</f>
        <v/>
      </c>
      <c r="C2761" s="134" t="inlineStr">
        <is>
          <t>SFROPR-75406170</t>
        </is>
      </c>
      <c r="D2761" s="5">
        <f>IF($I2="","",INDEX(Productos!$B:$B,$I2))</f>
        <v/>
      </c>
      <c r="E2761" s="5">
        <f>IF($I2="","",INDEX(Productos!$H:$H,$I2))</f>
        <v/>
      </c>
      <c r="F2761" s="5">
        <f>IF($I2="","",INDEX(Productos!$I:$I,$I2))</f>
        <v/>
      </c>
      <c r="G2761" s="135" t="n">
        <v>1</v>
      </c>
      <c r="H2761" s="5">
        <f>IF($I2="","",INDEX(Productos!$AG:$AG,$I2))</f>
        <v/>
      </c>
      <c r="I2761" s="136">
        <f>LET(_xlpm.r,Productos!$E$2:$E$2509,_xlpm.m,IFERROR(_xlfn.XMATCH(C2761,_xlpm.r),IFERROR(_xlfn.XMATCH(VALUE(C2761),_xlpm.r),0)),IF(_xlpm.m=0,"",_xlpm.m+1))</f>
        <v/>
      </c>
      <c r="J2761" s="137" t="inlineStr">
        <is>
          <t>Shopify</t>
        </is>
      </c>
    </row>
    <row r="2762">
      <c r="A2762" s="5" t="inlineStr">
        <is>
          <t>Shopify Stetson México › Stetson Americas</t>
        </is>
      </c>
      <c r="B2762" s="5">
        <f>IF($I2="","",INDEX(Productos!$A:$A,$I2))</f>
        <v/>
      </c>
      <c r="C2762" s="134" t="inlineStr">
        <is>
          <t>SFROPR-75406171</t>
        </is>
      </c>
      <c r="D2762" s="5">
        <f>IF($I2="","",INDEX(Productos!$B:$B,$I2))</f>
        <v/>
      </c>
      <c r="E2762" s="5">
        <f>IF($I2="","",INDEX(Productos!$H:$H,$I2))</f>
        <v/>
      </c>
      <c r="F2762" s="5">
        <f>IF($I2="","",INDEX(Productos!$I:$I,$I2))</f>
        <v/>
      </c>
      <c r="G2762" s="135" t="n">
        <v>1</v>
      </c>
      <c r="H2762" s="5">
        <f>IF($I2="","",INDEX(Productos!$AG:$AG,$I2))</f>
        <v/>
      </c>
      <c r="I2762" s="136">
        <f>LET(_xlpm.r,Productos!$E$2:$E$2509,_xlpm.m,IFERROR(_xlfn.XMATCH(C2762,_xlpm.r),IFERROR(_xlfn.XMATCH(VALUE(C2762),_xlpm.r),0)),IF(_xlpm.m=0,"",_xlpm.m+1))</f>
        <v/>
      </c>
      <c r="J2762" s="137" t="inlineStr">
        <is>
          <t>Shopify</t>
        </is>
      </c>
    </row>
    <row r="2763">
      <c r="A2763" s="5" t="inlineStr">
        <is>
          <t>Shopify Stetson México › Stetson Americas</t>
        </is>
      </c>
      <c r="B2763" s="5">
        <f>IF($I2="","",INDEX(Productos!$A:$A,$I2))</f>
        <v/>
      </c>
      <c r="C2763" s="134" t="inlineStr">
        <is>
          <t>SFROPR-75406172</t>
        </is>
      </c>
      <c r="D2763" s="5">
        <f>IF($I2="","",INDEX(Productos!$B:$B,$I2))</f>
        <v/>
      </c>
      <c r="E2763" s="5">
        <f>IF($I2="","",INDEX(Productos!$H:$H,$I2))</f>
        <v/>
      </c>
      <c r="F2763" s="5">
        <f>IF($I2="","",INDEX(Productos!$I:$I,$I2))</f>
        <v/>
      </c>
      <c r="G2763" s="135" t="n">
        <v>1</v>
      </c>
      <c r="H2763" s="5">
        <f>IF($I2="","",INDEX(Productos!$AG:$AG,$I2))</f>
        <v/>
      </c>
      <c r="I2763" s="136">
        <f>LET(_xlpm.r,Productos!$E$2:$E$2509,_xlpm.m,IFERROR(_xlfn.XMATCH(C2763,_xlpm.r),IFERROR(_xlfn.XMATCH(VALUE(C2763),_xlpm.r),0)),IF(_xlpm.m=0,"",_xlpm.m+1))</f>
        <v/>
      </c>
      <c r="J2763" s="137" t="inlineStr">
        <is>
          <t>Shopify</t>
        </is>
      </c>
    </row>
    <row r="2764">
      <c r="A2764" s="5" t="inlineStr">
        <is>
          <t>Shopify Stetson México › Stetson Americas</t>
        </is>
      </c>
      <c r="B2764" s="5">
        <f>IF($I2="","",INDEX(Productos!$A:$A,$I2))</f>
        <v/>
      </c>
      <c r="C2764" s="134" t="inlineStr">
        <is>
          <t>SFROPR-75406173</t>
        </is>
      </c>
      <c r="D2764" s="5">
        <f>IF($I2="","",INDEX(Productos!$B:$B,$I2))</f>
        <v/>
      </c>
      <c r="E2764" s="5">
        <f>IF($I2="","",INDEX(Productos!$H:$H,$I2))</f>
        <v/>
      </c>
      <c r="F2764" s="5">
        <f>IF($I2="","",INDEX(Productos!$I:$I,$I2))</f>
        <v/>
      </c>
      <c r="G2764" s="135" t="n">
        <v>1</v>
      </c>
      <c r="H2764" s="5">
        <f>IF($I2="","",INDEX(Productos!$AG:$AG,$I2))</f>
        <v/>
      </c>
      <c r="I2764" s="136">
        <f>LET(_xlpm.r,Productos!$E$2:$E$2509,_xlpm.m,IFERROR(_xlfn.XMATCH(C2764,_xlpm.r),IFERROR(_xlfn.XMATCH(VALUE(C2764),_xlpm.r),0)),IF(_xlpm.m=0,"",_xlpm.m+1))</f>
        <v/>
      </c>
      <c r="J2764" s="137" t="inlineStr">
        <is>
          <t>Shopify</t>
        </is>
      </c>
    </row>
    <row r="2765">
      <c r="A2765" s="5" t="inlineStr">
        <is>
          <t>Shopify Stetson México › Stetson Americas</t>
        </is>
      </c>
      <c r="B2765" s="5">
        <f>IF($I2="","",INDEX(Productos!$A:$A,$I2))</f>
        <v/>
      </c>
      <c r="C2765" s="134" t="inlineStr">
        <is>
          <t>SFS250-75420770</t>
        </is>
      </c>
      <c r="D2765" s="5">
        <f>IF($I2="","",INDEX(Productos!$B:$B,$I2))</f>
        <v/>
      </c>
      <c r="E2765" s="5">
        <f>IF($I2="","",INDEX(Productos!$H:$H,$I2))</f>
        <v/>
      </c>
      <c r="F2765" s="5">
        <f>IF($I2="","",INDEX(Productos!$I:$I,$I2))</f>
        <v/>
      </c>
      <c r="G2765" s="135" t="n">
        <v>2</v>
      </c>
      <c r="H2765" s="5">
        <f>IF($I2="","",INDEX(Productos!$AG:$AG,$I2))</f>
        <v/>
      </c>
      <c r="I2765" s="136">
        <f>LET(_xlpm.r,Productos!$E$2:$E$2509,_xlpm.m,IFERROR(_xlfn.XMATCH(C2765,_xlpm.r),IFERROR(_xlfn.XMATCH(VALUE(C2765),_xlpm.r),0)),IF(_xlpm.m=0,"",_xlpm.m+1))</f>
        <v/>
      </c>
      <c r="J2765" s="137" t="inlineStr">
        <is>
          <t>Shopify</t>
        </is>
      </c>
    </row>
    <row r="2766">
      <c r="A2766" s="5" t="inlineStr">
        <is>
          <t>Shopify Stetson México › Stetson Americas</t>
        </is>
      </c>
      <c r="B2766" s="5">
        <f>IF($I2="","",INDEX(Productos!$A:$A,$I2))</f>
        <v/>
      </c>
      <c r="C2766" s="134" t="inlineStr">
        <is>
          <t>SFS250-75420771</t>
        </is>
      </c>
      <c r="D2766" s="5">
        <f>IF($I2="","",INDEX(Productos!$B:$B,$I2))</f>
        <v/>
      </c>
      <c r="E2766" s="5">
        <f>IF($I2="","",INDEX(Productos!$H:$H,$I2))</f>
        <v/>
      </c>
      <c r="F2766" s="5">
        <f>IF($I2="","",INDEX(Productos!$I:$I,$I2))</f>
        <v/>
      </c>
      <c r="G2766" s="135" t="n">
        <v>1</v>
      </c>
      <c r="H2766" s="5">
        <f>IF($I2="","",INDEX(Productos!$AG:$AG,$I2))</f>
        <v/>
      </c>
      <c r="I2766" s="136">
        <f>LET(_xlpm.r,Productos!$E$2:$E$2509,_xlpm.m,IFERROR(_xlfn.XMATCH(C2766,_xlpm.r),IFERROR(_xlfn.XMATCH(VALUE(C2766),_xlpm.r),0)),IF(_xlpm.m=0,"",_xlpm.m+1))</f>
        <v/>
      </c>
      <c r="J2766" s="137" t="inlineStr">
        <is>
          <t>Shopify</t>
        </is>
      </c>
    </row>
    <row r="2767">
      <c r="A2767" s="5" t="inlineStr">
        <is>
          <t>Shopify Stetson México › Stetson Americas</t>
        </is>
      </c>
      <c r="B2767" s="5">
        <f>IF($I2="","",INDEX(Productos!$A:$A,$I2))</f>
        <v/>
      </c>
      <c r="C2767" s="134" t="inlineStr">
        <is>
          <t>SFS250-75420772</t>
        </is>
      </c>
      <c r="D2767" s="5">
        <f>IF($I2="","",INDEX(Productos!$B:$B,$I2))</f>
        <v/>
      </c>
      <c r="E2767" s="5">
        <f>IF($I2="","",INDEX(Productos!$H:$H,$I2))</f>
        <v/>
      </c>
      <c r="F2767" s="5">
        <f>IF($I2="","",INDEX(Productos!$I:$I,$I2))</f>
        <v/>
      </c>
      <c r="G2767" s="135" t="n">
        <v>1</v>
      </c>
      <c r="H2767" s="5">
        <f>IF($I2="","",INDEX(Productos!$AG:$AG,$I2))</f>
        <v/>
      </c>
      <c r="I2767" s="136">
        <f>LET(_xlpm.r,Productos!$E$2:$E$2509,_xlpm.m,IFERROR(_xlfn.XMATCH(C2767,_xlpm.r),IFERROR(_xlfn.XMATCH(VALUE(C2767),_xlpm.r),0)),IF(_xlpm.m=0,"",_xlpm.m+1))</f>
        <v/>
      </c>
      <c r="J2767" s="137" t="inlineStr">
        <is>
          <t>Shopify</t>
        </is>
      </c>
    </row>
    <row r="2768">
      <c r="A2768" s="5" t="inlineStr">
        <is>
          <t>Shopify Stetson México › Stetson Americas</t>
        </is>
      </c>
      <c r="B2768" s="5">
        <f>IF($I2="","",INDEX(Productos!$A:$A,$I2))</f>
        <v/>
      </c>
      <c r="C2768" s="134" t="inlineStr">
        <is>
          <t>SFS250-75420774</t>
        </is>
      </c>
      <c r="D2768" s="5">
        <f>IF($I2="","",INDEX(Productos!$B:$B,$I2))</f>
        <v/>
      </c>
      <c r="E2768" s="5">
        <f>IF($I2="","",INDEX(Productos!$H:$H,$I2))</f>
        <v/>
      </c>
      <c r="F2768" s="5">
        <f>IF($I2="","",INDEX(Productos!$I:$I,$I2))</f>
        <v/>
      </c>
      <c r="G2768" s="135" t="n">
        <v>1</v>
      </c>
      <c r="H2768" s="5">
        <f>IF($I2="","",INDEX(Productos!$AG:$AG,$I2))</f>
        <v/>
      </c>
      <c r="I2768" s="136">
        <f>LET(_xlpm.r,Productos!$E$2:$E$2509,_xlpm.m,IFERROR(_xlfn.XMATCH(C2768,_xlpm.r),IFERROR(_xlfn.XMATCH(VALUE(C2768),_xlpm.r),0)),IF(_xlpm.m=0,"",_xlpm.m+1))</f>
        <v/>
      </c>
      <c r="J2768" s="137" t="inlineStr">
        <is>
          <t>Shopify</t>
        </is>
      </c>
    </row>
    <row r="2769">
      <c r="A2769" s="5" t="inlineStr">
        <is>
          <t>Shopify Stetson México › Stetson Americas</t>
        </is>
      </c>
      <c r="B2769" s="5">
        <f>IF($I2="","",INDEX(Productos!$A:$A,$I2))</f>
        <v/>
      </c>
      <c r="C2769" s="134" t="inlineStr">
        <is>
          <t>SFS250-75426170</t>
        </is>
      </c>
      <c r="D2769" s="5">
        <f>IF($I2="","",INDEX(Productos!$B:$B,$I2))</f>
        <v/>
      </c>
      <c r="E2769" s="5">
        <f>IF($I2="","",INDEX(Productos!$H:$H,$I2))</f>
        <v/>
      </c>
      <c r="F2769" s="5">
        <f>IF($I2="","",INDEX(Productos!$I:$I,$I2))</f>
        <v/>
      </c>
      <c r="G2769" s="135" t="n">
        <v>2</v>
      </c>
      <c r="H2769" s="5">
        <f>IF($I2="","",INDEX(Productos!$AG:$AG,$I2))</f>
        <v/>
      </c>
      <c r="I2769" s="136">
        <f>LET(_xlpm.r,Productos!$E$2:$E$2509,_xlpm.m,IFERROR(_xlfn.XMATCH(C2769,_xlpm.r),IFERROR(_xlfn.XMATCH(VALUE(C2769),_xlpm.r),0)),IF(_xlpm.m=0,"",_xlpm.m+1))</f>
        <v/>
      </c>
      <c r="J2769" s="137" t="inlineStr">
        <is>
          <t>Shopify</t>
        </is>
      </c>
    </row>
    <row r="2770">
      <c r="A2770" s="5" t="inlineStr">
        <is>
          <t>Shopify Stetson México › Stetson Americas</t>
        </is>
      </c>
      <c r="B2770" s="5">
        <f>IF($I2="","",INDEX(Productos!$A:$A,$I2))</f>
        <v/>
      </c>
      <c r="C2770" s="134" t="inlineStr">
        <is>
          <t>SFS250-75426171</t>
        </is>
      </c>
      <c r="D2770" s="5">
        <f>IF($I2="","",INDEX(Productos!$B:$B,$I2))</f>
        <v/>
      </c>
      <c r="E2770" s="5">
        <f>IF($I2="","",INDEX(Productos!$H:$H,$I2))</f>
        <v/>
      </c>
      <c r="F2770" s="5">
        <f>IF($I2="","",INDEX(Productos!$I:$I,$I2))</f>
        <v/>
      </c>
      <c r="G2770" s="135" t="n">
        <v>2</v>
      </c>
      <c r="H2770" s="5">
        <f>IF($I2="","",INDEX(Productos!$AG:$AG,$I2))</f>
        <v/>
      </c>
      <c r="I2770" s="136">
        <f>LET(_xlpm.r,Productos!$E$2:$E$2509,_xlpm.m,IFERROR(_xlfn.XMATCH(C2770,_xlpm.r),IFERROR(_xlfn.XMATCH(VALUE(C2770),_xlpm.r),0)),IF(_xlpm.m=0,"",_xlpm.m+1))</f>
        <v/>
      </c>
      <c r="J2770" s="137" t="inlineStr">
        <is>
          <t>Shopify</t>
        </is>
      </c>
    </row>
    <row r="2771">
      <c r="A2771" s="5" t="inlineStr">
        <is>
          <t>Shopify Stetson México › Stetson Americas</t>
        </is>
      </c>
      <c r="B2771" s="5">
        <f>IF($I2="","",INDEX(Productos!$A:$A,$I2))</f>
        <v/>
      </c>
      <c r="C2771" s="134" t="inlineStr">
        <is>
          <t>SFS250-75426172</t>
        </is>
      </c>
      <c r="D2771" s="5">
        <f>IF($I2="","",INDEX(Productos!$B:$B,$I2))</f>
        <v/>
      </c>
      <c r="E2771" s="5">
        <f>IF($I2="","",INDEX(Productos!$H:$H,$I2))</f>
        <v/>
      </c>
      <c r="F2771" s="5">
        <f>IF($I2="","",INDEX(Productos!$I:$I,$I2))</f>
        <v/>
      </c>
      <c r="G2771" s="135" t="n">
        <v>2</v>
      </c>
      <c r="H2771" s="5">
        <f>IF($I2="","",INDEX(Productos!$AG:$AG,$I2))</f>
        <v/>
      </c>
      <c r="I2771" s="136">
        <f>LET(_xlpm.r,Productos!$E$2:$E$2509,_xlpm.m,IFERROR(_xlfn.XMATCH(C2771,_xlpm.r),IFERROR(_xlfn.XMATCH(VALUE(C2771),_xlpm.r),0)),IF(_xlpm.m=0,"",_xlpm.m+1))</f>
        <v/>
      </c>
      <c r="J2771" s="137" t="inlineStr">
        <is>
          <t>Shopify</t>
        </is>
      </c>
    </row>
    <row r="2772">
      <c r="A2772" s="5" t="inlineStr">
        <is>
          <t>Shopify Stetson México › Stetson Americas</t>
        </is>
      </c>
      <c r="B2772" s="5">
        <f>IF($I2="","",INDEX(Productos!$A:$A,$I2))</f>
        <v/>
      </c>
      <c r="C2772" s="134" t="inlineStr">
        <is>
          <t>SFS250-75426173</t>
        </is>
      </c>
      <c r="D2772" s="5">
        <f>IF($I2="","",INDEX(Productos!$B:$B,$I2))</f>
        <v/>
      </c>
      <c r="E2772" s="5">
        <f>IF($I2="","",INDEX(Productos!$H:$H,$I2))</f>
        <v/>
      </c>
      <c r="F2772" s="5">
        <f>IF($I2="","",INDEX(Productos!$I:$I,$I2))</f>
        <v/>
      </c>
      <c r="G2772" s="135" t="n">
        <v>1</v>
      </c>
      <c r="H2772" s="5">
        <f>IF($I2="","",INDEX(Productos!$AG:$AG,$I2))</f>
        <v/>
      </c>
      <c r="I2772" s="136">
        <f>LET(_xlpm.r,Productos!$E$2:$E$2509,_xlpm.m,IFERROR(_xlfn.XMATCH(C2772,_xlpm.r),IFERROR(_xlfn.XMATCH(VALUE(C2772),_xlpm.r),0)),IF(_xlpm.m=0,"",_xlpm.m+1))</f>
        <v/>
      </c>
      <c r="J2772" s="137" t="inlineStr">
        <is>
          <t>Shopify</t>
        </is>
      </c>
    </row>
    <row r="2773">
      <c r="A2773" s="5" t="inlineStr">
        <is>
          <t>Shopify Stetson México › Stetson Americas</t>
        </is>
      </c>
      <c r="B2773" s="5">
        <f>IF($I2="","",INDEX(Productos!$A:$A,$I2))</f>
        <v/>
      </c>
      <c r="C2773" s="134" t="inlineStr">
        <is>
          <t>SFS250-7542E571</t>
        </is>
      </c>
      <c r="D2773" s="5">
        <f>IF($I2="","",INDEX(Productos!$B:$B,$I2))</f>
        <v/>
      </c>
      <c r="E2773" s="5">
        <f>IF($I2="","",INDEX(Productos!$H:$H,$I2))</f>
        <v/>
      </c>
      <c r="F2773" s="5">
        <f>IF($I2="","",INDEX(Productos!$I:$I,$I2))</f>
        <v/>
      </c>
      <c r="G2773" s="135" t="n">
        <v>1</v>
      </c>
      <c r="H2773" s="5">
        <f>IF($I2="","",INDEX(Productos!$AG:$AG,$I2))</f>
        <v/>
      </c>
      <c r="I2773" s="136">
        <f>LET(_xlpm.r,Productos!$E$2:$E$2509,_xlpm.m,IFERROR(_xlfn.XMATCH(C2773,_xlpm.r),IFERROR(_xlfn.XMATCH(VALUE(C2773),_xlpm.r),0)),IF(_xlpm.m=0,"",_xlpm.m+1))</f>
        <v/>
      </c>
      <c r="J2773" s="137" t="inlineStr">
        <is>
          <t>Shopify</t>
        </is>
      </c>
    </row>
    <row r="2774">
      <c r="A2774" s="5" t="inlineStr">
        <is>
          <t>Shopify Stetson México › Stetson Americas</t>
        </is>
      </c>
      <c r="B2774" s="5">
        <f>IF($I2="","",INDEX(Productos!$A:$A,$I2))</f>
        <v/>
      </c>
      <c r="C2774" s="134" t="inlineStr">
        <is>
          <t>SFSHAS-01400767</t>
        </is>
      </c>
      <c r="D2774" s="5">
        <f>IF($I2="","",INDEX(Productos!$B:$B,$I2))</f>
        <v/>
      </c>
      <c r="E2774" s="5">
        <f>IF($I2="","",INDEX(Productos!$H:$H,$I2))</f>
        <v/>
      </c>
      <c r="F2774" s="5">
        <f>IF($I2="","",INDEX(Productos!$I:$I,$I2))</f>
        <v/>
      </c>
      <c r="G2774" s="135" t="n">
        <v>1</v>
      </c>
      <c r="H2774" s="5">
        <f>IF($I2="","",INDEX(Productos!$AG:$AG,$I2))</f>
        <v/>
      </c>
      <c r="I2774" s="136">
        <f>LET(_xlpm.r,Productos!$E$2:$E$2509,_xlpm.m,IFERROR(_xlfn.XMATCH(C2774,_xlpm.r),IFERROR(_xlfn.XMATCH(VALUE(C2774),_xlpm.r),0)),IF(_xlpm.m=0,"",_xlpm.m+1))</f>
        <v/>
      </c>
      <c r="J2774" s="137" t="inlineStr">
        <is>
          <t>Shopify</t>
        </is>
      </c>
    </row>
    <row r="2775">
      <c r="A2775" s="5" t="inlineStr">
        <is>
          <t>Shopify Stetson México › Stetson Americas</t>
        </is>
      </c>
      <c r="B2775" s="5">
        <f>IF($I2="","",INDEX(Productos!$A:$A,$I2))</f>
        <v/>
      </c>
      <c r="C2775" s="134" t="inlineStr">
        <is>
          <t>SFSHAS-01400770</t>
        </is>
      </c>
      <c r="D2775" s="5">
        <f>IF($I2="","",INDEX(Productos!$B:$B,$I2))</f>
        <v/>
      </c>
      <c r="E2775" s="5">
        <f>IF($I2="","",INDEX(Productos!$H:$H,$I2))</f>
        <v/>
      </c>
      <c r="F2775" s="5">
        <f>IF($I2="","",INDEX(Productos!$I:$I,$I2))</f>
        <v/>
      </c>
      <c r="G2775" s="135" t="n">
        <v>1</v>
      </c>
      <c r="H2775" s="5">
        <f>IF($I2="","",INDEX(Productos!$AG:$AG,$I2))</f>
        <v/>
      </c>
      <c r="I2775" s="136">
        <f>LET(_xlpm.r,Productos!$E$2:$E$2509,_xlpm.m,IFERROR(_xlfn.XMATCH(C2775,_xlpm.r),IFERROR(_xlfn.XMATCH(VALUE(C2775),_xlpm.r),0)),IF(_xlpm.m=0,"",_xlpm.m+1))</f>
        <v/>
      </c>
      <c r="J2775" s="137" t="inlineStr">
        <is>
          <t>Shopify</t>
        </is>
      </c>
    </row>
    <row r="2776">
      <c r="A2776" s="5" t="inlineStr">
        <is>
          <t>Shopify Stetson México › Stetson Americas</t>
        </is>
      </c>
      <c r="B2776" s="5">
        <f>IF($I2="","",INDEX(Productos!$A:$A,$I2))</f>
        <v/>
      </c>
      <c r="C2776" s="134" t="inlineStr">
        <is>
          <t>SFSHAS-01400771</t>
        </is>
      </c>
      <c r="D2776" s="5">
        <f>IF($I2="","",INDEX(Productos!$B:$B,$I2))</f>
        <v/>
      </c>
      <c r="E2776" s="5">
        <f>IF($I2="","",INDEX(Productos!$H:$H,$I2))</f>
        <v/>
      </c>
      <c r="F2776" s="5">
        <f>IF($I2="","",INDEX(Productos!$I:$I,$I2))</f>
        <v/>
      </c>
      <c r="G2776" s="135" t="n">
        <v>1</v>
      </c>
      <c r="H2776" s="5">
        <f>IF($I2="","",INDEX(Productos!$AG:$AG,$I2))</f>
        <v/>
      </c>
      <c r="I2776" s="136">
        <f>LET(_xlpm.r,Productos!$E$2:$E$2509,_xlpm.m,IFERROR(_xlfn.XMATCH(C2776,_xlpm.r),IFERROR(_xlfn.XMATCH(VALUE(C2776),_xlpm.r),0)),IF(_xlpm.m=0,"",_xlpm.m+1))</f>
        <v/>
      </c>
      <c r="J2776" s="137" t="inlineStr">
        <is>
          <t>Shopify</t>
        </is>
      </c>
    </row>
    <row r="2777">
      <c r="A2777" s="5" t="inlineStr">
        <is>
          <t>Shopify Stetson México › Stetson Americas</t>
        </is>
      </c>
      <c r="B2777" s="5">
        <f>IF($I2="","",INDEX(Productos!$A:$A,$I2))</f>
        <v/>
      </c>
      <c r="C2777" s="134" t="inlineStr">
        <is>
          <t>SFSHAS-01400774</t>
        </is>
      </c>
      <c r="D2777" s="5">
        <f>IF($I2="","",INDEX(Productos!$B:$B,$I2))</f>
        <v/>
      </c>
      <c r="E2777" s="5">
        <f>IF($I2="","",INDEX(Productos!$H:$H,$I2))</f>
        <v/>
      </c>
      <c r="F2777" s="5">
        <f>IF($I2="","",INDEX(Productos!$I:$I,$I2))</f>
        <v/>
      </c>
      <c r="G2777" s="135" t="n">
        <v>1</v>
      </c>
      <c r="H2777" s="5">
        <f>IF($I2="","",INDEX(Productos!$AG:$AG,$I2))</f>
        <v/>
      </c>
      <c r="I2777" s="136">
        <f>LET(_xlpm.r,Productos!$E$2:$E$2509,_xlpm.m,IFERROR(_xlfn.XMATCH(C2777,_xlpm.r),IFERROR(_xlfn.XMATCH(VALUE(C2777),_xlpm.r),0)),IF(_xlpm.m=0,"",_xlpm.m+1))</f>
        <v/>
      </c>
      <c r="J2777" s="137" t="inlineStr">
        <is>
          <t>Shopify</t>
        </is>
      </c>
    </row>
    <row r="2778">
      <c r="A2778" s="5" t="inlineStr">
        <is>
          <t>Shopify Stetson México › Stetson Americas</t>
        </is>
      </c>
      <c r="B2778" s="5">
        <f>IF($I2="","",INDEX(Productos!$A:$A,$I2))</f>
        <v/>
      </c>
      <c r="C2778" s="134" t="inlineStr">
        <is>
          <t>SFSHAS-75400767</t>
        </is>
      </c>
      <c r="D2778" s="5">
        <f>IF($I2="","",INDEX(Productos!$B:$B,$I2))</f>
        <v/>
      </c>
      <c r="E2778" s="5">
        <f>IF($I2="","",INDEX(Productos!$H:$H,$I2))</f>
        <v/>
      </c>
      <c r="F2778" s="5">
        <f>IF($I2="","",INDEX(Productos!$I:$I,$I2))</f>
        <v/>
      </c>
      <c r="G2778" s="135" t="n">
        <v>1</v>
      </c>
      <c r="H2778" s="5">
        <f>IF($I2="","",INDEX(Productos!$AG:$AG,$I2))</f>
        <v/>
      </c>
      <c r="I2778" s="136">
        <f>LET(_xlpm.r,Productos!$E$2:$E$2509,_xlpm.m,IFERROR(_xlfn.XMATCH(C2778,_xlpm.r),IFERROR(_xlfn.XMATCH(VALUE(C2778),_xlpm.r),0)),IF(_xlpm.m=0,"",_xlpm.m+1))</f>
        <v/>
      </c>
      <c r="J2778" s="137" t="inlineStr">
        <is>
          <t>Shopify</t>
        </is>
      </c>
    </row>
    <row r="2779">
      <c r="A2779" s="5" t="inlineStr">
        <is>
          <t>Shopify Stetson México › Stetson Americas</t>
        </is>
      </c>
      <c r="B2779" s="5">
        <f>IF($I2="","",INDEX(Productos!$A:$A,$I2))</f>
        <v/>
      </c>
      <c r="C2779" s="134" t="inlineStr">
        <is>
          <t>SFSHAS-75400770</t>
        </is>
      </c>
      <c r="D2779" s="5">
        <f>IF($I2="","",INDEX(Productos!$B:$B,$I2))</f>
        <v/>
      </c>
      <c r="E2779" s="5">
        <f>IF($I2="","",INDEX(Productos!$H:$H,$I2))</f>
        <v/>
      </c>
      <c r="F2779" s="5">
        <f>IF($I2="","",INDEX(Productos!$I:$I,$I2))</f>
        <v/>
      </c>
      <c r="G2779" s="135" t="n">
        <v>1</v>
      </c>
      <c r="H2779" s="5">
        <f>IF($I2="","",INDEX(Productos!$AG:$AG,$I2))</f>
        <v/>
      </c>
      <c r="I2779" s="136">
        <f>LET(_xlpm.r,Productos!$E$2:$E$2509,_xlpm.m,IFERROR(_xlfn.XMATCH(C2779,_xlpm.r),IFERROR(_xlfn.XMATCH(VALUE(C2779),_xlpm.r),0)),IF(_xlpm.m=0,"",_xlpm.m+1))</f>
        <v/>
      </c>
      <c r="J2779" s="137" t="inlineStr">
        <is>
          <t>Shopify</t>
        </is>
      </c>
    </row>
    <row r="2780">
      <c r="A2780" s="5" t="inlineStr">
        <is>
          <t>Shopify Stetson México › Stetson Americas</t>
        </is>
      </c>
      <c r="B2780" s="5">
        <f>IF($I2="","",INDEX(Productos!$A:$A,$I2))</f>
        <v/>
      </c>
      <c r="C2780" s="134" t="inlineStr">
        <is>
          <t>SFSHAS-75400771</t>
        </is>
      </c>
      <c r="D2780" s="5">
        <f>IF($I2="","",INDEX(Productos!$B:$B,$I2))</f>
        <v/>
      </c>
      <c r="E2780" s="5">
        <f>IF($I2="","",INDEX(Productos!$H:$H,$I2))</f>
        <v/>
      </c>
      <c r="F2780" s="5">
        <f>IF($I2="","",INDEX(Productos!$I:$I,$I2))</f>
        <v/>
      </c>
      <c r="G2780" s="135" t="n">
        <v>1</v>
      </c>
      <c r="H2780" s="5">
        <f>IF($I2="","",INDEX(Productos!$AG:$AG,$I2))</f>
        <v/>
      </c>
      <c r="I2780" s="136">
        <f>LET(_xlpm.r,Productos!$E$2:$E$2509,_xlpm.m,IFERROR(_xlfn.XMATCH(C2780,_xlpm.r),IFERROR(_xlfn.XMATCH(VALUE(C2780),_xlpm.r),0)),IF(_xlpm.m=0,"",_xlpm.m+1))</f>
        <v/>
      </c>
      <c r="J2780" s="137" t="inlineStr">
        <is>
          <t>Shopify</t>
        </is>
      </c>
    </row>
    <row r="2781">
      <c r="A2781" s="5" t="inlineStr">
        <is>
          <t>Shopify Stetson México › Stetson Americas</t>
        </is>
      </c>
      <c r="B2781" s="5">
        <f>IF($I2="","",INDEX(Productos!$A:$A,$I2))</f>
        <v/>
      </c>
      <c r="C2781" s="134" t="inlineStr">
        <is>
          <t>SFSHAS-75400772</t>
        </is>
      </c>
      <c r="D2781" s="5">
        <f>IF($I2="","",INDEX(Productos!$B:$B,$I2))</f>
        <v/>
      </c>
      <c r="E2781" s="5">
        <f>IF($I2="","",INDEX(Productos!$H:$H,$I2))</f>
        <v/>
      </c>
      <c r="F2781" s="5">
        <f>IF($I2="","",INDEX(Productos!$I:$I,$I2))</f>
        <v/>
      </c>
      <c r="G2781" s="135" t="n">
        <v>1</v>
      </c>
      <c r="H2781" s="5">
        <f>IF($I2="","",INDEX(Productos!$AG:$AG,$I2))</f>
        <v/>
      </c>
      <c r="I2781" s="136">
        <f>LET(_xlpm.r,Productos!$E$2:$E$2509,_xlpm.m,IFERROR(_xlfn.XMATCH(C2781,_xlpm.r),IFERROR(_xlfn.XMATCH(VALUE(C2781),_xlpm.r),0)),IF(_xlpm.m=0,"",_xlpm.m+1))</f>
        <v/>
      </c>
      <c r="J2781" s="137" t="inlineStr">
        <is>
          <t>Shopify</t>
        </is>
      </c>
    </row>
    <row r="2782">
      <c r="A2782" s="5" t="inlineStr">
        <is>
          <t>Shopify Stetson México › Stetson Americas</t>
        </is>
      </c>
      <c r="B2782" s="5">
        <f>IF($I2="","",INDEX(Productos!$A:$A,$I2))</f>
        <v/>
      </c>
      <c r="C2782" s="134" t="inlineStr">
        <is>
          <t>SFSHAS-75406171</t>
        </is>
      </c>
      <c r="D2782" s="5">
        <f>IF($I2="","",INDEX(Productos!$B:$B,$I2))</f>
        <v/>
      </c>
      <c r="E2782" s="5">
        <f>IF($I2="","",INDEX(Productos!$H:$H,$I2))</f>
        <v/>
      </c>
      <c r="F2782" s="5">
        <f>IF($I2="","",INDEX(Productos!$I:$I,$I2))</f>
        <v/>
      </c>
      <c r="G2782" s="135" t="n">
        <v>1</v>
      </c>
      <c r="H2782" s="5">
        <f>IF($I2="","",INDEX(Productos!$AG:$AG,$I2))</f>
        <v/>
      </c>
      <c r="I2782" s="136">
        <f>LET(_xlpm.r,Productos!$E$2:$E$2509,_xlpm.m,IFERROR(_xlfn.XMATCH(C2782,_xlpm.r),IFERROR(_xlfn.XMATCH(VALUE(C2782),_xlpm.r),0)),IF(_xlpm.m=0,"",_xlpm.m+1))</f>
        <v/>
      </c>
      <c r="J2782" s="137" t="inlineStr">
        <is>
          <t>Shopify</t>
        </is>
      </c>
    </row>
    <row r="2783">
      <c r="A2783" s="5" t="inlineStr">
        <is>
          <t>Shopify Stetson México › Stetson Americas</t>
        </is>
      </c>
      <c r="B2783" s="5">
        <f>IF($I2="","",INDEX(Productos!$A:$A,$I2))</f>
        <v/>
      </c>
      <c r="C2783" s="134" t="inlineStr">
        <is>
          <t>SFSKYL-72400771</t>
        </is>
      </c>
      <c r="D2783" s="5">
        <f>IF($I2="","",INDEX(Productos!$B:$B,$I2))</f>
        <v/>
      </c>
      <c r="E2783" s="5">
        <f>IF($I2="","",INDEX(Productos!$H:$H,$I2))</f>
        <v/>
      </c>
      <c r="F2783" s="5">
        <f>IF($I2="","",INDEX(Productos!$I:$I,$I2))</f>
        <v/>
      </c>
      <c r="G2783" s="135" t="n">
        <v>1</v>
      </c>
      <c r="H2783" s="5">
        <f>IF($I2="","",INDEX(Productos!$AG:$AG,$I2))</f>
        <v/>
      </c>
      <c r="I2783" s="136">
        <f>LET(_xlpm.r,Productos!$E$2:$E$2509,_xlpm.m,IFERROR(_xlfn.XMATCH(C2783,_xlpm.r),IFERROR(_xlfn.XMATCH(VALUE(C2783),_xlpm.r),0)),IF(_xlpm.m=0,"",_xlpm.m+1))</f>
        <v/>
      </c>
      <c r="J2783" s="137" t="inlineStr">
        <is>
          <t>Shopify</t>
        </is>
      </c>
    </row>
    <row r="2784">
      <c r="A2784" s="5" t="inlineStr">
        <is>
          <t>Shopify Stetson México › Stetson Americas</t>
        </is>
      </c>
      <c r="B2784" s="5">
        <f>IF($I2="","",INDEX(Productos!$A:$A,$I2))</f>
        <v/>
      </c>
      <c r="C2784" s="134" t="inlineStr">
        <is>
          <t>SFSKYL-72400774</t>
        </is>
      </c>
      <c r="D2784" s="5">
        <f>IF($I2="","",INDEX(Productos!$B:$B,$I2))</f>
        <v/>
      </c>
      <c r="E2784" s="5">
        <f>IF($I2="","",INDEX(Productos!$H:$H,$I2))</f>
        <v/>
      </c>
      <c r="F2784" s="5">
        <f>IF($I2="","",INDEX(Productos!$I:$I,$I2))</f>
        <v/>
      </c>
      <c r="G2784" s="135" t="n">
        <v>1</v>
      </c>
      <c r="H2784" s="5">
        <f>IF($I2="","",INDEX(Productos!$AG:$AG,$I2))</f>
        <v/>
      </c>
      <c r="I2784" s="136">
        <f>LET(_xlpm.r,Productos!$E$2:$E$2509,_xlpm.m,IFERROR(_xlfn.XMATCH(C2784,_xlpm.r),IFERROR(_xlfn.XMATCH(VALUE(C2784),_xlpm.r),0)),IF(_xlpm.m=0,"",_xlpm.m+1))</f>
        <v/>
      </c>
      <c r="J2784" s="137" t="inlineStr">
        <is>
          <t>Shopify</t>
        </is>
      </c>
    </row>
    <row r="2785">
      <c r="A2785" s="5" t="inlineStr">
        <is>
          <t>Shopify Stetson México › Stetson Americas</t>
        </is>
      </c>
      <c r="B2785" s="5">
        <f>IF($I2="","",INDEX(Productos!$A:$A,$I2))</f>
        <v/>
      </c>
      <c r="C2785" s="134" t="inlineStr">
        <is>
          <t>SFSKYL-72404972</t>
        </is>
      </c>
      <c r="D2785" s="5">
        <f>IF($I2="","",INDEX(Productos!$B:$B,$I2))</f>
        <v/>
      </c>
      <c r="E2785" s="5">
        <f>IF($I2="","",INDEX(Productos!$H:$H,$I2))</f>
        <v/>
      </c>
      <c r="F2785" s="5">
        <f>IF($I2="","",INDEX(Productos!$I:$I,$I2))</f>
        <v/>
      </c>
      <c r="G2785" s="135" t="n">
        <v>1</v>
      </c>
      <c r="H2785" s="5">
        <f>IF($I2="","",INDEX(Productos!$AG:$AG,$I2))</f>
        <v/>
      </c>
      <c r="I2785" s="136">
        <f>LET(_xlpm.r,Productos!$E$2:$E$2509,_xlpm.m,IFERROR(_xlfn.XMATCH(C2785,_xlpm.r),IFERROR(_xlfn.XMATCH(VALUE(C2785),_xlpm.r),0)),IF(_xlpm.m=0,"",_xlpm.m+1))</f>
        <v/>
      </c>
      <c r="J2785" s="137" t="inlineStr">
        <is>
          <t>Shopify</t>
        </is>
      </c>
    </row>
    <row r="2786">
      <c r="A2786" s="5" t="inlineStr">
        <is>
          <t>Shopify Stetson México › Stetson Americas</t>
        </is>
      </c>
      <c r="B2786" s="5">
        <f>IF($I2="","",INDEX(Productos!$A:$A,$I2))</f>
        <v/>
      </c>
      <c r="C2786" s="134" t="inlineStr">
        <is>
          <t>SFSKYL-72406173</t>
        </is>
      </c>
      <c r="D2786" s="5">
        <f>IF($I2="","",INDEX(Productos!$B:$B,$I2))</f>
        <v/>
      </c>
      <c r="E2786" s="5">
        <f>IF($I2="","",INDEX(Productos!$H:$H,$I2))</f>
        <v/>
      </c>
      <c r="F2786" s="5">
        <f>IF($I2="","",INDEX(Productos!$I:$I,$I2))</f>
        <v/>
      </c>
      <c r="G2786" s="135" t="n">
        <v>1</v>
      </c>
      <c r="H2786" s="5">
        <f>IF($I2="","",INDEX(Productos!$AG:$AG,$I2))</f>
        <v/>
      </c>
      <c r="I2786" s="136">
        <f>LET(_xlpm.r,Productos!$E$2:$E$2509,_xlpm.m,IFERROR(_xlfn.XMATCH(C2786,_xlpm.r),IFERROR(_xlfn.XMATCH(VALUE(C2786),_xlpm.r),0)),IF(_xlpm.m=0,"",_xlpm.m+1))</f>
        <v/>
      </c>
      <c r="J2786" s="137" t="inlineStr">
        <is>
          <t>Shopify</t>
        </is>
      </c>
    </row>
    <row r="2787">
      <c r="A2787" s="5" t="inlineStr">
        <is>
          <t>Shopify Stetson México › Stetson Americas</t>
        </is>
      </c>
      <c r="B2787" s="5">
        <f>IF($I2="","",INDEX(Productos!$A:$A,$I2))</f>
        <v/>
      </c>
      <c r="C2787" s="134" t="inlineStr">
        <is>
          <t>SFSKYL-75400770</t>
        </is>
      </c>
      <c r="D2787" s="5">
        <f>IF($I2="","",INDEX(Productos!$B:$B,$I2))</f>
        <v/>
      </c>
      <c r="E2787" s="5">
        <f>IF($I2="","",INDEX(Productos!$H:$H,$I2))</f>
        <v/>
      </c>
      <c r="F2787" s="5">
        <f>IF($I2="","",INDEX(Productos!$I:$I,$I2))</f>
        <v/>
      </c>
      <c r="G2787" s="135" t="n">
        <v>1</v>
      </c>
      <c r="H2787" s="5">
        <f>IF($I2="","",INDEX(Productos!$AG:$AG,$I2))</f>
        <v/>
      </c>
      <c r="I2787" s="136">
        <f>LET(_xlpm.r,Productos!$E$2:$E$2509,_xlpm.m,IFERROR(_xlfn.XMATCH(C2787,_xlpm.r),IFERROR(_xlfn.XMATCH(VALUE(C2787),_xlpm.r),0)),IF(_xlpm.m=0,"",_xlpm.m+1))</f>
        <v/>
      </c>
      <c r="J2787" s="137" t="inlineStr">
        <is>
          <t>Shopify</t>
        </is>
      </c>
    </row>
    <row r="2788">
      <c r="A2788" s="5" t="inlineStr">
        <is>
          <t>Shopify Stetson México › Stetson Americas</t>
        </is>
      </c>
      <c r="B2788" s="5">
        <f>IF($I2="","",INDEX(Productos!$A:$A,$I2))</f>
        <v/>
      </c>
      <c r="C2788" s="134" t="inlineStr">
        <is>
          <t>SFSKYL-75402270</t>
        </is>
      </c>
      <c r="D2788" s="5">
        <f>IF($I2="","",INDEX(Productos!$B:$B,$I2))</f>
        <v/>
      </c>
      <c r="E2788" s="5">
        <f>IF($I2="","",INDEX(Productos!$H:$H,$I2))</f>
        <v/>
      </c>
      <c r="F2788" s="5">
        <f>IF($I2="","",INDEX(Productos!$I:$I,$I2))</f>
        <v/>
      </c>
      <c r="G2788" s="135" t="n">
        <v>2</v>
      </c>
      <c r="H2788" s="5">
        <f>IF($I2="","",INDEX(Productos!$AG:$AG,$I2))</f>
        <v/>
      </c>
      <c r="I2788" s="136">
        <f>LET(_xlpm.r,Productos!$E$2:$E$2509,_xlpm.m,IFERROR(_xlfn.XMATCH(C2788,_xlpm.r),IFERROR(_xlfn.XMATCH(VALUE(C2788),_xlpm.r),0)),IF(_xlpm.m=0,"",_xlpm.m+1))</f>
        <v/>
      </c>
      <c r="J2788" s="137" t="inlineStr">
        <is>
          <t>Shopify</t>
        </is>
      </c>
    </row>
    <row r="2789">
      <c r="A2789" s="5" t="inlineStr">
        <is>
          <t>Shopify Stetson México › Stetson Americas</t>
        </is>
      </c>
      <c r="B2789" s="5">
        <f>IF($I2="","",INDEX(Productos!$A:$A,$I2))</f>
        <v/>
      </c>
      <c r="C2789" s="134" t="inlineStr">
        <is>
          <t>SFSKYL-75404967</t>
        </is>
      </c>
      <c r="D2789" s="5">
        <f>IF($I2="","",INDEX(Productos!$B:$B,$I2))</f>
        <v/>
      </c>
      <c r="E2789" s="5">
        <f>IF($I2="","",INDEX(Productos!$H:$H,$I2))</f>
        <v/>
      </c>
      <c r="F2789" s="5">
        <f>IF($I2="","",INDEX(Productos!$I:$I,$I2))</f>
        <v/>
      </c>
      <c r="G2789" s="135" t="n">
        <v>1</v>
      </c>
      <c r="H2789" s="5">
        <f>IF($I2="","",INDEX(Productos!$AG:$AG,$I2))</f>
        <v/>
      </c>
      <c r="I2789" s="136">
        <f>LET(_xlpm.r,Productos!$E$2:$E$2509,_xlpm.m,IFERROR(_xlfn.XMATCH(C2789,_xlpm.r),IFERROR(_xlfn.XMATCH(VALUE(C2789),_xlpm.r),0)),IF(_xlpm.m=0,"",_xlpm.m+1))</f>
        <v/>
      </c>
      <c r="J2789" s="137" t="inlineStr">
        <is>
          <t>Shopify</t>
        </is>
      </c>
    </row>
    <row r="2790">
      <c r="A2790" s="5" t="inlineStr">
        <is>
          <t>Shopify Stetson México › Stetson Americas</t>
        </is>
      </c>
      <c r="B2790" s="5">
        <f>IF($I2="","",INDEX(Productos!$A:$A,$I2))</f>
        <v/>
      </c>
      <c r="C2790" s="134" t="inlineStr">
        <is>
          <t>SFSKYL-75404971</t>
        </is>
      </c>
      <c r="D2790" s="5">
        <f>IF($I2="","",INDEX(Productos!$B:$B,$I2))</f>
        <v/>
      </c>
      <c r="E2790" s="5">
        <f>IF($I2="","",INDEX(Productos!$H:$H,$I2))</f>
        <v/>
      </c>
      <c r="F2790" s="5">
        <f>IF($I2="","",INDEX(Productos!$I:$I,$I2))</f>
        <v/>
      </c>
      <c r="G2790" s="135" t="n">
        <v>2</v>
      </c>
      <c r="H2790" s="5">
        <f>IF($I2="","",INDEX(Productos!$AG:$AG,$I2))</f>
        <v/>
      </c>
      <c r="I2790" s="136">
        <f>LET(_xlpm.r,Productos!$E$2:$E$2509,_xlpm.m,IFERROR(_xlfn.XMATCH(C2790,_xlpm.r),IFERROR(_xlfn.XMATCH(VALUE(C2790),_xlpm.r),0)),IF(_xlpm.m=0,"",_xlpm.m+1))</f>
        <v/>
      </c>
      <c r="J2790" s="137" t="inlineStr">
        <is>
          <t>Shopify</t>
        </is>
      </c>
    </row>
    <row r="2791">
      <c r="A2791" s="5" t="inlineStr">
        <is>
          <t>Shopify Stetson México › Stetson Americas</t>
        </is>
      </c>
      <c r="B2791" s="5">
        <f>IF($I2="","",INDEX(Productos!$A:$A,$I2))</f>
        <v/>
      </c>
      <c r="C2791" s="134" t="inlineStr">
        <is>
          <t>SFSKYL-7540E570</t>
        </is>
      </c>
      <c r="D2791" s="5">
        <f>IF($I2="","",INDEX(Productos!$B:$B,$I2))</f>
        <v/>
      </c>
      <c r="E2791" s="5">
        <f>IF($I2="","",INDEX(Productos!$H:$H,$I2))</f>
        <v/>
      </c>
      <c r="F2791" s="5">
        <f>IF($I2="","",INDEX(Productos!$I:$I,$I2))</f>
        <v/>
      </c>
      <c r="G2791" s="135" t="n">
        <v>1</v>
      </c>
      <c r="H2791" s="5">
        <f>IF($I2="","",INDEX(Productos!$AG:$AG,$I2))</f>
        <v/>
      </c>
      <c r="I2791" s="136">
        <f>LET(_xlpm.r,Productos!$E$2:$E$2509,_xlpm.m,IFERROR(_xlfn.XMATCH(C2791,_xlpm.r),IFERROR(_xlfn.XMATCH(VALUE(C2791),_xlpm.r),0)),IF(_xlpm.m=0,"",_xlpm.m+1))</f>
        <v/>
      </c>
      <c r="J2791" s="137" t="inlineStr">
        <is>
          <t>Shopify</t>
        </is>
      </c>
    </row>
    <row r="2792">
      <c r="A2792" s="5" t="inlineStr">
        <is>
          <t>Shopify Stetson México › Stetson Americas</t>
        </is>
      </c>
      <c r="B2792" s="5">
        <f>IF($I2="","",INDEX(Productos!$A:$A,$I2))</f>
        <v/>
      </c>
      <c r="C2792" s="134" t="inlineStr">
        <is>
          <t>SFSKYL-7540E571</t>
        </is>
      </c>
      <c r="D2792" s="5">
        <f>IF($I2="","",INDEX(Productos!$B:$B,$I2))</f>
        <v/>
      </c>
      <c r="E2792" s="5">
        <f>IF($I2="","",INDEX(Productos!$H:$H,$I2))</f>
        <v/>
      </c>
      <c r="F2792" s="5">
        <f>IF($I2="","",INDEX(Productos!$I:$I,$I2))</f>
        <v/>
      </c>
      <c r="G2792" s="135" t="n">
        <v>1</v>
      </c>
      <c r="H2792" s="5">
        <f>IF($I2="","",INDEX(Productos!$AG:$AG,$I2))</f>
        <v/>
      </c>
      <c r="I2792" s="136">
        <f>LET(_xlpm.r,Productos!$E$2:$E$2509,_xlpm.m,IFERROR(_xlfn.XMATCH(C2792,_xlpm.r),IFERROR(_xlfn.XMATCH(VALUE(C2792),_xlpm.r),0)),IF(_xlpm.m=0,"",_xlpm.m+1))</f>
        <v/>
      </c>
      <c r="J2792" s="137" t="inlineStr">
        <is>
          <t>Shopify</t>
        </is>
      </c>
    </row>
    <row r="2793">
      <c r="A2793" s="5" t="inlineStr">
        <is>
          <t>Shopify Stetson México › Stetson Americas</t>
        </is>
      </c>
      <c r="B2793" s="5">
        <f>IF($I2="","",INDEX(Productos!$A:$A,$I2))</f>
        <v/>
      </c>
      <c r="C2793" s="134" t="inlineStr">
        <is>
          <t>SFSKYL-7540E573</t>
        </is>
      </c>
      <c r="D2793" s="5">
        <f>IF($I2="","",INDEX(Productos!$B:$B,$I2))</f>
        <v/>
      </c>
      <c r="E2793" s="5">
        <f>IF($I2="","",INDEX(Productos!$H:$H,$I2))</f>
        <v/>
      </c>
      <c r="F2793" s="5">
        <f>IF($I2="","",INDEX(Productos!$I:$I,$I2))</f>
        <v/>
      </c>
      <c r="G2793" s="135" t="n">
        <v>1</v>
      </c>
      <c r="H2793" s="5">
        <f>IF($I2="","",INDEX(Productos!$AG:$AG,$I2))</f>
        <v/>
      </c>
      <c r="I2793" s="136">
        <f>LET(_xlpm.r,Productos!$E$2:$E$2509,_xlpm.m,IFERROR(_xlfn.XMATCH(C2793,_xlpm.r),IFERROR(_xlfn.XMATCH(VALUE(C2793),_xlpm.r),0)),IF(_xlpm.m=0,"",_xlpm.m+1))</f>
        <v/>
      </c>
      <c r="J2793" s="137" t="inlineStr">
        <is>
          <t>Shopify</t>
        </is>
      </c>
    </row>
    <row r="2794">
      <c r="A2794" s="5" t="inlineStr">
        <is>
          <t>Shopify Stetson México › Stetson Americas</t>
        </is>
      </c>
      <c r="B2794" s="5">
        <f>IF($I2="","",INDEX(Productos!$A:$A,$I2))</f>
        <v/>
      </c>
      <c r="C2794" s="134" t="inlineStr">
        <is>
          <t>SFTMIXB28506167</t>
        </is>
      </c>
      <c r="D2794" s="5">
        <f>IF($I2="","",INDEX(Productos!$B:$B,$I2))</f>
        <v/>
      </c>
      <c r="E2794" s="5">
        <f>IF($I2="","",INDEX(Productos!$H:$H,$I2))</f>
        <v/>
      </c>
      <c r="F2794" s="5">
        <f>IF($I2="","",INDEX(Productos!$I:$I,$I2))</f>
        <v/>
      </c>
      <c r="G2794" s="135" t="n">
        <v>1</v>
      </c>
      <c r="H2794" s="5">
        <f>IF($I2="","",INDEX(Productos!$AG:$AG,$I2))</f>
        <v/>
      </c>
      <c r="I2794" s="136">
        <f>LET(_xlpm.r,Productos!$E$2:$E$2509,_xlpm.m,IFERROR(_xlfn.XMATCH(C2794,_xlpm.r),IFERROR(_xlfn.XMATCH(VALUE(C2794),_xlpm.r),0)),IF(_xlpm.m=0,"",_xlpm.m+1))</f>
        <v/>
      </c>
      <c r="J2794" s="137" t="inlineStr">
        <is>
          <t>Shopify</t>
        </is>
      </c>
    </row>
    <row r="2795">
      <c r="A2795" s="5" t="inlineStr">
        <is>
          <t>Shopify Stetson México › Stetson Americas</t>
        </is>
      </c>
      <c r="B2795" s="5">
        <f>IF($I2="","",INDEX(Productos!$A:$A,$I2))</f>
        <v/>
      </c>
      <c r="C2795" s="134" t="inlineStr">
        <is>
          <t>SFTMIXB28506170</t>
        </is>
      </c>
      <c r="D2795" s="5">
        <f>IF($I2="","",INDEX(Productos!$B:$B,$I2))</f>
        <v/>
      </c>
      <c r="E2795" s="5">
        <f>IF($I2="","",INDEX(Productos!$H:$H,$I2))</f>
        <v/>
      </c>
      <c r="F2795" s="5">
        <f>IF($I2="","",INDEX(Productos!$I:$I,$I2))</f>
        <v/>
      </c>
      <c r="G2795" s="135" t="n">
        <v>1</v>
      </c>
      <c r="H2795" s="5">
        <f>IF($I2="","",INDEX(Productos!$AG:$AG,$I2))</f>
        <v/>
      </c>
      <c r="I2795" s="136">
        <f>LET(_xlpm.r,Productos!$E$2:$E$2509,_xlpm.m,IFERROR(_xlfn.XMATCH(C2795,_xlpm.r),IFERROR(_xlfn.XMATCH(VALUE(C2795),_xlpm.r),0)),IF(_xlpm.m=0,"",_xlpm.m+1))</f>
        <v/>
      </c>
      <c r="J2795" s="137" t="inlineStr">
        <is>
          <t>Shopify</t>
        </is>
      </c>
    </row>
    <row r="2796">
      <c r="A2796" s="5" t="inlineStr">
        <is>
          <t>Shopify Stetson México › Stetson Americas</t>
        </is>
      </c>
      <c r="B2796" s="5">
        <f>IF($I2="","",INDEX(Productos!$A:$A,$I2))</f>
        <v/>
      </c>
      <c r="C2796" s="134" t="inlineStr">
        <is>
          <t>SFTMIXB28506171</t>
        </is>
      </c>
      <c r="D2796" s="5">
        <f>IF($I2="","",INDEX(Productos!$B:$B,$I2))</f>
        <v/>
      </c>
      <c r="E2796" s="5">
        <f>IF($I2="","",INDEX(Productos!$H:$H,$I2))</f>
        <v/>
      </c>
      <c r="F2796" s="5">
        <f>IF($I2="","",INDEX(Productos!$I:$I,$I2))</f>
        <v/>
      </c>
      <c r="G2796" s="135" t="n">
        <v>1</v>
      </c>
      <c r="H2796" s="5">
        <f>IF($I2="","",INDEX(Productos!$AG:$AG,$I2))</f>
        <v/>
      </c>
      <c r="I2796" s="136">
        <f>LET(_xlpm.r,Productos!$E$2:$E$2509,_xlpm.m,IFERROR(_xlfn.XMATCH(C2796,_xlpm.r),IFERROR(_xlfn.XMATCH(VALUE(C2796),_xlpm.r),0)),IF(_xlpm.m=0,"",_xlpm.m+1))</f>
        <v/>
      </c>
      <c r="J2796" s="137" t="inlineStr">
        <is>
          <t>Shopify</t>
        </is>
      </c>
    </row>
    <row r="2797">
      <c r="A2797" s="5" t="inlineStr">
        <is>
          <t>Shopify Stetson México › Stetson Americas</t>
        </is>
      </c>
      <c r="B2797" s="5">
        <f>IF($I2="","",INDEX(Productos!$A:$A,$I2))</f>
        <v/>
      </c>
      <c r="C2797" s="134" t="inlineStr">
        <is>
          <t>SFTMIXB28506172</t>
        </is>
      </c>
      <c r="D2797" s="5">
        <f>IF($I2="","",INDEX(Productos!$B:$B,$I2))</f>
        <v/>
      </c>
      <c r="E2797" s="5">
        <f>IF($I2="","",INDEX(Productos!$H:$H,$I2))</f>
        <v/>
      </c>
      <c r="F2797" s="5">
        <f>IF($I2="","",INDEX(Productos!$I:$I,$I2))</f>
        <v/>
      </c>
      <c r="G2797" s="135" t="n">
        <v>1</v>
      </c>
      <c r="H2797" s="5">
        <f>IF($I2="","",INDEX(Productos!$AG:$AG,$I2))</f>
        <v/>
      </c>
      <c r="I2797" s="136">
        <f>LET(_xlpm.r,Productos!$E$2:$E$2509,_xlpm.m,IFERROR(_xlfn.XMATCH(C2797,_xlpm.r),IFERROR(_xlfn.XMATCH(VALUE(C2797),_xlpm.r),0)),IF(_xlpm.m=0,"",_xlpm.m+1))</f>
        <v/>
      </c>
      <c r="J2797" s="137" t="inlineStr">
        <is>
          <t>Shopify</t>
        </is>
      </c>
    </row>
    <row r="2798">
      <c r="A2798" s="5" t="inlineStr">
        <is>
          <t>Shopify Stetson México › Stetson Americas</t>
        </is>
      </c>
      <c r="B2798" s="5">
        <f>IF($I2="","",INDEX(Productos!$A:$A,$I2))</f>
        <v/>
      </c>
      <c r="C2798" s="134" t="inlineStr">
        <is>
          <t>SSALMO-30408174</t>
        </is>
      </c>
      <c r="D2798" s="5">
        <f>IF($I2="","",INDEX(Productos!$B:$B,$I2))</f>
        <v/>
      </c>
      <c r="E2798" s="5">
        <f>IF($I2="","",INDEX(Productos!$H:$H,$I2))</f>
        <v/>
      </c>
      <c r="F2798" s="5">
        <f>IF($I2="","",INDEX(Productos!$I:$I,$I2))</f>
        <v/>
      </c>
      <c r="G2798" s="135" t="n">
        <v>1</v>
      </c>
      <c r="H2798" s="5">
        <f>IF($I2="","",INDEX(Productos!$AG:$AG,$I2))</f>
        <v/>
      </c>
      <c r="I2798" s="136">
        <f>LET(_xlpm.r,Productos!$E$2:$E$2509,_xlpm.m,IFERROR(_xlfn.XMATCH(C2798,_xlpm.r),IFERROR(_xlfn.XMATCH(VALUE(C2798),_xlpm.r),0)),IF(_xlpm.m=0,"",_xlpm.m+1))</f>
        <v/>
      </c>
      <c r="J2798" s="137" t="inlineStr">
        <is>
          <t>Shopify</t>
        </is>
      </c>
    </row>
    <row r="2799">
      <c r="A2799" s="5" t="inlineStr">
        <is>
          <t>Shopify Stetson México › Stetson Americas</t>
        </is>
      </c>
      <c r="B2799" s="5">
        <f>IF($I2="","",INDEX(Productos!$A:$A,$I2))</f>
        <v/>
      </c>
      <c r="C2799" s="134" t="inlineStr">
        <is>
          <t>SSARPH-30428172</t>
        </is>
      </c>
      <c r="D2799" s="5">
        <f>IF($I2="","",INDEX(Productos!$B:$B,$I2))</f>
        <v/>
      </c>
      <c r="E2799" s="5">
        <f>IF($I2="","",INDEX(Productos!$H:$H,$I2))</f>
        <v/>
      </c>
      <c r="F2799" s="5">
        <f>IF($I2="","",INDEX(Productos!$I:$I,$I2))</f>
        <v/>
      </c>
      <c r="G2799" s="135" t="n">
        <v>1</v>
      </c>
      <c r="H2799" s="5">
        <f>IF($I2="","",INDEX(Productos!$AG:$AG,$I2))</f>
        <v/>
      </c>
      <c r="I2799" s="136">
        <f>LET(_xlpm.r,Productos!$E$2:$E$2509,_xlpm.m,IFERROR(_xlfn.XMATCH(C2799,_xlpm.r),IFERROR(_xlfn.XMATCH(VALUE(C2799),_xlpm.r),0)),IF(_xlpm.m=0,"",_xlpm.m+1))</f>
        <v/>
      </c>
      <c r="J2799" s="137" t="inlineStr">
        <is>
          <t>Shopify</t>
        </is>
      </c>
    </row>
    <row r="2800">
      <c r="A2800" s="5" t="inlineStr">
        <is>
          <t>Shopify Stetson México › Stetson Americas</t>
        </is>
      </c>
      <c r="B2800" s="5">
        <f>IF($I2="","",INDEX(Productos!$A:$A,$I2))</f>
        <v/>
      </c>
      <c r="C2800" s="134" t="inlineStr">
        <is>
          <t>SSBKER-30428170</t>
        </is>
      </c>
      <c r="D2800" s="5">
        <f>IF($I2="","",INDEX(Productos!$B:$B,$I2))</f>
        <v/>
      </c>
      <c r="E2800" s="5">
        <f>IF($I2="","",INDEX(Productos!$H:$H,$I2))</f>
        <v/>
      </c>
      <c r="F2800" s="5">
        <f>IF($I2="","",INDEX(Productos!$I:$I,$I2))</f>
        <v/>
      </c>
      <c r="G2800" s="135" t="n">
        <v>1</v>
      </c>
      <c r="H2800" s="5">
        <f>IF($I2="","",INDEX(Productos!$AG:$AG,$I2))</f>
        <v/>
      </c>
      <c r="I2800" s="136">
        <f>LET(_xlpm.r,Productos!$E$2:$E$2509,_xlpm.m,IFERROR(_xlfn.XMATCH(C2800,_xlpm.r),IFERROR(_xlfn.XMATCH(VALUE(C2800),_xlpm.r),0)),IF(_xlpm.m=0,"",_xlpm.m+1))</f>
        <v/>
      </c>
      <c r="J2800" s="137" t="inlineStr">
        <is>
          <t>Shopify</t>
        </is>
      </c>
    </row>
    <row r="2801">
      <c r="A2801" s="5" t="inlineStr">
        <is>
          <t>Shopify Stetson México › Stetson Americas</t>
        </is>
      </c>
      <c r="B2801" s="5">
        <f>IF($I2="","",INDEX(Productos!$A:$A,$I2))</f>
        <v/>
      </c>
      <c r="C2801" s="134" t="inlineStr">
        <is>
          <t>SSBKWD-WR428170</t>
        </is>
      </c>
      <c r="D2801" s="5">
        <f>IF($I2="","",INDEX(Productos!$B:$B,$I2))</f>
        <v/>
      </c>
      <c r="E2801" s="5">
        <f>IF($I2="","",INDEX(Productos!$H:$H,$I2))</f>
        <v/>
      </c>
      <c r="F2801" s="5">
        <f>IF($I2="","",INDEX(Productos!$I:$I,$I2))</f>
        <v/>
      </c>
      <c r="G2801" s="135" t="n">
        <v>1</v>
      </c>
      <c r="H2801" s="5">
        <f>IF($I2="","",INDEX(Productos!$AG:$AG,$I2))</f>
        <v/>
      </c>
      <c r="I2801" s="136">
        <f>LET(_xlpm.r,Productos!$E$2:$E$2509,_xlpm.m,IFERROR(_xlfn.XMATCH(C2801,_xlpm.r),IFERROR(_xlfn.XMATCH(VALUE(C2801),_xlpm.r),0)),IF(_xlpm.m=0,"",_xlpm.m+1))</f>
        <v/>
      </c>
      <c r="J2801" s="137" t="inlineStr">
        <is>
          <t>Shopify</t>
        </is>
      </c>
    </row>
    <row r="2802">
      <c r="A2802" s="5" t="inlineStr">
        <is>
          <t>Shopify Stetson México › Stetson Americas</t>
        </is>
      </c>
      <c r="B2802" s="5">
        <f>IF($I2="","",INDEX(Productos!$A:$A,$I2))</f>
        <v/>
      </c>
      <c r="C2802" s="134" t="inlineStr">
        <is>
          <t>SSBKWD-WR428171</t>
        </is>
      </c>
      <c r="D2802" s="5">
        <f>IF($I2="","",INDEX(Productos!$B:$B,$I2))</f>
        <v/>
      </c>
      <c r="E2802" s="5">
        <f>IF($I2="","",INDEX(Productos!$H:$H,$I2))</f>
        <v/>
      </c>
      <c r="F2802" s="5">
        <f>IF($I2="","",INDEX(Productos!$I:$I,$I2))</f>
        <v/>
      </c>
      <c r="G2802" s="135" t="n">
        <v>2</v>
      </c>
      <c r="H2802" s="5">
        <f>IF($I2="","",INDEX(Productos!$AG:$AG,$I2))</f>
        <v/>
      </c>
      <c r="I2802" s="136">
        <f>LET(_xlpm.r,Productos!$E$2:$E$2509,_xlpm.m,IFERROR(_xlfn.XMATCH(C2802,_xlpm.r),IFERROR(_xlfn.XMATCH(VALUE(C2802),_xlpm.r),0)),IF(_xlpm.m=0,"",_xlpm.m+1))</f>
        <v/>
      </c>
      <c r="J2802" s="137" t="inlineStr">
        <is>
          <t>Shopify</t>
        </is>
      </c>
    </row>
    <row r="2803">
      <c r="A2803" s="5" t="inlineStr">
        <is>
          <t>Shopify Stetson México › Stetson Americas</t>
        </is>
      </c>
      <c r="B2803" s="5">
        <f>IF($I2="","",INDEX(Productos!$A:$A,$I2))</f>
        <v/>
      </c>
      <c r="C2803" s="134" t="inlineStr">
        <is>
          <t>SSBKWD-WR428172</t>
        </is>
      </c>
      <c r="D2803" s="5">
        <f>IF($I2="","",INDEX(Productos!$B:$B,$I2))</f>
        <v/>
      </c>
      <c r="E2803" s="5">
        <f>IF($I2="","",INDEX(Productos!$H:$H,$I2))</f>
        <v/>
      </c>
      <c r="F2803" s="5">
        <f>IF($I2="","",INDEX(Productos!$I:$I,$I2))</f>
        <v/>
      </c>
      <c r="G2803" s="135" t="n">
        <v>2</v>
      </c>
      <c r="H2803" s="5">
        <f>IF($I2="","",INDEX(Productos!$AG:$AG,$I2))</f>
        <v/>
      </c>
      <c r="I2803" s="136">
        <f>LET(_xlpm.r,Productos!$E$2:$E$2509,_xlpm.m,IFERROR(_xlfn.XMATCH(C2803,_xlpm.r),IFERROR(_xlfn.XMATCH(VALUE(C2803),_xlpm.r),0)),IF(_xlpm.m=0,"",_xlpm.m+1))</f>
        <v/>
      </c>
      <c r="J2803" s="137" t="inlineStr">
        <is>
          <t>Shopify</t>
        </is>
      </c>
    </row>
    <row r="2804">
      <c r="A2804" s="5" t="inlineStr">
        <is>
          <t>Shopify Stetson México › Stetson Americas</t>
        </is>
      </c>
      <c r="B2804" s="5">
        <f>IF($I2="","",INDEX(Productos!$A:$A,$I2))</f>
        <v/>
      </c>
      <c r="C2804" s="134" t="inlineStr">
        <is>
          <t>SSBKWD-WR428173</t>
        </is>
      </c>
      <c r="D2804" s="5">
        <f>IF($I2="","",INDEX(Productos!$B:$B,$I2))</f>
        <v/>
      </c>
      <c r="E2804" s="5">
        <f>IF($I2="","",INDEX(Productos!$H:$H,$I2))</f>
        <v/>
      </c>
      <c r="F2804" s="5">
        <f>IF($I2="","",INDEX(Productos!$I:$I,$I2))</f>
        <v/>
      </c>
      <c r="G2804" s="135" t="n">
        <v>1</v>
      </c>
      <c r="H2804" s="5">
        <f>IF($I2="","",INDEX(Productos!$AG:$AG,$I2))</f>
        <v/>
      </c>
      <c r="I2804" s="136">
        <f>LET(_xlpm.r,Productos!$E$2:$E$2509,_xlpm.m,IFERROR(_xlfn.XMATCH(C2804,_xlpm.r),IFERROR(_xlfn.XMATCH(VALUE(C2804),_xlpm.r),0)),IF(_xlpm.m=0,"",_xlpm.m+1))</f>
        <v/>
      </c>
      <c r="J2804" s="137" t="inlineStr">
        <is>
          <t>Shopify</t>
        </is>
      </c>
    </row>
    <row r="2805">
      <c r="A2805" s="5" t="inlineStr">
        <is>
          <t>Shopify Stetson México › Stetson Americas</t>
        </is>
      </c>
      <c r="B2805" s="5">
        <f>IF($I2="","",INDEX(Productos!$A:$A,$I2))</f>
        <v/>
      </c>
      <c r="C2805" s="134" t="inlineStr">
        <is>
          <t>SSCRLY-30428170</t>
        </is>
      </c>
      <c r="D2805" s="5">
        <f>IF($I2="","",INDEX(Productos!$B:$B,$I2))</f>
        <v/>
      </c>
      <c r="E2805" s="5">
        <f>IF($I2="","",INDEX(Productos!$H:$H,$I2))</f>
        <v/>
      </c>
      <c r="F2805" s="5">
        <f>IF($I2="","",INDEX(Productos!$I:$I,$I2))</f>
        <v/>
      </c>
      <c r="G2805" s="135" t="n">
        <v>1</v>
      </c>
      <c r="H2805" s="5">
        <f>IF($I2="","",INDEX(Productos!$AG:$AG,$I2))</f>
        <v/>
      </c>
      <c r="I2805" s="136">
        <f>LET(_xlpm.r,Productos!$E$2:$E$2509,_xlpm.m,IFERROR(_xlfn.XMATCH(C2805,_xlpm.r),IFERROR(_xlfn.XMATCH(VALUE(C2805),_xlpm.r),0)),IF(_xlpm.m=0,"",_xlpm.m+1))</f>
        <v/>
      </c>
      <c r="J2805" s="137" t="inlineStr">
        <is>
          <t>Shopify</t>
        </is>
      </c>
    </row>
    <row r="2806">
      <c r="A2806" s="5" t="inlineStr">
        <is>
          <t>Shopify Stetson México › Stetson Americas</t>
        </is>
      </c>
      <c r="B2806" s="5">
        <f>IF($I2="","",INDEX(Productos!$A:$A,$I2))</f>
        <v/>
      </c>
      <c r="C2806" s="134" t="inlineStr">
        <is>
          <t>SSCRLY-30428171</t>
        </is>
      </c>
      <c r="D2806" s="5">
        <f>IF($I2="","",INDEX(Productos!$B:$B,$I2))</f>
        <v/>
      </c>
      <c r="E2806" s="5">
        <f>IF($I2="","",INDEX(Productos!$H:$H,$I2))</f>
        <v/>
      </c>
      <c r="F2806" s="5">
        <f>IF($I2="","",INDEX(Productos!$I:$I,$I2))</f>
        <v/>
      </c>
      <c r="G2806" s="135" t="n">
        <v>1</v>
      </c>
      <c r="H2806" s="5">
        <f>IF($I2="","",INDEX(Productos!$AG:$AG,$I2))</f>
        <v/>
      </c>
      <c r="I2806" s="136">
        <f>LET(_xlpm.r,Productos!$E$2:$E$2509,_xlpm.m,IFERROR(_xlfn.XMATCH(C2806,_xlpm.r),IFERROR(_xlfn.XMATCH(VALUE(C2806),_xlpm.r),0)),IF(_xlpm.m=0,"",_xlpm.m+1))</f>
        <v/>
      </c>
      <c r="J2806" s="137" t="inlineStr">
        <is>
          <t>Shopify</t>
        </is>
      </c>
    </row>
    <row r="2807">
      <c r="A2807" s="5" t="inlineStr">
        <is>
          <t>Shopify Stetson México › Stetson Americas</t>
        </is>
      </c>
      <c r="B2807" s="5">
        <f>IF($I2="","",INDEX(Productos!$A:$A,$I2))</f>
        <v/>
      </c>
      <c r="C2807" s="134" t="inlineStr">
        <is>
          <t>SSCRLY-30428173</t>
        </is>
      </c>
      <c r="D2807" s="5">
        <f>IF($I2="","",INDEX(Productos!$B:$B,$I2))</f>
        <v/>
      </c>
      <c r="E2807" s="5">
        <f>IF($I2="","",INDEX(Productos!$H:$H,$I2))</f>
        <v/>
      </c>
      <c r="F2807" s="5">
        <f>IF($I2="","",INDEX(Productos!$I:$I,$I2))</f>
        <v/>
      </c>
      <c r="G2807" s="135" t="n">
        <v>1</v>
      </c>
      <c r="H2807" s="5">
        <f>IF($I2="","",INDEX(Productos!$AG:$AG,$I2))</f>
        <v/>
      </c>
      <c r="I2807" s="136">
        <f>LET(_xlpm.r,Productos!$E$2:$E$2509,_xlpm.m,IFERROR(_xlfn.XMATCH(C2807,_xlpm.r),IFERROR(_xlfn.XMATCH(VALUE(C2807),_xlpm.r),0)),IF(_xlpm.m=0,"",_xlpm.m+1))</f>
        <v/>
      </c>
      <c r="J2807" s="137" t="inlineStr">
        <is>
          <t>Shopify</t>
        </is>
      </c>
    </row>
    <row r="2808">
      <c r="A2808" s="5" t="inlineStr">
        <is>
          <t>Shopify Stetson México › Stetson Americas</t>
        </is>
      </c>
      <c r="B2808" s="5">
        <f>IF($I2="","",INDEX(Productos!$A:$A,$I2))</f>
        <v/>
      </c>
      <c r="C2808" s="134" t="inlineStr">
        <is>
          <t>SSCRLY-30428174</t>
        </is>
      </c>
      <c r="D2808" s="5">
        <f>IF($I2="","",INDEX(Productos!$B:$B,$I2))</f>
        <v/>
      </c>
      <c r="E2808" s="5">
        <f>IF($I2="","",INDEX(Productos!$H:$H,$I2))</f>
        <v/>
      </c>
      <c r="F2808" s="5">
        <f>IF($I2="","",INDEX(Productos!$I:$I,$I2))</f>
        <v/>
      </c>
      <c r="G2808" s="135" t="n">
        <v>1</v>
      </c>
      <c r="H2808" s="5">
        <f>IF($I2="","",INDEX(Productos!$AG:$AG,$I2))</f>
        <v/>
      </c>
      <c r="I2808" s="136">
        <f>LET(_xlpm.r,Productos!$E$2:$E$2509,_xlpm.m,IFERROR(_xlfn.XMATCH(C2808,_xlpm.r),IFERROR(_xlfn.XMATCH(VALUE(C2808),_xlpm.r),0)),IF(_xlpm.m=0,"",_xlpm.m+1))</f>
        <v/>
      </c>
      <c r="J2808" s="137" t="inlineStr">
        <is>
          <t>Shopify</t>
        </is>
      </c>
    </row>
    <row r="2809">
      <c r="A2809" s="5" t="inlineStr">
        <is>
          <t>Shopify Stetson México › Stetson Americas</t>
        </is>
      </c>
      <c r="B2809" s="5">
        <f>IF($I2="","",INDEX(Productos!$A:$A,$I2))</f>
        <v/>
      </c>
      <c r="C2809" s="134" t="inlineStr">
        <is>
          <t>SSELMW-30428170</t>
        </is>
      </c>
      <c r="D2809" s="5">
        <f>IF($I2="","",INDEX(Productos!$B:$B,$I2))</f>
        <v/>
      </c>
      <c r="E2809" s="5">
        <f>IF($I2="","",INDEX(Productos!$H:$H,$I2))</f>
        <v/>
      </c>
      <c r="F2809" s="5">
        <f>IF($I2="","",INDEX(Productos!$I:$I,$I2))</f>
        <v/>
      </c>
      <c r="G2809" s="135" t="n">
        <v>1</v>
      </c>
      <c r="H2809" s="5">
        <f>IF($I2="","",INDEX(Productos!$AG:$AG,$I2))</f>
        <v/>
      </c>
      <c r="I2809" s="136">
        <f>LET(_xlpm.r,Productos!$E$2:$E$2509,_xlpm.m,IFERROR(_xlfn.XMATCH(C2809,_xlpm.r),IFERROR(_xlfn.XMATCH(VALUE(C2809),_xlpm.r),0)),IF(_xlpm.m=0,"",_xlpm.m+1))</f>
        <v/>
      </c>
      <c r="J2809" s="137" t="inlineStr">
        <is>
          <t>Shopify</t>
        </is>
      </c>
    </row>
    <row r="2810">
      <c r="A2810" s="5" t="inlineStr">
        <is>
          <t>Shopify Stetson México › Stetson Americas</t>
        </is>
      </c>
      <c r="B2810" s="5">
        <f>IF($I2="","",INDEX(Productos!$A:$A,$I2))</f>
        <v/>
      </c>
      <c r="C2810" s="134" t="inlineStr">
        <is>
          <t>SSELMW-30428171</t>
        </is>
      </c>
      <c r="D2810" s="5">
        <f>IF($I2="","",INDEX(Productos!$B:$B,$I2))</f>
        <v/>
      </c>
      <c r="E2810" s="5">
        <f>IF($I2="","",INDEX(Productos!$H:$H,$I2))</f>
        <v/>
      </c>
      <c r="F2810" s="5">
        <f>IF($I2="","",INDEX(Productos!$I:$I,$I2))</f>
        <v/>
      </c>
      <c r="G2810" s="135" t="n">
        <v>1</v>
      </c>
      <c r="H2810" s="5">
        <f>IF($I2="","",INDEX(Productos!$AG:$AG,$I2))</f>
        <v/>
      </c>
      <c r="I2810" s="136">
        <f>LET(_xlpm.r,Productos!$E$2:$E$2509,_xlpm.m,IFERROR(_xlfn.XMATCH(C2810,_xlpm.r),IFERROR(_xlfn.XMATCH(VALUE(C2810),_xlpm.r),0)),IF(_xlpm.m=0,"",_xlpm.m+1))</f>
        <v/>
      </c>
      <c r="J2810" s="137" t="inlineStr">
        <is>
          <t>Shopify</t>
        </is>
      </c>
    </row>
    <row r="2811">
      <c r="A2811" s="5" t="inlineStr">
        <is>
          <t>Shopify Stetson México › Stetson Americas</t>
        </is>
      </c>
      <c r="B2811" s="5">
        <f>IF($I2="","",INDEX(Productos!$A:$A,$I2))</f>
        <v/>
      </c>
      <c r="C2811" s="134" t="inlineStr">
        <is>
          <t>SSEVOR-48408167</t>
        </is>
      </c>
      <c r="D2811" s="5">
        <f>IF($I2="","",INDEX(Productos!$B:$B,$I2))</f>
        <v/>
      </c>
      <c r="E2811" s="5">
        <f>IF($I2="","",INDEX(Productos!$H:$H,$I2))</f>
        <v/>
      </c>
      <c r="F2811" s="5">
        <f>IF($I2="","",INDEX(Productos!$I:$I,$I2))</f>
        <v/>
      </c>
      <c r="G2811" s="135" t="n">
        <v>1</v>
      </c>
      <c r="H2811" s="5">
        <f>IF($I2="","",INDEX(Productos!$AG:$AG,$I2))</f>
        <v/>
      </c>
      <c r="I2811" s="136">
        <f>LET(_xlpm.r,Productos!$E$2:$E$2509,_xlpm.m,IFERROR(_xlfn.XMATCH(C2811,_xlpm.r),IFERROR(_xlfn.XMATCH(VALUE(C2811),_xlpm.r),0)),IF(_xlpm.m=0,"",_xlpm.m+1))</f>
        <v/>
      </c>
      <c r="J2811" s="137" t="inlineStr">
        <is>
          <t>Shopify</t>
        </is>
      </c>
    </row>
    <row r="2812">
      <c r="A2812" s="5" t="inlineStr">
        <is>
          <t>Shopify Stetson México › Stetson Americas</t>
        </is>
      </c>
      <c r="B2812" s="5">
        <f>IF($I2="","",INDEX(Productos!$A:$A,$I2))</f>
        <v/>
      </c>
      <c r="C2812" s="134" t="inlineStr">
        <is>
          <t>SSEVOR-48408170</t>
        </is>
      </c>
      <c r="D2812" s="5">
        <f>IF($I2="","",INDEX(Productos!$B:$B,$I2))</f>
        <v/>
      </c>
      <c r="E2812" s="5">
        <f>IF($I2="","",INDEX(Productos!$H:$H,$I2))</f>
        <v/>
      </c>
      <c r="F2812" s="5">
        <f>IF($I2="","",INDEX(Productos!$I:$I,$I2))</f>
        <v/>
      </c>
      <c r="G2812" s="135" t="n">
        <v>1</v>
      </c>
      <c r="H2812" s="5">
        <f>IF($I2="","",INDEX(Productos!$AG:$AG,$I2))</f>
        <v/>
      </c>
      <c r="I2812" s="136">
        <f>LET(_xlpm.r,Productos!$E$2:$E$2509,_xlpm.m,IFERROR(_xlfn.XMATCH(C2812,_xlpm.r),IFERROR(_xlfn.XMATCH(VALUE(C2812),_xlpm.r),0)),IF(_xlpm.m=0,"",_xlpm.m+1))</f>
        <v/>
      </c>
      <c r="J2812" s="137" t="inlineStr">
        <is>
          <t>Shopify</t>
        </is>
      </c>
    </row>
    <row r="2813">
      <c r="A2813" s="5" t="inlineStr">
        <is>
          <t>Shopify Stetson México › Stetson Americas</t>
        </is>
      </c>
      <c r="B2813" s="5">
        <f>IF($I2="","",INDEX(Productos!$A:$A,$I2))</f>
        <v/>
      </c>
      <c r="C2813" s="134" t="inlineStr">
        <is>
          <t>SSEVOR-48408172</t>
        </is>
      </c>
      <c r="D2813" s="5">
        <f>IF($I2="","",INDEX(Productos!$B:$B,$I2))</f>
        <v/>
      </c>
      <c r="E2813" s="5">
        <f>IF($I2="","",INDEX(Productos!$H:$H,$I2))</f>
        <v/>
      </c>
      <c r="F2813" s="5">
        <f>IF($I2="","",INDEX(Productos!$I:$I,$I2))</f>
        <v/>
      </c>
      <c r="G2813" s="135" t="n">
        <v>1</v>
      </c>
      <c r="H2813" s="5">
        <f>IF($I2="","",INDEX(Productos!$AG:$AG,$I2))</f>
        <v/>
      </c>
      <c r="I2813" s="136">
        <f>LET(_xlpm.r,Productos!$E$2:$E$2509,_xlpm.m,IFERROR(_xlfn.XMATCH(C2813,_xlpm.r),IFERROR(_xlfn.XMATCH(VALUE(C2813),_xlpm.r),0)),IF(_xlpm.m=0,"",_xlpm.m+1))</f>
        <v/>
      </c>
      <c r="J2813" s="137" t="inlineStr">
        <is>
          <t>Shopify</t>
        </is>
      </c>
    </row>
    <row r="2814">
      <c r="A2814" s="5" t="inlineStr">
        <is>
          <t>Shopify Stetson México › Stetson Americas</t>
        </is>
      </c>
      <c r="B2814" s="5">
        <f>IF($I2="","",INDEX(Productos!$A:$A,$I2))</f>
        <v/>
      </c>
      <c r="C2814" s="134" t="inlineStr">
        <is>
          <t>SSGAIN-68428170</t>
        </is>
      </c>
      <c r="D2814" s="5">
        <f>IF($I2="","",INDEX(Productos!$B:$B,$I2))</f>
        <v/>
      </c>
      <c r="E2814" s="5">
        <f>IF($I2="","",INDEX(Productos!$H:$H,$I2))</f>
        <v/>
      </c>
      <c r="F2814" s="5">
        <f>IF($I2="","",INDEX(Productos!$I:$I,$I2))</f>
        <v/>
      </c>
      <c r="G2814" s="135" t="n">
        <v>1</v>
      </c>
      <c r="H2814" s="5">
        <f>IF($I2="","",INDEX(Productos!$AG:$AG,$I2))</f>
        <v/>
      </c>
      <c r="I2814" s="136">
        <f>LET(_xlpm.r,Productos!$E$2:$E$2509,_xlpm.m,IFERROR(_xlfn.XMATCH(C2814,_xlpm.r),IFERROR(_xlfn.XMATCH(VALUE(C2814),_xlpm.r),0)),IF(_xlpm.m=0,"",_xlpm.m+1))</f>
        <v/>
      </c>
      <c r="J2814" s="137" t="inlineStr">
        <is>
          <t>Shopify</t>
        </is>
      </c>
    </row>
    <row r="2815">
      <c r="A2815" s="5" t="inlineStr">
        <is>
          <t>Shopify Stetson México › Stetson Americas</t>
        </is>
      </c>
      <c r="B2815" s="5">
        <f>IF($I2="","",INDEX(Productos!$A:$A,$I2))</f>
        <v/>
      </c>
      <c r="C2815" s="134" t="inlineStr">
        <is>
          <t>SSGAIN-68428171</t>
        </is>
      </c>
      <c r="D2815" s="5">
        <f>IF($I2="","",INDEX(Productos!$B:$B,$I2))</f>
        <v/>
      </c>
      <c r="E2815" s="5">
        <f>IF($I2="","",INDEX(Productos!$H:$H,$I2))</f>
        <v/>
      </c>
      <c r="F2815" s="5">
        <f>IF($I2="","",INDEX(Productos!$I:$I,$I2))</f>
        <v/>
      </c>
      <c r="G2815" s="135" t="n">
        <v>2</v>
      </c>
      <c r="H2815" s="5">
        <f>IF($I2="","",INDEX(Productos!$AG:$AG,$I2))</f>
        <v/>
      </c>
      <c r="I2815" s="136">
        <f>LET(_xlpm.r,Productos!$E$2:$E$2509,_xlpm.m,IFERROR(_xlfn.XMATCH(C2815,_xlpm.r),IFERROR(_xlfn.XMATCH(VALUE(C2815),_xlpm.r),0)),IF(_xlpm.m=0,"",_xlpm.m+1))</f>
        <v/>
      </c>
      <c r="J2815" s="137" t="inlineStr">
        <is>
          <t>Shopify</t>
        </is>
      </c>
    </row>
    <row r="2816">
      <c r="A2816" s="5" t="inlineStr">
        <is>
          <t>Shopify Stetson México › Stetson Americas</t>
        </is>
      </c>
      <c r="B2816" s="5">
        <f>IF($I2="","",INDEX(Productos!$A:$A,$I2))</f>
        <v/>
      </c>
      <c r="C2816" s="134" t="inlineStr">
        <is>
          <t>SSGAIN-68428172</t>
        </is>
      </c>
      <c r="D2816" s="5">
        <f>IF($I2="","",INDEX(Productos!$B:$B,$I2))</f>
        <v/>
      </c>
      <c r="E2816" s="5">
        <f>IF($I2="","",INDEX(Productos!$H:$H,$I2))</f>
        <v/>
      </c>
      <c r="F2816" s="5">
        <f>IF($I2="","",INDEX(Productos!$I:$I,$I2))</f>
        <v/>
      </c>
      <c r="G2816" s="135" t="n">
        <v>2</v>
      </c>
      <c r="H2816" s="5">
        <f>IF($I2="","",INDEX(Productos!$AG:$AG,$I2))</f>
        <v/>
      </c>
      <c r="I2816" s="136">
        <f>LET(_xlpm.r,Productos!$E$2:$E$2509,_xlpm.m,IFERROR(_xlfn.XMATCH(C2816,_xlpm.r),IFERROR(_xlfn.XMATCH(VALUE(C2816),_xlpm.r),0)),IF(_xlpm.m=0,"",_xlpm.m+1))</f>
        <v/>
      </c>
      <c r="J2816" s="137" t="inlineStr">
        <is>
          <t>Shopify</t>
        </is>
      </c>
    </row>
    <row r="2817">
      <c r="A2817" s="5" t="inlineStr">
        <is>
          <t>Shopify Stetson México › Stetson Americas</t>
        </is>
      </c>
      <c r="B2817" s="5">
        <f>IF($I2="","",INDEX(Productos!$A:$A,$I2))</f>
        <v/>
      </c>
      <c r="C2817" s="134" t="inlineStr">
        <is>
          <t>SSGAIN-68428173</t>
        </is>
      </c>
      <c r="D2817" s="5">
        <f>IF($I2="","",INDEX(Productos!$B:$B,$I2))</f>
        <v/>
      </c>
      <c r="E2817" s="5">
        <f>IF($I2="","",INDEX(Productos!$H:$H,$I2))</f>
        <v/>
      </c>
      <c r="F2817" s="5">
        <f>IF($I2="","",INDEX(Productos!$I:$I,$I2))</f>
        <v/>
      </c>
      <c r="G2817" s="135" t="n">
        <v>1</v>
      </c>
      <c r="H2817" s="5">
        <f>IF($I2="","",INDEX(Productos!$AG:$AG,$I2))</f>
        <v/>
      </c>
      <c r="I2817" s="136">
        <f>LET(_xlpm.r,Productos!$E$2:$E$2509,_xlpm.m,IFERROR(_xlfn.XMATCH(C2817,_xlpm.r),IFERROR(_xlfn.XMATCH(VALUE(C2817),_xlpm.r),0)),IF(_xlpm.m=0,"",_xlpm.m+1))</f>
        <v/>
      </c>
      <c r="J2817" s="137" t="inlineStr">
        <is>
          <t>Shopify</t>
        </is>
      </c>
    </row>
    <row r="2818">
      <c r="A2818" s="5" t="inlineStr">
        <is>
          <t>Shopify Stetson México › Stetson Americas</t>
        </is>
      </c>
      <c r="B2818" s="5">
        <f>IF($I2="","",INDEX(Productos!$A:$A,$I2))</f>
        <v/>
      </c>
      <c r="C2818" s="134" t="inlineStr">
        <is>
          <t>SSGAIN-68428174</t>
        </is>
      </c>
      <c r="D2818" s="5">
        <f>IF($I2="","",INDEX(Productos!$B:$B,$I2))</f>
        <v/>
      </c>
      <c r="E2818" s="5">
        <f>IF($I2="","",INDEX(Productos!$H:$H,$I2))</f>
        <v/>
      </c>
      <c r="F2818" s="5">
        <f>IF($I2="","",INDEX(Productos!$I:$I,$I2))</f>
        <v/>
      </c>
      <c r="G2818" s="135" t="n">
        <v>1</v>
      </c>
      <c r="H2818" s="5">
        <f>IF($I2="","",INDEX(Productos!$AG:$AG,$I2))</f>
        <v/>
      </c>
      <c r="I2818" s="136">
        <f>LET(_xlpm.r,Productos!$E$2:$E$2509,_xlpm.m,IFERROR(_xlfn.XMATCH(C2818,_xlpm.r),IFERROR(_xlfn.XMATCH(VALUE(C2818),_xlpm.r),0)),IF(_xlpm.m=0,"",_xlpm.m+1))</f>
        <v/>
      </c>
      <c r="J2818" s="137" t="inlineStr">
        <is>
          <t>Shopify</t>
        </is>
      </c>
    </row>
    <row r="2819">
      <c r="A2819" s="5" t="inlineStr">
        <is>
          <t>Shopify Stetson México › Stetson Americas</t>
        </is>
      </c>
      <c r="B2819" s="5">
        <f>IF($I2="","",INDEX(Productos!$A:$A,$I2))</f>
        <v/>
      </c>
      <c r="C2819" s="134" t="inlineStr">
        <is>
          <t>SSGNFT-66428171</t>
        </is>
      </c>
      <c r="D2819" s="5">
        <f>IF($I2="","",INDEX(Productos!$B:$B,$I2))</f>
        <v/>
      </c>
      <c r="E2819" s="5">
        <f>IF($I2="","",INDEX(Productos!$H:$H,$I2))</f>
        <v/>
      </c>
      <c r="F2819" s="5">
        <f>IF($I2="","",INDEX(Productos!$I:$I,$I2))</f>
        <v/>
      </c>
      <c r="G2819" s="135" t="n">
        <v>1</v>
      </c>
      <c r="H2819" s="5">
        <f>IF($I2="","",INDEX(Productos!$AG:$AG,$I2))</f>
        <v/>
      </c>
      <c r="I2819" s="136">
        <f>LET(_xlpm.r,Productos!$E$2:$E$2509,_xlpm.m,IFERROR(_xlfn.XMATCH(C2819,_xlpm.r),IFERROR(_xlfn.XMATCH(VALUE(C2819),_xlpm.r),0)),IF(_xlpm.m=0,"",_xlpm.m+1))</f>
        <v/>
      </c>
      <c r="J2819" s="137" t="inlineStr">
        <is>
          <t>Shopify</t>
        </is>
      </c>
    </row>
    <row r="2820">
      <c r="A2820" s="5" t="inlineStr">
        <is>
          <t>Shopify Stetson México › Stetson Americas</t>
        </is>
      </c>
      <c r="B2820" s="5">
        <f>IF($I2="","",INDEX(Productos!$A:$A,$I2))</f>
        <v/>
      </c>
      <c r="C2820" s="134" t="inlineStr">
        <is>
          <t>SSGNFT-66428172</t>
        </is>
      </c>
      <c r="D2820" s="5">
        <f>IF($I2="","",INDEX(Productos!$B:$B,$I2))</f>
        <v/>
      </c>
      <c r="E2820" s="5">
        <f>IF($I2="","",INDEX(Productos!$H:$H,$I2))</f>
        <v/>
      </c>
      <c r="F2820" s="5">
        <f>IF($I2="","",INDEX(Productos!$I:$I,$I2))</f>
        <v/>
      </c>
      <c r="G2820" s="135" t="n">
        <v>1</v>
      </c>
      <c r="H2820" s="5">
        <f>IF($I2="","",INDEX(Productos!$AG:$AG,$I2))</f>
        <v/>
      </c>
      <c r="I2820" s="136">
        <f>LET(_xlpm.r,Productos!$E$2:$E$2509,_xlpm.m,IFERROR(_xlfn.XMATCH(C2820,_xlpm.r),IFERROR(_xlfn.XMATCH(VALUE(C2820),_xlpm.r),0)),IF(_xlpm.m=0,"",_xlpm.m+1))</f>
        <v/>
      </c>
      <c r="J2820" s="137" t="inlineStr">
        <is>
          <t>Shopify</t>
        </is>
      </c>
    </row>
    <row r="2821">
      <c r="A2821" s="5" t="inlineStr">
        <is>
          <t>Shopify Stetson México › Stetson Americas</t>
        </is>
      </c>
      <c r="B2821" s="5">
        <f>IF($I2="","",INDEX(Productos!$A:$A,$I2))</f>
        <v/>
      </c>
      <c r="C2821" s="134" t="inlineStr">
        <is>
          <t>SSGRFN-30428172</t>
        </is>
      </c>
      <c r="D2821" s="5">
        <f>IF($I2="","",INDEX(Productos!$B:$B,$I2))</f>
        <v/>
      </c>
      <c r="E2821" s="5">
        <f>IF($I2="","",INDEX(Productos!$H:$H,$I2))</f>
        <v/>
      </c>
      <c r="F2821" s="5">
        <f>IF($I2="","",INDEX(Productos!$I:$I,$I2))</f>
        <v/>
      </c>
      <c r="G2821" s="135" t="n">
        <v>1</v>
      </c>
      <c r="H2821" s="5">
        <f>IF($I2="","",INDEX(Productos!$AG:$AG,$I2))</f>
        <v/>
      </c>
      <c r="I2821" s="136">
        <f>LET(_xlpm.r,Productos!$E$2:$E$2509,_xlpm.m,IFERROR(_xlfn.XMATCH(C2821,_xlpm.r),IFERROR(_xlfn.XMATCH(VALUE(C2821),_xlpm.r),0)),IF(_xlpm.m=0,"",_xlpm.m+1))</f>
        <v/>
      </c>
      <c r="J2821" s="137" t="inlineStr">
        <is>
          <t>Shopify</t>
        </is>
      </c>
    </row>
    <row r="2822">
      <c r="A2822" s="5" t="inlineStr">
        <is>
          <t>Shopify Stetson México › Stetson Americas</t>
        </is>
      </c>
      <c r="B2822" s="5">
        <f>IF($I2="","",INDEX(Productos!$A:$A,$I2))</f>
        <v/>
      </c>
      <c r="C2822" s="134" t="inlineStr">
        <is>
          <t>SSGRFN-30428173</t>
        </is>
      </c>
      <c r="D2822" s="5">
        <f>IF($I2="","",INDEX(Productos!$B:$B,$I2))</f>
        <v/>
      </c>
      <c r="E2822" s="5">
        <f>IF($I2="","",INDEX(Productos!$H:$H,$I2))</f>
        <v/>
      </c>
      <c r="F2822" s="5">
        <f>IF($I2="","",INDEX(Productos!$I:$I,$I2))</f>
        <v/>
      </c>
      <c r="G2822" s="135" t="n">
        <v>1</v>
      </c>
      <c r="H2822" s="5">
        <f>IF($I2="","",INDEX(Productos!$AG:$AG,$I2))</f>
        <v/>
      </c>
      <c r="I2822" s="136">
        <f>LET(_xlpm.r,Productos!$E$2:$E$2509,_xlpm.m,IFERROR(_xlfn.XMATCH(C2822,_xlpm.r),IFERROR(_xlfn.XMATCH(VALUE(C2822),_xlpm.r),0)),IF(_xlpm.m=0,"",_xlpm.m+1))</f>
        <v/>
      </c>
      <c r="J2822" s="137" t="inlineStr">
        <is>
          <t>Shopify</t>
        </is>
      </c>
    </row>
    <row r="2823">
      <c r="A2823" s="5" t="inlineStr">
        <is>
          <t>Shopify Stetson México › Stetson Americas</t>
        </is>
      </c>
      <c r="B2823" s="5">
        <f>IF($I2="","",INDEX(Productos!$A:$A,$I2))</f>
        <v/>
      </c>
      <c r="C2823" s="134" t="inlineStr">
        <is>
          <t>SSLOBO-30428171</t>
        </is>
      </c>
      <c r="D2823" s="5">
        <f>IF($I2="","",INDEX(Productos!$B:$B,$I2))</f>
        <v/>
      </c>
      <c r="E2823" s="5">
        <f>IF($I2="","",INDEX(Productos!$H:$H,$I2))</f>
        <v/>
      </c>
      <c r="F2823" s="5">
        <f>IF($I2="","",INDEX(Productos!$I:$I,$I2))</f>
        <v/>
      </c>
      <c r="G2823" s="135" t="n">
        <v>1</v>
      </c>
      <c r="H2823" s="5">
        <f>IF($I2="","",INDEX(Productos!$AG:$AG,$I2))</f>
        <v/>
      </c>
      <c r="I2823" s="136">
        <f>LET(_xlpm.r,Productos!$E$2:$E$2509,_xlpm.m,IFERROR(_xlfn.XMATCH(C2823,_xlpm.r),IFERROR(_xlfn.XMATCH(VALUE(C2823),_xlpm.r),0)),IF(_xlpm.m=0,"",_xlpm.m+1))</f>
        <v/>
      </c>
      <c r="J2823" s="137" t="inlineStr">
        <is>
          <t>Shopify</t>
        </is>
      </c>
    </row>
    <row r="2824">
      <c r="A2824" s="5" t="inlineStr">
        <is>
          <t>Shopify Stetson México › Stetson Americas</t>
        </is>
      </c>
      <c r="B2824" s="5">
        <f>IF($I2="","",INDEX(Productos!$A:$A,$I2))</f>
        <v/>
      </c>
      <c r="C2824" s="134" t="inlineStr">
        <is>
          <t>SSLOBO-30428172</t>
        </is>
      </c>
      <c r="D2824" s="5">
        <f>IF($I2="","",INDEX(Productos!$B:$B,$I2))</f>
        <v/>
      </c>
      <c r="E2824" s="5">
        <f>IF($I2="","",INDEX(Productos!$H:$H,$I2))</f>
        <v/>
      </c>
      <c r="F2824" s="5">
        <f>IF($I2="","",INDEX(Productos!$I:$I,$I2))</f>
        <v/>
      </c>
      <c r="G2824" s="135" t="n">
        <v>1</v>
      </c>
      <c r="H2824" s="5">
        <f>IF($I2="","",INDEX(Productos!$AG:$AG,$I2))</f>
        <v/>
      </c>
      <c r="I2824" s="136">
        <f>LET(_xlpm.r,Productos!$E$2:$E$2509,_xlpm.m,IFERROR(_xlfn.XMATCH(C2824,_xlpm.r),IFERROR(_xlfn.XMATCH(VALUE(C2824),_xlpm.r),0)),IF(_xlpm.m=0,"",_xlpm.m+1))</f>
        <v/>
      </c>
      <c r="J2824" s="137" t="inlineStr">
        <is>
          <t>Shopify</t>
        </is>
      </c>
    </row>
    <row r="2825">
      <c r="A2825" s="5" t="inlineStr">
        <is>
          <t>Shopify Stetson México › Stetson Americas</t>
        </is>
      </c>
      <c r="B2825" s="5">
        <f>IF($I2="","",INDEX(Productos!$A:$A,$I2))</f>
        <v/>
      </c>
      <c r="C2825" s="134" t="inlineStr">
        <is>
          <t>SSLOBO-30428173</t>
        </is>
      </c>
      <c r="D2825" s="5">
        <f>IF($I2="","",INDEX(Productos!$B:$B,$I2))</f>
        <v/>
      </c>
      <c r="E2825" s="5">
        <f>IF($I2="","",INDEX(Productos!$H:$H,$I2))</f>
        <v/>
      </c>
      <c r="F2825" s="5">
        <f>IF($I2="","",INDEX(Productos!$I:$I,$I2))</f>
        <v/>
      </c>
      <c r="G2825" s="135" t="n">
        <v>2</v>
      </c>
      <c r="H2825" s="5">
        <f>IF($I2="","",INDEX(Productos!$AG:$AG,$I2))</f>
        <v/>
      </c>
      <c r="I2825" s="136">
        <f>LET(_xlpm.r,Productos!$E$2:$E$2509,_xlpm.m,IFERROR(_xlfn.XMATCH(C2825,_xlpm.r),IFERROR(_xlfn.XMATCH(VALUE(C2825),_xlpm.r),0)),IF(_xlpm.m=0,"",_xlpm.m+1))</f>
        <v/>
      </c>
      <c r="J2825" s="137" t="inlineStr">
        <is>
          <t>Shopify</t>
        </is>
      </c>
    </row>
    <row r="2826">
      <c r="A2826" s="5" t="inlineStr">
        <is>
          <t>Shopify Stetson México › Stetson Americas</t>
        </is>
      </c>
      <c r="B2826" s="5">
        <f>IF($I2="","",INDEX(Productos!$A:$A,$I2))</f>
        <v/>
      </c>
      <c r="C2826" s="134" t="inlineStr">
        <is>
          <t>SSLOBO-30428174</t>
        </is>
      </c>
      <c r="D2826" s="5">
        <f>IF($I2="","",INDEX(Productos!$B:$B,$I2))</f>
        <v/>
      </c>
      <c r="E2826" s="5">
        <f>IF($I2="","",INDEX(Productos!$H:$H,$I2))</f>
        <v/>
      </c>
      <c r="F2826" s="5">
        <f>IF($I2="","",INDEX(Productos!$I:$I,$I2))</f>
        <v/>
      </c>
      <c r="G2826" s="135" t="n">
        <v>1</v>
      </c>
      <c r="H2826" s="5">
        <f>IF($I2="","",INDEX(Productos!$AG:$AG,$I2))</f>
        <v/>
      </c>
      <c r="I2826" s="136">
        <f>LET(_xlpm.r,Productos!$E$2:$E$2509,_xlpm.m,IFERROR(_xlfn.XMATCH(C2826,_xlpm.r),IFERROR(_xlfn.XMATCH(VALUE(C2826),_xlpm.r),0)),IF(_xlpm.m=0,"",_xlpm.m+1))</f>
        <v/>
      </c>
      <c r="J2826" s="137" t="inlineStr">
        <is>
          <t>Shopify</t>
        </is>
      </c>
    </row>
    <row r="2827">
      <c r="A2827" s="5" t="inlineStr">
        <is>
          <t>Shopify Stetson México › Stetson Americas</t>
        </is>
      </c>
      <c r="B2827" s="5">
        <f>IF($I2="","",INDEX(Productos!$A:$A,$I2))</f>
        <v/>
      </c>
      <c r="C2827" s="134" t="inlineStr">
        <is>
          <t>SSMDCM-66408171</t>
        </is>
      </c>
      <c r="D2827" s="5">
        <f>IF($I2="","",INDEX(Productos!$B:$B,$I2))</f>
        <v/>
      </c>
      <c r="E2827" s="5">
        <f>IF($I2="","",INDEX(Productos!$H:$H,$I2))</f>
        <v/>
      </c>
      <c r="F2827" s="5">
        <f>IF($I2="","",INDEX(Productos!$I:$I,$I2))</f>
        <v/>
      </c>
      <c r="G2827" s="135" t="n">
        <v>1</v>
      </c>
      <c r="H2827" s="5">
        <f>IF($I2="","",INDEX(Productos!$AG:$AG,$I2))</f>
        <v/>
      </c>
      <c r="I2827" s="136">
        <f>LET(_xlpm.r,Productos!$E$2:$E$2509,_xlpm.m,IFERROR(_xlfn.XMATCH(C2827,_xlpm.r),IFERROR(_xlfn.XMATCH(VALUE(C2827),_xlpm.r),0)),IF(_xlpm.m=0,"",_xlpm.m+1))</f>
        <v/>
      </c>
      <c r="J2827" s="137" t="inlineStr">
        <is>
          <t>Shopify</t>
        </is>
      </c>
    </row>
    <row r="2828">
      <c r="A2828" s="5" t="inlineStr">
        <is>
          <t>Shopify Stetson México › Stetson Americas</t>
        </is>
      </c>
      <c r="B2828" s="5">
        <f>IF($I2="","",INDEX(Productos!$A:$A,$I2))</f>
        <v/>
      </c>
      <c r="C2828" s="134" t="inlineStr">
        <is>
          <t>SSPLAT-30428172</t>
        </is>
      </c>
      <c r="D2828" s="5">
        <f>IF($I2="","",INDEX(Productos!$B:$B,$I2))</f>
        <v/>
      </c>
      <c r="E2828" s="5">
        <f>IF($I2="","",INDEX(Productos!$H:$H,$I2))</f>
        <v/>
      </c>
      <c r="F2828" s="5">
        <f>IF($I2="","",INDEX(Productos!$I:$I,$I2))</f>
        <v/>
      </c>
      <c r="G2828" s="135" t="n">
        <v>1</v>
      </c>
      <c r="H2828" s="5">
        <f>IF($I2="","",INDEX(Productos!$AG:$AG,$I2))</f>
        <v/>
      </c>
      <c r="I2828" s="136">
        <f>LET(_xlpm.r,Productos!$E$2:$E$2509,_xlpm.m,IFERROR(_xlfn.XMATCH(C2828,_xlpm.r),IFERROR(_xlfn.XMATCH(VALUE(C2828),_xlpm.r),0)),IF(_xlpm.m=0,"",_xlpm.m+1))</f>
        <v/>
      </c>
      <c r="J2828" s="137" t="inlineStr">
        <is>
          <t>Shopify</t>
        </is>
      </c>
    </row>
    <row r="2829">
      <c r="A2829" s="5" t="inlineStr">
        <is>
          <t>Shopify Stetson México › Stetson Americas</t>
        </is>
      </c>
      <c r="B2829" s="5">
        <f>IF($I2="","",INDEX(Productos!$A:$A,$I2))</f>
        <v/>
      </c>
      <c r="C2829" s="134" t="inlineStr">
        <is>
          <t>SSSDMN-30428171</t>
        </is>
      </c>
      <c r="D2829" s="5">
        <f>IF($I2="","",INDEX(Productos!$B:$B,$I2))</f>
        <v/>
      </c>
      <c r="E2829" s="5">
        <f>IF($I2="","",INDEX(Productos!$H:$H,$I2))</f>
        <v/>
      </c>
      <c r="F2829" s="5">
        <f>IF($I2="","",INDEX(Productos!$I:$I,$I2))</f>
        <v/>
      </c>
      <c r="G2829" s="135" t="n">
        <v>2</v>
      </c>
      <c r="H2829" s="5">
        <f>IF($I2="","",INDEX(Productos!$AG:$AG,$I2))</f>
        <v/>
      </c>
      <c r="I2829" s="136">
        <f>LET(_xlpm.r,Productos!$E$2:$E$2509,_xlpm.m,IFERROR(_xlfn.XMATCH(C2829,_xlpm.r),IFERROR(_xlfn.XMATCH(VALUE(C2829),_xlpm.r),0)),IF(_xlpm.m=0,"",_xlpm.m+1))</f>
        <v/>
      </c>
      <c r="J2829" s="137" t="inlineStr">
        <is>
          <t>Shopify</t>
        </is>
      </c>
    </row>
    <row r="2830">
      <c r="A2830" s="5" t="inlineStr">
        <is>
          <t>Shopify Stetson México › Stetson Americas</t>
        </is>
      </c>
      <c r="B2830" s="5">
        <f>IF($I2="","",INDEX(Productos!$A:$A,$I2))</f>
        <v/>
      </c>
      <c r="C2830" s="134" t="inlineStr">
        <is>
          <t>SSSDMN-30428172</t>
        </is>
      </c>
      <c r="D2830" s="5">
        <f>IF($I2="","",INDEX(Productos!$B:$B,$I2))</f>
        <v/>
      </c>
      <c r="E2830" s="5">
        <f>IF($I2="","",INDEX(Productos!$H:$H,$I2))</f>
        <v/>
      </c>
      <c r="F2830" s="5">
        <f>IF($I2="","",INDEX(Productos!$I:$I,$I2))</f>
        <v/>
      </c>
      <c r="G2830" s="135" t="n">
        <v>1</v>
      </c>
      <c r="H2830" s="5">
        <f>IF($I2="","",INDEX(Productos!$AG:$AG,$I2))</f>
        <v/>
      </c>
      <c r="I2830" s="136">
        <f>LET(_xlpm.r,Productos!$E$2:$E$2509,_xlpm.m,IFERROR(_xlfn.XMATCH(C2830,_xlpm.r),IFERROR(_xlfn.XMATCH(VALUE(C2830),_xlpm.r),0)),IF(_xlpm.m=0,"",_xlpm.m+1))</f>
        <v/>
      </c>
      <c r="J2830" s="137" t="inlineStr">
        <is>
          <t>Shopify</t>
        </is>
      </c>
    </row>
    <row r="2831">
      <c r="A2831" s="5" t="inlineStr">
        <is>
          <t>Shopify Stetson México › Stetson Americas</t>
        </is>
      </c>
      <c r="B2831" s="5">
        <f>IF($I2="","",INDEX(Productos!$A:$A,$I2))</f>
        <v/>
      </c>
      <c r="C2831" s="134" t="inlineStr">
        <is>
          <t>SSSTGJ-703681AL</t>
        </is>
      </c>
      <c r="D2831" s="5">
        <f>IF($I2="","",INDEX(Productos!$B:$B,$I2))</f>
        <v/>
      </c>
      <c r="E2831" s="5">
        <f>IF($I2="","",INDEX(Productos!$H:$H,$I2))</f>
        <v/>
      </c>
      <c r="F2831" s="5">
        <f>IF($I2="","",INDEX(Productos!$I:$I,$I2))</f>
        <v/>
      </c>
      <c r="G2831" s="135" t="n">
        <v>1</v>
      </c>
      <c r="H2831" s="5">
        <f>IF($I2="","",INDEX(Productos!$AG:$AG,$I2))</f>
        <v/>
      </c>
      <c r="I2831" s="136">
        <f>LET(_xlpm.r,Productos!$E$2:$E$2509,_xlpm.m,IFERROR(_xlfn.XMATCH(C2831,_xlpm.r),IFERROR(_xlfn.XMATCH(VALUE(C2831),_xlpm.r),0)),IF(_xlpm.m=0,"",_xlpm.m+1))</f>
        <v/>
      </c>
      <c r="J2831" s="137" t="inlineStr">
        <is>
          <t>Shopify</t>
        </is>
      </c>
    </row>
    <row r="2832">
      <c r="A2832" s="5" t="inlineStr">
        <is>
          <t>Shopify Stetson México › Stetson Americas</t>
        </is>
      </c>
      <c r="B2832" s="5">
        <f>IF($I2="","",INDEX(Productos!$A:$A,$I2))</f>
        <v/>
      </c>
      <c r="C2832" s="134" t="inlineStr">
        <is>
          <t>SSSTPT-68448172</t>
        </is>
      </c>
      <c r="D2832" s="5">
        <f>IF($I2="","",INDEX(Productos!$B:$B,$I2))</f>
        <v/>
      </c>
      <c r="E2832" s="5">
        <f>IF($I2="","",INDEX(Productos!$H:$H,$I2))</f>
        <v/>
      </c>
      <c r="F2832" s="5">
        <f>IF($I2="","",INDEX(Productos!$I:$I,$I2))</f>
        <v/>
      </c>
      <c r="G2832" s="135" t="n">
        <v>2</v>
      </c>
      <c r="H2832" s="5">
        <f>IF($I2="","",INDEX(Productos!$AG:$AG,$I2))</f>
        <v/>
      </c>
      <c r="I2832" s="136">
        <f>LET(_xlpm.r,Productos!$E$2:$E$2509,_xlpm.m,IFERROR(_xlfn.XMATCH(C2832,_xlpm.r),IFERROR(_xlfn.XMATCH(VALUE(C2832),_xlpm.r),0)),IF(_xlpm.m=0,"",_xlpm.m+1))</f>
        <v/>
      </c>
      <c r="J2832" s="137" t="inlineStr">
        <is>
          <t>Shopify</t>
        </is>
      </c>
    </row>
    <row r="2833">
      <c r="A2833" s="5" t="inlineStr">
        <is>
          <t>Shopify Stetson México › Stetson Americas</t>
        </is>
      </c>
      <c r="B2833" s="5">
        <f>IF($I2="","",INDEX(Productos!$A:$A,$I2))</f>
        <v/>
      </c>
      <c r="C2833" s="134" t="inlineStr">
        <is>
          <t>SSSTPT-68448173</t>
        </is>
      </c>
      <c r="D2833" s="5">
        <f>IF($I2="","",INDEX(Productos!$B:$B,$I2))</f>
        <v/>
      </c>
      <c r="E2833" s="5">
        <f>IF($I2="","",INDEX(Productos!$H:$H,$I2))</f>
        <v/>
      </c>
      <c r="F2833" s="5">
        <f>IF($I2="","",INDEX(Productos!$I:$I,$I2))</f>
        <v/>
      </c>
      <c r="G2833" s="135" t="n">
        <v>1</v>
      </c>
      <c r="H2833" s="5">
        <f>IF($I2="","",INDEX(Productos!$AG:$AG,$I2))</f>
        <v/>
      </c>
      <c r="I2833" s="136">
        <f>LET(_xlpm.r,Productos!$E$2:$E$2509,_xlpm.m,IFERROR(_xlfn.XMATCH(C2833,_xlpm.r),IFERROR(_xlfn.XMATCH(VALUE(C2833),_xlpm.r),0)),IF(_xlpm.m=0,"",_xlpm.m+1))</f>
        <v/>
      </c>
      <c r="J2833" s="137" t="inlineStr">
        <is>
          <t>Shopify</t>
        </is>
      </c>
    </row>
    <row r="2834">
      <c r="A2834" s="5" t="inlineStr">
        <is>
          <t>Shopify Stetson México › Stetson Americas</t>
        </is>
      </c>
      <c r="B2834" s="5">
        <f>IF($I2="","",INDEX(Productos!$A:$A,$I2))</f>
        <v/>
      </c>
      <c r="C2834" s="134" t="inlineStr">
        <is>
          <t>SSTHDR-WR42P170</t>
        </is>
      </c>
      <c r="D2834" s="5">
        <f>IF($I2="","",INDEX(Productos!$B:$B,$I2))</f>
        <v/>
      </c>
      <c r="E2834" s="5">
        <f>IF($I2="","",INDEX(Productos!$H:$H,$I2))</f>
        <v/>
      </c>
      <c r="F2834" s="5">
        <f>IF($I2="","",INDEX(Productos!$I:$I,$I2))</f>
        <v/>
      </c>
      <c r="G2834" s="135" t="n">
        <v>1</v>
      </c>
      <c r="H2834" s="5">
        <f>IF($I2="","",INDEX(Productos!$AG:$AG,$I2))</f>
        <v/>
      </c>
      <c r="I2834" s="136">
        <f>LET(_xlpm.r,Productos!$E$2:$E$2509,_xlpm.m,IFERROR(_xlfn.XMATCH(C2834,_xlpm.r),IFERROR(_xlfn.XMATCH(VALUE(C2834),_xlpm.r),0)),IF(_xlpm.m=0,"",_xlpm.m+1))</f>
        <v/>
      </c>
      <c r="J2834" s="137" t="inlineStr">
        <is>
          <t>Shopify</t>
        </is>
      </c>
    </row>
    <row r="2835">
      <c r="A2835" s="5" t="inlineStr">
        <is>
          <t>Shopify Stetson México › Stetson Americas</t>
        </is>
      </c>
      <c r="B2835" s="5">
        <f>IF($I2="","",INDEX(Productos!$A:$A,$I2))</f>
        <v/>
      </c>
      <c r="C2835" s="134" t="inlineStr">
        <is>
          <t>SSTHDR-WR42P173</t>
        </is>
      </c>
      <c r="D2835" s="5">
        <f>IF($I2="","",INDEX(Productos!$B:$B,$I2))</f>
        <v/>
      </c>
      <c r="E2835" s="5">
        <f>IF($I2="","",INDEX(Productos!$H:$H,$I2))</f>
        <v/>
      </c>
      <c r="F2835" s="5">
        <f>IF($I2="","",INDEX(Productos!$I:$I,$I2))</f>
        <v/>
      </c>
      <c r="G2835" s="135" t="n">
        <v>1</v>
      </c>
      <c r="H2835" s="5">
        <f>IF($I2="","",INDEX(Productos!$AG:$AG,$I2))</f>
        <v/>
      </c>
      <c r="I2835" s="136">
        <f>LET(_xlpm.r,Productos!$E$2:$E$2509,_xlpm.m,IFERROR(_xlfn.XMATCH(C2835,_xlpm.r),IFERROR(_xlfn.XMATCH(VALUE(C2835),_xlpm.r),0)),IF(_xlpm.m=0,"",_xlpm.m+1))</f>
        <v/>
      </c>
      <c r="J2835" s="137" t="inlineStr">
        <is>
          <t>Shopify</t>
        </is>
      </c>
    </row>
    <row r="2836">
      <c r="A2836" s="5" t="inlineStr">
        <is>
          <t>Shopify Stetson México › Stetson Americas</t>
        </is>
      </c>
      <c r="B2836" s="5">
        <f>IF($I2="","",INDEX(Productos!$A:$A,$I2))</f>
        <v/>
      </c>
      <c r="C2836" s="134" t="inlineStr">
        <is>
          <t>ST-H101</t>
        </is>
      </c>
      <c r="D2836" s="5">
        <f>IF($I2="","",INDEX(Productos!$B:$B,$I2))</f>
        <v/>
      </c>
      <c r="E2836" s="5">
        <f>IF($I2="","",INDEX(Productos!$H:$H,$I2))</f>
        <v/>
      </c>
      <c r="F2836" s="5">
        <f>IF($I2="","",INDEX(Productos!$I:$I,$I2))</f>
        <v/>
      </c>
      <c r="G2836" s="135" t="n">
        <v>1</v>
      </c>
      <c r="H2836" s="5">
        <f>IF($I2="","",INDEX(Productos!$AG:$AG,$I2))</f>
        <v/>
      </c>
      <c r="I2836" s="136">
        <f>LET(_xlpm.r,Productos!$E$2:$E$2509,_xlpm.m,IFERROR(_xlfn.XMATCH(C2836,_xlpm.r),IFERROR(_xlfn.XMATCH(VALUE(C2836),_xlpm.r),0)),IF(_xlpm.m=0,"",_xlpm.m+1))</f>
        <v/>
      </c>
      <c r="J2836" s="137" t="inlineStr">
        <is>
          <t>Shopify</t>
        </is>
      </c>
    </row>
    <row r="2837">
      <c r="A2837" s="5" t="inlineStr">
        <is>
          <t>Shopify Stetson México › Stetson Americas</t>
        </is>
      </c>
      <c r="B2837" s="5">
        <f>IF($I2="","",INDEX(Productos!$A:$A,$I2))</f>
        <v/>
      </c>
      <c r="C2837" s="134" t="inlineStr">
        <is>
          <t>ST-H104</t>
        </is>
      </c>
      <c r="D2837" s="5">
        <f>IF($I2="","",INDEX(Productos!$B:$B,$I2))</f>
        <v/>
      </c>
      <c r="E2837" s="5">
        <f>IF($I2="","",INDEX(Productos!$H:$H,$I2))</f>
        <v/>
      </c>
      <c r="F2837" s="5">
        <f>IF($I2="","",INDEX(Productos!$I:$I,$I2))</f>
        <v/>
      </c>
      <c r="G2837" s="135" t="n">
        <v>1</v>
      </c>
      <c r="H2837" s="5">
        <f>IF($I2="","",INDEX(Productos!$AG:$AG,$I2))</f>
        <v/>
      </c>
      <c r="I2837" s="136">
        <f>LET(_xlpm.r,Productos!$E$2:$E$2509,_xlpm.m,IFERROR(_xlfn.XMATCH(C2837,_xlpm.r),IFERROR(_xlfn.XMATCH(VALUE(C2837),_xlpm.r),0)),IF(_xlpm.m=0,"",_xlpm.m+1))</f>
        <v/>
      </c>
      <c r="J2837" s="137" t="inlineStr">
        <is>
          <t>Shopify</t>
        </is>
      </c>
    </row>
    <row r="2838">
      <c r="A2838" s="5" t="inlineStr">
        <is>
          <t>Shopify Stetson México › Stetson Americas</t>
        </is>
      </c>
      <c r="B2838" s="5">
        <f>IF($I2="","",INDEX(Productos!$A:$A,$I2))</f>
        <v/>
      </c>
      <c r="C2838" s="134" t="inlineStr">
        <is>
          <t>ST-H105</t>
        </is>
      </c>
      <c r="D2838" s="5">
        <f>IF($I2="","",INDEX(Productos!$B:$B,$I2))</f>
        <v/>
      </c>
      <c r="E2838" s="5">
        <f>IF($I2="","",INDEX(Productos!$H:$H,$I2))</f>
        <v/>
      </c>
      <c r="F2838" s="5">
        <f>IF($I2="","",INDEX(Productos!$I:$I,$I2))</f>
        <v/>
      </c>
      <c r="G2838" s="135" t="n">
        <v>16</v>
      </c>
      <c r="H2838" s="5">
        <f>IF($I2="","",INDEX(Productos!$AG:$AG,$I2))</f>
        <v/>
      </c>
      <c r="I2838" s="136">
        <f>LET(_xlpm.r,Productos!$E$2:$E$2509,_xlpm.m,IFERROR(_xlfn.XMATCH(C2838,_xlpm.r),IFERROR(_xlfn.XMATCH(VALUE(C2838),_xlpm.r),0)),IF(_xlpm.m=0,"",_xlpm.m+1))</f>
        <v/>
      </c>
      <c r="J2838" s="137" t="inlineStr">
        <is>
          <t>Shopify</t>
        </is>
      </c>
    </row>
    <row r="2839">
      <c r="A2839" s="5" t="inlineStr">
        <is>
          <t>Shopify Stetson México › Stetson Americas</t>
        </is>
      </c>
      <c r="B2839" s="5">
        <f>IF($I2="","",INDEX(Productos!$A:$A,$I2))</f>
        <v/>
      </c>
      <c r="C2839" s="134" t="inlineStr">
        <is>
          <t>ST-LT-001-FW25-AF-2XL</t>
        </is>
      </c>
      <c r="D2839" s="5">
        <f>IF($I2="","",INDEX(Productos!$B:$B,$I2))</f>
        <v/>
      </c>
      <c r="E2839" s="5">
        <f>IF($I2="","",INDEX(Productos!$H:$H,$I2))</f>
        <v/>
      </c>
      <c r="F2839" s="5">
        <f>IF($I2="","",INDEX(Productos!$I:$I,$I2))</f>
        <v/>
      </c>
      <c r="G2839" s="135" t="n">
        <v>2</v>
      </c>
      <c r="H2839" s="5">
        <f>IF($I2="","",INDEX(Productos!$AG:$AG,$I2))</f>
        <v/>
      </c>
      <c r="I2839" s="136">
        <f>LET(_xlpm.r,Productos!$E$2:$E$2509,_xlpm.m,IFERROR(_xlfn.XMATCH(C2839,_xlpm.r),IFERROR(_xlfn.XMATCH(VALUE(C2839),_xlpm.r),0)),IF(_xlpm.m=0,"",_xlpm.m+1))</f>
        <v/>
      </c>
      <c r="J2839" s="137" t="inlineStr">
        <is>
          <t>Shopify</t>
        </is>
      </c>
    </row>
    <row r="2840">
      <c r="A2840" s="5" t="inlineStr">
        <is>
          <t>Shopify Stetson México › Stetson Americas</t>
        </is>
      </c>
      <c r="B2840" s="5">
        <f>IF($I2="","",INDEX(Productos!$A:$A,$I2))</f>
        <v/>
      </c>
      <c r="C2840" s="134" t="inlineStr">
        <is>
          <t>ST-LT-001-FW25-AF-L</t>
        </is>
      </c>
      <c r="D2840" s="5">
        <f>IF($I2="","",INDEX(Productos!$B:$B,$I2))</f>
        <v/>
      </c>
      <c r="E2840" s="5">
        <f>IF($I2="","",INDEX(Productos!$H:$H,$I2))</f>
        <v/>
      </c>
      <c r="F2840" s="5">
        <f>IF($I2="","",INDEX(Productos!$I:$I,$I2))</f>
        <v/>
      </c>
      <c r="G2840" s="135" t="n">
        <v>5</v>
      </c>
      <c r="H2840" s="5">
        <f>IF($I2="","",INDEX(Productos!$AG:$AG,$I2))</f>
        <v/>
      </c>
      <c r="I2840" s="136">
        <f>LET(_xlpm.r,Productos!$E$2:$E$2509,_xlpm.m,IFERROR(_xlfn.XMATCH(C2840,_xlpm.r),IFERROR(_xlfn.XMATCH(VALUE(C2840),_xlpm.r),0)),IF(_xlpm.m=0,"",_xlpm.m+1))</f>
        <v/>
      </c>
      <c r="J2840" s="137" t="inlineStr">
        <is>
          <t>Shopify</t>
        </is>
      </c>
    </row>
    <row r="2841">
      <c r="A2841" s="5" t="inlineStr">
        <is>
          <t>Shopify Stetson México › Stetson Americas</t>
        </is>
      </c>
      <c r="B2841" s="5">
        <f>IF($I2="","",INDEX(Productos!$A:$A,$I2))</f>
        <v/>
      </c>
      <c r="C2841" s="134" t="inlineStr">
        <is>
          <t>ST-LT-001-FW25-AF-S</t>
        </is>
      </c>
      <c r="D2841" s="5">
        <f>IF($I2="","",INDEX(Productos!$B:$B,$I2))</f>
        <v/>
      </c>
      <c r="E2841" s="5">
        <f>IF($I2="","",INDEX(Productos!$H:$H,$I2))</f>
        <v/>
      </c>
      <c r="F2841" s="5">
        <f>IF($I2="","",INDEX(Productos!$I:$I,$I2))</f>
        <v/>
      </c>
      <c r="G2841" s="135" t="n">
        <v>2</v>
      </c>
      <c r="H2841" s="5">
        <f>IF($I2="","",INDEX(Productos!$AG:$AG,$I2))</f>
        <v/>
      </c>
      <c r="I2841" s="136">
        <f>LET(_xlpm.r,Productos!$E$2:$E$2509,_xlpm.m,IFERROR(_xlfn.XMATCH(C2841,_xlpm.r),IFERROR(_xlfn.XMATCH(VALUE(C2841),_xlpm.r),0)),IF(_xlpm.m=0,"",_xlpm.m+1))</f>
        <v/>
      </c>
      <c r="J2841" s="137" t="inlineStr">
        <is>
          <t>Shopify</t>
        </is>
      </c>
    </row>
    <row r="2842">
      <c r="A2842" s="5" t="inlineStr">
        <is>
          <t>Shopify Stetson México › Stetson Americas</t>
        </is>
      </c>
      <c r="B2842" s="5">
        <f>IF($I2="","",INDEX(Productos!$A:$A,$I2))</f>
        <v/>
      </c>
      <c r="C2842" s="134" t="inlineStr">
        <is>
          <t>ST-LT-001-FW25-AF-XL</t>
        </is>
      </c>
      <c r="D2842" s="5">
        <f>IF($I2="","",INDEX(Productos!$B:$B,$I2))</f>
        <v/>
      </c>
      <c r="E2842" s="5">
        <f>IF($I2="","",INDEX(Productos!$H:$H,$I2))</f>
        <v/>
      </c>
      <c r="F2842" s="5">
        <f>IF($I2="","",INDEX(Productos!$I:$I,$I2))</f>
        <v/>
      </c>
      <c r="G2842" s="135" t="n">
        <v>3</v>
      </c>
      <c r="H2842" s="5">
        <f>IF($I2="","",INDEX(Productos!$AG:$AG,$I2))</f>
        <v/>
      </c>
      <c r="I2842" s="136">
        <f>LET(_xlpm.r,Productos!$E$2:$E$2509,_xlpm.m,IFERROR(_xlfn.XMATCH(C2842,_xlpm.r),IFERROR(_xlfn.XMATCH(VALUE(C2842),_xlpm.r),0)),IF(_xlpm.m=0,"",_xlpm.m+1))</f>
        <v/>
      </c>
      <c r="J2842" s="137" t="inlineStr">
        <is>
          <t>Shopify</t>
        </is>
      </c>
    </row>
    <row r="2843">
      <c r="A2843" s="5" t="inlineStr">
        <is>
          <t>Shopify Stetson México › Stetson Americas</t>
        </is>
      </c>
      <c r="B2843" s="5">
        <f>IF($I2="","",INDEX(Productos!$A:$A,$I2))</f>
        <v/>
      </c>
      <c r="C2843" s="134" t="inlineStr">
        <is>
          <t>ST-LT-002-FW25-OR-2XL</t>
        </is>
      </c>
      <c r="D2843" s="5">
        <f>IF($I2="","",INDEX(Productos!$B:$B,$I2))</f>
        <v/>
      </c>
      <c r="E2843" s="5">
        <f>IF($I2="","",INDEX(Productos!$H:$H,$I2))</f>
        <v/>
      </c>
      <c r="F2843" s="5">
        <f>IF($I2="","",INDEX(Productos!$I:$I,$I2))</f>
        <v/>
      </c>
      <c r="G2843" s="135" t="n">
        <v>2</v>
      </c>
      <c r="H2843" s="5">
        <f>IF($I2="","",INDEX(Productos!$AG:$AG,$I2))</f>
        <v/>
      </c>
      <c r="I2843" s="136">
        <f>LET(_xlpm.r,Productos!$E$2:$E$2509,_xlpm.m,IFERROR(_xlfn.XMATCH(C2843,_xlpm.r),IFERROR(_xlfn.XMATCH(VALUE(C2843),_xlpm.r),0)),IF(_xlpm.m=0,"",_xlpm.m+1))</f>
        <v/>
      </c>
      <c r="J2843" s="137" t="inlineStr">
        <is>
          <t>Shopify</t>
        </is>
      </c>
    </row>
    <row r="2844">
      <c r="A2844" s="5" t="inlineStr">
        <is>
          <t>Shopify Stetson México › Stetson Americas</t>
        </is>
      </c>
      <c r="B2844" s="5">
        <f>IF($I2="","",INDEX(Productos!$A:$A,$I2))</f>
        <v/>
      </c>
      <c r="C2844" s="134" t="inlineStr">
        <is>
          <t>ST-LT-002-FW25-OR-L</t>
        </is>
      </c>
      <c r="D2844" s="5">
        <f>IF($I2="","",INDEX(Productos!$B:$B,$I2))</f>
        <v/>
      </c>
      <c r="E2844" s="5">
        <f>IF($I2="","",INDEX(Productos!$H:$H,$I2))</f>
        <v/>
      </c>
      <c r="F2844" s="5">
        <f>IF($I2="","",INDEX(Productos!$I:$I,$I2))</f>
        <v/>
      </c>
      <c r="G2844" s="135" t="n">
        <v>2</v>
      </c>
      <c r="H2844" s="5">
        <f>IF($I2="","",INDEX(Productos!$AG:$AG,$I2))</f>
        <v/>
      </c>
      <c r="I2844" s="136">
        <f>LET(_xlpm.r,Productos!$E$2:$E$2509,_xlpm.m,IFERROR(_xlfn.XMATCH(C2844,_xlpm.r),IFERROR(_xlfn.XMATCH(VALUE(C2844),_xlpm.r),0)),IF(_xlpm.m=0,"",_xlpm.m+1))</f>
        <v/>
      </c>
      <c r="J2844" s="137" t="inlineStr">
        <is>
          <t>Shopify</t>
        </is>
      </c>
    </row>
    <row r="2845">
      <c r="A2845" s="5" t="inlineStr">
        <is>
          <t>Shopify Stetson México › Stetson Americas</t>
        </is>
      </c>
      <c r="B2845" s="5">
        <f>IF($I2="","",INDEX(Productos!$A:$A,$I2))</f>
        <v/>
      </c>
      <c r="C2845" s="134" t="inlineStr">
        <is>
          <t>ST-LT-002-FW25-OR-M</t>
        </is>
      </c>
      <c r="D2845" s="5">
        <f>IF($I2="","",INDEX(Productos!$B:$B,$I2))</f>
        <v/>
      </c>
      <c r="E2845" s="5">
        <f>IF($I2="","",INDEX(Productos!$H:$H,$I2))</f>
        <v/>
      </c>
      <c r="F2845" s="5">
        <f>IF($I2="","",INDEX(Productos!$I:$I,$I2))</f>
        <v/>
      </c>
      <c r="G2845" s="135" t="n">
        <v>1</v>
      </c>
      <c r="H2845" s="5">
        <f>IF($I2="","",INDEX(Productos!$AG:$AG,$I2))</f>
        <v/>
      </c>
      <c r="I2845" s="136">
        <f>LET(_xlpm.r,Productos!$E$2:$E$2509,_xlpm.m,IFERROR(_xlfn.XMATCH(C2845,_xlpm.r),IFERROR(_xlfn.XMATCH(VALUE(C2845),_xlpm.r),0)),IF(_xlpm.m=0,"",_xlpm.m+1))</f>
        <v/>
      </c>
      <c r="J2845" s="137" t="inlineStr">
        <is>
          <t>Shopify</t>
        </is>
      </c>
    </row>
    <row r="2846">
      <c r="A2846" s="5" t="inlineStr">
        <is>
          <t>Shopify Stetson México › Stetson Americas</t>
        </is>
      </c>
      <c r="B2846" s="5">
        <f>IF($I2="","",INDEX(Productos!$A:$A,$I2))</f>
        <v/>
      </c>
      <c r="C2846" s="134" t="inlineStr">
        <is>
          <t>ST-LT-002-FW25-OR-S</t>
        </is>
      </c>
      <c r="D2846" s="5">
        <f>IF($I2="","",INDEX(Productos!$B:$B,$I2))</f>
        <v/>
      </c>
      <c r="E2846" s="5">
        <f>IF($I2="","",INDEX(Productos!$H:$H,$I2))</f>
        <v/>
      </c>
      <c r="F2846" s="5">
        <f>IF($I2="","",INDEX(Productos!$I:$I,$I2))</f>
        <v/>
      </c>
      <c r="G2846" s="135" t="n">
        <v>3</v>
      </c>
      <c r="H2846" s="5">
        <f>IF($I2="","",INDEX(Productos!$AG:$AG,$I2))</f>
        <v/>
      </c>
      <c r="I2846" s="136">
        <f>LET(_xlpm.r,Productos!$E$2:$E$2509,_xlpm.m,IFERROR(_xlfn.XMATCH(C2846,_xlpm.r),IFERROR(_xlfn.XMATCH(VALUE(C2846),_xlpm.r),0)),IF(_xlpm.m=0,"",_xlpm.m+1))</f>
        <v/>
      </c>
      <c r="J2846" s="137" t="inlineStr">
        <is>
          <t>Shopify</t>
        </is>
      </c>
    </row>
    <row r="2847">
      <c r="A2847" s="5" t="inlineStr">
        <is>
          <t>Shopify Stetson México › Stetson Americas</t>
        </is>
      </c>
      <c r="B2847" s="5">
        <f>IF($I2="","",INDEX(Productos!$A:$A,$I2))</f>
        <v/>
      </c>
      <c r="C2847" s="134" t="inlineStr">
        <is>
          <t>ST-LT-002-FW25-OR-XL</t>
        </is>
      </c>
      <c r="D2847" s="5">
        <f>IF($I2="","",INDEX(Productos!$B:$B,$I2))</f>
        <v/>
      </c>
      <c r="E2847" s="5">
        <f>IF($I2="","",INDEX(Productos!$H:$H,$I2))</f>
        <v/>
      </c>
      <c r="F2847" s="5">
        <f>IF($I2="","",INDEX(Productos!$I:$I,$I2))</f>
        <v/>
      </c>
      <c r="G2847" s="135" t="n">
        <v>2</v>
      </c>
      <c r="H2847" s="5">
        <f>IF($I2="","",INDEX(Productos!$AG:$AG,$I2))</f>
        <v/>
      </c>
      <c r="I2847" s="136">
        <f>LET(_xlpm.r,Productos!$E$2:$E$2509,_xlpm.m,IFERROR(_xlfn.XMATCH(C2847,_xlpm.r),IFERROR(_xlfn.XMATCH(VALUE(C2847),_xlpm.r),0)),IF(_xlpm.m=0,"",_xlpm.m+1))</f>
        <v/>
      </c>
      <c r="J2847" s="137" t="inlineStr">
        <is>
          <t>Shopify</t>
        </is>
      </c>
    </row>
    <row r="2848">
      <c r="A2848" s="5" t="inlineStr">
        <is>
          <t>Shopify Stetson México › Stetson Americas</t>
        </is>
      </c>
      <c r="B2848" s="5">
        <f>IF($I2="","",INDEX(Productos!$A:$A,$I2))</f>
        <v/>
      </c>
      <c r="C2848" s="134" t="inlineStr">
        <is>
          <t>ST-LT-003-FW25-PN-2XL</t>
        </is>
      </c>
      <c r="D2848" s="5">
        <f>IF($I2="","",INDEX(Productos!$B:$B,$I2))</f>
        <v/>
      </c>
      <c r="E2848" s="5">
        <f>IF($I2="","",INDEX(Productos!$H:$H,$I2))</f>
        <v/>
      </c>
      <c r="F2848" s="5">
        <f>IF($I2="","",INDEX(Productos!$I:$I,$I2))</f>
        <v/>
      </c>
      <c r="G2848" s="135" t="n">
        <v>3</v>
      </c>
      <c r="H2848" s="5">
        <f>IF($I2="","",INDEX(Productos!$AG:$AG,$I2))</f>
        <v/>
      </c>
      <c r="I2848" s="136">
        <f>LET(_xlpm.r,Productos!$E$2:$E$2509,_xlpm.m,IFERROR(_xlfn.XMATCH(C2848,_xlpm.r),IFERROR(_xlfn.XMATCH(VALUE(C2848),_xlpm.r),0)),IF(_xlpm.m=0,"",_xlpm.m+1))</f>
        <v/>
      </c>
      <c r="J2848" s="137" t="inlineStr">
        <is>
          <t>Shopify</t>
        </is>
      </c>
    </row>
    <row r="2849">
      <c r="A2849" s="5" t="inlineStr">
        <is>
          <t>Shopify Stetson México › Stetson Americas</t>
        </is>
      </c>
      <c r="B2849" s="5">
        <f>IF($I2="","",INDEX(Productos!$A:$A,$I2))</f>
        <v/>
      </c>
      <c r="C2849" s="134" t="inlineStr">
        <is>
          <t>ST-LT-003-FW25-PN-S</t>
        </is>
      </c>
      <c r="D2849" s="5">
        <f>IF($I2="","",INDEX(Productos!$B:$B,$I2))</f>
        <v/>
      </c>
      <c r="E2849" s="5">
        <f>IF($I2="","",INDEX(Productos!$H:$H,$I2))</f>
        <v/>
      </c>
      <c r="F2849" s="5">
        <f>IF($I2="","",INDEX(Productos!$I:$I,$I2))</f>
        <v/>
      </c>
      <c r="G2849" s="135" t="n">
        <v>3</v>
      </c>
      <c r="H2849" s="5">
        <f>IF($I2="","",INDEX(Productos!$AG:$AG,$I2))</f>
        <v/>
      </c>
      <c r="I2849" s="136">
        <f>LET(_xlpm.r,Productos!$E$2:$E$2509,_xlpm.m,IFERROR(_xlfn.XMATCH(C2849,_xlpm.r),IFERROR(_xlfn.XMATCH(VALUE(C2849),_xlpm.r),0)),IF(_xlpm.m=0,"",_xlpm.m+1))</f>
        <v/>
      </c>
      <c r="J2849" s="137" t="inlineStr">
        <is>
          <t>Shopify</t>
        </is>
      </c>
    </row>
    <row r="2850">
      <c r="A2850" s="5" t="inlineStr">
        <is>
          <t>Shopify Stetson México › Stetson Americas</t>
        </is>
      </c>
      <c r="B2850" s="5">
        <f>IF($I2="","",INDEX(Productos!$A:$A,$I2))</f>
        <v/>
      </c>
      <c r="C2850" s="134" t="inlineStr">
        <is>
          <t>ST-LT-003-FW25-PN-XL</t>
        </is>
      </c>
      <c r="D2850" s="5">
        <f>IF($I2="","",INDEX(Productos!$B:$B,$I2))</f>
        <v/>
      </c>
      <c r="E2850" s="5">
        <f>IF($I2="","",INDEX(Productos!$H:$H,$I2))</f>
        <v/>
      </c>
      <c r="F2850" s="5">
        <f>IF($I2="","",INDEX(Productos!$I:$I,$I2))</f>
        <v/>
      </c>
      <c r="G2850" s="135" t="n">
        <v>1</v>
      </c>
      <c r="H2850" s="5">
        <f>IF($I2="","",INDEX(Productos!$AG:$AG,$I2))</f>
        <v/>
      </c>
      <c r="I2850" s="136">
        <f>LET(_xlpm.r,Productos!$E$2:$E$2509,_xlpm.m,IFERROR(_xlfn.XMATCH(C2850,_xlpm.r),IFERROR(_xlfn.XMATCH(VALUE(C2850),_xlpm.r),0)),IF(_xlpm.m=0,"",_xlpm.m+1))</f>
        <v/>
      </c>
      <c r="J2850" s="137" t="inlineStr">
        <is>
          <t>Shopify</t>
        </is>
      </c>
    </row>
    <row r="2851">
      <c r="A2851" s="5" t="inlineStr">
        <is>
          <t>Shopify Stetson México › Stetson Americas</t>
        </is>
      </c>
      <c r="B2851" s="5">
        <f>IF($I2="","",INDEX(Productos!$A:$A,$I2))</f>
        <v/>
      </c>
      <c r="C2851" s="134" t="inlineStr">
        <is>
          <t>ST-LT-004-FW25-TR-2XL</t>
        </is>
      </c>
      <c r="D2851" s="5">
        <f>IF($I2="","",INDEX(Productos!$B:$B,$I2))</f>
        <v/>
      </c>
      <c r="E2851" s="5">
        <f>IF($I2="","",INDEX(Productos!$H:$H,$I2))</f>
        <v/>
      </c>
      <c r="F2851" s="5">
        <f>IF($I2="","",INDEX(Productos!$I:$I,$I2))</f>
        <v/>
      </c>
      <c r="G2851" s="135" t="n">
        <v>3</v>
      </c>
      <c r="H2851" s="5">
        <f>IF($I2="","",INDEX(Productos!$AG:$AG,$I2))</f>
        <v/>
      </c>
      <c r="I2851" s="136">
        <f>LET(_xlpm.r,Productos!$E$2:$E$2509,_xlpm.m,IFERROR(_xlfn.XMATCH(C2851,_xlpm.r),IFERROR(_xlfn.XMATCH(VALUE(C2851),_xlpm.r),0)),IF(_xlpm.m=0,"",_xlpm.m+1))</f>
        <v/>
      </c>
      <c r="J2851" s="137" t="inlineStr">
        <is>
          <t>Shopify</t>
        </is>
      </c>
    </row>
    <row r="2852">
      <c r="A2852" s="5" t="inlineStr">
        <is>
          <t>Shopify Stetson México › Stetson Americas</t>
        </is>
      </c>
      <c r="B2852" s="5">
        <f>IF($I2="","",INDEX(Productos!$A:$A,$I2))</f>
        <v/>
      </c>
      <c r="C2852" s="134" t="inlineStr">
        <is>
          <t>ST-LT-004-FW25-TR-S</t>
        </is>
      </c>
      <c r="D2852" s="5">
        <f>IF($I2="","",INDEX(Productos!$B:$B,$I2))</f>
        <v/>
      </c>
      <c r="E2852" s="5">
        <f>IF($I2="","",INDEX(Productos!$H:$H,$I2))</f>
        <v/>
      </c>
      <c r="F2852" s="5">
        <f>IF($I2="","",INDEX(Productos!$I:$I,$I2))</f>
        <v/>
      </c>
      <c r="G2852" s="135" t="n">
        <v>1</v>
      </c>
      <c r="H2852" s="5">
        <f>IF($I2="","",INDEX(Productos!$AG:$AG,$I2))</f>
        <v/>
      </c>
      <c r="I2852" s="136">
        <f>LET(_xlpm.r,Productos!$E$2:$E$2509,_xlpm.m,IFERROR(_xlfn.XMATCH(C2852,_xlpm.r),IFERROR(_xlfn.XMATCH(VALUE(C2852),_xlpm.r),0)),IF(_xlpm.m=0,"",_xlpm.m+1))</f>
        <v/>
      </c>
      <c r="J2852" s="137" t="inlineStr">
        <is>
          <t>Shopify</t>
        </is>
      </c>
    </row>
    <row r="2853">
      <c r="A2853" s="5" t="inlineStr">
        <is>
          <t>Shopify Stetson México › Stetson Americas</t>
        </is>
      </c>
      <c r="B2853" s="5">
        <f>IF($I2="","",INDEX(Productos!$A:$A,$I2))</f>
        <v/>
      </c>
      <c r="C2853" s="134" t="inlineStr">
        <is>
          <t>ST-LT-004-FW25-TR-XL</t>
        </is>
      </c>
      <c r="D2853" s="5">
        <f>IF($I2="","",INDEX(Productos!$B:$B,$I2))</f>
        <v/>
      </c>
      <c r="E2853" s="5">
        <f>IF($I2="","",INDEX(Productos!$H:$H,$I2))</f>
        <v/>
      </c>
      <c r="F2853" s="5">
        <f>IF($I2="","",INDEX(Productos!$I:$I,$I2))</f>
        <v/>
      </c>
      <c r="G2853" s="135" t="n">
        <v>1</v>
      </c>
      <c r="H2853" s="5">
        <f>IF($I2="","",INDEX(Productos!$AG:$AG,$I2))</f>
        <v/>
      </c>
      <c r="I2853" s="136">
        <f>LET(_xlpm.r,Productos!$E$2:$E$2509,_xlpm.m,IFERROR(_xlfn.XMATCH(C2853,_xlpm.r),IFERROR(_xlfn.XMATCH(VALUE(C2853),_xlpm.r),0)),IF(_xlpm.m=0,"",_xlpm.m+1))</f>
        <v/>
      </c>
      <c r="J2853" s="137" t="inlineStr">
        <is>
          <t>Shopify</t>
        </is>
      </c>
    </row>
    <row r="2854">
      <c r="A2854" s="5" t="inlineStr">
        <is>
          <t>Shopify Stetson México › Stetson Americas</t>
        </is>
      </c>
      <c r="B2854" s="5">
        <f>IF($I2="","",INDEX(Productos!$A:$A,$I2))</f>
        <v/>
      </c>
      <c r="C2854" s="134" t="inlineStr">
        <is>
          <t>ST-TI-001-FW25-TC-2XL</t>
        </is>
      </c>
      <c r="D2854" s="5">
        <f>IF($I2="","",INDEX(Productos!$B:$B,$I2))</f>
        <v/>
      </c>
      <c r="E2854" s="5">
        <f>IF($I2="","",INDEX(Productos!$H:$H,$I2))</f>
        <v/>
      </c>
      <c r="F2854" s="5">
        <f>IF($I2="","",INDEX(Productos!$I:$I,$I2))</f>
        <v/>
      </c>
      <c r="G2854" s="135" t="n">
        <v>3</v>
      </c>
      <c r="H2854" s="5">
        <f>IF($I2="","",INDEX(Productos!$AG:$AG,$I2))</f>
        <v/>
      </c>
      <c r="I2854" s="136">
        <f>LET(_xlpm.r,Productos!$E$2:$E$2509,_xlpm.m,IFERROR(_xlfn.XMATCH(C2854,_xlpm.r),IFERROR(_xlfn.XMATCH(VALUE(C2854),_xlpm.r),0)),IF(_xlpm.m=0,"",_xlpm.m+1))</f>
        <v/>
      </c>
      <c r="J2854" s="137" t="inlineStr">
        <is>
          <t>Shopify</t>
        </is>
      </c>
    </row>
    <row r="2855">
      <c r="A2855" s="5" t="inlineStr">
        <is>
          <t>Shopify Stetson México › Stetson Americas</t>
        </is>
      </c>
      <c r="B2855" s="5">
        <f>IF($I2="","",INDEX(Productos!$A:$A,$I2))</f>
        <v/>
      </c>
      <c r="C2855" s="134" t="inlineStr">
        <is>
          <t>ST-TI-001-FW25-TC-L</t>
        </is>
      </c>
      <c r="D2855" s="5">
        <f>IF($I2="","",INDEX(Productos!$B:$B,$I2))</f>
        <v/>
      </c>
      <c r="E2855" s="5">
        <f>IF($I2="","",INDEX(Productos!$H:$H,$I2))</f>
        <v/>
      </c>
      <c r="F2855" s="5">
        <f>IF($I2="","",INDEX(Productos!$I:$I,$I2))</f>
        <v/>
      </c>
      <c r="G2855" s="135" t="n">
        <v>2</v>
      </c>
      <c r="H2855" s="5">
        <f>IF($I2="","",INDEX(Productos!$AG:$AG,$I2))</f>
        <v/>
      </c>
      <c r="I2855" s="136">
        <f>LET(_xlpm.r,Productos!$E$2:$E$2509,_xlpm.m,IFERROR(_xlfn.XMATCH(C2855,_xlpm.r),IFERROR(_xlfn.XMATCH(VALUE(C2855),_xlpm.r),0)),IF(_xlpm.m=0,"",_xlpm.m+1))</f>
        <v/>
      </c>
      <c r="J2855" s="137" t="inlineStr">
        <is>
          <t>Shopify</t>
        </is>
      </c>
    </row>
    <row r="2856">
      <c r="A2856" s="5" t="inlineStr">
        <is>
          <t>Shopify Stetson México › Stetson Americas</t>
        </is>
      </c>
      <c r="B2856" s="5">
        <f>IF($I2="","",INDEX(Productos!$A:$A,$I2))</f>
        <v/>
      </c>
      <c r="C2856" s="134" t="inlineStr">
        <is>
          <t>ST-TI-001-FW25-TC-S</t>
        </is>
      </c>
      <c r="D2856" s="5">
        <f>IF($I2="","",INDEX(Productos!$B:$B,$I2))</f>
        <v/>
      </c>
      <c r="E2856" s="5">
        <f>IF($I2="","",INDEX(Productos!$H:$H,$I2))</f>
        <v/>
      </c>
      <c r="F2856" s="5">
        <f>IF($I2="","",INDEX(Productos!$I:$I,$I2))</f>
        <v/>
      </c>
      <c r="G2856" s="135" t="n">
        <v>1</v>
      </c>
      <c r="H2856" s="5">
        <f>IF($I2="","",INDEX(Productos!$AG:$AG,$I2))</f>
        <v/>
      </c>
      <c r="I2856" s="136">
        <f>LET(_xlpm.r,Productos!$E$2:$E$2509,_xlpm.m,IFERROR(_xlfn.XMATCH(C2856,_xlpm.r),IFERROR(_xlfn.XMATCH(VALUE(C2856),_xlpm.r),0)),IF(_xlpm.m=0,"",_xlpm.m+1))</f>
        <v/>
      </c>
      <c r="J2856" s="137" t="inlineStr">
        <is>
          <t>Shopify</t>
        </is>
      </c>
    </row>
    <row r="2857">
      <c r="A2857" s="5" t="inlineStr">
        <is>
          <t>Shopify Stetson México › Stetson Americas</t>
        </is>
      </c>
      <c r="B2857" s="5">
        <f>IF($I2="","",INDEX(Productos!$A:$A,$I2))</f>
        <v/>
      </c>
      <c r="C2857" s="134" t="inlineStr">
        <is>
          <t>ST-TI-001-FW25-TC-XL</t>
        </is>
      </c>
      <c r="D2857" s="5">
        <f>IF($I2="","",INDEX(Productos!$B:$B,$I2))</f>
        <v/>
      </c>
      <c r="E2857" s="5">
        <f>IF($I2="","",INDEX(Productos!$H:$H,$I2))</f>
        <v/>
      </c>
      <c r="F2857" s="5">
        <f>IF($I2="","",INDEX(Productos!$I:$I,$I2))</f>
        <v/>
      </c>
      <c r="G2857" s="135" t="n">
        <v>3</v>
      </c>
      <c r="H2857" s="5">
        <f>IF($I2="","",INDEX(Productos!$AG:$AG,$I2))</f>
        <v/>
      </c>
      <c r="I2857" s="136">
        <f>LET(_xlpm.r,Productos!$E$2:$E$2509,_xlpm.m,IFERROR(_xlfn.XMATCH(C2857,_xlpm.r),IFERROR(_xlfn.XMATCH(VALUE(C2857),_xlpm.r),0)),IF(_xlpm.m=0,"",_xlpm.m+1))</f>
        <v/>
      </c>
      <c r="J2857" s="137" t="inlineStr">
        <is>
          <t>Shopify</t>
        </is>
      </c>
    </row>
    <row r="2858">
      <c r="A2858" s="5" t="inlineStr">
        <is>
          <t>Shopify Stetson México › Stetson Americas</t>
        </is>
      </c>
      <c r="B2858" s="5">
        <f>IF($I2="","",INDEX(Productos!$A:$A,$I2))</f>
        <v/>
      </c>
      <c r="C2858" s="134" t="inlineStr">
        <is>
          <t>ST-TI-002-FW25-AF-2XL</t>
        </is>
      </c>
      <c r="D2858" s="5">
        <f>IF($I2="","",INDEX(Productos!$B:$B,$I2))</f>
        <v/>
      </c>
      <c r="E2858" s="5">
        <f>IF($I2="","",INDEX(Productos!$H:$H,$I2))</f>
        <v/>
      </c>
      <c r="F2858" s="5">
        <f>IF($I2="","",INDEX(Productos!$I:$I,$I2))</f>
        <v/>
      </c>
      <c r="G2858" s="135" t="n">
        <v>3</v>
      </c>
      <c r="H2858" s="5">
        <f>IF($I2="","",INDEX(Productos!$AG:$AG,$I2))</f>
        <v/>
      </c>
      <c r="I2858" s="136">
        <f>LET(_xlpm.r,Productos!$E$2:$E$2509,_xlpm.m,IFERROR(_xlfn.XMATCH(C2858,_xlpm.r),IFERROR(_xlfn.XMATCH(VALUE(C2858),_xlpm.r),0)),IF(_xlpm.m=0,"",_xlpm.m+1))</f>
        <v/>
      </c>
      <c r="J2858" s="137" t="inlineStr">
        <is>
          <t>Shopify</t>
        </is>
      </c>
    </row>
    <row r="2859">
      <c r="A2859" s="5" t="inlineStr">
        <is>
          <t>Shopify Stetson México › Stetson Americas</t>
        </is>
      </c>
      <c r="B2859" s="5">
        <f>IF($I2="","",INDEX(Productos!$A:$A,$I2))</f>
        <v/>
      </c>
      <c r="C2859" s="134" t="inlineStr">
        <is>
          <t>ST-TI-002-FW25-AF-L</t>
        </is>
      </c>
      <c r="D2859" s="5">
        <f>IF($I2="","",INDEX(Productos!$B:$B,$I2))</f>
        <v/>
      </c>
      <c r="E2859" s="5">
        <f>IF($I2="","",INDEX(Productos!$H:$H,$I2))</f>
        <v/>
      </c>
      <c r="F2859" s="5">
        <f>IF($I2="","",INDEX(Productos!$I:$I,$I2))</f>
        <v/>
      </c>
      <c r="G2859" s="135" t="n">
        <v>1</v>
      </c>
      <c r="H2859" s="5">
        <f>IF($I2="","",INDEX(Productos!$AG:$AG,$I2))</f>
        <v/>
      </c>
      <c r="I2859" s="136">
        <f>LET(_xlpm.r,Productos!$E$2:$E$2509,_xlpm.m,IFERROR(_xlfn.XMATCH(C2859,_xlpm.r),IFERROR(_xlfn.XMATCH(VALUE(C2859),_xlpm.r),0)),IF(_xlpm.m=0,"",_xlpm.m+1))</f>
        <v/>
      </c>
      <c r="J2859" s="137" t="inlineStr">
        <is>
          <t>Shopify</t>
        </is>
      </c>
    </row>
    <row r="2860">
      <c r="A2860" s="5" t="inlineStr">
        <is>
          <t>Shopify Stetson México › Stetson Americas</t>
        </is>
      </c>
      <c r="B2860" s="5">
        <f>IF($I2="","",INDEX(Productos!$A:$A,$I2))</f>
        <v/>
      </c>
      <c r="C2860" s="134" t="inlineStr">
        <is>
          <t>ST-TI-002-FW25-AF-XL</t>
        </is>
      </c>
      <c r="D2860" s="5">
        <f>IF($I2="","",INDEX(Productos!$B:$B,$I2))</f>
        <v/>
      </c>
      <c r="E2860" s="5">
        <f>IF($I2="","",INDEX(Productos!$H:$H,$I2))</f>
        <v/>
      </c>
      <c r="F2860" s="5">
        <f>IF($I2="","",INDEX(Productos!$I:$I,$I2))</f>
        <v/>
      </c>
      <c r="G2860" s="135" t="n">
        <v>3</v>
      </c>
      <c r="H2860" s="5">
        <f>IF($I2="","",INDEX(Productos!$AG:$AG,$I2))</f>
        <v/>
      </c>
      <c r="I2860" s="136">
        <f>LET(_xlpm.r,Productos!$E$2:$E$2509,_xlpm.m,IFERROR(_xlfn.XMATCH(C2860,_xlpm.r),IFERROR(_xlfn.XMATCH(VALUE(C2860),_xlpm.r),0)),IF(_xlpm.m=0,"",_xlpm.m+1))</f>
        <v/>
      </c>
      <c r="J2860" s="137" t="inlineStr">
        <is>
          <t>Shopify</t>
        </is>
      </c>
    </row>
    <row r="2861">
      <c r="A2861" s="5" t="inlineStr">
        <is>
          <t>Shopify Stetson México › Stetson Americas</t>
        </is>
      </c>
      <c r="B2861" s="5">
        <f>IF($I2="","",INDEX(Productos!$A:$A,$I2))</f>
        <v/>
      </c>
      <c r="C2861" s="134" t="inlineStr">
        <is>
          <t>ST-TI-003-FW25-OR-2XL</t>
        </is>
      </c>
      <c r="D2861" s="5">
        <f>IF($I2="","",INDEX(Productos!$B:$B,$I2))</f>
        <v/>
      </c>
      <c r="E2861" s="5">
        <f>IF($I2="","",INDEX(Productos!$H:$H,$I2))</f>
        <v/>
      </c>
      <c r="F2861" s="5">
        <f>IF($I2="","",INDEX(Productos!$I:$I,$I2))</f>
        <v/>
      </c>
      <c r="G2861" s="135" t="n">
        <v>3</v>
      </c>
      <c r="H2861" s="5">
        <f>IF($I2="","",INDEX(Productos!$AG:$AG,$I2))</f>
        <v/>
      </c>
      <c r="I2861" s="136">
        <f>LET(_xlpm.r,Productos!$E$2:$E$2509,_xlpm.m,IFERROR(_xlfn.XMATCH(C2861,_xlpm.r),IFERROR(_xlfn.XMATCH(VALUE(C2861),_xlpm.r),0)),IF(_xlpm.m=0,"",_xlpm.m+1))</f>
        <v/>
      </c>
      <c r="J2861" s="137" t="inlineStr">
        <is>
          <t>Shopify</t>
        </is>
      </c>
    </row>
    <row r="2862">
      <c r="A2862" s="5" t="inlineStr">
        <is>
          <t>Shopify Stetson México › Stetson Americas</t>
        </is>
      </c>
      <c r="B2862" s="5">
        <f>IF($I2="","",INDEX(Productos!$A:$A,$I2))</f>
        <v/>
      </c>
      <c r="C2862" s="134" t="inlineStr">
        <is>
          <t>ST-TI-003-FW25-OR-L</t>
        </is>
      </c>
      <c r="D2862" s="5">
        <f>IF($I2="","",INDEX(Productos!$B:$B,$I2))</f>
        <v/>
      </c>
      <c r="E2862" s="5">
        <f>IF($I2="","",INDEX(Productos!$H:$H,$I2))</f>
        <v/>
      </c>
      <c r="F2862" s="5">
        <f>IF($I2="","",INDEX(Productos!$I:$I,$I2))</f>
        <v/>
      </c>
      <c r="G2862" s="135" t="n">
        <v>2</v>
      </c>
      <c r="H2862" s="5">
        <f>IF($I2="","",INDEX(Productos!$AG:$AG,$I2))</f>
        <v/>
      </c>
      <c r="I2862" s="136">
        <f>LET(_xlpm.r,Productos!$E$2:$E$2509,_xlpm.m,IFERROR(_xlfn.XMATCH(C2862,_xlpm.r),IFERROR(_xlfn.XMATCH(VALUE(C2862),_xlpm.r),0)),IF(_xlpm.m=0,"",_xlpm.m+1))</f>
        <v/>
      </c>
      <c r="J2862" s="137" t="inlineStr">
        <is>
          <t>Shopify</t>
        </is>
      </c>
    </row>
    <row r="2863">
      <c r="A2863" s="5" t="inlineStr">
        <is>
          <t>Shopify Stetson México › Stetson Americas</t>
        </is>
      </c>
      <c r="B2863" s="5">
        <f>IF($I2="","",INDEX(Productos!$A:$A,$I2))</f>
        <v/>
      </c>
      <c r="C2863" s="134" t="inlineStr">
        <is>
          <t>ST-TI-003-FW25-OR-XL</t>
        </is>
      </c>
      <c r="D2863" s="5">
        <f>IF($I2="","",INDEX(Productos!$B:$B,$I2))</f>
        <v/>
      </c>
      <c r="E2863" s="5">
        <f>IF($I2="","",INDEX(Productos!$H:$H,$I2))</f>
        <v/>
      </c>
      <c r="F2863" s="5">
        <f>IF($I2="","",INDEX(Productos!$I:$I,$I2))</f>
        <v/>
      </c>
      <c r="G2863" s="135" t="n">
        <v>3</v>
      </c>
      <c r="H2863" s="5">
        <f>IF($I2="","",INDEX(Productos!$AG:$AG,$I2))</f>
        <v/>
      </c>
      <c r="I2863" s="136">
        <f>LET(_xlpm.r,Productos!$E$2:$E$2509,_xlpm.m,IFERROR(_xlfn.XMATCH(C2863,_xlpm.r),IFERROR(_xlfn.XMATCH(VALUE(C2863),_xlpm.r),0)),IF(_xlpm.m=0,"",_xlpm.m+1))</f>
        <v/>
      </c>
      <c r="J2863" s="137" t="inlineStr">
        <is>
          <t>Shopify</t>
        </is>
      </c>
    </row>
    <row r="2864">
      <c r="A2864" s="5" t="inlineStr">
        <is>
          <t>Shopify Stetson México › Stetson Americas</t>
        </is>
      </c>
      <c r="B2864" s="5">
        <f>IF($I2="","",INDEX(Productos!$A:$A,$I2))</f>
        <v/>
      </c>
      <c r="C2864" s="134" t="inlineStr">
        <is>
          <t>ST-VR-P-001-FW25-HE-2XL</t>
        </is>
      </c>
      <c r="D2864" s="5">
        <f>IF($I2="","",INDEX(Productos!$B:$B,$I2))</f>
        <v/>
      </c>
      <c r="E2864" s="5">
        <f>IF($I2="","",INDEX(Productos!$H:$H,$I2))</f>
        <v/>
      </c>
      <c r="F2864" s="5">
        <f>IF($I2="","",INDEX(Productos!$I:$I,$I2))</f>
        <v/>
      </c>
      <c r="G2864" s="135" t="n">
        <v>4</v>
      </c>
      <c r="H2864" s="5">
        <f>IF($I2="","",INDEX(Productos!$AG:$AG,$I2))</f>
        <v/>
      </c>
      <c r="I2864" s="136">
        <f>LET(_xlpm.r,Productos!$E$2:$E$2509,_xlpm.m,IFERROR(_xlfn.XMATCH(C2864,_xlpm.r),IFERROR(_xlfn.XMATCH(VALUE(C2864),_xlpm.r),0)),IF(_xlpm.m=0,"",_xlpm.m+1))</f>
        <v/>
      </c>
      <c r="J2864" s="137" t="inlineStr">
        <is>
          <t>Shopify</t>
        </is>
      </c>
    </row>
    <row r="2865">
      <c r="A2865" s="5" t="inlineStr">
        <is>
          <t>Shopify Stetson México › Stetson Americas</t>
        </is>
      </c>
      <c r="B2865" s="5">
        <f>IF($I2="","",INDEX(Productos!$A:$A,$I2))</f>
        <v/>
      </c>
      <c r="C2865" s="134" t="inlineStr">
        <is>
          <t>ST-VR-P-001-FW25-HE-L</t>
        </is>
      </c>
      <c r="D2865" s="5">
        <f>IF($I2="","",INDEX(Productos!$B:$B,$I2))</f>
        <v/>
      </c>
      <c r="E2865" s="5">
        <f>IF($I2="","",INDEX(Productos!$H:$H,$I2))</f>
        <v/>
      </c>
      <c r="F2865" s="5">
        <f>IF($I2="","",INDEX(Productos!$I:$I,$I2))</f>
        <v/>
      </c>
      <c r="G2865" s="135" t="n">
        <v>6</v>
      </c>
      <c r="H2865" s="5">
        <f>IF($I2="","",INDEX(Productos!$AG:$AG,$I2))</f>
        <v/>
      </c>
      <c r="I2865" s="136">
        <f>LET(_xlpm.r,Productos!$E$2:$E$2509,_xlpm.m,IFERROR(_xlfn.XMATCH(C2865,_xlpm.r),IFERROR(_xlfn.XMATCH(VALUE(C2865),_xlpm.r),0)),IF(_xlpm.m=0,"",_xlpm.m+1))</f>
        <v/>
      </c>
      <c r="J2865" s="137" t="inlineStr">
        <is>
          <t>Shopify</t>
        </is>
      </c>
    </row>
    <row r="2866">
      <c r="A2866" s="5" t="inlineStr">
        <is>
          <t>Shopify Stetson México › Stetson Americas</t>
        </is>
      </c>
      <c r="B2866" s="5">
        <f>IF($I2="","",INDEX(Productos!$A:$A,$I2))</f>
        <v/>
      </c>
      <c r="C2866" s="134" t="inlineStr">
        <is>
          <t>ST-VR-P-001-FW25-HE-M</t>
        </is>
      </c>
      <c r="D2866" s="5">
        <f>IF($I2="","",INDEX(Productos!$B:$B,$I2))</f>
        <v/>
      </c>
      <c r="E2866" s="5">
        <f>IF($I2="","",INDEX(Productos!$H:$H,$I2))</f>
        <v/>
      </c>
      <c r="F2866" s="5">
        <f>IF($I2="","",INDEX(Productos!$I:$I,$I2))</f>
        <v/>
      </c>
      <c r="G2866" s="135" t="n">
        <v>3</v>
      </c>
      <c r="H2866" s="5">
        <f>IF($I2="","",INDEX(Productos!$AG:$AG,$I2))</f>
        <v/>
      </c>
      <c r="I2866" s="136">
        <f>LET(_xlpm.r,Productos!$E$2:$E$2509,_xlpm.m,IFERROR(_xlfn.XMATCH(C2866,_xlpm.r),IFERROR(_xlfn.XMATCH(VALUE(C2866),_xlpm.r),0)),IF(_xlpm.m=0,"",_xlpm.m+1))</f>
        <v/>
      </c>
      <c r="J2866" s="137" t="inlineStr">
        <is>
          <t>Shopify</t>
        </is>
      </c>
    </row>
    <row r="2867">
      <c r="A2867" s="5" t="inlineStr">
        <is>
          <t>Shopify Stetson México › Stetson Americas</t>
        </is>
      </c>
      <c r="B2867" s="5">
        <f>IF($I2="","",INDEX(Productos!$A:$A,$I2))</f>
        <v/>
      </c>
      <c r="C2867" s="134" t="inlineStr">
        <is>
          <t>ST-VR-P-001-FW25-HE-S</t>
        </is>
      </c>
      <c r="D2867" s="5">
        <f>IF($I2="","",INDEX(Productos!$B:$B,$I2))</f>
        <v/>
      </c>
      <c r="E2867" s="5">
        <f>IF($I2="","",INDEX(Productos!$H:$H,$I2))</f>
        <v/>
      </c>
      <c r="F2867" s="5">
        <f>IF($I2="","",INDEX(Productos!$I:$I,$I2))</f>
        <v/>
      </c>
      <c r="G2867" s="135" t="n">
        <v>3</v>
      </c>
      <c r="H2867" s="5">
        <f>IF($I2="","",INDEX(Productos!$AG:$AG,$I2))</f>
        <v/>
      </c>
      <c r="I2867" s="136">
        <f>LET(_xlpm.r,Productos!$E$2:$E$2509,_xlpm.m,IFERROR(_xlfn.XMATCH(C2867,_xlpm.r),IFERROR(_xlfn.XMATCH(VALUE(C2867),_xlpm.r),0)),IF(_xlpm.m=0,"",_xlpm.m+1))</f>
        <v/>
      </c>
      <c r="J2867" s="137" t="inlineStr">
        <is>
          <t>Shopify</t>
        </is>
      </c>
    </row>
    <row r="2868">
      <c r="A2868" s="5" t="inlineStr">
        <is>
          <t>Shopify Stetson México › Stetson Americas</t>
        </is>
      </c>
      <c r="B2868" s="5">
        <f>IF($I2="","",INDEX(Productos!$A:$A,$I2))</f>
        <v/>
      </c>
      <c r="C2868" s="134" t="inlineStr">
        <is>
          <t>ST-VR-P-001-FW25-HE-XL</t>
        </is>
      </c>
      <c r="D2868" s="5">
        <f>IF($I2="","",INDEX(Productos!$B:$B,$I2))</f>
        <v/>
      </c>
      <c r="E2868" s="5">
        <f>IF($I2="","",INDEX(Productos!$H:$H,$I2))</f>
        <v/>
      </c>
      <c r="F2868" s="5">
        <f>IF($I2="","",INDEX(Productos!$I:$I,$I2))</f>
        <v/>
      </c>
      <c r="G2868" s="135" t="n">
        <v>2</v>
      </c>
      <c r="H2868" s="5">
        <f>IF($I2="","",INDEX(Productos!$AG:$AG,$I2))</f>
        <v/>
      </c>
      <c r="I2868" s="136">
        <f>LET(_xlpm.r,Productos!$E$2:$E$2509,_xlpm.m,IFERROR(_xlfn.XMATCH(C2868,_xlpm.r),IFERROR(_xlfn.XMATCH(VALUE(C2868),_xlpm.r),0)),IF(_xlpm.m=0,"",_xlpm.m+1))</f>
        <v/>
      </c>
      <c r="J2868" s="137" t="inlineStr">
        <is>
          <t>Shopify</t>
        </is>
      </c>
    </row>
    <row r="2869">
      <c r="A2869" s="5" t="inlineStr">
        <is>
          <t>Shopify Stetson México › Stetson Americas</t>
        </is>
      </c>
      <c r="B2869" s="5">
        <f>IF($I2="","",INDEX(Productos!$A:$A,$I2))</f>
        <v/>
      </c>
      <c r="C2869" s="134" t="inlineStr">
        <is>
          <t>ST-VR-P-002-FW25-RP-S</t>
        </is>
      </c>
      <c r="D2869" s="5">
        <f>IF($I2="","",INDEX(Productos!$B:$B,$I2))</f>
        <v/>
      </c>
      <c r="E2869" s="5">
        <f>IF($I2="","",INDEX(Productos!$H:$H,$I2))</f>
        <v/>
      </c>
      <c r="F2869" s="5">
        <f>IF($I2="","",INDEX(Productos!$I:$I,$I2))</f>
        <v/>
      </c>
      <c r="G2869" s="135" t="n">
        <v>1</v>
      </c>
      <c r="H2869" s="5">
        <f>IF($I2="","",INDEX(Productos!$AG:$AG,$I2))</f>
        <v/>
      </c>
      <c r="I2869" s="136">
        <f>LET(_xlpm.r,Productos!$E$2:$E$2509,_xlpm.m,IFERROR(_xlfn.XMATCH(C2869,_xlpm.r),IFERROR(_xlfn.XMATCH(VALUE(C2869),_xlpm.r),0)),IF(_xlpm.m=0,"",_xlpm.m+1))</f>
        <v/>
      </c>
      <c r="J2869" s="137" t="inlineStr">
        <is>
          <t>Shopify</t>
        </is>
      </c>
    </row>
    <row r="2870">
      <c r="A2870" s="5" t="inlineStr">
        <is>
          <t>Shopify Stetson México › Stetson Americas</t>
        </is>
      </c>
      <c r="B2870" s="5">
        <f>IF($I2="","",INDEX(Productos!$A:$A,$I2))</f>
        <v/>
      </c>
      <c r="C2870" s="134" t="inlineStr">
        <is>
          <t>ST-VR-P-003-FW25-QP-2XL</t>
        </is>
      </c>
      <c r="D2870" s="5">
        <f>IF($I2="","",INDEX(Productos!$B:$B,$I2))</f>
        <v/>
      </c>
      <c r="E2870" s="5">
        <f>IF($I2="","",INDEX(Productos!$H:$H,$I2))</f>
        <v/>
      </c>
      <c r="F2870" s="5">
        <f>IF($I2="","",INDEX(Productos!$I:$I,$I2))</f>
        <v/>
      </c>
      <c r="G2870" s="135" t="n">
        <v>1</v>
      </c>
      <c r="H2870" s="5">
        <f>IF($I2="","",INDEX(Productos!$AG:$AG,$I2))</f>
        <v/>
      </c>
      <c r="I2870" s="136">
        <f>LET(_xlpm.r,Productos!$E$2:$E$2509,_xlpm.m,IFERROR(_xlfn.XMATCH(C2870,_xlpm.r),IFERROR(_xlfn.XMATCH(VALUE(C2870),_xlpm.r),0)),IF(_xlpm.m=0,"",_xlpm.m+1))</f>
        <v/>
      </c>
      <c r="J2870" s="137" t="inlineStr">
        <is>
          <t>Shopify</t>
        </is>
      </c>
    </row>
    <row r="2871">
      <c r="A2871" s="5" t="inlineStr">
        <is>
          <t>Shopify Stetson México › Stetson Americas</t>
        </is>
      </c>
      <c r="B2871" s="5">
        <f>IF($I2="","",INDEX(Productos!$A:$A,$I2))</f>
        <v/>
      </c>
      <c r="C2871" s="134" t="inlineStr">
        <is>
          <t>ST-VR-P-003-FW25-QP-L</t>
        </is>
      </c>
      <c r="D2871" s="5">
        <f>IF($I2="","",INDEX(Productos!$B:$B,$I2))</f>
        <v/>
      </c>
      <c r="E2871" s="5">
        <f>IF($I2="","",INDEX(Productos!$H:$H,$I2))</f>
        <v/>
      </c>
      <c r="F2871" s="5">
        <f>IF($I2="","",INDEX(Productos!$I:$I,$I2))</f>
        <v/>
      </c>
      <c r="G2871" s="135" t="n">
        <v>6</v>
      </c>
      <c r="H2871" s="5">
        <f>IF($I2="","",INDEX(Productos!$AG:$AG,$I2))</f>
        <v/>
      </c>
      <c r="I2871" s="136">
        <f>LET(_xlpm.r,Productos!$E$2:$E$2509,_xlpm.m,IFERROR(_xlfn.XMATCH(C2871,_xlpm.r),IFERROR(_xlfn.XMATCH(VALUE(C2871),_xlpm.r),0)),IF(_xlpm.m=0,"",_xlpm.m+1))</f>
        <v/>
      </c>
      <c r="J2871" s="137" t="inlineStr">
        <is>
          <t>Shopify</t>
        </is>
      </c>
    </row>
    <row r="2872">
      <c r="A2872" s="5" t="inlineStr">
        <is>
          <t>Shopify Stetson México › Stetson Americas</t>
        </is>
      </c>
      <c r="B2872" s="5">
        <f>IF($I2="","",INDEX(Productos!$A:$A,$I2))</f>
        <v/>
      </c>
      <c r="C2872" s="134" t="inlineStr">
        <is>
          <t>ST-VR-P-003-FW25-QP-M</t>
        </is>
      </c>
      <c r="D2872" s="5">
        <f>IF($I2="","",INDEX(Productos!$B:$B,$I2))</f>
        <v/>
      </c>
      <c r="E2872" s="5">
        <f>IF($I2="","",INDEX(Productos!$H:$H,$I2))</f>
        <v/>
      </c>
      <c r="F2872" s="5">
        <f>IF($I2="","",INDEX(Productos!$I:$I,$I2))</f>
        <v/>
      </c>
      <c r="G2872" s="135" t="n">
        <v>3</v>
      </c>
      <c r="H2872" s="5">
        <f>IF($I2="","",INDEX(Productos!$AG:$AG,$I2))</f>
        <v/>
      </c>
      <c r="I2872" s="136">
        <f>LET(_xlpm.r,Productos!$E$2:$E$2509,_xlpm.m,IFERROR(_xlfn.XMATCH(C2872,_xlpm.r),IFERROR(_xlfn.XMATCH(VALUE(C2872),_xlpm.r),0)),IF(_xlpm.m=0,"",_xlpm.m+1))</f>
        <v/>
      </c>
      <c r="J2872" s="137" t="inlineStr">
        <is>
          <t>Shopify</t>
        </is>
      </c>
    </row>
    <row r="2873">
      <c r="A2873" s="5" t="inlineStr">
        <is>
          <t>Shopify Stetson México › Stetson Americas</t>
        </is>
      </c>
      <c r="B2873" s="5">
        <f>IF($I2="","",INDEX(Productos!$A:$A,$I2))</f>
        <v/>
      </c>
      <c r="C2873" s="134" t="inlineStr">
        <is>
          <t>ST-VR-P-003-FW25-QP-S</t>
        </is>
      </c>
      <c r="D2873" s="5">
        <f>IF($I2="","",INDEX(Productos!$B:$B,$I2))</f>
        <v/>
      </c>
      <c r="E2873" s="5">
        <f>IF($I2="","",INDEX(Productos!$H:$H,$I2))</f>
        <v/>
      </c>
      <c r="F2873" s="5">
        <f>IF($I2="","",INDEX(Productos!$I:$I,$I2))</f>
        <v/>
      </c>
      <c r="G2873" s="135" t="n">
        <v>4</v>
      </c>
      <c r="H2873" s="5">
        <f>IF($I2="","",INDEX(Productos!$AG:$AG,$I2))</f>
        <v/>
      </c>
      <c r="I2873" s="136">
        <f>LET(_xlpm.r,Productos!$E$2:$E$2509,_xlpm.m,IFERROR(_xlfn.XMATCH(C2873,_xlpm.r),IFERROR(_xlfn.XMATCH(VALUE(C2873),_xlpm.r),0)),IF(_xlpm.m=0,"",_xlpm.m+1))</f>
        <v/>
      </c>
      <c r="J2873" s="137" t="inlineStr">
        <is>
          <t>Shopify</t>
        </is>
      </c>
    </row>
    <row r="2874">
      <c r="A2874" s="5" t="inlineStr">
        <is>
          <t>Shopify Stetson México › Stetson Americas</t>
        </is>
      </c>
      <c r="B2874" s="5">
        <f>IF($I2="","",INDEX(Productos!$A:$A,$I2))</f>
        <v/>
      </c>
      <c r="C2874" s="134" t="inlineStr">
        <is>
          <t>ST-VR-P-003-FW25-QP-XL</t>
        </is>
      </c>
      <c r="D2874" s="5">
        <f>IF($I2="","",INDEX(Productos!$B:$B,$I2))</f>
        <v/>
      </c>
      <c r="E2874" s="5">
        <f>IF($I2="","",INDEX(Productos!$H:$H,$I2))</f>
        <v/>
      </c>
      <c r="F2874" s="5">
        <f>IF($I2="","",INDEX(Productos!$I:$I,$I2))</f>
        <v/>
      </c>
      <c r="G2874" s="135" t="n">
        <v>4</v>
      </c>
      <c r="H2874" s="5">
        <f>IF($I2="","",INDEX(Productos!$AG:$AG,$I2))</f>
        <v/>
      </c>
      <c r="I2874" s="136">
        <f>LET(_xlpm.r,Productos!$E$2:$E$2509,_xlpm.m,IFERROR(_xlfn.XMATCH(C2874,_xlpm.r),IFERROR(_xlfn.XMATCH(VALUE(C2874),_xlpm.r),0)),IF(_xlpm.m=0,"",_xlpm.m+1))</f>
        <v/>
      </c>
      <c r="J2874" s="137" t="inlineStr">
        <is>
          <t>Shopify</t>
        </is>
      </c>
    </row>
    <row r="2875">
      <c r="A2875" s="5" t="inlineStr">
        <is>
          <t>Shopify Stetson México › Stetson Americas</t>
        </is>
      </c>
      <c r="B2875" s="5">
        <f>IF($I2="","",INDEX(Productos!$A:$A,$I2))</f>
        <v/>
      </c>
      <c r="C2875" s="134" t="inlineStr">
        <is>
          <t>ST-VR-P-004-FW25-TD-2XL</t>
        </is>
      </c>
      <c r="D2875" s="5">
        <f>IF($I2="","",INDEX(Productos!$B:$B,$I2))</f>
        <v/>
      </c>
      <c r="E2875" s="5">
        <f>IF($I2="","",INDEX(Productos!$H:$H,$I2))</f>
        <v/>
      </c>
      <c r="F2875" s="5">
        <f>IF($I2="","",INDEX(Productos!$I:$I,$I2))</f>
        <v/>
      </c>
      <c r="G2875" s="135" t="n">
        <v>1</v>
      </c>
      <c r="H2875" s="5">
        <f>IF($I2="","",INDEX(Productos!$AG:$AG,$I2))</f>
        <v/>
      </c>
      <c r="I2875" s="136">
        <f>LET(_xlpm.r,Productos!$E$2:$E$2509,_xlpm.m,IFERROR(_xlfn.XMATCH(C2875,_xlpm.r),IFERROR(_xlfn.XMATCH(VALUE(C2875),_xlpm.r),0)),IF(_xlpm.m=0,"",_xlpm.m+1))</f>
        <v/>
      </c>
      <c r="J2875" s="137" t="inlineStr">
        <is>
          <t>Shopify</t>
        </is>
      </c>
    </row>
    <row r="2876">
      <c r="A2876" s="5" t="inlineStr">
        <is>
          <t>Shopify Stetson México › Stetson Americas</t>
        </is>
      </c>
      <c r="B2876" s="5">
        <f>IF($I2="","",INDEX(Productos!$A:$A,$I2))</f>
        <v/>
      </c>
      <c r="C2876" s="134" t="inlineStr">
        <is>
          <t>ST-VR-P-004-FW25-TD-L</t>
        </is>
      </c>
      <c r="D2876" s="5">
        <f>IF($I2="","",INDEX(Productos!$B:$B,$I2))</f>
        <v/>
      </c>
      <c r="E2876" s="5">
        <f>IF($I2="","",INDEX(Productos!$H:$H,$I2))</f>
        <v/>
      </c>
      <c r="F2876" s="5">
        <f>IF($I2="","",INDEX(Productos!$I:$I,$I2))</f>
        <v/>
      </c>
      <c r="G2876" s="135" t="n">
        <v>3</v>
      </c>
      <c r="H2876" s="5">
        <f>IF($I2="","",INDEX(Productos!$AG:$AG,$I2))</f>
        <v/>
      </c>
      <c r="I2876" s="136">
        <f>LET(_xlpm.r,Productos!$E$2:$E$2509,_xlpm.m,IFERROR(_xlfn.XMATCH(C2876,_xlpm.r),IFERROR(_xlfn.XMATCH(VALUE(C2876),_xlpm.r),0)),IF(_xlpm.m=0,"",_xlpm.m+1))</f>
        <v/>
      </c>
      <c r="J2876" s="137" t="inlineStr">
        <is>
          <t>Shopify</t>
        </is>
      </c>
    </row>
    <row r="2877">
      <c r="A2877" s="5" t="inlineStr">
        <is>
          <t>Shopify Stetson México › Stetson Americas</t>
        </is>
      </c>
      <c r="B2877" s="5">
        <f>IF($I2="","",INDEX(Productos!$A:$A,$I2))</f>
        <v/>
      </c>
      <c r="C2877" s="134" t="inlineStr">
        <is>
          <t>ST-VR-P-004-FW25-TD-M</t>
        </is>
      </c>
      <c r="D2877" s="5">
        <f>IF($I2="","",INDEX(Productos!$B:$B,$I2))</f>
        <v/>
      </c>
      <c r="E2877" s="5">
        <f>IF($I2="","",INDEX(Productos!$H:$H,$I2))</f>
        <v/>
      </c>
      <c r="F2877" s="5">
        <f>IF($I2="","",INDEX(Productos!$I:$I,$I2))</f>
        <v/>
      </c>
      <c r="G2877" s="135" t="n">
        <v>1</v>
      </c>
      <c r="H2877" s="5">
        <f>IF($I2="","",INDEX(Productos!$AG:$AG,$I2))</f>
        <v/>
      </c>
      <c r="I2877" s="136">
        <f>LET(_xlpm.r,Productos!$E$2:$E$2509,_xlpm.m,IFERROR(_xlfn.XMATCH(C2877,_xlpm.r),IFERROR(_xlfn.XMATCH(VALUE(C2877),_xlpm.r),0)),IF(_xlpm.m=0,"",_xlpm.m+1))</f>
        <v/>
      </c>
      <c r="J2877" s="137" t="inlineStr">
        <is>
          <t>Shopify</t>
        </is>
      </c>
    </row>
    <row r="2878">
      <c r="A2878" s="5" t="inlineStr">
        <is>
          <t>Shopify Stetson México › Stetson Americas</t>
        </is>
      </c>
      <c r="B2878" s="5">
        <f>IF($I2="","",INDEX(Productos!$A:$A,$I2))</f>
        <v/>
      </c>
      <c r="C2878" s="134" t="inlineStr">
        <is>
          <t>ST-VR-P-004-FW25-TD-S</t>
        </is>
      </c>
      <c r="D2878" s="5">
        <f>IF($I2="","",INDEX(Productos!$B:$B,$I2))</f>
        <v/>
      </c>
      <c r="E2878" s="5">
        <f>IF($I2="","",INDEX(Productos!$H:$H,$I2))</f>
        <v/>
      </c>
      <c r="F2878" s="5">
        <f>IF($I2="","",INDEX(Productos!$I:$I,$I2))</f>
        <v/>
      </c>
      <c r="G2878" s="135" t="n">
        <v>1</v>
      </c>
      <c r="H2878" s="5">
        <f>IF($I2="","",INDEX(Productos!$AG:$AG,$I2))</f>
        <v/>
      </c>
      <c r="I2878" s="136">
        <f>LET(_xlpm.r,Productos!$E$2:$E$2509,_xlpm.m,IFERROR(_xlfn.XMATCH(C2878,_xlpm.r),IFERROR(_xlfn.XMATCH(VALUE(C2878),_xlpm.r),0)),IF(_xlpm.m=0,"",_xlpm.m+1))</f>
        <v/>
      </c>
      <c r="J2878" s="137" t="inlineStr">
        <is>
          <t>Shopify</t>
        </is>
      </c>
    </row>
    <row r="2879">
      <c r="A2879" s="5" t="inlineStr">
        <is>
          <t>Shopify Stetson México › Stetson Americas</t>
        </is>
      </c>
      <c r="B2879" s="5">
        <f>IF($I2="","",INDEX(Productos!$A:$A,$I2))</f>
        <v/>
      </c>
      <c r="C2879" s="134" t="inlineStr">
        <is>
          <t>ST-VR-P-004-FW25-TD-XL</t>
        </is>
      </c>
      <c r="D2879" s="5">
        <f>IF($I2="","",INDEX(Productos!$B:$B,$I2))</f>
        <v/>
      </c>
      <c r="E2879" s="5">
        <f>IF($I2="","",INDEX(Productos!$H:$H,$I2))</f>
        <v/>
      </c>
      <c r="F2879" s="5">
        <f>IF($I2="","",INDEX(Productos!$I:$I,$I2))</f>
        <v/>
      </c>
      <c r="G2879" s="135" t="n">
        <v>2</v>
      </c>
      <c r="H2879" s="5">
        <f>IF($I2="","",INDEX(Productos!$AG:$AG,$I2))</f>
        <v/>
      </c>
      <c r="I2879" s="136">
        <f>LET(_xlpm.r,Productos!$E$2:$E$2509,_xlpm.m,IFERROR(_xlfn.XMATCH(C2879,_xlpm.r),IFERROR(_xlfn.XMATCH(VALUE(C2879),_xlpm.r),0)),IF(_xlpm.m=0,"",_xlpm.m+1))</f>
        <v/>
      </c>
      <c r="J2879" s="137" t="inlineStr">
        <is>
          <t>Shopify</t>
        </is>
      </c>
    </row>
    <row r="2880">
      <c r="A2880" s="5" t="inlineStr">
        <is>
          <t>Shopify Stetson México › Stetson Americas</t>
        </is>
      </c>
      <c r="B2880" s="5">
        <f>IF($I2="","",INDEX(Productos!$A:$A,$I2))</f>
        <v/>
      </c>
      <c r="C2880" s="134" t="inlineStr">
        <is>
          <t>ST-VR-P-005-FW25-AZF-2XL</t>
        </is>
      </c>
      <c r="D2880" s="5">
        <f>IF($I2="","",INDEX(Productos!$B:$B,$I2))</f>
        <v/>
      </c>
      <c r="E2880" s="5">
        <f>IF($I2="","",INDEX(Productos!$H:$H,$I2))</f>
        <v/>
      </c>
      <c r="F2880" s="5">
        <f>IF($I2="","",INDEX(Productos!$I:$I,$I2))</f>
        <v/>
      </c>
      <c r="G2880" s="135" t="n">
        <v>4</v>
      </c>
      <c r="H2880" s="5">
        <f>IF($I2="","",INDEX(Productos!$AG:$AG,$I2))</f>
        <v/>
      </c>
      <c r="I2880" s="136">
        <f>LET(_xlpm.r,Productos!$E$2:$E$2509,_xlpm.m,IFERROR(_xlfn.XMATCH(C2880,_xlpm.r),IFERROR(_xlfn.XMATCH(VALUE(C2880),_xlpm.r),0)),IF(_xlpm.m=0,"",_xlpm.m+1))</f>
        <v/>
      </c>
      <c r="J2880" s="137" t="inlineStr">
        <is>
          <t>Shopify</t>
        </is>
      </c>
    </row>
    <row r="2881">
      <c r="A2881" s="5" t="inlineStr">
        <is>
          <t>Shopify Stetson México › Stetson Americas</t>
        </is>
      </c>
      <c r="B2881" s="5">
        <f>IF($I2="","",INDEX(Productos!$A:$A,$I2))</f>
        <v/>
      </c>
      <c r="C2881" s="134" t="inlineStr">
        <is>
          <t>ST-VR-P-005-FW25-AZF-L</t>
        </is>
      </c>
      <c r="D2881" s="5">
        <f>IF($I2="","",INDEX(Productos!$B:$B,$I2))</f>
        <v/>
      </c>
      <c r="E2881" s="5">
        <f>IF($I2="","",INDEX(Productos!$H:$H,$I2))</f>
        <v/>
      </c>
      <c r="F2881" s="5">
        <f>IF($I2="","",INDEX(Productos!$I:$I,$I2))</f>
        <v/>
      </c>
      <c r="G2881" s="135" t="n">
        <v>6</v>
      </c>
      <c r="H2881" s="5">
        <f>IF($I2="","",INDEX(Productos!$AG:$AG,$I2))</f>
        <v/>
      </c>
      <c r="I2881" s="136">
        <f>LET(_xlpm.r,Productos!$E$2:$E$2509,_xlpm.m,IFERROR(_xlfn.XMATCH(C2881,_xlpm.r),IFERROR(_xlfn.XMATCH(VALUE(C2881),_xlpm.r),0)),IF(_xlpm.m=0,"",_xlpm.m+1))</f>
        <v/>
      </c>
      <c r="J2881" s="137" t="inlineStr">
        <is>
          <t>Shopify</t>
        </is>
      </c>
    </row>
    <row r="2882">
      <c r="A2882" s="5" t="inlineStr">
        <is>
          <t>Shopify Stetson México › Stetson Americas</t>
        </is>
      </c>
      <c r="B2882" s="5">
        <f>IF($I2="","",INDEX(Productos!$A:$A,$I2))</f>
        <v/>
      </c>
      <c r="C2882" s="134" t="inlineStr">
        <is>
          <t>ST-VR-P-005-FW25-AZF-M</t>
        </is>
      </c>
      <c r="D2882" s="5">
        <f>IF($I2="","",INDEX(Productos!$B:$B,$I2))</f>
        <v/>
      </c>
      <c r="E2882" s="5">
        <f>IF($I2="","",INDEX(Productos!$H:$H,$I2))</f>
        <v/>
      </c>
      <c r="F2882" s="5">
        <f>IF($I2="","",INDEX(Productos!$I:$I,$I2))</f>
        <v/>
      </c>
      <c r="G2882" s="135" t="n">
        <v>4</v>
      </c>
      <c r="H2882" s="5">
        <f>IF($I2="","",INDEX(Productos!$AG:$AG,$I2))</f>
        <v/>
      </c>
      <c r="I2882" s="136">
        <f>LET(_xlpm.r,Productos!$E$2:$E$2509,_xlpm.m,IFERROR(_xlfn.XMATCH(C2882,_xlpm.r),IFERROR(_xlfn.XMATCH(VALUE(C2882),_xlpm.r),0)),IF(_xlpm.m=0,"",_xlpm.m+1))</f>
        <v/>
      </c>
      <c r="J2882" s="137" t="inlineStr">
        <is>
          <t>Shopify</t>
        </is>
      </c>
    </row>
    <row r="2883">
      <c r="A2883" s="5" t="inlineStr">
        <is>
          <t>Shopify Stetson México › Stetson Americas</t>
        </is>
      </c>
      <c r="B2883" s="5">
        <f>IF($I2="","",INDEX(Productos!$A:$A,$I2))</f>
        <v/>
      </c>
      <c r="C2883" s="134" t="inlineStr">
        <is>
          <t>ST-VR-P-005-FW25-AZF-S</t>
        </is>
      </c>
      <c r="D2883" s="5">
        <f>IF($I2="","",INDEX(Productos!$B:$B,$I2))</f>
        <v/>
      </c>
      <c r="E2883" s="5">
        <f>IF($I2="","",INDEX(Productos!$H:$H,$I2))</f>
        <v/>
      </c>
      <c r="F2883" s="5">
        <f>IF($I2="","",INDEX(Productos!$I:$I,$I2))</f>
        <v/>
      </c>
      <c r="G2883" s="135" t="n">
        <v>4</v>
      </c>
      <c r="H2883" s="5">
        <f>IF($I2="","",INDEX(Productos!$AG:$AG,$I2))</f>
        <v/>
      </c>
      <c r="I2883" s="136">
        <f>LET(_xlpm.r,Productos!$E$2:$E$2509,_xlpm.m,IFERROR(_xlfn.XMATCH(C2883,_xlpm.r),IFERROR(_xlfn.XMATCH(VALUE(C2883),_xlpm.r),0)),IF(_xlpm.m=0,"",_xlpm.m+1))</f>
        <v/>
      </c>
      <c r="J2883" s="137" t="inlineStr">
        <is>
          <t>Shopify</t>
        </is>
      </c>
    </row>
    <row r="2884">
      <c r="A2884" s="5" t="inlineStr">
        <is>
          <t>Shopify Stetson México › Stetson Americas</t>
        </is>
      </c>
      <c r="B2884" s="5">
        <f>IF($I2="","",INDEX(Productos!$A:$A,$I2))</f>
        <v/>
      </c>
      <c r="C2884" s="134" t="inlineStr">
        <is>
          <t>ST-VR-P-005-FW25-AZF-XL</t>
        </is>
      </c>
      <c r="D2884" s="5">
        <f>IF($I2="","",INDEX(Productos!$B:$B,$I2))</f>
        <v/>
      </c>
      <c r="E2884" s="5">
        <f>IF($I2="","",INDEX(Productos!$H:$H,$I2))</f>
        <v/>
      </c>
      <c r="F2884" s="5">
        <f>IF($I2="","",INDEX(Productos!$I:$I,$I2))</f>
        <v/>
      </c>
      <c r="G2884" s="135" t="n">
        <v>6</v>
      </c>
      <c r="H2884" s="5">
        <f>IF($I2="","",INDEX(Productos!$AG:$AG,$I2))</f>
        <v/>
      </c>
      <c r="I2884" s="136">
        <f>LET(_xlpm.r,Productos!$E$2:$E$2509,_xlpm.m,IFERROR(_xlfn.XMATCH(C2884,_xlpm.r),IFERROR(_xlfn.XMATCH(VALUE(C2884),_xlpm.r),0)),IF(_xlpm.m=0,"",_xlpm.m+1))</f>
        <v/>
      </c>
      <c r="J2884" s="137" t="inlineStr">
        <is>
          <t>Shopify</t>
        </is>
      </c>
    </row>
    <row r="2885">
      <c r="A2885" s="5" t="inlineStr">
        <is>
          <t>Shopify Stetson México › Stetson Americas</t>
        </is>
      </c>
      <c r="B2885" s="5">
        <f>IF($I2="","",INDEX(Productos!$A:$A,$I2))</f>
        <v/>
      </c>
      <c r="C2885" s="134" t="inlineStr">
        <is>
          <t>ST-VR-P-006-FW25-PD-L</t>
        </is>
      </c>
      <c r="D2885" s="5">
        <f>IF($I2="","",INDEX(Productos!$B:$B,$I2))</f>
        <v/>
      </c>
      <c r="E2885" s="5">
        <f>IF($I2="","",INDEX(Productos!$H:$H,$I2))</f>
        <v/>
      </c>
      <c r="F2885" s="5">
        <f>IF($I2="","",INDEX(Productos!$I:$I,$I2))</f>
        <v/>
      </c>
      <c r="G2885" s="135" t="n">
        <v>1</v>
      </c>
      <c r="H2885" s="5">
        <f>IF($I2="","",INDEX(Productos!$AG:$AG,$I2))</f>
        <v/>
      </c>
      <c r="I2885" s="136">
        <f>LET(_xlpm.r,Productos!$E$2:$E$2509,_xlpm.m,IFERROR(_xlfn.XMATCH(C2885,_xlpm.r),IFERROR(_xlfn.XMATCH(VALUE(C2885),_xlpm.r),0)),IF(_xlpm.m=0,"",_xlpm.m+1))</f>
        <v/>
      </c>
      <c r="J2885" s="137" t="inlineStr">
        <is>
          <t>Shopify</t>
        </is>
      </c>
    </row>
    <row r="2886">
      <c r="A2886" s="5" t="inlineStr">
        <is>
          <t>Shopify Stetson México › Stetson Americas</t>
        </is>
      </c>
      <c r="B2886" s="5">
        <f>IF($I2="","",INDEX(Productos!$A:$A,$I2))</f>
        <v/>
      </c>
      <c r="C2886" s="134" t="inlineStr">
        <is>
          <t>ST-VR-P-006-FW25-PD-M</t>
        </is>
      </c>
      <c r="D2886" s="5">
        <f>IF($I2="","",INDEX(Productos!$B:$B,$I2))</f>
        <v/>
      </c>
      <c r="E2886" s="5">
        <f>IF($I2="","",INDEX(Productos!$H:$H,$I2))</f>
        <v/>
      </c>
      <c r="F2886" s="5">
        <f>IF($I2="","",INDEX(Productos!$I:$I,$I2))</f>
        <v/>
      </c>
      <c r="G2886" s="135" t="n">
        <v>1</v>
      </c>
      <c r="H2886" s="5">
        <f>IF($I2="","",INDEX(Productos!$AG:$AG,$I2))</f>
        <v/>
      </c>
      <c r="I2886" s="136">
        <f>LET(_xlpm.r,Productos!$E$2:$E$2509,_xlpm.m,IFERROR(_xlfn.XMATCH(C2886,_xlpm.r),IFERROR(_xlfn.XMATCH(VALUE(C2886),_xlpm.r),0)),IF(_xlpm.m=0,"",_xlpm.m+1))</f>
        <v/>
      </c>
      <c r="J2886" s="137" t="inlineStr">
        <is>
          <t>Shopify</t>
        </is>
      </c>
    </row>
    <row r="2887">
      <c r="A2887" s="5" t="inlineStr">
        <is>
          <t>Shopify Stetson México › Stetson Americas</t>
        </is>
      </c>
      <c r="B2887" s="5">
        <f>IF($I2="","",INDEX(Productos!$A:$A,$I2))</f>
        <v/>
      </c>
      <c r="C2887" s="134" t="inlineStr">
        <is>
          <t>ST-VR-P-006-FW25-PD-S</t>
        </is>
      </c>
      <c r="D2887" s="5">
        <f>IF($I2="","",INDEX(Productos!$B:$B,$I2))</f>
        <v/>
      </c>
      <c r="E2887" s="5">
        <f>IF($I2="","",INDEX(Productos!$H:$H,$I2))</f>
        <v/>
      </c>
      <c r="F2887" s="5">
        <f>IF($I2="","",INDEX(Productos!$I:$I,$I2))</f>
        <v/>
      </c>
      <c r="G2887" s="135" t="n">
        <v>1</v>
      </c>
      <c r="H2887" s="5">
        <f>IF($I2="","",INDEX(Productos!$AG:$AG,$I2))</f>
        <v/>
      </c>
      <c r="I2887" s="136">
        <f>LET(_xlpm.r,Productos!$E$2:$E$2509,_xlpm.m,IFERROR(_xlfn.XMATCH(C2887,_xlpm.r),IFERROR(_xlfn.XMATCH(VALUE(C2887),_xlpm.r),0)),IF(_xlpm.m=0,"",_xlpm.m+1))</f>
        <v/>
      </c>
      <c r="J2887" s="137" t="inlineStr">
        <is>
          <t>Shopify</t>
        </is>
      </c>
    </row>
    <row r="2888">
      <c r="A2888" s="5" t="inlineStr">
        <is>
          <t>Shopify Stetson México › Stetson Americas</t>
        </is>
      </c>
      <c r="B2888" s="5">
        <f>IF($I2="","",INDEX(Productos!$A:$A,$I2))</f>
        <v/>
      </c>
      <c r="C2888" s="134" t="inlineStr">
        <is>
          <t>ST-VR-P-006-FW25-PD-XL</t>
        </is>
      </c>
      <c r="D2888" s="5">
        <f>IF($I2="","",INDEX(Productos!$B:$B,$I2))</f>
        <v/>
      </c>
      <c r="E2888" s="5">
        <f>IF($I2="","",INDEX(Productos!$H:$H,$I2))</f>
        <v/>
      </c>
      <c r="F2888" s="5">
        <f>IF($I2="","",INDEX(Productos!$I:$I,$I2))</f>
        <v/>
      </c>
      <c r="G2888" s="135" t="n">
        <v>3</v>
      </c>
      <c r="H2888" s="5">
        <f>IF($I2="","",INDEX(Productos!$AG:$AG,$I2))</f>
        <v/>
      </c>
      <c r="I2888" s="136">
        <f>LET(_xlpm.r,Productos!$E$2:$E$2509,_xlpm.m,IFERROR(_xlfn.XMATCH(C2888,_xlpm.r),IFERROR(_xlfn.XMATCH(VALUE(C2888),_xlpm.r),0)),IF(_xlpm.m=0,"",_xlpm.m+1))</f>
        <v/>
      </c>
      <c r="J2888" s="137" t="inlineStr">
        <is>
          <t>Shopify</t>
        </is>
      </c>
    </row>
    <row r="2889">
      <c r="A2889" s="5" t="inlineStr">
        <is>
          <t>Shopify Stetson México › Stetson Americas</t>
        </is>
      </c>
      <c r="B2889" s="5">
        <f>IF($I2="","",INDEX(Productos!$A:$A,$I2))</f>
        <v/>
      </c>
      <c r="C2889" s="134" t="inlineStr">
        <is>
          <t>ST-VR-P-007-FW25-SB-2XL</t>
        </is>
      </c>
      <c r="D2889" s="5">
        <f>IF($I2="","",INDEX(Productos!$B:$B,$I2))</f>
        <v/>
      </c>
      <c r="E2889" s="5">
        <f>IF($I2="","",INDEX(Productos!$H:$H,$I2))</f>
        <v/>
      </c>
      <c r="F2889" s="5">
        <f>IF($I2="","",INDEX(Productos!$I:$I,$I2))</f>
        <v/>
      </c>
      <c r="G2889" s="135" t="n">
        <v>3</v>
      </c>
      <c r="H2889" s="5">
        <f>IF($I2="","",INDEX(Productos!$AG:$AG,$I2))</f>
        <v/>
      </c>
      <c r="I2889" s="136">
        <f>LET(_xlpm.r,Productos!$E$2:$E$2509,_xlpm.m,IFERROR(_xlfn.XMATCH(C2889,_xlpm.r),IFERROR(_xlfn.XMATCH(VALUE(C2889),_xlpm.r),0)),IF(_xlpm.m=0,"",_xlpm.m+1))</f>
        <v/>
      </c>
      <c r="J2889" s="137" t="inlineStr">
        <is>
          <t>Shopify</t>
        </is>
      </c>
    </row>
    <row r="2890">
      <c r="A2890" s="5" t="inlineStr">
        <is>
          <t>Shopify Stetson México › Stetson Americas</t>
        </is>
      </c>
      <c r="B2890" s="5">
        <f>IF($I2="","",INDEX(Productos!$A:$A,$I2))</f>
        <v/>
      </c>
      <c r="C2890" s="134" t="inlineStr">
        <is>
          <t>ST-VR-P-007-FW25-SB-L</t>
        </is>
      </c>
      <c r="D2890" s="5">
        <f>IF($I2="","",INDEX(Productos!$B:$B,$I2))</f>
        <v/>
      </c>
      <c r="E2890" s="5">
        <f>IF($I2="","",INDEX(Productos!$H:$H,$I2))</f>
        <v/>
      </c>
      <c r="F2890" s="5">
        <f>IF($I2="","",INDEX(Productos!$I:$I,$I2))</f>
        <v/>
      </c>
      <c r="G2890" s="135" t="n">
        <v>5</v>
      </c>
      <c r="H2890" s="5">
        <f>IF($I2="","",INDEX(Productos!$AG:$AG,$I2))</f>
        <v/>
      </c>
      <c r="I2890" s="136">
        <f>LET(_xlpm.r,Productos!$E$2:$E$2509,_xlpm.m,IFERROR(_xlfn.XMATCH(C2890,_xlpm.r),IFERROR(_xlfn.XMATCH(VALUE(C2890),_xlpm.r),0)),IF(_xlpm.m=0,"",_xlpm.m+1))</f>
        <v/>
      </c>
      <c r="J2890" s="137" t="inlineStr">
        <is>
          <t>Shopify</t>
        </is>
      </c>
    </row>
    <row r="2891">
      <c r="A2891" s="5" t="inlineStr">
        <is>
          <t>Shopify Stetson México › Stetson Americas</t>
        </is>
      </c>
      <c r="B2891" s="5">
        <f>IF($I2="","",INDEX(Productos!$A:$A,$I2))</f>
        <v/>
      </c>
      <c r="C2891" s="134" t="inlineStr">
        <is>
          <t>ST-VR-P-007-FW25-SB-M</t>
        </is>
      </c>
      <c r="D2891" s="5">
        <f>IF($I2="","",INDEX(Productos!$B:$B,$I2))</f>
        <v/>
      </c>
      <c r="E2891" s="5">
        <f>IF($I2="","",INDEX(Productos!$H:$H,$I2))</f>
        <v/>
      </c>
      <c r="F2891" s="5">
        <f>IF($I2="","",INDEX(Productos!$I:$I,$I2))</f>
        <v/>
      </c>
      <c r="G2891" s="135" t="n">
        <v>2</v>
      </c>
      <c r="H2891" s="5">
        <f>IF($I2="","",INDEX(Productos!$AG:$AG,$I2))</f>
        <v/>
      </c>
      <c r="I2891" s="136">
        <f>LET(_xlpm.r,Productos!$E$2:$E$2509,_xlpm.m,IFERROR(_xlfn.XMATCH(C2891,_xlpm.r),IFERROR(_xlfn.XMATCH(VALUE(C2891),_xlpm.r),0)),IF(_xlpm.m=0,"",_xlpm.m+1))</f>
        <v/>
      </c>
      <c r="J2891" s="137" t="inlineStr">
        <is>
          <t>Shopify</t>
        </is>
      </c>
    </row>
    <row r="2892">
      <c r="A2892" s="5" t="inlineStr">
        <is>
          <t>Shopify Stetson México › Stetson Americas</t>
        </is>
      </c>
      <c r="B2892" s="5">
        <f>IF($I2="","",INDEX(Productos!$A:$A,$I2))</f>
        <v/>
      </c>
      <c r="C2892" s="134" t="inlineStr">
        <is>
          <t>ST-VR-P-007-FW25-SB-S</t>
        </is>
      </c>
      <c r="D2892" s="5">
        <f>IF($I2="","",INDEX(Productos!$B:$B,$I2))</f>
        <v/>
      </c>
      <c r="E2892" s="5">
        <f>IF($I2="","",INDEX(Productos!$H:$H,$I2))</f>
        <v/>
      </c>
      <c r="F2892" s="5">
        <f>IF($I2="","",INDEX(Productos!$I:$I,$I2))</f>
        <v/>
      </c>
      <c r="G2892" s="135" t="n">
        <v>4</v>
      </c>
      <c r="H2892" s="5">
        <f>IF($I2="","",INDEX(Productos!$AG:$AG,$I2))</f>
        <v/>
      </c>
      <c r="I2892" s="136">
        <f>LET(_xlpm.r,Productos!$E$2:$E$2509,_xlpm.m,IFERROR(_xlfn.XMATCH(C2892,_xlpm.r),IFERROR(_xlfn.XMATCH(VALUE(C2892),_xlpm.r),0)),IF(_xlpm.m=0,"",_xlpm.m+1))</f>
        <v/>
      </c>
      <c r="J2892" s="137" t="inlineStr">
        <is>
          <t>Shopify</t>
        </is>
      </c>
    </row>
    <row r="2893">
      <c r="A2893" s="5" t="inlineStr">
        <is>
          <t>Shopify Stetson México › Stetson Americas</t>
        </is>
      </c>
      <c r="B2893" s="5">
        <f>IF($I2="","",INDEX(Productos!$A:$A,$I2))</f>
        <v/>
      </c>
      <c r="C2893" s="134" t="inlineStr">
        <is>
          <t>ST-VR-P-007-FW25-SB-XL</t>
        </is>
      </c>
      <c r="D2893" s="5">
        <f>IF($I2="","",INDEX(Productos!$B:$B,$I2))</f>
        <v/>
      </c>
      <c r="E2893" s="5">
        <f>IF($I2="","",INDEX(Productos!$H:$H,$I2))</f>
        <v/>
      </c>
      <c r="F2893" s="5">
        <f>IF($I2="","",INDEX(Productos!$I:$I,$I2))</f>
        <v/>
      </c>
      <c r="G2893" s="135" t="n">
        <v>2</v>
      </c>
      <c r="H2893" s="5">
        <f>IF($I2="","",INDEX(Productos!$AG:$AG,$I2))</f>
        <v/>
      </c>
      <c r="I2893" s="136">
        <f>LET(_xlpm.r,Productos!$E$2:$E$2509,_xlpm.m,IFERROR(_xlfn.XMATCH(C2893,_xlpm.r),IFERROR(_xlfn.XMATCH(VALUE(C2893),_xlpm.r),0)),IF(_xlpm.m=0,"",_xlpm.m+1))</f>
        <v/>
      </c>
      <c r="J2893" s="137" t="inlineStr">
        <is>
          <t>Shopify</t>
        </is>
      </c>
    </row>
    <row r="2894">
      <c r="A2894" s="5" t="inlineStr">
        <is>
          <t>Shopify Stetson México › Stetson Americas</t>
        </is>
      </c>
      <c r="B2894" s="5">
        <f>IF($I2="","",INDEX(Productos!$A:$A,$I2))</f>
        <v/>
      </c>
      <c r="C2894" s="134" t="inlineStr">
        <is>
          <t>ST-VR-P-008-FW25-FN-2XL</t>
        </is>
      </c>
      <c r="D2894" s="5">
        <f>IF($I2="","",INDEX(Productos!$B:$B,$I2))</f>
        <v/>
      </c>
      <c r="E2894" s="5">
        <f>IF($I2="","",INDEX(Productos!$H:$H,$I2))</f>
        <v/>
      </c>
      <c r="F2894" s="5">
        <f>IF($I2="","",INDEX(Productos!$I:$I,$I2))</f>
        <v/>
      </c>
      <c r="G2894" s="135" t="n">
        <v>1</v>
      </c>
      <c r="H2894" s="5">
        <f>IF($I2="","",INDEX(Productos!$AG:$AG,$I2))</f>
        <v/>
      </c>
      <c r="I2894" s="136">
        <f>LET(_xlpm.r,Productos!$E$2:$E$2509,_xlpm.m,IFERROR(_xlfn.XMATCH(C2894,_xlpm.r),IFERROR(_xlfn.XMATCH(VALUE(C2894),_xlpm.r),0)),IF(_xlpm.m=0,"",_xlpm.m+1))</f>
        <v/>
      </c>
      <c r="J2894" s="137" t="inlineStr">
        <is>
          <t>Shopify</t>
        </is>
      </c>
    </row>
    <row r="2895">
      <c r="A2895" s="5" t="inlineStr">
        <is>
          <t>Shopify Stetson México › Stetson Americas</t>
        </is>
      </c>
      <c r="B2895" s="5">
        <f>IF($I2="","",INDEX(Productos!$A:$A,$I2))</f>
        <v/>
      </c>
      <c r="C2895" s="134" t="inlineStr">
        <is>
          <t>ST-VR-P-008-FW25-FN-L</t>
        </is>
      </c>
      <c r="D2895" s="5">
        <f>IF($I2="","",INDEX(Productos!$B:$B,$I2))</f>
        <v/>
      </c>
      <c r="E2895" s="5">
        <f>IF($I2="","",INDEX(Productos!$H:$H,$I2))</f>
        <v/>
      </c>
      <c r="F2895" s="5">
        <f>IF($I2="","",INDEX(Productos!$I:$I,$I2))</f>
        <v/>
      </c>
      <c r="G2895" s="135" t="n">
        <v>4</v>
      </c>
      <c r="H2895" s="5">
        <f>IF($I2="","",INDEX(Productos!$AG:$AG,$I2))</f>
        <v/>
      </c>
      <c r="I2895" s="136">
        <f>LET(_xlpm.r,Productos!$E$2:$E$2509,_xlpm.m,IFERROR(_xlfn.XMATCH(C2895,_xlpm.r),IFERROR(_xlfn.XMATCH(VALUE(C2895),_xlpm.r),0)),IF(_xlpm.m=0,"",_xlpm.m+1))</f>
        <v/>
      </c>
      <c r="J2895" s="137" t="inlineStr">
        <is>
          <t>Shopify</t>
        </is>
      </c>
    </row>
    <row r="2896">
      <c r="A2896" s="5" t="inlineStr">
        <is>
          <t>Shopify Stetson México › Stetson Americas</t>
        </is>
      </c>
      <c r="B2896" s="5">
        <f>IF($I2="","",INDEX(Productos!$A:$A,$I2))</f>
        <v/>
      </c>
      <c r="C2896" s="134" t="inlineStr">
        <is>
          <t>ST-VR-P-008-FW25-FN-M</t>
        </is>
      </c>
      <c r="D2896" s="5">
        <f>IF($I2="","",INDEX(Productos!$B:$B,$I2))</f>
        <v/>
      </c>
      <c r="E2896" s="5">
        <f>IF($I2="","",INDEX(Productos!$H:$H,$I2))</f>
        <v/>
      </c>
      <c r="F2896" s="5">
        <f>IF($I2="","",INDEX(Productos!$I:$I,$I2))</f>
        <v/>
      </c>
      <c r="G2896" s="135" t="n">
        <v>4</v>
      </c>
      <c r="H2896" s="5">
        <f>IF($I2="","",INDEX(Productos!$AG:$AG,$I2))</f>
        <v/>
      </c>
      <c r="I2896" s="136">
        <f>LET(_xlpm.r,Productos!$E$2:$E$2509,_xlpm.m,IFERROR(_xlfn.XMATCH(C2896,_xlpm.r),IFERROR(_xlfn.XMATCH(VALUE(C2896),_xlpm.r),0)),IF(_xlpm.m=0,"",_xlpm.m+1))</f>
        <v/>
      </c>
      <c r="J2896" s="137" t="inlineStr">
        <is>
          <t>Shopify</t>
        </is>
      </c>
    </row>
    <row r="2897">
      <c r="A2897" s="5" t="inlineStr">
        <is>
          <t>Shopify Stetson México › Stetson Americas</t>
        </is>
      </c>
      <c r="B2897" s="5">
        <f>IF($I2="","",INDEX(Productos!$A:$A,$I2))</f>
        <v/>
      </c>
      <c r="C2897" s="134" t="inlineStr">
        <is>
          <t>ST-VR-P-008-FW25-FN-S</t>
        </is>
      </c>
      <c r="D2897" s="5">
        <f>IF($I2="","",INDEX(Productos!$B:$B,$I2))</f>
        <v/>
      </c>
      <c r="E2897" s="5">
        <f>IF($I2="","",INDEX(Productos!$H:$H,$I2))</f>
        <v/>
      </c>
      <c r="F2897" s="5">
        <f>IF($I2="","",INDEX(Productos!$I:$I,$I2))</f>
        <v/>
      </c>
      <c r="G2897" s="135" t="n">
        <v>4</v>
      </c>
      <c r="H2897" s="5">
        <f>IF($I2="","",INDEX(Productos!$AG:$AG,$I2))</f>
        <v/>
      </c>
      <c r="I2897" s="136">
        <f>LET(_xlpm.r,Productos!$E$2:$E$2509,_xlpm.m,IFERROR(_xlfn.XMATCH(C2897,_xlpm.r),IFERROR(_xlfn.XMATCH(VALUE(C2897),_xlpm.r),0)),IF(_xlpm.m=0,"",_xlpm.m+1))</f>
        <v/>
      </c>
      <c r="J2897" s="137" t="inlineStr">
        <is>
          <t>Shopify</t>
        </is>
      </c>
    </row>
    <row r="2898">
      <c r="A2898" s="5" t="inlineStr">
        <is>
          <t>Shopify Stetson México › Stetson Americas</t>
        </is>
      </c>
      <c r="B2898" s="5">
        <f>IF($I2="","",INDEX(Productos!$A:$A,$I2))</f>
        <v/>
      </c>
      <c r="C2898" s="134" t="inlineStr">
        <is>
          <t>ST-VR-P-009-FW25-TS-L</t>
        </is>
      </c>
      <c r="D2898" s="5">
        <f>IF($I2="","",INDEX(Productos!$B:$B,$I2))</f>
        <v/>
      </c>
      <c r="E2898" s="5">
        <f>IF($I2="","",INDEX(Productos!$H:$H,$I2))</f>
        <v/>
      </c>
      <c r="F2898" s="5">
        <f>IF($I2="","",INDEX(Productos!$I:$I,$I2))</f>
        <v/>
      </c>
      <c r="G2898" s="135" t="n">
        <v>4</v>
      </c>
      <c r="H2898" s="5">
        <f>IF($I2="","",INDEX(Productos!$AG:$AG,$I2))</f>
        <v/>
      </c>
      <c r="I2898" s="136">
        <f>LET(_xlpm.r,Productos!$E$2:$E$2509,_xlpm.m,IFERROR(_xlfn.XMATCH(C2898,_xlpm.r),IFERROR(_xlfn.XMATCH(VALUE(C2898),_xlpm.r),0)),IF(_xlpm.m=0,"",_xlpm.m+1))</f>
        <v/>
      </c>
      <c r="J2898" s="137" t="inlineStr">
        <is>
          <t>Shopify</t>
        </is>
      </c>
    </row>
    <row r="2899">
      <c r="A2899" s="5" t="inlineStr">
        <is>
          <t>Shopify Stetson México › Stetson Americas</t>
        </is>
      </c>
      <c r="B2899" s="5">
        <f>IF($I2="","",INDEX(Productos!$A:$A,$I2))</f>
        <v/>
      </c>
      <c r="C2899" s="134" t="inlineStr">
        <is>
          <t>ST-VR-P-009-FW25-TS-M</t>
        </is>
      </c>
      <c r="D2899" s="5">
        <f>IF($I2="","",INDEX(Productos!$B:$B,$I2))</f>
        <v/>
      </c>
      <c r="E2899" s="5">
        <f>IF($I2="","",INDEX(Productos!$H:$H,$I2))</f>
        <v/>
      </c>
      <c r="F2899" s="5">
        <f>IF($I2="","",INDEX(Productos!$I:$I,$I2))</f>
        <v/>
      </c>
      <c r="G2899" s="135" t="n">
        <v>1</v>
      </c>
      <c r="H2899" s="5">
        <f>IF($I2="","",INDEX(Productos!$AG:$AG,$I2))</f>
        <v/>
      </c>
      <c r="I2899" s="136">
        <f>LET(_xlpm.r,Productos!$E$2:$E$2509,_xlpm.m,IFERROR(_xlfn.XMATCH(C2899,_xlpm.r),IFERROR(_xlfn.XMATCH(VALUE(C2899),_xlpm.r),0)),IF(_xlpm.m=0,"",_xlpm.m+1))</f>
        <v/>
      </c>
      <c r="J2899" s="137" t="inlineStr">
        <is>
          <t>Shopify</t>
        </is>
      </c>
    </row>
    <row r="2900">
      <c r="A2900" s="5" t="inlineStr">
        <is>
          <t>Shopify Stetson México › Stetson Americas</t>
        </is>
      </c>
      <c r="B2900" s="5">
        <f>IF($I2="","",INDEX(Productos!$A:$A,$I2))</f>
        <v/>
      </c>
      <c r="C2900" s="134" t="inlineStr">
        <is>
          <t>ST-VR-P-009-FW25-TS-S</t>
        </is>
      </c>
      <c r="D2900" s="5">
        <f>IF($I2="","",INDEX(Productos!$B:$B,$I2))</f>
        <v/>
      </c>
      <c r="E2900" s="5">
        <f>IF($I2="","",INDEX(Productos!$H:$H,$I2))</f>
        <v/>
      </c>
      <c r="F2900" s="5">
        <f>IF($I2="","",INDEX(Productos!$I:$I,$I2))</f>
        <v/>
      </c>
      <c r="G2900" s="135" t="n">
        <v>4</v>
      </c>
      <c r="H2900" s="5">
        <f>IF($I2="","",INDEX(Productos!$AG:$AG,$I2))</f>
        <v/>
      </c>
      <c r="I2900" s="136">
        <f>LET(_xlpm.r,Productos!$E$2:$E$2509,_xlpm.m,IFERROR(_xlfn.XMATCH(C2900,_xlpm.r),IFERROR(_xlfn.XMATCH(VALUE(C2900),_xlpm.r),0)),IF(_xlpm.m=0,"",_xlpm.m+1))</f>
        <v/>
      </c>
      <c r="J2900" s="137" t="inlineStr">
        <is>
          <t>Shopify</t>
        </is>
      </c>
    </row>
    <row r="2901">
      <c r="A2901" s="5" t="inlineStr">
        <is>
          <t>Shopify Stetson México › Stetson Americas</t>
        </is>
      </c>
      <c r="B2901" s="5">
        <f>IF($I2="","",INDEX(Productos!$A:$A,$I2))</f>
        <v/>
      </c>
      <c r="C2901" s="134" t="inlineStr">
        <is>
          <t>ST-VR-P-009-FW25-TS-XL</t>
        </is>
      </c>
      <c r="D2901" s="5">
        <f>IF($I2="","",INDEX(Productos!$B:$B,$I2))</f>
        <v/>
      </c>
      <c r="E2901" s="5">
        <f>IF($I2="","",INDEX(Productos!$H:$H,$I2))</f>
        <v/>
      </c>
      <c r="F2901" s="5">
        <f>IF($I2="","",INDEX(Productos!$I:$I,$I2))</f>
        <v/>
      </c>
      <c r="G2901" s="135" t="n">
        <v>5</v>
      </c>
      <c r="H2901" s="5">
        <f>IF($I2="","",INDEX(Productos!$AG:$AG,$I2))</f>
        <v/>
      </c>
      <c r="I2901" s="136">
        <f>LET(_xlpm.r,Productos!$E$2:$E$2509,_xlpm.m,IFERROR(_xlfn.XMATCH(C2901,_xlpm.r),IFERROR(_xlfn.XMATCH(VALUE(C2901),_xlpm.r),0)),IF(_xlpm.m=0,"",_xlpm.m+1))</f>
        <v/>
      </c>
      <c r="J2901" s="137" t="inlineStr">
        <is>
          <t>Shopify</t>
        </is>
      </c>
    </row>
    <row r="2902">
      <c r="A2902" s="5" t="inlineStr">
        <is>
          <t>Shopify Stetson México › Stetson Americas</t>
        </is>
      </c>
      <c r="B2902" s="5">
        <f>IF($I2="","",INDEX(Productos!$A:$A,$I2))</f>
        <v/>
      </c>
      <c r="C2902" s="134" t="inlineStr">
        <is>
          <t>ST-VR-P-010-FW25-SA-L</t>
        </is>
      </c>
      <c r="D2902" s="5">
        <f>IF($I2="","",INDEX(Productos!$B:$B,$I2))</f>
        <v/>
      </c>
      <c r="E2902" s="5">
        <f>IF($I2="","",INDEX(Productos!$H:$H,$I2))</f>
        <v/>
      </c>
      <c r="F2902" s="5">
        <f>IF($I2="","",INDEX(Productos!$I:$I,$I2))</f>
        <v/>
      </c>
      <c r="G2902" s="135" t="n">
        <v>4</v>
      </c>
      <c r="H2902" s="5">
        <f>IF($I2="","",INDEX(Productos!$AG:$AG,$I2))</f>
        <v/>
      </c>
      <c r="I2902" s="136">
        <f>LET(_xlpm.r,Productos!$E$2:$E$2509,_xlpm.m,IFERROR(_xlfn.XMATCH(C2902,_xlpm.r),IFERROR(_xlfn.XMATCH(VALUE(C2902),_xlpm.r),0)),IF(_xlpm.m=0,"",_xlpm.m+1))</f>
        <v/>
      </c>
      <c r="J2902" s="137" t="inlineStr">
        <is>
          <t>Shopify</t>
        </is>
      </c>
    </row>
    <row r="2903">
      <c r="A2903" s="5" t="inlineStr">
        <is>
          <t>Shopify Stetson México › Stetson Americas</t>
        </is>
      </c>
      <c r="B2903" s="5">
        <f>IF($I2="","",INDEX(Productos!$A:$A,$I2))</f>
        <v/>
      </c>
      <c r="C2903" s="134" t="inlineStr">
        <is>
          <t>ST-VR-P-010-FW25-SA-M</t>
        </is>
      </c>
      <c r="D2903" s="5">
        <f>IF($I2="","",INDEX(Productos!$B:$B,$I2))</f>
        <v/>
      </c>
      <c r="E2903" s="5">
        <f>IF($I2="","",INDEX(Productos!$H:$H,$I2))</f>
        <v/>
      </c>
      <c r="F2903" s="5">
        <f>IF($I2="","",INDEX(Productos!$I:$I,$I2))</f>
        <v/>
      </c>
      <c r="G2903" s="135" t="n">
        <v>2</v>
      </c>
      <c r="H2903" s="5">
        <f>IF($I2="","",INDEX(Productos!$AG:$AG,$I2))</f>
        <v/>
      </c>
      <c r="I2903" s="136">
        <f>LET(_xlpm.r,Productos!$E$2:$E$2509,_xlpm.m,IFERROR(_xlfn.XMATCH(C2903,_xlpm.r),IFERROR(_xlfn.XMATCH(VALUE(C2903),_xlpm.r),0)),IF(_xlpm.m=0,"",_xlpm.m+1))</f>
        <v/>
      </c>
      <c r="J2903" s="137" t="inlineStr">
        <is>
          <t>Shopify</t>
        </is>
      </c>
    </row>
    <row r="2904">
      <c r="A2904" s="5" t="inlineStr">
        <is>
          <t>Shopify Stetson México › Stetson Americas</t>
        </is>
      </c>
      <c r="B2904" s="5">
        <f>IF($I2="","",INDEX(Productos!$A:$A,$I2))</f>
        <v/>
      </c>
      <c r="C2904" s="134" t="inlineStr">
        <is>
          <t>ST-VR-P-010-FW25-SA-S</t>
        </is>
      </c>
      <c r="D2904" s="5">
        <f>IF($I2="","",INDEX(Productos!$B:$B,$I2))</f>
        <v/>
      </c>
      <c r="E2904" s="5">
        <f>IF($I2="","",INDEX(Productos!$H:$H,$I2))</f>
        <v/>
      </c>
      <c r="F2904" s="5">
        <f>IF($I2="","",INDEX(Productos!$I:$I,$I2))</f>
        <v/>
      </c>
      <c r="G2904" s="135" t="n">
        <v>3</v>
      </c>
      <c r="H2904" s="5">
        <f>IF($I2="","",INDEX(Productos!$AG:$AG,$I2))</f>
        <v/>
      </c>
      <c r="I2904" s="136">
        <f>LET(_xlpm.r,Productos!$E$2:$E$2509,_xlpm.m,IFERROR(_xlfn.XMATCH(C2904,_xlpm.r),IFERROR(_xlfn.XMATCH(VALUE(C2904),_xlpm.r),0)),IF(_xlpm.m=0,"",_xlpm.m+1))</f>
        <v/>
      </c>
      <c r="J2904" s="137" t="inlineStr">
        <is>
          <t>Shopify</t>
        </is>
      </c>
    </row>
    <row r="2905">
      <c r="A2905" s="5" t="inlineStr">
        <is>
          <t>Shopify Stetson México › Stetson Americas</t>
        </is>
      </c>
      <c r="B2905" s="5">
        <f>IF($I2="","",INDEX(Productos!$A:$A,$I2))</f>
        <v/>
      </c>
      <c r="C2905" s="134" t="inlineStr">
        <is>
          <t>ST-VR-P-010-FW25-SA-XL</t>
        </is>
      </c>
      <c r="D2905" s="5">
        <f>IF($I2="","",INDEX(Productos!$B:$B,$I2))</f>
        <v/>
      </c>
      <c r="E2905" s="5">
        <f>IF($I2="","",INDEX(Productos!$H:$H,$I2))</f>
        <v/>
      </c>
      <c r="F2905" s="5">
        <f>IF($I2="","",INDEX(Productos!$I:$I,$I2))</f>
        <v/>
      </c>
      <c r="G2905" s="135" t="n">
        <v>4</v>
      </c>
      <c r="H2905" s="5">
        <f>IF($I2="","",INDEX(Productos!$AG:$AG,$I2))</f>
        <v/>
      </c>
      <c r="I2905" s="136">
        <f>LET(_xlpm.r,Productos!$E$2:$E$2509,_xlpm.m,IFERROR(_xlfn.XMATCH(C2905,_xlpm.r),IFERROR(_xlfn.XMATCH(VALUE(C2905),_xlpm.r),0)),IF(_xlpm.m=0,"",_xlpm.m+1))</f>
        <v/>
      </c>
      <c r="J2905" s="137" t="inlineStr">
        <is>
          <t>Shopify</t>
        </is>
      </c>
    </row>
    <row r="2906">
      <c r="A2906" s="5" t="inlineStr">
        <is>
          <t>Shopify Stetson México › Stetson Americas</t>
        </is>
      </c>
      <c r="B2906" s="5">
        <f>IF($I2="","",INDEX(Productos!$A:$A,$I2))</f>
        <v/>
      </c>
      <c r="C2906" s="134" t="inlineStr">
        <is>
          <t>ST-VR-P-011-FW25-TSAG-2XL</t>
        </is>
      </c>
      <c r="D2906" s="5">
        <f>IF($I2="","",INDEX(Productos!$B:$B,$I2))</f>
        <v/>
      </c>
      <c r="E2906" s="5">
        <f>IF($I2="","",INDEX(Productos!$H:$H,$I2))</f>
        <v/>
      </c>
      <c r="F2906" s="5">
        <f>IF($I2="","",INDEX(Productos!$I:$I,$I2))</f>
        <v/>
      </c>
      <c r="G2906" s="135" t="n">
        <v>2</v>
      </c>
      <c r="H2906" s="5">
        <f>IF($I2="","",INDEX(Productos!$AG:$AG,$I2))</f>
        <v/>
      </c>
      <c r="I2906" s="136">
        <f>LET(_xlpm.r,Productos!$E$2:$E$2509,_xlpm.m,IFERROR(_xlfn.XMATCH(C2906,_xlpm.r),IFERROR(_xlfn.XMATCH(VALUE(C2906),_xlpm.r),0)),IF(_xlpm.m=0,"",_xlpm.m+1))</f>
        <v/>
      </c>
      <c r="J2906" s="137" t="inlineStr">
        <is>
          <t>Shopify</t>
        </is>
      </c>
    </row>
    <row r="2907">
      <c r="A2907" s="5" t="inlineStr">
        <is>
          <t>Shopify Stetson México › Stetson Americas</t>
        </is>
      </c>
      <c r="B2907" s="5">
        <f>IF($I2="","",INDEX(Productos!$A:$A,$I2))</f>
        <v/>
      </c>
      <c r="C2907" s="134" t="inlineStr">
        <is>
          <t>ST-VR-P-011-FW25-TSAG-L</t>
        </is>
      </c>
      <c r="D2907" s="5">
        <f>IF($I2="","",INDEX(Productos!$B:$B,$I2))</f>
        <v/>
      </c>
      <c r="E2907" s="5">
        <f>IF($I2="","",INDEX(Productos!$H:$H,$I2))</f>
        <v/>
      </c>
      <c r="F2907" s="5">
        <f>IF($I2="","",INDEX(Productos!$I:$I,$I2))</f>
        <v/>
      </c>
      <c r="G2907" s="135" t="n">
        <v>3</v>
      </c>
      <c r="H2907" s="5">
        <f>IF($I2="","",INDEX(Productos!$AG:$AG,$I2))</f>
        <v/>
      </c>
      <c r="I2907" s="136">
        <f>LET(_xlpm.r,Productos!$E$2:$E$2509,_xlpm.m,IFERROR(_xlfn.XMATCH(C2907,_xlpm.r),IFERROR(_xlfn.XMATCH(VALUE(C2907),_xlpm.r),0)),IF(_xlpm.m=0,"",_xlpm.m+1))</f>
        <v/>
      </c>
      <c r="J2907" s="137" t="inlineStr">
        <is>
          <t>Shopify</t>
        </is>
      </c>
    </row>
    <row r="2908">
      <c r="A2908" s="5" t="inlineStr">
        <is>
          <t>Shopify Stetson México › Stetson Americas</t>
        </is>
      </c>
      <c r="B2908" s="5">
        <f>IF($I2="","",INDEX(Productos!$A:$A,$I2))</f>
        <v/>
      </c>
      <c r="C2908" s="134" t="inlineStr">
        <is>
          <t>ST-VR-P-011-FW25-TSAG-M</t>
        </is>
      </c>
      <c r="D2908" s="5">
        <f>IF($I2="","",INDEX(Productos!$B:$B,$I2))</f>
        <v/>
      </c>
      <c r="E2908" s="5">
        <f>IF($I2="","",INDEX(Productos!$H:$H,$I2))</f>
        <v/>
      </c>
      <c r="F2908" s="5">
        <f>IF($I2="","",INDEX(Productos!$I:$I,$I2))</f>
        <v/>
      </c>
      <c r="G2908" s="135" t="n">
        <v>2</v>
      </c>
      <c r="H2908" s="5">
        <f>IF($I2="","",INDEX(Productos!$AG:$AG,$I2))</f>
        <v/>
      </c>
      <c r="I2908" s="136">
        <f>LET(_xlpm.r,Productos!$E$2:$E$2509,_xlpm.m,IFERROR(_xlfn.XMATCH(C2908,_xlpm.r),IFERROR(_xlfn.XMATCH(VALUE(C2908),_xlpm.r),0)),IF(_xlpm.m=0,"",_xlpm.m+1))</f>
        <v/>
      </c>
      <c r="J2908" s="137" t="inlineStr">
        <is>
          <t>Shopify</t>
        </is>
      </c>
    </row>
    <row r="2909">
      <c r="A2909" s="5" t="inlineStr">
        <is>
          <t>Shopify Stetson México › Stetson Americas</t>
        </is>
      </c>
      <c r="B2909" s="5">
        <f>IF($I2="","",INDEX(Productos!$A:$A,$I2))</f>
        <v/>
      </c>
      <c r="C2909" s="134" t="inlineStr">
        <is>
          <t>ST-VR-P-011-FW25-TSAG-S</t>
        </is>
      </c>
      <c r="D2909" s="5">
        <f>IF($I2="","",INDEX(Productos!$B:$B,$I2))</f>
        <v/>
      </c>
      <c r="E2909" s="5">
        <f>IF($I2="","",INDEX(Productos!$H:$H,$I2))</f>
        <v/>
      </c>
      <c r="F2909" s="5">
        <f>IF($I2="","",INDEX(Productos!$I:$I,$I2))</f>
        <v/>
      </c>
      <c r="G2909" s="135" t="n">
        <v>2</v>
      </c>
      <c r="H2909" s="5">
        <f>IF($I2="","",INDEX(Productos!$AG:$AG,$I2))</f>
        <v/>
      </c>
      <c r="I2909" s="136">
        <f>LET(_xlpm.r,Productos!$E$2:$E$2509,_xlpm.m,IFERROR(_xlfn.XMATCH(C2909,_xlpm.r),IFERROR(_xlfn.XMATCH(VALUE(C2909),_xlpm.r),0)),IF(_xlpm.m=0,"",_xlpm.m+1))</f>
        <v/>
      </c>
      <c r="J2909" s="137" t="inlineStr">
        <is>
          <t>Shopify</t>
        </is>
      </c>
    </row>
    <row r="2910">
      <c r="A2910" s="5" t="inlineStr">
        <is>
          <t>Shopify Stetson México › Stetson Americas</t>
        </is>
      </c>
      <c r="B2910" s="5">
        <f>IF($I2="","",INDEX(Productos!$A:$A,$I2))</f>
        <v/>
      </c>
      <c r="C2910" s="134" t="inlineStr">
        <is>
          <t>ST-VR-P-012-FW25-IF-2XL</t>
        </is>
      </c>
      <c r="D2910" s="5">
        <f>IF($I2="","",INDEX(Productos!$B:$B,$I2))</f>
        <v/>
      </c>
      <c r="E2910" s="5">
        <f>IF($I2="","",INDEX(Productos!$H:$H,$I2))</f>
        <v/>
      </c>
      <c r="F2910" s="5">
        <f>IF($I2="","",INDEX(Productos!$I:$I,$I2))</f>
        <v/>
      </c>
      <c r="G2910" s="135" t="n">
        <v>4</v>
      </c>
      <c r="H2910" s="5">
        <f>IF($I2="","",INDEX(Productos!$AG:$AG,$I2))</f>
        <v/>
      </c>
      <c r="I2910" s="136">
        <f>LET(_xlpm.r,Productos!$E$2:$E$2509,_xlpm.m,IFERROR(_xlfn.XMATCH(C2910,_xlpm.r),IFERROR(_xlfn.XMATCH(VALUE(C2910),_xlpm.r),0)),IF(_xlpm.m=0,"",_xlpm.m+1))</f>
        <v/>
      </c>
      <c r="J2910" s="137" t="inlineStr">
        <is>
          <t>Shopify</t>
        </is>
      </c>
    </row>
    <row r="2911">
      <c r="A2911" s="5" t="inlineStr">
        <is>
          <t>Shopify Stetson México › Stetson Americas</t>
        </is>
      </c>
      <c r="B2911" s="5">
        <f>IF($I2="","",INDEX(Productos!$A:$A,$I2))</f>
        <v/>
      </c>
      <c r="C2911" s="134" t="inlineStr">
        <is>
          <t>ST-VR-P-012-FW25-IF-L</t>
        </is>
      </c>
      <c r="D2911" s="5">
        <f>IF($I2="","",INDEX(Productos!$B:$B,$I2))</f>
        <v/>
      </c>
      <c r="E2911" s="5">
        <f>IF($I2="","",INDEX(Productos!$H:$H,$I2))</f>
        <v/>
      </c>
      <c r="F2911" s="5">
        <f>IF($I2="","",INDEX(Productos!$I:$I,$I2))</f>
        <v/>
      </c>
      <c r="G2911" s="135" t="n">
        <v>3</v>
      </c>
      <c r="H2911" s="5">
        <f>IF($I2="","",INDEX(Productos!$AG:$AG,$I2))</f>
        <v/>
      </c>
      <c r="I2911" s="136">
        <f>LET(_xlpm.r,Productos!$E$2:$E$2509,_xlpm.m,IFERROR(_xlfn.XMATCH(C2911,_xlpm.r),IFERROR(_xlfn.XMATCH(VALUE(C2911),_xlpm.r),0)),IF(_xlpm.m=0,"",_xlpm.m+1))</f>
        <v/>
      </c>
      <c r="J2911" s="137" t="inlineStr">
        <is>
          <t>Shopify</t>
        </is>
      </c>
    </row>
    <row r="2912">
      <c r="A2912" s="5" t="inlineStr">
        <is>
          <t>Shopify Stetson México › Stetson Americas</t>
        </is>
      </c>
      <c r="B2912" s="5">
        <f>IF($I2="","",INDEX(Productos!$A:$A,$I2))</f>
        <v/>
      </c>
      <c r="C2912" s="134" t="inlineStr">
        <is>
          <t>ST-VR-P-012-FW25-IF-M</t>
        </is>
      </c>
      <c r="D2912" s="5">
        <f>IF($I2="","",INDEX(Productos!$B:$B,$I2))</f>
        <v/>
      </c>
      <c r="E2912" s="5">
        <f>IF($I2="","",INDEX(Productos!$H:$H,$I2))</f>
        <v/>
      </c>
      <c r="F2912" s="5">
        <f>IF($I2="","",INDEX(Productos!$I:$I,$I2))</f>
        <v/>
      </c>
      <c r="G2912" s="135" t="n">
        <v>3</v>
      </c>
      <c r="H2912" s="5">
        <f>IF($I2="","",INDEX(Productos!$AG:$AG,$I2))</f>
        <v/>
      </c>
      <c r="I2912" s="136">
        <f>LET(_xlpm.r,Productos!$E$2:$E$2509,_xlpm.m,IFERROR(_xlfn.XMATCH(C2912,_xlpm.r),IFERROR(_xlfn.XMATCH(VALUE(C2912),_xlpm.r),0)),IF(_xlpm.m=0,"",_xlpm.m+1))</f>
        <v/>
      </c>
      <c r="J2912" s="137" t="inlineStr">
        <is>
          <t>Shopify</t>
        </is>
      </c>
    </row>
    <row r="2913">
      <c r="A2913" s="5" t="inlineStr">
        <is>
          <t>Shopify Stetson México › Stetson Americas</t>
        </is>
      </c>
      <c r="B2913" s="5">
        <f>IF($I2="","",INDEX(Productos!$A:$A,$I2))</f>
        <v/>
      </c>
      <c r="C2913" s="134" t="inlineStr">
        <is>
          <t>ST-VR-P-012-FW25-IF-S</t>
        </is>
      </c>
      <c r="D2913" s="5">
        <f>IF($I2="","",INDEX(Productos!$B:$B,$I2))</f>
        <v/>
      </c>
      <c r="E2913" s="5">
        <f>IF($I2="","",INDEX(Productos!$H:$H,$I2))</f>
        <v/>
      </c>
      <c r="F2913" s="5">
        <f>IF($I2="","",INDEX(Productos!$I:$I,$I2))</f>
        <v/>
      </c>
      <c r="G2913" s="135" t="n">
        <v>4</v>
      </c>
      <c r="H2913" s="5">
        <f>IF($I2="","",INDEX(Productos!$AG:$AG,$I2))</f>
        <v/>
      </c>
      <c r="I2913" s="136">
        <f>LET(_xlpm.r,Productos!$E$2:$E$2509,_xlpm.m,IFERROR(_xlfn.XMATCH(C2913,_xlpm.r),IFERROR(_xlfn.XMATCH(VALUE(C2913),_xlpm.r),0)),IF(_xlpm.m=0,"",_xlpm.m+1))</f>
        <v/>
      </c>
      <c r="J2913" s="137" t="inlineStr">
        <is>
          <t>Shopify</t>
        </is>
      </c>
    </row>
    <row r="2914">
      <c r="A2914" s="5" t="inlineStr">
        <is>
          <t>Shopify Stetson México › Stetson Americas</t>
        </is>
      </c>
      <c r="B2914" s="5">
        <f>IF($I2="","",INDEX(Productos!$A:$A,$I2))</f>
        <v/>
      </c>
      <c r="C2914" s="134" t="inlineStr">
        <is>
          <t>ST-VR-P-012-FW25-IF-XL</t>
        </is>
      </c>
      <c r="D2914" s="5">
        <f>IF($I2="","",INDEX(Productos!$B:$B,$I2))</f>
        <v/>
      </c>
      <c r="E2914" s="5">
        <f>IF($I2="","",INDEX(Productos!$H:$H,$I2))</f>
        <v/>
      </c>
      <c r="F2914" s="5">
        <f>IF($I2="","",INDEX(Productos!$I:$I,$I2))</f>
        <v/>
      </c>
      <c r="G2914" s="135" t="n">
        <v>4</v>
      </c>
      <c r="H2914" s="5">
        <f>IF($I2="","",INDEX(Productos!$AG:$AG,$I2))</f>
        <v/>
      </c>
      <c r="I2914" s="136">
        <f>LET(_xlpm.r,Productos!$E$2:$E$2509,_xlpm.m,IFERROR(_xlfn.XMATCH(C2914,_xlpm.r),IFERROR(_xlfn.XMATCH(VALUE(C2914),_xlpm.r),0)),IF(_xlpm.m=0,"",_xlpm.m+1))</f>
        <v/>
      </c>
      <c r="J2914" s="137" t="inlineStr">
        <is>
          <t>Shopify</t>
        </is>
      </c>
    </row>
    <row r="2915">
      <c r="A2915" s="5" t="inlineStr">
        <is>
          <t>Shopify Stetson México › Stetson Americas</t>
        </is>
      </c>
      <c r="B2915" s="5">
        <f>IF($I2="","",INDEX(Productos!$A:$A,$I2))</f>
        <v/>
      </c>
      <c r="C2915" s="134" t="inlineStr">
        <is>
          <t>ST-VR-P-013-FW25-SF-2XL</t>
        </is>
      </c>
      <c r="D2915" s="5">
        <f>IF($I2="","",INDEX(Productos!$B:$B,$I2))</f>
        <v/>
      </c>
      <c r="E2915" s="5">
        <f>IF($I2="","",INDEX(Productos!$H:$H,$I2))</f>
        <v/>
      </c>
      <c r="F2915" s="5">
        <f>IF($I2="","",INDEX(Productos!$I:$I,$I2))</f>
        <v/>
      </c>
      <c r="G2915" s="135" t="n">
        <v>2</v>
      </c>
      <c r="H2915" s="5">
        <f>IF($I2="","",INDEX(Productos!$AG:$AG,$I2))</f>
        <v/>
      </c>
      <c r="I2915" s="136">
        <f>LET(_xlpm.r,Productos!$E$2:$E$2509,_xlpm.m,IFERROR(_xlfn.XMATCH(C2915,_xlpm.r),IFERROR(_xlfn.XMATCH(VALUE(C2915),_xlpm.r),0)),IF(_xlpm.m=0,"",_xlpm.m+1))</f>
        <v/>
      </c>
      <c r="J2915" s="137" t="inlineStr">
        <is>
          <t>Shopify</t>
        </is>
      </c>
    </row>
    <row r="2916">
      <c r="A2916" s="5" t="inlineStr">
        <is>
          <t>Shopify Stetson México › Stetson Americas</t>
        </is>
      </c>
      <c r="B2916" s="5">
        <f>IF($I2="","",INDEX(Productos!$A:$A,$I2))</f>
        <v/>
      </c>
      <c r="C2916" s="134" t="inlineStr">
        <is>
          <t>ST-VR-P-013-FW25-SF-L</t>
        </is>
      </c>
      <c r="D2916" s="5">
        <f>IF($I2="","",INDEX(Productos!$B:$B,$I2))</f>
        <v/>
      </c>
      <c r="E2916" s="5">
        <f>IF($I2="","",INDEX(Productos!$H:$H,$I2))</f>
        <v/>
      </c>
      <c r="F2916" s="5">
        <f>IF($I2="","",INDEX(Productos!$I:$I,$I2))</f>
        <v/>
      </c>
      <c r="G2916" s="135" t="n">
        <v>5</v>
      </c>
      <c r="H2916" s="5">
        <f>IF($I2="","",INDEX(Productos!$AG:$AG,$I2))</f>
        <v/>
      </c>
      <c r="I2916" s="136">
        <f>LET(_xlpm.r,Productos!$E$2:$E$2509,_xlpm.m,IFERROR(_xlfn.XMATCH(C2916,_xlpm.r),IFERROR(_xlfn.XMATCH(VALUE(C2916),_xlpm.r),0)),IF(_xlpm.m=0,"",_xlpm.m+1))</f>
        <v/>
      </c>
      <c r="J2916" s="137" t="inlineStr">
        <is>
          <t>Shopify</t>
        </is>
      </c>
    </row>
    <row r="2917">
      <c r="A2917" s="5" t="inlineStr">
        <is>
          <t>Shopify Stetson México › Stetson Americas</t>
        </is>
      </c>
      <c r="B2917" s="5">
        <f>IF($I2="","",INDEX(Productos!$A:$A,$I2))</f>
        <v/>
      </c>
      <c r="C2917" s="134" t="inlineStr">
        <is>
          <t>ST-VR-P-013-FW25-SF-M</t>
        </is>
      </c>
      <c r="D2917" s="5">
        <f>IF($I2="","",INDEX(Productos!$B:$B,$I2))</f>
        <v/>
      </c>
      <c r="E2917" s="5">
        <f>IF($I2="","",INDEX(Productos!$H:$H,$I2))</f>
        <v/>
      </c>
      <c r="F2917" s="5">
        <f>IF($I2="","",INDEX(Productos!$I:$I,$I2))</f>
        <v/>
      </c>
      <c r="G2917" s="135" t="n">
        <v>2</v>
      </c>
      <c r="H2917" s="5">
        <f>IF($I2="","",INDEX(Productos!$AG:$AG,$I2))</f>
        <v/>
      </c>
      <c r="I2917" s="136">
        <f>LET(_xlpm.r,Productos!$E$2:$E$2509,_xlpm.m,IFERROR(_xlfn.XMATCH(C2917,_xlpm.r),IFERROR(_xlfn.XMATCH(VALUE(C2917),_xlpm.r),0)),IF(_xlpm.m=0,"",_xlpm.m+1))</f>
        <v/>
      </c>
      <c r="J2917" s="137" t="inlineStr">
        <is>
          <t>Shopify</t>
        </is>
      </c>
    </row>
    <row r="2918">
      <c r="A2918" s="5" t="inlineStr">
        <is>
          <t>Shopify Stetson México › Stetson Americas</t>
        </is>
      </c>
      <c r="B2918" s="5">
        <f>IF($I2="","",INDEX(Productos!$A:$A,$I2))</f>
        <v/>
      </c>
      <c r="C2918" s="134" t="inlineStr">
        <is>
          <t>ST-VR-P-013-FW25-SF-S</t>
        </is>
      </c>
      <c r="D2918" s="5">
        <f>IF($I2="","",INDEX(Productos!$B:$B,$I2))</f>
        <v/>
      </c>
      <c r="E2918" s="5">
        <f>IF($I2="","",INDEX(Productos!$H:$H,$I2))</f>
        <v/>
      </c>
      <c r="F2918" s="5">
        <f>IF($I2="","",INDEX(Productos!$I:$I,$I2))</f>
        <v/>
      </c>
      <c r="G2918" s="135" t="n">
        <v>3</v>
      </c>
      <c r="H2918" s="5">
        <f>IF($I2="","",INDEX(Productos!$AG:$AG,$I2))</f>
        <v/>
      </c>
      <c r="I2918" s="136">
        <f>LET(_xlpm.r,Productos!$E$2:$E$2509,_xlpm.m,IFERROR(_xlfn.XMATCH(C2918,_xlpm.r),IFERROR(_xlfn.XMATCH(VALUE(C2918),_xlpm.r),0)),IF(_xlpm.m=0,"",_xlpm.m+1))</f>
        <v/>
      </c>
      <c r="J2918" s="137" t="inlineStr">
        <is>
          <t>Shopify</t>
        </is>
      </c>
    </row>
    <row r="2919">
      <c r="A2919" s="5" t="inlineStr">
        <is>
          <t>Shopify Stetson México › Stetson Americas</t>
        </is>
      </c>
      <c r="B2919" s="5">
        <f>IF($I2="","",INDEX(Productos!$A:$A,$I2))</f>
        <v/>
      </c>
      <c r="C2919" s="134" t="inlineStr">
        <is>
          <t>ST-VR-P-014-FW25-BL-2XL</t>
        </is>
      </c>
      <c r="D2919" s="5">
        <f>IF($I2="","",INDEX(Productos!$B:$B,$I2))</f>
        <v/>
      </c>
      <c r="E2919" s="5">
        <f>IF($I2="","",INDEX(Productos!$H:$H,$I2))</f>
        <v/>
      </c>
      <c r="F2919" s="5">
        <f>IF($I2="","",INDEX(Productos!$I:$I,$I2))</f>
        <v/>
      </c>
      <c r="G2919" s="135" t="n">
        <v>2</v>
      </c>
      <c r="H2919" s="5">
        <f>IF($I2="","",INDEX(Productos!$AG:$AG,$I2))</f>
        <v/>
      </c>
      <c r="I2919" s="136">
        <f>LET(_xlpm.r,Productos!$E$2:$E$2509,_xlpm.m,IFERROR(_xlfn.XMATCH(C2919,_xlpm.r),IFERROR(_xlfn.XMATCH(VALUE(C2919),_xlpm.r),0)),IF(_xlpm.m=0,"",_xlpm.m+1))</f>
        <v/>
      </c>
      <c r="J2919" s="137" t="inlineStr">
        <is>
          <t>Shopify</t>
        </is>
      </c>
    </row>
    <row r="2920">
      <c r="A2920" s="5" t="inlineStr">
        <is>
          <t>Shopify Stetson México › Stetson Americas</t>
        </is>
      </c>
      <c r="B2920" s="5">
        <f>IF($I2="","",INDEX(Productos!$A:$A,$I2))</f>
        <v/>
      </c>
      <c r="C2920" s="134" t="inlineStr">
        <is>
          <t>ST-VR-P-014-FW25-BL-L</t>
        </is>
      </c>
      <c r="D2920" s="5">
        <f>IF($I2="","",INDEX(Productos!$B:$B,$I2))</f>
        <v/>
      </c>
      <c r="E2920" s="5">
        <f>IF($I2="","",INDEX(Productos!$H:$H,$I2))</f>
        <v/>
      </c>
      <c r="F2920" s="5">
        <f>IF($I2="","",INDEX(Productos!$I:$I,$I2))</f>
        <v/>
      </c>
      <c r="G2920" s="135" t="n">
        <v>3</v>
      </c>
      <c r="H2920" s="5">
        <f>IF($I2="","",INDEX(Productos!$AG:$AG,$I2))</f>
        <v/>
      </c>
      <c r="I2920" s="136">
        <f>LET(_xlpm.r,Productos!$E$2:$E$2509,_xlpm.m,IFERROR(_xlfn.XMATCH(C2920,_xlpm.r),IFERROR(_xlfn.XMATCH(VALUE(C2920),_xlpm.r),0)),IF(_xlpm.m=0,"",_xlpm.m+1))</f>
        <v/>
      </c>
      <c r="J2920" s="137" t="inlineStr">
        <is>
          <t>Shopify</t>
        </is>
      </c>
    </row>
    <row r="2921">
      <c r="A2921" s="5" t="inlineStr">
        <is>
          <t>Shopify Stetson México › Stetson Americas</t>
        </is>
      </c>
      <c r="B2921" s="5">
        <f>IF($I2="","",INDEX(Productos!$A:$A,$I2))</f>
        <v/>
      </c>
      <c r="C2921" s="134" t="inlineStr">
        <is>
          <t>ST-VR-P-014-FW25-BL-M</t>
        </is>
      </c>
      <c r="D2921" s="5">
        <f>IF($I2="","",INDEX(Productos!$B:$B,$I2))</f>
        <v/>
      </c>
      <c r="E2921" s="5">
        <f>IF($I2="","",INDEX(Productos!$H:$H,$I2))</f>
        <v/>
      </c>
      <c r="F2921" s="5">
        <f>IF($I2="","",INDEX(Productos!$I:$I,$I2))</f>
        <v/>
      </c>
      <c r="G2921" s="135" t="n">
        <v>2</v>
      </c>
      <c r="H2921" s="5">
        <f>IF($I2="","",INDEX(Productos!$AG:$AG,$I2))</f>
        <v/>
      </c>
      <c r="I2921" s="136">
        <f>LET(_xlpm.r,Productos!$E$2:$E$2509,_xlpm.m,IFERROR(_xlfn.XMATCH(C2921,_xlpm.r),IFERROR(_xlfn.XMATCH(VALUE(C2921),_xlpm.r),0)),IF(_xlpm.m=0,"",_xlpm.m+1))</f>
        <v/>
      </c>
      <c r="J2921" s="137" t="inlineStr">
        <is>
          <t>Shopify</t>
        </is>
      </c>
    </row>
    <row r="2922">
      <c r="A2922" s="5" t="inlineStr">
        <is>
          <t>Shopify Stetson México › Stetson Americas</t>
        </is>
      </c>
      <c r="B2922" s="5">
        <f>IF($I2="","",INDEX(Productos!$A:$A,$I2))</f>
        <v/>
      </c>
      <c r="C2922" s="134" t="inlineStr">
        <is>
          <t>ST-VR-P-014-FW25-BL-XL</t>
        </is>
      </c>
      <c r="D2922" s="5">
        <f>IF($I2="","",INDEX(Productos!$B:$B,$I2))</f>
        <v/>
      </c>
      <c r="E2922" s="5">
        <f>IF($I2="","",INDEX(Productos!$H:$H,$I2))</f>
        <v/>
      </c>
      <c r="F2922" s="5">
        <f>IF($I2="","",INDEX(Productos!$I:$I,$I2))</f>
        <v/>
      </c>
      <c r="G2922" s="135" t="n">
        <v>2</v>
      </c>
      <c r="H2922" s="5">
        <f>IF($I2="","",INDEX(Productos!$AG:$AG,$I2))</f>
        <v/>
      </c>
      <c r="I2922" s="136">
        <f>LET(_xlpm.r,Productos!$E$2:$E$2509,_xlpm.m,IFERROR(_xlfn.XMATCH(C2922,_xlpm.r),IFERROR(_xlfn.XMATCH(VALUE(C2922),_xlpm.r),0)),IF(_xlpm.m=0,"",_xlpm.m+1))</f>
        <v/>
      </c>
      <c r="J2922" s="137" t="inlineStr">
        <is>
          <t>Shopify</t>
        </is>
      </c>
    </row>
    <row r="2923">
      <c r="A2923" s="5" t="inlineStr">
        <is>
          <t>Shopify Stetson México › Stetson Americas</t>
        </is>
      </c>
      <c r="B2923" s="5">
        <f>IF($I2="","",INDEX(Productos!$A:$A,$I2))</f>
        <v/>
      </c>
      <c r="C2923" s="134" t="inlineStr">
        <is>
          <t>ST-VR-P-015-FW25-SOB-2XL</t>
        </is>
      </c>
      <c r="D2923" s="5">
        <f>IF($I2="","",INDEX(Productos!$B:$B,$I2))</f>
        <v/>
      </c>
      <c r="E2923" s="5">
        <f>IF($I2="","",INDEX(Productos!$H:$H,$I2))</f>
        <v/>
      </c>
      <c r="F2923" s="5">
        <f>IF($I2="","",INDEX(Productos!$I:$I,$I2))</f>
        <v/>
      </c>
      <c r="G2923" s="135" t="n">
        <v>2</v>
      </c>
      <c r="H2923" s="5">
        <f>IF($I2="","",INDEX(Productos!$AG:$AG,$I2))</f>
        <v/>
      </c>
      <c r="I2923" s="136">
        <f>LET(_xlpm.r,Productos!$E$2:$E$2509,_xlpm.m,IFERROR(_xlfn.XMATCH(C2923,_xlpm.r),IFERROR(_xlfn.XMATCH(VALUE(C2923),_xlpm.r),0)),IF(_xlpm.m=0,"",_xlpm.m+1))</f>
        <v/>
      </c>
      <c r="J2923" s="137" t="inlineStr">
        <is>
          <t>Shopify</t>
        </is>
      </c>
    </row>
    <row r="2924">
      <c r="A2924" s="5" t="inlineStr">
        <is>
          <t>Shopify Stetson México › Stetson Americas</t>
        </is>
      </c>
      <c r="B2924" s="5">
        <f>IF($I2="","",INDEX(Productos!$A:$A,$I2))</f>
        <v/>
      </c>
      <c r="C2924" s="134" t="inlineStr">
        <is>
          <t>ST-VR-P-015-FW25-SOB-L</t>
        </is>
      </c>
      <c r="D2924" s="5">
        <f>IF($I2="","",INDEX(Productos!$B:$B,$I2))</f>
        <v/>
      </c>
      <c r="E2924" s="5">
        <f>IF($I2="","",INDEX(Productos!$H:$H,$I2))</f>
        <v/>
      </c>
      <c r="F2924" s="5">
        <f>IF($I2="","",INDEX(Productos!$I:$I,$I2))</f>
        <v/>
      </c>
      <c r="G2924" s="135" t="n">
        <v>6</v>
      </c>
      <c r="H2924" s="5">
        <f>IF($I2="","",INDEX(Productos!$AG:$AG,$I2))</f>
        <v/>
      </c>
      <c r="I2924" s="136">
        <f>LET(_xlpm.r,Productos!$E$2:$E$2509,_xlpm.m,IFERROR(_xlfn.XMATCH(C2924,_xlpm.r),IFERROR(_xlfn.XMATCH(VALUE(C2924),_xlpm.r),0)),IF(_xlpm.m=0,"",_xlpm.m+1))</f>
        <v/>
      </c>
      <c r="J2924" s="137" t="inlineStr">
        <is>
          <t>Shopify</t>
        </is>
      </c>
    </row>
    <row r="2925">
      <c r="A2925" s="5" t="inlineStr">
        <is>
          <t>Shopify Stetson México › Stetson Americas</t>
        </is>
      </c>
      <c r="B2925" s="5">
        <f>IF($I2="","",INDEX(Productos!$A:$A,$I2))</f>
        <v/>
      </c>
      <c r="C2925" s="134" t="inlineStr">
        <is>
          <t>ST-VR-P-015-FW25-SOB-M</t>
        </is>
      </c>
      <c r="D2925" s="5">
        <f>IF($I2="","",INDEX(Productos!$B:$B,$I2))</f>
        <v/>
      </c>
      <c r="E2925" s="5">
        <f>IF($I2="","",INDEX(Productos!$H:$H,$I2))</f>
        <v/>
      </c>
      <c r="F2925" s="5">
        <f>IF($I2="","",INDEX(Productos!$I:$I,$I2))</f>
        <v/>
      </c>
      <c r="G2925" s="135" t="n">
        <v>2</v>
      </c>
      <c r="H2925" s="5">
        <f>IF($I2="","",INDEX(Productos!$AG:$AG,$I2))</f>
        <v/>
      </c>
      <c r="I2925" s="136">
        <f>LET(_xlpm.r,Productos!$E$2:$E$2509,_xlpm.m,IFERROR(_xlfn.XMATCH(C2925,_xlpm.r),IFERROR(_xlfn.XMATCH(VALUE(C2925),_xlpm.r),0)),IF(_xlpm.m=0,"",_xlpm.m+1))</f>
        <v/>
      </c>
      <c r="J2925" s="137" t="inlineStr">
        <is>
          <t>Shopify</t>
        </is>
      </c>
    </row>
    <row r="2926">
      <c r="A2926" s="5" t="inlineStr">
        <is>
          <t>Shopify Stetson México › Stetson Americas</t>
        </is>
      </c>
      <c r="B2926" s="5">
        <f>IF($I2="","",INDEX(Productos!$A:$A,$I2))</f>
        <v/>
      </c>
      <c r="C2926" s="134" t="inlineStr">
        <is>
          <t>ST-VR-P-015-FW25-SOB-S</t>
        </is>
      </c>
      <c r="D2926" s="5">
        <f>IF($I2="","",INDEX(Productos!$B:$B,$I2))</f>
        <v/>
      </c>
      <c r="E2926" s="5">
        <f>IF($I2="","",INDEX(Productos!$H:$H,$I2))</f>
        <v/>
      </c>
      <c r="F2926" s="5">
        <f>IF($I2="","",INDEX(Productos!$I:$I,$I2))</f>
        <v/>
      </c>
      <c r="G2926" s="135" t="n">
        <v>3</v>
      </c>
      <c r="H2926" s="5">
        <f>IF($I2="","",INDEX(Productos!$AG:$AG,$I2))</f>
        <v/>
      </c>
      <c r="I2926" s="136">
        <f>LET(_xlpm.r,Productos!$E$2:$E$2509,_xlpm.m,IFERROR(_xlfn.XMATCH(C2926,_xlpm.r),IFERROR(_xlfn.XMATCH(VALUE(C2926),_xlpm.r),0)),IF(_xlpm.m=0,"",_xlpm.m+1))</f>
        <v/>
      </c>
      <c r="J2926" s="137" t="inlineStr">
        <is>
          <t>Shopify</t>
        </is>
      </c>
    </row>
    <row r="2927">
      <c r="A2927" s="5" t="inlineStr">
        <is>
          <t>Shopify Stetson México › Stetson Americas</t>
        </is>
      </c>
      <c r="B2927" s="5">
        <f>IF($I2="","",INDEX(Productos!$A:$A,$I2))</f>
        <v/>
      </c>
      <c r="C2927" s="134" t="inlineStr">
        <is>
          <t>ST-VR-P-015-FW25-SOB-XL</t>
        </is>
      </c>
      <c r="D2927" s="5">
        <f>IF($I2="","",INDEX(Productos!$B:$B,$I2))</f>
        <v/>
      </c>
      <c r="E2927" s="5">
        <f>IF($I2="","",INDEX(Productos!$H:$H,$I2))</f>
        <v/>
      </c>
      <c r="F2927" s="5">
        <f>IF($I2="","",INDEX(Productos!$I:$I,$I2))</f>
        <v/>
      </c>
      <c r="G2927" s="135" t="n">
        <v>3</v>
      </c>
      <c r="H2927" s="5">
        <f>IF($I2="","",INDEX(Productos!$AG:$AG,$I2))</f>
        <v/>
      </c>
      <c r="I2927" s="136">
        <f>LET(_xlpm.r,Productos!$E$2:$E$2509,_xlpm.m,IFERROR(_xlfn.XMATCH(C2927,_xlpm.r),IFERROR(_xlfn.XMATCH(VALUE(C2927),_xlpm.r),0)),IF(_xlpm.m=0,"",_xlpm.m+1))</f>
        <v/>
      </c>
      <c r="J2927" s="137" t="inlineStr">
        <is>
          <t>Shopify</t>
        </is>
      </c>
    </row>
    <row r="2928">
      <c r="A2928" s="5" t="inlineStr">
        <is>
          <t>Shopify Stetson México › Stetson Americas</t>
        </is>
      </c>
      <c r="B2928" s="5">
        <f>IF($I2="","",INDEX(Productos!$A:$A,$I2))</f>
        <v/>
      </c>
      <c r="C2928" s="134" t="inlineStr">
        <is>
          <t>ST-VR-P-016-FW25-GS-2XL</t>
        </is>
      </c>
      <c r="D2928" s="5">
        <f>IF($I2="","",INDEX(Productos!$B:$B,$I2))</f>
        <v/>
      </c>
      <c r="E2928" s="5">
        <f>IF($I2="","",INDEX(Productos!$H:$H,$I2))</f>
        <v/>
      </c>
      <c r="F2928" s="5">
        <f>IF($I2="","",INDEX(Productos!$I:$I,$I2))</f>
        <v/>
      </c>
      <c r="G2928" s="135" t="n">
        <v>1</v>
      </c>
      <c r="H2928" s="5">
        <f>IF($I2="","",INDEX(Productos!$AG:$AG,$I2))</f>
        <v/>
      </c>
      <c r="I2928" s="136">
        <f>LET(_xlpm.r,Productos!$E$2:$E$2509,_xlpm.m,IFERROR(_xlfn.XMATCH(C2928,_xlpm.r),IFERROR(_xlfn.XMATCH(VALUE(C2928),_xlpm.r),0)),IF(_xlpm.m=0,"",_xlpm.m+1))</f>
        <v/>
      </c>
      <c r="J2928" s="137" t="inlineStr">
        <is>
          <t>Shopify</t>
        </is>
      </c>
    </row>
    <row r="2929">
      <c r="A2929" s="5" t="inlineStr">
        <is>
          <t>Shopify Stetson México › Stetson Americas</t>
        </is>
      </c>
      <c r="B2929" s="5">
        <f>IF($I2="","",INDEX(Productos!$A:$A,$I2))</f>
        <v/>
      </c>
      <c r="C2929" s="134" t="inlineStr">
        <is>
          <t>ST-VR-P-016-FW25-GS-L</t>
        </is>
      </c>
      <c r="D2929" s="5">
        <f>IF($I2="","",INDEX(Productos!$B:$B,$I2))</f>
        <v/>
      </c>
      <c r="E2929" s="5">
        <f>IF($I2="","",INDEX(Productos!$H:$H,$I2))</f>
        <v/>
      </c>
      <c r="F2929" s="5">
        <f>IF($I2="","",INDEX(Productos!$I:$I,$I2))</f>
        <v/>
      </c>
      <c r="G2929" s="135" t="n">
        <v>5</v>
      </c>
      <c r="H2929" s="5">
        <f>IF($I2="","",INDEX(Productos!$AG:$AG,$I2))</f>
        <v/>
      </c>
      <c r="I2929" s="136">
        <f>LET(_xlpm.r,Productos!$E$2:$E$2509,_xlpm.m,IFERROR(_xlfn.XMATCH(C2929,_xlpm.r),IFERROR(_xlfn.XMATCH(VALUE(C2929),_xlpm.r),0)),IF(_xlpm.m=0,"",_xlpm.m+1))</f>
        <v/>
      </c>
      <c r="J2929" s="137" t="inlineStr">
        <is>
          <t>Shopify</t>
        </is>
      </c>
    </row>
    <row r="2930">
      <c r="A2930" s="5" t="inlineStr">
        <is>
          <t>Shopify Stetson México › Stetson Americas</t>
        </is>
      </c>
      <c r="B2930" s="5">
        <f>IF($I2="","",INDEX(Productos!$A:$A,$I2))</f>
        <v/>
      </c>
      <c r="C2930" s="134" t="inlineStr">
        <is>
          <t>ST-VR-P-016-FW25-GS-M</t>
        </is>
      </c>
      <c r="D2930" s="5">
        <f>IF($I2="","",INDEX(Productos!$B:$B,$I2))</f>
        <v/>
      </c>
      <c r="E2930" s="5">
        <f>IF($I2="","",INDEX(Productos!$H:$H,$I2))</f>
        <v/>
      </c>
      <c r="F2930" s="5">
        <f>IF($I2="","",INDEX(Productos!$I:$I,$I2))</f>
        <v/>
      </c>
      <c r="G2930" s="135" t="n">
        <v>2</v>
      </c>
      <c r="H2930" s="5">
        <f>IF($I2="","",INDEX(Productos!$AG:$AG,$I2))</f>
        <v/>
      </c>
      <c r="I2930" s="136">
        <f>LET(_xlpm.r,Productos!$E$2:$E$2509,_xlpm.m,IFERROR(_xlfn.XMATCH(C2930,_xlpm.r),IFERROR(_xlfn.XMATCH(VALUE(C2930),_xlpm.r),0)),IF(_xlpm.m=0,"",_xlpm.m+1))</f>
        <v/>
      </c>
      <c r="J2930" s="137" t="inlineStr">
        <is>
          <t>Shopify</t>
        </is>
      </c>
    </row>
    <row r="2931">
      <c r="A2931" s="5" t="inlineStr">
        <is>
          <t>Shopify Stetson México › Stetson Americas</t>
        </is>
      </c>
      <c r="B2931" s="5">
        <f>IF($I2="","",INDEX(Productos!$A:$A,$I2))</f>
        <v/>
      </c>
      <c r="C2931" s="134" t="inlineStr">
        <is>
          <t>ST-VR-P-016-FW25-GS-S</t>
        </is>
      </c>
      <c r="D2931" s="5">
        <f>IF($I2="","",INDEX(Productos!$B:$B,$I2))</f>
        <v/>
      </c>
      <c r="E2931" s="5">
        <f>IF($I2="","",INDEX(Productos!$H:$H,$I2))</f>
        <v/>
      </c>
      <c r="F2931" s="5">
        <f>IF($I2="","",INDEX(Productos!$I:$I,$I2))</f>
        <v/>
      </c>
      <c r="G2931" s="135" t="n">
        <v>3</v>
      </c>
      <c r="H2931" s="5">
        <f>IF($I2="","",INDEX(Productos!$AG:$AG,$I2))</f>
        <v/>
      </c>
      <c r="I2931" s="136">
        <f>LET(_xlpm.r,Productos!$E$2:$E$2509,_xlpm.m,IFERROR(_xlfn.XMATCH(C2931,_xlpm.r),IFERROR(_xlfn.XMATCH(VALUE(C2931),_xlpm.r),0)),IF(_xlpm.m=0,"",_xlpm.m+1))</f>
        <v/>
      </c>
      <c r="J2931" s="137" t="inlineStr">
        <is>
          <t>Shopify</t>
        </is>
      </c>
    </row>
    <row r="2932">
      <c r="A2932" s="5" t="inlineStr">
        <is>
          <t>Shopify Stetson México › Stetson Americas</t>
        </is>
      </c>
      <c r="B2932" s="5">
        <f>IF($I2="","",INDEX(Productos!$A:$A,$I2))</f>
        <v/>
      </c>
      <c r="C2932" s="134" t="inlineStr">
        <is>
          <t>ST-VR-P-016-FW25-GS-XL</t>
        </is>
      </c>
      <c r="D2932" s="5">
        <f>IF($I2="","",INDEX(Productos!$B:$B,$I2))</f>
        <v/>
      </c>
      <c r="E2932" s="5">
        <f>IF($I2="","",INDEX(Productos!$H:$H,$I2))</f>
        <v/>
      </c>
      <c r="F2932" s="5">
        <f>IF($I2="","",INDEX(Productos!$I:$I,$I2))</f>
        <v/>
      </c>
      <c r="G2932" s="135" t="n">
        <v>4</v>
      </c>
      <c r="H2932" s="5">
        <f>IF($I2="","",INDEX(Productos!$AG:$AG,$I2))</f>
        <v/>
      </c>
      <c r="I2932" s="136">
        <f>LET(_xlpm.r,Productos!$E$2:$E$2509,_xlpm.m,IFERROR(_xlfn.XMATCH(C2932,_xlpm.r),IFERROR(_xlfn.XMATCH(VALUE(C2932),_xlpm.r),0)),IF(_xlpm.m=0,"",_xlpm.m+1))</f>
        <v/>
      </c>
      <c r="J2932" s="137" t="inlineStr">
        <is>
          <t>Shopify</t>
        </is>
      </c>
    </row>
    <row r="2933">
      <c r="A2933" s="5" t="inlineStr">
        <is>
          <t>Shopify Stetson México › Stetson Americas</t>
        </is>
      </c>
      <c r="B2933" s="5">
        <f>IF($I2="","",INDEX(Productos!$A:$A,$I2))</f>
        <v/>
      </c>
      <c r="C2933" s="134" t="inlineStr">
        <is>
          <t>ST-VR-P-017-FW25-SC-L</t>
        </is>
      </c>
      <c r="D2933" s="5">
        <f>IF($I2="","",INDEX(Productos!$B:$B,$I2))</f>
        <v/>
      </c>
      <c r="E2933" s="5">
        <f>IF($I2="","",INDEX(Productos!$H:$H,$I2))</f>
        <v/>
      </c>
      <c r="F2933" s="5">
        <f>IF($I2="","",INDEX(Productos!$I:$I,$I2))</f>
        <v/>
      </c>
      <c r="G2933" s="135" t="n">
        <v>6</v>
      </c>
      <c r="H2933" s="5">
        <f>IF($I2="","",INDEX(Productos!$AG:$AG,$I2))</f>
        <v/>
      </c>
      <c r="I2933" s="136">
        <f>LET(_xlpm.r,Productos!$E$2:$E$2509,_xlpm.m,IFERROR(_xlfn.XMATCH(C2933,_xlpm.r),IFERROR(_xlfn.XMATCH(VALUE(C2933),_xlpm.r),0)),IF(_xlpm.m=0,"",_xlpm.m+1))</f>
        <v/>
      </c>
      <c r="J2933" s="137" t="inlineStr">
        <is>
          <t>Shopify</t>
        </is>
      </c>
    </row>
    <row r="2934">
      <c r="A2934" s="5" t="inlineStr">
        <is>
          <t>Shopify Stetson México › Stetson Americas</t>
        </is>
      </c>
      <c r="B2934" s="5">
        <f>IF($I2="","",INDEX(Productos!$A:$A,$I2))</f>
        <v/>
      </c>
      <c r="C2934" s="134" t="inlineStr">
        <is>
          <t>ST-VR-P-017-FW25-SC-M</t>
        </is>
      </c>
      <c r="D2934" s="5">
        <f>IF($I2="","",INDEX(Productos!$B:$B,$I2))</f>
        <v/>
      </c>
      <c r="E2934" s="5">
        <f>IF($I2="","",INDEX(Productos!$H:$H,$I2))</f>
        <v/>
      </c>
      <c r="F2934" s="5">
        <f>IF($I2="","",INDEX(Productos!$I:$I,$I2))</f>
        <v/>
      </c>
      <c r="G2934" s="135" t="n">
        <v>3</v>
      </c>
      <c r="H2934" s="5">
        <f>IF($I2="","",INDEX(Productos!$AG:$AG,$I2))</f>
        <v/>
      </c>
      <c r="I2934" s="136">
        <f>LET(_xlpm.r,Productos!$E$2:$E$2509,_xlpm.m,IFERROR(_xlfn.XMATCH(C2934,_xlpm.r),IFERROR(_xlfn.XMATCH(VALUE(C2934),_xlpm.r),0)),IF(_xlpm.m=0,"",_xlpm.m+1))</f>
        <v/>
      </c>
      <c r="J2934" s="137" t="inlineStr">
        <is>
          <t>Shopify</t>
        </is>
      </c>
    </row>
    <row r="2935">
      <c r="A2935" s="5" t="inlineStr">
        <is>
          <t>Shopify Stetson México › Stetson Americas</t>
        </is>
      </c>
      <c r="B2935" s="5">
        <f>IF($I2="","",INDEX(Productos!$A:$A,$I2))</f>
        <v/>
      </c>
      <c r="C2935" s="134" t="inlineStr">
        <is>
          <t>ST-VR-P-017-FW25-SC-S</t>
        </is>
      </c>
      <c r="D2935" s="5">
        <f>IF($I2="","",INDEX(Productos!$B:$B,$I2))</f>
        <v/>
      </c>
      <c r="E2935" s="5">
        <f>IF($I2="","",INDEX(Productos!$H:$H,$I2))</f>
        <v/>
      </c>
      <c r="F2935" s="5">
        <f>IF($I2="","",INDEX(Productos!$I:$I,$I2))</f>
        <v/>
      </c>
      <c r="G2935" s="135" t="n">
        <v>3</v>
      </c>
      <c r="H2935" s="5">
        <f>IF($I2="","",INDEX(Productos!$AG:$AG,$I2))</f>
        <v/>
      </c>
      <c r="I2935" s="136">
        <f>LET(_xlpm.r,Productos!$E$2:$E$2509,_xlpm.m,IFERROR(_xlfn.XMATCH(C2935,_xlpm.r),IFERROR(_xlfn.XMATCH(VALUE(C2935),_xlpm.r),0)),IF(_xlpm.m=0,"",_xlpm.m+1))</f>
        <v/>
      </c>
      <c r="J2935" s="137" t="inlineStr">
        <is>
          <t>Shopify</t>
        </is>
      </c>
    </row>
    <row r="2936">
      <c r="A2936" s="5" t="inlineStr">
        <is>
          <t>Shopify Stetson México › Stetson Americas</t>
        </is>
      </c>
      <c r="B2936" s="5">
        <f>IF($I2="","",INDEX(Productos!$A:$A,$I2))</f>
        <v/>
      </c>
      <c r="C2936" s="134" t="inlineStr">
        <is>
          <t>ST-VR-P-017-FW25-SC-XL</t>
        </is>
      </c>
      <c r="D2936" s="5">
        <f>IF($I2="","",INDEX(Productos!$B:$B,$I2))</f>
        <v/>
      </c>
      <c r="E2936" s="5">
        <f>IF($I2="","",INDEX(Productos!$H:$H,$I2))</f>
        <v/>
      </c>
      <c r="F2936" s="5">
        <f>IF($I2="","",INDEX(Productos!$I:$I,$I2))</f>
        <v/>
      </c>
      <c r="G2936" s="135" t="n">
        <v>2</v>
      </c>
      <c r="H2936" s="5">
        <f>IF($I2="","",INDEX(Productos!$AG:$AG,$I2))</f>
        <v/>
      </c>
      <c r="I2936" s="136">
        <f>LET(_xlpm.r,Productos!$E$2:$E$2509,_xlpm.m,IFERROR(_xlfn.XMATCH(C2936,_xlpm.r),IFERROR(_xlfn.XMATCH(VALUE(C2936),_xlpm.r),0)),IF(_xlpm.m=0,"",_xlpm.m+1))</f>
        <v/>
      </c>
      <c r="J2936" s="137" t="inlineStr">
        <is>
          <t>Shopify</t>
        </is>
      </c>
    </row>
    <row r="2937">
      <c r="A2937" s="5" t="inlineStr">
        <is>
          <t>Shopify Stetson México › Stetson Americas</t>
        </is>
      </c>
      <c r="B2937" s="5">
        <f>IF($I2="","",INDEX(Productos!$A:$A,$I2))</f>
        <v/>
      </c>
      <c r="C2937" s="134" t="inlineStr">
        <is>
          <t>ST-VR-P-018-FW25-CS-L</t>
        </is>
      </c>
      <c r="D2937" s="5">
        <f>IF($I2="","",INDEX(Productos!$B:$B,$I2))</f>
        <v/>
      </c>
      <c r="E2937" s="5">
        <f>IF($I2="","",INDEX(Productos!$H:$H,$I2))</f>
        <v/>
      </c>
      <c r="F2937" s="5">
        <f>IF($I2="","",INDEX(Productos!$I:$I,$I2))</f>
        <v/>
      </c>
      <c r="G2937" s="135" t="n">
        <v>3</v>
      </c>
      <c r="H2937" s="5">
        <f>IF($I2="","",INDEX(Productos!$AG:$AG,$I2))</f>
        <v/>
      </c>
      <c r="I2937" s="136">
        <f>LET(_xlpm.r,Productos!$E$2:$E$2509,_xlpm.m,IFERROR(_xlfn.XMATCH(C2937,_xlpm.r),IFERROR(_xlfn.XMATCH(VALUE(C2937),_xlpm.r),0)),IF(_xlpm.m=0,"",_xlpm.m+1))</f>
        <v/>
      </c>
      <c r="J2937" s="137" t="inlineStr">
        <is>
          <t>Shopify</t>
        </is>
      </c>
    </row>
    <row r="2938">
      <c r="A2938" s="5" t="inlineStr">
        <is>
          <t>Shopify Stetson México › Stetson Americas</t>
        </is>
      </c>
      <c r="B2938" s="5">
        <f>IF($I2="","",INDEX(Productos!$A:$A,$I2))</f>
        <v/>
      </c>
      <c r="C2938" s="134" t="inlineStr">
        <is>
          <t>ST-VR-P-018-FW25-CS-XL</t>
        </is>
      </c>
      <c r="D2938" s="5">
        <f>IF($I2="","",INDEX(Productos!$B:$B,$I2))</f>
        <v/>
      </c>
      <c r="E2938" s="5">
        <f>IF($I2="","",INDEX(Productos!$H:$H,$I2))</f>
        <v/>
      </c>
      <c r="F2938" s="5">
        <f>IF($I2="","",INDEX(Productos!$I:$I,$I2))</f>
        <v/>
      </c>
      <c r="G2938" s="135" t="n">
        <v>3</v>
      </c>
      <c r="H2938" s="5">
        <f>IF($I2="","",INDEX(Productos!$AG:$AG,$I2))</f>
        <v/>
      </c>
      <c r="I2938" s="136">
        <f>LET(_xlpm.r,Productos!$E$2:$E$2509,_xlpm.m,IFERROR(_xlfn.XMATCH(C2938,_xlpm.r),IFERROR(_xlfn.XMATCH(VALUE(C2938),_xlpm.r),0)),IF(_xlpm.m=0,"",_xlpm.m+1))</f>
        <v/>
      </c>
      <c r="J2938" s="137" t="inlineStr">
        <is>
          <t>Shopify</t>
        </is>
      </c>
    </row>
    <row r="2939">
      <c r="A2939" s="5" t="inlineStr">
        <is>
          <t>Shopify Stetson México › Stetson Americas</t>
        </is>
      </c>
      <c r="B2939" s="5">
        <f>IF($I2="","",INDEX(Productos!$A:$A,$I2))</f>
        <v/>
      </c>
      <c r="C2939" s="134" t="inlineStr">
        <is>
          <t>ST-VR-P-019-FW25-CM-2XL</t>
        </is>
      </c>
      <c r="D2939" s="5">
        <f>IF($I2="","",INDEX(Productos!$B:$B,$I2))</f>
        <v/>
      </c>
      <c r="E2939" s="5">
        <f>IF($I2="","",INDEX(Productos!$H:$H,$I2))</f>
        <v/>
      </c>
      <c r="F2939" s="5">
        <f>IF($I2="","",INDEX(Productos!$I:$I,$I2))</f>
        <v/>
      </c>
      <c r="G2939" s="135" t="n">
        <v>3</v>
      </c>
      <c r="H2939" s="5">
        <f>IF($I2="","",INDEX(Productos!$AG:$AG,$I2))</f>
        <v/>
      </c>
      <c r="I2939" s="136">
        <f>LET(_xlpm.r,Productos!$E$2:$E$2509,_xlpm.m,IFERROR(_xlfn.XMATCH(C2939,_xlpm.r),IFERROR(_xlfn.XMATCH(VALUE(C2939),_xlpm.r),0)),IF(_xlpm.m=0,"",_xlpm.m+1))</f>
        <v/>
      </c>
      <c r="J2939" s="137" t="inlineStr">
        <is>
          <t>Shopify</t>
        </is>
      </c>
    </row>
    <row r="2940">
      <c r="A2940" s="5" t="inlineStr">
        <is>
          <t>Shopify Stetson México › Stetson Americas</t>
        </is>
      </c>
      <c r="B2940" s="5">
        <f>IF($I2="","",INDEX(Productos!$A:$A,$I2))</f>
        <v/>
      </c>
      <c r="C2940" s="134" t="inlineStr">
        <is>
          <t>ST-VR-P-019-FW25-CM-L</t>
        </is>
      </c>
      <c r="D2940" s="5">
        <f>IF($I2="","",INDEX(Productos!$B:$B,$I2))</f>
        <v/>
      </c>
      <c r="E2940" s="5">
        <f>IF($I2="","",INDEX(Productos!$H:$H,$I2))</f>
        <v/>
      </c>
      <c r="F2940" s="5">
        <f>IF($I2="","",INDEX(Productos!$I:$I,$I2))</f>
        <v/>
      </c>
      <c r="G2940" s="135" t="n">
        <v>4</v>
      </c>
      <c r="H2940" s="5">
        <f>IF($I2="","",INDEX(Productos!$AG:$AG,$I2))</f>
        <v/>
      </c>
      <c r="I2940" s="136">
        <f>LET(_xlpm.r,Productos!$E$2:$E$2509,_xlpm.m,IFERROR(_xlfn.XMATCH(C2940,_xlpm.r),IFERROR(_xlfn.XMATCH(VALUE(C2940),_xlpm.r),0)),IF(_xlpm.m=0,"",_xlpm.m+1))</f>
        <v/>
      </c>
      <c r="J2940" s="137" t="inlineStr">
        <is>
          <t>Shopify</t>
        </is>
      </c>
    </row>
    <row r="2941">
      <c r="A2941" s="5" t="inlineStr">
        <is>
          <t>Shopify Stetson México › Stetson Americas</t>
        </is>
      </c>
      <c r="B2941" s="5">
        <f>IF($I2="","",INDEX(Productos!$A:$A,$I2))</f>
        <v/>
      </c>
      <c r="C2941" s="134" t="inlineStr">
        <is>
          <t>ST-VR-P-019-FW25-CM-M</t>
        </is>
      </c>
      <c r="D2941" s="5">
        <f>IF($I2="","",INDEX(Productos!$B:$B,$I2))</f>
        <v/>
      </c>
      <c r="E2941" s="5">
        <f>IF($I2="","",INDEX(Productos!$H:$H,$I2))</f>
        <v/>
      </c>
      <c r="F2941" s="5">
        <f>IF($I2="","",INDEX(Productos!$I:$I,$I2))</f>
        <v/>
      </c>
      <c r="G2941" s="135" t="n">
        <v>1</v>
      </c>
      <c r="H2941" s="5">
        <f>IF($I2="","",INDEX(Productos!$AG:$AG,$I2))</f>
        <v/>
      </c>
      <c r="I2941" s="136">
        <f>LET(_xlpm.r,Productos!$E$2:$E$2509,_xlpm.m,IFERROR(_xlfn.XMATCH(C2941,_xlpm.r),IFERROR(_xlfn.XMATCH(VALUE(C2941),_xlpm.r),0)),IF(_xlpm.m=0,"",_xlpm.m+1))</f>
        <v/>
      </c>
      <c r="J2941" s="137" t="inlineStr">
        <is>
          <t>Shopify</t>
        </is>
      </c>
    </row>
    <row r="2942">
      <c r="A2942" s="5" t="inlineStr">
        <is>
          <t>Shopify Stetson México › Stetson Americas</t>
        </is>
      </c>
      <c r="B2942" s="5">
        <f>IF($I2="","",INDEX(Productos!$A:$A,$I2))</f>
        <v/>
      </c>
      <c r="C2942" s="134" t="inlineStr">
        <is>
          <t>ST-VR-P-019-FW25-CM-S</t>
        </is>
      </c>
      <c r="D2942" s="5">
        <f>IF($I2="","",INDEX(Productos!$B:$B,$I2))</f>
        <v/>
      </c>
      <c r="E2942" s="5">
        <f>IF($I2="","",INDEX(Productos!$H:$H,$I2))</f>
        <v/>
      </c>
      <c r="F2942" s="5">
        <f>IF($I2="","",INDEX(Productos!$I:$I,$I2))</f>
        <v/>
      </c>
      <c r="G2942" s="135" t="n">
        <v>3</v>
      </c>
      <c r="H2942" s="5">
        <f>IF($I2="","",INDEX(Productos!$AG:$AG,$I2))</f>
        <v/>
      </c>
      <c r="I2942" s="136">
        <f>LET(_xlpm.r,Productos!$E$2:$E$2509,_xlpm.m,IFERROR(_xlfn.XMATCH(C2942,_xlpm.r),IFERROR(_xlfn.XMATCH(VALUE(C2942),_xlpm.r),0)),IF(_xlpm.m=0,"",_xlpm.m+1))</f>
        <v/>
      </c>
      <c r="J2942" s="137" t="inlineStr">
        <is>
          <t>Shopify</t>
        </is>
      </c>
    </row>
    <row r="2943">
      <c r="A2943" s="5" t="inlineStr">
        <is>
          <t>Shopify Stetson México › Stetson Americas</t>
        </is>
      </c>
      <c r="B2943" s="5">
        <f>IF($I2="","",INDEX(Productos!$A:$A,$I2))</f>
        <v/>
      </c>
      <c r="C2943" s="134" t="inlineStr">
        <is>
          <t>ST-VR-P-019-FW25-CM-XL</t>
        </is>
      </c>
      <c r="D2943" s="5">
        <f>IF($I2="","",INDEX(Productos!$B:$B,$I2))</f>
        <v/>
      </c>
      <c r="E2943" s="5">
        <f>IF($I2="","",INDEX(Productos!$H:$H,$I2))</f>
        <v/>
      </c>
      <c r="F2943" s="5">
        <f>IF($I2="","",INDEX(Productos!$I:$I,$I2))</f>
        <v/>
      </c>
      <c r="G2943" s="135" t="n">
        <v>2</v>
      </c>
      <c r="H2943" s="5">
        <f>IF($I2="","",INDEX(Productos!$AG:$AG,$I2))</f>
        <v/>
      </c>
      <c r="I2943" s="136">
        <f>LET(_xlpm.r,Productos!$E$2:$E$2509,_xlpm.m,IFERROR(_xlfn.XMATCH(C2943,_xlpm.r),IFERROR(_xlfn.XMATCH(VALUE(C2943),_xlpm.r),0)),IF(_xlpm.m=0,"",_xlpm.m+1))</f>
        <v/>
      </c>
      <c r="J2943" s="137" t="inlineStr">
        <is>
          <t>Shopify</t>
        </is>
      </c>
    </row>
    <row r="2944">
      <c r="A2944" s="5" t="inlineStr">
        <is>
          <t>Shopify Stetson México › Stetson Americas</t>
        </is>
      </c>
      <c r="B2944" s="5">
        <f>IF($I2="","",INDEX(Productos!$A:$A,$I2))</f>
        <v/>
      </c>
      <c r="C2944" s="134" t="inlineStr">
        <is>
          <t>ST-VR-P-020-FW25-MT-2XL</t>
        </is>
      </c>
      <c r="D2944" s="5">
        <f>IF($I2="","",INDEX(Productos!$B:$B,$I2))</f>
        <v/>
      </c>
      <c r="E2944" s="5">
        <f>IF($I2="","",INDEX(Productos!$H:$H,$I2))</f>
        <v/>
      </c>
      <c r="F2944" s="5">
        <f>IF($I2="","",INDEX(Productos!$I:$I,$I2))</f>
        <v/>
      </c>
      <c r="G2944" s="135" t="n">
        <v>2</v>
      </c>
      <c r="H2944" s="5">
        <f>IF($I2="","",INDEX(Productos!$AG:$AG,$I2))</f>
        <v/>
      </c>
      <c r="I2944" s="136">
        <f>LET(_xlpm.r,Productos!$E$2:$E$2509,_xlpm.m,IFERROR(_xlfn.XMATCH(C2944,_xlpm.r),IFERROR(_xlfn.XMATCH(VALUE(C2944),_xlpm.r),0)),IF(_xlpm.m=0,"",_xlpm.m+1))</f>
        <v/>
      </c>
      <c r="J2944" s="137" t="inlineStr">
        <is>
          <t>Shopify</t>
        </is>
      </c>
    </row>
    <row r="2945">
      <c r="A2945" s="5" t="inlineStr">
        <is>
          <t>Shopify Stetson México › Stetson Americas</t>
        </is>
      </c>
      <c r="B2945" s="5">
        <f>IF($I2="","",INDEX(Productos!$A:$A,$I2))</f>
        <v/>
      </c>
      <c r="C2945" s="134" t="inlineStr">
        <is>
          <t>ST-VR-P-020-FW25-MT-L</t>
        </is>
      </c>
      <c r="D2945" s="5">
        <f>IF($I2="","",INDEX(Productos!$B:$B,$I2))</f>
        <v/>
      </c>
      <c r="E2945" s="5">
        <f>IF($I2="","",INDEX(Productos!$H:$H,$I2))</f>
        <v/>
      </c>
      <c r="F2945" s="5">
        <f>IF($I2="","",INDEX(Productos!$I:$I,$I2))</f>
        <v/>
      </c>
      <c r="G2945" s="135" t="n">
        <v>6</v>
      </c>
      <c r="H2945" s="5">
        <f>IF($I2="","",INDEX(Productos!$AG:$AG,$I2))</f>
        <v/>
      </c>
      <c r="I2945" s="136">
        <f>LET(_xlpm.r,Productos!$E$2:$E$2509,_xlpm.m,IFERROR(_xlfn.XMATCH(C2945,_xlpm.r),IFERROR(_xlfn.XMATCH(VALUE(C2945),_xlpm.r),0)),IF(_xlpm.m=0,"",_xlpm.m+1))</f>
        <v/>
      </c>
      <c r="J2945" s="137" t="inlineStr">
        <is>
          <t>Shopify</t>
        </is>
      </c>
    </row>
    <row r="2946">
      <c r="A2946" s="5" t="inlineStr">
        <is>
          <t>Shopify Stetson México › Stetson Americas</t>
        </is>
      </c>
      <c r="B2946" s="5">
        <f>IF($I2="","",INDEX(Productos!$A:$A,$I2))</f>
        <v/>
      </c>
      <c r="C2946" s="134" t="inlineStr">
        <is>
          <t>ST-VR-P-020-FW25-MT-M</t>
        </is>
      </c>
      <c r="D2946" s="5">
        <f>IF($I2="","",INDEX(Productos!$B:$B,$I2))</f>
        <v/>
      </c>
      <c r="E2946" s="5">
        <f>IF($I2="","",INDEX(Productos!$H:$H,$I2))</f>
        <v/>
      </c>
      <c r="F2946" s="5">
        <f>IF($I2="","",INDEX(Productos!$I:$I,$I2))</f>
        <v/>
      </c>
      <c r="G2946" s="135" t="n">
        <v>1</v>
      </c>
      <c r="H2946" s="5">
        <f>IF($I2="","",INDEX(Productos!$AG:$AG,$I2))</f>
        <v/>
      </c>
      <c r="I2946" s="136">
        <f>LET(_xlpm.r,Productos!$E$2:$E$2509,_xlpm.m,IFERROR(_xlfn.XMATCH(C2946,_xlpm.r),IFERROR(_xlfn.XMATCH(VALUE(C2946),_xlpm.r),0)),IF(_xlpm.m=0,"",_xlpm.m+1))</f>
        <v/>
      </c>
      <c r="J2946" s="137" t="inlineStr">
        <is>
          <t>Shopify</t>
        </is>
      </c>
    </row>
    <row r="2947">
      <c r="A2947" s="5" t="inlineStr">
        <is>
          <t>Shopify Stetson México › Stetson Americas</t>
        </is>
      </c>
      <c r="B2947" s="5">
        <f>IF($I2="","",INDEX(Productos!$A:$A,$I2))</f>
        <v/>
      </c>
      <c r="C2947" s="134" t="inlineStr">
        <is>
          <t>ST-VR-P-020-FW25-MT-S</t>
        </is>
      </c>
      <c r="D2947" s="5">
        <f>IF($I2="","",INDEX(Productos!$B:$B,$I2))</f>
        <v/>
      </c>
      <c r="E2947" s="5">
        <f>IF($I2="","",INDEX(Productos!$H:$H,$I2))</f>
        <v/>
      </c>
      <c r="F2947" s="5">
        <f>IF($I2="","",INDEX(Productos!$I:$I,$I2))</f>
        <v/>
      </c>
      <c r="G2947" s="135" t="n">
        <v>1</v>
      </c>
      <c r="H2947" s="5">
        <f>IF($I2="","",INDEX(Productos!$AG:$AG,$I2))</f>
        <v/>
      </c>
      <c r="I2947" s="136">
        <f>LET(_xlpm.r,Productos!$E$2:$E$2509,_xlpm.m,IFERROR(_xlfn.XMATCH(C2947,_xlpm.r),IFERROR(_xlfn.XMATCH(VALUE(C2947),_xlpm.r),0)),IF(_xlpm.m=0,"",_xlpm.m+1))</f>
        <v/>
      </c>
      <c r="J2947" s="137" t="inlineStr">
        <is>
          <t>Shopify</t>
        </is>
      </c>
    </row>
    <row r="2948">
      <c r="A2948" s="5" t="inlineStr">
        <is>
          <t>Shopify Stetson México › Stetson Americas</t>
        </is>
      </c>
      <c r="B2948" s="5">
        <f>IF($I2="","",INDEX(Productos!$A:$A,$I2))</f>
        <v/>
      </c>
      <c r="C2948" s="134" t="inlineStr">
        <is>
          <t>ST-VR-P-020-FW25-MT-XL</t>
        </is>
      </c>
      <c r="D2948" s="5">
        <f>IF($I2="","",INDEX(Productos!$B:$B,$I2))</f>
        <v/>
      </c>
      <c r="E2948" s="5">
        <f>IF($I2="","",INDEX(Productos!$H:$H,$I2))</f>
        <v/>
      </c>
      <c r="F2948" s="5">
        <f>IF($I2="","",INDEX(Productos!$I:$I,$I2))</f>
        <v/>
      </c>
      <c r="G2948" s="135" t="n">
        <v>3</v>
      </c>
      <c r="H2948" s="5">
        <f>IF($I2="","",INDEX(Productos!$AG:$AG,$I2))</f>
        <v/>
      </c>
      <c r="I2948" s="136">
        <f>LET(_xlpm.r,Productos!$E$2:$E$2509,_xlpm.m,IFERROR(_xlfn.XMATCH(C2948,_xlpm.r),IFERROR(_xlfn.XMATCH(VALUE(C2948),_xlpm.r),0)),IF(_xlpm.m=0,"",_xlpm.m+1))</f>
        <v/>
      </c>
      <c r="J2948" s="137" t="inlineStr">
        <is>
          <t>Shopify</t>
        </is>
      </c>
    </row>
    <row r="2949">
      <c r="A2949" s="5" t="inlineStr">
        <is>
          <t>Shopify Stetson México › Stetson Americas</t>
        </is>
      </c>
      <c r="B2949" s="5">
        <f>IF($I2="","",INDEX(Productos!$A:$A,$I2))</f>
        <v/>
      </c>
      <c r="C2949" s="134" t="inlineStr">
        <is>
          <t>ST-VR-P-021-FW25-DQ-2XL</t>
        </is>
      </c>
      <c r="D2949" s="5">
        <f>IF($I2="","",INDEX(Productos!$B:$B,$I2))</f>
        <v/>
      </c>
      <c r="E2949" s="5">
        <f>IF($I2="","",INDEX(Productos!$H:$H,$I2))</f>
        <v/>
      </c>
      <c r="F2949" s="5">
        <f>IF($I2="","",INDEX(Productos!$I:$I,$I2))</f>
        <v/>
      </c>
      <c r="G2949" s="135" t="n">
        <v>4</v>
      </c>
      <c r="H2949" s="5">
        <f>IF($I2="","",INDEX(Productos!$AG:$AG,$I2))</f>
        <v/>
      </c>
      <c r="I2949" s="136">
        <f>LET(_xlpm.r,Productos!$E$2:$E$2509,_xlpm.m,IFERROR(_xlfn.XMATCH(C2949,_xlpm.r),IFERROR(_xlfn.XMATCH(VALUE(C2949),_xlpm.r),0)),IF(_xlpm.m=0,"",_xlpm.m+1))</f>
        <v/>
      </c>
      <c r="J2949" s="137" t="inlineStr">
        <is>
          <t>Shopify</t>
        </is>
      </c>
    </row>
    <row r="2950">
      <c r="A2950" s="5" t="inlineStr">
        <is>
          <t>Shopify Stetson México › Stetson Americas</t>
        </is>
      </c>
      <c r="B2950" s="5">
        <f>IF($I2="","",INDEX(Productos!$A:$A,$I2))</f>
        <v/>
      </c>
      <c r="C2950" s="134" t="inlineStr">
        <is>
          <t>ST-VR-P-021-FW25-DQ-L</t>
        </is>
      </c>
      <c r="D2950" s="5">
        <f>IF($I2="","",INDEX(Productos!$B:$B,$I2))</f>
        <v/>
      </c>
      <c r="E2950" s="5">
        <f>IF($I2="","",INDEX(Productos!$H:$H,$I2))</f>
        <v/>
      </c>
      <c r="F2950" s="5">
        <f>IF($I2="","",INDEX(Productos!$I:$I,$I2))</f>
        <v/>
      </c>
      <c r="G2950" s="135" t="n">
        <v>5</v>
      </c>
      <c r="H2950" s="5">
        <f>IF($I2="","",INDEX(Productos!$AG:$AG,$I2))</f>
        <v/>
      </c>
      <c r="I2950" s="136">
        <f>LET(_xlpm.r,Productos!$E$2:$E$2509,_xlpm.m,IFERROR(_xlfn.XMATCH(C2950,_xlpm.r),IFERROR(_xlfn.XMATCH(VALUE(C2950),_xlpm.r),0)),IF(_xlpm.m=0,"",_xlpm.m+1))</f>
        <v/>
      </c>
      <c r="J2950" s="137" t="inlineStr">
        <is>
          <t>Shopify</t>
        </is>
      </c>
    </row>
    <row r="2951">
      <c r="A2951" s="5" t="inlineStr">
        <is>
          <t>Shopify Stetson México › Stetson Americas</t>
        </is>
      </c>
      <c r="B2951" s="5">
        <f>IF($I2="","",INDEX(Productos!$A:$A,$I2))</f>
        <v/>
      </c>
      <c r="C2951" s="134" t="inlineStr">
        <is>
          <t>ST-VR-P-021-FW25-DQ-M</t>
        </is>
      </c>
      <c r="D2951" s="5">
        <f>IF($I2="","",INDEX(Productos!$B:$B,$I2))</f>
        <v/>
      </c>
      <c r="E2951" s="5">
        <f>IF($I2="","",INDEX(Productos!$H:$H,$I2))</f>
        <v/>
      </c>
      <c r="F2951" s="5">
        <f>IF($I2="","",INDEX(Productos!$I:$I,$I2))</f>
        <v/>
      </c>
      <c r="G2951" s="135" t="n">
        <v>1</v>
      </c>
      <c r="H2951" s="5">
        <f>IF($I2="","",INDEX(Productos!$AG:$AG,$I2))</f>
        <v/>
      </c>
      <c r="I2951" s="136">
        <f>LET(_xlpm.r,Productos!$E$2:$E$2509,_xlpm.m,IFERROR(_xlfn.XMATCH(C2951,_xlpm.r),IFERROR(_xlfn.XMATCH(VALUE(C2951),_xlpm.r),0)),IF(_xlpm.m=0,"",_xlpm.m+1))</f>
        <v/>
      </c>
      <c r="J2951" s="137" t="inlineStr">
        <is>
          <t>Shopify</t>
        </is>
      </c>
    </row>
    <row r="2952">
      <c r="A2952" s="5" t="inlineStr">
        <is>
          <t>Shopify Stetson México › Stetson Americas</t>
        </is>
      </c>
      <c r="B2952" s="5">
        <f>IF($I2="","",INDEX(Productos!$A:$A,$I2))</f>
        <v/>
      </c>
      <c r="C2952" s="134" t="inlineStr">
        <is>
          <t>ST-VR-P-021-FW25-DQ-S</t>
        </is>
      </c>
      <c r="D2952" s="5">
        <f>IF($I2="","",INDEX(Productos!$B:$B,$I2))</f>
        <v/>
      </c>
      <c r="E2952" s="5">
        <f>IF($I2="","",INDEX(Productos!$H:$H,$I2))</f>
        <v/>
      </c>
      <c r="F2952" s="5">
        <f>IF($I2="","",INDEX(Productos!$I:$I,$I2))</f>
        <v/>
      </c>
      <c r="G2952" s="135" t="n">
        <v>3</v>
      </c>
      <c r="H2952" s="5">
        <f>IF($I2="","",INDEX(Productos!$AG:$AG,$I2))</f>
        <v/>
      </c>
      <c r="I2952" s="136">
        <f>LET(_xlpm.r,Productos!$E$2:$E$2509,_xlpm.m,IFERROR(_xlfn.XMATCH(C2952,_xlpm.r),IFERROR(_xlfn.XMATCH(VALUE(C2952),_xlpm.r),0)),IF(_xlpm.m=0,"",_xlpm.m+1))</f>
        <v/>
      </c>
      <c r="J2952" s="137" t="inlineStr">
        <is>
          <t>Shopify</t>
        </is>
      </c>
    </row>
    <row r="2953">
      <c r="A2953" s="5" t="inlineStr">
        <is>
          <t>Shopify Stetson México › Stetson Americas</t>
        </is>
      </c>
      <c r="B2953" s="5">
        <f>IF($I2="","",INDEX(Productos!$A:$A,$I2))</f>
        <v/>
      </c>
      <c r="C2953" s="134" t="inlineStr">
        <is>
          <t>ST-VR-P-021-FW25-DQ-XL</t>
        </is>
      </c>
      <c r="D2953" s="5">
        <f>IF($I2="","",INDEX(Productos!$B:$B,$I2))</f>
        <v/>
      </c>
      <c r="E2953" s="5">
        <f>IF($I2="","",INDEX(Productos!$H:$H,$I2))</f>
        <v/>
      </c>
      <c r="F2953" s="5">
        <f>IF($I2="","",INDEX(Productos!$I:$I,$I2))</f>
        <v/>
      </c>
      <c r="G2953" s="135" t="n">
        <v>5</v>
      </c>
      <c r="H2953" s="5">
        <f>IF($I2="","",INDEX(Productos!$AG:$AG,$I2))</f>
        <v/>
      </c>
      <c r="I2953" s="136">
        <f>LET(_xlpm.r,Productos!$E$2:$E$2509,_xlpm.m,IFERROR(_xlfn.XMATCH(C2953,_xlpm.r),IFERROR(_xlfn.XMATCH(VALUE(C2953),_xlpm.r),0)),IF(_xlpm.m=0,"",_xlpm.m+1))</f>
        <v/>
      </c>
      <c r="J2953" s="137" t="inlineStr">
        <is>
          <t>Shopify</t>
        </is>
      </c>
    </row>
    <row r="2954">
      <c r="A2954" s="5" t="inlineStr">
        <is>
          <t>Shopify Stetson México › Stetson Americas</t>
        </is>
      </c>
      <c r="B2954" s="5">
        <f>IF($I2="","",INDEX(Productos!$A:$A,$I2))</f>
        <v/>
      </c>
      <c r="C2954" s="134" t="inlineStr">
        <is>
          <t>ST-VR-P-022-FW25-OG-L</t>
        </is>
      </c>
      <c r="D2954" s="5">
        <f>IF($I2="","",INDEX(Productos!$B:$B,$I2))</f>
        <v/>
      </c>
      <c r="E2954" s="5">
        <f>IF($I2="","",INDEX(Productos!$H:$H,$I2))</f>
        <v/>
      </c>
      <c r="F2954" s="5">
        <f>IF($I2="","",INDEX(Productos!$I:$I,$I2))</f>
        <v/>
      </c>
      <c r="G2954" s="135" t="n">
        <v>2</v>
      </c>
      <c r="H2954" s="5">
        <f>IF($I2="","",INDEX(Productos!$AG:$AG,$I2))</f>
        <v/>
      </c>
      <c r="I2954" s="136">
        <f>LET(_xlpm.r,Productos!$E$2:$E$2509,_xlpm.m,IFERROR(_xlfn.XMATCH(C2954,_xlpm.r),IFERROR(_xlfn.XMATCH(VALUE(C2954),_xlpm.r),0)),IF(_xlpm.m=0,"",_xlpm.m+1))</f>
        <v/>
      </c>
      <c r="J2954" s="137" t="inlineStr">
        <is>
          <t>Shopify</t>
        </is>
      </c>
    </row>
    <row r="2955">
      <c r="A2955" s="5" t="inlineStr">
        <is>
          <t>Shopify Stetson México › Stetson Americas</t>
        </is>
      </c>
      <c r="B2955" s="5">
        <f>IF($I2="","",INDEX(Productos!$A:$A,$I2))</f>
        <v/>
      </c>
      <c r="C2955" s="134" t="inlineStr">
        <is>
          <t>ST-VR-P-022-FW25-OG-M</t>
        </is>
      </c>
      <c r="D2955" s="5">
        <f>IF($I2="","",INDEX(Productos!$B:$B,$I2))</f>
        <v/>
      </c>
      <c r="E2955" s="5">
        <f>IF($I2="","",INDEX(Productos!$H:$H,$I2))</f>
        <v/>
      </c>
      <c r="F2955" s="5">
        <f>IF($I2="","",INDEX(Productos!$I:$I,$I2))</f>
        <v/>
      </c>
      <c r="G2955" s="135" t="n">
        <v>3</v>
      </c>
      <c r="H2955" s="5">
        <f>IF($I2="","",INDEX(Productos!$AG:$AG,$I2))</f>
        <v/>
      </c>
      <c r="I2955" s="136">
        <f>LET(_xlpm.r,Productos!$E$2:$E$2509,_xlpm.m,IFERROR(_xlfn.XMATCH(C2955,_xlpm.r),IFERROR(_xlfn.XMATCH(VALUE(C2955),_xlpm.r),0)),IF(_xlpm.m=0,"",_xlpm.m+1))</f>
        <v/>
      </c>
      <c r="J2955" s="137" t="inlineStr">
        <is>
          <t>Shopify</t>
        </is>
      </c>
    </row>
    <row r="2956">
      <c r="A2956" s="5" t="inlineStr">
        <is>
          <t>Shopify Stetson México › Stetson Americas</t>
        </is>
      </c>
      <c r="B2956" s="5">
        <f>IF($I2="","",INDEX(Productos!$A:$A,$I2))</f>
        <v/>
      </c>
      <c r="C2956" s="134" t="inlineStr">
        <is>
          <t>ST-VR-P-022-FW25-OG-S</t>
        </is>
      </c>
      <c r="D2956" s="5">
        <f>IF($I2="","",INDEX(Productos!$B:$B,$I2))</f>
        <v/>
      </c>
      <c r="E2956" s="5">
        <f>IF($I2="","",INDEX(Productos!$H:$H,$I2))</f>
        <v/>
      </c>
      <c r="F2956" s="5">
        <f>IF($I2="","",INDEX(Productos!$I:$I,$I2))</f>
        <v/>
      </c>
      <c r="G2956" s="135" t="n">
        <v>4</v>
      </c>
      <c r="H2956" s="5">
        <f>IF($I2="","",INDEX(Productos!$AG:$AG,$I2))</f>
        <v/>
      </c>
      <c r="I2956" s="136">
        <f>LET(_xlpm.r,Productos!$E$2:$E$2509,_xlpm.m,IFERROR(_xlfn.XMATCH(C2956,_xlpm.r),IFERROR(_xlfn.XMATCH(VALUE(C2956),_xlpm.r),0)),IF(_xlpm.m=0,"",_xlpm.m+1))</f>
        <v/>
      </c>
      <c r="J2956" s="137" t="inlineStr">
        <is>
          <t>Shopify</t>
        </is>
      </c>
    </row>
    <row r="2957">
      <c r="A2957" s="5" t="inlineStr">
        <is>
          <t>Shopify Stetson México › Stetson Americas</t>
        </is>
      </c>
      <c r="B2957" s="5">
        <f>IF($I2="","",INDEX(Productos!$A:$A,$I2))</f>
        <v/>
      </c>
      <c r="C2957" s="134" t="inlineStr">
        <is>
          <t>ST-VR-S-001-FW25-AF-2XL</t>
        </is>
      </c>
      <c r="D2957" s="5">
        <f>IF($I2="","",INDEX(Productos!$B:$B,$I2))</f>
        <v/>
      </c>
      <c r="E2957" s="5">
        <f>IF($I2="","",INDEX(Productos!$H:$H,$I2))</f>
        <v/>
      </c>
      <c r="F2957" s="5">
        <f>IF($I2="","",INDEX(Productos!$I:$I,$I2))</f>
        <v/>
      </c>
      <c r="G2957" s="135" t="n">
        <v>4</v>
      </c>
      <c r="H2957" s="5">
        <f>IF($I2="","",INDEX(Productos!$AG:$AG,$I2))</f>
        <v/>
      </c>
      <c r="I2957" s="136">
        <f>LET(_xlpm.r,Productos!$E$2:$E$2509,_xlpm.m,IFERROR(_xlfn.XMATCH(C2957,_xlpm.r),IFERROR(_xlfn.XMATCH(VALUE(C2957),_xlpm.r),0)),IF(_xlpm.m=0,"",_xlpm.m+1))</f>
        <v/>
      </c>
      <c r="J2957" s="137" t="inlineStr">
        <is>
          <t>Shopify</t>
        </is>
      </c>
    </row>
    <row r="2958">
      <c r="A2958" s="5" t="inlineStr">
        <is>
          <t>Shopify Stetson México › Stetson Americas</t>
        </is>
      </c>
      <c r="B2958" s="5">
        <f>IF($I2="","",INDEX(Productos!$A:$A,$I2))</f>
        <v/>
      </c>
      <c r="C2958" s="134" t="inlineStr">
        <is>
          <t>ST-VR-S-001-FW25-AF-S</t>
        </is>
      </c>
      <c r="D2958" s="5">
        <f>IF($I2="","",INDEX(Productos!$B:$B,$I2))</f>
        <v/>
      </c>
      <c r="E2958" s="5">
        <f>IF($I2="","",INDEX(Productos!$H:$H,$I2))</f>
        <v/>
      </c>
      <c r="F2958" s="5">
        <f>IF($I2="","",INDEX(Productos!$I:$I,$I2))</f>
        <v/>
      </c>
      <c r="G2958" s="135" t="n">
        <v>1</v>
      </c>
      <c r="H2958" s="5">
        <f>IF($I2="","",INDEX(Productos!$AG:$AG,$I2))</f>
        <v/>
      </c>
      <c r="I2958" s="136">
        <f>LET(_xlpm.r,Productos!$E$2:$E$2509,_xlpm.m,IFERROR(_xlfn.XMATCH(C2958,_xlpm.r),IFERROR(_xlfn.XMATCH(VALUE(C2958),_xlpm.r),0)),IF(_xlpm.m=0,"",_xlpm.m+1))</f>
        <v/>
      </c>
      <c r="J2958" s="137" t="inlineStr">
        <is>
          <t>Shopify</t>
        </is>
      </c>
    </row>
    <row r="2959">
      <c r="A2959" s="5" t="inlineStr">
        <is>
          <t>Shopify Stetson México › Stetson Americas</t>
        </is>
      </c>
      <c r="B2959" s="5">
        <f>IF($I2="","",INDEX(Productos!$A:$A,$I2))</f>
        <v/>
      </c>
      <c r="C2959" s="134" t="inlineStr">
        <is>
          <t>ST-VR-S-002-FW25-OR-XL</t>
        </is>
      </c>
      <c r="D2959" s="5">
        <f>IF($I2="","",INDEX(Productos!$B:$B,$I2))</f>
        <v/>
      </c>
      <c r="E2959" s="5">
        <f>IF($I2="","",INDEX(Productos!$H:$H,$I2))</f>
        <v/>
      </c>
      <c r="F2959" s="5">
        <f>IF($I2="","",INDEX(Productos!$I:$I,$I2))</f>
        <v/>
      </c>
      <c r="G2959" s="135" t="n">
        <v>1</v>
      </c>
      <c r="H2959" s="5">
        <f>IF($I2="","",INDEX(Productos!$AG:$AG,$I2))</f>
        <v/>
      </c>
      <c r="I2959" s="136">
        <f>LET(_xlpm.r,Productos!$E$2:$E$2509,_xlpm.m,IFERROR(_xlfn.XMATCH(C2959,_xlpm.r),IFERROR(_xlfn.XMATCH(VALUE(C2959),_xlpm.r),0)),IF(_xlpm.m=0,"",_xlpm.m+1))</f>
        <v/>
      </c>
      <c r="J2959" s="137" t="inlineStr">
        <is>
          <t>Shopify</t>
        </is>
      </c>
    </row>
    <row r="2960">
      <c r="A2960" s="5" t="inlineStr">
        <is>
          <t>Shopify Stetson México › Stetson Americas</t>
        </is>
      </c>
      <c r="B2960" s="5">
        <f>IF($I2="","",INDEX(Productos!$A:$A,$I2))</f>
        <v/>
      </c>
      <c r="C2960" s="134" t="inlineStr">
        <is>
          <t>ST-VR-S-003-FW25-WB-2XL</t>
        </is>
      </c>
      <c r="D2960" s="5">
        <f>IF($I2="","",INDEX(Productos!$B:$B,$I2))</f>
        <v/>
      </c>
      <c r="E2960" s="5">
        <f>IF($I2="","",INDEX(Productos!$H:$H,$I2))</f>
        <v/>
      </c>
      <c r="F2960" s="5">
        <f>IF($I2="","",INDEX(Productos!$I:$I,$I2))</f>
        <v/>
      </c>
      <c r="G2960" s="135" t="n">
        <v>1</v>
      </c>
      <c r="H2960" s="5">
        <f>IF($I2="","",INDEX(Productos!$AG:$AG,$I2))</f>
        <v/>
      </c>
      <c r="I2960" s="136">
        <f>LET(_xlpm.r,Productos!$E$2:$E$2509,_xlpm.m,IFERROR(_xlfn.XMATCH(C2960,_xlpm.r),IFERROR(_xlfn.XMATCH(VALUE(C2960),_xlpm.r),0)),IF(_xlpm.m=0,"",_xlpm.m+1))</f>
        <v/>
      </c>
      <c r="J2960" s="137" t="inlineStr">
        <is>
          <t>Shopify</t>
        </is>
      </c>
    </row>
    <row r="2961">
      <c r="A2961" s="5" t="inlineStr">
        <is>
          <t>Shopify Stetson México › Stetson Americas</t>
        </is>
      </c>
      <c r="B2961" s="5">
        <f>IF($I2="","",INDEX(Productos!$A:$A,$I2))</f>
        <v/>
      </c>
      <c r="C2961" s="134" t="inlineStr">
        <is>
          <t>ST-VR-S-003-FW25-WB-L</t>
        </is>
      </c>
      <c r="D2961" s="5">
        <f>IF($I2="","",INDEX(Productos!$B:$B,$I2))</f>
        <v/>
      </c>
      <c r="E2961" s="5">
        <f>IF($I2="","",INDEX(Productos!$H:$H,$I2))</f>
        <v/>
      </c>
      <c r="F2961" s="5">
        <f>IF($I2="","",INDEX(Productos!$I:$I,$I2))</f>
        <v/>
      </c>
      <c r="G2961" s="135" t="n">
        <v>1</v>
      </c>
      <c r="H2961" s="5">
        <f>IF($I2="","",INDEX(Productos!$AG:$AG,$I2))</f>
        <v/>
      </c>
      <c r="I2961" s="136">
        <f>LET(_xlpm.r,Productos!$E$2:$E$2509,_xlpm.m,IFERROR(_xlfn.XMATCH(C2961,_xlpm.r),IFERROR(_xlfn.XMATCH(VALUE(C2961),_xlpm.r),0)),IF(_xlpm.m=0,"",_xlpm.m+1))</f>
        <v/>
      </c>
      <c r="J2961" s="137" t="inlineStr">
        <is>
          <t>Shopify</t>
        </is>
      </c>
    </row>
    <row r="2962">
      <c r="A2962" s="5" t="inlineStr">
        <is>
          <t>Shopify Stetson México › Stetson Americas</t>
        </is>
      </c>
      <c r="B2962" s="5">
        <f>IF($I2="","",INDEX(Productos!$A:$A,$I2))</f>
        <v/>
      </c>
      <c r="C2962" s="134" t="inlineStr">
        <is>
          <t>ST-VR-S-003-FW25-WB-S</t>
        </is>
      </c>
      <c r="D2962" s="5">
        <f>IF($I2="","",INDEX(Productos!$B:$B,$I2))</f>
        <v/>
      </c>
      <c r="E2962" s="5">
        <f>IF($I2="","",INDEX(Productos!$H:$H,$I2))</f>
        <v/>
      </c>
      <c r="F2962" s="5">
        <f>IF($I2="","",INDEX(Productos!$I:$I,$I2))</f>
        <v/>
      </c>
      <c r="G2962" s="135" t="n">
        <v>1</v>
      </c>
      <c r="H2962" s="5">
        <f>IF($I2="","",INDEX(Productos!$AG:$AG,$I2))</f>
        <v/>
      </c>
      <c r="I2962" s="136">
        <f>LET(_xlpm.r,Productos!$E$2:$E$2509,_xlpm.m,IFERROR(_xlfn.XMATCH(C2962,_xlpm.r),IFERROR(_xlfn.XMATCH(VALUE(C2962),_xlpm.r),0)),IF(_xlpm.m=0,"",_xlpm.m+1))</f>
        <v/>
      </c>
      <c r="J2962" s="137" t="inlineStr">
        <is>
          <t>Shopify</t>
        </is>
      </c>
    </row>
    <row r="2963">
      <c r="A2963" s="5" t="inlineStr">
        <is>
          <t>Shopify Stetson México › Stetson Americas</t>
        </is>
      </c>
      <c r="B2963" s="5">
        <f>IF($I2="","",INDEX(Productos!$A:$A,$I2))</f>
        <v/>
      </c>
      <c r="C2963" s="134" t="inlineStr">
        <is>
          <t>ST-VR-S-004-FW25-HO-S</t>
        </is>
      </c>
      <c r="D2963" s="5">
        <f>IF($I2="","",INDEX(Productos!$B:$B,$I2))</f>
        <v/>
      </c>
      <c r="E2963" s="5">
        <f>IF($I2="","",INDEX(Productos!$H:$H,$I2))</f>
        <v/>
      </c>
      <c r="F2963" s="5">
        <f>IF($I2="","",INDEX(Productos!$I:$I,$I2))</f>
        <v/>
      </c>
      <c r="G2963" s="135" t="n">
        <v>2</v>
      </c>
      <c r="H2963" s="5">
        <f>IF($I2="","",INDEX(Productos!$AG:$AG,$I2))</f>
        <v/>
      </c>
      <c r="I2963" s="136">
        <f>LET(_xlpm.r,Productos!$E$2:$E$2509,_xlpm.m,IFERROR(_xlfn.XMATCH(C2963,_xlpm.r),IFERROR(_xlfn.XMATCH(VALUE(C2963),_xlpm.r),0)),IF(_xlpm.m=0,"",_xlpm.m+1))</f>
        <v/>
      </c>
      <c r="J2963" s="137" t="inlineStr">
        <is>
          <t>Shopify</t>
        </is>
      </c>
    </row>
    <row r="2964">
      <c r="A2964" s="5" t="inlineStr">
        <is>
          <t>Shopify Stetson México › Stetson Americas</t>
        </is>
      </c>
      <c r="B2964" s="5">
        <f>IF($I2="","",INDEX(Productos!$A:$A,$I2))</f>
        <v/>
      </c>
      <c r="C2964" s="134" t="inlineStr">
        <is>
          <t>ST-VR-S-004-FW25-HO-XL</t>
        </is>
      </c>
      <c r="D2964" s="5">
        <f>IF($I2="","",INDEX(Productos!$B:$B,$I2))</f>
        <v/>
      </c>
      <c r="E2964" s="5">
        <f>IF($I2="","",INDEX(Productos!$H:$H,$I2))</f>
        <v/>
      </c>
      <c r="F2964" s="5">
        <f>IF($I2="","",INDEX(Productos!$I:$I,$I2))</f>
        <v/>
      </c>
      <c r="G2964" s="135" t="n">
        <v>1</v>
      </c>
      <c r="H2964" s="5">
        <f>IF($I2="","",INDEX(Productos!$AG:$AG,$I2))</f>
        <v/>
      </c>
      <c r="I2964" s="136">
        <f>LET(_xlpm.r,Productos!$E$2:$E$2509,_xlpm.m,IFERROR(_xlfn.XMATCH(C2964,_xlpm.r),IFERROR(_xlfn.XMATCH(VALUE(C2964),_xlpm.r),0)),IF(_xlpm.m=0,"",_xlpm.m+1))</f>
        <v/>
      </c>
      <c r="J2964" s="137" t="inlineStr">
        <is>
          <t>Shopify</t>
        </is>
      </c>
    </row>
    <row r="2965">
      <c r="A2965" s="5" t="inlineStr">
        <is>
          <t>Shopify Stetson México › Stetson Americas</t>
        </is>
      </c>
      <c r="B2965" s="5">
        <f>IF($I2="","",INDEX(Productos!$A:$A,$I2))</f>
        <v/>
      </c>
      <c r="C2965" s="134" t="inlineStr">
        <is>
          <t>ST-VR-SD-001-FW25-BM-L</t>
        </is>
      </c>
      <c r="D2965" s="5">
        <f>IF($I2="","",INDEX(Productos!$B:$B,$I2))</f>
        <v/>
      </c>
      <c r="E2965" s="5">
        <f>IF($I2="","",INDEX(Productos!$H:$H,$I2))</f>
        <v/>
      </c>
      <c r="F2965" s="5">
        <f>IF($I2="","",INDEX(Productos!$I:$I,$I2))</f>
        <v/>
      </c>
      <c r="G2965" s="135" t="n">
        <v>1</v>
      </c>
      <c r="H2965" s="5">
        <f>IF($I2="","",INDEX(Productos!$AG:$AG,$I2))</f>
        <v/>
      </c>
      <c r="I2965" s="136">
        <f>LET(_xlpm.r,Productos!$E$2:$E$2509,_xlpm.m,IFERROR(_xlfn.XMATCH(C2965,_xlpm.r),IFERROR(_xlfn.XMATCH(VALUE(C2965),_xlpm.r),0)),IF(_xlpm.m=0,"",_xlpm.m+1))</f>
        <v/>
      </c>
      <c r="J2965" s="137" t="inlineStr">
        <is>
          <t>Shopify</t>
        </is>
      </c>
    </row>
    <row r="2966">
      <c r="A2966" s="5" t="inlineStr">
        <is>
          <t>Shopify Stetson México › Stetson Americas</t>
        </is>
      </c>
      <c r="B2966" s="5">
        <f>IF($I2="","",INDEX(Productos!$A:$A,$I2))</f>
        <v/>
      </c>
      <c r="C2966" s="134" t="inlineStr">
        <is>
          <t>ST-VR-SD-001-FW25-BM-XL</t>
        </is>
      </c>
      <c r="D2966" s="5">
        <f>IF($I2="","",INDEX(Productos!$B:$B,$I2))</f>
        <v/>
      </c>
      <c r="E2966" s="5">
        <f>IF($I2="","",INDEX(Productos!$H:$H,$I2))</f>
        <v/>
      </c>
      <c r="F2966" s="5">
        <f>IF($I2="","",INDEX(Productos!$I:$I,$I2))</f>
        <v/>
      </c>
      <c r="G2966" s="135" t="n">
        <v>1</v>
      </c>
      <c r="H2966" s="5">
        <f>IF($I2="","",INDEX(Productos!$AG:$AG,$I2))</f>
        <v/>
      </c>
      <c r="I2966" s="136">
        <f>LET(_xlpm.r,Productos!$E$2:$E$2509,_xlpm.m,IFERROR(_xlfn.XMATCH(C2966,_xlpm.r),IFERROR(_xlfn.XMATCH(VALUE(C2966),_xlpm.r),0)),IF(_xlpm.m=0,"",_xlpm.m+1))</f>
        <v/>
      </c>
      <c r="J2966" s="137" t="inlineStr">
        <is>
          <t>Shopify</t>
        </is>
      </c>
    </row>
    <row r="2967">
      <c r="A2967" s="5" t="inlineStr">
        <is>
          <t>Shopify Stetson México › Stetson Americas</t>
        </is>
      </c>
      <c r="B2967" s="5">
        <f>IF($I2="","",INDEX(Productos!$A:$A,$I2))</f>
        <v/>
      </c>
      <c r="C2967" s="134" t="inlineStr">
        <is>
          <t>ST160CTBDE</t>
        </is>
      </c>
      <c r="D2967" s="5">
        <f>IF($I2="","",INDEX(Productos!$B:$B,$I2))</f>
        <v/>
      </c>
      <c r="E2967" s="5">
        <f>IF($I2="","",INDEX(Productos!$H:$H,$I2))</f>
        <v/>
      </c>
      <c r="F2967" s="5">
        <f>IF($I2="","",INDEX(Productos!$I:$I,$I2))</f>
        <v/>
      </c>
      <c r="G2967" s="135" t="n">
        <v>6</v>
      </c>
      <c r="H2967" s="5">
        <f>IF($I2="","",INDEX(Productos!$AG:$AG,$I2))</f>
        <v/>
      </c>
      <c r="I2967" s="136">
        <f>LET(_xlpm.r,Productos!$E$2:$E$2509,_xlpm.m,IFERROR(_xlfn.XMATCH(C2967,_xlpm.r),IFERROR(_xlfn.XMATCH(VALUE(C2967),_xlpm.r),0)),IF(_xlpm.m=0,"",_xlpm.m+1))</f>
        <v/>
      </c>
      <c r="J2967" s="137" t="inlineStr">
        <is>
          <t>Shopify</t>
        </is>
      </c>
    </row>
    <row r="2968">
      <c r="A2968" s="5" t="inlineStr">
        <is>
          <t>Shopify Stetson México › Stetson Americas</t>
        </is>
      </c>
      <c r="B2968" s="5">
        <f>IF($I2="","",INDEX(Productos!$A:$A,$I2))</f>
        <v/>
      </c>
      <c r="C2968" s="134" t="inlineStr">
        <is>
          <t>STS06</t>
        </is>
      </c>
      <c r="D2968" s="5">
        <f>IF($I2="","",INDEX(Productos!$B:$B,$I2))</f>
        <v/>
      </c>
      <c r="E2968" s="5">
        <f>IF($I2="","",INDEX(Productos!$H:$H,$I2))</f>
        <v/>
      </c>
      <c r="F2968" s="5">
        <f>IF($I2="","",INDEX(Productos!$I:$I,$I2))</f>
        <v/>
      </c>
      <c r="G2968" s="135" t="n">
        <v>1</v>
      </c>
      <c r="H2968" s="5">
        <f>IF($I2="","",INDEX(Productos!$AG:$AG,$I2))</f>
        <v/>
      </c>
      <c r="I2968" s="136">
        <f>LET(_xlpm.r,Productos!$E$2:$E$2509,_xlpm.m,IFERROR(_xlfn.XMATCH(C2968,_xlpm.r),IFERROR(_xlfn.XMATCH(VALUE(C2968),_xlpm.r),0)),IF(_xlpm.m=0,"",_xlpm.m+1))</f>
        <v/>
      </c>
      <c r="J2968" s="137" t="inlineStr">
        <is>
          <t>Shopify</t>
        </is>
      </c>
    </row>
    <row r="2969">
      <c r="A2969" s="5" t="inlineStr">
        <is>
          <t>Shopify Stetson México › Stetson Americas</t>
        </is>
      </c>
      <c r="B2969" s="5">
        <f>IF($I2="","",INDEX(Productos!$A:$A,$I2))</f>
        <v/>
      </c>
      <c r="C2969" s="134" t="inlineStr">
        <is>
          <t>STS50</t>
        </is>
      </c>
      <c r="D2969" s="5">
        <f>IF($I2="","",INDEX(Productos!$B:$B,$I2))</f>
        <v/>
      </c>
      <c r="E2969" s="5">
        <f>IF($I2="","",INDEX(Productos!$H:$H,$I2))</f>
        <v/>
      </c>
      <c r="F2969" s="5">
        <f>IF($I2="","",INDEX(Productos!$I:$I,$I2))</f>
        <v/>
      </c>
      <c r="G2969" s="135" t="n">
        <v>1</v>
      </c>
      <c r="H2969" s="5">
        <f>IF($I2="","",INDEX(Productos!$AG:$AG,$I2))</f>
        <v/>
      </c>
      <c r="I2969" s="136">
        <f>LET(_xlpm.r,Productos!$E$2:$E$2509,_xlpm.m,IFERROR(_xlfn.XMATCH(C2969,_xlpm.r),IFERROR(_xlfn.XMATCH(VALUE(C2969),_xlpm.r),0)),IF(_xlpm.m=0,"",_xlpm.m+1))</f>
        <v/>
      </c>
      <c r="J2969" s="137" t="inlineStr">
        <is>
          <t>Shopify</t>
        </is>
      </c>
    </row>
    <row r="2970">
      <c r="A2970" s="5" t="inlineStr">
        <is>
          <t>Shopify Stetson México › Stetson Americas</t>
        </is>
      </c>
      <c r="B2970" s="5">
        <f>IF($I2="","",INDEX(Productos!$A:$A,$I2))</f>
        <v/>
      </c>
      <c r="C2970" s="134" t="inlineStr">
        <is>
          <t>STS51</t>
        </is>
      </c>
      <c r="D2970" s="5">
        <f>IF($I2="","",INDEX(Productos!$B:$B,$I2))</f>
        <v/>
      </c>
      <c r="E2970" s="5">
        <f>IF($I2="","",INDEX(Productos!$H:$H,$I2))</f>
        <v/>
      </c>
      <c r="F2970" s="5">
        <f>IF($I2="","",INDEX(Productos!$I:$I,$I2))</f>
        <v/>
      </c>
      <c r="G2970" s="135" t="n">
        <v>2</v>
      </c>
      <c r="H2970" s="5">
        <f>IF($I2="","",INDEX(Productos!$AG:$AG,$I2))</f>
        <v/>
      </c>
      <c r="I2970" s="136">
        <f>LET(_xlpm.r,Productos!$E$2:$E$2509,_xlpm.m,IFERROR(_xlfn.XMATCH(C2970,_xlpm.r),IFERROR(_xlfn.XMATCH(VALUE(C2970),_xlpm.r),0)),IF(_xlpm.m=0,"",_xlpm.m+1))</f>
        <v/>
      </c>
      <c r="J2970" s="137" t="inlineStr">
        <is>
          <t>Shopify</t>
        </is>
      </c>
    </row>
    <row r="2971">
      <c r="A2971" s="5" t="inlineStr">
        <is>
          <t>Shopify Stetson México › Stetson Americas</t>
        </is>
      </c>
      <c r="B2971" s="5">
        <f>IF($I2="","",INDEX(Productos!$A:$A,$I2))</f>
        <v/>
      </c>
      <c r="C2971" s="134" t="inlineStr">
        <is>
          <t>STS52</t>
        </is>
      </c>
      <c r="D2971" s="5">
        <f>IF($I2="","",INDEX(Productos!$B:$B,$I2))</f>
        <v/>
      </c>
      <c r="E2971" s="5">
        <f>IF($I2="","",INDEX(Productos!$H:$H,$I2))</f>
        <v/>
      </c>
      <c r="F2971" s="5">
        <f>IF($I2="","",INDEX(Productos!$I:$I,$I2))</f>
        <v/>
      </c>
      <c r="G2971" s="135" t="n">
        <v>1</v>
      </c>
      <c r="H2971" s="5">
        <f>IF($I2="","",INDEX(Productos!$AG:$AG,$I2))</f>
        <v/>
      </c>
      <c r="I2971" s="136">
        <f>LET(_xlpm.r,Productos!$E$2:$E$2509,_xlpm.m,IFERROR(_xlfn.XMATCH(C2971,_xlpm.r),IFERROR(_xlfn.XMATCH(VALUE(C2971),_xlpm.r),0)),IF(_xlpm.m=0,"",_xlpm.m+1))</f>
        <v/>
      </c>
      <c r="J2971" s="137" t="inlineStr">
        <is>
          <t>Shopify</t>
        </is>
      </c>
    </row>
    <row r="2972">
      <c r="A2972" s="5" t="inlineStr">
        <is>
          <t>Shopify Stetson México › Stetson Americas</t>
        </is>
      </c>
      <c r="B2972" s="5">
        <f>IF($I2="","",INDEX(Productos!$A:$A,$I2))</f>
        <v/>
      </c>
      <c r="C2972" s="134" t="inlineStr">
        <is>
          <t>STS55</t>
        </is>
      </c>
      <c r="D2972" s="5">
        <f>IF($I2="","",INDEX(Productos!$B:$B,$I2))</f>
        <v/>
      </c>
      <c r="E2972" s="5">
        <f>IF($I2="","",INDEX(Productos!$H:$H,$I2))</f>
        <v/>
      </c>
      <c r="F2972" s="5">
        <f>IF($I2="","",INDEX(Productos!$I:$I,$I2))</f>
        <v/>
      </c>
      <c r="G2972" s="135" t="n">
        <v>1</v>
      </c>
      <c r="H2972" s="5">
        <f>IF($I2="","",INDEX(Productos!$AG:$AG,$I2))</f>
        <v/>
      </c>
      <c r="I2972" s="136">
        <f>LET(_xlpm.r,Productos!$E$2:$E$2509,_xlpm.m,IFERROR(_xlfn.XMATCH(C2972,_xlpm.r),IFERROR(_xlfn.XMATCH(VALUE(C2972),_xlpm.r),0)),IF(_xlpm.m=0,"",_xlpm.m+1))</f>
        <v/>
      </c>
      <c r="J2972" s="137" t="inlineStr">
        <is>
          <t>Shopify</t>
        </is>
      </c>
    </row>
    <row r="2973">
      <c r="A2973" s="5" t="inlineStr">
        <is>
          <t>Shopify Stetson México › Stetson Americas</t>
        </is>
      </c>
      <c r="B2973" s="5">
        <f>IF($I2="","",INDEX(Productos!$A:$A,$I2))</f>
        <v/>
      </c>
      <c r="C2973" s="134" t="inlineStr">
        <is>
          <t>STS57</t>
        </is>
      </c>
      <c r="D2973" s="5">
        <f>IF($I2="","",INDEX(Productos!$B:$B,$I2))</f>
        <v/>
      </c>
      <c r="E2973" s="5">
        <f>IF($I2="","",INDEX(Productos!$H:$H,$I2))</f>
        <v/>
      </c>
      <c r="F2973" s="5">
        <f>IF($I2="","",INDEX(Productos!$I:$I,$I2))</f>
        <v/>
      </c>
      <c r="G2973" s="135" t="n">
        <v>1</v>
      </c>
      <c r="H2973" s="5">
        <f>IF($I2="","",INDEX(Productos!$AG:$AG,$I2))</f>
        <v/>
      </c>
      <c r="I2973" s="136">
        <f>LET(_xlpm.r,Productos!$E$2:$E$2509,_xlpm.m,IFERROR(_xlfn.XMATCH(C2973,_xlpm.r),IFERROR(_xlfn.XMATCH(VALUE(C2973),_xlpm.r),0)),IF(_xlpm.m=0,"",_xlpm.m+1))</f>
        <v/>
      </c>
      <c r="J2973" s="137" t="inlineStr">
        <is>
          <t>Shopify</t>
        </is>
      </c>
    </row>
    <row r="2974">
      <c r="A2974" s="5" t="inlineStr">
        <is>
          <t>Shopify Stetson México › Stetson Americas</t>
        </is>
      </c>
      <c r="B2974" s="5">
        <f>IF($I2="","",INDEX(Productos!$A:$A,$I2))</f>
        <v/>
      </c>
      <c r="C2974" s="134" t="inlineStr">
        <is>
          <t>STS59</t>
        </is>
      </c>
      <c r="D2974" s="5">
        <f>IF($I2="","",INDEX(Productos!$B:$B,$I2))</f>
        <v/>
      </c>
      <c r="E2974" s="5">
        <f>IF($I2="","",INDEX(Productos!$H:$H,$I2))</f>
        <v/>
      </c>
      <c r="F2974" s="5">
        <f>IF($I2="","",INDEX(Productos!$I:$I,$I2))</f>
        <v/>
      </c>
      <c r="G2974" s="135" t="n">
        <v>1</v>
      </c>
      <c r="H2974" s="5">
        <f>IF($I2="","",INDEX(Productos!$AG:$AG,$I2))</f>
        <v/>
      </c>
      <c r="I2974" s="136">
        <f>LET(_xlpm.r,Productos!$E$2:$E$2509,_xlpm.m,IFERROR(_xlfn.XMATCH(C2974,_xlpm.r),IFERROR(_xlfn.XMATCH(VALUE(C2974),_xlpm.r),0)),IF(_xlpm.m=0,"",_xlpm.m+1))</f>
        <v/>
      </c>
      <c r="J2974" s="137" t="inlineStr">
        <is>
          <t>Shopify</t>
        </is>
      </c>
    </row>
    <row r="2975">
      <c r="A2975" s="5" t="inlineStr">
        <is>
          <t>Shopify Stetson México › Stetson Americas</t>
        </is>
      </c>
      <c r="B2975" s="5">
        <f>IF($I2="","",INDEX(Productos!$A:$A,$I2))</f>
        <v/>
      </c>
      <c r="C2975" s="134" t="inlineStr">
        <is>
          <t>SWBRNM-72420770</t>
        </is>
      </c>
      <c r="D2975" s="5">
        <f>IF($I2="","",INDEX(Productos!$B:$B,$I2))</f>
        <v/>
      </c>
      <c r="E2975" s="5">
        <f>IF($I2="","",INDEX(Productos!$H:$H,$I2))</f>
        <v/>
      </c>
      <c r="F2975" s="5">
        <f>IF($I2="","",INDEX(Productos!$I:$I,$I2))</f>
        <v/>
      </c>
      <c r="G2975" s="135" t="n">
        <v>1</v>
      </c>
      <c r="H2975" s="5">
        <f>IF($I2="","",INDEX(Productos!$AG:$AG,$I2))</f>
        <v/>
      </c>
      <c r="I2975" s="136">
        <f>LET(_xlpm.r,Productos!$E$2:$E$2509,_xlpm.m,IFERROR(_xlfn.XMATCH(C2975,_xlpm.r),IFERROR(_xlfn.XMATCH(VALUE(C2975),_xlpm.r),0)),IF(_xlpm.m=0,"",_xlpm.m+1))</f>
        <v/>
      </c>
      <c r="J2975" s="137" t="inlineStr">
        <is>
          <t>Shopify</t>
        </is>
      </c>
    </row>
    <row r="2976">
      <c r="A2976" s="5" t="inlineStr">
        <is>
          <t>Shopify Stetson México › Stetson Americas</t>
        </is>
      </c>
      <c r="B2976" s="5">
        <f>IF($I2="","",INDEX(Productos!$A:$A,$I2))</f>
        <v/>
      </c>
      <c r="C2976" s="134" t="inlineStr">
        <is>
          <t>SWBRNM-72420771</t>
        </is>
      </c>
      <c r="D2976" s="5">
        <f>IF($I2="","",INDEX(Productos!$B:$B,$I2))</f>
        <v/>
      </c>
      <c r="E2976" s="5">
        <f>IF($I2="","",INDEX(Productos!$H:$H,$I2))</f>
        <v/>
      </c>
      <c r="F2976" s="5">
        <f>IF($I2="","",INDEX(Productos!$I:$I,$I2))</f>
        <v/>
      </c>
      <c r="G2976" s="135" t="n">
        <v>1</v>
      </c>
      <c r="H2976" s="5">
        <f>IF($I2="","",INDEX(Productos!$AG:$AG,$I2))</f>
        <v/>
      </c>
      <c r="I2976" s="136">
        <f>LET(_xlpm.r,Productos!$E$2:$E$2509,_xlpm.m,IFERROR(_xlfn.XMATCH(C2976,_xlpm.r),IFERROR(_xlfn.XMATCH(VALUE(C2976),_xlpm.r),0)),IF(_xlpm.m=0,"",_xlpm.m+1))</f>
        <v/>
      </c>
      <c r="J2976" s="137" t="inlineStr">
        <is>
          <t>Shopify</t>
        </is>
      </c>
    </row>
    <row r="2977">
      <c r="A2977" s="5" t="inlineStr">
        <is>
          <t>Shopify Stetson México › Stetson Americas</t>
        </is>
      </c>
      <c r="B2977" s="5">
        <f>IF($I2="","",INDEX(Productos!$A:$A,$I2))</f>
        <v/>
      </c>
      <c r="C2977" s="134" t="inlineStr">
        <is>
          <t>SWBRNM-72424973</t>
        </is>
      </c>
      <c r="D2977" s="5">
        <f>IF($I2="","",INDEX(Productos!$B:$B,$I2))</f>
        <v/>
      </c>
      <c r="E2977" s="5">
        <f>IF($I2="","",INDEX(Productos!$H:$H,$I2))</f>
        <v/>
      </c>
      <c r="F2977" s="5">
        <f>IF($I2="","",INDEX(Productos!$I:$I,$I2))</f>
        <v/>
      </c>
      <c r="G2977" s="135" t="n">
        <v>2</v>
      </c>
      <c r="H2977" s="5">
        <f>IF($I2="","",INDEX(Productos!$AG:$AG,$I2))</f>
        <v/>
      </c>
      <c r="I2977" s="136">
        <f>LET(_xlpm.r,Productos!$E$2:$E$2509,_xlpm.m,IFERROR(_xlfn.XMATCH(C2977,_xlpm.r),IFERROR(_xlfn.XMATCH(VALUE(C2977),_xlpm.r),0)),IF(_xlpm.m=0,"",_xlpm.m+1))</f>
        <v/>
      </c>
      <c r="J2977" s="137" t="inlineStr">
        <is>
          <t>Shopify</t>
        </is>
      </c>
    </row>
    <row r="2978">
      <c r="A2978" s="5" t="inlineStr">
        <is>
          <t>Shopify Stetson México › Stetson Americas</t>
        </is>
      </c>
      <c r="B2978" s="5">
        <f>IF($I2="","",INDEX(Productos!$A:$A,$I2))</f>
        <v/>
      </c>
      <c r="C2978" s="134" t="inlineStr">
        <is>
          <t>SWBRNM-75402267</t>
        </is>
      </c>
      <c r="D2978" s="5">
        <f>IF($I2="","",INDEX(Productos!$B:$B,$I2))</f>
        <v/>
      </c>
      <c r="E2978" s="5">
        <f>IF($I2="","",INDEX(Productos!$H:$H,$I2))</f>
        <v/>
      </c>
      <c r="F2978" s="5">
        <f>IF($I2="","",INDEX(Productos!$I:$I,$I2))</f>
        <v/>
      </c>
      <c r="G2978" s="135" t="n">
        <v>1</v>
      </c>
      <c r="H2978" s="5">
        <f>IF($I2="","",INDEX(Productos!$AG:$AG,$I2))</f>
        <v/>
      </c>
      <c r="I2978" s="136">
        <f>LET(_xlpm.r,Productos!$E$2:$E$2509,_xlpm.m,IFERROR(_xlfn.XMATCH(C2978,_xlpm.r),IFERROR(_xlfn.XMATCH(VALUE(C2978),_xlpm.r),0)),IF(_xlpm.m=0,"",_xlpm.m+1))</f>
        <v/>
      </c>
      <c r="J2978" s="137" t="inlineStr">
        <is>
          <t>Shopify</t>
        </is>
      </c>
    </row>
    <row r="2979">
      <c r="A2979" s="5" t="inlineStr">
        <is>
          <t>Shopify Stetson México › Stetson Americas</t>
        </is>
      </c>
      <c r="B2979" s="5">
        <f>IF($I2="","",INDEX(Productos!$A:$A,$I2))</f>
        <v/>
      </c>
      <c r="C2979" s="134" t="inlineStr">
        <is>
          <t>SWBRNM-75402270</t>
        </is>
      </c>
      <c r="D2979" s="5">
        <f>IF($I2="","",INDEX(Productos!$B:$B,$I2))</f>
        <v/>
      </c>
      <c r="E2979" s="5">
        <f>IF($I2="","",INDEX(Productos!$H:$H,$I2))</f>
        <v/>
      </c>
      <c r="F2979" s="5">
        <f>IF($I2="","",INDEX(Productos!$I:$I,$I2))</f>
        <v/>
      </c>
      <c r="G2979" s="135" t="n">
        <v>1</v>
      </c>
      <c r="H2979" s="5">
        <f>IF($I2="","",INDEX(Productos!$AG:$AG,$I2))</f>
        <v/>
      </c>
      <c r="I2979" s="136">
        <f>LET(_xlpm.r,Productos!$E$2:$E$2509,_xlpm.m,IFERROR(_xlfn.XMATCH(C2979,_xlpm.r),IFERROR(_xlfn.XMATCH(VALUE(C2979),_xlpm.r),0)),IF(_xlpm.m=0,"",_xlpm.m+1))</f>
        <v/>
      </c>
      <c r="J2979" s="137" t="inlineStr">
        <is>
          <t>Shopify</t>
        </is>
      </c>
    </row>
    <row r="2980">
      <c r="A2980" s="5" t="inlineStr">
        <is>
          <t>Shopify Stetson México › Stetson Americas</t>
        </is>
      </c>
      <c r="B2980" s="5">
        <f>IF($I2="","",INDEX(Productos!$A:$A,$I2))</f>
        <v/>
      </c>
      <c r="C2980" s="134" t="inlineStr">
        <is>
          <t>SWBRNM-75402272</t>
        </is>
      </c>
      <c r="D2980" s="5">
        <f>IF($I2="","",INDEX(Productos!$B:$B,$I2))</f>
        <v/>
      </c>
      <c r="E2980" s="5">
        <f>IF($I2="","",INDEX(Productos!$H:$H,$I2))</f>
        <v/>
      </c>
      <c r="F2980" s="5">
        <f>IF($I2="","",INDEX(Productos!$I:$I,$I2))</f>
        <v/>
      </c>
      <c r="G2980" s="135" t="n">
        <v>1</v>
      </c>
      <c r="H2980" s="5">
        <f>IF($I2="","",INDEX(Productos!$AG:$AG,$I2))</f>
        <v/>
      </c>
      <c r="I2980" s="136">
        <f>LET(_xlpm.r,Productos!$E$2:$E$2509,_xlpm.m,IFERROR(_xlfn.XMATCH(C2980,_xlpm.r),IFERROR(_xlfn.XMATCH(VALUE(C2980),_xlpm.r),0)),IF(_xlpm.m=0,"",_xlpm.m+1))</f>
        <v/>
      </c>
      <c r="J2980" s="137" t="inlineStr">
        <is>
          <t>Shopify</t>
        </is>
      </c>
    </row>
    <row r="2981">
      <c r="A2981" s="5" t="inlineStr">
        <is>
          <t>Shopify Stetson México › Stetson Americas</t>
        </is>
      </c>
      <c r="B2981" s="5">
        <f>IF($I2="","",INDEX(Productos!$A:$A,$I2))</f>
        <v/>
      </c>
      <c r="C2981" s="134" t="inlineStr">
        <is>
          <t>SWBRNM-75402273</t>
        </is>
      </c>
      <c r="D2981" s="5">
        <f>IF($I2="","",INDEX(Productos!$B:$B,$I2))</f>
        <v/>
      </c>
      <c r="E2981" s="5">
        <f>IF($I2="","",INDEX(Productos!$H:$H,$I2))</f>
        <v/>
      </c>
      <c r="F2981" s="5">
        <f>IF($I2="","",INDEX(Productos!$I:$I,$I2))</f>
        <v/>
      </c>
      <c r="G2981" s="135" t="n">
        <v>1</v>
      </c>
      <c r="H2981" s="5">
        <f>IF($I2="","",INDEX(Productos!$AG:$AG,$I2))</f>
        <v/>
      </c>
      <c r="I2981" s="136">
        <f>LET(_xlpm.r,Productos!$E$2:$E$2509,_xlpm.m,IFERROR(_xlfn.XMATCH(C2981,_xlpm.r),IFERROR(_xlfn.XMATCH(VALUE(C2981),_xlpm.r),0)),IF(_xlpm.m=0,"",_xlpm.m+1))</f>
        <v/>
      </c>
      <c r="J2981" s="137" t="inlineStr">
        <is>
          <t>Shopify</t>
        </is>
      </c>
    </row>
    <row r="2982">
      <c r="A2982" s="5" t="inlineStr">
        <is>
          <t>Shopify Stetson México › Stetson Americas</t>
        </is>
      </c>
      <c r="B2982" s="5">
        <f>IF($I2="","",INDEX(Productos!$A:$A,$I2))</f>
        <v/>
      </c>
      <c r="C2982" s="134" t="inlineStr">
        <is>
          <t>SWBRNM-75402274</t>
        </is>
      </c>
      <c r="D2982" s="5">
        <f>IF($I2="","",INDEX(Productos!$B:$B,$I2))</f>
        <v/>
      </c>
      <c r="E2982" s="5">
        <f>IF($I2="","",INDEX(Productos!$H:$H,$I2))</f>
        <v/>
      </c>
      <c r="F2982" s="5">
        <f>IF($I2="","",INDEX(Productos!$I:$I,$I2))</f>
        <v/>
      </c>
      <c r="G2982" s="135" t="n">
        <v>1</v>
      </c>
      <c r="H2982" s="5">
        <f>IF($I2="","",INDEX(Productos!$AG:$AG,$I2))</f>
        <v/>
      </c>
      <c r="I2982" s="136">
        <f>LET(_xlpm.r,Productos!$E$2:$E$2509,_xlpm.m,IFERROR(_xlfn.XMATCH(C2982,_xlpm.r),IFERROR(_xlfn.XMATCH(VALUE(C2982),_xlpm.r),0)),IF(_xlpm.m=0,"",_xlpm.m+1))</f>
        <v/>
      </c>
      <c r="J2982" s="137" t="inlineStr">
        <is>
          <t>Shopify</t>
        </is>
      </c>
    </row>
    <row r="2983">
      <c r="A2983" s="5" t="inlineStr">
        <is>
          <t>Shopify Stetson México › Stetson Americas</t>
        </is>
      </c>
      <c r="B2983" s="5">
        <f>IF($I2="","",INDEX(Productos!$A:$A,$I2))</f>
        <v/>
      </c>
      <c r="C2983" s="134" t="inlineStr">
        <is>
          <t>SWBRNM-75402870</t>
        </is>
      </c>
      <c r="D2983" s="5">
        <f>IF($I2="","",INDEX(Productos!$B:$B,$I2))</f>
        <v/>
      </c>
      <c r="E2983" s="5">
        <f>IF($I2="","",INDEX(Productos!$H:$H,$I2))</f>
        <v/>
      </c>
      <c r="F2983" s="5">
        <f>IF($I2="","",INDEX(Productos!$I:$I,$I2))</f>
        <v/>
      </c>
      <c r="G2983" s="135" t="n">
        <v>1</v>
      </c>
      <c r="H2983" s="5">
        <f>IF($I2="","",INDEX(Productos!$AG:$AG,$I2))</f>
        <v/>
      </c>
      <c r="I2983" s="136">
        <f>LET(_xlpm.r,Productos!$E$2:$E$2509,_xlpm.m,IFERROR(_xlfn.XMATCH(C2983,_xlpm.r),IFERROR(_xlfn.XMATCH(VALUE(C2983),_xlpm.r),0)),IF(_xlpm.m=0,"",_xlpm.m+1))</f>
        <v/>
      </c>
      <c r="J2983" s="137" t="inlineStr">
        <is>
          <t>Shopify</t>
        </is>
      </c>
    </row>
    <row r="2984">
      <c r="A2984" s="5" t="inlineStr">
        <is>
          <t>Shopify Stetson México › Stetson Americas</t>
        </is>
      </c>
      <c r="B2984" s="5">
        <f>IF($I2="","",INDEX(Productos!$A:$A,$I2))</f>
        <v/>
      </c>
      <c r="C2984" s="134" t="inlineStr">
        <is>
          <t>SWMARS-6240D467</t>
        </is>
      </c>
      <c r="D2984" s="5">
        <f>IF($I2="","",INDEX(Productos!$B:$B,$I2))</f>
        <v/>
      </c>
      <c r="E2984" s="5">
        <f>IF($I2="","",INDEX(Productos!$H:$H,$I2))</f>
        <v/>
      </c>
      <c r="F2984" s="5">
        <f>IF($I2="","",INDEX(Productos!$I:$I,$I2))</f>
        <v/>
      </c>
      <c r="G2984" s="135" t="n">
        <v>1</v>
      </c>
      <c r="H2984" s="5">
        <f>IF($I2="","",INDEX(Productos!$AG:$AG,$I2))</f>
        <v/>
      </c>
      <c r="I2984" s="136">
        <f>LET(_xlpm.r,Productos!$E$2:$E$2509,_xlpm.m,IFERROR(_xlfn.XMATCH(C2984,_xlpm.r),IFERROR(_xlfn.XMATCH(VALUE(C2984),_xlpm.r),0)),IF(_xlpm.m=0,"",_xlpm.m+1))</f>
        <v/>
      </c>
      <c r="J2984" s="137" t="inlineStr">
        <is>
          <t>Shopify</t>
        </is>
      </c>
    </row>
    <row r="2985">
      <c r="A2985" s="5" t="inlineStr">
        <is>
          <t>Shopify Stetson México › Stetson Americas</t>
        </is>
      </c>
      <c r="B2985" s="5">
        <f>IF($I2="","",INDEX(Productos!$A:$A,$I2))</f>
        <v/>
      </c>
      <c r="C2985" s="134" t="inlineStr">
        <is>
          <t>SWMARS-6240D470</t>
        </is>
      </c>
      <c r="D2985" s="5">
        <f>IF($I2="","",INDEX(Productos!$B:$B,$I2))</f>
        <v/>
      </c>
      <c r="E2985" s="5">
        <f>IF($I2="","",INDEX(Productos!$H:$H,$I2))</f>
        <v/>
      </c>
      <c r="F2985" s="5">
        <f>IF($I2="","",INDEX(Productos!$I:$I,$I2))</f>
        <v/>
      </c>
      <c r="G2985" s="135" t="n">
        <v>1</v>
      </c>
      <c r="H2985" s="5">
        <f>IF($I2="","",INDEX(Productos!$AG:$AG,$I2))</f>
        <v/>
      </c>
      <c r="I2985" s="136">
        <f>LET(_xlpm.r,Productos!$E$2:$E$2509,_xlpm.m,IFERROR(_xlfn.XMATCH(C2985,_xlpm.r),IFERROR(_xlfn.XMATCH(VALUE(C2985),_xlpm.r),0)),IF(_xlpm.m=0,"",_xlpm.m+1))</f>
        <v/>
      </c>
      <c r="J2985" s="137" t="inlineStr">
        <is>
          <t>Shopify</t>
        </is>
      </c>
    </row>
    <row r="2986">
      <c r="A2986" s="5" t="inlineStr">
        <is>
          <t>Shopify Stetson México › Stetson Americas</t>
        </is>
      </c>
      <c r="B2986" s="5">
        <f>IF($I2="","",INDEX(Productos!$A:$A,$I2))</f>
        <v/>
      </c>
      <c r="C2986" s="134" t="inlineStr">
        <is>
          <t>SWMARS-6240D471</t>
        </is>
      </c>
      <c r="D2986" s="5">
        <f>IF($I2="","",INDEX(Productos!$B:$B,$I2))</f>
        <v/>
      </c>
      <c r="E2986" s="5">
        <f>IF($I2="","",INDEX(Productos!$H:$H,$I2))</f>
        <v/>
      </c>
      <c r="F2986" s="5">
        <f>IF($I2="","",INDEX(Productos!$I:$I,$I2))</f>
        <v/>
      </c>
      <c r="G2986" s="135" t="n">
        <v>1</v>
      </c>
      <c r="H2986" s="5">
        <f>IF($I2="","",INDEX(Productos!$AG:$AG,$I2))</f>
        <v/>
      </c>
      <c r="I2986" s="136">
        <f>LET(_xlpm.r,Productos!$E$2:$E$2509,_xlpm.m,IFERROR(_xlfn.XMATCH(C2986,_xlpm.r),IFERROR(_xlfn.XMATCH(VALUE(C2986),_xlpm.r),0)),IF(_xlpm.m=0,"",_xlpm.m+1))</f>
        <v/>
      </c>
      <c r="J2986" s="137" t="inlineStr">
        <is>
          <t>Shopify</t>
        </is>
      </c>
    </row>
    <row r="2987">
      <c r="A2987" s="5" t="inlineStr">
        <is>
          <t>Shopify Stetson México › Stetson Americas</t>
        </is>
      </c>
      <c r="B2987" s="5">
        <f>IF($I2="","",INDEX(Productos!$A:$A,$I2))</f>
        <v/>
      </c>
      <c r="C2987" s="134" t="inlineStr">
        <is>
          <t>SWMARS-6240D473</t>
        </is>
      </c>
      <c r="D2987" s="5">
        <f>IF($I2="","",INDEX(Productos!$B:$B,$I2))</f>
        <v/>
      </c>
      <c r="E2987" s="5">
        <f>IF($I2="","",INDEX(Productos!$H:$H,$I2))</f>
        <v/>
      </c>
      <c r="F2987" s="5">
        <f>IF($I2="","",INDEX(Productos!$I:$I,$I2))</f>
        <v/>
      </c>
      <c r="G2987" s="135" t="n">
        <v>2</v>
      </c>
      <c r="H2987" s="5">
        <f>IF($I2="","",INDEX(Productos!$AG:$AG,$I2))</f>
        <v/>
      </c>
      <c r="I2987" s="136">
        <f>LET(_xlpm.r,Productos!$E$2:$E$2509,_xlpm.m,IFERROR(_xlfn.XMATCH(C2987,_xlpm.r),IFERROR(_xlfn.XMATCH(VALUE(C2987),_xlpm.r),0)),IF(_xlpm.m=0,"",_xlpm.m+1))</f>
        <v/>
      </c>
      <c r="J2987" s="137" t="inlineStr">
        <is>
          <t>Shopify</t>
        </is>
      </c>
    </row>
    <row r="2988">
      <c r="A2988" s="5" t="inlineStr">
        <is>
          <t>Shopify Stetson México › Stetson Americas</t>
        </is>
      </c>
      <c r="B2988" s="5">
        <f>IF($I2="","",INDEX(Productos!$A:$A,$I2))</f>
        <v/>
      </c>
      <c r="C2988" s="134" t="inlineStr">
        <is>
          <t>TSATCM-104061L0</t>
        </is>
      </c>
      <c r="D2988" s="5">
        <f>IF($I2="","",INDEX(Productos!$B:$B,$I2))</f>
        <v/>
      </c>
      <c r="E2988" s="5">
        <f>IF($I2="","",INDEX(Productos!$H:$H,$I2))</f>
        <v/>
      </c>
      <c r="F2988" s="5">
        <f>IF($I2="","",INDEX(Productos!$I:$I,$I2))</f>
        <v/>
      </c>
      <c r="G2988" s="135" t="n">
        <v>1</v>
      </c>
      <c r="H2988" s="5">
        <f>IF($I2="","",INDEX(Productos!$AG:$AG,$I2))</f>
        <v/>
      </c>
      <c r="I2988" s="136">
        <f>LET(_xlpm.r,Productos!$E$2:$E$2509,_xlpm.m,IFERROR(_xlfn.XMATCH(C2988,_xlpm.r),IFERROR(_xlfn.XMATCH(VALUE(C2988),_xlpm.r),0)),IF(_xlpm.m=0,"",_xlpm.m+1))</f>
        <v/>
      </c>
      <c r="J2988" s="137" t="inlineStr">
        <is>
          <t>Shopify</t>
        </is>
      </c>
    </row>
    <row r="2989">
      <c r="A2989" s="5" t="inlineStr">
        <is>
          <t>Shopify Stetson México › Stetson Americas</t>
        </is>
      </c>
      <c r="B2989" s="5">
        <f>IF($I2="","",INDEX(Productos!$A:$A,$I2))</f>
        <v/>
      </c>
      <c r="C2989" s="134" t="inlineStr">
        <is>
          <t>TSATCM-104061M0</t>
        </is>
      </c>
      <c r="D2989" s="5">
        <f>IF($I2="","",INDEX(Productos!$B:$B,$I2))</f>
        <v/>
      </c>
      <c r="E2989" s="5">
        <f>IF($I2="","",INDEX(Productos!$H:$H,$I2))</f>
        <v/>
      </c>
      <c r="F2989" s="5">
        <f>IF($I2="","",INDEX(Productos!$I:$I,$I2))</f>
        <v/>
      </c>
      <c r="G2989" s="135" t="n">
        <v>1</v>
      </c>
      <c r="H2989" s="5">
        <f>IF($I2="","",INDEX(Productos!$AG:$AG,$I2))</f>
        <v/>
      </c>
      <c r="I2989" s="136">
        <f>LET(_xlpm.r,Productos!$E$2:$E$2509,_xlpm.m,IFERROR(_xlfn.XMATCH(C2989,_xlpm.r),IFERROR(_xlfn.XMATCH(VALUE(C2989),_xlpm.r),0)),IF(_xlpm.m=0,"",_xlpm.m+1))</f>
        <v/>
      </c>
      <c r="J2989" s="137" t="inlineStr">
        <is>
          <t>Shopify</t>
        </is>
      </c>
    </row>
    <row r="2990">
      <c r="A2990" s="5" t="inlineStr">
        <is>
          <t>Shopify Stetson México › Stetson Americas</t>
        </is>
      </c>
      <c r="B2990" s="5">
        <f>IF($I2="","",INDEX(Productos!$A:$A,$I2))</f>
        <v/>
      </c>
      <c r="C2990" s="134" t="inlineStr">
        <is>
          <t>TSATCM-104081XL</t>
        </is>
      </c>
      <c r="D2990" s="5">
        <f>IF($I2="","",INDEX(Productos!$B:$B,$I2))</f>
        <v/>
      </c>
      <c r="E2990" s="5">
        <f>IF($I2="","",INDEX(Productos!$H:$H,$I2))</f>
        <v/>
      </c>
      <c r="F2990" s="5">
        <f>IF($I2="","",INDEX(Productos!$I:$I,$I2))</f>
        <v/>
      </c>
      <c r="G2990" s="135" t="n">
        <v>1</v>
      </c>
      <c r="H2990" s="5">
        <f>IF($I2="","",INDEX(Productos!$AG:$AG,$I2))</f>
        <v/>
      </c>
      <c r="I2990" s="136">
        <f>LET(_xlpm.r,Productos!$E$2:$E$2509,_xlpm.m,IFERROR(_xlfn.XMATCH(C2990,_xlpm.r),IFERROR(_xlfn.XMATCH(VALUE(C2990),_xlpm.r),0)),IF(_xlpm.m=0,"",_xlpm.m+1))</f>
        <v/>
      </c>
      <c r="J2990" s="137" t="inlineStr">
        <is>
          <t>Shopify</t>
        </is>
      </c>
    </row>
    <row r="2991">
      <c r="A2991" s="5" t="inlineStr">
        <is>
          <t>Shopify Stetson México › Stetson Americas</t>
        </is>
      </c>
      <c r="B2991" s="5">
        <f>IF($I2="","",INDEX(Productos!$A:$A,$I2))</f>
        <v/>
      </c>
      <c r="C2991" s="134" t="inlineStr">
        <is>
          <t>TWBKRGB103475L0</t>
        </is>
      </c>
      <c r="D2991" s="5">
        <f>IF($I2="","",INDEX(Productos!$B:$B,$I2))</f>
        <v/>
      </c>
      <c r="E2991" s="5">
        <f>IF($I2="","",INDEX(Productos!$H:$H,$I2))</f>
        <v/>
      </c>
      <c r="F2991" s="5">
        <f>IF($I2="","",INDEX(Productos!$I:$I,$I2))</f>
        <v/>
      </c>
      <c r="G2991" s="135" t="n">
        <v>2</v>
      </c>
      <c r="H2991" s="5">
        <f>IF($I2="","",INDEX(Productos!$AG:$AG,$I2))</f>
        <v/>
      </c>
      <c r="I2991" s="136">
        <f>LET(_xlpm.r,Productos!$E$2:$E$2509,_xlpm.m,IFERROR(_xlfn.XMATCH(C2991,_xlpm.r),IFERROR(_xlfn.XMATCH(VALUE(C2991),_xlpm.r),0)),IF(_xlpm.m=0,"",_xlpm.m+1))</f>
        <v/>
      </c>
      <c r="J2991" s="137" t="inlineStr">
        <is>
          <t>Shopify</t>
        </is>
      </c>
    </row>
    <row r="2992">
      <c r="A2992" s="5" t="inlineStr">
        <is>
          <t>Shopify Stetson México › Stetson Americas</t>
        </is>
      </c>
      <c r="B2992" s="5">
        <f>IF($I2="","",INDEX(Productos!$A:$A,$I2))</f>
        <v/>
      </c>
      <c r="C2992" s="134" t="inlineStr">
        <is>
          <t>TWBKRGB103475M0</t>
        </is>
      </c>
      <c r="D2992" s="5">
        <f>IF($I2="","",INDEX(Productos!$B:$B,$I2))</f>
        <v/>
      </c>
      <c r="E2992" s="5">
        <f>IF($I2="","",INDEX(Productos!$H:$H,$I2))</f>
        <v/>
      </c>
      <c r="F2992" s="5">
        <f>IF($I2="","",INDEX(Productos!$I:$I,$I2))</f>
        <v/>
      </c>
      <c r="G2992" s="135" t="n">
        <v>2</v>
      </c>
      <c r="H2992" s="5">
        <f>IF($I2="","",INDEX(Productos!$AG:$AG,$I2))</f>
        <v/>
      </c>
      <c r="I2992" s="136">
        <f>LET(_xlpm.r,Productos!$E$2:$E$2509,_xlpm.m,IFERROR(_xlfn.XMATCH(C2992,_xlpm.r),IFERROR(_xlfn.XMATCH(VALUE(C2992),_xlpm.r),0)),IF(_xlpm.m=0,"",_xlpm.m+1))</f>
        <v/>
      </c>
      <c r="J2992" s="137" t="inlineStr">
        <is>
          <t>Shopify</t>
        </is>
      </c>
    </row>
    <row r="2993">
      <c r="A2993" s="5" t="inlineStr">
        <is>
          <t>Shopify Stetson México › Stetson Americas</t>
        </is>
      </c>
      <c r="B2993" s="5">
        <f>IF($I2="","",INDEX(Productos!$A:$A,$I2))</f>
        <v/>
      </c>
      <c r="C2993" s="134" t="inlineStr">
        <is>
          <t>TWBKRGB103475XL</t>
        </is>
      </c>
      <c r="D2993" s="5">
        <f>IF($I2="","",INDEX(Productos!$B:$B,$I2))</f>
        <v/>
      </c>
      <c r="E2993" s="5">
        <f>IF($I2="","",INDEX(Productos!$H:$H,$I2))</f>
        <v/>
      </c>
      <c r="F2993" s="5">
        <f>IF($I2="","",INDEX(Productos!$I:$I,$I2))</f>
        <v/>
      </c>
      <c r="G2993" s="135" t="n">
        <v>1</v>
      </c>
      <c r="H2993" s="5">
        <f>IF($I2="","",INDEX(Productos!$AG:$AG,$I2))</f>
        <v/>
      </c>
      <c r="I2993" s="136">
        <f>LET(_xlpm.r,Productos!$E$2:$E$2509,_xlpm.m,IFERROR(_xlfn.XMATCH(C2993,_xlpm.r),IFERROR(_xlfn.XMATCH(VALUE(C2993),_xlpm.r),0)),IF(_xlpm.m=0,"",_xlpm.m+1))</f>
        <v/>
      </c>
      <c r="J2993" s="137" t="inlineStr">
        <is>
          <t>Shopify</t>
        </is>
      </c>
    </row>
    <row r="2994">
      <c r="A2994" s="5" t="inlineStr">
        <is>
          <t>Shopify Stetson México › Stetson Americas</t>
        </is>
      </c>
      <c r="B2994" s="5">
        <f>IF($I2="","",INDEX(Productos!$A:$A,$I2))</f>
        <v/>
      </c>
      <c r="C2994" s="134" t="inlineStr">
        <is>
          <t>TWBOZE-813085L0</t>
        </is>
      </c>
      <c r="D2994" s="5">
        <f>IF($I2="","",INDEX(Productos!$B:$B,$I2))</f>
        <v/>
      </c>
      <c r="E2994" s="5">
        <f>IF($I2="","",INDEX(Productos!$H:$H,$I2))</f>
        <v/>
      </c>
      <c r="F2994" s="5">
        <f>IF($I2="","",INDEX(Productos!$I:$I,$I2))</f>
        <v/>
      </c>
      <c r="G2994" s="135" t="n">
        <v>1</v>
      </c>
      <c r="H2994" s="5">
        <f>IF($I2="","",INDEX(Productos!$AG:$AG,$I2))</f>
        <v/>
      </c>
      <c r="I2994" s="136">
        <f>LET(_xlpm.r,Productos!$E$2:$E$2509,_xlpm.m,IFERROR(_xlfn.XMATCH(C2994,_xlpm.r),IFERROR(_xlfn.XMATCH(VALUE(C2994),_xlpm.r),0)),IF(_xlpm.m=0,"",_xlpm.m+1))</f>
        <v/>
      </c>
      <c r="J2994" s="137" t="inlineStr">
        <is>
          <t>Shopify</t>
        </is>
      </c>
    </row>
    <row r="2995">
      <c r="A2995" s="5" t="inlineStr">
        <is>
          <t>Shopify Stetson México › Stetson Americas</t>
        </is>
      </c>
      <c r="B2995" s="5">
        <f>IF($I2="","",INDEX(Productos!$A:$A,$I2))</f>
        <v/>
      </c>
      <c r="C2995" s="134" t="inlineStr">
        <is>
          <t>TWBOZE-813085M0</t>
        </is>
      </c>
      <c r="D2995" s="5">
        <f>IF($I2="","",INDEX(Productos!$B:$B,$I2))</f>
        <v/>
      </c>
      <c r="E2995" s="5">
        <f>IF($I2="","",INDEX(Productos!$H:$H,$I2))</f>
        <v/>
      </c>
      <c r="F2995" s="5">
        <f>IF($I2="","",INDEX(Productos!$I:$I,$I2))</f>
        <v/>
      </c>
      <c r="G2995" s="135" t="n">
        <v>1</v>
      </c>
      <c r="H2995" s="5">
        <f>IF($I2="","",INDEX(Productos!$AG:$AG,$I2))</f>
        <v/>
      </c>
      <c r="I2995" s="136">
        <f>LET(_xlpm.r,Productos!$E$2:$E$2509,_xlpm.m,IFERROR(_xlfn.XMATCH(C2995,_xlpm.r),IFERROR(_xlfn.XMATCH(VALUE(C2995),_xlpm.r),0)),IF(_xlpm.m=0,"",_xlpm.m+1))</f>
        <v/>
      </c>
      <c r="J2995" s="137" t="inlineStr">
        <is>
          <t>Shopify</t>
        </is>
      </c>
    </row>
    <row r="2996">
      <c r="A2996" s="5" t="inlineStr">
        <is>
          <t>Shopify Stetson México › Stetson Americas</t>
        </is>
      </c>
      <c r="B2996" s="5">
        <f>IF($I2="","",INDEX(Productos!$A:$A,$I2))</f>
        <v/>
      </c>
      <c r="C2996" s="134" t="inlineStr">
        <is>
          <t>TWBOZE-8130C7L0</t>
        </is>
      </c>
      <c r="D2996" s="5">
        <f>IF($I2="","",INDEX(Productos!$B:$B,$I2))</f>
        <v/>
      </c>
      <c r="E2996" s="5">
        <f>IF($I2="","",INDEX(Productos!$H:$H,$I2))</f>
        <v/>
      </c>
      <c r="F2996" s="5">
        <f>IF($I2="","",INDEX(Productos!$I:$I,$I2))</f>
        <v/>
      </c>
      <c r="G2996" s="135" t="n">
        <v>2</v>
      </c>
      <c r="H2996" s="5">
        <f>IF($I2="","",INDEX(Productos!$AG:$AG,$I2))</f>
        <v/>
      </c>
      <c r="I2996" s="136">
        <f>LET(_xlpm.r,Productos!$E$2:$E$2509,_xlpm.m,IFERROR(_xlfn.XMATCH(C2996,_xlpm.r),IFERROR(_xlfn.XMATCH(VALUE(C2996),_xlpm.r),0)),IF(_xlpm.m=0,"",_xlpm.m+1))</f>
        <v/>
      </c>
      <c r="J2996" s="137" t="inlineStr">
        <is>
          <t>Shopify</t>
        </is>
      </c>
    </row>
    <row r="2997">
      <c r="A2997" s="5" t="inlineStr">
        <is>
          <t>Shopify Stetson México › Stetson Americas</t>
        </is>
      </c>
      <c r="B2997" s="5">
        <f>IF($I2="","",INDEX(Productos!$A:$A,$I2))</f>
        <v/>
      </c>
      <c r="C2997" s="134" t="inlineStr">
        <is>
          <t>TWBOZE-8130C7M0</t>
        </is>
      </c>
      <c r="D2997" s="5">
        <f>IF($I2="","",INDEX(Productos!$B:$B,$I2))</f>
        <v/>
      </c>
      <c r="E2997" s="5">
        <f>IF($I2="","",INDEX(Productos!$H:$H,$I2))</f>
        <v/>
      </c>
      <c r="F2997" s="5">
        <f>IF($I2="","",INDEX(Productos!$I:$I,$I2))</f>
        <v/>
      </c>
      <c r="G2997" s="135" t="n">
        <v>1</v>
      </c>
      <c r="H2997" s="5">
        <f>IF($I2="","",INDEX(Productos!$AG:$AG,$I2))</f>
        <v/>
      </c>
      <c r="I2997" s="136">
        <f>LET(_xlpm.r,Productos!$E$2:$E$2509,_xlpm.m,IFERROR(_xlfn.XMATCH(C2997,_xlpm.r),IFERROR(_xlfn.XMATCH(VALUE(C2997),_xlpm.r),0)),IF(_xlpm.m=0,"",_xlpm.m+1))</f>
        <v/>
      </c>
      <c r="J2997" s="137" t="inlineStr">
        <is>
          <t>Shopify</t>
        </is>
      </c>
    </row>
    <row r="2998">
      <c r="A2998" s="5" t="inlineStr">
        <is>
          <t>Shopify Stetson México › Stetson Americas</t>
        </is>
      </c>
      <c r="B2998" s="5">
        <f>IF($I2="","",INDEX(Productos!$A:$A,$I2))</f>
        <v/>
      </c>
      <c r="C2998" s="134" t="inlineStr">
        <is>
          <t>TWDYLN-143423L0</t>
        </is>
      </c>
      <c r="D2998" s="5">
        <f>IF($I2="","",INDEX(Productos!$B:$B,$I2))</f>
        <v/>
      </c>
      <c r="E2998" s="5">
        <f>IF($I2="","",INDEX(Productos!$H:$H,$I2))</f>
        <v/>
      </c>
      <c r="F2998" s="5">
        <f>IF($I2="","",INDEX(Productos!$I:$I,$I2))</f>
        <v/>
      </c>
      <c r="G2998" s="135" t="n">
        <v>1</v>
      </c>
      <c r="H2998" s="5">
        <f>IF($I2="","",INDEX(Productos!$AG:$AG,$I2))</f>
        <v/>
      </c>
      <c r="I2998" s="136">
        <f>LET(_xlpm.r,Productos!$E$2:$E$2509,_xlpm.m,IFERROR(_xlfn.XMATCH(C2998,_xlpm.r),IFERROR(_xlfn.XMATCH(VALUE(C2998),_xlpm.r),0)),IF(_xlpm.m=0,"",_xlpm.m+1))</f>
        <v/>
      </c>
      <c r="J2998" s="137" t="inlineStr">
        <is>
          <t>Shopify</t>
        </is>
      </c>
    </row>
    <row r="2999">
      <c r="A2999" s="5" t="inlineStr">
        <is>
          <t>Shopify Stetson México › Stetson Americas</t>
        </is>
      </c>
      <c r="B2999" s="5">
        <f>IF($I2="","",INDEX(Productos!$A:$A,$I2))</f>
        <v/>
      </c>
      <c r="C2999" s="134" t="inlineStr">
        <is>
          <t>TWFLKL-FT34P5XL</t>
        </is>
      </c>
      <c r="D2999" s="5">
        <f>IF($I2="","",INDEX(Productos!$B:$B,$I2))</f>
        <v/>
      </c>
      <c r="E2999" s="5">
        <f>IF($I2="","",INDEX(Productos!$H:$H,$I2))</f>
        <v/>
      </c>
      <c r="F2999" s="5">
        <f>IF($I2="","",INDEX(Productos!$I:$I,$I2))</f>
        <v/>
      </c>
      <c r="G2999" s="135" t="n">
        <v>1</v>
      </c>
      <c r="H2999" s="5">
        <f>IF($I2="","",INDEX(Productos!$AG:$AG,$I2))</f>
        <v/>
      </c>
      <c r="I2999" s="136">
        <f>LET(_xlpm.r,Productos!$E$2:$E$2509,_xlpm.m,IFERROR(_xlfn.XMATCH(C2999,_xlpm.r),IFERROR(_xlfn.XMATCH(VALUE(C2999),_xlpm.r),0)),IF(_xlpm.m=0,"",_xlpm.m+1))</f>
        <v/>
      </c>
      <c r="J2999" s="137" t="inlineStr">
        <is>
          <t>Shopify</t>
        </is>
      </c>
    </row>
    <row r="3000">
      <c r="A3000" s="5" t="inlineStr">
        <is>
          <t>Shopify Stetson México › Stetson Americas</t>
        </is>
      </c>
      <c r="B3000" s="5">
        <f>IF($I2="","",INDEX(Productos!$A:$A,$I2))</f>
        <v/>
      </c>
      <c r="C3000" s="134" t="inlineStr">
        <is>
          <t>TWHDRKB104074L0</t>
        </is>
      </c>
      <c r="D3000" s="5">
        <f>IF($I2="","",INDEX(Productos!$B:$B,$I2))</f>
        <v/>
      </c>
      <c r="E3000" s="5">
        <f>IF($I2="","",INDEX(Productos!$H:$H,$I2))</f>
        <v/>
      </c>
      <c r="F3000" s="5">
        <f>IF($I2="","",INDEX(Productos!$I:$I,$I2))</f>
        <v/>
      </c>
      <c r="G3000" s="135" t="n">
        <v>1</v>
      </c>
      <c r="H3000" s="5">
        <f>IF($I2="","",INDEX(Productos!$AG:$AG,$I2))</f>
        <v/>
      </c>
      <c r="I3000" s="136">
        <f>LET(_xlpm.r,Productos!$E$2:$E$2509,_xlpm.m,IFERROR(_xlfn.XMATCH(C3000,_xlpm.r),IFERROR(_xlfn.XMATCH(VALUE(C3000),_xlpm.r),0)),IF(_xlpm.m=0,"",_xlpm.m+1))</f>
        <v/>
      </c>
      <c r="J3000" s="137" t="inlineStr">
        <is>
          <t>Shopify</t>
        </is>
      </c>
    </row>
    <row r="3001">
      <c r="A3001" s="5" t="inlineStr">
        <is>
          <t>Shopify Stetson México › Stetson Americas</t>
        </is>
      </c>
      <c r="B3001" s="5">
        <f>IF($I2="","",INDEX(Productos!$A:$A,$I2))</f>
        <v/>
      </c>
      <c r="C3001" s="134" t="inlineStr">
        <is>
          <t>TWHDRKB104074XL</t>
        </is>
      </c>
      <c r="D3001" s="5">
        <f>IF($I2="","",INDEX(Productos!$B:$B,$I2))</f>
        <v/>
      </c>
      <c r="E3001" s="5">
        <f>IF($I2="","",INDEX(Productos!$H:$H,$I2))</f>
        <v/>
      </c>
      <c r="F3001" s="5">
        <f>IF($I2="","",INDEX(Productos!$I:$I,$I2))</f>
        <v/>
      </c>
      <c r="G3001" s="135" t="n">
        <v>1</v>
      </c>
      <c r="H3001" s="5">
        <f>IF($I2="","",INDEX(Productos!$AG:$AG,$I2))</f>
        <v/>
      </c>
      <c r="I3001" s="136">
        <f>LET(_xlpm.r,Productos!$E$2:$E$2509,_xlpm.m,IFERROR(_xlfn.XMATCH(C3001,_xlpm.r),IFERROR(_xlfn.XMATCH(VALUE(C3001),_xlpm.r),0)),IF(_xlpm.m=0,"",_xlpm.m+1))</f>
        <v/>
      </c>
      <c r="J3001" s="137" t="inlineStr">
        <is>
          <t>Shopify</t>
        </is>
      </c>
    </row>
    <row r="3002">
      <c r="A3002" s="5" t="inlineStr">
        <is>
          <t>Shopify Stetson México › Stetson Americas</t>
        </is>
      </c>
      <c r="B3002" s="5">
        <f>IF($I2="","",INDEX(Productos!$A:$A,$I2))</f>
        <v/>
      </c>
      <c r="C3002" s="134" t="inlineStr">
        <is>
          <t>TWMDNTB103607L0</t>
        </is>
      </c>
      <c r="D3002" s="5">
        <f>IF($I2="","",INDEX(Productos!$B:$B,$I2))</f>
        <v/>
      </c>
      <c r="E3002" s="5">
        <f>IF($I2="","",INDEX(Productos!$H:$H,$I2))</f>
        <v/>
      </c>
      <c r="F3002" s="5">
        <f>IF($I2="","",INDEX(Productos!$I:$I,$I2))</f>
        <v/>
      </c>
      <c r="G3002" s="135" t="n">
        <v>2</v>
      </c>
      <c r="H3002" s="5">
        <f>IF($I2="","",INDEX(Productos!$AG:$AG,$I2))</f>
        <v/>
      </c>
      <c r="I3002" s="136">
        <f>LET(_xlpm.r,Productos!$E$2:$E$2509,_xlpm.m,IFERROR(_xlfn.XMATCH(C3002,_xlpm.r),IFERROR(_xlfn.XMATCH(VALUE(C3002),_xlpm.r),0)),IF(_xlpm.m=0,"",_xlpm.m+1))</f>
        <v/>
      </c>
      <c r="J3002" s="137" t="inlineStr">
        <is>
          <t>Shopify</t>
        </is>
      </c>
    </row>
    <row r="3003">
      <c r="A3003" s="5" t="inlineStr">
        <is>
          <t>Shopify Stetson México › Stetson Americas</t>
        </is>
      </c>
      <c r="B3003" s="5">
        <f>IF($I2="","",INDEX(Productos!$A:$A,$I2))</f>
        <v/>
      </c>
      <c r="C3003" s="134" t="inlineStr">
        <is>
          <t>TWMDNTB103607M0</t>
        </is>
      </c>
      <c r="D3003" s="5">
        <f>IF($I2="","",INDEX(Productos!$B:$B,$I2))</f>
        <v/>
      </c>
      <c r="E3003" s="5">
        <f>IF($I2="","",INDEX(Productos!$H:$H,$I2))</f>
        <v/>
      </c>
      <c r="F3003" s="5">
        <f>IF($I2="","",INDEX(Productos!$I:$I,$I2))</f>
        <v/>
      </c>
      <c r="G3003" s="135" t="n">
        <v>2</v>
      </c>
      <c r="H3003" s="5">
        <f>IF($I2="","",INDEX(Productos!$AG:$AG,$I2))</f>
        <v/>
      </c>
      <c r="I3003" s="136">
        <f>LET(_xlpm.r,Productos!$E$2:$E$2509,_xlpm.m,IFERROR(_xlfn.XMATCH(C3003,_xlpm.r),IFERROR(_xlfn.XMATCH(VALUE(C3003),_xlpm.r),0)),IF(_xlpm.m=0,"",_xlpm.m+1))</f>
        <v/>
      </c>
      <c r="J3003" s="137" t="inlineStr">
        <is>
          <t>Shopify</t>
        </is>
      </c>
    </row>
    <row r="3004">
      <c r="A3004" s="5" t="inlineStr">
        <is>
          <t>Shopify Stetson México › Stetson Americas</t>
        </is>
      </c>
      <c r="B3004" s="5">
        <f>IF($I2="","",INDEX(Productos!$A:$A,$I2))</f>
        <v/>
      </c>
      <c r="C3004" s="134" t="inlineStr">
        <is>
          <t>TWMDNTB103674L0</t>
        </is>
      </c>
      <c r="D3004" s="5">
        <f>IF($I2="","",INDEX(Productos!$B:$B,$I2))</f>
        <v/>
      </c>
      <c r="E3004" s="5">
        <f>IF($I2="","",INDEX(Productos!$H:$H,$I2))</f>
        <v/>
      </c>
      <c r="F3004" s="5">
        <f>IF($I2="","",INDEX(Productos!$I:$I,$I2))</f>
        <v/>
      </c>
      <c r="G3004" s="135" t="n">
        <v>2</v>
      </c>
      <c r="H3004" s="5">
        <f>IF($I2="","",INDEX(Productos!$AG:$AG,$I2))</f>
        <v/>
      </c>
      <c r="I3004" s="136">
        <f>LET(_xlpm.r,Productos!$E$2:$E$2509,_xlpm.m,IFERROR(_xlfn.XMATCH(C3004,_xlpm.r),IFERROR(_xlfn.XMATCH(VALUE(C3004),_xlpm.r),0)),IF(_xlpm.m=0,"",_xlpm.m+1))</f>
        <v/>
      </c>
      <c r="J3004" s="137" t="inlineStr">
        <is>
          <t>Shopify</t>
        </is>
      </c>
    </row>
    <row r="3005">
      <c r="A3005" s="5" t="inlineStr">
        <is>
          <t>Shopify Stetson México › Stetson Americas</t>
        </is>
      </c>
      <c r="B3005" s="5">
        <f>IF($I2="","",INDEX(Productos!$A:$A,$I2))</f>
        <v/>
      </c>
      <c r="C3005" s="134" t="inlineStr">
        <is>
          <t>TWMDNTB103674M0</t>
        </is>
      </c>
      <c r="D3005" s="5">
        <f>IF($I2="","",INDEX(Productos!$B:$B,$I2))</f>
        <v/>
      </c>
      <c r="E3005" s="5">
        <f>IF($I2="","",INDEX(Productos!$H:$H,$I2))</f>
        <v/>
      </c>
      <c r="F3005" s="5">
        <f>IF($I2="","",INDEX(Productos!$I:$I,$I2))</f>
        <v/>
      </c>
      <c r="G3005" s="135" t="n">
        <v>2</v>
      </c>
      <c r="H3005" s="5">
        <f>IF($I2="","",INDEX(Productos!$AG:$AG,$I2))</f>
        <v/>
      </c>
      <c r="I3005" s="136">
        <f>LET(_xlpm.r,Productos!$E$2:$E$2509,_xlpm.m,IFERROR(_xlfn.XMATCH(C3005,_xlpm.r),IFERROR(_xlfn.XMATCH(VALUE(C3005),_xlpm.r),0)),IF(_xlpm.m=0,"",_xlpm.m+1))</f>
        <v/>
      </c>
      <c r="J3005" s="137" t="inlineStr">
        <is>
          <t>Shopify</t>
        </is>
      </c>
    </row>
    <row r="3006">
      <c r="A3006" s="5" t="inlineStr">
        <is>
          <t>Shopify Stetson México › Stetson Americas</t>
        </is>
      </c>
      <c r="B3006" s="5">
        <f>IF($I2="","",INDEX(Productos!$A:$A,$I2))</f>
        <v/>
      </c>
      <c r="C3006" s="134" t="inlineStr">
        <is>
          <t>TWMDNTB1036KBL0</t>
        </is>
      </c>
      <c r="D3006" s="5">
        <f>IF($I2="","",INDEX(Productos!$B:$B,$I2))</f>
        <v/>
      </c>
      <c r="E3006" s="5">
        <f>IF($I2="","",INDEX(Productos!$H:$H,$I2))</f>
        <v/>
      </c>
      <c r="F3006" s="5">
        <f>IF($I2="","",INDEX(Productos!$I:$I,$I2))</f>
        <v/>
      </c>
      <c r="G3006" s="135" t="n">
        <v>2</v>
      </c>
      <c r="H3006" s="5">
        <f>IF($I2="","",INDEX(Productos!$AG:$AG,$I2))</f>
        <v/>
      </c>
      <c r="I3006" s="136">
        <f>LET(_xlpm.r,Productos!$E$2:$E$2509,_xlpm.m,IFERROR(_xlfn.XMATCH(C3006,_xlpm.r),IFERROR(_xlfn.XMATCH(VALUE(C3006),_xlpm.r),0)),IF(_xlpm.m=0,"",_xlpm.m+1))</f>
        <v/>
      </c>
      <c r="J3006" s="137" t="inlineStr">
        <is>
          <t>Shopify</t>
        </is>
      </c>
    </row>
    <row r="3007">
      <c r="A3007" s="5" t="inlineStr">
        <is>
          <t>Shopify Stetson México › Stetson Americas</t>
        </is>
      </c>
      <c r="B3007" s="5">
        <f>IF($I2="","",INDEX(Productos!$A:$A,$I2))</f>
        <v/>
      </c>
      <c r="C3007" s="134" t="inlineStr">
        <is>
          <t>TWMDNTB1036KBM0</t>
        </is>
      </c>
      <c r="D3007" s="5">
        <f>IF($I2="","",INDEX(Productos!$B:$B,$I2))</f>
        <v/>
      </c>
      <c r="E3007" s="5">
        <f>IF($I2="","",INDEX(Productos!$H:$H,$I2))</f>
        <v/>
      </c>
      <c r="F3007" s="5">
        <f>IF($I2="","",INDEX(Productos!$I:$I,$I2))</f>
        <v/>
      </c>
      <c r="G3007" s="135" t="n">
        <v>1</v>
      </c>
      <c r="H3007" s="5">
        <f>IF($I2="","",INDEX(Productos!$AG:$AG,$I2))</f>
        <v/>
      </c>
      <c r="I3007" s="136">
        <f>LET(_xlpm.r,Productos!$E$2:$E$2509,_xlpm.m,IFERROR(_xlfn.XMATCH(C3007,_xlpm.r),IFERROR(_xlfn.XMATCH(VALUE(C3007),_xlpm.r),0)),IF(_xlpm.m=0,"",_xlpm.m+1))</f>
        <v/>
      </c>
      <c r="J3007" s="137" t="inlineStr">
        <is>
          <t>Shopify</t>
        </is>
      </c>
    </row>
    <row r="3008">
      <c r="A3008" s="5" t="inlineStr">
        <is>
          <t>Shopify Stetson México › Stetson Americas</t>
        </is>
      </c>
      <c r="B3008" s="5">
        <f>IF($I2="","",INDEX(Productos!$A:$A,$I2))</f>
        <v/>
      </c>
      <c r="C3008" s="134" t="inlineStr">
        <is>
          <t>XSLRLH-093681S0</t>
        </is>
      </c>
      <c r="D3008" s="5">
        <f>IF($I2="","",INDEX(Productos!$B:$B,$I2))</f>
        <v/>
      </c>
      <c r="E3008" s="5">
        <f>IF($I2="","",INDEX(Productos!$H:$H,$I2))</f>
        <v/>
      </c>
      <c r="F3008" s="5">
        <f>IF($I2="","",INDEX(Productos!$I:$I,$I2))</f>
        <v/>
      </c>
      <c r="G3008" s="135" t="n">
        <v>1</v>
      </c>
      <c r="H3008" s="5">
        <f>IF($I2="","",INDEX(Productos!$AG:$AG,$I2))</f>
        <v/>
      </c>
      <c r="I3008" s="136">
        <f>LET(_xlpm.r,Productos!$E$2:$E$2509,_xlpm.m,IFERROR(_xlfn.XMATCH(C3008,_xlpm.r),IFERROR(_xlfn.XMATCH(VALUE(C3008),_xlpm.r),0)),IF(_xlpm.m=0,"",_xlpm.m+1))</f>
        <v/>
      </c>
      <c r="J3008" s="137" t="inlineStr">
        <is>
          <t>Shopify</t>
        </is>
      </c>
    </row>
    <row r="3009">
      <c r="A3009" s="5" t="inlineStr">
        <is>
          <t>Shopify Stetson México › Stetson Americas</t>
        </is>
      </c>
      <c r="B3009" s="5">
        <f>IF($I2="","",INDEX(Productos!$A:$A,$I2))</f>
        <v/>
      </c>
      <c r="C3009" s="134" t="inlineStr">
        <is>
          <t>XSOSIS-254081L0</t>
        </is>
      </c>
      <c r="D3009" s="5">
        <f>IF($I2="","",INDEX(Productos!$B:$B,$I2))</f>
        <v/>
      </c>
      <c r="E3009" s="5">
        <f>IF($I2="","",INDEX(Productos!$H:$H,$I2))</f>
        <v/>
      </c>
      <c r="F3009" s="5">
        <f>IF($I2="","",INDEX(Productos!$I:$I,$I2))</f>
        <v/>
      </c>
      <c r="G3009" s="135" t="n">
        <v>1</v>
      </c>
      <c r="H3009" s="5">
        <f>IF($I2="","",INDEX(Productos!$AG:$AG,$I2))</f>
        <v/>
      </c>
      <c r="I3009" s="136">
        <f>LET(_xlpm.r,Productos!$E$2:$E$2509,_xlpm.m,IFERROR(_xlfn.XMATCH(C3009,_xlpm.r),IFERROR(_xlfn.XMATCH(VALUE(C3009),_xlpm.r),0)),IF(_xlpm.m=0,"",_xlpm.m+1))</f>
        <v/>
      </c>
      <c r="J3009" s="137" t="inlineStr">
        <is>
          <t>Shopify</t>
        </is>
      </c>
    </row>
    <row r="3010">
      <c r="A3010" s="5" t="inlineStr">
        <is>
          <t>Shopify Stetson México › Stetson Americas</t>
        </is>
      </c>
      <c r="B3010" s="5">
        <f>IF($I2="","",INDEX(Productos!$A:$A,$I2))</f>
        <v/>
      </c>
      <c r="C3010" s="134" t="inlineStr">
        <is>
          <t>XSOSIS-254081XL</t>
        </is>
      </c>
      <c r="D3010" s="5">
        <f>IF($I2="","",INDEX(Productos!$B:$B,$I2))</f>
        <v/>
      </c>
      <c r="E3010" s="5">
        <f>IF($I2="","",INDEX(Productos!$H:$H,$I2))</f>
        <v/>
      </c>
      <c r="F3010" s="5">
        <f>IF($I2="","",INDEX(Productos!$I:$I,$I2))</f>
        <v/>
      </c>
      <c r="G3010" s="135" t="n">
        <v>1</v>
      </c>
      <c r="H3010" s="5">
        <f>IF($I2="","",INDEX(Productos!$AG:$AG,$I2))</f>
        <v/>
      </c>
      <c r="I3010" s="136">
        <f>LET(_xlpm.r,Productos!$E$2:$E$2509,_xlpm.m,IFERROR(_xlfn.XMATCH(C3010,_xlpm.r),IFERROR(_xlfn.XMATCH(VALUE(C3010),_xlpm.r),0)),IF(_xlpm.m=0,"",_xlpm.m+1))</f>
        <v/>
      </c>
      <c r="J3010" s="137" t="inlineStr">
        <is>
          <t>Shopify</t>
        </is>
      </c>
    </row>
    <row r="3011">
      <c r="A3011" s="5" t="inlineStr">
        <is>
          <t>Shopify Stetson México › Stetson Americas</t>
        </is>
      </c>
      <c r="B3011" s="5">
        <f>IF($I2="","",INDEX(Productos!$A:$A,$I2))</f>
        <v/>
      </c>
      <c r="C3011" s="134" t="inlineStr">
        <is>
          <t>XWESWD-974048L0</t>
        </is>
      </c>
      <c r="D3011" s="5">
        <f>IF($I2="","",INDEX(Productos!$B:$B,$I2))</f>
        <v/>
      </c>
      <c r="E3011" s="5">
        <f>IF($I2="","",INDEX(Productos!$H:$H,$I2))</f>
        <v/>
      </c>
      <c r="F3011" s="5">
        <f>IF($I2="","",INDEX(Productos!$I:$I,$I2))</f>
        <v/>
      </c>
      <c r="G3011" s="135" t="n">
        <v>2</v>
      </c>
      <c r="H3011" s="5">
        <f>IF($I2="","",INDEX(Productos!$AG:$AG,$I2))</f>
        <v/>
      </c>
      <c r="I3011" s="136">
        <f>LET(_xlpm.r,Productos!$E$2:$E$2509,_xlpm.m,IFERROR(_xlfn.XMATCH(C3011,_xlpm.r),IFERROR(_xlfn.XMATCH(VALUE(C3011),_xlpm.r),0)),IF(_xlpm.m=0,"",_xlpm.m+1))</f>
        <v/>
      </c>
      <c r="J3011" s="137" t="inlineStr">
        <is>
          <t>Shopify</t>
        </is>
      </c>
    </row>
    <row r="3012">
      <c r="A3012" s="5" t="inlineStr">
        <is>
          <t>Shopify Stetson México › Stetson Americas</t>
        </is>
      </c>
      <c r="B3012" s="5">
        <f>IF($I2="","",INDEX(Productos!$A:$A,$I2))</f>
        <v/>
      </c>
      <c r="C3012" s="134" t="inlineStr">
        <is>
          <t>XWESWD-974048M0</t>
        </is>
      </c>
      <c r="D3012" s="5">
        <f>IF($I2="","",INDEX(Productos!$B:$B,$I2))</f>
        <v/>
      </c>
      <c r="E3012" s="5">
        <f>IF($I2="","",INDEX(Productos!$H:$H,$I2))</f>
        <v/>
      </c>
      <c r="F3012" s="5">
        <f>IF($I2="","",INDEX(Productos!$I:$I,$I2))</f>
        <v/>
      </c>
      <c r="G3012" s="135" t="n">
        <v>1</v>
      </c>
      <c r="H3012" s="5">
        <f>IF($I2="","",INDEX(Productos!$AG:$AG,$I2))</f>
        <v/>
      </c>
      <c r="I3012" s="136">
        <f>LET(_xlpm.r,Productos!$E$2:$E$2509,_xlpm.m,IFERROR(_xlfn.XMATCH(C3012,_xlpm.r),IFERROR(_xlfn.XMATCH(VALUE(C3012),_xlpm.r),0)),IF(_xlpm.m=0,"",_xlpm.m+1))</f>
        <v/>
      </c>
      <c r="J3012" s="137" t="inlineStr">
        <is>
          <t>Shopify</t>
        </is>
      </c>
    </row>
    <row r="3013">
      <c r="A3013" s="5" t="inlineStr">
        <is>
          <t>Shopify Stetson México › Stetson Americas</t>
        </is>
      </c>
      <c r="B3013" s="5">
        <f>IF($I2="","",INDEX(Productos!$A:$A,$I2))</f>
        <v/>
      </c>
      <c r="C3013" s="134" t="inlineStr">
        <is>
          <t>XWESWD-974048XL</t>
        </is>
      </c>
      <c r="D3013" s="5">
        <f>IF($I2="","",INDEX(Productos!$B:$B,$I2))</f>
        <v/>
      </c>
      <c r="E3013" s="5">
        <f>IF($I2="","",INDEX(Productos!$H:$H,$I2))</f>
        <v/>
      </c>
      <c r="F3013" s="5">
        <f>IF($I2="","",INDEX(Productos!$I:$I,$I2))</f>
        <v/>
      </c>
      <c r="G3013" s="135" t="n">
        <v>2</v>
      </c>
      <c r="H3013" s="5">
        <f>IF($I2="","",INDEX(Productos!$AG:$AG,$I2))</f>
        <v/>
      </c>
      <c r="I3013" s="136">
        <f>LET(_xlpm.r,Productos!$E$2:$E$2509,_xlpm.m,IFERROR(_xlfn.XMATCH(C3013,_xlpm.r),IFERROR(_xlfn.XMATCH(VALUE(C3013),_xlpm.r),0)),IF(_xlpm.m=0,"",_xlpm.m+1))</f>
        <v/>
      </c>
      <c r="J3013" s="137" t="inlineStr">
        <is>
          <t>Shopify</t>
        </is>
      </c>
    </row>
    <row r="3014">
      <c r="A3014" s="5" t="inlineStr">
        <is>
          <t>Shopify Stetson México › Stetson Americas</t>
        </is>
      </c>
      <c r="B3014" s="5">
        <f>IF($I2="","",INDEX(Productos!$A:$A,$I2))</f>
        <v/>
      </c>
      <c r="C3014" s="134" t="inlineStr">
        <is>
          <t>XWESWD-974074XL</t>
        </is>
      </c>
      <c r="D3014" s="5">
        <f>IF($I2="","",INDEX(Productos!$B:$B,$I2))</f>
        <v/>
      </c>
      <c r="E3014" s="5">
        <f>IF($I2="","",INDEX(Productos!$H:$H,$I2))</f>
        <v/>
      </c>
      <c r="F3014" s="5">
        <f>IF($I2="","",INDEX(Productos!$I:$I,$I2))</f>
        <v/>
      </c>
      <c r="G3014" s="135" t="n">
        <v>1</v>
      </c>
      <c r="H3014" s="5">
        <f>IF($I2="","",INDEX(Productos!$AG:$AG,$I2))</f>
        <v/>
      </c>
      <c r="I3014" s="136">
        <f>LET(_xlpm.r,Productos!$E$2:$E$2509,_xlpm.m,IFERROR(_xlfn.XMATCH(C3014,_xlpm.r),IFERROR(_xlfn.XMATCH(VALUE(C3014),_xlpm.r),0)),IF(_xlpm.m=0,"",_xlpm.m+1))</f>
        <v/>
      </c>
      <c r="J3014" s="137" t="inlineStr">
        <is>
          <t>Shopify</t>
        </is>
      </c>
    </row>
    <row r="3015">
      <c r="A3015" s="5" t="inlineStr">
        <is>
          <t>Shopify Stetson México › Stetson Americas</t>
        </is>
      </c>
      <c r="B3015" s="5">
        <f>IF($I2="","",INDEX(Productos!$A:$A,$I2))</f>
        <v/>
      </c>
      <c r="C3015" s="134" t="inlineStr">
        <is>
          <t>XWGDCR-9142DML0</t>
        </is>
      </c>
      <c r="D3015" s="5">
        <f>IF($I2="","",INDEX(Productos!$B:$B,$I2))</f>
        <v/>
      </c>
      <c r="E3015" s="5">
        <f>IF($I2="","",INDEX(Productos!$H:$H,$I2))</f>
        <v/>
      </c>
      <c r="F3015" s="5">
        <f>IF($I2="","",INDEX(Productos!$I:$I,$I2))</f>
        <v/>
      </c>
      <c r="G3015" s="135" t="n">
        <v>1</v>
      </c>
      <c r="H3015" s="5">
        <f>IF($I2="","",INDEX(Productos!$AG:$AG,$I2))</f>
        <v/>
      </c>
      <c r="I3015" s="136">
        <f>LET(_xlpm.r,Productos!$E$2:$E$2509,_xlpm.m,IFERROR(_xlfn.XMATCH(C3015,_xlpm.r),IFERROR(_xlfn.XMATCH(VALUE(C3015),_xlpm.r),0)),IF(_xlpm.m=0,"",_xlpm.m+1))</f>
        <v/>
      </c>
      <c r="J3015" s="137" t="inlineStr">
        <is>
          <t>Shopify</t>
        </is>
      </c>
    </row>
    <row r="3016">
      <c r="A3016" s="5" t="inlineStr">
        <is>
          <t>Shopify Stetson México › Stetson Americas</t>
        </is>
      </c>
      <c r="B3016" s="5">
        <f>IF($I2="","",INDEX(Productos!$A:$A,$I2))</f>
        <v/>
      </c>
      <c r="C3016" s="134" t="inlineStr">
        <is>
          <t>XWGDCR-9142DMXL</t>
        </is>
      </c>
      <c r="D3016" s="5">
        <f>IF($I2="","",INDEX(Productos!$B:$B,$I2))</f>
        <v/>
      </c>
      <c r="E3016" s="5">
        <f>IF($I2="","",INDEX(Productos!$H:$H,$I2))</f>
        <v/>
      </c>
      <c r="F3016" s="5">
        <f>IF($I2="","",INDEX(Productos!$I:$I,$I2))</f>
        <v/>
      </c>
      <c r="G3016" s="135" t="n">
        <v>1</v>
      </c>
      <c r="H3016" s="5">
        <f>IF($I2="","",INDEX(Productos!$AG:$AG,$I2))</f>
        <v/>
      </c>
      <c r="I3016" s="136">
        <f>LET(_xlpm.r,Productos!$E$2:$E$2509,_xlpm.m,IFERROR(_xlfn.XMATCH(C3016,_xlpm.r),IFERROR(_xlfn.XMATCH(VALUE(C3016),_xlpm.r),0)),IF(_xlpm.m=0,"",_xlpm.m+1))</f>
        <v/>
      </c>
      <c r="J3016" s="137" t="inlineStr">
        <is>
          <t>Shopify</t>
        </is>
      </c>
    </row>
    <row r="3017">
      <c r="A3017" s="5" t="inlineStr">
        <is>
          <t>Shopify Stetson México › Stetson Americas</t>
        </is>
      </c>
      <c r="B3017" s="5">
        <f>IF($I2="","",INDEX(Productos!$A:$A,$I2))</f>
        <v/>
      </c>
      <c r="C3017" s="134" t="inlineStr">
        <is>
          <t>XWGDCR-9142EUL0</t>
        </is>
      </c>
      <c r="D3017" s="5">
        <f>IF($I2="","",INDEX(Productos!$B:$B,$I2))</f>
        <v/>
      </c>
      <c r="E3017" s="5">
        <f>IF($I2="","",INDEX(Productos!$H:$H,$I2))</f>
        <v/>
      </c>
      <c r="F3017" s="5">
        <f>IF($I2="","",INDEX(Productos!$I:$I,$I2))</f>
        <v/>
      </c>
      <c r="G3017" s="135" t="n">
        <v>1</v>
      </c>
      <c r="H3017" s="5">
        <f>IF($I2="","",INDEX(Productos!$AG:$AG,$I2))</f>
        <v/>
      </c>
      <c r="I3017" s="136">
        <f>LET(_xlpm.r,Productos!$E$2:$E$2509,_xlpm.m,IFERROR(_xlfn.XMATCH(C3017,_xlpm.r),IFERROR(_xlfn.XMATCH(VALUE(C3017),_xlpm.r),0)),IF(_xlpm.m=0,"",_xlpm.m+1))</f>
        <v/>
      </c>
      <c r="J3017" s="137" t="inlineStr">
        <is>
          <t>Shopify</t>
        </is>
      </c>
    </row>
    <row r="3018">
      <c r="A3018" s="5" t="inlineStr">
        <is>
          <t>Shopify Stetson México › Stetson Americas</t>
        </is>
      </c>
      <c r="B3018" s="5">
        <f>IF($I2="","",INDEX(Productos!$A:$A,$I2))</f>
        <v/>
      </c>
      <c r="C3018" s="134" t="inlineStr">
        <is>
          <t>XWLRLH-0336S9L0</t>
        </is>
      </c>
      <c r="D3018" s="5">
        <f>IF($I2="","",INDEX(Productos!$B:$B,$I2))</f>
        <v/>
      </c>
      <c r="E3018" s="5">
        <f>IF($I2="","",INDEX(Productos!$H:$H,$I2))</f>
        <v/>
      </c>
      <c r="F3018" s="5">
        <f>IF($I2="","",INDEX(Productos!$I:$I,$I2))</f>
        <v/>
      </c>
      <c r="G3018" s="135" t="n">
        <v>1</v>
      </c>
      <c r="H3018" s="5">
        <f>IF($I2="","",INDEX(Productos!$AG:$AG,$I2))</f>
        <v/>
      </c>
      <c r="I3018" s="136">
        <f>LET(_xlpm.r,Productos!$E$2:$E$2509,_xlpm.m,IFERROR(_xlfn.XMATCH(C3018,_xlpm.r),IFERROR(_xlfn.XMATCH(VALUE(C3018),_xlpm.r),0)),IF(_xlpm.m=0,"",_xlpm.m+1))</f>
        <v/>
      </c>
      <c r="J3018" s="137" t="inlineStr">
        <is>
          <t>Shopify</t>
        </is>
      </c>
    </row>
    <row r="3019">
      <c r="A3019" s="5" t="inlineStr">
        <is>
          <t>Shopify Stetson México › Stetson Americas</t>
        </is>
      </c>
      <c r="B3019" s="5">
        <f>IF($I2="","",INDEX(Productos!$A:$A,$I2))</f>
        <v/>
      </c>
      <c r="C3019" s="134" t="inlineStr">
        <is>
          <t>XWLRLH-0336S9M0</t>
        </is>
      </c>
      <c r="D3019" s="5">
        <f>IF($I2="","",INDEX(Productos!$B:$B,$I2))</f>
        <v/>
      </c>
      <c r="E3019" s="5">
        <f>IF($I2="","",INDEX(Productos!$H:$H,$I2))</f>
        <v/>
      </c>
      <c r="F3019" s="5">
        <f>IF($I2="","",INDEX(Productos!$I:$I,$I2))</f>
        <v/>
      </c>
      <c r="G3019" s="135" t="n">
        <v>1</v>
      </c>
      <c r="H3019" s="5">
        <f>IF($I2="","",INDEX(Productos!$AG:$AG,$I2))</f>
        <v/>
      </c>
      <c r="I3019" s="136">
        <f>LET(_xlpm.r,Productos!$E$2:$E$2509,_xlpm.m,IFERROR(_xlfn.XMATCH(C3019,_xlpm.r),IFERROR(_xlfn.XMATCH(VALUE(C3019),_xlpm.r),0)),IF(_xlpm.m=0,"",_xlpm.m+1))</f>
        <v/>
      </c>
      <c r="J3019" s="137" t="inlineStr">
        <is>
          <t>Shopify</t>
        </is>
      </c>
    </row>
    <row r="3020">
      <c r="A3020" s="5" t="inlineStr">
        <is>
          <t>Shopify Stetson México › Stetson Americas</t>
        </is>
      </c>
      <c r="B3020" s="5">
        <f>IF($I2="","",INDEX(Productos!$A:$A,$I2))</f>
        <v/>
      </c>
      <c r="C3020" s="134" t="inlineStr">
        <is>
          <t>XWLRLH-0336S9XL</t>
        </is>
      </c>
      <c r="D3020" s="5">
        <f>IF($I2="","",INDEX(Productos!$B:$B,$I2))</f>
        <v/>
      </c>
      <c r="E3020" s="5">
        <f>IF($I2="","",INDEX(Productos!$H:$H,$I2))</f>
        <v/>
      </c>
      <c r="F3020" s="5">
        <f>IF($I2="","",INDEX(Productos!$I:$I,$I2))</f>
        <v/>
      </c>
      <c r="G3020" s="135" t="n">
        <v>1</v>
      </c>
      <c r="H3020" s="5">
        <f>IF($I2="","",INDEX(Productos!$AG:$AG,$I2))</f>
        <v/>
      </c>
      <c r="I3020" s="136">
        <f>LET(_xlpm.r,Productos!$E$2:$E$2509,_xlpm.m,IFERROR(_xlfn.XMATCH(C3020,_xlpm.r),IFERROR(_xlfn.XMATCH(VALUE(C3020),_xlpm.r),0)),IF(_xlpm.m=0,"",_xlpm.m+1))</f>
        <v/>
      </c>
      <c r="J3020" s="137" t="inlineStr">
        <is>
          <t>Shopify</t>
        </is>
      </c>
    </row>
    <row r="3021">
      <c r="A3021" s="5" t="inlineStr">
        <is>
          <t>Shopify Stetson México › Stetson Americas</t>
        </is>
      </c>
      <c r="B3021" s="5">
        <f>IF($I2="","",INDEX(Productos!$A:$A,$I2))</f>
        <v/>
      </c>
      <c r="C3021" s="134" t="inlineStr">
        <is>
          <t>XWNGSKS104048L0</t>
        </is>
      </c>
      <c r="D3021" s="5">
        <f>IF($I2="","",INDEX(Productos!$B:$B,$I2))</f>
        <v/>
      </c>
      <c r="E3021" s="5">
        <f>IF($I2="","",INDEX(Productos!$H:$H,$I2))</f>
        <v/>
      </c>
      <c r="F3021" s="5">
        <f>IF($I2="","",INDEX(Productos!$I:$I,$I2))</f>
        <v/>
      </c>
      <c r="G3021" s="135" t="n">
        <v>2</v>
      </c>
      <c r="H3021" s="5">
        <f>IF($I2="","",INDEX(Productos!$AG:$AG,$I2))</f>
        <v/>
      </c>
      <c r="I3021" s="136">
        <f>LET(_xlpm.r,Productos!$E$2:$E$2509,_xlpm.m,IFERROR(_xlfn.XMATCH(C3021,_xlpm.r),IFERROR(_xlfn.XMATCH(VALUE(C3021),_xlpm.r),0)),IF(_xlpm.m=0,"",_xlpm.m+1))</f>
        <v/>
      </c>
      <c r="J3021" s="137" t="inlineStr">
        <is>
          <t>Shopify</t>
        </is>
      </c>
    </row>
    <row r="3022">
      <c r="A3022" s="5" t="inlineStr">
        <is>
          <t>Shopify Stetson México › Stetson Americas</t>
        </is>
      </c>
      <c r="B3022" s="5">
        <f>IF($I2="","",INDEX(Productos!$A:$A,$I2))</f>
        <v/>
      </c>
      <c r="C3022" s="134" t="inlineStr">
        <is>
          <t>XWNGSKS104048M0</t>
        </is>
      </c>
      <c r="D3022" s="5">
        <f>IF($I2="","",INDEX(Productos!$B:$B,$I2))</f>
        <v/>
      </c>
      <c r="E3022" s="5">
        <f>IF($I2="","",INDEX(Productos!$H:$H,$I2))</f>
        <v/>
      </c>
      <c r="F3022" s="5">
        <f>IF($I2="","",INDEX(Productos!$I:$I,$I2))</f>
        <v/>
      </c>
      <c r="G3022" s="135" t="n">
        <v>2</v>
      </c>
      <c r="H3022" s="5">
        <f>IF($I2="","",INDEX(Productos!$AG:$AG,$I2))</f>
        <v/>
      </c>
      <c r="I3022" s="136">
        <f>LET(_xlpm.r,Productos!$E$2:$E$2509,_xlpm.m,IFERROR(_xlfn.XMATCH(C3022,_xlpm.r),IFERROR(_xlfn.XMATCH(VALUE(C3022),_xlpm.r),0)),IF(_xlpm.m=0,"",_xlpm.m+1))</f>
        <v/>
      </c>
      <c r="J3022" s="137" t="inlineStr">
        <is>
          <t>Shopify</t>
        </is>
      </c>
    </row>
    <row r="3023">
      <c r="A3023" s="5" t="inlineStr">
        <is>
          <t>Shopify Stetson México › Stetson Americas</t>
        </is>
      </c>
      <c r="B3023" s="5">
        <f>IF($I2="","",INDEX(Productos!$A:$A,$I2))</f>
        <v/>
      </c>
      <c r="C3023" s="134" t="inlineStr">
        <is>
          <t>XWNGSKS104048XL</t>
        </is>
      </c>
      <c r="D3023" s="5">
        <f>IF($I2="","",INDEX(Productos!$B:$B,$I2))</f>
        <v/>
      </c>
      <c r="E3023" s="5">
        <f>IF($I2="","",INDEX(Productos!$H:$H,$I2))</f>
        <v/>
      </c>
      <c r="F3023" s="5">
        <f>IF($I2="","",INDEX(Productos!$I:$I,$I2))</f>
        <v/>
      </c>
      <c r="G3023" s="135" t="n">
        <v>1</v>
      </c>
      <c r="H3023" s="5">
        <f>IF($I2="","",INDEX(Productos!$AG:$AG,$I2))</f>
        <v/>
      </c>
      <c r="I3023" s="136">
        <f>LET(_xlpm.r,Productos!$E$2:$E$2509,_xlpm.m,IFERROR(_xlfn.XMATCH(C3023,_xlpm.r),IFERROR(_xlfn.XMATCH(VALUE(C3023),_xlpm.r),0)),IF(_xlpm.m=0,"",_xlpm.m+1))</f>
        <v/>
      </c>
      <c r="J3023" s="137" t="inlineStr">
        <is>
          <t>Shopify</t>
        </is>
      </c>
    </row>
    <row r="3024">
      <c r="A3024" s="5" t="inlineStr">
        <is>
          <t>Shopify Stetson México › Stetson Americas</t>
        </is>
      </c>
      <c r="B3024" s="5">
        <f>IF($I2="","",INDEX(Productos!$A:$A,$I2))</f>
        <v/>
      </c>
      <c r="C3024" s="134" t="inlineStr">
        <is>
          <t>XWNGSKS104074M0</t>
        </is>
      </c>
      <c r="D3024" s="5">
        <f>IF($I2="","",INDEX(Productos!$B:$B,$I2))</f>
        <v/>
      </c>
      <c r="E3024" s="5">
        <f>IF($I2="","",INDEX(Productos!$H:$H,$I2))</f>
        <v/>
      </c>
      <c r="F3024" s="5">
        <f>IF($I2="","",INDEX(Productos!$I:$I,$I2))</f>
        <v/>
      </c>
      <c r="G3024" s="135" t="n">
        <v>1</v>
      </c>
      <c r="H3024" s="5">
        <f>IF($I2="","",INDEX(Productos!$AG:$AG,$I2))</f>
        <v/>
      </c>
      <c r="I3024" s="136">
        <f>LET(_xlpm.r,Productos!$E$2:$E$2509,_xlpm.m,IFERROR(_xlfn.XMATCH(C3024,_xlpm.r),IFERROR(_xlfn.XMATCH(VALUE(C3024),_xlpm.r),0)),IF(_xlpm.m=0,"",_xlpm.m+1))</f>
        <v/>
      </c>
      <c r="J3024" s="137" t="inlineStr">
        <is>
          <t>Shopify</t>
        </is>
      </c>
    </row>
    <row r="3025">
      <c r="A3025" s="5" t="inlineStr">
        <is>
          <t>Shopify Stetson México › Stetson Americas</t>
        </is>
      </c>
      <c r="B3025" s="5">
        <f>IF($I2="","",INDEX(Productos!$A:$A,$I2))</f>
        <v/>
      </c>
      <c r="C3025" s="134" t="inlineStr">
        <is>
          <t>XWNGSKS104074S0</t>
        </is>
      </c>
      <c r="D3025" s="5">
        <f>IF($I2="","",INDEX(Productos!$B:$B,$I2))</f>
        <v/>
      </c>
      <c r="E3025" s="5">
        <f>IF($I2="","",INDEX(Productos!$H:$H,$I2))</f>
        <v/>
      </c>
      <c r="F3025" s="5">
        <f>IF($I2="","",INDEX(Productos!$I:$I,$I2))</f>
        <v/>
      </c>
      <c r="G3025" s="135" t="n">
        <v>1</v>
      </c>
      <c r="H3025" s="5">
        <f>IF($I2="","",INDEX(Productos!$AG:$AG,$I2))</f>
        <v/>
      </c>
      <c r="I3025" s="136">
        <f>LET(_xlpm.r,Productos!$E$2:$E$2509,_xlpm.m,IFERROR(_xlfn.XMATCH(C3025,_xlpm.r),IFERROR(_xlfn.XMATCH(VALUE(C3025),_xlpm.r),0)),IF(_xlpm.m=0,"",_xlpm.m+1))</f>
        <v/>
      </c>
      <c r="J3025" s="137" t="inlineStr">
        <is>
          <t>Shopify</t>
        </is>
      </c>
    </row>
    <row r="3026">
      <c r="A3026" s="5" t="inlineStr">
        <is>
          <t>Shopify Stetson México › Stetson Americas</t>
        </is>
      </c>
      <c r="B3026" s="5">
        <f>IF($I2="","",INDEX(Productos!$A:$A,$I2))</f>
        <v/>
      </c>
      <c r="C3026" s="134" t="inlineStr">
        <is>
          <t>XWNGSKS104074XL</t>
        </is>
      </c>
      <c r="D3026" s="5">
        <f>IF($I2="","",INDEX(Productos!$B:$B,$I2))</f>
        <v/>
      </c>
      <c r="E3026" s="5">
        <f>IF($I2="","",INDEX(Productos!$H:$H,$I2))</f>
        <v/>
      </c>
      <c r="F3026" s="5">
        <f>IF($I2="","",INDEX(Productos!$I:$I,$I2))</f>
        <v/>
      </c>
      <c r="G3026" s="135" t="n">
        <v>1</v>
      </c>
      <c r="H3026" s="5">
        <f>IF($I2="","",INDEX(Productos!$AG:$AG,$I2))</f>
        <v/>
      </c>
      <c r="I3026" s="136">
        <f>LET(_xlpm.r,Productos!$E$2:$E$2509,_xlpm.m,IFERROR(_xlfn.XMATCH(C3026,_xlpm.r),IFERROR(_xlfn.XMATCH(VALUE(C3026),_xlpm.r),0)),IF(_xlpm.m=0,"",_xlpm.m+1))</f>
        <v/>
      </c>
      <c r="J3026" s="137" t="inlineStr">
        <is>
          <t>Shopify</t>
        </is>
      </c>
    </row>
    <row r="3027">
      <c r="A3027" s="5" t="inlineStr">
        <is>
          <t>Shopify Stetson México › Stetson Americas</t>
        </is>
      </c>
      <c r="B3027" s="5">
        <f>IF($I2="","",INDEX(Productos!$A:$A,$I2))</f>
        <v/>
      </c>
      <c r="C3027" s="134" t="inlineStr">
        <is>
          <t>XWNGSKS104078L0</t>
        </is>
      </c>
      <c r="D3027" s="5">
        <f>IF($I2="","",INDEX(Productos!$B:$B,$I2))</f>
        <v/>
      </c>
      <c r="E3027" s="5">
        <f>IF($I2="","",INDEX(Productos!$H:$H,$I2))</f>
        <v/>
      </c>
      <c r="F3027" s="5">
        <f>IF($I2="","",INDEX(Productos!$I:$I,$I2))</f>
        <v/>
      </c>
      <c r="G3027" s="135" t="n">
        <v>2</v>
      </c>
      <c r="H3027" s="5">
        <f>IF($I2="","",INDEX(Productos!$AG:$AG,$I2))</f>
        <v/>
      </c>
      <c r="I3027" s="136">
        <f>LET(_xlpm.r,Productos!$E$2:$E$2509,_xlpm.m,IFERROR(_xlfn.XMATCH(C3027,_xlpm.r),IFERROR(_xlfn.XMATCH(VALUE(C3027),_xlpm.r),0)),IF(_xlpm.m=0,"",_xlpm.m+1))</f>
        <v/>
      </c>
      <c r="J3027" s="137" t="inlineStr">
        <is>
          <t>Shopify</t>
        </is>
      </c>
    </row>
    <row r="3028">
      <c r="A3028" s="5" t="inlineStr">
        <is>
          <t>Shopify Stetson México › Stetson Americas</t>
        </is>
      </c>
      <c r="B3028" s="5">
        <f>IF($I2="","",INDEX(Productos!$A:$A,$I2))</f>
        <v/>
      </c>
      <c r="C3028" s="134" t="inlineStr">
        <is>
          <t>XWNGSKS104078M0</t>
        </is>
      </c>
      <c r="D3028" s="5">
        <f>IF($I2="","",INDEX(Productos!$B:$B,$I2))</f>
        <v/>
      </c>
      <c r="E3028" s="5">
        <f>IF($I2="","",INDEX(Productos!$H:$H,$I2))</f>
        <v/>
      </c>
      <c r="F3028" s="5">
        <f>IF($I2="","",INDEX(Productos!$I:$I,$I2))</f>
        <v/>
      </c>
      <c r="G3028" s="135" t="n">
        <v>1</v>
      </c>
      <c r="H3028" s="5">
        <f>IF($I2="","",INDEX(Productos!$AG:$AG,$I2))</f>
        <v/>
      </c>
      <c r="I3028" s="136">
        <f>LET(_xlpm.r,Productos!$E$2:$E$2509,_xlpm.m,IFERROR(_xlfn.XMATCH(C3028,_xlpm.r),IFERROR(_xlfn.XMATCH(VALUE(C3028),_xlpm.r),0)),IF(_xlpm.m=0,"",_xlpm.m+1))</f>
        <v/>
      </c>
      <c r="J3028" s="137" t="inlineStr">
        <is>
          <t>Shopify</t>
        </is>
      </c>
    </row>
    <row r="3029">
      <c r="A3029" s="5" t="inlineStr">
        <is>
          <t>Shopify Stetson México › Stetson Americas</t>
        </is>
      </c>
      <c r="B3029" s="5">
        <f>IF($I2="","",INDEX(Productos!$A:$A,$I2))</f>
        <v/>
      </c>
      <c r="C3029" s="134" t="inlineStr">
        <is>
          <t>XWNGSKS104078S0</t>
        </is>
      </c>
      <c r="D3029" s="5">
        <f>IF($I2="","",INDEX(Productos!$B:$B,$I2))</f>
        <v/>
      </c>
      <c r="E3029" s="5">
        <f>IF($I2="","",INDEX(Productos!$H:$H,$I2))</f>
        <v/>
      </c>
      <c r="F3029" s="5">
        <f>IF($I2="","",INDEX(Productos!$I:$I,$I2))</f>
        <v/>
      </c>
      <c r="G3029" s="135" t="n">
        <v>1</v>
      </c>
      <c r="H3029" s="5">
        <f>IF($I2="","",INDEX(Productos!$AG:$AG,$I2))</f>
        <v/>
      </c>
      <c r="I3029" s="136">
        <f>LET(_xlpm.r,Productos!$E$2:$E$2509,_xlpm.m,IFERROR(_xlfn.XMATCH(C3029,_xlpm.r),IFERROR(_xlfn.XMATCH(VALUE(C3029),_xlpm.r),0)),IF(_xlpm.m=0,"",_xlpm.m+1))</f>
        <v/>
      </c>
      <c r="J3029" s="137" t="inlineStr">
        <is>
          <t>Shopify</t>
        </is>
      </c>
    </row>
    <row r="3030">
      <c r="A3030" s="5" t="inlineStr">
        <is>
          <t>Shopify Stetson México › Stetson Americas</t>
        </is>
      </c>
      <c r="B3030" s="5">
        <f>IF($I2="","",INDEX(Productos!$A:$A,$I2))</f>
        <v/>
      </c>
      <c r="C3030" s="134" t="inlineStr">
        <is>
          <t>XWNGSKS104078XL</t>
        </is>
      </c>
      <c r="D3030" s="5">
        <f>IF($I2="","",INDEX(Productos!$B:$B,$I2))</f>
        <v/>
      </c>
      <c r="E3030" s="5">
        <f>IF($I2="","",INDEX(Productos!$H:$H,$I2))</f>
        <v/>
      </c>
      <c r="F3030" s="5">
        <f>IF($I2="","",INDEX(Productos!$I:$I,$I2))</f>
        <v/>
      </c>
      <c r="G3030" s="135" t="n">
        <v>1</v>
      </c>
      <c r="H3030" s="5">
        <f>IF($I2="","",INDEX(Productos!$AG:$AG,$I2))</f>
        <v/>
      </c>
      <c r="I3030" s="136">
        <f>LET(_xlpm.r,Productos!$E$2:$E$2509,_xlpm.m,IFERROR(_xlfn.XMATCH(C3030,_xlpm.r),IFERROR(_xlfn.XMATCH(VALUE(C3030),_xlpm.r),0)),IF(_xlpm.m=0,"",_xlpm.m+1))</f>
        <v/>
      </c>
      <c r="J3030" s="137" t="inlineStr">
        <is>
          <t>Shopify</t>
        </is>
      </c>
    </row>
    <row r="3031">
      <c r="A3031" s="5" t="inlineStr">
        <is>
          <t>Shopify Stetson México › Stetson México</t>
        </is>
      </c>
      <c r="B3031" s="5">
        <f>IF($I2="","",INDEX(Productos!$A:$A,$I2))</f>
        <v/>
      </c>
      <c r="C3031" s="134" t="inlineStr">
        <is>
          <t>11-001-0425-2051-2XL</t>
        </is>
      </c>
      <c r="D3031" s="5">
        <f>IF($I2="","",INDEX(Productos!$B:$B,$I2))</f>
        <v/>
      </c>
      <c r="E3031" s="5">
        <f>IF($I2="","",INDEX(Productos!$H:$H,$I2))</f>
        <v/>
      </c>
      <c r="F3031" s="5">
        <f>IF($I2="","",INDEX(Productos!$I:$I,$I2))</f>
        <v/>
      </c>
      <c r="G3031" s="135" t="n">
        <v>1</v>
      </c>
      <c r="H3031" s="5">
        <f>IF($I2="","",INDEX(Productos!$AG:$AG,$I2))</f>
        <v/>
      </c>
      <c r="I3031" s="136">
        <f>LET(_xlpm.r,Productos!$E$2:$E$2509,_xlpm.m,IFERROR(_xlfn.XMATCH(C3031,_xlpm.r),IFERROR(_xlfn.XMATCH(VALUE(C3031),_xlpm.r),0)),IF(_xlpm.m=0,"",_xlpm.m+1))</f>
        <v/>
      </c>
      <c r="J3031" s="137" t="inlineStr">
        <is>
          <t>Shopify</t>
        </is>
      </c>
    </row>
    <row r="3032">
      <c r="A3032" s="5" t="inlineStr">
        <is>
          <t>Shopify Stetson México › Stetson México</t>
        </is>
      </c>
      <c r="B3032" s="5">
        <f>IF($I2="","",INDEX(Productos!$A:$A,$I2))</f>
        <v/>
      </c>
      <c r="C3032" s="134" t="inlineStr">
        <is>
          <t>11-001-0425-2051-L</t>
        </is>
      </c>
      <c r="D3032" s="5">
        <f>IF($I2="","",INDEX(Productos!$B:$B,$I2))</f>
        <v/>
      </c>
      <c r="E3032" s="5">
        <f>IF($I2="","",INDEX(Productos!$H:$H,$I2))</f>
        <v/>
      </c>
      <c r="F3032" s="5">
        <f>IF($I2="","",INDEX(Productos!$I:$I,$I2))</f>
        <v/>
      </c>
      <c r="G3032" s="135" t="n">
        <v>1</v>
      </c>
      <c r="H3032" s="5">
        <f>IF($I2="","",INDEX(Productos!$AG:$AG,$I2))</f>
        <v/>
      </c>
      <c r="I3032" s="136">
        <f>LET(_xlpm.r,Productos!$E$2:$E$2509,_xlpm.m,IFERROR(_xlfn.XMATCH(C3032,_xlpm.r),IFERROR(_xlfn.XMATCH(VALUE(C3032),_xlpm.r),0)),IF(_xlpm.m=0,"",_xlpm.m+1))</f>
        <v/>
      </c>
      <c r="J3032" s="137" t="inlineStr">
        <is>
          <t>Shopify</t>
        </is>
      </c>
    </row>
    <row r="3033">
      <c r="A3033" s="5" t="inlineStr">
        <is>
          <t>Shopify Stetson México › Stetson México</t>
        </is>
      </c>
      <c r="B3033" s="5">
        <f>IF($I2="","",INDEX(Productos!$A:$A,$I2))</f>
        <v/>
      </c>
      <c r="C3033" s="134" t="inlineStr">
        <is>
          <t>11-001-0425-2051-M</t>
        </is>
      </c>
      <c r="D3033" s="5">
        <f>IF($I2="","",INDEX(Productos!$B:$B,$I2))</f>
        <v/>
      </c>
      <c r="E3033" s="5">
        <f>IF($I2="","",INDEX(Productos!$H:$H,$I2))</f>
        <v/>
      </c>
      <c r="F3033" s="5">
        <f>IF($I2="","",INDEX(Productos!$I:$I,$I2))</f>
        <v/>
      </c>
      <c r="G3033" s="135" t="n">
        <v>1</v>
      </c>
      <c r="H3033" s="5">
        <f>IF($I2="","",INDEX(Productos!$AG:$AG,$I2))</f>
        <v/>
      </c>
      <c r="I3033" s="136">
        <f>LET(_xlpm.r,Productos!$E$2:$E$2509,_xlpm.m,IFERROR(_xlfn.XMATCH(C3033,_xlpm.r),IFERROR(_xlfn.XMATCH(VALUE(C3033),_xlpm.r),0)),IF(_xlpm.m=0,"",_xlpm.m+1))</f>
        <v/>
      </c>
      <c r="J3033" s="137" t="inlineStr">
        <is>
          <t>Shopify</t>
        </is>
      </c>
    </row>
    <row r="3034">
      <c r="A3034" s="5" t="inlineStr">
        <is>
          <t>Shopify Stetson México › Stetson México</t>
        </is>
      </c>
      <c r="B3034" s="5">
        <f>IF($I2="","",INDEX(Productos!$A:$A,$I2))</f>
        <v/>
      </c>
      <c r="C3034" s="134" t="inlineStr">
        <is>
          <t>11-001-0425-2051-S</t>
        </is>
      </c>
      <c r="D3034" s="5">
        <f>IF($I2="","",INDEX(Productos!$B:$B,$I2))</f>
        <v/>
      </c>
      <c r="E3034" s="5">
        <f>IF($I2="","",INDEX(Productos!$H:$H,$I2))</f>
        <v/>
      </c>
      <c r="F3034" s="5">
        <f>IF($I2="","",INDEX(Productos!$I:$I,$I2))</f>
        <v/>
      </c>
      <c r="G3034" s="135" t="n">
        <v>1</v>
      </c>
      <c r="H3034" s="5">
        <f>IF($I2="","",INDEX(Productos!$AG:$AG,$I2))</f>
        <v/>
      </c>
      <c r="I3034" s="136">
        <f>LET(_xlpm.r,Productos!$E$2:$E$2509,_xlpm.m,IFERROR(_xlfn.XMATCH(C3034,_xlpm.r),IFERROR(_xlfn.XMATCH(VALUE(C3034),_xlpm.r),0)),IF(_xlpm.m=0,"",_xlpm.m+1))</f>
        <v/>
      </c>
      <c r="J3034" s="137" t="inlineStr">
        <is>
          <t>Shopify</t>
        </is>
      </c>
    </row>
    <row r="3035">
      <c r="A3035" s="5" t="inlineStr">
        <is>
          <t>Shopify Stetson México › Stetson México</t>
        </is>
      </c>
      <c r="B3035" s="5">
        <f>IF($I2="","",INDEX(Productos!$A:$A,$I2))</f>
        <v/>
      </c>
      <c r="C3035" s="134" t="inlineStr">
        <is>
          <t>11-001-0425-2051-XL</t>
        </is>
      </c>
      <c r="D3035" s="5">
        <f>IF($I2="","",INDEX(Productos!$B:$B,$I2))</f>
        <v/>
      </c>
      <c r="E3035" s="5">
        <f>IF($I2="","",INDEX(Productos!$H:$H,$I2))</f>
        <v/>
      </c>
      <c r="F3035" s="5">
        <f>IF($I2="","",INDEX(Productos!$I:$I,$I2))</f>
        <v/>
      </c>
      <c r="G3035" s="135" t="n">
        <v>1</v>
      </c>
      <c r="H3035" s="5">
        <f>IF($I2="","",INDEX(Productos!$AG:$AG,$I2))</f>
        <v/>
      </c>
      <c r="I3035" s="136">
        <f>LET(_xlpm.r,Productos!$E$2:$E$2509,_xlpm.m,IFERROR(_xlfn.XMATCH(C3035,_xlpm.r),IFERROR(_xlfn.XMATCH(VALUE(C3035),_xlpm.r),0)),IF(_xlpm.m=0,"",_xlpm.m+1))</f>
        <v/>
      </c>
      <c r="J3035" s="137" t="inlineStr">
        <is>
          <t>Shopify</t>
        </is>
      </c>
    </row>
    <row r="3036">
      <c r="A3036" s="5" t="inlineStr">
        <is>
          <t>Shopify Stetson México › Stetson México</t>
        </is>
      </c>
      <c r="B3036" s="5">
        <f>IF($I2="","",INDEX(Productos!$A:$A,$I2))</f>
        <v/>
      </c>
      <c r="C3036" s="134" t="inlineStr">
        <is>
          <t>11-001-0425-2063-2XL</t>
        </is>
      </c>
      <c r="D3036" s="5">
        <f>IF($I2="","",INDEX(Productos!$B:$B,$I2))</f>
        <v/>
      </c>
      <c r="E3036" s="5">
        <f>IF($I2="","",INDEX(Productos!$H:$H,$I2))</f>
        <v/>
      </c>
      <c r="F3036" s="5">
        <f>IF($I2="","",INDEX(Productos!$I:$I,$I2))</f>
        <v/>
      </c>
      <c r="G3036" s="135" t="n">
        <v>2</v>
      </c>
      <c r="H3036" s="5">
        <f>IF($I2="","",INDEX(Productos!$AG:$AG,$I2))</f>
        <v/>
      </c>
      <c r="I3036" s="136">
        <f>LET(_xlpm.r,Productos!$E$2:$E$2509,_xlpm.m,IFERROR(_xlfn.XMATCH(C3036,_xlpm.r),IFERROR(_xlfn.XMATCH(VALUE(C3036),_xlpm.r),0)),IF(_xlpm.m=0,"",_xlpm.m+1))</f>
        <v/>
      </c>
      <c r="J3036" s="137" t="inlineStr">
        <is>
          <t>Shopify</t>
        </is>
      </c>
    </row>
    <row r="3037">
      <c r="A3037" s="5" t="inlineStr">
        <is>
          <t>Shopify Stetson México › Stetson México</t>
        </is>
      </c>
      <c r="B3037" s="5">
        <f>IF($I2="","",INDEX(Productos!$A:$A,$I2))</f>
        <v/>
      </c>
      <c r="C3037" s="134" t="inlineStr">
        <is>
          <t>11-001-0425-2063-S</t>
        </is>
      </c>
      <c r="D3037" s="5">
        <f>IF($I2="","",INDEX(Productos!$B:$B,$I2))</f>
        <v/>
      </c>
      <c r="E3037" s="5">
        <f>IF($I2="","",INDEX(Productos!$H:$H,$I2))</f>
        <v/>
      </c>
      <c r="F3037" s="5">
        <f>IF($I2="","",INDEX(Productos!$I:$I,$I2))</f>
        <v/>
      </c>
      <c r="G3037" s="135" t="n">
        <v>1</v>
      </c>
      <c r="H3037" s="5">
        <f>IF($I2="","",INDEX(Productos!$AG:$AG,$I2))</f>
        <v/>
      </c>
      <c r="I3037" s="136">
        <f>LET(_xlpm.r,Productos!$E$2:$E$2509,_xlpm.m,IFERROR(_xlfn.XMATCH(C3037,_xlpm.r),IFERROR(_xlfn.XMATCH(VALUE(C3037),_xlpm.r),0)),IF(_xlpm.m=0,"",_xlpm.m+1))</f>
        <v/>
      </c>
      <c r="J3037" s="137" t="inlineStr">
        <is>
          <t>Shopify</t>
        </is>
      </c>
    </row>
    <row r="3038">
      <c r="A3038" s="5" t="inlineStr">
        <is>
          <t>Shopify Stetson México › Stetson México</t>
        </is>
      </c>
      <c r="B3038" s="5">
        <f>IF($I2="","",INDEX(Productos!$A:$A,$I2))</f>
        <v/>
      </c>
      <c r="C3038" s="134" t="inlineStr">
        <is>
          <t>11-001-0425-2063-XL</t>
        </is>
      </c>
      <c r="D3038" s="5">
        <f>IF($I2="","",INDEX(Productos!$B:$B,$I2))</f>
        <v/>
      </c>
      <c r="E3038" s="5">
        <f>IF($I2="","",INDEX(Productos!$H:$H,$I2))</f>
        <v/>
      </c>
      <c r="F3038" s="5">
        <f>IF($I2="","",INDEX(Productos!$I:$I,$I2))</f>
        <v/>
      </c>
      <c r="G3038" s="135" t="n">
        <v>2</v>
      </c>
      <c r="H3038" s="5">
        <f>IF($I2="","",INDEX(Productos!$AG:$AG,$I2))</f>
        <v/>
      </c>
      <c r="I3038" s="136">
        <f>LET(_xlpm.r,Productos!$E$2:$E$2509,_xlpm.m,IFERROR(_xlfn.XMATCH(C3038,_xlpm.r),IFERROR(_xlfn.XMATCH(VALUE(C3038),_xlpm.r),0)),IF(_xlpm.m=0,"",_xlpm.m+1))</f>
        <v/>
      </c>
      <c r="J3038" s="137" t="inlineStr">
        <is>
          <t>Shopify</t>
        </is>
      </c>
    </row>
    <row r="3039">
      <c r="A3039" s="5" t="inlineStr">
        <is>
          <t>Shopify Stetson México › Stetson México</t>
        </is>
      </c>
      <c r="B3039" s="5">
        <f>IF($I2="","",INDEX(Productos!$A:$A,$I2))</f>
        <v/>
      </c>
      <c r="C3039" s="134" t="inlineStr">
        <is>
          <t>11-001-0425-2066-2XL</t>
        </is>
      </c>
      <c r="D3039" s="5">
        <f>IF($I2="","",INDEX(Productos!$B:$B,$I2))</f>
        <v/>
      </c>
      <c r="E3039" s="5">
        <f>IF($I2="","",INDEX(Productos!$H:$H,$I2))</f>
        <v/>
      </c>
      <c r="F3039" s="5">
        <f>IF($I2="","",INDEX(Productos!$I:$I,$I2))</f>
        <v/>
      </c>
      <c r="G3039" s="135" t="n">
        <v>2</v>
      </c>
      <c r="H3039" s="5">
        <f>IF($I2="","",INDEX(Productos!$AG:$AG,$I2))</f>
        <v/>
      </c>
      <c r="I3039" s="136">
        <f>LET(_xlpm.r,Productos!$E$2:$E$2509,_xlpm.m,IFERROR(_xlfn.XMATCH(C3039,_xlpm.r),IFERROR(_xlfn.XMATCH(VALUE(C3039),_xlpm.r),0)),IF(_xlpm.m=0,"",_xlpm.m+1))</f>
        <v/>
      </c>
      <c r="J3039" s="137" t="inlineStr">
        <is>
          <t>Shopify</t>
        </is>
      </c>
    </row>
    <row r="3040">
      <c r="A3040" s="5" t="inlineStr">
        <is>
          <t>Shopify Stetson México › Stetson México</t>
        </is>
      </c>
      <c r="B3040" s="5">
        <f>IF($I2="","",INDEX(Productos!$A:$A,$I2))</f>
        <v/>
      </c>
      <c r="C3040" s="134" t="inlineStr">
        <is>
          <t>11-001-0425-2066-M</t>
        </is>
      </c>
      <c r="D3040" s="5">
        <f>IF($I2="","",INDEX(Productos!$B:$B,$I2))</f>
        <v/>
      </c>
      <c r="E3040" s="5">
        <f>IF($I2="","",INDEX(Productos!$H:$H,$I2))</f>
        <v/>
      </c>
      <c r="F3040" s="5">
        <f>IF($I2="","",INDEX(Productos!$I:$I,$I2))</f>
        <v/>
      </c>
      <c r="G3040" s="135" t="n">
        <v>1</v>
      </c>
      <c r="H3040" s="5">
        <f>IF($I2="","",INDEX(Productos!$AG:$AG,$I2))</f>
        <v/>
      </c>
      <c r="I3040" s="136">
        <f>LET(_xlpm.r,Productos!$E$2:$E$2509,_xlpm.m,IFERROR(_xlfn.XMATCH(C3040,_xlpm.r),IFERROR(_xlfn.XMATCH(VALUE(C3040),_xlpm.r),0)),IF(_xlpm.m=0,"",_xlpm.m+1))</f>
        <v/>
      </c>
      <c r="J3040" s="137" t="inlineStr">
        <is>
          <t>Shopify</t>
        </is>
      </c>
    </row>
    <row r="3041">
      <c r="A3041" s="5" t="inlineStr">
        <is>
          <t>Shopify Stetson México › Stetson México</t>
        </is>
      </c>
      <c r="B3041" s="5">
        <f>IF($I2="","",INDEX(Productos!$A:$A,$I2))</f>
        <v/>
      </c>
      <c r="C3041" s="134" t="inlineStr">
        <is>
          <t>11-001-0425-2066-S</t>
        </is>
      </c>
      <c r="D3041" s="5">
        <f>IF($I2="","",INDEX(Productos!$B:$B,$I2))</f>
        <v/>
      </c>
      <c r="E3041" s="5">
        <f>IF($I2="","",INDEX(Productos!$H:$H,$I2))</f>
        <v/>
      </c>
      <c r="F3041" s="5">
        <f>IF($I2="","",INDEX(Productos!$I:$I,$I2))</f>
        <v/>
      </c>
      <c r="G3041" s="135" t="n">
        <v>2</v>
      </c>
      <c r="H3041" s="5">
        <f>IF($I2="","",INDEX(Productos!$AG:$AG,$I2))</f>
        <v/>
      </c>
      <c r="I3041" s="136">
        <f>LET(_xlpm.r,Productos!$E$2:$E$2509,_xlpm.m,IFERROR(_xlfn.XMATCH(C3041,_xlpm.r),IFERROR(_xlfn.XMATCH(VALUE(C3041),_xlpm.r),0)),IF(_xlpm.m=0,"",_xlpm.m+1))</f>
        <v/>
      </c>
      <c r="J3041" s="137" t="inlineStr">
        <is>
          <t>Shopify</t>
        </is>
      </c>
    </row>
    <row r="3042">
      <c r="A3042" s="5" t="inlineStr">
        <is>
          <t>Shopify Stetson México › Stetson México</t>
        </is>
      </c>
      <c r="B3042" s="5">
        <f>IF($I2="","",INDEX(Productos!$A:$A,$I2))</f>
        <v/>
      </c>
      <c r="C3042" s="134" t="inlineStr">
        <is>
          <t>11-001-0425-2066-XL</t>
        </is>
      </c>
      <c r="D3042" s="5">
        <f>IF($I2="","",INDEX(Productos!$B:$B,$I2))</f>
        <v/>
      </c>
      <c r="E3042" s="5">
        <f>IF($I2="","",INDEX(Productos!$H:$H,$I2))</f>
        <v/>
      </c>
      <c r="F3042" s="5">
        <f>IF($I2="","",INDEX(Productos!$I:$I,$I2))</f>
        <v/>
      </c>
      <c r="G3042" s="135" t="n">
        <v>2</v>
      </c>
      <c r="H3042" s="5">
        <f>IF($I2="","",INDEX(Productos!$AG:$AG,$I2))</f>
        <v/>
      </c>
      <c r="I3042" s="136">
        <f>LET(_xlpm.r,Productos!$E$2:$E$2509,_xlpm.m,IFERROR(_xlfn.XMATCH(C3042,_xlpm.r),IFERROR(_xlfn.XMATCH(VALUE(C3042),_xlpm.r),0)),IF(_xlpm.m=0,"",_xlpm.m+1))</f>
        <v/>
      </c>
      <c r="J3042" s="137" t="inlineStr">
        <is>
          <t>Shopify</t>
        </is>
      </c>
    </row>
    <row r="3043">
      <c r="A3043" s="5" t="inlineStr">
        <is>
          <t>Shopify Stetson México › Stetson México</t>
        </is>
      </c>
      <c r="B3043" s="5">
        <f>IF($I2="","",INDEX(Productos!$A:$A,$I2))</f>
        <v/>
      </c>
      <c r="C3043" s="134" t="inlineStr">
        <is>
          <t>11-001-0425-5019-S</t>
        </is>
      </c>
      <c r="D3043" s="5">
        <f>IF($I2="","",INDEX(Productos!$B:$B,$I2))</f>
        <v/>
      </c>
      <c r="E3043" s="5">
        <f>IF($I2="","",INDEX(Productos!$H:$H,$I2))</f>
        <v/>
      </c>
      <c r="F3043" s="5">
        <f>IF($I2="","",INDEX(Productos!$I:$I,$I2))</f>
        <v/>
      </c>
      <c r="G3043" s="135" t="n">
        <v>1</v>
      </c>
      <c r="H3043" s="5">
        <f>IF($I2="","",INDEX(Productos!$AG:$AG,$I2))</f>
        <v/>
      </c>
      <c r="I3043" s="136">
        <f>LET(_xlpm.r,Productos!$E$2:$E$2509,_xlpm.m,IFERROR(_xlfn.XMATCH(C3043,_xlpm.r),IFERROR(_xlfn.XMATCH(VALUE(C3043),_xlpm.r),0)),IF(_xlpm.m=0,"",_xlpm.m+1))</f>
        <v/>
      </c>
      <c r="J3043" s="137" t="inlineStr">
        <is>
          <t>Shopify</t>
        </is>
      </c>
    </row>
    <row r="3044">
      <c r="A3044" s="5" t="inlineStr">
        <is>
          <t>Shopify Stetson México › Stetson México</t>
        </is>
      </c>
      <c r="B3044" s="5">
        <f>IF($I2="","",INDEX(Productos!$A:$A,$I2))</f>
        <v/>
      </c>
      <c r="C3044" s="134" t="inlineStr">
        <is>
          <t>11-001-0465-0031-2XL</t>
        </is>
      </c>
      <c r="D3044" s="5">
        <f>IF($I2="","",INDEX(Productos!$B:$B,$I2))</f>
        <v/>
      </c>
      <c r="E3044" s="5">
        <f>IF($I2="","",INDEX(Productos!$H:$H,$I2))</f>
        <v/>
      </c>
      <c r="F3044" s="5">
        <f>IF($I2="","",INDEX(Productos!$I:$I,$I2))</f>
        <v/>
      </c>
      <c r="G3044" s="135" t="n">
        <v>2</v>
      </c>
      <c r="H3044" s="5">
        <f>IF($I2="","",INDEX(Productos!$AG:$AG,$I2))</f>
        <v/>
      </c>
      <c r="I3044" s="136">
        <f>LET(_xlpm.r,Productos!$E$2:$E$2509,_xlpm.m,IFERROR(_xlfn.XMATCH(C3044,_xlpm.r),IFERROR(_xlfn.XMATCH(VALUE(C3044),_xlpm.r),0)),IF(_xlpm.m=0,"",_xlpm.m+1))</f>
        <v/>
      </c>
      <c r="J3044" s="137" t="inlineStr">
        <is>
          <t>Shopify</t>
        </is>
      </c>
    </row>
    <row r="3045">
      <c r="A3045" s="5" t="inlineStr">
        <is>
          <t>Shopify Stetson México › Stetson México</t>
        </is>
      </c>
      <c r="B3045" s="5">
        <f>IF($I2="","",INDEX(Productos!$A:$A,$I2))</f>
        <v/>
      </c>
      <c r="C3045" s="134" t="inlineStr">
        <is>
          <t>11-001-0465-0031-L</t>
        </is>
      </c>
      <c r="D3045" s="5">
        <f>IF($I2="","",INDEX(Productos!$B:$B,$I2))</f>
        <v/>
      </c>
      <c r="E3045" s="5">
        <f>IF($I2="","",INDEX(Productos!$H:$H,$I2))</f>
        <v/>
      </c>
      <c r="F3045" s="5">
        <f>IF($I2="","",INDEX(Productos!$I:$I,$I2))</f>
        <v/>
      </c>
      <c r="G3045" s="135" t="n">
        <v>2</v>
      </c>
      <c r="H3045" s="5">
        <f>IF($I2="","",INDEX(Productos!$AG:$AG,$I2))</f>
        <v/>
      </c>
      <c r="I3045" s="136">
        <f>LET(_xlpm.r,Productos!$E$2:$E$2509,_xlpm.m,IFERROR(_xlfn.XMATCH(C3045,_xlpm.r),IFERROR(_xlfn.XMATCH(VALUE(C3045),_xlpm.r),0)),IF(_xlpm.m=0,"",_xlpm.m+1))</f>
        <v/>
      </c>
      <c r="J3045" s="137" t="inlineStr">
        <is>
          <t>Shopify</t>
        </is>
      </c>
    </row>
    <row r="3046">
      <c r="A3046" s="5" t="inlineStr">
        <is>
          <t>Shopify Stetson México › Stetson México</t>
        </is>
      </c>
      <c r="B3046" s="5">
        <f>IF($I2="","",INDEX(Productos!$A:$A,$I2))</f>
        <v/>
      </c>
      <c r="C3046" s="134" t="inlineStr">
        <is>
          <t>11-001-0465-0031-M</t>
        </is>
      </c>
      <c r="D3046" s="5">
        <f>IF($I2="","",INDEX(Productos!$B:$B,$I2))</f>
        <v/>
      </c>
      <c r="E3046" s="5">
        <f>IF($I2="","",INDEX(Productos!$H:$H,$I2))</f>
        <v/>
      </c>
      <c r="F3046" s="5">
        <f>IF($I2="","",INDEX(Productos!$I:$I,$I2))</f>
        <v/>
      </c>
      <c r="G3046" s="135" t="n">
        <v>2</v>
      </c>
      <c r="H3046" s="5">
        <f>IF($I2="","",INDEX(Productos!$AG:$AG,$I2))</f>
        <v/>
      </c>
      <c r="I3046" s="136">
        <f>LET(_xlpm.r,Productos!$E$2:$E$2509,_xlpm.m,IFERROR(_xlfn.XMATCH(C3046,_xlpm.r),IFERROR(_xlfn.XMATCH(VALUE(C3046),_xlpm.r),0)),IF(_xlpm.m=0,"",_xlpm.m+1))</f>
        <v/>
      </c>
      <c r="J3046" s="137" t="inlineStr">
        <is>
          <t>Shopify</t>
        </is>
      </c>
    </row>
    <row r="3047">
      <c r="A3047" s="5" t="inlineStr">
        <is>
          <t>Shopify Stetson México › Stetson México</t>
        </is>
      </c>
      <c r="B3047" s="5">
        <f>IF($I2="","",INDEX(Productos!$A:$A,$I2))</f>
        <v/>
      </c>
      <c r="C3047" s="134" t="inlineStr">
        <is>
          <t>11-001-0465-0031-S</t>
        </is>
      </c>
      <c r="D3047" s="5">
        <f>IF($I2="","",INDEX(Productos!$B:$B,$I2))</f>
        <v/>
      </c>
      <c r="E3047" s="5">
        <f>IF($I2="","",INDEX(Productos!$H:$H,$I2))</f>
        <v/>
      </c>
      <c r="F3047" s="5">
        <f>IF($I2="","",INDEX(Productos!$I:$I,$I2))</f>
        <v/>
      </c>
      <c r="G3047" s="135" t="n">
        <v>2</v>
      </c>
      <c r="H3047" s="5">
        <f>IF($I2="","",INDEX(Productos!$AG:$AG,$I2))</f>
        <v/>
      </c>
      <c r="I3047" s="136">
        <f>LET(_xlpm.r,Productos!$E$2:$E$2509,_xlpm.m,IFERROR(_xlfn.XMATCH(C3047,_xlpm.r),IFERROR(_xlfn.XMATCH(VALUE(C3047),_xlpm.r),0)),IF(_xlpm.m=0,"",_xlpm.m+1))</f>
        <v/>
      </c>
      <c r="J3047" s="137" t="inlineStr">
        <is>
          <t>Shopify</t>
        </is>
      </c>
    </row>
    <row r="3048">
      <c r="A3048" s="5" t="inlineStr">
        <is>
          <t>Shopify Stetson México › Stetson México</t>
        </is>
      </c>
      <c r="B3048" s="5">
        <f>IF($I2="","",INDEX(Productos!$A:$A,$I2))</f>
        <v/>
      </c>
      <c r="C3048" s="134" t="inlineStr">
        <is>
          <t>11-001-0465-0031-XL</t>
        </is>
      </c>
      <c r="D3048" s="5">
        <f>IF($I2="","",INDEX(Productos!$B:$B,$I2))</f>
        <v/>
      </c>
      <c r="E3048" s="5">
        <f>IF($I2="","",INDEX(Productos!$H:$H,$I2))</f>
        <v/>
      </c>
      <c r="F3048" s="5">
        <f>IF($I2="","",INDEX(Productos!$I:$I,$I2))</f>
        <v/>
      </c>
      <c r="G3048" s="135" t="n">
        <v>2</v>
      </c>
      <c r="H3048" s="5">
        <f>IF($I2="","",INDEX(Productos!$AG:$AG,$I2))</f>
        <v/>
      </c>
      <c r="I3048" s="136">
        <f>LET(_xlpm.r,Productos!$E$2:$E$2509,_xlpm.m,IFERROR(_xlfn.XMATCH(C3048,_xlpm.r),IFERROR(_xlfn.XMATCH(VALUE(C3048),_xlpm.r),0)),IF(_xlpm.m=0,"",_xlpm.m+1))</f>
        <v/>
      </c>
      <c r="J3048" s="137" t="inlineStr">
        <is>
          <t>Shopify</t>
        </is>
      </c>
    </row>
    <row r="3049">
      <c r="A3049" s="5" t="inlineStr">
        <is>
          <t>Shopify Stetson México › Stetson México</t>
        </is>
      </c>
      <c r="B3049" s="5">
        <f>IF($I2="","",INDEX(Productos!$A:$A,$I2))</f>
        <v/>
      </c>
      <c r="C3049" s="134" t="inlineStr">
        <is>
          <t>11-001-0478-2030-2XL</t>
        </is>
      </c>
      <c r="D3049" s="5">
        <f>IF($I2="","",INDEX(Productos!$B:$B,$I2))</f>
        <v/>
      </c>
      <c r="E3049" s="5">
        <f>IF($I2="","",INDEX(Productos!$H:$H,$I2))</f>
        <v/>
      </c>
      <c r="F3049" s="5">
        <f>IF($I2="","",INDEX(Productos!$I:$I,$I2))</f>
        <v/>
      </c>
      <c r="G3049" s="135" t="n">
        <v>2</v>
      </c>
      <c r="H3049" s="5">
        <f>IF($I2="","",INDEX(Productos!$AG:$AG,$I2))</f>
        <v/>
      </c>
      <c r="I3049" s="136">
        <f>LET(_xlpm.r,Productos!$E$2:$E$2509,_xlpm.m,IFERROR(_xlfn.XMATCH(C3049,_xlpm.r),IFERROR(_xlfn.XMATCH(VALUE(C3049),_xlpm.r),0)),IF(_xlpm.m=0,"",_xlpm.m+1))</f>
        <v/>
      </c>
      <c r="J3049" s="137" t="inlineStr">
        <is>
          <t>Shopify</t>
        </is>
      </c>
    </row>
    <row r="3050">
      <c r="A3050" s="5" t="inlineStr">
        <is>
          <t>Shopify Stetson México › Stetson México</t>
        </is>
      </c>
      <c r="B3050" s="5">
        <f>IF($I2="","",INDEX(Productos!$A:$A,$I2))</f>
        <v/>
      </c>
      <c r="C3050" s="134" t="inlineStr">
        <is>
          <t>11-001-0478-2030-L</t>
        </is>
      </c>
      <c r="D3050" s="5">
        <f>IF($I2="","",INDEX(Productos!$B:$B,$I2))</f>
        <v/>
      </c>
      <c r="E3050" s="5">
        <f>IF($I2="","",INDEX(Productos!$H:$H,$I2))</f>
        <v/>
      </c>
      <c r="F3050" s="5">
        <f>IF($I2="","",INDEX(Productos!$I:$I,$I2))</f>
        <v/>
      </c>
      <c r="G3050" s="135" t="n">
        <v>1</v>
      </c>
      <c r="H3050" s="5">
        <f>IF($I2="","",INDEX(Productos!$AG:$AG,$I2))</f>
        <v/>
      </c>
      <c r="I3050" s="136">
        <f>LET(_xlpm.r,Productos!$E$2:$E$2509,_xlpm.m,IFERROR(_xlfn.XMATCH(C3050,_xlpm.r),IFERROR(_xlfn.XMATCH(VALUE(C3050),_xlpm.r),0)),IF(_xlpm.m=0,"",_xlpm.m+1))</f>
        <v/>
      </c>
      <c r="J3050" s="137" t="inlineStr">
        <is>
          <t>Shopify</t>
        </is>
      </c>
    </row>
    <row r="3051">
      <c r="A3051" s="5" t="inlineStr">
        <is>
          <t>Shopify Stetson México › Stetson México</t>
        </is>
      </c>
      <c r="B3051" s="5">
        <f>IF($I2="","",INDEX(Productos!$A:$A,$I2))</f>
        <v/>
      </c>
      <c r="C3051" s="134" t="inlineStr">
        <is>
          <t>11-001-0478-2030-S</t>
        </is>
      </c>
      <c r="D3051" s="5">
        <f>IF($I2="","",INDEX(Productos!$B:$B,$I2))</f>
        <v/>
      </c>
      <c r="E3051" s="5">
        <f>IF($I2="","",INDEX(Productos!$H:$H,$I2))</f>
        <v/>
      </c>
      <c r="F3051" s="5">
        <f>IF($I2="","",INDEX(Productos!$I:$I,$I2))</f>
        <v/>
      </c>
      <c r="G3051" s="135" t="n">
        <v>2</v>
      </c>
      <c r="H3051" s="5">
        <f>IF($I2="","",INDEX(Productos!$AG:$AG,$I2))</f>
        <v/>
      </c>
      <c r="I3051" s="136">
        <f>LET(_xlpm.r,Productos!$E$2:$E$2509,_xlpm.m,IFERROR(_xlfn.XMATCH(C3051,_xlpm.r),IFERROR(_xlfn.XMATCH(VALUE(C3051),_xlpm.r),0)),IF(_xlpm.m=0,"",_xlpm.m+1))</f>
        <v/>
      </c>
      <c r="J3051" s="137" t="inlineStr">
        <is>
          <t>Shopify</t>
        </is>
      </c>
    </row>
    <row r="3052">
      <c r="A3052" s="5" t="inlineStr">
        <is>
          <t>Shopify Stetson México › Stetson México</t>
        </is>
      </c>
      <c r="B3052" s="5">
        <f>IF($I2="","",INDEX(Productos!$A:$A,$I2))</f>
        <v/>
      </c>
      <c r="C3052" s="134" t="inlineStr">
        <is>
          <t>11-001-0478-2030-XL</t>
        </is>
      </c>
      <c r="D3052" s="5">
        <f>IF($I2="","",INDEX(Productos!$B:$B,$I2))</f>
        <v/>
      </c>
      <c r="E3052" s="5">
        <f>IF($I2="","",INDEX(Productos!$H:$H,$I2))</f>
        <v/>
      </c>
      <c r="F3052" s="5">
        <f>IF($I2="","",INDEX(Productos!$I:$I,$I2))</f>
        <v/>
      </c>
      <c r="G3052" s="135" t="n">
        <v>1</v>
      </c>
      <c r="H3052" s="5">
        <f>IF($I2="","",INDEX(Productos!$AG:$AG,$I2))</f>
        <v/>
      </c>
      <c r="I3052" s="136">
        <f>LET(_xlpm.r,Productos!$E$2:$E$2509,_xlpm.m,IFERROR(_xlfn.XMATCH(C3052,_xlpm.r),IFERROR(_xlfn.XMATCH(VALUE(C3052),_xlpm.r),0)),IF(_xlpm.m=0,"",_xlpm.m+1))</f>
        <v/>
      </c>
      <c r="J3052" s="137" t="inlineStr">
        <is>
          <t>Shopify</t>
        </is>
      </c>
    </row>
    <row r="3053">
      <c r="A3053" s="5" t="inlineStr">
        <is>
          <t>Shopify Stetson México › Stetson México</t>
        </is>
      </c>
      <c r="B3053" s="5">
        <f>IF($I2="","",INDEX(Productos!$A:$A,$I2))</f>
        <v/>
      </c>
      <c r="C3053" s="134" t="inlineStr">
        <is>
          <t>11-001-0478-2031-2XL</t>
        </is>
      </c>
      <c r="D3053" s="5">
        <f>IF($I2="","",INDEX(Productos!$B:$B,$I2))</f>
        <v/>
      </c>
      <c r="E3053" s="5">
        <f>IF($I2="","",INDEX(Productos!$H:$H,$I2))</f>
        <v/>
      </c>
      <c r="F3053" s="5">
        <f>IF($I2="","",INDEX(Productos!$I:$I,$I2))</f>
        <v/>
      </c>
      <c r="G3053" s="135" t="n">
        <v>2</v>
      </c>
      <c r="H3053" s="5">
        <f>IF($I2="","",INDEX(Productos!$AG:$AG,$I2))</f>
        <v/>
      </c>
      <c r="I3053" s="136">
        <f>LET(_xlpm.r,Productos!$E$2:$E$2509,_xlpm.m,IFERROR(_xlfn.XMATCH(C3053,_xlpm.r),IFERROR(_xlfn.XMATCH(VALUE(C3053),_xlpm.r),0)),IF(_xlpm.m=0,"",_xlpm.m+1))</f>
        <v/>
      </c>
      <c r="J3053" s="137" t="inlineStr">
        <is>
          <t>Shopify</t>
        </is>
      </c>
    </row>
    <row r="3054">
      <c r="A3054" s="5" t="inlineStr">
        <is>
          <t>Shopify Stetson México › Stetson México</t>
        </is>
      </c>
      <c r="B3054" s="5">
        <f>IF($I2="","",INDEX(Productos!$A:$A,$I2))</f>
        <v/>
      </c>
      <c r="C3054" s="134" t="inlineStr">
        <is>
          <t>11-001-0478-2031-S</t>
        </is>
      </c>
      <c r="D3054" s="5">
        <f>IF($I2="","",INDEX(Productos!$B:$B,$I2))</f>
        <v/>
      </c>
      <c r="E3054" s="5">
        <f>IF($I2="","",INDEX(Productos!$H:$H,$I2))</f>
        <v/>
      </c>
      <c r="F3054" s="5">
        <f>IF($I2="","",INDEX(Productos!$I:$I,$I2))</f>
        <v/>
      </c>
      <c r="G3054" s="135" t="n">
        <v>1</v>
      </c>
      <c r="H3054" s="5">
        <f>IF($I2="","",INDEX(Productos!$AG:$AG,$I2))</f>
        <v/>
      </c>
      <c r="I3054" s="136">
        <f>LET(_xlpm.r,Productos!$E$2:$E$2509,_xlpm.m,IFERROR(_xlfn.XMATCH(C3054,_xlpm.r),IFERROR(_xlfn.XMATCH(VALUE(C3054),_xlpm.r),0)),IF(_xlpm.m=0,"",_xlpm.m+1))</f>
        <v/>
      </c>
      <c r="J3054" s="137" t="inlineStr">
        <is>
          <t>Shopify</t>
        </is>
      </c>
    </row>
    <row r="3055">
      <c r="A3055" s="5" t="inlineStr">
        <is>
          <t>Shopify Stetson México › Stetson México</t>
        </is>
      </c>
      <c r="B3055" s="5">
        <f>IF($I2="","",INDEX(Productos!$A:$A,$I2))</f>
        <v/>
      </c>
      <c r="C3055" s="134" t="inlineStr">
        <is>
          <t>11-001-0478-2031-XL</t>
        </is>
      </c>
      <c r="D3055" s="5">
        <f>IF($I2="","",INDEX(Productos!$B:$B,$I2))</f>
        <v/>
      </c>
      <c r="E3055" s="5">
        <f>IF($I2="","",INDEX(Productos!$H:$H,$I2))</f>
        <v/>
      </c>
      <c r="F3055" s="5">
        <f>IF($I2="","",INDEX(Productos!$I:$I,$I2))</f>
        <v/>
      </c>
      <c r="G3055" s="135" t="n">
        <v>2</v>
      </c>
      <c r="H3055" s="5">
        <f>IF($I2="","",INDEX(Productos!$AG:$AG,$I2))</f>
        <v/>
      </c>
      <c r="I3055" s="136">
        <f>LET(_xlpm.r,Productos!$E$2:$E$2509,_xlpm.m,IFERROR(_xlfn.XMATCH(C3055,_xlpm.r),IFERROR(_xlfn.XMATCH(VALUE(C3055),_xlpm.r),0)),IF(_xlpm.m=0,"",_xlpm.m+1))</f>
        <v/>
      </c>
      <c r="J3055" s="137" t="inlineStr">
        <is>
          <t>Shopify</t>
        </is>
      </c>
    </row>
    <row r="3056">
      <c r="A3056" s="5" t="inlineStr">
        <is>
          <t>Shopify Stetson México › Stetson México</t>
        </is>
      </c>
      <c r="B3056" s="5">
        <f>IF($I2="","",INDEX(Productos!$A:$A,$I2))</f>
        <v/>
      </c>
      <c r="C3056" s="134" t="inlineStr">
        <is>
          <t>11-001-0478-2033-2XL</t>
        </is>
      </c>
      <c r="D3056" s="5">
        <f>IF($I2="","",INDEX(Productos!$B:$B,$I2))</f>
        <v/>
      </c>
      <c r="E3056" s="5">
        <f>IF($I2="","",INDEX(Productos!$H:$H,$I2))</f>
        <v/>
      </c>
      <c r="F3056" s="5">
        <f>IF($I2="","",INDEX(Productos!$I:$I,$I2))</f>
        <v/>
      </c>
      <c r="G3056" s="135" t="n">
        <v>2</v>
      </c>
      <c r="H3056" s="5">
        <f>IF($I2="","",INDEX(Productos!$AG:$AG,$I2))</f>
        <v/>
      </c>
      <c r="I3056" s="136">
        <f>LET(_xlpm.r,Productos!$E$2:$E$2509,_xlpm.m,IFERROR(_xlfn.XMATCH(C3056,_xlpm.r),IFERROR(_xlfn.XMATCH(VALUE(C3056),_xlpm.r),0)),IF(_xlpm.m=0,"",_xlpm.m+1))</f>
        <v/>
      </c>
      <c r="J3056" s="137" t="inlineStr">
        <is>
          <t>Shopify</t>
        </is>
      </c>
    </row>
    <row r="3057">
      <c r="A3057" s="5" t="inlineStr">
        <is>
          <t>Shopify Stetson México › Stetson México</t>
        </is>
      </c>
      <c r="B3057" s="5">
        <f>IF($I2="","",INDEX(Productos!$A:$A,$I2))</f>
        <v/>
      </c>
      <c r="C3057" s="134" t="inlineStr">
        <is>
          <t>11-001-0478-2033-XL</t>
        </is>
      </c>
      <c r="D3057" s="5">
        <f>IF($I2="","",INDEX(Productos!$B:$B,$I2))</f>
        <v/>
      </c>
      <c r="E3057" s="5">
        <f>IF($I2="","",INDEX(Productos!$H:$H,$I2))</f>
        <v/>
      </c>
      <c r="F3057" s="5">
        <f>IF($I2="","",INDEX(Productos!$I:$I,$I2))</f>
        <v/>
      </c>
      <c r="G3057" s="135" t="n">
        <v>1</v>
      </c>
      <c r="H3057" s="5">
        <f>IF($I2="","",INDEX(Productos!$AG:$AG,$I2))</f>
        <v/>
      </c>
      <c r="I3057" s="136">
        <f>LET(_xlpm.r,Productos!$E$2:$E$2509,_xlpm.m,IFERROR(_xlfn.XMATCH(C3057,_xlpm.r),IFERROR(_xlfn.XMATCH(VALUE(C3057),_xlpm.r),0)),IF(_xlpm.m=0,"",_xlpm.m+1))</f>
        <v/>
      </c>
      <c r="J3057" s="137" t="inlineStr">
        <is>
          <t>Shopify</t>
        </is>
      </c>
    </row>
    <row r="3058">
      <c r="A3058" s="5" t="inlineStr">
        <is>
          <t>Shopify Stetson México › Stetson México</t>
        </is>
      </c>
      <c r="B3058" s="5">
        <f>IF($I2="","",INDEX(Productos!$A:$A,$I2))</f>
        <v/>
      </c>
      <c r="C3058" s="134" t="inlineStr">
        <is>
          <t>11-001-0526-2051-2XL</t>
        </is>
      </c>
      <c r="D3058" s="5">
        <f>IF($I2="","",INDEX(Productos!$B:$B,$I2))</f>
        <v/>
      </c>
      <c r="E3058" s="5">
        <f>IF($I2="","",INDEX(Productos!$H:$H,$I2))</f>
        <v/>
      </c>
      <c r="F3058" s="5">
        <f>IF($I2="","",INDEX(Productos!$I:$I,$I2))</f>
        <v/>
      </c>
      <c r="G3058" s="135" t="n">
        <v>1</v>
      </c>
      <c r="H3058" s="5">
        <f>IF($I2="","",INDEX(Productos!$AG:$AG,$I2))</f>
        <v/>
      </c>
      <c r="I3058" s="136">
        <f>LET(_xlpm.r,Productos!$E$2:$E$2509,_xlpm.m,IFERROR(_xlfn.XMATCH(C3058,_xlpm.r),IFERROR(_xlfn.XMATCH(VALUE(C3058),_xlpm.r),0)),IF(_xlpm.m=0,"",_xlpm.m+1))</f>
        <v/>
      </c>
      <c r="J3058" s="137" t="inlineStr">
        <is>
          <t>Shopify</t>
        </is>
      </c>
    </row>
    <row r="3059">
      <c r="A3059" s="5" t="inlineStr">
        <is>
          <t>Shopify Stetson México › Stetson México</t>
        </is>
      </c>
      <c r="B3059" s="5">
        <f>IF($I2="","",INDEX(Productos!$A:$A,$I2))</f>
        <v/>
      </c>
      <c r="C3059" s="134" t="inlineStr">
        <is>
          <t>11-001-0526-2051-L</t>
        </is>
      </c>
      <c r="D3059" s="5">
        <f>IF($I2="","",INDEX(Productos!$B:$B,$I2))</f>
        <v/>
      </c>
      <c r="E3059" s="5">
        <f>IF($I2="","",INDEX(Productos!$H:$H,$I2))</f>
        <v/>
      </c>
      <c r="F3059" s="5">
        <f>IF($I2="","",INDEX(Productos!$I:$I,$I2))</f>
        <v/>
      </c>
      <c r="G3059" s="135" t="n">
        <v>1</v>
      </c>
      <c r="H3059" s="5">
        <f>IF($I2="","",INDEX(Productos!$AG:$AG,$I2))</f>
        <v/>
      </c>
      <c r="I3059" s="136">
        <f>LET(_xlpm.r,Productos!$E$2:$E$2509,_xlpm.m,IFERROR(_xlfn.XMATCH(C3059,_xlpm.r),IFERROR(_xlfn.XMATCH(VALUE(C3059),_xlpm.r),0)),IF(_xlpm.m=0,"",_xlpm.m+1))</f>
        <v/>
      </c>
      <c r="J3059" s="137" t="inlineStr">
        <is>
          <t>Shopify</t>
        </is>
      </c>
    </row>
    <row r="3060">
      <c r="A3060" s="5" t="inlineStr">
        <is>
          <t>Shopify Stetson México › Stetson México</t>
        </is>
      </c>
      <c r="B3060" s="5">
        <f>IF($I2="","",INDEX(Productos!$A:$A,$I2))</f>
        <v/>
      </c>
      <c r="C3060" s="134" t="inlineStr">
        <is>
          <t>11-001-0526-2051-M</t>
        </is>
      </c>
      <c r="D3060" s="5">
        <f>IF($I2="","",INDEX(Productos!$B:$B,$I2))</f>
        <v/>
      </c>
      <c r="E3060" s="5">
        <f>IF($I2="","",INDEX(Productos!$H:$H,$I2))</f>
        <v/>
      </c>
      <c r="F3060" s="5">
        <f>IF($I2="","",INDEX(Productos!$I:$I,$I2))</f>
        <v/>
      </c>
      <c r="G3060" s="135" t="n">
        <v>1</v>
      </c>
      <c r="H3060" s="5">
        <f>IF($I2="","",INDEX(Productos!$AG:$AG,$I2))</f>
        <v/>
      </c>
      <c r="I3060" s="136">
        <f>LET(_xlpm.r,Productos!$E$2:$E$2509,_xlpm.m,IFERROR(_xlfn.XMATCH(C3060,_xlpm.r),IFERROR(_xlfn.XMATCH(VALUE(C3060),_xlpm.r),0)),IF(_xlpm.m=0,"",_xlpm.m+1))</f>
        <v/>
      </c>
      <c r="J3060" s="137" t="inlineStr">
        <is>
          <t>Shopify</t>
        </is>
      </c>
    </row>
    <row r="3061">
      <c r="A3061" s="5" t="inlineStr">
        <is>
          <t>Shopify Stetson México › Stetson México</t>
        </is>
      </c>
      <c r="B3061" s="5">
        <f>IF($I2="","",INDEX(Productos!$A:$A,$I2))</f>
        <v/>
      </c>
      <c r="C3061" s="134" t="inlineStr">
        <is>
          <t>11-001-0526-2051-S</t>
        </is>
      </c>
      <c r="D3061" s="5">
        <f>IF($I2="","",INDEX(Productos!$B:$B,$I2))</f>
        <v/>
      </c>
      <c r="E3061" s="5">
        <f>IF($I2="","",INDEX(Productos!$H:$H,$I2))</f>
        <v/>
      </c>
      <c r="F3061" s="5">
        <f>IF($I2="","",INDEX(Productos!$I:$I,$I2))</f>
        <v/>
      </c>
      <c r="G3061" s="135" t="n">
        <v>1</v>
      </c>
      <c r="H3061" s="5">
        <f>IF($I2="","",INDEX(Productos!$AG:$AG,$I2))</f>
        <v/>
      </c>
      <c r="I3061" s="136">
        <f>LET(_xlpm.r,Productos!$E$2:$E$2509,_xlpm.m,IFERROR(_xlfn.XMATCH(C3061,_xlpm.r),IFERROR(_xlfn.XMATCH(VALUE(C3061),_xlpm.r),0)),IF(_xlpm.m=0,"",_xlpm.m+1))</f>
        <v/>
      </c>
      <c r="J3061" s="137" t="inlineStr">
        <is>
          <t>Shopify</t>
        </is>
      </c>
    </row>
    <row r="3062">
      <c r="A3062" s="5" t="inlineStr">
        <is>
          <t>Shopify Stetson México › Stetson México</t>
        </is>
      </c>
      <c r="B3062" s="5">
        <f>IF($I2="","",INDEX(Productos!$A:$A,$I2))</f>
        <v/>
      </c>
      <c r="C3062" s="134" t="inlineStr">
        <is>
          <t>11-001-0526-2067-2XL</t>
        </is>
      </c>
      <c r="D3062" s="5">
        <f>IF($I2="","",INDEX(Productos!$B:$B,$I2))</f>
        <v/>
      </c>
      <c r="E3062" s="5">
        <f>IF($I2="","",INDEX(Productos!$H:$H,$I2))</f>
        <v/>
      </c>
      <c r="F3062" s="5">
        <f>IF($I2="","",INDEX(Productos!$I:$I,$I2))</f>
        <v/>
      </c>
      <c r="G3062" s="135" t="n">
        <v>2</v>
      </c>
      <c r="H3062" s="5">
        <f>IF($I2="","",INDEX(Productos!$AG:$AG,$I2))</f>
        <v/>
      </c>
      <c r="I3062" s="136">
        <f>LET(_xlpm.r,Productos!$E$2:$E$2509,_xlpm.m,IFERROR(_xlfn.XMATCH(C3062,_xlpm.r),IFERROR(_xlfn.XMATCH(VALUE(C3062),_xlpm.r),0)),IF(_xlpm.m=0,"",_xlpm.m+1))</f>
        <v/>
      </c>
      <c r="J3062" s="137" t="inlineStr">
        <is>
          <t>Shopify</t>
        </is>
      </c>
    </row>
    <row r="3063">
      <c r="A3063" s="5" t="inlineStr">
        <is>
          <t>Shopify Stetson México › Stetson México</t>
        </is>
      </c>
      <c r="B3063" s="5">
        <f>IF($I2="","",INDEX(Productos!$A:$A,$I2))</f>
        <v/>
      </c>
      <c r="C3063" s="134" t="inlineStr">
        <is>
          <t>11-001-0526-2067-L</t>
        </is>
      </c>
      <c r="D3063" s="5">
        <f>IF($I2="","",INDEX(Productos!$B:$B,$I2))</f>
        <v/>
      </c>
      <c r="E3063" s="5">
        <f>IF($I2="","",INDEX(Productos!$H:$H,$I2))</f>
        <v/>
      </c>
      <c r="F3063" s="5">
        <f>IF($I2="","",INDEX(Productos!$I:$I,$I2))</f>
        <v/>
      </c>
      <c r="G3063" s="135" t="n">
        <v>2</v>
      </c>
      <c r="H3063" s="5">
        <f>IF($I2="","",INDEX(Productos!$AG:$AG,$I2))</f>
        <v/>
      </c>
      <c r="I3063" s="136">
        <f>LET(_xlpm.r,Productos!$E$2:$E$2509,_xlpm.m,IFERROR(_xlfn.XMATCH(C3063,_xlpm.r),IFERROR(_xlfn.XMATCH(VALUE(C3063),_xlpm.r),0)),IF(_xlpm.m=0,"",_xlpm.m+1))</f>
        <v/>
      </c>
      <c r="J3063" s="137" t="inlineStr">
        <is>
          <t>Shopify</t>
        </is>
      </c>
    </row>
    <row r="3064">
      <c r="A3064" s="5" t="inlineStr">
        <is>
          <t>Shopify Stetson México › Stetson México</t>
        </is>
      </c>
      <c r="B3064" s="5">
        <f>IF($I2="","",INDEX(Productos!$A:$A,$I2))</f>
        <v/>
      </c>
      <c r="C3064" s="134" t="inlineStr">
        <is>
          <t>11-001-0526-2067-M</t>
        </is>
      </c>
      <c r="D3064" s="5">
        <f>IF($I2="","",INDEX(Productos!$B:$B,$I2))</f>
        <v/>
      </c>
      <c r="E3064" s="5">
        <f>IF($I2="","",INDEX(Productos!$H:$H,$I2))</f>
        <v/>
      </c>
      <c r="F3064" s="5">
        <f>IF($I2="","",INDEX(Productos!$I:$I,$I2))</f>
        <v/>
      </c>
      <c r="G3064" s="135" t="n">
        <v>3</v>
      </c>
      <c r="H3064" s="5">
        <f>IF($I2="","",INDEX(Productos!$AG:$AG,$I2))</f>
        <v/>
      </c>
      <c r="I3064" s="136">
        <f>LET(_xlpm.r,Productos!$E$2:$E$2509,_xlpm.m,IFERROR(_xlfn.XMATCH(C3064,_xlpm.r),IFERROR(_xlfn.XMATCH(VALUE(C3064),_xlpm.r),0)),IF(_xlpm.m=0,"",_xlpm.m+1))</f>
        <v/>
      </c>
      <c r="J3064" s="137" t="inlineStr">
        <is>
          <t>Shopify</t>
        </is>
      </c>
    </row>
    <row r="3065">
      <c r="A3065" s="5" t="inlineStr">
        <is>
          <t>Shopify Stetson México › Stetson México</t>
        </is>
      </c>
      <c r="B3065" s="5">
        <f>IF($I2="","",INDEX(Productos!$A:$A,$I2))</f>
        <v/>
      </c>
      <c r="C3065" s="134" t="inlineStr">
        <is>
          <t>11-001-0526-2067-S</t>
        </is>
      </c>
      <c r="D3065" s="5">
        <f>IF($I2="","",INDEX(Productos!$B:$B,$I2))</f>
        <v/>
      </c>
      <c r="E3065" s="5">
        <f>IF($I2="","",INDEX(Productos!$H:$H,$I2))</f>
        <v/>
      </c>
      <c r="F3065" s="5">
        <f>IF($I2="","",INDEX(Productos!$I:$I,$I2))</f>
        <v/>
      </c>
      <c r="G3065" s="135" t="n">
        <v>2</v>
      </c>
      <c r="H3065" s="5">
        <f>IF($I2="","",INDEX(Productos!$AG:$AG,$I2))</f>
        <v/>
      </c>
      <c r="I3065" s="136">
        <f>LET(_xlpm.r,Productos!$E$2:$E$2509,_xlpm.m,IFERROR(_xlfn.XMATCH(C3065,_xlpm.r),IFERROR(_xlfn.XMATCH(VALUE(C3065),_xlpm.r),0)),IF(_xlpm.m=0,"",_xlpm.m+1))</f>
        <v/>
      </c>
      <c r="J3065" s="137" t="inlineStr">
        <is>
          <t>Shopify</t>
        </is>
      </c>
    </row>
    <row r="3066">
      <c r="A3066" s="5" t="inlineStr">
        <is>
          <t>Shopify Stetson México › Stetson México</t>
        </is>
      </c>
      <c r="B3066" s="5">
        <f>IF($I2="","",INDEX(Productos!$A:$A,$I2))</f>
        <v/>
      </c>
      <c r="C3066" s="134" t="inlineStr">
        <is>
          <t>11-001-0526-2067-XL</t>
        </is>
      </c>
      <c r="D3066" s="5">
        <f>IF($I2="","",INDEX(Productos!$B:$B,$I2))</f>
        <v/>
      </c>
      <c r="E3066" s="5">
        <f>IF($I2="","",INDEX(Productos!$H:$H,$I2))</f>
        <v/>
      </c>
      <c r="F3066" s="5">
        <f>IF($I2="","",INDEX(Productos!$I:$I,$I2))</f>
        <v/>
      </c>
      <c r="G3066" s="135" t="n">
        <v>2</v>
      </c>
      <c r="H3066" s="5">
        <f>IF($I2="","",INDEX(Productos!$AG:$AG,$I2))</f>
        <v/>
      </c>
      <c r="I3066" s="136">
        <f>LET(_xlpm.r,Productos!$E$2:$E$2509,_xlpm.m,IFERROR(_xlfn.XMATCH(C3066,_xlpm.r),IFERROR(_xlfn.XMATCH(VALUE(C3066),_xlpm.r),0)),IF(_xlpm.m=0,"",_xlpm.m+1))</f>
        <v/>
      </c>
      <c r="J3066" s="137" t="inlineStr">
        <is>
          <t>Shopify</t>
        </is>
      </c>
    </row>
    <row r="3067">
      <c r="A3067" s="5" t="inlineStr">
        <is>
          <t>Shopify Stetson México › Stetson México</t>
        </is>
      </c>
      <c r="B3067" s="5">
        <f>IF($I2="","",INDEX(Productos!$A:$A,$I2))</f>
        <v/>
      </c>
      <c r="C3067" s="134" t="inlineStr">
        <is>
          <t>11-002-0478-2030-2XL</t>
        </is>
      </c>
      <c r="D3067" s="5">
        <f>IF($I2="","",INDEX(Productos!$B:$B,$I2))</f>
        <v/>
      </c>
      <c r="E3067" s="5">
        <f>IF($I2="","",INDEX(Productos!$H:$H,$I2))</f>
        <v/>
      </c>
      <c r="F3067" s="5">
        <f>IF($I2="","",INDEX(Productos!$I:$I,$I2))</f>
        <v/>
      </c>
      <c r="G3067" s="135" t="n">
        <v>2</v>
      </c>
      <c r="H3067" s="5">
        <f>IF($I2="","",INDEX(Productos!$AG:$AG,$I2))</f>
        <v/>
      </c>
      <c r="I3067" s="136">
        <f>LET(_xlpm.r,Productos!$E$2:$E$2509,_xlpm.m,IFERROR(_xlfn.XMATCH(C3067,_xlpm.r),IFERROR(_xlfn.XMATCH(VALUE(C3067),_xlpm.r),0)),IF(_xlpm.m=0,"",_xlpm.m+1))</f>
        <v/>
      </c>
      <c r="J3067" s="137" t="inlineStr">
        <is>
          <t>Shopify</t>
        </is>
      </c>
    </row>
    <row r="3068">
      <c r="A3068" s="5" t="inlineStr">
        <is>
          <t>Shopify Stetson México › Stetson México</t>
        </is>
      </c>
      <c r="B3068" s="5">
        <f>IF($I2="","",INDEX(Productos!$A:$A,$I2))</f>
        <v/>
      </c>
      <c r="C3068" s="134" t="inlineStr">
        <is>
          <t>11-002-0478-2030-M</t>
        </is>
      </c>
      <c r="D3068" s="5">
        <f>IF($I2="","",INDEX(Productos!$B:$B,$I2))</f>
        <v/>
      </c>
      <c r="E3068" s="5">
        <f>IF($I2="","",INDEX(Productos!$H:$H,$I2))</f>
        <v/>
      </c>
      <c r="F3068" s="5">
        <f>IF($I2="","",INDEX(Productos!$I:$I,$I2))</f>
        <v/>
      </c>
      <c r="G3068" s="135" t="n">
        <v>2</v>
      </c>
      <c r="H3068" s="5">
        <f>IF($I2="","",INDEX(Productos!$AG:$AG,$I2))</f>
        <v/>
      </c>
      <c r="I3068" s="136">
        <f>LET(_xlpm.r,Productos!$E$2:$E$2509,_xlpm.m,IFERROR(_xlfn.XMATCH(C3068,_xlpm.r),IFERROR(_xlfn.XMATCH(VALUE(C3068),_xlpm.r),0)),IF(_xlpm.m=0,"",_xlpm.m+1))</f>
        <v/>
      </c>
      <c r="J3068" s="137" t="inlineStr">
        <is>
          <t>Shopify</t>
        </is>
      </c>
    </row>
    <row r="3069">
      <c r="A3069" s="5" t="inlineStr">
        <is>
          <t>Shopify Stetson México › Stetson México</t>
        </is>
      </c>
      <c r="B3069" s="5">
        <f>IF($I2="","",INDEX(Productos!$A:$A,$I2))</f>
        <v/>
      </c>
      <c r="C3069" s="134" t="inlineStr">
        <is>
          <t>11-002-0478-2030-S</t>
        </is>
      </c>
      <c r="D3069" s="5">
        <f>IF($I2="","",INDEX(Productos!$B:$B,$I2))</f>
        <v/>
      </c>
      <c r="E3069" s="5">
        <f>IF($I2="","",INDEX(Productos!$H:$H,$I2))</f>
        <v/>
      </c>
      <c r="F3069" s="5">
        <f>IF($I2="","",INDEX(Productos!$I:$I,$I2))</f>
        <v/>
      </c>
      <c r="G3069" s="135" t="n">
        <v>1</v>
      </c>
      <c r="H3069" s="5">
        <f>IF($I2="","",INDEX(Productos!$AG:$AG,$I2))</f>
        <v/>
      </c>
      <c r="I3069" s="136">
        <f>LET(_xlpm.r,Productos!$E$2:$E$2509,_xlpm.m,IFERROR(_xlfn.XMATCH(C3069,_xlpm.r),IFERROR(_xlfn.XMATCH(VALUE(C3069),_xlpm.r),0)),IF(_xlpm.m=0,"",_xlpm.m+1))</f>
        <v/>
      </c>
      <c r="J3069" s="137" t="inlineStr">
        <is>
          <t>Shopify</t>
        </is>
      </c>
    </row>
    <row r="3070">
      <c r="A3070" s="5" t="inlineStr">
        <is>
          <t>Shopify Stetson México › Stetson México</t>
        </is>
      </c>
      <c r="B3070" s="5">
        <f>IF($I2="","",INDEX(Productos!$A:$A,$I2))</f>
        <v/>
      </c>
      <c r="C3070" s="134" t="inlineStr">
        <is>
          <t>11-002-0478-2030-XL</t>
        </is>
      </c>
      <c r="D3070" s="5">
        <f>IF($I2="","",INDEX(Productos!$B:$B,$I2))</f>
        <v/>
      </c>
      <c r="E3070" s="5">
        <f>IF($I2="","",INDEX(Productos!$H:$H,$I2))</f>
        <v/>
      </c>
      <c r="F3070" s="5">
        <f>IF($I2="","",INDEX(Productos!$I:$I,$I2))</f>
        <v/>
      </c>
      <c r="G3070" s="135" t="n">
        <v>2</v>
      </c>
      <c r="H3070" s="5">
        <f>IF($I2="","",INDEX(Productos!$AG:$AG,$I2))</f>
        <v/>
      </c>
      <c r="I3070" s="136">
        <f>LET(_xlpm.r,Productos!$E$2:$E$2509,_xlpm.m,IFERROR(_xlfn.XMATCH(C3070,_xlpm.r),IFERROR(_xlfn.XMATCH(VALUE(C3070),_xlpm.r),0)),IF(_xlpm.m=0,"",_xlpm.m+1))</f>
        <v/>
      </c>
      <c r="J3070" s="137" t="inlineStr">
        <is>
          <t>Shopify</t>
        </is>
      </c>
    </row>
    <row r="3071">
      <c r="A3071" s="5" t="inlineStr">
        <is>
          <t>Shopify Stetson México › Stetson México</t>
        </is>
      </c>
      <c r="B3071" s="5">
        <f>IF($I2="","",INDEX(Productos!$A:$A,$I2))</f>
        <v/>
      </c>
      <c r="C3071" s="134" t="inlineStr">
        <is>
          <t>11-002-0526-2067-2XL</t>
        </is>
      </c>
      <c r="D3071" s="5">
        <f>IF($I2="","",INDEX(Productos!$B:$B,$I2))</f>
        <v/>
      </c>
      <c r="E3071" s="5">
        <f>IF($I2="","",INDEX(Productos!$H:$H,$I2))</f>
        <v/>
      </c>
      <c r="F3071" s="5">
        <f>IF($I2="","",INDEX(Productos!$I:$I,$I2))</f>
        <v/>
      </c>
      <c r="G3071" s="135" t="n">
        <v>2</v>
      </c>
      <c r="H3071" s="5">
        <f>IF($I2="","",INDEX(Productos!$AG:$AG,$I2))</f>
        <v/>
      </c>
      <c r="I3071" s="136">
        <f>LET(_xlpm.r,Productos!$E$2:$E$2509,_xlpm.m,IFERROR(_xlfn.XMATCH(C3071,_xlpm.r),IFERROR(_xlfn.XMATCH(VALUE(C3071),_xlpm.r),0)),IF(_xlpm.m=0,"",_xlpm.m+1))</f>
        <v/>
      </c>
      <c r="J3071" s="137" t="inlineStr">
        <is>
          <t>Shopify</t>
        </is>
      </c>
    </row>
    <row r="3072">
      <c r="A3072" s="5" t="inlineStr">
        <is>
          <t>Shopify Stetson México › Stetson México</t>
        </is>
      </c>
      <c r="B3072" s="5">
        <f>IF($I2="","",INDEX(Productos!$A:$A,$I2))</f>
        <v/>
      </c>
      <c r="C3072" s="134" t="inlineStr">
        <is>
          <t>11-002-0526-2067-M</t>
        </is>
      </c>
      <c r="D3072" s="5">
        <f>IF($I2="","",INDEX(Productos!$B:$B,$I2))</f>
        <v/>
      </c>
      <c r="E3072" s="5">
        <f>IF($I2="","",INDEX(Productos!$H:$H,$I2))</f>
        <v/>
      </c>
      <c r="F3072" s="5">
        <f>IF($I2="","",INDEX(Productos!$I:$I,$I2))</f>
        <v/>
      </c>
      <c r="G3072" s="135" t="n">
        <v>1</v>
      </c>
      <c r="H3072" s="5">
        <f>IF($I2="","",INDEX(Productos!$AG:$AG,$I2))</f>
        <v/>
      </c>
      <c r="I3072" s="136">
        <f>LET(_xlpm.r,Productos!$E$2:$E$2509,_xlpm.m,IFERROR(_xlfn.XMATCH(C3072,_xlpm.r),IFERROR(_xlfn.XMATCH(VALUE(C3072),_xlpm.r),0)),IF(_xlpm.m=0,"",_xlpm.m+1))</f>
        <v/>
      </c>
      <c r="J3072" s="137" t="inlineStr">
        <is>
          <t>Shopify</t>
        </is>
      </c>
    </row>
    <row r="3073">
      <c r="A3073" s="5" t="inlineStr">
        <is>
          <t>Shopify Stetson México › Stetson México</t>
        </is>
      </c>
      <c r="B3073" s="5">
        <f>IF($I2="","",INDEX(Productos!$A:$A,$I2))</f>
        <v/>
      </c>
      <c r="C3073" s="134" t="inlineStr">
        <is>
          <t>11-002-0526-2067-S</t>
        </is>
      </c>
      <c r="D3073" s="5">
        <f>IF($I2="","",INDEX(Productos!$B:$B,$I2))</f>
        <v/>
      </c>
      <c r="E3073" s="5">
        <f>IF($I2="","",INDEX(Productos!$H:$H,$I2))</f>
        <v/>
      </c>
      <c r="F3073" s="5">
        <f>IF($I2="","",INDEX(Productos!$I:$I,$I2))</f>
        <v/>
      </c>
      <c r="G3073" s="135" t="n">
        <v>2</v>
      </c>
      <c r="H3073" s="5">
        <f>IF($I2="","",INDEX(Productos!$AG:$AG,$I2))</f>
        <v/>
      </c>
      <c r="I3073" s="136">
        <f>LET(_xlpm.r,Productos!$E$2:$E$2509,_xlpm.m,IFERROR(_xlfn.XMATCH(C3073,_xlpm.r),IFERROR(_xlfn.XMATCH(VALUE(C3073),_xlpm.r),0)),IF(_xlpm.m=0,"",_xlpm.m+1))</f>
        <v/>
      </c>
      <c r="J3073" s="137" t="inlineStr">
        <is>
          <t>Shopify</t>
        </is>
      </c>
    </row>
    <row r="3074">
      <c r="A3074" s="5" t="inlineStr">
        <is>
          <t>Shopify Stetson México › Stetson México</t>
        </is>
      </c>
      <c r="B3074" s="5">
        <f>IF($I2="","",INDEX(Productos!$A:$A,$I2))</f>
        <v/>
      </c>
      <c r="C3074" s="134" t="inlineStr">
        <is>
          <t>11-002-0526-2067-XL</t>
        </is>
      </c>
      <c r="D3074" s="5">
        <f>IF($I2="","",INDEX(Productos!$B:$B,$I2))</f>
        <v/>
      </c>
      <c r="E3074" s="5">
        <f>IF($I2="","",INDEX(Productos!$H:$H,$I2))</f>
        <v/>
      </c>
      <c r="F3074" s="5">
        <f>IF($I2="","",INDEX(Productos!$I:$I,$I2))</f>
        <v/>
      </c>
      <c r="G3074" s="135" t="n">
        <v>2</v>
      </c>
      <c r="H3074" s="5">
        <f>IF($I2="","",INDEX(Productos!$AG:$AG,$I2))</f>
        <v/>
      </c>
      <c r="I3074" s="136">
        <f>LET(_xlpm.r,Productos!$E$2:$E$2509,_xlpm.m,IFERROR(_xlfn.XMATCH(C3074,_xlpm.r),IFERROR(_xlfn.XMATCH(VALUE(C3074),_xlpm.r),0)),IF(_xlpm.m=0,"",_xlpm.m+1))</f>
        <v/>
      </c>
      <c r="J3074" s="137" t="inlineStr">
        <is>
          <t>Shopify</t>
        </is>
      </c>
    </row>
    <row r="3075">
      <c r="A3075" s="5" t="inlineStr">
        <is>
          <t>Shopify Stetson México › Stetson México</t>
        </is>
      </c>
      <c r="B3075" s="5">
        <f>IF($I2="","",INDEX(Productos!$A:$A,$I2))</f>
        <v/>
      </c>
      <c r="C3075" s="134" t="inlineStr">
        <is>
          <t>11-030-0489-0025-L</t>
        </is>
      </c>
      <c r="D3075" s="5">
        <f>IF($I2="","",INDEX(Productos!$B:$B,$I2))</f>
        <v/>
      </c>
      <c r="E3075" s="5">
        <f>IF($I2="","",INDEX(Productos!$H:$H,$I2))</f>
        <v/>
      </c>
      <c r="F3075" s="5">
        <f>IF($I2="","",INDEX(Productos!$I:$I,$I2))</f>
        <v/>
      </c>
      <c r="G3075" s="135" t="n">
        <v>2</v>
      </c>
      <c r="H3075" s="5">
        <f>IF($I2="","",INDEX(Productos!$AG:$AG,$I2))</f>
        <v/>
      </c>
      <c r="I3075" s="136">
        <f>LET(_xlpm.r,Productos!$E$2:$E$2509,_xlpm.m,IFERROR(_xlfn.XMATCH(C3075,_xlpm.r),IFERROR(_xlfn.XMATCH(VALUE(C3075),_xlpm.r),0)),IF(_xlpm.m=0,"",_xlpm.m+1))</f>
        <v/>
      </c>
      <c r="J3075" s="137" t="inlineStr">
        <is>
          <t>Shopify</t>
        </is>
      </c>
    </row>
    <row r="3076">
      <c r="A3076" s="5" t="inlineStr">
        <is>
          <t>Shopify Stetson México › Stetson México</t>
        </is>
      </c>
      <c r="B3076" s="5">
        <f>IF($I2="","",INDEX(Productos!$A:$A,$I2))</f>
        <v/>
      </c>
      <c r="C3076" s="134" t="inlineStr">
        <is>
          <t>11-030-0489-0025-S</t>
        </is>
      </c>
      <c r="D3076" s="5">
        <f>IF($I2="","",INDEX(Productos!$B:$B,$I2))</f>
        <v/>
      </c>
      <c r="E3076" s="5">
        <f>IF($I2="","",INDEX(Productos!$H:$H,$I2))</f>
        <v/>
      </c>
      <c r="F3076" s="5">
        <f>IF($I2="","",INDEX(Productos!$I:$I,$I2))</f>
        <v/>
      </c>
      <c r="G3076" s="135" t="n">
        <v>2</v>
      </c>
      <c r="H3076" s="5">
        <f>IF($I2="","",INDEX(Productos!$AG:$AG,$I2))</f>
        <v/>
      </c>
      <c r="I3076" s="136">
        <f>LET(_xlpm.r,Productos!$E$2:$E$2509,_xlpm.m,IFERROR(_xlfn.XMATCH(C3076,_xlpm.r),IFERROR(_xlfn.XMATCH(VALUE(C3076),_xlpm.r),0)),IF(_xlpm.m=0,"",_xlpm.m+1))</f>
        <v/>
      </c>
      <c r="J3076" s="137" t="inlineStr">
        <is>
          <t>Shopify</t>
        </is>
      </c>
    </row>
    <row r="3077">
      <c r="A3077" s="5" t="inlineStr">
        <is>
          <t>Shopify Stetson México › Stetson México</t>
        </is>
      </c>
      <c r="B3077" s="5">
        <f>IF($I2="","",INDEX(Productos!$A:$A,$I2))</f>
        <v/>
      </c>
      <c r="C3077" s="134" t="inlineStr">
        <is>
          <t>11-030-0489-0025-XL</t>
        </is>
      </c>
      <c r="D3077" s="5">
        <f>IF($I2="","",INDEX(Productos!$B:$B,$I2))</f>
        <v/>
      </c>
      <c r="E3077" s="5">
        <f>IF($I2="","",INDEX(Productos!$H:$H,$I2))</f>
        <v/>
      </c>
      <c r="F3077" s="5">
        <f>IF($I2="","",INDEX(Productos!$I:$I,$I2))</f>
        <v/>
      </c>
      <c r="G3077" s="135" t="n">
        <v>2</v>
      </c>
      <c r="H3077" s="5">
        <f>IF($I2="","",INDEX(Productos!$AG:$AG,$I2))</f>
        <v/>
      </c>
      <c r="I3077" s="136">
        <f>LET(_xlpm.r,Productos!$E$2:$E$2509,_xlpm.m,IFERROR(_xlfn.XMATCH(C3077,_xlpm.r),IFERROR(_xlfn.XMATCH(VALUE(C3077),_xlpm.r),0)),IF(_xlpm.m=0,"",_xlpm.m+1))</f>
        <v/>
      </c>
      <c r="J3077" s="137" t="inlineStr">
        <is>
          <t>Shopify</t>
        </is>
      </c>
    </row>
    <row r="3078">
      <c r="A3078" s="5" t="inlineStr">
        <is>
          <t>Shopify Stetson México › Stetson México</t>
        </is>
      </c>
      <c r="B3078" s="5">
        <f>IF($I2="","",INDEX(Productos!$A:$A,$I2))</f>
        <v/>
      </c>
      <c r="C3078" s="134" t="inlineStr">
        <is>
          <t>11-030-0489-1022-L</t>
        </is>
      </c>
      <c r="D3078" s="5">
        <f>IF($I2="","",INDEX(Productos!$B:$B,$I2))</f>
        <v/>
      </c>
      <c r="E3078" s="5">
        <f>IF($I2="","",INDEX(Productos!$H:$H,$I2))</f>
        <v/>
      </c>
      <c r="F3078" s="5">
        <f>IF($I2="","",INDEX(Productos!$I:$I,$I2))</f>
        <v/>
      </c>
      <c r="G3078" s="135" t="n">
        <v>2</v>
      </c>
      <c r="H3078" s="5">
        <f>IF($I2="","",INDEX(Productos!$AG:$AG,$I2))</f>
        <v/>
      </c>
      <c r="I3078" s="136">
        <f>LET(_xlpm.r,Productos!$E$2:$E$2509,_xlpm.m,IFERROR(_xlfn.XMATCH(C3078,_xlpm.r),IFERROR(_xlfn.XMATCH(VALUE(C3078),_xlpm.r),0)),IF(_xlpm.m=0,"",_xlpm.m+1))</f>
        <v/>
      </c>
      <c r="J3078" s="137" t="inlineStr">
        <is>
          <t>Shopify</t>
        </is>
      </c>
    </row>
    <row r="3079">
      <c r="A3079" s="5" t="inlineStr">
        <is>
          <t>Shopify Stetson México › Stetson México</t>
        </is>
      </c>
      <c r="B3079" s="5">
        <f>IF($I2="","",INDEX(Productos!$A:$A,$I2))</f>
        <v/>
      </c>
      <c r="C3079" s="134" t="inlineStr">
        <is>
          <t>11-030-0489-1022-M</t>
        </is>
      </c>
      <c r="D3079" s="5">
        <f>IF($I2="","",INDEX(Productos!$B:$B,$I2))</f>
        <v/>
      </c>
      <c r="E3079" s="5">
        <f>IF($I2="","",INDEX(Productos!$H:$H,$I2))</f>
        <v/>
      </c>
      <c r="F3079" s="5">
        <f>IF($I2="","",INDEX(Productos!$I:$I,$I2))</f>
        <v/>
      </c>
      <c r="G3079" s="135" t="n">
        <v>2</v>
      </c>
      <c r="H3079" s="5">
        <f>IF($I2="","",INDEX(Productos!$AG:$AG,$I2))</f>
        <v/>
      </c>
      <c r="I3079" s="136">
        <f>LET(_xlpm.r,Productos!$E$2:$E$2509,_xlpm.m,IFERROR(_xlfn.XMATCH(C3079,_xlpm.r),IFERROR(_xlfn.XMATCH(VALUE(C3079),_xlpm.r),0)),IF(_xlpm.m=0,"",_xlpm.m+1))</f>
        <v/>
      </c>
      <c r="J3079" s="137" t="inlineStr">
        <is>
          <t>Shopify</t>
        </is>
      </c>
    </row>
    <row r="3080">
      <c r="A3080" s="5" t="inlineStr">
        <is>
          <t>Shopify Stetson México › Stetson México</t>
        </is>
      </c>
      <c r="B3080" s="5">
        <f>IF($I2="","",INDEX(Productos!$A:$A,$I2))</f>
        <v/>
      </c>
      <c r="C3080" s="134" t="inlineStr">
        <is>
          <t>11-030-0489-1022-S</t>
        </is>
      </c>
      <c r="D3080" s="5">
        <f>IF($I2="","",INDEX(Productos!$B:$B,$I2))</f>
        <v/>
      </c>
      <c r="E3080" s="5">
        <f>IF($I2="","",INDEX(Productos!$H:$H,$I2))</f>
        <v/>
      </c>
      <c r="F3080" s="5">
        <f>IF($I2="","",INDEX(Productos!$I:$I,$I2))</f>
        <v/>
      </c>
      <c r="G3080" s="135" t="n">
        <v>2</v>
      </c>
      <c r="H3080" s="5">
        <f>IF($I2="","",INDEX(Productos!$AG:$AG,$I2))</f>
        <v/>
      </c>
      <c r="I3080" s="136">
        <f>LET(_xlpm.r,Productos!$E$2:$E$2509,_xlpm.m,IFERROR(_xlfn.XMATCH(C3080,_xlpm.r),IFERROR(_xlfn.XMATCH(VALUE(C3080),_xlpm.r),0)),IF(_xlpm.m=0,"",_xlpm.m+1))</f>
        <v/>
      </c>
      <c r="J3080" s="137" t="inlineStr">
        <is>
          <t>Shopify</t>
        </is>
      </c>
    </row>
    <row r="3081">
      <c r="A3081" s="5" t="inlineStr">
        <is>
          <t>Shopify Stetson México › Stetson México</t>
        </is>
      </c>
      <c r="B3081" s="5">
        <f>IF($I2="","",INDEX(Productos!$A:$A,$I2))</f>
        <v/>
      </c>
      <c r="C3081" s="134" t="inlineStr">
        <is>
          <t>11-030-0489-1022-XL</t>
        </is>
      </c>
      <c r="D3081" s="5">
        <f>IF($I2="","",INDEX(Productos!$B:$B,$I2))</f>
        <v/>
      </c>
      <c r="E3081" s="5">
        <f>IF($I2="","",INDEX(Productos!$H:$H,$I2))</f>
        <v/>
      </c>
      <c r="F3081" s="5">
        <f>IF($I2="","",INDEX(Productos!$I:$I,$I2))</f>
        <v/>
      </c>
      <c r="G3081" s="135" t="n">
        <v>1</v>
      </c>
      <c r="H3081" s="5">
        <f>IF($I2="","",INDEX(Productos!$AG:$AG,$I2))</f>
        <v/>
      </c>
      <c r="I3081" s="136">
        <f>LET(_xlpm.r,Productos!$E$2:$E$2509,_xlpm.m,IFERROR(_xlfn.XMATCH(C3081,_xlpm.r),IFERROR(_xlfn.XMATCH(VALUE(C3081),_xlpm.r),0)),IF(_xlpm.m=0,"",_xlpm.m+1))</f>
        <v/>
      </c>
      <c r="J3081" s="137" t="inlineStr">
        <is>
          <t>Shopify</t>
        </is>
      </c>
    </row>
    <row r="3082">
      <c r="A3082" s="5" t="inlineStr">
        <is>
          <t>Shopify Stetson México › Stetson México</t>
        </is>
      </c>
      <c r="B3082" s="5">
        <f>IF($I2="","",INDEX(Productos!$A:$A,$I2))</f>
        <v/>
      </c>
      <c r="C3082" s="134" t="inlineStr">
        <is>
          <t>11-050-0594-2051-L</t>
        </is>
      </c>
      <c r="D3082" s="5">
        <f>IF($I2="","",INDEX(Productos!$B:$B,$I2))</f>
        <v/>
      </c>
      <c r="E3082" s="5">
        <f>IF($I2="","",INDEX(Productos!$H:$H,$I2))</f>
        <v/>
      </c>
      <c r="F3082" s="5">
        <f>IF($I2="","",INDEX(Productos!$I:$I,$I2))</f>
        <v/>
      </c>
      <c r="G3082" s="135" t="n">
        <v>2</v>
      </c>
      <c r="H3082" s="5">
        <f>IF($I2="","",INDEX(Productos!$AG:$AG,$I2))</f>
        <v/>
      </c>
      <c r="I3082" s="136">
        <f>LET(_xlpm.r,Productos!$E$2:$E$2509,_xlpm.m,IFERROR(_xlfn.XMATCH(C3082,_xlpm.r),IFERROR(_xlfn.XMATCH(VALUE(C3082),_xlpm.r),0)),IF(_xlpm.m=0,"",_xlpm.m+1))</f>
        <v/>
      </c>
      <c r="J3082" s="137" t="inlineStr">
        <is>
          <t>Shopify</t>
        </is>
      </c>
    </row>
    <row r="3083">
      <c r="A3083" s="5" t="inlineStr">
        <is>
          <t>Shopify Stetson México › Stetson México</t>
        </is>
      </c>
      <c r="B3083" s="5">
        <f>IF($I2="","",INDEX(Productos!$A:$A,$I2))</f>
        <v/>
      </c>
      <c r="C3083" s="134" t="inlineStr">
        <is>
          <t>11-050-0594-2051-M</t>
        </is>
      </c>
      <c r="D3083" s="5">
        <f>IF($I2="","",INDEX(Productos!$B:$B,$I2))</f>
        <v/>
      </c>
      <c r="E3083" s="5">
        <f>IF($I2="","",INDEX(Productos!$H:$H,$I2))</f>
        <v/>
      </c>
      <c r="F3083" s="5">
        <f>IF($I2="","",INDEX(Productos!$I:$I,$I2))</f>
        <v/>
      </c>
      <c r="G3083" s="135" t="n">
        <v>2</v>
      </c>
      <c r="H3083" s="5">
        <f>IF($I2="","",INDEX(Productos!$AG:$AG,$I2))</f>
        <v/>
      </c>
      <c r="I3083" s="136">
        <f>LET(_xlpm.r,Productos!$E$2:$E$2509,_xlpm.m,IFERROR(_xlfn.XMATCH(C3083,_xlpm.r),IFERROR(_xlfn.XMATCH(VALUE(C3083),_xlpm.r),0)),IF(_xlpm.m=0,"",_xlpm.m+1))</f>
        <v/>
      </c>
      <c r="J3083" s="137" t="inlineStr">
        <is>
          <t>Shopify</t>
        </is>
      </c>
    </row>
    <row r="3084">
      <c r="A3084" s="5" t="inlineStr">
        <is>
          <t>Shopify Stetson México › Stetson México</t>
        </is>
      </c>
      <c r="B3084" s="5">
        <f>IF($I2="","",INDEX(Productos!$A:$A,$I2))</f>
        <v/>
      </c>
      <c r="C3084" s="134" t="inlineStr">
        <is>
          <t>11-050-0594-2051-XL</t>
        </is>
      </c>
      <c r="D3084" s="5">
        <f>IF($I2="","",INDEX(Productos!$B:$B,$I2))</f>
        <v/>
      </c>
      <c r="E3084" s="5">
        <f>IF($I2="","",INDEX(Productos!$H:$H,$I2))</f>
        <v/>
      </c>
      <c r="F3084" s="5">
        <f>IF($I2="","",INDEX(Productos!$I:$I,$I2))</f>
        <v/>
      </c>
      <c r="G3084" s="135" t="n">
        <v>2</v>
      </c>
      <c r="H3084" s="5">
        <f>IF($I2="","",INDEX(Productos!$AG:$AG,$I2))</f>
        <v/>
      </c>
      <c r="I3084" s="136">
        <f>LET(_xlpm.r,Productos!$E$2:$E$2509,_xlpm.m,IFERROR(_xlfn.XMATCH(C3084,_xlpm.r),IFERROR(_xlfn.XMATCH(VALUE(C3084),_xlpm.r),0)),IF(_xlpm.m=0,"",_xlpm.m+1))</f>
        <v/>
      </c>
      <c r="J3084" s="137" t="inlineStr">
        <is>
          <t>Shopify</t>
        </is>
      </c>
    </row>
    <row r="3085">
      <c r="A3085" s="5" t="inlineStr">
        <is>
          <t>Shopify Stetson México › Stetson México</t>
        </is>
      </c>
      <c r="B3085" s="5">
        <f>IF($I2="","",INDEX(Productos!$A:$A,$I2))</f>
        <v/>
      </c>
      <c r="C3085" s="134" t="inlineStr">
        <is>
          <t>11-050-0594-2051-XS</t>
        </is>
      </c>
      <c r="D3085" s="5">
        <f>IF($I2="","",INDEX(Productos!$B:$B,$I2))</f>
        <v/>
      </c>
      <c r="E3085" s="5">
        <f>IF($I2="","",INDEX(Productos!$H:$H,$I2))</f>
        <v/>
      </c>
      <c r="F3085" s="5">
        <f>IF($I2="","",INDEX(Productos!$I:$I,$I2))</f>
        <v/>
      </c>
      <c r="G3085" s="135" t="n">
        <v>2</v>
      </c>
      <c r="H3085" s="5">
        <f>IF($I2="","",INDEX(Productos!$AG:$AG,$I2))</f>
        <v/>
      </c>
      <c r="I3085" s="136">
        <f>LET(_xlpm.r,Productos!$E$2:$E$2509,_xlpm.m,IFERROR(_xlfn.XMATCH(C3085,_xlpm.r),IFERROR(_xlfn.XMATCH(VALUE(C3085),_xlpm.r),0)),IF(_xlpm.m=0,"",_xlpm.m+1))</f>
        <v/>
      </c>
      <c r="J3085" s="137" t="inlineStr">
        <is>
          <t>Shopify</t>
        </is>
      </c>
    </row>
    <row r="3086">
      <c r="A3086" s="5" t="inlineStr">
        <is>
          <t>Shopify Stetson México › Stetson México</t>
        </is>
      </c>
      <c r="B3086" s="5">
        <f>IF($I2="","",INDEX(Productos!$A:$A,$I2))</f>
        <v/>
      </c>
      <c r="C3086" s="134" t="inlineStr">
        <is>
          <t>11-050-0594-2076-L</t>
        </is>
      </c>
      <c r="D3086" s="5">
        <f>IF($I2="","",INDEX(Productos!$B:$B,$I2))</f>
        <v/>
      </c>
      <c r="E3086" s="5">
        <f>IF($I2="","",INDEX(Productos!$H:$H,$I2))</f>
        <v/>
      </c>
      <c r="F3086" s="5">
        <f>IF($I2="","",INDEX(Productos!$I:$I,$I2))</f>
        <v/>
      </c>
      <c r="G3086" s="135" t="n">
        <v>2</v>
      </c>
      <c r="H3086" s="5">
        <f>IF($I2="","",INDEX(Productos!$AG:$AG,$I2))</f>
        <v/>
      </c>
      <c r="I3086" s="136">
        <f>LET(_xlpm.r,Productos!$E$2:$E$2509,_xlpm.m,IFERROR(_xlfn.XMATCH(C3086,_xlpm.r),IFERROR(_xlfn.XMATCH(VALUE(C3086),_xlpm.r),0)),IF(_xlpm.m=0,"",_xlpm.m+1))</f>
        <v/>
      </c>
      <c r="J3086" s="137" t="inlineStr">
        <is>
          <t>Shopify</t>
        </is>
      </c>
    </row>
    <row r="3087">
      <c r="A3087" s="5" t="inlineStr">
        <is>
          <t>Shopify Stetson México › Stetson México</t>
        </is>
      </c>
      <c r="B3087" s="5">
        <f>IF($I2="","",INDEX(Productos!$A:$A,$I2))</f>
        <v/>
      </c>
      <c r="C3087" s="134" t="inlineStr">
        <is>
          <t>11-050-0594-2076-M</t>
        </is>
      </c>
      <c r="D3087" s="5">
        <f>IF($I2="","",INDEX(Productos!$B:$B,$I2))</f>
        <v/>
      </c>
      <c r="E3087" s="5">
        <f>IF($I2="","",INDEX(Productos!$H:$H,$I2))</f>
        <v/>
      </c>
      <c r="F3087" s="5">
        <f>IF($I2="","",INDEX(Productos!$I:$I,$I2))</f>
        <v/>
      </c>
      <c r="G3087" s="135" t="n">
        <v>2</v>
      </c>
      <c r="H3087" s="5">
        <f>IF($I2="","",INDEX(Productos!$AG:$AG,$I2))</f>
        <v/>
      </c>
      <c r="I3087" s="136">
        <f>LET(_xlpm.r,Productos!$E$2:$E$2509,_xlpm.m,IFERROR(_xlfn.XMATCH(C3087,_xlpm.r),IFERROR(_xlfn.XMATCH(VALUE(C3087),_xlpm.r),0)),IF(_xlpm.m=0,"",_xlpm.m+1))</f>
        <v/>
      </c>
      <c r="J3087" s="137" t="inlineStr">
        <is>
          <t>Shopify</t>
        </is>
      </c>
    </row>
    <row r="3088">
      <c r="A3088" s="5" t="inlineStr">
        <is>
          <t>Shopify Stetson México › Stetson México</t>
        </is>
      </c>
      <c r="B3088" s="5">
        <f>IF($I2="","",INDEX(Productos!$A:$A,$I2))</f>
        <v/>
      </c>
      <c r="C3088" s="134" t="inlineStr">
        <is>
          <t>11-050-0594-2076-S</t>
        </is>
      </c>
      <c r="D3088" s="5">
        <f>IF($I2="","",INDEX(Productos!$B:$B,$I2))</f>
        <v/>
      </c>
      <c r="E3088" s="5">
        <f>IF($I2="","",INDEX(Productos!$H:$H,$I2))</f>
        <v/>
      </c>
      <c r="F3088" s="5">
        <f>IF($I2="","",INDEX(Productos!$I:$I,$I2))</f>
        <v/>
      </c>
      <c r="G3088" s="135" t="n">
        <v>1</v>
      </c>
      <c r="H3088" s="5">
        <f>IF($I2="","",INDEX(Productos!$AG:$AG,$I2))</f>
        <v/>
      </c>
      <c r="I3088" s="136">
        <f>LET(_xlpm.r,Productos!$E$2:$E$2509,_xlpm.m,IFERROR(_xlfn.XMATCH(C3088,_xlpm.r),IFERROR(_xlfn.XMATCH(VALUE(C3088),_xlpm.r),0)),IF(_xlpm.m=0,"",_xlpm.m+1))</f>
        <v/>
      </c>
      <c r="J3088" s="137" t="inlineStr">
        <is>
          <t>Shopify</t>
        </is>
      </c>
    </row>
    <row r="3089">
      <c r="A3089" s="5" t="inlineStr">
        <is>
          <t>Shopify Stetson México › Stetson México</t>
        </is>
      </c>
      <c r="B3089" s="5">
        <f>IF($I2="","",INDEX(Productos!$A:$A,$I2))</f>
        <v/>
      </c>
      <c r="C3089" s="134" t="inlineStr">
        <is>
          <t>11-050-0594-2076-XL</t>
        </is>
      </c>
      <c r="D3089" s="5">
        <f>IF($I2="","",INDEX(Productos!$B:$B,$I2))</f>
        <v/>
      </c>
      <c r="E3089" s="5">
        <f>IF($I2="","",INDEX(Productos!$H:$H,$I2))</f>
        <v/>
      </c>
      <c r="F3089" s="5">
        <f>IF($I2="","",INDEX(Productos!$I:$I,$I2))</f>
        <v/>
      </c>
      <c r="G3089" s="135" t="n">
        <v>2</v>
      </c>
      <c r="H3089" s="5">
        <f>IF($I2="","",INDEX(Productos!$AG:$AG,$I2))</f>
        <v/>
      </c>
      <c r="I3089" s="136">
        <f>LET(_xlpm.r,Productos!$E$2:$E$2509,_xlpm.m,IFERROR(_xlfn.XMATCH(C3089,_xlpm.r),IFERROR(_xlfn.XMATCH(VALUE(C3089),_xlpm.r),0)),IF(_xlpm.m=0,"",_xlpm.m+1))</f>
        <v/>
      </c>
      <c r="J3089" s="137" t="inlineStr">
        <is>
          <t>Shopify</t>
        </is>
      </c>
    </row>
    <row r="3090">
      <c r="A3090" s="5" t="inlineStr">
        <is>
          <t>Shopify Stetson México › Stetson México</t>
        </is>
      </c>
      <c r="B3090" s="5">
        <f>IF($I2="","",INDEX(Productos!$A:$A,$I2))</f>
        <v/>
      </c>
      <c r="C3090" s="134" t="inlineStr">
        <is>
          <t>11-050-0594-2076-XS</t>
        </is>
      </c>
      <c r="D3090" s="5">
        <f>IF($I2="","",INDEX(Productos!$B:$B,$I2))</f>
        <v/>
      </c>
      <c r="E3090" s="5">
        <f>IF($I2="","",INDEX(Productos!$H:$H,$I2))</f>
        <v/>
      </c>
      <c r="F3090" s="5">
        <f>IF($I2="","",INDEX(Productos!$I:$I,$I2))</f>
        <v/>
      </c>
      <c r="G3090" s="135" t="n">
        <v>2</v>
      </c>
      <c r="H3090" s="5">
        <f>IF($I2="","",INDEX(Productos!$AG:$AG,$I2))</f>
        <v/>
      </c>
      <c r="I3090" s="136">
        <f>LET(_xlpm.r,Productos!$E$2:$E$2509,_xlpm.m,IFERROR(_xlfn.XMATCH(C3090,_xlpm.r),IFERROR(_xlfn.XMATCH(VALUE(C3090),_xlpm.r),0)),IF(_xlpm.m=0,"",_xlpm.m+1))</f>
        <v/>
      </c>
      <c r="J3090" s="137" t="inlineStr">
        <is>
          <t>Shopify</t>
        </is>
      </c>
    </row>
    <row r="3091">
      <c r="A3091" s="5" t="inlineStr">
        <is>
          <t>Shopify Stetson México › Stetson México</t>
        </is>
      </c>
      <c r="B3091" s="5">
        <f>IF($I2="","",INDEX(Productos!$A:$A,$I2))</f>
        <v/>
      </c>
      <c r="C3091" s="134" t="inlineStr">
        <is>
          <t>11-052-0565-2052-L</t>
        </is>
      </c>
      <c r="D3091" s="5">
        <f>IF($I2="","",INDEX(Productos!$B:$B,$I2))</f>
        <v/>
      </c>
      <c r="E3091" s="5">
        <f>IF($I2="","",INDEX(Productos!$H:$H,$I2))</f>
        <v/>
      </c>
      <c r="F3091" s="5">
        <f>IF($I2="","",INDEX(Productos!$I:$I,$I2))</f>
        <v/>
      </c>
      <c r="G3091" s="135" t="n">
        <v>2</v>
      </c>
      <c r="H3091" s="5">
        <f>IF($I2="","",INDEX(Productos!$AG:$AG,$I2))</f>
        <v/>
      </c>
      <c r="I3091" s="136">
        <f>LET(_xlpm.r,Productos!$E$2:$E$2509,_xlpm.m,IFERROR(_xlfn.XMATCH(C3091,_xlpm.r),IFERROR(_xlfn.XMATCH(VALUE(C3091),_xlpm.r),0)),IF(_xlpm.m=0,"",_xlpm.m+1))</f>
        <v/>
      </c>
      <c r="J3091" s="137" t="inlineStr">
        <is>
          <t>Shopify</t>
        </is>
      </c>
    </row>
    <row r="3092">
      <c r="A3092" s="5" t="inlineStr">
        <is>
          <t>Shopify Stetson México › Stetson México</t>
        </is>
      </c>
      <c r="B3092" s="5">
        <f>IF($I2="","",INDEX(Productos!$A:$A,$I2))</f>
        <v/>
      </c>
      <c r="C3092" s="134" t="inlineStr">
        <is>
          <t>11-052-0565-2052-M</t>
        </is>
      </c>
      <c r="D3092" s="5">
        <f>IF($I2="","",INDEX(Productos!$B:$B,$I2))</f>
        <v/>
      </c>
      <c r="E3092" s="5">
        <f>IF($I2="","",INDEX(Productos!$H:$H,$I2))</f>
        <v/>
      </c>
      <c r="F3092" s="5">
        <f>IF($I2="","",INDEX(Productos!$I:$I,$I2))</f>
        <v/>
      </c>
      <c r="G3092" s="135" t="n">
        <v>2</v>
      </c>
      <c r="H3092" s="5">
        <f>IF($I2="","",INDEX(Productos!$AG:$AG,$I2))</f>
        <v/>
      </c>
      <c r="I3092" s="136">
        <f>LET(_xlpm.r,Productos!$E$2:$E$2509,_xlpm.m,IFERROR(_xlfn.XMATCH(C3092,_xlpm.r),IFERROR(_xlfn.XMATCH(VALUE(C3092),_xlpm.r),0)),IF(_xlpm.m=0,"",_xlpm.m+1))</f>
        <v/>
      </c>
      <c r="J3092" s="137" t="inlineStr">
        <is>
          <t>Shopify</t>
        </is>
      </c>
    </row>
    <row r="3093">
      <c r="A3093" s="5" t="inlineStr">
        <is>
          <t>Shopify Stetson México › Stetson México</t>
        </is>
      </c>
      <c r="B3093" s="5">
        <f>IF($I2="","",INDEX(Productos!$A:$A,$I2))</f>
        <v/>
      </c>
      <c r="C3093" s="134" t="inlineStr">
        <is>
          <t>11-052-0565-2052-S</t>
        </is>
      </c>
      <c r="D3093" s="5">
        <f>IF($I2="","",INDEX(Productos!$B:$B,$I2))</f>
        <v/>
      </c>
      <c r="E3093" s="5">
        <f>IF($I2="","",INDEX(Productos!$H:$H,$I2))</f>
        <v/>
      </c>
      <c r="F3093" s="5">
        <f>IF($I2="","",INDEX(Productos!$I:$I,$I2))</f>
        <v/>
      </c>
      <c r="G3093" s="135" t="n">
        <v>2</v>
      </c>
      <c r="H3093" s="5">
        <f>IF($I2="","",INDEX(Productos!$AG:$AG,$I2))</f>
        <v/>
      </c>
      <c r="I3093" s="136">
        <f>LET(_xlpm.r,Productos!$E$2:$E$2509,_xlpm.m,IFERROR(_xlfn.XMATCH(C3093,_xlpm.r),IFERROR(_xlfn.XMATCH(VALUE(C3093),_xlpm.r),0)),IF(_xlpm.m=0,"",_xlpm.m+1))</f>
        <v/>
      </c>
      <c r="J3093" s="137" t="inlineStr">
        <is>
          <t>Shopify</t>
        </is>
      </c>
    </row>
    <row r="3094">
      <c r="A3094" s="5" t="inlineStr">
        <is>
          <t>Shopify Stetson México › Stetson México</t>
        </is>
      </c>
      <c r="B3094" s="5">
        <f>IF($I2="","",INDEX(Productos!$A:$A,$I2))</f>
        <v/>
      </c>
      <c r="C3094" s="134" t="inlineStr">
        <is>
          <t>11-052-0565-2052-XL</t>
        </is>
      </c>
      <c r="D3094" s="5">
        <f>IF($I2="","",INDEX(Productos!$B:$B,$I2))</f>
        <v/>
      </c>
      <c r="E3094" s="5">
        <f>IF($I2="","",INDEX(Productos!$H:$H,$I2))</f>
        <v/>
      </c>
      <c r="F3094" s="5">
        <f>IF($I2="","",INDEX(Productos!$I:$I,$I2))</f>
        <v/>
      </c>
      <c r="G3094" s="135" t="n">
        <v>2</v>
      </c>
      <c r="H3094" s="5">
        <f>IF($I2="","",INDEX(Productos!$AG:$AG,$I2))</f>
        <v/>
      </c>
      <c r="I3094" s="136">
        <f>LET(_xlpm.r,Productos!$E$2:$E$2509,_xlpm.m,IFERROR(_xlfn.XMATCH(C3094,_xlpm.r),IFERROR(_xlfn.XMATCH(VALUE(C3094),_xlpm.r),0)),IF(_xlpm.m=0,"",_xlpm.m+1))</f>
        <v/>
      </c>
      <c r="J3094" s="137" t="inlineStr">
        <is>
          <t>Shopify</t>
        </is>
      </c>
    </row>
    <row r="3095">
      <c r="A3095" s="5" t="inlineStr">
        <is>
          <t>Shopify Stetson México › Stetson México</t>
        </is>
      </c>
      <c r="B3095" s="5">
        <f>IF($I2="","",INDEX(Productos!$A:$A,$I2))</f>
        <v/>
      </c>
      <c r="C3095" s="134" t="inlineStr">
        <is>
          <t>11-052-0565-2052-XS</t>
        </is>
      </c>
      <c r="D3095" s="5">
        <f>IF($I2="","",INDEX(Productos!$B:$B,$I2))</f>
        <v/>
      </c>
      <c r="E3095" s="5">
        <f>IF($I2="","",INDEX(Productos!$H:$H,$I2))</f>
        <v/>
      </c>
      <c r="F3095" s="5">
        <f>IF($I2="","",INDEX(Productos!$I:$I,$I2))</f>
        <v/>
      </c>
      <c r="G3095" s="135" t="n">
        <v>2</v>
      </c>
      <c r="H3095" s="5">
        <f>IF($I2="","",INDEX(Productos!$AG:$AG,$I2))</f>
        <v/>
      </c>
      <c r="I3095" s="136">
        <f>LET(_xlpm.r,Productos!$E$2:$E$2509,_xlpm.m,IFERROR(_xlfn.XMATCH(C3095,_xlpm.r),IFERROR(_xlfn.XMATCH(VALUE(C3095),_xlpm.r),0)),IF(_xlpm.m=0,"",_xlpm.m+1))</f>
        <v/>
      </c>
      <c r="J3095" s="137" t="inlineStr">
        <is>
          <t>Shopify</t>
        </is>
      </c>
    </row>
    <row r="3096">
      <c r="A3096" s="5" t="inlineStr">
        <is>
          <t>Shopify Stetson México › Stetson México</t>
        </is>
      </c>
      <c r="B3096" s="5">
        <f>IF($I2="","",INDEX(Productos!$A:$A,$I2))</f>
        <v/>
      </c>
      <c r="C3096" s="134" t="inlineStr">
        <is>
          <t>11-097-0562-0883-2XL</t>
        </is>
      </c>
      <c r="D3096" s="5">
        <f>IF($I2="","",INDEX(Productos!$B:$B,$I2))</f>
        <v/>
      </c>
      <c r="E3096" s="5">
        <f>IF($I2="","",INDEX(Productos!$H:$H,$I2))</f>
        <v/>
      </c>
      <c r="F3096" s="5">
        <f>IF($I2="","",INDEX(Productos!$I:$I,$I2))</f>
        <v/>
      </c>
      <c r="G3096" s="135" t="n">
        <v>2</v>
      </c>
      <c r="H3096" s="5">
        <f>IF($I2="","",INDEX(Productos!$AG:$AG,$I2))</f>
        <v/>
      </c>
      <c r="I3096" s="136">
        <f>LET(_xlpm.r,Productos!$E$2:$E$2509,_xlpm.m,IFERROR(_xlfn.XMATCH(C3096,_xlpm.r),IFERROR(_xlfn.XMATCH(VALUE(C3096),_xlpm.r),0)),IF(_xlpm.m=0,"",_xlpm.m+1))</f>
        <v/>
      </c>
      <c r="J3096" s="137" t="inlineStr">
        <is>
          <t>Shopify</t>
        </is>
      </c>
    </row>
    <row r="3097">
      <c r="A3097" s="5" t="inlineStr">
        <is>
          <t>Shopify Stetson México › Stetson México</t>
        </is>
      </c>
      <c r="B3097" s="5">
        <f>IF($I2="","",INDEX(Productos!$A:$A,$I2))</f>
        <v/>
      </c>
      <c r="C3097" s="134" t="inlineStr">
        <is>
          <t>11-097-0562-0883-L</t>
        </is>
      </c>
      <c r="D3097" s="5">
        <f>IF($I2="","",INDEX(Productos!$B:$B,$I2))</f>
        <v/>
      </c>
      <c r="E3097" s="5">
        <f>IF($I2="","",INDEX(Productos!$H:$H,$I2))</f>
        <v/>
      </c>
      <c r="F3097" s="5">
        <f>IF($I2="","",INDEX(Productos!$I:$I,$I2))</f>
        <v/>
      </c>
      <c r="G3097" s="135" t="n">
        <v>2</v>
      </c>
      <c r="H3097" s="5">
        <f>IF($I2="","",INDEX(Productos!$AG:$AG,$I2))</f>
        <v/>
      </c>
      <c r="I3097" s="136">
        <f>LET(_xlpm.r,Productos!$E$2:$E$2509,_xlpm.m,IFERROR(_xlfn.XMATCH(C3097,_xlpm.r),IFERROR(_xlfn.XMATCH(VALUE(C3097),_xlpm.r),0)),IF(_xlpm.m=0,"",_xlpm.m+1))</f>
        <v/>
      </c>
      <c r="J3097" s="137" t="inlineStr">
        <is>
          <t>Shopify</t>
        </is>
      </c>
    </row>
    <row r="3098">
      <c r="A3098" s="5" t="inlineStr">
        <is>
          <t>Shopify Stetson México › Stetson México</t>
        </is>
      </c>
      <c r="B3098" s="5">
        <f>IF($I2="","",INDEX(Productos!$A:$A,$I2))</f>
        <v/>
      </c>
      <c r="C3098" s="134" t="inlineStr">
        <is>
          <t>11-097-0562-0883-M</t>
        </is>
      </c>
      <c r="D3098" s="5">
        <f>IF($I2="","",INDEX(Productos!$B:$B,$I2))</f>
        <v/>
      </c>
      <c r="E3098" s="5">
        <f>IF($I2="","",INDEX(Productos!$H:$H,$I2))</f>
        <v/>
      </c>
      <c r="F3098" s="5">
        <f>IF($I2="","",INDEX(Productos!$I:$I,$I2))</f>
        <v/>
      </c>
      <c r="G3098" s="135" t="n">
        <v>2</v>
      </c>
      <c r="H3098" s="5">
        <f>IF($I2="","",INDEX(Productos!$AG:$AG,$I2))</f>
        <v/>
      </c>
      <c r="I3098" s="136">
        <f>LET(_xlpm.r,Productos!$E$2:$E$2509,_xlpm.m,IFERROR(_xlfn.XMATCH(C3098,_xlpm.r),IFERROR(_xlfn.XMATCH(VALUE(C3098),_xlpm.r),0)),IF(_xlpm.m=0,"",_xlpm.m+1))</f>
        <v/>
      </c>
      <c r="J3098" s="137" t="inlineStr">
        <is>
          <t>Shopify</t>
        </is>
      </c>
    </row>
    <row r="3099">
      <c r="A3099" s="5" t="inlineStr">
        <is>
          <t>Shopify Stetson México › Stetson México</t>
        </is>
      </c>
      <c r="B3099" s="5">
        <f>IF($I2="","",INDEX(Productos!$A:$A,$I2))</f>
        <v/>
      </c>
      <c r="C3099" s="134" t="inlineStr">
        <is>
          <t>11-097-0562-0883-S</t>
        </is>
      </c>
      <c r="D3099" s="5">
        <f>IF($I2="","",INDEX(Productos!$B:$B,$I2))</f>
        <v/>
      </c>
      <c r="E3099" s="5">
        <f>IF($I2="","",INDEX(Productos!$H:$H,$I2))</f>
        <v/>
      </c>
      <c r="F3099" s="5">
        <f>IF($I2="","",INDEX(Productos!$I:$I,$I2))</f>
        <v/>
      </c>
      <c r="G3099" s="135" t="n">
        <v>2</v>
      </c>
      <c r="H3099" s="5">
        <f>IF($I2="","",INDEX(Productos!$AG:$AG,$I2))</f>
        <v/>
      </c>
      <c r="I3099" s="136">
        <f>LET(_xlpm.r,Productos!$E$2:$E$2509,_xlpm.m,IFERROR(_xlfn.XMATCH(C3099,_xlpm.r),IFERROR(_xlfn.XMATCH(VALUE(C3099),_xlpm.r),0)),IF(_xlpm.m=0,"",_xlpm.m+1))</f>
        <v/>
      </c>
      <c r="J3099" s="137" t="inlineStr">
        <is>
          <t>Shopify</t>
        </is>
      </c>
    </row>
    <row r="3100">
      <c r="A3100" s="5" t="inlineStr">
        <is>
          <t>Shopify Stetson México › Stetson México</t>
        </is>
      </c>
      <c r="B3100" s="5">
        <f>IF($I2="","",INDEX(Productos!$A:$A,$I2))</f>
        <v/>
      </c>
      <c r="C3100" s="134" t="inlineStr">
        <is>
          <t>11-097-0562-0883-XL</t>
        </is>
      </c>
      <c r="D3100" s="5">
        <f>IF($I2="","",INDEX(Productos!$B:$B,$I2))</f>
        <v/>
      </c>
      <c r="E3100" s="5">
        <f>IF($I2="","",INDEX(Productos!$H:$H,$I2))</f>
        <v/>
      </c>
      <c r="F3100" s="5">
        <f>IF($I2="","",INDEX(Productos!$I:$I,$I2))</f>
        <v/>
      </c>
      <c r="G3100" s="135" t="n">
        <v>2</v>
      </c>
      <c r="H3100" s="5">
        <f>IF($I2="","",INDEX(Productos!$AG:$AG,$I2))</f>
        <v/>
      </c>
      <c r="I3100" s="136">
        <f>LET(_xlpm.r,Productos!$E$2:$E$2509,_xlpm.m,IFERROR(_xlfn.XMATCH(C3100,_xlpm.r),IFERROR(_xlfn.XMATCH(VALUE(C3100),_xlpm.r),0)),IF(_xlpm.m=0,"",_xlpm.m+1))</f>
        <v/>
      </c>
      <c r="J3100" s="137" t="inlineStr">
        <is>
          <t>Shopify</t>
        </is>
      </c>
    </row>
    <row r="3101">
      <c r="A3101" s="5" t="inlineStr">
        <is>
          <t>Shopify Stetson México › Stetson México</t>
        </is>
      </c>
      <c r="B3101" s="5">
        <f>IF($I2="","",INDEX(Productos!$A:$A,$I2))</f>
        <v/>
      </c>
      <c r="C3101" s="134" t="inlineStr">
        <is>
          <t>11-097-0562-0886-2XL</t>
        </is>
      </c>
      <c r="D3101" s="5">
        <f>IF($I2="","",INDEX(Productos!$B:$B,$I2))</f>
        <v/>
      </c>
      <c r="E3101" s="5">
        <f>IF($I2="","",INDEX(Productos!$H:$H,$I2))</f>
        <v/>
      </c>
      <c r="F3101" s="5">
        <f>IF($I2="","",INDEX(Productos!$I:$I,$I2))</f>
        <v/>
      </c>
      <c r="G3101" s="135" t="n">
        <v>2</v>
      </c>
      <c r="H3101" s="5">
        <f>IF($I2="","",INDEX(Productos!$AG:$AG,$I2))</f>
        <v/>
      </c>
      <c r="I3101" s="136">
        <f>LET(_xlpm.r,Productos!$E$2:$E$2509,_xlpm.m,IFERROR(_xlfn.XMATCH(C3101,_xlpm.r),IFERROR(_xlfn.XMATCH(VALUE(C3101),_xlpm.r),0)),IF(_xlpm.m=0,"",_xlpm.m+1))</f>
        <v/>
      </c>
      <c r="J3101" s="137" t="inlineStr">
        <is>
          <t>Shopify</t>
        </is>
      </c>
    </row>
    <row r="3102">
      <c r="A3102" s="5" t="inlineStr">
        <is>
          <t>Shopify Stetson México › Stetson México</t>
        </is>
      </c>
      <c r="B3102" s="5">
        <f>IF($I2="","",INDEX(Productos!$A:$A,$I2))</f>
        <v/>
      </c>
      <c r="C3102" s="134" t="inlineStr">
        <is>
          <t>11-097-0562-0886-L</t>
        </is>
      </c>
      <c r="D3102" s="5">
        <f>IF($I2="","",INDEX(Productos!$B:$B,$I2))</f>
        <v/>
      </c>
      <c r="E3102" s="5">
        <f>IF($I2="","",INDEX(Productos!$H:$H,$I2))</f>
        <v/>
      </c>
      <c r="F3102" s="5">
        <f>IF($I2="","",INDEX(Productos!$I:$I,$I2))</f>
        <v/>
      </c>
      <c r="G3102" s="135" t="n">
        <v>2</v>
      </c>
      <c r="H3102" s="5">
        <f>IF($I2="","",INDEX(Productos!$AG:$AG,$I2))</f>
        <v/>
      </c>
      <c r="I3102" s="136">
        <f>LET(_xlpm.r,Productos!$E$2:$E$2509,_xlpm.m,IFERROR(_xlfn.XMATCH(C3102,_xlpm.r),IFERROR(_xlfn.XMATCH(VALUE(C3102),_xlpm.r),0)),IF(_xlpm.m=0,"",_xlpm.m+1))</f>
        <v/>
      </c>
      <c r="J3102" s="137" t="inlineStr">
        <is>
          <t>Shopify</t>
        </is>
      </c>
    </row>
    <row r="3103">
      <c r="A3103" s="5" t="inlineStr">
        <is>
          <t>Shopify Stetson México › Stetson México</t>
        </is>
      </c>
      <c r="B3103" s="5">
        <f>IF($I2="","",INDEX(Productos!$A:$A,$I2))</f>
        <v/>
      </c>
      <c r="C3103" s="134" t="inlineStr">
        <is>
          <t>11-097-0562-0886-M</t>
        </is>
      </c>
      <c r="D3103" s="5">
        <f>IF($I2="","",INDEX(Productos!$B:$B,$I2))</f>
        <v/>
      </c>
      <c r="E3103" s="5">
        <f>IF($I2="","",INDEX(Productos!$H:$H,$I2))</f>
        <v/>
      </c>
      <c r="F3103" s="5">
        <f>IF($I2="","",INDEX(Productos!$I:$I,$I2))</f>
        <v/>
      </c>
      <c r="G3103" s="135" t="n">
        <v>2</v>
      </c>
      <c r="H3103" s="5">
        <f>IF($I2="","",INDEX(Productos!$AG:$AG,$I2))</f>
        <v/>
      </c>
      <c r="I3103" s="136">
        <f>LET(_xlpm.r,Productos!$E$2:$E$2509,_xlpm.m,IFERROR(_xlfn.XMATCH(C3103,_xlpm.r),IFERROR(_xlfn.XMATCH(VALUE(C3103),_xlpm.r),0)),IF(_xlpm.m=0,"",_xlpm.m+1))</f>
        <v/>
      </c>
      <c r="J3103" s="137" t="inlineStr">
        <is>
          <t>Shopify</t>
        </is>
      </c>
    </row>
    <row r="3104">
      <c r="A3104" s="5" t="inlineStr">
        <is>
          <t>Shopify Stetson México › Stetson México</t>
        </is>
      </c>
      <c r="B3104" s="5">
        <f>IF($I2="","",INDEX(Productos!$A:$A,$I2))</f>
        <v/>
      </c>
      <c r="C3104" s="134" t="inlineStr">
        <is>
          <t>11-097-0562-0886-S</t>
        </is>
      </c>
      <c r="D3104" s="5">
        <f>IF($I2="","",INDEX(Productos!$B:$B,$I2))</f>
        <v/>
      </c>
      <c r="E3104" s="5">
        <f>IF($I2="","",INDEX(Productos!$H:$H,$I2))</f>
        <v/>
      </c>
      <c r="F3104" s="5">
        <f>IF($I2="","",INDEX(Productos!$I:$I,$I2))</f>
        <v/>
      </c>
      <c r="G3104" s="135" t="n">
        <v>2</v>
      </c>
      <c r="H3104" s="5">
        <f>IF($I2="","",INDEX(Productos!$AG:$AG,$I2))</f>
        <v/>
      </c>
      <c r="I3104" s="136">
        <f>LET(_xlpm.r,Productos!$E$2:$E$2509,_xlpm.m,IFERROR(_xlfn.XMATCH(C3104,_xlpm.r),IFERROR(_xlfn.XMATCH(VALUE(C3104),_xlpm.r),0)),IF(_xlpm.m=0,"",_xlpm.m+1))</f>
        <v/>
      </c>
      <c r="J3104" s="137" t="inlineStr">
        <is>
          <t>Shopify</t>
        </is>
      </c>
    </row>
    <row r="3105">
      <c r="A3105" s="5" t="inlineStr">
        <is>
          <t>Shopify Stetson México › Stetson México</t>
        </is>
      </c>
      <c r="B3105" s="5">
        <f>IF($I2="","",INDEX(Productos!$A:$A,$I2))</f>
        <v/>
      </c>
      <c r="C3105" s="134" t="inlineStr">
        <is>
          <t>11-097-0562-0886-XL</t>
        </is>
      </c>
      <c r="D3105" s="5">
        <f>IF($I2="","",INDEX(Productos!$B:$B,$I2))</f>
        <v/>
      </c>
      <c r="E3105" s="5">
        <f>IF($I2="","",INDEX(Productos!$H:$H,$I2))</f>
        <v/>
      </c>
      <c r="F3105" s="5">
        <f>IF($I2="","",INDEX(Productos!$I:$I,$I2))</f>
        <v/>
      </c>
      <c r="G3105" s="135" t="n">
        <v>2</v>
      </c>
      <c r="H3105" s="5">
        <f>IF($I2="","",INDEX(Productos!$AG:$AG,$I2))</f>
        <v/>
      </c>
      <c r="I3105" s="136">
        <f>LET(_xlpm.r,Productos!$E$2:$E$2509,_xlpm.m,IFERROR(_xlfn.XMATCH(C3105,_xlpm.r),IFERROR(_xlfn.XMATCH(VALUE(C3105),_xlpm.r),0)),IF(_xlpm.m=0,"",_xlpm.m+1))</f>
        <v/>
      </c>
      <c r="J3105" s="137" t="inlineStr">
        <is>
          <t>Shopify</t>
        </is>
      </c>
    </row>
    <row r="3106">
      <c r="A3106" s="5" t="inlineStr">
        <is>
          <t>Shopify Stetson México › Stetson México</t>
        </is>
      </c>
      <c r="B3106" s="5">
        <f>IF($I2="","",INDEX(Productos!$A:$A,$I2))</f>
        <v/>
      </c>
      <c r="C3106" s="134" t="inlineStr">
        <is>
          <t>11-097-0562-0920-L</t>
        </is>
      </c>
      <c r="D3106" s="5">
        <f>IF($I2="","",INDEX(Productos!$B:$B,$I2))</f>
        <v/>
      </c>
      <c r="E3106" s="5">
        <f>IF($I2="","",INDEX(Productos!$H:$H,$I2))</f>
        <v/>
      </c>
      <c r="F3106" s="5">
        <f>IF($I2="","",INDEX(Productos!$I:$I,$I2))</f>
        <v/>
      </c>
      <c r="G3106" s="135" t="n">
        <v>1</v>
      </c>
      <c r="H3106" s="5">
        <f>IF($I2="","",INDEX(Productos!$AG:$AG,$I2))</f>
        <v/>
      </c>
      <c r="I3106" s="136">
        <f>LET(_xlpm.r,Productos!$E$2:$E$2509,_xlpm.m,IFERROR(_xlfn.XMATCH(C3106,_xlpm.r),IFERROR(_xlfn.XMATCH(VALUE(C3106),_xlpm.r),0)),IF(_xlpm.m=0,"",_xlpm.m+1))</f>
        <v/>
      </c>
      <c r="J3106" s="137" t="inlineStr">
        <is>
          <t>Shopify</t>
        </is>
      </c>
    </row>
    <row r="3107">
      <c r="A3107" s="5" t="inlineStr">
        <is>
          <t>Shopify Stetson México › Stetson México</t>
        </is>
      </c>
      <c r="B3107" s="5">
        <f>IF($I2="","",INDEX(Productos!$A:$A,$I2))</f>
        <v/>
      </c>
      <c r="C3107" s="134" t="inlineStr">
        <is>
          <t>11-097-0562-0920-M</t>
        </is>
      </c>
      <c r="D3107" s="5">
        <f>IF($I2="","",INDEX(Productos!$B:$B,$I2))</f>
        <v/>
      </c>
      <c r="E3107" s="5">
        <f>IF($I2="","",INDEX(Productos!$H:$H,$I2))</f>
        <v/>
      </c>
      <c r="F3107" s="5">
        <f>IF($I2="","",INDEX(Productos!$I:$I,$I2))</f>
        <v/>
      </c>
      <c r="G3107" s="135" t="n">
        <v>2</v>
      </c>
      <c r="H3107" s="5">
        <f>IF($I2="","",INDEX(Productos!$AG:$AG,$I2))</f>
        <v/>
      </c>
      <c r="I3107" s="136">
        <f>LET(_xlpm.r,Productos!$E$2:$E$2509,_xlpm.m,IFERROR(_xlfn.XMATCH(C3107,_xlpm.r),IFERROR(_xlfn.XMATCH(VALUE(C3107),_xlpm.r),0)),IF(_xlpm.m=0,"",_xlpm.m+1))</f>
        <v/>
      </c>
      <c r="J3107" s="137" t="inlineStr">
        <is>
          <t>Shopify</t>
        </is>
      </c>
    </row>
    <row r="3108">
      <c r="A3108" s="5" t="inlineStr">
        <is>
          <t>Shopify Stetson México › Stetson México</t>
        </is>
      </c>
      <c r="B3108" s="5">
        <f>IF($I2="","",INDEX(Productos!$A:$A,$I2))</f>
        <v/>
      </c>
      <c r="C3108" s="134" t="inlineStr">
        <is>
          <t>9401790-204-L</t>
        </is>
      </c>
      <c r="D3108" s="5">
        <f>IF($I2="","",INDEX(Productos!$B:$B,$I2))</f>
        <v/>
      </c>
      <c r="E3108" s="5">
        <f>IF($I2="","",INDEX(Productos!$H:$H,$I2))</f>
        <v/>
      </c>
      <c r="F3108" s="5">
        <f>IF($I2="","",INDEX(Productos!$I:$I,$I2))</f>
        <v/>
      </c>
      <c r="G3108" s="135" t="n">
        <v>2</v>
      </c>
      <c r="H3108" s="5">
        <f>IF($I2="","",INDEX(Productos!$AG:$AG,$I2))</f>
        <v/>
      </c>
      <c r="I3108" s="136">
        <f>LET(_xlpm.r,Productos!$E$2:$E$2509,_xlpm.m,IFERROR(_xlfn.XMATCH(C3108,_xlpm.r),IFERROR(_xlfn.XMATCH(VALUE(C3108),_xlpm.r),0)),IF(_xlpm.m=0,"",_xlpm.m+1))</f>
        <v/>
      </c>
      <c r="J3108" s="137" t="inlineStr">
        <is>
          <t>Shopify</t>
        </is>
      </c>
    </row>
    <row r="3109">
      <c r="A3109" s="5" t="inlineStr">
        <is>
          <t>Shopify Stetson México › Stetson México</t>
        </is>
      </c>
      <c r="B3109" s="5">
        <f>IF($I2="","",INDEX(Productos!$A:$A,$I2))</f>
        <v/>
      </c>
      <c r="C3109" s="134" t="inlineStr">
        <is>
          <t>9405790-210-L</t>
        </is>
      </c>
      <c r="D3109" s="5">
        <f>IF($I2="","",INDEX(Productos!$B:$B,$I2))</f>
        <v/>
      </c>
      <c r="E3109" s="5">
        <f>IF($I2="","",INDEX(Productos!$H:$H,$I2))</f>
        <v/>
      </c>
      <c r="F3109" s="5">
        <f>IF($I2="","",INDEX(Productos!$I:$I,$I2))</f>
        <v/>
      </c>
      <c r="G3109" s="135" t="n">
        <v>1</v>
      </c>
      <c r="H3109" s="5">
        <f>IF($I2="","",INDEX(Productos!$AG:$AG,$I2))</f>
        <v/>
      </c>
      <c r="I3109" s="136">
        <f>LET(_xlpm.r,Productos!$E$2:$E$2509,_xlpm.m,IFERROR(_xlfn.XMATCH(C3109,_xlpm.r),IFERROR(_xlfn.XMATCH(VALUE(C3109),_xlpm.r),0)),IF(_xlpm.m=0,"",_xlpm.m+1))</f>
        <v/>
      </c>
      <c r="J3109" s="137" t="inlineStr">
        <is>
          <t>Shopify</t>
        </is>
      </c>
    </row>
    <row r="3110">
      <c r="A3110" s="5" t="inlineStr">
        <is>
          <t>Shopify Stetson México › Stetson México</t>
        </is>
      </c>
      <c r="B3110" s="5">
        <f>IF($I2="","",INDEX(Productos!$A:$A,$I2))</f>
        <v/>
      </c>
      <c r="C3110" s="134" t="inlineStr">
        <is>
          <t>9405790-210-M</t>
        </is>
      </c>
      <c r="D3110" s="5">
        <f>IF($I2="","",INDEX(Productos!$B:$B,$I2))</f>
        <v/>
      </c>
      <c r="E3110" s="5">
        <f>IF($I2="","",INDEX(Productos!$H:$H,$I2))</f>
        <v/>
      </c>
      <c r="F3110" s="5">
        <f>IF($I2="","",INDEX(Productos!$I:$I,$I2))</f>
        <v/>
      </c>
      <c r="G3110" s="135" t="n">
        <v>2</v>
      </c>
      <c r="H3110" s="5">
        <f>IF($I2="","",INDEX(Productos!$AG:$AG,$I2))</f>
        <v/>
      </c>
      <c r="I3110" s="136">
        <f>LET(_xlpm.r,Productos!$E$2:$E$2509,_xlpm.m,IFERROR(_xlfn.XMATCH(C3110,_xlpm.r),IFERROR(_xlfn.XMATCH(VALUE(C3110),_xlpm.r),0)),IF(_xlpm.m=0,"",_xlpm.m+1))</f>
        <v/>
      </c>
      <c r="J3110" s="137" t="inlineStr">
        <is>
          <t>Shopify</t>
        </is>
      </c>
    </row>
    <row r="3111">
      <c r="A3111" s="5" t="inlineStr">
        <is>
          <t>Shopify Stetson México › Stetson México</t>
        </is>
      </c>
      <c r="B3111" s="5">
        <f>IF($I2="","",INDEX(Productos!$A:$A,$I2))</f>
        <v/>
      </c>
      <c r="C3111" s="134" t="inlineStr">
        <is>
          <t>9405790-210-S</t>
        </is>
      </c>
      <c r="D3111" s="5">
        <f>IF($I2="","",INDEX(Productos!$B:$B,$I2))</f>
        <v/>
      </c>
      <c r="E3111" s="5">
        <f>IF($I2="","",INDEX(Productos!$H:$H,$I2))</f>
        <v/>
      </c>
      <c r="F3111" s="5">
        <f>IF($I2="","",INDEX(Productos!$I:$I,$I2))</f>
        <v/>
      </c>
      <c r="G3111" s="135" t="n">
        <v>1</v>
      </c>
      <c r="H3111" s="5">
        <f>IF($I2="","",INDEX(Productos!$AG:$AG,$I2))</f>
        <v/>
      </c>
      <c r="I3111" s="136">
        <f>LET(_xlpm.r,Productos!$E$2:$E$2509,_xlpm.m,IFERROR(_xlfn.XMATCH(C3111,_xlpm.r),IFERROR(_xlfn.XMATCH(VALUE(C3111),_xlpm.r),0)),IF(_xlpm.m=0,"",_xlpm.m+1))</f>
        <v/>
      </c>
      <c r="J3111" s="137" t="inlineStr">
        <is>
          <t>Shopify</t>
        </is>
      </c>
    </row>
    <row r="3112">
      <c r="A3112" s="5" t="inlineStr">
        <is>
          <t>Shopify Stetson México › Stetson México</t>
        </is>
      </c>
      <c r="B3112" s="5">
        <f>IF($I2="","",INDEX(Productos!$A:$A,$I2))</f>
        <v/>
      </c>
      <c r="C3112" s="134" t="inlineStr">
        <is>
          <t>9408790-001-L</t>
        </is>
      </c>
      <c r="D3112" s="5">
        <f>IF($I2="","",INDEX(Productos!$B:$B,$I2))</f>
        <v/>
      </c>
      <c r="E3112" s="5">
        <f>IF($I2="","",INDEX(Productos!$H:$H,$I2))</f>
        <v/>
      </c>
      <c r="F3112" s="5">
        <f>IF($I2="","",INDEX(Productos!$I:$I,$I2))</f>
        <v/>
      </c>
      <c r="G3112" s="135" t="n">
        <v>3</v>
      </c>
      <c r="H3112" s="5">
        <f>IF($I2="","",INDEX(Productos!$AG:$AG,$I2))</f>
        <v/>
      </c>
      <c r="I3112" s="136">
        <f>LET(_xlpm.r,Productos!$E$2:$E$2509,_xlpm.m,IFERROR(_xlfn.XMATCH(C3112,_xlpm.r),IFERROR(_xlfn.XMATCH(VALUE(C3112),_xlpm.r),0)),IF(_xlpm.m=0,"",_xlpm.m+1))</f>
        <v/>
      </c>
      <c r="J3112" s="137" t="inlineStr">
        <is>
          <t>Shopify</t>
        </is>
      </c>
    </row>
    <row r="3113">
      <c r="A3113" s="5" t="inlineStr">
        <is>
          <t>Shopify Stetson México › Stetson México</t>
        </is>
      </c>
      <c r="B3113" s="5">
        <f>IF($I2="","",INDEX(Productos!$A:$A,$I2))</f>
        <v/>
      </c>
      <c r="C3113" s="134" t="inlineStr">
        <is>
          <t>9408790-001-M</t>
        </is>
      </c>
      <c r="D3113" s="5">
        <f>IF($I2="","",INDEX(Productos!$B:$B,$I2))</f>
        <v/>
      </c>
      <c r="E3113" s="5">
        <f>IF($I2="","",INDEX(Productos!$H:$H,$I2))</f>
        <v/>
      </c>
      <c r="F3113" s="5">
        <f>IF($I2="","",INDEX(Productos!$I:$I,$I2))</f>
        <v/>
      </c>
      <c r="G3113" s="135" t="n">
        <v>3</v>
      </c>
      <c r="H3113" s="5">
        <f>IF($I2="","",INDEX(Productos!$AG:$AG,$I2))</f>
        <v/>
      </c>
      <c r="I3113" s="136">
        <f>LET(_xlpm.r,Productos!$E$2:$E$2509,_xlpm.m,IFERROR(_xlfn.XMATCH(C3113,_xlpm.r),IFERROR(_xlfn.XMATCH(VALUE(C3113),_xlpm.r),0)),IF(_xlpm.m=0,"",_xlpm.m+1))</f>
        <v/>
      </c>
      <c r="J3113" s="137" t="inlineStr">
        <is>
          <t>Shopify</t>
        </is>
      </c>
    </row>
    <row r="3114">
      <c r="A3114" s="5" t="inlineStr">
        <is>
          <t>Shopify Stetson México › Stetson México</t>
        </is>
      </c>
      <c r="B3114" s="5">
        <f>IF($I2="","",INDEX(Productos!$A:$A,$I2))</f>
        <v/>
      </c>
      <c r="C3114" s="134" t="inlineStr">
        <is>
          <t>9408790-001-S</t>
        </is>
      </c>
      <c r="D3114" s="5">
        <f>IF($I2="","",INDEX(Productos!$B:$B,$I2))</f>
        <v/>
      </c>
      <c r="E3114" s="5">
        <f>IF($I2="","",INDEX(Productos!$H:$H,$I2))</f>
        <v/>
      </c>
      <c r="F3114" s="5">
        <f>IF($I2="","",INDEX(Productos!$I:$I,$I2))</f>
        <v/>
      </c>
      <c r="G3114" s="135" t="n">
        <v>1</v>
      </c>
      <c r="H3114" s="5">
        <f>IF($I2="","",INDEX(Productos!$AG:$AG,$I2))</f>
        <v/>
      </c>
      <c r="I3114" s="136">
        <f>LET(_xlpm.r,Productos!$E$2:$E$2509,_xlpm.m,IFERROR(_xlfn.XMATCH(C3114,_xlpm.r),IFERROR(_xlfn.XMATCH(VALUE(C3114),_xlpm.r),0)),IF(_xlpm.m=0,"",_xlpm.m+1))</f>
        <v/>
      </c>
      <c r="J3114" s="137" t="inlineStr">
        <is>
          <t>Shopify</t>
        </is>
      </c>
    </row>
    <row r="3115">
      <c r="A3115" s="5" t="inlineStr">
        <is>
          <t>Shopify Stetson México › Stetson México</t>
        </is>
      </c>
      <c r="B3115" s="5">
        <f>IF($I2="","",INDEX(Productos!$A:$A,$I2))</f>
        <v/>
      </c>
      <c r="C3115" s="134" t="inlineStr">
        <is>
          <t>9408790-233-L</t>
        </is>
      </c>
      <c r="D3115" s="5">
        <f>IF($I2="","",INDEX(Productos!$B:$B,$I2))</f>
        <v/>
      </c>
      <c r="E3115" s="5">
        <f>IF($I2="","",INDEX(Productos!$H:$H,$I2))</f>
        <v/>
      </c>
      <c r="F3115" s="5">
        <f>IF($I2="","",INDEX(Productos!$I:$I,$I2))</f>
        <v/>
      </c>
      <c r="G3115" s="135" t="n">
        <v>2</v>
      </c>
      <c r="H3115" s="5">
        <f>IF($I2="","",INDEX(Productos!$AG:$AG,$I2))</f>
        <v/>
      </c>
      <c r="I3115" s="136">
        <f>LET(_xlpm.r,Productos!$E$2:$E$2509,_xlpm.m,IFERROR(_xlfn.XMATCH(C3115,_xlpm.r),IFERROR(_xlfn.XMATCH(VALUE(C3115),_xlpm.r),0)),IF(_xlpm.m=0,"",_xlpm.m+1))</f>
        <v/>
      </c>
      <c r="J3115" s="137" t="inlineStr">
        <is>
          <t>Shopify</t>
        </is>
      </c>
    </row>
    <row r="3116">
      <c r="A3116" s="5" t="inlineStr">
        <is>
          <t>Shopify Stetson México › Stetson México</t>
        </is>
      </c>
      <c r="B3116" s="5">
        <f>IF($I2="","",INDEX(Productos!$A:$A,$I2))</f>
        <v/>
      </c>
      <c r="C3116" s="134" t="inlineStr">
        <is>
          <t>9408790-233-M</t>
        </is>
      </c>
      <c r="D3116" s="5">
        <f>IF($I2="","",INDEX(Productos!$B:$B,$I2))</f>
        <v/>
      </c>
      <c r="E3116" s="5">
        <f>IF($I2="","",INDEX(Productos!$H:$H,$I2))</f>
        <v/>
      </c>
      <c r="F3116" s="5">
        <f>IF($I2="","",INDEX(Productos!$I:$I,$I2))</f>
        <v/>
      </c>
      <c r="G3116" s="135" t="n">
        <v>1</v>
      </c>
      <c r="H3116" s="5">
        <f>IF($I2="","",INDEX(Productos!$AG:$AG,$I2))</f>
        <v/>
      </c>
      <c r="I3116" s="136">
        <f>LET(_xlpm.r,Productos!$E$2:$E$2509,_xlpm.m,IFERROR(_xlfn.XMATCH(C3116,_xlpm.r),IFERROR(_xlfn.XMATCH(VALUE(C3116),_xlpm.r),0)),IF(_xlpm.m=0,"",_xlpm.m+1))</f>
        <v/>
      </c>
      <c r="J3116" s="137" t="inlineStr">
        <is>
          <t>Shopify</t>
        </is>
      </c>
    </row>
    <row r="3117">
      <c r="A3117" s="5" t="inlineStr">
        <is>
          <t>Shopify Stetson México › Stetson México</t>
        </is>
      </c>
      <c r="B3117" s="5">
        <f>IF($I2="","",INDEX(Productos!$A:$A,$I2))</f>
        <v/>
      </c>
      <c r="C3117" s="134" t="inlineStr">
        <is>
          <t>9409790-001-M</t>
        </is>
      </c>
      <c r="D3117" s="5">
        <f>IF($I2="","",INDEX(Productos!$B:$B,$I2))</f>
        <v/>
      </c>
      <c r="E3117" s="5">
        <f>IF($I2="","",INDEX(Productos!$H:$H,$I2))</f>
        <v/>
      </c>
      <c r="F3117" s="5">
        <f>IF($I2="","",INDEX(Productos!$I:$I,$I2))</f>
        <v/>
      </c>
      <c r="G3117" s="135" t="n">
        <v>1</v>
      </c>
      <c r="H3117" s="5">
        <f>IF($I2="","",INDEX(Productos!$AG:$AG,$I2))</f>
        <v/>
      </c>
      <c r="I3117" s="136">
        <f>LET(_xlpm.r,Productos!$E$2:$E$2509,_xlpm.m,IFERROR(_xlfn.XMATCH(C3117,_xlpm.r),IFERROR(_xlfn.XMATCH(VALUE(C3117),_xlpm.r),0)),IF(_xlpm.m=0,"",_xlpm.m+1))</f>
        <v/>
      </c>
      <c r="J3117" s="137" t="inlineStr">
        <is>
          <t>Shopify</t>
        </is>
      </c>
    </row>
    <row r="3118">
      <c r="A3118" s="5" t="inlineStr">
        <is>
          <t>Shopify Stetson México › Stetson México</t>
        </is>
      </c>
      <c r="B3118" s="5">
        <f>IF($I2="","",INDEX(Productos!$A:$A,$I2))</f>
        <v/>
      </c>
      <c r="C3118" s="134" t="inlineStr">
        <is>
          <t>9409790-600-L</t>
        </is>
      </c>
      <c r="D3118" s="5">
        <f>IF($I2="","",INDEX(Productos!$B:$B,$I2))</f>
        <v/>
      </c>
      <c r="E3118" s="5">
        <f>IF($I2="","",INDEX(Productos!$H:$H,$I2))</f>
        <v/>
      </c>
      <c r="F3118" s="5">
        <f>IF($I2="","",INDEX(Productos!$I:$I,$I2))</f>
        <v/>
      </c>
      <c r="G3118" s="135" t="n">
        <v>4</v>
      </c>
      <c r="H3118" s="5">
        <f>IF($I2="","",INDEX(Productos!$AG:$AG,$I2))</f>
        <v/>
      </c>
      <c r="I3118" s="136">
        <f>LET(_xlpm.r,Productos!$E$2:$E$2509,_xlpm.m,IFERROR(_xlfn.XMATCH(C3118,_xlpm.r),IFERROR(_xlfn.XMATCH(VALUE(C3118),_xlpm.r),0)),IF(_xlpm.m=0,"",_xlpm.m+1))</f>
        <v/>
      </c>
      <c r="J3118" s="137" t="inlineStr">
        <is>
          <t>Shopify</t>
        </is>
      </c>
    </row>
    <row r="3119">
      <c r="A3119" s="5" t="inlineStr">
        <is>
          <t>Shopify Stetson México › Stetson México</t>
        </is>
      </c>
      <c r="B3119" s="5">
        <f>IF($I2="","",INDEX(Productos!$A:$A,$I2))</f>
        <v/>
      </c>
      <c r="C3119" s="134" t="inlineStr">
        <is>
          <t>9409790-600-M</t>
        </is>
      </c>
      <c r="D3119" s="5">
        <f>IF($I2="","",INDEX(Productos!$B:$B,$I2))</f>
        <v/>
      </c>
      <c r="E3119" s="5">
        <f>IF($I2="","",INDEX(Productos!$H:$H,$I2))</f>
        <v/>
      </c>
      <c r="F3119" s="5">
        <f>IF($I2="","",INDEX(Productos!$I:$I,$I2))</f>
        <v/>
      </c>
      <c r="G3119" s="135" t="n">
        <v>1</v>
      </c>
      <c r="H3119" s="5">
        <f>IF($I2="","",INDEX(Productos!$AG:$AG,$I2))</f>
        <v/>
      </c>
      <c r="I3119" s="136">
        <f>LET(_xlpm.r,Productos!$E$2:$E$2509,_xlpm.m,IFERROR(_xlfn.XMATCH(C3119,_xlpm.r),IFERROR(_xlfn.XMATCH(VALUE(C3119),_xlpm.r),0)),IF(_xlpm.m=0,"",_xlpm.m+1))</f>
        <v/>
      </c>
      <c r="J3119" s="137" t="inlineStr">
        <is>
          <t>Shopify</t>
        </is>
      </c>
    </row>
    <row r="3120">
      <c r="A3120" s="5" t="inlineStr">
        <is>
          <t>Shopify Stetson México › Stetson México</t>
        </is>
      </c>
      <c r="B3120" s="5">
        <f>IF($I2="","",INDEX(Productos!$A:$A,$I2))</f>
        <v/>
      </c>
      <c r="C3120" s="134" t="inlineStr">
        <is>
          <t>9409790-600-XL</t>
        </is>
      </c>
      <c r="D3120" s="5">
        <f>IF($I2="","",INDEX(Productos!$B:$B,$I2))</f>
        <v/>
      </c>
      <c r="E3120" s="5">
        <f>IF($I2="","",INDEX(Productos!$H:$H,$I2))</f>
        <v/>
      </c>
      <c r="F3120" s="5">
        <f>IF($I2="","",INDEX(Productos!$I:$I,$I2))</f>
        <v/>
      </c>
      <c r="G3120" s="135" t="n">
        <v>2</v>
      </c>
      <c r="H3120" s="5">
        <f>IF($I2="","",INDEX(Productos!$AG:$AG,$I2))</f>
        <v/>
      </c>
      <c r="I3120" s="136">
        <f>LET(_xlpm.r,Productos!$E$2:$E$2509,_xlpm.m,IFERROR(_xlfn.XMATCH(C3120,_xlpm.r),IFERROR(_xlfn.XMATCH(VALUE(C3120),_xlpm.r),0)),IF(_xlpm.m=0,"",_xlpm.m+1))</f>
        <v/>
      </c>
      <c r="J3120" s="137" t="inlineStr">
        <is>
          <t>Shopify</t>
        </is>
      </c>
    </row>
    <row r="3121">
      <c r="A3121" s="5" t="inlineStr">
        <is>
          <t>Shopify Stetson México › Stetson México</t>
        </is>
      </c>
      <c r="B3121" s="5">
        <f>IF($I2="","",INDEX(Productos!$A:$A,$I2))</f>
        <v/>
      </c>
      <c r="C3121" s="134" t="inlineStr">
        <is>
          <t>9411790-909-L</t>
        </is>
      </c>
      <c r="D3121" s="5">
        <f>IF($I2="","",INDEX(Productos!$B:$B,$I2))</f>
        <v/>
      </c>
      <c r="E3121" s="5">
        <f>IF($I2="","",INDEX(Productos!$H:$H,$I2))</f>
        <v/>
      </c>
      <c r="F3121" s="5">
        <f>IF($I2="","",INDEX(Productos!$I:$I,$I2))</f>
        <v/>
      </c>
      <c r="G3121" s="135" t="n">
        <v>3</v>
      </c>
      <c r="H3121" s="5">
        <f>IF($I2="","",INDEX(Productos!$AG:$AG,$I2))</f>
        <v/>
      </c>
      <c r="I3121" s="136">
        <f>LET(_xlpm.r,Productos!$E$2:$E$2509,_xlpm.m,IFERROR(_xlfn.XMATCH(C3121,_xlpm.r),IFERROR(_xlfn.XMATCH(VALUE(C3121),_xlpm.r),0)),IF(_xlpm.m=0,"",_xlpm.m+1))</f>
        <v/>
      </c>
      <c r="J3121" s="137" t="inlineStr">
        <is>
          <t>Shopify</t>
        </is>
      </c>
    </row>
    <row r="3122">
      <c r="A3122" s="5" t="inlineStr">
        <is>
          <t>Shopify Stetson México › Stetson México</t>
        </is>
      </c>
      <c r="B3122" s="5">
        <f>IF($I2="","",INDEX(Productos!$A:$A,$I2))</f>
        <v/>
      </c>
      <c r="C3122" s="134" t="inlineStr">
        <is>
          <t>9411790-909-M</t>
        </is>
      </c>
      <c r="D3122" s="5">
        <f>IF($I2="","",INDEX(Productos!$B:$B,$I2))</f>
        <v/>
      </c>
      <c r="E3122" s="5">
        <f>IF($I2="","",INDEX(Productos!$H:$H,$I2))</f>
        <v/>
      </c>
      <c r="F3122" s="5">
        <f>IF($I2="","",INDEX(Productos!$I:$I,$I2))</f>
        <v/>
      </c>
      <c r="G3122" s="135" t="n">
        <v>7</v>
      </c>
      <c r="H3122" s="5">
        <f>IF($I2="","",INDEX(Productos!$AG:$AG,$I2))</f>
        <v/>
      </c>
      <c r="I3122" s="136">
        <f>LET(_xlpm.r,Productos!$E$2:$E$2509,_xlpm.m,IFERROR(_xlfn.XMATCH(C3122,_xlpm.r),IFERROR(_xlfn.XMATCH(VALUE(C3122),_xlpm.r),0)),IF(_xlpm.m=0,"",_xlpm.m+1))</f>
        <v/>
      </c>
      <c r="J3122" s="137" t="inlineStr">
        <is>
          <t>Shopify</t>
        </is>
      </c>
    </row>
    <row r="3123">
      <c r="A3123" s="5" t="inlineStr">
        <is>
          <t>Shopify Stetson México › Stetson México</t>
        </is>
      </c>
      <c r="B3123" s="5">
        <f>IF($I2="","",INDEX(Productos!$A:$A,$I2))</f>
        <v/>
      </c>
      <c r="C3123" s="134" t="inlineStr">
        <is>
          <t>9412790-100-L</t>
        </is>
      </c>
      <c r="D3123" s="5">
        <f>IF($I2="","",INDEX(Productos!$B:$B,$I2))</f>
        <v/>
      </c>
      <c r="E3123" s="5">
        <f>IF($I2="","",INDEX(Productos!$H:$H,$I2))</f>
        <v/>
      </c>
      <c r="F3123" s="5">
        <f>IF($I2="","",INDEX(Productos!$I:$I,$I2))</f>
        <v/>
      </c>
      <c r="G3123" s="135" t="n">
        <v>4</v>
      </c>
      <c r="H3123" s="5">
        <f>IF($I2="","",INDEX(Productos!$AG:$AG,$I2))</f>
        <v/>
      </c>
      <c r="I3123" s="136">
        <f>LET(_xlpm.r,Productos!$E$2:$E$2509,_xlpm.m,IFERROR(_xlfn.XMATCH(C3123,_xlpm.r),IFERROR(_xlfn.XMATCH(VALUE(C3123),_xlpm.r),0)),IF(_xlpm.m=0,"",_xlpm.m+1))</f>
        <v/>
      </c>
      <c r="J3123" s="137" t="inlineStr">
        <is>
          <t>Shopify</t>
        </is>
      </c>
    </row>
    <row r="3124">
      <c r="A3124" s="5" t="inlineStr">
        <is>
          <t>Shopify Stetson México › Stetson México</t>
        </is>
      </c>
      <c r="B3124" s="5">
        <f>IF($I2="","",INDEX(Productos!$A:$A,$I2))</f>
        <v/>
      </c>
      <c r="C3124" s="134" t="inlineStr">
        <is>
          <t>9412790-100-M</t>
        </is>
      </c>
      <c r="D3124" s="5">
        <f>IF($I2="","",INDEX(Productos!$B:$B,$I2))</f>
        <v/>
      </c>
      <c r="E3124" s="5">
        <f>IF($I2="","",INDEX(Productos!$H:$H,$I2))</f>
        <v/>
      </c>
      <c r="F3124" s="5">
        <f>IF($I2="","",INDEX(Productos!$I:$I,$I2))</f>
        <v/>
      </c>
      <c r="G3124" s="135" t="n">
        <v>2</v>
      </c>
      <c r="H3124" s="5">
        <f>IF($I2="","",INDEX(Productos!$AG:$AG,$I2))</f>
        <v/>
      </c>
      <c r="I3124" s="136">
        <f>LET(_xlpm.r,Productos!$E$2:$E$2509,_xlpm.m,IFERROR(_xlfn.XMATCH(C3124,_xlpm.r),IFERROR(_xlfn.XMATCH(VALUE(C3124),_xlpm.r),0)),IF(_xlpm.m=0,"",_xlpm.m+1))</f>
        <v/>
      </c>
      <c r="J3124" s="137" t="inlineStr">
        <is>
          <t>Shopify</t>
        </is>
      </c>
    </row>
    <row r="3125">
      <c r="A3125" s="5" t="inlineStr">
        <is>
          <t>Shopify Stetson México › Stetson México</t>
        </is>
      </c>
      <c r="B3125" s="5">
        <f>IF($I2="","",INDEX(Productos!$A:$A,$I2))</f>
        <v/>
      </c>
      <c r="C3125" s="134" t="inlineStr">
        <is>
          <t>9412790-100-S</t>
        </is>
      </c>
      <c r="D3125" s="5">
        <f>IF($I2="","",INDEX(Productos!$B:$B,$I2))</f>
        <v/>
      </c>
      <c r="E3125" s="5">
        <f>IF($I2="","",INDEX(Productos!$H:$H,$I2))</f>
        <v/>
      </c>
      <c r="F3125" s="5">
        <f>IF($I2="","",INDEX(Productos!$I:$I,$I2))</f>
        <v/>
      </c>
      <c r="G3125" s="135" t="n">
        <v>2</v>
      </c>
      <c r="H3125" s="5">
        <f>IF($I2="","",INDEX(Productos!$AG:$AG,$I2))</f>
        <v/>
      </c>
      <c r="I3125" s="136">
        <f>LET(_xlpm.r,Productos!$E$2:$E$2509,_xlpm.m,IFERROR(_xlfn.XMATCH(C3125,_xlpm.r),IFERROR(_xlfn.XMATCH(VALUE(C3125),_xlpm.r),0)),IF(_xlpm.m=0,"",_xlpm.m+1))</f>
        <v/>
      </c>
      <c r="J3125" s="137" t="inlineStr">
        <is>
          <t>Shopify</t>
        </is>
      </c>
    </row>
    <row r="3126">
      <c r="A3126" s="5" t="inlineStr">
        <is>
          <t>Shopify Stetson México › Stetson México</t>
        </is>
      </c>
      <c r="B3126" s="5">
        <f>IF($I2="","",INDEX(Productos!$A:$A,$I2))</f>
        <v/>
      </c>
      <c r="C3126" s="134" t="inlineStr">
        <is>
          <t>9412790-100-XL</t>
        </is>
      </c>
      <c r="D3126" s="5">
        <f>IF($I2="","",INDEX(Productos!$B:$B,$I2))</f>
        <v/>
      </c>
      <c r="E3126" s="5">
        <f>IF($I2="","",INDEX(Productos!$H:$H,$I2))</f>
        <v/>
      </c>
      <c r="F3126" s="5">
        <f>IF($I2="","",INDEX(Productos!$I:$I,$I2))</f>
        <v/>
      </c>
      <c r="G3126" s="135" t="n">
        <v>2</v>
      </c>
      <c r="H3126" s="5">
        <f>IF($I2="","",INDEX(Productos!$AG:$AG,$I2))</f>
        <v/>
      </c>
      <c r="I3126" s="136">
        <f>LET(_xlpm.r,Productos!$E$2:$E$2509,_xlpm.m,IFERROR(_xlfn.XMATCH(C3126,_xlpm.r),IFERROR(_xlfn.XMATCH(VALUE(C3126),_xlpm.r),0)),IF(_xlpm.m=0,"",_xlpm.m+1))</f>
        <v/>
      </c>
      <c r="J3126" s="137" t="inlineStr">
        <is>
          <t>Shopify</t>
        </is>
      </c>
    </row>
    <row r="3127">
      <c r="A3127" s="5" t="inlineStr">
        <is>
          <t>Shopify Stetson México › Stetson México</t>
        </is>
      </c>
      <c r="B3127" s="5">
        <f>IF($I2="","",INDEX(Productos!$A:$A,$I2))</f>
        <v/>
      </c>
      <c r="C3127" s="134" t="inlineStr">
        <is>
          <t>9501000-200-NZ</t>
        </is>
      </c>
      <c r="D3127" s="5">
        <f>IF($I2="","",INDEX(Productos!$B:$B,$I2))</f>
        <v/>
      </c>
      <c r="E3127" s="5">
        <f>IF($I2="","",INDEX(Productos!$H:$H,$I2))</f>
        <v/>
      </c>
      <c r="F3127" s="5">
        <f>IF($I2="","",INDEX(Productos!$I:$I,$I2))</f>
        <v/>
      </c>
      <c r="G3127" s="135" t="n">
        <v>7</v>
      </c>
      <c r="H3127" s="5">
        <f>IF($I2="","",INDEX(Productos!$AG:$AG,$I2))</f>
        <v/>
      </c>
      <c r="I3127" s="136">
        <f>LET(_xlpm.r,Productos!$E$2:$E$2509,_xlpm.m,IFERROR(_xlfn.XMATCH(C3127,_xlpm.r),IFERROR(_xlfn.XMATCH(VALUE(C3127),_xlpm.r),0)),IF(_xlpm.m=0,"",_xlpm.m+1))</f>
        <v/>
      </c>
      <c r="J3127" s="137" t="inlineStr">
        <is>
          <t>Shopify</t>
        </is>
      </c>
    </row>
    <row r="3128">
      <c r="A3128" s="5" t="inlineStr">
        <is>
          <t>Shopify Stetson México › Stetson México</t>
        </is>
      </c>
      <c r="B3128" s="5">
        <f>IF($I2="","",INDEX(Productos!$A:$A,$I2))</f>
        <v/>
      </c>
      <c r="C3128" s="134" t="inlineStr">
        <is>
          <t>9502000-600-NZ</t>
        </is>
      </c>
      <c r="D3128" s="5">
        <f>IF($I2="","",INDEX(Productos!$B:$B,$I2))</f>
        <v/>
      </c>
      <c r="E3128" s="5">
        <f>IF($I2="","",INDEX(Productos!$H:$H,$I2))</f>
        <v/>
      </c>
      <c r="F3128" s="5">
        <f>IF($I2="","",INDEX(Productos!$I:$I,$I2))</f>
        <v/>
      </c>
      <c r="G3128" s="135" t="n">
        <v>9</v>
      </c>
      <c r="H3128" s="5">
        <f>IF($I2="","",INDEX(Productos!$AG:$AG,$I2))</f>
        <v/>
      </c>
      <c r="I3128" s="136">
        <f>LET(_xlpm.r,Productos!$E$2:$E$2509,_xlpm.m,IFERROR(_xlfn.XMATCH(C3128,_xlpm.r),IFERROR(_xlfn.XMATCH(VALUE(C3128),_xlpm.r),0)),IF(_xlpm.m=0,"",_xlpm.m+1))</f>
        <v/>
      </c>
      <c r="J3128" s="137" t="inlineStr">
        <is>
          <t>Shopify</t>
        </is>
      </c>
    </row>
    <row r="3129">
      <c r="A3129" s="5" t="inlineStr">
        <is>
          <t>Shopify Stetson México › Stetson México</t>
        </is>
      </c>
      <c r="B3129" s="5">
        <f>IF($I2="","",INDEX(Productos!$A:$A,$I2))</f>
        <v/>
      </c>
      <c r="C3129" s="134" t="inlineStr">
        <is>
          <t>9506000-600-NZ</t>
        </is>
      </c>
      <c r="D3129" s="5">
        <f>IF($I2="","",INDEX(Productos!$B:$B,$I2))</f>
        <v/>
      </c>
      <c r="E3129" s="5">
        <f>IF($I2="","",INDEX(Productos!$H:$H,$I2))</f>
        <v/>
      </c>
      <c r="F3129" s="5">
        <f>IF($I2="","",INDEX(Productos!$I:$I,$I2))</f>
        <v/>
      </c>
      <c r="G3129" s="135" t="n">
        <v>9</v>
      </c>
      <c r="H3129" s="5">
        <f>IF($I2="","",INDEX(Productos!$AG:$AG,$I2))</f>
        <v/>
      </c>
      <c r="I3129" s="136">
        <f>LET(_xlpm.r,Productos!$E$2:$E$2509,_xlpm.m,IFERROR(_xlfn.XMATCH(C3129,_xlpm.r),IFERROR(_xlfn.XMATCH(VALUE(C3129),_xlpm.r),0)),IF(_xlpm.m=0,"",_xlpm.m+1))</f>
        <v/>
      </c>
      <c r="J3129" s="137" t="inlineStr">
        <is>
          <t>Shopify</t>
        </is>
      </c>
    </row>
    <row r="3130">
      <c r="A3130" s="5" t="inlineStr">
        <is>
          <t>Shopify Stetson México › Stetson México</t>
        </is>
      </c>
      <c r="B3130" s="5">
        <f>IF($I2="","",INDEX(Productos!$A:$A,$I2))</f>
        <v/>
      </c>
      <c r="C3130" s="134" t="inlineStr">
        <is>
          <t>9508000-001-NZ</t>
        </is>
      </c>
      <c r="D3130" s="5">
        <f>IF($I2="","",INDEX(Productos!$B:$B,$I2))</f>
        <v/>
      </c>
      <c r="E3130" s="5">
        <f>IF($I2="","",INDEX(Productos!$H:$H,$I2))</f>
        <v/>
      </c>
      <c r="F3130" s="5">
        <f>IF($I2="","",INDEX(Productos!$I:$I,$I2))</f>
        <v/>
      </c>
      <c r="G3130" s="135" t="n">
        <v>11</v>
      </c>
      <c r="H3130" s="5">
        <f>IF($I2="","",INDEX(Productos!$AG:$AG,$I2))</f>
        <v/>
      </c>
      <c r="I3130" s="136">
        <f>LET(_xlpm.r,Productos!$E$2:$E$2509,_xlpm.m,IFERROR(_xlfn.XMATCH(C3130,_xlpm.r),IFERROR(_xlfn.XMATCH(VALUE(C3130),_xlpm.r),0)),IF(_xlpm.m=0,"",_xlpm.m+1))</f>
        <v/>
      </c>
      <c r="J3130" s="137" t="inlineStr">
        <is>
          <t>Shopify</t>
        </is>
      </c>
    </row>
    <row r="3131">
      <c r="A3131" s="5" t="inlineStr">
        <is>
          <t>Shopify Stetson México › Stetson México</t>
        </is>
      </c>
      <c r="B3131" s="5">
        <f>IF($I2="","",INDEX(Productos!$A:$A,$I2))</f>
        <v/>
      </c>
      <c r="C3131" s="134" t="inlineStr">
        <is>
          <t>9509000-001-NZ</t>
        </is>
      </c>
      <c r="D3131" s="5">
        <f>IF($I2="","",INDEX(Productos!$B:$B,$I2))</f>
        <v/>
      </c>
      <c r="E3131" s="5">
        <f>IF($I2="","",INDEX(Productos!$H:$H,$I2))</f>
        <v/>
      </c>
      <c r="F3131" s="5">
        <f>IF($I2="","",INDEX(Productos!$I:$I,$I2))</f>
        <v/>
      </c>
      <c r="G3131" s="135" t="n">
        <v>7</v>
      </c>
      <c r="H3131" s="5">
        <f>IF($I2="","",INDEX(Productos!$AG:$AG,$I2))</f>
        <v/>
      </c>
      <c r="I3131" s="136">
        <f>LET(_xlpm.r,Productos!$E$2:$E$2509,_xlpm.m,IFERROR(_xlfn.XMATCH(C3131,_xlpm.r),IFERROR(_xlfn.XMATCH(VALUE(C3131),_xlpm.r),0)),IF(_xlpm.m=0,"",_xlpm.m+1))</f>
        <v/>
      </c>
      <c r="J3131" s="137" t="inlineStr">
        <is>
          <t>Shopify</t>
        </is>
      </c>
    </row>
    <row r="3132">
      <c r="A3132" s="5" t="inlineStr">
        <is>
          <t>Shopify Stetson México › Stetson México</t>
        </is>
      </c>
      <c r="B3132" s="5">
        <f>IF($I2="","",INDEX(Productos!$A:$A,$I2))</f>
        <v/>
      </c>
      <c r="C3132" s="134" t="inlineStr">
        <is>
          <t>9510000-200-NZ</t>
        </is>
      </c>
      <c r="D3132" s="5">
        <f>IF($I2="","",INDEX(Productos!$B:$B,$I2))</f>
        <v/>
      </c>
      <c r="E3132" s="5">
        <f>IF($I2="","",INDEX(Productos!$H:$H,$I2))</f>
        <v/>
      </c>
      <c r="F3132" s="5">
        <f>IF($I2="","",INDEX(Productos!$I:$I,$I2))</f>
        <v/>
      </c>
      <c r="G3132" s="135" t="n">
        <v>3</v>
      </c>
      <c r="H3132" s="5">
        <f>IF($I2="","",INDEX(Productos!$AG:$AG,$I2))</f>
        <v/>
      </c>
      <c r="I3132" s="136">
        <f>LET(_xlpm.r,Productos!$E$2:$E$2509,_xlpm.m,IFERROR(_xlfn.XMATCH(C3132,_xlpm.r),IFERROR(_xlfn.XMATCH(VALUE(C3132),_xlpm.r),0)),IF(_xlpm.m=0,"",_xlpm.m+1))</f>
        <v/>
      </c>
      <c r="J3132" s="137" t="inlineStr">
        <is>
          <t>Shopify</t>
        </is>
      </c>
    </row>
    <row r="3133">
      <c r="A3133" s="5" t="inlineStr">
        <is>
          <t>Shopify Stetson México › Stetson México</t>
        </is>
      </c>
      <c r="B3133" s="5">
        <f>IF($I2="","",INDEX(Productos!$A:$A,$I2))</f>
        <v/>
      </c>
      <c r="C3133" s="134" t="inlineStr">
        <is>
          <t>9510000-219-NZ</t>
        </is>
      </c>
      <c r="D3133" s="5">
        <f>IF($I2="","",INDEX(Productos!$B:$B,$I2))</f>
        <v/>
      </c>
      <c r="E3133" s="5">
        <f>IF($I2="","",INDEX(Productos!$H:$H,$I2))</f>
        <v/>
      </c>
      <c r="F3133" s="5">
        <f>IF($I2="","",INDEX(Productos!$I:$I,$I2))</f>
        <v/>
      </c>
      <c r="G3133" s="135" t="n">
        <v>11</v>
      </c>
      <c r="H3133" s="5">
        <f>IF($I2="","",INDEX(Productos!$AG:$AG,$I2))</f>
        <v/>
      </c>
      <c r="I3133" s="136">
        <f>LET(_xlpm.r,Productos!$E$2:$E$2509,_xlpm.m,IFERROR(_xlfn.XMATCH(C3133,_xlpm.r),IFERROR(_xlfn.XMATCH(VALUE(C3133),_xlpm.r),0)),IF(_xlpm.m=0,"",_xlpm.m+1))</f>
        <v/>
      </c>
      <c r="J3133" s="137" t="inlineStr">
        <is>
          <t>Shopify</t>
        </is>
      </c>
    </row>
    <row r="3134">
      <c r="A3134" s="5" t="inlineStr">
        <is>
          <t>Shopify Stetson México › Stetson México</t>
        </is>
      </c>
      <c r="B3134" s="5">
        <f>IF($I2="","",INDEX(Productos!$A:$A,$I2))</f>
        <v/>
      </c>
      <c r="C3134" s="134" t="inlineStr">
        <is>
          <t>9511000-200-NZ</t>
        </is>
      </c>
      <c r="D3134" s="5">
        <f>IF($I2="","",INDEX(Productos!$B:$B,$I2))</f>
        <v/>
      </c>
      <c r="E3134" s="5">
        <f>IF($I2="","",INDEX(Productos!$H:$H,$I2))</f>
        <v/>
      </c>
      <c r="F3134" s="5">
        <f>IF($I2="","",INDEX(Productos!$I:$I,$I2))</f>
        <v/>
      </c>
      <c r="G3134" s="135" t="n">
        <v>9</v>
      </c>
      <c r="H3134" s="5">
        <f>IF($I2="","",INDEX(Productos!$AG:$AG,$I2))</f>
        <v/>
      </c>
      <c r="I3134" s="136">
        <f>LET(_xlpm.r,Productos!$E$2:$E$2509,_xlpm.m,IFERROR(_xlfn.XMATCH(C3134,_xlpm.r),IFERROR(_xlfn.XMATCH(VALUE(C3134),_xlpm.r),0)),IF(_xlpm.m=0,"",_xlpm.m+1))</f>
        <v/>
      </c>
      <c r="J3134" s="137" t="inlineStr">
        <is>
          <t>Shopify</t>
        </is>
      </c>
    </row>
    <row r="3135">
      <c r="A3135" s="5" t="inlineStr">
        <is>
          <t>Shopify Stetson México › Stetson México</t>
        </is>
      </c>
      <c r="B3135" s="5">
        <f>IF($I2="","",INDEX(Productos!$A:$A,$I2))</f>
        <v/>
      </c>
      <c r="C3135" s="134" t="inlineStr">
        <is>
          <t>9512000-600-NZ</t>
        </is>
      </c>
      <c r="D3135" s="5">
        <f>IF($I2="","",INDEX(Productos!$B:$B,$I2))</f>
        <v/>
      </c>
      <c r="E3135" s="5">
        <f>IF($I2="","",INDEX(Productos!$H:$H,$I2))</f>
        <v/>
      </c>
      <c r="F3135" s="5">
        <f>IF($I2="","",INDEX(Productos!$I:$I,$I2))</f>
        <v/>
      </c>
      <c r="G3135" s="135" t="n">
        <v>8</v>
      </c>
      <c r="H3135" s="5">
        <f>IF($I2="","",INDEX(Productos!$AG:$AG,$I2))</f>
        <v/>
      </c>
      <c r="I3135" s="136">
        <f>LET(_xlpm.r,Productos!$E$2:$E$2509,_xlpm.m,IFERROR(_xlfn.XMATCH(C3135,_xlpm.r),IFERROR(_xlfn.XMATCH(VALUE(C3135),_xlpm.r),0)),IF(_xlpm.m=0,"",_xlpm.m+1))</f>
        <v/>
      </c>
      <c r="J3135" s="137" t="inlineStr">
        <is>
          <t>Shopify</t>
        </is>
      </c>
    </row>
    <row r="3136">
      <c r="A3136" s="5" t="inlineStr">
        <is>
          <t>Shopify Stetson México › Stetson México</t>
        </is>
      </c>
      <c r="B3136" s="5">
        <f>IF($I2="","",INDEX(Productos!$A:$A,$I2))</f>
        <v/>
      </c>
      <c r="C3136" s="134" t="inlineStr">
        <is>
          <t>9513000-001-NZ</t>
        </is>
      </c>
      <c r="D3136" s="5">
        <f>IF($I2="","",INDEX(Productos!$B:$B,$I2))</f>
        <v/>
      </c>
      <c r="E3136" s="5">
        <f>IF($I2="","",INDEX(Productos!$H:$H,$I2))</f>
        <v/>
      </c>
      <c r="F3136" s="5">
        <f>IF($I2="","",INDEX(Productos!$I:$I,$I2))</f>
        <v/>
      </c>
      <c r="G3136" s="135" t="n">
        <v>3</v>
      </c>
      <c r="H3136" s="5">
        <f>IF($I2="","",INDEX(Productos!$AG:$AG,$I2))</f>
        <v/>
      </c>
      <c r="I3136" s="136">
        <f>LET(_xlpm.r,Productos!$E$2:$E$2509,_xlpm.m,IFERROR(_xlfn.XMATCH(C3136,_xlpm.r),IFERROR(_xlfn.XMATCH(VALUE(C3136),_xlpm.r),0)),IF(_xlpm.m=0,"",_xlpm.m+1))</f>
        <v/>
      </c>
      <c r="J3136" s="137" t="inlineStr">
        <is>
          <t>Shopify</t>
        </is>
      </c>
    </row>
    <row r="3137">
      <c r="A3137" s="5" t="inlineStr">
        <is>
          <t>Shopify Stetson México › Stetson México</t>
        </is>
      </c>
      <c r="B3137" s="5">
        <f>IF($I2="","",INDEX(Productos!$A:$A,$I2))</f>
        <v/>
      </c>
      <c r="C3137" s="134" t="inlineStr">
        <is>
          <t>9804002-203-NZ</t>
        </is>
      </c>
      <c r="D3137" s="5">
        <f>IF($I2="","",INDEX(Productos!$B:$B,$I2))</f>
        <v/>
      </c>
      <c r="E3137" s="5">
        <f>IF($I2="","",INDEX(Productos!$H:$H,$I2))</f>
        <v/>
      </c>
      <c r="F3137" s="5">
        <f>IF($I2="","",INDEX(Productos!$I:$I,$I2))</f>
        <v/>
      </c>
      <c r="G3137" s="135" t="n">
        <v>3</v>
      </c>
      <c r="H3137" s="5">
        <f>IF($I2="","",INDEX(Productos!$AG:$AG,$I2))</f>
        <v/>
      </c>
      <c r="I3137" s="136">
        <f>LET(_xlpm.r,Productos!$E$2:$E$2509,_xlpm.m,IFERROR(_xlfn.XMATCH(C3137,_xlpm.r),IFERROR(_xlfn.XMATCH(VALUE(C3137),_xlpm.r),0)),IF(_xlpm.m=0,"",_xlpm.m+1))</f>
        <v/>
      </c>
      <c r="J3137" s="137" t="inlineStr">
        <is>
          <t>Shopify</t>
        </is>
      </c>
    </row>
    <row r="3138">
      <c r="A3138" s="5" t="inlineStr">
        <is>
          <t>Shopify Stetson México › Stetson México</t>
        </is>
      </c>
      <c r="B3138" s="5">
        <f>IF($I2="","",INDEX(Productos!$A:$A,$I2))</f>
        <v/>
      </c>
      <c r="C3138" s="134" t="inlineStr">
        <is>
          <t>9805001-200-NZ</t>
        </is>
      </c>
      <c r="D3138" s="5">
        <f>IF($I2="","",INDEX(Productos!$B:$B,$I2))</f>
        <v/>
      </c>
      <c r="E3138" s="5">
        <f>IF($I2="","",INDEX(Productos!$H:$H,$I2))</f>
        <v/>
      </c>
      <c r="F3138" s="5">
        <f>IF($I2="","",INDEX(Productos!$I:$I,$I2))</f>
        <v/>
      </c>
      <c r="G3138" s="135" t="n">
        <v>1</v>
      </c>
      <c r="H3138" s="5">
        <f>IF($I2="","",INDEX(Productos!$AG:$AG,$I2))</f>
        <v/>
      </c>
      <c r="I3138" s="136">
        <f>LET(_xlpm.r,Productos!$E$2:$E$2509,_xlpm.m,IFERROR(_xlfn.XMATCH(C3138,_xlpm.r),IFERROR(_xlfn.XMATCH(VALUE(C3138),_xlpm.r),0)),IF(_xlpm.m=0,"",_xlpm.m+1))</f>
        <v/>
      </c>
      <c r="J3138" s="137" t="inlineStr">
        <is>
          <t>Shopify</t>
        </is>
      </c>
    </row>
    <row r="3139">
      <c r="A3139" s="5" t="inlineStr">
        <is>
          <t>Shopify Stetson México › Stetson México</t>
        </is>
      </c>
      <c r="B3139" s="5">
        <f>IF($I2="","",INDEX(Productos!$A:$A,$I2))</f>
        <v/>
      </c>
      <c r="C3139" s="134" t="inlineStr">
        <is>
          <t>9805002-200-NZ</t>
        </is>
      </c>
      <c r="D3139" s="5">
        <f>IF($I2="","",INDEX(Productos!$B:$B,$I2))</f>
        <v/>
      </c>
      <c r="E3139" s="5">
        <f>IF($I2="","",INDEX(Productos!$H:$H,$I2))</f>
        <v/>
      </c>
      <c r="F3139" s="5">
        <f>IF($I2="","",INDEX(Productos!$I:$I,$I2))</f>
        <v/>
      </c>
      <c r="G3139" s="135" t="n">
        <v>4</v>
      </c>
      <c r="H3139" s="5">
        <f>IF($I2="","",INDEX(Productos!$AG:$AG,$I2))</f>
        <v/>
      </c>
      <c r="I3139" s="136">
        <f>LET(_xlpm.r,Productos!$E$2:$E$2509,_xlpm.m,IFERROR(_xlfn.XMATCH(C3139,_xlpm.r),IFERROR(_xlfn.XMATCH(VALUE(C3139),_xlpm.r),0)),IF(_xlpm.m=0,"",_xlpm.m+1))</f>
        <v/>
      </c>
      <c r="J3139" s="137" t="inlineStr">
        <is>
          <t>Shopify</t>
        </is>
      </c>
    </row>
    <row r="3140">
      <c r="A3140" s="5" t="inlineStr">
        <is>
          <t>Shopify Stetson México › Stetson México</t>
        </is>
      </c>
      <c r="B3140" s="5">
        <f>IF($I2="","",INDEX(Productos!$A:$A,$I2))</f>
        <v/>
      </c>
      <c r="C3140" s="134" t="inlineStr">
        <is>
          <t>9806001-625-NZ</t>
        </is>
      </c>
      <c r="D3140" s="5">
        <f>IF($I2="","",INDEX(Productos!$B:$B,$I2))</f>
        <v/>
      </c>
      <c r="E3140" s="5">
        <f>IF($I2="","",INDEX(Productos!$H:$H,$I2))</f>
        <v/>
      </c>
      <c r="F3140" s="5">
        <f>IF($I2="","",INDEX(Productos!$I:$I,$I2))</f>
        <v/>
      </c>
      <c r="G3140" s="135" t="n">
        <v>13</v>
      </c>
      <c r="H3140" s="5">
        <f>IF($I2="","",INDEX(Productos!$AG:$AG,$I2))</f>
        <v/>
      </c>
      <c r="I3140" s="136">
        <f>LET(_xlpm.r,Productos!$E$2:$E$2509,_xlpm.m,IFERROR(_xlfn.XMATCH(C3140,_xlpm.r),IFERROR(_xlfn.XMATCH(VALUE(C3140),_xlpm.r),0)),IF(_xlpm.m=0,"",_xlpm.m+1))</f>
        <v/>
      </c>
      <c r="J3140" s="137" t="inlineStr">
        <is>
          <t>Shopify</t>
        </is>
      </c>
    </row>
    <row r="3141">
      <c r="A3141" s="5" t="inlineStr">
        <is>
          <t>Shopify Stetson México › Stetson México</t>
        </is>
      </c>
      <c r="B3141" s="5">
        <f>IF($I2="","",INDEX(Productos!$A:$A,$I2))</f>
        <v/>
      </c>
      <c r="C3141" s="134" t="inlineStr">
        <is>
          <t>9806002-625-NZ</t>
        </is>
      </c>
      <c r="D3141" s="5">
        <f>IF($I2="","",INDEX(Productos!$B:$B,$I2))</f>
        <v/>
      </c>
      <c r="E3141" s="5">
        <f>IF($I2="","",INDEX(Productos!$H:$H,$I2))</f>
        <v/>
      </c>
      <c r="F3141" s="5">
        <f>IF($I2="","",INDEX(Productos!$I:$I,$I2))</f>
        <v/>
      </c>
      <c r="G3141" s="135" t="n">
        <v>12</v>
      </c>
      <c r="H3141" s="5">
        <f>IF($I2="","",INDEX(Productos!$AG:$AG,$I2))</f>
        <v/>
      </c>
      <c r="I3141" s="136">
        <f>LET(_xlpm.r,Productos!$E$2:$E$2509,_xlpm.m,IFERROR(_xlfn.XMATCH(C3141,_xlpm.r),IFERROR(_xlfn.XMATCH(VALUE(C3141),_xlpm.r),0)),IF(_xlpm.m=0,"",_xlpm.m+1))</f>
        <v/>
      </c>
      <c r="J3141" s="137" t="inlineStr">
        <is>
          <t>Shopify</t>
        </is>
      </c>
    </row>
    <row r="3142">
      <c r="A3142" s="5" t="inlineStr">
        <is>
          <t>Shopify Stetson México › Stetson México</t>
        </is>
      </c>
      <c r="B3142" s="5">
        <f>IF($I2="","",INDEX(Productos!$A:$A,$I2))</f>
        <v/>
      </c>
      <c r="C3142" s="134" t="inlineStr">
        <is>
          <t>9806003-625-NZ</t>
        </is>
      </c>
      <c r="D3142" s="5">
        <f>IF($I2="","",INDEX(Productos!$B:$B,$I2))</f>
        <v/>
      </c>
      <c r="E3142" s="5">
        <f>IF($I2="","",INDEX(Productos!$H:$H,$I2))</f>
        <v/>
      </c>
      <c r="F3142" s="5">
        <f>IF($I2="","",INDEX(Productos!$I:$I,$I2))</f>
        <v/>
      </c>
      <c r="G3142" s="135" t="n">
        <v>3</v>
      </c>
      <c r="H3142" s="5">
        <f>IF($I2="","",INDEX(Productos!$AG:$AG,$I2))</f>
        <v/>
      </c>
      <c r="I3142" s="136">
        <f>LET(_xlpm.r,Productos!$E$2:$E$2509,_xlpm.m,IFERROR(_xlfn.XMATCH(C3142,_xlpm.r),IFERROR(_xlfn.XMATCH(VALUE(C3142),_xlpm.r),0)),IF(_xlpm.m=0,"",_xlpm.m+1))</f>
        <v/>
      </c>
      <c r="J3142" s="137" t="inlineStr">
        <is>
          <t>Shopify</t>
        </is>
      </c>
    </row>
    <row r="3143">
      <c r="A3143" s="5" t="inlineStr">
        <is>
          <t>Shopify Stetson México › Stetson México</t>
        </is>
      </c>
      <c r="B3143" s="5">
        <f>IF($I2="","",INDEX(Productos!$A:$A,$I2))</f>
        <v/>
      </c>
      <c r="C3143" s="134" t="inlineStr">
        <is>
          <t>9807001-14-NZ</t>
        </is>
      </c>
      <c r="D3143" s="5">
        <f>IF($I2="","",INDEX(Productos!$B:$B,$I2))</f>
        <v/>
      </c>
      <c r="E3143" s="5">
        <f>IF($I2="","",INDEX(Productos!$H:$H,$I2))</f>
        <v/>
      </c>
      <c r="F3143" s="5">
        <f>IF($I2="","",INDEX(Productos!$I:$I,$I2))</f>
        <v/>
      </c>
      <c r="G3143" s="135" t="n">
        <v>3</v>
      </c>
      <c r="H3143" s="5">
        <f>IF($I2="","",INDEX(Productos!$AG:$AG,$I2))</f>
        <v/>
      </c>
      <c r="I3143" s="136">
        <f>LET(_xlpm.r,Productos!$E$2:$E$2509,_xlpm.m,IFERROR(_xlfn.XMATCH(C3143,_xlpm.r),IFERROR(_xlfn.XMATCH(VALUE(C3143),_xlpm.r),0)),IF(_xlpm.m=0,"",_xlpm.m+1))</f>
        <v/>
      </c>
      <c r="J3143" s="137" t="inlineStr">
        <is>
          <t>Shopify</t>
        </is>
      </c>
    </row>
    <row r="3144">
      <c r="A3144" s="5" t="inlineStr">
        <is>
          <t>Shopify Stetson México › Stetson México</t>
        </is>
      </c>
      <c r="B3144" s="5">
        <f>IF($I2="","",INDEX(Productos!$A:$A,$I2))</f>
        <v/>
      </c>
      <c r="C3144" s="134" t="inlineStr">
        <is>
          <t>9807002-14-NZ</t>
        </is>
      </c>
      <c r="D3144" s="5">
        <f>IF($I2="","",INDEX(Productos!$B:$B,$I2))</f>
        <v/>
      </c>
      <c r="E3144" s="5">
        <f>IF($I2="","",INDEX(Productos!$H:$H,$I2))</f>
        <v/>
      </c>
      <c r="F3144" s="5">
        <f>IF($I2="","",INDEX(Productos!$I:$I,$I2))</f>
        <v/>
      </c>
      <c r="G3144" s="135" t="n">
        <v>3</v>
      </c>
      <c r="H3144" s="5">
        <f>IF($I2="","",INDEX(Productos!$AG:$AG,$I2))</f>
        <v/>
      </c>
      <c r="I3144" s="136">
        <f>LET(_xlpm.r,Productos!$E$2:$E$2509,_xlpm.m,IFERROR(_xlfn.XMATCH(C3144,_xlpm.r),IFERROR(_xlfn.XMATCH(VALUE(C3144),_xlpm.r),0)),IF(_xlpm.m=0,"",_xlpm.m+1))</f>
        <v/>
      </c>
      <c r="J3144" s="137" t="inlineStr">
        <is>
          <t>Shopify</t>
        </is>
      </c>
    </row>
    <row r="3145">
      <c r="A3145" s="5" t="inlineStr">
        <is>
          <t>Shopify Stetson México › Stetson México</t>
        </is>
      </c>
      <c r="B3145" s="5">
        <f>IF($I2="","",INDEX(Productos!$A:$A,$I2))</f>
        <v/>
      </c>
      <c r="C3145" s="134" t="inlineStr">
        <is>
          <t>9808003-19-NZ</t>
        </is>
      </c>
      <c r="D3145" s="5">
        <f>IF($I2="","",INDEX(Productos!$B:$B,$I2))</f>
        <v/>
      </c>
      <c r="E3145" s="5">
        <f>IF($I2="","",INDEX(Productos!$H:$H,$I2))</f>
        <v/>
      </c>
      <c r="F3145" s="5">
        <f>IF($I2="","",INDEX(Productos!$I:$I,$I2))</f>
        <v/>
      </c>
      <c r="G3145" s="135" t="n">
        <v>1</v>
      </c>
      <c r="H3145" s="5">
        <f>IF($I2="","",INDEX(Productos!$AG:$AG,$I2))</f>
        <v/>
      </c>
      <c r="I3145" s="136">
        <f>LET(_xlpm.r,Productos!$E$2:$E$2509,_xlpm.m,IFERROR(_xlfn.XMATCH(C3145,_xlpm.r),IFERROR(_xlfn.XMATCH(VALUE(C3145),_xlpm.r),0)),IF(_xlpm.m=0,"",_xlpm.m+1))</f>
        <v/>
      </c>
      <c r="J3145" s="137" t="inlineStr">
        <is>
          <t>Shopify</t>
        </is>
      </c>
    </row>
    <row r="3146">
      <c r="A3146" s="5" t="inlineStr">
        <is>
          <t>Shopify Stetson México › Stetson México</t>
        </is>
      </c>
      <c r="B3146" s="5">
        <f>IF($I2="","",INDEX(Productos!$A:$A,$I2))</f>
        <v/>
      </c>
      <c r="C3146" s="134" t="inlineStr">
        <is>
          <t>9901500-204-36</t>
        </is>
      </c>
      <c r="D3146" s="5">
        <f>IF($I2="","",INDEX(Productos!$B:$B,$I2))</f>
        <v/>
      </c>
      <c r="E3146" s="5">
        <f>IF($I2="","",INDEX(Productos!$H:$H,$I2))</f>
        <v/>
      </c>
      <c r="F3146" s="5">
        <f>IF($I2="","",INDEX(Productos!$I:$I,$I2))</f>
        <v/>
      </c>
      <c r="G3146" s="135" t="n">
        <v>3</v>
      </c>
      <c r="H3146" s="5">
        <f>IF($I2="","",INDEX(Productos!$AG:$AG,$I2))</f>
        <v/>
      </c>
      <c r="I3146" s="136">
        <f>LET(_xlpm.r,Productos!$E$2:$E$2509,_xlpm.m,IFERROR(_xlfn.XMATCH(C3146,_xlpm.r),IFERROR(_xlfn.XMATCH(VALUE(C3146),_xlpm.r),0)),IF(_xlpm.m=0,"",_xlpm.m+1))</f>
        <v/>
      </c>
      <c r="J3146" s="137" t="inlineStr">
        <is>
          <t>Shopify</t>
        </is>
      </c>
    </row>
    <row r="3147">
      <c r="A3147" s="5" t="inlineStr">
        <is>
          <t>Shopify Stetson México › Stetson México</t>
        </is>
      </c>
      <c r="B3147" s="5">
        <f>IF($I2="","",INDEX(Productos!$A:$A,$I2))</f>
        <v/>
      </c>
      <c r="C3147" s="134" t="inlineStr">
        <is>
          <t>9901500-204-38</t>
        </is>
      </c>
      <c r="D3147" s="5">
        <f>IF($I2="","",INDEX(Productos!$B:$B,$I2))</f>
        <v/>
      </c>
      <c r="E3147" s="5">
        <f>IF($I2="","",INDEX(Productos!$H:$H,$I2))</f>
        <v/>
      </c>
      <c r="F3147" s="5">
        <f>IF($I2="","",INDEX(Productos!$I:$I,$I2))</f>
        <v/>
      </c>
      <c r="G3147" s="135" t="n">
        <v>11</v>
      </c>
      <c r="H3147" s="5">
        <f>IF($I2="","",INDEX(Productos!$AG:$AG,$I2))</f>
        <v/>
      </c>
      <c r="I3147" s="136">
        <f>LET(_xlpm.r,Productos!$E$2:$E$2509,_xlpm.m,IFERROR(_xlfn.XMATCH(C3147,_xlpm.r),IFERROR(_xlfn.XMATCH(VALUE(C3147),_xlpm.r),0)),IF(_xlpm.m=0,"",_xlpm.m+1))</f>
        <v/>
      </c>
      <c r="J3147" s="137" t="inlineStr">
        <is>
          <t>Shopify</t>
        </is>
      </c>
    </row>
    <row r="3148">
      <c r="A3148" s="5" t="inlineStr">
        <is>
          <t>Shopify Stetson México › Stetson México</t>
        </is>
      </c>
      <c r="B3148" s="5">
        <f>IF($I2="","",INDEX(Productos!$A:$A,$I2))</f>
        <v/>
      </c>
      <c r="C3148" s="134" t="inlineStr">
        <is>
          <t>9901500-204-40</t>
        </is>
      </c>
      <c r="D3148" s="5">
        <f>IF($I2="","",INDEX(Productos!$B:$B,$I2))</f>
        <v/>
      </c>
      <c r="E3148" s="5">
        <f>IF($I2="","",INDEX(Productos!$H:$H,$I2))</f>
        <v/>
      </c>
      <c r="F3148" s="5">
        <f>IF($I2="","",INDEX(Productos!$I:$I,$I2))</f>
        <v/>
      </c>
      <c r="G3148" s="135" t="n">
        <v>8</v>
      </c>
      <c r="H3148" s="5">
        <f>IF($I2="","",INDEX(Productos!$AG:$AG,$I2))</f>
        <v/>
      </c>
      <c r="I3148" s="136">
        <f>LET(_xlpm.r,Productos!$E$2:$E$2509,_xlpm.m,IFERROR(_xlfn.XMATCH(C3148,_xlpm.r),IFERROR(_xlfn.XMATCH(VALUE(C3148),_xlpm.r),0)),IF(_xlpm.m=0,"",_xlpm.m+1))</f>
        <v/>
      </c>
      <c r="J3148" s="137" t="inlineStr">
        <is>
          <t>Shopify</t>
        </is>
      </c>
    </row>
    <row r="3149">
      <c r="A3149" s="5" t="inlineStr">
        <is>
          <t>Shopify Stetson México › Stetson México</t>
        </is>
      </c>
      <c r="B3149" s="5">
        <f>IF($I2="","",INDEX(Productos!$A:$A,$I2))</f>
        <v/>
      </c>
      <c r="C3149" s="134" t="inlineStr">
        <is>
          <t>9901500-204-42</t>
        </is>
      </c>
      <c r="D3149" s="5">
        <f>IF($I2="","",INDEX(Productos!$B:$B,$I2))</f>
        <v/>
      </c>
      <c r="E3149" s="5">
        <f>IF($I2="","",INDEX(Productos!$H:$H,$I2))</f>
        <v/>
      </c>
      <c r="F3149" s="5">
        <f>IF($I2="","",INDEX(Productos!$I:$I,$I2))</f>
        <v/>
      </c>
      <c r="G3149" s="135" t="n">
        <v>11</v>
      </c>
      <c r="H3149" s="5">
        <f>IF($I2="","",INDEX(Productos!$AG:$AG,$I2))</f>
        <v/>
      </c>
      <c r="I3149" s="136">
        <f>LET(_xlpm.r,Productos!$E$2:$E$2509,_xlpm.m,IFERROR(_xlfn.XMATCH(C3149,_xlpm.r),IFERROR(_xlfn.XMATCH(VALUE(C3149),_xlpm.r),0)),IF(_xlpm.m=0,"",_xlpm.m+1))</f>
        <v/>
      </c>
      <c r="J3149" s="137" t="inlineStr">
        <is>
          <t>Shopify</t>
        </is>
      </c>
    </row>
    <row r="3150">
      <c r="A3150" s="5" t="inlineStr">
        <is>
          <t>Shopify Stetson México › Stetson México</t>
        </is>
      </c>
      <c r="B3150" s="5">
        <f>IF($I2="","",INDEX(Productos!$A:$A,$I2))</f>
        <v/>
      </c>
      <c r="C3150" s="134" t="inlineStr">
        <is>
          <t>9901500-204-44</t>
        </is>
      </c>
      <c r="D3150" s="5">
        <f>IF($I2="","",INDEX(Productos!$B:$B,$I2))</f>
        <v/>
      </c>
      <c r="E3150" s="5">
        <f>IF($I2="","",INDEX(Productos!$H:$H,$I2))</f>
        <v/>
      </c>
      <c r="F3150" s="5">
        <f>IF($I2="","",INDEX(Productos!$I:$I,$I2))</f>
        <v/>
      </c>
      <c r="G3150" s="135" t="n">
        <v>7</v>
      </c>
      <c r="H3150" s="5">
        <f>IF($I2="","",INDEX(Productos!$AG:$AG,$I2))</f>
        <v/>
      </c>
      <c r="I3150" s="136">
        <f>LET(_xlpm.r,Productos!$E$2:$E$2509,_xlpm.m,IFERROR(_xlfn.XMATCH(C3150,_xlpm.r),IFERROR(_xlfn.XMATCH(VALUE(C3150),_xlpm.r),0)),IF(_xlpm.m=0,"",_xlpm.m+1))</f>
        <v/>
      </c>
      <c r="J3150" s="137" t="inlineStr">
        <is>
          <t>Shopify</t>
        </is>
      </c>
    </row>
    <row r="3151">
      <c r="A3151" s="5" t="inlineStr">
        <is>
          <t>Shopify Stetson México › Stetson México</t>
        </is>
      </c>
      <c r="B3151" s="5">
        <f>IF($I2="","",INDEX(Productos!$A:$A,$I2))</f>
        <v/>
      </c>
      <c r="C3151" s="134" t="inlineStr">
        <is>
          <t>9901500-204-46</t>
        </is>
      </c>
      <c r="D3151" s="5">
        <f>IF($I2="","",INDEX(Productos!$B:$B,$I2))</f>
        <v/>
      </c>
      <c r="E3151" s="5">
        <f>IF($I2="","",INDEX(Productos!$H:$H,$I2))</f>
        <v/>
      </c>
      <c r="F3151" s="5">
        <f>IF($I2="","",INDEX(Productos!$I:$I,$I2))</f>
        <v/>
      </c>
      <c r="G3151" s="135" t="n">
        <v>2</v>
      </c>
      <c r="H3151" s="5">
        <f>IF($I2="","",INDEX(Productos!$AG:$AG,$I2))</f>
        <v/>
      </c>
      <c r="I3151" s="136">
        <f>LET(_xlpm.r,Productos!$E$2:$E$2509,_xlpm.m,IFERROR(_xlfn.XMATCH(C3151,_xlpm.r),IFERROR(_xlfn.XMATCH(VALUE(C3151),_xlpm.r),0)),IF(_xlpm.m=0,"",_xlpm.m+1))</f>
        <v/>
      </c>
      <c r="J3151" s="137" t="inlineStr">
        <is>
          <t>Shopify</t>
        </is>
      </c>
    </row>
    <row r="3152">
      <c r="A3152" s="5" t="inlineStr">
        <is>
          <t>Shopify Stetson México › Stetson México</t>
        </is>
      </c>
      <c r="B3152" s="5">
        <f>IF($I2="","",INDEX(Productos!$A:$A,$I2))</f>
        <v/>
      </c>
      <c r="C3152" s="134" t="inlineStr">
        <is>
          <t>9903500-109-36</t>
        </is>
      </c>
      <c r="D3152" s="5">
        <f>IF($I2="","",INDEX(Productos!$B:$B,$I2))</f>
        <v/>
      </c>
      <c r="E3152" s="5">
        <f>IF($I2="","",INDEX(Productos!$H:$H,$I2))</f>
        <v/>
      </c>
      <c r="F3152" s="5">
        <f>IF($I2="","",INDEX(Productos!$I:$I,$I2))</f>
        <v/>
      </c>
      <c r="G3152" s="135" t="n">
        <v>2</v>
      </c>
      <c r="H3152" s="5">
        <f>IF($I2="","",INDEX(Productos!$AG:$AG,$I2))</f>
        <v/>
      </c>
      <c r="I3152" s="136">
        <f>LET(_xlpm.r,Productos!$E$2:$E$2509,_xlpm.m,IFERROR(_xlfn.XMATCH(C3152,_xlpm.r),IFERROR(_xlfn.XMATCH(VALUE(C3152),_xlpm.r),0)),IF(_xlpm.m=0,"",_xlpm.m+1))</f>
        <v/>
      </c>
      <c r="J3152" s="137" t="inlineStr">
        <is>
          <t>Shopify</t>
        </is>
      </c>
    </row>
    <row r="3153">
      <c r="A3153" s="5" t="inlineStr">
        <is>
          <t>Shopify Stetson México › Stetson México</t>
        </is>
      </c>
      <c r="B3153" s="5">
        <f>IF($I2="","",INDEX(Productos!$A:$A,$I2))</f>
        <v/>
      </c>
      <c r="C3153" s="134" t="inlineStr">
        <is>
          <t>9903500-109-38</t>
        </is>
      </c>
      <c r="D3153" s="5">
        <f>IF($I2="","",INDEX(Productos!$B:$B,$I2))</f>
        <v/>
      </c>
      <c r="E3153" s="5">
        <f>IF($I2="","",INDEX(Productos!$H:$H,$I2))</f>
        <v/>
      </c>
      <c r="F3153" s="5">
        <f>IF($I2="","",INDEX(Productos!$I:$I,$I2))</f>
        <v/>
      </c>
      <c r="G3153" s="135" t="n">
        <v>6</v>
      </c>
      <c r="H3153" s="5">
        <f>IF($I2="","",INDEX(Productos!$AG:$AG,$I2))</f>
        <v/>
      </c>
      <c r="I3153" s="136">
        <f>LET(_xlpm.r,Productos!$E$2:$E$2509,_xlpm.m,IFERROR(_xlfn.XMATCH(C3153,_xlpm.r),IFERROR(_xlfn.XMATCH(VALUE(C3153),_xlpm.r),0)),IF(_xlpm.m=0,"",_xlpm.m+1))</f>
        <v/>
      </c>
      <c r="J3153" s="137" t="inlineStr">
        <is>
          <t>Shopify</t>
        </is>
      </c>
    </row>
    <row r="3154">
      <c r="A3154" s="5" t="inlineStr">
        <is>
          <t>Shopify Stetson México › Stetson México</t>
        </is>
      </c>
      <c r="B3154" s="5">
        <f>IF($I2="","",INDEX(Productos!$A:$A,$I2))</f>
        <v/>
      </c>
      <c r="C3154" s="134" t="inlineStr">
        <is>
          <t>9903500-109-40</t>
        </is>
      </c>
      <c r="D3154" s="5">
        <f>IF($I2="","",INDEX(Productos!$B:$B,$I2))</f>
        <v/>
      </c>
      <c r="E3154" s="5">
        <f>IF($I2="","",INDEX(Productos!$H:$H,$I2))</f>
        <v/>
      </c>
      <c r="F3154" s="5">
        <f>IF($I2="","",INDEX(Productos!$I:$I,$I2))</f>
        <v/>
      </c>
      <c r="G3154" s="135" t="n">
        <v>1</v>
      </c>
      <c r="H3154" s="5">
        <f>IF($I2="","",INDEX(Productos!$AG:$AG,$I2))</f>
        <v/>
      </c>
      <c r="I3154" s="136">
        <f>LET(_xlpm.r,Productos!$E$2:$E$2509,_xlpm.m,IFERROR(_xlfn.XMATCH(C3154,_xlpm.r),IFERROR(_xlfn.XMATCH(VALUE(C3154),_xlpm.r),0)),IF(_xlpm.m=0,"",_xlpm.m+1))</f>
        <v/>
      </c>
      <c r="J3154" s="137" t="inlineStr">
        <is>
          <t>Shopify</t>
        </is>
      </c>
    </row>
    <row r="3155">
      <c r="A3155" s="5" t="inlineStr">
        <is>
          <t>Shopify Stetson México › Stetson México</t>
        </is>
      </c>
      <c r="B3155" s="5">
        <f>IF($I2="","",INDEX(Productos!$A:$A,$I2))</f>
        <v/>
      </c>
      <c r="C3155" s="134" t="inlineStr">
        <is>
          <t>9903500-109-42</t>
        </is>
      </c>
      <c r="D3155" s="5">
        <f>IF($I2="","",INDEX(Productos!$B:$B,$I2))</f>
        <v/>
      </c>
      <c r="E3155" s="5">
        <f>IF($I2="","",INDEX(Productos!$H:$H,$I2))</f>
        <v/>
      </c>
      <c r="F3155" s="5">
        <f>IF($I2="","",INDEX(Productos!$I:$I,$I2))</f>
        <v/>
      </c>
      <c r="G3155" s="135" t="n">
        <v>4</v>
      </c>
      <c r="H3155" s="5">
        <f>IF($I2="","",INDEX(Productos!$AG:$AG,$I2))</f>
        <v/>
      </c>
      <c r="I3155" s="136">
        <f>LET(_xlpm.r,Productos!$E$2:$E$2509,_xlpm.m,IFERROR(_xlfn.XMATCH(C3155,_xlpm.r),IFERROR(_xlfn.XMATCH(VALUE(C3155),_xlpm.r),0)),IF(_xlpm.m=0,"",_xlpm.m+1))</f>
        <v/>
      </c>
      <c r="J3155" s="137" t="inlineStr">
        <is>
          <t>Shopify</t>
        </is>
      </c>
    </row>
    <row r="3156">
      <c r="A3156" s="5" t="inlineStr">
        <is>
          <t>Shopify Stetson México › Stetson México</t>
        </is>
      </c>
      <c r="B3156" s="5">
        <f>IF($I2="","",INDEX(Productos!$A:$A,$I2))</f>
        <v/>
      </c>
      <c r="C3156" s="134" t="inlineStr">
        <is>
          <t>9903500-109-44</t>
        </is>
      </c>
      <c r="D3156" s="5">
        <f>IF($I2="","",INDEX(Productos!$B:$B,$I2))</f>
        <v/>
      </c>
      <c r="E3156" s="5">
        <f>IF($I2="","",INDEX(Productos!$H:$H,$I2))</f>
        <v/>
      </c>
      <c r="F3156" s="5">
        <f>IF($I2="","",INDEX(Productos!$I:$I,$I2))</f>
        <v/>
      </c>
      <c r="G3156" s="135" t="n">
        <v>2</v>
      </c>
      <c r="H3156" s="5">
        <f>IF($I2="","",INDEX(Productos!$AG:$AG,$I2))</f>
        <v/>
      </c>
      <c r="I3156" s="136">
        <f>LET(_xlpm.r,Productos!$E$2:$E$2509,_xlpm.m,IFERROR(_xlfn.XMATCH(C3156,_xlpm.r),IFERROR(_xlfn.XMATCH(VALUE(C3156),_xlpm.r),0)),IF(_xlpm.m=0,"",_xlpm.m+1))</f>
        <v/>
      </c>
      <c r="J3156" s="137" t="inlineStr">
        <is>
          <t>Shopify</t>
        </is>
      </c>
    </row>
    <row r="3157">
      <c r="A3157" s="5" t="inlineStr">
        <is>
          <t>Shopify Stetson México › Stetson México</t>
        </is>
      </c>
      <c r="B3157" s="5">
        <f>IF($I2="","",INDEX(Productos!$A:$A,$I2))</f>
        <v/>
      </c>
      <c r="C3157" s="134" t="inlineStr">
        <is>
          <t>9907500-204-38</t>
        </is>
      </c>
      <c r="D3157" s="5">
        <f>IF($I2="","",INDEX(Productos!$B:$B,$I2))</f>
        <v/>
      </c>
      <c r="E3157" s="5">
        <f>IF($I2="","",INDEX(Productos!$H:$H,$I2))</f>
        <v/>
      </c>
      <c r="F3157" s="5">
        <f>IF($I2="","",INDEX(Productos!$I:$I,$I2))</f>
        <v/>
      </c>
      <c r="G3157" s="135" t="n">
        <v>6</v>
      </c>
      <c r="H3157" s="5">
        <f>IF($I2="","",INDEX(Productos!$AG:$AG,$I2))</f>
        <v/>
      </c>
      <c r="I3157" s="136">
        <f>LET(_xlpm.r,Productos!$E$2:$E$2509,_xlpm.m,IFERROR(_xlfn.XMATCH(C3157,_xlpm.r),IFERROR(_xlfn.XMATCH(VALUE(C3157),_xlpm.r),0)),IF(_xlpm.m=0,"",_xlpm.m+1))</f>
        <v/>
      </c>
      <c r="J3157" s="137" t="inlineStr">
        <is>
          <t>Shopify</t>
        </is>
      </c>
    </row>
    <row r="3158">
      <c r="A3158" s="5" t="inlineStr">
        <is>
          <t>Shopify Stetson México › Stetson México</t>
        </is>
      </c>
      <c r="B3158" s="5">
        <f>IF($I2="","",INDEX(Productos!$A:$A,$I2))</f>
        <v/>
      </c>
      <c r="C3158" s="134" t="inlineStr">
        <is>
          <t>9907500-204-40</t>
        </is>
      </c>
      <c r="D3158" s="5">
        <f>IF($I2="","",INDEX(Productos!$B:$B,$I2))</f>
        <v/>
      </c>
      <c r="E3158" s="5">
        <f>IF($I2="","",INDEX(Productos!$H:$H,$I2))</f>
        <v/>
      </c>
      <c r="F3158" s="5">
        <f>IF($I2="","",INDEX(Productos!$I:$I,$I2))</f>
        <v/>
      </c>
      <c r="G3158" s="135" t="n">
        <v>13</v>
      </c>
      <c r="H3158" s="5">
        <f>IF($I2="","",INDEX(Productos!$AG:$AG,$I2))</f>
        <v/>
      </c>
      <c r="I3158" s="136">
        <f>LET(_xlpm.r,Productos!$E$2:$E$2509,_xlpm.m,IFERROR(_xlfn.XMATCH(C3158,_xlpm.r),IFERROR(_xlfn.XMATCH(VALUE(C3158),_xlpm.r),0)),IF(_xlpm.m=0,"",_xlpm.m+1))</f>
        <v/>
      </c>
      <c r="J3158" s="137" t="inlineStr">
        <is>
          <t>Shopify</t>
        </is>
      </c>
    </row>
    <row r="3159">
      <c r="A3159" s="5" t="inlineStr">
        <is>
          <t>Shopify Stetson México › Stetson México</t>
        </is>
      </c>
      <c r="B3159" s="5">
        <f>IF($I2="","",INDEX(Productos!$A:$A,$I2))</f>
        <v/>
      </c>
      <c r="C3159" s="134" t="inlineStr">
        <is>
          <t>9907500-204-42</t>
        </is>
      </c>
      <c r="D3159" s="5">
        <f>IF($I2="","",INDEX(Productos!$B:$B,$I2))</f>
        <v/>
      </c>
      <c r="E3159" s="5">
        <f>IF($I2="","",INDEX(Productos!$H:$H,$I2))</f>
        <v/>
      </c>
      <c r="F3159" s="5">
        <f>IF($I2="","",INDEX(Productos!$I:$I,$I2))</f>
        <v/>
      </c>
      <c r="G3159" s="135" t="n">
        <v>11</v>
      </c>
      <c r="H3159" s="5">
        <f>IF($I2="","",INDEX(Productos!$AG:$AG,$I2))</f>
        <v/>
      </c>
      <c r="I3159" s="136">
        <f>LET(_xlpm.r,Productos!$E$2:$E$2509,_xlpm.m,IFERROR(_xlfn.XMATCH(C3159,_xlpm.r),IFERROR(_xlfn.XMATCH(VALUE(C3159),_xlpm.r),0)),IF(_xlpm.m=0,"",_xlpm.m+1))</f>
        <v/>
      </c>
      <c r="J3159" s="137" t="inlineStr">
        <is>
          <t>Shopify</t>
        </is>
      </c>
    </row>
    <row r="3160">
      <c r="A3160" s="5" t="inlineStr">
        <is>
          <t>Shopify Stetson México › Stetson México</t>
        </is>
      </c>
      <c r="B3160" s="5">
        <f>IF($I2="","",INDEX(Productos!$A:$A,$I2))</f>
        <v/>
      </c>
      <c r="C3160" s="134" t="inlineStr">
        <is>
          <t>9907500-204-44</t>
        </is>
      </c>
      <c r="D3160" s="5">
        <f>IF($I2="","",INDEX(Productos!$B:$B,$I2))</f>
        <v/>
      </c>
      <c r="E3160" s="5">
        <f>IF($I2="","",INDEX(Productos!$H:$H,$I2))</f>
        <v/>
      </c>
      <c r="F3160" s="5">
        <f>IF($I2="","",INDEX(Productos!$I:$I,$I2))</f>
        <v/>
      </c>
      <c r="G3160" s="135" t="n">
        <v>4</v>
      </c>
      <c r="H3160" s="5">
        <f>IF($I2="","",INDEX(Productos!$AG:$AG,$I2))</f>
        <v/>
      </c>
      <c r="I3160" s="136">
        <f>LET(_xlpm.r,Productos!$E$2:$E$2509,_xlpm.m,IFERROR(_xlfn.XMATCH(C3160,_xlpm.r),IFERROR(_xlfn.XMATCH(VALUE(C3160),_xlpm.r),0)),IF(_xlpm.m=0,"",_xlpm.m+1))</f>
        <v/>
      </c>
      <c r="J3160" s="137" t="inlineStr">
        <is>
          <t>Shopify</t>
        </is>
      </c>
    </row>
    <row r="3161">
      <c r="A3161" s="5" t="inlineStr">
        <is>
          <t>Shopify Stetson México › Stetson México</t>
        </is>
      </c>
      <c r="B3161" s="5">
        <f>IF($I2="","",INDEX(Productos!$A:$A,$I2))</f>
        <v/>
      </c>
      <c r="C3161" s="134" t="inlineStr">
        <is>
          <t>9908500-233-36</t>
        </is>
      </c>
      <c r="D3161" s="5">
        <f>IF($I2="","",INDEX(Productos!$B:$B,$I2))</f>
        <v/>
      </c>
      <c r="E3161" s="5">
        <f>IF($I2="","",INDEX(Productos!$H:$H,$I2))</f>
        <v/>
      </c>
      <c r="F3161" s="5">
        <f>IF($I2="","",INDEX(Productos!$I:$I,$I2))</f>
        <v/>
      </c>
      <c r="G3161" s="135" t="n">
        <v>3</v>
      </c>
      <c r="H3161" s="5">
        <f>IF($I2="","",INDEX(Productos!$AG:$AG,$I2))</f>
        <v/>
      </c>
      <c r="I3161" s="136">
        <f>LET(_xlpm.r,Productos!$E$2:$E$2509,_xlpm.m,IFERROR(_xlfn.XMATCH(C3161,_xlpm.r),IFERROR(_xlfn.XMATCH(VALUE(C3161),_xlpm.r),0)),IF(_xlpm.m=0,"",_xlpm.m+1))</f>
        <v/>
      </c>
      <c r="J3161" s="137" t="inlineStr">
        <is>
          <t>Shopify</t>
        </is>
      </c>
    </row>
    <row r="3162">
      <c r="A3162" s="5" t="inlineStr">
        <is>
          <t>Shopify Stetson México › Stetson México</t>
        </is>
      </c>
      <c r="B3162" s="5">
        <f>IF($I2="","",INDEX(Productos!$A:$A,$I2))</f>
        <v/>
      </c>
      <c r="C3162" s="134" t="inlineStr">
        <is>
          <t>9908500-233-38</t>
        </is>
      </c>
      <c r="D3162" s="5">
        <f>IF($I2="","",INDEX(Productos!$B:$B,$I2))</f>
        <v/>
      </c>
      <c r="E3162" s="5">
        <f>IF($I2="","",INDEX(Productos!$H:$H,$I2))</f>
        <v/>
      </c>
      <c r="F3162" s="5">
        <f>IF($I2="","",INDEX(Productos!$I:$I,$I2))</f>
        <v/>
      </c>
      <c r="G3162" s="135" t="n">
        <v>6</v>
      </c>
      <c r="H3162" s="5">
        <f>IF($I2="","",INDEX(Productos!$AG:$AG,$I2))</f>
        <v/>
      </c>
      <c r="I3162" s="136">
        <f>LET(_xlpm.r,Productos!$E$2:$E$2509,_xlpm.m,IFERROR(_xlfn.XMATCH(C3162,_xlpm.r),IFERROR(_xlfn.XMATCH(VALUE(C3162),_xlpm.r),0)),IF(_xlpm.m=0,"",_xlpm.m+1))</f>
        <v/>
      </c>
      <c r="J3162" s="137" t="inlineStr">
        <is>
          <t>Shopify</t>
        </is>
      </c>
    </row>
    <row r="3163">
      <c r="A3163" s="5" t="inlineStr">
        <is>
          <t>Shopify Stetson México › Stetson México</t>
        </is>
      </c>
      <c r="B3163" s="5">
        <f>IF($I2="","",INDEX(Productos!$A:$A,$I2))</f>
        <v/>
      </c>
      <c r="C3163" s="134" t="inlineStr">
        <is>
          <t>9908500-233-40</t>
        </is>
      </c>
      <c r="D3163" s="5">
        <f>IF($I2="","",INDEX(Productos!$B:$B,$I2))</f>
        <v/>
      </c>
      <c r="E3163" s="5">
        <f>IF($I2="","",INDEX(Productos!$H:$H,$I2))</f>
        <v/>
      </c>
      <c r="F3163" s="5">
        <f>IF($I2="","",INDEX(Productos!$I:$I,$I2))</f>
        <v/>
      </c>
      <c r="G3163" s="135" t="n">
        <v>4</v>
      </c>
      <c r="H3163" s="5">
        <f>IF($I2="","",INDEX(Productos!$AG:$AG,$I2))</f>
        <v/>
      </c>
      <c r="I3163" s="136">
        <f>LET(_xlpm.r,Productos!$E$2:$E$2509,_xlpm.m,IFERROR(_xlfn.XMATCH(C3163,_xlpm.r),IFERROR(_xlfn.XMATCH(VALUE(C3163),_xlpm.r),0)),IF(_xlpm.m=0,"",_xlpm.m+1))</f>
        <v/>
      </c>
      <c r="J3163" s="137" t="inlineStr">
        <is>
          <t>Shopify</t>
        </is>
      </c>
    </row>
    <row r="3164">
      <c r="A3164" s="5" t="inlineStr">
        <is>
          <t>Shopify Stetson México › Stetson México</t>
        </is>
      </c>
      <c r="B3164" s="5">
        <f>IF($I2="","",INDEX(Productos!$A:$A,$I2))</f>
        <v/>
      </c>
      <c r="C3164" s="134" t="inlineStr">
        <is>
          <t>9908500-233-42</t>
        </is>
      </c>
      <c r="D3164" s="5">
        <f>IF($I2="","",INDEX(Productos!$B:$B,$I2))</f>
        <v/>
      </c>
      <c r="E3164" s="5">
        <f>IF($I2="","",INDEX(Productos!$H:$H,$I2))</f>
        <v/>
      </c>
      <c r="F3164" s="5">
        <f>IF($I2="","",INDEX(Productos!$I:$I,$I2))</f>
        <v/>
      </c>
      <c r="G3164" s="135" t="n">
        <v>5</v>
      </c>
      <c r="H3164" s="5">
        <f>IF($I2="","",INDEX(Productos!$AG:$AG,$I2))</f>
        <v/>
      </c>
      <c r="I3164" s="136">
        <f>LET(_xlpm.r,Productos!$E$2:$E$2509,_xlpm.m,IFERROR(_xlfn.XMATCH(C3164,_xlpm.r),IFERROR(_xlfn.XMATCH(VALUE(C3164),_xlpm.r),0)),IF(_xlpm.m=0,"",_xlpm.m+1))</f>
        <v/>
      </c>
      <c r="J3164" s="137" t="inlineStr">
        <is>
          <t>Shopify</t>
        </is>
      </c>
    </row>
    <row r="3165">
      <c r="A3165" s="5" t="inlineStr">
        <is>
          <t>Shopify Stetson México › Stetson México</t>
        </is>
      </c>
      <c r="B3165" s="5">
        <f>IF($I2="","",INDEX(Productos!$A:$A,$I2))</f>
        <v/>
      </c>
      <c r="C3165" s="134" t="inlineStr">
        <is>
          <t>9908500-233-44</t>
        </is>
      </c>
      <c r="D3165" s="5">
        <f>IF($I2="","",INDEX(Productos!$B:$B,$I2))</f>
        <v/>
      </c>
      <c r="E3165" s="5">
        <f>IF($I2="","",INDEX(Productos!$H:$H,$I2))</f>
        <v/>
      </c>
      <c r="F3165" s="5">
        <f>IF($I2="","",INDEX(Productos!$I:$I,$I2))</f>
        <v/>
      </c>
      <c r="G3165" s="135" t="n">
        <v>3</v>
      </c>
      <c r="H3165" s="5">
        <f>IF($I2="","",INDEX(Productos!$AG:$AG,$I2))</f>
        <v/>
      </c>
      <c r="I3165" s="136">
        <f>LET(_xlpm.r,Productos!$E$2:$E$2509,_xlpm.m,IFERROR(_xlfn.XMATCH(C3165,_xlpm.r),IFERROR(_xlfn.XMATCH(VALUE(C3165),_xlpm.r),0)),IF(_xlpm.m=0,"",_xlpm.m+1))</f>
        <v/>
      </c>
      <c r="J3165" s="137" t="inlineStr">
        <is>
          <t>Shopify</t>
        </is>
      </c>
    </row>
    <row r="3166">
      <c r="A3166" s="5" t="inlineStr">
        <is>
          <t>Shopify Stetson México › Stetson México</t>
        </is>
      </c>
      <c r="B3166" s="5">
        <f>IF($I2="","",INDEX(Productos!$A:$A,$I2))</f>
        <v/>
      </c>
      <c r="C3166" s="134" t="inlineStr">
        <is>
          <t>9908500-233-46</t>
        </is>
      </c>
      <c r="D3166" s="5">
        <f>IF($I2="","",INDEX(Productos!$B:$B,$I2))</f>
        <v/>
      </c>
      <c r="E3166" s="5">
        <f>IF($I2="","",INDEX(Productos!$H:$H,$I2))</f>
        <v/>
      </c>
      <c r="F3166" s="5">
        <f>IF($I2="","",INDEX(Productos!$I:$I,$I2))</f>
        <v/>
      </c>
      <c r="G3166" s="135" t="n">
        <v>1</v>
      </c>
      <c r="H3166" s="5">
        <f>IF($I2="","",INDEX(Productos!$AG:$AG,$I2))</f>
        <v/>
      </c>
      <c r="I3166" s="136">
        <f>LET(_xlpm.r,Productos!$E$2:$E$2509,_xlpm.m,IFERROR(_xlfn.XMATCH(C3166,_xlpm.r),IFERROR(_xlfn.XMATCH(VALUE(C3166),_xlpm.r),0)),IF(_xlpm.m=0,"",_xlpm.m+1))</f>
        <v/>
      </c>
      <c r="J3166" s="137" t="inlineStr">
        <is>
          <t>Shopify</t>
        </is>
      </c>
    </row>
    <row r="3167">
      <c r="A3167" s="5" t="inlineStr">
        <is>
          <t>Shopify Stetson México › Stetson México</t>
        </is>
      </c>
      <c r="B3167" s="5">
        <f>IF($I2="","",INDEX(Productos!$A:$A,$I2))</f>
        <v/>
      </c>
      <c r="C3167" s="134" t="inlineStr">
        <is>
          <t>9910500-233-36</t>
        </is>
      </c>
      <c r="D3167" s="5">
        <f>IF($I2="","",INDEX(Productos!$B:$B,$I2))</f>
        <v/>
      </c>
      <c r="E3167" s="5">
        <f>IF($I2="","",INDEX(Productos!$H:$H,$I2))</f>
        <v/>
      </c>
      <c r="F3167" s="5">
        <f>IF($I2="","",INDEX(Productos!$I:$I,$I2))</f>
        <v/>
      </c>
      <c r="G3167" s="135" t="n">
        <v>1</v>
      </c>
      <c r="H3167" s="5">
        <f>IF($I2="","",INDEX(Productos!$AG:$AG,$I2))</f>
        <v/>
      </c>
      <c r="I3167" s="136">
        <f>LET(_xlpm.r,Productos!$E$2:$E$2509,_xlpm.m,IFERROR(_xlfn.XMATCH(C3167,_xlpm.r),IFERROR(_xlfn.XMATCH(VALUE(C3167),_xlpm.r),0)),IF(_xlpm.m=0,"",_xlpm.m+1))</f>
        <v/>
      </c>
      <c r="J3167" s="137" t="inlineStr">
        <is>
          <t>Shopify</t>
        </is>
      </c>
    </row>
    <row r="3168">
      <c r="A3168" s="5" t="inlineStr">
        <is>
          <t>Shopify Stetson México › Stetson México</t>
        </is>
      </c>
      <c r="B3168" s="5">
        <f>IF($I2="","",INDEX(Productos!$A:$A,$I2))</f>
        <v/>
      </c>
      <c r="C3168" s="134" t="inlineStr">
        <is>
          <t>9910500-233-38</t>
        </is>
      </c>
      <c r="D3168" s="5">
        <f>IF($I2="","",INDEX(Productos!$B:$B,$I2))</f>
        <v/>
      </c>
      <c r="E3168" s="5">
        <f>IF($I2="","",INDEX(Productos!$H:$H,$I2))</f>
        <v/>
      </c>
      <c r="F3168" s="5">
        <f>IF($I2="","",INDEX(Productos!$I:$I,$I2))</f>
        <v/>
      </c>
      <c r="G3168" s="135" t="n">
        <v>6</v>
      </c>
      <c r="H3168" s="5">
        <f>IF($I2="","",INDEX(Productos!$AG:$AG,$I2))</f>
        <v/>
      </c>
      <c r="I3168" s="136">
        <f>LET(_xlpm.r,Productos!$E$2:$E$2509,_xlpm.m,IFERROR(_xlfn.XMATCH(C3168,_xlpm.r),IFERROR(_xlfn.XMATCH(VALUE(C3168),_xlpm.r),0)),IF(_xlpm.m=0,"",_xlpm.m+1))</f>
        <v/>
      </c>
      <c r="J3168" s="137" t="inlineStr">
        <is>
          <t>Shopify</t>
        </is>
      </c>
    </row>
    <row r="3169">
      <c r="A3169" s="5" t="inlineStr">
        <is>
          <t>Shopify Stetson México › Stetson México</t>
        </is>
      </c>
      <c r="B3169" s="5">
        <f>IF($I2="","",INDEX(Productos!$A:$A,$I2))</f>
        <v/>
      </c>
      <c r="C3169" s="134" t="inlineStr">
        <is>
          <t>9910500-233-40</t>
        </is>
      </c>
      <c r="D3169" s="5">
        <f>IF($I2="","",INDEX(Productos!$B:$B,$I2))</f>
        <v/>
      </c>
      <c r="E3169" s="5">
        <f>IF($I2="","",INDEX(Productos!$H:$H,$I2))</f>
        <v/>
      </c>
      <c r="F3169" s="5">
        <f>IF($I2="","",INDEX(Productos!$I:$I,$I2))</f>
        <v/>
      </c>
      <c r="G3169" s="135" t="n">
        <v>7</v>
      </c>
      <c r="H3169" s="5">
        <f>IF($I2="","",INDEX(Productos!$AG:$AG,$I2))</f>
        <v/>
      </c>
      <c r="I3169" s="136">
        <f>LET(_xlpm.r,Productos!$E$2:$E$2509,_xlpm.m,IFERROR(_xlfn.XMATCH(C3169,_xlpm.r),IFERROR(_xlfn.XMATCH(VALUE(C3169),_xlpm.r),0)),IF(_xlpm.m=0,"",_xlpm.m+1))</f>
        <v/>
      </c>
      <c r="J3169" s="137" t="inlineStr">
        <is>
          <t>Shopify</t>
        </is>
      </c>
    </row>
    <row r="3170">
      <c r="A3170" s="5" t="inlineStr">
        <is>
          <t>Shopify Stetson México › Stetson México</t>
        </is>
      </c>
      <c r="B3170" s="5">
        <f>IF($I2="","",INDEX(Productos!$A:$A,$I2))</f>
        <v/>
      </c>
      <c r="C3170" s="134" t="inlineStr">
        <is>
          <t>9910500-233-42</t>
        </is>
      </c>
      <c r="D3170" s="5">
        <f>IF($I2="","",INDEX(Productos!$B:$B,$I2))</f>
        <v/>
      </c>
      <c r="E3170" s="5">
        <f>IF($I2="","",INDEX(Productos!$H:$H,$I2))</f>
        <v/>
      </c>
      <c r="F3170" s="5">
        <f>IF($I2="","",INDEX(Productos!$I:$I,$I2))</f>
        <v/>
      </c>
      <c r="G3170" s="135" t="n">
        <v>4</v>
      </c>
      <c r="H3170" s="5">
        <f>IF($I2="","",INDEX(Productos!$AG:$AG,$I2))</f>
        <v/>
      </c>
      <c r="I3170" s="136">
        <f>LET(_xlpm.r,Productos!$E$2:$E$2509,_xlpm.m,IFERROR(_xlfn.XMATCH(C3170,_xlpm.r),IFERROR(_xlfn.XMATCH(VALUE(C3170),_xlpm.r),0)),IF(_xlpm.m=0,"",_xlpm.m+1))</f>
        <v/>
      </c>
      <c r="J3170" s="137" t="inlineStr">
        <is>
          <t>Shopify</t>
        </is>
      </c>
    </row>
    <row r="3171">
      <c r="A3171" s="5" t="inlineStr">
        <is>
          <t>Shopify Stetson México › Stetson México</t>
        </is>
      </c>
      <c r="B3171" s="5">
        <f>IF($I2="","",INDEX(Productos!$A:$A,$I2))</f>
        <v/>
      </c>
      <c r="C3171" s="134" t="inlineStr">
        <is>
          <t>9910500-233-44</t>
        </is>
      </c>
      <c r="D3171" s="5">
        <f>IF($I2="","",INDEX(Productos!$B:$B,$I2))</f>
        <v/>
      </c>
      <c r="E3171" s="5">
        <f>IF($I2="","",INDEX(Productos!$H:$H,$I2))</f>
        <v/>
      </c>
      <c r="F3171" s="5">
        <f>IF($I2="","",INDEX(Productos!$I:$I,$I2))</f>
        <v/>
      </c>
      <c r="G3171" s="135" t="n">
        <v>4</v>
      </c>
      <c r="H3171" s="5">
        <f>IF($I2="","",INDEX(Productos!$AG:$AG,$I2))</f>
        <v/>
      </c>
      <c r="I3171" s="136">
        <f>LET(_xlpm.r,Productos!$E$2:$E$2509,_xlpm.m,IFERROR(_xlfn.XMATCH(C3171,_xlpm.r),IFERROR(_xlfn.XMATCH(VALUE(C3171),_xlpm.r),0)),IF(_xlpm.m=0,"",_xlpm.m+1))</f>
        <v/>
      </c>
      <c r="J3171" s="137" t="inlineStr">
        <is>
          <t>Shopify</t>
        </is>
      </c>
    </row>
    <row r="3172">
      <c r="A3172" s="5" t="inlineStr">
        <is>
          <t>Shopify Stetson México › Stetson México</t>
        </is>
      </c>
      <c r="B3172" s="5">
        <f>IF($I2="","",INDEX(Productos!$A:$A,$I2))</f>
        <v/>
      </c>
      <c r="C3172" s="134" t="inlineStr">
        <is>
          <t>9912500-203-38</t>
        </is>
      </c>
      <c r="D3172" s="5">
        <f>IF($I2="","",INDEX(Productos!$B:$B,$I2))</f>
        <v/>
      </c>
      <c r="E3172" s="5">
        <f>IF($I2="","",INDEX(Productos!$H:$H,$I2))</f>
        <v/>
      </c>
      <c r="F3172" s="5">
        <f>IF($I2="","",INDEX(Productos!$I:$I,$I2))</f>
        <v/>
      </c>
      <c r="G3172" s="135" t="n">
        <v>3</v>
      </c>
      <c r="H3172" s="5">
        <f>IF($I2="","",INDEX(Productos!$AG:$AG,$I2))</f>
        <v/>
      </c>
      <c r="I3172" s="136">
        <f>LET(_xlpm.r,Productos!$E$2:$E$2509,_xlpm.m,IFERROR(_xlfn.XMATCH(C3172,_xlpm.r),IFERROR(_xlfn.XMATCH(VALUE(C3172),_xlpm.r),0)),IF(_xlpm.m=0,"",_xlpm.m+1))</f>
        <v/>
      </c>
      <c r="J3172" s="137" t="inlineStr">
        <is>
          <t>Shopify</t>
        </is>
      </c>
    </row>
    <row r="3173">
      <c r="A3173" s="5" t="inlineStr">
        <is>
          <t>Shopify Stetson México › Stetson México</t>
        </is>
      </c>
      <c r="B3173" s="5">
        <f>IF($I2="","",INDEX(Productos!$A:$A,$I2))</f>
        <v/>
      </c>
      <c r="C3173" s="134" t="inlineStr">
        <is>
          <t>9912500-203-40</t>
        </is>
      </c>
      <c r="D3173" s="5">
        <f>IF($I2="","",INDEX(Productos!$B:$B,$I2))</f>
        <v/>
      </c>
      <c r="E3173" s="5">
        <f>IF($I2="","",INDEX(Productos!$H:$H,$I2))</f>
        <v/>
      </c>
      <c r="F3173" s="5">
        <f>IF($I2="","",INDEX(Productos!$I:$I,$I2))</f>
        <v/>
      </c>
      <c r="G3173" s="135" t="n">
        <v>5</v>
      </c>
      <c r="H3173" s="5">
        <f>IF($I2="","",INDEX(Productos!$AG:$AG,$I2))</f>
        <v/>
      </c>
      <c r="I3173" s="136">
        <f>LET(_xlpm.r,Productos!$E$2:$E$2509,_xlpm.m,IFERROR(_xlfn.XMATCH(C3173,_xlpm.r),IFERROR(_xlfn.XMATCH(VALUE(C3173),_xlpm.r),0)),IF(_xlpm.m=0,"",_xlpm.m+1))</f>
        <v/>
      </c>
      <c r="J3173" s="137" t="inlineStr">
        <is>
          <t>Shopify</t>
        </is>
      </c>
    </row>
    <row r="3174">
      <c r="A3174" s="5" t="inlineStr">
        <is>
          <t>Shopify Stetson México › Stetson México</t>
        </is>
      </c>
      <c r="B3174" s="5">
        <f>IF($I2="","",INDEX(Productos!$A:$A,$I2))</f>
        <v/>
      </c>
      <c r="C3174" s="134" t="inlineStr">
        <is>
          <t>9912500-203-42</t>
        </is>
      </c>
      <c r="D3174" s="5">
        <f>IF($I2="","",INDEX(Productos!$B:$B,$I2))</f>
        <v/>
      </c>
      <c r="E3174" s="5">
        <f>IF($I2="","",INDEX(Productos!$H:$H,$I2))</f>
        <v/>
      </c>
      <c r="F3174" s="5">
        <f>IF($I2="","",INDEX(Productos!$I:$I,$I2))</f>
        <v/>
      </c>
      <c r="G3174" s="135" t="n">
        <v>3</v>
      </c>
      <c r="H3174" s="5">
        <f>IF($I2="","",INDEX(Productos!$AG:$AG,$I2))</f>
        <v/>
      </c>
      <c r="I3174" s="136">
        <f>LET(_xlpm.r,Productos!$E$2:$E$2509,_xlpm.m,IFERROR(_xlfn.XMATCH(C3174,_xlpm.r),IFERROR(_xlfn.XMATCH(VALUE(C3174),_xlpm.r),0)),IF(_xlpm.m=0,"",_xlpm.m+1))</f>
        <v/>
      </c>
      <c r="J3174" s="137" t="inlineStr">
        <is>
          <t>Shopify</t>
        </is>
      </c>
    </row>
    <row r="3175">
      <c r="A3175" s="5" t="inlineStr">
        <is>
          <t>Shopify Stetson México › Stetson México</t>
        </is>
      </c>
      <c r="B3175" s="5">
        <f>IF($I2="","",INDEX(Productos!$A:$A,$I2))</f>
        <v/>
      </c>
      <c r="C3175" s="134" t="inlineStr">
        <is>
          <t>9912500-203-46</t>
        </is>
      </c>
      <c r="D3175" s="5">
        <f>IF($I2="","",INDEX(Productos!$B:$B,$I2))</f>
        <v/>
      </c>
      <c r="E3175" s="5">
        <f>IF($I2="","",INDEX(Productos!$H:$H,$I2))</f>
        <v/>
      </c>
      <c r="F3175" s="5">
        <f>IF($I2="","",INDEX(Productos!$I:$I,$I2))</f>
        <v/>
      </c>
      <c r="G3175" s="135" t="n">
        <v>3</v>
      </c>
      <c r="H3175" s="5">
        <f>IF($I2="","",INDEX(Productos!$AG:$AG,$I2))</f>
        <v/>
      </c>
      <c r="I3175" s="136">
        <f>LET(_xlpm.r,Productos!$E$2:$E$2509,_xlpm.m,IFERROR(_xlfn.XMATCH(C3175,_xlpm.r),IFERROR(_xlfn.XMATCH(VALUE(C3175),_xlpm.r),0)),IF(_xlpm.m=0,"",_xlpm.m+1))</f>
        <v/>
      </c>
      <c r="J3175" s="137" t="inlineStr">
        <is>
          <t>Shopify</t>
        </is>
      </c>
    </row>
    <row r="3176">
      <c r="A3176" s="5" t="inlineStr">
        <is>
          <t>Shopify Stetson México › Stetson México</t>
        </is>
      </c>
      <c r="B3176" s="5">
        <f>IF($I2="","",INDEX(Productos!$A:$A,$I2))</f>
        <v/>
      </c>
      <c r="C3176" s="134" t="inlineStr">
        <is>
          <t>9914500-001-36</t>
        </is>
      </c>
      <c r="D3176" s="5">
        <f>IF($I2="","",INDEX(Productos!$B:$B,$I2))</f>
        <v/>
      </c>
      <c r="E3176" s="5">
        <f>IF($I2="","",INDEX(Productos!$H:$H,$I2))</f>
        <v/>
      </c>
      <c r="F3176" s="5">
        <f>IF($I2="","",INDEX(Productos!$I:$I,$I2))</f>
        <v/>
      </c>
      <c r="G3176" s="135" t="n">
        <v>3</v>
      </c>
      <c r="H3176" s="5">
        <f>IF($I2="","",INDEX(Productos!$AG:$AG,$I2))</f>
        <v/>
      </c>
      <c r="I3176" s="136">
        <f>LET(_xlpm.r,Productos!$E$2:$E$2509,_xlpm.m,IFERROR(_xlfn.XMATCH(C3176,_xlpm.r),IFERROR(_xlfn.XMATCH(VALUE(C3176),_xlpm.r),0)),IF(_xlpm.m=0,"",_xlpm.m+1))</f>
        <v/>
      </c>
      <c r="J3176" s="137" t="inlineStr">
        <is>
          <t>Shopify</t>
        </is>
      </c>
    </row>
    <row r="3177">
      <c r="A3177" s="5" t="inlineStr">
        <is>
          <t>Shopify Stetson México › Stetson México</t>
        </is>
      </c>
      <c r="B3177" s="5">
        <f>IF($I2="","",INDEX(Productos!$A:$A,$I2))</f>
        <v/>
      </c>
      <c r="C3177" s="134" t="inlineStr">
        <is>
          <t>9914500-001-38</t>
        </is>
      </c>
      <c r="D3177" s="5">
        <f>IF($I2="","",INDEX(Productos!$B:$B,$I2))</f>
        <v/>
      </c>
      <c r="E3177" s="5">
        <f>IF($I2="","",INDEX(Productos!$H:$H,$I2))</f>
        <v/>
      </c>
      <c r="F3177" s="5">
        <f>IF($I2="","",INDEX(Productos!$I:$I,$I2))</f>
        <v/>
      </c>
      <c r="G3177" s="135" t="n">
        <v>4</v>
      </c>
      <c r="H3177" s="5">
        <f>IF($I2="","",INDEX(Productos!$AG:$AG,$I2))</f>
        <v/>
      </c>
      <c r="I3177" s="136">
        <f>LET(_xlpm.r,Productos!$E$2:$E$2509,_xlpm.m,IFERROR(_xlfn.XMATCH(C3177,_xlpm.r),IFERROR(_xlfn.XMATCH(VALUE(C3177),_xlpm.r),0)),IF(_xlpm.m=0,"",_xlpm.m+1))</f>
        <v/>
      </c>
      <c r="J3177" s="137" t="inlineStr">
        <is>
          <t>Shopify</t>
        </is>
      </c>
    </row>
    <row r="3178">
      <c r="A3178" s="5" t="inlineStr">
        <is>
          <t>Shopify Stetson México › Stetson México</t>
        </is>
      </c>
      <c r="B3178" s="5">
        <f>IF($I2="","",INDEX(Productos!$A:$A,$I2))</f>
        <v/>
      </c>
      <c r="C3178" s="134" t="inlineStr">
        <is>
          <t>9914500-001-40</t>
        </is>
      </c>
      <c r="D3178" s="5">
        <f>IF($I2="","",INDEX(Productos!$B:$B,$I2))</f>
        <v/>
      </c>
      <c r="E3178" s="5">
        <f>IF($I2="","",INDEX(Productos!$H:$H,$I2))</f>
        <v/>
      </c>
      <c r="F3178" s="5">
        <f>IF($I2="","",INDEX(Productos!$I:$I,$I2))</f>
        <v/>
      </c>
      <c r="G3178" s="135" t="n">
        <v>8</v>
      </c>
      <c r="H3178" s="5">
        <f>IF($I2="","",INDEX(Productos!$AG:$AG,$I2))</f>
        <v/>
      </c>
      <c r="I3178" s="136">
        <f>LET(_xlpm.r,Productos!$E$2:$E$2509,_xlpm.m,IFERROR(_xlfn.XMATCH(C3178,_xlpm.r),IFERROR(_xlfn.XMATCH(VALUE(C3178),_xlpm.r),0)),IF(_xlpm.m=0,"",_xlpm.m+1))</f>
        <v/>
      </c>
      <c r="J3178" s="137" t="inlineStr">
        <is>
          <t>Shopify</t>
        </is>
      </c>
    </row>
    <row r="3179">
      <c r="A3179" s="5" t="inlineStr">
        <is>
          <t>Shopify Stetson México › Stetson México</t>
        </is>
      </c>
      <c r="B3179" s="5">
        <f>IF($I2="","",INDEX(Productos!$A:$A,$I2))</f>
        <v/>
      </c>
      <c r="C3179" s="134" t="inlineStr">
        <is>
          <t>9914500-001-42</t>
        </is>
      </c>
      <c r="D3179" s="5">
        <f>IF($I2="","",INDEX(Productos!$B:$B,$I2))</f>
        <v/>
      </c>
      <c r="E3179" s="5">
        <f>IF($I2="","",INDEX(Productos!$H:$H,$I2))</f>
        <v/>
      </c>
      <c r="F3179" s="5">
        <f>IF($I2="","",INDEX(Productos!$I:$I,$I2))</f>
        <v/>
      </c>
      <c r="G3179" s="135" t="n">
        <v>8</v>
      </c>
      <c r="H3179" s="5">
        <f>IF($I2="","",INDEX(Productos!$AG:$AG,$I2))</f>
        <v/>
      </c>
      <c r="I3179" s="136">
        <f>LET(_xlpm.r,Productos!$E$2:$E$2509,_xlpm.m,IFERROR(_xlfn.XMATCH(C3179,_xlpm.r),IFERROR(_xlfn.XMATCH(VALUE(C3179),_xlpm.r),0)),IF(_xlpm.m=0,"",_xlpm.m+1))</f>
        <v/>
      </c>
      <c r="J3179" s="137" t="inlineStr">
        <is>
          <t>Shopify</t>
        </is>
      </c>
    </row>
    <row r="3180">
      <c r="A3180" s="5" t="inlineStr">
        <is>
          <t>Shopify Stetson México › Stetson México</t>
        </is>
      </c>
      <c r="B3180" s="5">
        <f>IF($I2="","",INDEX(Productos!$A:$A,$I2))</f>
        <v/>
      </c>
      <c r="C3180" s="134" t="inlineStr">
        <is>
          <t>9914500-001-44</t>
        </is>
      </c>
      <c r="D3180" s="5">
        <f>IF($I2="","",INDEX(Productos!$B:$B,$I2))</f>
        <v/>
      </c>
      <c r="E3180" s="5">
        <f>IF($I2="","",INDEX(Productos!$H:$H,$I2))</f>
        <v/>
      </c>
      <c r="F3180" s="5">
        <f>IF($I2="","",INDEX(Productos!$I:$I,$I2))</f>
        <v/>
      </c>
      <c r="G3180" s="135" t="n">
        <v>2</v>
      </c>
      <c r="H3180" s="5">
        <f>IF($I2="","",INDEX(Productos!$AG:$AG,$I2))</f>
        <v/>
      </c>
      <c r="I3180" s="136">
        <f>LET(_xlpm.r,Productos!$E$2:$E$2509,_xlpm.m,IFERROR(_xlfn.XMATCH(C3180,_xlpm.r),IFERROR(_xlfn.XMATCH(VALUE(C3180),_xlpm.r),0)),IF(_xlpm.m=0,"",_xlpm.m+1))</f>
        <v/>
      </c>
      <c r="J3180" s="137" t="inlineStr">
        <is>
          <t>Shopify</t>
        </is>
      </c>
    </row>
    <row r="3181">
      <c r="A3181" s="5" t="inlineStr">
        <is>
          <t>Shopify Stetson México › Stetson México</t>
        </is>
      </c>
      <c r="B3181" s="5">
        <f>IF($I2="","",INDEX(Productos!$A:$A,$I2))</f>
        <v/>
      </c>
      <c r="C3181" s="134" t="inlineStr">
        <is>
          <t>9914500-001-46</t>
        </is>
      </c>
      <c r="D3181" s="5">
        <f>IF($I2="","",INDEX(Productos!$B:$B,$I2))</f>
        <v/>
      </c>
      <c r="E3181" s="5">
        <f>IF($I2="","",INDEX(Productos!$H:$H,$I2))</f>
        <v/>
      </c>
      <c r="F3181" s="5">
        <f>IF($I2="","",INDEX(Productos!$I:$I,$I2))</f>
        <v/>
      </c>
      <c r="G3181" s="135" t="n">
        <v>3</v>
      </c>
      <c r="H3181" s="5">
        <f>IF($I2="","",INDEX(Productos!$AG:$AG,$I2))</f>
        <v/>
      </c>
      <c r="I3181" s="136">
        <f>LET(_xlpm.r,Productos!$E$2:$E$2509,_xlpm.m,IFERROR(_xlfn.XMATCH(C3181,_xlpm.r),IFERROR(_xlfn.XMATCH(VALUE(C3181),_xlpm.r),0)),IF(_xlpm.m=0,"",_xlpm.m+1))</f>
        <v/>
      </c>
      <c r="J3181" s="137" t="inlineStr">
        <is>
          <t>Shopify</t>
        </is>
      </c>
    </row>
    <row r="3182">
      <c r="A3182" s="5" t="inlineStr">
        <is>
          <t>Shopify Stetson México › Stetson México</t>
        </is>
      </c>
      <c r="B3182" s="5">
        <f>IF($I2="","",INDEX(Productos!$A:$A,$I2))</f>
        <v/>
      </c>
      <c r="C3182" s="134" t="inlineStr">
        <is>
          <t>9914500-625-36</t>
        </is>
      </c>
      <c r="D3182" s="5">
        <f>IF($I2="","",INDEX(Productos!$B:$B,$I2))</f>
        <v/>
      </c>
      <c r="E3182" s="5">
        <f>IF($I2="","",INDEX(Productos!$H:$H,$I2))</f>
        <v/>
      </c>
      <c r="F3182" s="5">
        <f>IF($I2="","",INDEX(Productos!$I:$I,$I2))</f>
        <v/>
      </c>
      <c r="G3182" s="135" t="n">
        <v>3</v>
      </c>
      <c r="H3182" s="5">
        <f>IF($I2="","",INDEX(Productos!$AG:$AG,$I2))</f>
        <v/>
      </c>
      <c r="I3182" s="136">
        <f>LET(_xlpm.r,Productos!$E$2:$E$2509,_xlpm.m,IFERROR(_xlfn.XMATCH(C3182,_xlpm.r),IFERROR(_xlfn.XMATCH(VALUE(C3182),_xlpm.r),0)),IF(_xlpm.m=0,"",_xlpm.m+1))</f>
        <v/>
      </c>
      <c r="J3182" s="137" t="inlineStr">
        <is>
          <t>Shopify</t>
        </is>
      </c>
    </row>
    <row r="3183">
      <c r="A3183" s="5" t="inlineStr">
        <is>
          <t>Shopify Stetson México › Stetson México</t>
        </is>
      </c>
      <c r="B3183" s="5">
        <f>IF($I2="","",INDEX(Productos!$A:$A,$I2))</f>
        <v/>
      </c>
      <c r="C3183" s="134" t="inlineStr">
        <is>
          <t>9914500-625-38</t>
        </is>
      </c>
      <c r="D3183" s="5">
        <f>IF($I2="","",INDEX(Productos!$B:$B,$I2))</f>
        <v/>
      </c>
      <c r="E3183" s="5">
        <f>IF($I2="","",INDEX(Productos!$H:$H,$I2))</f>
        <v/>
      </c>
      <c r="F3183" s="5">
        <f>IF($I2="","",INDEX(Productos!$I:$I,$I2))</f>
        <v/>
      </c>
      <c r="G3183" s="135" t="n">
        <v>7</v>
      </c>
      <c r="H3183" s="5">
        <f>IF($I2="","",INDEX(Productos!$AG:$AG,$I2))</f>
        <v/>
      </c>
      <c r="I3183" s="136">
        <f>LET(_xlpm.r,Productos!$E$2:$E$2509,_xlpm.m,IFERROR(_xlfn.XMATCH(C3183,_xlpm.r),IFERROR(_xlfn.XMATCH(VALUE(C3183),_xlpm.r),0)),IF(_xlpm.m=0,"",_xlpm.m+1))</f>
        <v/>
      </c>
      <c r="J3183" s="137" t="inlineStr">
        <is>
          <t>Shopify</t>
        </is>
      </c>
    </row>
    <row r="3184">
      <c r="A3184" s="5" t="inlineStr">
        <is>
          <t>Shopify Stetson México › Stetson México</t>
        </is>
      </c>
      <c r="B3184" s="5">
        <f>IF($I2="","",INDEX(Productos!$A:$A,$I2))</f>
        <v/>
      </c>
      <c r="C3184" s="134" t="inlineStr">
        <is>
          <t>9914500-625-40</t>
        </is>
      </c>
      <c r="D3184" s="5">
        <f>IF($I2="","",INDEX(Productos!$B:$B,$I2))</f>
        <v/>
      </c>
      <c r="E3184" s="5">
        <f>IF($I2="","",INDEX(Productos!$H:$H,$I2))</f>
        <v/>
      </c>
      <c r="F3184" s="5">
        <f>IF($I2="","",INDEX(Productos!$I:$I,$I2))</f>
        <v/>
      </c>
      <c r="G3184" s="135" t="n">
        <v>8</v>
      </c>
      <c r="H3184" s="5">
        <f>IF($I2="","",INDEX(Productos!$AG:$AG,$I2))</f>
        <v/>
      </c>
      <c r="I3184" s="136">
        <f>LET(_xlpm.r,Productos!$E$2:$E$2509,_xlpm.m,IFERROR(_xlfn.XMATCH(C3184,_xlpm.r),IFERROR(_xlfn.XMATCH(VALUE(C3184),_xlpm.r),0)),IF(_xlpm.m=0,"",_xlpm.m+1))</f>
        <v/>
      </c>
      <c r="J3184" s="137" t="inlineStr">
        <is>
          <t>Shopify</t>
        </is>
      </c>
    </row>
    <row r="3185">
      <c r="A3185" s="5" t="inlineStr">
        <is>
          <t>Shopify Stetson México › Stetson México</t>
        </is>
      </c>
      <c r="B3185" s="5">
        <f>IF($I2="","",INDEX(Productos!$A:$A,$I2))</f>
        <v/>
      </c>
      <c r="C3185" s="134" t="inlineStr">
        <is>
          <t>9914500-625-42</t>
        </is>
      </c>
      <c r="D3185" s="5">
        <f>IF($I2="","",INDEX(Productos!$B:$B,$I2))</f>
        <v/>
      </c>
      <c r="E3185" s="5">
        <f>IF($I2="","",INDEX(Productos!$H:$H,$I2))</f>
        <v/>
      </c>
      <c r="F3185" s="5">
        <f>IF($I2="","",INDEX(Productos!$I:$I,$I2))</f>
        <v/>
      </c>
      <c r="G3185" s="135" t="n">
        <v>3</v>
      </c>
      <c r="H3185" s="5">
        <f>IF($I2="","",INDEX(Productos!$AG:$AG,$I2))</f>
        <v/>
      </c>
      <c r="I3185" s="136">
        <f>LET(_xlpm.r,Productos!$E$2:$E$2509,_xlpm.m,IFERROR(_xlfn.XMATCH(C3185,_xlpm.r),IFERROR(_xlfn.XMATCH(VALUE(C3185),_xlpm.r),0)),IF(_xlpm.m=0,"",_xlpm.m+1))</f>
        <v/>
      </c>
      <c r="J3185" s="137" t="inlineStr">
        <is>
          <t>Shopify</t>
        </is>
      </c>
    </row>
    <row r="3186">
      <c r="A3186" s="5" t="inlineStr">
        <is>
          <t>Shopify Stetson México › Stetson México</t>
        </is>
      </c>
      <c r="B3186" s="5">
        <f>IF($I2="","",INDEX(Productos!$A:$A,$I2))</f>
        <v/>
      </c>
      <c r="C3186" s="134" t="inlineStr">
        <is>
          <t>9914500-625-46</t>
        </is>
      </c>
      <c r="D3186" s="5">
        <f>IF($I2="","",INDEX(Productos!$B:$B,$I2))</f>
        <v/>
      </c>
      <c r="E3186" s="5">
        <f>IF($I2="","",INDEX(Productos!$H:$H,$I2))</f>
        <v/>
      </c>
      <c r="F3186" s="5">
        <f>IF($I2="","",INDEX(Productos!$I:$I,$I2))</f>
        <v/>
      </c>
      <c r="G3186" s="135" t="n">
        <v>1</v>
      </c>
      <c r="H3186" s="5">
        <f>IF($I2="","",INDEX(Productos!$AG:$AG,$I2))</f>
        <v/>
      </c>
      <c r="I3186" s="136">
        <f>LET(_xlpm.r,Productos!$E$2:$E$2509,_xlpm.m,IFERROR(_xlfn.XMATCH(C3186,_xlpm.r),IFERROR(_xlfn.XMATCH(VALUE(C3186),_xlpm.r),0)),IF(_xlpm.m=0,"",_xlpm.m+1))</f>
        <v/>
      </c>
      <c r="J3186" s="137" t="inlineStr">
        <is>
          <t>Shopify</t>
        </is>
      </c>
    </row>
    <row r="3187">
      <c r="A3187" s="5" t="inlineStr">
        <is>
          <t>Shopify Stetson México › Stetson México</t>
        </is>
      </c>
      <c r="B3187" s="5">
        <f>IF($I2="","",INDEX(Productos!$A:$A,$I2))</f>
        <v/>
      </c>
      <c r="C3187" s="134" t="inlineStr">
        <is>
          <t>9915500-625-36</t>
        </is>
      </c>
      <c r="D3187" s="5">
        <f>IF($I2="","",INDEX(Productos!$B:$B,$I2))</f>
        <v/>
      </c>
      <c r="E3187" s="5">
        <f>IF($I2="","",INDEX(Productos!$H:$H,$I2))</f>
        <v/>
      </c>
      <c r="F3187" s="5">
        <f>IF($I2="","",INDEX(Productos!$I:$I,$I2))</f>
        <v/>
      </c>
      <c r="G3187" s="135" t="n">
        <v>5</v>
      </c>
      <c r="H3187" s="5">
        <f>IF($I2="","",INDEX(Productos!$AG:$AG,$I2))</f>
        <v/>
      </c>
      <c r="I3187" s="136">
        <f>LET(_xlpm.r,Productos!$E$2:$E$2509,_xlpm.m,IFERROR(_xlfn.XMATCH(C3187,_xlpm.r),IFERROR(_xlfn.XMATCH(VALUE(C3187),_xlpm.r),0)),IF(_xlpm.m=0,"",_xlpm.m+1))</f>
        <v/>
      </c>
      <c r="J3187" s="137" t="inlineStr">
        <is>
          <t>Shopify</t>
        </is>
      </c>
    </row>
    <row r="3188">
      <c r="A3188" s="5" t="inlineStr">
        <is>
          <t>Shopify Stetson México › Stetson México</t>
        </is>
      </c>
      <c r="B3188" s="5">
        <f>IF($I2="","",INDEX(Productos!$A:$A,$I2))</f>
        <v/>
      </c>
      <c r="C3188" s="134" t="inlineStr">
        <is>
          <t>9915500-625-38</t>
        </is>
      </c>
      <c r="D3188" s="5">
        <f>IF($I2="","",INDEX(Productos!$B:$B,$I2))</f>
        <v/>
      </c>
      <c r="E3188" s="5">
        <f>IF($I2="","",INDEX(Productos!$H:$H,$I2))</f>
        <v/>
      </c>
      <c r="F3188" s="5">
        <f>IF($I2="","",INDEX(Productos!$I:$I,$I2))</f>
        <v/>
      </c>
      <c r="G3188" s="135" t="n">
        <v>11</v>
      </c>
      <c r="H3188" s="5">
        <f>IF($I2="","",INDEX(Productos!$AG:$AG,$I2))</f>
        <v/>
      </c>
      <c r="I3188" s="136">
        <f>LET(_xlpm.r,Productos!$E$2:$E$2509,_xlpm.m,IFERROR(_xlfn.XMATCH(C3188,_xlpm.r),IFERROR(_xlfn.XMATCH(VALUE(C3188),_xlpm.r),0)),IF(_xlpm.m=0,"",_xlpm.m+1))</f>
        <v/>
      </c>
      <c r="J3188" s="137" t="inlineStr">
        <is>
          <t>Shopify</t>
        </is>
      </c>
    </row>
    <row r="3189">
      <c r="A3189" s="5" t="inlineStr">
        <is>
          <t>Shopify Stetson México › Stetson México</t>
        </is>
      </c>
      <c r="B3189" s="5">
        <f>IF($I2="","",INDEX(Productos!$A:$A,$I2))</f>
        <v/>
      </c>
      <c r="C3189" s="134" t="inlineStr">
        <is>
          <t>9915500-625-40</t>
        </is>
      </c>
      <c r="D3189" s="5">
        <f>IF($I2="","",INDEX(Productos!$B:$B,$I2))</f>
        <v/>
      </c>
      <c r="E3189" s="5">
        <f>IF($I2="","",INDEX(Productos!$H:$H,$I2))</f>
        <v/>
      </c>
      <c r="F3189" s="5">
        <f>IF($I2="","",INDEX(Productos!$I:$I,$I2))</f>
        <v/>
      </c>
      <c r="G3189" s="135" t="n">
        <v>10</v>
      </c>
      <c r="H3189" s="5">
        <f>IF($I2="","",INDEX(Productos!$AG:$AG,$I2))</f>
        <v/>
      </c>
      <c r="I3189" s="136">
        <f>LET(_xlpm.r,Productos!$E$2:$E$2509,_xlpm.m,IFERROR(_xlfn.XMATCH(C3189,_xlpm.r),IFERROR(_xlfn.XMATCH(VALUE(C3189),_xlpm.r),0)),IF(_xlpm.m=0,"",_xlpm.m+1))</f>
        <v/>
      </c>
      <c r="J3189" s="137" t="inlineStr">
        <is>
          <t>Shopify</t>
        </is>
      </c>
    </row>
    <row r="3190">
      <c r="A3190" s="5" t="inlineStr">
        <is>
          <t>Shopify Stetson México › Stetson México</t>
        </is>
      </c>
      <c r="B3190" s="5">
        <f>IF($I2="","",INDEX(Productos!$A:$A,$I2))</f>
        <v/>
      </c>
      <c r="C3190" s="134" t="inlineStr">
        <is>
          <t>9915500-625-42</t>
        </is>
      </c>
      <c r="D3190" s="5">
        <f>IF($I2="","",INDEX(Productos!$B:$B,$I2))</f>
        <v/>
      </c>
      <c r="E3190" s="5">
        <f>IF($I2="","",INDEX(Productos!$H:$H,$I2))</f>
        <v/>
      </c>
      <c r="F3190" s="5">
        <f>IF($I2="","",INDEX(Productos!$I:$I,$I2))</f>
        <v/>
      </c>
      <c r="G3190" s="135" t="n">
        <v>10</v>
      </c>
      <c r="H3190" s="5">
        <f>IF($I2="","",INDEX(Productos!$AG:$AG,$I2))</f>
        <v/>
      </c>
      <c r="I3190" s="136">
        <f>LET(_xlpm.r,Productos!$E$2:$E$2509,_xlpm.m,IFERROR(_xlfn.XMATCH(C3190,_xlpm.r),IFERROR(_xlfn.XMATCH(VALUE(C3190),_xlpm.r),0)),IF(_xlpm.m=0,"",_xlpm.m+1))</f>
        <v/>
      </c>
      <c r="J3190" s="137" t="inlineStr">
        <is>
          <t>Shopify</t>
        </is>
      </c>
    </row>
    <row r="3191">
      <c r="A3191" s="5" t="inlineStr">
        <is>
          <t>Shopify Stetson México › Stetson México</t>
        </is>
      </c>
      <c r="B3191" s="5">
        <f>IF($I2="","",INDEX(Productos!$A:$A,$I2))</f>
        <v/>
      </c>
      <c r="C3191" s="134" t="inlineStr">
        <is>
          <t>9915500-625-44</t>
        </is>
      </c>
      <c r="D3191" s="5">
        <f>IF($I2="","",INDEX(Productos!$B:$B,$I2))</f>
        <v/>
      </c>
      <c r="E3191" s="5">
        <f>IF($I2="","",INDEX(Productos!$H:$H,$I2))</f>
        <v/>
      </c>
      <c r="F3191" s="5">
        <f>IF($I2="","",INDEX(Productos!$I:$I,$I2))</f>
        <v/>
      </c>
      <c r="G3191" s="135" t="n">
        <v>8</v>
      </c>
      <c r="H3191" s="5">
        <f>IF($I2="","",INDEX(Productos!$AG:$AG,$I2))</f>
        <v/>
      </c>
      <c r="I3191" s="136">
        <f>LET(_xlpm.r,Productos!$E$2:$E$2509,_xlpm.m,IFERROR(_xlfn.XMATCH(C3191,_xlpm.r),IFERROR(_xlfn.XMATCH(VALUE(C3191),_xlpm.r),0)),IF(_xlpm.m=0,"",_xlpm.m+1))</f>
        <v/>
      </c>
      <c r="J3191" s="137" t="inlineStr">
        <is>
          <t>Shopify</t>
        </is>
      </c>
    </row>
    <row r="3192">
      <c r="A3192" s="5" t="inlineStr">
        <is>
          <t>Shopify Stetson México › Stetson México</t>
        </is>
      </c>
      <c r="B3192" s="5">
        <f>IF($I2="","",INDEX(Productos!$A:$A,$I2))</f>
        <v/>
      </c>
      <c r="C3192" s="134" t="inlineStr">
        <is>
          <t>9915500-625-46</t>
        </is>
      </c>
      <c r="D3192" s="5">
        <f>IF($I2="","",INDEX(Productos!$B:$B,$I2))</f>
        <v/>
      </c>
      <c r="E3192" s="5">
        <f>IF($I2="","",INDEX(Productos!$H:$H,$I2))</f>
        <v/>
      </c>
      <c r="F3192" s="5">
        <f>IF($I2="","",INDEX(Productos!$I:$I,$I2))</f>
        <v/>
      </c>
      <c r="G3192" s="135" t="n">
        <v>4</v>
      </c>
      <c r="H3192" s="5">
        <f>IF($I2="","",INDEX(Productos!$AG:$AG,$I2))</f>
        <v/>
      </c>
      <c r="I3192" s="136">
        <f>LET(_xlpm.r,Productos!$E$2:$E$2509,_xlpm.m,IFERROR(_xlfn.XMATCH(C3192,_xlpm.r),IFERROR(_xlfn.XMATCH(VALUE(C3192),_xlpm.r),0)),IF(_xlpm.m=0,"",_xlpm.m+1))</f>
        <v/>
      </c>
      <c r="J3192" s="137" t="inlineStr">
        <is>
          <t>Shopify</t>
        </is>
      </c>
    </row>
    <row r="3193">
      <c r="A3193" s="5" t="inlineStr">
        <is>
          <t>Shopify Stetson México › Stetson México</t>
        </is>
      </c>
      <c r="B3193" s="5">
        <f>IF($I2="","",INDEX(Productos!$A:$A,$I2))</f>
        <v/>
      </c>
      <c r="C3193" s="134" t="inlineStr">
        <is>
          <t>9916500-19-38</t>
        </is>
      </c>
      <c r="D3193" s="5">
        <f>IF($I2="","",INDEX(Productos!$B:$B,$I2))</f>
        <v/>
      </c>
      <c r="E3193" s="5">
        <f>IF($I2="","",INDEX(Productos!$H:$H,$I2))</f>
        <v/>
      </c>
      <c r="F3193" s="5">
        <f>IF($I2="","",INDEX(Productos!$I:$I,$I2))</f>
        <v/>
      </c>
      <c r="G3193" s="135" t="n">
        <v>3</v>
      </c>
      <c r="H3193" s="5">
        <f>IF($I2="","",INDEX(Productos!$AG:$AG,$I2))</f>
        <v/>
      </c>
      <c r="I3193" s="136">
        <f>LET(_xlpm.r,Productos!$E$2:$E$2509,_xlpm.m,IFERROR(_xlfn.XMATCH(C3193,_xlpm.r),IFERROR(_xlfn.XMATCH(VALUE(C3193),_xlpm.r),0)),IF(_xlpm.m=0,"",_xlpm.m+1))</f>
        <v/>
      </c>
      <c r="J3193" s="137" t="inlineStr">
        <is>
          <t>Shopify</t>
        </is>
      </c>
    </row>
    <row r="3194">
      <c r="A3194" s="5" t="inlineStr">
        <is>
          <t>Shopify Stetson México › Stetson México</t>
        </is>
      </c>
      <c r="B3194" s="5">
        <f>IF($I2="","",INDEX(Productos!$A:$A,$I2))</f>
        <v/>
      </c>
      <c r="C3194" s="134" t="inlineStr">
        <is>
          <t>9916500-19-40</t>
        </is>
      </c>
      <c r="D3194" s="5">
        <f>IF($I2="","",INDEX(Productos!$B:$B,$I2))</f>
        <v/>
      </c>
      <c r="E3194" s="5">
        <f>IF($I2="","",INDEX(Productos!$H:$H,$I2))</f>
        <v/>
      </c>
      <c r="F3194" s="5">
        <f>IF($I2="","",INDEX(Productos!$I:$I,$I2))</f>
        <v/>
      </c>
      <c r="G3194" s="135" t="n">
        <v>3</v>
      </c>
      <c r="H3194" s="5">
        <f>IF($I2="","",INDEX(Productos!$AG:$AG,$I2))</f>
        <v/>
      </c>
      <c r="I3194" s="136">
        <f>LET(_xlpm.r,Productos!$E$2:$E$2509,_xlpm.m,IFERROR(_xlfn.XMATCH(C3194,_xlpm.r),IFERROR(_xlfn.XMATCH(VALUE(C3194),_xlpm.r),0)),IF(_xlpm.m=0,"",_xlpm.m+1))</f>
        <v/>
      </c>
      <c r="J3194" s="137" t="inlineStr">
        <is>
          <t>Shopify</t>
        </is>
      </c>
    </row>
    <row r="3195">
      <c r="A3195" s="5" t="inlineStr">
        <is>
          <t>Shopify Stetson México › Stetson México</t>
        </is>
      </c>
      <c r="B3195" s="5">
        <f>IF($I2="","",INDEX(Productos!$A:$A,$I2))</f>
        <v/>
      </c>
      <c r="C3195" s="134" t="inlineStr">
        <is>
          <t>9916500-19-42</t>
        </is>
      </c>
      <c r="D3195" s="5">
        <f>IF($I2="","",INDEX(Productos!$B:$B,$I2))</f>
        <v/>
      </c>
      <c r="E3195" s="5">
        <f>IF($I2="","",INDEX(Productos!$H:$H,$I2))</f>
        <v/>
      </c>
      <c r="F3195" s="5">
        <f>IF($I2="","",INDEX(Productos!$I:$I,$I2))</f>
        <v/>
      </c>
      <c r="G3195" s="135" t="n">
        <v>4</v>
      </c>
      <c r="H3195" s="5">
        <f>IF($I2="","",INDEX(Productos!$AG:$AG,$I2))</f>
        <v/>
      </c>
      <c r="I3195" s="136">
        <f>LET(_xlpm.r,Productos!$E$2:$E$2509,_xlpm.m,IFERROR(_xlfn.XMATCH(C3195,_xlpm.r),IFERROR(_xlfn.XMATCH(VALUE(C3195),_xlpm.r),0)),IF(_xlpm.m=0,"",_xlpm.m+1))</f>
        <v/>
      </c>
      <c r="J3195" s="137" t="inlineStr">
        <is>
          <t>Shopify</t>
        </is>
      </c>
    </row>
    <row r="3196">
      <c r="A3196" s="5" t="inlineStr">
        <is>
          <t>Shopify Stetson México › Stetson México</t>
        </is>
      </c>
      <c r="B3196" s="5">
        <f>IF($I2="","",INDEX(Productos!$A:$A,$I2))</f>
        <v/>
      </c>
      <c r="C3196" s="134" t="inlineStr">
        <is>
          <t>9916500-19-44</t>
        </is>
      </c>
      <c r="D3196" s="5">
        <f>IF($I2="","",INDEX(Productos!$B:$B,$I2))</f>
        <v/>
      </c>
      <c r="E3196" s="5">
        <f>IF($I2="","",INDEX(Productos!$H:$H,$I2))</f>
        <v/>
      </c>
      <c r="F3196" s="5">
        <f>IF($I2="","",INDEX(Productos!$I:$I,$I2))</f>
        <v/>
      </c>
      <c r="G3196" s="135" t="n">
        <v>1</v>
      </c>
      <c r="H3196" s="5">
        <f>IF($I2="","",INDEX(Productos!$AG:$AG,$I2))</f>
        <v/>
      </c>
      <c r="I3196" s="136">
        <f>LET(_xlpm.r,Productos!$E$2:$E$2509,_xlpm.m,IFERROR(_xlfn.XMATCH(C3196,_xlpm.r),IFERROR(_xlfn.XMATCH(VALUE(C3196),_xlpm.r),0)),IF(_xlpm.m=0,"",_xlpm.m+1))</f>
        <v/>
      </c>
      <c r="J3196" s="137" t="inlineStr">
        <is>
          <t>Shopify</t>
        </is>
      </c>
    </row>
    <row r="3197">
      <c r="A3197" s="5" t="inlineStr">
        <is>
          <t>Shopify Stetson México › Stetson México</t>
        </is>
      </c>
      <c r="B3197" s="5">
        <f>IF($I2="","",INDEX(Productos!$A:$A,$I2))</f>
        <v/>
      </c>
      <c r="C3197" s="134" t="inlineStr">
        <is>
          <t>9916500-19-46</t>
        </is>
      </c>
      <c r="D3197" s="5">
        <f>IF($I2="","",INDEX(Productos!$B:$B,$I2))</f>
        <v/>
      </c>
      <c r="E3197" s="5">
        <f>IF($I2="","",INDEX(Productos!$H:$H,$I2))</f>
        <v/>
      </c>
      <c r="F3197" s="5">
        <f>IF($I2="","",INDEX(Productos!$I:$I,$I2))</f>
        <v/>
      </c>
      <c r="G3197" s="135" t="n">
        <v>1</v>
      </c>
      <c r="H3197" s="5">
        <f>IF($I2="","",INDEX(Productos!$AG:$AG,$I2))</f>
        <v/>
      </c>
      <c r="I3197" s="136">
        <f>LET(_xlpm.r,Productos!$E$2:$E$2509,_xlpm.m,IFERROR(_xlfn.XMATCH(C3197,_xlpm.r),IFERROR(_xlfn.XMATCH(VALUE(C3197),_xlpm.r),0)),IF(_xlpm.m=0,"",_xlpm.m+1))</f>
        <v/>
      </c>
      <c r="J3197" s="137" t="inlineStr">
        <is>
          <t>Shopify</t>
        </is>
      </c>
    </row>
    <row r="3198">
      <c r="A3198" s="5" t="inlineStr">
        <is>
          <t>Shopify Stetson México › Stetson México</t>
        </is>
      </c>
      <c r="B3198" s="5">
        <f>IF($I2="","",INDEX(Productos!$A:$A,$I2))</f>
        <v/>
      </c>
      <c r="C3198" s="134" t="inlineStr">
        <is>
          <t>9916500-260-38</t>
        </is>
      </c>
      <c r="D3198" s="5">
        <f>IF($I2="","",INDEX(Productos!$B:$B,$I2))</f>
        <v/>
      </c>
      <c r="E3198" s="5">
        <f>IF($I2="","",INDEX(Productos!$H:$H,$I2))</f>
        <v/>
      </c>
      <c r="F3198" s="5">
        <f>IF($I2="","",INDEX(Productos!$I:$I,$I2))</f>
        <v/>
      </c>
      <c r="G3198" s="135" t="n">
        <v>4</v>
      </c>
      <c r="H3198" s="5">
        <f>IF($I2="","",INDEX(Productos!$AG:$AG,$I2))</f>
        <v/>
      </c>
      <c r="I3198" s="136">
        <f>LET(_xlpm.r,Productos!$E$2:$E$2509,_xlpm.m,IFERROR(_xlfn.XMATCH(C3198,_xlpm.r),IFERROR(_xlfn.XMATCH(VALUE(C3198),_xlpm.r),0)),IF(_xlpm.m=0,"",_xlpm.m+1))</f>
        <v/>
      </c>
      <c r="J3198" s="137" t="inlineStr">
        <is>
          <t>Shopify</t>
        </is>
      </c>
    </row>
    <row r="3199">
      <c r="A3199" s="5" t="inlineStr">
        <is>
          <t>Shopify Stetson México › Stetson México</t>
        </is>
      </c>
      <c r="B3199" s="5">
        <f>IF($I2="","",INDEX(Productos!$A:$A,$I2))</f>
        <v/>
      </c>
      <c r="C3199" s="134" t="inlineStr">
        <is>
          <t>9916500-260-42</t>
        </is>
      </c>
      <c r="D3199" s="5">
        <f>IF($I2="","",INDEX(Productos!$B:$B,$I2))</f>
        <v/>
      </c>
      <c r="E3199" s="5">
        <f>IF($I2="","",INDEX(Productos!$H:$H,$I2))</f>
        <v/>
      </c>
      <c r="F3199" s="5">
        <f>IF($I2="","",INDEX(Productos!$I:$I,$I2))</f>
        <v/>
      </c>
      <c r="G3199" s="135" t="n">
        <v>3</v>
      </c>
      <c r="H3199" s="5">
        <f>IF($I2="","",INDEX(Productos!$AG:$AG,$I2))</f>
        <v/>
      </c>
      <c r="I3199" s="136">
        <f>LET(_xlpm.r,Productos!$E$2:$E$2509,_xlpm.m,IFERROR(_xlfn.XMATCH(C3199,_xlpm.r),IFERROR(_xlfn.XMATCH(VALUE(C3199),_xlpm.r),0)),IF(_xlpm.m=0,"",_xlpm.m+1))</f>
        <v/>
      </c>
      <c r="J3199" s="137" t="inlineStr">
        <is>
          <t>Shopify</t>
        </is>
      </c>
    </row>
    <row r="3200">
      <c r="A3200" s="5" t="inlineStr">
        <is>
          <t>Shopify Stetson México › Stetson México</t>
        </is>
      </c>
      <c r="B3200" s="5">
        <f>IF($I2="","",INDEX(Productos!$A:$A,$I2))</f>
        <v/>
      </c>
      <c r="C3200" s="134" t="inlineStr">
        <is>
          <t>9916500-260-44</t>
        </is>
      </c>
      <c r="D3200" s="5">
        <f>IF($I2="","",INDEX(Productos!$B:$B,$I2))</f>
        <v/>
      </c>
      <c r="E3200" s="5">
        <f>IF($I2="","",INDEX(Productos!$H:$H,$I2))</f>
        <v/>
      </c>
      <c r="F3200" s="5">
        <f>IF($I2="","",INDEX(Productos!$I:$I,$I2))</f>
        <v/>
      </c>
      <c r="G3200" s="135" t="n">
        <v>3</v>
      </c>
      <c r="H3200" s="5">
        <f>IF($I2="","",INDEX(Productos!$AG:$AG,$I2))</f>
        <v/>
      </c>
      <c r="I3200" s="136">
        <f>LET(_xlpm.r,Productos!$E$2:$E$2509,_xlpm.m,IFERROR(_xlfn.XMATCH(C3200,_xlpm.r),IFERROR(_xlfn.XMATCH(VALUE(C3200),_xlpm.r),0)),IF(_xlpm.m=0,"",_xlpm.m+1))</f>
        <v/>
      </c>
      <c r="J3200" s="137" t="inlineStr">
        <is>
          <t>Shopify</t>
        </is>
      </c>
    </row>
    <row r="3201">
      <c r="A3201" s="5" t="inlineStr">
        <is>
          <t>Shopify Stetson México › Stetson México</t>
        </is>
      </c>
      <c r="B3201" s="5">
        <f>IF($I2="","",INDEX(Productos!$A:$A,$I2))</f>
        <v/>
      </c>
      <c r="C3201" s="134" t="inlineStr">
        <is>
          <t>9916500-260-46</t>
        </is>
      </c>
      <c r="D3201" s="5">
        <f>IF($I2="","",INDEX(Productos!$B:$B,$I2))</f>
        <v/>
      </c>
      <c r="E3201" s="5">
        <f>IF($I2="","",INDEX(Productos!$H:$H,$I2))</f>
        <v/>
      </c>
      <c r="F3201" s="5">
        <f>IF($I2="","",INDEX(Productos!$I:$I,$I2))</f>
        <v/>
      </c>
      <c r="G3201" s="135" t="n">
        <v>2</v>
      </c>
      <c r="H3201" s="5">
        <f>IF($I2="","",INDEX(Productos!$AG:$AG,$I2))</f>
        <v/>
      </c>
      <c r="I3201" s="136">
        <f>LET(_xlpm.r,Productos!$E$2:$E$2509,_xlpm.m,IFERROR(_xlfn.XMATCH(C3201,_xlpm.r),IFERROR(_xlfn.XMATCH(VALUE(C3201),_xlpm.r),0)),IF(_xlpm.m=0,"",_xlpm.m+1))</f>
        <v/>
      </c>
      <c r="J3201" s="137" t="inlineStr">
        <is>
          <t>Shopify</t>
        </is>
      </c>
    </row>
    <row r="3202">
      <c r="A3202" s="5" t="inlineStr">
        <is>
          <t>Shopify Stetson México › Stetson México</t>
        </is>
      </c>
      <c r="B3202" s="5">
        <f>IF($I2="","",INDEX(Productos!$A:$A,$I2))</f>
        <v/>
      </c>
      <c r="C3202" s="134" t="inlineStr">
        <is>
          <t>9917500-014-40</t>
        </is>
      </c>
      <c r="D3202" s="5">
        <f>IF($I2="","",INDEX(Productos!$B:$B,$I2))</f>
        <v/>
      </c>
      <c r="E3202" s="5">
        <f>IF($I2="","",INDEX(Productos!$H:$H,$I2))</f>
        <v/>
      </c>
      <c r="F3202" s="5">
        <f>IF($I2="","",INDEX(Productos!$I:$I,$I2))</f>
        <v/>
      </c>
      <c r="G3202" s="135" t="n">
        <v>3</v>
      </c>
      <c r="H3202" s="5">
        <f>IF($I2="","",INDEX(Productos!$AG:$AG,$I2))</f>
        <v/>
      </c>
      <c r="I3202" s="136">
        <f>LET(_xlpm.r,Productos!$E$2:$E$2509,_xlpm.m,IFERROR(_xlfn.XMATCH(C3202,_xlpm.r),IFERROR(_xlfn.XMATCH(VALUE(C3202),_xlpm.r),0)),IF(_xlpm.m=0,"",_xlpm.m+1))</f>
        <v/>
      </c>
      <c r="J3202" s="137" t="inlineStr">
        <is>
          <t>Shopify</t>
        </is>
      </c>
    </row>
    <row r="3203">
      <c r="A3203" s="5" t="inlineStr">
        <is>
          <t>Shopify Stetson México › Stetson México</t>
        </is>
      </c>
      <c r="B3203" s="5">
        <f>IF($I2="","",INDEX(Productos!$A:$A,$I2))</f>
        <v/>
      </c>
      <c r="C3203" s="134" t="inlineStr">
        <is>
          <t>9917500-014-42</t>
        </is>
      </c>
      <c r="D3203" s="5">
        <f>IF($I2="","",INDEX(Productos!$B:$B,$I2))</f>
        <v/>
      </c>
      <c r="E3203" s="5">
        <f>IF($I2="","",INDEX(Productos!$H:$H,$I2))</f>
        <v/>
      </c>
      <c r="F3203" s="5">
        <f>IF($I2="","",INDEX(Productos!$I:$I,$I2))</f>
        <v/>
      </c>
      <c r="G3203" s="135" t="n">
        <v>1</v>
      </c>
      <c r="H3203" s="5">
        <f>IF($I2="","",INDEX(Productos!$AG:$AG,$I2))</f>
        <v/>
      </c>
      <c r="I3203" s="136">
        <f>LET(_xlpm.r,Productos!$E$2:$E$2509,_xlpm.m,IFERROR(_xlfn.XMATCH(C3203,_xlpm.r),IFERROR(_xlfn.XMATCH(VALUE(C3203),_xlpm.r),0)),IF(_xlpm.m=0,"",_xlpm.m+1))</f>
        <v/>
      </c>
      <c r="J3203" s="137" t="inlineStr">
        <is>
          <t>Shopify</t>
        </is>
      </c>
    </row>
    <row r="3204">
      <c r="A3204" s="5" t="inlineStr">
        <is>
          <t>Shopify Stetson México › Stetson México</t>
        </is>
      </c>
      <c r="B3204" s="5">
        <f>IF($I2="","",INDEX(Productos!$A:$A,$I2))</f>
        <v/>
      </c>
      <c r="C3204" s="134" t="inlineStr">
        <is>
          <t>9917500-232-38</t>
        </is>
      </c>
      <c r="D3204" s="5">
        <f>IF($I2="","",INDEX(Productos!$B:$B,$I2))</f>
        <v/>
      </c>
      <c r="E3204" s="5">
        <f>IF($I2="","",INDEX(Productos!$H:$H,$I2))</f>
        <v/>
      </c>
      <c r="F3204" s="5">
        <f>IF($I2="","",INDEX(Productos!$I:$I,$I2))</f>
        <v/>
      </c>
      <c r="G3204" s="135" t="n">
        <v>1</v>
      </c>
      <c r="H3204" s="5">
        <f>IF($I2="","",INDEX(Productos!$AG:$AG,$I2))</f>
        <v/>
      </c>
      <c r="I3204" s="136">
        <f>LET(_xlpm.r,Productos!$E$2:$E$2509,_xlpm.m,IFERROR(_xlfn.XMATCH(C3204,_xlpm.r),IFERROR(_xlfn.XMATCH(VALUE(C3204),_xlpm.r),0)),IF(_xlpm.m=0,"",_xlpm.m+1))</f>
        <v/>
      </c>
      <c r="J3204" s="137" t="inlineStr">
        <is>
          <t>Shopify</t>
        </is>
      </c>
    </row>
    <row r="3205">
      <c r="A3205" s="5" t="inlineStr">
        <is>
          <t>Shopify Stetson México › Stetson México</t>
        </is>
      </c>
      <c r="B3205" s="5">
        <f>IF($I2="","",INDEX(Productos!$A:$A,$I2))</f>
        <v/>
      </c>
      <c r="C3205" s="134" t="inlineStr">
        <is>
          <t>9917500-232-40</t>
        </is>
      </c>
      <c r="D3205" s="5">
        <f>IF($I2="","",INDEX(Productos!$B:$B,$I2))</f>
        <v/>
      </c>
      <c r="E3205" s="5">
        <f>IF($I2="","",INDEX(Productos!$H:$H,$I2))</f>
        <v/>
      </c>
      <c r="F3205" s="5">
        <f>IF($I2="","",INDEX(Productos!$I:$I,$I2))</f>
        <v/>
      </c>
      <c r="G3205" s="135" t="n">
        <v>2</v>
      </c>
      <c r="H3205" s="5">
        <f>IF($I2="","",INDEX(Productos!$AG:$AG,$I2))</f>
        <v/>
      </c>
      <c r="I3205" s="136">
        <f>LET(_xlpm.r,Productos!$E$2:$E$2509,_xlpm.m,IFERROR(_xlfn.XMATCH(C3205,_xlpm.r),IFERROR(_xlfn.XMATCH(VALUE(C3205),_xlpm.r),0)),IF(_xlpm.m=0,"",_xlpm.m+1))</f>
        <v/>
      </c>
      <c r="J3205" s="137" t="inlineStr">
        <is>
          <t>Shopify</t>
        </is>
      </c>
    </row>
    <row r="3206">
      <c r="A3206" s="5" t="inlineStr">
        <is>
          <t>Shopify Stetson México › Stetson México</t>
        </is>
      </c>
      <c r="B3206" s="5">
        <f>IF($I2="","",INDEX(Productos!$A:$A,$I2))</f>
        <v/>
      </c>
      <c r="C3206" s="134" t="inlineStr">
        <is>
          <t>9917500-232-42</t>
        </is>
      </c>
      <c r="D3206" s="5">
        <f>IF($I2="","",INDEX(Productos!$B:$B,$I2))</f>
        <v/>
      </c>
      <c r="E3206" s="5">
        <f>IF($I2="","",INDEX(Productos!$H:$H,$I2))</f>
        <v/>
      </c>
      <c r="F3206" s="5">
        <f>IF($I2="","",INDEX(Productos!$I:$I,$I2))</f>
        <v/>
      </c>
      <c r="G3206" s="135" t="n">
        <v>5</v>
      </c>
      <c r="H3206" s="5">
        <f>IF($I2="","",INDEX(Productos!$AG:$AG,$I2))</f>
        <v/>
      </c>
      <c r="I3206" s="136">
        <f>LET(_xlpm.r,Productos!$E$2:$E$2509,_xlpm.m,IFERROR(_xlfn.XMATCH(C3206,_xlpm.r),IFERROR(_xlfn.XMATCH(VALUE(C3206),_xlpm.r),0)),IF(_xlpm.m=0,"",_xlpm.m+1))</f>
        <v/>
      </c>
      <c r="J3206" s="137" t="inlineStr">
        <is>
          <t>Shopify</t>
        </is>
      </c>
    </row>
    <row r="3207">
      <c r="A3207" s="5" t="inlineStr">
        <is>
          <t>Shopify Stetson México › Stetson México</t>
        </is>
      </c>
      <c r="B3207" s="5">
        <f>IF($I2="","",INDEX(Productos!$A:$A,$I2))</f>
        <v/>
      </c>
      <c r="C3207" s="134" t="inlineStr">
        <is>
          <t>9917500-232-44</t>
        </is>
      </c>
      <c r="D3207" s="5">
        <f>IF($I2="","",INDEX(Productos!$B:$B,$I2))</f>
        <v/>
      </c>
      <c r="E3207" s="5">
        <f>IF($I2="","",INDEX(Productos!$H:$H,$I2))</f>
        <v/>
      </c>
      <c r="F3207" s="5">
        <f>IF($I2="","",INDEX(Productos!$I:$I,$I2))</f>
        <v/>
      </c>
      <c r="G3207" s="135" t="n">
        <v>1</v>
      </c>
      <c r="H3207" s="5">
        <f>IF($I2="","",INDEX(Productos!$AG:$AG,$I2))</f>
        <v/>
      </c>
      <c r="I3207" s="136">
        <f>LET(_xlpm.r,Productos!$E$2:$E$2509,_xlpm.m,IFERROR(_xlfn.XMATCH(C3207,_xlpm.r),IFERROR(_xlfn.XMATCH(VALUE(C3207),_xlpm.r),0)),IF(_xlpm.m=0,"",_xlpm.m+1))</f>
        <v/>
      </c>
      <c r="J3207" s="137" t="inlineStr">
        <is>
          <t>Shopify</t>
        </is>
      </c>
    </row>
    <row r="3208">
      <c r="A3208" s="5" t="inlineStr">
        <is>
          <t>Shopify Stetson México › Stetson México</t>
        </is>
      </c>
      <c r="B3208" s="5">
        <f>IF($I2="","",INDEX(Productos!$A:$A,$I2))</f>
        <v/>
      </c>
      <c r="C3208" s="134" t="inlineStr">
        <is>
          <t>9918500-203-38</t>
        </is>
      </c>
      <c r="D3208" s="5">
        <f>IF($I2="","",INDEX(Productos!$B:$B,$I2))</f>
        <v/>
      </c>
      <c r="E3208" s="5">
        <f>IF($I2="","",INDEX(Productos!$H:$H,$I2))</f>
        <v/>
      </c>
      <c r="F3208" s="5">
        <f>IF($I2="","",INDEX(Productos!$I:$I,$I2))</f>
        <v/>
      </c>
      <c r="G3208" s="135" t="n">
        <v>10</v>
      </c>
      <c r="H3208" s="5">
        <f>IF($I2="","",INDEX(Productos!$AG:$AG,$I2))</f>
        <v/>
      </c>
      <c r="I3208" s="136">
        <f>LET(_xlpm.r,Productos!$E$2:$E$2509,_xlpm.m,IFERROR(_xlfn.XMATCH(C3208,_xlpm.r),IFERROR(_xlfn.XMATCH(VALUE(C3208),_xlpm.r),0)),IF(_xlpm.m=0,"",_xlpm.m+1))</f>
        <v/>
      </c>
      <c r="J3208" s="137" t="inlineStr">
        <is>
          <t>Shopify</t>
        </is>
      </c>
    </row>
    <row r="3209">
      <c r="A3209" s="5" t="inlineStr">
        <is>
          <t>Shopify Stetson México › Stetson México</t>
        </is>
      </c>
      <c r="B3209" s="5">
        <f>IF($I2="","",INDEX(Productos!$A:$A,$I2))</f>
        <v/>
      </c>
      <c r="C3209" s="134" t="inlineStr">
        <is>
          <t>9918500-203-40</t>
        </is>
      </c>
      <c r="D3209" s="5">
        <f>IF($I2="","",INDEX(Productos!$B:$B,$I2))</f>
        <v/>
      </c>
      <c r="E3209" s="5">
        <f>IF($I2="","",INDEX(Productos!$H:$H,$I2))</f>
        <v/>
      </c>
      <c r="F3209" s="5">
        <f>IF($I2="","",INDEX(Productos!$I:$I,$I2))</f>
        <v/>
      </c>
      <c r="G3209" s="135" t="n">
        <v>10</v>
      </c>
      <c r="H3209" s="5">
        <f>IF($I2="","",INDEX(Productos!$AG:$AG,$I2))</f>
        <v/>
      </c>
      <c r="I3209" s="136">
        <f>LET(_xlpm.r,Productos!$E$2:$E$2509,_xlpm.m,IFERROR(_xlfn.XMATCH(C3209,_xlpm.r),IFERROR(_xlfn.XMATCH(VALUE(C3209),_xlpm.r),0)),IF(_xlpm.m=0,"",_xlpm.m+1))</f>
        <v/>
      </c>
      <c r="J3209" s="137" t="inlineStr">
        <is>
          <t>Shopify</t>
        </is>
      </c>
    </row>
    <row r="3210">
      <c r="A3210" s="5" t="inlineStr">
        <is>
          <t>Shopify Stetson México › Stetson México</t>
        </is>
      </c>
      <c r="B3210" s="5">
        <f>IF($I2="","",INDEX(Productos!$A:$A,$I2))</f>
        <v/>
      </c>
      <c r="C3210" s="134" t="inlineStr">
        <is>
          <t>9918500-203-42</t>
        </is>
      </c>
      <c r="D3210" s="5">
        <f>IF($I2="","",INDEX(Productos!$B:$B,$I2))</f>
        <v/>
      </c>
      <c r="E3210" s="5">
        <f>IF($I2="","",INDEX(Productos!$H:$H,$I2))</f>
        <v/>
      </c>
      <c r="F3210" s="5">
        <f>IF($I2="","",INDEX(Productos!$I:$I,$I2))</f>
        <v/>
      </c>
      <c r="G3210" s="135" t="n">
        <v>13</v>
      </c>
      <c r="H3210" s="5">
        <f>IF($I2="","",INDEX(Productos!$AG:$AG,$I2))</f>
        <v/>
      </c>
      <c r="I3210" s="136">
        <f>LET(_xlpm.r,Productos!$E$2:$E$2509,_xlpm.m,IFERROR(_xlfn.XMATCH(C3210,_xlpm.r),IFERROR(_xlfn.XMATCH(VALUE(C3210),_xlpm.r),0)),IF(_xlpm.m=0,"",_xlpm.m+1))</f>
        <v/>
      </c>
      <c r="J3210" s="137" t="inlineStr">
        <is>
          <t>Shopify</t>
        </is>
      </c>
    </row>
    <row r="3211">
      <c r="A3211" s="5" t="inlineStr">
        <is>
          <t>Shopify Stetson México › Stetson México</t>
        </is>
      </c>
      <c r="B3211" s="5">
        <f>IF($I2="","",INDEX(Productos!$A:$A,$I2))</f>
        <v/>
      </c>
      <c r="C3211" s="134" t="inlineStr">
        <is>
          <t>9918500-203-44</t>
        </is>
      </c>
      <c r="D3211" s="5">
        <f>IF($I2="","",INDEX(Productos!$B:$B,$I2))</f>
        <v/>
      </c>
      <c r="E3211" s="5">
        <f>IF($I2="","",INDEX(Productos!$H:$H,$I2))</f>
        <v/>
      </c>
      <c r="F3211" s="5">
        <f>IF($I2="","",INDEX(Productos!$I:$I,$I2))</f>
        <v/>
      </c>
      <c r="G3211" s="135" t="n">
        <v>7</v>
      </c>
      <c r="H3211" s="5">
        <f>IF($I2="","",INDEX(Productos!$AG:$AG,$I2))</f>
        <v/>
      </c>
      <c r="I3211" s="136">
        <f>LET(_xlpm.r,Productos!$E$2:$E$2509,_xlpm.m,IFERROR(_xlfn.XMATCH(C3211,_xlpm.r),IFERROR(_xlfn.XMATCH(VALUE(C3211),_xlpm.r),0)),IF(_xlpm.m=0,"",_xlpm.m+1))</f>
        <v/>
      </c>
      <c r="J3211" s="137" t="inlineStr">
        <is>
          <t>Shopify</t>
        </is>
      </c>
    </row>
    <row r="3212">
      <c r="A3212" s="5" t="inlineStr">
        <is>
          <t>Shopify Stetson México › Stetson México</t>
        </is>
      </c>
      <c r="B3212" s="5">
        <f>IF($I2="","",INDEX(Productos!$A:$A,$I2))</f>
        <v/>
      </c>
      <c r="C3212" s="134" t="inlineStr">
        <is>
          <t>9918500-203-46</t>
        </is>
      </c>
      <c r="D3212" s="5">
        <f>IF($I2="","",INDEX(Productos!$B:$B,$I2))</f>
        <v/>
      </c>
      <c r="E3212" s="5">
        <f>IF($I2="","",INDEX(Productos!$H:$H,$I2))</f>
        <v/>
      </c>
      <c r="F3212" s="5">
        <f>IF($I2="","",INDEX(Productos!$I:$I,$I2))</f>
        <v/>
      </c>
      <c r="G3212" s="135" t="n">
        <v>3</v>
      </c>
      <c r="H3212" s="5">
        <f>IF($I2="","",INDEX(Productos!$AG:$AG,$I2))</f>
        <v/>
      </c>
      <c r="I3212" s="136">
        <f>LET(_xlpm.r,Productos!$E$2:$E$2509,_xlpm.m,IFERROR(_xlfn.XMATCH(C3212,_xlpm.r),IFERROR(_xlfn.XMATCH(VALUE(C3212),_xlpm.r),0)),IF(_xlpm.m=0,"",_xlpm.m+1))</f>
        <v/>
      </c>
      <c r="J3212" s="137" t="inlineStr">
        <is>
          <t>Shopify</t>
        </is>
      </c>
    </row>
    <row r="3213">
      <c r="A3213" s="5" t="inlineStr">
        <is>
          <t>Shopify Stetson México › Stetson México</t>
        </is>
      </c>
      <c r="B3213" s="5">
        <f>IF($I2="","",INDEX(Productos!$A:$A,$I2))</f>
        <v/>
      </c>
      <c r="C3213" s="134" t="inlineStr">
        <is>
          <t>9921500-97-36</t>
        </is>
      </c>
      <c r="D3213" s="5">
        <f>IF($I2="","",INDEX(Productos!$B:$B,$I2))</f>
        <v/>
      </c>
      <c r="E3213" s="5">
        <f>IF($I2="","",INDEX(Productos!$H:$H,$I2))</f>
        <v/>
      </c>
      <c r="F3213" s="5">
        <f>IF($I2="","",INDEX(Productos!$I:$I,$I2))</f>
        <v/>
      </c>
      <c r="G3213" s="135" t="n">
        <v>2</v>
      </c>
      <c r="H3213" s="5">
        <f>IF($I2="","",INDEX(Productos!$AG:$AG,$I2))</f>
        <v/>
      </c>
      <c r="I3213" s="136">
        <f>LET(_xlpm.r,Productos!$E$2:$E$2509,_xlpm.m,IFERROR(_xlfn.XMATCH(C3213,_xlpm.r),IFERROR(_xlfn.XMATCH(VALUE(C3213),_xlpm.r),0)),IF(_xlpm.m=0,"",_xlpm.m+1))</f>
        <v/>
      </c>
      <c r="J3213" s="137" t="inlineStr">
        <is>
          <t>Shopify</t>
        </is>
      </c>
    </row>
    <row r="3214">
      <c r="A3214" s="5" t="inlineStr">
        <is>
          <t>Shopify Stetson México › Stetson México</t>
        </is>
      </c>
      <c r="B3214" s="5">
        <f>IF($I2="","",INDEX(Productos!$A:$A,$I2))</f>
        <v/>
      </c>
      <c r="C3214" s="134" t="inlineStr">
        <is>
          <t>9921500-97-38</t>
        </is>
      </c>
      <c r="D3214" s="5">
        <f>IF($I2="","",INDEX(Productos!$B:$B,$I2))</f>
        <v/>
      </c>
      <c r="E3214" s="5">
        <f>IF($I2="","",INDEX(Productos!$H:$H,$I2))</f>
        <v/>
      </c>
      <c r="F3214" s="5">
        <f>IF($I2="","",INDEX(Productos!$I:$I,$I2))</f>
        <v/>
      </c>
      <c r="G3214" s="135" t="n">
        <v>8</v>
      </c>
      <c r="H3214" s="5">
        <f>IF($I2="","",INDEX(Productos!$AG:$AG,$I2))</f>
        <v/>
      </c>
      <c r="I3214" s="136">
        <f>LET(_xlpm.r,Productos!$E$2:$E$2509,_xlpm.m,IFERROR(_xlfn.XMATCH(C3214,_xlpm.r),IFERROR(_xlfn.XMATCH(VALUE(C3214),_xlpm.r),0)),IF(_xlpm.m=0,"",_xlpm.m+1))</f>
        <v/>
      </c>
      <c r="J3214" s="137" t="inlineStr">
        <is>
          <t>Shopify</t>
        </is>
      </c>
    </row>
    <row r="3215">
      <c r="A3215" s="5" t="inlineStr">
        <is>
          <t>Shopify Stetson México › Stetson México</t>
        </is>
      </c>
      <c r="B3215" s="5">
        <f>IF($I2="","",INDEX(Productos!$A:$A,$I2))</f>
        <v/>
      </c>
      <c r="C3215" s="134" t="inlineStr">
        <is>
          <t>9921500-97-40</t>
        </is>
      </c>
      <c r="D3215" s="5">
        <f>IF($I2="","",INDEX(Productos!$B:$B,$I2))</f>
        <v/>
      </c>
      <c r="E3215" s="5">
        <f>IF($I2="","",INDEX(Productos!$H:$H,$I2))</f>
        <v/>
      </c>
      <c r="F3215" s="5">
        <f>IF($I2="","",INDEX(Productos!$I:$I,$I2))</f>
        <v/>
      </c>
      <c r="G3215" s="135" t="n">
        <v>9</v>
      </c>
      <c r="H3215" s="5">
        <f>IF($I2="","",INDEX(Productos!$AG:$AG,$I2))</f>
        <v/>
      </c>
      <c r="I3215" s="136">
        <f>LET(_xlpm.r,Productos!$E$2:$E$2509,_xlpm.m,IFERROR(_xlfn.XMATCH(C3215,_xlpm.r),IFERROR(_xlfn.XMATCH(VALUE(C3215),_xlpm.r),0)),IF(_xlpm.m=0,"",_xlpm.m+1))</f>
        <v/>
      </c>
      <c r="J3215" s="137" t="inlineStr">
        <is>
          <t>Shopify</t>
        </is>
      </c>
    </row>
    <row r="3216">
      <c r="A3216" s="5" t="inlineStr">
        <is>
          <t>Shopify Stetson México › Stetson México</t>
        </is>
      </c>
      <c r="B3216" s="5">
        <f>IF($I2="","",INDEX(Productos!$A:$A,$I2))</f>
        <v/>
      </c>
      <c r="C3216" s="134" t="inlineStr">
        <is>
          <t>9921500-97-42</t>
        </is>
      </c>
      <c r="D3216" s="5">
        <f>IF($I2="","",INDEX(Productos!$B:$B,$I2))</f>
        <v/>
      </c>
      <c r="E3216" s="5">
        <f>IF($I2="","",INDEX(Productos!$H:$H,$I2))</f>
        <v/>
      </c>
      <c r="F3216" s="5">
        <f>IF($I2="","",INDEX(Productos!$I:$I,$I2))</f>
        <v/>
      </c>
      <c r="G3216" s="135" t="n">
        <v>8</v>
      </c>
      <c r="H3216" s="5">
        <f>IF($I2="","",INDEX(Productos!$AG:$AG,$I2))</f>
        <v/>
      </c>
      <c r="I3216" s="136">
        <f>LET(_xlpm.r,Productos!$E$2:$E$2509,_xlpm.m,IFERROR(_xlfn.XMATCH(C3216,_xlpm.r),IFERROR(_xlfn.XMATCH(VALUE(C3216),_xlpm.r),0)),IF(_xlpm.m=0,"",_xlpm.m+1))</f>
        <v/>
      </c>
      <c r="J3216" s="137" t="inlineStr">
        <is>
          <t>Shopify</t>
        </is>
      </c>
    </row>
    <row r="3217">
      <c r="A3217" s="5" t="inlineStr">
        <is>
          <t>Shopify Stetson México › Stetson México</t>
        </is>
      </c>
      <c r="B3217" s="5">
        <f>IF($I2="","",INDEX(Productos!$A:$A,$I2))</f>
        <v/>
      </c>
      <c r="C3217" s="134" t="inlineStr">
        <is>
          <t>9921500-97-44</t>
        </is>
      </c>
      <c r="D3217" s="5">
        <f>IF($I2="","",INDEX(Productos!$B:$B,$I2))</f>
        <v/>
      </c>
      <c r="E3217" s="5">
        <f>IF($I2="","",INDEX(Productos!$H:$H,$I2))</f>
        <v/>
      </c>
      <c r="F3217" s="5">
        <f>IF($I2="","",INDEX(Productos!$I:$I,$I2))</f>
        <v/>
      </c>
      <c r="G3217" s="135" t="n">
        <v>5</v>
      </c>
      <c r="H3217" s="5">
        <f>IF($I2="","",INDEX(Productos!$AG:$AG,$I2))</f>
        <v/>
      </c>
      <c r="I3217" s="136">
        <f>LET(_xlpm.r,Productos!$E$2:$E$2509,_xlpm.m,IFERROR(_xlfn.XMATCH(C3217,_xlpm.r),IFERROR(_xlfn.XMATCH(VALUE(C3217),_xlpm.r),0)),IF(_xlpm.m=0,"",_xlpm.m+1))</f>
        <v/>
      </c>
      <c r="J3217" s="137" t="inlineStr">
        <is>
          <t>Shopify</t>
        </is>
      </c>
    </row>
    <row r="3218">
      <c r="A3218" s="5" t="inlineStr">
        <is>
          <t>Shopify Stetson México › Stetson México</t>
        </is>
      </c>
      <c r="B3218" s="5">
        <f>IF($I2="","",INDEX(Productos!$A:$A,$I2))</f>
        <v/>
      </c>
      <c r="C3218" s="134" t="inlineStr">
        <is>
          <t>9921500-97-46</t>
        </is>
      </c>
      <c r="D3218" s="5">
        <f>IF($I2="","",INDEX(Productos!$B:$B,$I2))</f>
        <v/>
      </c>
      <c r="E3218" s="5">
        <f>IF($I2="","",INDEX(Productos!$H:$H,$I2))</f>
        <v/>
      </c>
      <c r="F3218" s="5">
        <f>IF($I2="","",INDEX(Productos!$I:$I,$I2))</f>
        <v/>
      </c>
      <c r="G3218" s="135" t="n">
        <v>2</v>
      </c>
      <c r="H3218" s="5">
        <f>IF($I2="","",INDEX(Productos!$AG:$AG,$I2))</f>
        <v/>
      </c>
      <c r="I3218" s="136">
        <f>LET(_xlpm.r,Productos!$E$2:$E$2509,_xlpm.m,IFERROR(_xlfn.XMATCH(C3218,_xlpm.r),IFERROR(_xlfn.XMATCH(VALUE(C3218),_xlpm.r),0)),IF(_xlpm.m=0,"",_xlpm.m+1))</f>
        <v/>
      </c>
      <c r="J3218" s="137" t="inlineStr">
        <is>
          <t>Shopify</t>
        </is>
      </c>
    </row>
    <row r="3219">
      <c r="A3219" s="5" t="inlineStr">
        <is>
          <t>Shopify Stetson México › Stetson México</t>
        </is>
      </c>
      <c r="B3219" s="5">
        <f>IF($I2="","",INDEX(Productos!$A:$A,$I2))</f>
        <v/>
      </c>
      <c r="C3219" s="134" t="inlineStr">
        <is>
          <t>9923500-104-36</t>
        </is>
      </c>
      <c r="D3219" s="5">
        <f>IF($I2="","",INDEX(Productos!$B:$B,$I2))</f>
        <v/>
      </c>
      <c r="E3219" s="5">
        <f>IF($I2="","",INDEX(Productos!$H:$H,$I2))</f>
        <v/>
      </c>
      <c r="F3219" s="5">
        <f>IF($I2="","",INDEX(Productos!$I:$I,$I2))</f>
        <v/>
      </c>
      <c r="G3219" s="135" t="n">
        <v>3</v>
      </c>
      <c r="H3219" s="5">
        <f>IF($I2="","",INDEX(Productos!$AG:$AG,$I2))</f>
        <v/>
      </c>
      <c r="I3219" s="136">
        <f>LET(_xlpm.r,Productos!$E$2:$E$2509,_xlpm.m,IFERROR(_xlfn.XMATCH(C3219,_xlpm.r),IFERROR(_xlfn.XMATCH(VALUE(C3219),_xlpm.r),0)),IF(_xlpm.m=0,"",_xlpm.m+1))</f>
        <v/>
      </c>
      <c r="J3219" s="137" t="inlineStr">
        <is>
          <t>Shopify</t>
        </is>
      </c>
    </row>
    <row r="3220">
      <c r="A3220" s="5" t="inlineStr">
        <is>
          <t>Shopify Stetson México › Stetson México</t>
        </is>
      </c>
      <c r="B3220" s="5">
        <f>IF($I2="","",INDEX(Productos!$A:$A,$I2))</f>
        <v/>
      </c>
      <c r="C3220" s="134" t="inlineStr">
        <is>
          <t>9923500-104-38</t>
        </is>
      </c>
      <c r="D3220" s="5">
        <f>IF($I2="","",INDEX(Productos!$B:$B,$I2))</f>
        <v/>
      </c>
      <c r="E3220" s="5">
        <f>IF($I2="","",INDEX(Productos!$H:$H,$I2))</f>
        <v/>
      </c>
      <c r="F3220" s="5">
        <f>IF($I2="","",INDEX(Productos!$I:$I,$I2))</f>
        <v/>
      </c>
      <c r="G3220" s="135" t="n">
        <v>12</v>
      </c>
      <c r="H3220" s="5">
        <f>IF($I2="","",INDEX(Productos!$AG:$AG,$I2))</f>
        <v/>
      </c>
      <c r="I3220" s="136">
        <f>LET(_xlpm.r,Productos!$E$2:$E$2509,_xlpm.m,IFERROR(_xlfn.XMATCH(C3220,_xlpm.r),IFERROR(_xlfn.XMATCH(VALUE(C3220),_xlpm.r),0)),IF(_xlpm.m=0,"",_xlpm.m+1))</f>
        <v/>
      </c>
      <c r="J3220" s="137" t="inlineStr">
        <is>
          <t>Shopify</t>
        </is>
      </c>
    </row>
    <row r="3221">
      <c r="A3221" s="5" t="inlineStr">
        <is>
          <t>Shopify Stetson México › Stetson México</t>
        </is>
      </c>
      <c r="B3221" s="5">
        <f>IF($I2="","",INDEX(Productos!$A:$A,$I2))</f>
        <v/>
      </c>
      <c r="C3221" s="134" t="inlineStr">
        <is>
          <t>9923500-104-40</t>
        </is>
      </c>
      <c r="D3221" s="5">
        <f>IF($I2="","",INDEX(Productos!$B:$B,$I2))</f>
        <v/>
      </c>
      <c r="E3221" s="5">
        <f>IF($I2="","",INDEX(Productos!$H:$H,$I2))</f>
        <v/>
      </c>
      <c r="F3221" s="5">
        <f>IF($I2="","",INDEX(Productos!$I:$I,$I2))</f>
        <v/>
      </c>
      <c r="G3221" s="135" t="n">
        <v>14</v>
      </c>
      <c r="H3221" s="5">
        <f>IF($I2="","",INDEX(Productos!$AG:$AG,$I2))</f>
        <v/>
      </c>
      <c r="I3221" s="136">
        <f>LET(_xlpm.r,Productos!$E$2:$E$2509,_xlpm.m,IFERROR(_xlfn.XMATCH(C3221,_xlpm.r),IFERROR(_xlfn.XMATCH(VALUE(C3221),_xlpm.r),0)),IF(_xlpm.m=0,"",_xlpm.m+1))</f>
        <v/>
      </c>
      <c r="J3221" s="137" t="inlineStr">
        <is>
          <t>Shopify</t>
        </is>
      </c>
    </row>
    <row r="3222">
      <c r="A3222" s="5" t="inlineStr">
        <is>
          <t>Shopify Stetson México › Stetson México</t>
        </is>
      </c>
      <c r="B3222" s="5">
        <f>IF($I2="","",INDEX(Productos!$A:$A,$I2))</f>
        <v/>
      </c>
      <c r="C3222" s="134" t="inlineStr">
        <is>
          <t>9923500-104-42</t>
        </is>
      </c>
      <c r="D3222" s="5">
        <f>IF($I2="","",INDEX(Productos!$B:$B,$I2))</f>
        <v/>
      </c>
      <c r="E3222" s="5">
        <f>IF($I2="","",INDEX(Productos!$H:$H,$I2))</f>
        <v/>
      </c>
      <c r="F3222" s="5">
        <f>IF($I2="","",INDEX(Productos!$I:$I,$I2))</f>
        <v/>
      </c>
      <c r="G3222" s="135" t="n">
        <v>15</v>
      </c>
      <c r="H3222" s="5">
        <f>IF($I2="","",INDEX(Productos!$AG:$AG,$I2))</f>
        <v/>
      </c>
      <c r="I3222" s="136">
        <f>LET(_xlpm.r,Productos!$E$2:$E$2509,_xlpm.m,IFERROR(_xlfn.XMATCH(C3222,_xlpm.r),IFERROR(_xlfn.XMATCH(VALUE(C3222),_xlpm.r),0)),IF(_xlpm.m=0,"",_xlpm.m+1))</f>
        <v/>
      </c>
      <c r="J3222" s="137" t="inlineStr">
        <is>
          <t>Shopify</t>
        </is>
      </c>
    </row>
    <row r="3223">
      <c r="A3223" s="5" t="inlineStr">
        <is>
          <t>Shopify Stetson México › Stetson México</t>
        </is>
      </c>
      <c r="B3223" s="5">
        <f>IF($I2="","",INDEX(Productos!$A:$A,$I2))</f>
        <v/>
      </c>
      <c r="C3223" s="134" t="inlineStr">
        <is>
          <t>9923500-104-44</t>
        </is>
      </c>
      <c r="D3223" s="5">
        <f>IF($I2="","",INDEX(Productos!$B:$B,$I2))</f>
        <v/>
      </c>
      <c r="E3223" s="5">
        <f>IF($I2="","",INDEX(Productos!$H:$H,$I2))</f>
        <v/>
      </c>
      <c r="F3223" s="5">
        <f>IF($I2="","",INDEX(Productos!$I:$I,$I2))</f>
        <v/>
      </c>
      <c r="G3223" s="135" t="n">
        <v>10</v>
      </c>
      <c r="H3223" s="5">
        <f>IF($I2="","",INDEX(Productos!$AG:$AG,$I2))</f>
        <v/>
      </c>
      <c r="I3223" s="136">
        <f>LET(_xlpm.r,Productos!$E$2:$E$2509,_xlpm.m,IFERROR(_xlfn.XMATCH(C3223,_xlpm.r),IFERROR(_xlfn.XMATCH(VALUE(C3223),_xlpm.r),0)),IF(_xlpm.m=0,"",_xlpm.m+1))</f>
        <v/>
      </c>
      <c r="J3223" s="137" t="inlineStr">
        <is>
          <t>Shopify</t>
        </is>
      </c>
    </row>
    <row r="3224">
      <c r="A3224" s="5" t="inlineStr">
        <is>
          <t>Shopify Stetson México › Stetson México</t>
        </is>
      </c>
      <c r="B3224" s="5">
        <f>IF($I2="","",INDEX(Productos!$A:$A,$I2))</f>
        <v/>
      </c>
      <c r="C3224" s="134" t="inlineStr">
        <is>
          <t>9923500-104-46</t>
        </is>
      </c>
      <c r="D3224" s="5">
        <f>IF($I2="","",INDEX(Productos!$B:$B,$I2))</f>
        <v/>
      </c>
      <c r="E3224" s="5">
        <f>IF($I2="","",INDEX(Productos!$H:$H,$I2))</f>
        <v/>
      </c>
      <c r="F3224" s="5">
        <f>IF($I2="","",INDEX(Productos!$I:$I,$I2))</f>
        <v/>
      </c>
      <c r="G3224" s="135" t="n">
        <v>5</v>
      </c>
      <c r="H3224" s="5">
        <f>IF($I2="","",INDEX(Productos!$AG:$AG,$I2))</f>
        <v/>
      </c>
      <c r="I3224" s="136">
        <f>LET(_xlpm.r,Productos!$E$2:$E$2509,_xlpm.m,IFERROR(_xlfn.XMATCH(C3224,_xlpm.r),IFERROR(_xlfn.XMATCH(VALUE(C3224),_xlpm.r),0)),IF(_xlpm.m=0,"",_xlpm.m+1))</f>
        <v/>
      </c>
      <c r="J3224" s="137" t="inlineStr">
        <is>
          <t>Shopify</t>
        </is>
      </c>
    </row>
    <row r="3225">
      <c r="A3225" s="5" t="inlineStr">
        <is>
          <t>Shopify Stetson México › Stetson México</t>
        </is>
      </c>
      <c r="B3225" s="5">
        <f>IF($I2="","",INDEX(Productos!$A:$A,$I2))</f>
        <v/>
      </c>
      <c r="C3225" s="134" t="inlineStr">
        <is>
          <t>9927500-001-36</t>
        </is>
      </c>
      <c r="D3225" s="5">
        <f>IF($I2="","",INDEX(Productos!$B:$B,$I2))</f>
        <v/>
      </c>
      <c r="E3225" s="5">
        <f>IF($I2="","",INDEX(Productos!$H:$H,$I2))</f>
        <v/>
      </c>
      <c r="F3225" s="5">
        <f>IF($I2="","",INDEX(Productos!$I:$I,$I2))</f>
        <v/>
      </c>
      <c r="G3225" s="135" t="n">
        <v>4</v>
      </c>
      <c r="H3225" s="5">
        <f>IF($I2="","",INDEX(Productos!$AG:$AG,$I2))</f>
        <v/>
      </c>
      <c r="I3225" s="136">
        <f>LET(_xlpm.r,Productos!$E$2:$E$2509,_xlpm.m,IFERROR(_xlfn.XMATCH(C3225,_xlpm.r),IFERROR(_xlfn.XMATCH(VALUE(C3225),_xlpm.r),0)),IF(_xlpm.m=0,"",_xlpm.m+1))</f>
        <v/>
      </c>
      <c r="J3225" s="137" t="inlineStr">
        <is>
          <t>Shopify</t>
        </is>
      </c>
    </row>
    <row r="3226">
      <c r="A3226" s="5" t="inlineStr">
        <is>
          <t>Shopify Stetson México › Stetson México</t>
        </is>
      </c>
      <c r="B3226" s="5">
        <f>IF($I2="","",INDEX(Productos!$A:$A,$I2))</f>
        <v/>
      </c>
      <c r="C3226" s="134" t="inlineStr">
        <is>
          <t>9927500-001-38</t>
        </is>
      </c>
      <c r="D3226" s="5">
        <f>IF($I2="","",INDEX(Productos!$B:$B,$I2))</f>
        <v/>
      </c>
      <c r="E3226" s="5">
        <f>IF($I2="","",INDEX(Productos!$H:$H,$I2))</f>
        <v/>
      </c>
      <c r="F3226" s="5">
        <f>IF($I2="","",INDEX(Productos!$I:$I,$I2))</f>
        <v/>
      </c>
      <c r="G3226" s="135" t="n">
        <v>12</v>
      </c>
      <c r="H3226" s="5">
        <f>IF($I2="","",INDEX(Productos!$AG:$AG,$I2))</f>
        <v/>
      </c>
      <c r="I3226" s="136">
        <f>LET(_xlpm.r,Productos!$E$2:$E$2509,_xlpm.m,IFERROR(_xlfn.XMATCH(C3226,_xlpm.r),IFERROR(_xlfn.XMATCH(VALUE(C3226),_xlpm.r),0)),IF(_xlpm.m=0,"",_xlpm.m+1))</f>
        <v/>
      </c>
      <c r="J3226" s="137" t="inlineStr">
        <is>
          <t>Shopify</t>
        </is>
      </c>
    </row>
    <row r="3227">
      <c r="A3227" s="5" t="inlineStr">
        <is>
          <t>Shopify Stetson México › Stetson México</t>
        </is>
      </c>
      <c r="B3227" s="5">
        <f>IF($I2="","",INDEX(Productos!$A:$A,$I2))</f>
        <v/>
      </c>
      <c r="C3227" s="134" t="inlineStr">
        <is>
          <t>9927500-001-40</t>
        </is>
      </c>
      <c r="D3227" s="5">
        <f>IF($I2="","",INDEX(Productos!$B:$B,$I2))</f>
        <v/>
      </c>
      <c r="E3227" s="5">
        <f>IF($I2="","",INDEX(Productos!$H:$H,$I2))</f>
        <v/>
      </c>
      <c r="F3227" s="5">
        <f>IF($I2="","",INDEX(Productos!$I:$I,$I2))</f>
        <v/>
      </c>
      <c r="G3227" s="135" t="n">
        <v>11</v>
      </c>
      <c r="H3227" s="5">
        <f>IF($I2="","",INDEX(Productos!$AG:$AG,$I2))</f>
        <v/>
      </c>
      <c r="I3227" s="136">
        <f>LET(_xlpm.r,Productos!$E$2:$E$2509,_xlpm.m,IFERROR(_xlfn.XMATCH(C3227,_xlpm.r),IFERROR(_xlfn.XMATCH(VALUE(C3227),_xlpm.r),0)),IF(_xlpm.m=0,"",_xlpm.m+1))</f>
        <v/>
      </c>
      <c r="J3227" s="137" t="inlineStr">
        <is>
          <t>Shopify</t>
        </is>
      </c>
    </row>
    <row r="3228">
      <c r="A3228" s="5" t="inlineStr">
        <is>
          <t>Shopify Stetson México › Stetson México</t>
        </is>
      </c>
      <c r="B3228" s="5">
        <f>IF($I2="","",INDEX(Productos!$A:$A,$I2))</f>
        <v/>
      </c>
      <c r="C3228" s="134" t="inlineStr">
        <is>
          <t>9927500-001-42</t>
        </is>
      </c>
      <c r="D3228" s="5">
        <f>IF($I2="","",INDEX(Productos!$B:$B,$I2))</f>
        <v/>
      </c>
      <c r="E3228" s="5">
        <f>IF($I2="","",INDEX(Productos!$H:$H,$I2))</f>
        <v/>
      </c>
      <c r="F3228" s="5">
        <f>IF($I2="","",INDEX(Productos!$I:$I,$I2))</f>
        <v/>
      </c>
      <c r="G3228" s="135" t="n">
        <v>12</v>
      </c>
      <c r="H3228" s="5">
        <f>IF($I2="","",INDEX(Productos!$AG:$AG,$I2))</f>
        <v/>
      </c>
      <c r="I3228" s="136">
        <f>LET(_xlpm.r,Productos!$E$2:$E$2509,_xlpm.m,IFERROR(_xlfn.XMATCH(C3228,_xlpm.r),IFERROR(_xlfn.XMATCH(VALUE(C3228),_xlpm.r),0)),IF(_xlpm.m=0,"",_xlpm.m+1))</f>
        <v/>
      </c>
      <c r="J3228" s="137" t="inlineStr">
        <is>
          <t>Shopify</t>
        </is>
      </c>
    </row>
    <row r="3229">
      <c r="A3229" s="5" t="inlineStr">
        <is>
          <t>Shopify Stetson México › Stetson México</t>
        </is>
      </c>
      <c r="B3229" s="5">
        <f>IF($I2="","",INDEX(Productos!$A:$A,$I2))</f>
        <v/>
      </c>
      <c r="C3229" s="134" t="inlineStr">
        <is>
          <t>9927500-001-44</t>
        </is>
      </c>
      <c r="D3229" s="5">
        <f>IF($I2="","",INDEX(Productos!$B:$B,$I2))</f>
        <v/>
      </c>
      <c r="E3229" s="5">
        <f>IF($I2="","",INDEX(Productos!$H:$H,$I2))</f>
        <v/>
      </c>
      <c r="F3229" s="5">
        <f>IF($I2="","",INDEX(Productos!$I:$I,$I2))</f>
        <v/>
      </c>
      <c r="G3229" s="135" t="n">
        <v>6</v>
      </c>
      <c r="H3229" s="5">
        <f>IF($I2="","",INDEX(Productos!$AG:$AG,$I2))</f>
        <v/>
      </c>
      <c r="I3229" s="136">
        <f>LET(_xlpm.r,Productos!$E$2:$E$2509,_xlpm.m,IFERROR(_xlfn.XMATCH(C3229,_xlpm.r),IFERROR(_xlfn.XMATCH(VALUE(C3229),_xlpm.r),0)),IF(_xlpm.m=0,"",_xlpm.m+1))</f>
        <v/>
      </c>
      <c r="J3229" s="137" t="inlineStr">
        <is>
          <t>Shopify</t>
        </is>
      </c>
    </row>
    <row r="3230">
      <c r="A3230" s="5" t="inlineStr">
        <is>
          <t>Shopify Stetson México › Stetson México</t>
        </is>
      </c>
      <c r="B3230" s="5">
        <f>IF($I2="","",INDEX(Productos!$A:$A,$I2))</f>
        <v/>
      </c>
      <c r="C3230" s="134" t="inlineStr">
        <is>
          <t>9927500-001-46</t>
        </is>
      </c>
      <c r="D3230" s="5">
        <f>IF($I2="","",INDEX(Productos!$B:$B,$I2))</f>
        <v/>
      </c>
      <c r="E3230" s="5">
        <f>IF($I2="","",INDEX(Productos!$H:$H,$I2))</f>
        <v/>
      </c>
      <c r="F3230" s="5">
        <f>IF($I2="","",INDEX(Productos!$I:$I,$I2))</f>
        <v/>
      </c>
      <c r="G3230" s="135" t="n">
        <v>4</v>
      </c>
      <c r="H3230" s="5">
        <f>IF($I2="","",INDEX(Productos!$AG:$AG,$I2))</f>
        <v/>
      </c>
      <c r="I3230" s="136">
        <f>LET(_xlpm.r,Productos!$E$2:$E$2509,_xlpm.m,IFERROR(_xlfn.XMATCH(C3230,_xlpm.r),IFERROR(_xlfn.XMATCH(VALUE(C3230),_xlpm.r),0)),IF(_xlpm.m=0,"",_xlpm.m+1))</f>
        <v/>
      </c>
      <c r="J3230" s="137" t="inlineStr">
        <is>
          <t>Shopify</t>
        </is>
      </c>
    </row>
    <row r="3231">
      <c r="A3231" s="5" t="inlineStr">
        <is>
          <t>Shopify Stetson México › Stetson México</t>
        </is>
      </c>
      <c r="B3231" s="5">
        <f>IF($I2="","",INDEX(Productos!$A:$A,$I2))</f>
        <v/>
      </c>
      <c r="C3231" s="134" t="inlineStr">
        <is>
          <t>9928500-104-40</t>
        </is>
      </c>
      <c r="D3231" s="5">
        <f>IF($I2="","",INDEX(Productos!$B:$B,$I2))</f>
        <v/>
      </c>
      <c r="E3231" s="5">
        <f>IF($I2="","",INDEX(Productos!$H:$H,$I2))</f>
        <v/>
      </c>
      <c r="F3231" s="5">
        <f>IF($I2="","",INDEX(Productos!$I:$I,$I2))</f>
        <v/>
      </c>
      <c r="G3231" s="135" t="n">
        <v>10</v>
      </c>
      <c r="H3231" s="5">
        <f>IF($I2="","",INDEX(Productos!$AG:$AG,$I2))</f>
        <v/>
      </c>
      <c r="I3231" s="136">
        <f>LET(_xlpm.r,Productos!$E$2:$E$2509,_xlpm.m,IFERROR(_xlfn.XMATCH(C3231,_xlpm.r),IFERROR(_xlfn.XMATCH(VALUE(C3231),_xlpm.r),0)),IF(_xlpm.m=0,"",_xlpm.m+1))</f>
        <v/>
      </c>
      <c r="J3231" s="137" t="inlineStr">
        <is>
          <t>Shopify</t>
        </is>
      </c>
    </row>
    <row r="3232">
      <c r="A3232" s="5" t="inlineStr">
        <is>
          <t>Shopify Stetson México › Stetson México</t>
        </is>
      </c>
      <c r="B3232" s="5">
        <f>IF($I2="","",INDEX(Productos!$A:$A,$I2))</f>
        <v/>
      </c>
      <c r="C3232" s="134" t="inlineStr">
        <is>
          <t>9928500-104-44</t>
        </is>
      </c>
      <c r="D3232" s="5">
        <f>IF($I2="","",INDEX(Productos!$B:$B,$I2))</f>
        <v/>
      </c>
      <c r="E3232" s="5">
        <f>IF($I2="","",INDEX(Productos!$H:$H,$I2))</f>
        <v/>
      </c>
      <c r="F3232" s="5">
        <f>IF($I2="","",INDEX(Productos!$I:$I,$I2))</f>
        <v/>
      </c>
      <c r="G3232" s="135" t="n">
        <v>6</v>
      </c>
      <c r="H3232" s="5">
        <f>IF($I2="","",INDEX(Productos!$AG:$AG,$I2))</f>
        <v/>
      </c>
      <c r="I3232" s="136">
        <f>LET(_xlpm.r,Productos!$E$2:$E$2509,_xlpm.m,IFERROR(_xlfn.XMATCH(C3232,_xlpm.r),IFERROR(_xlfn.XMATCH(VALUE(C3232),_xlpm.r),0)),IF(_xlpm.m=0,"",_xlpm.m+1))</f>
        <v/>
      </c>
      <c r="J3232" s="137" t="inlineStr">
        <is>
          <t>Shopify</t>
        </is>
      </c>
    </row>
    <row r="3233">
      <c r="A3233" s="5" t="inlineStr">
        <is>
          <t>Shopify Stetson México › Stetson México</t>
        </is>
      </c>
      <c r="B3233" s="5">
        <f>IF($I2="","",INDEX(Productos!$A:$A,$I2))</f>
        <v/>
      </c>
      <c r="C3233" s="134" t="inlineStr">
        <is>
          <t>9928500-104-46</t>
        </is>
      </c>
      <c r="D3233" s="5">
        <f>IF($I2="","",INDEX(Productos!$B:$B,$I2))</f>
        <v/>
      </c>
      <c r="E3233" s="5">
        <f>IF($I2="","",INDEX(Productos!$H:$H,$I2))</f>
        <v/>
      </c>
      <c r="F3233" s="5">
        <f>IF($I2="","",INDEX(Productos!$I:$I,$I2))</f>
        <v/>
      </c>
      <c r="G3233" s="135" t="n">
        <v>3</v>
      </c>
      <c r="H3233" s="5">
        <f>IF($I2="","",INDEX(Productos!$AG:$AG,$I2))</f>
        <v/>
      </c>
      <c r="I3233" s="136">
        <f>LET(_xlpm.r,Productos!$E$2:$E$2509,_xlpm.m,IFERROR(_xlfn.XMATCH(C3233,_xlpm.r),IFERROR(_xlfn.XMATCH(VALUE(C3233),_xlpm.r),0)),IF(_xlpm.m=0,"",_xlpm.m+1))</f>
        <v/>
      </c>
      <c r="J3233" s="137" t="inlineStr">
        <is>
          <t>Shopify</t>
        </is>
      </c>
    </row>
    <row r="3234">
      <c r="A3234" s="5" t="inlineStr">
        <is>
          <t>Shopify Stetson México › Stetson México</t>
        </is>
      </c>
      <c r="B3234" s="5">
        <f>IF($I2="","",INDEX(Productos!$A:$A,$I2))</f>
        <v/>
      </c>
      <c r="C3234" s="134" t="inlineStr">
        <is>
          <t>SBAPCH-75400767</t>
        </is>
      </c>
      <c r="D3234" s="5">
        <f>IF($I2="","",INDEX(Productos!$B:$B,$I2))</f>
        <v/>
      </c>
      <c r="E3234" s="5">
        <f>IF($I2="","",INDEX(Productos!$H:$H,$I2))</f>
        <v/>
      </c>
      <c r="F3234" s="5">
        <f>IF($I2="","",INDEX(Productos!$I:$I,$I2))</f>
        <v/>
      </c>
      <c r="G3234" s="135" t="n">
        <v>1</v>
      </c>
      <c r="H3234" s="5">
        <f>IF($I2="","",INDEX(Productos!$AG:$AG,$I2))</f>
        <v/>
      </c>
      <c r="I3234" s="136">
        <f>LET(_xlpm.r,Productos!$E$2:$E$2509,_xlpm.m,IFERROR(_xlfn.XMATCH(C3234,_xlpm.r),IFERROR(_xlfn.XMATCH(VALUE(C3234),_xlpm.r),0)),IF(_xlpm.m=0,"",_xlpm.m+1))</f>
        <v/>
      </c>
      <c r="J3234" s="137" t="inlineStr">
        <is>
          <t>Shopify</t>
        </is>
      </c>
    </row>
    <row r="3235">
      <c r="A3235" s="5" t="inlineStr">
        <is>
          <t>Shopify Stetson México › Stetson México</t>
        </is>
      </c>
      <c r="B3235" s="5">
        <f>IF($I2="","",INDEX(Productos!$A:$A,$I2))</f>
        <v/>
      </c>
      <c r="C3235" s="134" t="inlineStr">
        <is>
          <t>SBAPCH-75400770</t>
        </is>
      </c>
      <c r="D3235" s="5">
        <f>IF($I2="","",INDEX(Productos!$B:$B,$I2))</f>
        <v/>
      </c>
      <c r="E3235" s="5">
        <f>IF($I2="","",INDEX(Productos!$H:$H,$I2))</f>
        <v/>
      </c>
      <c r="F3235" s="5">
        <f>IF($I2="","",INDEX(Productos!$I:$I,$I2))</f>
        <v/>
      </c>
      <c r="G3235" s="135" t="n">
        <v>1</v>
      </c>
      <c r="H3235" s="5">
        <f>IF($I2="","",INDEX(Productos!$AG:$AG,$I2))</f>
        <v/>
      </c>
      <c r="I3235" s="136">
        <f>LET(_xlpm.r,Productos!$E$2:$E$2509,_xlpm.m,IFERROR(_xlfn.XMATCH(C3235,_xlpm.r),IFERROR(_xlfn.XMATCH(VALUE(C3235),_xlpm.r),0)),IF(_xlpm.m=0,"",_xlpm.m+1))</f>
        <v/>
      </c>
      <c r="J3235" s="137" t="inlineStr">
        <is>
          <t>Shopify</t>
        </is>
      </c>
    </row>
    <row r="3236">
      <c r="A3236" s="5" t="inlineStr">
        <is>
          <t>Shopify Stetson México › Stetson México</t>
        </is>
      </c>
      <c r="B3236" s="5">
        <f>IF($I2="","",INDEX(Productos!$A:$A,$I2))</f>
        <v/>
      </c>
      <c r="C3236" s="134" t="inlineStr">
        <is>
          <t>SBAPCH-75400771</t>
        </is>
      </c>
      <c r="D3236" s="5">
        <f>IF($I2="","",INDEX(Productos!$B:$B,$I2))</f>
        <v/>
      </c>
      <c r="E3236" s="5">
        <f>IF($I2="","",INDEX(Productos!$H:$H,$I2))</f>
        <v/>
      </c>
      <c r="F3236" s="5">
        <f>IF($I2="","",INDEX(Productos!$I:$I,$I2))</f>
        <v/>
      </c>
      <c r="G3236" s="135" t="n">
        <v>2</v>
      </c>
      <c r="H3236" s="5">
        <f>IF($I2="","",INDEX(Productos!$AG:$AG,$I2))</f>
        <v/>
      </c>
      <c r="I3236" s="136">
        <f>LET(_xlpm.r,Productos!$E$2:$E$2509,_xlpm.m,IFERROR(_xlfn.XMATCH(C3236,_xlpm.r),IFERROR(_xlfn.XMATCH(VALUE(C3236),_xlpm.r),0)),IF(_xlpm.m=0,"",_xlpm.m+1))</f>
        <v/>
      </c>
      <c r="J3236" s="137" t="inlineStr">
        <is>
          <t>Shopify</t>
        </is>
      </c>
    </row>
    <row r="3237">
      <c r="A3237" s="5" t="inlineStr">
        <is>
          <t>Shopify Stetson México › Stetson México</t>
        </is>
      </c>
      <c r="B3237" s="5">
        <f>IF($I2="","",INDEX(Productos!$A:$A,$I2))</f>
        <v/>
      </c>
      <c r="C3237" s="134" t="inlineStr">
        <is>
          <t>SBAPCH-75400772</t>
        </is>
      </c>
      <c r="D3237" s="5">
        <f>IF($I2="","",INDEX(Productos!$B:$B,$I2))</f>
        <v/>
      </c>
      <c r="E3237" s="5">
        <f>IF($I2="","",INDEX(Productos!$H:$H,$I2))</f>
        <v/>
      </c>
      <c r="F3237" s="5">
        <f>IF($I2="","",INDEX(Productos!$I:$I,$I2))</f>
        <v/>
      </c>
      <c r="G3237" s="135" t="n">
        <v>2</v>
      </c>
      <c r="H3237" s="5">
        <f>IF($I2="","",INDEX(Productos!$AG:$AG,$I2))</f>
        <v/>
      </c>
      <c r="I3237" s="136">
        <f>LET(_xlpm.r,Productos!$E$2:$E$2509,_xlpm.m,IFERROR(_xlfn.XMATCH(C3237,_xlpm.r),IFERROR(_xlfn.XMATCH(VALUE(C3237),_xlpm.r),0)),IF(_xlpm.m=0,"",_xlpm.m+1))</f>
        <v/>
      </c>
      <c r="J3237" s="137" t="inlineStr">
        <is>
          <t>Shopify</t>
        </is>
      </c>
    </row>
    <row r="3238">
      <c r="A3238" s="5" t="inlineStr">
        <is>
          <t>Shopify Stetson México › Stetson México</t>
        </is>
      </c>
      <c r="B3238" s="5">
        <f>IF($I2="","",INDEX(Productos!$A:$A,$I2))</f>
        <v/>
      </c>
      <c r="C3238" s="134" t="inlineStr">
        <is>
          <t>SBAPCH-75402370</t>
        </is>
      </c>
      <c r="D3238" s="5">
        <f>IF($I2="","",INDEX(Productos!$B:$B,$I2))</f>
        <v/>
      </c>
      <c r="E3238" s="5">
        <f>IF($I2="","",INDEX(Productos!$H:$H,$I2))</f>
        <v/>
      </c>
      <c r="F3238" s="5">
        <f>IF($I2="","",INDEX(Productos!$I:$I,$I2))</f>
        <v/>
      </c>
      <c r="G3238" s="135" t="n">
        <v>1</v>
      </c>
      <c r="H3238" s="5">
        <f>IF($I2="","",INDEX(Productos!$AG:$AG,$I2))</f>
        <v/>
      </c>
      <c r="I3238" s="136">
        <f>LET(_xlpm.r,Productos!$E$2:$E$2509,_xlpm.m,IFERROR(_xlfn.XMATCH(C3238,_xlpm.r),IFERROR(_xlfn.XMATCH(VALUE(C3238),_xlpm.r),0)),IF(_xlpm.m=0,"",_xlpm.m+1))</f>
        <v/>
      </c>
      <c r="J3238" s="137" t="inlineStr">
        <is>
          <t>Shopify</t>
        </is>
      </c>
    </row>
    <row r="3239">
      <c r="A3239" s="5" t="inlineStr">
        <is>
          <t>Shopify Stetson México › Stetson México</t>
        </is>
      </c>
      <c r="B3239" s="5">
        <f>IF($I2="","",INDEX(Productos!$A:$A,$I2))</f>
        <v/>
      </c>
      <c r="C3239" s="134" t="inlineStr">
        <is>
          <t>SBAPCH-75402371</t>
        </is>
      </c>
      <c r="D3239" s="5">
        <f>IF($I2="","",INDEX(Productos!$B:$B,$I2))</f>
        <v/>
      </c>
      <c r="E3239" s="5">
        <f>IF($I2="","",INDEX(Productos!$H:$H,$I2))</f>
        <v/>
      </c>
      <c r="F3239" s="5">
        <f>IF($I2="","",INDEX(Productos!$I:$I,$I2))</f>
        <v/>
      </c>
      <c r="G3239" s="135" t="n">
        <v>1</v>
      </c>
      <c r="H3239" s="5">
        <f>IF($I2="","",INDEX(Productos!$AG:$AG,$I2))</f>
        <v/>
      </c>
      <c r="I3239" s="136">
        <f>LET(_xlpm.r,Productos!$E$2:$E$2509,_xlpm.m,IFERROR(_xlfn.XMATCH(C3239,_xlpm.r),IFERROR(_xlfn.XMATCH(VALUE(C3239),_xlpm.r),0)),IF(_xlpm.m=0,"",_xlpm.m+1))</f>
        <v/>
      </c>
      <c r="J3239" s="137" t="inlineStr">
        <is>
          <t>Shopify</t>
        </is>
      </c>
    </row>
    <row r="3240">
      <c r="A3240" s="5" t="inlineStr">
        <is>
          <t>Shopify Stetson México › Stetson México</t>
        </is>
      </c>
      <c r="B3240" s="5">
        <f>IF($I2="","",INDEX(Productos!$A:$A,$I2))</f>
        <v/>
      </c>
      <c r="C3240" s="134" t="inlineStr">
        <is>
          <t>SBAPCH-75402372</t>
        </is>
      </c>
      <c r="D3240" s="5">
        <f>IF($I2="","",INDEX(Productos!$B:$B,$I2))</f>
        <v/>
      </c>
      <c r="E3240" s="5">
        <f>IF($I2="","",INDEX(Productos!$H:$H,$I2))</f>
        <v/>
      </c>
      <c r="F3240" s="5">
        <f>IF($I2="","",INDEX(Productos!$I:$I,$I2))</f>
        <v/>
      </c>
      <c r="G3240" s="135" t="n">
        <v>1</v>
      </c>
      <c r="H3240" s="5">
        <f>IF($I2="","",INDEX(Productos!$AG:$AG,$I2))</f>
        <v/>
      </c>
      <c r="I3240" s="136">
        <f>LET(_xlpm.r,Productos!$E$2:$E$2509,_xlpm.m,IFERROR(_xlfn.XMATCH(C3240,_xlpm.r),IFERROR(_xlfn.XMATCH(VALUE(C3240),_xlpm.r),0)),IF(_xlpm.m=0,"",_xlpm.m+1))</f>
        <v/>
      </c>
      <c r="J3240" s="137" t="inlineStr">
        <is>
          <t>Shopify</t>
        </is>
      </c>
    </row>
    <row r="3241">
      <c r="A3241" s="5" t="inlineStr">
        <is>
          <t>Shopify Stetson México › Stetson México</t>
        </is>
      </c>
      <c r="B3241" s="5">
        <f>IF($I2="","",INDEX(Productos!$A:$A,$I2))</f>
        <v/>
      </c>
      <c r="C3241" s="134" t="inlineStr">
        <is>
          <t>SBCRAL-75402267</t>
        </is>
      </c>
      <c r="D3241" s="5">
        <f>IF($I2="","",INDEX(Productos!$B:$B,$I2))</f>
        <v/>
      </c>
      <c r="E3241" s="5">
        <f>IF($I2="","",INDEX(Productos!$H:$H,$I2))</f>
        <v/>
      </c>
      <c r="F3241" s="5">
        <f>IF($I2="","",INDEX(Productos!$I:$I,$I2))</f>
        <v/>
      </c>
      <c r="G3241" s="135" t="n">
        <v>1</v>
      </c>
      <c r="H3241" s="5">
        <f>IF($I2="","",INDEX(Productos!$AG:$AG,$I2))</f>
        <v/>
      </c>
      <c r="I3241" s="136">
        <f>LET(_xlpm.r,Productos!$E$2:$E$2509,_xlpm.m,IFERROR(_xlfn.XMATCH(C3241,_xlpm.r),IFERROR(_xlfn.XMATCH(VALUE(C3241),_xlpm.r),0)),IF(_xlpm.m=0,"",_xlpm.m+1))</f>
        <v/>
      </c>
      <c r="J3241" s="137" t="inlineStr">
        <is>
          <t>Shopify</t>
        </is>
      </c>
    </row>
    <row r="3242">
      <c r="A3242" s="5" t="inlineStr">
        <is>
          <t>Shopify Stetson México › Stetson México</t>
        </is>
      </c>
      <c r="B3242" s="5">
        <f>IF($I2="","",INDEX(Productos!$A:$A,$I2))</f>
        <v/>
      </c>
      <c r="C3242" s="134" t="inlineStr">
        <is>
          <t>SBCRAL-75402270</t>
        </is>
      </c>
      <c r="D3242" s="5">
        <f>IF($I2="","",INDEX(Productos!$B:$B,$I2))</f>
        <v/>
      </c>
      <c r="E3242" s="5">
        <f>IF($I2="","",INDEX(Productos!$H:$H,$I2))</f>
        <v/>
      </c>
      <c r="F3242" s="5">
        <f>IF($I2="","",INDEX(Productos!$I:$I,$I2))</f>
        <v/>
      </c>
      <c r="G3242" s="135" t="n">
        <v>1</v>
      </c>
      <c r="H3242" s="5">
        <f>IF($I2="","",INDEX(Productos!$AG:$AG,$I2))</f>
        <v/>
      </c>
      <c r="I3242" s="136">
        <f>LET(_xlpm.r,Productos!$E$2:$E$2509,_xlpm.m,IFERROR(_xlfn.XMATCH(C3242,_xlpm.r),IFERROR(_xlfn.XMATCH(VALUE(C3242),_xlpm.r),0)),IF(_xlpm.m=0,"",_xlpm.m+1))</f>
        <v/>
      </c>
      <c r="J3242" s="137" t="inlineStr">
        <is>
          <t>Shopify</t>
        </is>
      </c>
    </row>
    <row r="3243">
      <c r="A3243" s="5" t="inlineStr">
        <is>
          <t>Shopify Stetson México › Stetson México</t>
        </is>
      </c>
      <c r="B3243" s="5">
        <f>IF($I2="","",INDEX(Productos!$A:$A,$I2))</f>
        <v/>
      </c>
      <c r="C3243" s="134" t="inlineStr">
        <is>
          <t>SBCRAL-75402271</t>
        </is>
      </c>
      <c r="D3243" s="5">
        <f>IF($I2="","",INDEX(Productos!$B:$B,$I2))</f>
        <v/>
      </c>
      <c r="E3243" s="5">
        <f>IF($I2="","",INDEX(Productos!$H:$H,$I2))</f>
        <v/>
      </c>
      <c r="F3243" s="5">
        <f>IF($I2="","",INDEX(Productos!$I:$I,$I2))</f>
        <v/>
      </c>
      <c r="G3243" s="135" t="n">
        <v>1</v>
      </c>
      <c r="H3243" s="5">
        <f>IF($I2="","",INDEX(Productos!$AG:$AG,$I2))</f>
        <v/>
      </c>
      <c r="I3243" s="136">
        <f>LET(_xlpm.r,Productos!$E$2:$E$2509,_xlpm.m,IFERROR(_xlfn.XMATCH(C3243,_xlpm.r),IFERROR(_xlfn.XMATCH(VALUE(C3243),_xlpm.r),0)),IF(_xlpm.m=0,"",_xlpm.m+1))</f>
        <v/>
      </c>
      <c r="J3243" s="137" t="inlineStr">
        <is>
          <t>Shopify</t>
        </is>
      </c>
    </row>
    <row r="3244">
      <c r="A3244" s="5" t="inlineStr">
        <is>
          <t>Shopify Stetson México › Stetson México</t>
        </is>
      </c>
      <c r="B3244" s="5">
        <f>IF($I2="","",INDEX(Productos!$A:$A,$I2))</f>
        <v/>
      </c>
      <c r="C3244" s="134" t="inlineStr">
        <is>
          <t>SBCRAL-75409867</t>
        </is>
      </c>
      <c r="D3244" s="5">
        <f>IF($I2="","",INDEX(Productos!$B:$B,$I2))</f>
        <v/>
      </c>
      <c r="E3244" s="5">
        <f>IF($I2="","",INDEX(Productos!$H:$H,$I2))</f>
        <v/>
      </c>
      <c r="F3244" s="5">
        <f>IF($I2="","",INDEX(Productos!$I:$I,$I2))</f>
        <v/>
      </c>
      <c r="G3244" s="135" t="n">
        <v>1</v>
      </c>
      <c r="H3244" s="5">
        <f>IF($I2="","",INDEX(Productos!$AG:$AG,$I2))</f>
        <v/>
      </c>
      <c r="I3244" s="136">
        <f>LET(_xlpm.r,Productos!$E$2:$E$2509,_xlpm.m,IFERROR(_xlfn.XMATCH(C3244,_xlpm.r),IFERROR(_xlfn.XMATCH(VALUE(C3244),_xlpm.r),0)),IF(_xlpm.m=0,"",_xlpm.m+1))</f>
        <v/>
      </c>
      <c r="J3244" s="137" t="inlineStr">
        <is>
          <t>Shopify</t>
        </is>
      </c>
    </row>
    <row r="3245">
      <c r="A3245" s="5" t="inlineStr">
        <is>
          <t>Shopify Stetson México › Stetson México</t>
        </is>
      </c>
      <c r="B3245" s="5">
        <f>IF($I2="","",INDEX(Productos!$A:$A,$I2))</f>
        <v/>
      </c>
      <c r="C3245" s="134" t="inlineStr">
        <is>
          <t>SBCRAL-75409870</t>
        </is>
      </c>
      <c r="D3245" s="5">
        <f>IF($I2="","",INDEX(Productos!$B:$B,$I2))</f>
        <v/>
      </c>
      <c r="E3245" s="5">
        <f>IF($I2="","",INDEX(Productos!$H:$H,$I2))</f>
        <v/>
      </c>
      <c r="F3245" s="5">
        <f>IF($I2="","",INDEX(Productos!$I:$I,$I2))</f>
        <v/>
      </c>
      <c r="G3245" s="135" t="n">
        <v>1</v>
      </c>
      <c r="H3245" s="5">
        <f>IF($I2="","",INDEX(Productos!$AG:$AG,$I2))</f>
        <v/>
      </c>
      <c r="I3245" s="136">
        <f>LET(_xlpm.r,Productos!$E$2:$E$2509,_xlpm.m,IFERROR(_xlfn.XMATCH(C3245,_xlpm.r),IFERROR(_xlfn.XMATCH(VALUE(C3245),_xlpm.r),0)),IF(_xlpm.m=0,"",_xlpm.m+1))</f>
        <v/>
      </c>
      <c r="J3245" s="137" t="inlineStr">
        <is>
          <t>Shopify</t>
        </is>
      </c>
    </row>
    <row r="3246">
      <c r="A3246" s="5" t="inlineStr">
        <is>
          <t>Shopify Stetson México › Stetson México</t>
        </is>
      </c>
      <c r="B3246" s="5">
        <f>IF($I2="","",INDEX(Productos!$A:$A,$I2))</f>
        <v/>
      </c>
      <c r="C3246" s="134" t="inlineStr">
        <is>
          <t>SBCRAL-75409871</t>
        </is>
      </c>
      <c r="D3246" s="5">
        <f>IF($I2="","",INDEX(Productos!$B:$B,$I2))</f>
        <v/>
      </c>
      <c r="E3246" s="5">
        <f>IF($I2="","",INDEX(Productos!$H:$H,$I2))</f>
        <v/>
      </c>
      <c r="F3246" s="5">
        <f>IF($I2="","",INDEX(Productos!$I:$I,$I2))</f>
        <v/>
      </c>
      <c r="G3246" s="135" t="n">
        <v>1</v>
      </c>
      <c r="H3246" s="5">
        <f>IF($I2="","",INDEX(Productos!$AG:$AG,$I2))</f>
        <v/>
      </c>
      <c r="I3246" s="136">
        <f>LET(_xlpm.r,Productos!$E$2:$E$2509,_xlpm.m,IFERROR(_xlfn.XMATCH(C3246,_xlpm.r),IFERROR(_xlfn.XMATCH(VALUE(C3246),_xlpm.r),0)),IF(_xlpm.m=0,"",_xlpm.m+1))</f>
        <v/>
      </c>
      <c r="J3246" s="137" t="inlineStr">
        <is>
          <t>Shopify</t>
        </is>
      </c>
    </row>
    <row r="3247">
      <c r="A3247" s="5" t="inlineStr">
        <is>
          <t>Shopify Stetson México › Stetson México</t>
        </is>
      </c>
      <c r="B3247" s="5">
        <f>IF($I2="","",INDEX(Productos!$A:$A,$I2))</f>
        <v/>
      </c>
      <c r="C3247" s="134" t="inlineStr">
        <is>
          <t>SBCRAL-75409873</t>
        </is>
      </c>
      <c r="D3247" s="5">
        <f>IF($I2="","",INDEX(Productos!$B:$B,$I2))</f>
        <v/>
      </c>
      <c r="E3247" s="5">
        <f>IF($I2="","",INDEX(Productos!$H:$H,$I2))</f>
        <v/>
      </c>
      <c r="F3247" s="5">
        <f>IF($I2="","",INDEX(Productos!$I:$I,$I2))</f>
        <v/>
      </c>
      <c r="G3247" s="135" t="n">
        <v>1</v>
      </c>
      <c r="H3247" s="5">
        <f>IF($I2="","",INDEX(Productos!$AG:$AG,$I2))</f>
        <v/>
      </c>
      <c r="I3247" s="136">
        <f>LET(_xlpm.r,Productos!$E$2:$E$2509,_xlpm.m,IFERROR(_xlfn.XMATCH(C3247,_xlpm.r),IFERROR(_xlfn.XMATCH(VALUE(C3247),_xlpm.r),0)),IF(_xlpm.m=0,"",_xlpm.m+1))</f>
        <v/>
      </c>
      <c r="J3247" s="137" t="inlineStr">
        <is>
          <t>Shopify</t>
        </is>
      </c>
    </row>
    <row r="3248">
      <c r="A3248" s="5" t="inlineStr">
        <is>
          <t>Shopify Stetson México › Stetson México</t>
        </is>
      </c>
      <c r="B3248" s="5">
        <f>IF($I2="","",INDEX(Productos!$A:$A,$I2))</f>
        <v/>
      </c>
      <c r="C3248" s="134" t="inlineStr">
        <is>
          <t>SFCRSN-40341167</t>
        </is>
      </c>
      <c r="D3248" s="5">
        <f>IF($I2="","",INDEX(Productos!$B:$B,$I2))</f>
        <v/>
      </c>
      <c r="E3248" s="5">
        <f>IF($I2="","",INDEX(Productos!$H:$H,$I2))</f>
        <v/>
      </c>
      <c r="F3248" s="5">
        <f>IF($I2="","",INDEX(Productos!$I:$I,$I2))</f>
        <v/>
      </c>
      <c r="G3248" s="135" t="n">
        <v>1</v>
      </c>
      <c r="H3248" s="5">
        <f>IF($I2="","",INDEX(Productos!$AG:$AG,$I2))</f>
        <v/>
      </c>
      <c r="I3248" s="136">
        <f>LET(_xlpm.r,Productos!$E$2:$E$2509,_xlpm.m,IFERROR(_xlfn.XMATCH(C3248,_xlpm.r),IFERROR(_xlfn.XMATCH(VALUE(C3248),_xlpm.r),0)),IF(_xlpm.m=0,"",_xlpm.m+1))</f>
        <v/>
      </c>
      <c r="J3248" s="137" t="inlineStr">
        <is>
          <t>Shopify</t>
        </is>
      </c>
    </row>
    <row r="3249">
      <c r="A3249" s="5" t="inlineStr">
        <is>
          <t>Shopify Stetson México › Stetson México</t>
        </is>
      </c>
      <c r="B3249" s="5">
        <f>IF($I2="","",INDEX(Productos!$A:$A,$I2))</f>
        <v/>
      </c>
      <c r="C3249" s="134" t="inlineStr">
        <is>
          <t>SFCRSN-40341170</t>
        </is>
      </c>
      <c r="D3249" s="5">
        <f>IF($I2="","",INDEX(Productos!$B:$B,$I2))</f>
        <v/>
      </c>
      <c r="E3249" s="5">
        <f>IF($I2="","",INDEX(Productos!$H:$H,$I2))</f>
        <v/>
      </c>
      <c r="F3249" s="5">
        <f>IF($I2="","",INDEX(Productos!$I:$I,$I2))</f>
        <v/>
      </c>
      <c r="G3249" s="135" t="n">
        <v>1</v>
      </c>
      <c r="H3249" s="5">
        <f>IF($I2="","",INDEX(Productos!$AG:$AG,$I2))</f>
        <v/>
      </c>
      <c r="I3249" s="136">
        <f>LET(_xlpm.r,Productos!$E$2:$E$2509,_xlpm.m,IFERROR(_xlfn.XMATCH(C3249,_xlpm.r),IFERROR(_xlfn.XMATCH(VALUE(C3249),_xlpm.r),0)),IF(_xlpm.m=0,"",_xlpm.m+1))</f>
        <v/>
      </c>
      <c r="J3249" s="137" t="inlineStr">
        <is>
          <t>Shopify</t>
        </is>
      </c>
    </row>
    <row r="3250">
      <c r="A3250" s="5" t="inlineStr">
        <is>
          <t>Shopify Stetson México › Stetson México</t>
        </is>
      </c>
      <c r="B3250" s="5">
        <f>IF($I2="","",INDEX(Productos!$A:$A,$I2))</f>
        <v/>
      </c>
      <c r="C3250" s="134" t="inlineStr">
        <is>
          <t>SFCRSN-40341171</t>
        </is>
      </c>
      <c r="D3250" s="5">
        <f>IF($I2="","",INDEX(Productos!$B:$B,$I2))</f>
        <v/>
      </c>
      <c r="E3250" s="5">
        <f>IF($I2="","",INDEX(Productos!$H:$H,$I2))</f>
        <v/>
      </c>
      <c r="F3250" s="5">
        <f>IF($I2="","",INDEX(Productos!$I:$I,$I2))</f>
        <v/>
      </c>
      <c r="G3250" s="135" t="n">
        <v>1</v>
      </c>
      <c r="H3250" s="5">
        <f>IF($I2="","",INDEX(Productos!$AG:$AG,$I2))</f>
        <v/>
      </c>
      <c r="I3250" s="136">
        <f>LET(_xlpm.r,Productos!$E$2:$E$2509,_xlpm.m,IFERROR(_xlfn.XMATCH(C3250,_xlpm.r),IFERROR(_xlfn.XMATCH(VALUE(C3250),_xlpm.r),0)),IF(_xlpm.m=0,"",_xlpm.m+1))</f>
        <v/>
      </c>
      <c r="J3250" s="137" t="inlineStr">
        <is>
          <t>Shopify</t>
        </is>
      </c>
    </row>
    <row r="3251">
      <c r="A3251" s="5" t="inlineStr">
        <is>
          <t>Shopify Stetson México › Stetson México</t>
        </is>
      </c>
      <c r="B3251" s="5">
        <f>IF($I2="","",INDEX(Productos!$A:$A,$I2))</f>
        <v/>
      </c>
      <c r="C3251" s="134" t="inlineStr">
        <is>
          <t>SFCRSN-40341172</t>
        </is>
      </c>
      <c r="D3251" s="5">
        <f>IF($I2="","",INDEX(Productos!$B:$B,$I2))</f>
        <v/>
      </c>
      <c r="E3251" s="5">
        <f>IF($I2="","",INDEX(Productos!$H:$H,$I2))</f>
        <v/>
      </c>
      <c r="F3251" s="5">
        <f>IF($I2="","",INDEX(Productos!$I:$I,$I2))</f>
        <v/>
      </c>
      <c r="G3251" s="135" t="n">
        <v>1</v>
      </c>
      <c r="H3251" s="5">
        <f>IF($I2="","",INDEX(Productos!$AG:$AG,$I2))</f>
        <v/>
      </c>
      <c r="I3251" s="136">
        <f>LET(_xlpm.r,Productos!$E$2:$E$2509,_xlpm.m,IFERROR(_xlfn.XMATCH(C3251,_xlpm.r),IFERROR(_xlfn.XMATCH(VALUE(C3251),_xlpm.r),0)),IF(_xlpm.m=0,"",_xlpm.m+1))</f>
        <v/>
      </c>
      <c r="J3251" s="137" t="inlineStr">
        <is>
          <t>Shopify</t>
        </is>
      </c>
    </row>
    <row r="3252">
      <c r="A3252" s="5" t="inlineStr">
        <is>
          <t>Shopify Stetson México › Stetson México</t>
        </is>
      </c>
      <c r="B3252" s="5">
        <f>IF($I2="","",INDEX(Productos!$A:$A,$I2))</f>
        <v/>
      </c>
      <c r="C3252" s="134" t="inlineStr">
        <is>
          <t>SFEPTN-48400767</t>
        </is>
      </c>
      <c r="D3252" s="5">
        <f>IF($I2="","",INDEX(Productos!$B:$B,$I2))</f>
        <v/>
      </c>
      <c r="E3252" s="5">
        <f>IF($I2="","",INDEX(Productos!$H:$H,$I2))</f>
        <v/>
      </c>
      <c r="F3252" s="5">
        <f>IF($I2="","",INDEX(Productos!$I:$I,$I2))</f>
        <v/>
      </c>
      <c r="G3252" s="135" t="n">
        <v>1</v>
      </c>
      <c r="H3252" s="5">
        <f>IF($I2="","",INDEX(Productos!$AG:$AG,$I2))</f>
        <v/>
      </c>
      <c r="I3252" s="136">
        <f>LET(_xlpm.r,Productos!$E$2:$E$2509,_xlpm.m,IFERROR(_xlfn.XMATCH(C3252,_xlpm.r),IFERROR(_xlfn.XMATCH(VALUE(C3252),_xlpm.r),0)),IF(_xlpm.m=0,"",_xlpm.m+1))</f>
        <v/>
      </c>
      <c r="J3252" s="137" t="inlineStr">
        <is>
          <t>Shopify</t>
        </is>
      </c>
    </row>
    <row r="3253">
      <c r="A3253" s="5" t="inlineStr">
        <is>
          <t>Shopify Stetson México › Stetson México</t>
        </is>
      </c>
      <c r="B3253" s="5">
        <f>IF($I2="","",INDEX(Productos!$A:$A,$I2))</f>
        <v/>
      </c>
      <c r="C3253" s="134" t="inlineStr">
        <is>
          <t>SFEPTN-48406171</t>
        </is>
      </c>
      <c r="D3253" s="5">
        <f>IF($I2="","",INDEX(Productos!$B:$B,$I2))</f>
        <v/>
      </c>
      <c r="E3253" s="5">
        <f>IF($I2="","",INDEX(Productos!$H:$H,$I2))</f>
        <v/>
      </c>
      <c r="F3253" s="5">
        <f>IF($I2="","",INDEX(Productos!$I:$I,$I2))</f>
        <v/>
      </c>
      <c r="G3253" s="135" t="n">
        <v>1</v>
      </c>
      <c r="H3253" s="5">
        <f>IF($I2="","",INDEX(Productos!$AG:$AG,$I2))</f>
        <v/>
      </c>
      <c r="I3253" s="136">
        <f>LET(_xlpm.r,Productos!$E$2:$E$2509,_xlpm.m,IFERROR(_xlfn.XMATCH(C3253,_xlpm.r),IFERROR(_xlfn.XMATCH(VALUE(C3253),_xlpm.r),0)),IF(_xlpm.m=0,"",_xlpm.m+1))</f>
        <v/>
      </c>
      <c r="J3253" s="137" t="inlineStr">
        <is>
          <t>Shopify</t>
        </is>
      </c>
    </row>
    <row r="3254">
      <c r="A3254" s="5" t="inlineStr">
        <is>
          <t>Shopify Stetson México › Stetson México</t>
        </is>
      </c>
      <c r="B3254" s="5">
        <f>IF($I2="","",INDEX(Productos!$A:$A,$I2))</f>
        <v/>
      </c>
      <c r="C3254" s="134" t="inlineStr">
        <is>
          <t>SFEPTN-48406172</t>
        </is>
      </c>
      <c r="D3254" s="5">
        <f>IF($I2="","",INDEX(Productos!$B:$B,$I2))</f>
        <v/>
      </c>
      <c r="E3254" s="5">
        <f>IF($I2="","",INDEX(Productos!$H:$H,$I2))</f>
        <v/>
      </c>
      <c r="F3254" s="5">
        <f>IF($I2="","",INDEX(Productos!$I:$I,$I2))</f>
        <v/>
      </c>
      <c r="G3254" s="135" t="n">
        <v>1</v>
      </c>
      <c r="H3254" s="5">
        <f>IF($I2="","",INDEX(Productos!$AG:$AG,$I2))</f>
        <v/>
      </c>
      <c r="I3254" s="136">
        <f>LET(_xlpm.r,Productos!$E$2:$E$2509,_xlpm.m,IFERROR(_xlfn.XMATCH(C3254,_xlpm.r),IFERROR(_xlfn.XMATCH(VALUE(C3254),_xlpm.r),0)),IF(_xlpm.m=0,"",_xlpm.m+1))</f>
        <v/>
      </c>
      <c r="J3254" s="137" t="inlineStr">
        <is>
          <t>Shopify</t>
        </is>
      </c>
    </row>
    <row r="3255">
      <c r="A3255" s="5" t="inlineStr">
        <is>
          <t>Shopify Stetson México › Stetson México</t>
        </is>
      </c>
      <c r="B3255" s="5">
        <f>IF($I2="","",INDEX(Productos!$A:$A,$I2))</f>
        <v/>
      </c>
      <c r="C3255" s="134" t="inlineStr">
        <is>
          <t>SFEPTN-48407271</t>
        </is>
      </c>
      <c r="D3255" s="5">
        <f>IF($I2="","",INDEX(Productos!$B:$B,$I2))</f>
        <v/>
      </c>
      <c r="E3255" s="5">
        <f>IF($I2="","",INDEX(Productos!$H:$H,$I2))</f>
        <v/>
      </c>
      <c r="F3255" s="5">
        <f>IF($I2="","",INDEX(Productos!$I:$I,$I2))</f>
        <v/>
      </c>
      <c r="G3255" s="135" t="n">
        <v>1</v>
      </c>
      <c r="H3255" s="5">
        <f>IF($I2="","",INDEX(Productos!$AG:$AG,$I2))</f>
        <v/>
      </c>
      <c r="I3255" s="136">
        <f>LET(_xlpm.r,Productos!$E$2:$E$2509,_xlpm.m,IFERROR(_xlfn.XMATCH(C3255,_xlpm.r),IFERROR(_xlfn.XMATCH(VALUE(C3255),_xlpm.r),0)),IF(_xlpm.m=0,"",_xlpm.m+1))</f>
        <v/>
      </c>
      <c r="J3255" s="137" t="inlineStr">
        <is>
          <t>Shopify</t>
        </is>
      </c>
    </row>
    <row r="3256">
      <c r="A3256" s="5" t="inlineStr">
        <is>
          <t>Shopify Stetson México › Stetson México</t>
        </is>
      </c>
      <c r="B3256" s="5">
        <f>IF($I2="","",INDEX(Productos!$A:$A,$I2))</f>
        <v/>
      </c>
      <c r="C3256" s="134" t="inlineStr">
        <is>
          <t>SFG160-01400771</t>
        </is>
      </c>
      <c r="D3256" s="5">
        <f>IF($I2="","",INDEX(Productos!$B:$B,$I2))</f>
        <v/>
      </c>
      <c r="E3256" s="5">
        <f>IF($I2="","",INDEX(Productos!$H:$H,$I2))</f>
        <v/>
      </c>
      <c r="F3256" s="5">
        <f>IF($I2="","",INDEX(Productos!$I:$I,$I2))</f>
        <v/>
      </c>
      <c r="G3256" s="135" t="n">
        <v>3</v>
      </c>
      <c r="H3256" s="5">
        <f>IF($I2="","",INDEX(Productos!$AG:$AG,$I2))</f>
        <v/>
      </c>
      <c r="I3256" s="136">
        <f>LET(_xlpm.r,Productos!$E$2:$E$2509,_xlpm.m,IFERROR(_xlfn.XMATCH(C3256,_xlpm.r),IFERROR(_xlfn.XMATCH(VALUE(C3256),_xlpm.r),0)),IF(_xlpm.m=0,"",_xlpm.m+1))</f>
        <v/>
      </c>
      <c r="J3256" s="137" t="inlineStr">
        <is>
          <t>Shopify</t>
        </is>
      </c>
    </row>
    <row r="3257">
      <c r="A3257" s="5" t="inlineStr">
        <is>
          <t>Shopify Stetson México › Stetson México</t>
        </is>
      </c>
      <c r="B3257" s="5">
        <f>IF($I2="","",INDEX(Productos!$A:$A,$I2))</f>
        <v/>
      </c>
      <c r="C3257" s="134" t="inlineStr">
        <is>
          <t>SFG160-01400772</t>
        </is>
      </c>
      <c r="D3257" s="5">
        <f>IF($I2="","",INDEX(Productos!$B:$B,$I2))</f>
        <v/>
      </c>
      <c r="E3257" s="5">
        <f>IF($I2="","",INDEX(Productos!$H:$H,$I2))</f>
        <v/>
      </c>
      <c r="F3257" s="5">
        <f>IF($I2="","",INDEX(Productos!$I:$I,$I2))</f>
        <v/>
      </c>
      <c r="G3257" s="135" t="n">
        <v>1</v>
      </c>
      <c r="H3257" s="5">
        <f>IF($I2="","",INDEX(Productos!$AG:$AG,$I2))</f>
        <v/>
      </c>
      <c r="I3257" s="136">
        <f>LET(_xlpm.r,Productos!$E$2:$E$2509,_xlpm.m,IFERROR(_xlfn.XMATCH(C3257,_xlpm.r),IFERROR(_xlfn.XMATCH(VALUE(C3257),_xlpm.r),0)),IF(_xlpm.m=0,"",_xlpm.m+1))</f>
        <v/>
      </c>
      <c r="J3257" s="137" t="inlineStr">
        <is>
          <t>Shopify</t>
        </is>
      </c>
    </row>
    <row r="3258">
      <c r="A3258" s="5" t="inlineStr">
        <is>
          <t>Shopify Stetson México › Stetson México</t>
        </is>
      </c>
      <c r="B3258" s="5">
        <f>IF($I2="","",INDEX(Productos!$A:$A,$I2))</f>
        <v/>
      </c>
      <c r="C3258" s="134" t="inlineStr">
        <is>
          <t>SFG160-01400773</t>
        </is>
      </c>
      <c r="D3258" s="5">
        <f>IF($I2="","",INDEX(Productos!$B:$B,$I2))</f>
        <v/>
      </c>
      <c r="E3258" s="5">
        <f>IF($I2="","",INDEX(Productos!$H:$H,$I2))</f>
        <v/>
      </c>
      <c r="F3258" s="5">
        <f>IF($I2="","",INDEX(Productos!$I:$I,$I2))</f>
        <v/>
      </c>
      <c r="G3258" s="135" t="n">
        <v>2</v>
      </c>
      <c r="H3258" s="5">
        <f>IF($I2="","",INDEX(Productos!$AG:$AG,$I2))</f>
        <v/>
      </c>
      <c r="I3258" s="136">
        <f>LET(_xlpm.r,Productos!$E$2:$E$2509,_xlpm.m,IFERROR(_xlfn.XMATCH(C3258,_xlpm.r),IFERROR(_xlfn.XMATCH(VALUE(C3258),_xlpm.r),0)),IF(_xlpm.m=0,"",_xlpm.m+1))</f>
        <v/>
      </c>
      <c r="J3258" s="137" t="inlineStr">
        <is>
          <t>Shopify</t>
        </is>
      </c>
    </row>
    <row r="3259">
      <c r="A3259" s="5" t="inlineStr">
        <is>
          <t>Shopify Stetson México › Stetson México</t>
        </is>
      </c>
      <c r="B3259" s="5">
        <f>IF($I2="","",INDEX(Productos!$A:$A,$I2))</f>
        <v/>
      </c>
      <c r="C3259" s="134" t="inlineStr">
        <is>
          <t>SFG160-01402271</t>
        </is>
      </c>
      <c r="D3259" s="5">
        <f>IF($I2="","",INDEX(Productos!$B:$B,$I2))</f>
        <v/>
      </c>
      <c r="E3259" s="5">
        <f>IF($I2="","",INDEX(Productos!$H:$H,$I2))</f>
        <v/>
      </c>
      <c r="F3259" s="5">
        <f>IF($I2="","",INDEX(Productos!$I:$I,$I2))</f>
        <v/>
      </c>
      <c r="G3259" s="135" t="n">
        <v>2</v>
      </c>
      <c r="H3259" s="5">
        <f>IF($I2="","",INDEX(Productos!$AG:$AG,$I2))</f>
        <v/>
      </c>
      <c r="I3259" s="136">
        <f>LET(_xlpm.r,Productos!$E$2:$E$2509,_xlpm.m,IFERROR(_xlfn.XMATCH(C3259,_xlpm.r),IFERROR(_xlfn.XMATCH(VALUE(C3259),_xlpm.r),0)),IF(_xlpm.m=0,"",_xlpm.m+1))</f>
        <v/>
      </c>
      <c r="J3259" s="137" t="inlineStr">
        <is>
          <t>Shopify</t>
        </is>
      </c>
    </row>
    <row r="3260">
      <c r="A3260" s="5" t="inlineStr">
        <is>
          <t>Shopify Stetson México › Stetson México</t>
        </is>
      </c>
      <c r="B3260" s="5">
        <f>IF($I2="","",INDEX(Productos!$A:$A,$I2))</f>
        <v/>
      </c>
      <c r="C3260" s="134" t="inlineStr">
        <is>
          <t>SFG160-01402273</t>
        </is>
      </c>
      <c r="D3260" s="5">
        <f>IF($I2="","",INDEX(Productos!$B:$B,$I2))</f>
        <v/>
      </c>
      <c r="E3260" s="5">
        <f>IF($I2="","",INDEX(Productos!$H:$H,$I2))</f>
        <v/>
      </c>
      <c r="F3260" s="5">
        <f>IF($I2="","",INDEX(Productos!$I:$I,$I2))</f>
        <v/>
      </c>
      <c r="G3260" s="135" t="n">
        <v>1</v>
      </c>
      <c r="H3260" s="5">
        <f>IF($I2="","",INDEX(Productos!$AG:$AG,$I2))</f>
        <v/>
      </c>
      <c r="I3260" s="136">
        <f>LET(_xlpm.r,Productos!$E$2:$E$2509,_xlpm.m,IFERROR(_xlfn.XMATCH(C3260,_xlpm.r),IFERROR(_xlfn.XMATCH(VALUE(C3260),_xlpm.r),0)),IF(_xlpm.m=0,"",_xlpm.m+1))</f>
        <v/>
      </c>
      <c r="J3260" s="137" t="inlineStr">
        <is>
          <t>Shopify</t>
        </is>
      </c>
    </row>
    <row r="3261">
      <c r="A3261" s="5" t="inlineStr">
        <is>
          <t>Shopify Stetson México › Stetson México</t>
        </is>
      </c>
      <c r="B3261" s="5">
        <f>IF($I2="","",INDEX(Productos!$A:$A,$I2))</f>
        <v/>
      </c>
      <c r="C3261" s="134" t="inlineStr">
        <is>
          <t>SFGUDL-48400770</t>
        </is>
      </c>
      <c r="D3261" s="5">
        <f>IF($I2="","",INDEX(Productos!$B:$B,$I2))</f>
        <v/>
      </c>
      <c r="E3261" s="5">
        <f>IF($I2="","",INDEX(Productos!$H:$H,$I2))</f>
        <v/>
      </c>
      <c r="F3261" s="5">
        <f>IF($I2="","",INDEX(Productos!$I:$I,$I2))</f>
        <v/>
      </c>
      <c r="G3261" s="135" t="n">
        <v>1</v>
      </c>
      <c r="H3261" s="5">
        <f>IF($I2="","",INDEX(Productos!$AG:$AG,$I2))</f>
        <v/>
      </c>
      <c r="I3261" s="136">
        <f>LET(_xlpm.r,Productos!$E$2:$E$2509,_xlpm.m,IFERROR(_xlfn.XMATCH(C3261,_xlpm.r),IFERROR(_xlfn.XMATCH(VALUE(C3261),_xlpm.r),0)),IF(_xlpm.m=0,"",_xlpm.m+1))</f>
        <v/>
      </c>
      <c r="J3261" s="137" t="inlineStr">
        <is>
          <t>Shopify</t>
        </is>
      </c>
    </row>
    <row r="3262">
      <c r="A3262" s="5" t="inlineStr">
        <is>
          <t>Shopify Stetson México › Stetson México</t>
        </is>
      </c>
      <c r="B3262" s="5">
        <f>IF($I2="","",INDEX(Productos!$A:$A,$I2))</f>
        <v/>
      </c>
      <c r="C3262" s="134" t="inlineStr">
        <is>
          <t>SFGUDL-48400771</t>
        </is>
      </c>
      <c r="D3262" s="5">
        <f>IF($I2="","",INDEX(Productos!$B:$B,$I2))</f>
        <v/>
      </c>
      <c r="E3262" s="5">
        <f>IF($I2="","",INDEX(Productos!$H:$H,$I2))</f>
        <v/>
      </c>
      <c r="F3262" s="5">
        <f>IF($I2="","",INDEX(Productos!$I:$I,$I2))</f>
        <v/>
      </c>
      <c r="G3262" s="135" t="n">
        <v>1</v>
      </c>
      <c r="H3262" s="5">
        <f>IF($I2="","",INDEX(Productos!$AG:$AG,$I2))</f>
        <v/>
      </c>
      <c r="I3262" s="136">
        <f>LET(_xlpm.r,Productos!$E$2:$E$2509,_xlpm.m,IFERROR(_xlfn.XMATCH(C3262,_xlpm.r),IFERROR(_xlfn.XMATCH(VALUE(C3262),_xlpm.r),0)),IF(_xlpm.m=0,"",_xlpm.m+1))</f>
        <v/>
      </c>
      <c r="J3262" s="137" t="inlineStr">
        <is>
          <t>Shopify</t>
        </is>
      </c>
    </row>
    <row r="3263">
      <c r="A3263" s="5" t="inlineStr">
        <is>
          <t>Shopify Stetson México › Stetson México</t>
        </is>
      </c>
      <c r="B3263" s="5">
        <f>IF($I2="","",INDEX(Productos!$A:$A,$I2))</f>
        <v/>
      </c>
      <c r="C3263" s="134" t="inlineStr">
        <is>
          <t>SFGUDL-48400772</t>
        </is>
      </c>
      <c r="D3263" s="5">
        <f>IF($I2="","",INDEX(Productos!$B:$B,$I2))</f>
        <v/>
      </c>
      <c r="E3263" s="5">
        <f>IF($I2="","",INDEX(Productos!$H:$H,$I2))</f>
        <v/>
      </c>
      <c r="F3263" s="5">
        <f>IF($I2="","",INDEX(Productos!$I:$I,$I2))</f>
        <v/>
      </c>
      <c r="G3263" s="135" t="n">
        <v>2</v>
      </c>
      <c r="H3263" s="5">
        <f>IF($I2="","",INDEX(Productos!$AG:$AG,$I2))</f>
        <v/>
      </c>
      <c r="I3263" s="136">
        <f>LET(_xlpm.r,Productos!$E$2:$E$2509,_xlpm.m,IFERROR(_xlfn.XMATCH(C3263,_xlpm.r),IFERROR(_xlfn.XMATCH(VALUE(C3263),_xlpm.r),0)),IF(_xlpm.m=0,"",_xlpm.m+1))</f>
        <v/>
      </c>
      <c r="J3263" s="137" t="inlineStr">
        <is>
          <t>Shopify</t>
        </is>
      </c>
    </row>
    <row r="3264">
      <c r="A3264" s="5" t="inlineStr">
        <is>
          <t>Shopify Stetson México › Stetson México</t>
        </is>
      </c>
      <c r="B3264" s="5">
        <f>IF($I2="","",INDEX(Productos!$A:$A,$I2))</f>
        <v/>
      </c>
      <c r="C3264" s="134" t="inlineStr">
        <is>
          <t>SFGUDL-48400774</t>
        </is>
      </c>
      <c r="D3264" s="5">
        <f>IF($I2="","",INDEX(Productos!$B:$B,$I2))</f>
        <v/>
      </c>
      <c r="E3264" s="5">
        <f>IF($I2="","",INDEX(Productos!$H:$H,$I2))</f>
        <v/>
      </c>
      <c r="F3264" s="5">
        <f>IF($I2="","",INDEX(Productos!$I:$I,$I2))</f>
        <v/>
      </c>
      <c r="G3264" s="135" t="n">
        <v>1</v>
      </c>
      <c r="H3264" s="5">
        <f>IF($I2="","",INDEX(Productos!$AG:$AG,$I2))</f>
        <v/>
      </c>
      <c r="I3264" s="136">
        <f>LET(_xlpm.r,Productos!$E$2:$E$2509,_xlpm.m,IFERROR(_xlfn.XMATCH(C3264,_xlpm.r),IFERROR(_xlfn.XMATCH(VALUE(C3264),_xlpm.r),0)),IF(_xlpm.m=0,"",_xlpm.m+1))</f>
        <v/>
      </c>
      <c r="J3264" s="137" t="inlineStr">
        <is>
          <t>Shopify</t>
        </is>
      </c>
    </row>
    <row r="3265">
      <c r="A3265" s="5" t="inlineStr">
        <is>
          <t>Shopify Stetson México › Stetson México</t>
        </is>
      </c>
      <c r="B3265" s="5">
        <f>IF($I2="","",INDEX(Productos!$A:$A,$I2))</f>
        <v/>
      </c>
      <c r="C3265" s="134" t="inlineStr">
        <is>
          <t>SFGUDL-48406170</t>
        </is>
      </c>
      <c r="D3265" s="5">
        <f>IF($I2="","",INDEX(Productos!$B:$B,$I2))</f>
        <v/>
      </c>
      <c r="E3265" s="5">
        <f>IF($I2="","",INDEX(Productos!$H:$H,$I2))</f>
        <v/>
      </c>
      <c r="F3265" s="5">
        <f>IF($I2="","",INDEX(Productos!$I:$I,$I2))</f>
        <v/>
      </c>
      <c r="G3265" s="135" t="n">
        <v>1</v>
      </c>
      <c r="H3265" s="5">
        <f>IF($I2="","",INDEX(Productos!$AG:$AG,$I2))</f>
        <v/>
      </c>
      <c r="I3265" s="136">
        <f>LET(_xlpm.r,Productos!$E$2:$E$2509,_xlpm.m,IFERROR(_xlfn.XMATCH(C3265,_xlpm.r),IFERROR(_xlfn.XMATCH(VALUE(C3265),_xlpm.r),0)),IF(_xlpm.m=0,"",_xlpm.m+1))</f>
        <v/>
      </c>
      <c r="J3265" s="137" t="inlineStr">
        <is>
          <t>Shopify</t>
        </is>
      </c>
    </row>
    <row r="3266">
      <c r="A3266" s="5" t="inlineStr">
        <is>
          <t>Shopify Stetson México › Stetson México</t>
        </is>
      </c>
      <c r="B3266" s="5">
        <f>IF($I2="","",INDEX(Productos!$A:$A,$I2))</f>
        <v/>
      </c>
      <c r="C3266" s="134" t="inlineStr">
        <is>
          <t>SFMZCL-01404867</t>
        </is>
      </c>
      <c r="D3266" s="5">
        <f>IF($I2="","",INDEX(Productos!$B:$B,$I2))</f>
        <v/>
      </c>
      <c r="E3266" s="5">
        <f>IF($I2="","",INDEX(Productos!$H:$H,$I2))</f>
        <v/>
      </c>
      <c r="F3266" s="5">
        <f>IF($I2="","",INDEX(Productos!$I:$I,$I2))</f>
        <v/>
      </c>
      <c r="G3266" s="135" t="n">
        <v>2</v>
      </c>
      <c r="H3266" s="5">
        <f>IF($I2="","",INDEX(Productos!$AG:$AG,$I2))</f>
        <v/>
      </c>
      <c r="I3266" s="136">
        <f>LET(_xlpm.r,Productos!$E$2:$E$2509,_xlpm.m,IFERROR(_xlfn.XMATCH(C3266,_xlpm.r),IFERROR(_xlfn.XMATCH(VALUE(C3266),_xlpm.r),0)),IF(_xlpm.m=0,"",_xlpm.m+1))</f>
        <v/>
      </c>
      <c r="J3266" s="137" t="inlineStr">
        <is>
          <t>Shopify</t>
        </is>
      </c>
    </row>
    <row r="3267">
      <c r="A3267" s="5" t="inlineStr">
        <is>
          <t>Shopify Stetson México › Stetson México</t>
        </is>
      </c>
      <c r="B3267" s="5">
        <f>IF($I2="","",INDEX(Productos!$A:$A,$I2))</f>
        <v/>
      </c>
      <c r="C3267" s="134" t="inlineStr">
        <is>
          <t>SFMZCL-01404870</t>
        </is>
      </c>
      <c r="D3267" s="5">
        <f>IF($I2="","",INDEX(Productos!$B:$B,$I2))</f>
        <v/>
      </c>
      <c r="E3267" s="5">
        <f>IF($I2="","",INDEX(Productos!$H:$H,$I2))</f>
        <v/>
      </c>
      <c r="F3267" s="5">
        <f>IF($I2="","",INDEX(Productos!$I:$I,$I2))</f>
        <v/>
      </c>
      <c r="G3267" s="135" t="n">
        <v>3</v>
      </c>
      <c r="H3267" s="5">
        <f>IF($I2="","",INDEX(Productos!$AG:$AG,$I2))</f>
        <v/>
      </c>
      <c r="I3267" s="136">
        <f>LET(_xlpm.r,Productos!$E$2:$E$2509,_xlpm.m,IFERROR(_xlfn.XMATCH(C3267,_xlpm.r),IFERROR(_xlfn.XMATCH(VALUE(C3267),_xlpm.r),0)),IF(_xlpm.m=0,"",_xlpm.m+1))</f>
        <v/>
      </c>
      <c r="J3267" s="137" t="inlineStr">
        <is>
          <t>Shopify</t>
        </is>
      </c>
    </row>
    <row r="3268">
      <c r="A3268" s="5" t="inlineStr">
        <is>
          <t>Shopify Stetson México › Stetson México</t>
        </is>
      </c>
      <c r="B3268" s="5">
        <f>IF($I2="","",INDEX(Productos!$A:$A,$I2))</f>
        <v/>
      </c>
      <c r="C3268" s="134" t="inlineStr">
        <is>
          <t>SFMZCL-01404871</t>
        </is>
      </c>
      <c r="D3268" s="5">
        <f>IF($I2="","",INDEX(Productos!$B:$B,$I2))</f>
        <v/>
      </c>
      <c r="E3268" s="5">
        <f>IF($I2="","",INDEX(Productos!$H:$H,$I2))</f>
        <v/>
      </c>
      <c r="F3268" s="5">
        <f>IF($I2="","",INDEX(Productos!$I:$I,$I2))</f>
        <v/>
      </c>
      <c r="G3268" s="135" t="n">
        <v>3</v>
      </c>
      <c r="H3268" s="5">
        <f>IF($I2="","",INDEX(Productos!$AG:$AG,$I2))</f>
        <v/>
      </c>
      <c r="I3268" s="136">
        <f>LET(_xlpm.r,Productos!$E$2:$E$2509,_xlpm.m,IFERROR(_xlfn.XMATCH(C3268,_xlpm.r),IFERROR(_xlfn.XMATCH(VALUE(C3268),_xlpm.r),0)),IF(_xlpm.m=0,"",_xlpm.m+1))</f>
        <v/>
      </c>
      <c r="J3268" s="137" t="inlineStr">
        <is>
          <t>Shopify</t>
        </is>
      </c>
    </row>
    <row r="3269">
      <c r="A3269" s="5" t="inlineStr">
        <is>
          <t>Shopify Stetson México › Stetson México</t>
        </is>
      </c>
      <c r="B3269" s="5">
        <f>IF($I2="","",INDEX(Productos!$A:$A,$I2))</f>
        <v/>
      </c>
      <c r="C3269" s="134" t="inlineStr">
        <is>
          <t>SFPALC-01400767</t>
        </is>
      </c>
      <c r="D3269" s="5">
        <f>IF($I2="","",INDEX(Productos!$B:$B,$I2))</f>
        <v/>
      </c>
      <c r="E3269" s="5">
        <f>IF($I2="","",INDEX(Productos!$H:$H,$I2))</f>
        <v/>
      </c>
      <c r="F3269" s="5">
        <f>IF($I2="","",INDEX(Productos!$I:$I,$I2))</f>
        <v/>
      </c>
      <c r="G3269" s="135" t="n">
        <v>2</v>
      </c>
      <c r="H3269" s="5">
        <f>IF($I2="","",INDEX(Productos!$AG:$AG,$I2))</f>
        <v/>
      </c>
      <c r="I3269" s="136">
        <f>LET(_xlpm.r,Productos!$E$2:$E$2509,_xlpm.m,IFERROR(_xlfn.XMATCH(C3269,_xlpm.r),IFERROR(_xlfn.XMATCH(VALUE(C3269),_xlpm.r),0)),IF(_xlpm.m=0,"",_xlpm.m+1))</f>
        <v/>
      </c>
      <c r="J3269" s="137" t="inlineStr">
        <is>
          <t>Shopify</t>
        </is>
      </c>
    </row>
    <row r="3270">
      <c r="A3270" s="5" t="inlineStr">
        <is>
          <t>Shopify Stetson México › Stetson México</t>
        </is>
      </c>
      <c r="B3270" s="5">
        <f>IF($I2="","",INDEX(Productos!$A:$A,$I2))</f>
        <v/>
      </c>
      <c r="C3270" s="134" t="inlineStr">
        <is>
          <t>SFPALC-01406170</t>
        </is>
      </c>
      <c r="D3270" s="5">
        <f>IF($I2="","",INDEX(Productos!$B:$B,$I2))</f>
        <v/>
      </c>
      <c r="E3270" s="5">
        <f>IF($I2="","",INDEX(Productos!$H:$H,$I2))</f>
        <v/>
      </c>
      <c r="F3270" s="5">
        <f>IF($I2="","",INDEX(Productos!$I:$I,$I2))</f>
        <v/>
      </c>
      <c r="G3270" s="135" t="n">
        <v>2</v>
      </c>
      <c r="H3270" s="5">
        <f>IF($I2="","",INDEX(Productos!$AG:$AG,$I2))</f>
        <v/>
      </c>
      <c r="I3270" s="136">
        <f>LET(_xlpm.r,Productos!$E$2:$E$2509,_xlpm.m,IFERROR(_xlfn.XMATCH(C3270,_xlpm.r),IFERROR(_xlfn.XMATCH(VALUE(C3270),_xlpm.r),0)),IF(_xlpm.m=0,"",_xlpm.m+1))</f>
        <v/>
      </c>
      <c r="J3270" s="137" t="inlineStr">
        <is>
          <t>Shopify</t>
        </is>
      </c>
    </row>
    <row r="3271">
      <c r="A3271" s="5" t="inlineStr">
        <is>
          <t>Shopify Stetson México › Stetson México</t>
        </is>
      </c>
      <c r="B3271" s="5">
        <f>IF($I2="","",INDEX(Productos!$A:$A,$I2))</f>
        <v/>
      </c>
      <c r="C3271" s="134" t="inlineStr">
        <is>
          <t>SFPALC-01406171</t>
        </is>
      </c>
      <c r="D3271" s="5">
        <f>IF($I2="","",INDEX(Productos!$B:$B,$I2))</f>
        <v/>
      </c>
      <c r="E3271" s="5">
        <f>IF($I2="","",INDEX(Productos!$H:$H,$I2))</f>
        <v/>
      </c>
      <c r="F3271" s="5">
        <f>IF($I2="","",INDEX(Productos!$I:$I,$I2))</f>
        <v/>
      </c>
      <c r="G3271" s="135" t="n">
        <v>3</v>
      </c>
      <c r="H3271" s="5">
        <f>IF($I2="","",INDEX(Productos!$AG:$AG,$I2))</f>
        <v/>
      </c>
      <c r="I3271" s="136">
        <f>LET(_xlpm.r,Productos!$E$2:$E$2509,_xlpm.m,IFERROR(_xlfn.XMATCH(C3271,_xlpm.r),IFERROR(_xlfn.XMATCH(VALUE(C3271),_xlpm.r),0)),IF(_xlpm.m=0,"",_xlpm.m+1))</f>
        <v/>
      </c>
      <c r="J3271" s="137" t="inlineStr">
        <is>
          <t>Shopify</t>
        </is>
      </c>
    </row>
    <row r="3272">
      <c r="A3272" s="5" t="inlineStr">
        <is>
          <t>Shopify Stetson México › Stetson México</t>
        </is>
      </c>
      <c r="B3272" s="5">
        <f>IF($I2="","",INDEX(Productos!$A:$A,$I2))</f>
        <v/>
      </c>
      <c r="C3272" s="134" t="inlineStr">
        <is>
          <t>SFPALC-01406172</t>
        </is>
      </c>
      <c r="D3272" s="5">
        <f>IF($I2="","",INDEX(Productos!$B:$B,$I2))</f>
        <v/>
      </c>
      <c r="E3272" s="5">
        <f>IF($I2="","",INDEX(Productos!$H:$H,$I2))</f>
        <v/>
      </c>
      <c r="F3272" s="5">
        <f>IF($I2="","",INDEX(Productos!$I:$I,$I2))</f>
        <v/>
      </c>
      <c r="G3272" s="135" t="n">
        <v>3</v>
      </c>
      <c r="H3272" s="5">
        <f>IF($I2="","",INDEX(Productos!$AG:$AG,$I2))</f>
        <v/>
      </c>
      <c r="I3272" s="136">
        <f>LET(_xlpm.r,Productos!$E$2:$E$2509,_xlpm.m,IFERROR(_xlfn.XMATCH(C3272,_xlpm.r),IFERROR(_xlfn.XMATCH(VALUE(C3272),_xlpm.r),0)),IF(_xlpm.m=0,"",_xlpm.m+1))</f>
        <v/>
      </c>
      <c r="J3272" s="137" t="inlineStr">
        <is>
          <t>Shopify</t>
        </is>
      </c>
    </row>
    <row r="3273">
      <c r="A3273" s="5" t="inlineStr">
        <is>
          <t>Shopify Stetson México › Stetson México</t>
        </is>
      </c>
      <c r="B3273" s="5">
        <f>IF($I2="","",INDEX(Productos!$A:$A,$I2))</f>
        <v/>
      </c>
      <c r="C3273" s="134" t="inlineStr">
        <is>
          <t>SFPALC-01406173</t>
        </is>
      </c>
      <c r="D3273" s="5">
        <f>IF($I2="","",INDEX(Productos!$B:$B,$I2))</f>
        <v/>
      </c>
      <c r="E3273" s="5">
        <f>IF($I2="","",INDEX(Productos!$H:$H,$I2))</f>
        <v/>
      </c>
      <c r="F3273" s="5">
        <f>IF($I2="","",INDEX(Productos!$I:$I,$I2))</f>
        <v/>
      </c>
      <c r="G3273" s="135" t="n">
        <v>4</v>
      </c>
      <c r="H3273" s="5">
        <f>IF($I2="","",INDEX(Productos!$AG:$AG,$I2))</f>
        <v/>
      </c>
      <c r="I3273" s="136">
        <f>LET(_xlpm.r,Productos!$E$2:$E$2509,_xlpm.m,IFERROR(_xlfn.XMATCH(C3273,_xlpm.r),IFERROR(_xlfn.XMATCH(VALUE(C3273),_xlpm.r),0)),IF(_xlpm.m=0,"",_xlpm.m+1))</f>
        <v/>
      </c>
      <c r="J3273" s="137" t="inlineStr">
        <is>
          <t>Shopify</t>
        </is>
      </c>
    </row>
    <row r="3274">
      <c r="A3274" s="5" t="inlineStr">
        <is>
          <t>Shopify Stetson México › Stetson México</t>
        </is>
      </c>
      <c r="B3274" s="5">
        <f>IF($I2="","",INDEX(Productos!$A:$A,$I2))</f>
        <v/>
      </c>
      <c r="C3274" s="134" t="inlineStr">
        <is>
          <t>SFPRES-01400771</t>
        </is>
      </c>
      <c r="D3274" s="5">
        <f>IF($I2="","",INDEX(Productos!$B:$B,$I2))</f>
        <v/>
      </c>
      <c r="E3274" s="5">
        <f>IF($I2="","",INDEX(Productos!$H:$H,$I2))</f>
        <v/>
      </c>
      <c r="F3274" s="5">
        <f>IF($I2="","",INDEX(Productos!$I:$I,$I2))</f>
        <v/>
      </c>
      <c r="G3274" s="135" t="n">
        <v>1</v>
      </c>
      <c r="H3274" s="5">
        <f>IF($I2="","",INDEX(Productos!$AG:$AG,$I2))</f>
        <v/>
      </c>
      <c r="I3274" s="136">
        <f>LET(_xlpm.r,Productos!$E$2:$E$2509,_xlpm.m,IFERROR(_xlfn.XMATCH(C3274,_xlpm.r),IFERROR(_xlfn.XMATCH(VALUE(C3274),_xlpm.r),0)),IF(_xlpm.m=0,"",_xlpm.m+1))</f>
        <v/>
      </c>
      <c r="J3274" s="137" t="inlineStr">
        <is>
          <t>Shopify</t>
        </is>
      </c>
    </row>
    <row r="3275">
      <c r="A3275" s="5" t="inlineStr">
        <is>
          <t>Shopify Stetson México › Stetson México</t>
        </is>
      </c>
      <c r="B3275" s="5">
        <f>IF($I2="","",INDEX(Productos!$A:$A,$I2))</f>
        <v/>
      </c>
      <c r="C3275" s="134" t="inlineStr">
        <is>
          <t>SFPRES-01400772</t>
        </is>
      </c>
      <c r="D3275" s="5">
        <f>IF($I2="","",INDEX(Productos!$B:$B,$I2))</f>
        <v/>
      </c>
      <c r="E3275" s="5">
        <f>IF($I2="","",INDEX(Productos!$H:$H,$I2))</f>
        <v/>
      </c>
      <c r="F3275" s="5">
        <f>IF($I2="","",INDEX(Productos!$I:$I,$I2))</f>
        <v/>
      </c>
      <c r="G3275" s="135" t="n">
        <v>1</v>
      </c>
      <c r="H3275" s="5">
        <f>IF($I2="","",INDEX(Productos!$AG:$AG,$I2))</f>
        <v/>
      </c>
      <c r="I3275" s="136">
        <f>LET(_xlpm.r,Productos!$E$2:$E$2509,_xlpm.m,IFERROR(_xlfn.XMATCH(C3275,_xlpm.r),IFERROR(_xlfn.XMATCH(VALUE(C3275),_xlpm.r),0)),IF(_xlpm.m=0,"",_xlpm.m+1))</f>
        <v/>
      </c>
      <c r="J3275" s="137" t="inlineStr">
        <is>
          <t>Shopify</t>
        </is>
      </c>
    </row>
    <row r="3276">
      <c r="A3276" s="5" t="inlineStr">
        <is>
          <t>Shopify Stetson México › Stetson México</t>
        </is>
      </c>
      <c r="B3276" s="5">
        <f>IF($I2="","",INDEX(Productos!$A:$A,$I2))</f>
        <v/>
      </c>
      <c r="C3276" s="134" t="inlineStr">
        <is>
          <t>SFPRES-48406172</t>
        </is>
      </c>
      <c r="D3276" s="5">
        <f>IF($I2="","",INDEX(Productos!$B:$B,$I2))</f>
        <v/>
      </c>
      <c r="E3276" s="5">
        <f>IF($I2="","",INDEX(Productos!$H:$H,$I2))</f>
        <v/>
      </c>
      <c r="F3276" s="5">
        <f>IF($I2="","",INDEX(Productos!$I:$I,$I2))</f>
        <v/>
      </c>
      <c r="G3276" s="135" t="n">
        <v>1</v>
      </c>
      <c r="H3276" s="5">
        <f>IF($I2="","",INDEX(Productos!$AG:$AG,$I2))</f>
        <v/>
      </c>
      <c r="I3276" s="136">
        <f>LET(_xlpm.r,Productos!$E$2:$E$2509,_xlpm.m,IFERROR(_xlfn.XMATCH(C3276,_xlpm.r),IFERROR(_xlfn.XMATCH(VALUE(C3276),_xlpm.r),0)),IF(_xlpm.m=0,"",_xlpm.m+1))</f>
        <v/>
      </c>
      <c r="J3276" s="137" t="inlineStr">
        <is>
          <t>Shopify</t>
        </is>
      </c>
    </row>
    <row r="3277">
      <c r="A3277" s="5" t="inlineStr">
        <is>
          <t>Shopify Stetson México › Stetson México</t>
        </is>
      </c>
      <c r="B3277" s="5">
        <f>IF($I2="","",INDEX(Productos!$A:$A,$I2))</f>
        <v/>
      </c>
      <c r="C3277" s="134" t="inlineStr">
        <is>
          <t>SFR160-01400770</t>
        </is>
      </c>
      <c r="D3277" s="5">
        <f>IF($I2="","",INDEX(Productos!$B:$B,$I2))</f>
        <v/>
      </c>
      <c r="E3277" s="5">
        <f>IF($I2="","",INDEX(Productos!$H:$H,$I2))</f>
        <v/>
      </c>
      <c r="F3277" s="5">
        <f>IF($I2="","",INDEX(Productos!$I:$I,$I2))</f>
        <v/>
      </c>
      <c r="G3277" s="135" t="n">
        <v>1</v>
      </c>
      <c r="H3277" s="5">
        <f>IF($I2="","",INDEX(Productos!$AG:$AG,$I2))</f>
        <v/>
      </c>
      <c r="I3277" s="136">
        <f>LET(_xlpm.r,Productos!$E$2:$E$2509,_xlpm.m,IFERROR(_xlfn.XMATCH(C3277,_xlpm.r),IFERROR(_xlfn.XMATCH(VALUE(C3277),_xlpm.r),0)),IF(_xlpm.m=0,"",_xlpm.m+1))</f>
        <v/>
      </c>
      <c r="J3277" s="137" t="inlineStr">
        <is>
          <t>Shopify</t>
        </is>
      </c>
    </row>
    <row r="3278">
      <c r="A3278" s="5" t="inlineStr">
        <is>
          <t>Shopify Stetson México › Stetson México</t>
        </is>
      </c>
      <c r="B3278" s="5">
        <f>IF($I2="","",INDEX(Productos!$A:$A,$I2))</f>
        <v/>
      </c>
      <c r="C3278" s="134" t="inlineStr">
        <is>
          <t>SFR160-01400771</t>
        </is>
      </c>
      <c r="D3278" s="5">
        <f>IF($I2="","",INDEX(Productos!$B:$B,$I2))</f>
        <v/>
      </c>
      <c r="E3278" s="5">
        <f>IF($I2="","",INDEX(Productos!$H:$H,$I2))</f>
        <v/>
      </c>
      <c r="F3278" s="5">
        <f>IF($I2="","",INDEX(Productos!$I:$I,$I2))</f>
        <v/>
      </c>
      <c r="G3278" s="135" t="n">
        <v>4</v>
      </c>
      <c r="H3278" s="5">
        <f>IF($I2="","",INDEX(Productos!$AG:$AG,$I2))</f>
        <v/>
      </c>
      <c r="I3278" s="136">
        <f>LET(_xlpm.r,Productos!$E$2:$E$2509,_xlpm.m,IFERROR(_xlfn.XMATCH(C3278,_xlpm.r),IFERROR(_xlfn.XMATCH(VALUE(C3278),_xlpm.r),0)),IF(_xlpm.m=0,"",_xlpm.m+1))</f>
        <v/>
      </c>
      <c r="J3278" s="137" t="inlineStr">
        <is>
          <t>Shopify</t>
        </is>
      </c>
    </row>
    <row r="3279">
      <c r="A3279" s="5" t="inlineStr">
        <is>
          <t>Shopify Stetson México › Stetson México</t>
        </is>
      </c>
      <c r="B3279" s="5">
        <f>IF($I2="","",INDEX(Productos!$A:$A,$I2))</f>
        <v/>
      </c>
      <c r="C3279" s="134" t="inlineStr">
        <is>
          <t>SFR160-01400772</t>
        </is>
      </c>
      <c r="D3279" s="5">
        <f>IF($I2="","",INDEX(Productos!$B:$B,$I2))</f>
        <v/>
      </c>
      <c r="E3279" s="5">
        <f>IF($I2="","",INDEX(Productos!$H:$H,$I2))</f>
        <v/>
      </c>
      <c r="F3279" s="5">
        <f>IF($I2="","",INDEX(Productos!$I:$I,$I2))</f>
        <v/>
      </c>
      <c r="G3279" s="135" t="n">
        <v>1</v>
      </c>
      <c r="H3279" s="5">
        <f>IF($I2="","",INDEX(Productos!$AG:$AG,$I2))</f>
        <v/>
      </c>
      <c r="I3279" s="136">
        <f>LET(_xlpm.r,Productos!$E$2:$E$2509,_xlpm.m,IFERROR(_xlfn.XMATCH(C3279,_xlpm.r),IFERROR(_xlfn.XMATCH(VALUE(C3279),_xlpm.r),0)),IF(_xlpm.m=0,"",_xlpm.m+1))</f>
        <v/>
      </c>
      <c r="J3279" s="137" t="inlineStr">
        <is>
          <t>Shopify</t>
        </is>
      </c>
    </row>
    <row r="3280">
      <c r="A3280" s="5" t="inlineStr">
        <is>
          <t>Shopify Stetson México › Stetson México</t>
        </is>
      </c>
      <c r="B3280" s="5">
        <f>IF($I2="","",INDEX(Productos!$A:$A,$I2))</f>
        <v/>
      </c>
      <c r="C3280" s="134" t="inlineStr">
        <is>
          <t>SFR160-01400773</t>
        </is>
      </c>
      <c r="D3280" s="5">
        <f>IF($I2="","",INDEX(Productos!$B:$B,$I2))</f>
        <v/>
      </c>
      <c r="E3280" s="5">
        <f>IF($I2="","",INDEX(Productos!$H:$H,$I2))</f>
        <v/>
      </c>
      <c r="F3280" s="5">
        <f>IF($I2="","",INDEX(Productos!$I:$I,$I2))</f>
        <v/>
      </c>
      <c r="G3280" s="135" t="n">
        <v>5</v>
      </c>
      <c r="H3280" s="5">
        <f>IF($I2="","",INDEX(Productos!$AG:$AG,$I2))</f>
        <v/>
      </c>
      <c r="I3280" s="136">
        <f>LET(_xlpm.r,Productos!$E$2:$E$2509,_xlpm.m,IFERROR(_xlfn.XMATCH(C3280,_xlpm.r),IFERROR(_xlfn.XMATCH(VALUE(C3280),_xlpm.r),0)),IF(_xlpm.m=0,"",_xlpm.m+1))</f>
        <v/>
      </c>
      <c r="J3280" s="137" t="inlineStr">
        <is>
          <t>Shopify</t>
        </is>
      </c>
    </row>
    <row r="3281">
      <c r="A3281" s="5" t="inlineStr">
        <is>
          <t>Shopify Stetson México › Stetson México</t>
        </is>
      </c>
      <c r="B3281" s="5">
        <f>IF($I2="","",INDEX(Productos!$A:$A,$I2))</f>
        <v/>
      </c>
      <c r="C3281" s="134" t="inlineStr">
        <is>
          <t>SFR160-01406172</t>
        </is>
      </c>
      <c r="D3281" s="5">
        <f>IF($I2="","",INDEX(Productos!$B:$B,$I2))</f>
        <v/>
      </c>
      <c r="E3281" s="5">
        <f>IF($I2="","",INDEX(Productos!$H:$H,$I2))</f>
        <v/>
      </c>
      <c r="F3281" s="5">
        <f>IF($I2="","",INDEX(Productos!$I:$I,$I2))</f>
        <v/>
      </c>
      <c r="G3281" s="135" t="n">
        <v>1</v>
      </c>
      <c r="H3281" s="5">
        <f>IF($I2="","",INDEX(Productos!$AG:$AG,$I2))</f>
        <v/>
      </c>
      <c r="I3281" s="136">
        <f>LET(_xlpm.r,Productos!$E$2:$E$2509,_xlpm.m,IFERROR(_xlfn.XMATCH(C3281,_xlpm.r),IFERROR(_xlfn.XMATCH(VALUE(C3281),_xlpm.r),0)),IF(_xlpm.m=0,"",_xlpm.m+1))</f>
        <v/>
      </c>
      <c r="J3281" s="137" t="inlineStr">
        <is>
          <t>Shopify</t>
        </is>
      </c>
    </row>
    <row r="3282">
      <c r="A3282" s="5" t="inlineStr">
        <is>
          <t>Shopify Stetson México › Stetson México</t>
        </is>
      </c>
      <c r="B3282" s="5">
        <f>IF($I2="","",INDEX(Productos!$A:$A,$I2))</f>
        <v/>
      </c>
      <c r="C3282" s="134" t="inlineStr">
        <is>
          <t>SFRNCH-01400770</t>
        </is>
      </c>
      <c r="D3282" s="5">
        <f>IF($I2="","",INDEX(Productos!$B:$B,$I2))</f>
        <v/>
      </c>
      <c r="E3282" s="5">
        <f>IF($I2="","",INDEX(Productos!$H:$H,$I2))</f>
        <v/>
      </c>
      <c r="F3282" s="5">
        <f>IF($I2="","",INDEX(Productos!$I:$I,$I2))</f>
        <v/>
      </c>
      <c r="G3282" s="135" t="n">
        <v>1</v>
      </c>
      <c r="H3282" s="5">
        <f>IF($I2="","",INDEX(Productos!$AG:$AG,$I2))</f>
        <v/>
      </c>
      <c r="I3282" s="136">
        <f>LET(_xlpm.r,Productos!$E$2:$E$2509,_xlpm.m,IFERROR(_xlfn.XMATCH(C3282,_xlpm.r),IFERROR(_xlfn.XMATCH(VALUE(C3282),_xlpm.r),0)),IF(_xlpm.m=0,"",_xlpm.m+1))</f>
        <v/>
      </c>
      <c r="J3282" s="137" t="inlineStr">
        <is>
          <t>Shopify</t>
        </is>
      </c>
    </row>
    <row r="3283">
      <c r="A3283" s="5" t="inlineStr">
        <is>
          <t>Shopify Stetson México › Stetson México</t>
        </is>
      </c>
      <c r="B3283" s="5">
        <f>IF($I2="","",INDEX(Productos!$A:$A,$I2))</f>
        <v/>
      </c>
      <c r="C3283" s="134" t="inlineStr">
        <is>
          <t>SFRNCH-01400771</t>
        </is>
      </c>
      <c r="D3283" s="5">
        <f>IF($I2="","",INDEX(Productos!$B:$B,$I2))</f>
        <v/>
      </c>
      <c r="E3283" s="5">
        <f>IF($I2="","",INDEX(Productos!$H:$H,$I2))</f>
        <v/>
      </c>
      <c r="F3283" s="5">
        <f>IF($I2="","",INDEX(Productos!$I:$I,$I2))</f>
        <v/>
      </c>
      <c r="G3283" s="135" t="n">
        <v>3</v>
      </c>
      <c r="H3283" s="5">
        <f>IF($I2="","",INDEX(Productos!$AG:$AG,$I2))</f>
        <v/>
      </c>
      <c r="I3283" s="136">
        <f>LET(_xlpm.r,Productos!$E$2:$E$2509,_xlpm.m,IFERROR(_xlfn.XMATCH(C3283,_xlpm.r),IFERROR(_xlfn.XMATCH(VALUE(C3283),_xlpm.r),0)),IF(_xlpm.m=0,"",_xlpm.m+1))</f>
        <v/>
      </c>
      <c r="J3283" s="137" t="inlineStr">
        <is>
          <t>Shopify</t>
        </is>
      </c>
    </row>
    <row r="3284">
      <c r="A3284" s="5" t="inlineStr">
        <is>
          <t>Shopify Stetson México › Stetson México</t>
        </is>
      </c>
      <c r="B3284" s="5">
        <f>IF($I2="","",INDEX(Productos!$A:$A,$I2))</f>
        <v/>
      </c>
      <c r="C3284" s="134" t="inlineStr">
        <is>
          <t>SFRNCH-01400772</t>
        </is>
      </c>
      <c r="D3284" s="5">
        <f>IF($I2="","",INDEX(Productos!$B:$B,$I2))</f>
        <v/>
      </c>
      <c r="E3284" s="5">
        <f>IF($I2="","",INDEX(Productos!$H:$H,$I2))</f>
        <v/>
      </c>
      <c r="F3284" s="5">
        <f>IF($I2="","",INDEX(Productos!$I:$I,$I2))</f>
        <v/>
      </c>
      <c r="G3284" s="135" t="n">
        <v>1</v>
      </c>
      <c r="H3284" s="5">
        <f>IF($I2="","",INDEX(Productos!$AG:$AG,$I2))</f>
        <v/>
      </c>
      <c r="I3284" s="136">
        <f>LET(_xlpm.r,Productos!$E$2:$E$2509,_xlpm.m,IFERROR(_xlfn.XMATCH(C3284,_xlpm.r),IFERROR(_xlfn.XMATCH(VALUE(C3284),_xlpm.r),0)),IF(_xlpm.m=0,"",_xlpm.m+1))</f>
        <v/>
      </c>
      <c r="J3284" s="137" t="inlineStr">
        <is>
          <t>Shopify</t>
        </is>
      </c>
    </row>
    <row r="3285">
      <c r="A3285" s="5" t="inlineStr">
        <is>
          <t>Shopify Stetson México › Stetson México</t>
        </is>
      </c>
      <c r="B3285" s="5">
        <f>IF($I2="","",INDEX(Productos!$A:$A,$I2))</f>
        <v/>
      </c>
      <c r="C3285" s="134" t="inlineStr">
        <is>
          <t>SFRNCH-01400773</t>
        </is>
      </c>
      <c r="D3285" s="5">
        <f>IF($I2="","",INDEX(Productos!$B:$B,$I2))</f>
        <v/>
      </c>
      <c r="E3285" s="5">
        <f>IF($I2="","",INDEX(Productos!$H:$H,$I2))</f>
        <v/>
      </c>
      <c r="F3285" s="5">
        <f>IF($I2="","",INDEX(Productos!$I:$I,$I2))</f>
        <v/>
      </c>
      <c r="G3285" s="135" t="n">
        <v>3</v>
      </c>
      <c r="H3285" s="5">
        <f>IF($I2="","",INDEX(Productos!$AG:$AG,$I2))</f>
        <v/>
      </c>
      <c r="I3285" s="136">
        <f>LET(_xlpm.r,Productos!$E$2:$E$2509,_xlpm.m,IFERROR(_xlfn.XMATCH(C3285,_xlpm.r),IFERROR(_xlfn.XMATCH(VALUE(C3285),_xlpm.r),0)),IF(_xlpm.m=0,"",_xlpm.m+1))</f>
        <v/>
      </c>
      <c r="J3285" s="137" t="inlineStr">
        <is>
          <t>Shopify</t>
        </is>
      </c>
    </row>
    <row r="3286">
      <c r="A3286" s="5" t="inlineStr">
        <is>
          <t>Shopify Stetson México › Stetson México</t>
        </is>
      </c>
      <c r="B3286" s="5">
        <f>IF($I2="","",INDEX(Productos!$A:$A,$I2))</f>
        <v/>
      </c>
      <c r="C3286" s="134" t="inlineStr">
        <is>
          <t>SFRNCH-01402270</t>
        </is>
      </c>
      <c r="D3286" s="5">
        <f>IF($I2="","",INDEX(Productos!$B:$B,$I2))</f>
        <v/>
      </c>
      <c r="E3286" s="5">
        <f>IF($I2="","",INDEX(Productos!$H:$H,$I2))</f>
        <v/>
      </c>
      <c r="F3286" s="5">
        <f>IF($I2="","",INDEX(Productos!$I:$I,$I2))</f>
        <v/>
      </c>
      <c r="G3286" s="135" t="n">
        <v>1</v>
      </c>
      <c r="H3286" s="5">
        <f>IF($I2="","",INDEX(Productos!$AG:$AG,$I2))</f>
        <v/>
      </c>
      <c r="I3286" s="136">
        <f>LET(_xlpm.r,Productos!$E$2:$E$2509,_xlpm.m,IFERROR(_xlfn.XMATCH(C3286,_xlpm.r),IFERROR(_xlfn.XMATCH(VALUE(C3286),_xlpm.r),0)),IF(_xlpm.m=0,"",_xlpm.m+1))</f>
        <v/>
      </c>
      <c r="J3286" s="137" t="inlineStr">
        <is>
          <t>Shopify</t>
        </is>
      </c>
    </row>
    <row r="3287">
      <c r="A3287" s="5" t="inlineStr">
        <is>
          <t>Shopify Stetson México › Stetson México</t>
        </is>
      </c>
      <c r="B3287" s="5">
        <f>IF($I2="","",INDEX(Productos!$A:$A,$I2))</f>
        <v/>
      </c>
      <c r="C3287" s="134" t="inlineStr">
        <is>
          <t>SFRNCH-01402271</t>
        </is>
      </c>
      <c r="D3287" s="5">
        <f>IF($I2="","",INDEX(Productos!$B:$B,$I2))</f>
        <v/>
      </c>
      <c r="E3287" s="5">
        <f>IF($I2="","",INDEX(Productos!$H:$H,$I2))</f>
        <v/>
      </c>
      <c r="F3287" s="5">
        <f>IF($I2="","",INDEX(Productos!$I:$I,$I2))</f>
        <v/>
      </c>
      <c r="G3287" s="135" t="n">
        <v>1</v>
      </c>
      <c r="H3287" s="5">
        <f>IF($I2="","",INDEX(Productos!$AG:$AG,$I2))</f>
        <v/>
      </c>
      <c r="I3287" s="136">
        <f>LET(_xlpm.r,Productos!$E$2:$E$2509,_xlpm.m,IFERROR(_xlfn.XMATCH(C3287,_xlpm.r),IFERROR(_xlfn.XMATCH(VALUE(C3287),_xlpm.r),0)),IF(_xlpm.m=0,"",_xlpm.m+1))</f>
        <v/>
      </c>
      <c r="J3287" s="137" t="inlineStr">
        <is>
          <t>Shopify</t>
        </is>
      </c>
    </row>
    <row r="3288">
      <c r="A3288" s="5" t="inlineStr">
        <is>
          <t>Shopify Stetson México › Stetson México</t>
        </is>
      </c>
      <c r="B3288" s="5">
        <f>IF($I2="","",INDEX(Productos!$A:$A,$I2))</f>
        <v/>
      </c>
      <c r="C3288" s="134" t="inlineStr">
        <is>
          <t>SFRNCH-01402272</t>
        </is>
      </c>
      <c r="D3288" s="5">
        <f>IF($I2="","",INDEX(Productos!$B:$B,$I2))</f>
        <v/>
      </c>
      <c r="E3288" s="5">
        <f>IF($I2="","",INDEX(Productos!$H:$H,$I2))</f>
        <v/>
      </c>
      <c r="F3288" s="5">
        <f>IF($I2="","",INDEX(Productos!$I:$I,$I2))</f>
        <v/>
      </c>
      <c r="G3288" s="135" t="n">
        <v>2</v>
      </c>
      <c r="H3288" s="5">
        <f>IF($I2="","",INDEX(Productos!$AG:$AG,$I2))</f>
        <v/>
      </c>
      <c r="I3288" s="136">
        <f>LET(_xlpm.r,Productos!$E$2:$E$2509,_xlpm.m,IFERROR(_xlfn.XMATCH(C3288,_xlpm.r),IFERROR(_xlfn.XMATCH(VALUE(C3288),_xlpm.r),0)),IF(_xlpm.m=0,"",_xlpm.m+1))</f>
        <v/>
      </c>
      <c r="J3288" s="137" t="inlineStr">
        <is>
          <t>Shopify</t>
        </is>
      </c>
    </row>
    <row r="3289">
      <c r="A3289" s="5" t="inlineStr">
        <is>
          <t>Shopify Stetson México › Stetson México</t>
        </is>
      </c>
      <c r="B3289" s="5">
        <f>IF($I2="","",INDEX(Productos!$A:$A,$I2))</f>
        <v/>
      </c>
      <c r="C3289" s="134" t="inlineStr">
        <is>
          <t>SFRNCH-01402273</t>
        </is>
      </c>
      <c r="D3289" s="5">
        <f>IF($I2="","",INDEX(Productos!$B:$B,$I2))</f>
        <v/>
      </c>
      <c r="E3289" s="5">
        <f>IF($I2="","",INDEX(Productos!$H:$H,$I2))</f>
        <v/>
      </c>
      <c r="F3289" s="5">
        <f>IF($I2="","",INDEX(Productos!$I:$I,$I2))</f>
        <v/>
      </c>
      <c r="G3289" s="135" t="n">
        <v>1</v>
      </c>
      <c r="H3289" s="5">
        <f>IF($I2="","",INDEX(Productos!$AG:$AG,$I2))</f>
        <v/>
      </c>
      <c r="I3289" s="136">
        <f>LET(_xlpm.r,Productos!$E$2:$E$2509,_xlpm.m,IFERROR(_xlfn.XMATCH(C3289,_xlpm.r),IFERROR(_xlfn.XMATCH(VALUE(C3289),_xlpm.r),0)),IF(_xlpm.m=0,"",_xlpm.m+1))</f>
        <v/>
      </c>
      <c r="J3289" s="137" t="inlineStr">
        <is>
          <t>Shopify</t>
        </is>
      </c>
    </row>
    <row r="3290">
      <c r="A3290" s="5" t="inlineStr">
        <is>
          <t>Shopify Stetson México › Stetson México</t>
        </is>
      </c>
      <c r="B3290" s="5">
        <f>IF($I2="","",INDEX(Productos!$A:$A,$I2))</f>
        <v/>
      </c>
      <c r="C3290" s="134" t="inlineStr">
        <is>
          <t>SFRNCH-01403572</t>
        </is>
      </c>
      <c r="D3290" s="5">
        <f>IF($I2="","",INDEX(Productos!$B:$B,$I2))</f>
        <v/>
      </c>
      <c r="E3290" s="5">
        <f>IF($I2="","",INDEX(Productos!$H:$H,$I2))</f>
        <v/>
      </c>
      <c r="F3290" s="5">
        <f>IF($I2="","",INDEX(Productos!$I:$I,$I2))</f>
        <v/>
      </c>
      <c r="G3290" s="135" t="n">
        <v>1</v>
      </c>
      <c r="H3290" s="5">
        <f>IF($I2="","",INDEX(Productos!$AG:$AG,$I2))</f>
        <v/>
      </c>
      <c r="I3290" s="136">
        <f>LET(_xlpm.r,Productos!$E$2:$E$2509,_xlpm.m,IFERROR(_xlfn.XMATCH(C3290,_xlpm.r),IFERROR(_xlfn.XMATCH(VALUE(C3290),_xlpm.r),0)),IF(_xlpm.m=0,"",_xlpm.m+1))</f>
        <v/>
      </c>
      <c r="J3290" s="137" t="inlineStr">
        <is>
          <t>Shopify</t>
        </is>
      </c>
    </row>
    <row r="3291">
      <c r="A3291" s="5" t="inlineStr">
        <is>
          <t>Shopify Stetson México › Stetson México</t>
        </is>
      </c>
      <c r="B3291" s="5">
        <f>IF($I2="","",INDEX(Productos!$A:$A,$I2))</f>
        <v/>
      </c>
      <c r="C3291" s="134" t="inlineStr">
        <is>
          <t>SFRNCH-01406170</t>
        </is>
      </c>
      <c r="D3291" s="5">
        <f>IF($I2="","",INDEX(Productos!$B:$B,$I2))</f>
        <v/>
      </c>
      <c r="E3291" s="5">
        <f>IF($I2="","",INDEX(Productos!$H:$H,$I2))</f>
        <v/>
      </c>
      <c r="F3291" s="5">
        <f>IF($I2="","",INDEX(Productos!$I:$I,$I2))</f>
        <v/>
      </c>
      <c r="G3291" s="135" t="n">
        <v>1</v>
      </c>
      <c r="H3291" s="5">
        <f>IF($I2="","",INDEX(Productos!$AG:$AG,$I2))</f>
        <v/>
      </c>
      <c r="I3291" s="136">
        <f>LET(_xlpm.r,Productos!$E$2:$E$2509,_xlpm.m,IFERROR(_xlfn.XMATCH(C3291,_xlpm.r),IFERROR(_xlfn.XMATCH(VALUE(C3291),_xlpm.r),0)),IF(_xlpm.m=0,"",_xlpm.m+1))</f>
        <v/>
      </c>
      <c r="J3291" s="137" t="inlineStr">
        <is>
          <t>Shopify</t>
        </is>
      </c>
    </row>
    <row r="3292">
      <c r="A3292" s="5" t="inlineStr">
        <is>
          <t>Shopify Stetson México › Stetson México</t>
        </is>
      </c>
      <c r="B3292" s="5">
        <f>IF($I2="","",INDEX(Productos!$A:$A,$I2))</f>
        <v/>
      </c>
      <c r="C3292" s="134" t="inlineStr">
        <is>
          <t>SFRNCH-01408873</t>
        </is>
      </c>
      <c r="D3292" s="5">
        <f>IF($I2="","",INDEX(Productos!$B:$B,$I2))</f>
        <v/>
      </c>
      <c r="E3292" s="5">
        <f>IF($I2="","",INDEX(Productos!$H:$H,$I2))</f>
        <v/>
      </c>
      <c r="F3292" s="5">
        <f>IF($I2="","",INDEX(Productos!$I:$I,$I2))</f>
        <v/>
      </c>
      <c r="G3292" s="135" t="n">
        <v>2</v>
      </c>
      <c r="H3292" s="5">
        <f>IF($I2="","",INDEX(Productos!$AG:$AG,$I2))</f>
        <v/>
      </c>
      <c r="I3292" s="136">
        <f>LET(_xlpm.r,Productos!$E$2:$E$2509,_xlpm.m,IFERROR(_xlfn.XMATCH(C3292,_xlpm.r),IFERROR(_xlfn.XMATCH(VALUE(C3292),_xlpm.r),0)),IF(_xlpm.m=0,"",_xlpm.m+1))</f>
        <v/>
      </c>
      <c r="J3292" s="137" t="inlineStr">
        <is>
          <t>Shopify</t>
        </is>
      </c>
    </row>
    <row r="3293">
      <c r="A3293" s="5" t="inlineStr">
        <is>
          <t>Shopify Stetson México › Stetson México</t>
        </is>
      </c>
      <c r="B3293" s="5">
        <f>IF($I2="","",INDEX(Productos!$A:$A,$I2))</f>
        <v/>
      </c>
      <c r="C3293" s="134" t="inlineStr">
        <is>
          <t>SFROPR-75400770</t>
        </is>
      </c>
      <c r="D3293" s="5">
        <f>IF($I2="","",INDEX(Productos!$B:$B,$I2))</f>
        <v/>
      </c>
      <c r="E3293" s="5">
        <f>IF($I2="","",INDEX(Productos!$H:$H,$I2))</f>
        <v/>
      </c>
      <c r="F3293" s="5">
        <f>IF($I2="","",INDEX(Productos!$I:$I,$I2))</f>
        <v/>
      </c>
      <c r="G3293" s="135" t="n">
        <v>1</v>
      </c>
      <c r="H3293" s="5">
        <f>IF($I2="","",INDEX(Productos!$AG:$AG,$I2))</f>
        <v/>
      </c>
      <c r="I3293" s="136">
        <f>LET(_xlpm.r,Productos!$E$2:$E$2509,_xlpm.m,IFERROR(_xlfn.XMATCH(C3293,_xlpm.r),IFERROR(_xlfn.XMATCH(VALUE(C3293),_xlpm.r),0)),IF(_xlpm.m=0,"",_xlpm.m+1))</f>
        <v/>
      </c>
      <c r="J3293" s="137" t="inlineStr">
        <is>
          <t>Shopify</t>
        </is>
      </c>
    </row>
    <row r="3294">
      <c r="A3294" s="5" t="inlineStr">
        <is>
          <t>Shopify Stetson México › Stetson México</t>
        </is>
      </c>
      <c r="B3294" s="5">
        <f>IF($I2="","",INDEX(Productos!$A:$A,$I2))</f>
        <v/>
      </c>
      <c r="C3294" s="134" t="inlineStr">
        <is>
          <t>SFROPR-75400771</t>
        </is>
      </c>
      <c r="D3294" s="5">
        <f>IF($I2="","",INDEX(Productos!$B:$B,$I2))</f>
        <v/>
      </c>
      <c r="E3294" s="5">
        <f>IF($I2="","",INDEX(Productos!$H:$H,$I2))</f>
        <v/>
      </c>
      <c r="F3294" s="5">
        <f>IF($I2="","",INDEX(Productos!$I:$I,$I2))</f>
        <v/>
      </c>
      <c r="G3294" s="135" t="n">
        <v>1</v>
      </c>
      <c r="H3294" s="5">
        <f>IF($I2="","",INDEX(Productos!$AG:$AG,$I2))</f>
        <v/>
      </c>
      <c r="I3294" s="136">
        <f>LET(_xlpm.r,Productos!$E$2:$E$2509,_xlpm.m,IFERROR(_xlfn.XMATCH(C3294,_xlpm.r),IFERROR(_xlfn.XMATCH(VALUE(C3294),_xlpm.r),0)),IF(_xlpm.m=0,"",_xlpm.m+1))</f>
        <v/>
      </c>
      <c r="J3294" s="137" t="inlineStr">
        <is>
          <t>Shopify</t>
        </is>
      </c>
    </row>
    <row r="3295">
      <c r="A3295" s="5" t="inlineStr">
        <is>
          <t>Shopify Stetson México › Stetson México</t>
        </is>
      </c>
      <c r="B3295" s="5">
        <f>IF($I2="","",INDEX(Productos!$A:$A,$I2))</f>
        <v/>
      </c>
      <c r="C3295" s="134" t="inlineStr">
        <is>
          <t>SFROPR-75400772</t>
        </is>
      </c>
      <c r="D3295" s="5">
        <f>IF($I2="","",INDEX(Productos!$B:$B,$I2))</f>
        <v/>
      </c>
      <c r="E3295" s="5">
        <f>IF($I2="","",INDEX(Productos!$H:$H,$I2))</f>
        <v/>
      </c>
      <c r="F3295" s="5">
        <f>IF($I2="","",INDEX(Productos!$I:$I,$I2))</f>
        <v/>
      </c>
      <c r="G3295" s="135" t="n">
        <v>1</v>
      </c>
      <c r="H3295" s="5">
        <f>IF($I2="","",INDEX(Productos!$AG:$AG,$I2))</f>
        <v/>
      </c>
      <c r="I3295" s="136">
        <f>LET(_xlpm.r,Productos!$E$2:$E$2509,_xlpm.m,IFERROR(_xlfn.XMATCH(C3295,_xlpm.r),IFERROR(_xlfn.XMATCH(VALUE(C3295),_xlpm.r),0)),IF(_xlpm.m=0,"",_xlpm.m+1))</f>
        <v/>
      </c>
      <c r="J3295" s="137" t="inlineStr">
        <is>
          <t>Shopify</t>
        </is>
      </c>
    </row>
    <row r="3296">
      <c r="A3296" s="5" t="inlineStr">
        <is>
          <t>Shopify Stetson México › Stetson México</t>
        </is>
      </c>
      <c r="B3296" s="5">
        <f>IF($I2="","",INDEX(Productos!$A:$A,$I2))</f>
        <v/>
      </c>
      <c r="C3296" s="134" t="inlineStr">
        <is>
          <t>SFROPR-75400773</t>
        </is>
      </c>
      <c r="D3296" s="5">
        <f>IF($I2="","",INDEX(Productos!$B:$B,$I2))</f>
        <v/>
      </c>
      <c r="E3296" s="5">
        <f>IF($I2="","",INDEX(Productos!$H:$H,$I2))</f>
        <v/>
      </c>
      <c r="F3296" s="5">
        <f>IF($I2="","",INDEX(Productos!$I:$I,$I2))</f>
        <v/>
      </c>
      <c r="G3296" s="135" t="n">
        <v>2</v>
      </c>
      <c r="H3296" s="5">
        <f>IF($I2="","",INDEX(Productos!$AG:$AG,$I2))</f>
        <v/>
      </c>
      <c r="I3296" s="136">
        <f>LET(_xlpm.r,Productos!$E$2:$E$2509,_xlpm.m,IFERROR(_xlfn.XMATCH(C3296,_xlpm.r),IFERROR(_xlfn.XMATCH(VALUE(C3296),_xlpm.r),0)),IF(_xlpm.m=0,"",_xlpm.m+1))</f>
        <v/>
      </c>
      <c r="J3296" s="137" t="inlineStr">
        <is>
          <t>Shopify</t>
        </is>
      </c>
    </row>
    <row r="3297">
      <c r="A3297" s="5" t="inlineStr">
        <is>
          <t>Shopify Stetson México › Stetson México</t>
        </is>
      </c>
      <c r="B3297" s="5">
        <f>IF($I2="","",INDEX(Productos!$A:$A,$I2))</f>
        <v/>
      </c>
      <c r="C3297" s="134" t="inlineStr">
        <is>
          <t>SFROPR-75406170</t>
        </is>
      </c>
      <c r="D3297" s="5">
        <f>IF($I2="","",INDEX(Productos!$B:$B,$I2))</f>
        <v/>
      </c>
      <c r="E3297" s="5">
        <f>IF($I2="","",INDEX(Productos!$H:$H,$I2))</f>
        <v/>
      </c>
      <c r="F3297" s="5">
        <f>IF($I2="","",INDEX(Productos!$I:$I,$I2))</f>
        <v/>
      </c>
      <c r="G3297" s="135" t="n">
        <v>1</v>
      </c>
      <c r="H3297" s="5">
        <f>IF($I2="","",INDEX(Productos!$AG:$AG,$I2))</f>
        <v/>
      </c>
      <c r="I3297" s="136">
        <f>LET(_xlpm.r,Productos!$E$2:$E$2509,_xlpm.m,IFERROR(_xlfn.XMATCH(C3297,_xlpm.r),IFERROR(_xlfn.XMATCH(VALUE(C3297),_xlpm.r),0)),IF(_xlpm.m=0,"",_xlpm.m+1))</f>
        <v/>
      </c>
      <c r="J3297" s="137" t="inlineStr">
        <is>
          <t>Shopify</t>
        </is>
      </c>
    </row>
    <row r="3298">
      <c r="A3298" s="5" t="inlineStr">
        <is>
          <t>Shopify Stetson México › Stetson México</t>
        </is>
      </c>
      <c r="B3298" s="5">
        <f>IF($I2="","",INDEX(Productos!$A:$A,$I2))</f>
        <v/>
      </c>
      <c r="C3298" s="134" t="inlineStr">
        <is>
          <t>SFROPR-75406171</t>
        </is>
      </c>
      <c r="D3298" s="5">
        <f>IF($I2="","",INDEX(Productos!$B:$B,$I2))</f>
        <v/>
      </c>
      <c r="E3298" s="5">
        <f>IF($I2="","",INDEX(Productos!$H:$H,$I2))</f>
        <v/>
      </c>
      <c r="F3298" s="5">
        <f>IF($I2="","",INDEX(Productos!$I:$I,$I2))</f>
        <v/>
      </c>
      <c r="G3298" s="135" t="n">
        <v>4</v>
      </c>
      <c r="H3298" s="5">
        <f>IF($I2="","",INDEX(Productos!$AG:$AG,$I2))</f>
        <v/>
      </c>
      <c r="I3298" s="136">
        <f>LET(_xlpm.r,Productos!$E$2:$E$2509,_xlpm.m,IFERROR(_xlfn.XMATCH(C3298,_xlpm.r),IFERROR(_xlfn.XMATCH(VALUE(C3298),_xlpm.r),0)),IF(_xlpm.m=0,"",_xlpm.m+1))</f>
        <v/>
      </c>
      <c r="J3298" s="137" t="inlineStr">
        <is>
          <t>Shopify</t>
        </is>
      </c>
    </row>
    <row r="3299">
      <c r="A3299" s="5" t="inlineStr">
        <is>
          <t>Shopify Stetson México › Stetson México</t>
        </is>
      </c>
      <c r="B3299" s="5">
        <f>IF($I2="","",INDEX(Productos!$A:$A,$I2))</f>
        <v/>
      </c>
      <c r="C3299" s="134" t="inlineStr">
        <is>
          <t>SFROPR-75406172</t>
        </is>
      </c>
      <c r="D3299" s="5">
        <f>IF($I2="","",INDEX(Productos!$B:$B,$I2))</f>
        <v/>
      </c>
      <c r="E3299" s="5">
        <f>IF($I2="","",INDEX(Productos!$H:$H,$I2))</f>
        <v/>
      </c>
      <c r="F3299" s="5">
        <f>IF($I2="","",INDEX(Productos!$I:$I,$I2))</f>
        <v/>
      </c>
      <c r="G3299" s="135" t="n">
        <v>3</v>
      </c>
      <c r="H3299" s="5">
        <f>IF($I2="","",INDEX(Productos!$AG:$AG,$I2))</f>
        <v/>
      </c>
      <c r="I3299" s="136">
        <f>LET(_xlpm.r,Productos!$E$2:$E$2509,_xlpm.m,IFERROR(_xlfn.XMATCH(C3299,_xlpm.r),IFERROR(_xlfn.XMATCH(VALUE(C3299),_xlpm.r),0)),IF(_xlpm.m=0,"",_xlpm.m+1))</f>
        <v/>
      </c>
      <c r="J3299" s="137" t="inlineStr">
        <is>
          <t>Shopify</t>
        </is>
      </c>
    </row>
    <row r="3300">
      <c r="A3300" s="5" t="inlineStr">
        <is>
          <t>Shopify Stetson México › Stetson México</t>
        </is>
      </c>
      <c r="B3300" s="5">
        <f>IF($I2="","",INDEX(Productos!$A:$A,$I2))</f>
        <v/>
      </c>
      <c r="C3300" s="134" t="inlineStr">
        <is>
          <t>SFROPR-75406173</t>
        </is>
      </c>
      <c r="D3300" s="5">
        <f>IF($I2="","",INDEX(Productos!$B:$B,$I2))</f>
        <v/>
      </c>
      <c r="E3300" s="5">
        <f>IF($I2="","",INDEX(Productos!$H:$H,$I2))</f>
        <v/>
      </c>
      <c r="F3300" s="5">
        <f>IF($I2="","",INDEX(Productos!$I:$I,$I2))</f>
        <v/>
      </c>
      <c r="G3300" s="135" t="n">
        <v>3</v>
      </c>
      <c r="H3300" s="5">
        <f>IF($I2="","",INDEX(Productos!$AG:$AG,$I2))</f>
        <v/>
      </c>
      <c r="I3300" s="136">
        <f>LET(_xlpm.r,Productos!$E$2:$E$2509,_xlpm.m,IFERROR(_xlfn.XMATCH(C3300,_xlpm.r),IFERROR(_xlfn.XMATCH(VALUE(C3300),_xlpm.r),0)),IF(_xlpm.m=0,"",_xlpm.m+1))</f>
        <v/>
      </c>
      <c r="J3300" s="137" t="inlineStr">
        <is>
          <t>Shopify</t>
        </is>
      </c>
    </row>
    <row r="3301">
      <c r="A3301" s="5" t="inlineStr">
        <is>
          <t>Shopify Stetson México › Stetson México</t>
        </is>
      </c>
      <c r="B3301" s="5">
        <f>IF($I2="","",INDEX(Productos!$A:$A,$I2))</f>
        <v/>
      </c>
      <c r="C3301" s="134" t="inlineStr">
        <is>
          <t>SFROPR-75406174</t>
        </is>
      </c>
      <c r="D3301" s="5">
        <f>IF($I2="","",INDEX(Productos!$B:$B,$I2))</f>
        <v/>
      </c>
      <c r="E3301" s="5">
        <f>IF($I2="","",INDEX(Productos!$H:$H,$I2))</f>
        <v/>
      </c>
      <c r="F3301" s="5">
        <f>IF($I2="","",INDEX(Productos!$I:$I,$I2))</f>
        <v/>
      </c>
      <c r="G3301" s="135" t="n">
        <v>1</v>
      </c>
      <c r="H3301" s="5">
        <f>IF($I2="","",INDEX(Productos!$AG:$AG,$I2))</f>
        <v/>
      </c>
      <c r="I3301" s="136">
        <f>LET(_xlpm.r,Productos!$E$2:$E$2509,_xlpm.m,IFERROR(_xlfn.XMATCH(C3301,_xlpm.r),IFERROR(_xlfn.XMATCH(VALUE(C3301),_xlpm.r),0)),IF(_xlpm.m=0,"",_xlpm.m+1))</f>
        <v/>
      </c>
      <c r="J3301" s="137" t="inlineStr">
        <is>
          <t>Shopify</t>
        </is>
      </c>
    </row>
    <row r="3302">
      <c r="A3302" s="5" t="inlineStr">
        <is>
          <t>Shopify Stetson México › Stetson México</t>
        </is>
      </c>
      <c r="B3302" s="5">
        <f>IF($I2="","",INDEX(Productos!$A:$A,$I2))</f>
        <v/>
      </c>
      <c r="C3302" s="134" t="inlineStr">
        <is>
          <t>SFSHAS-01400770</t>
        </is>
      </c>
      <c r="D3302" s="5">
        <f>IF($I2="","",INDEX(Productos!$B:$B,$I2))</f>
        <v/>
      </c>
      <c r="E3302" s="5">
        <f>IF($I2="","",INDEX(Productos!$H:$H,$I2))</f>
        <v/>
      </c>
      <c r="F3302" s="5">
        <f>IF($I2="","",INDEX(Productos!$I:$I,$I2))</f>
        <v/>
      </c>
      <c r="G3302" s="135" t="n">
        <v>1</v>
      </c>
      <c r="H3302" s="5">
        <f>IF($I2="","",INDEX(Productos!$AG:$AG,$I2))</f>
        <v/>
      </c>
      <c r="I3302" s="136">
        <f>LET(_xlpm.r,Productos!$E$2:$E$2509,_xlpm.m,IFERROR(_xlfn.XMATCH(C3302,_xlpm.r),IFERROR(_xlfn.XMATCH(VALUE(C3302),_xlpm.r),0)),IF(_xlpm.m=0,"",_xlpm.m+1))</f>
        <v/>
      </c>
      <c r="J3302" s="137" t="inlineStr">
        <is>
          <t>Shopify</t>
        </is>
      </c>
    </row>
    <row r="3303">
      <c r="A3303" s="5" t="inlineStr">
        <is>
          <t>Shopify Stetson México › Stetson México</t>
        </is>
      </c>
      <c r="B3303" s="5">
        <f>IF($I2="","",INDEX(Productos!$A:$A,$I2))</f>
        <v/>
      </c>
      <c r="C3303" s="134" t="inlineStr">
        <is>
          <t>SFSHAS-01400772</t>
        </is>
      </c>
      <c r="D3303" s="5">
        <f>IF($I2="","",INDEX(Productos!$B:$B,$I2))</f>
        <v/>
      </c>
      <c r="E3303" s="5">
        <f>IF($I2="","",INDEX(Productos!$H:$H,$I2))</f>
        <v/>
      </c>
      <c r="F3303" s="5">
        <f>IF($I2="","",INDEX(Productos!$I:$I,$I2))</f>
        <v/>
      </c>
      <c r="G3303" s="135" t="n">
        <v>1</v>
      </c>
      <c r="H3303" s="5">
        <f>IF($I2="","",INDEX(Productos!$AG:$AG,$I2))</f>
        <v/>
      </c>
      <c r="I3303" s="136">
        <f>LET(_xlpm.r,Productos!$E$2:$E$2509,_xlpm.m,IFERROR(_xlfn.XMATCH(C3303,_xlpm.r),IFERROR(_xlfn.XMATCH(VALUE(C3303),_xlpm.r),0)),IF(_xlpm.m=0,"",_xlpm.m+1))</f>
        <v/>
      </c>
      <c r="J3303" s="137" t="inlineStr">
        <is>
          <t>Shopify</t>
        </is>
      </c>
    </row>
    <row r="3304">
      <c r="A3304" s="5" t="inlineStr">
        <is>
          <t>Shopify Stetson México › Stetson México</t>
        </is>
      </c>
      <c r="B3304" s="5">
        <f>IF($I2="","",INDEX(Productos!$A:$A,$I2))</f>
        <v/>
      </c>
      <c r="C3304" s="134" t="inlineStr">
        <is>
          <t>SFSHAS-01400773</t>
        </is>
      </c>
      <c r="D3304" s="5">
        <f>IF($I2="","",INDEX(Productos!$B:$B,$I2))</f>
        <v/>
      </c>
      <c r="E3304" s="5">
        <f>IF($I2="","",INDEX(Productos!$H:$H,$I2))</f>
        <v/>
      </c>
      <c r="F3304" s="5">
        <f>IF($I2="","",INDEX(Productos!$I:$I,$I2))</f>
        <v/>
      </c>
      <c r="G3304" s="135" t="n">
        <v>2</v>
      </c>
      <c r="H3304" s="5">
        <f>IF($I2="","",INDEX(Productos!$AG:$AG,$I2))</f>
        <v/>
      </c>
      <c r="I3304" s="136">
        <f>LET(_xlpm.r,Productos!$E$2:$E$2509,_xlpm.m,IFERROR(_xlfn.XMATCH(C3304,_xlpm.r),IFERROR(_xlfn.XMATCH(VALUE(C3304),_xlpm.r),0)),IF(_xlpm.m=0,"",_xlpm.m+1))</f>
        <v/>
      </c>
      <c r="J3304" s="137" t="inlineStr">
        <is>
          <t>Shopify</t>
        </is>
      </c>
    </row>
    <row r="3305">
      <c r="A3305" s="5" t="inlineStr">
        <is>
          <t>Shopify Stetson México › Stetson México</t>
        </is>
      </c>
      <c r="B3305" s="5">
        <f>IF($I2="","",INDEX(Productos!$A:$A,$I2))</f>
        <v/>
      </c>
      <c r="C3305" s="134" t="inlineStr">
        <is>
          <t>SFSHAS-75400773</t>
        </is>
      </c>
      <c r="D3305" s="5">
        <f>IF($I2="","",INDEX(Productos!$B:$B,$I2))</f>
        <v/>
      </c>
      <c r="E3305" s="5">
        <f>IF($I2="","",INDEX(Productos!$H:$H,$I2))</f>
        <v/>
      </c>
      <c r="F3305" s="5">
        <f>IF($I2="","",INDEX(Productos!$I:$I,$I2))</f>
        <v/>
      </c>
      <c r="G3305" s="135" t="n">
        <v>1</v>
      </c>
      <c r="H3305" s="5">
        <f>IF($I2="","",INDEX(Productos!$AG:$AG,$I2))</f>
        <v/>
      </c>
      <c r="I3305" s="136">
        <f>LET(_xlpm.r,Productos!$E$2:$E$2509,_xlpm.m,IFERROR(_xlfn.XMATCH(C3305,_xlpm.r),IFERROR(_xlfn.XMATCH(VALUE(C3305),_xlpm.r),0)),IF(_xlpm.m=0,"",_xlpm.m+1))</f>
        <v/>
      </c>
      <c r="J3305" s="137" t="inlineStr">
        <is>
          <t>Shopify</t>
        </is>
      </c>
    </row>
    <row r="3306">
      <c r="A3306" s="5" t="inlineStr">
        <is>
          <t>Shopify Stetson México › Stetson México</t>
        </is>
      </c>
      <c r="B3306" s="5">
        <f>IF($I2="","",INDEX(Productos!$A:$A,$I2))</f>
        <v/>
      </c>
      <c r="C3306" s="134" t="inlineStr">
        <is>
          <t>SFSHAS-75403470</t>
        </is>
      </c>
      <c r="D3306" s="5">
        <f>IF($I2="","",INDEX(Productos!$B:$B,$I2))</f>
        <v/>
      </c>
      <c r="E3306" s="5">
        <f>IF($I2="","",INDEX(Productos!$H:$H,$I2))</f>
        <v/>
      </c>
      <c r="F3306" s="5">
        <f>IF($I2="","",INDEX(Productos!$I:$I,$I2))</f>
        <v/>
      </c>
      <c r="G3306" s="135" t="n">
        <v>2</v>
      </c>
      <c r="H3306" s="5">
        <f>IF($I2="","",INDEX(Productos!$AG:$AG,$I2))</f>
        <v/>
      </c>
      <c r="I3306" s="136">
        <f>LET(_xlpm.r,Productos!$E$2:$E$2509,_xlpm.m,IFERROR(_xlfn.XMATCH(C3306,_xlpm.r),IFERROR(_xlfn.XMATCH(VALUE(C3306),_xlpm.r),0)),IF(_xlpm.m=0,"",_xlpm.m+1))</f>
        <v/>
      </c>
      <c r="J3306" s="137" t="inlineStr">
        <is>
          <t>Shopify</t>
        </is>
      </c>
    </row>
    <row r="3307">
      <c r="A3307" s="5" t="inlineStr">
        <is>
          <t>Shopify Stetson México › Stetson México</t>
        </is>
      </c>
      <c r="B3307" s="5">
        <f>IF($I2="","",INDEX(Productos!$A:$A,$I2))</f>
        <v/>
      </c>
      <c r="C3307" s="134" t="inlineStr">
        <is>
          <t>SFSHAS-75403473</t>
        </is>
      </c>
      <c r="D3307" s="5">
        <f>IF($I2="","",INDEX(Productos!$B:$B,$I2))</f>
        <v/>
      </c>
      <c r="E3307" s="5">
        <f>IF($I2="","",INDEX(Productos!$H:$H,$I2))</f>
        <v/>
      </c>
      <c r="F3307" s="5">
        <f>IF($I2="","",INDEX(Productos!$I:$I,$I2))</f>
        <v/>
      </c>
      <c r="G3307" s="135" t="n">
        <v>1</v>
      </c>
      <c r="H3307" s="5">
        <f>IF($I2="","",INDEX(Productos!$AG:$AG,$I2))</f>
        <v/>
      </c>
      <c r="I3307" s="136">
        <f>LET(_xlpm.r,Productos!$E$2:$E$2509,_xlpm.m,IFERROR(_xlfn.XMATCH(C3307,_xlpm.r),IFERROR(_xlfn.XMATCH(VALUE(C3307),_xlpm.r),0)),IF(_xlpm.m=0,"",_xlpm.m+1))</f>
        <v/>
      </c>
      <c r="J3307" s="137" t="inlineStr">
        <is>
          <t>Shopify</t>
        </is>
      </c>
    </row>
    <row r="3308">
      <c r="A3308" s="5" t="inlineStr">
        <is>
          <t>Shopify Stetson México › Stetson México</t>
        </is>
      </c>
      <c r="B3308" s="5">
        <f>IF($I2="","",INDEX(Productos!$A:$A,$I2))</f>
        <v/>
      </c>
      <c r="C3308" s="134" t="inlineStr">
        <is>
          <t>SFSHAS-75406170</t>
        </is>
      </c>
      <c r="D3308" s="5">
        <f>IF($I2="","",INDEX(Productos!$B:$B,$I2))</f>
        <v/>
      </c>
      <c r="E3308" s="5">
        <f>IF($I2="","",INDEX(Productos!$H:$H,$I2))</f>
        <v/>
      </c>
      <c r="F3308" s="5">
        <f>IF($I2="","",INDEX(Productos!$I:$I,$I2))</f>
        <v/>
      </c>
      <c r="G3308" s="135" t="n">
        <v>1</v>
      </c>
      <c r="H3308" s="5">
        <f>IF($I2="","",INDEX(Productos!$AG:$AG,$I2))</f>
        <v/>
      </c>
      <c r="I3308" s="136">
        <f>LET(_xlpm.r,Productos!$E$2:$E$2509,_xlpm.m,IFERROR(_xlfn.XMATCH(C3308,_xlpm.r),IFERROR(_xlfn.XMATCH(VALUE(C3308),_xlpm.r),0)),IF(_xlpm.m=0,"",_xlpm.m+1))</f>
        <v/>
      </c>
      <c r="J3308" s="137" t="inlineStr">
        <is>
          <t>Shopify</t>
        </is>
      </c>
    </row>
    <row r="3309">
      <c r="A3309" s="5" t="inlineStr">
        <is>
          <t>Shopify Stetson México › Stetson México</t>
        </is>
      </c>
      <c r="B3309" s="5">
        <f>IF($I2="","",INDEX(Productos!$A:$A,$I2))</f>
        <v/>
      </c>
      <c r="C3309" s="134" t="inlineStr">
        <is>
          <t>SFSHAS-75406173</t>
        </is>
      </c>
      <c r="D3309" s="5">
        <f>IF($I2="","",INDEX(Productos!$B:$B,$I2))</f>
        <v/>
      </c>
      <c r="E3309" s="5">
        <f>IF($I2="","",INDEX(Productos!$H:$H,$I2))</f>
        <v/>
      </c>
      <c r="F3309" s="5">
        <f>IF($I2="","",INDEX(Productos!$I:$I,$I2))</f>
        <v/>
      </c>
      <c r="G3309" s="135" t="n">
        <v>3</v>
      </c>
      <c r="H3309" s="5">
        <f>IF($I2="","",INDEX(Productos!$AG:$AG,$I2))</f>
        <v/>
      </c>
      <c r="I3309" s="136">
        <f>LET(_xlpm.r,Productos!$E$2:$E$2509,_xlpm.m,IFERROR(_xlfn.XMATCH(C3309,_xlpm.r),IFERROR(_xlfn.XMATCH(VALUE(C3309),_xlpm.r),0)),IF(_xlpm.m=0,"",_xlpm.m+1))</f>
        <v/>
      </c>
      <c r="J3309" s="137" t="inlineStr">
        <is>
          <t>Shopify</t>
        </is>
      </c>
    </row>
    <row r="3310">
      <c r="A3310" s="5" t="inlineStr">
        <is>
          <t>Shopify Stetson México › Stetson México</t>
        </is>
      </c>
      <c r="B3310" s="5">
        <f>IF($I2="","",INDEX(Productos!$A:$A,$I2))</f>
        <v/>
      </c>
      <c r="C3310" s="134" t="inlineStr">
        <is>
          <t>SFSHAS-75406174</t>
        </is>
      </c>
      <c r="D3310" s="5">
        <f>IF($I2="","",INDEX(Productos!$B:$B,$I2))</f>
        <v/>
      </c>
      <c r="E3310" s="5">
        <f>IF($I2="","",INDEX(Productos!$H:$H,$I2))</f>
        <v/>
      </c>
      <c r="F3310" s="5">
        <f>IF($I2="","",INDEX(Productos!$I:$I,$I2))</f>
        <v/>
      </c>
      <c r="G3310" s="135" t="n">
        <v>1</v>
      </c>
      <c r="H3310" s="5">
        <f>IF($I2="","",INDEX(Productos!$AG:$AG,$I2))</f>
        <v/>
      </c>
      <c r="I3310" s="136">
        <f>LET(_xlpm.r,Productos!$E$2:$E$2509,_xlpm.m,IFERROR(_xlfn.XMATCH(C3310,_xlpm.r),IFERROR(_xlfn.XMATCH(VALUE(C3310),_xlpm.r),0)),IF(_xlpm.m=0,"",_xlpm.m+1))</f>
        <v/>
      </c>
      <c r="J3310" s="137" t="inlineStr">
        <is>
          <t>Shopify</t>
        </is>
      </c>
    </row>
    <row r="3311">
      <c r="A3311" s="5" t="inlineStr">
        <is>
          <t>Shopify Stetson México › Stetson México</t>
        </is>
      </c>
      <c r="B3311" s="5">
        <f>IF($I2="","",INDEX(Productos!$A:$A,$I2))</f>
        <v/>
      </c>
      <c r="C3311" s="134" t="inlineStr">
        <is>
          <t>SFSKYL-72400771</t>
        </is>
      </c>
      <c r="D3311" s="5">
        <f>IF($I2="","",INDEX(Productos!$B:$B,$I2))</f>
        <v/>
      </c>
      <c r="E3311" s="5">
        <f>IF($I2="","",INDEX(Productos!$H:$H,$I2))</f>
        <v/>
      </c>
      <c r="F3311" s="5">
        <f>IF($I2="","",INDEX(Productos!$I:$I,$I2))</f>
        <v/>
      </c>
      <c r="G3311" s="135" t="n">
        <v>1</v>
      </c>
      <c r="H3311" s="5">
        <f>IF($I2="","",INDEX(Productos!$AG:$AG,$I2))</f>
        <v/>
      </c>
      <c r="I3311" s="136">
        <f>LET(_xlpm.r,Productos!$E$2:$E$2509,_xlpm.m,IFERROR(_xlfn.XMATCH(C3311,_xlpm.r),IFERROR(_xlfn.XMATCH(VALUE(C3311),_xlpm.r),0)),IF(_xlpm.m=0,"",_xlpm.m+1))</f>
        <v/>
      </c>
      <c r="J3311" s="137" t="inlineStr">
        <is>
          <t>Shopify</t>
        </is>
      </c>
    </row>
    <row r="3312">
      <c r="A3312" s="5" t="inlineStr">
        <is>
          <t>Shopify Stetson México › Stetson México</t>
        </is>
      </c>
      <c r="B3312" s="5">
        <f>IF($I2="","",INDEX(Productos!$A:$A,$I2))</f>
        <v/>
      </c>
      <c r="C3312" s="134" t="inlineStr">
        <is>
          <t>SFSKYL-72404973</t>
        </is>
      </c>
      <c r="D3312" s="5">
        <f>IF($I2="","",INDEX(Productos!$B:$B,$I2))</f>
        <v/>
      </c>
      <c r="E3312" s="5">
        <f>IF($I2="","",INDEX(Productos!$H:$H,$I2))</f>
        <v/>
      </c>
      <c r="F3312" s="5">
        <f>IF($I2="","",INDEX(Productos!$I:$I,$I2))</f>
        <v/>
      </c>
      <c r="G3312" s="135" t="n">
        <v>1</v>
      </c>
      <c r="H3312" s="5">
        <f>IF($I2="","",INDEX(Productos!$AG:$AG,$I2))</f>
        <v/>
      </c>
      <c r="I3312" s="136">
        <f>LET(_xlpm.r,Productos!$E$2:$E$2509,_xlpm.m,IFERROR(_xlfn.XMATCH(C3312,_xlpm.r),IFERROR(_xlfn.XMATCH(VALUE(C3312),_xlpm.r),0)),IF(_xlpm.m=0,"",_xlpm.m+1))</f>
        <v/>
      </c>
      <c r="J3312" s="137" t="inlineStr">
        <is>
          <t>Shopify</t>
        </is>
      </c>
    </row>
    <row r="3313">
      <c r="A3313" s="5" t="inlineStr">
        <is>
          <t>Shopify Stetson México › Stetson México</t>
        </is>
      </c>
      <c r="B3313" s="5">
        <f>IF($I2="","",INDEX(Productos!$A:$A,$I2))</f>
        <v/>
      </c>
      <c r="C3313" s="134" t="inlineStr">
        <is>
          <t>SFSKYL-72406173</t>
        </is>
      </c>
      <c r="D3313" s="5">
        <f>IF($I2="","",INDEX(Productos!$B:$B,$I2))</f>
        <v/>
      </c>
      <c r="E3313" s="5">
        <f>IF($I2="","",INDEX(Productos!$H:$H,$I2))</f>
        <v/>
      </c>
      <c r="F3313" s="5">
        <f>IF($I2="","",INDEX(Productos!$I:$I,$I2))</f>
        <v/>
      </c>
      <c r="G3313" s="135" t="n">
        <v>1</v>
      </c>
      <c r="H3313" s="5">
        <f>IF($I2="","",INDEX(Productos!$AG:$AG,$I2))</f>
        <v/>
      </c>
      <c r="I3313" s="136">
        <f>LET(_xlpm.r,Productos!$E$2:$E$2509,_xlpm.m,IFERROR(_xlfn.XMATCH(C3313,_xlpm.r),IFERROR(_xlfn.XMATCH(VALUE(C3313),_xlpm.r),0)),IF(_xlpm.m=0,"",_xlpm.m+1))</f>
        <v/>
      </c>
      <c r="J3313" s="137" t="inlineStr">
        <is>
          <t>Shopify</t>
        </is>
      </c>
    </row>
    <row r="3314">
      <c r="A3314" s="5" t="inlineStr">
        <is>
          <t>Shopify Stetson México › Stetson México</t>
        </is>
      </c>
      <c r="B3314" s="5">
        <f>IF($I2="","",INDEX(Productos!$A:$A,$I2))</f>
        <v/>
      </c>
      <c r="C3314" s="134" t="inlineStr">
        <is>
          <t>SFSKYL-75402270</t>
        </is>
      </c>
      <c r="D3314" s="5">
        <f>IF($I2="","",INDEX(Productos!$B:$B,$I2))</f>
        <v/>
      </c>
      <c r="E3314" s="5">
        <f>IF($I2="","",INDEX(Productos!$H:$H,$I2))</f>
        <v/>
      </c>
      <c r="F3314" s="5">
        <f>IF($I2="","",INDEX(Productos!$I:$I,$I2))</f>
        <v/>
      </c>
      <c r="G3314" s="135" t="n">
        <v>1</v>
      </c>
      <c r="H3314" s="5">
        <f>IF($I2="","",INDEX(Productos!$AG:$AG,$I2))</f>
        <v/>
      </c>
      <c r="I3314" s="136">
        <f>LET(_xlpm.r,Productos!$E$2:$E$2509,_xlpm.m,IFERROR(_xlfn.XMATCH(C3314,_xlpm.r),IFERROR(_xlfn.XMATCH(VALUE(C3314),_xlpm.r),0)),IF(_xlpm.m=0,"",_xlpm.m+1))</f>
        <v/>
      </c>
      <c r="J3314" s="137" t="inlineStr">
        <is>
          <t>Shopify</t>
        </is>
      </c>
    </row>
    <row r="3315">
      <c r="A3315" s="5" t="inlineStr">
        <is>
          <t>Shopify Stetson México › Stetson México</t>
        </is>
      </c>
      <c r="B3315" s="5">
        <f>IF($I2="","",INDEX(Productos!$A:$A,$I2))</f>
        <v/>
      </c>
      <c r="C3315" s="134" t="inlineStr">
        <is>
          <t>SFSKYL-75404973</t>
        </is>
      </c>
      <c r="D3315" s="5">
        <f>IF($I2="","",INDEX(Productos!$B:$B,$I2))</f>
        <v/>
      </c>
      <c r="E3315" s="5">
        <f>IF($I2="","",INDEX(Productos!$H:$H,$I2))</f>
        <v/>
      </c>
      <c r="F3315" s="5">
        <f>IF($I2="","",INDEX(Productos!$I:$I,$I2))</f>
        <v/>
      </c>
      <c r="G3315" s="135" t="n">
        <v>2</v>
      </c>
      <c r="H3315" s="5">
        <f>IF($I2="","",INDEX(Productos!$AG:$AG,$I2))</f>
        <v/>
      </c>
      <c r="I3315" s="136">
        <f>LET(_xlpm.r,Productos!$E$2:$E$2509,_xlpm.m,IFERROR(_xlfn.XMATCH(C3315,_xlpm.r),IFERROR(_xlfn.XMATCH(VALUE(C3315),_xlpm.r),0)),IF(_xlpm.m=0,"",_xlpm.m+1))</f>
        <v/>
      </c>
      <c r="J3315" s="137" t="inlineStr">
        <is>
          <t>Shopify</t>
        </is>
      </c>
    </row>
    <row r="3316">
      <c r="A3316" s="5" t="inlineStr">
        <is>
          <t>Shopify Stetson México › Stetson México</t>
        </is>
      </c>
      <c r="B3316" s="5">
        <f>IF($I2="","",INDEX(Productos!$A:$A,$I2))</f>
        <v/>
      </c>
      <c r="C3316" s="134" t="inlineStr">
        <is>
          <t>SFSKYL-7540E571</t>
        </is>
      </c>
      <c r="D3316" s="5">
        <f>IF($I2="","",INDEX(Productos!$B:$B,$I2))</f>
        <v/>
      </c>
      <c r="E3316" s="5">
        <f>IF($I2="","",INDEX(Productos!$H:$H,$I2))</f>
        <v/>
      </c>
      <c r="F3316" s="5">
        <f>IF($I2="","",INDEX(Productos!$I:$I,$I2))</f>
        <v/>
      </c>
      <c r="G3316" s="135" t="n">
        <v>1</v>
      </c>
      <c r="H3316" s="5">
        <f>IF($I2="","",INDEX(Productos!$AG:$AG,$I2))</f>
        <v/>
      </c>
      <c r="I3316" s="136">
        <f>LET(_xlpm.r,Productos!$E$2:$E$2509,_xlpm.m,IFERROR(_xlfn.XMATCH(C3316,_xlpm.r),IFERROR(_xlfn.XMATCH(VALUE(C3316),_xlpm.r),0)),IF(_xlpm.m=0,"",_xlpm.m+1))</f>
        <v/>
      </c>
      <c r="J3316" s="137" t="inlineStr">
        <is>
          <t>Shopify</t>
        </is>
      </c>
    </row>
    <row r="3317">
      <c r="A3317" s="5" t="inlineStr">
        <is>
          <t>Shopify Stetson México › Stetson México</t>
        </is>
      </c>
      <c r="B3317" s="5">
        <f>IF($I2="","",INDEX(Productos!$A:$A,$I2))</f>
        <v/>
      </c>
      <c r="C3317" s="134" t="inlineStr">
        <is>
          <t>SSALMO-30408170</t>
        </is>
      </c>
      <c r="D3317" s="5">
        <f>IF($I2="","",INDEX(Productos!$B:$B,$I2))</f>
        <v/>
      </c>
      <c r="E3317" s="5">
        <f>IF($I2="","",INDEX(Productos!$H:$H,$I2))</f>
        <v/>
      </c>
      <c r="F3317" s="5">
        <f>IF($I2="","",INDEX(Productos!$I:$I,$I2))</f>
        <v/>
      </c>
      <c r="G3317" s="135" t="n">
        <v>1</v>
      </c>
      <c r="H3317" s="5">
        <f>IF($I2="","",INDEX(Productos!$AG:$AG,$I2))</f>
        <v/>
      </c>
      <c r="I3317" s="136">
        <f>LET(_xlpm.r,Productos!$E$2:$E$2509,_xlpm.m,IFERROR(_xlfn.XMATCH(C3317,_xlpm.r),IFERROR(_xlfn.XMATCH(VALUE(C3317),_xlpm.r),0)),IF(_xlpm.m=0,"",_xlpm.m+1))</f>
        <v/>
      </c>
      <c r="J3317" s="137" t="inlineStr">
        <is>
          <t>Shopify</t>
        </is>
      </c>
    </row>
    <row r="3318">
      <c r="A3318" s="5" t="inlineStr">
        <is>
          <t>Shopify Stetson México › Stetson México</t>
        </is>
      </c>
      <c r="B3318" s="5">
        <f>IF($I2="","",INDEX(Productos!$A:$A,$I2))</f>
        <v/>
      </c>
      <c r="C3318" s="134" t="inlineStr">
        <is>
          <t>SSALMO-30408171</t>
        </is>
      </c>
      <c r="D3318" s="5">
        <f>IF($I2="","",INDEX(Productos!$B:$B,$I2))</f>
        <v/>
      </c>
      <c r="E3318" s="5">
        <f>IF($I2="","",INDEX(Productos!$H:$H,$I2))</f>
        <v/>
      </c>
      <c r="F3318" s="5">
        <f>IF($I2="","",INDEX(Productos!$I:$I,$I2))</f>
        <v/>
      </c>
      <c r="G3318" s="135" t="n">
        <v>3</v>
      </c>
      <c r="H3318" s="5">
        <f>IF($I2="","",INDEX(Productos!$AG:$AG,$I2))</f>
        <v/>
      </c>
      <c r="I3318" s="136">
        <f>LET(_xlpm.r,Productos!$E$2:$E$2509,_xlpm.m,IFERROR(_xlfn.XMATCH(C3318,_xlpm.r),IFERROR(_xlfn.XMATCH(VALUE(C3318),_xlpm.r),0)),IF(_xlpm.m=0,"",_xlpm.m+1))</f>
        <v/>
      </c>
      <c r="J3318" s="137" t="inlineStr">
        <is>
          <t>Shopify</t>
        </is>
      </c>
    </row>
    <row r="3319">
      <c r="A3319" s="5" t="inlineStr">
        <is>
          <t>Shopify Stetson México › Stetson México</t>
        </is>
      </c>
      <c r="B3319" s="5">
        <f>IF($I2="","",INDEX(Productos!$A:$A,$I2))</f>
        <v/>
      </c>
      <c r="C3319" s="134" t="inlineStr">
        <is>
          <t>SSALMO-30408172</t>
        </is>
      </c>
      <c r="D3319" s="5">
        <f>IF($I2="","",INDEX(Productos!$B:$B,$I2))</f>
        <v/>
      </c>
      <c r="E3319" s="5">
        <f>IF($I2="","",INDEX(Productos!$H:$H,$I2))</f>
        <v/>
      </c>
      <c r="F3319" s="5">
        <f>IF($I2="","",INDEX(Productos!$I:$I,$I2))</f>
        <v/>
      </c>
      <c r="G3319" s="135" t="n">
        <v>2</v>
      </c>
      <c r="H3319" s="5">
        <f>IF($I2="","",INDEX(Productos!$AG:$AG,$I2))</f>
        <v/>
      </c>
      <c r="I3319" s="136">
        <f>LET(_xlpm.r,Productos!$E$2:$E$2509,_xlpm.m,IFERROR(_xlfn.XMATCH(C3319,_xlpm.r),IFERROR(_xlfn.XMATCH(VALUE(C3319),_xlpm.r),0)),IF(_xlpm.m=0,"",_xlpm.m+1))</f>
        <v/>
      </c>
      <c r="J3319" s="137" t="inlineStr">
        <is>
          <t>Shopify</t>
        </is>
      </c>
    </row>
    <row r="3320">
      <c r="A3320" s="5" t="inlineStr">
        <is>
          <t>Shopify Stetson México › Stetson México</t>
        </is>
      </c>
      <c r="B3320" s="5">
        <f>IF($I2="","",INDEX(Productos!$A:$A,$I2))</f>
        <v/>
      </c>
      <c r="C3320" s="134" t="inlineStr">
        <is>
          <t>SSALMO-30408173</t>
        </is>
      </c>
      <c r="D3320" s="5">
        <f>IF($I2="","",INDEX(Productos!$B:$B,$I2))</f>
        <v/>
      </c>
      <c r="E3320" s="5">
        <f>IF($I2="","",INDEX(Productos!$H:$H,$I2))</f>
        <v/>
      </c>
      <c r="F3320" s="5">
        <f>IF($I2="","",INDEX(Productos!$I:$I,$I2))</f>
        <v/>
      </c>
      <c r="G3320" s="135" t="n">
        <v>3</v>
      </c>
      <c r="H3320" s="5">
        <f>IF($I2="","",INDEX(Productos!$AG:$AG,$I2))</f>
        <v/>
      </c>
      <c r="I3320" s="136">
        <f>LET(_xlpm.r,Productos!$E$2:$E$2509,_xlpm.m,IFERROR(_xlfn.XMATCH(C3320,_xlpm.r),IFERROR(_xlfn.XMATCH(VALUE(C3320),_xlpm.r),0)),IF(_xlpm.m=0,"",_xlpm.m+1))</f>
        <v/>
      </c>
      <c r="J3320" s="137" t="inlineStr">
        <is>
          <t>Shopify</t>
        </is>
      </c>
    </row>
    <row r="3321">
      <c r="A3321" s="5" t="inlineStr">
        <is>
          <t>Shopify Stetson México › Stetson México</t>
        </is>
      </c>
      <c r="B3321" s="5">
        <f>IF($I2="","",INDEX(Productos!$A:$A,$I2))</f>
        <v/>
      </c>
      <c r="C3321" s="134" t="inlineStr">
        <is>
          <t>SSALMO-30408174</t>
        </is>
      </c>
      <c r="D3321" s="5">
        <f>IF($I2="","",INDEX(Productos!$B:$B,$I2))</f>
        <v/>
      </c>
      <c r="E3321" s="5">
        <f>IF($I2="","",INDEX(Productos!$H:$H,$I2))</f>
        <v/>
      </c>
      <c r="F3321" s="5">
        <f>IF($I2="","",INDEX(Productos!$I:$I,$I2))</f>
        <v/>
      </c>
      <c r="G3321" s="135" t="n">
        <v>2</v>
      </c>
      <c r="H3321" s="5">
        <f>IF($I2="","",INDEX(Productos!$AG:$AG,$I2))</f>
        <v/>
      </c>
      <c r="I3321" s="136">
        <f>LET(_xlpm.r,Productos!$E$2:$E$2509,_xlpm.m,IFERROR(_xlfn.XMATCH(C3321,_xlpm.r),IFERROR(_xlfn.XMATCH(VALUE(C3321),_xlpm.r),0)),IF(_xlpm.m=0,"",_xlpm.m+1))</f>
        <v/>
      </c>
      <c r="J3321" s="137" t="inlineStr">
        <is>
          <t>Shopify</t>
        </is>
      </c>
    </row>
    <row r="3322">
      <c r="A3322" s="5" t="inlineStr">
        <is>
          <t>Shopify Stetson México › Stetson México</t>
        </is>
      </c>
      <c r="B3322" s="5">
        <f>IF($I2="","",INDEX(Productos!$A:$A,$I2))</f>
        <v/>
      </c>
      <c r="C3322" s="134" t="inlineStr">
        <is>
          <t>SSARPH-30428170</t>
        </is>
      </c>
      <c r="D3322" s="5">
        <f>IF($I2="","",INDEX(Productos!$B:$B,$I2))</f>
        <v/>
      </c>
      <c r="E3322" s="5">
        <f>IF($I2="","",INDEX(Productos!$H:$H,$I2))</f>
        <v/>
      </c>
      <c r="F3322" s="5">
        <f>IF($I2="","",INDEX(Productos!$I:$I,$I2))</f>
        <v/>
      </c>
      <c r="G3322" s="135" t="n">
        <v>1</v>
      </c>
      <c r="H3322" s="5">
        <f>IF($I2="","",INDEX(Productos!$AG:$AG,$I2))</f>
        <v/>
      </c>
      <c r="I3322" s="136">
        <f>LET(_xlpm.r,Productos!$E$2:$E$2509,_xlpm.m,IFERROR(_xlfn.XMATCH(C3322,_xlpm.r),IFERROR(_xlfn.XMATCH(VALUE(C3322),_xlpm.r),0)),IF(_xlpm.m=0,"",_xlpm.m+1))</f>
        <v/>
      </c>
      <c r="J3322" s="137" t="inlineStr">
        <is>
          <t>Shopify</t>
        </is>
      </c>
    </row>
    <row r="3323">
      <c r="A3323" s="5" t="inlineStr">
        <is>
          <t>Shopify Stetson México › Stetson México</t>
        </is>
      </c>
      <c r="B3323" s="5">
        <f>IF($I2="","",INDEX(Productos!$A:$A,$I2))</f>
        <v/>
      </c>
      <c r="C3323" s="134" t="inlineStr">
        <is>
          <t>SSARPH-30428171</t>
        </is>
      </c>
      <c r="D3323" s="5">
        <f>IF($I2="","",INDEX(Productos!$B:$B,$I2))</f>
        <v/>
      </c>
      <c r="E3323" s="5">
        <f>IF($I2="","",INDEX(Productos!$H:$H,$I2))</f>
        <v/>
      </c>
      <c r="F3323" s="5">
        <f>IF($I2="","",INDEX(Productos!$I:$I,$I2))</f>
        <v/>
      </c>
      <c r="G3323" s="135" t="n">
        <v>1</v>
      </c>
      <c r="H3323" s="5">
        <f>IF($I2="","",INDEX(Productos!$AG:$AG,$I2))</f>
        <v/>
      </c>
      <c r="I3323" s="136">
        <f>LET(_xlpm.r,Productos!$E$2:$E$2509,_xlpm.m,IFERROR(_xlfn.XMATCH(C3323,_xlpm.r),IFERROR(_xlfn.XMATCH(VALUE(C3323),_xlpm.r),0)),IF(_xlpm.m=0,"",_xlpm.m+1))</f>
        <v/>
      </c>
      <c r="J3323" s="137" t="inlineStr">
        <is>
          <t>Shopify</t>
        </is>
      </c>
    </row>
    <row r="3324">
      <c r="A3324" s="5" t="inlineStr">
        <is>
          <t>Shopify Stetson México › Stetson México</t>
        </is>
      </c>
      <c r="B3324" s="5">
        <f>IF($I2="","",INDEX(Productos!$A:$A,$I2))</f>
        <v/>
      </c>
      <c r="C3324" s="134" t="inlineStr">
        <is>
          <t>SSARPH-30428173</t>
        </is>
      </c>
      <c r="D3324" s="5">
        <f>IF($I2="","",INDEX(Productos!$B:$B,$I2))</f>
        <v/>
      </c>
      <c r="E3324" s="5">
        <f>IF($I2="","",INDEX(Productos!$H:$H,$I2))</f>
        <v/>
      </c>
      <c r="F3324" s="5">
        <f>IF($I2="","",INDEX(Productos!$I:$I,$I2))</f>
        <v/>
      </c>
      <c r="G3324" s="135" t="n">
        <v>3</v>
      </c>
      <c r="H3324" s="5">
        <f>IF($I2="","",INDEX(Productos!$AG:$AG,$I2))</f>
        <v/>
      </c>
      <c r="I3324" s="136">
        <f>LET(_xlpm.r,Productos!$E$2:$E$2509,_xlpm.m,IFERROR(_xlfn.XMATCH(C3324,_xlpm.r),IFERROR(_xlfn.XMATCH(VALUE(C3324),_xlpm.r),0)),IF(_xlpm.m=0,"",_xlpm.m+1))</f>
        <v/>
      </c>
      <c r="J3324" s="137" t="inlineStr">
        <is>
          <t>Shopify</t>
        </is>
      </c>
    </row>
    <row r="3325">
      <c r="A3325" s="5" t="inlineStr">
        <is>
          <t>Shopify Stetson México › Stetson México</t>
        </is>
      </c>
      <c r="B3325" s="5">
        <f>IF($I2="","",INDEX(Productos!$A:$A,$I2))</f>
        <v/>
      </c>
      <c r="C3325" s="134" t="inlineStr">
        <is>
          <t>SSBKER-30428174</t>
        </is>
      </c>
      <c r="D3325" s="5">
        <f>IF($I2="","",INDEX(Productos!$B:$B,$I2))</f>
        <v/>
      </c>
      <c r="E3325" s="5">
        <f>IF($I2="","",INDEX(Productos!$H:$H,$I2))</f>
        <v/>
      </c>
      <c r="F3325" s="5">
        <f>IF($I2="","",INDEX(Productos!$I:$I,$I2))</f>
        <v/>
      </c>
      <c r="G3325" s="135" t="n">
        <v>1</v>
      </c>
      <c r="H3325" s="5">
        <f>IF($I2="","",INDEX(Productos!$AG:$AG,$I2))</f>
        <v/>
      </c>
      <c r="I3325" s="136">
        <f>LET(_xlpm.r,Productos!$E$2:$E$2509,_xlpm.m,IFERROR(_xlfn.XMATCH(C3325,_xlpm.r),IFERROR(_xlfn.XMATCH(VALUE(C3325),_xlpm.r),0)),IF(_xlpm.m=0,"",_xlpm.m+1))</f>
        <v/>
      </c>
      <c r="J3325" s="137" t="inlineStr">
        <is>
          <t>Shopify</t>
        </is>
      </c>
    </row>
    <row r="3326">
      <c r="A3326" s="5" t="inlineStr">
        <is>
          <t>Shopify Stetson México › Stetson México</t>
        </is>
      </c>
      <c r="B3326" s="5">
        <f>IF($I2="","",INDEX(Productos!$A:$A,$I2))</f>
        <v/>
      </c>
      <c r="C3326" s="134" t="inlineStr">
        <is>
          <t>SSBKWD-WR428170</t>
        </is>
      </c>
      <c r="D3326" s="5">
        <f>IF($I2="","",INDEX(Productos!$B:$B,$I2))</f>
        <v/>
      </c>
      <c r="E3326" s="5">
        <f>IF($I2="","",INDEX(Productos!$H:$H,$I2))</f>
        <v/>
      </c>
      <c r="F3326" s="5">
        <f>IF($I2="","",INDEX(Productos!$I:$I,$I2))</f>
        <v/>
      </c>
      <c r="G3326" s="135" t="n">
        <v>1</v>
      </c>
      <c r="H3326" s="5">
        <f>IF($I2="","",INDEX(Productos!$AG:$AG,$I2))</f>
        <v/>
      </c>
      <c r="I3326" s="136">
        <f>LET(_xlpm.r,Productos!$E$2:$E$2509,_xlpm.m,IFERROR(_xlfn.XMATCH(C3326,_xlpm.r),IFERROR(_xlfn.XMATCH(VALUE(C3326),_xlpm.r),0)),IF(_xlpm.m=0,"",_xlpm.m+1))</f>
        <v/>
      </c>
      <c r="J3326" s="137" t="inlineStr">
        <is>
          <t>Shopify</t>
        </is>
      </c>
    </row>
    <row r="3327">
      <c r="A3327" s="5" t="inlineStr">
        <is>
          <t>Shopify Stetson México › Stetson México</t>
        </is>
      </c>
      <c r="B3327" s="5">
        <f>IF($I2="","",INDEX(Productos!$A:$A,$I2))</f>
        <v/>
      </c>
      <c r="C3327" s="134" t="inlineStr">
        <is>
          <t>SSBKWD-WR428171</t>
        </is>
      </c>
      <c r="D3327" s="5">
        <f>IF($I2="","",INDEX(Productos!$B:$B,$I2))</f>
        <v/>
      </c>
      <c r="E3327" s="5">
        <f>IF($I2="","",INDEX(Productos!$H:$H,$I2))</f>
        <v/>
      </c>
      <c r="F3327" s="5">
        <f>IF($I2="","",INDEX(Productos!$I:$I,$I2))</f>
        <v/>
      </c>
      <c r="G3327" s="135" t="n">
        <v>1</v>
      </c>
      <c r="H3327" s="5">
        <f>IF($I2="","",INDEX(Productos!$AG:$AG,$I2))</f>
        <v/>
      </c>
      <c r="I3327" s="136">
        <f>LET(_xlpm.r,Productos!$E$2:$E$2509,_xlpm.m,IFERROR(_xlfn.XMATCH(C3327,_xlpm.r),IFERROR(_xlfn.XMATCH(VALUE(C3327),_xlpm.r),0)),IF(_xlpm.m=0,"",_xlpm.m+1))</f>
        <v/>
      </c>
      <c r="J3327" s="137" t="inlineStr">
        <is>
          <t>Shopify</t>
        </is>
      </c>
    </row>
    <row r="3328">
      <c r="A3328" s="5" t="inlineStr">
        <is>
          <t>Shopify Stetson México › Stetson México</t>
        </is>
      </c>
      <c r="B3328" s="5">
        <f>IF($I2="","",INDEX(Productos!$A:$A,$I2))</f>
        <v/>
      </c>
      <c r="C3328" s="134" t="inlineStr">
        <is>
          <t>SSBKWD-WR428172</t>
        </is>
      </c>
      <c r="D3328" s="5">
        <f>IF($I2="","",INDEX(Productos!$B:$B,$I2))</f>
        <v/>
      </c>
      <c r="E3328" s="5">
        <f>IF($I2="","",INDEX(Productos!$H:$H,$I2))</f>
        <v/>
      </c>
      <c r="F3328" s="5">
        <f>IF($I2="","",INDEX(Productos!$I:$I,$I2))</f>
        <v/>
      </c>
      <c r="G3328" s="135" t="n">
        <v>2</v>
      </c>
      <c r="H3328" s="5">
        <f>IF($I2="","",INDEX(Productos!$AG:$AG,$I2))</f>
        <v/>
      </c>
      <c r="I3328" s="136">
        <f>LET(_xlpm.r,Productos!$E$2:$E$2509,_xlpm.m,IFERROR(_xlfn.XMATCH(C3328,_xlpm.r),IFERROR(_xlfn.XMATCH(VALUE(C3328),_xlpm.r),0)),IF(_xlpm.m=0,"",_xlpm.m+1))</f>
        <v/>
      </c>
      <c r="J3328" s="137" t="inlineStr">
        <is>
          <t>Shopify</t>
        </is>
      </c>
    </row>
    <row r="3329">
      <c r="A3329" s="5" t="inlineStr">
        <is>
          <t>Shopify Stetson México › Stetson México</t>
        </is>
      </c>
      <c r="B3329" s="5">
        <f>IF($I2="","",INDEX(Productos!$A:$A,$I2))</f>
        <v/>
      </c>
      <c r="C3329" s="134" t="inlineStr">
        <is>
          <t>SSBKWD-WR428173</t>
        </is>
      </c>
      <c r="D3329" s="5">
        <f>IF($I2="","",INDEX(Productos!$B:$B,$I2))</f>
        <v/>
      </c>
      <c r="E3329" s="5">
        <f>IF($I2="","",INDEX(Productos!$H:$H,$I2))</f>
        <v/>
      </c>
      <c r="F3329" s="5">
        <f>IF($I2="","",INDEX(Productos!$I:$I,$I2))</f>
        <v/>
      </c>
      <c r="G3329" s="135" t="n">
        <v>4</v>
      </c>
      <c r="H3329" s="5">
        <f>IF($I2="","",INDEX(Productos!$AG:$AG,$I2))</f>
        <v/>
      </c>
      <c r="I3329" s="136">
        <f>LET(_xlpm.r,Productos!$E$2:$E$2509,_xlpm.m,IFERROR(_xlfn.XMATCH(C3329,_xlpm.r),IFERROR(_xlfn.XMATCH(VALUE(C3329),_xlpm.r),0)),IF(_xlpm.m=0,"",_xlpm.m+1))</f>
        <v/>
      </c>
      <c r="J3329" s="137" t="inlineStr">
        <is>
          <t>Shopify</t>
        </is>
      </c>
    </row>
    <row r="3330">
      <c r="A3330" s="5" t="inlineStr">
        <is>
          <t>Shopify Stetson México › Stetson México</t>
        </is>
      </c>
      <c r="B3330" s="5">
        <f>IF($I2="","",INDEX(Productos!$A:$A,$I2))</f>
        <v/>
      </c>
      <c r="C3330" s="134" t="inlineStr">
        <is>
          <t>SSBKWD-WR428174</t>
        </is>
      </c>
      <c r="D3330" s="5">
        <f>IF($I2="","",INDEX(Productos!$B:$B,$I2))</f>
        <v/>
      </c>
      <c r="E3330" s="5">
        <f>IF($I2="","",INDEX(Productos!$H:$H,$I2))</f>
        <v/>
      </c>
      <c r="F3330" s="5">
        <f>IF($I2="","",INDEX(Productos!$I:$I,$I2))</f>
        <v/>
      </c>
      <c r="G3330" s="135" t="n">
        <v>2</v>
      </c>
      <c r="H3330" s="5">
        <f>IF($I2="","",INDEX(Productos!$AG:$AG,$I2))</f>
        <v/>
      </c>
      <c r="I3330" s="136">
        <f>LET(_xlpm.r,Productos!$E$2:$E$2509,_xlpm.m,IFERROR(_xlfn.XMATCH(C3330,_xlpm.r),IFERROR(_xlfn.XMATCH(VALUE(C3330),_xlpm.r),0)),IF(_xlpm.m=0,"",_xlpm.m+1))</f>
        <v/>
      </c>
      <c r="J3330" s="137" t="inlineStr">
        <is>
          <t>Shopify</t>
        </is>
      </c>
    </row>
    <row r="3331">
      <c r="A3331" s="5" t="inlineStr">
        <is>
          <t>Shopify Stetson México › Stetson México</t>
        </is>
      </c>
      <c r="B3331" s="5">
        <f>IF($I2="","",INDEX(Productos!$A:$A,$I2))</f>
        <v/>
      </c>
      <c r="C3331" s="134" t="inlineStr">
        <is>
          <t>SSBLJR-733681AL</t>
        </is>
      </c>
      <c r="D3331" s="5">
        <f>IF($I2="","",INDEX(Productos!$B:$B,$I2))</f>
        <v/>
      </c>
      <c r="E3331" s="5">
        <f>IF($I2="","",INDEX(Productos!$H:$H,$I2))</f>
        <v/>
      </c>
      <c r="F3331" s="5">
        <f>IF($I2="","",INDEX(Productos!$I:$I,$I2))</f>
        <v/>
      </c>
      <c r="G3331" s="135" t="n">
        <v>10</v>
      </c>
      <c r="H3331" s="5">
        <f>IF($I2="","",INDEX(Productos!$AG:$AG,$I2))</f>
        <v/>
      </c>
      <c r="I3331" s="136">
        <f>LET(_xlpm.r,Productos!$E$2:$E$2509,_xlpm.m,IFERROR(_xlfn.XMATCH(C3331,_xlpm.r),IFERROR(_xlfn.XMATCH(VALUE(C3331),_xlpm.r),0)),IF(_xlpm.m=0,"",_xlpm.m+1))</f>
        <v/>
      </c>
      <c r="J3331" s="137" t="inlineStr">
        <is>
          <t>Shopify</t>
        </is>
      </c>
    </row>
    <row r="3332">
      <c r="A3332" s="5" t="inlineStr">
        <is>
          <t>Shopify Stetson México › Stetson México</t>
        </is>
      </c>
      <c r="B3332" s="5">
        <f>IF($I2="","",INDEX(Productos!$A:$A,$I2))</f>
        <v/>
      </c>
      <c r="C3332" s="134" t="inlineStr">
        <is>
          <t>SSCRLY-30428171</t>
        </is>
      </c>
      <c r="D3332" s="5">
        <f>IF($I2="","",INDEX(Productos!$B:$B,$I2))</f>
        <v/>
      </c>
      <c r="E3332" s="5">
        <f>IF($I2="","",INDEX(Productos!$H:$H,$I2))</f>
        <v/>
      </c>
      <c r="F3332" s="5">
        <f>IF($I2="","",INDEX(Productos!$I:$I,$I2))</f>
        <v/>
      </c>
      <c r="G3332" s="135" t="n">
        <v>2</v>
      </c>
      <c r="H3332" s="5">
        <f>IF($I2="","",INDEX(Productos!$AG:$AG,$I2))</f>
        <v/>
      </c>
      <c r="I3332" s="136">
        <f>LET(_xlpm.r,Productos!$E$2:$E$2509,_xlpm.m,IFERROR(_xlfn.XMATCH(C3332,_xlpm.r),IFERROR(_xlfn.XMATCH(VALUE(C3332),_xlpm.r),0)),IF(_xlpm.m=0,"",_xlpm.m+1))</f>
        <v/>
      </c>
      <c r="J3332" s="137" t="inlineStr">
        <is>
          <t>Shopify</t>
        </is>
      </c>
    </row>
    <row r="3333">
      <c r="A3333" s="5" t="inlineStr">
        <is>
          <t>Shopify Stetson México › Stetson México</t>
        </is>
      </c>
      <c r="B3333" s="5">
        <f>IF($I2="","",INDEX(Productos!$A:$A,$I2))</f>
        <v/>
      </c>
      <c r="C3333" s="134" t="inlineStr">
        <is>
          <t>SSCRLY-30428172</t>
        </is>
      </c>
      <c r="D3333" s="5">
        <f>IF($I2="","",INDEX(Productos!$B:$B,$I2))</f>
        <v/>
      </c>
      <c r="E3333" s="5">
        <f>IF($I2="","",INDEX(Productos!$H:$H,$I2))</f>
        <v/>
      </c>
      <c r="F3333" s="5">
        <f>IF($I2="","",INDEX(Productos!$I:$I,$I2))</f>
        <v/>
      </c>
      <c r="G3333" s="135" t="n">
        <v>2</v>
      </c>
      <c r="H3333" s="5">
        <f>IF($I2="","",INDEX(Productos!$AG:$AG,$I2))</f>
        <v/>
      </c>
      <c r="I3333" s="136">
        <f>LET(_xlpm.r,Productos!$E$2:$E$2509,_xlpm.m,IFERROR(_xlfn.XMATCH(C3333,_xlpm.r),IFERROR(_xlfn.XMATCH(VALUE(C3333),_xlpm.r),0)),IF(_xlpm.m=0,"",_xlpm.m+1))</f>
        <v/>
      </c>
      <c r="J3333" s="137" t="inlineStr">
        <is>
          <t>Shopify</t>
        </is>
      </c>
    </row>
    <row r="3334">
      <c r="A3334" s="5" t="inlineStr">
        <is>
          <t>Shopify Stetson México › Stetson México</t>
        </is>
      </c>
      <c r="B3334" s="5">
        <f>IF($I2="","",INDEX(Productos!$A:$A,$I2))</f>
        <v/>
      </c>
      <c r="C3334" s="134" t="inlineStr">
        <is>
          <t>SSCRLY-30428173</t>
        </is>
      </c>
      <c r="D3334" s="5">
        <f>IF($I2="","",INDEX(Productos!$B:$B,$I2))</f>
        <v/>
      </c>
      <c r="E3334" s="5">
        <f>IF($I2="","",INDEX(Productos!$H:$H,$I2))</f>
        <v/>
      </c>
      <c r="F3334" s="5">
        <f>IF($I2="","",INDEX(Productos!$I:$I,$I2))</f>
        <v/>
      </c>
      <c r="G3334" s="135" t="n">
        <v>1</v>
      </c>
      <c r="H3334" s="5">
        <f>IF($I2="","",INDEX(Productos!$AG:$AG,$I2))</f>
        <v/>
      </c>
      <c r="I3334" s="136">
        <f>LET(_xlpm.r,Productos!$E$2:$E$2509,_xlpm.m,IFERROR(_xlfn.XMATCH(C3334,_xlpm.r),IFERROR(_xlfn.XMATCH(VALUE(C3334),_xlpm.r),0)),IF(_xlpm.m=0,"",_xlpm.m+1))</f>
        <v/>
      </c>
      <c r="J3334" s="137" t="inlineStr">
        <is>
          <t>Shopify</t>
        </is>
      </c>
    </row>
    <row r="3335">
      <c r="A3335" s="5" t="inlineStr">
        <is>
          <t>Shopify Stetson México › Stetson México</t>
        </is>
      </c>
      <c r="B3335" s="5">
        <f>IF($I2="","",INDEX(Productos!$A:$A,$I2))</f>
        <v/>
      </c>
      <c r="C3335" s="134" t="inlineStr">
        <is>
          <t>SSELMW-30428170</t>
        </is>
      </c>
      <c r="D3335" s="5">
        <f>IF($I2="","",INDEX(Productos!$B:$B,$I2))</f>
        <v/>
      </c>
      <c r="E3335" s="5">
        <f>IF($I2="","",INDEX(Productos!$H:$H,$I2))</f>
        <v/>
      </c>
      <c r="F3335" s="5">
        <f>IF($I2="","",INDEX(Productos!$I:$I,$I2))</f>
        <v/>
      </c>
      <c r="G3335" s="135" t="n">
        <v>2</v>
      </c>
      <c r="H3335" s="5">
        <f>IF($I2="","",INDEX(Productos!$AG:$AG,$I2))</f>
        <v/>
      </c>
      <c r="I3335" s="136">
        <f>LET(_xlpm.r,Productos!$E$2:$E$2509,_xlpm.m,IFERROR(_xlfn.XMATCH(C3335,_xlpm.r),IFERROR(_xlfn.XMATCH(VALUE(C3335),_xlpm.r),0)),IF(_xlpm.m=0,"",_xlpm.m+1))</f>
        <v/>
      </c>
      <c r="J3335" s="137" t="inlineStr">
        <is>
          <t>Shopify</t>
        </is>
      </c>
    </row>
    <row r="3336">
      <c r="A3336" s="5" t="inlineStr">
        <is>
          <t>Shopify Stetson México › Stetson México</t>
        </is>
      </c>
      <c r="B3336" s="5">
        <f>IF($I2="","",INDEX(Productos!$A:$A,$I2))</f>
        <v/>
      </c>
      <c r="C3336" s="134" t="inlineStr">
        <is>
          <t>SSELMW-30428171</t>
        </is>
      </c>
      <c r="D3336" s="5">
        <f>IF($I2="","",INDEX(Productos!$B:$B,$I2))</f>
        <v/>
      </c>
      <c r="E3336" s="5">
        <f>IF($I2="","",INDEX(Productos!$H:$H,$I2))</f>
        <v/>
      </c>
      <c r="F3336" s="5">
        <f>IF($I2="","",INDEX(Productos!$I:$I,$I2))</f>
        <v/>
      </c>
      <c r="G3336" s="135" t="n">
        <v>2</v>
      </c>
      <c r="H3336" s="5">
        <f>IF($I2="","",INDEX(Productos!$AG:$AG,$I2))</f>
        <v/>
      </c>
      <c r="I3336" s="136">
        <f>LET(_xlpm.r,Productos!$E$2:$E$2509,_xlpm.m,IFERROR(_xlfn.XMATCH(C3336,_xlpm.r),IFERROR(_xlfn.XMATCH(VALUE(C3336),_xlpm.r),0)),IF(_xlpm.m=0,"",_xlpm.m+1))</f>
        <v/>
      </c>
      <c r="J3336" s="137" t="inlineStr">
        <is>
          <t>Shopify</t>
        </is>
      </c>
    </row>
    <row r="3337">
      <c r="A3337" s="5" t="inlineStr">
        <is>
          <t>Shopify Stetson México › Stetson México</t>
        </is>
      </c>
      <c r="B3337" s="5">
        <f>IF($I2="","",INDEX(Productos!$A:$A,$I2))</f>
        <v/>
      </c>
      <c r="C3337" s="134" t="inlineStr">
        <is>
          <t>SSELMW-30428172</t>
        </is>
      </c>
      <c r="D3337" s="5">
        <f>IF($I2="","",INDEX(Productos!$B:$B,$I2))</f>
        <v/>
      </c>
      <c r="E3337" s="5">
        <f>IF($I2="","",INDEX(Productos!$H:$H,$I2))</f>
        <v/>
      </c>
      <c r="F3337" s="5">
        <f>IF($I2="","",INDEX(Productos!$I:$I,$I2))</f>
        <v/>
      </c>
      <c r="G3337" s="135" t="n">
        <v>4</v>
      </c>
      <c r="H3337" s="5">
        <f>IF($I2="","",INDEX(Productos!$AG:$AG,$I2))</f>
        <v/>
      </c>
      <c r="I3337" s="136">
        <f>LET(_xlpm.r,Productos!$E$2:$E$2509,_xlpm.m,IFERROR(_xlfn.XMATCH(C3337,_xlpm.r),IFERROR(_xlfn.XMATCH(VALUE(C3337),_xlpm.r),0)),IF(_xlpm.m=0,"",_xlpm.m+1))</f>
        <v/>
      </c>
      <c r="J3337" s="137" t="inlineStr">
        <is>
          <t>Shopify</t>
        </is>
      </c>
    </row>
    <row r="3338">
      <c r="A3338" s="5" t="inlineStr">
        <is>
          <t>Shopify Stetson México › Stetson México</t>
        </is>
      </c>
      <c r="B3338" s="5">
        <f>IF($I2="","",INDEX(Productos!$A:$A,$I2))</f>
        <v/>
      </c>
      <c r="C3338" s="134" t="inlineStr">
        <is>
          <t>SSELMW-30428173</t>
        </is>
      </c>
      <c r="D3338" s="5">
        <f>IF($I2="","",INDEX(Productos!$B:$B,$I2))</f>
        <v/>
      </c>
      <c r="E3338" s="5">
        <f>IF($I2="","",INDEX(Productos!$H:$H,$I2))</f>
        <v/>
      </c>
      <c r="F3338" s="5">
        <f>IF($I2="","",INDEX(Productos!$I:$I,$I2))</f>
        <v/>
      </c>
      <c r="G3338" s="135" t="n">
        <v>1</v>
      </c>
      <c r="H3338" s="5">
        <f>IF($I2="","",INDEX(Productos!$AG:$AG,$I2))</f>
        <v/>
      </c>
      <c r="I3338" s="136">
        <f>LET(_xlpm.r,Productos!$E$2:$E$2509,_xlpm.m,IFERROR(_xlfn.XMATCH(C3338,_xlpm.r),IFERROR(_xlfn.XMATCH(VALUE(C3338),_xlpm.r),0)),IF(_xlpm.m=0,"",_xlpm.m+1))</f>
        <v/>
      </c>
      <c r="J3338" s="137" t="inlineStr">
        <is>
          <t>Shopify</t>
        </is>
      </c>
    </row>
    <row r="3339">
      <c r="A3339" s="5" t="inlineStr">
        <is>
          <t>Shopify Stetson México › Stetson México</t>
        </is>
      </c>
      <c r="B3339" s="5">
        <f>IF($I2="","",INDEX(Productos!$A:$A,$I2))</f>
        <v/>
      </c>
      <c r="C3339" s="134" t="inlineStr">
        <is>
          <t>SSELMW-30428174</t>
        </is>
      </c>
      <c r="D3339" s="5">
        <f>IF($I2="","",INDEX(Productos!$B:$B,$I2))</f>
        <v/>
      </c>
      <c r="E3339" s="5">
        <f>IF($I2="","",INDEX(Productos!$H:$H,$I2))</f>
        <v/>
      </c>
      <c r="F3339" s="5">
        <f>IF($I2="","",INDEX(Productos!$I:$I,$I2))</f>
        <v/>
      </c>
      <c r="G3339" s="135" t="n">
        <v>3</v>
      </c>
      <c r="H3339" s="5">
        <f>IF($I2="","",INDEX(Productos!$AG:$AG,$I2))</f>
        <v/>
      </c>
      <c r="I3339" s="136">
        <f>LET(_xlpm.r,Productos!$E$2:$E$2509,_xlpm.m,IFERROR(_xlfn.XMATCH(C3339,_xlpm.r),IFERROR(_xlfn.XMATCH(VALUE(C3339),_xlpm.r),0)),IF(_xlpm.m=0,"",_xlpm.m+1))</f>
        <v/>
      </c>
      <c r="J3339" s="137" t="inlineStr">
        <is>
          <t>Shopify</t>
        </is>
      </c>
    </row>
    <row r="3340">
      <c r="A3340" s="5" t="inlineStr">
        <is>
          <t>Shopify Stetson México › Stetson México</t>
        </is>
      </c>
      <c r="B3340" s="5">
        <f>IF($I2="","",INDEX(Productos!$A:$A,$I2))</f>
        <v/>
      </c>
      <c r="C3340" s="134" t="inlineStr">
        <is>
          <t>SSGAIN-68428170</t>
        </is>
      </c>
      <c r="D3340" s="5">
        <f>IF($I2="","",INDEX(Productos!$B:$B,$I2))</f>
        <v/>
      </c>
      <c r="E3340" s="5">
        <f>IF($I2="","",INDEX(Productos!$H:$H,$I2))</f>
        <v/>
      </c>
      <c r="F3340" s="5">
        <f>IF($I2="","",INDEX(Productos!$I:$I,$I2))</f>
        <v/>
      </c>
      <c r="G3340" s="135" t="n">
        <v>2</v>
      </c>
      <c r="H3340" s="5">
        <f>IF($I2="","",INDEX(Productos!$AG:$AG,$I2))</f>
        <v/>
      </c>
      <c r="I3340" s="136">
        <f>LET(_xlpm.r,Productos!$E$2:$E$2509,_xlpm.m,IFERROR(_xlfn.XMATCH(C3340,_xlpm.r),IFERROR(_xlfn.XMATCH(VALUE(C3340),_xlpm.r),0)),IF(_xlpm.m=0,"",_xlpm.m+1))</f>
        <v/>
      </c>
      <c r="J3340" s="137" t="inlineStr">
        <is>
          <t>Shopify</t>
        </is>
      </c>
    </row>
    <row r="3341">
      <c r="A3341" s="5" t="inlineStr">
        <is>
          <t>Shopify Stetson México › Stetson México</t>
        </is>
      </c>
      <c r="B3341" s="5">
        <f>IF($I2="","",INDEX(Productos!$A:$A,$I2))</f>
        <v/>
      </c>
      <c r="C3341" s="134" t="inlineStr">
        <is>
          <t>SSGAIN-68428171</t>
        </is>
      </c>
      <c r="D3341" s="5">
        <f>IF($I2="","",INDEX(Productos!$B:$B,$I2))</f>
        <v/>
      </c>
      <c r="E3341" s="5">
        <f>IF($I2="","",INDEX(Productos!$H:$H,$I2))</f>
        <v/>
      </c>
      <c r="F3341" s="5">
        <f>IF($I2="","",INDEX(Productos!$I:$I,$I2))</f>
        <v/>
      </c>
      <c r="G3341" s="135" t="n">
        <v>8</v>
      </c>
      <c r="H3341" s="5">
        <f>IF($I2="","",INDEX(Productos!$AG:$AG,$I2))</f>
        <v/>
      </c>
      <c r="I3341" s="136">
        <f>LET(_xlpm.r,Productos!$E$2:$E$2509,_xlpm.m,IFERROR(_xlfn.XMATCH(C3341,_xlpm.r),IFERROR(_xlfn.XMATCH(VALUE(C3341),_xlpm.r),0)),IF(_xlpm.m=0,"",_xlpm.m+1))</f>
        <v/>
      </c>
      <c r="J3341" s="137" t="inlineStr">
        <is>
          <t>Shopify</t>
        </is>
      </c>
    </row>
    <row r="3342">
      <c r="A3342" s="5" t="inlineStr">
        <is>
          <t>Shopify Stetson México › Stetson México</t>
        </is>
      </c>
      <c r="B3342" s="5">
        <f>IF($I2="","",INDEX(Productos!$A:$A,$I2))</f>
        <v/>
      </c>
      <c r="C3342" s="134" t="inlineStr">
        <is>
          <t>SSGAIN-68428172</t>
        </is>
      </c>
      <c r="D3342" s="5">
        <f>IF($I2="","",INDEX(Productos!$B:$B,$I2))</f>
        <v/>
      </c>
      <c r="E3342" s="5">
        <f>IF($I2="","",INDEX(Productos!$H:$H,$I2))</f>
        <v/>
      </c>
      <c r="F3342" s="5">
        <f>IF($I2="","",INDEX(Productos!$I:$I,$I2))</f>
        <v/>
      </c>
      <c r="G3342" s="135" t="n">
        <v>1</v>
      </c>
      <c r="H3342" s="5">
        <f>IF($I2="","",INDEX(Productos!$AG:$AG,$I2))</f>
        <v/>
      </c>
      <c r="I3342" s="136">
        <f>LET(_xlpm.r,Productos!$E$2:$E$2509,_xlpm.m,IFERROR(_xlfn.XMATCH(C3342,_xlpm.r),IFERROR(_xlfn.XMATCH(VALUE(C3342),_xlpm.r),0)),IF(_xlpm.m=0,"",_xlpm.m+1))</f>
        <v/>
      </c>
      <c r="J3342" s="137" t="inlineStr">
        <is>
          <t>Shopify</t>
        </is>
      </c>
    </row>
    <row r="3343">
      <c r="A3343" s="5" t="inlineStr">
        <is>
          <t>Shopify Stetson México › Stetson México</t>
        </is>
      </c>
      <c r="B3343" s="5">
        <f>IF($I2="","",INDEX(Productos!$A:$A,$I2))</f>
        <v/>
      </c>
      <c r="C3343" s="134" t="inlineStr">
        <is>
          <t>SSGNFT-66428171</t>
        </is>
      </c>
      <c r="D3343" s="5">
        <f>IF($I2="","",INDEX(Productos!$B:$B,$I2))</f>
        <v/>
      </c>
      <c r="E3343" s="5">
        <f>IF($I2="","",INDEX(Productos!$H:$H,$I2))</f>
        <v/>
      </c>
      <c r="F3343" s="5">
        <f>IF($I2="","",INDEX(Productos!$I:$I,$I2))</f>
        <v/>
      </c>
      <c r="G3343" s="135" t="n">
        <v>1</v>
      </c>
      <c r="H3343" s="5">
        <f>IF($I2="","",INDEX(Productos!$AG:$AG,$I2))</f>
        <v/>
      </c>
      <c r="I3343" s="136">
        <f>LET(_xlpm.r,Productos!$E$2:$E$2509,_xlpm.m,IFERROR(_xlfn.XMATCH(C3343,_xlpm.r),IFERROR(_xlfn.XMATCH(VALUE(C3343),_xlpm.r),0)),IF(_xlpm.m=0,"",_xlpm.m+1))</f>
        <v/>
      </c>
      <c r="J3343" s="137" t="inlineStr">
        <is>
          <t>Shopify</t>
        </is>
      </c>
    </row>
    <row r="3344">
      <c r="A3344" s="5" t="inlineStr">
        <is>
          <t>Shopify Stetson México › Stetson México</t>
        </is>
      </c>
      <c r="B3344" s="5">
        <f>IF($I2="","",INDEX(Productos!$A:$A,$I2))</f>
        <v/>
      </c>
      <c r="C3344" s="134" t="inlineStr">
        <is>
          <t>SSHGMN-30428171</t>
        </is>
      </c>
      <c r="D3344" s="5">
        <f>IF($I2="","",INDEX(Productos!$B:$B,$I2))</f>
        <v/>
      </c>
      <c r="E3344" s="5">
        <f>IF($I2="","",INDEX(Productos!$H:$H,$I2))</f>
        <v/>
      </c>
      <c r="F3344" s="5">
        <f>IF($I2="","",INDEX(Productos!$I:$I,$I2))</f>
        <v/>
      </c>
      <c r="G3344" s="135" t="n">
        <v>2</v>
      </c>
      <c r="H3344" s="5">
        <f>IF($I2="","",INDEX(Productos!$AG:$AG,$I2))</f>
        <v/>
      </c>
      <c r="I3344" s="136">
        <f>LET(_xlpm.r,Productos!$E$2:$E$2509,_xlpm.m,IFERROR(_xlfn.XMATCH(C3344,_xlpm.r),IFERROR(_xlfn.XMATCH(VALUE(C3344),_xlpm.r),0)),IF(_xlpm.m=0,"",_xlpm.m+1))</f>
        <v/>
      </c>
      <c r="J3344" s="137" t="inlineStr">
        <is>
          <t>Shopify</t>
        </is>
      </c>
    </row>
    <row r="3345">
      <c r="A3345" s="5" t="inlineStr">
        <is>
          <t>Shopify Stetson México › Stetson México</t>
        </is>
      </c>
      <c r="B3345" s="5">
        <f>IF($I2="","",INDEX(Productos!$A:$A,$I2))</f>
        <v/>
      </c>
      <c r="C3345" s="134" t="inlineStr">
        <is>
          <t>SSHGMN-30428173</t>
        </is>
      </c>
      <c r="D3345" s="5">
        <f>IF($I2="","",INDEX(Productos!$B:$B,$I2))</f>
        <v/>
      </c>
      <c r="E3345" s="5">
        <f>IF($I2="","",INDEX(Productos!$H:$H,$I2))</f>
        <v/>
      </c>
      <c r="F3345" s="5">
        <f>IF($I2="","",INDEX(Productos!$I:$I,$I2))</f>
        <v/>
      </c>
      <c r="G3345" s="135" t="n">
        <v>4</v>
      </c>
      <c r="H3345" s="5">
        <f>IF($I2="","",INDEX(Productos!$AG:$AG,$I2))</f>
        <v/>
      </c>
      <c r="I3345" s="136">
        <f>LET(_xlpm.r,Productos!$E$2:$E$2509,_xlpm.m,IFERROR(_xlfn.XMATCH(C3345,_xlpm.r),IFERROR(_xlfn.XMATCH(VALUE(C3345),_xlpm.r),0)),IF(_xlpm.m=0,"",_xlpm.m+1))</f>
        <v/>
      </c>
      <c r="J3345" s="137" t="inlineStr">
        <is>
          <t>Shopify</t>
        </is>
      </c>
    </row>
    <row r="3346">
      <c r="A3346" s="5" t="inlineStr">
        <is>
          <t>Shopify Stetson México › Stetson México</t>
        </is>
      </c>
      <c r="B3346" s="5">
        <f>IF($I2="","",INDEX(Productos!$A:$A,$I2))</f>
        <v/>
      </c>
      <c r="C3346" s="134" t="inlineStr">
        <is>
          <t>SSLLNO-30428172</t>
        </is>
      </c>
      <c r="D3346" s="5">
        <f>IF($I2="","",INDEX(Productos!$B:$B,$I2))</f>
        <v/>
      </c>
      <c r="E3346" s="5">
        <f>IF($I2="","",INDEX(Productos!$H:$H,$I2))</f>
        <v/>
      </c>
      <c r="F3346" s="5">
        <f>IF($I2="","",INDEX(Productos!$I:$I,$I2))</f>
        <v/>
      </c>
      <c r="G3346" s="135" t="n">
        <v>3</v>
      </c>
      <c r="H3346" s="5">
        <f>IF($I2="","",INDEX(Productos!$AG:$AG,$I2))</f>
        <v/>
      </c>
      <c r="I3346" s="136">
        <f>LET(_xlpm.r,Productos!$E$2:$E$2509,_xlpm.m,IFERROR(_xlfn.XMATCH(C3346,_xlpm.r),IFERROR(_xlfn.XMATCH(VALUE(C3346),_xlpm.r),0)),IF(_xlpm.m=0,"",_xlpm.m+1))</f>
        <v/>
      </c>
      <c r="J3346" s="137" t="inlineStr">
        <is>
          <t>Shopify</t>
        </is>
      </c>
    </row>
    <row r="3347">
      <c r="A3347" s="5" t="inlineStr">
        <is>
          <t>Shopify Stetson México › Stetson México</t>
        </is>
      </c>
      <c r="B3347" s="5">
        <f>IF($I2="","",INDEX(Productos!$A:$A,$I2))</f>
        <v/>
      </c>
      <c r="C3347" s="134" t="inlineStr">
        <is>
          <t>SSLLNO-30428174</t>
        </is>
      </c>
      <c r="D3347" s="5">
        <f>IF($I2="","",INDEX(Productos!$B:$B,$I2))</f>
        <v/>
      </c>
      <c r="E3347" s="5">
        <f>IF($I2="","",INDEX(Productos!$H:$H,$I2))</f>
        <v/>
      </c>
      <c r="F3347" s="5">
        <f>IF($I2="","",INDEX(Productos!$I:$I,$I2))</f>
        <v/>
      </c>
      <c r="G3347" s="135" t="n">
        <v>2</v>
      </c>
      <c r="H3347" s="5">
        <f>IF($I2="","",INDEX(Productos!$AG:$AG,$I2))</f>
        <v/>
      </c>
      <c r="I3347" s="136">
        <f>LET(_xlpm.r,Productos!$E$2:$E$2509,_xlpm.m,IFERROR(_xlfn.XMATCH(C3347,_xlpm.r),IFERROR(_xlfn.XMATCH(VALUE(C3347),_xlpm.r),0)),IF(_xlpm.m=0,"",_xlpm.m+1))</f>
        <v/>
      </c>
      <c r="J3347" s="137" t="inlineStr">
        <is>
          <t>Shopify</t>
        </is>
      </c>
    </row>
    <row r="3348">
      <c r="A3348" s="5" t="inlineStr">
        <is>
          <t>Shopify Stetson México › Stetson México</t>
        </is>
      </c>
      <c r="B3348" s="5">
        <f>IF($I2="","",INDEX(Productos!$A:$A,$I2))</f>
        <v/>
      </c>
      <c r="C3348" s="134" t="inlineStr">
        <is>
          <t>SSPLAT-30428171</t>
        </is>
      </c>
      <c r="D3348" s="5">
        <f>IF($I2="","",INDEX(Productos!$B:$B,$I2))</f>
        <v/>
      </c>
      <c r="E3348" s="5">
        <f>IF($I2="","",INDEX(Productos!$H:$H,$I2))</f>
        <v/>
      </c>
      <c r="F3348" s="5">
        <f>IF($I2="","",INDEX(Productos!$I:$I,$I2))</f>
        <v/>
      </c>
      <c r="G3348" s="135" t="n">
        <v>2</v>
      </c>
      <c r="H3348" s="5">
        <f>IF($I2="","",INDEX(Productos!$AG:$AG,$I2))</f>
        <v/>
      </c>
      <c r="I3348" s="136">
        <f>LET(_xlpm.r,Productos!$E$2:$E$2509,_xlpm.m,IFERROR(_xlfn.XMATCH(C3348,_xlpm.r),IFERROR(_xlfn.XMATCH(VALUE(C3348),_xlpm.r),0)),IF(_xlpm.m=0,"",_xlpm.m+1))</f>
        <v/>
      </c>
      <c r="J3348" s="137" t="inlineStr">
        <is>
          <t>Shopify</t>
        </is>
      </c>
    </row>
    <row r="3349">
      <c r="A3349" s="5" t="inlineStr">
        <is>
          <t>Shopify Stetson México › Stetson México</t>
        </is>
      </c>
      <c r="B3349" s="5">
        <f>IF($I2="","",INDEX(Productos!$A:$A,$I2))</f>
        <v/>
      </c>
      <c r="C3349" s="134" t="inlineStr">
        <is>
          <t>SSPLAT-30428172</t>
        </is>
      </c>
      <c r="D3349" s="5">
        <f>IF($I2="","",INDEX(Productos!$B:$B,$I2))</f>
        <v/>
      </c>
      <c r="E3349" s="5">
        <f>IF($I2="","",INDEX(Productos!$H:$H,$I2))</f>
        <v/>
      </c>
      <c r="F3349" s="5">
        <f>IF($I2="","",INDEX(Productos!$I:$I,$I2))</f>
        <v/>
      </c>
      <c r="G3349" s="135" t="n">
        <v>1</v>
      </c>
      <c r="H3349" s="5">
        <f>IF($I2="","",INDEX(Productos!$AG:$AG,$I2))</f>
        <v/>
      </c>
      <c r="I3349" s="136">
        <f>LET(_xlpm.r,Productos!$E$2:$E$2509,_xlpm.m,IFERROR(_xlfn.XMATCH(C3349,_xlpm.r),IFERROR(_xlfn.XMATCH(VALUE(C3349),_xlpm.r),0)),IF(_xlpm.m=0,"",_xlpm.m+1))</f>
        <v/>
      </c>
      <c r="J3349" s="137" t="inlineStr">
        <is>
          <t>Shopify</t>
        </is>
      </c>
    </row>
    <row r="3350">
      <c r="A3350" s="5" t="inlineStr">
        <is>
          <t>Shopify Stetson México › Stetson México</t>
        </is>
      </c>
      <c r="B3350" s="5">
        <f>IF($I2="","",INDEX(Productos!$A:$A,$I2))</f>
        <v/>
      </c>
      <c r="C3350" s="134" t="inlineStr">
        <is>
          <t>SSPLAT-30428173</t>
        </is>
      </c>
      <c r="D3350" s="5">
        <f>IF($I2="","",INDEX(Productos!$B:$B,$I2))</f>
        <v/>
      </c>
      <c r="E3350" s="5">
        <f>IF($I2="","",INDEX(Productos!$H:$H,$I2))</f>
        <v/>
      </c>
      <c r="F3350" s="5">
        <f>IF($I2="","",INDEX(Productos!$I:$I,$I2))</f>
        <v/>
      </c>
      <c r="G3350" s="135" t="n">
        <v>4</v>
      </c>
      <c r="H3350" s="5">
        <f>IF($I2="","",INDEX(Productos!$AG:$AG,$I2))</f>
        <v/>
      </c>
      <c r="I3350" s="136">
        <f>LET(_xlpm.r,Productos!$E$2:$E$2509,_xlpm.m,IFERROR(_xlfn.XMATCH(C3350,_xlpm.r),IFERROR(_xlfn.XMATCH(VALUE(C3350),_xlpm.r),0)),IF(_xlpm.m=0,"",_xlpm.m+1))</f>
        <v/>
      </c>
      <c r="J3350" s="137" t="inlineStr">
        <is>
          <t>Shopify</t>
        </is>
      </c>
    </row>
    <row r="3351">
      <c r="A3351" s="5" t="inlineStr">
        <is>
          <t>Shopify Stetson México › Stetson México</t>
        </is>
      </c>
      <c r="B3351" s="5">
        <f>IF($I2="","",INDEX(Productos!$A:$A,$I2))</f>
        <v/>
      </c>
      <c r="C3351" s="134" t="inlineStr">
        <is>
          <t>SSPLAT-30428174</t>
        </is>
      </c>
      <c r="D3351" s="5">
        <f>IF($I2="","",INDEX(Productos!$B:$B,$I2))</f>
        <v/>
      </c>
      <c r="E3351" s="5">
        <f>IF($I2="","",INDEX(Productos!$H:$H,$I2))</f>
        <v/>
      </c>
      <c r="F3351" s="5">
        <f>IF($I2="","",INDEX(Productos!$I:$I,$I2))</f>
        <v/>
      </c>
      <c r="G3351" s="135" t="n">
        <v>2</v>
      </c>
      <c r="H3351" s="5">
        <f>IF($I2="","",INDEX(Productos!$AG:$AG,$I2))</f>
        <v/>
      </c>
      <c r="I3351" s="136">
        <f>LET(_xlpm.r,Productos!$E$2:$E$2509,_xlpm.m,IFERROR(_xlfn.XMATCH(C3351,_xlpm.r),IFERROR(_xlfn.XMATCH(VALUE(C3351),_xlpm.r),0)),IF(_xlpm.m=0,"",_xlpm.m+1))</f>
        <v/>
      </c>
      <c r="J3351" s="137" t="inlineStr">
        <is>
          <t>Shopify</t>
        </is>
      </c>
    </row>
    <row r="3352">
      <c r="A3352" s="5" t="inlineStr">
        <is>
          <t>Shopify Stetson México › Stetson México</t>
        </is>
      </c>
      <c r="B3352" s="5">
        <f>IF($I2="","",INDEX(Productos!$A:$A,$I2))</f>
        <v/>
      </c>
      <c r="C3352" s="134" t="inlineStr">
        <is>
          <t>SSRDEO-66428173</t>
        </is>
      </c>
      <c r="D3352" s="5">
        <f>IF($I2="","",INDEX(Productos!$B:$B,$I2))</f>
        <v/>
      </c>
      <c r="E3352" s="5">
        <f>IF($I2="","",INDEX(Productos!$H:$H,$I2))</f>
        <v/>
      </c>
      <c r="F3352" s="5">
        <f>IF($I2="","",INDEX(Productos!$I:$I,$I2))</f>
        <v/>
      </c>
      <c r="G3352" s="135" t="n">
        <v>1</v>
      </c>
      <c r="H3352" s="5">
        <f>IF($I2="","",INDEX(Productos!$AG:$AG,$I2))</f>
        <v/>
      </c>
      <c r="I3352" s="136">
        <f>LET(_xlpm.r,Productos!$E$2:$E$2509,_xlpm.m,IFERROR(_xlfn.XMATCH(C3352,_xlpm.r),IFERROR(_xlfn.XMATCH(VALUE(C3352),_xlpm.r),0)),IF(_xlpm.m=0,"",_xlpm.m+1))</f>
        <v/>
      </c>
      <c r="J3352" s="137" t="inlineStr">
        <is>
          <t>Shopify</t>
        </is>
      </c>
    </row>
    <row r="3353">
      <c r="A3353" s="5" t="inlineStr">
        <is>
          <t>Shopify Stetson México › Stetson México</t>
        </is>
      </c>
      <c r="B3353" s="5">
        <f>IF($I2="","",INDEX(Productos!$A:$A,$I2))</f>
        <v/>
      </c>
      <c r="C3353" s="134" t="inlineStr">
        <is>
          <t>SSRNCHK01408170</t>
        </is>
      </c>
      <c r="D3353" s="5">
        <f>IF($I2="","",INDEX(Productos!$B:$B,$I2))</f>
        <v/>
      </c>
      <c r="E3353" s="5">
        <f>IF($I2="","",INDEX(Productos!$H:$H,$I2))</f>
        <v/>
      </c>
      <c r="F3353" s="5">
        <f>IF($I2="","",INDEX(Productos!$I:$I,$I2))</f>
        <v/>
      </c>
      <c r="G3353" s="135" t="n">
        <v>2</v>
      </c>
      <c r="H3353" s="5">
        <f>IF($I2="","",INDEX(Productos!$AG:$AG,$I2))</f>
        <v/>
      </c>
      <c r="I3353" s="136">
        <f>LET(_xlpm.r,Productos!$E$2:$E$2509,_xlpm.m,IFERROR(_xlfn.XMATCH(C3353,_xlpm.r),IFERROR(_xlfn.XMATCH(VALUE(C3353),_xlpm.r),0)),IF(_xlpm.m=0,"",_xlpm.m+1))</f>
        <v/>
      </c>
      <c r="J3353" s="137" t="inlineStr">
        <is>
          <t>Shopify</t>
        </is>
      </c>
    </row>
    <row r="3354">
      <c r="A3354" s="5" t="inlineStr">
        <is>
          <t>Shopify Stetson México › Stetson México</t>
        </is>
      </c>
      <c r="B3354" s="5">
        <f>IF($I2="","",INDEX(Productos!$A:$A,$I2))</f>
        <v/>
      </c>
      <c r="C3354" s="134" t="inlineStr">
        <is>
          <t>SSRNCHK01408171</t>
        </is>
      </c>
      <c r="D3354" s="5">
        <f>IF($I2="","",INDEX(Productos!$B:$B,$I2))</f>
        <v/>
      </c>
      <c r="E3354" s="5">
        <f>IF($I2="","",INDEX(Productos!$H:$H,$I2))</f>
        <v/>
      </c>
      <c r="F3354" s="5">
        <f>IF($I2="","",INDEX(Productos!$I:$I,$I2))</f>
        <v/>
      </c>
      <c r="G3354" s="135" t="n">
        <v>2</v>
      </c>
      <c r="H3354" s="5">
        <f>IF($I2="","",INDEX(Productos!$AG:$AG,$I2))</f>
        <v/>
      </c>
      <c r="I3354" s="136">
        <f>LET(_xlpm.r,Productos!$E$2:$E$2509,_xlpm.m,IFERROR(_xlfn.XMATCH(C3354,_xlpm.r),IFERROR(_xlfn.XMATCH(VALUE(C3354),_xlpm.r),0)),IF(_xlpm.m=0,"",_xlpm.m+1))</f>
        <v/>
      </c>
      <c r="J3354" s="137" t="inlineStr">
        <is>
          <t>Shopify</t>
        </is>
      </c>
    </row>
    <row r="3355">
      <c r="A3355" s="5" t="inlineStr">
        <is>
          <t>Shopify Stetson México › Stetson México</t>
        </is>
      </c>
      <c r="B3355" s="5">
        <f>IF($I2="","",INDEX(Productos!$A:$A,$I2))</f>
        <v/>
      </c>
      <c r="C3355" s="134" t="inlineStr">
        <is>
          <t>SSRNCHK01408172</t>
        </is>
      </c>
      <c r="D3355" s="5">
        <f>IF($I2="","",INDEX(Productos!$B:$B,$I2))</f>
        <v/>
      </c>
      <c r="E3355" s="5">
        <f>IF($I2="","",INDEX(Productos!$H:$H,$I2))</f>
        <v/>
      </c>
      <c r="F3355" s="5">
        <f>IF($I2="","",INDEX(Productos!$I:$I,$I2))</f>
        <v/>
      </c>
      <c r="G3355" s="135" t="n">
        <v>4</v>
      </c>
      <c r="H3355" s="5">
        <f>IF($I2="","",INDEX(Productos!$AG:$AG,$I2))</f>
        <v/>
      </c>
      <c r="I3355" s="136">
        <f>LET(_xlpm.r,Productos!$E$2:$E$2509,_xlpm.m,IFERROR(_xlfn.XMATCH(C3355,_xlpm.r),IFERROR(_xlfn.XMATCH(VALUE(C3355),_xlpm.r),0)),IF(_xlpm.m=0,"",_xlpm.m+1))</f>
        <v/>
      </c>
      <c r="J3355" s="137" t="inlineStr">
        <is>
          <t>Shopify</t>
        </is>
      </c>
    </row>
    <row r="3356">
      <c r="A3356" s="5" t="inlineStr">
        <is>
          <t>Shopify Stetson México › Stetson México</t>
        </is>
      </c>
      <c r="B3356" s="5">
        <f>IF($I2="","",INDEX(Productos!$A:$A,$I2))</f>
        <v/>
      </c>
      <c r="C3356" s="134" t="inlineStr">
        <is>
          <t>SSRNCHK01408173</t>
        </is>
      </c>
      <c r="D3356" s="5">
        <f>IF($I2="","",INDEX(Productos!$B:$B,$I2))</f>
        <v/>
      </c>
      <c r="E3356" s="5">
        <f>IF($I2="","",INDEX(Productos!$H:$H,$I2))</f>
        <v/>
      </c>
      <c r="F3356" s="5">
        <f>IF($I2="","",INDEX(Productos!$I:$I,$I2))</f>
        <v/>
      </c>
      <c r="G3356" s="135" t="n">
        <v>5</v>
      </c>
      <c r="H3356" s="5">
        <f>IF($I2="","",INDEX(Productos!$AG:$AG,$I2))</f>
        <v/>
      </c>
      <c r="I3356" s="136">
        <f>LET(_xlpm.r,Productos!$E$2:$E$2509,_xlpm.m,IFERROR(_xlfn.XMATCH(C3356,_xlpm.r),IFERROR(_xlfn.XMATCH(VALUE(C3356),_xlpm.r),0)),IF(_xlpm.m=0,"",_xlpm.m+1))</f>
        <v/>
      </c>
      <c r="J3356" s="137" t="inlineStr">
        <is>
          <t>Shopify</t>
        </is>
      </c>
    </row>
    <row r="3357">
      <c r="A3357" s="5" t="inlineStr">
        <is>
          <t>Shopify Stetson México › Stetson México</t>
        </is>
      </c>
      <c r="B3357" s="5">
        <f>IF($I2="","",INDEX(Productos!$A:$A,$I2))</f>
        <v/>
      </c>
      <c r="C3357" s="134" t="inlineStr">
        <is>
          <t>SSROJR-B23481AL</t>
        </is>
      </c>
      <c r="D3357" s="5">
        <f>IF($I2="","",INDEX(Productos!$B:$B,$I2))</f>
        <v/>
      </c>
      <c r="E3357" s="5">
        <f>IF($I2="","",INDEX(Productos!$H:$H,$I2))</f>
        <v/>
      </c>
      <c r="F3357" s="5">
        <f>IF($I2="","",INDEX(Productos!$I:$I,$I2))</f>
        <v/>
      </c>
      <c r="G3357" s="135" t="n">
        <v>1</v>
      </c>
      <c r="H3357" s="5">
        <f>IF($I2="","",INDEX(Productos!$AG:$AG,$I2))</f>
        <v/>
      </c>
      <c r="I3357" s="136">
        <f>LET(_xlpm.r,Productos!$E$2:$E$2509,_xlpm.m,IFERROR(_xlfn.XMATCH(C3357,_xlpm.r),IFERROR(_xlfn.XMATCH(VALUE(C3357),_xlpm.r),0)),IF(_xlpm.m=0,"",_xlpm.m+1))</f>
        <v/>
      </c>
      <c r="J3357" s="137" t="inlineStr">
        <is>
          <t>Shopify</t>
        </is>
      </c>
    </row>
    <row r="3358">
      <c r="A3358" s="5" t="inlineStr">
        <is>
          <t>Shopify Stetson México › Stetson México</t>
        </is>
      </c>
      <c r="B3358" s="5">
        <f>IF($I2="","",INDEX(Productos!$A:$A,$I2))</f>
        <v/>
      </c>
      <c r="C3358" s="134" t="inlineStr">
        <is>
          <t>SSSDMN-30428173</t>
        </is>
      </c>
      <c r="D3358" s="5">
        <f>IF($I2="","",INDEX(Productos!$B:$B,$I2))</f>
        <v/>
      </c>
      <c r="E3358" s="5">
        <f>IF($I2="","",INDEX(Productos!$H:$H,$I2))</f>
        <v/>
      </c>
      <c r="F3358" s="5">
        <f>IF($I2="","",INDEX(Productos!$I:$I,$I2))</f>
        <v/>
      </c>
      <c r="G3358" s="135" t="n">
        <v>1</v>
      </c>
      <c r="H3358" s="5">
        <f>IF($I2="","",INDEX(Productos!$AG:$AG,$I2))</f>
        <v/>
      </c>
      <c r="I3358" s="136">
        <f>LET(_xlpm.r,Productos!$E$2:$E$2509,_xlpm.m,IFERROR(_xlfn.XMATCH(C3358,_xlpm.r),IFERROR(_xlfn.XMATCH(VALUE(C3358),_xlpm.r),0)),IF(_xlpm.m=0,"",_xlpm.m+1))</f>
        <v/>
      </c>
      <c r="J3358" s="137" t="inlineStr">
        <is>
          <t>Shopify</t>
        </is>
      </c>
    </row>
    <row r="3359">
      <c r="A3359" s="5" t="inlineStr">
        <is>
          <t>Shopify Stetson México › Stetson México</t>
        </is>
      </c>
      <c r="B3359" s="5">
        <f>IF($I2="","",INDEX(Productos!$A:$A,$I2))</f>
        <v/>
      </c>
      <c r="C3359" s="134" t="inlineStr">
        <is>
          <t>SSSTPT-68448171</t>
        </is>
      </c>
      <c r="D3359" s="5">
        <f>IF($I2="","",INDEX(Productos!$B:$B,$I2))</f>
        <v/>
      </c>
      <c r="E3359" s="5">
        <f>IF($I2="","",INDEX(Productos!$H:$H,$I2))</f>
        <v/>
      </c>
      <c r="F3359" s="5">
        <f>IF($I2="","",INDEX(Productos!$I:$I,$I2))</f>
        <v/>
      </c>
      <c r="G3359" s="135" t="n">
        <v>4</v>
      </c>
      <c r="H3359" s="5">
        <f>IF($I2="","",INDEX(Productos!$AG:$AG,$I2))</f>
        <v/>
      </c>
      <c r="I3359" s="136">
        <f>LET(_xlpm.r,Productos!$E$2:$E$2509,_xlpm.m,IFERROR(_xlfn.XMATCH(C3359,_xlpm.r),IFERROR(_xlfn.XMATCH(VALUE(C3359),_xlpm.r),0)),IF(_xlpm.m=0,"",_xlpm.m+1))</f>
        <v/>
      </c>
      <c r="J3359" s="137" t="inlineStr">
        <is>
          <t>Shopify</t>
        </is>
      </c>
    </row>
    <row r="3360">
      <c r="A3360" s="5" t="inlineStr">
        <is>
          <t>Shopify Stetson México › Stetson México</t>
        </is>
      </c>
      <c r="B3360" s="5">
        <f>IF($I2="","",INDEX(Productos!$A:$A,$I2))</f>
        <v/>
      </c>
      <c r="C3360" s="134" t="inlineStr">
        <is>
          <t>SSSTPT-68448172</t>
        </is>
      </c>
      <c r="D3360" s="5">
        <f>IF($I2="","",INDEX(Productos!$B:$B,$I2))</f>
        <v/>
      </c>
      <c r="E3360" s="5">
        <f>IF($I2="","",INDEX(Productos!$H:$H,$I2))</f>
        <v/>
      </c>
      <c r="F3360" s="5">
        <f>IF($I2="","",INDEX(Productos!$I:$I,$I2))</f>
        <v/>
      </c>
      <c r="G3360" s="135" t="n">
        <v>1</v>
      </c>
      <c r="H3360" s="5">
        <f>IF($I2="","",INDEX(Productos!$AG:$AG,$I2))</f>
        <v/>
      </c>
      <c r="I3360" s="136">
        <f>LET(_xlpm.r,Productos!$E$2:$E$2509,_xlpm.m,IFERROR(_xlfn.XMATCH(C3360,_xlpm.r),IFERROR(_xlfn.XMATCH(VALUE(C3360),_xlpm.r),0)),IF(_xlpm.m=0,"",_xlpm.m+1))</f>
        <v/>
      </c>
      <c r="J3360" s="137" t="inlineStr">
        <is>
          <t>Shopify</t>
        </is>
      </c>
    </row>
    <row r="3361">
      <c r="A3361" s="5" t="inlineStr">
        <is>
          <t>Shopify Stetson México › Stetson México</t>
        </is>
      </c>
      <c r="B3361" s="5">
        <f>IF($I2="","",INDEX(Productos!$A:$A,$I2))</f>
        <v/>
      </c>
      <c r="C3361" s="134" t="inlineStr">
        <is>
          <t>SSSTPT-68448174</t>
        </is>
      </c>
      <c r="D3361" s="5">
        <f>IF($I2="","",INDEX(Productos!$B:$B,$I2))</f>
        <v/>
      </c>
      <c r="E3361" s="5">
        <f>IF($I2="","",INDEX(Productos!$H:$H,$I2))</f>
        <v/>
      </c>
      <c r="F3361" s="5">
        <f>IF($I2="","",INDEX(Productos!$I:$I,$I2))</f>
        <v/>
      </c>
      <c r="G3361" s="135" t="n">
        <v>1</v>
      </c>
      <c r="H3361" s="5">
        <f>IF($I2="","",INDEX(Productos!$AG:$AG,$I2))</f>
        <v/>
      </c>
      <c r="I3361" s="136">
        <f>LET(_xlpm.r,Productos!$E$2:$E$2509,_xlpm.m,IFERROR(_xlfn.XMATCH(C3361,_xlpm.r),IFERROR(_xlfn.XMATCH(VALUE(C3361),_xlpm.r),0)),IF(_xlpm.m=0,"",_xlpm.m+1))</f>
        <v/>
      </c>
      <c r="J3361" s="137" t="inlineStr">
        <is>
          <t>Shopify</t>
        </is>
      </c>
    </row>
    <row r="3362">
      <c r="A3362" s="5" t="inlineStr">
        <is>
          <t>Shopify Stetson México › Stetson México</t>
        </is>
      </c>
      <c r="B3362" s="5">
        <f>IF($I2="","",INDEX(Productos!$A:$A,$I2))</f>
        <v/>
      </c>
      <c r="C3362" s="134" t="inlineStr">
        <is>
          <t>SSTHDR-WR42P174</t>
        </is>
      </c>
      <c r="D3362" s="5">
        <f>IF($I2="","",INDEX(Productos!$B:$B,$I2))</f>
        <v/>
      </c>
      <c r="E3362" s="5">
        <f>IF($I2="","",INDEX(Productos!$H:$H,$I2))</f>
        <v/>
      </c>
      <c r="F3362" s="5">
        <f>IF($I2="","",INDEX(Productos!$I:$I,$I2))</f>
        <v/>
      </c>
      <c r="G3362" s="135" t="n">
        <v>1</v>
      </c>
      <c r="H3362" s="5">
        <f>IF($I2="","",INDEX(Productos!$AG:$AG,$I2))</f>
        <v/>
      </c>
      <c r="I3362" s="136">
        <f>LET(_xlpm.r,Productos!$E$2:$E$2509,_xlpm.m,IFERROR(_xlfn.XMATCH(C3362,_xlpm.r),IFERROR(_xlfn.XMATCH(VALUE(C3362),_xlpm.r),0)),IF(_xlpm.m=0,"",_xlpm.m+1))</f>
        <v/>
      </c>
      <c r="J3362" s="137" t="inlineStr">
        <is>
          <t>Shopify</t>
        </is>
      </c>
    </row>
    <row r="3363">
      <c r="A3363" s="5" t="inlineStr">
        <is>
          <t>Shopify Stetson México › Stetson México</t>
        </is>
      </c>
      <c r="B3363" s="5">
        <f>IF($I2="","",INDEX(Productos!$A:$A,$I2))</f>
        <v/>
      </c>
      <c r="C3363" s="134" t="inlineStr">
        <is>
          <t>ST-LT-001-FW25-AF-2XL</t>
        </is>
      </c>
      <c r="D3363" s="5">
        <f>IF($I2="","",INDEX(Productos!$B:$B,$I2))</f>
        <v/>
      </c>
      <c r="E3363" s="5">
        <f>IF($I2="","",INDEX(Productos!$H:$H,$I2))</f>
        <v/>
      </c>
      <c r="F3363" s="5">
        <f>IF($I2="","",INDEX(Productos!$I:$I,$I2))</f>
        <v/>
      </c>
      <c r="G3363" s="135" t="n">
        <v>1</v>
      </c>
      <c r="H3363" s="5">
        <f>IF($I2="","",INDEX(Productos!$AG:$AG,$I2))</f>
        <v/>
      </c>
      <c r="I3363" s="136">
        <f>LET(_xlpm.r,Productos!$E$2:$E$2509,_xlpm.m,IFERROR(_xlfn.XMATCH(C3363,_xlpm.r),IFERROR(_xlfn.XMATCH(VALUE(C3363),_xlpm.r),0)),IF(_xlpm.m=0,"",_xlpm.m+1))</f>
        <v/>
      </c>
      <c r="J3363" s="137" t="inlineStr">
        <is>
          <t>Shopify</t>
        </is>
      </c>
    </row>
    <row r="3364">
      <c r="A3364" s="5" t="inlineStr">
        <is>
          <t>Shopify Stetson México › Stetson México</t>
        </is>
      </c>
      <c r="B3364" s="5">
        <f>IF($I2="","",INDEX(Productos!$A:$A,$I2))</f>
        <v/>
      </c>
      <c r="C3364" s="134" t="inlineStr">
        <is>
          <t>ST-LT-001-FW25-AF-L</t>
        </is>
      </c>
      <c r="D3364" s="5">
        <f>IF($I2="","",INDEX(Productos!$B:$B,$I2))</f>
        <v/>
      </c>
      <c r="E3364" s="5">
        <f>IF($I2="","",INDEX(Productos!$H:$H,$I2))</f>
        <v/>
      </c>
      <c r="F3364" s="5">
        <f>IF($I2="","",INDEX(Productos!$I:$I,$I2))</f>
        <v/>
      </c>
      <c r="G3364" s="135" t="n">
        <v>2</v>
      </c>
      <c r="H3364" s="5">
        <f>IF($I2="","",INDEX(Productos!$AG:$AG,$I2))</f>
        <v/>
      </c>
      <c r="I3364" s="136">
        <f>LET(_xlpm.r,Productos!$E$2:$E$2509,_xlpm.m,IFERROR(_xlfn.XMATCH(C3364,_xlpm.r),IFERROR(_xlfn.XMATCH(VALUE(C3364),_xlpm.r),0)),IF(_xlpm.m=0,"",_xlpm.m+1))</f>
        <v/>
      </c>
      <c r="J3364" s="137" t="inlineStr">
        <is>
          <t>Shopify</t>
        </is>
      </c>
    </row>
    <row r="3365">
      <c r="A3365" s="5" t="inlineStr">
        <is>
          <t>Shopify Stetson México › Stetson México</t>
        </is>
      </c>
      <c r="B3365" s="5">
        <f>IF($I2="","",INDEX(Productos!$A:$A,$I2))</f>
        <v/>
      </c>
      <c r="C3365" s="134" t="inlineStr">
        <is>
          <t>ST-LT-001-FW25-AF-M</t>
        </is>
      </c>
      <c r="D3365" s="5">
        <f>IF($I2="","",INDEX(Productos!$B:$B,$I2))</f>
        <v/>
      </c>
      <c r="E3365" s="5">
        <f>IF($I2="","",INDEX(Productos!$H:$H,$I2))</f>
        <v/>
      </c>
      <c r="F3365" s="5">
        <f>IF($I2="","",INDEX(Productos!$I:$I,$I2))</f>
        <v/>
      </c>
      <c r="G3365" s="135" t="n">
        <v>1</v>
      </c>
      <c r="H3365" s="5">
        <f>IF($I2="","",INDEX(Productos!$AG:$AG,$I2))</f>
        <v/>
      </c>
      <c r="I3365" s="136">
        <f>LET(_xlpm.r,Productos!$E$2:$E$2509,_xlpm.m,IFERROR(_xlfn.XMATCH(C3365,_xlpm.r),IFERROR(_xlfn.XMATCH(VALUE(C3365),_xlpm.r),0)),IF(_xlpm.m=0,"",_xlpm.m+1))</f>
        <v/>
      </c>
      <c r="J3365" s="137" t="inlineStr">
        <is>
          <t>Shopify</t>
        </is>
      </c>
    </row>
    <row r="3366">
      <c r="A3366" s="5" t="inlineStr">
        <is>
          <t>Shopify Stetson México › Stetson México</t>
        </is>
      </c>
      <c r="B3366" s="5">
        <f>IF($I2="","",INDEX(Productos!$A:$A,$I2))</f>
        <v/>
      </c>
      <c r="C3366" s="134" t="inlineStr">
        <is>
          <t>ST-LT-001-FW25-AF-S</t>
        </is>
      </c>
      <c r="D3366" s="5">
        <f>IF($I2="","",INDEX(Productos!$B:$B,$I2))</f>
        <v/>
      </c>
      <c r="E3366" s="5">
        <f>IF($I2="","",INDEX(Productos!$H:$H,$I2))</f>
        <v/>
      </c>
      <c r="F3366" s="5">
        <f>IF($I2="","",INDEX(Productos!$I:$I,$I2))</f>
        <v/>
      </c>
      <c r="G3366" s="135" t="n">
        <v>1</v>
      </c>
      <c r="H3366" s="5">
        <f>IF($I2="","",INDEX(Productos!$AG:$AG,$I2))</f>
        <v/>
      </c>
      <c r="I3366" s="136">
        <f>LET(_xlpm.r,Productos!$E$2:$E$2509,_xlpm.m,IFERROR(_xlfn.XMATCH(C3366,_xlpm.r),IFERROR(_xlfn.XMATCH(VALUE(C3366),_xlpm.r),0)),IF(_xlpm.m=0,"",_xlpm.m+1))</f>
        <v/>
      </c>
      <c r="J3366" s="137" t="inlineStr">
        <is>
          <t>Shopify</t>
        </is>
      </c>
    </row>
    <row r="3367">
      <c r="A3367" s="5" t="inlineStr">
        <is>
          <t>Shopify Stetson México › Stetson México</t>
        </is>
      </c>
      <c r="B3367" s="5">
        <f>IF($I2="","",INDEX(Productos!$A:$A,$I2))</f>
        <v/>
      </c>
      <c r="C3367" s="134" t="inlineStr">
        <is>
          <t>ST-LT-001-FW25-AF-XL</t>
        </is>
      </c>
      <c r="D3367" s="5">
        <f>IF($I2="","",INDEX(Productos!$B:$B,$I2))</f>
        <v/>
      </c>
      <c r="E3367" s="5">
        <f>IF($I2="","",INDEX(Productos!$H:$H,$I2))</f>
        <v/>
      </c>
      <c r="F3367" s="5">
        <f>IF($I2="","",INDEX(Productos!$I:$I,$I2))</f>
        <v/>
      </c>
      <c r="G3367" s="135" t="n">
        <v>1</v>
      </c>
      <c r="H3367" s="5">
        <f>IF($I2="","",INDEX(Productos!$AG:$AG,$I2))</f>
        <v/>
      </c>
      <c r="I3367" s="136">
        <f>LET(_xlpm.r,Productos!$E$2:$E$2509,_xlpm.m,IFERROR(_xlfn.XMATCH(C3367,_xlpm.r),IFERROR(_xlfn.XMATCH(VALUE(C3367),_xlpm.r),0)),IF(_xlpm.m=0,"",_xlpm.m+1))</f>
        <v/>
      </c>
      <c r="J3367" s="137" t="inlineStr">
        <is>
          <t>Shopify</t>
        </is>
      </c>
    </row>
    <row r="3368">
      <c r="A3368" s="5" t="inlineStr">
        <is>
          <t>Shopify Stetson México › Stetson México</t>
        </is>
      </c>
      <c r="B3368" s="5">
        <f>IF($I2="","",INDEX(Productos!$A:$A,$I2))</f>
        <v/>
      </c>
      <c r="C3368" s="134" t="inlineStr">
        <is>
          <t>ST-LT-004-FW25-TR-2XL</t>
        </is>
      </c>
      <c r="D3368" s="5">
        <f>IF($I2="","",INDEX(Productos!$B:$B,$I2))</f>
        <v/>
      </c>
      <c r="E3368" s="5">
        <f>IF($I2="","",INDEX(Productos!$H:$H,$I2))</f>
        <v/>
      </c>
      <c r="F3368" s="5">
        <f>IF($I2="","",INDEX(Productos!$I:$I,$I2))</f>
        <v/>
      </c>
      <c r="G3368" s="135" t="n">
        <v>1</v>
      </c>
      <c r="H3368" s="5">
        <f>IF($I2="","",INDEX(Productos!$AG:$AG,$I2))</f>
        <v/>
      </c>
      <c r="I3368" s="136">
        <f>LET(_xlpm.r,Productos!$E$2:$E$2509,_xlpm.m,IFERROR(_xlfn.XMATCH(C3368,_xlpm.r),IFERROR(_xlfn.XMATCH(VALUE(C3368),_xlpm.r),0)),IF(_xlpm.m=0,"",_xlpm.m+1))</f>
        <v/>
      </c>
      <c r="J3368" s="137" t="inlineStr">
        <is>
          <t>Shopify</t>
        </is>
      </c>
    </row>
    <row r="3369">
      <c r="A3369" s="5" t="inlineStr">
        <is>
          <t>Shopify Stetson México › Stetson México</t>
        </is>
      </c>
      <c r="B3369" s="5">
        <f>IF($I2="","",INDEX(Productos!$A:$A,$I2))</f>
        <v/>
      </c>
      <c r="C3369" s="134" t="inlineStr">
        <is>
          <t>ST-LT-004-FW25-TR-XL</t>
        </is>
      </c>
      <c r="D3369" s="5">
        <f>IF($I2="","",INDEX(Productos!$B:$B,$I2))</f>
        <v/>
      </c>
      <c r="E3369" s="5">
        <f>IF($I2="","",INDEX(Productos!$H:$H,$I2))</f>
        <v/>
      </c>
      <c r="F3369" s="5">
        <f>IF($I2="","",INDEX(Productos!$I:$I,$I2))</f>
        <v/>
      </c>
      <c r="G3369" s="135" t="n">
        <v>1</v>
      </c>
      <c r="H3369" s="5">
        <f>IF($I2="","",INDEX(Productos!$AG:$AG,$I2))</f>
        <v/>
      </c>
      <c r="I3369" s="136">
        <f>LET(_xlpm.r,Productos!$E$2:$E$2509,_xlpm.m,IFERROR(_xlfn.XMATCH(C3369,_xlpm.r),IFERROR(_xlfn.XMATCH(VALUE(C3369),_xlpm.r),0)),IF(_xlpm.m=0,"",_xlpm.m+1))</f>
        <v/>
      </c>
      <c r="J3369" s="137" t="inlineStr">
        <is>
          <t>Shopify</t>
        </is>
      </c>
    </row>
    <row r="3370">
      <c r="A3370" s="5" t="inlineStr">
        <is>
          <t>Shopify Stetson México › Stetson México</t>
        </is>
      </c>
      <c r="B3370" s="5">
        <f>IF($I2="","",INDEX(Productos!$A:$A,$I2))</f>
        <v/>
      </c>
      <c r="C3370" s="134" t="inlineStr">
        <is>
          <t>ST-TI-001-FW25-TC-2XL</t>
        </is>
      </c>
      <c r="D3370" s="5">
        <f>IF($I2="","",INDEX(Productos!$B:$B,$I2))</f>
        <v/>
      </c>
      <c r="E3370" s="5">
        <f>IF($I2="","",INDEX(Productos!$H:$H,$I2))</f>
        <v/>
      </c>
      <c r="F3370" s="5">
        <f>IF($I2="","",INDEX(Productos!$I:$I,$I2))</f>
        <v/>
      </c>
      <c r="G3370" s="135" t="n">
        <v>3</v>
      </c>
      <c r="H3370" s="5">
        <f>IF($I2="","",INDEX(Productos!$AG:$AG,$I2))</f>
        <v/>
      </c>
      <c r="I3370" s="136">
        <f>LET(_xlpm.r,Productos!$E$2:$E$2509,_xlpm.m,IFERROR(_xlfn.XMATCH(C3370,_xlpm.r),IFERROR(_xlfn.XMATCH(VALUE(C3370),_xlpm.r),0)),IF(_xlpm.m=0,"",_xlpm.m+1))</f>
        <v/>
      </c>
      <c r="J3370" s="137" t="inlineStr">
        <is>
          <t>Shopify</t>
        </is>
      </c>
    </row>
    <row r="3371">
      <c r="A3371" s="5" t="inlineStr">
        <is>
          <t>Shopify Stetson México › Stetson México</t>
        </is>
      </c>
      <c r="B3371" s="5">
        <f>IF($I2="","",INDEX(Productos!$A:$A,$I2))</f>
        <v/>
      </c>
      <c r="C3371" s="134" t="inlineStr">
        <is>
          <t>ST-TI-001-FW25-TC-L</t>
        </is>
      </c>
      <c r="D3371" s="5">
        <f>IF($I2="","",INDEX(Productos!$B:$B,$I2))</f>
        <v/>
      </c>
      <c r="E3371" s="5">
        <f>IF($I2="","",INDEX(Productos!$H:$H,$I2))</f>
        <v/>
      </c>
      <c r="F3371" s="5">
        <f>IF($I2="","",INDEX(Productos!$I:$I,$I2))</f>
        <v/>
      </c>
      <c r="G3371" s="135" t="n">
        <v>1</v>
      </c>
      <c r="H3371" s="5">
        <f>IF($I2="","",INDEX(Productos!$AG:$AG,$I2))</f>
        <v/>
      </c>
      <c r="I3371" s="136">
        <f>LET(_xlpm.r,Productos!$E$2:$E$2509,_xlpm.m,IFERROR(_xlfn.XMATCH(C3371,_xlpm.r),IFERROR(_xlfn.XMATCH(VALUE(C3371),_xlpm.r),0)),IF(_xlpm.m=0,"",_xlpm.m+1))</f>
        <v/>
      </c>
      <c r="J3371" s="137" t="inlineStr">
        <is>
          <t>Shopify</t>
        </is>
      </c>
    </row>
    <row r="3372">
      <c r="A3372" s="5" t="inlineStr">
        <is>
          <t>Shopify Stetson México › Stetson México</t>
        </is>
      </c>
      <c r="B3372" s="5">
        <f>IF($I2="","",INDEX(Productos!$A:$A,$I2))</f>
        <v/>
      </c>
      <c r="C3372" s="134" t="inlineStr">
        <is>
          <t>ST-TI-001-FW25-TC-M</t>
        </is>
      </c>
      <c r="D3372" s="5">
        <f>IF($I2="","",INDEX(Productos!$B:$B,$I2))</f>
        <v/>
      </c>
      <c r="E3372" s="5">
        <f>IF($I2="","",INDEX(Productos!$H:$H,$I2))</f>
        <v/>
      </c>
      <c r="F3372" s="5">
        <f>IF($I2="","",INDEX(Productos!$I:$I,$I2))</f>
        <v/>
      </c>
      <c r="G3372" s="135" t="n">
        <v>6</v>
      </c>
      <c r="H3372" s="5">
        <f>IF($I2="","",INDEX(Productos!$AG:$AG,$I2))</f>
        <v/>
      </c>
      <c r="I3372" s="136">
        <f>LET(_xlpm.r,Productos!$E$2:$E$2509,_xlpm.m,IFERROR(_xlfn.XMATCH(C3372,_xlpm.r),IFERROR(_xlfn.XMATCH(VALUE(C3372),_xlpm.r),0)),IF(_xlpm.m=0,"",_xlpm.m+1))</f>
        <v/>
      </c>
      <c r="J3372" s="137" t="inlineStr">
        <is>
          <t>Shopify</t>
        </is>
      </c>
    </row>
    <row r="3373">
      <c r="A3373" s="5" t="inlineStr">
        <is>
          <t>Shopify Stetson México › Stetson México</t>
        </is>
      </c>
      <c r="B3373" s="5">
        <f>IF($I2="","",INDEX(Productos!$A:$A,$I2))</f>
        <v/>
      </c>
      <c r="C3373" s="134" t="inlineStr">
        <is>
          <t>ST-TI-001-FW25-TC-S</t>
        </is>
      </c>
      <c r="D3373" s="5">
        <f>IF($I2="","",INDEX(Productos!$B:$B,$I2))</f>
        <v/>
      </c>
      <c r="E3373" s="5">
        <f>IF($I2="","",INDEX(Productos!$H:$H,$I2))</f>
        <v/>
      </c>
      <c r="F3373" s="5">
        <f>IF($I2="","",INDEX(Productos!$I:$I,$I2))</f>
        <v/>
      </c>
      <c r="G3373" s="135" t="n">
        <v>5</v>
      </c>
      <c r="H3373" s="5">
        <f>IF($I2="","",INDEX(Productos!$AG:$AG,$I2))</f>
        <v/>
      </c>
      <c r="I3373" s="136">
        <f>LET(_xlpm.r,Productos!$E$2:$E$2509,_xlpm.m,IFERROR(_xlfn.XMATCH(C3373,_xlpm.r),IFERROR(_xlfn.XMATCH(VALUE(C3373),_xlpm.r),0)),IF(_xlpm.m=0,"",_xlpm.m+1))</f>
        <v/>
      </c>
      <c r="J3373" s="137" t="inlineStr">
        <is>
          <t>Shopify</t>
        </is>
      </c>
    </row>
    <row r="3374">
      <c r="A3374" s="5" t="inlineStr">
        <is>
          <t>Shopify Stetson México › Stetson México</t>
        </is>
      </c>
      <c r="B3374" s="5">
        <f>IF($I2="","",INDEX(Productos!$A:$A,$I2))</f>
        <v/>
      </c>
      <c r="C3374" s="134" t="inlineStr">
        <is>
          <t>ST-TI-002-FW25-AF-2XL</t>
        </is>
      </c>
      <c r="D3374" s="5">
        <f>IF($I2="","",INDEX(Productos!$B:$B,$I2))</f>
        <v/>
      </c>
      <c r="E3374" s="5">
        <f>IF($I2="","",INDEX(Productos!$H:$H,$I2))</f>
        <v/>
      </c>
      <c r="F3374" s="5">
        <f>IF($I2="","",INDEX(Productos!$I:$I,$I2))</f>
        <v/>
      </c>
      <c r="G3374" s="135" t="n">
        <v>2</v>
      </c>
      <c r="H3374" s="5">
        <f>IF($I2="","",INDEX(Productos!$AG:$AG,$I2))</f>
        <v/>
      </c>
      <c r="I3374" s="136">
        <f>LET(_xlpm.r,Productos!$E$2:$E$2509,_xlpm.m,IFERROR(_xlfn.XMATCH(C3374,_xlpm.r),IFERROR(_xlfn.XMATCH(VALUE(C3374),_xlpm.r),0)),IF(_xlpm.m=0,"",_xlpm.m+1))</f>
        <v/>
      </c>
      <c r="J3374" s="137" t="inlineStr">
        <is>
          <t>Shopify</t>
        </is>
      </c>
    </row>
    <row r="3375">
      <c r="A3375" s="5" t="inlineStr">
        <is>
          <t>Shopify Stetson México › Stetson México</t>
        </is>
      </c>
      <c r="B3375" s="5">
        <f>IF($I2="","",INDEX(Productos!$A:$A,$I2))</f>
        <v/>
      </c>
      <c r="C3375" s="134" t="inlineStr">
        <is>
          <t>ST-TI-002-FW25-AF-M</t>
        </is>
      </c>
      <c r="D3375" s="5">
        <f>IF($I2="","",INDEX(Productos!$B:$B,$I2))</f>
        <v/>
      </c>
      <c r="E3375" s="5">
        <f>IF($I2="","",INDEX(Productos!$H:$H,$I2))</f>
        <v/>
      </c>
      <c r="F3375" s="5">
        <f>IF($I2="","",INDEX(Productos!$I:$I,$I2))</f>
        <v/>
      </c>
      <c r="G3375" s="135" t="n">
        <v>4</v>
      </c>
      <c r="H3375" s="5">
        <f>IF($I2="","",INDEX(Productos!$AG:$AG,$I2))</f>
        <v/>
      </c>
      <c r="I3375" s="136">
        <f>LET(_xlpm.r,Productos!$E$2:$E$2509,_xlpm.m,IFERROR(_xlfn.XMATCH(C3375,_xlpm.r),IFERROR(_xlfn.XMATCH(VALUE(C3375),_xlpm.r),0)),IF(_xlpm.m=0,"",_xlpm.m+1))</f>
        <v/>
      </c>
      <c r="J3375" s="137" t="inlineStr">
        <is>
          <t>Shopify</t>
        </is>
      </c>
    </row>
    <row r="3376">
      <c r="A3376" s="5" t="inlineStr">
        <is>
          <t>Shopify Stetson México › Stetson México</t>
        </is>
      </c>
      <c r="B3376" s="5">
        <f>IF($I2="","",INDEX(Productos!$A:$A,$I2))</f>
        <v/>
      </c>
      <c r="C3376" s="134" t="inlineStr">
        <is>
          <t>ST-TI-002-FW25-AF-S</t>
        </is>
      </c>
      <c r="D3376" s="5">
        <f>IF($I2="","",INDEX(Productos!$B:$B,$I2))</f>
        <v/>
      </c>
      <c r="E3376" s="5">
        <f>IF($I2="","",INDEX(Productos!$H:$H,$I2))</f>
        <v/>
      </c>
      <c r="F3376" s="5">
        <f>IF($I2="","",INDEX(Productos!$I:$I,$I2))</f>
        <v/>
      </c>
      <c r="G3376" s="135" t="n">
        <v>5</v>
      </c>
      <c r="H3376" s="5">
        <f>IF($I2="","",INDEX(Productos!$AG:$AG,$I2))</f>
        <v/>
      </c>
      <c r="I3376" s="136">
        <f>LET(_xlpm.r,Productos!$E$2:$E$2509,_xlpm.m,IFERROR(_xlfn.XMATCH(C3376,_xlpm.r),IFERROR(_xlfn.XMATCH(VALUE(C3376),_xlpm.r),0)),IF(_xlpm.m=0,"",_xlpm.m+1))</f>
        <v/>
      </c>
      <c r="J3376" s="137" t="inlineStr">
        <is>
          <t>Shopify</t>
        </is>
      </c>
    </row>
    <row r="3377">
      <c r="A3377" s="5" t="inlineStr">
        <is>
          <t>Shopify Stetson México › Stetson México</t>
        </is>
      </c>
      <c r="B3377" s="5">
        <f>IF($I2="","",INDEX(Productos!$A:$A,$I2))</f>
        <v/>
      </c>
      <c r="C3377" s="134" t="inlineStr">
        <is>
          <t>ST-TI-002-FW25-AF-XL</t>
        </is>
      </c>
      <c r="D3377" s="5">
        <f>IF($I2="","",INDEX(Productos!$B:$B,$I2))</f>
        <v/>
      </c>
      <c r="E3377" s="5">
        <f>IF($I2="","",INDEX(Productos!$H:$H,$I2))</f>
        <v/>
      </c>
      <c r="F3377" s="5">
        <f>IF($I2="","",INDEX(Productos!$I:$I,$I2))</f>
        <v/>
      </c>
      <c r="G3377" s="135" t="n">
        <v>2</v>
      </c>
      <c r="H3377" s="5">
        <f>IF($I2="","",INDEX(Productos!$AG:$AG,$I2))</f>
        <v/>
      </c>
      <c r="I3377" s="136">
        <f>LET(_xlpm.r,Productos!$E$2:$E$2509,_xlpm.m,IFERROR(_xlfn.XMATCH(C3377,_xlpm.r),IFERROR(_xlfn.XMATCH(VALUE(C3377),_xlpm.r),0)),IF(_xlpm.m=0,"",_xlpm.m+1))</f>
        <v/>
      </c>
      <c r="J3377" s="137" t="inlineStr">
        <is>
          <t>Shopify</t>
        </is>
      </c>
    </row>
    <row r="3378">
      <c r="A3378" s="5" t="inlineStr">
        <is>
          <t>Shopify Stetson México › Stetson México</t>
        </is>
      </c>
      <c r="B3378" s="5">
        <f>IF($I2="","",INDEX(Productos!$A:$A,$I2))</f>
        <v/>
      </c>
      <c r="C3378" s="134" t="inlineStr">
        <is>
          <t>ST-TI-003-FW25-OR-2XL</t>
        </is>
      </c>
      <c r="D3378" s="5">
        <f>IF($I2="","",INDEX(Productos!$B:$B,$I2))</f>
        <v/>
      </c>
      <c r="E3378" s="5">
        <f>IF($I2="","",INDEX(Productos!$H:$H,$I2))</f>
        <v/>
      </c>
      <c r="F3378" s="5">
        <f>IF($I2="","",INDEX(Productos!$I:$I,$I2))</f>
        <v/>
      </c>
      <c r="G3378" s="135" t="n">
        <v>1</v>
      </c>
      <c r="H3378" s="5">
        <f>IF($I2="","",INDEX(Productos!$AG:$AG,$I2))</f>
        <v/>
      </c>
      <c r="I3378" s="136">
        <f>LET(_xlpm.r,Productos!$E$2:$E$2509,_xlpm.m,IFERROR(_xlfn.XMATCH(C3378,_xlpm.r),IFERROR(_xlfn.XMATCH(VALUE(C3378),_xlpm.r),0)),IF(_xlpm.m=0,"",_xlpm.m+1))</f>
        <v/>
      </c>
      <c r="J3378" s="137" t="inlineStr">
        <is>
          <t>Shopify</t>
        </is>
      </c>
    </row>
    <row r="3379">
      <c r="A3379" s="5" t="inlineStr">
        <is>
          <t>Shopify Stetson México › Stetson México</t>
        </is>
      </c>
      <c r="B3379" s="5">
        <f>IF($I2="","",INDEX(Productos!$A:$A,$I2))</f>
        <v/>
      </c>
      <c r="C3379" s="134" t="inlineStr">
        <is>
          <t>ST-TI-003-FW25-OR-M</t>
        </is>
      </c>
      <c r="D3379" s="5">
        <f>IF($I2="","",INDEX(Productos!$B:$B,$I2))</f>
        <v/>
      </c>
      <c r="E3379" s="5">
        <f>IF($I2="","",INDEX(Productos!$H:$H,$I2))</f>
        <v/>
      </c>
      <c r="F3379" s="5">
        <f>IF($I2="","",INDEX(Productos!$I:$I,$I2))</f>
        <v/>
      </c>
      <c r="G3379" s="135" t="n">
        <v>3</v>
      </c>
      <c r="H3379" s="5">
        <f>IF($I2="","",INDEX(Productos!$AG:$AG,$I2))</f>
        <v/>
      </c>
      <c r="I3379" s="136">
        <f>LET(_xlpm.r,Productos!$E$2:$E$2509,_xlpm.m,IFERROR(_xlfn.XMATCH(C3379,_xlpm.r),IFERROR(_xlfn.XMATCH(VALUE(C3379),_xlpm.r),0)),IF(_xlpm.m=0,"",_xlpm.m+1))</f>
        <v/>
      </c>
      <c r="J3379" s="137" t="inlineStr">
        <is>
          <t>Shopify</t>
        </is>
      </c>
    </row>
    <row r="3380">
      <c r="A3380" s="5" t="inlineStr">
        <is>
          <t>Shopify Stetson México › Stetson México</t>
        </is>
      </c>
      <c r="B3380" s="5">
        <f>IF($I2="","",INDEX(Productos!$A:$A,$I2))</f>
        <v/>
      </c>
      <c r="C3380" s="134" t="inlineStr">
        <is>
          <t>ST-TI-003-FW25-OR-S</t>
        </is>
      </c>
      <c r="D3380" s="5">
        <f>IF($I2="","",INDEX(Productos!$B:$B,$I2))</f>
        <v/>
      </c>
      <c r="E3380" s="5">
        <f>IF($I2="","",INDEX(Productos!$H:$H,$I2))</f>
        <v/>
      </c>
      <c r="F3380" s="5">
        <f>IF($I2="","",INDEX(Productos!$I:$I,$I2))</f>
        <v/>
      </c>
      <c r="G3380" s="135" t="n">
        <v>1</v>
      </c>
      <c r="H3380" s="5">
        <f>IF($I2="","",INDEX(Productos!$AG:$AG,$I2))</f>
        <v/>
      </c>
      <c r="I3380" s="136">
        <f>LET(_xlpm.r,Productos!$E$2:$E$2509,_xlpm.m,IFERROR(_xlfn.XMATCH(C3380,_xlpm.r),IFERROR(_xlfn.XMATCH(VALUE(C3380),_xlpm.r),0)),IF(_xlpm.m=0,"",_xlpm.m+1))</f>
        <v/>
      </c>
      <c r="J3380" s="137" t="inlineStr">
        <is>
          <t>Shopify</t>
        </is>
      </c>
    </row>
    <row r="3381">
      <c r="A3381" s="5" t="inlineStr">
        <is>
          <t>Shopify Stetson México › Stetson México</t>
        </is>
      </c>
      <c r="B3381" s="5">
        <f>IF($I2="","",INDEX(Productos!$A:$A,$I2))</f>
        <v/>
      </c>
      <c r="C3381" s="134" t="inlineStr">
        <is>
          <t>ST-VR-P-001-FW25-HE-2XL</t>
        </is>
      </c>
      <c r="D3381" s="5">
        <f>IF($I2="","",INDEX(Productos!$B:$B,$I2))</f>
        <v/>
      </c>
      <c r="E3381" s="5">
        <f>IF($I2="","",INDEX(Productos!$H:$H,$I2))</f>
        <v/>
      </c>
      <c r="F3381" s="5">
        <f>IF($I2="","",INDEX(Productos!$I:$I,$I2))</f>
        <v/>
      </c>
      <c r="G3381" s="135" t="n">
        <v>1</v>
      </c>
      <c r="H3381" s="5">
        <f>IF($I2="","",INDEX(Productos!$AG:$AG,$I2))</f>
        <v/>
      </c>
      <c r="I3381" s="136">
        <f>LET(_xlpm.r,Productos!$E$2:$E$2509,_xlpm.m,IFERROR(_xlfn.XMATCH(C3381,_xlpm.r),IFERROR(_xlfn.XMATCH(VALUE(C3381),_xlpm.r),0)),IF(_xlpm.m=0,"",_xlpm.m+1))</f>
        <v/>
      </c>
      <c r="J3381" s="137" t="inlineStr">
        <is>
          <t>Shopify</t>
        </is>
      </c>
    </row>
    <row r="3382">
      <c r="A3382" s="5" t="inlineStr">
        <is>
          <t>Shopify Stetson México › Stetson México</t>
        </is>
      </c>
      <c r="B3382" s="5">
        <f>IF($I2="","",INDEX(Productos!$A:$A,$I2))</f>
        <v/>
      </c>
      <c r="C3382" s="134" t="inlineStr">
        <is>
          <t>ST-VR-P-001-FW25-HE-L</t>
        </is>
      </c>
      <c r="D3382" s="5">
        <f>IF($I2="","",INDEX(Productos!$B:$B,$I2))</f>
        <v/>
      </c>
      <c r="E3382" s="5">
        <f>IF($I2="","",INDEX(Productos!$H:$H,$I2))</f>
        <v/>
      </c>
      <c r="F3382" s="5">
        <f>IF($I2="","",INDEX(Productos!$I:$I,$I2))</f>
        <v/>
      </c>
      <c r="G3382" s="135" t="n">
        <v>1</v>
      </c>
      <c r="H3382" s="5">
        <f>IF($I2="","",INDEX(Productos!$AG:$AG,$I2))</f>
        <v/>
      </c>
      <c r="I3382" s="136">
        <f>LET(_xlpm.r,Productos!$E$2:$E$2509,_xlpm.m,IFERROR(_xlfn.XMATCH(C3382,_xlpm.r),IFERROR(_xlfn.XMATCH(VALUE(C3382),_xlpm.r),0)),IF(_xlpm.m=0,"",_xlpm.m+1))</f>
        <v/>
      </c>
      <c r="J3382" s="137" t="inlineStr">
        <is>
          <t>Shopify</t>
        </is>
      </c>
    </row>
    <row r="3383">
      <c r="A3383" s="5" t="inlineStr">
        <is>
          <t>Shopify Stetson México › Stetson México</t>
        </is>
      </c>
      <c r="B3383" s="5">
        <f>IF($I2="","",INDEX(Productos!$A:$A,$I2))</f>
        <v/>
      </c>
      <c r="C3383" s="134" t="inlineStr">
        <is>
          <t>ST-VR-P-001-FW25-HE-M</t>
        </is>
      </c>
      <c r="D3383" s="5">
        <f>IF($I2="","",INDEX(Productos!$B:$B,$I2))</f>
        <v/>
      </c>
      <c r="E3383" s="5">
        <f>IF($I2="","",INDEX(Productos!$H:$H,$I2))</f>
        <v/>
      </c>
      <c r="F3383" s="5">
        <f>IF($I2="","",INDEX(Productos!$I:$I,$I2))</f>
        <v/>
      </c>
      <c r="G3383" s="135" t="n">
        <v>5</v>
      </c>
      <c r="H3383" s="5">
        <f>IF($I2="","",INDEX(Productos!$AG:$AG,$I2))</f>
        <v/>
      </c>
      <c r="I3383" s="136">
        <f>LET(_xlpm.r,Productos!$E$2:$E$2509,_xlpm.m,IFERROR(_xlfn.XMATCH(C3383,_xlpm.r),IFERROR(_xlfn.XMATCH(VALUE(C3383),_xlpm.r),0)),IF(_xlpm.m=0,"",_xlpm.m+1))</f>
        <v/>
      </c>
      <c r="J3383" s="137" t="inlineStr">
        <is>
          <t>Shopify</t>
        </is>
      </c>
    </row>
    <row r="3384">
      <c r="A3384" s="5" t="inlineStr">
        <is>
          <t>Shopify Stetson México › Stetson México</t>
        </is>
      </c>
      <c r="B3384" s="5">
        <f>IF($I2="","",INDEX(Productos!$A:$A,$I2))</f>
        <v/>
      </c>
      <c r="C3384" s="134" t="inlineStr">
        <is>
          <t>ST-VR-P-001-FW25-HE-S</t>
        </is>
      </c>
      <c r="D3384" s="5">
        <f>IF($I2="","",INDEX(Productos!$B:$B,$I2))</f>
        <v/>
      </c>
      <c r="E3384" s="5">
        <f>IF($I2="","",INDEX(Productos!$H:$H,$I2))</f>
        <v/>
      </c>
      <c r="F3384" s="5">
        <f>IF($I2="","",INDEX(Productos!$I:$I,$I2))</f>
        <v/>
      </c>
      <c r="G3384" s="135" t="n">
        <v>5</v>
      </c>
      <c r="H3384" s="5">
        <f>IF($I2="","",INDEX(Productos!$AG:$AG,$I2))</f>
        <v/>
      </c>
      <c r="I3384" s="136">
        <f>LET(_xlpm.r,Productos!$E$2:$E$2509,_xlpm.m,IFERROR(_xlfn.XMATCH(C3384,_xlpm.r),IFERROR(_xlfn.XMATCH(VALUE(C3384),_xlpm.r),0)),IF(_xlpm.m=0,"",_xlpm.m+1))</f>
        <v/>
      </c>
      <c r="J3384" s="137" t="inlineStr">
        <is>
          <t>Shopify</t>
        </is>
      </c>
    </row>
    <row r="3385">
      <c r="A3385" s="5" t="inlineStr">
        <is>
          <t>Shopify Stetson México › Stetson México</t>
        </is>
      </c>
      <c r="B3385" s="5">
        <f>IF($I2="","",INDEX(Productos!$A:$A,$I2))</f>
        <v/>
      </c>
      <c r="C3385" s="134" t="inlineStr">
        <is>
          <t>ST-VR-P-001-FW25-HE-XL</t>
        </is>
      </c>
      <c r="D3385" s="5">
        <f>IF($I2="","",INDEX(Productos!$B:$B,$I2))</f>
        <v/>
      </c>
      <c r="E3385" s="5">
        <f>IF($I2="","",INDEX(Productos!$H:$H,$I2))</f>
        <v/>
      </c>
      <c r="F3385" s="5">
        <f>IF($I2="","",INDEX(Productos!$I:$I,$I2))</f>
        <v/>
      </c>
      <c r="G3385" s="135" t="n">
        <v>1</v>
      </c>
      <c r="H3385" s="5">
        <f>IF($I2="","",INDEX(Productos!$AG:$AG,$I2))</f>
        <v/>
      </c>
      <c r="I3385" s="136">
        <f>LET(_xlpm.r,Productos!$E$2:$E$2509,_xlpm.m,IFERROR(_xlfn.XMATCH(C3385,_xlpm.r),IFERROR(_xlfn.XMATCH(VALUE(C3385),_xlpm.r),0)),IF(_xlpm.m=0,"",_xlpm.m+1))</f>
        <v/>
      </c>
      <c r="J3385" s="137" t="inlineStr">
        <is>
          <t>Shopify</t>
        </is>
      </c>
    </row>
    <row r="3386">
      <c r="A3386" s="5" t="inlineStr">
        <is>
          <t>Shopify Stetson México › Stetson México</t>
        </is>
      </c>
      <c r="B3386" s="5">
        <f>IF($I2="","",INDEX(Productos!$A:$A,$I2))</f>
        <v/>
      </c>
      <c r="C3386" s="134" t="inlineStr">
        <is>
          <t>ST-VR-P-002-FW25-RP-L</t>
        </is>
      </c>
      <c r="D3386" s="5">
        <f>IF($I2="","",INDEX(Productos!$B:$B,$I2))</f>
        <v/>
      </c>
      <c r="E3386" s="5">
        <f>IF($I2="","",INDEX(Productos!$H:$H,$I2))</f>
        <v/>
      </c>
      <c r="F3386" s="5">
        <f>IF($I2="","",INDEX(Productos!$I:$I,$I2))</f>
        <v/>
      </c>
      <c r="G3386" s="135" t="n">
        <v>7</v>
      </c>
      <c r="H3386" s="5">
        <f>IF($I2="","",INDEX(Productos!$AG:$AG,$I2))</f>
        <v/>
      </c>
      <c r="I3386" s="136">
        <f>LET(_xlpm.r,Productos!$E$2:$E$2509,_xlpm.m,IFERROR(_xlfn.XMATCH(C3386,_xlpm.r),IFERROR(_xlfn.XMATCH(VALUE(C3386),_xlpm.r),0)),IF(_xlpm.m=0,"",_xlpm.m+1))</f>
        <v/>
      </c>
      <c r="J3386" s="137" t="inlineStr">
        <is>
          <t>Shopify</t>
        </is>
      </c>
    </row>
    <row r="3387">
      <c r="A3387" s="5" t="inlineStr">
        <is>
          <t>Shopify Stetson México › Stetson México</t>
        </is>
      </c>
      <c r="B3387" s="5">
        <f>IF($I2="","",INDEX(Productos!$A:$A,$I2))</f>
        <v/>
      </c>
      <c r="C3387" s="134" t="inlineStr">
        <is>
          <t>ST-VR-P-002-FW25-RP-M</t>
        </is>
      </c>
      <c r="D3387" s="5">
        <f>IF($I2="","",INDEX(Productos!$B:$B,$I2))</f>
        <v/>
      </c>
      <c r="E3387" s="5">
        <f>IF($I2="","",INDEX(Productos!$H:$H,$I2))</f>
        <v/>
      </c>
      <c r="F3387" s="5">
        <f>IF($I2="","",INDEX(Productos!$I:$I,$I2))</f>
        <v/>
      </c>
      <c r="G3387" s="135" t="n">
        <v>6</v>
      </c>
      <c r="H3387" s="5">
        <f>IF($I2="","",INDEX(Productos!$AG:$AG,$I2))</f>
        <v/>
      </c>
      <c r="I3387" s="136">
        <f>LET(_xlpm.r,Productos!$E$2:$E$2509,_xlpm.m,IFERROR(_xlfn.XMATCH(C3387,_xlpm.r),IFERROR(_xlfn.XMATCH(VALUE(C3387),_xlpm.r),0)),IF(_xlpm.m=0,"",_xlpm.m+1))</f>
        <v/>
      </c>
      <c r="J3387" s="137" t="inlineStr">
        <is>
          <t>Shopify</t>
        </is>
      </c>
    </row>
    <row r="3388">
      <c r="A3388" s="5" t="inlineStr">
        <is>
          <t>Shopify Stetson México › Stetson México</t>
        </is>
      </c>
      <c r="B3388" s="5">
        <f>IF($I2="","",INDEX(Productos!$A:$A,$I2))</f>
        <v/>
      </c>
      <c r="C3388" s="134" t="inlineStr">
        <is>
          <t>ST-VR-P-002-FW25-RP-S</t>
        </is>
      </c>
      <c r="D3388" s="5">
        <f>IF($I2="","",INDEX(Productos!$B:$B,$I2))</f>
        <v/>
      </c>
      <c r="E3388" s="5">
        <f>IF($I2="","",INDEX(Productos!$H:$H,$I2))</f>
        <v/>
      </c>
      <c r="F3388" s="5">
        <f>IF($I2="","",INDEX(Productos!$I:$I,$I2))</f>
        <v/>
      </c>
      <c r="G3388" s="135" t="n">
        <v>6</v>
      </c>
      <c r="H3388" s="5">
        <f>IF($I2="","",INDEX(Productos!$AG:$AG,$I2))</f>
        <v/>
      </c>
      <c r="I3388" s="136">
        <f>LET(_xlpm.r,Productos!$E$2:$E$2509,_xlpm.m,IFERROR(_xlfn.XMATCH(C3388,_xlpm.r),IFERROR(_xlfn.XMATCH(VALUE(C3388),_xlpm.r),0)),IF(_xlpm.m=0,"",_xlpm.m+1))</f>
        <v/>
      </c>
      <c r="J3388" s="137" t="inlineStr">
        <is>
          <t>Shopify</t>
        </is>
      </c>
    </row>
    <row r="3389">
      <c r="A3389" s="5" t="inlineStr">
        <is>
          <t>Shopify Stetson México › Stetson México</t>
        </is>
      </c>
      <c r="B3389" s="5">
        <f>IF($I2="","",INDEX(Productos!$A:$A,$I2))</f>
        <v/>
      </c>
      <c r="C3389" s="134" t="inlineStr">
        <is>
          <t>ST-VR-P-002-FW25-RP-XL</t>
        </is>
      </c>
      <c r="D3389" s="5">
        <f>IF($I2="","",INDEX(Productos!$B:$B,$I2))</f>
        <v/>
      </c>
      <c r="E3389" s="5">
        <f>IF($I2="","",INDEX(Productos!$H:$H,$I2))</f>
        <v/>
      </c>
      <c r="F3389" s="5">
        <f>IF($I2="","",INDEX(Productos!$I:$I,$I2))</f>
        <v/>
      </c>
      <c r="G3389" s="135" t="n">
        <v>3</v>
      </c>
      <c r="H3389" s="5">
        <f>IF($I2="","",INDEX(Productos!$AG:$AG,$I2))</f>
        <v/>
      </c>
      <c r="I3389" s="136">
        <f>LET(_xlpm.r,Productos!$E$2:$E$2509,_xlpm.m,IFERROR(_xlfn.XMATCH(C3389,_xlpm.r),IFERROR(_xlfn.XMATCH(VALUE(C3389),_xlpm.r),0)),IF(_xlpm.m=0,"",_xlpm.m+1))</f>
        <v/>
      </c>
      <c r="J3389" s="137" t="inlineStr">
        <is>
          <t>Shopify</t>
        </is>
      </c>
    </row>
    <row r="3390">
      <c r="A3390" s="5" t="inlineStr">
        <is>
          <t>Shopify Stetson México › Stetson México</t>
        </is>
      </c>
      <c r="B3390" s="5">
        <f>IF($I2="","",INDEX(Productos!$A:$A,$I2))</f>
        <v/>
      </c>
      <c r="C3390" s="134" t="inlineStr">
        <is>
          <t>ST-VR-P-003-FW25-QP-2XL</t>
        </is>
      </c>
      <c r="D3390" s="5">
        <f>IF($I2="","",INDEX(Productos!$B:$B,$I2))</f>
        <v/>
      </c>
      <c r="E3390" s="5">
        <f>IF($I2="","",INDEX(Productos!$H:$H,$I2))</f>
        <v/>
      </c>
      <c r="F3390" s="5">
        <f>IF($I2="","",INDEX(Productos!$I:$I,$I2))</f>
        <v/>
      </c>
      <c r="G3390" s="135" t="n">
        <v>1</v>
      </c>
      <c r="H3390" s="5">
        <f>IF($I2="","",INDEX(Productos!$AG:$AG,$I2))</f>
        <v/>
      </c>
      <c r="I3390" s="136">
        <f>LET(_xlpm.r,Productos!$E$2:$E$2509,_xlpm.m,IFERROR(_xlfn.XMATCH(C3390,_xlpm.r),IFERROR(_xlfn.XMATCH(VALUE(C3390),_xlpm.r),0)),IF(_xlpm.m=0,"",_xlpm.m+1))</f>
        <v/>
      </c>
      <c r="J3390" s="137" t="inlineStr">
        <is>
          <t>Shopify</t>
        </is>
      </c>
    </row>
    <row r="3391">
      <c r="A3391" s="5" t="inlineStr">
        <is>
          <t>Shopify Stetson México › Stetson México</t>
        </is>
      </c>
      <c r="B3391" s="5">
        <f>IF($I2="","",INDEX(Productos!$A:$A,$I2))</f>
        <v/>
      </c>
      <c r="C3391" s="134" t="inlineStr">
        <is>
          <t>ST-VR-P-003-FW25-QP-L</t>
        </is>
      </c>
      <c r="D3391" s="5">
        <f>IF($I2="","",INDEX(Productos!$B:$B,$I2))</f>
        <v/>
      </c>
      <c r="E3391" s="5">
        <f>IF($I2="","",INDEX(Productos!$H:$H,$I2))</f>
        <v/>
      </c>
      <c r="F3391" s="5">
        <f>IF($I2="","",INDEX(Productos!$I:$I,$I2))</f>
        <v/>
      </c>
      <c r="G3391" s="135" t="n">
        <v>8</v>
      </c>
      <c r="H3391" s="5">
        <f>IF($I2="","",INDEX(Productos!$AG:$AG,$I2))</f>
        <v/>
      </c>
      <c r="I3391" s="136">
        <f>LET(_xlpm.r,Productos!$E$2:$E$2509,_xlpm.m,IFERROR(_xlfn.XMATCH(C3391,_xlpm.r),IFERROR(_xlfn.XMATCH(VALUE(C3391),_xlpm.r),0)),IF(_xlpm.m=0,"",_xlpm.m+1))</f>
        <v/>
      </c>
      <c r="J3391" s="137" t="inlineStr">
        <is>
          <t>Shopify</t>
        </is>
      </c>
    </row>
    <row r="3392">
      <c r="A3392" s="5" t="inlineStr">
        <is>
          <t>Shopify Stetson México › Stetson México</t>
        </is>
      </c>
      <c r="B3392" s="5">
        <f>IF($I2="","",INDEX(Productos!$A:$A,$I2))</f>
        <v/>
      </c>
      <c r="C3392" s="134" t="inlineStr">
        <is>
          <t>ST-VR-P-003-FW25-QP-M</t>
        </is>
      </c>
      <c r="D3392" s="5">
        <f>IF($I2="","",INDEX(Productos!$B:$B,$I2))</f>
        <v/>
      </c>
      <c r="E3392" s="5">
        <f>IF($I2="","",INDEX(Productos!$H:$H,$I2))</f>
        <v/>
      </c>
      <c r="F3392" s="5">
        <f>IF($I2="","",INDEX(Productos!$I:$I,$I2))</f>
        <v/>
      </c>
      <c r="G3392" s="135" t="n">
        <v>8</v>
      </c>
      <c r="H3392" s="5">
        <f>IF($I2="","",INDEX(Productos!$AG:$AG,$I2))</f>
        <v/>
      </c>
      <c r="I3392" s="136">
        <f>LET(_xlpm.r,Productos!$E$2:$E$2509,_xlpm.m,IFERROR(_xlfn.XMATCH(C3392,_xlpm.r),IFERROR(_xlfn.XMATCH(VALUE(C3392),_xlpm.r),0)),IF(_xlpm.m=0,"",_xlpm.m+1))</f>
        <v/>
      </c>
      <c r="J3392" s="137" t="inlineStr">
        <is>
          <t>Shopify</t>
        </is>
      </c>
    </row>
    <row r="3393">
      <c r="A3393" s="5" t="inlineStr">
        <is>
          <t>Shopify Stetson México › Stetson México</t>
        </is>
      </c>
      <c r="B3393" s="5">
        <f>IF($I2="","",INDEX(Productos!$A:$A,$I2))</f>
        <v/>
      </c>
      <c r="C3393" s="134" t="inlineStr">
        <is>
          <t>ST-VR-P-003-FW25-QP-S</t>
        </is>
      </c>
      <c r="D3393" s="5">
        <f>IF($I2="","",INDEX(Productos!$B:$B,$I2))</f>
        <v/>
      </c>
      <c r="E3393" s="5">
        <f>IF($I2="","",INDEX(Productos!$H:$H,$I2))</f>
        <v/>
      </c>
      <c r="F3393" s="5">
        <f>IF($I2="","",INDEX(Productos!$I:$I,$I2))</f>
        <v/>
      </c>
      <c r="G3393" s="135" t="n">
        <v>7</v>
      </c>
      <c r="H3393" s="5">
        <f>IF($I2="","",INDEX(Productos!$AG:$AG,$I2))</f>
        <v/>
      </c>
      <c r="I3393" s="136">
        <f>LET(_xlpm.r,Productos!$E$2:$E$2509,_xlpm.m,IFERROR(_xlfn.XMATCH(C3393,_xlpm.r),IFERROR(_xlfn.XMATCH(VALUE(C3393),_xlpm.r),0)),IF(_xlpm.m=0,"",_xlpm.m+1))</f>
        <v/>
      </c>
      <c r="J3393" s="137" t="inlineStr">
        <is>
          <t>Shopify</t>
        </is>
      </c>
    </row>
    <row r="3394">
      <c r="A3394" s="5" t="inlineStr">
        <is>
          <t>Shopify Stetson México › Stetson México</t>
        </is>
      </c>
      <c r="B3394" s="5">
        <f>IF($I2="","",INDEX(Productos!$A:$A,$I2))</f>
        <v/>
      </c>
      <c r="C3394" s="134" t="inlineStr">
        <is>
          <t>ST-VR-P-003-FW25-QP-XL</t>
        </is>
      </c>
      <c r="D3394" s="5">
        <f>IF($I2="","",INDEX(Productos!$B:$B,$I2))</f>
        <v/>
      </c>
      <c r="E3394" s="5">
        <f>IF($I2="","",INDEX(Productos!$H:$H,$I2))</f>
        <v/>
      </c>
      <c r="F3394" s="5">
        <f>IF($I2="","",INDEX(Productos!$I:$I,$I2))</f>
        <v/>
      </c>
      <c r="G3394" s="135" t="n">
        <v>2</v>
      </c>
      <c r="H3394" s="5">
        <f>IF($I2="","",INDEX(Productos!$AG:$AG,$I2))</f>
        <v/>
      </c>
      <c r="I3394" s="136">
        <f>LET(_xlpm.r,Productos!$E$2:$E$2509,_xlpm.m,IFERROR(_xlfn.XMATCH(C3394,_xlpm.r),IFERROR(_xlfn.XMATCH(VALUE(C3394),_xlpm.r),0)),IF(_xlpm.m=0,"",_xlpm.m+1))</f>
        <v/>
      </c>
      <c r="J3394" s="137" t="inlineStr">
        <is>
          <t>Shopify</t>
        </is>
      </c>
    </row>
    <row r="3395">
      <c r="A3395" s="5" t="inlineStr">
        <is>
          <t>Shopify Stetson México › Stetson México</t>
        </is>
      </c>
      <c r="B3395" s="5">
        <f>IF($I2="","",INDEX(Productos!$A:$A,$I2))</f>
        <v/>
      </c>
      <c r="C3395" s="134" t="inlineStr">
        <is>
          <t>ST-VR-P-005-FW25-AZF-2XL</t>
        </is>
      </c>
      <c r="D3395" s="5">
        <f>IF($I2="","",INDEX(Productos!$B:$B,$I2))</f>
        <v/>
      </c>
      <c r="E3395" s="5">
        <f>IF($I2="","",INDEX(Productos!$H:$H,$I2))</f>
        <v/>
      </c>
      <c r="F3395" s="5">
        <f>IF($I2="","",INDEX(Productos!$I:$I,$I2))</f>
        <v/>
      </c>
      <c r="G3395" s="135" t="n">
        <v>1</v>
      </c>
      <c r="H3395" s="5">
        <f>IF($I2="","",INDEX(Productos!$AG:$AG,$I2))</f>
        <v/>
      </c>
      <c r="I3395" s="136">
        <f>LET(_xlpm.r,Productos!$E$2:$E$2509,_xlpm.m,IFERROR(_xlfn.XMATCH(C3395,_xlpm.r),IFERROR(_xlfn.XMATCH(VALUE(C3395),_xlpm.r),0)),IF(_xlpm.m=0,"",_xlpm.m+1))</f>
        <v/>
      </c>
      <c r="J3395" s="137" t="inlineStr">
        <is>
          <t>Shopify</t>
        </is>
      </c>
    </row>
    <row r="3396">
      <c r="A3396" s="5" t="inlineStr">
        <is>
          <t>Shopify Stetson México › Stetson México</t>
        </is>
      </c>
      <c r="B3396" s="5">
        <f>IF($I2="","",INDEX(Productos!$A:$A,$I2))</f>
        <v/>
      </c>
      <c r="C3396" s="134" t="inlineStr">
        <is>
          <t>ST-VR-P-005-FW25-AZF-L</t>
        </is>
      </c>
      <c r="D3396" s="5">
        <f>IF($I2="","",INDEX(Productos!$B:$B,$I2))</f>
        <v/>
      </c>
      <c r="E3396" s="5">
        <f>IF($I2="","",INDEX(Productos!$H:$H,$I2))</f>
        <v/>
      </c>
      <c r="F3396" s="5">
        <f>IF($I2="","",INDEX(Productos!$I:$I,$I2))</f>
        <v/>
      </c>
      <c r="G3396" s="135" t="n">
        <v>9</v>
      </c>
      <c r="H3396" s="5">
        <f>IF($I2="","",INDEX(Productos!$AG:$AG,$I2))</f>
        <v/>
      </c>
      <c r="I3396" s="136">
        <f>LET(_xlpm.r,Productos!$E$2:$E$2509,_xlpm.m,IFERROR(_xlfn.XMATCH(C3396,_xlpm.r),IFERROR(_xlfn.XMATCH(VALUE(C3396),_xlpm.r),0)),IF(_xlpm.m=0,"",_xlpm.m+1))</f>
        <v/>
      </c>
      <c r="J3396" s="137" t="inlineStr">
        <is>
          <t>Shopify</t>
        </is>
      </c>
    </row>
    <row r="3397">
      <c r="A3397" s="5" t="inlineStr">
        <is>
          <t>Shopify Stetson México › Stetson México</t>
        </is>
      </c>
      <c r="B3397" s="5">
        <f>IF($I2="","",INDEX(Productos!$A:$A,$I2))</f>
        <v/>
      </c>
      <c r="C3397" s="134" t="inlineStr">
        <is>
          <t>ST-VR-P-005-FW25-AZF-M</t>
        </is>
      </c>
      <c r="D3397" s="5">
        <f>IF($I2="","",INDEX(Productos!$B:$B,$I2))</f>
        <v/>
      </c>
      <c r="E3397" s="5">
        <f>IF($I2="","",INDEX(Productos!$H:$H,$I2))</f>
        <v/>
      </c>
      <c r="F3397" s="5">
        <f>IF($I2="","",INDEX(Productos!$I:$I,$I2))</f>
        <v/>
      </c>
      <c r="G3397" s="135" t="n">
        <v>10</v>
      </c>
      <c r="H3397" s="5">
        <f>IF($I2="","",INDEX(Productos!$AG:$AG,$I2))</f>
        <v/>
      </c>
      <c r="I3397" s="136">
        <f>LET(_xlpm.r,Productos!$E$2:$E$2509,_xlpm.m,IFERROR(_xlfn.XMATCH(C3397,_xlpm.r),IFERROR(_xlfn.XMATCH(VALUE(C3397),_xlpm.r),0)),IF(_xlpm.m=0,"",_xlpm.m+1))</f>
        <v/>
      </c>
      <c r="J3397" s="137" t="inlineStr">
        <is>
          <t>Shopify</t>
        </is>
      </c>
    </row>
    <row r="3398">
      <c r="A3398" s="5" t="inlineStr">
        <is>
          <t>Shopify Stetson México › Stetson México</t>
        </is>
      </c>
      <c r="B3398" s="5">
        <f>IF($I2="","",INDEX(Productos!$A:$A,$I2))</f>
        <v/>
      </c>
      <c r="C3398" s="134" t="inlineStr">
        <is>
          <t>ST-VR-P-005-FW25-AZF-S</t>
        </is>
      </c>
      <c r="D3398" s="5">
        <f>IF($I2="","",INDEX(Productos!$B:$B,$I2))</f>
        <v/>
      </c>
      <c r="E3398" s="5">
        <f>IF($I2="","",INDEX(Productos!$H:$H,$I2))</f>
        <v/>
      </c>
      <c r="F3398" s="5">
        <f>IF($I2="","",INDEX(Productos!$I:$I,$I2))</f>
        <v/>
      </c>
      <c r="G3398" s="135" t="n">
        <v>6</v>
      </c>
      <c r="H3398" s="5">
        <f>IF($I2="","",INDEX(Productos!$AG:$AG,$I2))</f>
        <v/>
      </c>
      <c r="I3398" s="136">
        <f>LET(_xlpm.r,Productos!$E$2:$E$2509,_xlpm.m,IFERROR(_xlfn.XMATCH(C3398,_xlpm.r),IFERROR(_xlfn.XMATCH(VALUE(C3398),_xlpm.r),0)),IF(_xlpm.m=0,"",_xlpm.m+1))</f>
        <v/>
      </c>
      <c r="J3398" s="137" t="inlineStr">
        <is>
          <t>Shopify</t>
        </is>
      </c>
    </row>
    <row r="3399">
      <c r="A3399" s="5" t="inlineStr">
        <is>
          <t>Shopify Stetson México › Stetson México</t>
        </is>
      </c>
      <c r="B3399" s="5">
        <f>IF($I2="","",INDEX(Productos!$A:$A,$I2))</f>
        <v/>
      </c>
      <c r="C3399" s="134" t="inlineStr">
        <is>
          <t>ST-VR-P-005-FW25-AZF-XL</t>
        </is>
      </c>
      <c r="D3399" s="5">
        <f>IF($I2="","",INDEX(Productos!$B:$B,$I2))</f>
        <v/>
      </c>
      <c r="E3399" s="5">
        <f>IF($I2="","",INDEX(Productos!$H:$H,$I2))</f>
        <v/>
      </c>
      <c r="F3399" s="5">
        <f>IF($I2="","",INDEX(Productos!$I:$I,$I2))</f>
        <v/>
      </c>
      <c r="G3399" s="135" t="n">
        <v>3</v>
      </c>
      <c r="H3399" s="5">
        <f>IF($I2="","",INDEX(Productos!$AG:$AG,$I2))</f>
        <v/>
      </c>
      <c r="I3399" s="136">
        <f>LET(_xlpm.r,Productos!$E$2:$E$2509,_xlpm.m,IFERROR(_xlfn.XMATCH(C3399,_xlpm.r),IFERROR(_xlfn.XMATCH(VALUE(C3399),_xlpm.r),0)),IF(_xlpm.m=0,"",_xlpm.m+1))</f>
        <v/>
      </c>
      <c r="J3399" s="137" t="inlineStr">
        <is>
          <t>Shopify</t>
        </is>
      </c>
    </row>
    <row r="3400">
      <c r="A3400" s="5" t="inlineStr">
        <is>
          <t>Shopify Stetson México › Stetson México</t>
        </is>
      </c>
      <c r="B3400" s="5">
        <f>IF($I2="","",INDEX(Productos!$A:$A,$I2))</f>
        <v/>
      </c>
      <c r="C3400" s="134" t="inlineStr">
        <is>
          <t>ST-VR-P-006-FW25-PD-L</t>
        </is>
      </c>
      <c r="D3400" s="5">
        <f>IF($I2="","",INDEX(Productos!$B:$B,$I2))</f>
        <v/>
      </c>
      <c r="E3400" s="5">
        <f>IF($I2="","",INDEX(Productos!$H:$H,$I2))</f>
        <v/>
      </c>
      <c r="F3400" s="5">
        <f>IF($I2="","",INDEX(Productos!$I:$I,$I2))</f>
        <v/>
      </c>
      <c r="G3400" s="135" t="n">
        <v>5</v>
      </c>
      <c r="H3400" s="5">
        <f>IF($I2="","",INDEX(Productos!$AG:$AG,$I2))</f>
        <v/>
      </c>
      <c r="I3400" s="136">
        <f>LET(_xlpm.r,Productos!$E$2:$E$2509,_xlpm.m,IFERROR(_xlfn.XMATCH(C3400,_xlpm.r),IFERROR(_xlfn.XMATCH(VALUE(C3400),_xlpm.r),0)),IF(_xlpm.m=0,"",_xlpm.m+1))</f>
        <v/>
      </c>
      <c r="J3400" s="137" t="inlineStr">
        <is>
          <t>Shopify</t>
        </is>
      </c>
    </row>
    <row r="3401">
      <c r="A3401" s="5" t="inlineStr">
        <is>
          <t>Shopify Stetson México › Stetson México</t>
        </is>
      </c>
      <c r="B3401" s="5">
        <f>IF($I2="","",INDEX(Productos!$A:$A,$I2))</f>
        <v/>
      </c>
      <c r="C3401" s="134" t="inlineStr">
        <is>
          <t>ST-VR-P-006-FW25-PD-M</t>
        </is>
      </c>
      <c r="D3401" s="5">
        <f>IF($I2="","",INDEX(Productos!$B:$B,$I2))</f>
        <v/>
      </c>
      <c r="E3401" s="5">
        <f>IF($I2="","",INDEX(Productos!$H:$H,$I2))</f>
        <v/>
      </c>
      <c r="F3401" s="5">
        <f>IF($I2="","",INDEX(Productos!$I:$I,$I2))</f>
        <v/>
      </c>
      <c r="G3401" s="135" t="n">
        <v>3</v>
      </c>
      <c r="H3401" s="5">
        <f>IF($I2="","",INDEX(Productos!$AG:$AG,$I2))</f>
        <v/>
      </c>
      <c r="I3401" s="136">
        <f>LET(_xlpm.r,Productos!$E$2:$E$2509,_xlpm.m,IFERROR(_xlfn.XMATCH(C3401,_xlpm.r),IFERROR(_xlfn.XMATCH(VALUE(C3401),_xlpm.r),0)),IF(_xlpm.m=0,"",_xlpm.m+1))</f>
        <v/>
      </c>
      <c r="J3401" s="137" t="inlineStr">
        <is>
          <t>Shopify</t>
        </is>
      </c>
    </row>
    <row r="3402">
      <c r="A3402" s="5" t="inlineStr">
        <is>
          <t>Shopify Stetson México › Stetson México</t>
        </is>
      </c>
      <c r="B3402" s="5">
        <f>IF($I2="","",INDEX(Productos!$A:$A,$I2))</f>
        <v/>
      </c>
      <c r="C3402" s="134" t="inlineStr">
        <is>
          <t>ST-VR-P-006-FW25-PD-S</t>
        </is>
      </c>
      <c r="D3402" s="5">
        <f>IF($I2="","",INDEX(Productos!$B:$B,$I2))</f>
        <v/>
      </c>
      <c r="E3402" s="5">
        <f>IF($I2="","",INDEX(Productos!$H:$H,$I2))</f>
        <v/>
      </c>
      <c r="F3402" s="5">
        <f>IF($I2="","",INDEX(Productos!$I:$I,$I2))</f>
        <v/>
      </c>
      <c r="G3402" s="135" t="n">
        <v>6</v>
      </c>
      <c r="H3402" s="5">
        <f>IF($I2="","",INDEX(Productos!$AG:$AG,$I2))</f>
        <v/>
      </c>
      <c r="I3402" s="136">
        <f>LET(_xlpm.r,Productos!$E$2:$E$2509,_xlpm.m,IFERROR(_xlfn.XMATCH(C3402,_xlpm.r),IFERROR(_xlfn.XMATCH(VALUE(C3402),_xlpm.r),0)),IF(_xlpm.m=0,"",_xlpm.m+1))</f>
        <v/>
      </c>
      <c r="J3402" s="137" t="inlineStr">
        <is>
          <t>Shopify</t>
        </is>
      </c>
    </row>
    <row r="3403">
      <c r="A3403" s="5" t="inlineStr">
        <is>
          <t>Shopify Stetson México › Stetson México</t>
        </is>
      </c>
      <c r="B3403" s="5">
        <f>IF($I2="","",INDEX(Productos!$A:$A,$I2))</f>
        <v/>
      </c>
      <c r="C3403" s="134" t="inlineStr">
        <is>
          <t>ST-VR-P-006-FW25-PD-XL</t>
        </is>
      </c>
      <c r="D3403" s="5">
        <f>IF($I2="","",INDEX(Productos!$B:$B,$I2))</f>
        <v/>
      </c>
      <c r="E3403" s="5">
        <f>IF($I2="","",INDEX(Productos!$H:$H,$I2))</f>
        <v/>
      </c>
      <c r="F3403" s="5">
        <f>IF($I2="","",INDEX(Productos!$I:$I,$I2))</f>
        <v/>
      </c>
      <c r="G3403" s="135" t="n">
        <v>1</v>
      </c>
      <c r="H3403" s="5">
        <f>IF($I2="","",INDEX(Productos!$AG:$AG,$I2))</f>
        <v/>
      </c>
      <c r="I3403" s="136">
        <f>LET(_xlpm.r,Productos!$E$2:$E$2509,_xlpm.m,IFERROR(_xlfn.XMATCH(C3403,_xlpm.r),IFERROR(_xlfn.XMATCH(VALUE(C3403),_xlpm.r),0)),IF(_xlpm.m=0,"",_xlpm.m+1))</f>
        <v/>
      </c>
      <c r="J3403" s="137" t="inlineStr">
        <is>
          <t>Shopify</t>
        </is>
      </c>
    </row>
    <row r="3404">
      <c r="A3404" s="5" t="inlineStr">
        <is>
          <t>Shopify Stetson México › Stetson México</t>
        </is>
      </c>
      <c r="B3404" s="5">
        <f>IF($I2="","",INDEX(Productos!$A:$A,$I2))</f>
        <v/>
      </c>
      <c r="C3404" s="134" t="inlineStr">
        <is>
          <t>ST-VR-P-007-FW25-SB-2XL</t>
        </is>
      </c>
      <c r="D3404" s="5">
        <f>IF($I2="","",INDEX(Productos!$B:$B,$I2))</f>
        <v/>
      </c>
      <c r="E3404" s="5">
        <f>IF($I2="","",INDEX(Productos!$H:$H,$I2))</f>
        <v/>
      </c>
      <c r="F3404" s="5">
        <f>IF($I2="","",INDEX(Productos!$I:$I,$I2))</f>
        <v/>
      </c>
      <c r="G3404" s="135" t="n">
        <v>1</v>
      </c>
      <c r="H3404" s="5">
        <f>IF($I2="","",INDEX(Productos!$AG:$AG,$I2))</f>
        <v/>
      </c>
      <c r="I3404" s="136">
        <f>LET(_xlpm.r,Productos!$E$2:$E$2509,_xlpm.m,IFERROR(_xlfn.XMATCH(C3404,_xlpm.r),IFERROR(_xlfn.XMATCH(VALUE(C3404),_xlpm.r),0)),IF(_xlpm.m=0,"",_xlpm.m+1))</f>
        <v/>
      </c>
      <c r="J3404" s="137" t="inlineStr">
        <is>
          <t>Shopify</t>
        </is>
      </c>
    </row>
    <row r="3405">
      <c r="A3405" s="5" t="inlineStr">
        <is>
          <t>Shopify Stetson México › Stetson México</t>
        </is>
      </c>
      <c r="B3405" s="5">
        <f>IF($I2="","",INDEX(Productos!$A:$A,$I2))</f>
        <v/>
      </c>
      <c r="C3405" s="134" t="inlineStr">
        <is>
          <t>ST-VR-P-007-FW25-SB-M</t>
        </is>
      </c>
      <c r="D3405" s="5">
        <f>IF($I2="","",INDEX(Productos!$B:$B,$I2))</f>
        <v/>
      </c>
      <c r="E3405" s="5">
        <f>IF($I2="","",INDEX(Productos!$H:$H,$I2))</f>
        <v/>
      </c>
      <c r="F3405" s="5">
        <f>IF($I2="","",INDEX(Productos!$I:$I,$I2))</f>
        <v/>
      </c>
      <c r="G3405" s="135" t="n">
        <v>5</v>
      </c>
      <c r="H3405" s="5">
        <f>IF($I2="","",INDEX(Productos!$AG:$AG,$I2))</f>
        <v/>
      </c>
      <c r="I3405" s="136">
        <f>LET(_xlpm.r,Productos!$E$2:$E$2509,_xlpm.m,IFERROR(_xlfn.XMATCH(C3405,_xlpm.r),IFERROR(_xlfn.XMATCH(VALUE(C3405),_xlpm.r),0)),IF(_xlpm.m=0,"",_xlpm.m+1))</f>
        <v/>
      </c>
      <c r="J3405" s="137" t="inlineStr">
        <is>
          <t>Shopify</t>
        </is>
      </c>
    </row>
    <row r="3406">
      <c r="A3406" s="5" t="inlineStr">
        <is>
          <t>Shopify Stetson México › Stetson México</t>
        </is>
      </c>
      <c r="B3406" s="5">
        <f>IF($I2="","",INDEX(Productos!$A:$A,$I2))</f>
        <v/>
      </c>
      <c r="C3406" s="134" t="inlineStr">
        <is>
          <t>ST-VR-P-007-FW25-SB-S</t>
        </is>
      </c>
      <c r="D3406" s="5">
        <f>IF($I2="","",INDEX(Productos!$B:$B,$I2))</f>
        <v/>
      </c>
      <c r="E3406" s="5">
        <f>IF($I2="","",INDEX(Productos!$H:$H,$I2))</f>
        <v/>
      </c>
      <c r="F3406" s="5">
        <f>IF($I2="","",INDEX(Productos!$I:$I,$I2))</f>
        <v/>
      </c>
      <c r="G3406" s="135" t="n">
        <v>5</v>
      </c>
      <c r="H3406" s="5">
        <f>IF($I2="","",INDEX(Productos!$AG:$AG,$I2))</f>
        <v/>
      </c>
      <c r="I3406" s="136">
        <f>LET(_xlpm.r,Productos!$E$2:$E$2509,_xlpm.m,IFERROR(_xlfn.XMATCH(C3406,_xlpm.r),IFERROR(_xlfn.XMATCH(VALUE(C3406),_xlpm.r),0)),IF(_xlpm.m=0,"",_xlpm.m+1))</f>
        <v/>
      </c>
      <c r="J3406" s="137" t="inlineStr">
        <is>
          <t>Shopify</t>
        </is>
      </c>
    </row>
    <row r="3407">
      <c r="A3407" s="5" t="inlineStr">
        <is>
          <t>Shopify Stetson México › Stetson México</t>
        </is>
      </c>
      <c r="B3407" s="5">
        <f>IF($I2="","",INDEX(Productos!$A:$A,$I2))</f>
        <v/>
      </c>
      <c r="C3407" s="134" t="inlineStr">
        <is>
          <t>ST-VR-P-007-FW25-SB-XL</t>
        </is>
      </c>
      <c r="D3407" s="5">
        <f>IF($I2="","",INDEX(Productos!$B:$B,$I2))</f>
        <v/>
      </c>
      <c r="E3407" s="5">
        <f>IF($I2="","",INDEX(Productos!$H:$H,$I2))</f>
        <v/>
      </c>
      <c r="F3407" s="5">
        <f>IF($I2="","",INDEX(Productos!$I:$I,$I2))</f>
        <v/>
      </c>
      <c r="G3407" s="135" t="n">
        <v>1</v>
      </c>
      <c r="H3407" s="5">
        <f>IF($I2="","",INDEX(Productos!$AG:$AG,$I2))</f>
        <v/>
      </c>
      <c r="I3407" s="136">
        <f>LET(_xlpm.r,Productos!$E$2:$E$2509,_xlpm.m,IFERROR(_xlfn.XMATCH(C3407,_xlpm.r),IFERROR(_xlfn.XMATCH(VALUE(C3407),_xlpm.r),0)),IF(_xlpm.m=0,"",_xlpm.m+1))</f>
        <v/>
      </c>
      <c r="J3407" s="137" t="inlineStr">
        <is>
          <t>Shopify</t>
        </is>
      </c>
    </row>
    <row r="3408">
      <c r="A3408" s="5" t="inlineStr">
        <is>
          <t>Shopify Stetson México › Stetson México</t>
        </is>
      </c>
      <c r="B3408" s="5">
        <f>IF($I2="","",INDEX(Productos!$A:$A,$I2))</f>
        <v/>
      </c>
      <c r="C3408" s="134" t="inlineStr">
        <is>
          <t>ST-VR-P-008-FW25-FN-L</t>
        </is>
      </c>
      <c r="D3408" s="5">
        <f>IF($I2="","",INDEX(Productos!$B:$B,$I2))</f>
        <v/>
      </c>
      <c r="E3408" s="5">
        <f>IF($I2="","",INDEX(Productos!$H:$H,$I2))</f>
        <v/>
      </c>
      <c r="F3408" s="5">
        <f>IF($I2="","",INDEX(Productos!$I:$I,$I2))</f>
        <v/>
      </c>
      <c r="G3408" s="135" t="n">
        <v>1</v>
      </c>
      <c r="H3408" s="5">
        <f>IF($I2="","",INDEX(Productos!$AG:$AG,$I2))</f>
        <v/>
      </c>
      <c r="I3408" s="136">
        <f>LET(_xlpm.r,Productos!$E$2:$E$2509,_xlpm.m,IFERROR(_xlfn.XMATCH(C3408,_xlpm.r),IFERROR(_xlfn.XMATCH(VALUE(C3408),_xlpm.r),0)),IF(_xlpm.m=0,"",_xlpm.m+1))</f>
        <v/>
      </c>
      <c r="J3408" s="137" t="inlineStr">
        <is>
          <t>Shopify</t>
        </is>
      </c>
    </row>
    <row r="3409">
      <c r="A3409" s="5" t="inlineStr">
        <is>
          <t>Shopify Stetson México › Stetson México</t>
        </is>
      </c>
      <c r="B3409" s="5">
        <f>IF($I2="","",INDEX(Productos!$A:$A,$I2))</f>
        <v/>
      </c>
      <c r="C3409" s="134" t="inlineStr">
        <is>
          <t>ST-VR-P-008-FW25-FN-M</t>
        </is>
      </c>
      <c r="D3409" s="5">
        <f>IF($I2="","",INDEX(Productos!$B:$B,$I2))</f>
        <v/>
      </c>
      <c r="E3409" s="5">
        <f>IF($I2="","",INDEX(Productos!$H:$H,$I2))</f>
        <v/>
      </c>
      <c r="F3409" s="5">
        <f>IF($I2="","",INDEX(Productos!$I:$I,$I2))</f>
        <v/>
      </c>
      <c r="G3409" s="135" t="n">
        <v>5</v>
      </c>
      <c r="H3409" s="5">
        <f>IF($I2="","",INDEX(Productos!$AG:$AG,$I2))</f>
        <v/>
      </c>
      <c r="I3409" s="136">
        <f>LET(_xlpm.r,Productos!$E$2:$E$2509,_xlpm.m,IFERROR(_xlfn.XMATCH(C3409,_xlpm.r),IFERROR(_xlfn.XMATCH(VALUE(C3409),_xlpm.r),0)),IF(_xlpm.m=0,"",_xlpm.m+1))</f>
        <v/>
      </c>
      <c r="J3409" s="137" t="inlineStr">
        <is>
          <t>Shopify</t>
        </is>
      </c>
    </row>
    <row r="3410">
      <c r="A3410" s="5" t="inlineStr">
        <is>
          <t>Shopify Stetson México › Stetson México</t>
        </is>
      </c>
      <c r="B3410" s="5">
        <f>IF($I2="","",INDEX(Productos!$A:$A,$I2))</f>
        <v/>
      </c>
      <c r="C3410" s="134" t="inlineStr">
        <is>
          <t>ST-VR-P-008-FW25-FN-S</t>
        </is>
      </c>
      <c r="D3410" s="5">
        <f>IF($I2="","",INDEX(Productos!$B:$B,$I2))</f>
        <v/>
      </c>
      <c r="E3410" s="5">
        <f>IF($I2="","",INDEX(Productos!$H:$H,$I2))</f>
        <v/>
      </c>
      <c r="F3410" s="5">
        <f>IF($I2="","",INDEX(Productos!$I:$I,$I2))</f>
        <v/>
      </c>
      <c r="G3410" s="135" t="n">
        <v>5</v>
      </c>
      <c r="H3410" s="5">
        <f>IF($I2="","",INDEX(Productos!$AG:$AG,$I2))</f>
        <v/>
      </c>
      <c r="I3410" s="136">
        <f>LET(_xlpm.r,Productos!$E$2:$E$2509,_xlpm.m,IFERROR(_xlfn.XMATCH(C3410,_xlpm.r),IFERROR(_xlfn.XMATCH(VALUE(C3410),_xlpm.r),0)),IF(_xlpm.m=0,"",_xlpm.m+1))</f>
        <v/>
      </c>
      <c r="J3410" s="137" t="inlineStr">
        <is>
          <t>Shopify</t>
        </is>
      </c>
    </row>
    <row r="3411">
      <c r="A3411" s="5" t="inlineStr">
        <is>
          <t>Shopify Stetson México › Stetson México</t>
        </is>
      </c>
      <c r="B3411" s="5">
        <f>IF($I2="","",INDEX(Productos!$A:$A,$I2))</f>
        <v/>
      </c>
      <c r="C3411" s="134" t="inlineStr">
        <is>
          <t>ST-VR-P-008-FW25-FN-XL</t>
        </is>
      </c>
      <c r="D3411" s="5">
        <f>IF($I2="","",INDEX(Productos!$B:$B,$I2))</f>
        <v/>
      </c>
      <c r="E3411" s="5">
        <f>IF($I2="","",INDEX(Productos!$H:$H,$I2))</f>
        <v/>
      </c>
      <c r="F3411" s="5">
        <f>IF($I2="","",INDEX(Productos!$I:$I,$I2))</f>
        <v/>
      </c>
      <c r="G3411" s="135" t="n">
        <v>1</v>
      </c>
      <c r="H3411" s="5">
        <f>IF($I2="","",INDEX(Productos!$AG:$AG,$I2))</f>
        <v/>
      </c>
      <c r="I3411" s="136">
        <f>LET(_xlpm.r,Productos!$E$2:$E$2509,_xlpm.m,IFERROR(_xlfn.XMATCH(C3411,_xlpm.r),IFERROR(_xlfn.XMATCH(VALUE(C3411),_xlpm.r),0)),IF(_xlpm.m=0,"",_xlpm.m+1))</f>
        <v/>
      </c>
      <c r="J3411" s="137" t="inlineStr">
        <is>
          <t>Shopify</t>
        </is>
      </c>
    </row>
    <row r="3412">
      <c r="A3412" s="5" t="inlineStr">
        <is>
          <t>Shopify Stetson México › Stetson México</t>
        </is>
      </c>
      <c r="B3412" s="5">
        <f>IF($I2="","",INDEX(Productos!$A:$A,$I2))</f>
        <v/>
      </c>
      <c r="C3412" s="134" t="inlineStr">
        <is>
          <t>ST-VR-P-009-FW25-TS-2XL</t>
        </is>
      </c>
      <c r="D3412" s="5">
        <f>IF($I2="","",INDEX(Productos!$B:$B,$I2))</f>
        <v/>
      </c>
      <c r="E3412" s="5">
        <f>IF($I2="","",INDEX(Productos!$H:$H,$I2))</f>
        <v/>
      </c>
      <c r="F3412" s="5">
        <f>IF($I2="","",INDEX(Productos!$I:$I,$I2))</f>
        <v/>
      </c>
      <c r="G3412" s="135" t="n">
        <v>3</v>
      </c>
      <c r="H3412" s="5">
        <f>IF($I2="","",INDEX(Productos!$AG:$AG,$I2))</f>
        <v/>
      </c>
      <c r="I3412" s="136">
        <f>LET(_xlpm.r,Productos!$E$2:$E$2509,_xlpm.m,IFERROR(_xlfn.XMATCH(C3412,_xlpm.r),IFERROR(_xlfn.XMATCH(VALUE(C3412),_xlpm.r),0)),IF(_xlpm.m=0,"",_xlpm.m+1))</f>
        <v/>
      </c>
      <c r="J3412" s="137" t="inlineStr">
        <is>
          <t>Shopify</t>
        </is>
      </c>
    </row>
    <row r="3413">
      <c r="A3413" s="5" t="inlineStr">
        <is>
          <t>Shopify Stetson México › Stetson México</t>
        </is>
      </c>
      <c r="B3413" s="5">
        <f>IF($I2="","",INDEX(Productos!$A:$A,$I2))</f>
        <v/>
      </c>
      <c r="C3413" s="134" t="inlineStr">
        <is>
          <t>ST-VR-P-009-FW25-TS-L</t>
        </is>
      </c>
      <c r="D3413" s="5">
        <f>IF($I2="","",INDEX(Productos!$B:$B,$I2))</f>
        <v/>
      </c>
      <c r="E3413" s="5">
        <f>IF($I2="","",INDEX(Productos!$H:$H,$I2))</f>
        <v/>
      </c>
      <c r="F3413" s="5">
        <f>IF($I2="","",INDEX(Productos!$I:$I,$I2))</f>
        <v/>
      </c>
      <c r="G3413" s="135" t="n">
        <v>7</v>
      </c>
      <c r="H3413" s="5">
        <f>IF($I2="","",INDEX(Productos!$AG:$AG,$I2))</f>
        <v/>
      </c>
      <c r="I3413" s="136">
        <f>LET(_xlpm.r,Productos!$E$2:$E$2509,_xlpm.m,IFERROR(_xlfn.XMATCH(C3413,_xlpm.r),IFERROR(_xlfn.XMATCH(VALUE(C3413),_xlpm.r),0)),IF(_xlpm.m=0,"",_xlpm.m+1))</f>
        <v/>
      </c>
      <c r="J3413" s="137" t="inlineStr">
        <is>
          <t>Shopify</t>
        </is>
      </c>
    </row>
    <row r="3414">
      <c r="A3414" s="5" t="inlineStr">
        <is>
          <t>Shopify Stetson México › Stetson México</t>
        </is>
      </c>
      <c r="B3414" s="5">
        <f>IF($I2="","",INDEX(Productos!$A:$A,$I2))</f>
        <v/>
      </c>
      <c r="C3414" s="134" t="inlineStr">
        <is>
          <t>ST-VR-P-009-FW25-TS-M</t>
        </is>
      </c>
      <c r="D3414" s="5">
        <f>IF($I2="","",INDEX(Productos!$B:$B,$I2))</f>
        <v/>
      </c>
      <c r="E3414" s="5">
        <f>IF($I2="","",INDEX(Productos!$H:$H,$I2))</f>
        <v/>
      </c>
      <c r="F3414" s="5">
        <f>IF($I2="","",INDEX(Productos!$I:$I,$I2))</f>
        <v/>
      </c>
      <c r="G3414" s="135" t="n">
        <v>9</v>
      </c>
      <c r="H3414" s="5">
        <f>IF($I2="","",INDEX(Productos!$AG:$AG,$I2))</f>
        <v/>
      </c>
      <c r="I3414" s="136">
        <f>LET(_xlpm.r,Productos!$E$2:$E$2509,_xlpm.m,IFERROR(_xlfn.XMATCH(C3414,_xlpm.r),IFERROR(_xlfn.XMATCH(VALUE(C3414),_xlpm.r),0)),IF(_xlpm.m=0,"",_xlpm.m+1))</f>
        <v/>
      </c>
      <c r="J3414" s="137" t="inlineStr">
        <is>
          <t>Shopify</t>
        </is>
      </c>
    </row>
    <row r="3415">
      <c r="A3415" s="5" t="inlineStr">
        <is>
          <t>Shopify Stetson México › Stetson México</t>
        </is>
      </c>
      <c r="B3415" s="5">
        <f>IF($I2="","",INDEX(Productos!$A:$A,$I2))</f>
        <v/>
      </c>
      <c r="C3415" s="134" t="inlineStr">
        <is>
          <t>ST-VR-P-009-FW25-TS-S</t>
        </is>
      </c>
      <c r="D3415" s="5">
        <f>IF($I2="","",INDEX(Productos!$B:$B,$I2))</f>
        <v/>
      </c>
      <c r="E3415" s="5">
        <f>IF($I2="","",INDEX(Productos!$H:$H,$I2))</f>
        <v/>
      </c>
      <c r="F3415" s="5">
        <f>IF($I2="","",INDEX(Productos!$I:$I,$I2))</f>
        <v/>
      </c>
      <c r="G3415" s="135" t="n">
        <v>7</v>
      </c>
      <c r="H3415" s="5">
        <f>IF($I2="","",INDEX(Productos!$AG:$AG,$I2))</f>
        <v/>
      </c>
      <c r="I3415" s="136">
        <f>LET(_xlpm.r,Productos!$E$2:$E$2509,_xlpm.m,IFERROR(_xlfn.XMATCH(C3415,_xlpm.r),IFERROR(_xlfn.XMATCH(VALUE(C3415),_xlpm.r),0)),IF(_xlpm.m=0,"",_xlpm.m+1))</f>
        <v/>
      </c>
      <c r="J3415" s="137" t="inlineStr">
        <is>
          <t>Shopify</t>
        </is>
      </c>
    </row>
    <row r="3416">
      <c r="A3416" s="5" t="inlineStr">
        <is>
          <t>Shopify Stetson México › Stetson México</t>
        </is>
      </c>
      <c r="B3416" s="5">
        <f>IF($I2="","",INDEX(Productos!$A:$A,$I2))</f>
        <v/>
      </c>
      <c r="C3416" s="134" t="inlineStr">
        <is>
          <t>ST-VR-P-009-FW25-TS-XL</t>
        </is>
      </c>
      <c r="D3416" s="5">
        <f>IF($I2="","",INDEX(Productos!$B:$B,$I2))</f>
        <v/>
      </c>
      <c r="E3416" s="5">
        <f>IF($I2="","",INDEX(Productos!$H:$H,$I2))</f>
        <v/>
      </c>
      <c r="F3416" s="5">
        <f>IF($I2="","",INDEX(Productos!$I:$I,$I2))</f>
        <v/>
      </c>
      <c r="G3416" s="135" t="n">
        <v>3</v>
      </c>
      <c r="H3416" s="5">
        <f>IF($I2="","",INDEX(Productos!$AG:$AG,$I2))</f>
        <v/>
      </c>
      <c r="I3416" s="136">
        <f>LET(_xlpm.r,Productos!$E$2:$E$2509,_xlpm.m,IFERROR(_xlfn.XMATCH(C3416,_xlpm.r),IFERROR(_xlfn.XMATCH(VALUE(C3416),_xlpm.r),0)),IF(_xlpm.m=0,"",_xlpm.m+1))</f>
        <v/>
      </c>
      <c r="J3416" s="137" t="inlineStr">
        <is>
          <t>Shopify</t>
        </is>
      </c>
    </row>
    <row r="3417">
      <c r="A3417" s="5" t="inlineStr">
        <is>
          <t>Shopify Stetson México › Stetson México</t>
        </is>
      </c>
      <c r="B3417" s="5">
        <f>IF($I2="","",INDEX(Productos!$A:$A,$I2))</f>
        <v/>
      </c>
      <c r="C3417" s="134" t="inlineStr">
        <is>
          <t>ST-VR-P-010-FW25-SA-2XL</t>
        </is>
      </c>
      <c r="D3417" s="5">
        <f>IF($I2="","",INDEX(Productos!$B:$B,$I2))</f>
        <v/>
      </c>
      <c r="E3417" s="5">
        <f>IF($I2="","",INDEX(Productos!$H:$H,$I2))</f>
        <v/>
      </c>
      <c r="F3417" s="5">
        <f>IF($I2="","",INDEX(Productos!$I:$I,$I2))</f>
        <v/>
      </c>
      <c r="G3417" s="135" t="n">
        <v>1</v>
      </c>
      <c r="H3417" s="5">
        <f>IF($I2="","",INDEX(Productos!$AG:$AG,$I2))</f>
        <v/>
      </c>
      <c r="I3417" s="136">
        <f>LET(_xlpm.r,Productos!$E$2:$E$2509,_xlpm.m,IFERROR(_xlfn.XMATCH(C3417,_xlpm.r),IFERROR(_xlfn.XMATCH(VALUE(C3417),_xlpm.r),0)),IF(_xlpm.m=0,"",_xlpm.m+1))</f>
        <v/>
      </c>
      <c r="J3417" s="137" t="inlineStr">
        <is>
          <t>Shopify</t>
        </is>
      </c>
    </row>
    <row r="3418">
      <c r="A3418" s="5" t="inlineStr">
        <is>
          <t>Shopify Stetson México › Stetson México</t>
        </is>
      </c>
      <c r="B3418" s="5">
        <f>IF($I2="","",INDEX(Productos!$A:$A,$I2))</f>
        <v/>
      </c>
      <c r="C3418" s="134" t="inlineStr">
        <is>
          <t>ST-VR-P-010-FW25-SA-L</t>
        </is>
      </c>
      <c r="D3418" s="5">
        <f>IF($I2="","",INDEX(Productos!$B:$B,$I2))</f>
        <v/>
      </c>
      <c r="E3418" s="5">
        <f>IF($I2="","",INDEX(Productos!$H:$H,$I2))</f>
        <v/>
      </c>
      <c r="F3418" s="5">
        <f>IF($I2="","",INDEX(Productos!$I:$I,$I2))</f>
        <v/>
      </c>
      <c r="G3418" s="135" t="n">
        <v>9</v>
      </c>
      <c r="H3418" s="5">
        <f>IF($I2="","",INDEX(Productos!$AG:$AG,$I2))</f>
        <v/>
      </c>
      <c r="I3418" s="136">
        <f>LET(_xlpm.r,Productos!$E$2:$E$2509,_xlpm.m,IFERROR(_xlfn.XMATCH(C3418,_xlpm.r),IFERROR(_xlfn.XMATCH(VALUE(C3418),_xlpm.r),0)),IF(_xlpm.m=0,"",_xlpm.m+1))</f>
        <v/>
      </c>
      <c r="J3418" s="137" t="inlineStr">
        <is>
          <t>Shopify</t>
        </is>
      </c>
    </row>
    <row r="3419">
      <c r="A3419" s="5" t="inlineStr">
        <is>
          <t>Shopify Stetson México › Stetson México</t>
        </is>
      </c>
      <c r="B3419" s="5">
        <f>IF($I2="","",INDEX(Productos!$A:$A,$I2))</f>
        <v/>
      </c>
      <c r="C3419" s="134" t="inlineStr">
        <is>
          <t>ST-VR-P-010-FW25-SA-M</t>
        </is>
      </c>
      <c r="D3419" s="5">
        <f>IF($I2="","",INDEX(Productos!$B:$B,$I2))</f>
        <v/>
      </c>
      <c r="E3419" s="5">
        <f>IF($I2="","",INDEX(Productos!$H:$H,$I2))</f>
        <v/>
      </c>
      <c r="F3419" s="5">
        <f>IF($I2="","",INDEX(Productos!$I:$I,$I2))</f>
        <v/>
      </c>
      <c r="G3419" s="135" t="n">
        <v>7</v>
      </c>
      <c r="H3419" s="5">
        <f>IF($I2="","",INDEX(Productos!$AG:$AG,$I2))</f>
        <v/>
      </c>
      <c r="I3419" s="136">
        <f>LET(_xlpm.r,Productos!$E$2:$E$2509,_xlpm.m,IFERROR(_xlfn.XMATCH(C3419,_xlpm.r),IFERROR(_xlfn.XMATCH(VALUE(C3419),_xlpm.r),0)),IF(_xlpm.m=0,"",_xlpm.m+1))</f>
        <v/>
      </c>
      <c r="J3419" s="137" t="inlineStr">
        <is>
          <t>Shopify</t>
        </is>
      </c>
    </row>
    <row r="3420">
      <c r="A3420" s="5" t="inlineStr">
        <is>
          <t>Shopify Stetson México › Stetson México</t>
        </is>
      </c>
      <c r="B3420" s="5">
        <f>IF($I2="","",INDEX(Productos!$A:$A,$I2))</f>
        <v/>
      </c>
      <c r="C3420" s="134" t="inlineStr">
        <is>
          <t>ST-VR-P-010-FW25-SA-S</t>
        </is>
      </c>
      <c r="D3420" s="5">
        <f>IF($I2="","",INDEX(Productos!$B:$B,$I2))</f>
        <v/>
      </c>
      <c r="E3420" s="5">
        <f>IF($I2="","",INDEX(Productos!$H:$H,$I2))</f>
        <v/>
      </c>
      <c r="F3420" s="5">
        <f>IF($I2="","",INDEX(Productos!$I:$I,$I2))</f>
        <v/>
      </c>
      <c r="G3420" s="135" t="n">
        <v>8</v>
      </c>
      <c r="H3420" s="5">
        <f>IF($I2="","",INDEX(Productos!$AG:$AG,$I2))</f>
        <v/>
      </c>
      <c r="I3420" s="136">
        <f>LET(_xlpm.r,Productos!$E$2:$E$2509,_xlpm.m,IFERROR(_xlfn.XMATCH(C3420,_xlpm.r),IFERROR(_xlfn.XMATCH(VALUE(C3420),_xlpm.r),0)),IF(_xlpm.m=0,"",_xlpm.m+1))</f>
        <v/>
      </c>
      <c r="J3420" s="137" t="inlineStr">
        <is>
          <t>Shopify</t>
        </is>
      </c>
    </row>
    <row r="3421">
      <c r="A3421" s="5" t="inlineStr">
        <is>
          <t>Shopify Stetson México › Stetson México</t>
        </is>
      </c>
      <c r="B3421" s="5">
        <f>IF($I2="","",INDEX(Productos!$A:$A,$I2))</f>
        <v/>
      </c>
      <c r="C3421" s="134" t="inlineStr">
        <is>
          <t>ST-VR-P-010-FW25-SA-XL</t>
        </is>
      </c>
      <c r="D3421" s="5">
        <f>IF($I2="","",INDEX(Productos!$B:$B,$I2))</f>
        <v/>
      </c>
      <c r="E3421" s="5">
        <f>IF($I2="","",INDEX(Productos!$H:$H,$I2))</f>
        <v/>
      </c>
      <c r="F3421" s="5">
        <f>IF($I2="","",INDEX(Productos!$I:$I,$I2))</f>
        <v/>
      </c>
      <c r="G3421" s="135" t="n">
        <v>4</v>
      </c>
      <c r="H3421" s="5">
        <f>IF($I2="","",INDEX(Productos!$AG:$AG,$I2))</f>
        <v/>
      </c>
      <c r="I3421" s="136">
        <f>LET(_xlpm.r,Productos!$E$2:$E$2509,_xlpm.m,IFERROR(_xlfn.XMATCH(C3421,_xlpm.r),IFERROR(_xlfn.XMATCH(VALUE(C3421),_xlpm.r),0)),IF(_xlpm.m=0,"",_xlpm.m+1))</f>
        <v/>
      </c>
      <c r="J3421" s="137" t="inlineStr">
        <is>
          <t>Shopify</t>
        </is>
      </c>
    </row>
    <row r="3422">
      <c r="A3422" s="5" t="inlineStr">
        <is>
          <t>Shopify Stetson México › Stetson México</t>
        </is>
      </c>
      <c r="B3422" s="5">
        <f>IF($I2="","",INDEX(Productos!$A:$A,$I2))</f>
        <v/>
      </c>
      <c r="C3422" s="134" t="inlineStr">
        <is>
          <t>ST-VR-P-011-FW25-TSAG-2XL</t>
        </is>
      </c>
      <c r="D3422" s="5">
        <f>IF($I2="","",INDEX(Productos!$B:$B,$I2))</f>
        <v/>
      </c>
      <c r="E3422" s="5">
        <f>IF($I2="","",INDEX(Productos!$H:$H,$I2))</f>
        <v/>
      </c>
      <c r="F3422" s="5">
        <f>IF($I2="","",INDEX(Productos!$I:$I,$I2))</f>
        <v/>
      </c>
      <c r="G3422" s="135" t="n">
        <v>1</v>
      </c>
      <c r="H3422" s="5">
        <f>IF($I2="","",INDEX(Productos!$AG:$AG,$I2))</f>
        <v/>
      </c>
      <c r="I3422" s="136">
        <f>LET(_xlpm.r,Productos!$E$2:$E$2509,_xlpm.m,IFERROR(_xlfn.XMATCH(C3422,_xlpm.r),IFERROR(_xlfn.XMATCH(VALUE(C3422),_xlpm.r),0)),IF(_xlpm.m=0,"",_xlpm.m+1))</f>
        <v/>
      </c>
      <c r="J3422" s="137" t="inlineStr">
        <is>
          <t>Shopify</t>
        </is>
      </c>
    </row>
    <row r="3423">
      <c r="A3423" s="5" t="inlineStr">
        <is>
          <t>Shopify Stetson México › Stetson México</t>
        </is>
      </c>
      <c r="B3423" s="5">
        <f>IF($I2="","",INDEX(Productos!$A:$A,$I2))</f>
        <v/>
      </c>
      <c r="C3423" s="134" t="inlineStr">
        <is>
          <t>ST-VR-P-011-FW25-TSAG-L</t>
        </is>
      </c>
      <c r="D3423" s="5">
        <f>IF($I2="","",INDEX(Productos!$B:$B,$I2))</f>
        <v/>
      </c>
      <c r="E3423" s="5">
        <f>IF($I2="","",INDEX(Productos!$H:$H,$I2))</f>
        <v/>
      </c>
      <c r="F3423" s="5">
        <f>IF($I2="","",INDEX(Productos!$I:$I,$I2))</f>
        <v/>
      </c>
      <c r="G3423" s="135" t="n">
        <v>1</v>
      </c>
      <c r="H3423" s="5">
        <f>IF($I2="","",INDEX(Productos!$AG:$AG,$I2))</f>
        <v/>
      </c>
      <c r="I3423" s="136">
        <f>LET(_xlpm.r,Productos!$E$2:$E$2509,_xlpm.m,IFERROR(_xlfn.XMATCH(C3423,_xlpm.r),IFERROR(_xlfn.XMATCH(VALUE(C3423),_xlpm.r),0)),IF(_xlpm.m=0,"",_xlpm.m+1))</f>
        <v/>
      </c>
      <c r="J3423" s="137" t="inlineStr">
        <is>
          <t>Shopify</t>
        </is>
      </c>
    </row>
    <row r="3424">
      <c r="A3424" s="5" t="inlineStr">
        <is>
          <t>Shopify Stetson México › Stetson México</t>
        </is>
      </c>
      <c r="B3424" s="5">
        <f>IF($I2="","",INDEX(Productos!$A:$A,$I2))</f>
        <v/>
      </c>
      <c r="C3424" s="134" t="inlineStr">
        <is>
          <t>ST-VR-P-011-FW25-TSAG-M</t>
        </is>
      </c>
      <c r="D3424" s="5">
        <f>IF($I2="","",INDEX(Productos!$B:$B,$I2))</f>
        <v/>
      </c>
      <c r="E3424" s="5">
        <f>IF($I2="","",INDEX(Productos!$H:$H,$I2))</f>
        <v/>
      </c>
      <c r="F3424" s="5">
        <f>IF($I2="","",INDEX(Productos!$I:$I,$I2))</f>
        <v/>
      </c>
      <c r="G3424" s="135" t="n">
        <v>6</v>
      </c>
      <c r="H3424" s="5">
        <f>IF($I2="","",INDEX(Productos!$AG:$AG,$I2))</f>
        <v/>
      </c>
      <c r="I3424" s="136">
        <f>LET(_xlpm.r,Productos!$E$2:$E$2509,_xlpm.m,IFERROR(_xlfn.XMATCH(C3424,_xlpm.r),IFERROR(_xlfn.XMATCH(VALUE(C3424),_xlpm.r),0)),IF(_xlpm.m=0,"",_xlpm.m+1))</f>
        <v/>
      </c>
      <c r="J3424" s="137" t="inlineStr">
        <is>
          <t>Shopify</t>
        </is>
      </c>
    </row>
    <row r="3425">
      <c r="A3425" s="5" t="inlineStr">
        <is>
          <t>Shopify Stetson México › Stetson México</t>
        </is>
      </c>
      <c r="B3425" s="5">
        <f>IF($I2="","",INDEX(Productos!$A:$A,$I2))</f>
        <v/>
      </c>
      <c r="C3425" s="134" t="inlineStr">
        <is>
          <t>ST-VR-P-011-FW25-TSAG-S</t>
        </is>
      </c>
      <c r="D3425" s="5">
        <f>IF($I2="","",INDEX(Productos!$B:$B,$I2))</f>
        <v/>
      </c>
      <c r="E3425" s="5">
        <f>IF($I2="","",INDEX(Productos!$H:$H,$I2))</f>
        <v/>
      </c>
      <c r="F3425" s="5">
        <f>IF($I2="","",INDEX(Productos!$I:$I,$I2))</f>
        <v/>
      </c>
      <c r="G3425" s="135" t="n">
        <v>5</v>
      </c>
      <c r="H3425" s="5">
        <f>IF($I2="","",INDEX(Productos!$AG:$AG,$I2))</f>
        <v/>
      </c>
      <c r="I3425" s="136">
        <f>LET(_xlpm.r,Productos!$E$2:$E$2509,_xlpm.m,IFERROR(_xlfn.XMATCH(C3425,_xlpm.r),IFERROR(_xlfn.XMATCH(VALUE(C3425),_xlpm.r),0)),IF(_xlpm.m=0,"",_xlpm.m+1))</f>
        <v/>
      </c>
      <c r="J3425" s="137" t="inlineStr">
        <is>
          <t>Shopify</t>
        </is>
      </c>
    </row>
    <row r="3426">
      <c r="A3426" s="5" t="inlineStr">
        <is>
          <t>Shopify Stetson México › Stetson México</t>
        </is>
      </c>
      <c r="B3426" s="5">
        <f>IF($I2="","",INDEX(Productos!$A:$A,$I2))</f>
        <v/>
      </c>
      <c r="C3426" s="134" t="inlineStr">
        <is>
          <t>ST-VR-P-011-FW25-TSAG-XL</t>
        </is>
      </c>
      <c r="D3426" s="5">
        <f>IF($I2="","",INDEX(Productos!$B:$B,$I2))</f>
        <v/>
      </c>
      <c r="E3426" s="5">
        <f>IF($I2="","",INDEX(Productos!$H:$H,$I2))</f>
        <v/>
      </c>
      <c r="F3426" s="5">
        <f>IF($I2="","",INDEX(Productos!$I:$I,$I2))</f>
        <v/>
      </c>
      <c r="G3426" s="135" t="n">
        <v>1</v>
      </c>
      <c r="H3426" s="5">
        <f>IF($I2="","",INDEX(Productos!$AG:$AG,$I2))</f>
        <v/>
      </c>
      <c r="I3426" s="136">
        <f>LET(_xlpm.r,Productos!$E$2:$E$2509,_xlpm.m,IFERROR(_xlfn.XMATCH(C3426,_xlpm.r),IFERROR(_xlfn.XMATCH(VALUE(C3426),_xlpm.r),0)),IF(_xlpm.m=0,"",_xlpm.m+1))</f>
        <v/>
      </c>
      <c r="J3426" s="137" t="inlineStr">
        <is>
          <t>Shopify</t>
        </is>
      </c>
    </row>
    <row r="3427">
      <c r="A3427" s="5" t="inlineStr">
        <is>
          <t>Shopify Stetson México › Stetson México</t>
        </is>
      </c>
      <c r="B3427" s="5">
        <f>IF($I2="","",INDEX(Productos!$A:$A,$I2))</f>
        <v/>
      </c>
      <c r="C3427" s="134" t="inlineStr">
        <is>
          <t>ST-VR-P-012-FW25-IF-2XL</t>
        </is>
      </c>
      <c r="D3427" s="5">
        <f>IF($I2="","",INDEX(Productos!$B:$B,$I2))</f>
        <v/>
      </c>
      <c r="E3427" s="5">
        <f>IF($I2="","",INDEX(Productos!$H:$H,$I2))</f>
        <v/>
      </c>
      <c r="F3427" s="5">
        <f>IF($I2="","",INDEX(Productos!$I:$I,$I2))</f>
        <v/>
      </c>
      <c r="G3427" s="135" t="n">
        <v>5</v>
      </c>
      <c r="H3427" s="5">
        <f>IF($I2="","",INDEX(Productos!$AG:$AG,$I2))</f>
        <v/>
      </c>
      <c r="I3427" s="136">
        <f>LET(_xlpm.r,Productos!$E$2:$E$2509,_xlpm.m,IFERROR(_xlfn.XMATCH(C3427,_xlpm.r),IFERROR(_xlfn.XMATCH(VALUE(C3427),_xlpm.r),0)),IF(_xlpm.m=0,"",_xlpm.m+1))</f>
        <v/>
      </c>
      <c r="J3427" s="137" t="inlineStr">
        <is>
          <t>Shopify</t>
        </is>
      </c>
    </row>
    <row r="3428">
      <c r="A3428" s="5" t="inlineStr">
        <is>
          <t>Shopify Stetson México › Stetson México</t>
        </is>
      </c>
      <c r="B3428" s="5">
        <f>IF($I2="","",INDEX(Productos!$A:$A,$I2))</f>
        <v/>
      </c>
      <c r="C3428" s="134" t="inlineStr">
        <is>
          <t>ST-VR-P-012-FW25-IF-L</t>
        </is>
      </c>
      <c r="D3428" s="5">
        <f>IF($I2="","",INDEX(Productos!$B:$B,$I2))</f>
        <v/>
      </c>
      <c r="E3428" s="5">
        <f>IF($I2="","",INDEX(Productos!$H:$H,$I2))</f>
        <v/>
      </c>
      <c r="F3428" s="5">
        <f>IF($I2="","",INDEX(Productos!$I:$I,$I2))</f>
        <v/>
      </c>
      <c r="G3428" s="135" t="n">
        <v>5</v>
      </c>
      <c r="H3428" s="5">
        <f>IF($I2="","",INDEX(Productos!$AG:$AG,$I2))</f>
        <v/>
      </c>
      <c r="I3428" s="136">
        <f>LET(_xlpm.r,Productos!$E$2:$E$2509,_xlpm.m,IFERROR(_xlfn.XMATCH(C3428,_xlpm.r),IFERROR(_xlfn.XMATCH(VALUE(C3428),_xlpm.r),0)),IF(_xlpm.m=0,"",_xlpm.m+1))</f>
        <v/>
      </c>
      <c r="J3428" s="137" t="inlineStr">
        <is>
          <t>Shopify</t>
        </is>
      </c>
    </row>
    <row r="3429">
      <c r="A3429" s="5" t="inlineStr">
        <is>
          <t>Shopify Stetson México › Stetson México</t>
        </is>
      </c>
      <c r="B3429" s="5">
        <f>IF($I2="","",INDEX(Productos!$A:$A,$I2))</f>
        <v/>
      </c>
      <c r="C3429" s="134" t="inlineStr">
        <is>
          <t>ST-VR-P-012-FW25-IF-M</t>
        </is>
      </c>
      <c r="D3429" s="5">
        <f>IF($I2="","",INDEX(Productos!$B:$B,$I2))</f>
        <v/>
      </c>
      <c r="E3429" s="5">
        <f>IF($I2="","",INDEX(Productos!$H:$H,$I2))</f>
        <v/>
      </c>
      <c r="F3429" s="5">
        <f>IF($I2="","",INDEX(Productos!$I:$I,$I2))</f>
        <v/>
      </c>
      <c r="G3429" s="135" t="n">
        <v>5</v>
      </c>
      <c r="H3429" s="5">
        <f>IF($I2="","",INDEX(Productos!$AG:$AG,$I2))</f>
        <v/>
      </c>
      <c r="I3429" s="136">
        <f>LET(_xlpm.r,Productos!$E$2:$E$2509,_xlpm.m,IFERROR(_xlfn.XMATCH(C3429,_xlpm.r),IFERROR(_xlfn.XMATCH(VALUE(C3429),_xlpm.r),0)),IF(_xlpm.m=0,"",_xlpm.m+1))</f>
        <v/>
      </c>
      <c r="J3429" s="137" t="inlineStr">
        <is>
          <t>Shopify</t>
        </is>
      </c>
    </row>
    <row r="3430">
      <c r="A3430" s="5" t="inlineStr">
        <is>
          <t>Shopify Stetson México › Stetson México</t>
        </is>
      </c>
      <c r="B3430" s="5">
        <f>IF($I2="","",INDEX(Productos!$A:$A,$I2))</f>
        <v/>
      </c>
      <c r="C3430" s="134" t="inlineStr">
        <is>
          <t>ST-VR-P-012-FW25-IF-S</t>
        </is>
      </c>
      <c r="D3430" s="5">
        <f>IF($I2="","",INDEX(Productos!$B:$B,$I2))</f>
        <v/>
      </c>
      <c r="E3430" s="5">
        <f>IF($I2="","",INDEX(Productos!$H:$H,$I2))</f>
        <v/>
      </c>
      <c r="F3430" s="5">
        <f>IF($I2="","",INDEX(Productos!$I:$I,$I2))</f>
        <v/>
      </c>
      <c r="G3430" s="135" t="n">
        <v>5</v>
      </c>
      <c r="H3430" s="5">
        <f>IF($I2="","",INDEX(Productos!$AG:$AG,$I2))</f>
        <v/>
      </c>
      <c r="I3430" s="136">
        <f>LET(_xlpm.r,Productos!$E$2:$E$2509,_xlpm.m,IFERROR(_xlfn.XMATCH(C3430,_xlpm.r),IFERROR(_xlfn.XMATCH(VALUE(C3430),_xlpm.r),0)),IF(_xlpm.m=0,"",_xlpm.m+1))</f>
        <v/>
      </c>
      <c r="J3430" s="137" t="inlineStr">
        <is>
          <t>Shopify</t>
        </is>
      </c>
    </row>
    <row r="3431">
      <c r="A3431" s="5" t="inlineStr">
        <is>
          <t>Shopify Stetson México › Stetson México</t>
        </is>
      </c>
      <c r="B3431" s="5">
        <f>IF($I2="","",INDEX(Productos!$A:$A,$I2))</f>
        <v/>
      </c>
      <c r="C3431" s="134" t="inlineStr">
        <is>
          <t>ST-VR-P-013-FW25-SF-2XL</t>
        </is>
      </c>
      <c r="D3431" s="5">
        <f>IF($I2="","",INDEX(Productos!$B:$B,$I2))</f>
        <v/>
      </c>
      <c r="E3431" s="5">
        <f>IF($I2="","",INDEX(Productos!$H:$H,$I2))</f>
        <v/>
      </c>
      <c r="F3431" s="5">
        <f>IF($I2="","",INDEX(Productos!$I:$I,$I2))</f>
        <v/>
      </c>
      <c r="G3431" s="135" t="n">
        <v>1</v>
      </c>
      <c r="H3431" s="5">
        <f>IF($I2="","",INDEX(Productos!$AG:$AG,$I2))</f>
        <v/>
      </c>
      <c r="I3431" s="136">
        <f>LET(_xlpm.r,Productos!$E$2:$E$2509,_xlpm.m,IFERROR(_xlfn.XMATCH(C3431,_xlpm.r),IFERROR(_xlfn.XMATCH(VALUE(C3431),_xlpm.r),0)),IF(_xlpm.m=0,"",_xlpm.m+1))</f>
        <v/>
      </c>
      <c r="J3431" s="137" t="inlineStr">
        <is>
          <t>Shopify</t>
        </is>
      </c>
    </row>
    <row r="3432">
      <c r="A3432" s="5" t="inlineStr">
        <is>
          <t>Shopify Stetson México › Stetson México</t>
        </is>
      </c>
      <c r="B3432" s="5">
        <f>IF($I2="","",INDEX(Productos!$A:$A,$I2))</f>
        <v/>
      </c>
      <c r="C3432" s="134" t="inlineStr">
        <is>
          <t>ST-VR-P-013-FW25-SF-L</t>
        </is>
      </c>
      <c r="D3432" s="5">
        <f>IF($I2="","",INDEX(Productos!$B:$B,$I2))</f>
        <v/>
      </c>
      <c r="E3432" s="5">
        <f>IF($I2="","",INDEX(Productos!$H:$H,$I2))</f>
        <v/>
      </c>
      <c r="F3432" s="5">
        <f>IF($I2="","",INDEX(Productos!$I:$I,$I2))</f>
        <v/>
      </c>
      <c r="G3432" s="135" t="n">
        <v>10</v>
      </c>
      <c r="H3432" s="5">
        <f>IF($I2="","",INDEX(Productos!$AG:$AG,$I2))</f>
        <v/>
      </c>
      <c r="I3432" s="136">
        <f>LET(_xlpm.r,Productos!$E$2:$E$2509,_xlpm.m,IFERROR(_xlfn.XMATCH(C3432,_xlpm.r),IFERROR(_xlfn.XMATCH(VALUE(C3432),_xlpm.r),0)),IF(_xlpm.m=0,"",_xlpm.m+1))</f>
        <v/>
      </c>
      <c r="J3432" s="137" t="inlineStr">
        <is>
          <t>Shopify</t>
        </is>
      </c>
    </row>
    <row r="3433">
      <c r="A3433" s="5" t="inlineStr">
        <is>
          <t>Shopify Stetson México › Stetson México</t>
        </is>
      </c>
      <c r="B3433" s="5">
        <f>IF($I2="","",INDEX(Productos!$A:$A,$I2))</f>
        <v/>
      </c>
      <c r="C3433" s="134" t="inlineStr">
        <is>
          <t>ST-VR-P-013-FW25-SF-M</t>
        </is>
      </c>
      <c r="D3433" s="5">
        <f>IF($I2="","",INDEX(Productos!$B:$B,$I2))</f>
        <v/>
      </c>
      <c r="E3433" s="5">
        <f>IF($I2="","",INDEX(Productos!$H:$H,$I2))</f>
        <v/>
      </c>
      <c r="F3433" s="5">
        <f>IF($I2="","",INDEX(Productos!$I:$I,$I2))</f>
        <v/>
      </c>
      <c r="G3433" s="135" t="n">
        <v>9</v>
      </c>
      <c r="H3433" s="5">
        <f>IF($I2="","",INDEX(Productos!$AG:$AG,$I2))</f>
        <v/>
      </c>
      <c r="I3433" s="136">
        <f>LET(_xlpm.r,Productos!$E$2:$E$2509,_xlpm.m,IFERROR(_xlfn.XMATCH(C3433,_xlpm.r),IFERROR(_xlfn.XMATCH(VALUE(C3433),_xlpm.r),0)),IF(_xlpm.m=0,"",_xlpm.m+1))</f>
        <v/>
      </c>
      <c r="J3433" s="137" t="inlineStr">
        <is>
          <t>Shopify</t>
        </is>
      </c>
    </row>
    <row r="3434">
      <c r="A3434" s="5" t="inlineStr">
        <is>
          <t>Shopify Stetson México › Stetson México</t>
        </is>
      </c>
      <c r="B3434" s="5">
        <f>IF($I2="","",INDEX(Productos!$A:$A,$I2))</f>
        <v/>
      </c>
      <c r="C3434" s="134" t="inlineStr">
        <is>
          <t>ST-VR-P-013-FW25-SF-S</t>
        </is>
      </c>
      <c r="D3434" s="5">
        <f>IF($I2="","",INDEX(Productos!$B:$B,$I2))</f>
        <v/>
      </c>
      <c r="E3434" s="5">
        <f>IF($I2="","",INDEX(Productos!$H:$H,$I2))</f>
        <v/>
      </c>
      <c r="F3434" s="5">
        <f>IF($I2="","",INDEX(Productos!$I:$I,$I2))</f>
        <v/>
      </c>
      <c r="G3434" s="135" t="n">
        <v>8</v>
      </c>
      <c r="H3434" s="5">
        <f>IF($I2="","",INDEX(Productos!$AG:$AG,$I2))</f>
        <v/>
      </c>
      <c r="I3434" s="136">
        <f>LET(_xlpm.r,Productos!$E$2:$E$2509,_xlpm.m,IFERROR(_xlfn.XMATCH(C3434,_xlpm.r),IFERROR(_xlfn.XMATCH(VALUE(C3434),_xlpm.r),0)),IF(_xlpm.m=0,"",_xlpm.m+1))</f>
        <v/>
      </c>
      <c r="J3434" s="137" t="inlineStr">
        <is>
          <t>Shopify</t>
        </is>
      </c>
    </row>
    <row r="3435">
      <c r="A3435" s="5" t="inlineStr">
        <is>
          <t>Shopify Stetson México › Stetson México</t>
        </is>
      </c>
      <c r="B3435" s="5">
        <f>IF($I2="","",INDEX(Productos!$A:$A,$I2))</f>
        <v/>
      </c>
      <c r="C3435" s="134" t="inlineStr">
        <is>
          <t>ST-VR-P-013-FW25-SF-XL</t>
        </is>
      </c>
      <c r="D3435" s="5">
        <f>IF($I2="","",INDEX(Productos!$B:$B,$I2))</f>
        <v/>
      </c>
      <c r="E3435" s="5">
        <f>IF($I2="","",INDEX(Productos!$H:$H,$I2))</f>
        <v/>
      </c>
      <c r="F3435" s="5">
        <f>IF($I2="","",INDEX(Productos!$I:$I,$I2))</f>
        <v/>
      </c>
      <c r="G3435" s="135" t="n">
        <v>4</v>
      </c>
      <c r="H3435" s="5">
        <f>IF($I2="","",INDEX(Productos!$AG:$AG,$I2))</f>
        <v/>
      </c>
      <c r="I3435" s="136">
        <f>LET(_xlpm.r,Productos!$E$2:$E$2509,_xlpm.m,IFERROR(_xlfn.XMATCH(C3435,_xlpm.r),IFERROR(_xlfn.XMATCH(VALUE(C3435),_xlpm.r),0)),IF(_xlpm.m=0,"",_xlpm.m+1))</f>
        <v/>
      </c>
      <c r="J3435" s="137" t="inlineStr">
        <is>
          <t>Shopify</t>
        </is>
      </c>
    </row>
    <row r="3436">
      <c r="A3436" s="5" t="inlineStr">
        <is>
          <t>Shopify Stetson México › Stetson México</t>
        </is>
      </c>
      <c r="B3436" s="5">
        <f>IF($I2="","",INDEX(Productos!$A:$A,$I2))</f>
        <v/>
      </c>
      <c r="C3436" s="134" t="inlineStr">
        <is>
          <t>ST-VR-P-014-FW25-BL-2XL</t>
        </is>
      </c>
      <c r="D3436" s="5">
        <f>IF($I2="","",INDEX(Productos!$B:$B,$I2))</f>
        <v/>
      </c>
      <c r="E3436" s="5">
        <f>IF($I2="","",INDEX(Productos!$H:$H,$I2))</f>
        <v/>
      </c>
      <c r="F3436" s="5">
        <f>IF($I2="","",INDEX(Productos!$I:$I,$I2))</f>
        <v/>
      </c>
      <c r="G3436" s="135" t="n">
        <v>1</v>
      </c>
      <c r="H3436" s="5">
        <f>IF($I2="","",INDEX(Productos!$AG:$AG,$I2))</f>
        <v/>
      </c>
      <c r="I3436" s="136">
        <f>LET(_xlpm.r,Productos!$E$2:$E$2509,_xlpm.m,IFERROR(_xlfn.XMATCH(C3436,_xlpm.r),IFERROR(_xlfn.XMATCH(VALUE(C3436),_xlpm.r),0)),IF(_xlpm.m=0,"",_xlpm.m+1))</f>
        <v/>
      </c>
      <c r="J3436" s="137" t="inlineStr">
        <is>
          <t>Shopify</t>
        </is>
      </c>
    </row>
    <row r="3437">
      <c r="A3437" s="5" t="inlineStr">
        <is>
          <t>Shopify Stetson México › Stetson México</t>
        </is>
      </c>
      <c r="B3437" s="5">
        <f>IF($I2="","",INDEX(Productos!$A:$A,$I2))</f>
        <v/>
      </c>
      <c r="C3437" s="134" t="inlineStr">
        <is>
          <t>ST-VR-P-014-FW25-BL-L</t>
        </is>
      </c>
      <c r="D3437" s="5">
        <f>IF($I2="","",INDEX(Productos!$B:$B,$I2))</f>
        <v/>
      </c>
      <c r="E3437" s="5">
        <f>IF($I2="","",INDEX(Productos!$H:$H,$I2))</f>
        <v/>
      </c>
      <c r="F3437" s="5">
        <f>IF($I2="","",INDEX(Productos!$I:$I,$I2))</f>
        <v/>
      </c>
      <c r="G3437" s="135" t="n">
        <v>8</v>
      </c>
      <c r="H3437" s="5">
        <f>IF($I2="","",INDEX(Productos!$AG:$AG,$I2))</f>
        <v/>
      </c>
      <c r="I3437" s="136">
        <f>LET(_xlpm.r,Productos!$E$2:$E$2509,_xlpm.m,IFERROR(_xlfn.XMATCH(C3437,_xlpm.r),IFERROR(_xlfn.XMATCH(VALUE(C3437),_xlpm.r),0)),IF(_xlpm.m=0,"",_xlpm.m+1))</f>
        <v/>
      </c>
      <c r="J3437" s="137" t="inlineStr">
        <is>
          <t>Shopify</t>
        </is>
      </c>
    </row>
    <row r="3438">
      <c r="A3438" s="5" t="inlineStr">
        <is>
          <t>Shopify Stetson México › Stetson México</t>
        </is>
      </c>
      <c r="B3438" s="5">
        <f>IF($I2="","",INDEX(Productos!$A:$A,$I2))</f>
        <v/>
      </c>
      <c r="C3438" s="134" t="inlineStr">
        <is>
          <t>ST-VR-P-014-FW25-BL-M</t>
        </is>
      </c>
      <c r="D3438" s="5">
        <f>IF($I2="","",INDEX(Productos!$B:$B,$I2))</f>
        <v/>
      </c>
      <c r="E3438" s="5">
        <f>IF($I2="","",INDEX(Productos!$H:$H,$I2))</f>
        <v/>
      </c>
      <c r="F3438" s="5">
        <f>IF($I2="","",INDEX(Productos!$I:$I,$I2))</f>
        <v/>
      </c>
      <c r="G3438" s="135" t="n">
        <v>10</v>
      </c>
      <c r="H3438" s="5">
        <f>IF($I2="","",INDEX(Productos!$AG:$AG,$I2))</f>
        <v/>
      </c>
      <c r="I3438" s="136">
        <f>LET(_xlpm.r,Productos!$E$2:$E$2509,_xlpm.m,IFERROR(_xlfn.XMATCH(C3438,_xlpm.r),IFERROR(_xlfn.XMATCH(VALUE(C3438),_xlpm.r),0)),IF(_xlpm.m=0,"",_xlpm.m+1))</f>
        <v/>
      </c>
      <c r="J3438" s="137" t="inlineStr">
        <is>
          <t>Shopify</t>
        </is>
      </c>
    </row>
    <row r="3439">
      <c r="A3439" s="5" t="inlineStr">
        <is>
          <t>Shopify Stetson México › Stetson México</t>
        </is>
      </c>
      <c r="B3439" s="5">
        <f>IF($I2="","",INDEX(Productos!$A:$A,$I2))</f>
        <v/>
      </c>
      <c r="C3439" s="134" t="inlineStr">
        <is>
          <t>ST-VR-P-014-FW25-BL-S</t>
        </is>
      </c>
      <c r="D3439" s="5">
        <f>IF($I2="","",INDEX(Productos!$B:$B,$I2))</f>
        <v/>
      </c>
      <c r="E3439" s="5">
        <f>IF($I2="","",INDEX(Productos!$H:$H,$I2))</f>
        <v/>
      </c>
      <c r="F3439" s="5">
        <f>IF($I2="","",INDEX(Productos!$I:$I,$I2))</f>
        <v/>
      </c>
      <c r="G3439" s="135" t="n">
        <v>6</v>
      </c>
      <c r="H3439" s="5">
        <f>IF($I2="","",INDEX(Productos!$AG:$AG,$I2))</f>
        <v/>
      </c>
      <c r="I3439" s="136">
        <f>LET(_xlpm.r,Productos!$E$2:$E$2509,_xlpm.m,IFERROR(_xlfn.XMATCH(C3439,_xlpm.r),IFERROR(_xlfn.XMATCH(VALUE(C3439),_xlpm.r),0)),IF(_xlpm.m=0,"",_xlpm.m+1))</f>
        <v/>
      </c>
      <c r="J3439" s="137" t="inlineStr">
        <is>
          <t>Shopify</t>
        </is>
      </c>
    </row>
    <row r="3440">
      <c r="A3440" s="5" t="inlineStr">
        <is>
          <t>Shopify Stetson México › Stetson México</t>
        </is>
      </c>
      <c r="B3440" s="5">
        <f>IF($I2="","",INDEX(Productos!$A:$A,$I2))</f>
        <v/>
      </c>
      <c r="C3440" s="134" t="inlineStr">
        <is>
          <t>ST-VR-P-014-FW25-BL-XL</t>
        </is>
      </c>
      <c r="D3440" s="5">
        <f>IF($I2="","",INDEX(Productos!$B:$B,$I2))</f>
        <v/>
      </c>
      <c r="E3440" s="5">
        <f>IF($I2="","",INDEX(Productos!$H:$H,$I2))</f>
        <v/>
      </c>
      <c r="F3440" s="5">
        <f>IF($I2="","",INDEX(Productos!$I:$I,$I2))</f>
        <v/>
      </c>
      <c r="G3440" s="135" t="n">
        <v>3</v>
      </c>
      <c r="H3440" s="5">
        <f>IF($I2="","",INDEX(Productos!$AG:$AG,$I2))</f>
        <v/>
      </c>
      <c r="I3440" s="136">
        <f>LET(_xlpm.r,Productos!$E$2:$E$2509,_xlpm.m,IFERROR(_xlfn.XMATCH(C3440,_xlpm.r),IFERROR(_xlfn.XMATCH(VALUE(C3440),_xlpm.r),0)),IF(_xlpm.m=0,"",_xlpm.m+1))</f>
        <v/>
      </c>
      <c r="J3440" s="137" t="inlineStr">
        <is>
          <t>Shopify</t>
        </is>
      </c>
    </row>
    <row r="3441">
      <c r="A3441" s="5" t="inlineStr">
        <is>
          <t>Shopify Stetson México › Stetson México</t>
        </is>
      </c>
      <c r="B3441" s="5">
        <f>IF($I2="","",INDEX(Productos!$A:$A,$I2))</f>
        <v/>
      </c>
      <c r="C3441" s="134" t="inlineStr">
        <is>
          <t>ST-VR-P-015-FW25-SOB-2XL</t>
        </is>
      </c>
      <c r="D3441" s="5">
        <f>IF($I2="","",INDEX(Productos!$B:$B,$I2))</f>
        <v/>
      </c>
      <c r="E3441" s="5">
        <f>IF($I2="","",INDEX(Productos!$H:$H,$I2))</f>
        <v/>
      </c>
      <c r="F3441" s="5">
        <f>IF($I2="","",INDEX(Productos!$I:$I,$I2))</f>
        <v/>
      </c>
      <c r="G3441" s="135" t="n">
        <v>2</v>
      </c>
      <c r="H3441" s="5">
        <f>IF($I2="","",INDEX(Productos!$AG:$AG,$I2))</f>
        <v/>
      </c>
      <c r="I3441" s="136">
        <f>LET(_xlpm.r,Productos!$E$2:$E$2509,_xlpm.m,IFERROR(_xlfn.XMATCH(C3441,_xlpm.r),IFERROR(_xlfn.XMATCH(VALUE(C3441),_xlpm.r),0)),IF(_xlpm.m=0,"",_xlpm.m+1))</f>
        <v/>
      </c>
      <c r="J3441" s="137" t="inlineStr">
        <is>
          <t>Shopify</t>
        </is>
      </c>
    </row>
    <row r="3442">
      <c r="A3442" s="5" t="inlineStr">
        <is>
          <t>Shopify Stetson México › Stetson México</t>
        </is>
      </c>
      <c r="B3442" s="5">
        <f>IF($I2="","",INDEX(Productos!$A:$A,$I2))</f>
        <v/>
      </c>
      <c r="C3442" s="134" t="inlineStr">
        <is>
          <t>ST-VR-P-015-FW25-SOB-L</t>
        </is>
      </c>
      <c r="D3442" s="5">
        <f>IF($I2="","",INDEX(Productos!$B:$B,$I2))</f>
        <v/>
      </c>
      <c r="E3442" s="5">
        <f>IF($I2="","",INDEX(Productos!$H:$H,$I2))</f>
        <v/>
      </c>
      <c r="F3442" s="5">
        <f>IF($I2="","",INDEX(Productos!$I:$I,$I2))</f>
        <v/>
      </c>
      <c r="G3442" s="135" t="n">
        <v>9</v>
      </c>
      <c r="H3442" s="5">
        <f>IF($I2="","",INDEX(Productos!$AG:$AG,$I2))</f>
        <v/>
      </c>
      <c r="I3442" s="136">
        <f>LET(_xlpm.r,Productos!$E$2:$E$2509,_xlpm.m,IFERROR(_xlfn.XMATCH(C3442,_xlpm.r),IFERROR(_xlfn.XMATCH(VALUE(C3442),_xlpm.r),0)),IF(_xlpm.m=0,"",_xlpm.m+1))</f>
        <v/>
      </c>
      <c r="J3442" s="137" t="inlineStr">
        <is>
          <t>Shopify</t>
        </is>
      </c>
    </row>
    <row r="3443">
      <c r="A3443" s="5" t="inlineStr">
        <is>
          <t>Shopify Stetson México › Stetson México</t>
        </is>
      </c>
      <c r="B3443" s="5">
        <f>IF($I2="","",INDEX(Productos!$A:$A,$I2))</f>
        <v/>
      </c>
      <c r="C3443" s="134" t="inlineStr">
        <is>
          <t>ST-VR-P-015-FW25-SOB-M</t>
        </is>
      </c>
      <c r="D3443" s="5">
        <f>IF($I2="","",INDEX(Productos!$B:$B,$I2))</f>
        <v/>
      </c>
      <c r="E3443" s="5">
        <f>IF($I2="","",INDEX(Productos!$H:$H,$I2))</f>
        <v/>
      </c>
      <c r="F3443" s="5">
        <f>IF($I2="","",INDEX(Productos!$I:$I,$I2))</f>
        <v/>
      </c>
      <c r="G3443" s="135" t="n">
        <v>9</v>
      </c>
      <c r="H3443" s="5">
        <f>IF($I2="","",INDEX(Productos!$AG:$AG,$I2))</f>
        <v/>
      </c>
      <c r="I3443" s="136">
        <f>LET(_xlpm.r,Productos!$E$2:$E$2509,_xlpm.m,IFERROR(_xlfn.XMATCH(C3443,_xlpm.r),IFERROR(_xlfn.XMATCH(VALUE(C3443),_xlpm.r),0)),IF(_xlpm.m=0,"",_xlpm.m+1))</f>
        <v/>
      </c>
      <c r="J3443" s="137" t="inlineStr">
        <is>
          <t>Shopify</t>
        </is>
      </c>
    </row>
    <row r="3444">
      <c r="A3444" s="5" t="inlineStr">
        <is>
          <t>Shopify Stetson México › Stetson México</t>
        </is>
      </c>
      <c r="B3444" s="5">
        <f>IF($I2="","",INDEX(Productos!$A:$A,$I2))</f>
        <v/>
      </c>
      <c r="C3444" s="134" t="inlineStr">
        <is>
          <t>ST-VR-P-015-FW25-SOB-S</t>
        </is>
      </c>
      <c r="D3444" s="5">
        <f>IF($I2="","",INDEX(Productos!$B:$B,$I2))</f>
        <v/>
      </c>
      <c r="E3444" s="5">
        <f>IF($I2="","",INDEX(Productos!$H:$H,$I2))</f>
        <v/>
      </c>
      <c r="F3444" s="5">
        <f>IF($I2="","",INDEX(Productos!$I:$I,$I2))</f>
        <v/>
      </c>
      <c r="G3444" s="135" t="n">
        <v>7</v>
      </c>
      <c r="H3444" s="5">
        <f>IF($I2="","",INDEX(Productos!$AG:$AG,$I2))</f>
        <v/>
      </c>
      <c r="I3444" s="136">
        <f>LET(_xlpm.r,Productos!$E$2:$E$2509,_xlpm.m,IFERROR(_xlfn.XMATCH(C3444,_xlpm.r),IFERROR(_xlfn.XMATCH(VALUE(C3444),_xlpm.r),0)),IF(_xlpm.m=0,"",_xlpm.m+1))</f>
        <v/>
      </c>
      <c r="J3444" s="137" t="inlineStr">
        <is>
          <t>Shopify</t>
        </is>
      </c>
    </row>
    <row r="3445">
      <c r="A3445" s="5" t="inlineStr">
        <is>
          <t>Shopify Stetson México › Stetson México</t>
        </is>
      </c>
      <c r="B3445" s="5">
        <f>IF($I2="","",INDEX(Productos!$A:$A,$I2))</f>
        <v/>
      </c>
      <c r="C3445" s="134" t="inlineStr">
        <is>
          <t>ST-VR-P-015-FW25-SOB-XL</t>
        </is>
      </c>
      <c r="D3445" s="5">
        <f>IF($I2="","",INDEX(Productos!$B:$B,$I2))</f>
        <v/>
      </c>
      <c r="E3445" s="5">
        <f>IF($I2="","",INDEX(Productos!$H:$H,$I2))</f>
        <v/>
      </c>
      <c r="F3445" s="5">
        <f>IF($I2="","",INDEX(Productos!$I:$I,$I2))</f>
        <v/>
      </c>
      <c r="G3445" s="135" t="n">
        <v>3</v>
      </c>
      <c r="H3445" s="5">
        <f>IF($I2="","",INDEX(Productos!$AG:$AG,$I2))</f>
        <v/>
      </c>
      <c r="I3445" s="136">
        <f>LET(_xlpm.r,Productos!$E$2:$E$2509,_xlpm.m,IFERROR(_xlfn.XMATCH(C3445,_xlpm.r),IFERROR(_xlfn.XMATCH(VALUE(C3445),_xlpm.r),0)),IF(_xlpm.m=0,"",_xlpm.m+1))</f>
        <v/>
      </c>
      <c r="J3445" s="137" t="inlineStr">
        <is>
          <t>Shopify</t>
        </is>
      </c>
    </row>
    <row r="3446">
      <c r="A3446" s="5" t="inlineStr">
        <is>
          <t>Shopify Stetson México › Stetson México</t>
        </is>
      </c>
      <c r="B3446" s="5">
        <f>IF($I2="","",INDEX(Productos!$A:$A,$I2))</f>
        <v/>
      </c>
      <c r="C3446" s="134" t="inlineStr">
        <is>
          <t>ST-VR-P-016-FW25-GS-2XL</t>
        </is>
      </c>
      <c r="D3446" s="5">
        <f>IF($I2="","",INDEX(Productos!$B:$B,$I2))</f>
        <v/>
      </c>
      <c r="E3446" s="5">
        <f>IF($I2="","",INDEX(Productos!$H:$H,$I2))</f>
        <v/>
      </c>
      <c r="F3446" s="5">
        <f>IF($I2="","",INDEX(Productos!$I:$I,$I2))</f>
        <v/>
      </c>
      <c r="G3446" s="135" t="n">
        <v>1</v>
      </c>
      <c r="H3446" s="5">
        <f>IF($I2="","",INDEX(Productos!$AG:$AG,$I2))</f>
        <v/>
      </c>
      <c r="I3446" s="136">
        <f>LET(_xlpm.r,Productos!$E$2:$E$2509,_xlpm.m,IFERROR(_xlfn.XMATCH(C3446,_xlpm.r),IFERROR(_xlfn.XMATCH(VALUE(C3446),_xlpm.r),0)),IF(_xlpm.m=0,"",_xlpm.m+1))</f>
        <v/>
      </c>
      <c r="J3446" s="137" t="inlineStr">
        <is>
          <t>Shopify</t>
        </is>
      </c>
    </row>
    <row r="3447">
      <c r="A3447" s="5" t="inlineStr">
        <is>
          <t>Shopify Stetson México › Stetson México</t>
        </is>
      </c>
      <c r="B3447" s="5">
        <f>IF($I2="","",INDEX(Productos!$A:$A,$I2))</f>
        <v/>
      </c>
      <c r="C3447" s="134" t="inlineStr">
        <is>
          <t>ST-VR-P-016-FW25-GS-L</t>
        </is>
      </c>
      <c r="D3447" s="5">
        <f>IF($I2="","",INDEX(Productos!$B:$B,$I2))</f>
        <v/>
      </c>
      <c r="E3447" s="5">
        <f>IF($I2="","",INDEX(Productos!$H:$H,$I2))</f>
        <v/>
      </c>
      <c r="F3447" s="5">
        <f>IF($I2="","",INDEX(Productos!$I:$I,$I2))</f>
        <v/>
      </c>
      <c r="G3447" s="135" t="n">
        <v>8</v>
      </c>
      <c r="H3447" s="5">
        <f>IF($I2="","",INDEX(Productos!$AG:$AG,$I2))</f>
        <v/>
      </c>
      <c r="I3447" s="136">
        <f>LET(_xlpm.r,Productos!$E$2:$E$2509,_xlpm.m,IFERROR(_xlfn.XMATCH(C3447,_xlpm.r),IFERROR(_xlfn.XMATCH(VALUE(C3447),_xlpm.r),0)),IF(_xlpm.m=0,"",_xlpm.m+1))</f>
        <v/>
      </c>
      <c r="J3447" s="137" t="inlineStr">
        <is>
          <t>Shopify</t>
        </is>
      </c>
    </row>
    <row r="3448">
      <c r="A3448" s="5" t="inlineStr">
        <is>
          <t>Shopify Stetson México › Stetson México</t>
        </is>
      </c>
      <c r="B3448" s="5">
        <f>IF($I2="","",INDEX(Productos!$A:$A,$I2))</f>
        <v/>
      </c>
      <c r="C3448" s="134" t="inlineStr">
        <is>
          <t>ST-VR-P-016-FW25-GS-M</t>
        </is>
      </c>
      <c r="D3448" s="5">
        <f>IF($I2="","",INDEX(Productos!$B:$B,$I2))</f>
        <v/>
      </c>
      <c r="E3448" s="5">
        <f>IF($I2="","",INDEX(Productos!$H:$H,$I2))</f>
        <v/>
      </c>
      <c r="F3448" s="5">
        <f>IF($I2="","",INDEX(Productos!$I:$I,$I2))</f>
        <v/>
      </c>
      <c r="G3448" s="135" t="n">
        <v>10</v>
      </c>
      <c r="H3448" s="5">
        <f>IF($I2="","",INDEX(Productos!$AG:$AG,$I2))</f>
        <v/>
      </c>
      <c r="I3448" s="136">
        <f>LET(_xlpm.r,Productos!$E$2:$E$2509,_xlpm.m,IFERROR(_xlfn.XMATCH(C3448,_xlpm.r),IFERROR(_xlfn.XMATCH(VALUE(C3448),_xlpm.r),0)),IF(_xlpm.m=0,"",_xlpm.m+1))</f>
        <v/>
      </c>
      <c r="J3448" s="137" t="inlineStr">
        <is>
          <t>Shopify</t>
        </is>
      </c>
    </row>
    <row r="3449">
      <c r="A3449" s="5" t="inlineStr">
        <is>
          <t>Shopify Stetson México › Stetson México</t>
        </is>
      </c>
      <c r="B3449" s="5">
        <f>IF($I2="","",INDEX(Productos!$A:$A,$I2))</f>
        <v/>
      </c>
      <c r="C3449" s="134" t="inlineStr">
        <is>
          <t>ST-VR-P-016-FW25-GS-S</t>
        </is>
      </c>
      <c r="D3449" s="5">
        <f>IF($I2="","",INDEX(Productos!$B:$B,$I2))</f>
        <v/>
      </c>
      <c r="E3449" s="5">
        <f>IF($I2="","",INDEX(Productos!$H:$H,$I2))</f>
        <v/>
      </c>
      <c r="F3449" s="5">
        <f>IF($I2="","",INDEX(Productos!$I:$I,$I2))</f>
        <v/>
      </c>
      <c r="G3449" s="135" t="n">
        <v>6</v>
      </c>
      <c r="H3449" s="5">
        <f>IF($I2="","",INDEX(Productos!$AG:$AG,$I2))</f>
        <v/>
      </c>
      <c r="I3449" s="136">
        <f>LET(_xlpm.r,Productos!$E$2:$E$2509,_xlpm.m,IFERROR(_xlfn.XMATCH(C3449,_xlpm.r),IFERROR(_xlfn.XMATCH(VALUE(C3449),_xlpm.r),0)),IF(_xlpm.m=0,"",_xlpm.m+1))</f>
        <v/>
      </c>
      <c r="J3449" s="137" t="inlineStr">
        <is>
          <t>Shopify</t>
        </is>
      </c>
    </row>
    <row r="3450">
      <c r="A3450" s="5" t="inlineStr">
        <is>
          <t>Shopify Stetson México › Stetson México</t>
        </is>
      </c>
      <c r="B3450" s="5">
        <f>IF($I2="","",INDEX(Productos!$A:$A,$I2))</f>
        <v/>
      </c>
      <c r="C3450" s="134" t="inlineStr">
        <is>
          <t>ST-VR-P-016-FW25-GS-XL</t>
        </is>
      </c>
      <c r="D3450" s="5">
        <f>IF($I2="","",INDEX(Productos!$B:$B,$I2))</f>
        <v/>
      </c>
      <c r="E3450" s="5">
        <f>IF($I2="","",INDEX(Productos!$H:$H,$I2))</f>
        <v/>
      </c>
      <c r="F3450" s="5">
        <f>IF($I2="","",INDEX(Productos!$I:$I,$I2))</f>
        <v/>
      </c>
      <c r="G3450" s="135" t="n">
        <v>2</v>
      </c>
      <c r="H3450" s="5">
        <f>IF($I2="","",INDEX(Productos!$AG:$AG,$I2))</f>
        <v/>
      </c>
      <c r="I3450" s="136">
        <f>LET(_xlpm.r,Productos!$E$2:$E$2509,_xlpm.m,IFERROR(_xlfn.XMATCH(C3450,_xlpm.r),IFERROR(_xlfn.XMATCH(VALUE(C3450),_xlpm.r),0)),IF(_xlpm.m=0,"",_xlpm.m+1))</f>
        <v/>
      </c>
      <c r="J3450" s="137" t="inlineStr">
        <is>
          <t>Shopify</t>
        </is>
      </c>
    </row>
    <row r="3451">
      <c r="A3451" s="5" t="inlineStr">
        <is>
          <t>Shopify Stetson México › Stetson México</t>
        </is>
      </c>
      <c r="B3451" s="5">
        <f>IF($I2="","",INDEX(Productos!$A:$A,$I2))</f>
        <v/>
      </c>
      <c r="C3451" s="134" t="inlineStr">
        <is>
          <t>ST-VR-P-017-FW25-SC-M</t>
        </is>
      </c>
      <c r="D3451" s="5">
        <f>IF($I2="","",INDEX(Productos!$B:$B,$I2))</f>
        <v/>
      </c>
      <c r="E3451" s="5">
        <f>IF($I2="","",INDEX(Productos!$H:$H,$I2))</f>
        <v/>
      </c>
      <c r="F3451" s="5">
        <f>IF($I2="","",INDEX(Productos!$I:$I,$I2))</f>
        <v/>
      </c>
      <c r="G3451" s="135" t="n">
        <v>7</v>
      </c>
      <c r="H3451" s="5">
        <f>IF($I2="","",INDEX(Productos!$AG:$AG,$I2))</f>
        <v/>
      </c>
      <c r="I3451" s="136">
        <f>LET(_xlpm.r,Productos!$E$2:$E$2509,_xlpm.m,IFERROR(_xlfn.XMATCH(C3451,_xlpm.r),IFERROR(_xlfn.XMATCH(VALUE(C3451),_xlpm.r),0)),IF(_xlpm.m=0,"",_xlpm.m+1))</f>
        <v/>
      </c>
      <c r="J3451" s="137" t="inlineStr">
        <is>
          <t>Shopify</t>
        </is>
      </c>
    </row>
    <row r="3452">
      <c r="A3452" s="5" t="inlineStr">
        <is>
          <t>Shopify Stetson México › Stetson México</t>
        </is>
      </c>
      <c r="B3452" s="5">
        <f>IF($I2="","",INDEX(Productos!$A:$A,$I2))</f>
        <v/>
      </c>
      <c r="C3452" s="134" t="inlineStr">
        <is>
          <t>ST-VR-P-017-FW25-SC-S</t>
        </is>
      </c>
      <c r="D3452" s="5">
        <f>IF($I2="","",INDEX(Productos!$B:$B,$I2))</f>
        <v/>
      </c>
      <c r="E3452" s="5">
        <f>IF($I2="","",INDEX(Productos!$H:$H,$I2))</f>
        <v/>
      </c>
      <c r="F3452" s="5">
        <f>IF($I2="","",INDEX(Productos!$I:$I,$I2))</f>
        <v/>
      </c>
      <c r="G3452" s="135" t="n">
        <v>6</v>
      </c>
      <c r="H3452" s="5">
        <f>IF($I2="","",INDEX(Productos!$AG:$AG,$I2))</f>
        <v/>
      </c>
      <c r="I3452" s="136">
        <f>LET(_xlpm.r,Productos!$E$2:$E$2509,_xlpm.m,IFERROR(_xlfn.XMATCH(C3452,_xlpm.r),IFERROR(_xlfn.XMATCH(VALUE(C3452),_xlpm.r),0)),IF(_xlpm.m=0,"",_xlpm.m+1))</f>
        <v/>
      </c>
      <c r="J3452" s="137" t="inlineStr">
        <is>
          <t>Shopify</t>
        </is>
      </c>
    </row>
    <row r="3453">
      <c r="A3453" s="5" t="inlineStr">
        <is>
          <t>Shopify Stetson México › Stetson México</t>
        </is>
      </c>
      <c r="B3453" s="5">
        <f>IF($I2="","",INDEX(Productos!$A:$A,$I2))</f>
        <v/>
      </c>
      <c r="C3453" s="134" t="inlineStr">
        <is>
          <t>ST-VR-P-017-FW25-SC-XL</t>
        </is>
      </c>
      <c r="D3453" s="5">
        <f>IF($I2="","",INDEX(Productos!$B:$B,$I2))</f>
        <v/>
      </c>
      <c r="E3453" s="5">
        <f>IF($I2="","",INDEX(Productos!$H:$H,$I2))</f>
        <v/>
      </c>
      <c r="F3453" s="5">
        <f>IF($I2="","",INDEX(Productos!$I:$I,$I2))</f>
        <v/>
      </c>
      <c r="G3453" s="135" t="n">
        <v>2</v>
      </c>
      <c r="H3453" s="5">
        <f>IF($I2="","",INDEX(Productos!$AG:$AG,$I2))</f>
        <v/>
      </c>
      <c r="I3453" s="136">
        <f>LET(_xlpm.r,Productos!$E$2:$E$2509,_xlpm.m,IFERROR(_xlfn.XMATCH(C3453,_xlpm.r),IFERROR(_xlfn.XMATCH(VALUE(C3453),_xlpm.r),0)),IF(_xlpm.m=0,"",_xlpm.m+1))</f>
        <v/>
      </c>
      <c r="J3453" s="137" t="inlineStr">
        <is>
          <t>Shopify</t>
        </is>
      </c>
    </row>
    <row r="3454">
      <c r="A3454" s="5" t="inlineStr">
        <is>
          <t>Shopify Stetson México › Stetson México</t>
        </is>
      </c>
      <c r="B3454" s="5">
        <f>IF($I2="","",INDEX(Productos!$A:$A,$I2))</f>
        <v/>
      </c>
      <c r="C3454" s="134" t="inlineStr">
        <is>
          <t>ST-VR-P-018-FW25-CS-2XL</t>
        </is>
      </c>
      <c r="D3454" s="5">
        <f>IF($I2="","",INDEX(Productos!$B:$B,$I2))</f>
        <v/>
      </c>
      <c r="E3454" s="5">
        <f>IF($I2="","",INDEX(Productos!$H:$H,$I2))</f>
        <v/>
      </c>
      <c r="F3454" s="5">
        <f>IF($I2="","",INDEX(Productos!$I:$I,$I2))</f>
        <v/>
      </c>
      <c r="G3454" s="135" t="n">
        <v>1</v>
      </c>
      <c r="H3454" s="5">
        <f>IF($I2="","",INDEX(Productos!$AG:$AG,$I2))</f>
        <v/>
      </c>
      <c r="I3454" s="136">
        <f>LET(_xlpm.r,Productos!$E$2:$E$2509,_xlpm.m,IFERROR(_xlfn.XMATCH(C3454,_xlpm.r),IFERROR(_xlfn.XMATCH(VALUE(C3454),_xlpm.r),0)),IF(_xlpm.m=0,"",_xlpm.m+1))</f>
        <v/>
      </c>
      <c r="J3454" s="137" t="inlineStr">
        <is>
          <t>Shopify</t>
        </is>
      </c>
    </row>
    <row r="3455">
      <c r="A3455" s="5" t="inlineStr">
        <is>
          <t>Shopify Stetson México › Stetson México</t>
        </is>
      </c>
      <c r="B3455" s="5">
        <f>IF($I2="","",INDEX(Productos!$A:$A,$I2))</f>
        <v/>
      </c>
      <c r="C3455" s="134" t="inlineStr">
        <is>
          <t>ST-VR-P-018-FW25-CS-L</t>
        </is>
      </c>
      <c r="D3455" s="5">
        <f>IF($I2="","",INDEX(Productos!$B:$B,$I2))</f>
        <v/>
      </c>
      <c r="E3455" s="5">
        <f>IF($I2="","",INDEX(Productos!$H:$H,$I2))</f>
        <v/>
      </c>
      <c r="F3455" s="5">
        <f>IF($I2="","",INDEX(Productos!$I:$I,$I2))</f>
        <v/>
      </c>
      <c r="G3455" s="135" t="n">
        <v>10</v>
      </c>
      <c r="H3455" s="5">
        <f>IF($I2="","",INDEX(Productos!$AG:$AG,$I2))</f>
        <v/>
      </c>
      <c r="I3455" s="136">
        <f>LET(_xlpm.r,Productos!$E$2:$E$2509,_xlpm.m,IFERROR(_xlfn.XMATCH(C3455,_xlpm.r),IFERROR(_xlfn.XMATCH(VALUE(C3455),_xlpm.r),0)),IF(_xlpm.m=0,"",_xlpm.m+1))</f>
        <v/>
      </c>
      <c r="J3455" s="137" t="inlineStr">
        <is>
          <t>Shopify</t>
        </is>
      </c>
    </row>
    <row r="3456">
      <c r="A3456" s="5" t="inlineStr">
        <is>
          <t>Shopify Stetson México › Stetson México</t>
        </is>
      </c>
      <c r="B3456" s="5">
        <f>IF($I2="","",INDEX(Productos!$A:$A,$I2))</f>
        <v/>
      </c>
      <c r="C3456" s="134" t="inlineStr">
        <is>
          <t>ST-VR-P-018-FW25-CS-M</t>
        </is>
      </c>
      <c r="D3456" s="5">
        <f>IF($I2="","",INDEX(Productos!$B:$B,$I2))</f>
        <v/>
      </c>
      <c r="E3456" s="5">
        <f>IF($I2="","",INDEX(Productos!$H:$H,$I2))</f>
        <v/>
      </c>
      <c r="F3456" s="5">
        <f>IF($I2="","",INDEX(Productos!$I:$I,$I2))</f>
        <v/>
      </c>
      <c r="G3456" s="135" t="n">
        <v>1</v>
      </c>
      <c r="H3456" s="5">
        <f>IF($I2="","",INDEX(Productos!$AG:$AG,$I2))</f>
        <v/>
      </c>
      <c r="I3456" s="136">
        <f>LET(_xlpm.r,Productos!$E$2:$E$2509,_xlpm.m,IFERROR(_xlfn.XMATCH(C3456,_xlpm.r),IFERROR(_xlfn.XMATCH(VALUE(C3456),_xlpm.r),0)),IF(_xlpm.m=0,"",_xlpm.m+1))</f>
        <v/>
      </c>
      <c r="J3456" s="137" t="inlineStr">
        <is>
          <t>Shopify</t>
        </is>
      </c>
    </row>
    <row r="3457">
      <c r="A3457" s="5" t="inlineStr">
        <is>
          <t>Shopify Stetson México › Stetson México</t>
        </is>
      </c>
      <c r="B3457" s="5">
        <f>IF($I2="","",INDEX(Productos!$A:$A,$I2))</f>
        <v/>
      </c>
      <c r="C3457" s="134" t="inlineStr">
        <is>
          <t>ST-VR-P-018-FW25-CS-S</t>
        </is>
      </c>
      <c r="D3457" s="5">
        <f>IF($I2="","",INDEX(Productos!$B:$B,$I2))</f>
        <v/>
      </c>
      <c r="E3457" s="5">
        <f>IF($I2="","",INDEX(Productos!$H:$H,$I2))</f>
        <v/>
      </c>
      <c r="F3457" s="5">
        <f>IF($I2="","",INDEX(Productos!$I:$I,$I2))</f>
        <v/>
      </c>
      <c r="G3457" s="135" t="n">
        <v>1</v>
      </c>
      <c r="H3457" s="5">
        <f>IF($I2="","",INDEX(Productos!$AG:$AG,$I2))</f>
        <v/>
      </c>
      <c r="I3457" s="136">
        <f>LET(_xlpm.r,Productos!$E$2:$E$2509,_xlpm.m,IFERROR(_xlfn.XMATCH(C3457,_xlpm.r),IFERROR(_xlfn.XMATCH(VALUE(C3457),_xlpm.r),0)),IF(_xlpm.m=0,"",_xlpm.m+1))</f>
        <v/>
      </c>
      <c r="J3457" s="137" t="inlineStr">
        <is>
          <t>Shopify</t>
        </is>
      </c>
    </row>
    <row r="3458">
      <c r="A3458" s="5" t="inlineStr">
        <is>
          <t>Shopify Stetson México › Stetson México</t>
        </is>
      </c>
      <c r="B3458" s="5">
        <f>IF($I2="","",INDEX(Productos!$A:$A,$I2))</f>
        <v/>
      </c>
      <c r="C3458" s="134" t="inlineStr">
        <is>
          <t>ST-VR-P-019-FW25-CM-2XL</t>
        </is>
      </c>
      <c r="D3458" s="5">
        <f>IF($I2="","",INDEX(Productos!$B:$B,$I2))</f>
        <v/>
      </c>
      <c r="E3458" s="5">
        <f>IF($I2="","",INDEX(Productos!$H:$H,$I2))</f>
        <v/>
      </c>
      <c r="F3458" s="5">
        <f>IF($I2="","",INDEX(Productos!$I:$I,$I2))</f>
        <v/>
      </c>
      <c r="G3458" s="135" t="n">
        <v>1</v>
      </c>
      <c r="H3458" s="5">
        <f>IF($I2="","",INDEX(Productos!$AG:$AG,$I2))</f>
        <v/>
      </c>
      <c r="I3458" s="136">
        <f>LET(_xlpm.r,Productos!$E$2:$E$2509,_xlpm.m,IFERROR(_xlfn.XMATCH(C3458,_xlpm.r),IFERROR(_xlfn.XMATCH(VALUE(C3458),_xlpm.r),0)),IF(_xlpm.m=0,"",_xlpm.m+1))</f>
        <v/>
      </c>
      <c r="J3458" s="137" t="inlineStr">
        <is>
          <t>Shopify</t>
        </is>
      </c>
    </row>
    <row r="3459">
      <c r="A3459" s="5" t="inlineStr">
        <is>
          <t>Shopify Stetson México › Stetson México</t>
        </is>
      </c>
      <c r="B3459" s="5">
        <f>IF($I2="","",INDEX(Productos!$A:$A,$I2))</f>
        <v/>
      </c>
      <c r="C3459" s="134" t="inlineStr">
        <is>
          <t>ST-VR-P-019-FW25-CM-L</t>
        </is>
      </c>
      <c r="D3459" s="5">
        <f>IF($I2="","",INDEX(Productos!$B:$B,$I2))</f>
        <v/>
      </c>
      <c r="E3459" s="5">
        <f>IF($I2="","",INDEX(Productos!$H:$H,$I2))</f>
        <v/>
      </c>
      <c r="F3459" s="5">
        <f>IF($I2="","",INDEX(Productos!$I:$I,$I2))</f>
        <v/>
      </c>
      <c r="G3459" s="135" t="n">
        <v>9</v>
      </c>
      <c r="H3459" s="5">
        <f>IF($I2="","",INDEX(Productos!$AG:$AG,$I2))</f>
        <v/>
      </c>
      <c r="I3459" s="136">
        <f>LET(_xlpm.r,Productos!$E$2:$E$2509,_xlpm.m,IFERROR(_xlfn.XMATCH(C3459,_xlpm.r),IFERROR(_xlfn.XMATCH(VALUE(C3459),_xlpm.r),0)),IF(_xlpm.m=0,"",_xlpm.m+1))</f>
        <v/>
      </c>
      <c r="J3459" s="137" t="inlineStr">
        <is>
          <t>Shopify</t>
        </is>
      </c>
    </row>
    <row r="3460">
      <c r="A3460" s="5" t="inlineStr">
        <is>
          <t>Shopify Stetson México › Stetson México</t>
        </is>
      </c>
      <c r="B3460" s="5">
        <f>IF($I2="","",INDEX(Productos!$A:$A,$I2))</f>
        <v/>
      </c>
      <c r="C3460" s="134" t="inlineStr">
        <is>
          <t>ST-VR-P-019-FW25-CM-M</t>
        </is>
      </c>
      <c r="D3460" s="5">
        <f>IF($I2="","",INDEX(Productos!$B:$B,$I2))</f>
        <v/>
      </c>
      <c r="E3460" s="5">
        <f>IF($I2="","",INDEX(Productos!$H:$H,$I2))</f>
        <v/>
      </c>
      <c r="F3460" s="5">
        <f>IF($I2="","",INDEX(Productos!$I:$I,$I2))</f>
        <v/>
      </c>
      <c r="G3460" s="135" t="n">
        <v>10</v>
      </c>
      <c r="H3460" s="5">
        <f>IF($I2="","",INDEX(Productos!$AG:$AG,$I2))</f>
        <v/>
      </c>
      <c r="I3460" s="136">
        <f>LET(_xlpm.r,Productos!$E$2:$E$2509,_xlpm.m,IFERROR(_xlfn.XMATCH(C3460,_xlpm.r),IFERROR(_xlfn.XMATCH(VALUE(C3460),_xlpm.r),0)),IF(_xlpm.m=0,"",_xlpm.m+1))</f>
        <v/>
      </c>
      <c r="J3460" s="137" t="inlineStr">
        <is>
          <t>Shopify</t>
        </is>
      </c>
    </row>
    <row r="3461">
      <c r="A3461" s="5" t="inlineStr">
        <is>
          <t>Shopify Stetson México › Stetson México</t>
        </is>
      </c>
      <c r="B3461" s="5">
        <f>IF($I2="","",INDEX(Productos!$A:$A,$I2))</f>
        <v/>
      </c>
      <c r="C3461" s="134" t="inlineStr">
        <is>
          <t>ST-VR-P-019-FW25-CM-S</t>
        </is>
      </c>
      <c r="D3461" s="5">
        <f>IF($I2="","",INDEX(Productos!$B:$B,$I2))</f>
        <v/>
      </c>
      <c r="E3461" s="5">
        <f>IF($I2="","",INDEX(Productos!$H:$H,$I2))</f>
        <v/>
      </c>
      <c r="F3461" s="5">
        <f>IF($I2="","",INDEX(Productos!$I:$I,$I2))</f>
        <v/>
      </c>
      <c r="G3461" s="135" t="n">
        <v>7</v>
      </c>
      <c r="H3461" s="5">
        <f>IF($I2="","",INDEX(Productos!$AG:$AG,$I2))</f>
        <v/>
      </c>
      <c r="I3461" s="136">
        <f>LET(_xlpm.r,Productos!$E$2:$E$2509,_xlpm.m,IFERROR(_xlfn.XMATCH(C3461,_xlpm.r),IFERROR(_xlfn.XMATCH(VALUE(C3461),_xlpm.r),0)),IF(_xlpm.m=0,"",_xlpm.m+1))</f>
        <v/>
      </c>
      <c r="J3461" s="137" t="inlineStr">
        <is>
          <t>Shopify</t>
        </is>
      </c>
    </row>
    <row r="3462">
      <c r="A3462" s="5" t="inlineStr">
        <is>
          <t>Shopify Stetson México › Stetson México</t>
        </is>
      </c>
      <c r="B3462" s="5">
        <f>IF($I2="","",INDEX(Productos!$A:$A,$I2))</f>
        <v/>
      </c>
      <c r="C3462" s="134" t="inlineStr">
        <is>
          <t>ST-VR-P-019-FW25-CM-XL</t>
        </is>
      </c>
      <c r="D3462" s="5">
        <f>IF($I2="","",INDEX(Productos!$B:$B,$I2))</f>
        <v/>
      </c>
      <c r="E3462" s="5">
        <f>IF($I2="","",INDEX(Productos!$H:$H,$I2))</f>
        <v/>
      </c>
      <c r="F3462" s="5">
        <f>IF($I2="","",INDEX(Productos!$I:$I,$I2))</f>
        <v/>
      </c>
      <c r="G3462" s="135" t="n">
        <v>2</v>
      </c>
      <c r="H3462" s="5">
        <f>IF($I2="","",INDEX(Productos!$AG:$AG,$I2))</f>
        <v/>
      </c>
      <c r="I3462" s="136">
        <f>LET(_xlpm.r,Productos!$E$2:$E$2509,_xlpm.m,IFERROR(_xlfn.XMATCH(C3462,_xlpm.r),IFERROR(_xlfn.XMATCH(VALUE(C3462),_xlpm.r),0)),IF(_xlpm.m=0,"",_xlpm.m+1))</f>
        <v/>
      </c>
      <c r="J3462" s="137" t="inlineStr">
        <is>
          <t>Shopify</t>
        </is>
      </c>
    </row>
    <row r="3463">
      <c r="A3463" s="5" t="inlineStr">
        <is>
          <t>Shopify Stetson México › Stetson México</t>
        </is>
      </c>
      <c r="B3463" s="5">
        <f>IF($I2="","",INDEX(Productos!$A:$A,$I2))</f>
        <v/>
      </c>
      <c r="C3463" s="134" t="inlineStr">
        <is>
          <t>ST-VR-P-020-FW25-MT-L</t>
        </is>
      </c>
      <c r="D3463" s="5">
        <f>IF($I2="","",INDEX(Productos!$B:$B,$I2))</f>
        <v/>
      </c>
      <c r="E3463" s="5">
        <f>IF($I2="","",INDEX(Productos!$H:$H,$I2))</f>
        <v/>
      </c>
      <c r="F3463" s="5">
        <f>IF($I2="","",INDEX(Productos!$I:$I,$I2))</f>
        <v/>
      </c>
      <c r="G3463" s="135" t="n">
        <v>4</v>
      </c>
      <c r="H3463" s="5">
        <f>IF($I2="","",INDEX(Productos!$AG:$AG,$I2))</f>
        <v/>
      </c>
      <c r="I3463" s="136">
        <f>LET(_xlpm.r,Productos!$E$2:$E$2509,_xlpm.m,IFERROR(_xlfn.XMATCH(C3463,_xlpm.r),IFERROR(_xlfn.XMATCH(VALUE(C3463),_xlpm.r),0)),IF(_xlpm.m=0,"",_xlpm.m+1))</f>
        <v/>
      </c>
      <c r="J3463" s="137" t="inlineStr">
        <is>
          <t>Shopify</t>
        </is>
      </c>
    </row>
    <row r="3464">
      <c r="A3464" s="5" t="inlineStr">
        <is>
          <t>Shopify Stetson México › Stetson México</t>
        </is>
      </c>
      <c r="B3464" s="5">
        <f>IF($I2="","",INDEX(Productos!$A:$A,$I2))</f>
        <v/>
      </c>
      <c r="C3464" s="134" t="inlineStr">
        <is>
          <t>ST-VR-P-021-FW25-DQ-2XL</t>
        </is>
      </c>
      <c r="D3464" s="5">
        <f>IF($I2="","",INDEX(Productos!$B:$B,$I2))</f>
        <v/>
      </c>
      <c r="E3464" s="5">
        <f>IF($I2="","",INDEX(Productos!$H:$H,$I2))</f>
        <v/>
      </c>
      <c r="F3464" s="5">
        <f>IF($I2="","",INDEX(Productos!$I:$I,$I2))</f>
        <v/>
      </c>
      <c r="G3464" s="135" t="n">
        <v>1</v>
      </c>
      <c r="H3464" s="5">
        <f>IF($I2="","",INDEX(Productos!$AG:$AG,$I2))</f>
        <v/>
      </c>
      <c r="I3464" s="136">
        <f>LET(_xlpm.r,Productos!$E$2:$E$2509,_xlpm.m,IFERROR(_xlfn.XMATCH(C3464,_xlpm.r),IFERROR(_xlfn.XMATCH(VALUE(C3464),_xlpm.r),0)),IF(_xlpm.m=0,"",_xlpm.m+1))</f>
        <v/>
      </c>
      <c r="J3464" s="137" t="inlineStr">
        <is>
          <t>Shopify</t>
        </is>
      </c>
    </row>
    <row r="3465">
      <c r="A3465" s="5" t="inlineStr">
        <is>
          <t>Shopify Stetson México › Stetson México</t>
        </is>
      </c>
      <c r="B3465" s="5">
        <f>IF($I2="","",INDEX(Productos!$A:$A,$I2))</f>
        <v/>
      </c>
      <c r="C3465" s="134" t="inlineStr">
        <is>
          <t>ST-VR-P-021-FW25-DQ-L</t>
        </is>
      </c>
      <c r="D3465" s="5">
        <f>IF($I2="","",INDEX(Productos!$B:$B,$I2))</f>
        <v/>
      </c>
      <c r="E3465" s="5">
        <f>IF($I2="","",INDEX(Productos!$H:$H,$I2))</f>
        <v/>
      </c>
      <c r="F3465" s="5">
        <f>IF($I2="","",INDEX(Productos!$I:$I,$I2))</f>
        <v/>
      </c>
      <c r="G3465" s="135" t="n">
        <v>9</v>
      </c>
      <c r="H3465" s="5">
        <f>IF($I2="","",INDEX(Productos!$AG:$AG,$I2))</f>
        <v/>
      </c>
      <c r="I3465" s="136">
        <f>LET(_xlpm.r,Productos!$E$2:$E$2509,_xlpm.m,IFERROR(_xlfn.XMATCH(C3465,_xlpm.r),IFERROR(_xlfn.XMATCH(VALUE(C3465),_xlpm.r),0)),IF(_xlpm.m=0,"",_xlpm.m+1))</f>
        <v/>
      </c>
      <c r="J3465" s="137" t="inlineStr">
        <is>
          <t>Shopify</t>
        </is>
      </c>
    </row>
    <row r="3466">
      <c r="A3466" s="5" t="inlineStr">
        <is>
          <t>Shopify Stetson México › Stetson México</t>
        </is>
      </c>
      <c r="B3466" s="5">
        <f>IF($I2="","",INDEX(Productos!$A:$A,$I2))</f>
        <v/>
      </c>
      <c r="C3466" s="134" t="inlineStr">
        <is>
          <t>ST-VR-P-021-FW25-DQ-M</t>
        </is>
      </c>
      <c r="D3466" s="5">
        <f>IF($I2="","",INDEX(Productos!$B:$B,$I2))</f>
        <v/>
      </c>
      <c r="E3466" s="5">
        <f>IF($I2="","",INDEX(Productos!$H:$H,$I2))</f>
        <v/>
      </c>
      <c r="F3466" s="5">
        <f>IF($I2="","",INDEX(Productos!$I:$I,$I2))</f>
        <v/>
      </c>
      <c r="G3466" s="135" t="n">
        <v>10</v>
      </c>
      <c r="H3466" s="5">
        <f>IF($I2="","",INDEX(Productos!$AG:$AG,$I2))</f>
        <v/>
      </c>
      <c r="I3466" s="136">
        <f>LET(_xlpm.r,Productos!$E$2:$E$2509,_xlpm.m,IFERROR(_xlfn.XMATCH(C3466,_xlpm.r),IFERROR(_xlfn.XMATCH(VALUE(C3466),_xlpm.r),0)),IF(_xlpm.m=0,"",_xlpm.m+1))</f>
        <v/>
      </c>
      <c r="J3466" s="137" t="inlineStr">
        <is>
          <t>Shopify</t>
        </is>
      </c>
    </row>
    <row r="3467">
      <c r="A3467" s="5" t="inlineStr">
        <is>
          <t>Shopify Stetson México › Stetson México</t>
        </is>
      </c>
      <c r="B3467" s="5">
        <f>IF($I2="","",INDEX(Productos!$A:$A,$I2))</f>
        <v/>
      </c>
      <c r="C3467" s="134" t="inlineStr">
        <is>
          <t>ST-VR-P-021-FW25-DQ-S</t>
        </is>
      </c>
      <c r="D3467" s="5">
        <f>IF($I2="","",INDEX(Productos!$B:$B,$I2))</f>
        <v/>
      </c>
      <c r="E3467" s="5">
        <f>IF($I2="","",INDEX(Productos!$H:$H,$I2))</f>
        <v/>
      </c>
      <c r="F3467" s="5">
        <f>IF($I2="","",INDEX(Productos!$I:$I,$I2))</f>
        <v/>
      </c>
      <c r="G3467" s="135" t="n">
        <v>7</v>
      </c>
      <c r="H3467" s="5">
        <f>IF($I2="","",INDEX(Productos!$AG:$AG,$I2))</f>
        <v/>
      </c>
      <c r="I3467" s="136">
        <f>LET(_xlpm.r,Productos!$E$2:$E$2509,_xlpm.m,IFERROR(_xlfn.XMATCH(C3467,_xlpm.r),IFERROR(_xlfn.XMATCH(VALUE(C3467),_xlpm.r),0)),IF(_xlpm.m=0,"",_xlpm.m+1))</f>
        <v/>
      </c>
      <c r="J3467" s="137" t="inlineStr">
        <is>
          <t>Shopify</t>
        </is>
      </c>
    </row>
    <row r="3468">
      <c r="A3468" s="5" t="inlineStr">
        <is>
          <t>Shopify Stetson México › Stetson México</t>
        </is>
      </c>
      <c r="B3468" s="5">
        <f>IF($I2="","",INDEX(Productos!$A:$A,$I2))</f>
        <v/>
      </c>
      <c r="C3468" s="134" t="inlineStr">
        <is>
          <t>ST-VR-P-021-FW25-DQ-XL</t>
        </is>
      </c>
      <c r="D3468" s="5">
        <f>IF($I2="","",INDEX(Productos!$B:$B,$I2))</f>
        <v/>
      </c>
      <c r="E3468" s="5">
        <f>IF($I2="","",INDEX(Productos!$H:$H,$I2))</f>
        <v/>
      </c>
      <c r="F3468" s="5">
        <f>IF($I2="","",INDEX(Productos!$I:$I,$I2))</f>
        <v/>
      </c>
      <c r="G3468" s="135" t="n">
        <v>2</v>
      </c>
      <c r="H3468" s="5">
        <f>IF($I2="","",INDEX(Productos!$AG:$AG,$I2))</f>
        <v/>
      </c>
      <c r="I3468" s="136">
        <f>LET(_xlpm.r,Productos!$E$2:$E$2509,_xlpm.m,IFERROR(_xlfn.XMATCH(C3468,_xlpm.r),IFERROR(_xlfn.XMATCH(VALUE(C3468),_xlpm.r),0)),IF(_xlpm.m=0,"",_xlpm.m+1))</f>
        <v/>
      </c>
      <c r="J3468" s="137" t="inlineStr">
        <is>
          <t>Shopify</t>
        </is>
      </c>
    </row>
    <row r="3469">
      <c r="A3469" s="5" t="inlineStr">
        <is>
          <t>Shopify Stetson México › Stetson México</t>
        </is>
      </c>
      <c r="B3469" s="5">
        <f>IF($I2="","",INDEX(Productos!$A:$A,$I2))</f>
        <v/>
      </c>
      <c r="C3469" s="134" t="inlineStr">
        <is>
          <t>ST-VR-P-022-FW25-OG-M</t>
        </is>
      </c>
      <c r="D3469" s="5">
        <f>IF($I2="","",INDEX(Productos!$B:$B,$I2))</f>
        <v/>
      </c>
      <c r="E3469" s="5">
        <f>IF($I2="","",INDEX(Productos!$H:$H,$I2))</f>
        <v/>
      </c>
      <c r="F3469" s="5">
        <f>IF($I2="","",INDEX(Productos!$I:$I,$I2))</f>
        <v/>
      </c>
      <c r="G3469" s="135" t="n">
        <v>1</v>
      </c>
      <c r="H3469" s="5">
        <f>IF($I2="","",INDEX(Productos!$AG:$AG,$I2))</f>
        <v/>
      </c>
      <c r="I3469" s="136">
        <f>LET(_xlpm.r,Productos!$E$2:$E$2509,_xlpm.m,IFERROR(_xlfn.XMATCH(C3469,_xlpm.r),IFERROR(_xlfn.XMATCH(VALUE(C3469),_xlpm.r),0)),IF(_xlpm.m=0,"",_xlpm.m+1))</f>
        <v/>
      </c>
      <c r="J3469" s="137" t="inlineStr">
        <is>
          <t>Shopify</t>
        </is>
      </c>
    </row>
    <row r="3470">
      <c r="A3470" s="5" t="inlineStr">
        <is>
          <t>Shopify Stetson México › Stetson México</t>
        </is>
      </c>
      <c r="B3470" s="5">
        <f>IF($I2="","",INDEX(Productos!$A:$A,$I2))</f>
        <v/>
      </c>
      <c r="C3470" s="134" t="inlineStr">
        <is>
          <t>ST-VR-S-001-FW25-AF-2XL</t>
        </is>
      </c>
      <c r="D3470" s="5">
        <f>IF($I2="","",INDEX(Productos!$B:$B,$I2))</f>
        <v/>
      </c>
      <c r="E3470" s="5">
        <f>IF($I2="","",INDEX(Productos!$H:$H,$I2))</f>
        <v/>
      </c>
      <c r="F3470" s="5">
        <f>IF($I2="","",INDEX(Productos!$I:$I,$I2))</f>
        <v/>
      </c>
      <c r="G3470" s="135" t="n">
        <v>1</v>
      </c>
      <c r="H3470" s="5">
        <f>IF($I2="","",INDEX(Productos!$AG:$AG,$I2))</f>
        <v/>
      </c>
      <c r="I3470" s="136">
        <f>LET(_xlpm.r,Productos!$E$2:$E$2509,_xlpm.m,IFERROR(_xlfn.XMATCH(C3470,_xlpm.r),IFERROR(_xlfn.XMATCH(VALUE(C3470),_xlpm.r),0)),IF(_xlpm.m=0,"",_xlpm.m+1))</f>
        <v/>
      </c>
      <c r="J3470" s="137" t="inlineStr">
        <is>
          <t>Shopify</t>
        </is>
      </c>
    </row>
    <row r="3471">
      <c r="A3471" s="5" t="inlineStr">
        <is>
          <t>Shopify Stetson México › Stetson México</t>
        </is>
      </c>
      <c r="B3471" s="5">
        <f>IF($I2="","",INDEX(Productos!$A:$A,$I2))</f>
        <v/>
      </c>
      <c r="C3471" s="134" t="inlineStr">
        <is>
          <t>ST-VR-S-001-FW25-AF-M</t>
        </is>
      </c>
      <c r="D3471" s="5">
        <f>IF($I2="","",INDEX(Productos!$B:$B,$I2))</f>
        <v/>
      </c>
      <c r="E3471" s="5">
        <f>IF($I2="","",INDEX(Productos!$H:$H,$I2))</f>
        <v/>
      </c>
      <c r="F3471" s="5">
        <f>IF($I2="","",INDEX(Productos!$I:$I,$I2))</f>
        <v/>
      </c>
      <c r="G3471" s="135" t="n">
        <v>2</v>
      </c>
      <c r="H3471" s="5">
        <f>IF($I2="","",INDEX(Productos!$AG:$AG,$I2))</f>
        <v/>
      </c>
      <c r="I3471" s="136">
        <f>LET(_xlpm.r,Productos!$E$2:$E$2509,_xlpm.m,IFERROR(_xlfn.XMATCH(C3471,_xlpm.r),IFERROR(_xlfn.XMATCH(VALUE(C3471),_xlpm.r),0)),IF(_xlpm.m=0,"",_xlpm.m+1))</f>
        <v/>
      </c>
      <c r="J3471" s="137" t="inlineStr">
        <is>
          <t>Shopify</t>
        </is>
      </c>
    </row>
    <row r="3472">
      <c r="A3472" s="5" t="inlineStr">
        <is>
          <t>Shopify Stetson México › Stetson México</t>
        </is>
      </c>
      <c r="B3472" s="5">
        <f>IF($I2="","",INDEX(Productos!$A:$A,$I2))</f>
        <v/>
      </c>
      <c r="C3472" s="134" t="inlineStr">
        <is>
          <t>ST-VR-S-001-FW25-AF-S</t>
        </is>
      </c>
      <c r="D3472" s="5">
        <f>IF($I2="","",INDEX(Productos!$B:$B,$I2))</f>
        <v/>
      </c>
      <c r="E3472" s="5">
        <f>IF($I2="","",INDEX(Productos!$H:$H,$I2))</f>
        <v/>
      </c>
      <c r="F3472" s="5">
        <f>IF($I2="","",INDEX(Productos!$I:$I,$I2))</f>
        <v/>
      </c>
      <c r="G3472" s="135" t="n">
        <v>5</v>
      </c>
      <c r="H3472" s="5">
        <f>IF($I2="","",INDEX(Productos!$AG:$AG,$I2))</f>
        <v/>
      </c>
      <c r="I3472" s="136">
        <f>LET(_xlpm.r,Productos!$E$2:$E$2509,_xlpm.m,IFERROR(_xlfn.XMATCH(C3472,_xlpm.r),IFERROR(_xlfn.XMATCH(VALUE(C3472),_xlpm.r),0)),IF(_xlpm.m=0,"",_xlpm.m+1))</f>
        <v/>
      </c>
      <c r="J3472" s="137" t="inlineStr">
        <is>
          <t>Shopify</t>
        </is>
      </c>
    </row>
    <row r="3473">
      <c r="A3473" s="5" t="inlineStr">
        <is>
          <t>Shopify Stetson México › Stetson México</t>
        </is>
      </c>
      <c r="B3473" s="5">
        <f>IF($I2="","",INDEX(Productos!$A:$A,$I2))</f>
        <v/>
      </c>
      <c r="C3473" s="134" t="inlineStr">
        <is>
          <t>ST-VR-S-002-FW25-OR-L</t>
        </is>
      </c>
      <c r="D3473" s="5">
        <f>IF($I2="","",INDEX(Productos!$B:$B,$I2))</f>
        <v/>
      </c>
      <c r="E3473" s="5">
        <f>IF($I2="","",INDEX(Productos!$H:$H,$I2))</f>
        <v/>
      </c>
      <c r="F3473" s="5">
        <f>IF($I2="","",INDEX(Productos!$I:$I,$I2))</f>
        <v/>
      </c>
      <c r="G3473" s="135" t="n">
        <v>6</v>
      </c>
      <c r="H3473" s="5">
        <f>IF($I2="","",INDEX(Productos!$AG:$AG,$I2))</f>
        <v/>
      </c>
      <c r="I3473" s="136">
        <f>LET(_xlpm.r,Productos!$E$2:$E$2509,_xlpm.m,IFERROR(_xlfn.XMATCH(C3473,_xlpm.r),IFERROR(_xlfn.XMATCH(VALUE(C3473),_xlpm.r),0)),IF(_xlpm.m=0,"",_xlpm.m+1))</f>
        <v/>
      </c>
      <c r="J3473" s="137" t="inlineStr">
        <is>
          <t>Shopify</t>
        </is>
      </c>
    </row>
    <row r="3474">
      <c r="A3474" s="5" t="inlineStr">
        <is>
          <t>Shopify Stetson México › Stetson México</t>
        </is>
      </c>
      <c r="B3474" s="5">
        <f>IF($I2="","",INDEX(Productos!$A:$A,$I2))</f>
        <v/>
      </c>
      <c r="C3474" s="134" t="inlineStr">
        <is>
          <t>ST-VR-S-002-FW25-OR-M</t>
        </is>
      </c>
      <c r="D3474" s="5">
        <f>IF($I2="","",INDEX(Productos!$B:$B,$I2))</f>
        <v/>
      </c>
      <c r="E3474" s="5">
        <f>IF($I2="","",INDEX(Productos!$H:$H,$I2))</f>
        <v/>
      </c>
      <c r="F3474" s="5">
        <f>IF($I2="","",INDEX(Productos!$I:$I,$I2))</f>
        <v/>
      </c>
      <c r="G3474" s="135" t="n">
        <v>7</v>
      </c>
      <c r="H3474" s="5">
        <f>IF($I2="","",INDEX(Productos!$AG:$AG,$I2))</f>
        <v/>
      </c>
      <c r="I3474" s="136">
        <f>LET(_xlpm.r,Productos!$E$2:$E$2509,_xlpm.m,IFERROR(_xlfn.XMATCH(C3474,_xlpm.r),IFERROR(_xlfn.XMATCH(VALUE(C3474),_xlpm.r),0)),IF(_xlpm.m=0,"",_xlpm.m+1))</f>
        <v/>
      </c>
      <c r="J3474" s="137" t="inlineStr">
        <is>
          <t>Shopify</t>
        </is>
      </c>
    </row>
    <row r="3475">
      <c r="A3475" s="5" t="inlineStr">
        <is>
          <t>Shopify Stetson México › Stetson México</t>
        </is>
      </c>
      <c r="B3475" s="5">
        <f>IF($I2="","",INDEX(Productos!$A:$A,$I2))</f>
        <v/>
      </c>
      <c r="C3475" s="134" t="inlineStr">
        <is>
          <t>ST-VR-S-002-FW25-OR-S</t>
        </is>
      </c>
      <c r="D3475" s="5">
        <f>IF($I2="","",INDEX(Productos!$B:$B,$I2))</f>
        <v/>
      </c>
      <c r="E3475" s="5">
        <f>IF($I2="","",INDEX(Productos!$H:$H,$I2))</f>
        <v/>
      </c>
      <c r="F3475" s="5">
        <f>IF($I2="","",INDEX(Productos!$I:$I,$I2))</f>
        <v/>
      </c>
      <c r="G3475" s="135" t="n">
        <v>5</v>
      </c>
      <c r="H3475" s="5">
        <f>IF($I2="","",INDEX(Productos!$AG:$AG,$I2))</f>
        <v/>
      </c>
      <c r="I3475" s="136">
        <f>LET(_xlpm.r,Productos!$E$2:$E$2509,_xlpm.m,IFERROR(_xlfn.XMATCH(C3475,_xlpm.r),IFERROR(_xlfn.XMATCH(VALUE(C3475),_xlpm.r),0)),IF(_xlpm.m=0,"",_xlpm.m+1))</f>
        <v/>
      </c>
      <c r="J3475" s="137" t="inlineStr">
        <is>
          <t>Shopify</t>
        </is>
      </c>
    </row>
    <row r="3476">
      <c r="A3476" s="5" t="inlineStr">
        <is>
          <t>Shopify Stetson México › Stetson México</t>
        </is>
      </c>
      <c r="B3476" s="5">
        <f>IF($I2="","",INDEX(Productos!$A:$A,$I2))</f>
        <v/>
      </c>
      <c r="C3476" s="134" t="inlineStr">
        <is>
          <t>ST-VR-S-003-FW25-WB-M</t>
        </is>
      </c>
      <c r="D3476" s="5">
        <f>IF($I2="","",INDEX(Productos!$B:$B,$I2))</f>
        <v/>
      </c>
      <c r="E3476" s="5">
        <f>IF($I2="","",INDEX(Productos!$H:$H,$I2))</f>
        <v/>
      </c>
      <c r="F3476" s="5">
        <f>IF($I2="","",INDEX(Productos!$I:$I,$I2))</f>
        <v/>
      </c>
      <c r="G3476" s="135" t="n">
        <v>3</v>
      </c>
      <c r="H3476" s="5">
        <f>IF($I2="","",INDEX(Productos!$AG:$AG,$I2))</f>
        <v/>
      </c>
      <c r="I3476" s="136">
        <f>LET(_xlpm.r,Productos!$E$2:$E$2509,_xlpm.m,IFERROR(_xlfn.XMATCH(C3476,_xlpm.r),IFERROR(_xlfn.XMATCH(VALUE(C3476),_xlpm.r),0)),IF(_xlpm.m=0,"",_xlpm.m+1))</f>
        <v/>
      </c>
      <c r="J3476" s="137" t="inlineStr">
        <is>
          <t>Shopify</t>
        </is>
      </c>
    </row>
    <row r="3477">
      <c r="A3477" s="5" t="inlineStr">
        <is>
          <t>Shopify Stetson México › Stetson México</t>
        </is>
      </c>
      <c r="B3477" s="5">
        <f>IF($I2="","",INDEX(Productos!$A:$A,$I2))</f>
        <v/>
      </c>
      <c r="C3477" s="134" t="inlineStr">
        <is>
          <t>ST-VR-S-003-FW25-WB-S</t>
        </is>
      </c>
      <c r="D3477" s="5">
        <f>IF($I2="","",INDEX(Productos!$B:$B,$I2))</f>
        <v/>
      </c>
      <c r="E3477" s="5">
        <f>IF($I2="","",INDEX(Productos!$H:$H,$I2))</f>
        <v/>
      </c>
      <c r="F3477" s="5">
        <f>IF($I2="","",INDEX(Productos!$I:$I,$I2))</f>
        <v/>
      </c>
      <c r="G3477" s="135" t="n">
        <v>3</v>
      </c>
      <c r="H3477" s="5">
        <f>IF($I2="","",INDEX(Productos!$AG:$AG,$I2))</f>
        <v/>
      </c>
      <c r="I3477" s="136">
        <f>LET(_xlpm.r,Productos!$E$2:$E$2509,_xlpm.m,IFERROR(_xlfn.XMATCH(C3477,_xlpm.r),IFERROR(_xlfn.XMATCH(VALUE(C3477),_xlpm.r),0)),IF(_xlpm.m=0,"",_xlpm.m+1))</f>
        <v/>
      </c>
      <c r="J3477" s="137" t="inlineStr">
        <is>
          <t>Shopify</t>
        </is>
      </c>
    </row>
    <row r="3478">
      <c r="A3478" s="5" t="inlineStr">
        <is>
          <t>Shopify Stetson México › Stetson México</t>
        </is>
      </c>
      <c r="B3478" s="5">
        <f>IF($I2="","",INDEX(Productos!$A:$A,$I2))</f>
        <v/>
      </c>
      <c r="C3478" s="134" t="inlineStr">
        <is>
          <t>ST-VR-S-004-FW25-HO-L</t>
        </is>
      </c>
      <c r="D3478" s="5">
        <f>IF($I2="","",INDEX(Productos!$B:$B,$I2))</f>
        <v/>
      </c>
      <c r="E3478" s="5">
        <f>IF($I2="","",INDEX(Productos!$H:$H,$I2))</f>
        <v/>
      </c>
      <c r="F3478" s="5">
        <f>IF($I2="","",INDEX(Productos!$I:$I,$I2))</f>
        <v/>
      </c>
      <c r="G3478" s="135" t="n">
        <v>7</v>
      </c>
      <c r="H3478" s="5">
        <f>IF($I2="","",INDEX(Productos!$AG:$AG,$I2))</f>
        <v/>
      </c>
      <c r="I3478" s="136">
        <f>LET(_xlpm.r,Productos!$E$2:$E$2509,_xlpm.m,IFERROR(_xlfn.XMATCH(C3478,_xlpm.r),IFERROR(_xlfn.XMATCH(VALUE(C3478),_xlpm.r),0)),IF(_xlpm.m=0,"",_xlpm.m+1))</f>
        <v/>
      </c>
      <c r="J3478" s="137" t="inlineStr">
        <is>
          <t>Shopify</t>
        </is>
      </c>
    </row>
    <row r="3479">
      <c r="A3479" s="5" t="inlineStr">
        <is>
          <t>Shopify Stetson México › Stetson México</t>
        </is>
      </c>
      <c r="B3479" s="5">
        <f>IF($I2="","",INDEX(Productos!$A:$A,$I2))</f>
        <v/>
      </c>
      <c r="C3479" s="134" t="inlineStr">
        <is>
          <t>ST-VR-S-004-FW25-HO-M</t>
        </is>
      </c>
      <c r="D3479" s="5">
        <f>IF($I2="","",INDEX(Productos!$B:$B,$I2))</f>
        <v/>
      </c>
      <c r="E3479" s="5">
        <f>IF($I2="","",INDEX(Productos!$H:$H,$I2))</f>
        <v/>
      </c>
      <c r="F3479" s="5">
        <f>IF($I2="","",INDEX(Productos!$I:$I,$I2))</f>
        <v/>
      </c>
      <c r="G3479" s="135" t="n">
        <v>5</v>
      </c>
      <c r="H3479" s="5">
        <f>IF($I2="","",INDEX(Productos!$AG:$AG,$I2))</f>
        <v/>
      </c>
      <c r="I3479" s="136">
        <f>LET(_xlpm.r,Productos!$E$2:$E$2509,_xlpm.m,IFERROR(_xlfn.XMATCH(C3479,_xlpm.r),IFERROR(_xlfn.XMATCH(VALUE(C3479),_xlpm.r),0)),IF(_xlpm.m=0,"",_xlpm.m+1))</f>
        <v/>
      </c>
      <c r="J3479" s="137" t="inlineStr">
        <is>
          <t>Shopify</t>
        </is>
      </c>
    </row>
    <row r="3480">
      <c r="A3480" s="5" t="inlineStr">
        <is>
          <t>Shopify Stetson México › Stetson México</t>
        </is>
      </c>
      <c r="B3480" s="5">
        <f>IF($I2="","",INDEX(Productos!$A:$A,$I2))</f>
        <v/>
      </c>
      <c r="C3480" s="134" t="inlineStr">
        <is>
          <t>ST-VR-S-004-FW25-HO-S</t>
        </is>
      </c>
      <c r="D3480" s="5">
        <f>IF($I2="","",INDEX(Productos!$B:$B,$I2))</f>
        <v/>
      </c>
      <c r="E3480" s="5">
        <f>IF($I2="","",INDEX(Productos!$H:$H,$I2))</f>
        <v/>
      </c>
      <c r="F3480" s="5">
        <f>IF($I2="","",INDEX(Productos!$I:$I,$I2))</f>
        <v/>
      </c>
      <c r="G3480" s="135" t="n">
        <v>5</v>
      </c>
      <c r="H3480" s="5">
        <f>IF($I2="","",INDEX(Productos!$AG:$AG,$I2))</f>
        <v/>
      </c>
      <c r="I3480" s="136">
        <f>LET(_xlpm.r,Productos!$E$2:$E$2509,_xlpm.m,IFERROR(_xlfn.XMATCH(C3480,_xlpm.r),IFERROR(_xlfn.XMATCH(VALUE(C3480),_xlpm.r),0)),IF(_xlpm.m=0,"",_xlpm.m+1))</f>
        <v/>
      </c>
      <c r="J3480" s="137" t="inlineStr">
        <is>
          <t>Shopify</t>
        </is>
      </c>
    </row>
    <row r="3481">
      <c r="A3481" s="5" t="inlineStr">
        <is>
          <t>Shopify Stetson México › Stetson México</t>
        </is>
      </c>
      <c r="B3481" s="5">
        <f>IF($I2="","",INDEX(Productos!$A:$A,$I2))</f>
        <v/>
      </c>
      <c r="C3481" s="134" t="inlineStr">
        <is>
          <t>ST-VR-S-004-FW25-HO-XL</t>
        </is>
      </c>
      <c r="D3481" s="5">
        <f>IF($I2="","",INDEX(Productos!$B:$B,$I2))</f>
        <v/>
      </c>
      <c r="E3481" s="5">
        <f>IF($I2="","",INDEX(Productos!$H:$H,$I2))</f>
        <v/>
      </c>
      <c r="F3481" s="5">
        <f>IF($I2="","",INDEX(Productos!$I:$I,$I2))</f>
        <v/>
      </c>
      <c r="G3481" s="135" t="n">
        <v>1</v>
      </c>
      <c r="H3481" s="5">
        <f>IF($I2="","",INDEX(Productos!$AG:$AG,$I2))</f>
        <v/>
      </c>
      <c r="I3481" s="136">
        <f>LET(_xlpm.r,Productos!$E$2:$E$2509,_xlpm.m,IFERROR(_xlfn.XMATCH(C3481,_xlpm.r),IFERROR(_xlfn.XMATCH(VALUE(C3481),_xlpm.r),0)),IF(_xlpm.m=0,"",_xlpm.m+1))</f>
        <v/>
      </c>
      <c r="J3481" s="137" t="inlineStr">
        <is>
          <t>Shopify</t>
        </is>
      </c>
    </row>
    <row r="3482">
      <c r="A3482" s="5" t="inlineStr">
        <is>
          <t>Shopify Stetson México › Stetson México</t>
        </is>
      </c>
      <c r="B3482" s="5">
        <f>IF($I2="","",INDEX(Productos!$A:$A,$I2))</f>
        <v/>
      </c>
      <c r="C3482" s="134" t="inlineStr">
        <is>
          <t>ST-VR-SD-001-FW25-BM-2XL</t>
        </is>
      </c>
      <c r="D3482" s="5">
        <f>IF($I2="","",INDEX(Productos!$B:$B,$I2))</f>
        <v/>
      </c>
      <c r="E3482" s="5">
        <f>IF($I2="","",INDEX(Productos!$H:$H,$I2))</f>
        <v/>
      </c>
      <c r="F3482" s="5">
        <f>IF($I2="","",INDEX(Productos!$I:$I,$I2))</f>
        <v/>
      </c>
      <c r="G3482" s="135" t="n">
        <v>1</v>
      </c>
      <c r="H3482" s="5">
        <f>IF($I2="","",INDEX(Productos!$AG:$AG,$I2))</f>
        <v/>
      </c>
      <c r="I3482" s="136">
        <f>LET(_xlpm.r,Productos!$E$2:$E$2509,_xlpm.m,IFERROR(_xlfn.XMATCH(C3482,_xlpm.r),IFERROR(_xlfn.XMATCH(VALUE(C3482),_xlpm.r),0)),IF(_xlpm.m=0,"",_xlpm.m+1))</f>
        <v/>
      </c>
      <c r="J3482" s="137" t="inlineStr">
        <is>
          <t>Shopify</t>
        </is>
      </c>
    </row>
    <row r="3483">
      <c r="A3483" s="5" t="inlineStr">
        <is>
          <t>Shopify Stetson México › Stetson México</t>
        </is>
      </c>
      <c r="B3483" s="5">
        <f>IF($I2="","",INDEX(Productos!$A:$A,$I2))</f>
        <v/>
      </c>
      <c r="C3483" s="134" t="inlineStr">
        <is>
          <t>ST-VR-SD-001-FW25-BM-L</t>
        </is>
      </c>
      <c r="D3483" s="5">
        <f>IF($I2="","",INDEX(Productos!$B:$B,$I2))</f>
        <v/>
      </c>
      <c r="E3483" s="5">
        <f>IF($I2="","",INDEX(Productos!$H:$H,$I2))</f>
        <v/>
      </c>
      <c r="F3483" s="5">
        <f>IF($I2="","",INDEX(Productos!$I:$I,$I2))</f>
        <v/>
      </c>
      <c r="G3483" s="135" t="n">
        <v>6</v>
      </c>
      <c r="H3483" s="5">
        <f>IF($I2="","",INDEX(Productos!$AG:$AG,$I2))</f>
        <v/>
      </c>
      <c r="I3483" s="136">
        <f>LET(_xlpm.r,Productos!$E$2:$E$2509,_xlpm.m,IFERROR(_xlfn.XMATCH(C3483,_xlpm.r),IFERROR(_xlfn.XMATCH(VALUE(C3483),_xlpm.r),0)),IF(_xlpm.m=0,"",_xlpm.m+1))</f>
        <v/>
      </c>
      <c r="J3483" s="137" t="inlineStr">
        <is>
          <t>Shopify</t>
        </is>
      </c>
    </row>
    <row r="3484">
      <c r="A3484" s="5" t="inlineStr">
        <is>
          <t>Shopify Stetson México › Stetson México</t>
        </is>
      </c>
      <c r="B3484" s="5">
        <f>IF($I2="","",INDEX(Productos!$A:$A,$I2))</f>
        <v/>
      </c>
      <c r="C3484" s="134" t="inlineStr">
        <is>
          <t>ST-VR-SD-001-FW25-BM-M</t>
        </is>
      </c>
      <c r="D3484" s="5">
        <f>IF($I2="","",INDEX(Productos!$B:$B,$I2))</f>
        <v/>
      </c>
      <c r="E3484" s="5">
        <f>IF($I2="","",INDEX(Productos!$H:$H,$I2))</f>
        <v/>
      </c>
      <c r="F3484" s="5">
        <f>IF($I2="","",INDEX(Productos!$I:$I,$I2))</f>
        <v/>
      </c>
      <c r="G3484" s="135" t="n">
        <v>5</v>
      </c>
      <c r="H3484" s="5">
        <f>IF($I2="","",INDEX(Productos!$AG:$AG,$I2))</f>
        <v/>
      </c>
      <c r="I3484" s="136">
        <f>LET(_xlpm.r,Productos!$E$2:$E$2509,_xlpm.m,IFERROR(_xlfn.XMATCH(C3484,_xlpm.r),IFERROR(_xlfn.XMATCH(VALUE(C3484),_xlpm.r),0)),IF(_xlpm.m=0,"",_xlpm.m+1))</f>
        <v/>
      </c>
      <c r="J3484" s="137" t="inlineStr">
        <is>
          <t>Shopify</t>
        </is>
      </c>
    </row>
    <row r="3485">
      <c r="A3485" s="5" t="inlineStr">
        <is>
          <t>Shopify Stetson México › Stetson México</t>
        </is>
      </c>
      <c r="B3485" s="5">
        <f>IF($I2="","",INDEX(Productos!$A:$A,$I2))</f>
        <v/>
      </c>
      <c r="C3485" s="134" t="inlineStr">
        <is>
          <t>ST-VR-SD-001-FW25-BM-S</t>
        </is>
      </c>
      <c r="D3485" s="5">
        <f>IF($I2="","",INDEX(Productos!$B:$B,$I2))</f>
        <v/>
      </c>
      <c r="E3485" s="5">
        <f>IF($I2="","",INDEX(Productos!$H:$H,$I2))</f>
        <v/>
      </c>
      <c r="F3485" s="5">
        <f>IF($I2="","",INDEX(Productos!$I:$I,$I2))</f>
        <v/>
      </c>
      <c r="G3485" s="135" t="n">
        <v>4</v>
      </c>
      <c r="H3485" s="5">
        <f>IF($I2="","",INDEX(Productos!$AG:$AG,$I2))</f>
        <v/>
      </c>
      <c r="I3485" s="136">
        <f>LET(_xlpm.r,Productos!$E$2:$E$2509,_xlpm.m,IFERROR(_xlfn.XMATCH(C3485,_xlpm.r),IFERROR(_xlfn.XMATCH(VALUE(C3485),_xlpm.r),0)),IF(_xlpm.m=0,"",_xlpm.m+1))</f>
        <v/>
      </c>
      <c r="J3485" s="137" t="inlineStr">
        <is>
          <t>Shopify</t>
        </is>
      </c>
    </row>
    <row r="3486">
      <c r="A3486" s="5" t="inlineStr">
        <is>
          <t>Shopify Stetson México › Stetson México</t>
        </is>
      </c>
      <c r="B3486" s="5">
        <f>IF($I2="","",INDEX(Productos!$A:$A,$I2))</f>
        <v/>
      </c>
      <c r="C3486" s="134" t="inlineStr">
        <is>
          <t>STS01</t>
        </is>
      </c>
      <c r="D3486" s="5">
        <f>IF($I2="","",INDEX(Productos!$B:$B,$I2))</f>
        <v/>
      </c>
      <c r="E3486" s="5">
        <f>IF($I2="","",INDEX(Productos!$H:$H,$I2))</f>
        <v/>
      </c>
      <c r="F3486" s="5">
        <f>IF($I2="","",INDEX(Productos!$I:$I,$I2))</f>
        <v/>
      </c>
      <c r="G3486" s="135" t="n">
        <v>2</v>
      </c>
      <c r="H3486" s="5">
        <f>IF($I2="","",INDEX(Productos!$AG:$AG,$I2))</f>
        <v/>
      </c>
      <c r="I3486" s="136">
        <f>LET(_xlpm.r,Productos!$E$2:$E$2509,_xlpm.m,IFERROR(_xlfn.XMATCH(C3486,_xlpm.r),IFERROR(_xlfn.XMATCH(VALUE(C3486),_xlpm.r),0)),IF(_xlpm.m=0,"",_xlpm.m+1))</f>
        <v/>
      </c>
      <c r="J3486" s="137" t="inlineStr">
        <is>
          <t>Shopify</t>
        </is>
      </c>
    </row>
    <row r="3487">
      <c r="A3487" s="5" t="inlineStr">
        <is>
          <t>Shopify Stetson México › Stetson México</t>
        </is>
      </c>
      <c r="B3487" s="5">
        <f>IF($I2="","",INDEX(Productos!$A:$A,$I2))</f>
        <v/>
      </c>
      <c r="C3487" s="134" t="inlineStr">
        <is>
          <t>STS03</t>
        </is>
      </c>
      <c r="D3487" s="5">
        <f>IF($I2="","",INDEX(Productos!$B:$B,$I2))</f>
        <v/>
      </c>
      <c r="E3487" s="5">
        <f>IF($I2="","",INDEX(Productos!$H:$H,$I2))</f>
        <v/>
      </c>
      <c r="F3487" s="5">
        <f>IF($I2="","",INDEX(Productos!$I:$I,$I2))</f>
        <v/>
      </c>
      <c r="G3487" s="135" t="n">
        <v>7</v>
      </c>
      <c r="H3487" s="5">
        <f>IF($I2="","",INDEX(Productos!$AG:$AG,$I2))</f>
        <v/>
      </c>
      <c r="I3487" s="136">
        <f>LET(_xlpm.r,Productos!$E$2:$E$2509,_xlpm.m,IFERROR(_xlfn.XMATCH(C3487,_xlpm.r),IFERROR(_xlfn.XMATCH(VALUE(C3487),_xlpm.r),0)),IF(_xlpm.m=0,"",_xlpm.m+1))</f>
        <v/>
      </c>
      <c r="J3487" s="137" t="inlineStr">
        <is>
          <t>Shopify</t>
        </is>
      </c>
    </row>
    <row r="3488">
      <c r="A3488" s="5" t="inlineStr">
        <is>
          <t>Shopify Stetson México › Stetson México</t>
        </is>
      </c>
      <c r="B3488" s="5">
        <f>IF($I2="","",INDEX(Productos!$A:$A,$I2))</f>
        <v/>
      </c>
      <c r="C3488" s="134" t="inlineStr">
        <is>
          <t>STS04</t>
        </is>
      </c>
      <c r="D3488" s="5">
        <f>IF($I2="","",INDEX(Productos!$B:$B,$I2))</f>
        <v/>
      </c>
      <c r="E3488" s="5">
        <f>IF($I2="","",INDEX(Productos!$H:$H,$I2))</f>
        <v/>
      </c>
      <c r="F3488" s="5">
        <f>IF($I2="","",INDEX(Productos!$I:$I,$I2))</f>
        <v/>
      </c>
      <c r="G3488" s="135" t="n">
        <v>3</v>
      </c>
      <c r="H3488" s="5">
        <f>IF($I2="","",INDEX(Productos!$AG:$AG,$I2))</f>
        <v/>
      </c>
      <c r="I3488" s="136">
        <f>LET(_xlpm.r,Productos!$E$2:$E$2509,_xlpm.m,IFERROR(_xlfn.XMATCH(C3488,_xlpm.r),IFERROR(_xlfn.XMATCH(VALUE(C3488),_xlpm.r),0)),IF(_xlpm.m=0,"",_xlpm.m+1))</f>
        <v/>
      </c>
      <c r="J3488" s="137" t="inlineStr">
        <is>
          <t>Shopify</t>
        </is>
      </c>
    </row>
    <row r="3489">
      <c r="A3489" s="5" t="inlineStr">
        <is>
          <t>Shopify Stetson México › Stetson México</t>
        </is>
      </c>
      <c r="B3489" s="5">
        <f>IF($I2="","",INDEX(Productos!$A:$A,$I2))</f>
        <v/>
      </c>
      <c r="C3489" s="134" t="inlineStr">
        <is>
          <t>STS05</t>
        </is>
      </c>
      <c r="D3489" s="5">
        <f>IF($I2="","",INDEX(Productos!$B:$B,$I2))</f>
        <v/>
      </c>
      <c r="E3489" s="5">
        <f>IF($I2="","",INDEX(Productos!$H:$H,$I2))</f>
        <v/>
      </c>
      <c r="F3489" s="5">
        <f>IF($I2="","",INDEX(Productos!$I:$I,$I2))</f>
        <v/>
      </c>
      <c r="G3489" s="135" t="n">
        <v>11</v>
      </c>
      <c r="H3489" s="5">
        <f>IF($I2="","",INDEX(Productos!$AG:$AG,$I2))</f>
        <v/>
      </c>
      <c r="I3489" s="136">
        <f>LET(_xlpm.r,Productos!$E$2:$E$2509,_xlpm.m,IFERROR(_xlfn.XMATCH(C3489,_xlpm.r),IFERROR(_xlfn.XMATCH(VALUE(C3489),_xlpm.r),0)),IF(_xlpm.m=0,"",_xlpm.m+1))</f>
        <v/>
      </c>
      <c r="J3489" s="137" t="inlineStr">
        <is>
          <t>Shopify</t>
        </is>
      </c>
    </row>
    <row r="3490">
      <c r="A3490" s="5" t="inlineStr">
        <is>
          <t>Shopify Stetson México › Stetson México</t>
        </is>
      </c>
      <c r="B3490" s="5">
        <f>IF($I2="","",INDEX(Productos!$A:$A,$I2))</f>
        <v/>
      </c>
      <c r="C3490" s="134" t="inlineStr">
        <is>
          <t>STS19</t>
        </is>
      </c>
      <c r="D3490" s="5">
        <f>IF($I2="","",INDEX(Productos!$B:$B,$I2))</f>
        <v/>
      </c>
      <c r="E3490" s="5">
        <f>IF($I2="","",INDEX(Productos!$H:$H,$I2))</f>
        <v/>
      </c>
      <c r="F3490" s="5">
        <f>IF($I2="","",INDEX(Productos!$I:$I,$I2))</f>
        <v/>
      </c>
      <c r="G3490" s="135" t="n">
        <v>3</v>
      </c>
      <c r="H3490" s="5">
        <f>IF($I2="","",INDEX(Productos!$AG:$AG,$I2))</f>
        <v/>
      </c>
      <c r="I3490" s="136">
        <f>LET(_xlpm.r,Productos!$E$2:$E$2509,_xlpm.m,IFERROR(_xlfn.XMATCH(C3490,_xlpm.r),IFERROR(_xlfn.XMATCH(VALUE(C3490),_xlpm.r),0)),IF(_xlpm.m=0,"",_xlpm.m+1))</f>
        <v/>
      </c>
      <c r="J3490" s="137" t="inlineStr">
        <is>
          <t>Shopify</t>
        </is>
      </c>
    </row>
    <row r="3491">
      <c r="A3491" s="5" t="inlineStr">
        <is>
          <t>Shopify Stetson México › Stetson México</t>
        </is>
      </c>
      <c r="B3491" s="5">
        <f>IF($I2="","",INDEX(Productos!$A:$A,$I2))</f>
        <v/>
      </c>
      <c r="C3491" s="134" t="inlineStr">
        <is>
          <t>STS23</t>
        </is>
      </c>
      <c r="D3491" s="5">
        <f>IF($I2="","",INDEX(Productos!$B:$B,$I2))</f>
        <v/>
      </c>
      <c r="E3491" s="5">
        <f>IF($I2="","",INDEX(Productos!$H:$H,$I2))</f>
        <v/>
      </c>
      <c r="F3491" s="5">
        <f>IF($I2="","",INDEX(Productos!$I:$I,$I2))</f>
        <v/>
      </c>
      <c r="G3491" s="135" t="n">
        <v>3</v>
      </c>
      <c r="H3491" s="5">
        <f>IF($I2="","",INDEX(Productos!$AG:$AG,$I2))</f>
        <v/>
      </c>
      <c r="I3491" s="136">
        <f>LET(_xlpm.r,Productos!$E$2:$E$2509,_xlpm.m,IFERROR(_xlfn.XMATCH(C3491,_xlpm.r),IFERROR(_xlfn.XMATCH(VALUE(C3491),_xlpm.r),0)),IF(_xlpm.m=0,"",_xlpm.m+1))</f>
        <v/>
      </c>
      <c r="J3491" s="137" t="inlineStr">
        <is>
          <t>Shopify</t>
        </is>
      </c>
    </row>
    <row r="3492">
      <c r="A3492" s="5" t="inlineStr">
        <is>
          <t>Shopify Stetson México › Stetson México</t>
        </is>
      </c>
      <c r="B3492" s="5">
        <f>IF($I2="","",INDEX(Productos!$A:$A,$I2))</f>
        <v/>
      </c>
      <c r="C3492" s="134" t="inlineStr">
        <is>
          <t>STS24</t>
        </is>
      </c>
      <c r="D3492" s="5">
        <f>IF($I2="","",INDEX(Productos!$B:$B,$I2))</f>
        <v/>
      </c>
      <c r="E3492" s="5">
        <f>IF($I2="","",INDEX(Productos!$H:$H,$I2))</f>
        <v/>
      </c>
      <c r="F3492" s="5">
        <f>IF($I2="","",INDEX(Productos!$I:$I,$I2))</f>
        <v/>
      </c>
      <c r="G3492" s="135" t="n">
        <v>3</v>
      </c>
      <c r="H3492" s="5">
        <f>IF($I2="","",INDEX(Productos!$AG:$AG,$I2))</f>
        <v/>
      </c>
      <c r="I3492" s="136">
        <f>LET(_xlpm.r,Productos!$E$2:$E$2509,_xlpm.m,IFERROR(_xlfn.XMATCH(C3492,_xlpm.r),IFERROR(_xlfn.XMATCH(VALUE(C3492),_xlpm.r),0)),IF(_xlpm.m=0,"",_xlpm.m+1))</f>
        <v/>
      </c>
      <c r="J3492" s="137" t="inlineStr">
        <is>
          <t>Shopify</t>
        </is>
      </c>
    </row>
    <row r="3493">
      <c r="A3493" s="5" t="inlineStr">
        <is>
          <t>Shopify Stetson México › Stetson México</t>
        </is>
      </c>
      <c r="B3493" s="5">
        <f>IF($I2="","",INDEX(Productos!$A:$A,$I2))</f>
        <v/>
      </c>
      <c r="C3493" s="134" t="inlineStr">
        <is>
          <t>STS30</t>
        </is>
      </c>
      <c r="D3493" s="5">
        <f>IF($I2="","",INDEX(Productos!$B:$B,$I2))</f>
        <v/>
      </c>
      <c r="E3493" s="5">
        <f>IF($I2="","",INDEX(Productos!$H:$H,$I2))</f>
        <v/>
      </c>
      <c r="F3493" s="5">
        <f>IF($I2="","",INDEX(Productos!$I:$I,$I2))</f>
        <v/>
      </c>
      <c r="G3493" s="135" t="n">
        <v>2</v>
      </c>
      <c r="H3493" s="5">
        <f>IF($I2="","",INDEX(Productos!$AG:$AG,$I2))</f>
        <v/>
      </c>
      <c r="I3493" s="136">
        <f>LET(_xlpm.r,Productos!$E$2:$E$2509,_xlpm.m,IFERROR(_xlfn.XMATCH(C3493,_xlpm.r),IFERROR(_xlfn.XMATCH(VALUE(C3493),_xlpm.r),0)),IF(_xlpm.m=0,"",_xlpm.m+1))</f>
        <v/>
      </c>
      <c r="J3493" s="137" t="inlineStr">
        <is>
          <t>Shopify</t>
        </is>
      </c>
    </row>
    <row r="3494">
      <c r="A3494" s="5" t="inlineStr">
        <is>
          <t>Shopify Stetson México › Stetson México</t>
        </is>
      </c>
      <c r="B3494" s="5">
        <f>IF($I2="","",INDEX(Productos!$A:$A,$I2))</f>
        <v/>
      </c>
      <c r="C3494" s="134" t="inlineStr">
        <is>
          <t>STS31</t>
        </is>
      </c>
      <c r="D3494" s="5">
        <f>IF($I2="","",INDEX(Productos!$B:$B,$I2))</f>
        <v/>
      </c>
      <c r="E3494" s="5">
        <f>IF($I2="","",INDEX(Productos!$H:$H,$I2))</f>
        <v/>
      </c>
      <c r="F3494" s="5">
        <f>IF($I2="","",INDEX(Productos!$I:$I,$I2))</f>
        <v/>
      </c>
      <c r="G3494" s="135" t="n">
        <v>3</v>
      </c>
      <c r="H3494" s="5">
        <f>IF($I2="","",INDEX(Productos!$AG:$AG,$I2))</f>
        <v/>
      </c>
      <c r="I3494" s="136">
        <f>LET(_xlpm.r,Productos!$E$2:$E$2509,_xlpm.m,IFERROR(_xlfn.XMATCH(C3494,_xlpm.r),IFERROR(_xlfn.XMATCH(VALUE(C3494),_xlpm.r),0)),IF(_xlpm.m=0,"",_xlpm.m+1))</f>
        <v/>
      </c>
      <c r="J3494" s="137" t="inlineStr">
        <is>
          <t>Shopify</t>
        </is>
      </c>
    </row>
    <row r="3495">
      <c r="A3495" s="5" t="inlineStr">
        <is>
          <t>Shopify Stetson México › Stetson México</t>
        </is>
      </c>
      <c r="B3495" s="5">
        <f>IF($I2="","",INDEX(Productos!$A:$A,$I2))</f>
        <v/>
      </c>
      <c r="C3495" s="134" t="inlineStr">
        <is>
          <t>STS45</t>
        </is>
      </c>
      <c r="D3495" s="5">
        <f>IF($I2="","",INDEX(Productos!$B:$B,$I2))</f>
        <v/>
      </c>
      <c r="E3495" s="5">
        <f>IF($I2="","",INDEX(Productos!$H:$H,$I2))</f>
        <v/>
      </c>
      <c r="F3495" s="5">
        <f>IF($I2="","",INDEX(Productos!$I:$I,$I2))</f>
        <v/>
      </c>
      <c r="G3495" s="135" t="n">
        <v>3</v>
      </c>
      <c r="H3495" s="5">
        <f>IF($I2="","",INDEX(Productos!$AG:$AG,$I2))</f>
        <v/>
      </c>
      <c r="I3495" s="136">
        <f>LET(_xlpm.r,Productos!$E$2:$E$2509,_xlpm.m,IFERROR(_xlfn.XMATCH(C3495,_xlpm.r),IFERROR(_xlfn.XMATCH(VALUE(C3495),_xlpm.r),0)),IF(_xlpm.m=0,"",_xlpm.m+1))</f>
        <v/>
      </c>
      <c r="J3495" s="137" t="inlineStr">
        <is>
          <t>Shopify</t>
        </is>
      </c>
    </row>
    <row r="3496">
      <c r="A3496" s="5" t="inlineStr">
        <is>
          <t>Shopify Stetson México › Stetson México</t>
        </is>
      </c>
      <c r="B3496" s="5">
        <f>IF($I2="","",INDEX(Productos!$A:$A,$I2))</f>
        <v/>
      </c>
      <c r="C3496" s="134" t="inlineStr">
        <is>
          <t>STS51</t>
        </is>
      </c>
      <c r="D3496" s="5">
        <f>IF($I2="","",INDEX(Productos!$B:$B,$I2))</f>
        <v/>
      </c>
      <c r="E3496" s="5">
        <f>IF($I2="","",INDEX(Productos!$H:$H,$I2))</f>
        <v/>
      </c>
      <c r="F3496" s="5">
        <f>IF($I2="","",INDEX(Productos!$I:$I,$I2))</f>
        <v/>
      </c>
      <c r="G3496" s="135" t="n">
        <v>1</v>
      </c>
      <c r="H3496" s="5">
        <f>IF($I2="","",INDEX(Productos!$AG:$AG,$I2))</f>
        <v/>
      </c>
      <c r="I3496" s="136">
        <f>LET(_xlpm.r,Productos!$E$2:$E$2509,_xlpm.m,IFERROR(_xlfn.XMATCH(C3496,_xlpm.r),IFERROR(_xlfn.XMATCH(VALUE(C3496),_xlpm.r),0)),IF(_xlpm.m=0,"",_xlpm.m+1))</f>
        <v/>
      </c>
      <c r="J3496" s="137" t="inlineStr">
        <is>
          <t>Shopify</t>
        </is>
      </c>
    </row>
    <row r="3497">
      <c r="A3497" s="5" t="inlineStr">
        <is>
          <t>Shopify Stetson México › Stetson México</t>
        </is>
      </c>
      <c r="B3497" s="5">
        <f>IF($I2="","",INDEX(Productos!$A:$A,$I2))</f>
        <v/>
      </c>
      <c r="C3497" s="134" t="inlineStr">
        <is>
          <t>STS59</t>
        </is>
      </c>
      <c r="D3497" s="5">
        <f>IF($I2="","",INDEX(Productos!$B:$B,$I2))</f>
        <v/>
      </c>
      <c r="E3497" s="5">
        <f>IF($I2="","",INDEX(Productos!$H:$H,$I2))</f>
        <v/>
      </c>
      <c r="F3497" s="5">
        <f>IF($I2="","",INDEX(Productos!$I:$I,$I2))</f>
        <v/>
      </c>
      <c r="G3497" s="135" t="n">
        <v>1</v>
      </c>
      <c r="H3497" s="5">
        <f>IF($I2="","",INDEX(Productos!$AG:$AG,$I2))</f>
        <v/>
      </c>
      <c r="I3497" s="136">
        <f>LET(_xlpm.r,Productos!$E$2:$E$2509,_xlpm.m,IFERROR(_xlfn.XMATCH(C3497,_xlpm.r),IFERROR(_xlfn.XMATCH(VALUE(C3497),_xlpm.r),0)),IF(_xlpm.m=0,"",_xlpm.m+1))</f>
        <v/>
      </c>
      <c r="J3497" s="137" t="inlineStr">
        <is>
          <t>Shopify</t>
        </is>
      </c>
    </row>
    <row r="3498">
      <c r="A3498" s="5" t="inlineStr">
        <is>
          <t>Shopify Stetson México › Stetson México</t>
        </is>
      </c>
      <c r="B3498" s="5">
        <f>IF($I2="","",INDEX(Productos!$A:$A,$I2))</f>
        <v/>
      </c>
      <c r="C3498" s="134" t="inlineStr">
        <is>
          <t>SWBRNM-72420770</t>
        </is>
      </c>
      <c r="D3498" s="5">
        <f>IF($I2="","",INDEX(Productos!$B:$B,$I2))</f>
        <v/>
      </c>
      <c r="E3498" s="5">
        <f>IF($I2="","",INDEX(Productos!$H:$H,$I2))</f>
        <v/>
      </c>
      <c r="F3498" s="5">
        <f>IF($I2="","",INDEX(Productos!$I:$I,$I2))</f>
        <v/>
      </c>
      <c r="G3498" s="135" t="n">
        <v>1</v>
      </c>
      <c r="H3498" s="5">
        <f>IF($I2="","",INDEX(Productos!$AG:$AG,$I2))</f>
        <v/>
      </c>
      <c r="I3498" s="136">
        <f>LET(_xlpm.r,Productos!$E$2:$E$2509,_xlpm.m,IFERROR(_xlfn.XMATCH(C3498,_xlpm.r),IFERROR(_xlfn.XMATCH(VALUE(C3498),_xlpm.r),0)),IF(_xlpm.m=0,"",_xlpm.m+1))</f>
        <v/>
      </c>
      <c r="J3498" s="137" t="inlineStr">
        <is>
          <t>Shopify</t>
        </is>
      </c>
    </row>
    <row r="3499">
      <c r="A3499" s="5" t="inlineStr">
        <is>
          <t>Shopify Stetson México › Stetson México</t>
        </is>
      </c>
      <c r="B3499" s="5">
        <f>IF($I2="","",INDEX(Productos!$A:$A,$I2))</f>
        <v/>
      </c>
      <c r="C3499" s="134" t="inlineStr">
        <is>
          <t>SWBRNM-72420773</t>
        </is>
      </c>
      <c r="D3499" s="5">
        <f>IF($I2="","",INDEX(Productos!$B:$B,$I2))</f>
        <v/>
      </c>
      <c r="E3499" s="5">
        <f>IF($I2="","",INDEX(Productos!$H:$H,$I2))</f>
        <v/>
      </c>
      <c r="F3499" s="5">
        <f>IF($I2="","",INDEX(Productos!$I:$I,$I2))</f>
        <v/>
      </c>
      <c r="G3499" s="135" t="n">
        <v>6</v>
      </c>
      <c r="H3499" s="5">
        <f>IF($I2="","",INDEX(Productos!$AG:$AG,$I2))</f>
        <v/>
      </c>
      <c r="I3499" s="136">
        <f>LET(_xlpm.r,Productos!$E$2:$E$2509,_xlpm.m,IFERROR(_xlfn.XMATCH(C3499,_xlpm.r),IFERROR(_xlfn.XMATCH(VALUE(C3499),_xlpm.r),0)),IF(_xlpm.m=0,"",_xlpm.m+1))</f>
        <v/>
      </c>
      <c r="J3499" s="137" t="inlineStr">
        <is>
          <t>Shopify</t>
        </is>
      </c>
    </row>
    <row r="3500">
      <c r="A3500" s="5" t="inlineStr">
        <is>
          <t>Shopify Stetson México › Stetson México</t>
        </is>
      </c>
      <c r="B3500" s="5">
        <f>IF($I2="","",INDEX(Productos!$A:$A,$I2))</f>
        <v/>
      </c>
      <c r="C3500" s="134" t="inlineStr">
        <is>
          <t>SWBRNM-75402267</t>
        </is>
      </c>
      <c r="D3500" s="5">
        <f>IF($I2="","",INDEX(Productos!$B:$B,$I2))</f>
        <v/>
      </c>
      <c r="E3500" s="5">
        <f>IF($I2="","",INDEX(Productos!$H:$H,$I2))</f>
        <v/>
      </c>
      <c r="F3500" s="5">
        <f>IF($I2="","",INDEX(Productos!$I:$I,$I2))</f>
        <v/>
      </c>
      <c r="G3500" s="135" t="n">
        <v>1</v>
      </c>
      <c r="H3500" s="5">
        <f>IF($I2="","",INDEX(Productos!$AG:$AG,$I2))</f>
        <v/>
      </c>
      <c r="I3500" s="136">
        <f>LET(_xlpm.r,Productos!$E$2:$E$2509,_xlpm.m,IFERROR(_xlfn.XMATCH(C3500,_xlpm.r),IFERROR(_xlfn.XMATCH(VALUE(C3500),_xlpm.r),0)),IF(_xlpm.m=0,"",_xlpm.m+1))</f>
        <v/>
      </c>
      <c r="J3500" s="137" t="inlineStr">
        <is>
          <t>Shopify</t>
        </is>
      </c>
    </row>
    <row r="3501">
      <c r="A3501" s="5" t="inlineStr">
        <is>
          <t>Shopify Stetson México › Stetson México</t>
        </is>
      </c>
      <c r="B3501" s="5">
        <f>IF($I2="","",INDEX(Productos!$A:$A,$I2))</f>
        <v/>
      </c>
      <c r="C3501" s="134" t="inlineStr">
        <is>
          <t>SWBRNM-75402270</t>
        </is>
      </c>
      <c r="D3501" s="5">
        <f>IF($I2="","",INDEX(Productos!$B:$B,$I2))</f>
        <v/>
      </c>
      <c r="E3501" s="5">
        <f>IF($I2="","",INDEX(Productos!$H:$H,$I2))</f>
        <v/>
      </c>
      <c r="F3501" s="5">
        <f>IF($I2="","",INDEX(Productos!$I:$I,$I2))</f>
        <v/>
      </c>
      <c r="G3501" s="135" t="n">
        <v>1</v>
      </c>
      <c r="H3501" s="5">
        <f>IF($I2="","",INDEX(Productos!$AG:$AG,$I2))</f>
        <v/>
      </c>
      <c r="I3501" s="136">
        <f>LET(_xlpm.r,Productos!$E$2:$E$2509,_xlpm.m,IFERROR(_xlfn.XMATCH(C3501,_xlpm.r),IFERROR(_xlfn.XMATCH(VALUE(C3501),_xlpm.r),0)),IF(_xlpm.m=0,"",_xlpm.m+1))</f>
        <v/>
      </c>
      <c r="J3501" s="137" t="inlineStr">
        <is>
          <t>Shopify</t>
        </is>
      </c>
    </row>
    <row r="3502">
      <c r="A3502" s="5" t="inlineStr">
        <is>
          <t>Shopify Stetson México › Stetson México</t>
        </is>
      </c>
      <c r="B3502" s="5">
        <f>IF($I2="","",INDEX(Productos!$A:$A,$I2))</f>
        <v/>
      </c>
      <c r="C3502" s="134" t="inlineStr">
        <is>
          <t>SWBRNM-75402271</t>
        </is>
      </c>
      <c r="D3502" s="5">
        <f>IF($I2="","",INDEX(Productos!$B:$B,$I2))</f>
        <v/>
      </c>
      <c r="E3502" s="5">
        <f>IF($I2="","",INDEX(Productos!$H:$H,$I2))</f>
        <v/>
      </c>
      <c r="F3502" s="5">
        <f>IF($I2="","",INDEX(Productos!$I:$I,$I2))</f>
        <v/>
      </c>
      <c r="G3502" s="135" t="n">
        <v>1</v>
      </c>
      <c r="H3502" s="5">
        <f>IF($I2="","",INDEX(Productos!$AG:$AG,$I2))</f>
        <v/>
      </c>
      <c r="I3502" s="136">
        <f>LET(_xlpm.r,Productos!$E$2:$E$2509,_xlpm.m,IFERROR(_xlfn.XMATCH(C3502,_xlpm.r),IFERROR(_xlfn.XMATCH(VALUE(C3502),_xlpm.r),0)),IF(_xlpm.m=0,"",_xlpm.m+1))</f>
        <v/>
      </c>
      <c r="J3502" s="137" t="inlineStr">
        <is>
          <t>Shopify</t>
        </is>
      </c>
    </row>
    <row r="3503">
      <c r="A3503" s="5" t="inlineStr">
        <is>
          <t>Shopify Stetson México › Stetson México</t>
        </is>
      </c>
      <c r="B3503" s="5">
        <f>IF($I2="","",INDEX(Productos!$A:$A,$I2))</f>
        <v/>
      </c>
      <c r="C3503" s="134" t="inlineStr">
        <is>
          <t>SWBRNM-75402272</t>
        </is>
      </c>
      <c r="D3503" s="5">
        <f>IF($I2="","",INDEX(Productos!$B:$B,$I2))</f>
        <v/>
      </c>
      <c r="E3503" s="5">
        <f>IF($I2="","",INDEX(Productos!$H:$H,$I2))</f>
        <v/>
      </c>
      <c r="F3503" s="5">
        <f>IF($I2="","",INDEX(Productos!$I:$I,$I2))</f>
        <v/>
      </c>
      <c r="G3503" s="135" t="n">
        <v>4</v>
      </c>
      <c r="H3503" s="5">
        <f>IF($I2="","",INDEX(Productos!$AG:$AG,$I2))</f>
        <v/>
      </c>
      <c r="I3503" s="136">
        <f>LET(_xlpm.r,Productos!$E$2:$E$2509,_xlpm.m,IFERROR(_xlfn.XMATCH(C3503,_xlpm.r),IFERROR(_xlfn.XMATCH(VALUE(C3503),_xlpm.r),0)),IF(_xlpm.m=0,"",_xlpm.m+1))</f>
        <v/>
      </c>
      <c r="J3503" s="137" t="inlineStr">
        <is>
          <t>Shopify</t>
        </is>
      </c>
    </row>
    <row r="3504">
      <c r="A3504" s="5" t="inlineStr">
        <is>
          <t>Shopify Stetson México › Stetson México</t>
        </is>
      </c>
      <c r="B3504" s="5">
        <f>IF($I2="","",INDEX(Productos!$A:$A,$I2))</f>
        <v/>
      </c>
      <c r="C3504" s="134" t="inlineStr">
        <is>
          <t>SWBRNM-75402273</t>
        </is>
      </c>
      <c r="D3504" s="5">
        <f>IF($I2="","",INDEX(Productos!$B:$B,$I2))</f>
        <v/>
      </c>
      <c r="E3504" s="5">
        <f>IF($I2="","",INDEX(Productos!$H:$H,$I2))</f>
        <v/>
      </c>
      <c r="F3504" s="5">
        <f>IF($I2="","",INDEX(Productos!$I:$I,$I2))</f>
        <v/>
      </c>
      <c r="G3504" s="135" t="n">
        <v>3</v>
      </c>
      <c r="H3504" s="5">
        <f>IF($I2="","",INDEX(Productos!$AG:$AG,$I2))</f>
        <v/>
      </c>
      <c r="I3504" s="136">
        <f>LET(_xlpm.r,Productos!$E$2:$E$2509,_xlpm.m,IFERROR(_xlfn.XMATCH(C3504,_xlpm.r),IFERROR(_xlfn.XMATCH(VALUE(C3504),_xlpm.r),0)),IF(_xlpm.m=0,"",_xlpm.m+1))</f>
        <v/>
      </c>
      <c r="J3504" s="137" t="inlineStr">
        <is>
          <t>Shopify</t>
        </is>
      </c>
    </row>
    <row r="3505">
      <c r="A3505" s="5" t="inlineStr">
        <is>
          <t>Shopify Stetson México › Stetson México</t>
        </is>
      </c>
      <c r="B3505" s="5">
        <f>IF($I2="","",INDEX(Productos!$A:$A,$I2))</f>
        <v/>
      </c>
      <c r="C3505" s="134" t="inlineStr">
        <is>
          <t>SWMARS-6240D473</t>
        </is>
      </c>
      <c r="D3505" s="5">
        <f>IF($I2="","",INDEX(Productos!$B:$B,$I2))</f>
        <v/>
      </c>
      <c r="E3505" s="5">
        <f>IF($I2="","",INDEX(Productos!$H:$H,$I2))</f>
        <v/>
      </c>
      <c r="F3505" s="5">
        <f>IF($I2="","",INDEX(Productos!$I:$I,$I2))</f>
        <v/>
      </c>
      <c r="G3505" s="135" t="n">
        <v>2</v>
      </c>
      <c r="H3505" s="5">
        <f>IF($I2="","",INDEX(Productos!$AG:$AG,$I2))</f>
        <v/>
      </c>
      <c r="I3505" s="136">
        <f>LET(_xlpm.r,Productos!$E$2:$E$2509,_xlpm.m,IFERROR(_xlfn.XMATCH(C3505,_xlpm.r),IFERROR(_xlfn.XMATCH(VALUE(C3505),_xlpm.r),0)),IF(_xlpm.m=0,"",_xlpm.m+1))</f>
        <v/>
      </c>
      <c r="J3505" s="137" t="inlineStr">
        <is>
          <t>Shopify</t>
        </is>
      </c>
    </row>
    <row r="3506">
      <c r="A3506" s="5" t="inlineStr">
        <is>
          <t>Shopify Stetson México › Stetson México</t>
        </is>
      </c>
      <c r="B3506" s="5">
        <f>IF($I2="","",INDEX(Productos!$A:$A,$I2))</f>
        <v/>
      </c>
      <c r="C3506" s="134" t="inlineStr">
        <is>
          <t>TSATCM-104061L0</t>
        </is>
      </c>
      <c r="D3506" s="5">
        <f>IF($I2="","",INDEX(Productos!$B:$B,$I2))</f>
        <v/>
      </c>
      <c r="E3506" s="5">
        <f>IF($I2="","",INDEX(Productos!$H:$H,$I2))</f>
        <v/>
      </c>
      <c r="F3506" s="5">
        <f>IF($I2="","",INDEX(Productos!$I:$I,$I2))</f>
        <v/>
      </c>
      <c r="G3506" s="135" t="n">
        <v>1</v>
      </c>
      <c r="H3506" s="5">
        <f>IF($I2="","",INDEX(Productos!$AG:$AG,$I2))</f>
        <v/>
      </c>
      <c r="I3506" s="136">
        <f>LET(_xlpm.r,Productos!$E$2:$E$2509,_xlpm.m,IFERROR(_xlfn.XMATCH(C3506,_xlpm.r),IFERROR(_xlfn.XMATCH(VALUE(C3506),_xlpm.r),0)),IF(_xlpm.m=0,"",_xlpm.m+1))</f>
        <v/>
      </c>
      <c r="J3506" s="137" t="inlineStr">
        <is>
          <t>Shopify</t>
        </is>
      </c>
    </row>
    <row r="3507">
      <c r="A3507" s="5" t="inlineStr">
        <is>
          <t>Shopify Stetson México › Stetson México</t>
        </is>
      </c>
      <c r="B3507" s="5">
        <f>IF($I2="","",INDEX(Productos!$A:$A,$I2))</f>
        <v/>
      </c>
      <c r="C3507" s="134" t="inlineStr">
        <is>
          <t>TSATCM-104061M0</t>
        </is>
      </c>
      <c r="D3507" s="5">
        <f>IF($I2="","",INDEX(Productos!$B:$B,$I2))</f>
        <v/>
      </c>
      <c r="E3507" s="5">
        <f>IF($I2="","",INDEX(Productos!$H:$H,$I2))</f>
        <v/>
      </c>
      <c r="F3507" s="5">
        <f>IF($I2="","",INDEX(Productos!$I:$I,$I2))</f>
        <v/>
      </c>
      <c r="G3507" s="135" t="n">
        <v>1</v>
      </c>
      <c r="H3507" s="5">
        <f>IF($I2="","",INDEX(Productos!$AG:$AG,$I2))</f>
        <v/>
      </c>
      <c r="I3507" s="136">
        <f>LET(_xlpm.r,Productos!$E$2:$E$2509,_xlpm.m,IFERROR(_xlfn.XMATCH(C3507,_xlpm.r),IFERROR(_xlfn.XMATCH(VALUE(C3507),_xlpm.r),0)),IF(_xlpm.m=0,"",_xlpm.m+1))</f>
        <v/>
      </c>
      <c r="J3507" s="137" t="inlineStr">
        <is>
          <t>Shopify</t>
        </is>
      </c>
    </row>
    <row r="3508">
      <c r="A3508" s="5" t="inlineStr">
        <is>
          <t>Shopify Stetson México › Stetson México</t>
        </is>
      </c>
      <c r="B3508" s="5">
        <f>IF($I2="","",INDEX(Productos!$A:$A,$I2))</f>
        <v/>
      </c>
      <c r="C3508" s="134" t="inlineStr">
        <is>
          <t>TSATCM-104081L0</t>
        </is>
      </c>
      <c r="D3508" s="5">
        <f>IF($I2="","",INDEX(Productos!$B:$B,$I2))</f>
        <v/>
      </c>
      <c r="E3508" s="5">
        <f>IF($I2="","",INDEX(Productos!$H:$H,$I2))</f>
        <v/>
      </c>
      <c r="F3508" s="5">
        <f>IF($I2="","",INDEX(Productos!$I:$I,$I2))</f>
        <v/>
      </c>
      <c r="G3508" s="135" t="n">
        <v>1</v>
      </c>
      <c r="H3508" s="5">
        <f>IF($I2="","",INDEX(Productos!$AG:$AG,$I2))</f>
        <v/>
      </c>
      <c r="I3508" s="136">
        <f>LET(_xlpm.r,Productos!$E$2:$E$2509,_xlpm.m,IFERROR(_xlfn.XMATCH(C3508,_xlpm.r),IFERROR(_xlfn.XMATCH(VALUE(C3508),_xlpm.r),0)),IF(_xlpm.m=0,"",_xlpm.m+1))</f>
        <v/>
      </c>
      <c r="J3508" s="137" t="inlineStr">
        <is>
          <t>Shopify</t>
        </is>
      </c>
    </row>
    <row r="3509">
      <c r="A3509" s="5" t="inlineStr">
        <is>
          <t>Shopify Stetson México › Stetson México</t>
        </is>
      </c>
      <c r="B3509" s="5">
        <f>IF($I2="","",INDEX(Productos!$A:$A,$I2))</f>
        <v/>
      </c>
      <c r="C3509" s="134" t="inlineStr">
        <is>
          <t>TWDYLN-143407M0</t>
        </is>
      </c>
      <c r="D3509" s="5">
        <f>IF($I2="","",INDEX(Productos!$B:$B,$I2))</f>
        <v/>
      </c>
      <c r="E3509" s="5">
        <f>IF($I2="","",INDEX(Productos!$H:$H,$I2))</f>
        <v/>
      </c>
      <c r="F3509" s="5">
        <f>IF($I2="","",INDEX(Productos!$I:$I,$I2))</f>
        <v/>
      </c>
      <c r="G3509" s="135" t="n">
        <v>1</v>
      </c>
      <c r="H3509" s="5">
        <f>IF($I2="","",INDEX(Productos!$AG:$AG,$I2))</f>
        <v/>
      </c>
      <c r="I3509" s="136">
        <f>LET(_xlpm.r,Productos!$E$2:$E$2509,_xlpm.m,IFERROR(_xlfn.XMATCH(C3509,_xlpm.r),IFERROR(_xlfn.XMATCH(VALUE(C3509),_xlpm.r),0)),IF(_xlpm.m=0,"",_xlpm.m+1))</f>
        <v/>
      </c>
      <c r="J3509" s="137" t="inlineStr">
        <is>
          <t>Shopify</t>
        </is>
      </c>
    </row>
    <row r="3510">
      <c r="A3510" s="5" t="inlineStr">
        <is>
          <t>Shopify Stetson México › Stetson México</t>
        </is>
      </c>
      <c r="B3510" s="5">
        <f>IF($I2="","",INDEX(Productos!$A:$A,$I2))</f>
        <v/>
      </c>
      <c r="C3510" s="134" t="inlineStr">
        <is>
          <t>TWFLKL-FT34P5M0</t>
        </is>
      </c>
      <c r="D3510" s="5">
        <f>IF($I2="","",INDEX(Productos!$B:$B,$I2))</f>
        <v/>
      </c>
      <c r="E3510" s="5">
        <f>IF($I2="","",INDEX(Productos!$H:$H,$I2))</f>
        <v/>
      </c>
      <c r="F3510" s="5">
        <f>IF($I2="","",INDEX(Productos!$I:$I,$I2))</f>
        <v/>
      </c>
      <c r="G3510" s="135" t="n">
        <v>1</v>
      </c>
      <c r="H3510" s="5">
        <f>IF($I2="","",INDEX(Productos!$AG:$AG,$I2))</f>
        <v/>
      </c>
      <c r="I3510" s="136">
        <f>LET(_xlpm.r,Productos!$E$2:$E$2509,_xlpm.m,IFERROR(_xlfn.XMATCH(C3510,_xlpm.r),IFERROR(_xlfn.XMATCH(VALUE(C3510),_xlpm.r),0)),IF(_xlpm.m=0,"",_xlpm.m+1))</f>
        <v/>
      </c>
      <c r="J3510" s="137" t="inlineStr">
        <is>
          <t>Shopify</t>
        </is>
      </c>
    </row>
    <row r="3511">
      <c r="A3511" s="5" t="inlineStr">
        <is>
          <t>Shopify Stetson México › Stetson México</t>
        </is>
      </c>
      <c r="B3511" s="5">
        <f>IF($I2="","",INDEX(Productos!$A:$A,$I2))</f>
        <v/>
      </c>
      <c r="C3511" s="134" t="inlineStr">
        <is>
          <t>TWHDRKB104074L0</t>
        </is>
      </c>
      <c r="D3511" s="5">
        <f>IF($I2="","",INDEX(Productos!$B:$B,$I2))</f>
        <v/>
      </c>
      <c r="E3511" s="5">
        <f>IF($I2="","",INDEX(Productos!$H:$H,$I2))</f>
        <v/>
      </c>
      <c r="F3511" s="5">
        <f>IF($I2="","",INDEX(Productos!$I:$I,$I2))</f>
        <v/>
      </c>
      <c r="G3511" s="135" t="n">
        <v>1</v>
      </c>
      <c r="H3511" s="5">
        <f>IF($I2="","",INDEX(Productos!$AG:$AG,$I2))</f>
        <v/>
      </c>
      <c r="I3511" s="136">
        <f>LET(_xlpm.r,Productos!$E$2:$E$2509,_xlpm.m,IFERROR(_xlfn.XMATCH(C3511,_xlpm.r),IFERROR(_xlfn.XMATCH(VALUE(C3511),_xlpm.r),0)),IF(_xlpm.m=0,"",_xlpm.m+1))</f>
        <v/>
      </c>
      <c r="J3511" s="137" t="inlineStr">
        <is>
          <t>Shopify</t>
        </is>
      </c>
    </row>
    <row r="3512">
      <c r="A3512" s="5" t="inlineStr">
        <is>
          <t>Shopify Stetson México › Stetson México</t>
        </is>
      </c>
      <c r="B3512" s="5">
        <f>IF($I2="","",INDEX(Productos!$A:$A,$I2))</f>
        <v/>
      </c>
      <c r="C3512" s="134" t="inlineStr">
        <is>
          <t>XSOSIS-254081L0</t>
        </is>
      </c>
      <c r="D3512" s="5">
        <f>IF($I2="","",INDEX(Productos!$B:$B,$I2))</f>
        <v/>
      </c>
      <c r="E3512" s="5">
        <f>IF($I2="","",INDEX(Productos!$H:$H,$I2))</f>
        <v/>
      </c>
      <c r="F3512" s="5">
        <f>IF($I2="","",INDEX(Productos!$I:$I,$I2))</f>
        <v/>
      </c>
      <c r="G3512" s="135" t="n">
        <v>1</v>
      </c>
      <c r="H3512" s="5">
        <f>IF($I2="","",INDEX(Productos!$AG:$AG,$I2))</f>
        <v/>
      </c>
      <c r="I3512" s="136">
        <f>LET(_xlpm.r,Productos!$E$2:$E$2509,_xlpm.m,IFERROR(_xlfn.XMATCH(C3512,_xlpm.r),IFERROR(_xlfn.XMATCH(VALUE(C3512),_xlpm.r),0)),IF(_xlpm.m=0,"",_xlpm.m+1))</f>
        <v/>
      </c>
      <c r="J3512" s="137" t="inlineStr">
        <is>
          <t>Shopify</t>
        </is>
      </c>
    </row>
    <row r="3513">
      <c r="A3513" s="5" t="inlineStr">
        <is>
          <t>Shopify Stetson México › Stetson México</t>
        </is>
      </c>
      <c r="B3513" s="5">
        <f>IF($I2="","",INDEX(Productos!$A:$A,$I2))</f>
        <v/>
      </c>
      <c r="C3513" s="134" t="inlineStr">
        <is>
          <t>XSOSIS-254081M0</t>
        </is>
      </c>
      <c r="D3513" s="5">
        <f>IF($I2="","",INDEX(Productos!$B:$B,$I2))</f>
        <v/>
      </c>
      <c r="E3513" s="5">
        <f>IF($I2="","",INDEX(Productos!$H:$H,$I2))</f>
        <v/>
      </c>
      <c r="F3513" s="5">
        <f>IF($I2="","",INDEX(Productos!$I:$I,$I2))</f>
        <v/>
      </c>
      <c r="G3513" s="135" t="n">
        <v>1</v>
      </c>
      <c r="H3513" s="5">
        <f>IF($I2="","",INDEX(Productos!$AG:$AG,$I2))</f>
        <v/>
      </c>
      <c r="I3513" s="136">
        <f>LET(_xlpm.r,Productos!$E$2:$E$2509,_xlpm.m,IFERROR(_xlfn.XMATCH(C3513,_xlpm.r),IFERROR(_xlfn.XMATCH(VALUE(C3513),_xlpm.r),0)),IF(_xlpm.m=0,"",_xlpm.m+1))</f>
        <v/>
      </c>
      <c r="J3513" s="137" t="inlineStr">
        <is>
          <t>Shopify</t>
        </is>
      </c>
    </row>
    <row r="3514">
      <c r="A3514" s="5" t="inlineStr">
        <is>
          <t>Shopify Stetson México › Stetson México</t>
        </is>
      </c>
      <c r="B3514" s="5">
        <f>IF($I2="","",INDEX(Productos!$A:$A,$I2))</f>
        <v/>
      </c>
      <c r="C3514" s="134" t="inlineStr">
        <is>
          <t>XSOSIS-254081S0</t>
        </is>
      </c>
      <c r="D3514" s="5">
        <f>IF($I2="","",INDEX(Productos!$B:$B,$I2))</f>
        <v/>
      </c>
      <c r="E3514" s="5">
        <f>IF($I2="","",INDEX(Productos!$H:$H,$I2))</f>
        <v/>
      </c>
      <c r="F3514" s="5">
        <f>IF($I2="","",INDEX(Productos!$I:$I,$I2))</f>
        <v/>
      </c>
      <c r="G3514" s="135" t="n">
        <v>1</v>
      </c>
      <c r="H3514" s="5">
        <f>IF($I2="","",INDEX(Productos!$AG:$AG,$I2))</f>
        <v/>
      </c>
      <c r="I3514" s="136">
        <f>LET(_xlpm.r,Productos!$E$2:$E$2509,_xlpm.m,IFERROR(_xlfn.XMATCH(C3514,_xlpm.r),IFERROR(_xlfn.XMATCH(VALUE(C3514),_xlpm.r),0)),IF(_xlpm.m=0,"",_xlpm.m+1))</f>
        <v/>
      </c>
      <c r="J3514" s="137" t="inlineStr">
        <is>
          <t>Shopify</t>
        </is>
      </c>
    </row>
    <row r="3515">
      <c r="A3515" s="5" t="inlineStr">
        <is>
          <t>Shopify Stetson México › Stetson México</t>
        </is>
      </c>
      <c r="B3515" s="5">
        <f>IF($I2="","",INDEX(Productos!$A:$A,$I2))</f>
        <v/>
      </c>
      <c r="C3515" s="134" t="inlineStr">
        <is>
          <t>XSOSIS-254081XL</t>
        </is>
      </c>
      <c r="D3515" s="5">
        <f>IF($I2="","",INDEX(Productos!$B:$B,$I2))</f>
        <v/>
      </c>
      <c r="E3515" s="5">
        <f>IF($I2="","",INDEX(Productos!$H:$H,$I2))</f>
        <v/>
      </c>
      <c r="F3515" s="5">
        <f>IF($I2="","",INDEX(Productos!$I:$I,$I2))</f>
        <v/>
      </c>
      <c r="G3515" s="135" t="n">
        <v>1</v>
      </c>
      <c r="H3515" s="5">
        <f>IF($I2="","",INDEX(Productos!$AG:$AG,$I2))</f>
        <v/>
      </c>
      <c r="I3515" s="136">
        <f>LET(_xlpm.r,Productos!$E$2:$E$2509,_xlpm.m,IFERROR(_xlfn.XMATCH(C3515,_xlpm.r),IFERROR(_xlfn.XMATCH(VALUE(C3515),_xlpm.r),0)),IF(_xlpm.m=0,"",_xlpm.m+1))</f>
        <v/>
      </c>
      <c r="J3515" s="137" t="inlineStr">
        <is>
          <t>Shopify</t>
        </is>
      </c>
    </row>
    <row r="3516">
      <c r="A3516" s="5" t="inlineStr">
        <is>
          <t>Shopify Stetson México › Stetson México</t>
        </is>
      </c>
      <c r="B3516" s="5">
        <f>IF($I2="","",INDEX(Productos!$A:$A,$I2))</f>
        <v/>
      </c>
      <c r="C3516" s="134" t="inlineStr">
        <is>
          <t>XWESWD-974048L0</t>
        </is>
      </c>
      <c r="D3516" s="5">
        <f>IF($I2="","",INDEX(Productos!$B:$B,$I2))</f>
        <v/>
      </c>
      <c r="E3516" s="5">
        <f>IF($I2="","",INDEX(Productos!$H:$H,$I2))</f>
        <v/>
      </c>
      <c r="F3516" s="5">
        <f>IF($I2="","",INDEX(Productos!$I:$I,$I2))</f>
        <v/>
      </c>
      <c r="G3516" s="135" t="n">
        <v>1</v>
      </c>
      <c r="H3516" s="5">
        <f>IF($I2="","",INDEX(Productos!$AG:$AG,$I2))</f>
        <v/>
      </c>
      <c r="I3516" s="136">
        <f>LET(_xlpm.r,Productos!$E$2:$E$2509,_xlpm.m,IFERROR(_xlfn.XMATCH(C3516,_xlpm.r),IFERROR(_xlfn.XMATCH(VALUE(C3516),_xlpm.r),0)),IF(_xlpm.m=0,"",_xlpm.m+1))</f>
        <v/>
      </c>
      <c r="J3516" s="137" t="inlineStr">
        <is>
          <t>Shopify</t>
        </is>
      </c>
    </row>
    <row r="3517">
      <c r="A3517" s="5" t="inlineStr">
        <is>
          <t>Shopify Stetson México › Stetson México</t>
        </is>
      </c>
      <c r="B3517" s="5">
        <f>IF($I2="","",INDEX(Productos!$A:$A,$I2))</f>
        <v/>
      </c>
      <c r="C3517" s="134" t="inlineStr">
        <is>
          <t>XWESWD-974048XL</t>
        </is>
      </c>
      <c r="D3517" s="5">
        <f>IF($I2="","",INDEX(Productos!$B:$B,$I2))</f>
        <v/>
      </c>
      <c r="E3517" s="5">
        <f>IF($I2="","",INDEX(Productos!$H:$H,$I2))</f>
        <v/>
      </c>
      <c r="F3517" s="5">
        <f>IF($I2="","",INDEX(Productos!$I:$I,$I2))</f>
        <v/>
      </c>
      <c r="G3517" s="135" t="n">
        <v>1</v>
      </c>
      <c r="H3517" s="5">
        <f>IF($I2="","",INDEX(Productos!$AG:$AG,$I2))</f>
        <v/>
      </c>
      <c r="I3517" s="136">
        <f>LET(_xlpm.r,Productos!$E$2:$E$2509,_xlpm.m,IFERROR(_xlfn.XMATCH(C3517,_xlpm.r),IFERROR(_xlfn.XMATCH(VALUE(C3517),_xlpm.r),0)),IF(_xlpm.m=0,"",_xlpm.m+1))</f>
        <v/>
      </c>
      <c r="J3517" s="137" t="inlineStr">
        <is>
          <t>Shopify</t>
        </is>
      </c>
    </row>
    <row r="3518">
      <c r="A3518" s="5" t="inlineStr">
        <is>
          <t>Shopify Stetson México › Stetson México</t>
        </is>
      </c>
      <c r="B3518" s="5">
        <f>IF($I2="","",INDEX(Productos!$A:$A,$I2))</f>
        <v/>
      </c>
      <c r="C3518" s="134" t="inlineStr">
        <is>
          <t>XWESWD-97405MXL</t>
        </is>
      </c>
      <c r="D3518" s="5">
        <f>IF($I2="","",INDEX(Productos!$B:$B,$I2))</f>
        <v/>
      </c>
      <c r="E3518" s="5">
        <f>IF($I2="","",INDEX(Productos!$H:$H,$I2))</f>
        <v/>
      </c>
      <c r="F3518" s="5">
        <f>IF($I2="","",INDEX(Productos!$I:$I,$I2))</f>
        <v/>
      </c>
      <c r="G3518" s="135" t="n">
        <v>1</v>
      </c>
      <c r="H3518" s="5">
        <f>IF($I2="","",INDEX(Productos!$AG:$AG,$I2))</f>
        <v/>
      </c>
      <c r="I3518" s="136">
        <f>LET(_xlpm.r,Productos!$E$2:$E$2509,_xlpm.m,IFERROR(_xlfn.XMATCH(C3518,_xlpm.r),IFERROR(_xlfn.XMATCH(VALUE(C3518),_xlpm.r),0)),IF(_xlpm.m=0,"",_xlpm.m+1))</f>
        <v/>
      </c>
      <c r="J3518" s="137" t="inlineStr">
        <is>
          <t>Shopify</t>
        </is>
      </c>
    </row>
    <row r="3519">
      <c r="A3519" s="5" t="inlineStr">
        <is>
          <t>Shopify Stetson México › Stetson México</t>
        </is>
      </c>
      <c r="B3519" s="5">
        <f>IF($I2="","",INDEX(Productos!$A:$A,$I2))</f>
        <v/>
      </c>
      <c r="C3519" s="134" t="inlineStr">
        <is>
          <t>XWESWD-974074L0</t>
        </is>
      </c>
      <c r="D3519" s="5">
        <f>IF($I2="","",INDEX(Productos!$B:$B,$I2))</f>
        <v/>
      </c>
      <c r="E3519" s="5">
        <f>IF($I2="","",INDEX(Productos!$H:$H,$I2))</f>
        <v/>
      </c>
      <c r="F3519" s="5">
        <f>IF($I2="","",INDEX(Productos!$I:$I,$I2))</f>
        <v/>
      </c>
      <c r="G3519" s="135" t="n">
        <v>2</v>
      </c>
      <c r="H3519" s="5">
        <f>IF($I2="","",INDEX(Productos!$AG:$AG,$I2))</f>
        <v/>
      </c>
      <c r="I3519" s="136">
        <f>LET(_xlpm.r,Productos!$E$2:$E$2509,_xlpm.m,IFERROR(_xlfn.XMATCH(C3519,_xlpm.r),IFERROR(_xlfn.XMATCH(VALUE(C3519),_xlpm.r),0)),IF(_xlpm.m=0,"",_xlpm.m+1))</f>
        <v/>
      </c>
      <c r="J3519" s="137" t="inlineStr">
        <is>
          <t>Shopify</t>
        </is>
      </c>
    </row>
    <row r="3520">
      <c r="A3520" s="5" t="inlineStr">
        <is>
          <t>Shopify Stetson México › Stetson México</t>
        </is>
      </c>
      <c r="B3520" s="5">
        <f>IF($I2="","",INDEX(Productos!$A:$A,$I2))</f>
        <v/>
      </c>
      <c r="C3520" s="134" t="inlineStr">
        <is>
          <t>XWESWD-974074M0</t>
        </is>
      </c>
      <c r="D3520" s="5">
        <f>IF($I2="","",INDEX(Productos!$B:$B,$I2))</f>
        <v/>
      </c>
      <c r="E3520" s="5">
        <f>IF($I2="","",INDEX(Productos!$H:$H,$I2))</f>
        <v/>
      </c>
      <c r="F3520" s="5">
        <f>IF($I2="","",INDEX(Productos!$I:$I,$I2))</f>
        <v/>
      </c>
      <c r="G3520" s="135" t="n">
        <v>1</v>
      </c>
      <c r="H3520" s="5">
        <f>IF($I2="","",INDEX(Productos!$AG:$AG,$I2))</f>
        <v/>
      </c>
      <c r="I3520" s="136">
        <f>LET(_xlpm.r,Productos!$E$2:$E$2509,_xlpm.m,IFERROR(_xlfn.XMATCH(C3520,_xlpm.r),IFERROR(_xlfn.XMATCH(VALUE(C3520),_xlpm.r),0)),IF(_xlpm.m=0,"",_xlpm.m+1))</f>
        <v/>
      </c>
      <c r="J3520" s="137" t="inlineStr">
        <is>
          <t>Shopify</t>
        </is>
      </c>
    </row>
    <row r="3521">
      <c r="A3521" s="5" t="inlineStr">
        <is>
          <t>Shopify Stetson México › Stetson México</t>
        </is>
      </c>
      <c r="B3521" s="5">
        <f>IF($I2="","",INDEX(Productos!$A:$A,$I2))</f>
        <v/>
      </c>
      <c r="C3521" s="134" t="inlineStr">
        <is>
          <t>XWESWD-974074S0</t>
        </is>
      </c>
      <c r="D3521" s="5">
        <f>IF($I2="","",INDEX(Productos!$B:$B,$I2))</f>
        <v/>
      </c>
      <c r="E3521" s="5">
        <f>IF($I2="","",INDEX(Productos!$H:$H,$I2))</f>
        <v/>
      </c>
      <c r="F3521" s="5">
        <f>IF($I2="","",INDEX(Productos!$I:$I,$I2))</f>
        <v/>
      </c>
      <c r="G3521" s="135" t="n">
        <v>1</v>
      </c>
      <c r="H3521" s="5">
        <f>IF($I2="","",INDEX(Productos!$AG:$AG,$I2))</f>
        <v/>
      </c>
      <c r="I3521" s="136">
        <f>LET(_xlpm.r,Productos!$E$2:$E$2509,_xlpm.m,IFERROR(_xlfn.XMATCH(C3521,_xlpm.r),IFERROR(_xlfn.XMATCH(VALUE(C3521),_xlpm.r),0)),IF(_xlpm.m=0,"",_xlpm.m+1))</f>
        <v/>
      </c>
      <c r="J3521" s="137" t="inlineStr">
        <is>
          <t>Shopify</t>
        </is>
      </c>
    </row>
    <row r="3522">
      <c r="A3522" s="5" t="inlineStr">
        <is>
          <t>Shopify Stetson México › Stetson México</t>
        </is>
      </c>
      <c r="B3522" s="5">
        <f>IF($I2="","",INDEX(Productos!$A:$A,$I2))</f>
        <v/>
      </c>
      <c r="C3522" s="134" t="inlineStr">
        <is>
          <t>XWESWD-974074XL</t>
        </is>
      </c>
      <c r="D3522" s="5">
        <f>IF($I2="","",INDEX(Productos!$B:$B,$I2))</f>
        <v/>
      </c>
      <c r="E3522" s="5">
        <f>IF($I2="","",INDEX(Productos!$H:$H,$I2))</f>
        <v/>
      </c>
      <c r="F3522" s="5">
        <f>IF($I2="","",INDEX(Productos!$I:$I,$I2))</f>
        <v/>
      </c>
      <c r="G3522" s="135" t="n">
        <v>1</v>
      </c>
      <c r="H3522" s="5">
        <f>IF($I2="","",INDEX(Productos!$AG:$AG,$I2))</f>
        <v/>
      </c>
      <c r="I3522" s="136">
        <f>LET(_xlpm.r,Productos!$E$2:$E$2509,_xlpm.m,IFERROR(_xlfn.XMATCH(C3522,_xlpm.r),IFERROR(_xlfn.XMATCH(VALUE(C3522),_xlpm.r),0)),IF(_xlpm.m=0,"",_xlpm.m+1))</f>
        <v/>
      </c>
      <c r="J3522" s="137" t="inlineStr">
        <is>
          <t>Shopify</t>
        </is>
      </c>
    </row>
    <row r="3523">
      <c r="A3523" s="5" t="inlineStr">
        <is>
          <t>Shopify Stetson México › Stetson México</t>
        </is>
      </c>
      <c r="B3523" s="5">
        <f>IF($I2="","",INDEX(Productos!$A:$A,$I2))</f>
        <v/>
      </c>
      <c r="C3523" s="134" t="inlineStr">
        <is>
          <t>XWGDCR-9142DML0</t>
        </is>
      </c>
      <c r="D3523" s="5">
        <f>IF($I2="","",INDEX(Productos!$B:$B,$I2))</f>
        <v/>
      </c>
      <c r="E3523" s="5">
        <f>IF($I2="","",INDEX(Productos!$H:$H,$I2))</f>
        <v/>
      </c>
      <c r="F3523" s="5">
        <f>IF($I2="","",INDEX(Productos!$I:$I,$I2))</f>
        <v/>
      </c>
      <c r="G3523" s="135" t="n">
        <v>1</v>
      </c>
      <c r="H3523" s="5">
        <f>IF($I2="","",INDEX(Productos!$AG:$AG,$I2))</f>
        <v/>
      </c>
      <c r="I3523" s="136">
        <f>LET(_xlpm.r,Productos!$E$2:$E$2509,_xlpm.m,IFERROR(_xlfn.XMATCH(C3523,_xlpm.r),IFERROR(_xlfn.XMATCH(VALUE(C3523),_xlpm.r),0)),IF(_xlpm.m=0,"",_xlpm.m+1))</f>
        <v/>
      </c>
      <c r="J3523" s="137" t="inlineStr">
        <is>
          <t>Shopify</t>
        </is>
      </c>
    </row>
    <row r="3524">
      <c r="A3524" s="5" t="inlineStr">
        <is>
          <t>Shopify Stetson México › Stetson México</t>
        </is>
      </c>
      <c r="B3524" s="5">
        <f>IF($I2="","",INDEX(Productos!$A:$A,$I2))</f>
        <v/>
      </c>
      <c r="C3524" s="134" t="inlineStr">
        <is>
          <t>XWNGSKS104074L0</t>
        </is>
      </c>
      <c r="D3524" s="5">
        <f>IF($I2="","",INDEX(Productos!$B:$B,$I2))</f>
        <v/>
      </c>
      <c r="E3524" s="5">
        <f>IF($I2="","",INDEX(Productos!$H:$H,$I2))</f>
        <v/>
      </c>
      <c r="F3524" s="5">
        <f>IF($I2="","",INDEX(Productos!$I:$I,$I2))</f>
        <v/>
      </c>
      <c r="G3524" s="135" t="n">
        <v>1</v>
      </c>
      <c r="H3524" s="5">
        <f>IF($I2="","",INDEX(Productos!$AG:$AG,$I2))</f>
        <v/>
      </c>
      <c r="I3524" s="136">
        <f>LET(_xlpm.r,Productos!$E$2:$E$2509,_xlpm.m,IFERROR(_xlfn.XMATCH(C3524,_xlpm.r),IFERROR(_xlfn.XMATCH(VALUE(C3524),_xlpm.r),0)),IF(_xlpm.m=0,"",_xlpm.m+1))</f>
        <v/>
      </c>
      <c r="J3524" s="137" t="inlineStr">
        <is>
          <t>Shopify</t>
        </is>
      </c>
    </row>
    <row r="3525">
      <c r="A3525" s="5" t="inlineStr">
        <is>
          <t>Shopify Stetson México › Stetson México</t>
        </is>
      </c>
      <c r="B3525" s="5">
        <f>IF($I2="","",INDEX(Productos!$A:$A,$I2))</f>
        <v/>
      </c>
      <c r="C3525" s="134" t="inlineStr">
        <is>
          <t>XWNGSKS104074M0</t>
        </is>
      </c>
      <c r="D3525" s="5">
        <f>IF($I2="","",INDEX(Productos!$B:$B,$I2))</f>
        <v/>
      </c>
      <c r="E3525" s="5">
        <f>IF($I2="","",INDEX(Productos!$H:$H,$I2))</f>
        <v/>
      </c>
      <c r="F3525" s="5">
        <f>IF($I2="","",INDEX(Productos!$I:$I,$I2))</f>
        <v/>
      </c>
      <c r="G3525" s="135" t="n">
        <v>1</v>
      </c>
      <c r="H3525" s="5">
        <f>IF($I2="","",INDEX(Productos!$AG:$AG,$I2))</f>
        <v/>
      </c>
      <c r="I3525" s="136">
        <f>LET(_xlpm.r,Productos!$E$2:$E$2509,_xlpm.m,IFERROR(_xlfn.XMATCH(C3525,_xlpm.r),IFERROR(_xlfn.XMATCH(VALUE(C3525),_xlpm.r),0)),IF(_xlpm.m=0,"",_xlpm.m+1))</f>
        <v/>
      </c>
      <c r="J3525" s="137" t="inlineStr">
        <is>
          <t>Shopify</t>
        </is>
      </c>
    </row>
    <row r="3526">
      <c r="A3526" s="5" t="inlineStr">
        <is>
          <t>Shopify Stetson México › Stetson México</t>
        </is>
      </c>
      <c r="B3526" s="5">
        <f>IF($I2="","",INDEX(Productos!$A:$A,$I2))</f>
        <v/>
      </c>
      <c r="C3526" s="134" t="inlineStr">
        <is>
          <t>XWNGSKS104078L0</t>
        </is>
      </c>
      <c r="D3526" s="5">
        <f>IF($I2="","",INDEX(Productos!$B:$B,$I2))</f>
        <v/>
      </c>
      <c r="E3526" s="5">
        <f>IF($I2="","",INDEX(Productos!$H:$H,$I2))</f>
        <v/>
      </c>
      <c r="F3526" s="5">
        <f>IF($I2="","",INDEX(Productos!$I:$I,$I2))</f>
        <v/>
      </c>
      <c r="G3526" s="135" t="n">
        <v>1</v>
      </c>
      <c r="H3526" s="5">
        <f>IF($I2="","",INDEX(Productos!$AG:$AG,$I2))</f>
        <v/>
      </c>
      <c r="I3526" s="136">
        <f>LET(_xlpm.r,Productos!$E$2:$E$2509,_xlpm.m,IFERROR(_xlfn.XMATCH(C3526,_xlpm.r),IFERROR(_xlfn.XMATCH(VALUE(C3526),_xlpm.r),0)),IF(_xlpm.m=0,"",_xlpm.m+1))</f>
        <v/>
      </c>
      <c r="J3526" s="137" t="inlineStr">
        <is>
          <t>Shopify</t>
        </is>
      </c>
    </row>
    <row r="3527">
      <c r="A3527" s="5" t="inlineStr">
        <is>
          <t>Shopify Stetson México › Stetson México</t>
        </is>
      </c>
      <c r="B3527" s="5">
        <f>IF($I2="","",INDEX(Productos!$A:$A,$I2))</f>
        <v/>
      </c>
      <c r="C3527" s="134" t="inlineStr">
        <is>
          <t>XWNGSKS104078M0</t>
        </is>
      </c>
      <c r="D3527" s="5">
        <f>IF($I2="","",INDEX(Productos!$B:$B,$I2))</f>
        <v/>
      </c>
      <c r="E3527" s="5">
        <f>IF($I2="","",INDEX(Productos!$H:$H,$I2))</f>
        <v/>
      </c>
      <c r="F3527" s="5">
        <f>IF($I2="","",INDEX(Productos!$I:$I,$I2))</f>
        <v/>
      </c>
      <c r="G3527" s="135" t="n">
        <v>1</v>
      </c>
      <c r="H3527" s="5">
        <f>IF($I2="","",INDEX(Productos!$AG:$AG,$I2))</f>
        <v/>
      </c>
      <c r="I3527" s="136">
        <f>LET(_xlpm.r,Productos!$E$2:$E$2509,_xlpm.m,IFERROR(_xlfn.XMATCH(C3527,_xlpm.r),IFERROR(_xlfn.XMATCH(VALUE(C3527),_xlpm.r),0)),IF(_xlpm.m=0,"",_xlpm.m+1))</f>
        <v/>
      </c>
      <c r="J3527" s="137" t="inlineStr">
        <is>
          <t>Shopify</t>
        </is>
      </c>
    </row>
    <row r="3528">
      <c r="A3528" s="5" t="inlineStr">
        <is>
          <t>Shopify Western Brothers › Western Brothers Outlet Lerma</t>
        </is>
      </c>
      <c r="B3528" s="5">
        <f>IF($I2="","",INDEX(Productos!$A:$A,$I2))</f>
        <v/>
      </c>
      <c r="C3528" s="134" t="inlineStr">
        <is>
          <t>9401790-204-L</t>
        </is>
      </c>
      <c r="D3528" s="5">
        <f>IF($I2="","",INDEX(Productos!$B:$B,$I2))</f>
        <v/>
      </c>
      <c r="E3528" s="5">
        <f>IF($I2="","",INDEX(Productos!$H:$H,$I2))</f>
        <v/>
      </c>
      <c r="F3528" s="5">
        <f>IF($I2="","",INDEX(Productos!$I:$I,$I2))</f>
        <v/>
      </c>
      <c r="G3528" s="135" t="n">
        <v>2</v>
      </c>
      <c r="H3528" s="5">
        <f>IF($I2="","",INDEX(Productos!$AG:$AG,$I2))</f>
        <v/>
      </c>
      <c r="I3528" s="136">
        <f>LET(_xlpm.r,Productos!$E$2:$E$2509,_xlpm.m,IFERROR(_xlfn.XMATCH(C3528,_xlpm.r),IFERROR(_xlfn.XMATCH(VALUE(C3528),_xlpm.r),0)),IF(_xlpm.m=0,"",_xlpm.m+1))</f>
        <v/>
      </c>
      <c r="J3528" s="137" t="inlineStr">
        <is>
          <t>Shopify</t>
        </is>
      </c>
    </row>
    <row r="3529">
      <c r="A3529" s="5" t="inlineStr">
        <is>
          <t>Shopify Western Brothers › Western Brothers Outlet Lerma</t>
        </is>
      </c>
      <c r="B3529" s="5">
        <f>IF($I2="","",INDEX(Productos!$A:$A,$I2))</f>
        <v/>
      </c>
      <c r="C3529" s="134" t="inlineStr">
        <is>
          <t>9402790-200-L</t>
        </is>
      </c>
      <c r="D3529" s="5">
        <f>IF($I2="","",INDEX(Productos!$B:$B,$I2))</f>
        <v/>
      </c>
      <c r="E3529" s="5">
        <f>IF($I2="","",INDEX(Productos!$H:$H,$I2))</f>
        <v/>
      </c>
      <c r="F3529" s="5">
        <f>IF($I2="","",INDEX(Productos!$I:$I,$I2))</f>
        <v/>
      </c>
      <c r="G3529" s="135" t="n">
        <v>1</v>
      </c>
      <c r="H3529" s="5">
        <f>IF($I2="","",INDEX(Productos!$AG:$AG,$I2))</f>
        <v/>
      </c>
      <c r="I3529" s="136">
        <f>LET(_xlpm.r,Productos!$E$2:$E$2509,_xlpm.m,IFERROR(_xlfn.XMATCH(C3529,_xlpm.r),IFERROR(_xlfn.XMATCH(VALUE(C3529),_xlpm.r),0)),IF(_xlpm.m=0,"",_xlpm.m+1))</f>
        <v/>
      </c>
      <c r="J3529" s="137" t="inlineStr">
        <is>
          <t>Shopify</t>
        </is>
      </c>
    </row>
    <row r="3530">
      <c r="A3530" s="5" t="inlineStr">
        <is>
          <t>Shopify Western Brothers › Western Brothers Outlet Lerma</t>
        </is>
      </c>
      <c r="B3530" s="5">
        <f>IF($I2="","",INDEX(Productos!$A:$A,$I2))</f>
        <v/>
      </c>
      <c r="C3530" s="134" t="inlineStr">
        <is>
          <t>9402790-200-M</t>
        </is>
      </c>
      <c r="D3530" s="5">
        <f>IF($I2="","",INDEX(Productos!$B:$B,$I2))</f>
        <v/>
      </c>
      <c r="E3530" s="5">
        <f>IF($I2="","",INDEX(Productos!$H:$H,$I2))</f>
        <v/>
      </c>
      <c r="F3530" s="5">
        <f>IF($I2="","",INDEX(Productos!$I:$I,$I2))</f>
        <v/>
      </c>
      <c r="G3530" s="135" t="n">
        <v>2</v>
      </c>
      <c r="H3530" s="5">
        <f>IF($I2="","",INDEX(Productos!$AG:$AG,$I2))</f>
        <v/>
      </c>
      <c r="I3530" s="136">
        <f>LET(_xlpm.r,Productos!$E$2:$E$2509,_xlpm.m,IFERROR(_xlfn.XMATCH(C3530,_xlpm.r),IFERROR(_xlfn.XMATCH(VALUE(C3530),_xlpm.r),0)),IF(_xlpm.m=0,"",_xlpm.m+1))</f>
        <v/>
      </c>
      <c r="J3530" s="137" t="inlineStr">
        <is>
          <t>Shopify</t>
        </is>
      </c>
    </row>
    <row r="3531">
      <c r="A3531" s="5" t="inlineStr">
        <is>
          <t>Shopify Western Brothers › Western Brothers Outlet Lerma</t>
        </is>
      </c>
      <c r="B3531" s="5">
        <f>IF($I2="","",INDEX(Productos!$A:$A,$I2))</f>
        <v/>
      </c>
      <c r="C3531" s="134" t="inlineStr">
        <is>
          <t>9402790-200-XL</t>
        </is>
      </c>
      <c r="D3531" s="5">
        <f>IF($I2="","",INDEX(Productos!$B:$B,$I2))</f>
        <v/>
      </c>
      <c r="E3531" s="5">
        <f>IF($I2="","",INDEX(Productos!$H:$H,$I2))</f>
        <v/>
      </c>
      <c r="F3531" s="5">
        <f>IF($I2="","",INDEX(Productos!$I:$I,$I2))</f>
        <v/>
      </c>
      <c r="G3531" s="135" t="n">
        <v>2</v>
      </c>
      <c r="H3531" s="5">
        <f>IF($I2="","",INDEX(Productos!$AG:$AG,$I2))</f>
        <v/>
      </c>
      <c r="I3531" s="136">
        <f>LET(_xlpm.r,Productos!$E$2:$E$2509,_xlpm.m,IFERROR(_xlfn.XMATCH(C3531,_xlpm.r),IFERROR(_xlfn.XMATCH(VALUE(C3531),_xlpm.r),0)),IF(_xlpm.m=0,"",_xlpm.m+1))</f>
        <v/>
      </c>
      <c r="J3531" s="137" t="inlineStr">
        <is>
          <t>Shopify</t>
        </is>
      </c>
    </row>
    <row r="3532">
      <c r="A3532" s="5" t="inlineStr">
        <is>
          <t>Shopify Western Brothers › Western Brothers Outlet Lerma</t>
        </is>
      </c>
      <c r="B3532" s="5">
        <f>IF($I2="","",INDEX(Productos!$A:$A,$I2))</f>
        <v/>
      </c>
      <c r="C3532" s="134" t="inlineStr">
        <is>
          <t>9403790-200-S</t>
        </is>
      </c>
      <c r="D3532" s="5">
        <f>IF($I2="","",INDEX(Productos!$B:$B,$I2))</f>
        <v/>
      </c>
      <c r="E3532" s="5">
        <f>IF($I2="","",INDEX(Productos!$H:$H,$I2))</f>
        <v/>
      </c>
      <c r="F3532" s="5">
        <f>IF($I2="","",INDEX(Productos!$I:$I,$I2))</f>
        <v/>
      </c>
      <c r="G3532" s="135" t="n">
        <v>1</v>
      </c>
      <c r="H3532" s="5">
        <f>IF($I2="","",INDEX(Productos!$AG:$AG,$I2))</f>
        <v/>
      </c>
      <c r="I3532" s="136">
        <f>LET(_xlpm.r,Productos!$E$2:$E$2509,_xlpm.m,IFERROR(_xlfn.XMATCH(C3532,_xlpm.r),IFERROR(_xlfn.XMATCH(VALUE(C3532),_xlpm.r),0)),IF(_xlpm.m=0,"",_xlpm.m+1))</f>
        <v/>
      </c>
      <c r="J3532" s="137" t="inlineStr">
        <is>
          <t>Shopify</t>
        </is>
      </c>
    </row>
    <row r="3533">
      <c r="A3533" s="5" t="inlineStr">
        <is>
          <t>Shopify Western Brothers › Western Brothers Outlet Lerma</t>
        </is>
      </c>
      <c r="B3533" s="5">
        <f>IF($I2="","",INDEX(Productos!$A:$A,$I2))</f>
        <v/>
      </c>
      <c r="C3533" s="134" t="inlineStr">
        <is>
          <t>9404790-104-L</t>
        </is>
      </c>
      <c r="D3533" s="5">
        <f>IF($I2="","",INDEX(Productos!$B:$B,$I2))</f>
        <v/>
      </c>
      <c r="E3533" s="5">
        <f>IF($I2="","",INDEX(Productos!$H:$H,$I2))</f>
        <v/>
      </c>
      <c r="F3533" s="5">
        <f>IF($I2="","",INDEX(Productos!$I:$I,$I2))</f>
        <v/>
      </c>
      <c r="G3533" s="135" t="n">
        <v>3</v>
      </c>
      <c r="H3533" s="5">
        <f>IF($I2="","",INDEX(Productos!$AG:$AG,$I2))</f>
        <v/>
      </c>
      <c r="I3533" s="136">
        <f>LET(_xlpm.r,Productos!$E$2:$E$2509,_xlpm.m,IFERROR(_xlfn.XMATCH(C3533,_xlpm.r),IFERROR(_xlfn.XMATCH(VALUE(C3533),_xlpm.r),0)),IF(_xlpm.m=0,"",_xlpm.m+1))</f>
        <v/>
      </c>
      <c r="J3533" s="137" t="inlineStr">
        <is>
          <t>Shopify</t>
        </is>
      </c>
    </row>
    <row r="3534">
      <c r="A3534" s="5" t="inlineStr">
        <is>
          <t>Shopify Western Brothers › Western Brothers Outlet Lerma</t>
        </is>
      </c>
      <c r="B3534" s="5">
        <f>IF($I2="","",INDEX(Productos!$A:$A,$I2))</f>
        <v/>
      </c>
      <c r="C3534" s="134" t="inlineStr">
        <is>
          <t>9405790-210-L</t>
        </is>
      </c>
      <c r="D3534" s="5">
        <f>IF($I2="","",INDEX(Productos!$B:$B,$I2))</f>
        <v/>
      </c>
      <c r="E3534" s="5">
        <f>IF($I2="","",INDEX(Productos!$H:$H,$I2))</f>
        <v/>
      </c>
      <c r="F3534" s="5">
        <f>IF($I2="","",INDEX(Productos!$I:$I,$I2))</f>
        <v/>
      </c>
      <c r="G3534" s="135" t="n">
        <v>1</v>
      </c>
      <c r="H3534" s="5">
        <f>IF($I2="","",INDEX(Productos!$AG:$AG,$I2))</f>
        <v/>
      </c>
      <c r="I3534" s="136">
        <f>LET(_xlpm.r,Productos!$E$2:$E$2509,_xlpm.m,IFERROR(_xlfn.XMATCH(C3534,_xlpm.r),IFERROR(_xlfn.XMATCH(VALUE(C3534),_xlpm.r),0)),IF(_xlpm.m=0,"",_xlpm.m+1))</f>
        <v/>
      </c>
      <c r="J3534" s="137" t="inlineStr">
        <is>
          <t>Shopify</t>
        </is>
      </c>
    </row>
    <row r="3535">
      <c r="A3535" s="5" t="inlineStr">
        <is>
          <t>Shopify Western Brothers › Western Brothers Outlet Lerma</t>
        </is>
      </c>
      <c r="B3535" s="5">
        <f>IF($I2="","",INDEX(Productos!$A:$A,$I2))</f>
        <v/>
      </c>
      <c r="C3535" s="134" t="inlineStr">
        <is>
          <t>9405790-210-M</t>
        </is>
      </c>
      <c r="D3535" s="5">
        <f>IF($I2="","",INDEX(Productos!$B:$B,$I2))</f>
        <v/>
      </c>
      <c r="E3535" s="5">
        <f>IF($I2="","",INDEX(Productos!$H:$H,$I2))</f>
        <v/>
      </c>
      <c r="F3535" s="5">
        <f>IF($I2="","",INDEX(Productos!$I:$I,$I2))</f>
        <v/>
      </c>
      <c r="G3535" s="135" t="n">
        <v>1</v>
      </c>
      <c r="H3535" s="5">
        <f>IF($I2="","",INDEX(Productos!$AG:$AG,$I2))</f>
        <v/>
      </c>
      <c r="I3535" s="136">
        <f>LET(_xlpm.r,Productos!$E$2:$E$2509,_xlpm.m,IFERROR(_xlfn.XMATCH(C3535,_xlpm.r),IFERROR(_xlfn.XMATCH(VALUE(C3535),_xlpm.r),0)),IF(_xlpm.m=0,"",_xlpm.m+1))</f>
        <v/>
      </c>
      <c r="J3535" s="137" t="inlineStr">
        <is>
          <t>Shopify</t>
        </is>
      </c>
    </row>
    <row r="3536">
      <c r="A3536" s="5" t="inlineStr">
        <is>
          <t>Shopify Western Brothers › Western Brothers Outlet Lerma</t>
        </is>
      </c>
      <c r="B3536" s="5">
        <f>IF($I2="","",INDEX(Productos!$A:$A,$I2))</f>
        <v/>
      </c>
      <c r="C3536" s="134" t="inlineStr">
        <is>
          <t>9405790-210-S</t>
        </is>
      </c>
      <c r="D3536" s="5">
        <f>IF($I2="","",INDEX(Productos!$B:$B,$I2))</f>
        <v/>
      </c>
      <c r="E3536" s="5">
        <f>IF($I2="","",INDEX(Productos!$H:$H,$I2))</f>
        <v/>
      </c>
      <c r="F3536" s="5">
        <f>IF($I2="","",INDEX(Productos!$I:$I,$I2))</f>
        <v/>
      </c>
      <c r="G3536" s="135" t="n">
        <v>1</v>
      </c>
      <c r="H3536" s="5">
        <f>IF($I2="","",INDEX(Productos!$AG:$AG,$I2))</f>
        <v/>
      </c>
      <c r="I3536" s="136">
        <f>LET(_xlpm.r,Productos!$E$2:$E$2509,_xlpm.m,IFERROR(_xlfn.XMATCH(C3536,_xlpm.r),IFERROR(_xlfn.XMATCH(VALUE(C3536),_xlpm.r),0)),IF(_xlpm.m=0,"",_xlpm.m+1))</f>
        <v/>
      </c>
      <c r="J3536" s="137" t="inlineStr">
        <is>
          <t>Shopify</t>
        </is>
      </c>
    </row>
    <row r="3537">
      <c r="A3537" s="5" t="inlineStr">
        <is>
          <t>Shopify Western Brothers › Western Brothers Outlet Lerma</t>
        </is>
      </c>
      <c r="B3537" s="5">
        <f>IF($I2="","",INDEX(Productos!$A:$A,$I2))</f>
        <v/>
      </c>
      <c r="C3537" s="134" t="inlineStr">
        <is>
          <t>9408790-233-L</t>
        </is>
      </c>
      <c r="D3537" s="5">
        <f>IF($I2="","",INDEX(Productos!$B:$B,$I2))</f>
        <v/>
      </c>
      <c r="E3537" s="5">
        <f>IF($I2="","",INDEX(Productos!$H:$H,$I2))</f>
        <v/>
      </c>
      <c r="F3537" s="5">
        <f>IF($I2="","",INDEX(Productos!$I:$I,$I2))</f>
        <v/>
      </c>
      <c r="G3537" s="135" t="n">
        <v>1</v>
      </c>
      <c r="H3537" s="5">
        <f>IF($I2="","",INDEX(Productos!$AG:$AG,$I2))</f>
        <v/>
      </c>
      <c r="I3537" s="136">
        <f>LET(_xlpm.r,Productos!$E$2:$E$2509,_xlpm.m,IFERROR(_xlfn.XMATCH(C3537,_xlpm.r),IFERROR(_xlfn.XMATCH(VALUE(C3537),_xlpm.r),0)),IF(_xlpm.m=0,"",_xlpm.m+1))</f>
        <v/>
      </c>
      <c r="J3537" s="137" t="inlineStr">
        <is>
          <t>Shopify</t>
        </is>
      </c>
    </row>
    <row r="3538">
      <c r="A3538" s="5" t="inlineStr">
        <is>
          <t>Shopify Western Brothers › Western Brothers Outlet Lerma</t>
        </is>
      </c>
      <c r="B3538" s="5">
        <f>IF($I2="","",INDEX(Productos!$A:$A,$I2))</f>
        <v/>
      </c>
      <c r="C3538" s="134" t="inlineStr">
        <is>
          <t>9408790-233-M</t>
        </is>
      </c>
      <c r="D3538" s="5">
        <f>IF($I2="","",INDEX(Productos!$B:$B,$I2))</f>
        <v/>
      </c>
      <c r="E3538" s="5">
        <f>IF($I2="","",INDEX(Productos!$H:$H,$I2))</f>
        <v/>
      </c>
      <c r="F3538" s="5">
        <f>IF($I2="","",INDEX(Productos!$I:$I,$I2))</f>
        <v/>
      </c>
      <c r="G3538" s="135" t="n">
        <v>2</v>
      </c>
      <c r="H3538" s="5">
        <f>IF($I2="","",INDEX(Productos!$AG:$AG,$I2))</f>
        <v/>
      </c>
      <c r="I3538" s="136">
        <f>LET(_xlpm.r,Productos!$E$2:$E$2509,_xlpm.m,IFERROR(_xlfn.XMATCH(C3538,_xlpm.r),IFERROR(_xlfn.XMATCH(VALUE(C3538),_xlpm.r),0)),IF(_xlpm.m=0,"",_xlpm.m+1))</f>
        <v/>
      </c>
      <c r="J3538" s="137" t="inlineStr">
        <is>
          <t>Shopify</t>
        </is>
      </c>
    </row>
    <row r="3539">
      <c r="A3539" s="5" t="inlineStr">
        <is>
          <t>Shopify Western Brothers › Western Brothers Outlet Lerma</t>
        </is>
      </c>
      <c r="B3539" s="5">
        <f>IF($I2="","",INDEX(Productos!$A:$A,$I2))</f>
        <v/>
      </c>
      <c r="C3539" s="134" t="inlineStr">
        <is>
          <t>9408790-233-S</t>
        </is>
      </c>
      <c r="D3539" s="5">
        <f>IF($I2="","",INDEX(Productos!$B:$B,$I2))</f>
        <v/>
      </c>
      <c r="E3539" s="5">
        <f>IF($I2="","",INDEX(Productos!$H:$H,$I2))</f>
        <v/>
      </c>
      <c r="F3539" s="5">
        <f>IF($I2="","",INDEX(Productos!$I:$I,$I2))</f>
        <v/>
      </c>
      <c r="G3539" s="135" t="n">
        <v>1</v>
      </c>
      <c r="H3539" s="5">
        <f>IF($I2="","",INDEX(Productos!$AG:$AG,$I2))</f>
        <v/>
      </c>
      <c r="I3539" s="136">
        <f>LET(_xlpm.r,Productos!$E$2:$E$2509,_xlpm.m,IFERROR(_xlfn.XMATCH(C3539,_xlpm.r),IFERROR(_xlfn.XMATCH(VALUE(C3539),_xlpm.r),0)),IF(_xlpm.m=0,"",_xlpm.m+1))</f>
        <v/>
      </c>
      <c r="J3539" s="137" t="inlineStr">
        <is>
          <t>Shopify</t>
        </is>
      </c>
    </row>
    <row r="3540">
      <c r="A3540" s="5" t="inlineStr">
        <is>
          <t>Shopify Western Brothers › Western Brothers Outlet Lerma</t>
        </is>
      </c>
      <c r="B3540" s="5">
        <f>IF($I2="","",INDEX(Productos!$A:$A,$I2))</f>
        <v/>
      </c>
      <c r="C3540" s="134" t="inlineStr">
        <is>
          <t>9409790-001-L</t>
        </is>
      </c>
      <c r="D3540" s="5">
        <f>IF($I2="","",INDEX(Productos!$B:$B,$I2))</f>
        <v/>
      </c>
      <c r="E3540" s="5">
        <f>IF($I2="","",INDEX(Productos!$H:$H,$I2))</f>
        <v/>
      </c>
      <c r="F3540" s="5">
        <f>IF($I2="","",INDEX(Productos!$I:$I,$I2))</f>
        <v/>
      </c>
      <c r="G3540" s="135" t="n">
        <v>1</v>
      </c>
      <c r="H3540" s="5">
        <f>IF($I2="","",INDEX(Productos!$AG:$AG,$I2))</f>
        <v/>
      </c>
      <c r="I3540" s="136">
        <f>LET(_xlpm.r,Productos!$E$2:$E$2509,_xlpm.m,IFERROR(_xlfn.XMATCH(C3540,_xlpm.r),IFERROR(_xlfn.XMATCH(VALUE(C3540),_xlpm.r),0)),IF(_xlpm.m=0,"",_xlpm.m+1))</f>
        <v/>
      </c>
      <c r="J3540" s="137" t="inlineStr">
        <is>
          <t>Shopify</t>
        </is>
      </c>
    </row>
    <row r="3541">
      <c r="A3541" s="5" t="inlineStr">
        <is>
          <t>Shopify Western Brothers › Western Brothers Outlet Lerma</t>
        </is>
      </c>
      <c r="B3541" s="5">
        <f>IF($I2="","",INDEX(Productos!$A:$A,$I2))</f>
        <v/>
      </c>
      <c r="C3541" s="134" t="inlineStr">
        <is>
          <t>9409790-001-M</t>
        </is>
      </c>
      <c r="D3541" s="5">
        <f>IF($I2="","",INDEX(Productos!$B:$B,$I2))</f>
        <v/>
      </c>
      <c r="E3541" s="5">
        <f>IF($I2="","",INDEX(Productos!$H:$H,$I2))</f>
        <v/>
      </c>
      <c r="F3541" s="5">
        <f>IF($I2="","",INDEX(Productos!$I:$I,$I2))</f>
        <v/>
      </c>
      <c r="G3541" s="135" t="n">
        <v>2</v>
      </c>
      <c r="H3541" s="5">
        <f>IF($I2="","",INDEX(Productos!$AG:$AG,$I2))</f>
        <v/>
      </c>
      <c r="I3541" s="136">
        <f>LET(_xlpm.r,Productos!$E$2:$E$2509,_xlpm.m,IFERROR(_xlfn.XMATCH(C3541,_xlpm.r),IFERROR(_xlfn.XMATCH(VALUE(C3541),_xlpm.r),0)),IF(_xlpm.m=0,"",_xlpm.m+1))</f>
        <v/>
      </c>
      <c r="J3541" s="137" t="inlineStr">
        <is>
          <t>Shopify</t>
        </is>
      </c>
    </row>
    <row r="3542">
      <c r="A3542" s="5" t="inlineStr">
        <is>
          <t>Shopify Western Brothers › Western Brothers Outlet Lerma</t>
        </is>
      </c>
      <c r="B3542" s="5">
        <f>IF($I2="","",INDEX(Productos!$A:$A,$I2))</f>
        <v/>
      </c>
      <c r="C3542" s="134" t="inlineStr">
        <is>
          <t>9409790-001-XL</t>
        </is>
      </c>
      <c r="D3542" s="5">
        <f>IF($I2="","",INDEX(Productos!$B:$B,$I2))</f>
        <v/>
      </c>
      <c r="E3542" s="5">
        <f>IF($I2="","",INDEX(Productos!$H:$H,$I2))</f>
        <v/>
      </c>
      <c r="F3542" s="5">
        <f>IF($I2="","",INDEX(Productos!$I:$I,$I2))</f>
        <v/>
      </c>
      <c r="G3542" s="135" t="n">
        <v>1</v>
      </c>
      <c r="H3542" s="5">
        <f>IF($I2="","",INDEX(Productos!$AG:$AG,$I2))</f>
        <v/>
      </c>
      <c r="I3542" s="136">
        <f>LET(_xlpm.r,Productos!$E$2:$E$2509,_xlpm.m,IFERROR(_xlfn.XMATCH(C3542,_xlpm.r),IFERROR(_xlfn.XMATCH(VALUE(C3542),_xlpm.r),0)),IF(_xlpm.m=0,"",_xlpm.m+1))</f>
        <v/>
      </c>
      <c r="J3542" s="137" t="inlineStr">
        <is>
          <t>Shopify</t>
        </is>
      </c>
    </row>
    <row r="3543">
      <c r="A3543" s="5" t="inlineStr">
        <is>
          <t>Shopify Western Brothers › Western Brothers Outlet Lerma</t>
        </is>
      </c>
      <c r="B3543" s="5">
        <f>IF($I2="","",INDEX(Productos!$A:$A,$I2))</f>
        <v/>
      </c>
      <c r="C3543" s="134" t="inlineStr">
        <is>
          <t>9409790-600-L</t>
        </is>
      </c>
      <c r="D3543" s="5">
        <f>IF($I2="","",INDEX(Productos!$B:$B,$I2))</f>
        <v/>
      </c>
      <c r="E3543" s="5">
        <f>IF($I2="","",INDEX(Productos!$H:$H,$I2))</f>
        <v/>
      </c>
      <c r="F3543" s="5">
        <f>IF($I2="","",INDEX(Productos!$I:$I,$I2))</f>
        <v/>
      </c>
      <c r="G3543" s="135" t="n">
        <v>1</v>
      </c>
      <c r="H3543" s="5">
        <f>IF($I2="","",INDEX(Productos!$AG:$AG,$I2))</f>
        <v/>
      </c>
      <c r="I3543" s="136">
        <f>LET(_xlpm.r,Productos!$E$2:$E$2509,_xlpm.m,IFERROR(_xlfn.XMATCH(C3543,_xlpm.r),IFERROR(_xlfn.XMATCH(VALUE(C3543),_xlpm.r),0)),IF(_xlpm.m=0,"",_xlpm.m+1))</f>
        <v/>
      </c>
      <c r="J3543" s="137" t="inlineStr">
        <is>
          <t>Shopify</t>
        </is>
      </c>
    </row>
    <row r="3544">
      <c r="A3544" s="5" t="inlineStr">
        <is>
          <t>Shopify Western Brothers › Western Brothers Outlet Lerma</t>
        </is>
      </c>
      <c r="B3544" s="5">
        <f>IF($I2="","",INDEX(Productos!$A:$A,$I2))</f>
        <v/>
      </c>
      <c r="C3544" s="134" t="inlineStr">
        <is>
          <t>9409790-600-M</t>
        </is>
      </c>
      <c r="D3544" s="5">
        <f>IF($I2="","",INDEX(Productos!$B:$B,$I2))</f>
        <v/>
      </c>
      <c r="E3544" s="5">
        <f>IF($I2="","",INDEX(Productos!$H:$H,$I2))</f>
        <v/>
      </c>
      <c r="F3544" s="5">
        <f>IF($I2="","",INDEX(Productos!$I:$I,$I2))</f>
        <v/>
      </c>
      <c r="G3544" s="135" t="n">
        <v>2</v>
      </c>
      <c r="H3544" s="5">
        <f>IF($I2="","",INDEX(Productos!$AG:$AG,$I2))</f>
        <v/>
      </c>
      <c r="I3544" s="136">
        <f>LET(_xlpm.r,Productos!$E$2:$E$2509,_xlpm.m,IFERROR(_xlfn.XMATCH(C3544,_xlpm.r),IFERROR(_xlfn.XMATCH(VALUE(C3544),_xlpm.r),0)),IF(_xlpm.m=0,"",_xlpm.m+1))</f>
        <v/>
      </c>
      <c r="J3544" s="137" t="inlineStr">
        <is>
          <t>Shopify</t>
        </is>
      </c>
    </row>
    <row r="3545">
      <c r="A3545" s="5" t="inlineStr">
        <is>
          <t>Shopify Western Brothers › Western Brothers Outlet Lerma</t>
        </is>
      </c>
      <c r="B3545" s="5">
        <f>IF($I2="","",INDEX(Productos!$A:$A,$I2))</f>
        <v/>
      </c>
      <c r="C3545" s="134" t="inlineStr">
        <is>
          <t>9409790-600-XL</t>
        </is>
      </c>
      <c r="D3545" s="5">
        <f>IF($I2="","",INDEX(Productos!$B:$B,$I2))</f>
        <v/>
      </c>
      <c r="E3545" s="5">
        <f>IF($I2="","",INDEX(Productos!$H:$H,$I2))</f>
        <v/>
      </c>
      <c r="F3545" s="5">
        <f>IF($I2="","",INDEX(Productos!$I:$I,$I2))</f>
        <v/>
      </c>
      <c r="G3545" s="135" t="n">
        <v>1</v>
      </c>
      <c r="H3545" s="5">
        <f>IF($I2="","",INDEX(Productos!$AG:$AG,$I2))</f>
        <v/>
      </c>
      <c r="I3545" s="136">
        <f>LET(_xlpm.r,Productos!$E$2:$E$2509,_xlpm.m,IFERROR(_xlfn.XMATCH(C3545,_xlpm.r),IFERROR(_xlfn.XMATCH(VALUE(C3545),_xlpm.r),0)),IF(_xlpm.m=0,"",_xlpm.m+1))</f>
        <v/>
      </c>
      <c r="J3545" s="137" t="inlineStr">
        <is>
          <t>Shopify</t>
        </is>
      </c>
    </row>
    <row r="3546">
      <c r="A3546" s="5" t="inlineStr">
        <is>
          <t>Shopify Western Brothers › Western Brothers Outlet Lerma</t>
        </is>
      </c>
      <c r="B3546" s="5">
        <f>IF($I2="","",INDEX(Productos!$A:$A,$I2))</f>
        <v/>
      </c>
      <c r="C3546" s="134" t="inlineStr">
        <is>
          <t>9410790-962-L</t>
        </is>
      </c>
      <c r="D3546" s="5">
        <f>IF($I2="","",INDEX(Productos!$B:$B,$I2))</f>
        <v/>
      </c>
      <c r="E3546" s="5">
        <f>IF($I2="","",INDEX(Productos!$H:$H,$I2))</f>
        <v/>
      </c>
      <c r="F3546" s="5">
        <f>IF($I2="","",INDEX(Productos!$I:$I,$I2))</f>
        <v/>
      </c>
      <c r="G3546" s="135" t="n">
        <v>2</v>
      </c>
      <c r="H3546" s="5">
        <f>IF($I2="","",INDEX(Productos!$AG:$AG,$I2))</f>
        <v/>
      </c>
      <c r="I3546" s="136">
        <f>LET(_xlpm.r,Productos!$E$2:$E$2509,_xlpm.m,IFERROR(_xlfn.XMATCH(C3546,_xlpm.r),IFERROR(_xlfn.XMATCH(VALUE(C3546),_xlpm.r),0)),IF(_xlpm.m=0,"",_xlpm.m+1))</f>
        <v/>
      </c>
      <c r="J3546" s="137" t="inlineStr">
        <is>
          <t>Shopify</t>
        </is>
      </c>
    </row>
    <row r="3547">
      <c r="A3547" s="5" t="inlineStr">
        <is>
          <t>Shopify Western Brothers › Western Brothers Outlet Lerma</t>
        </is>
      </c>
      <c r="B3547" s="5">
        <f>IF($I2="","",INDEX(Productos!$A:$A,$I2))</f>
        <v/>
      </c>
      <c r="C3547" s="134" t="inlineStr">
        <is>
          <t>9501000-200-NZ</t>
        </is>
      </c>
      <c r="D3547" s="5">
        <f>IF($I2="","",INDEX(Productos!$B:$B,$I2))</f>
        <v/>
      </c>
      <c r="E3547" s="5">
        <f>IF($I2="","",INDEX(Productos!$H:$H,$I2))</f>
        <v/>
      </c>
      <c r="F3547" s="5">
        <f>IF($I2="","",INDEX(Productos!$I:$I,$I2))</f>
        <v/>
      </c>
      <c r="G3547" s="135" t="n">
        <v>3</v>
      </c>
      <c r="H3547" s="5">
        <f>IF($I2="","",INDEX(Productos!$AG:$AG,$I2))</f>
        <v/>
      </c>
      <c r="I3547" s="136">
        <f>LET(_xlpm.r,Productos!$E$2:$E$2509,_xlpm.m,IFERROR(_xlfn.XMATCH(C3547,_xlpm.r),IFERROR(_xlfn.XMATCH(VALUE(C3547),_xlpm.r),0)),IF(_xlpm.m=0,"",_xlpm.m+1))</f>
        <v/>
      </c>
      <c r="J3547" s="137" t="inlineStr">
        <is>
          <t>Shopify</t>
        </is>
      </c>
    </row>
    <row r="3548">
      <c r="A3548" s="5" t="inlineStr">
        <is>
          <t>Shopify Western Brothers › Western Brothers Outlet Lerma</t>
        </is>
      </c>
      <c r="B3548" s="5">
        <f>IF($I2="","",INDEX(Productos!$A:$A,$I2))</f>
        <v/>
      </c>
      <c r="C3548" s="134" t="inlineStr">
        <is>
          <t>9502000-600-NZ</t>
        </is>
      </c>
      <c r="D3548" s="5">
        <f>IF($I2="","",INDEX(Productos!$B:$B,$I2))</f>
        <v/>
      </c>
      <c r="E3548" s="5">
        <f>IF($I2="","",INDEX(Productos!$H:$H,$I2))</f>
        <v/>
      </c>
      <c r="F3548" s="5">
        <f>IF($I2="","",INDEX(Productos!$I:$I,$I2))</f>
        <v/>
      </c>
      <c r="G3548" s="135" t="n">
        <v>3</v>
      </c>
      <c r="H3548" s="5">
        <f>IF($I2="","",INDEX(Productos!$AG:$AG,$I2))</f>
        <v/>
      </c>
      <c r="I3548" s="136">
        <f>LET(_xlpm.r,Productos!$E$2:$E$2509,_xlpm.m,IFERROR(_xlfn.XMATCH(C3548,_xlpm.r),IFERROR(_xlfn.XMATCH(VALUE(C3548),_xlpm.r),0)),IF(_xlpm.m=0,"",_xlpm.m+1))</f>
        <v/>
      </c>
      <c r="J3548" s="137" t="inlineStr">
        <is>
          <t>Shopify</t>
        </is>
      </c>
    </row>
    <row r="3549">
      <c r="A3549" s="5" t="inlineStr">
        <is>
          <t>Shopify Western Brothers › Western Brothers Outlet Lerma</t>
        </is>
      </c>
      <c r="B3549" s="5">
        <f>IF($I2="","",INDEX(Productos!$A:$A,$I2))</f>
        <v/>
      </c>
      <c r="C3549" s="134" t="inlineStr">
        <is>
          <t>9506000-600-NZ</t>
        </is>
      </c>
      <c r="D3549" s="5">
        <f>IF($I2="","",INDEX(Productos!$B:$B,$I2))</f>
        <v/>
      </c>
      <c r="E3549" s="5">
        <f>IF($I2="","",INDEX(Productos!$H:$H,$I2))</f>
        <v/>
      </c>
      <c r="F3549" s="5">
        <f>IF($I2="","",INDEX(Productos!$I:$I,$I2))</f>
        <v/>
      </c>
      <c r="G3549" s="135" t="n">
        <v>3</v>
      </c>
      <c r="H3549" s="5">
        <f>IF($I2="","",INDEX(Productos!$AG:$AG,$I2))</f>
        <v/>
      </c>
      <c r="I3549" s="136">
        <f>LET(_xlpm.r,Productos!$E$2:$E$2509,_xlpm.m,IFERROR(_xlfn.XMATCH(C3549,_xlpm.r),IFERROR(_xlfn.XMATCH(VALUE(C3549),_xlpm.r),0)),IF(_xlpm.m=0,"",_xlpm.m+1))</f>
        <v/>
      </c>
      <c r="J3549" s="137" t="inlineStr">
        <is>
          <t>Shopify</t>
        </is>
      </c>
    </row>
    <row r="3550">
      <c r="A3550" s="5" t="inlineStr">
        <is>
          <t>Shopify Western Brothers › Western Brothers Outlet Lerma</t>
        </is>
      </c>
      <c r="B3550" s="5">
        <f>IF($I2="","",INDEX(Productos!$A:$A,$I2))</f>
        <v/>
      </c>
      <c r="C3550" s="134" t="inlineStr">
        <is>
          <t>9508000-001-NZ</t>
        </is>
      </c>
      <c r="D3550" s="5">
        <f>IF($I2="","",INDEX(Productos!$B:$B,$I2))</f>
        <v/>
      </c>
      <c r="E3550" s="5">
        <f>IF($I2="","",INDEX(Productos!$H:$H,$I2))</f>
        <v/>
      </c>
      <c r="F3550" s="5">
        <f>IF($I2="","",INDEX(Productos!$I:$I,$I2))</f>
        <v/>
      </c>
      <c r="G3550" s="135" t="n">
        <v>2</v>
      </c>
      <c r="H3550" s="5">
        <f>IF($I2="","",INDEX(Productos!$AG:$AG,$I2))</f>
        <v/>
      </c>
      <c r="I3550" s="136">
        <f>LET(_xlpm.r,Productos!$E$2:$E$2509,_xlpm.m,IFERROR(_xlfn.XMATCH(C3550,_xlpm.r),IFERROR(_xlfn.XMATCH(VALUE(C3550),_xlpm.r),0)),IF(_xlpm.m=0,"",_xlpm.m+1))</f>
        <v/>
      </c>
      <c r="J3550" s="137" t="inlineStr">
        <is>
          <t>Shopify</t>
        </is>
      </c>
    </row>
    <row r="3551">
      <c r="A3551" s="5" t="inlineStr">
        <is>
          <t>Shopify Western Brothers › Western Brothers Outlet Lerma</t>
        </is>
      </c>
      <c r="B3551" s="5">
        <f>IF($I2="","",INDEX(Productos!$A:$A,$I2))</f>
        <v/>
      </c>
      <c r="C3551" s="134" t="inlineStr">
        <is>
          <t>9509000-001-NZ</t>
        </is>
      </c>
      <c r="D3551" s="5">
        <f>IF($I2="","",INDEX(Productos!$B:$B,$I2))</f>
        <v/>
      </c>
      <c r="E3551" s="5">
        <f>IF($I2="","",INDEX(Productos!$H:$H,$I2))</f>
        <v/>
      </c>
      <c r="F3551" s="5">
        <f>IF($I2="","",INDEX(Productos!$I:$I,$I2))</f>
        <v/>
      </c>
      <c r="G3551" s="135" t="n">
        <v>3</v>
      </c>
      <c r="H3551" s="5">
        <f>IF($I2="","",INDEX(Productos!$AG:$AG,$I2))</f>
        <v/>
      </c>
      <c r="I3551" s="136">
        <f>LET(_xlpm.r,Productos!$E$2:$E$2509,_xlpm.m,IFERROR(_xlfn.XMATCH(C3551,_xlpm.r),IFERROR(_xlfn.XMATCH(VALUE(C3551),_xlpm.r),0)),IF(_xlpm.m=0,"",_xlpm.m+1))</f>
        <v/>
      </c>
      <c r="J3551" s="137" t="inlineStr">
        <is>
          <t>Shopify</t>
        </is>
      </c>
    </row>
    <row r="3552">
      <c r="A3552" s="5" t="inlineStr">
        <is>
          <t>Shopify Western Brothers › Western Brothers Outlet Lerma</t>
        </is>
      </c>
      <c r="B3552" s="5">
        <f>IF($I2="","",INDEX(Productos!$A:$A,$I2))</f>
        <v/>
      </c>
      <c r="C3552" s="134" t="inlineStr">
        <is>
          <t>9510000-200-NZ</t>
        </is>
      </c>
      <c r="D3552" s="5">
        <f>IF($I2="","",INDEX(Productos!$B:$B,$I2))</f>
        <v/>
      </c>
      <c r="E3552" s="5">
        <f>IF($I2="","",INDEX(Productos!$H:$H,$I2))</f>
        <v/>
      </c>
      <c r="F3552" s="5">
        <f>IF($I2="","",INDEX(Productos!$I:$I,$I2))</f>
        <v/>
      </c>
      <c r="G3552" s="135" t="n">
        <v>2</v>
      </c>
      <c r="H3552" s="5">
        <f>IF($I2="","",INDEX(Productos!$AG:$AG,$I2))</f>
        <v/>
      </c>
      <c r="I3552" s="136">
        <f>LET(_xlpm.r,Productos!$E$2:$E$2509,_xlpm.m,IFERROR(_xlfn.XMATCH(C3552,_xlpm.r),IFERROR(_xlfn.XMATCH(VALUE(C3552),_xlpm.r),0)),IF(_xlpm.m=0,"",_xlpm.m+1))</f>
        <v/>
      </c>
      <c r="J3552" s="137" t="inlineStr">
        <is>
          <t>Shopify</t>
        </is>
      </c>
    </row>
    <row r="3553">
      <c r="A3553" s="5" t="inlineStr">
        <is>
          <t>Shopify Western Brothers › Western Brothers Outlet Lerma</t>
        </is>
      </c>
      <c r="B3553" s="5">
        <f>IF($I2="","",INDEX(Productos!$A:$A,$I2))</f>
        <v/>
      </c>
      <c r="C3553" s="134" t="inlineStr">
        <is>
          <t>9511000-200-NZ</t>
        </is>
      </c>
      <c r="D3553" s="5">
        <f>IF($I2="","",INDEX(Productos!$B:$B,$I2))</f>
        <v/>
      </c>
      <c r="E3553" s="5">
        <f>IF($I2="","",INDEX(Productos!$H:$H,$I2))</f>
        <v/>
      </c>
      <c r="F3553" s="5">
        <f>IF($I2="","",INDEX(Productos!$I:$I,$I2))</f>
        <v/>
      </c>
      <c r="G3553" s="135" t="n">
        <v>3</v>
      </c>
      <c r="H3553" s="5">
        <f>IF($I2="","",INDEX(Productos!$AG:$AG,$I2))</f>
        <v/>
      </c>
      <c r="I3553" s="136">
        <f>LET(_xlpm.r,Productos!$E$2:$E$2509,_xlpm.m,IFERROR(_xlfn.XMATCH(C3553,_xlpm.r),IFERROR(_xlfn.XMATCH(VALUE(C3553),_xlpm.r),0)),IF(_xlpm.m=0,"",_xlpm.m+1))</f>
        <v/>
      </c>
      <c r="J3553" s="137" t="inlineStr">
        <is>
          <t>Shopify</t>
        </is>
      </c>
    </row>
    <row r="3554">
      <c r="A3554" s="5" t="inlineStr">
        <is>
          <t>Shopify Western Brothers › Western Brothers Outlet Lerma</t>
        </is>
      </c>
      <c r="B3554" s="5">
        <f>IF($I2="","",INDEX(Productos!$A:$A,$I2))</f>
        <v/>
      </c>
      <c r="C3554" s="134" t="inlineStr">
        <is>
          <t>9512000-600-NZ</t>
        </is>
      </c>
      <c r="D3554" s="5">
        <f>IF($I2="","",INDEX(Productos!$B:$B,$I2))</f>
        <v/>
      </c>
      <c r="E3554" s="5">
        <f>IF($I2="","",INDEX(Productos!$H:$H,$I2))</f>
        <v/>
      </c>
      <c r="F3554" s="5">
        <f>IF($I2="","",INDEX(Productos!$I:$I,$I2))</f>
        <v/>
      </c>
      <c r="G3554" s="135" t="n">
        <v>3</v>
      </c>
      <c r="H3554" s="5">
        <f>IF($I2="","",INDEX(Productos!$AG:$AG,$I2))</f>
        <v/>
      </c>
      <c r="I3554" s="136">
        <f>LET(_xlpm.r,Productos!$E$2:$E$2509,_xlpm.m,IFERROR(_xlfn.XMATCH(C3554,_xlpm.r),IFERROR(_xlfn.XMATCH(VALUE(C3554),_xlpm.r),0)),IF(_xlpm.m=0,"",_xlpm.m+1))</f>
        <v/>
      </c>
      <c r="J3554" s="137" t="inlineStr">
        <is>
          <t>Shopify</t>
        </is>
      </c>
    </row>
    <row r="3555">
      <c r="A3555" s="5" t="inlineStr">
        <is>
          <t>Shopify Western Brothers › Western Brothers Outlet Lerma</t>
        </is>
      </c>
      <c r="B3555" s="5">
        <f>IF($I2="","",INDEX(Productos!$A:$A,$I2))</f>
        <v/>
      </c>
      <c r="C3555" s="134" t="inlineStr">
        <is>
          <t>9513000-001-NZ</t>
        </is>
      </c>
      <c r="D3555" s="5">
        <f>IF($I2="","",INDEX(Productos!$B:$B,$I2))</f>
        <v/>
      </c>
      <c r="E3555" s="5">
        <f>IF($I2="","",INDEX(Productos!$H:$H,$I2))</f>
        <v/>
      </c>
      <c r="F3555" s="5">
        <f>IF($I2="","",INDEX(Productos!$I:$I,$I2))</f>
        <v/>
      </c>
      <c r="G3555" s="135" t="n">
        <v>3</v>
      </c>
      <c r="H3555" s="5">
        <f>IF($I2="","",INDEX(Productos!$AG:$AG,$I2))</f>
        <v/>
      </c>
      <c r="I3555" s="136">
        <f>LET(_xlpm.r,Productos!$E$2:$E$2509,_xlpm.m,IFERROR(_xlfn.XMATCH(C3555,_xlpm.r),IFERROR(_xlfn.XMATCH(VALUE(C3555),_xlpm.r),0)),IF(_xlpm.m=0,"",_xlpm.m+1))</f>
        <v/>
      </c>
      <c r="J3555" s="137" t="inlineStr">
        <is>
          <t>Shopify</t>
        </is>
      </c>
    </row>
    <row r="3556">
      <c r="A3556" s="5" t="inlineStr">
        <is>
          <t>Shopify Western Brothers › Western Brothers Outlet Lerma</t>
        </is>
      </c>
      <c r="B3556" s="5">
        <f>IF($I2="","",INDEX(Productos!$A:$A,$I2))</f>
        <v/>
      </c>
      <c r="C3556" s="134" t="inlineStr">
        <is>
          <t>9513000-934-NZ</t>
        </is>
      </c>
      <c r="D3556" s="5">
        <f>IF($I2="","",INDEX(Productos!$B:$B,$I2))</f>
        <v/>
      </c>
      <c r="E3556" s="5">
        <f>IF($I2="","",INDEX(Productos!$H:$H,$I2))</f>
        <v/>
      </c>
      <c r="F3556" s="5">
        <f>IF($I2="","",INDEX(Productos!$I:$I,$I2))</f>
        <v/>
      </c>
      <c r="G3556" s="135" t="n">
        <v>4</v>
      </c>
      <c r="H3556" s="5">
        <f>IF($I2="","",INDEX(Productos!$AG:$AG,$I2))</f>
        <v/>
      </c>
      <c r="I3556" s="136">
        <f>LET(_xlpm.r,Productos!$E$2:$E$2509,_xlpm.m,IFERROR(_xlfn.XMATCH(C3556,_xlpm.r),IFERROR(_xlfn.XMATCH(VALUE(C3556),_xlpm.r),0)),IF(_xlpm.m=0,"",_xlpm.m+1))</f>
        <v/>
      </c>
      <c r="J3556" s="137" t="inlineStr">
        <is>
          <t>Shopify</t>
        </is>
      </c>
    </row>
    <row r="3557">
      <c r="A3557" s="5" t="inlineStr">
        <is>
          <t>Shopify Western Brothers › Western Brothers Outlet Lerma</t>
        </is>
      </c>
      <c r="B3557" s="5">
        <f>IF($I2="","",INDEX(Productos!$A:$A,$I2))</f>
        <v/>
      </c>
      <c r="C3557" s="134" t="inlineStr">
        <is>
          <t>9803002-255-NZ</t>
        </is>
      </c>
      <c r="D3557" s="5">
        <f>IF($I2="","",INDEX(Productos!$B:$B,$I2))</f>
        <v/>
      </c>
      <c r="E3557" s="5">
        <f>IF($I2="","",INDEX(Productos!$H:$H,$I2))</f>
        <v/>
      </c>
      <c r="F3557" s="5">
        <f>IF($I2="","",INDEX(Productos!$I:$I,$I2))</f>
        <v/>
      </c>
      <c r="G3557" s="135" t="n">
        <v>1</v>
      </c>
      <c r="H3557" s="5">
        <f>IF($I2="","",INDEX(Productos!$AG:$AG,$I2))</f>
        <v/>
      </c>
      <c r="I3557" s="136">
        <f>LET(_xlpm.r,Productos!$E$2:$E$2509,_xlpm.m,IFERROR(_xlfn.XMATCH(C3557,_xlpm.r),IFERROR(_xlfn.XMATCH(VALUE(C3557),_xlpm.r),0)),IF(_xlpm.m=0,"",_xlpm.m+1))</f>
        <v/>
      </c>
      <c r="J3557" s="137" t="inlineStr">
        <is>
          <t>Shopify</t>
        </is>
      </c>
    </row>
    <row r="3558">
      <c r="A3558" s="5" t="inlineStr">
        <is>
          <t>Shopify Western Brothers › Western Brothers Outlet Lerma</t>
        </is>
      </c>
      <c r="B3558" s="5">
        <f>IF($I2="","",INDEX(Productos!$A:$A,$I2))</f>
        <v/>
      </c>
      <c r="C3558" s="134" t="inlineStr">
        <is>
          <t>9803004-255-NZ</t>
        </is>
      </c>
      <c r="D3558" s="5">
        <f>IF($I2="","",INDEX(Productos!$B:$B,$I2))</f>
        <v/>
      </c>
      <c r="E3558" s="5">
        <f>IF($I2="","",INDEX(Productos!$H:$H,$I2))</f>
        <v/>
      </c>
      <c r="F3558" s="5">
        <f>IF($I2="","",INDEX(Productos!$I:$I,$I2))</f>
        <v/>
      </c>
      <c r="G3558" s="135" t="n">
        <v>1</v>
      </c>
      <c r="H3558" s="5">
        <f>IF($I2="","",INDEX(Productos!$AG:$AG,$I2))</f>
        <v/>
      </c>
      <c r="I3558" s="136">
        <f>LET(_xlpm.r,Productos!$E$2:$E$2509,_xlpm.m,IFERROR(_xlfn.XMATCH(C3558,_xlpm.r),IFERROR(_xlfn.XMATCH(VALUE(C3558),_xlpm.r),0)),IF(_xlpm.m=0,"",_xlpm.m+1))</f>
        <v/>
      </c>
      <c r="J3558" s="137" t="inlineStr">
        <is>
          <t>Shopify</t>
        </is>
      </c>
    </row>
    <row r="3559">
      <c r="A3559" s="5" t="inlineStr">
        <is>
          <t>Shopify Western Brothers › Western Brothers Outlet Lerma</t>
        </is>
      </c>
      <c r="B3559" s="5">
        <f>IF($I2="","",INDEX(Productos!$A:$A,$I2))</f>
        <v/>
      </c>
      <c r="C3559" s="134" t="inlineStr">
        <is>
          <t>9804001-203-NZ</t>
        </is>
      </c>
      <c r="D3559" s="5">
        <f>IF($I2="","",INDEX(Productos!$B:$B,$I2))</f>
        <v/>
      </c>
      <c r="E3559" s="5">
        <f>IF($I2="","",INDEX(Productos!$H:$H,$I2))</f>
        <v/>
      </c>
      <c r="F3559" s="5">
        <f>IF($I2="","",INDEX(Productos!$I:$I,$I2))</f>
        <v/>
      </c>
      <c r="G3559" s="135" t="n">
        <v>2</v>
      </c>
      <c r="H3559" s="5">
        <f>IF($I2="","",INDEX(Productos!$AG:$AG,$I2))</f>
        <v/>
      </c>
      <c r="I3559" s="136">
        <f>LET(_xlpm.r,Productos!$E$2:$E$2509,_xlpm.m,IFERROR(_xlfn.XMATCH(C3559,_xlpm.r),IFERROR(_xlfn.XMATCH(VALUE(C3559),_xlpm.r),0)),IF(_xlpm.m=0,"",_xlpm.m+1))</f>
        <v/>
      </c>
      <c r="J3559" s="137" t="inlineStr">
        <is>
          <t>Shopify</t>
        </is>
      </c>
    </row>
    <row r="3560">
      <c r="A3560" s="5" t="inlineStr">
        <is>
          <t>Shopify Western Brothers › Western Brothers Outlet Lerma</t>
        </is>
      </c>
      <c r="B3560" s="5">
        <f>IF($I2="","",INDEX(Productos!$A:$A,$I2))</f>
        <v/>
      </c>
      <c r="C3560" s="134" t="inlineStr">
        <is>
          <t>9804003-203-NZ</t>
        </is>
      </c>
      <c r="D3560" s="5">
        <f>IF($I2="","",INDEX(Productos!$B:$B,$I2))</f>
        <v/>
      </c>
      <c r="E3560" s="5">
        <f>IF($I2="","",INDEX(Productos!$H:$H,$I2))</f>
        <v/>
      </c>
      <c r="F3560" s="5">
        <f>IF($I2="","",INDEX(Productos!$I:$I,$I2))</f>
        <v/>
      </c>
      <c r="G3560" s="135" t="n">
        <v>3</v>
      </c>
      <c r="H3560" s="5">
        <f>IF($I2="","",INDEX(Productos!$AG:$AG,$I2))</f>
        <v/>
      </c>
      <c r="I3560" s="136">
        <f>LET(_xlpm.r,Productos!$E$2:$E$2509,_xlpm.m,IFERROR(_xlfn.XMATCH(C3560,_xlpm.r),IFERROR(_xlfn.XMATCH(VALUE(C3560),_xlpm.r),0)),IF(_xlpm.m=0,"",_xlpm.m+1))</f>
        <v/>
      </c>
      <c r="J3560" s="137" t="inlineStr">
        <is>
          <t>Shopify</t>
        </is>
      </c>
    </row>
    <row r="3561">
      <c r="A3561" s="5" t="inlineStr">
        <is>
          <t>Shopify Western Brothers › Western Brothers Outlet Lerma</t>
        </is>
      </c>
      <c r="B3561" s="5">
        <f>IF($I2="","",INDEX(Productos!$A:$A,$I2))</f>
        <v/>
      </c>
      <c r="C3561" s="134" t="inlineStr">
        <is>
          <t>9805003-200-NZ</t>
        </is>
      </c>
      <c r="D3561" s="5">
        <f>IF($I2="","",INDEX(Productos!$B:$B,$I2))</f>
        <v/>
      </c>
      <c r="E3561" s="5">
        <f>IF($I2="","",INDEX(Productos!$H:$H,$I2))</f>
        <v/>
      </c>
      <c r="F3561" s="5">
        <f>IF($I2="","",INDEX(Productos!$I:$I,$I2))</f>
        <v/>
      </c>
      <c r="G3561" s="135" t="n">
        <v>2</v>
      </c>
      <c r="H3561" s="5">
        <f>IF($I2="","",INDEX(Productos!$AG:$AG,$I2))</f>
        <v/>
      </c>
      <c r="I3561" s="136">
        <f>LET(_xlpm.r,Productos!$E$2:$E$2509,_xlpm.m,IFERROR(_xlfn.XMATCH(C3561,_xlpm.r),IFERROR(_xlfn.XMATCH(VALUE(C3561),_xlpm.r),0)),IF(_xlpm.m=0,"",_xlpm.m+1))</f>
        <v/>
      </c>
      <c r="J3561" s="137" t="inlineStr">
        <is>
          <t>Shopify</t>
        </is>
      </c>
    </row>
    <row r="3562">
      <c r="A3562" s="5" t="inlineStr">
        <is>
          <t>Shopify Western Brothers › Western Brothers Outlet Lerma</t>
        </is>
      </c>
      <c r="B3562" s="5">
        <f>IF($I2="","",INDEX(Productos!$A:$A,$I2))</f>
        <v/>
      </c>
      <c r="C3562" s="134" t="inlineStr">
        <is>
          <t>9806001-625-NZ</t>
        </is>
      </c>
      <c r="D3562" s="5">
        <f>IF($I2="","",INDEX(Productos!$B:$B,$I2))</f>
        <v/>
      </c>
      <c r="E3562" s="5">
        <f>IF($I2="","",INDEX(Productos!$H:$H,$I2))</f>
        <v/>
      </c>
      <c r="F3562" s="5">
        <f>IF($I2="","",INDEX(Productos!$I:$I,$I2))</f>
        <v/>
      </c>
      <c r="G3562" s="135" t="n">
        <v>3</v>
      </c>
      <c r="H3562" s="5">
        <f>IF($I2="","",INDEX(Productos!$AG:$AG,$I2))</f>
        <v/>
      </c>
      <c r="I3562" s="136">
        <f>LET(_xlpm.r,Productos!$E$2:$E$2509,_xlpm.m,IFERROR(_xlfn.XMATCH(C3562,_xlpm.r),IFERROR(_xlfn.XMATCH(VALUE(C3562),_xlpm.r),0)),IF(_xlpm.m=0,"",_xlpm.m+1))</f>
        <v/>
      </c>
      <c r="J3562" s="137" t="inlineStr">
        <is>
          <t>Shopify</t>
        </is>
      </c>
    </row>
    <row r="3563">
      <c r="A3563" s="5" t="inlineStr">
        <is>
          <t>Shopify Western Brothers › Western Brothers Outlet Lerma</t>
        </is>
      </c>
      <c r="B3563" s="5">
        <f>IF($I2="","",INDEX(Productos!$A:$A,$I2))</f>
        <v/>
      </c>
      <c r="C3563" s="134" t="inlineStr">
        <is>
          <t>9806002-625-NZ</t>
        </is>
      </c>
      <c r="D3563" s="5">
        <f>IF($I2="","",INDEX(Productos!$B:$B,$I2))</f>
        <v/>
      </c>
      <c r="E3563" s="5">
        <f>IF($I2="","",INDEX(Productos!$H:$H,$I2))</f>
        <v/>
      </c>
      <c r="F3563" s="5">
        <f>IF($I2="","",INDEX(Productos!$I:$I,$I2))</f>
        <v/>
      </c>
      <c r="G3563" s="135" t="n">
        <v>5</v>
      </c>
      <c r="H3563" s="5">
        <f>IF($I2="","",INDEX(Productos!$AG:$AG,$I2))</f>
        <v/>
      </c>
      <c r="I3563" s="136">
        <f>LET(_xlpm.r,Productos!$E$2:$E$2509,_xlpm.m,IFERROR(_xlfn.XMATCH(C3563,_xlpm.r),IFERROR(_xlfn.XMATCH(VALUE(C3563),_xlpm.r),0)),IF(_xlpm.m=0,"",_xlpm.m+1))</f>
        <v/>
      </c>
      <c r="J3563" s="137" t="inlineStr">
        <is>
          <t>Shopify</t>
        </is>
      </c>
    </row>
    <row r="3564">
      <c r="A3564" s="5" t="inlineStr">
        <is>
          <t>Shopify Western Brothers › Western Brothers Outlet Lerma</t>
        </is>
      </c>
      <c r="B3564" s="5">
        <f>IF($I2="","",INDEX(Productos!$A:$A,$I2))</f>
        <v/>
      </c>
      <c r="C3564" s="134" t="inlineStr">
        <is>
          <t>9806003-625-NZ</t>
        </is>
      </c>
      <c r="D3564" s="5">
        <f>IF($I2="","",INDEX(Productos!$B:$B,$I2))</f>
        <v/>
      </c>
      <c r="E3564" s="5">
        <f>IF($I2="","",INDEX(Productos!$H:$H,$I2))</f>
        <v/>
      </c>
      <c r="F3564" s="5">
        <f>IF($I2="","",INDEX(Productos!$I:$I,$I2))</f>
        <v/>
      </c>
      <c r="G3564" s="135" t="n">
        <v>3</v>
      </c>
      <c r="H3564" s="5">
        <f>IF($I2="","",INDEX(Productos!$AG:$AG,$I2))</f>
        <v/>
      </c>
      <c r="I3564" s="136">
        <f>LET(_xlpm.r,Productos!$E$2:$E$2509,_xlpm.m,IFERROR(_xlfn.XMATCH(C3564,_xlpm.r),IFERROR(_xlfn.XMATCH(VALUE(C3564),_xlpm.r),0)),IF(_xlpm.m=0,"",_xlpm.m+1))</f>
        <v/>
      </c>
      <c r="J3564" s="137" t="inlineStr">
        <is>
          <t>Shopify</t>
        </is>
      </c>
    </row>
    <row r="3565">
      <c r="A3565" s="5" t="inlineStr">
        <is>
          <t>Shopify Western Brothers › Western Brothers Outlet Lerma</t>
        </is>
      </c>
      <c r="B3565" s="5">
        <f>IF($I2="","",INDEX(Productos!$A:$A,$I2))</f>
        <v/>
      </c>
      <c r="C3565" s="134" t="inlineStr">
        <is>
          <t>9807001-232-NZ</t>
        </is>
      </c>
      <c r="D3565" s="5">
        <f>IF($I2="","",INDEX(Productos!$B:$B,$I2))</f>
        <v/>
      </c>
      <c r="E3565" s="5">
        <f>IF($I2="","",INDEX(Productos!$H:$H,$I2))</f>
        <v/>
      </c>
      <c r="F3565" s="5">
        <f>IF($I2="","",INDEX(Productos!$I:$I,$I2))</f>
        <v/>
      </c>
      <c r="G3565" s="135" t="n">
        <v>2</v>
      </c>
      <c r="H3565" s="5">
        <f>IF($I2="","",INDEX(Productos!$AG:$AG,$I2))</f>
        <v/>
      </c>
      <c r="I3565" s="136">
        <f>LET(_xlpm.r,Productos!$E$2:$E$2509,_xlpm.m,IFERROR(_xlfn.XMATCH(C3565,_xlpm.r),IFERROR(_xlfn.XMATCH(VALUE(C3565),_xlpm.r),0)),IF(_xlpm.m=0,"",_xlpm.m+1))</f>
        <v/>
      </c>
      <c r="J3565" s="137" t="inlineStr">
        <is>
          <t>Shopify</t>
        </is>
      </c>
    </row>
    <row r="3566">
      <c r="A3566" s="5" t="inlineStr">
        <is>
          <t>Shopify Western Brothers › Western Brothers Outlet Lerma</t>
        </is>
      </c>
      <c r="B3566" s="5">
        <f>IF($I2="","",INDEX(Productos!$A:$A,$I2))</f>
        <v/>
      </c>
      <c r="C3566" s="134" t="inlineStr">
        <is>
          <t>9807003-14-NZ</t>
        </is>
      </c>
      <c r="D3566" s="5">
        <f>IF($I2="","",INDEX(Productos!$B:$B,$I2))</f>
        <v/>
      </c>
      <c r="E3566" s="5">
        <f>IF($I2="","",INDEX(Productos!$H:$H,$I2))</f>
        <v/>
      </c>
      <c r="F3566" s="5">
        <f>IF($I2="","",INDEX(Productos!$I:$I,$I2))</f>
        <v/>
      </c>
      <c r="G3566" s="135" t="n">
        <v>3</v>
      </c>
      <c r="H3566" s="5">
        <f>IF($I2="","",INDEX(Productos!$AG:$AG,$I2))</f>
        <v/>
      </c>
      <c r="I3566" s="136">
        <f>LET(_xlpm.r,Productos!$E$2:$E$2509,_xlpm.m,IFERROR(_xlfn.XMATCH(C3566,_xlpm.r),IFERROR(_xlfn.XMATCH(VALUE(C3566),_xlpm.r),0)),IF(_xlpm.m=0,"",_xlpm.m+1))</f>
        <v/>
      </c>
      <c r="J3566" s="137" t="inlineStr">
        <is>
          <t>Shopify</t>
        </is>
      </c>
    </row>
    <row r="3567">
      <c r="A3567" s="5" t="inlineStr">
        <is>
          <t>Shopify Western Brothers › Western Brothers Outlet Lerma</t>
        </is>
      </c>
      <c r="B3567" s="5">
        <f>IF($I2="","",INDEX(Productos!$A:$A,$I2))</f>
        <v/>
      </c>
      <c r="C3567" s="134" t="inlineStr">
        <is>
          <t>9807003-232-NZ</t>
        </is>
      </c>
      <c r="D3567" s="5">
        <f>IF($I2="","",INDEX(Productos!$B:$B,$I2))</f>
        <v/>
      </c>
      <c r="E3567" s="5">
        <f>IF($I2="","",INDEX(Productos!$H:$H,$I2))</f>
        <v/>
      </c>
      <c r="F3567" s="5">
        <f>IF($I2="","",INDEX(Productos!$I:$I,$I2))</f>
        <v/>
      </c>
      <c r="G3567" s="135" t="n">
        <v>3</v>
      </c>
      <c r="H3567" s="5">
        <f>IF($I2="","",INDEX(Productos!$AG:$AG,$I2))</f>
        <v/>
      </c>
      <c r="I3567" s="136">
        <f>LET(_xlpm.r,Productos!$E$2:$E$2509,_xlpm.m,IFERROR(_xlfn.XMATCH(C3567,_xlpm.r),IFERROR(_xlfn.XMATCH(VALUE(C3567),_xlpm.r),0)),IF(_xlpm.m=0,"",_xlpm.m+1))</f>
        <v/>
      </c>
      <c r="J3567" s="137" t="inlineStr">
        <is>
          <t>Shopify</t>
        </is>
      </c>
    </row>
    <row r="3568">
      <c r="A3568" s="5" t="inlineStr">
        <is>
          <t>Shopify Western Brothers › Western Brothers Outlet Lerma</t>
        </is>
      </c>
      <c r="B3568" s="5">
        <f>IF($I2="","",INDEX(Productos!$A:$A,$I2))</f>
        <v/>
      </c>
      <c r="C3568" s="134" t="inlineStr">
        <is>
          <t>9808003-19-NZ</t>
        </is>
      </c>
      <c r="D3568" s="5">
        <f>IF($I2="","",INDEX(Productos!$B:$B,$I2))</f>
        <v/>
      </c>
      <c r="E3568" s="5">
        <f>IF($I2="","",INDEX(Productos!$H:$H,$I2))</f>
        <v/>
      </c>
      <c r="F3568" s="5">
        <f>IF($I2="","",INDEX(Productos!$I:$I,$I2))</f>
        <v/>
      </c>
      <c r="G3568" s="135" t="n">
        <v>3</v>
      </c>
      <c r="H3568" s="5">
        <f>IF($I2="","",INDEX(Productos!$AG:$AG,$I2))</f>
        <v/>
      </c>
      <c r="I3568" s="136">
        <f>LET(_xlpm.r,Productos!$E$2:$E$2509,_xlpm.m,IFERROR(_xlfn.XMATCH(C3568,_xlpm.r),IFERROR(_xlfn.XMATCH(VALUE(C3568),_xlpm.r),0)),IF(_xlpm.m=0,"",_xlpm.m+1))</f>
        <v/>
      </c>
      <c r="J3568" s="137" t="inlineStr">
        <is>
          <t>Shopify</t>
        </is>
      </c>
    </row>
    <row r="3569">
      <c r="A3569" s="5" t="inlineStr">
        <is>
          <t>Shopify Western Brothers › Western Brothers Outlet Lerma</t>
        </is>
      </c>
      <c r="B3569" s="5">
        <f>IF($I2="","",INDEX(Productos!$A:$A,$I2))</f>
        <v/>
      </c>
      <c r="C3569" s="134" t="inlineStr">
        <is>
          <t>9809003-200-NZ</t>
        </is>
      </c>
      <c r="D3569" s="5">
        <f>IF($I2="","",INDEX(Productos!$B:$B,$I2))</f>
        <v/>
      </c>
      <c r="E3569" s="5">
        <f>IF($I2="","",INDEX(Productos!$H:$H,$I2))</f>
        <v/>
      </c>
      <c r="F3569" s="5">
        <f>IF($I2="","",INDEX(Productos!$I:$I,$I2))</f>
        <v/>
      </c>
      <c r="G3569" s="135" t="n">
        <v>4</v>
      </c>
      <c r="H3569" s="5">
        <f>IF($I2="","",INDEX(Productos!$AG:$AG,$I2))</f>
        <v/>
      </c>
      <c r="I3569" s="136">
        <f>LET(_xlpm.r,Productos!$E$2:$E$2509,_xlpm.m,IFERROR(_xlfn.XMATCH(C3569,_xlpm.r),IFERROR(_xlfn.XMATCH(VALUE(C3569),_xlpm.r),0)),IF(_xlpm.m=0,"",_xlpm.m+1))</f>
        <v/>
      </c>
      <c r="J3569" s="137" t="inlineStr">
        <is>
          <t>Shopify</t>
        </is>
      </c>
    </row>
    <row r="3570">
      <c r="A3570" s="5" t="inlineStr">
        <is>
          <t>Shopify Western Brothers › Western Brothers Outlet Lerma</t>
        </is>
      </c>
      <c r="B3570" s="5">
        <f>IF($I2="","",INDEX(Productos!$A:$A,$I2))</f>
        <v/>
      </c>
      <c r="C3570" s="134" t="inlineStr">
        <is>
          <t>9901500-204-36</t>
        </is>
      </c>
      <c r="D3570" s="5">
        <f>IF($I2="","",INDEX(Productos!$B:$B,$I2))</f>
        <v/>
      </c>
      <c r="E3570" s="5">
        <f>IF($I2="","",INDEX(Productos!$H:$H,$I2))</f>
        <v/>
      </c>
      <c r="F3570" s="5">
        <f>IF($I2="","",INDEX(Productos!$I:$I,$I2))</f>
        <v/>
      </c>
      <c r="G3570" s="135" t="n">
        <v>1</v>
      </c>
      <c r="H3570" s="5">
        <f>IF($I2="","",INDEX(Productos!$AG:$AG,$I2))</f>
        <v/>
      </c>
      <c r="I3570" s="136">
        <f>LET(_xlpm.r,Productos!$E$2:$E$2509,_xlpm.m,IFERROR(_xlfn.XMATCH(C3570,_xlpm.r),IFERROR(_xlfn.XMATCH(VALUE(C3570),_xlpm.r),0)),IF(_xlpm.m=0,"",_xlpm.m+1))</f>
        <v/>
      </c>
      <c r="J3570" s="137" t="inlineStr">
        <is>
          <t>Shopify</t>
        </is>
      </c>
    </row>
    <row r="3571">
      <c r="A3571" s="5" t="inlineStr">
        <is>
          <t>Shopify Western Brothers › Western Brothers Outlet Lerma</t>
        </is>
      </c>
      <c r="B3571" s="5">
        <f>IF($I2="","",INDEX(Productos!$A:$A,$I2))</f>
        <v/>
      </c>
      <c r="C3571" s="134" t="inlineStr">
        <is>
          <t>9901500-204-38</t>
        </is>
      </c>
      <c r="D3571" s="5">
        <f>IF($I2="","",INDEX(Productos!$B:$B,$I2))</f>
        <v/>
      </c>
      <c r="E3571" s="5">
        <f>IF($I2="","",INDEX(Productos!$H:$H,$I2))</f>
        <v/>
      </c>
      <c r="F3571" s="5">
        <f>IF($I2="","",INDEX(Productos!$I:$I,$I2))</f>
        <v/>
      </c>
      <c r="G3571" s="135" t="n">
        <v>1</v>
      </c>
      <c r="H3571" s="5">
        <f>IF($I2="","",INDEX(Productos!$AG:$AG,$I2))</f>
        <v/>
      </c>
      <c r="I3571" s="136">
        <f>LET(_xlpm.r,Productos!$E$2:$E$2509,_xlpm.m,IFERROR(_xlfn.XMATCH(C3571,_xlpm.r),IFERROR(_xlfn.XMATCH(VALUE(C3571),_xlpm.r),0)),IF(_xlpm.m=0,"",_xlpm.m+1))</f>
        <v/>
      </c>
      <c r="J3571" s="137" t="inlineStr">
        <is>
          <t>Shopify</t>
        </is>
      </c>
    </row>
    <row r="3572">
      <c r="A3572" s="5" t="inlineStr">
        <is>
          <t>Shopify Western Brothers › Western Brothers Outlet Lerma</t>
        </is>
      </c>
      <c r="B3572" s="5">
        <f>IF($I2="","",INDEX(Productos!$A:$A,$I2))</f>
        <v/>
      </c>
      <c r="C3572" s="134" t="inlineStr">
        <is>
          <t>9901500-204-40</t>
        </is>
      </c>
      <c r="D3572" s="5">
        <f>IF($I2="","",INDEX(Productos!$B:$B,$I2))</f>
        <v/>
      </c>
      <c r="E3572" s="5">
        <f>IF($I2="","",INDEX(Productos!$H:$H,$I2))</f>
        <v/>
      </c>
      <c r="F3572" s="5">
        <f>IF($I2="","",INDEX(Productos!$I:$I,$I2))</f>
        <v/>
      </c>
      <c r="G3572" s="135" t="n">
        <v>1</v>
      </c>
      <c r="H3572" s="5">
        <f>IF($I2="","",INDEX(Productos!$AG:$AG,$I2))</f>
        <v/>
      </c>
      <c r="I3572" s="136">
        <f>LET(_xlpm.r,Productos!$E$2:$E$2509,_xlpm.m,IFERROR(_xlfn.XMATCH(C3572,_xlpm.r),IFERROR(_xlfn.XMATCH(VALUE(C3572),_xlpm.r),0)),IF(_xlpm.m=0,"",_xlpm.m+1))</f>
        <v/>
      </c>
      <c r="J3572" s="137" t="inlineStr">
        <is>
          <t>Shopify</t>
        </is>
      </c>
    </row>
    <row r="3573">
      <c r="A3573" s="5" t="inlineStr">
        <is>
          <t>Shopify Western Brothers › Western Brothers Outlet Lerma</t>
        </is>
      </c>
      <c r="B3573" s="5">
        <f>IF($I2="","",INDEX(Productos!$A:$A,$I2))</f>
        <v/>
      </c>
      <c r="C3573" s="134" t="inlineStr">
        <is>
          <t>9901500-204-42</t>
        </is>
      </c>
      <c r="D3573" s="5">
        <f>IF($I2="","",INDEX(Productos!$B:$B,$I2))</f>
        <v/>
      </c>
      <c r="E3573" s="5">
        <f>IF($I2="","",INDEX(Productos!$H:$H,$I2))</f>
        <v/>
      </c>
      <c r="F3573" s="5">
        <f>IF($I2="","",INDEX(Productos!$I:$I,$I2))</f>
        <v/>
      </c>
      <c r="G3573" s="135" t="n">
        <v>1</v>
      </c>
      <c r="H3573" s="5">
        <f>IF($I2="","",INDEX(Productos!$AG:$AG,$I2))</f>
        <v/>
      </c>
      <c r="I3573" s="136">
        <f>LET(_xlpm.r,Productos!$E$2:$E$2509,_xlpm.m,IFERROR(_xlfn.XMATCH(C3573,_xlpm.r),IFERROR(_xlfn.XMATCH(VALUE(C3573),_xlpm.r),0)),IF(_xlpm.m=0,"",_xlpm.m+1))</f>
        <v/>
      </c>
      <c r="J3573" s="137" t="inlineStr">
        <is>
          <t>Shopify</t>
        </is>
      </c>
    </row>
    <row r="3574">
      <c r="A3574" s="5" t="inlineStr">
        <is>
          <t>Shopify Western Brothers › Western Brothers Outlet Lerma</t>
        </is>
      </c>
      <c r="B3574" s="5">
        <f>IF($I2="","",INDEX(Productos!$A:$A,$I2))</f>
        <v/>
      </c>
      <c r="C3574" s="134" t="inlineStr">
        <is>
          <t>9912500-203-36</t>
        </is>
      </c>
      <c r="D3574" s="5">
        <f>IF($I2="","",INDEX(Productos!$B:$B,$I2))</f>
        <v/>
      </c>
      <c r="E3574" s="5">
        <f>IF($I2="","",INDEX(Productos!$H:$H,$I2))</f>
        <v/>
      </c>
      <c r="F3574" s="5">
        <f>IF($I2="","",INDEX(Productos!$I:$I,$I2))</f>
        <v/>
      </c>
      <c r="G3574" s="135" t="n">
        <v>1</v>
      </c>
      <c r="H3574" s="5">
        <f>IF($I2="","",INDEX(Productos!$AG:$AG,$I2))</f>
        <v/>
      </c>
      <c r="I3574" s="136">
        <f>LET(_xlpm.r,Productos!$E$2:$E$2509,_xlpm.m,IFERROR(_xlfn.XMATCH(C3574,_xlpm.r),IFERROR(_xlfn.XMATCH(VALUE(C3574),_xlpm.r),0)),IF(_xlpm.m=0,"",_xlpm.m+1))</f>
        <v/>
      </c>
      <c r="J3574" s="137" t="inlineStr">
        <is>
          <t>Shopify</t>
        </is>
      </c>
    </row>
    <row r="3575">
      <c r="A3575" s="5" t="inlineStr">
        <is>
          <t>Shopify Western Brothers › Western Brothers Outlet Lerma</t>
        </is>
      </c>
      <c r="B3575" s="5">
        <f>IF($I2="","",INDEX(Productos!$A:$A,$I2))</f>
        <v/>
      </c>
      <c r="C3575" s="134" t="inlineStr">
        <is>
          <t>9912500-203-40</t>
        </is>
      </c>
      <c r="D3575" s="5">
        <f>IF($I2="","",INDEX(Productos!$B:$B,$I2))</f>
        <v/>
      </c>
      <c r="E3575" s="5">
        <f>IF($I2="","",INDEX(Productos!$H:$H,$I2))</f>
        <v/>
      </c>
      <c r="F3575" s="5">
        <f>IF($I2="","",INDEX(Productos!$I:$I,$I2))</f>
        <v/>
      </c>
      <c r="G3575" s="135" t="n">
        <v>1</v>
      </c>
      <c r="H3575" s="5">
        <f>IF($I2="","",INDEX(Productos!$AG:$AG,$I2))</f>
        <v/>
      </c>
      <c r="I3575" s="136">
        <f>LET(_xlpm.r,Productos!$E$2:$E$2509,_xlpm.m,IFERROR(_xlfn.XMATCH(C3575,_xlpm.r),IFERROR(_xlfn.XMATCH(VALUE(C3575),_xlpm.r),0)),IF(_xlpm.m=0,"",_xlpm.m+1))</f>
        <v/>
      </c>
      <c r="J3575" s="137" t="inlineStr">
        <is>
          <t>Shopify</t>
        </is>
      </c>
    </row>
    <row r="3576">
      <c r="A3576" s="5" t="inlineStr">
        <is>
          <t>Shopify Western Brothers › Western Brothers Outlet Lerma</t>
        </is>
      </c>
      <c r="B3576" s="5">
        <f>IF($I2="","",INDEX(Productos!$A:$A,$I2))</f>
        <v/>
      </c>
      <c r="C3576" s="134" t="inlineStr">
        <is>
          <t>9912500-203-42</t>
        </is>
      </c>
      <c r="D3576" s="5">
        <f>IF($I2="","",INDEX(Productos!$B:$B,$I2))</f>
        <v/>
      </c>
      <c r="E3576" s="5">
        <f>IF($I2="","",INDEX(Productos!$H:$H,$I2))</f>
        <v/>
      </c>
      <c r="F3576" s="5">
        <f>IF($I2="","",INDEX(Productos!$I:$I,$I2))</f>
        <v/>
      </c>
      <c r="G3576" s="135" t="n">
        <v>1</v>
      </c>
      <c r="H3576" s="5">
        <f>IF($I2="","",INDEX(Productos!$AG:$AG,$I2))</f>
        <v/>
      </c>
      <c r="I3576" s="136">
        <f>LET(_xlpm.r,Productos!$E$2:$E$2509,_xlpm.m,IFERROR(_xlfn.XMATCH(C3576,_xlpm.r),IFERROR(_xlfn.XMATCH(VALUE(C3576),_xlpm.r),0)),IF(_xlpm.m=0,"",_xlpm.m+1))</f>
        <v/>
      </c>
      <c r="J3576" s="137" t="inlineStr">
        <is>
          <t>Shopify</t>
        </is>
      </c>
    </row>
    <row r="3577">
      <c r="A3577" s="5" t="inlineStr">
        <is>
          <t>Shopify Western Brothers › Western Brothers Outlet Lerma</t>
        </is>
      </c>
      <c r="B3577" s="5">
        <f>IF($I2="","",INDEX(Productos!$A:$A,$I2))</f>
        <v/>
      </c>
      <c r="C3577" s="134" t="inlineStr">
        <is>
          <t>9915500-001-36</t>
        </is>
      </c>
      <c r="D3577" s="5">
        <f>IF($I2="","",INDEX(Productos!$B:$B,$I2))</f>
        <v/>
      </c>
      <c r="E3577" s="5">
        <f>IF($I2="","",INDEX(Productos!$H:$H,$I2))</f>
        <v/>
      </c>
      <c r="F3577" s="5">
        <f>IF($I2="","",INDEX(Productos!$I:$I,$I2))</f>
        <v/>
      </c>
      <c r="G3577" s="135" t="n">
        <v>1</v>
      </c>
      <c r="H3577" s="5">
        <f>IF($I2="","",INDEX(Productos!$AG:$AG,$I2))</f>
        <v/>
      </c>
      <c r="I3577" s="136">
        <f>LET(_xlpm.r,Productos!$E$2:$E$2509,_xlpm.m,IFERROR(_xlfn.XMATCH(C3577,_xlpm.r),IFERROR(_xlfn.XMATCH(VALUE(C3577),_xlpm.r),0)),IF(_xlpm.m=0,"",_xlpm.m+1))</f>
        <v/>
      </c>
      <c r="J3577" s="137" t="inlineStr">
        <is>
          <t>Shopify</t>
        </is>
      </c>
    </row>
    <row r="3578">
      <c r="A3578" s="5" t="inlineStr">
        <is>
          <t>Shopify Western Brothers › Western Brothers Outlet Lerma</t>
        </is>
      </c>
      <c r="B3578" s="5">
        <f>IF($I2="","",INDEX(Productos!$A:$A,$I2))</f>
        <v/>
      </c>
      <c r="C3578" s="134" t="inlineStr">
        <is>
          <t>9915500-625-36</t>
        </is>
      </c>
      <c r="D3578" s="5">
        <f>IF($I2="","",INDEX(Productos!$B:$B,$I2))</f>
        <v/>
      </c>
      <c r="E3578" s="5">
        <f>IF($I2="","",INDEX(Productos!$H:$H,$I2))</f>
        <v/>
      </c>
      <c r="F3578" s="5">
        <f>IF($I2="","",INDEX(Productos!$I:$I,$I2))</f>
        <v/>
      </c>
      <c r="G3578" s="135" t="n">
        <v>1</v>
      </c>
      <c r="H3578" s="5">
        <f>IF($I2="","",INDEX(Productos!$AG:$AG,$I2))</f>
        <v/>
      </c>
      <c r="I3578" s="136">
        <f>LET(_xlpm.r,Productos!$E$2:$E$2509,_xlpm.m,IFERROR(_xlfn.XMATCH(C3578,_xlpm.r),IFERROR(_xlfn.XMATCH(VALUE(C3578),_xlpm.r),0)),IF(_xlpm.m=0,"",_xlpm.m+1))</f>
        <v/>
      </c>
      <c r="J3578" s="137" t="inlineStr">
        <is>
          <t>Shopify</t>
        </is>
      </c>
    </row>
    <row r="3579">
      <c r="A3579" s="5" t="inlineStr">
        <is>
          <t>Shopify Western Brothers › Western Brothers Outlet Lerma</t>
        </is>
      </c>
      <c r="B3579" s="5">
        <f>IF($I2="","",INDEX(Productos!$A:$A,$I2))</f>
        <v/>
      </c>
      <c r="C3579" s="134" t="inlineStr">
        <is>
          <t>9915500-625-38</t>
        </is>
      </c>
      <c r="D3579" s="5">
        <f>IF($I2="","",INDEX(Productos!$B:$B,$I2))</f>
        <v/>
      </c>
      <c r="E3579" s="5">
        <f>IF($I2="","",INDEX(Productos!$H:$H,$I2))</f>
        <v/>
      </c>
      <c r="F3579" s="5">
        <f>IF($I2="","",INDEX(Productos!$I:$I,$I2))</f>
        <v/>
      </c>
      <c r="G3579" s="135" t="n">
        <v>1</v>
      </c>
      <c r="H3579" s="5">
        <f>IF($I2="","",INDEX(Productos!$AG:$AG,$I2))</f>
        <v/>
      </c>
      <c r="I3579" s="136">
        <f>LET(_xlpm.r,Productos!$E$2:$E$2509,_xlpm.m,IFERROR(_xlfn.XMATCH(C3579,_xlpm.r),IFERROR(_xlfn.XMATCH(VALUE(C3579),_xlpm.r),0)),IF(_xlpm.m=0,"",_xlpm.m+1))</f>
        <v/>
      </c>
      <c r="J3579" s="137" t="inlineStr">
        <is>
          <t>Shopify</t>
        </is>
      </c>
    </row>
    <row r="3580">
      <c r="A3580" s="5" t="inlineStr">
        <is>
          <t>Shopify Western Brothers › Western Brothers Outlet Lerma</t>
        </is>
      </c>
      <c r="B3580" s="5">
        <f>IF($I2="","",INDEX(Productos!$A:$A,$I2))</f>
        <v/>
      </c>
      <c r="C3580" s="134" t="inlineStr">
        <is>
          <t>9915500-625-40</t>
        </is>
      </c>
      <c r="D3580" s="5">
        <f>IF($I2="","",INDEX(Productos!$B:$B,$I2))</f>
        <v/>
      </c>
      <c r="E3580" s="5">
        <f>IF($I2="","",INDEX(Productos!$H:$H,$I2))</f>
        <v/>
      </c>
      <c r="F3580" s="5">
        <f>IF($I2="","",INDEX(Productos!$I:$I,$I2))</f>
        <v/>
      </c>
      <c r="G3580" s="135" t="n">
        <v>1</v>
      </c>
      <c r="H3580" s="5">
        <f>IF($I2="","",INDEX(Productos!$AG:$AG,$I2))</f>
        <v/>
      </c>
      <c r="I3580" s="136">
        <f>LET(_xlpm.r,Productos!$E$2:$E$2509,_xlpm.m,IFERROR(_xlfn.XMATCH(C3580,_xlpm.r),IFERROR(_xlfn.XMATCH(VALUE(C3580),_xlpm.r),0)),IF(_xlpm.m=0,"",_xlpm.m+1))</f>
        <v/>
      </c>
      <c r="J3580" s="137" t="inlineStr">
        <is>
          <t>Shopify</t>
        </is>
      </c>
    </row>
    <row r="3581">
      <c r="A3581" s="5" t="inlineStr">
        <is>
          <t>Shopify Western Brothers › Western Brothers Outlet Lerma</t>
        </is>
      </c>
      <c r="B3581" s="5">
        <f>IF($I2="","",INDEX(Productos!$A:$A,$I2))</f>
        <v/>
      </c>
      <c r="C3581" s="134" t="inlineStr">
        <is>
          <t>9915500-625-42</t>
        </is>
      </c>
      <c r="D3581" s="5">
        <f>IF($I2="","",INDEX(Productos!$B:$B,$I2))</f>
        <v/>
      </c>
      <c r="E3581" s="5">
        <f>IF($I2="","",INDEX(Productos!$H:$H,$I2))</f>
        <v/>
      </c>
      <c r="F3581" s="5">
        <f>IF($I2="","",INDEX(Productos!$I:$I,$I2))</f>
        <v/>
      </c>
      <c r="G3581" s="135" t="n">
        <v>1</v>
      </c>
      <c r="H3581" s="5">
        <f>IF($I2="","",INDEX(Productos!$AG:$AG,$I2))</f>
        <v/>
      </c>
      <c r="I3581" s="136">
        <f>LET(_xlpm.r,Productos!$E$2:$E$2509,_xlpm.m,IFERROR(_xlfn.XMATCH(C3581,_xlpm.r),IFERROR(_xlfn.XMATCH(VALUE(C3581),_xlpm.r),0)),IF(_xlpm.m=0,"",_xlpm.m+1))</f>
        <v/>
      </c>
      <c r="J3581" s="137" t="inlineStr">
        <is>
          <t>Shopify</t>
        </is>
      </c>
    </row>
    <row r="3582">
      <c r="A3582" s="5" t="inlineStr">
        <is>
          <t>Shopify Western Brothers › Western Brothers Outlet Lerma</t>
        </is>
      </c>
      <c r="B3582" s="5">
        <f>IF($I2="","",INDEX(Productos!$A:$A,$I2))</f>
        <v/>
      </c>
      <c r="C3582" s="134" t="inlineStr">
        <is>
          <t>9915500-625-46</t>
        </is>
      </c>
      <c r="D3582" s="5">
        <f>IF($I2="","",INDEX(Productos!$B:$B,$I2))</f>
        <v/>
      </c>
      <c r="E3582" s="5">
        <f>IF($I2="","",INDEX(Productos!$H:$H,$I2))</f>
        <v/>
      </c>
      <c r="F3582" s="5">
        <f>IF($I2="","",INDEX(Productos!$I:$I,$I2))</f>
        <v/>
      </c>
      <c r="G3582" s="135" t="n">
        <v>1</v>
      </c>
      <c r="H3582" s="5">
        <f>IF($I2="","",INDEX(Productos!$AG:$AG,$I2))</f>
        <v/>
      </c>
      <c r="I3582" s="136">
        <f>LET(_xlpm.r,Productos!$E$2:$E$2509,_xlpm.m,IFERROR(_xlfn.XMATCH(C3582,_xlpm.r),IFERROR(_xlfn.XMATCH(VALUE(C3582),_xlpm.r),0)),IF(_xlpm.m=0,"",_xlpm.m+1))</f>
        <v/>
      </c>
      <c r="J3582" s="137" t="inlineStr">
        <is>
          <t>Shopify</t>
        </is>
      </c>
    </row>
    <row r="3583">
      <c r="A3583" s="5" t="inlineStr">
        <is>
          <t>Shopify Western Brothers › Western Brothers Outlet Lerma</t>
        </is>
      </c>
      <c r="B3583" s="5">
        <f>IF($I2="","",INDEX(Productos!$A:$A,$I2))</f>
        <v/>
      </c>
      <c r="C3583" s="134" t="inlineStr">
        <is>
          <t>9916500-19-36</t>
        </is>
      </c>
      <c r="D3583" s="5">
        <f>IF($I2="","",INDEX(Productos!$B:$B,$I2))</f>
        <v/>
      </c>
      <c r="E3583" s="5">
        <f>IF($I2="","",INDEX(Productos!$H:$H,$I2))</f>
        <v/>
      </c>
      <c r="F3583" s="5">
        <f>IF($I2="","",INDEX(Productos!$I:$I,$I2))</f>
        <v/>
      </c>
      <c r="G3583" s="135" t="n">
        <v>1</v>
      </c>
      <c r="H3583" s="5">
        <f>IF($I2="","",INDEX(Productos!$AG:$AG,$I2))</f>
        <v/>
      </c>
      <c r="I3583" s="136">
        <f>LET(_xlpm.r,Productos!$E$2:$E$2509,_xlpm.m,IFERROR(_xlfn.XMATCH(C3583,_xlpm.r),IFERROR(_xlfn.XMATCH(VALUE(C3583),_xlpm.r),0)),IF(_xlpm.m=0,"",_xlpm.m+1))</f>
        <v/>
      </c>
      <c r="J3583" s="137" t="inlineStr">
        <is>
          <t>Shopify</t>
        </is>
      </c>
    </row>
    <row r="3584">
      <c r="A3584" s="5" t="inlineStr">
        <is>
          <t>Shopify Western Brothers › Western Brothers Outlet Lerma</t>
        </is>
      </c>
      <c r="B3584" s="5">
        <f>IF($I2="","",INDEX(Productos!$A:$A,$I2))</f>
        <v/>
      </c>
      <c r="C3584" s="134" t="inlineStr">
        <is>
          <t>9916500-19-40</t>
        </is>
      </c>
      <c r="D3584" s="5">
        <f>IF($I2="","",INDEX(Productos!$B:$B,$I2))</f>
        <v/>
      </c>
      <c r="E3584" s="5">
        <f>IF($I2="","",INDEX(Productos!$H:$H,$I2))</f>
        <v/>
      </c>
      <c r="F3584" s="5">
        <f>IF($I2="","",INDEX(Productos!$I:$I,$I2))</f>
        <v/>
      </c>
      <c r="G3584" s="135" t="n">
        <v>1</v>
      </c>
      <c r="H3584" s="5">
        <f>IF($I2="","",INDEX(Productos!$AG:$AG,$I2))</f>
        <v/>
      </c>
      <c r="I3584" s="136">
        <f>LET(_xlpm.r,Productos!$E$2:$E$2509,_xlpm.m,IFERROR(_xlfn.XMATCH(C3584,_xlpm.r),IFERROR(_xlfn.XMATCH(VALUE(C3584),_xlpm.r),0)),IF(_xlpm.m=0,"",_xlpm.m+1))</f>
        <v/>
      </c>
      <c r="J3584" s="137" t="inlineStr">
        <is>
          <t>Shopify</t>
        </is>
      </c>
    </row>
    <row r="3585">
      <c r="A3585" s="5" t="inlineStr">
        <is>
          <t>Shopify Western Brothers › Western Brothers Outlet Lerma</t>
        </is>
      </c>
      <c r="B3585" s="5">
        <f>IF($I2="","",INDEX(Productos!$A:$A,$I2))</f>
        <v/>
      </c>
      <c r="C3585" s="134" t="inlineStr">
        <is>
          <t>9916500-19-44</t>
        </is>
      </c>
      <c r="D3585" s="5">
        <f>IF($I2="","",INDEX(Productos!$B:$B,$I2))</f>
        <v/>
      </c>
      <c r="E3585" s="5">
        <f>IF($I2="","",INDEX(Productos!$H:$H,$I2))</f>
        <v/>
      </c>
      <c r="F3585" s="5">
        <f>IF($I2="","",INDEX(Productos!$I:$I,$I2))</f>
        <v/>
      </c>
      <c r="G3585" s="135" t="n">
        <v>2</v>
      </c>
      <c r="H3585" s="5">
        <f>IF($I2="","",INDEX(Productos!$AG:$AG,$I2))</f>
        <v/>
      </c>
      <c r="I3585" s="136">
        <f>LET(_xlpm.r,Productos!$E$2:$E$2509,_xlpm.m,IFERROR(_xlfn.XMATCH(C3585,_xlpm.r),IFERROR(_xlfn.XMATCH(VALUE(C3585),_xlpm.r),0)),IF(_xlpm.m=0,"",_xlpm.m+1))</f>
        <v/>
      </c>
      <c r="J3585" s="137" t="inlineStr">
        <is>
          <t>Shopify</t>
        </is>
      </c>
    </row>
    <row r="3586">
      <c r="A3586" s="5" t="inlineStr">
        <is>
          <t>Shopify Western Brothers › Western Brothers Outlet Lerma</t>
        </is>
      </c>
      <c r="B3586" s="5">
        <f>IF($I2="","",INDEX(Productos!$A:$A,$I2))</f>
        <v/>
      </c>
      <c r="C3586" s="134" t="inlineStr">
        <is>
          <t>9916500-260-36</t>
        </is>
      </c>
      <c r="D3586" s="5">
        <f>IF($I2="","",INDEX(Productos!$B:$B,$I2))</f>
        <v/>
      </c>
      <c r="E3586" s="5">
        <f>IF($I2="","",INDEX(Productos!$H:$H,$I2))</f>
        <v/>
      </c>
      <c r="F3586" s="5">
        <f>IF($I2="","",INDEX(Productos!$I:$I,$I2))</f>
        <v/>
      </c>
      <c r="G3586" s="135" t="n">
        <v>1</v>
      </c>
      <c r="H3586" s="5">
        <f>IF($I2="","",INDEX(Productos!$AG:$AG,$I2))</f>
        <v/>
      </c>
      <c r="I3586" s="136">
        <f>LET(_xlpm.r,Productos!$E$2:$E$2509,_xlpm.m,IFERROR(_xlfn.XMATCH(C3586,_xlpm.r),IFERROR(_xlfn.XMATCH(VALUE(C3586),_xlpm.r),0)),IF(_xlpm.m=0,"",_xlpm.m+1))</f>
        <v/>
      </c>
      <c r="J3586" s="137" t="inlineStr">
        <is>
          <t>Shopify</t>
        </is>
      </c>
    </row>
    <row r="3587">
      <c r="A3587" s="5" t="inlineStr">
        <is>
          <t>Shopify Western Brothers › Western Brothers Outlet Lerma</t>
        </is>
      </c>
      <c r="B3587" s="5">
        <f>IF($I2="","",INDEX(Productos!$A:$A,$I2))</f>
        <v/>
      </c>
      <c r="C3587" s="134" t="inlineStr">
        <is>
          <t>9916500-260-42</t>
        </is>
      </c>
      <c r="D3587" s="5">
        <f>IF($I2="","",INDEX(Productos!$B:$B,$I2))</f>
        <v/>
      </c>
      <c r="E3587" s="5">
        <f>IF($I2="","",INDEX(Productos!$H:$H,$I2))</f>
        <v/>
      </c>
      <c r="F3587" s="5">
        <f>IF($I2="","",INDEX(Productos!$I:$I,$I2))</f>
        <v/>
      </c>
      <c r="G3587" s="135" t="n">
        <v>1</v>
      </c>
      <c r="H3587" s="5">
        <f>IF($I2="","",INDEX(Productos!$AG:$AG,$I2))</f>
        <v/>
      </c>
      <c r="I3587" s="136">
        <f>LET(_xlpm.r,Productos!$E$2:$E$2509,_xlpm.m,IFERROR(_xlfn.XMATCH(C3587,_xlpm.r),IFERROR(_xlfn.XMATCH(VALUE(C3587),_xlpm.r),0)),IF(_xlpm.m=0,"",_xlpm.m+1))</f>
        <v/>
      </c>
      <c r="J3587" s="137" t="inlineStr">
        <is>
          <t>Shopify</t>
        </is>
      </c>
    </row>
    <row r="3588">
      <c r="A3588" s="5" t="inlineStr">
        <is>
          <t>Shopify Western Brothers › Western Brothers Outlet Lerma</t>
        </is>
      </c>
      <c r="B3588" s="5">
        <f>IF($I2="","",INDEX(Productos!$A:$A,$I2))</f>
        <v/>
      </c>
      <c r="C3588" s="134" t="inlineStr">
        <is>
          <t>9916500-260-44</t>
        </is>
      </c>
      <c r="D3588" s="5">
        <f>IF($I2="","",INDEX(Productos!$B:$B,$I2))</f>
        <v/>
      </c>
      <c r="E3588" s="5">
        <f>IF($I2="","",INDEX(Productos!$H:$H,$I2))</f>
        <v/>
      </c>
      <c r="F3588" s="5">
        <f>IF($I2="","",INDEX(Productos!$I:$I,$I2))</f>
        <v/>
      </c>
      <c r="G3588" s="135" t="n">
        <v>1</v>
      </c>
      <c r="H3588" s="5">
        <f>IF($I2="","",INDEX(Productos!$AG:$AG,$I2))</f>
        <v/>
      </c>
      <c r="I3588" s="136">
        <f>LET(_xlpm.r,Productos!$E$2:$E$2509,_xlpm.m,IFERROR(_xlfn.XMATCH(C3588,_xlpm.r),IFERROR(_xlfn.XMATCH(VALUE(C3588),_xlpm.r),0)),IF(_xlpm.m=0,"",_xlpm.m+1))</f>
        <v/>
      </c>
      <c r="J3588" s="137" t="inlineStr">
        <is>
          <t>Shopify</t>
        </is>
      </c>
    </row>
    <row r="3589">
      <c r="A3589" s="5" t="inlineStr">
        <is>
          <t>Shopify Western Brothers › Western Brothers Outlet Lerma</t>
        </is>
      </c>
      <c r="B3589" s="5">
        <f>IF($I2="","",INDEX(Productos!$A:$A,$I2))</f>
        <v/>
      </c>
      <c r="C3589" s="134" t="inlineStr">
        <is>
          <t>9917500-014-40</t>
        </is>
      </c>
      <c r="D3589" s="5">
        <f>IF($I2="","",INDEX(Productos!$B:$B,$I2))</f>
        <v/>
      </c>
      <c r="E3589" s="5">
        <f>IF($I2="","",INDEX(Productos!$H:$H,$I2))</f>
        <v/>
      </c>
      <c r="F3589" s="5">
        <f>IF($I2="","",INDEX(Productos!$I:$I,$I2))</f>
        <v/>
      </c>
      <c r="G3589" s="135" t="n">
        <v>3</v>
      </c>
      <c r="H3589" s="5">
        <f>IF($I2="","",INDEX(Productos!$AG:$AG,$I2))</f>
        <v/>
      </c>
      <c r="I3589" s="136">
        <f>LET(_xlpm.r,Productos!$E$2:$E$2509,_xlpm.m,IFERROR(_xlfn.XMATCH(C3589,_xlpm.r),IFERROR(_xlfn.XMATCH(VALUE(C3589),_xlpm.r),0)),IF(_xlpm.m=0,"",_xlpm.m+1))</f>
        <v/>
      </c>
      <c r="J3589" s="137" t="inlineStr">
        <is>
          <t>Shopify</t>
        </is>
      </c>
    </row>
    <row r="3590">
      <c r="A3590" s="5" t="inlineStr">
        <is>
          <t>Shopify Western Brothers › Western Brothers Outlet Lerma</t>
        </is>
      </c>
      <c r="B3590" s="5">
        <f>IF($I2="","",INDEX(Productos!$A:$A,$I2))</f>
        <v/>
      </c>
      <c r="C3590" s="134" t="inlineStr">
        <is>
          <t>9917500-014-42</t>
        </is>
      </c>
      <c r="D3590" s="5">
        <f>IF($I2="","",INDEX(Productos!$B:$B,$I2))</f>
        <v/>
      </c>
      <c r="E3590" s="5">
        <f>IF($I2="","",INDEX(Productos!$H:$H,$I2))</f>
        <v/>
      </c>
      <c r="F3590" s="5">
        <f>IF($I2="","",INDEX(Productos!$I:$I,$I2))</f>
        <v/>
      </c>
      <c r="G3590" s="135" t="n">
        <v>1</v>
      </c>
      <c r="H3590" s="5">
        <f>IF($I2="","",INDEX(Productos!$AG:$AG,$I2))</f>
        <v/>
      </c>
      <c r="I3590" s="136">
        <f>LET(_xlpm.r,Productos!$E$2:$E$2509,_xlpm.m,IFERROR(_xlfn.XMATCH(C3590,_xlpm.r),IFERROR(_xlfn.XMATCH(VALUE(C3590),_xlpm.r),0)),IF(_xlpm.m=0,"",_xlpm.m+1))</f>
        <v/>
      </c>
      <c r="J3590" s="137" t="inlineStr">
        <is>
          <t>Shopify</t>
        </is>
      </c>
    </row>
    <row r="3591">
      <c r="A3591" s="5" t="inlineStr">
        <is>
          <t>Shopify Western Brothers › Western Brothers Outlet Lerma</t>
        </is>
      </c>
      <c r="B3591" s="5">
        <f>IF($I2="","",INDEX(Productos!$A:$A,$I2))</f>
        <v/>
      </c>
      <c r="C3591" s="134" t="inlineStr">
        <is>
          <t>9918500-203-36</t>
        </is>
      </c>
      <c r="D3591" s="5">
        <f>IF($I2="","",INDEX(Productos!$B:$B,$I2))</f>
        <v/>
      </c>
      <c r="E3591" s="5">
        <f>IF($I2="","",INDEX(Productos!$H:$H,$I2))</f>
        <v/>
      </c>
      <c r="F3591" s="5">
        <f>IF($I2="","",INDEX(Productos!$I:$I,$I2))</f>
        <v/>
      </c>
      <c r="G3591" s="135" t="n">
        <v>1</v>
      </c>
      <c r="H3591" s="5">
        <f>IF($I2="","",INDEX(Productos!$AG:$AG,$I2))</f>
        <v/>
      </c>
      <c r="I3591" s="136">
        <f>LET(_xlpm.r,Productos!$E$2:$E$2509,_xlpm.m,IFERROR(_xlfn.XMATCH(C3591,_xlpm.r),IFERROR(_xlfn.XMATCH(VALUE(C3591),_xlpm.r),0)),IF(_xlpm.m=0,"",_xlpm.m+1))</f>
        <v/>
      </c>
      <c r="J3591" s="137" t="inlineStr">
        <is>
          <t>Shopify</t>
        </is>
      </c>
    </row>
    <row r="3592">
      <c r="A3592" s="5" t="inlineStr">
        <is>
          <t>Shopify Western Brothers › Western Brothers Outlet Lerma</t>
        </is>
      </c>
      <c r="B3592" s="5">
        <f>IF($I2="","",INDEX(Productos!$A:$A,$I2))</f>
        <v/>
      </c>
      <c r="C3592" s="134" t="inlineStr">
        <is>
          <t>9918500-203-38</t>
        </is>
      </c>
      <c r="D3592" s="5">
        <f>IF($I2="","",INDEX(Productos!$B:$B,$I2))</f>
        <v/>
      </c>
      <c r="E3592" s="5">
        <f>IF($I2="","",INDEX(Productos!$H:$H,$I2))</f>
        <v/>
      </c>
      <c r="F3592" s="5">
        <f>IF($I2="","",INDEX(Productos!$I:$I,$I2))</f>
        <v/>
      </c>
      <c r="G3592" s="135" t="n">
        <v>1</v>
      </c>
      <c r="H3592" s="5">
        <f>IF($I2="","",INDEX(Productos!$AG:$AG,$I2))</f>
        <v/>
      </c>
      <c r="I3592" s="136">
        <f>LET(_xlpm.r,Productos!$E$2:$E$2509,_xlpm.m,IFERROR(_xlfn.XMATCH(C3592,_xlpm.r),IFERROR(_xlfn.XMATCH(VALUE(C3592),_xlpm.r),0)),IF(_xlpm.m=0,"",_xlpm.m+1))</f>
        <v/>
      </c>
      <c r="J3592" s="137" t="inlineStr">
        <is>
          <t>Shopify</t>
        </is>
      </c>
    </row>
    <row r="3593">
      <c r="A3593" s="5" t="inlineStr">
        <is>
          <t>Shopify Western Brothers › Western Brothers Outlet Lerma</t>
        </is>
      </c>
      <c r="B3593" s="5">
        <f>IF($I2="","",INDEX(Productos!$A:$A,$I2))</f>
        <v/>
      </c>
      <c r="C3593" s="134" t="inlineStr">
        <is>
          <t>9918500-203-40</t>
        </is>
      </c>
      <c r="D3593" s="5">
        <f>IF($I2="","",INDEX(Productos!$B:$B,$I2))</f>
        <v/>
      </c>
      <c r="E3593" s="5">
        <f>IF($I2="","",INDEX(Productos!$H:$H,$I2))</f>
        <v/>
      </c>
      <c r="F3593" s="5">
        <f>IF($I2="","",INDEX(Productos!$I:$I,$I2))</f>
        <v/>
      </c>
      <c r="G3593" s="135" t="n">
        <v>1</v>
      </c>
      <c r="H3593" s="5">
        <f>IF($I2="","",INDEX(Productos!$AG:$AG,$I2))</f>
        <v/>
      </c>
      <c r="I3593" s="136">
        <f>LET(_xlpm.r,Productos!$E$2:$E$2509,_xlpm.m,IFERROR(_xlfn.XMATCH(C3593,_xlpm.r),IFERROR(_xlfn.XMATCH(VALUE(C3593),_xlpm.r),0)),IF(_xlpm.m=0,"",_xlpm.m+1))</f>
        <v/>
      </c>
      <c r="J3593" s="137" t="inlineStr">
        <is>
          <t>Shopify</t>
        </is>
      </c>
    </row>
    <row r="3594">
      <c r="A3594" s="5" t="inlineStr">
        <is>
          <t>Shopify Western Brothers › Western Brothers Outlet Lerma</t>
        </is>
      </c>
      <c r="B3594" s="5">
        <f>IF($I2="","",INDEX(Productos!$A:$A,$I2))</f>
        <v/>
      </c>
      <c r="C3594" s="134" t="inlineStr">
        <is>
          <t>9918500-203-42</t>
        </is>
      </c>
      <c r="D3594" s="5">
        <f>IF($I2="","",INDEX(Productos!$B:$B,$I2))</f>
        <v/>
      </c>
      <c r="E3594" s="5">
        <f>IF($I2="","",INDEX(Productos!$H:$H,$I2))</f>
        <v/>
      </c>
      <c r="F3594" s="5">
        <f>IF($I2="","",INDEX(Productos!$I:$I,$I2))</f>
        <v/>
      </c>
      <c r="G3594" s="135" t="n">
        <v>1</v>
      </c>
      <c r="H3594" s="5">
        <f>IF($I2="","",INDEX(Productos!$AG:$AG,$I2))</f>
        <v/>
      </c>
      <c r="I3594" s="136">
        <f>LET(_xlpm.r,Productos!$E$2:$E$2509,_xlpm.m,IFERROR(_xlfn.XMATCH(C3594,_xlpm.r),IFERROR(_xlfn.XMATCH(VALUE(C3594),_xlpm.r),0)),IF(_xlpm.m=0,"",_xlpm.m+1))</f>
        <v/>
      </c>
      <c r="J3594" s="137" t="inlineStr">
        <is>
          <t>Shopify</t>
        </is>
      </c>
    </row>
    <row r="3595">
      <c r="A3595" s="5" t="inlineStr">
        <is>
          <t>Shopify Western Brothers › Western Brothers Outlet Lerma</t>
        </is>
      </c>
      <c r="B3595" s="5">
        <f>IF($I2="","",INDEX(Productos!$A:$A,$I2))</f>
        <v/>
      </c>
      <c r="C3595" s="134" t="inlineStr">
        <is>
          <t>9921500-97-36</t>
        </is>
      </c>
      <c r="D3595" s="5">
        <f>IF($I2="","",INDEX(Productos!$B:$B,$I2))</f>
        <v/>
      </c>
      <c r="E3595" s="5">
        <f>IF($I2="","",INDEX(Productos!$H:$H,$I2))</f>
        <v/>
      </c>
      <c r="F3595" s="5">
        <f>IF($I2="","",INDEX(Productos!$I:$I,$I2))</f>
        <v/>
      </c>
      <c r="G3595" s="135" t="n">
        <v>1</v>
      </c>
      <c r="H3595" s="5">
        <f>IF($I2="","",INDEX(Productos!$AG:$AG,$I2))</f>
        <v/>
      </c>
      <c r="I3595" s="136">
        <f>LET(_xlpm.r,Productos!$E$2:$E$2509,_xlpm.m,IFERROR(_xlfn.XMATCH(C3595,_xlpm.r),IFERROR(_xlfn.XMATCH(VALUE(C3595),_xlpm.r),0)),IF(_xlpm.m=0,"",_xlpm.m+1))</f>
        <v/>
      </c>
      <c r="J3595" s="137" t="inlineStr">
        <is>
          <t>Shopify</t>
        </is>
      </c>
    </row>
    <row r="3596">
      <c r="A3596" s="5" t="inlineStr">
        <is>
          <t>Shopify Western Brothers › Western Brothers Outlet Lerma</t>
        </is>
      </c>
      <c r="B3596" s="5">
        <f>IF($I2="","",INDEX(Productos!$A:$A,$I2))</f>
        <v/>
      </c>
      <c r="C3596" s="134" t="inlineStr">
        <is>
          <t>9921500-97-38</t>
        </is>
      </c>
      <c r="D3596" s="5">
        <f>IF($I2="","",INDEX(Productos!$B:$B,$I2))</f>
        <v/>
      </c>
      <c r="E3596" s="5">
        <f>IF($I2="","",INDEX(Productos!$H:$H,$I2))</f>
        <v/>
      </c>
      <c r="F3596" s="5">
        <f>IF($I2="","",INDEX(Productos!$I:$I,$I2))</f>
        <v/>
      </c>
      <c r="G3596" s="135" t="n">
        <v>1</v>
      </c>
      <c r="H3596" s="5">
        <f>IF($I2="","",INDEX(Productos!$AG:$AG,$I2))</f>
        <v/>
      </c>
      <c r="I3596" s="136">
        <f>LET(_xlpm.r,Productos!$E$2:$E$2509,_xlpm.m,IFERROR(_xlfn.XMATCH(C3596,_xlpm.r),IFERROR(_xlfn.XMATCH(VALUE(C3596),_xlpm.r),0)),IF(_xlpm.m=0,"",_xlpm.m+1))</f>
        <v/>
      </c>
      <c r="J3596" s="137" t="inlineStr">
        <is>
          <t>Shopify</t>
        </is>
      </c>
    </row>
    <row r="3597">
      <c r="A3597" s="5" t="inlineStr">
        <is>
          <t>Shopify Western Brothers › Western Brothers Outlet Lerma</t>
        </is>
      </c>
      <c r="B3597" s="5">
        <f>IF($I2="","",INDEX(Productos!$A:$A,$I2))</f>
        <v/>
      </c>
      <c r="C3597" s="134" t="inlineStr">
        <is>
          <t>9921500-97-40</t>
        </is>
      </c>
      <c r="D3597" s="5">
        <f>IF($I2="","",INDEX(Productos!$B:$B,$I2))</f>
        <v/>
      </c>
      <c r="E3597" s="5">
        <f>IF($I2="","",INDEX(Productos!$H:$H,$I2))</f>
        <v/>
      </c>
      <c r="F3597" s="5">
        <f>IF($I2="","",INDEX(Productos!$I:$I,$I2))</f>
        <v/>
      </c>
      <c r="G3597" s="135" t="n">
        <v>1</v>
      </c>
      <c r="H3597" s="5">
        <f>IF($I2="","",INDEX(Productos!$AG:$AG,$I2))</f>
        <v/>
      </c>
      <c r="I3597" s="136">
        <f>LET(_xlpm.r,Productos!$E$2:$E$2509,_xlpm.m,IFERROR(_xlfn.XMATCH(C3597,_xlpm.r),IFERROR(_xlfn.XMATCH(VALUE(C3597),_xlpm.r),0)),IF(_xlpm.m=0,"",_xlpm.m+1))</f>
        <v/>
      </c>
      <c r="J3597" s="137" t="inlineStr">
        <is>
          <t>Shopify</t>
        </is>
      </c>
    </row>
    <row r="3598">
      <c r="A3598" s="5" t="inlineStr">
        <is>
          <t>Shopify Western Brothers › Western Brothers Outlet Lerma</t>
        </is>
      </c>
      <c r="B3598" s="5">
        <f>IF($I2="","",INDEX(Productos!$A:$A,$I2))</f>
        <v/>
      </c>
      <c r="C3598" s="134" t="inlineStr">
        <is>
          <t>9921500-97-42</t>
        </is>
      </c>
      <c r="D3598" s="5">
        <f>IF($I2="","",INDEX(Productos!$B:$B,$I2))</f>
        <v/>
      </c>
      <c r="E3598" s="5">
        <f>IF($I2="","",INDEX(Productos!$H:$H,$I2))</f>
        <v/>
      </c>
      <c r="F3598" s="5">
        <f>IF($I2="","",INDEX(Productos!$I:$I,$I2))</f>
        <v/>
      </c>
      <c r="G3598" s="135" t="n">
        <v>1</v>
      </c>
      <c r="H3598" s="5">
        <f>IF($I2="","",INDEX(Productos!$AG:$AG,$I2))</f>
        <v/>
      </c>
      <c r="I3598" s="136">
        <f>LET(_xlpm.r,Productos!$E$2:$E$2509,_xlpm.m,IFERROR(_xlfn.XMATCH(C3598,_xlpm.r),IFERROR(_xlfn.XMATCH(VALUE(C3598),_xlpm.r),0)),IF(_xlpm.m=0,"",_xlpm.m+1))</f>
        <v/>
      </c>
      <c r="J3598" s="137" t="inlineStr">
        <is>
          <t>Shopify</t>
        </is>
      </c>
    </row>
    <row r="3599">
      <c r="A3599" s="5" t="inlineStr">
        <is>
          <t>Shopify Western Brothers › Western Brothers Outlet Lerma</t>
        </is>
      </c>
      <c r="B3599" s="5">
        <f>IF($I2="","",INDEX(Productos!$A:$A,$I2))</f>
        <v/>
      </c>
      <c r="C3599" s="134" t="inlineStr">
        <is>
          <t>9921500-97-46</t>
        </is>
      </c>
      <c r="D3599" s="5">
        <f>IF($I2="","",INDEX(Productos!$B:$B,$I2))</f>
        <v/>
      </c>
      <c r="E3599" s="5">
        <f>IF($I2="","",INDEX(Productos!$H:$H,$I2))</f>
        <v/>
      </c>
      <c r="F3599" s="5">
        <f>IF($I2="","",INDEX(Productos!$I:$I,$I2))</f>
        <v/>
      </c>
      <c r="G3599" s="135" t="n">
        <v>1</v>
      </c>
      <c r="H3599" s="5">
        <f>IF($I2="","",INDEX(Productos!$AG:$AG,$I2))</f>
        <v/>
      </c>
      <c r="I3599" s="136">
        <f>LET(_xlpm.r,Productos!$E$2:$E$2509,_xlpm.m,IFERROR(_xlfn.XMATCH(C3599,_xlpm.r),IFERROR(_xlfn.XMATCH(VALUE(C3599),_xlpm.r),0)),IF(_xlpm.m=0,"",_xlpm.m+1))</f>
        <v/>
      </c>
      <c r="J3599" s="137" t="inlineStr">
        <is>
          <t>Shopify</t>
        </is>
      </c>
    </row>
    <row r="3600">
      <c r="A3600" s="5" t="inlineStr">
        <is>
          <t>Shopify Western Brothers › Western Brothers Outlet Lerma</t>
        </is>
      </c>
      <c r="B3600" s="5">
        <f>IF($I2="","",INDEX(Productos!$A:$A,$I2))</f>
        <v/>
      </c>
      <c r="C3600" s="134" t="inlineStr">
        <is>
          <t>9923500-104-36</t>
        </is>
      </c>
      <c r="D3600" s="5">
        <f>IF($I2="","",INDEX(Productos!$B:$B,$I2))</f>
        <v/>
      </c>
      <c r="E3600" s="5">
        <f>IF($I2="","",INDEX(Productos!$H:$H,$I2))</f>
        <v/>
      </c>
      <c r="F3600" s="5">
        <f>IF($I2="","",INDEX(Productos!$I:$I,$I2))</f>
        <v/>
      </c>
      <c r="G3600" s="135" t="n">
        <v>1</v>
      </c>
      <c r="H3600" s="5">
        <f>IF($I2="","",INDEX(Productos!$AG:$AG,$I2))</f>
        <v/>
      </c>
      <c r="I3600" s="136">
        <f>LET(_xlpm.r,Productos!$E$2:$E$2509,_xlpm.m,IFERROR(_xlfn.XMATCH(C3600,_xlpm.r),IFERROR(_xlfn.XMATCH(VALUE(C3600),_xlpm.r),0)),IF(_xlpm.m=0,"",_xlpm.m+1))</f>
        <v/>
      </c>
      <c r="J3600" s="137" t="inlineStr">
        <is>
          <t>Shopify</t>
        </is>
      </c>
    </row>
    <row r="3601">
      <c r="A3601" s="5" t="inlineStr">
        <is>
          <t>Shopify Western Brothers › Western Brothers Outlet Lerma</t>
        </is>
      </c>
      <c r="B3601" s="5">
        <f>IF($I2="","",INDEX(Productos!$A:$A,$I2))</f>
        <v/>
      </c>
      <c r="C3601" s="134" t="inlineStr">
        <is>
          <t>9928500-104-40</t>
        </is>
      </c>
      <c r="D3601" s="5">
        <f>IF($I2="","",INDEX(Productos!$B:$B,$I2))</f>
        <v/>
      </c>
      <c r="E3601" s="5">
        <f>IF($I2="","",INDEX(Productos!$H:$H,$I2))</f>
        <v/>
      </c>
      <c r="F3601" s="5">
        <f>IF($I2="","",INDEX(Productos!$I:$I,$I2))</f>
        <v/>
      </c>
      <c r="G3601" s="135" t="n">
        <v>1</v>
      </c>
      <c r="H3601" s="5">
        <f>IF($I2="","",INDEX(Productos!$AG:$AG,$I2))</f>
        <v/>
      </c>
      <c r="I3601" s="136">
        <f>LET(_xlpm.r,Productos!$E$2:$E$2509,_xlpm.m,IFERROR(_xlfn.XMATCH(C3601,_xlpm.r),IFERROR(_xlfn.XMATCH(VALUE(C3601),_xlpm.r),0)),IF(_xlpm.m=0,"",_xlpm.m+1))</f>
        <v/>
      </c>
      <c r="J3601" s="137" t="inlineStr">
        <is>
          <t>Shopify</t>
        </is>
      </c>
    </row>
    <row r="3602">
      <c r="A3602" s="5" t="inlineStr">
        <is>
          <t>Shopify Western Brothers › Western Brothers Outlet Lerma</t>
        </is>
      </c>
      <c r="B3602" s="5">
        <f>IF($I2="","",INDEX(Productos!$A:$A,$I2))</f>
        <v/>
      </c>
      <c r="C3602" s="134" t="inlineStr">
        <is>
          <t>9928500-104-44</t>
        </is>
      </c>
      <c r="D3602" s="5">
        <f>IF($I2="","",INDEX(Productos!$B:$B,$I2))</f>
        <v/>
      </c>
      <c r="E3602" s="5">
        <f>IF($I2="","",INDEX(Productos!$H:$H,$I2))</f>
        <v/>
      </c>
      <c r="F3602" s="5">
        <f>IF($I2="","",INDEX(Productos!$I:$I,$I2))</f>
        <v/>
      </c>
      <c r="G3602" s="135" t="n">
        <v>1</v>
      </c>
      <c r="H3602" s="5">
        <f>IF($I2="","",INDEX(Productos!$AG:$AG,$I2))</f>
        <v/>
      </c>
      <c r="I3602" s="136">
        <f>LET(_xlpm.r,Productos!$E$2:$E$2509,_xlpm.m,IFERROR(_xlfn.XMATCH(C3602,_xlpm.r),IFERROR(_xlfn.XMATCH(VALUE(C3602),_xlpm.r),0)),IF(_xlpm.m=0,"",_xlpm.m+1))</f>
        <v/>
      </c>
      <c r="J3602" s="137" t="inlineStr">
        <is>
          <t>Shopify</t>
        </is>
      </c>
    </row>
    <row r="3603">
      <c r="A3603" s="5" t="inlineStr">
        <is>
          <t>Shopify Western Brothers › Western Brothers Outlet Lerma</t>
        </is>
      </c>
      <c r="B3603" s="5">
        <f>IF($I2="","",INDEX(Productos!$A:$A,$I2))</f>
        <v/>
      </c>
      <c r="C3603" s="134" t="inlineStr">
        <is>
          <t>ST-LT-002-FW25-OR-L</t>
        </is>
      </c>
      <c r="D3603" s="5">
        <f>IF($I2="","",INDEX(Productos!$B:$B,$I2))</f>
        <v/>
      </c>
      <c r="E3603" s="5">
        <f>IF($I2="","",INDEX(Productos!$H:$H,$I2))</f>
        <v/>
      </c>
      <c r="F3603" s="5">
        <f>IF($I2="","",INDEX(Productos!$I:$I,$I2))</f>
        <v/>
      </c>
      <c r="G3603" s="135" t="n">
        <v>3</v>
      </c>
      <c r="H3603" s="5">
        <f>IF($I2="","",INDEX(Productos!$AG:$AG,$I2))</f>
        <v/>
      </c>
      <c r="I3603" s="136">
        <f>LET(_xlpm.r,Productos!$E$2:$E$2509,_xlpm.m,IFERROR(_xlfn.XMATCH(C3603,_xlpm.r),IFERROR(_xlfn.XMATCH(VALUE(C3603),_xlpm.r),0)),IF(_xlpm.m=0,"",_xlpm.m+1))</f>
        <v/>
      </c>
      <c r="J3603" s="137" t="inlineStr">
        <is>
          <t>Shopify</t>
        </is>
      </c>
    </row>
    <row r="3604">
      <c r="A3604" s="5" t="inlineStr">
        <is>
          <t>Shopify Western Brothers › Western Brothers Outlet Lerma</t>
        </is>
      </c>
      <c r="B3604" s="5">
        <f>IF($I2="","",INDEX(Productos!$A:$A,$I2))</f>
        <v/>
      </c>
      <c r="C3604" s="134" t="inlineStr">
        <is>
          <t>ST-LT-002-FW25-OR-S</t>
        </is>
      </c>
      <c r="D3604" s="5">
        <f>IF($I2="","",INDEX(Productos!$B:$B,$I2))</f>
        <v/>
      </c>
      <c r="E3604" s="5">
        <f>IF($I2="","",INDEX(Productos!$H:$H,$I2))</f>
        <v/>
      </c>
      <c r="F3604" s="5">
        <f>IF($I2="","",INDEX(Productos!$I:$I,$I2))</f>
        <v/>
      </c>
      <c r="G3604" s="135" t="n">
        <v>10</v>
      </c>
      <c r="H3604" s="5">
        <f>IF($I2="","",INDEX(Productos!$AG:$AG,$I2))</f>
        <v/>
      </c>
      <c r="I3604" s="136">
        <f>LET(_xlpm.r,Productos!$E$2:$E$2509,_xlpm.m,IFERROR(_xlfn.XMATCH(C3604,_xlpm.r),IFERROR(_xlfn.XMATCH(VALUE(C3604),_xlpm.r),0)),IF(_xlpm.m=0,"",_xlpm.m+1))</f>
        <v/>
      </c>
      <c r="J3604" s="137" t="inlineStr">
        <is>
          <t>Shopify</t>
        </is>
      </c>
    </row>
    <row r="3605">
      <c r="A3605" s="5" t="inlineStr">
        <is>
          <t>Shopify Western Brothers › Western Brothers Outlet Lerma</t>
        </is>
      </c>
      <c r="B3605" s="5">
        <f>IF($I2="","",INDEX(Productos!$A:$A,$I2))</f>
        <v/>
      </c>
      <c r="C3605" s="134" t="inlineStr">
        <is>
          <t>ST-LT-002-FW25-OR-XL</t>
        </is>
      </c>
      <c r="D3605" s="5">
        <f>IF($I2="","",INDEX(Productos!$B:$B,$I2))</f>
        <v/>
      </c>
      <c r="E3605" s="5">
        <f>IF($I2="","",INDEX(Productos!$H:$H,$I2))</f>
        <v/>
      </c>
      <c r="F3605" s="5">
        <f>IF($I2="","",INDEX(Productos!$I:$I,$I2))</f>
        <v/>
      </c>
      <c r="G3605" s="135" t="n">
        <v>2</v>
      </c>
      <c r="H3605" s="5">
        <f>IF($I2="","",INDEX(Productos!$AG:$AG,$I2))</f>
        <v/>
      </c>
      <c r="I3605" s="136">
        <f>LET(_xlpm.r,Productos!$E$2:$E$2509,_xlpm.m,IFERROR(_xlfn.XMATCH(C3605,_xlpm.r),IFERROR(_xlfn.XMATCH(VALUE(C3605),_xlpm.r),0)),IF(_xlpm.m=0,"",_xlpm.m+1))</f>
        <v/>
      </c>
      <c r="J3605" s="137" t="inlineStr">
        <is>
          <t>Shopify</t>
        </is>
      </c>
    </row>
    <row r="3606">
      <c r="A3606" s="5" t="inlineStr">
        <is>
          <t>Shopify Western Brothers › Western Brothers Outlet Lerma</t>
        </is>
      </c>
      <c r="B3606" s="5">
        <f>IF($I2="","",INDEX(Productos!$A:$A,$I2))</f>
        <v/>
      </c>
      <c r="C3606" s="134" t="inlineStr">
        <is>
          <t>ST-LT-003-FW25-PN-L</t>
        </is>
      </c>
      <c r="D3606" s="5">
        <f>IF($I2="","",INDEX(Productos!$B:$B,$I2))</f>
        <v/>
      </c>
      <c r="E3606" s="5">
        <f>IF($I2="","",INDEX(Productos!$H:$H,$I2))</f>
        <v/>
      </c>
      <c r="F3606" s="5">
        <f>IF($I2="","",INDEX(Productos!$I:$I,$I2))</f>
        <v/>
      </c>
      <c r="G3606" s="135" t="n">
        <v>2</v>
      </c>
      <c r="H3606" s="5">
        <f>IF($I2="","",INDEX(Productos!$AG:$AG,$I2))</f>
        <v/>
      </c>
      <c r="I3606" s="136">
        <f>LET(_xlpm.r,Productos!$E$2:$E$2509,_xlpm.m,IFERROR(_xlfn.XMATCH(C3606,_xlpm.r),IFERROR(_xlfn.XMATCH(VALUE(C3606),_xlpm.r),0)),IF(_xlpm.m=0,"",_xlpm.m+1))</f>
        <v/>
      </c>
      <c r="J3606" s="137" t="inlineStr">
        <is>
          <t>Shopify</t>
        </is>
      </c>
    </row>
    <row r="3607">
      <c r="A3607" s="5" t="inlineStr">
        <is>
          <t>Shopify Western Brothers › Western Brothers Outlet Lerma</t>
        </is>
      </c>
      <c r="B3607" s="5">
        <f>IF($I2="","",INDEX(Productos!$A:$A,$I2))</f>
        <v/>
      </c>
      <c r="C3607" s="134" t="inlineStr">
        <is>
          <t>ST-LT-003-FW25-PN-XL</t>
        </is>
      </c>
      <c r="D3607" s="5">
        <f>IF($I2="","",INDEX(Productos!$B:$B,$I2))</f>
        <v/>
      </c>
      <c r="E3607" s="5">
        <f>IF($I2="","",INDEX(Productos!$H:$H,$I2))</f>
        <v/>
      </c>
      <c r="F3607" s="5">
        <f>IF($I2="","",INDEX(Productos!$I:$I,$I2))</f>
        <v/>
      </c>
      <c r="G3607" s="135" t="n">
        <v>1</v>
      </c>
      <c r="H3607" s="5">
        <f>IF($I2="","",INDEX(Productos!$AG:$AG,$I2))</f>
        <v/>
      </c>
      <c r="I3607" s="136">
        <f>LET(_xlpm.r,Productos!$E$2:$E$2509,_xlpm.m,IFERROR(_xlfn.XMATCH(C3607,_xlpm.r),IFERROR(_xlfn.XMATCH(VALUE(C3607),_xlpm.r),0)),IF(_xlpm.m=0,"",_xlpm.m+1))</f>
        <v/>
      </c>
      <c r="J3607" s="137" t="inlineStr">
        <is>
          <t>Shopify</t>
        </is>
      </c>
    </row>
    <row r="3608">
      <c r="A3608" s="5" t="inlineStr">
        <is>
          <t>Shopify Western Brothers › Western Brothers Outlet Lerma</t>
        </is>
      </c>
      <c r="B3608" s="5">
        <f>IF($I2="","",INDEX(Productos!$A:$A,$I2))</f>
        <v/>
      </c>
      <c r="C3608" s="134" t="inlineStr">
        <is>
          <t>ST-TI-001-FW25-TC-L</t>
        </is>
      </c>
      <c r="D3608" s="5">
        <f>IF($I2="","",INDEX(Productos!$B:$B,$I2))</f>
        <v/>
      </c>
      <c r="E3608" s="5">
        <f>IF($I2="","",INDEX(Productos!$H:$H,$I2))</f>
        <v/>
      </c>
      <c r="F3608" s="5">
        <f>IF($I2="","",INDEX(Productos!$I:$I,$I2))</f>
        <v/>
      </c>
      <c r="G3608" s="135" t="n">
        <v>4</v>
      </c>
      <c r="H3608" s="5">
        <f>IF($I2="","",INDEX(Productos!$AG:$AG,$I2))</f>
        <v/>
      </c>
      <c r="I3608" s="136">
        <f>LET(_xlpm.r,Productos!$E$2:$E$2509,_xlpm.m,IFERROR(_xlfn.XMATCH(C3608,_xlpm.r),IFERROR(_xlfn.XMATCH(VALUE(C3608),_xlpm.r),0)),IF(_xlpm.m=0,"",_xlpm.m+1))</f>
        <v/>
      </c>
      <c r="J3608" s="137" t="inlineStr">
        <is>
          <t>Shopify</t>
        </is>
      </c>
    </row>
    <row r="3609">
      <c r="A3609" s="5" t="inlineStr">
        <is>
          <t>Shopify Western Brothers › Western Brothers Outlet Lerma</t>
        </is>
      </c>
      <c r="B3609" s="5">
        <f>IF($I2="","",INDEX(Productos!$A:$A,$I2))</f>
        <v/>
      </c>
      <c r="C3609" s="134" t="inlineStr">
        <is>
          <t>ST-TI-001-FW25-TC-XL</t>
        </is>
      </c>
      <c r="D3609" s="5">
        <f>IF($I2="","",INDEX(Productos!$B:$B,$I2))</f>
        <v/>
      </c>
      <c r="E3609" s="5">
        <f>IF($I2="","",INDEX(Productos!$H:$H,$I2))</f>
        <v/>
      </c>
      <c r="F3609" s="5">
        <f>IF($I2="","",INDEX(Productos!$I:$I,$I2))</f>
        <v/>
      </c>
      <c r="G3609" s="135" t="n">
        <v>3</v>
      </c>
      <c r="H3609" s="5">
        <f>IF($I2="","",INDEX(Productos!$AG:$AG,$I2))</f>
        <v/>
      </c>
      <c r="I3609" s="136">
        <f>LET(_xlpm.r,Productos!$E$2:$E$2509,_xlpm.m,IFERROR(_xlfn.XMATCH(C3609,_xlpm.r),IFERROR(_xlfn.XMATCH(VALUE(C3609),_xlpm.r),0)),IF(_xlpm.m=0,"",_xlpm.m+1))</f>
        <v/>
      </c>
      <c r="J3609" s="137" t="inlineStr">
        <is>
          <t>Shopify</t>
        </is>
      </c>
    </row>
    <row r="3610">
      <c r="A3610" s="5" t="inlineStr">
        <is>
          <t>Shopify Western Brothers › Western Brothers Outlet Lerma</t>
        </is>
      </c>
      <c r="B3610" s="5">
        <f>IF($I2="","",INDEX(Productos!$A:$A,$I2))</f>
        <v/>
      </c>
      <c r="C3610" s="134" t="inlineStr">
        <is>
          <t>ST-TI-002-FW25-AF-L</t>
        </is>
      </c>
      <c r="D3610" s="5">
        <f>IF($I2="","",INDEX(Productos!$B:$B,$I2))</f>
        <v/>
      </c>
      <c r="E3610" s="5">
        <f>IF($I2="","",INDEX(Productos!$H:$H,$I2))</f>
        <v/>
      </c>
      <c r="F3610" s="5">
        <f>IF($I2="","",INDEX(Productos!$I:$I,$I2))</f>
        <v/>
      </c>
      <c r="G3610" s="135" t="n">
        <v>1</v>
      </c>
      <c r="H3610" s="5">
        <f>IF($I2="","",INDEX(Productos!$AG:$AG,$I2))</f>
        <v/>
      </c>
      <c r="I3610" s="136">
        <f>LET(_xlpm.r,Productos!$E$2:$E$2509,_xlpm.m,IFERROR(_xlfn.XMATCH(C3610,_xlpm.r),IFERROR(_xlfn.XMATCH(VALUE(C3610),_xlpm.r),0)),IF(_xlpm.m=0,"",_xlpm.m+1))</f>
        <v/>
      </c>
      <c r="J3610" s="137" t="inlineStr">
        <is>
          <t>Shopify</t>
        </is>
      </c>
    </row>
    <row r="3611">
      <c r="A3611" s="5" t="inlineStr">
        <is>
          <t>Shopify Western Brothers › Western Brothers Outlet Lerma</t>
        </is>
      </c>
      <c r="B3611" s="5">
        <f>IF($I2="","",INDEX(Productos!$A:$A,$I2))</f>
        <v/>
      </c>
      <c r="C3611" s="134" t="inlineStr">
        <is>
          <t>ST-TI-002-FW25-AF-XL</t>
        </is>
      </c>
      <c r="D3611" s="5">
        <f>IF($I2="","",INDEX(Productos!$B:$B,$I2))</f>
        <v/>
      </c>
      <c r="E3611" s="5">
        <f>IF($I2="","",INDEX(Productos!$H:$H,$I2))</f>
        <v/>
      </c>
      <c r="F3611" s="5">
        <f>IF($I2="","",INDEX(Productos!$I:$I,$I2))</f>
        <v/>
      </c>
      <c r="G3611" s="135" t="n">
        <v>1</v>
      </c>
      <c r="H3611" s="5">
        <f>IF($I2="","",INDEX(Productos!$AG:$AG,$I2))</f>
        <v/>
      </c>
      <c r="I3611" s="136">
        <f>LET(_xlpm.r,Productos!$E$2:$E$2509,_xlpm.m,IFERROR(_xlfn.XMATCH(C3611,_xlpm.r),IFERROR(_xlfn.XMATCH(VALUE(C3611),_xlpm.r),0)),IF(_xlpm.m=0,"",_xlpm.m+1))</f>
        <v/>
      </c>
      <c r="J3611" s="137" t="inlineStr">
        <is>
          <t>Shopify</t>
        </is>
      </c>
    </row>
    <row r="3612">
      <c r="A3612" s="5" t="inlineStr">
        <is>
          <t>Shopify Western Brothers › Western Brothers Outlet Lerma</t>
        </is>
      </c>
      <c r="B3612" s="5">
        <f>IF($I2="","",INDEX(Productos!$A:$A,$I2))</f>
        <v/>
      </c>
      <c r="C3612" s="134" t="inlineStr">
        <is>
          <t>ST-VR-P-001-FW25-HE-L</t>
        </is>
      </c>
      <c r="D3612" s="5">
        <f>IF($I2="","",INDEX(Productos!$B:$B,$I2))</f>
        <v/>
      </c>
      <c r="E3612" s="5">
        <f>IF($I2="","",INDEX(Productos!$H:$H,$I2))</f>
        <v/>
      </c>
      <c r="F3612" s="5">
        <f>IF($I2="","",INDEX(Productos!$I:$I,$I2))</f>
        <v/>
      </c>
      <c r="G3612" s="135" t="n">
        <v>2</v>
      </c>
      <c r="H3612" s="5">
        <f>IF($I2="","",INDEX(Productos!$AG:$AG,$I2))</f>
        <v/>
      </c>
      <c r="I3612" s="136">
        <f>LET(_xlpm.r,Productos!$E$2:$E$2509,_xlpm.m,IFERROR(_xlfn.XMATCH(C3612,_xlpm.r),IFERROR(_xlfn.XMATCH(VALUE(C3612),_xlpm.r),0)),IF(_xlpm.m=0,"",_xlpm.m+1))</f>
        <v/>
      </c>
      <c r="J3612" s="137" t="inlineStr">
        <is>
          <t>Shopify</t>
        </is>
      </c>
    </row>
    <row r="3613">
      <c r="A3613" s="5" t="inlineStr">
        <is>
          <t>Shopify Western Brothers › Western Brothers Outlet Lerma</t>
        </is>
      </c>
      <c r="B3613" s="5">
        <f>IF($I2="","",INDEX(Productos!$A:$A,$I2))</f>
        <v/>
      </c>
      <c r="C3613" s="134" t="inlineStr">
        <is>
          <t>ST-VR-P-001-FW25-HE-S</t>
        </is>
      </c>
      <c r="D3613" s="5">
        <f>IF($I2="","",INDEX(Productos!$B:$B,$I2))</f>
        <v/>
      </c>
      <c r="E3613" s="5">
        <f>IF($I2="","",INDEX(Productos!$H:$H,$I2))</f>
        <v/>
      </c>
      <c r="F3613" s="5">
        <f>IF($I2="","",INDEX(Productos!$I:$I,$I2))</f>
        <v/>
      </c>
      <c r="G3613" s="135" t="n">
        <v>1</v>
      </c>
      <c r="H3613" s="5">
        <f>IF($I2="","",INDEX(Productos!$AG:$AG,$I2))</f>
        <v/>
      </c>
      <c r="I3613" s="136">
        <f>LET(_xlpm.r,Productos!$E$2:$E$2509,_xlpm.m,IFERROR(_xlfn.XMATCH(C3613,_xlpm.r),IFERROR(_xlfn.XMATCH(VALUE(C3613),_xlpm.r),0)),IF(_xlpm.m=0,"",_xlpm.m+1))</f>
        <v/>
      </c>
      <c r="J3613" s="137" t="inlineStr">
        <is>
          <t>Shopify</t>
        </is>
      </c>
    </row>
    <row r="3614">
      <c r="A3614" s="5" t="inlineStr">
        <is>
          <t>Shopify Western Brothers › Western Brothers Outlet Lerma</t>
        </is>
      </c>
      <c r="B3614" s="5">
        <f>IF($I2="","",INDEX(Productos!$A:$A,$I2))</f>
        <v/>
      </c>
      <c r="C3614" s="134" t="inlineStr">
        <is>
          <t>ST-VR-P-007-FW25-SB-S</t>
        </is>
      </c>
      <c r="D3614" s="5">
        <f>IF($I2="","",INDEX(Productos!$B:$B,$I2))</f>
        <v/>
      </c>
      <c r="E3614" s="5">
        <f>IF($I2="","",INDEX(Productos!$H:$H,$I2))</f>
        <v/>
      </c>
      <c r="F3614" s="5">
        <f>IF($I2="","",INDEX(Productos!$I:$I,$I2))</f>
        <v/>
      </c>
      <c r="G3614" s="135" t="n">
        <v>1</v>
      </c>
      <c r="H3614" s="5">
        <f>IF($I2="","",INDEX(Productos!$AG:$AG,$I2))</f>
        <v/>
      </c>
      <c r="I3614" s="136">
        <f>LET(_xlpm.r,Productos!$E$2:$E$2509,_xlpm.m,IFERROR(_xlfn.XMATCH(C3614,_xlpm.r),IFERROR(_xlfn.XMATCH(VALUE(C3614),_xlpm.r),0)),IF(_xlpm.m=0,"",_xlpm.m+1))</f>
        <v/>
      </c>
      <c r="J3614" s="137" t="inlineStr">
        <is>
          <t>Shopify</t>
        </is>
      </c>
    </row>
    <row r="3615">
      <c r="A3615" s="5" t="inlineStr">
        <is>
          <t>Shopify Western Brothers › Western Brothers Outlet Lerma</t>
        </is>
      </c>
      <c r="B3615" s="5">
        <f>IF($I2="","",INDEX(Productos!$A:$A,$I2))</f>
        <v/>
      </c>
      <c r="C3615" s="134" t="inlineStr">
        <is>
          <t>ST-VR-P-007-FW25-SB-XL</t>
        </is>
      </c>
      <c r="D3615" s="5">
        <f>IF($I2="","",INDEX(Productos!$B:$B,$I2))</f>
        <v/>
      </c>
      <c r="E3615" s="5">
        <f>IF($I2="","",INDEX(Productos!$H:$H,$I2))</f>
        <v/>
      </c>
      <c r="F3615" s="5">
        <f>IF($I2="","",INDEX(Productos!$I:$I,$I2))</f>
        <v/>
      </c>
      <c r="G3615" s="135" t="n">
        <v>2</v>
      </c>
      <c r="H3615" s="5">
        <f>IF($I2="","",INDEX(Productos!$AG:$AG,$I2))</f>
        <v/>
      </c>
      <c r="I3615" s="136">
        <f>LET(_xlpm.r,Productos!$E$2:$E$2509,_xlpm.m,IFERROR(_xlfn.XMATCH(C3615,_xlpm.r),IFERROR(_xlfn.XMATCH(VALUE(C3615),_xlpm.r),0)),IF(_xlpm.m=0,"",_xlpm.m+1))</f>
        <v/>
      </c>
      <c r="J3615" s="137" t="inlineStr">
        <is>
          <t>Shopify</t>
        </is>
      </c>
    </row>
    <row r="3616">
      <c r="A3616" s="5" t="inlineStr">
        <is>
          <t>Shopify Western Brothers › Western Brothers Outlet Lerma</t>
        </is>
      </c>
      <c r="B3616" s="5">
        <f>IF($I2="","",INDEX(Productos!$A:$A,$I2))</f>
        <v/>
      </c>
      <c r="C3616" s="134" t="inlineStr">
        <is>
          <t>ST-VR-P-008-FW25-FN-L</t>
        </is>
      </c>
      <c r="D3616" s="5">
        <f>IF($I2="","",INDEX(Productos!$B:$B,$I2))</f>
        <v/>
      </c>
      <c r="E3616" s="5">
        <f>IF($I2="","",INDEX(Productos!$H:$H,$I2))</f>
        <v/>
      </c>
      <c r="F3616" s="5">
        <f>IF($I2="","",INDEX(Productos!$I:$I,$I2))</f>
        <v/>
      </c>
      <c r="G3616" s="135" t="n">
        <v>4</v>
      </c>
      <c r="H3616" s="5">
        <f>IF($I2="","",INDEX(Productos!$AG:$AG,$I2))</f>
        <v/>
      </c>
      <c r="I3616" s="136">
        <f>LET(_xlpm.r,Productos!$E$2:$E$2509,_xlpm.m,IFERROR(_xlfn.XMATCH(C3616,_xlpm.r),IFERROR(_xlfn.XMATCH(VALUE(C3616),_xlpm.r),0)),IF(_xlpm.m=0,"",_xlpm.m+1))</f>
        <v/>
      </c>
      <c r="J3616" s="137" t="inlineStr">
        <is>
          <t>Shopify</t>
        </is>
      </c>
    </row>
    <row r="3617">
      <c r="A3617" s="5" t="inlineStr">
        <is>
          <t>Shopify Western Brothers › Western Brothers Outlet Lerma</t>
        </is>
      </c>
      <c r="B3617" s="5">
        <f>IF($I2="","",INDEX(Productos!$A:$A,$I2))</f>
        <v/>
      </c>
      <c r="C3617" s="134" t="inlineStr">
        <is>
          <t>ST-VR-P-011-FW25-TSAG-L</t>
        </is>
      </c>
      <c r="D3617" s="5">
        <f>IF($I2="","",INDEX(Productos!$B:$B,$I2))</f>
        <v/>
      </c>
      <c r="E3617" s="5">
        <f>IF($I2="","",INDEX(Productos!$H:$H,$I2))</f>
        <v/>
      </c>
      <c r="F3617" s="5">
        <f>IF($I2="","",INDEX(Productos!$I:$I,$I2))</f>
        <v/>
      </c>
      <c r="G3617" s="135" t="n">
        <v>4</v>
      </c>
      <c r="H3617" s="5">
        <f>IF($I2="","",INDEX(Productos!$AG:$AG,$I2))</f>
        <v/>
      </c>
      <c r="I3617" s="136">
        <f>LET(_xlpm.r,Productos!$E$2:$E$2509,_xlpm.m,IFERROR(_xlfn.XMATCH(C3617,_xlpm.r),IFERROR(_xlfn.XMATCH(VALUE(C3617),_xlpm.r),0)),IF(_xlpm.m=0,"",_xlpm.m+1))</f>
        <v/>
      </c>
      <c r="J3617" s="137" t="inlineStr">
        <is>
          <t>Shopify</t>
        </is>
      </c>
    </row>
    <row r="3618">
      <c r="A3618" s="5" t="inlineStr">
        <is>
          <t>Shopify Western Brothers › Western Brothers Outlet Lerma</t>
        </is>
      </c>
      <c r="B3618" s="5">
        <f>IF($I2="","",INDEX(Productos!$A:$A,$I2))</f>
        <v/>
      </c>
      <c r="C3618" s="134" t="inlineStr">
        <is>
          <t>ST-VR-P-011-FW25-TSAG-M</t>
        </is>
      </c>
      <c r="D3618" s="5">
        <f>IF($I2="","",INDEX(Productos!$B:$B,$I2))</f>
        <v/>
      </c>
      <c r="E3618" s="5">
        <f>IF($I2="","",INDEX(Productos!$H:$H,$I2))</f>
        <v/>
      </c>
      <c r="F3618" s="5">
        <f>IF($I2="","",INDEX(Productos!$I:$I,$I2))</f>
        <v/>
      </c>
      <c r="G3618" s="135" t="n">
        <v>1</v>
      </c>
      <c r="H3618" s="5">
        <f>IF($I2="","",INDEX(Productos!$AG:$AG,$I2))</f>
        <v/>
      </c>
      <c r="I3618" s="136">
        <f>LET(_xlpm.r,Productos!$E$2:$E$2509,_xlpm.m,IFERROR(_xlfn.XMATCH(C3618,_xlpm.r),IFERROR(_xlfn.XMATCH(VALUE(C3618),_xlpm.r),0)),IF(_xlpm.m=0,"",_xlpm.m+1))</f>
        <v/>
      </c>
      <c r="J3618" s="137" t="inlineStr">
        <is>
          <t>Shopify</t>
        </is>
      </c>
    </row>
    <row r="3619">
      <c r="A3619" s="5" t="inlineStr">
        <is>
          <t>Shopify Western Brothers › Western Brothers Outlet Lerma</t>
        </is>
      </c>
      <c r="B3619" s="5">
        <f>IF($I2="","",INDEX(Productos!$A:$A,$I2))</f>
        <v/>
      </c>
      <c r="C3619" s="134" t="inlineStr">
        <is>
          <t>ST-VR-P-012-FW25-IF-L</t>
        </is>
      </c>
      <c r="D3619" s="5">
        <f>IF($I2="","",INDEX(Productos!$B:$B,$I2))</f>
        <v/>
      </c>
      <c r="E3619" s="5">
        <f>IF($I2="","",INDEX(Productos!$H:$H,$I2))</f>
        <v/>
      </c>
      <c r="F3619" s="5">
        <f>IF($I2="","",INDEX(Productos!$I:$I,$I2))</f>
        <v/>
      </c>
      <c r="G3619" s="135" t="n">
        <v>1</v>
      </c>
      <c r="H3619" s="5">
        <f>IF($I2="","",INDEX(Productos!$AG:$AG,$I2))</f>
        <v/>
      </c>
      <c r="I3619" s="136">
        <f>LET(_xlpm.r,Productos!$E$2:$E$2509,_xlpm.m,IFERROR(_xlfn.XMATCH(C3619,_xlpm.r),IFERROR(_xlfn.XMATCH(VALUE(C3619),_xlpm.r),0)),IF(_xlpm.m=0,"",_xlpm.m+1))</f>
        <v/>
      </c>
      <c r="J3619" s="137" t="inlineStr">
        <is>
          <t>Shopify</t>
        </is>
      </c>
    </row>
    <row r="3620">
      <c r="A3620" s="5" t="inlineStr">
        <is>
          <t>Shopify Western Brothers › Western Brothers Outlet Lerma</t>
        </is>
      </c>
      <c r="B3620" s="5">
        <f>IF($I2="","",INDEX(Productos!$A:$A,$I2))</f>
        <v/>
      </c>
      <c r="C3620" s="134" t="inlineStr">
        <is>
          <t>ST-VR-P-012-FW25-IF-XL</t>
        </is>
      </c>
      <c r="D3620" s="5">
        <f>IF($I2="","",INDEX(Productos!$B:$B,$I2))</f>
        <v/>
      </c>
      <c r="E3620" s="5">
        <f>IF($I2="","",INDEX(Productos!$H:$H,$I2))</f>
        <v/>
      </c>
      <c r="F3620" s="5">
        <f>IF($I2="","",INDEX(Productos!$I:$I,$I2))</f>
        <v/>
      </c>
      <c r="G3620" s="135" t="n">
        <v>3</v>
      </c>
      <c r="H3620" s="5">
        <f>IF($I2="","",INDEX(Productos!$AG:$AG,$I2))</f>
        <v/>
      </c>
      <c r="I3620" s="136">
        <f>LET(_xlpm.r,Productos!$E$2:$E$2509,_xlpm.m,IFERROR(_xlfn.XMATCH(C3620,_xlpm.r),IFERROR(_xlfn.XMATCH(VALUE(C3620),_xlpm.r),0)),IF(_xlpm.m=0,"",_xlpm.m+1))</f>
        <v/>
      </c>
      <c r="J3620" s="137" t="inlineStr">
        <is>
          <t>Shopify</t>
        </is>
      </c>
    </row>
    <row r="3621">
      <c r="A3621" s="5" t="inlineStr">
        <is>
          <t>Shopify Western Brothers › Western Brothers Outlet Lerma</t>
        </is>
      </c>
      <c r="B3621" s="5">
        <f>IF($I2="","",INDEX(Productos!$A:$A,$I2))</f>
        <v/>
      </c>
      <c r="C3621" s="134" t="inlineStr">
        <is>
          <t>ST-VR-P-020-FW25-MT-L</t>
        </is>
      </c>
      <c r="D3621" s="5">
        <f>IF($I2="","",INDEX(Productos!$B:$B,$I2))</f>
        <v/>
      </c>
      <c r="E3621" s="5">
        <f>IF($I2="","",INDEX(Productos!$H:$H,$I2))</f>
        <v/>
      </c>
      <c r="F3621" s="5">
        <f>IF($I2="","",INDEX(Productos!$I:$I,$I2))</f>
        <v/>
      </c>
      <c r="G3621" s="135" t="n">
        <v>2</v>
      </c>
      <c r="H3621" s="5">
        <f>IF($I2="","",INDEX(Productos!$AG:$AG,$I2))</f>
        <v/>
      </c>
      <c r="I3621" s="136">
        <f>LET(_xlpm.r,Productos!$E$2:$E$2509,_xlpm.m,IFERROR(_xlfn.XMATCH(C3621,_xlpm.r),IFERROR(_xlfn.XMATCH(VALUE(C3621),_xlpm.r),0)),IF(_xlpm.m=0,"",_xlpm.m+1))</f>
        <v/>
      </c>
      <c r="J3621" s="137" t="inlineStr">
        <is>
          <t>Shopify</t>
        </is>
      </c>
    </row>
    <row r="3622">
      <c r="A3622" s="5" t="inlineStr">
        <is>
          <t>Odoo Universal Unique Brands › Bodega 25 › Bodega 25/General</t>
        </is>
      </c>
      <c r="B3622" s="5">
        <f>IF($I2="","",INDEX(Productos!$A:$A,$I2))</f>
        <v/>
      </c>
      <c r="C3622" s="134" t="inlineStr">
        <is>
          <t>11-004-1014-3000-29 32</t>
        </is>
      </c>
      <c r="D3622" s="5">
        <f>IF($I2="","",INDEX(Productos!$B:$B,$I2))</f>
        <v/>
      </c>
      <c r="E3622" s="5">
        <f>IF($I2="","",INDEX(Productos!$H:$H,$I2))</f>
        <v/>
      </c>
      <c r="F3622" s="5">
        <f>IF($I2="","",INDEX(Productos!$I:$I,$I2))</f>
        <v/>
      </c>
      <c r="G3622" s="135" t="n">
        <v>2</v>
      </c>
      <c r="H3622" s="5">
        <f>IF($I2="","",INDEX(Productos!$AG:$AG,$I2))</f>
        <v/>
      </c>
      <c r="I3622" s="136">
        <f>LET(_xlpm.r,Productos!$E$2:$E$2509,_xlpm.m,IFERROR(_xlfn.XMATCH(C3622,_xlpm.r),IFERROR(_xlfn.XMATCH(VALUE(C3622),_xlpm.r),0)),IF(_xlpm.m=0,"",_xlpm.m+1))</f>
        <v/>
      </c>
      <c r="J3622" s="137" t="inlineStr">
        <is>
          <t>Odoo</t>
        </is>
      </c>
    </row>
    <row r="3623">
      <c r="A3623" s="5" t="inlineStr">
        <is>
          <t>Odoo Universal Unique Brands › Bodega 25 › Bodega 25/General</t>
        </is>
      </c>
      <c r="B3623" s="5">
        <f>IF($I2="","",INDEX(Productos!$A:$A,$I2))</f>
        <v/>
      </c>
      <c r="C3623" s="134" t="inlineStr">
        <is>
          <t>11-004-1014-3000-30 32</t>
        </is>
      </c>
      <c r="D3623" s="5">
        <f>IF($I2="","",INDEX(Productos!$B:$B,$I2))</f>
        <v/>
      </c>
      <c r="E3623" s="5">
        <f>IF($I2="","",INDEX(Productos!$H:$H,$I2))</f>
        <v/>
      </c>
      <c r="F3623" s="5">
        <f>IF($I2="","",INDEX(Productos!$I:$I,$I2))</f>
        <v/>
      </c>
      <c r="G3623" s="135" t="n">
        <v>4</v>
      </c>
      <c r="H3623" s="5">
        <f>IF($I2="","",INDEX(Productos!$AG:$AG,$I2))</f>
        <v/>
      </c>
      <c r="I3623" s="136">
        <f>LET(_xlpm.r,Productos!$E$2:$E$2509,_xlpm.m,IFERROR(_xlfn.XMATCH(C3623,_xlpm.r),IFERROR(_xlfn.XMATCH(VALUE(C3623),_xlpm.r),0)),IF(_xlpm.m=0,"",_xlpm.m+1))</f>
        <v/>
      </c>
      <c r="J3623" s="137" t="inlineStr">
        <is>
          <t>Odoo</t>
        </is>
      </c>
    </row>
    <row r="3624">
      <c r="A3624" s="5" t="inlineStr">
        <is>
          <t>Odoo Universal Unique Brands › Bodega 25 › Bodega 25/General</t>
        </is>
      </c>
      <c r="B3624" s="5">
        <f>IF($I2="","",INDEX(Productos!$A:$A,$I2))</f>
        <v/>
      </c>
      <c r="C3624" s="134" t="inlineStr">
        <is>
          <t>11-004-1014-3000-31 32</t>
        </is>
      </c>
      <c r="D3624" s="5">
        <f>IF($I2="","",INDEX(Productos!$B:$B,$I2))</f>
        <v/>
      </c>
      <c r="E3624" s="5">
        <f>IF($I2="","",INDEX(Productos!$H:$H,$I2))</f>
        <v/>
      </c>
      <c r="F3624" s="5">
        <f>IF($I2="","",INDEX(Productos!$I:$I,$I2))</f>
        <v/>
      </c>
      <c r="G3624" s="135" t="n">
        <v>4</v>
      </c>
      <c r="H3624" s="5">
        <f>IF($I2="","",INDEX(Productos!$AG:$AG,$I2))</f>
        <v/>
      </c>
      <c r="I3624" s="136">
        <f>LET(_xlpm.r,Productos!$E$2:$E$2509,_xlpm.m,IFERROR(_xlfn.XMATCH(C3624,_xlpm.r),IFERROR(_xlfn.XMATCH(VALUE(C3624),_xlpm.r),0)),IF(_xlpm.m=0,"",_xlpm.m+1))</f>
        <v/>
      </c>
      <c r="J3624" s="137" t="inlineStr">
        <is>
          <t>Odoo</t>
        </is>
      </c>
    </row>
    <row r="3625">
      <c r="A3625" s="5" t="inlineStr">
        <is>
          <t>Odoo Universal Unique Brands › Bodega 25 › Bodega 25/General</t>
        </is>
      </c>
      <c r="B3625" s="5">
        <f>IF($I2="","",INDEX(Productos!$A:$A,$I2))</f>
        <v/>
      </c>
      <c r="C3625" s="134" t="inlineStr">
        <is>
          <t>11-004-1014-3000-32 32</t>
        </is>
      </c>
      <c r="D3625" s="5">
        <f>IF($I2="","",INDEX(Productos!$B:$B,$I2))</f>
        <v/>
      </c>
      <c r="E3625" s="5">
        <f>IF($I2="","",INDEX(Productos!$H:$H,$I2))</f>
        <v/>
      </c>
      <c r="F3625" s="5">
        <f>IF($I2="","",INDEX(Productos!$I:$I,$I2))</f>
        <v/>
      </c>
      <c r="G3625" s="135" t="n">
        <v>10</v>
      </c>
      <c r="H3625" s="5">
        <f>IF($I2="","",INDEX(Productos!$AG:$AG,$I2))</f>
        <v/>
      </c>
      <c r="I3625" s="136">
        <f>LET(_xlpm.r,Productos!$E$2:$E$2509,_xlpm.m,IFERROR(_xlfn.XMATCH(C3625,_xlpm.r),IFERROR(_xlfn.XMATCH(VALUE(C3625),_xlpm.r),0)),IF(_xlpm.m=0,"",_xlpm.m+1))</f>
        <v/>
      </c>
      <c r="J3625" s="137" t="inlineStr">
        <is>
          <t>Odoo</t>
        </is>
      </c>
    </row>
    <row r="3626">
      <c r="A3626" s="5" t="inlineStr">
        <is>
          <t>Odoo Universal Unique Brands › Bodega 25 › Bodega 25/General</t>
        </is>
      </c>
      <c r="B3626" s="5">
        <f>IF($I2="","",INDEX(Productos!$A:$A,$I2))</f>
        <v/>
      </c>
      <c r="C3626" s="134" t="inlineStr">
        <is>
          <t>11-004-1014-3000-32 34</t>
        </is>
      </c>
      <c r="D3626" s="5">
        <f>IF($I2="","",INDEX(Productos!$B:$B,$I2))</f>
        <v/>
      </c>
      <c r="E3626" s="5">
        <f>IF($I2="","",INDEX(Productos!$H:$H,$I2))</f>
        <v/>
      </c>
      <c r="F3626" s="5">
        <f>IF($I2="","",INDEX(Productos!$I:$I,$I2))</f>
        <v/>
      </c>
      <c r="G3626" s="135" t="n">
        <v>7</v>
      </c>
      <c r="H3626" s="5">
        <f>IF($I2="","",INDEX(Productos!$AG:$AG,$I2))</f>
        <v/>
      </c>
      <c r="I3626" s="136">
        <f>LET(_xlpm.r,Productos!$E$2:$E$2509,_xlpm.m,IFERROR(_xlfn.XMATCH(C3626,_xlpm.r),IFERROR(_xlfn.XMATCH(VALUE(C3626),_xlpm.r),0)),IF(_xlpm.m=0,"",_xlpm.m+1))</f>
        <v/>
      </c>
      <c r="J3626" s="137" t="inlineStr">
        <is>
          <t>Odoo</t>
        </is>
      </c>
    </row>
    <row r="3627">
      <c r="A3627" s="5" t="inlineStr">
        <is>
          <t>Odoo Universal Unique Brands › Bodega 25 › Bodega 25/General</t>
        </is>
      </c>
      <c r="B3627" s="5">
        <f>IF($I2="","",INDEX(Productos!$A:$A,$I2))</f>
        <v/>
      </c>
      <c r="C3627" s="134" t="inlineStr">
        <is>
          <t>11-004-1014-3000-33 32</t>
        </is>
      </c>
      <c r="D3627" s="5">
        <f>IF($I2="","",INDEX(Productos!$B:$B,$I2))</f>
        <v/>
      </c>
      <c r="E3627" s="5">
        <f>IF($I2="","",INDEX(Productos!$H:$H,$I2))</f>
        <v/>
      </c>
      <c r="F3627" s="5">
        <f>IF($I2="","",INDEX(Productos!$I:$I,$I2))</f>
        <v/>
      </c>
      <c r="G3627" s="135" t="n">
        <v>6</v>
      </c>
      <c r="H3627" s="5">
        <f>IF($I2="","",INDEX(Productos!$AG:$AG,$I2))</f>
        <v/>
      </c>
      <c r="I3627" s="136">
        <f>LET(_xlpm.r,Productos!$E$2:$E$2509,_xlpm.m,IFERROR(_xlfn.XMATCH(C3627,_xlpm.r),IFERROR(_xlfn.XMATCH(VALUE(C3627),_xlpm.r),0)),IF(_xlpm.m=0,"",_xlpm.m+1))</f>
        <v/>
      </c>
      <c r="J3627" s="137" t="inlineStr">
        <is>
          <t>Odoo</t>
        </is>
      </c>
    </row>
    <row r="3628">
      <c r="A3628" s="5" t="inlineStr">
        <is>
          <t>Odoo Universal Unique Brands › Bodega 25 › Bodega 25/General</t>
        </is>
      </c>
      <c r="B3628" s="5">
        <f>IF($I2="","",INDEX(Productos!$A:$A,$I2))</f>
        <v/>
      </c>
      <c r="C3628" s="134" t="inlineStr">
        <is>
          <t>11-004-1014-3000-34 32</t>
        </is>
      </c>
      <c r="D3628" s="5">
        <f>IF($I2="","",INDEX(Productos!$B:$B,$I2))</f>
        <v/>
      </c>
      <c r="E3628" s="5">
        <f>IF($I2="","",INDEX(Productos!$H:$H,$I2))</f>
        <v/>
      </c>
      <c r="F3628" s="5">
        <f>IF($I2="","",INDEX(Productos!$I:$I,$I2))</f>
        <v/>
      </c>
      <c r="G3628" s="135" t="n">
        <v>8</v>
      </c>
      <c r="H3628" s="5">
        <f>IF($I2="","",INDEX(Productos!$AG:$AG,$I2))</f>
        <v/>
      </c>
      <c r="I3628" s="136">
        <f>LET(_xlpm.r,Productos!$E$2:$E$2509,_xlpm.m,IFERROR(_xlfn.XMATCH(C3628,_xlpm.r),IFERROR(_xlfn.XMATCH(VALUE(C3628),_xlpm.r),0)),IF(_xlpm.m=0,"",_xlpm.m+1))</f>
        <v/>
      </c>
      <c r="J3628" s="137" t="inlineStr">
        <is>
          <t>Odoo</t>
        </is>
      </c>
    </row>
    <row r="3629">
      <c r="A3629" s="5" t="inlineStr">
        <is>
          <t>Odoo Universal Unique Brands › Bodega 25 › Bodega 25/General</t>
        </is>
      </c>
      <c r="B3629" s="5">
        <f>IF($I2="","",INDEX(Productos!$A:$A,$I2))</f>
        <v/>
      </c>
      <c r="C3629" s="134" t="inlineStr">
        <is>
          <t>11-004-1014-3000-34 34</t>
        </is>
      </c>
      <c r="D3629" s="5">
        <f>IF($I2="","",INDEX(Productos!$B:$B,$I2))</f>
        <v/>
      </c>
      <c r="E3629" s="5">
        <f>IF($I2="","",INDEX(Productos!$H:$H,$I2))</f>
        <v/>
      </c>
      <c r="F3629" s="5">
        <f>IF($I2="","",INDEX(Productos!$I:$I,$I2))</f>
        <v/>
      </c>
      <c r="G3629" s="135" t="n">
        <v>6</v>
      </c>
      <c r="H3629" s="5">
        <f>IF($I2="","",INDEX(Productos!$AG:$AG,$I2))</f>
        <v/>
      </c>
      <c r="I3629" s="136">
        <f>LET(_xlpm.r,Productos!$E$2:$E$2509,_xlpm.m,IFERROR(_xlfn.XMATCH(C3629,_xlpm.r),IFERROR(_xlfn.XMATCH(VALUE(C3629),_xlpm.r),0)),IF(_xlpm.m=0,"",_xlpm.m+1))</f>
        <v/>
      </c>
      <c r="J3629" s="137" t="inlineStr">
        <is>
          <t>Odoo</t>
        </is>
      </c>
    </row>
    <row r="3630">
      <c r="A3630" s="5" t="inlineStr">
        <is>
          <t>Odoo Universal Unique Brands › Bodega 25 › Bodega 25/General</t>
        </is>
      </c>
      <c r="B3630" s="5">
        <f>IF($I2="","",INDEX(Productos!$A:$A,$I2))</f>
        <v/>
      </c>
      <c r="C3630" s="134" t="inlineStr">
        <is>
          <t>11-004-1014-3000-34 36</t>
        </is>
      </c>
      <c r="D3630" s="5">
        <f>IF($I2="","",INDEX(Productos!$B:$B,$I2))</f>
        <v/>
      </c>
      <c r="E3630" s="5">
        <f>IF($I2="","",INDEX(Productos!$H:$H,$I2))</f>
        <v/>
      </c>
      <c r="F3630" s="5">
        <f>IF($I2="","",INDEX(Productos!$I:$I,$I2))</f>
        <v/>
      </c>
      <c r="G3630" s="135" t="n">
        <v>3</v>
      </c>
      <c r="H3630" s="5">
        <f>IF($I2="","",INDEX(Productos!$AG:$AG,$I2))</f>
        <v/>
      </c>
      <c r="I3630" s="136">
        <f>LET(_xlpm.r,Productos!$E$2:$E$2509,_xlpm.m,IFERROR(_xlfn.XMATCH(C3630,_xlpm.r),IFERROR(_xlfn.XMATCH(VALUE(C3630),_xlpm.r),0)),IF(_xlpm.m=0,"",_xlpm.m+1))</f>
        <v/>
      </c>
      <c r="J3630" s="137" t="inlineStr">
        <is>
          <t>Odoo</t>
        </is>
      </c>
    </row>
    <row r="3631">
      <c r="A3631" s="5" t="inlineStr">
        <is>
          <t>Odoo Universal Unique Brands › Bodega 25 › Bodega 25/General</t>
        </is>
      </c>
      <c r="B3631" s="5">
        <f>IF($I2="","",INDEX(Productos!$A:$A,$I2))</f>
        <v/>
      </c>
      <c r="C3631" s="134" t="inlineStr">
        <is>
          <t>11-004-1014-3000-36 32</t>
        </is>
      </c>
      <c r="D3631" s="5">
        <f>IF($I2="","",INDEX(Productos!$B:$B,$I2))</f>
        <v/>
      </c>
      <c r="E3631" s="5">
        <f>IF($I2="","",INDEX(Productos!$H:$H,$I2))</f>
        <v/>
      </c>
      <c r="F3631" s="5">
        <f>IF($I2="","",INDEX(Productos!$I:$I,$I2))</f>
        <v/>
      </c>
      <c r="G3631" s="135" t="n">
        <v>4</v>
      </c>
      <c r="H3631" s="5">
        <f>IF($I2="","",INDEX(Productos!$AG:$AG,$I2))</f>
        <v/>
      </c>
      <c r="I3631" s="136">
        <f>LET(_xlpm.r,Productos!$E$2:$E$2509,_xlpm.m,IFERROR(_xlfn.XMATCH(C3631,_xlpm.r),IFERROR(_xlfn.XMATCH(VALUE(C3631),_xlpm.r),0)),IF(_xlpm.m=0,"",_xlpm.m+1))</f>
        <v/>
      </c>
      <c r="J3631" s="137" t="inlineStr">
        <is>
          <t>Odoo</t>
        </is>
      </c>
    </row>
    <row r="3632">
      <c r="A3632" s="5" t="inlineStr">
        <is>
          <t>Odoo Universal Unique Brands › Bodega 25 › Bodega 25/General</t>
        </is>
      </c>
      <c r="B3632" s="5">
        <f>IF($I2="","",INDEX(Productos!$A:$A,$I2))</f>
        <v/>
      </c>
      <c r="C3632" s="134" t="inlineStr">
        <is>
          <t>11-004-1014-3000-36 34</t>
        </is>
      </c>
      <c r="D3632" s="5">
        <f>IF($I2="","",INDEX(Productos!$B:$B,$I2))</f>
        <v/>
      </c>
      <c r="E3632" s="5">
        <f>IF($I2="","",INDEX(Productos!$H:$H,$I2))</f>
        <v/>
      </c>
      <c r="F3632" s="5">
        <f>IF($I2="","",INDEX(Productos!$I:$I,$I2))</f>
        <v/>
      </c>
      <c r="G3632" s="135" t="n">
        <v>2</v>
      </c>
      <c r="H3632" s="5">
        <f>IF($I2="","",INDEX(Productos!$AG:$AG,$I2))</f>
        <v/>
      </c>
      <c r="I3632" s="136">
        <f>LET(_xlpm.r,Productos!$E$2:$E$2509,_xlpm.m,IFERROR(_xlfn.XMATCH(C3632,_xlpm.r),IFERROR(_xlfn.XMATCH(VALUE(C3632),_xlpm.r),0)),IF(_xlpm.m=0,"",_xlpm.m+1))</f>
        <v/>
      </c>
      <c r="J3632" s="137" t="inlineStr">
        <is>
          <t>Odoo</t>
        </is>
      </c>
    </row>
    <row r="3633">
      <c r="A3633" s="5" t="inlineStr">
        <is>
          <t>Odoo Universal Unique Brands › Bodega 25 › Bodega 25/General</t>
        </is>
      </c>
      <c r="B3633" s="5">
        <f>IF($I2="","",INDEX(Productos!$A:$A,$I2))</f>
        <v/>
      </c>
      <c r="C3633" s="134" t="inlineStr">
        <is>
          <t>11-004-1014-3000-36 36</t>
        </is>
      </c>
      <c r="D3633" s="5">
        <f>IF($I2="","",INDEX(Productos!$B:$B,$I2))</f>
        <v/>
      </c>
      <c r="E3633" s="5">
        <f>IF($I2="","",INDEX(Productos!$H:$H,$I2))</f>
        <v/>
      </c>
      <c r="F3633" s="5">
        <f>IF($I2="","",INDEX(Productos!$I:$I,$I2))</f>
        <v/>
      </c>
      <c r="G3633" s="135" t="n">
        <v>3</v>
      </c>
      <c r="H3633" s="5">
        <f>IF($I2="","",INDEX(Productos!$AG:$AG,$I2))</f>
        <v/>
      </c>
      <c r="I3633" s="136">
        <f>LET(_xlpm.r,Productos!$E$2:$E$2509,_xlpm.m,IFERROR(_xlfn.XMATCH(C3633,_xlpm.r),IFERROR(_xlfn.XMATCH(VALUE(C3633),_xlpm.r),0)),IF(_xlpm.m=0,"",_xlpm.m+1))</f>
        <v/>
      </c>
      <c r="J3633" s="137" t="inlineStr">
        <is>
          <t>Odoo</t>
        </is>
      </c>
    </row>
    <row r="3634">
      <c r="A3634" s="5" t="inlineStr">
        <is>
          <t>Odoo Universal Unique Brands › Bodega 25 › Bodega 25/General</t>
        </is>
      </c>
      <c r="B3634" s="5">
        <f>IF($I2="","",INDEX(Productos!$A:$A,$I2))</f>
        <v/>
      </c>
      <c r="C3634" s="134" t="inlineStr">
        <is>
          <t>11-004-1014-3000-38 32</t>
        </is>
      </c>
      <c r="D3634" s="5">
        <f>IF($I2="","",INDEX(Productos!$B:$B,$I2))</f>
        <v/>
      </c>
      <c r="E3634" s="5">
        <f>IF($I2="","",INDEX(Productos!$H:$H,$I2))</f>
        <v/>
      </c>
      <c r="F3634" s="5">
        <f>IF($I2="","",INDEX(Productos!$I:$I,$I2))</f>
        <v/>
      </c>
      <c r="G3634" s="135" t="n">
        <v>2</v>
      </c>
      <c r="H3634" s="5">
        <f>IF($I2="","",INDEX(Productos!$AG:$AG,$I2))</f>
        <v/>
      </c>
      <c r="I3634" s="136">
        <f>LET(_xlpm.r,Productos!$E$2:$E$2509,_xlpm.m,IFERROR(_xlfn.XMATCH(C3634,_xlpm.r),IFERROR(_xlfn.XMATCH(VALUE(C3634),_xlpm.r),0)),IF(_xlpm.m=0,"",_xlpm.m+1))</f>
        <v/>
      </c>
      <c r="J3634" s="137" t="inlineStr">
        <is>
          <t>Odoo</t>
        </is>
      </c>
    </row>
    <row r="3635">
      <c r="A3635" s="5" t="inlineStr">
        <is>
          <t>Odoo Universal Unique Brands › Bodega 25 › Bodega 25/General</t>
        </is>
      </c>
      <c r="B3635" s="5">
        <f>IF($I2="","",INDEX(Productos!$A:$A,$I2))</f>
        <v/>
      </c>
      <c r="C3635" s="134" t="inlineStr">
        <is>
          <t>11-004-1014-3000-40 32</t>
        </is>
      </c>
      <c r="D3635" s="5">
        <f>IF($I2="","",INDEX(Productos!$B:$B,$I2))</f>
        <v/>
      </c>
      <c r="E3635" s="5">
        <f>IF($I2="","",INDEX(Productos!$H:$H,$I2))</f>
        <v/>
      </c>
      <c r="F3635" s="5">
        <f>IF($I2="","",INDEX(Productos!$I:$I,$I2))</f>
        <v/>
      </c>
      <c r="G3635" s="135" t="n">
        <v>2</v>
      </c>
      <c r="H3635" s="5">
        <f>IF($I2="","",INDEX(Productos!$AG:$AG,$I2))</f>
        <v/>
      </c>
      <c r="I3635" s="136">
        <f>LET(_xlpm.r,Productos!$E$2:$E$2509,_xlpm.m,IFERROR(_xlfn.XMATCH(C3635,_xlpm.r),IFERROR(_xlfn.XMATCH(VALUE(C3635),_xlpm.r),0)),IF(_xlpm.m=0,"",_xlpm.m+1))</f>
        <v/>
      </c>
      <c r="J3635" s="137" t="inlineStr">
        <is>
          <t>Odoo</t>
        </is>
      </c>
    </row>
    <row r="3636">
      <c r="A3636" s="5" t="inlineStr">
        <is>
          <t>Odoo Universal Unique Brands › Bodega 25 › Bodega 25/General</t>
        </is>
      </c>
      <c r="B3636" s="5">
        <f>IF($I2="","",INDEX(Productos!$A:$A,$I2))</f>
        <v/>
      </c>
      <c r="C3636" s="134" t="inlineStr">
        <is>
          <t>11-004-1014-4012-30 32</t>
        </is>
      </c>
      <c r="D3636" s="5">
        <f>IF($I2="","",INDEX(Productos!$B:$B,$I2))</f>
        <v/>
      </c>
      <c r="E3636" s="5">
        <f>IF($I2="","",INDEX(Productos!$H:$H,$I2))</f>
        <v/>
      </c>
      <c r="F3636" s="5">
        <f>IF($I2="","",INDEX(Productos!$I:$I,$I2))</f>
        <v/>
      </c>
      <c r="G3636" s="135" t="n">
        <v>4</v>
      </c>
      <c r="H3636" s="5">
        <f>IF($I2="","",INDEX(Productos!$AG:$AG,$I2))</f>
        <v/>
      </c>
      <c r="I3636" s="136">
        <f>LET(_xlpm.r,Productos!$E$2:$E$2509,_xlpm.m,IFERROR(_xlfn.XMATCH(C3636,_xlpm.r),IFERROR(_xlfn.XMATCH(VALUE(C3636),_xlpm.r),0)),IF(_xlpm.m=0,"",_xlpm.m+1))</f>
        <v/>
      </c>
      <c r="J3636" s="137" t="inlineStr">
        <is>
          <t>Odoo</t>
        </is>
      </c>
    </row>
    <row r="3637">
      <c r="A3637" s="5" t="inlineStr">
        <is>
          <t>Odoo Universal Unique Brands › Bodega 25 › Bodega 25/General</t>
        </is>
      </c>
      <c r="B3637" s="5">
        <f>IF($I2="","",INDEX(Productos!$A:$A,$I2))</f>
        <v/>
      </c>
      <c r="C3637" s="134" t="inlineStr">
        <is>
          <t>11-004-1014-4012-31 32</t>
        </is>
      </c>
      <c r="D3637" s="5">
        <f>IF($I2="","",INDEX(Productos!$B:$B,$I2))</f>
        <v/>
      </c>
      <c r="E3637" s="5">
        <f>IF($I2="","",INDEX(Productos!$H:$H,$I2))</f>
        <v/>
      </c>
      <c r="F3637" s="5">
        <f>IF($I2="","",INDEX(Productos!$I:$I,$I2))</f>
        <v/>
      </c>
      <c r="G3637" s="135" t="n">
        <v>6</v>
      </c>
      <c r="H3637" s="5">
        <f>IF($I2="","",INDEX(Productos!$AG:$AG,$I2))</f>
        <v/>
      </c>
      <c r="I3637" s="136">
        <f>LET(_xlpm.r,Productos!$E$2:$E$2509,_xlpm.m,IFERROR(_xlfn.XMATCH(C3637,_xlpm.r),IFERROR(_xlfn.XMATCH(VALUE(C3637),_xlpm.r),0)),IF(_xlpm.m=0,"",_xlpm.m+1))</f>
        <v/>
      </c>
      <c r="J3637" s="137" t="inlineStr">
        <is>
          <t>Odoo</t>
        </is>
      </c>
    </row>
    <row r="3638">
      <c r="A3638" s="5" t="inlineStr">
        <is>
          <t>Odoo Universal Unique Brands › Bodega 25 › Bodega 25/General</t>
        </is>
      </c>
      <c r="B3638" s="5">
        <f>IF($I2="","",INDEX(Productos!$A:$A,$I2))</f>
        <v/>
      </c>
      <c r="C3638" s="134" t="inlineStr">
        <is>
          <t>11-004-1014-4012-32 32</t>
        </is>
      </c>
      <c r="D3638" s="5">
        <f>IF($I2="","",INDEX(Productos!$B:$B,$I2))</f>
        <v/>
      </c>
      <c r="E3638" s="5">
        <f>IF($I2="","",INDEX(Productos!$H:$H,$I2))</f>
        <v/>
      </c>
      <c r="F3638" s="5">
        <f>IF($I2="","",INDEX(Productos!$I:$I,$I2))</f>
        <v/>
      </c>
      <c r="G3638" s="135" t="n">
        <v>2</v>
      </c>
      <c r="H3638" s="5">
        <f>IF($I2="","",INDEX(Productos!$AG:$AG,$I2))</f>
        <v/>
      </c>
      <c r="I3638" s="136">
        <f>LET(_xlpm.r,Productos!$E$2:$E$2509,_xlpm.m,IFERROR(_xlfn.XMATCH(C3638,_xlpm.r),IFERROR(_xlfn.XMATCH(VALUE(C3638),_xlpm.r),0)),IF(_xlpm.m=0,"",_xlpm.m+1))</f>
        <v/>
      </c>
      <c r="J3638" s="137" t="inlineStr">
        <is>
          <t>Odoo</t>
        </is>
      </c>
    </row>
    <row r="3639">
      <c r="A3639" s="5" t="inlineStr">
        <is>
          <t>Odoo Universal Unique Brands › Bodega 25 › Bodega 25/General</t>
        </is>
      </c>
      <c r="B3639" s="5">
        <f>IF($I2="","",INDEX(Productos!$A:$A,$I2))</f>
        <v/>
      </c>
      <c r="C3639" s="134" t="inlineStr">
        <is>
          <t>11-004-1014-4012-32 34</t>
        </is>
      </c>
      <c r="D3639" s="5">
        <f>IF($I2="","",INDEX(Productos!$B:$B,$I2))</f>
        <v/>
      </c>
      <c r="E3639" s="5">
        <f>IF($I2="","",INDEX(Productos!$H:$H,$I2))</f>
        <v/>
      </c>
      <c r="F3639" s="5">
        <f>IF($I2="","",INDEX(Productos!$I:$I,$I2))</f>
        <v/>
      </c>
      <c r="G3639" s="135" t="n">
        <v>3</v>
      </c>
      <c r="H3639" s="5">
        <f>IF($I2="","",INDEX(Productos!$AG:$AG,$I2))</f>
        <v/>
      </c>
      <c r="I3639" s="136">
        <f>LET(_xlpm.r,Productos!$E$2:$E$2509,_xlpm.m,IFERROR(_xlfn.XMATCH(C3639,_xlpm.r),IFERROR(_xlfn.XMATCH(VALUE(C3639),_xlpm.r),0)),IF(_xlpm.m=0,"",_xlpm.m+1))</f>
        <v/>
      </c>
      <c r="J3639" s="137" t="inlineStr">
        <is>
          <t>Odoo</t>
        </is>
      </c>
    </row>
    <row r="3640">
      <c r="A3640" s="5" t="inlineStr">
        <is>
          <t>Odoo Universal Unique Brands › Bodega 25 › Bodega 25/General</t>
        </is>
      </c>
      <c r="B3640" s="5">
        <f>IF($I2="","",INDEX(Productos!$A:$A,$I2))</f>
        <v/>
      </c>
      <c r="C3640" s="134" t="inlineStr">
        <is>
          <t>11-004-1014-4012-33 32</t>
        </is>
      </c>
      <c r="D3640" s="5">
        <f>IF($I2="","",INDEX(Productos!$B:$B,$I2))</f>
        <v/>
      </c>
      <c r="E3640" s="5">
        <f>IF($I2="","",INDEX(Productos!$H:$H,$I2))</f>
        <v/>
      </c>
      <c r="F3640" s="5">
        <f>IF($I2="","",INDEX(Productos!$I:$I,$I2))</f>
        <v/>
      </c>
      <c r="G3640" s="135" t="n">
        <v>8</v>
      </c>
      <c r="H3640" s="5">
        <f>IF($I2="","",INDEX(Productos!$AG:$AG,$I2))</f>
        <v/>
      </c>
      <c r="I3640" s="136">
        <f>LET(_xlpm.r,Productos!$E$2:$E$2509,_xlpm.m,IFERROR(_xlfn.XMATCH(C3640,_xlpm.r),IFERROR(_xlfn.XMATCH(VALUE(C3640),_xlpm.r),0)),IF(_xlpm.m=0,"",_xlpm.m+1))</f>
        <v/>
      </c>
      <c r="J3640" s="137" t="inlineStr">
        <is>
          <t>Odoo</t>
        </is>
      </c>
    </row>
    <row r="3641">
      <c r="A3641" s="5" t="inlineStr">
        <is>
          <t>Odoo Universal Unique Brands › Bodega 25 › Bodega 25/General</t>
        </is>
      </c>
      <c r="B3641" s="5">
        <f>IF($I2="","",INDEX(Productos!$A:$A,$I2))</f>
        <v/>
      </c>
      <c r="C3641" s="134" t="inlineStr">
        <is>
          <t>11-004-1014-4012-34 34</t>
        </is>
      </c>
      <c r="D3641" s="5">
        <f>IF($I2="","",INDEX(Productos!$B:$B,$I2))</f>
        <v/>
      </c>
      <c r="E3641" s="5">
        <f>IF($I2="","",INDEX(Productos!$H:$H,$I2))</f>
        <v/>
      </c>
      <c r="F3641" s="5">
        <f>IF($I2="","",INDEX(Productos!$I:$I,$I2))</f>
        <v/>
      </c>
      <c r="G3641" s="135" t="n">
        <v>12</v>
      </c>
      <c r="H3641" s="5">
        <f>IF($I2="","",INDEX(Productos!$AG:$AG,$I2))</f>
        <v/>
      </c>
      <c r="I3641" s="136">
        <f>LET(_xlpm.r,Productos!$E$2:$E$2509,_xlpm.m,IFERROR(_xlfn.XMATCH(C3641,_xlpm.r),IFERROR(_xlfn.XMATCH(VALUE(C3641),_xlpm.r),0)),IF(_xlpm.m=0,"",_xlpm.m+1))</f>
        <v/>
      </c>
      <c r="J3641" s="137" t="inlineStr">
        <is>
          <t>Odoo</t>
        </is>
      </c>
    </row>
    <row r="3642">
      <c r="A3642" s="5" t="inlineStr">
        <is>
          <t>Odoo Universal Unique Brands › Bodega 25 › Bodega 25/General</t>
        </is>
      </c>
      <c r="B3642" s="5">
        <f>IF($I2="","",INDEX(Productos!$A:$A,$I2))</f>
        <v/>
      </c>
      <c r="C3642" s="134" t="inlineStr">
        <is>
          <t>11-004-1014-4012-34 36</t>
        </is>
      </c>
      <c r="D3642" s="5">
        <f>IF($I2="","",INDEX(Productos!$B:$B,$I2))</f>
        <v/>
      </c>
      <c r="E3642" s="5">
        <f>IF($I2="","",INDEX(Productos!$H:$H,$I2))</f>
        <v/>
      </c>
      <c r="F3642" s="5">
        <f>IF($I2="","",INDEX(Productos!$I:$I,$I2))</f>
        <v/>
      </c>
      <c r="G3642" s="135" t="n">
        <v>4</v>
      </c>
      <c r="H3642" s="5">
        <f>IF($I2="","",INDEX(Productos!$AG:$AG,$I2))</f>
        <v/>
      </c>
      <c r="I3642" s="136">
        <f>LET(_xlpm.r,Productos!$E$2:$E$2509,_xlpm.m,IFERROR(_xlfn.XMATCH(C3642,_xlpm.r),IFERROR(_xlfn.XMATCH(VALUE(C3642),_xlpm.r),0)),IF(_xlpm.m=0,"",_xlpm.m+1))</f>
        <v/>
      </c>
      <c r="J3642" s="137" t="inlineStr">
        <is>
          <t>Odoo</t>
        </is>
      </c>
    </row>
    <row r="3643">
      <c r="A3643" s="5" t="inlineStr">
        <is>
          <t>Odoo Universal Unique Brands › Bodega 25 › Bodega 25/General</t>
        </is>
      </c>
      <c r="B3643" s="5">
        <f>IF($I2="","",INDEX(Productos!$A:$A,$I2))</f>
        <v/>
      </c>
      <c r="C3643" s="134" t="inlineStr">
        <is>
          <t>11-004-1014-4012-36 32</t>
        </is>
      </c>
      <c r="D3643" s="5">
        <f>IF($I2="","",INDEX(Productos!$B:$B,$I2))</f>
        <v/>
      </c>
      <c r="E3643" s="5">
        <f>IF($I2="","",INDEX(Productos!$H:$H,$I2))</f>
        <v/>
      </c>
      <c r="F3643" s="5">
        <f>IF($I2="","",INDEX(Productos!$I:$I,$I2))</f>
        <v/>
      </c>
      <c r="G3643" s="135" t="n">
        <v>1</v>
      </c>
      <c r="H3643" s="5">
        <f>IF($I2="","",INDEX(Productos!$AG:$AG,$I2))</f>
        <v/>
      </c>
      <c r="I3643" s="136">
        <f>LET(_xlpm.r,Productos!$E$2:$E$2509,_xlpm.m,IFERROR(_xlfn.XMATCH(C3643,_xlpm.r),IFERROR(_xlfn.XMATCH(VALUE(C3643),_xlpm.r),0)),IF(_xlpm.m=0,"",_xlpm.m+1))</f>
        <v/>
      </c>
      <c r="J3643" s="137" t="inlineStr">
        <is>
          <t>Odoo</t>
        </is>
      </c>
    </row>
    <row r="3644">
      <c r="A3644" s="5" t="inlineStr">
        <is>
          <t>Odoo Universal Unique Brands › Bodega 25 › Bodega 25/General</t>
        </is>
      </c>
      <c r="B3644" s="5">
        <f>IF($I2="","",INDEX(Productos!$A:$A,$I2))</f>
        <v/>
      </c>
      <c r="C3644" s="134" t="inlineStr">
        <is>
          <t>11-004-1014-4012-36 34</t>
        </is>
      </c>
      <c r="D3644" s="5">
        <f>IF($I2="","",INDEX(Productos!$B:$B,$I2))</f>
        <v/>
      </c>
      <c r="E3644" s="5">
        <f>IF($I2="","",INDEX(Productos!$H:$H,$I2))</f>
        <v/>
      </c>
      <c r="F3644" s="5">
        <f>IF($I2="","",INDEX(Productos!$I:$I,$I2))</f>
        <v/>
      </c>
      <c r="G3644" s="135" t="n">
        <v>4</v>
      </c>
      <c r="H3644" s="5">
        <f>IF($I2="","",INDEX(Productos!$AG:$AG,$I2))</f>
        <v/>
      </c>
      <c r="I3644" s="136">
        <f>LET(_xlpm.r,Productos!$E$2:$E$2509,_xlpm.m,IFERROR(_xlfn.XMATCH(C3644,_xlpm.r),IFERROR(_xlfn.XMATCH(VALUE(C3644),_xlpm.r),0)),IF(_xlpm.m=0,"",_xlpm.m+1))</f>
        <v/>
      </c>
      <c r="J3644" s="137" t="inlineStr">
        <is>
          <t>Odoo</t>
        </is>
      </c>
    </row>
    <row r="3645">
      <c r="A3645" s="5" t="inlineStr">
        <is>
          <t>Odoo Universal Unique Brands › Bodega 25 › Bodega 25/General</t>
        </is>
      </c>
      <c r="B3645" s="5">
        <f>IF($I2="","",INDEX(Productos!$A:$A,$I2))</f>
        <v/>
      </c>
      <c r="C3645" s="134" t="inlineStr">
        <is>
          <t>11-004-1014-4082-29 32</t>
        </is>
      </c>
      <c r="D3645" s="5">
        <f>IF($I2="","",INDEX(Productos!$B:$B,$I2))</f>
        <v/>
      </c>
      <c r="E3645" s="5">
        <f>IF($I2="","",INDEX(Productos!$H:$H,$I2))</f>
        <v/>
      </c>
      <c r="F3645" s="5">
        <f>IF($I2="","",INDEX(Productos!$I:$I,$I2))</f>
        <v/>
      </c>
      <c r="G3645" s="135" t="n">
        <v>4</v>
      </c>
      <c r="H3645" s="5">
        <f>IF($I2="","",INDEX(Productos!$AG:$AG,$I2))</f>
        <v/>
      </c>
      <c r="I3645" s="136">
        <f>LET(_xlpm.r,Productos!$E$2:$E$2509,_xlpm.m,IFERROR(_xlfn.XMATCH(C3645,_xlpm.r),IFERROR(_xlfn.XMATCH(VALUE(C3645),_xlpm.r),0)),IF(_xlpm.m=0,"",_xlpm.m+1))</f>
        <v/>
      </c>
      <c r="J3645" s="137" t="inlineStr">
        <is>
          <t>Odoo</t>
        </is>
      </c>
    </row>
    <row r="3646">
      <c r="A3646" s="5" t="inlineStr">
        <is>
          <t>Odoo Universal Unique Brands › Bodega 25 › Bodega 25/General</t>
        </is>
      </c>
      <c r="B3646" s="5">
        <f>IF($I2="","",INDEX(Productos!$A:$A,$I2))</f>
        <v/>
      </c>
      <c r="C3646" s="134" t="inlineStr">
        <is>
          <t>11-004-1014-4082-30 32</t>
        </is>
      </c>
      <c r="D3646" s="5">
        <f>IF($I2="","",INDEX(Productos!$B:$B,$I2))</f>
        <v/>
      </c>
      <c r="E3646" s="5">
        <f>IF($I2="","",INDEX(Productos!$H:$H,$I2))</f>
        <v/>
      </c>
      <c r="F3646" s="5">
        <f>IF($I2="","",INDEX(Productos!$I:$I,$I2))</f>
        <v/>
      </c>
      <c r="G3646" s="135" t="n">
        <v>3</v>
      </c>
      <c r="H3646" s="5">
        <f>IF($I2="","",INDEX(Productos!$AG:$AG,$I2))</f>
        <v/>
      </c>
      <c r="I3646" s="136">
        <f>LET(_xlpm.r,Productos!$E$2:$E$2509,_xlpm.m,IFERROR(_xlfn.XMATCH(C3646,_xlpm.r),IFERROR(_xlfn.XMATCH(VALUE(C3646),_xlpm.r),0)),IF(_xlpm.m=0,"",_xlpm.m+1))</f>
        <v/>
      </c>
      <c r="J3646" s="137" t="inlineStr">
        <is>
          <t>Odoo</t>
        </is>
      </c>
    </row>
    <row r="3647">
      <c r="A3647" s="5" t="inlineStr">
        <is>
          <t>Odoo Universal Unique Brands › Bodega 25 › Bodega 25/General</t>
        </is>
      </c>
      <c r="B3647" s="5">
        <f>IF($I2="","",INDEX(Productos!$A:$A,$I2))</f>
        <v/>
      </c>
      <c r="C3647" s="134" t="inlineStr">
        <is>
          <t>11-004-1014-4082-31 32</t>
        </is>
      </c>
      <c r="D3647" s="5">
        <f>IF($I2="","",INDEX(Productos!$B:$B,$I2))</f>
        <v/>
      </c>
      <c r="E3647" s="5">
        <f>IF($I2="","",INDEX(Productos!$H:$H,$I2))</f>
        <v/>
      </c>
      <c r="F3647" s="5">
        <f>IF($I2="","",INDEX(Productos!$I:$I,$I2))</f>
        <v/>
      </c>
      <c r="G3647" s="135" t="n">
        <v>8</v>
      </c>
      <c r="H3647" s="5">
        <f>IF($I2="","",INDEX(Productos!$AG:$AG,$I2))</f>
        <v/>
      </c>
      <c r="I3647" s="136">
        <f>LET(_xlpm.r,Productos!$E$2:$E$2509,_xlpm.m,IFERROR(_xlfn.XMATCH(C3647,_xlpm.r),IFERROR(_xlfn.XMATCH(VALUE(C3647),_xlpm.r),0)),IF(_xlpm.m=0,"",_xlpm.m+1))</f>
        <v/>
      </c>
      <c r="J3647" s="137" t="inlineStr">
        <is>
          <t>Odoo</t>
        </is>
      </c>
    </row>
    <row r="3648">
      <c r="A3648" s="5" t="inlineStr">
        <is>
          <t>Odoo Universal Unique Brands › Bodega 25 › Bodega 25/General</t>
        </is>
      </c>
      <c r="B3648" s="5">
        <f>IF($I2="","",INDEX(Productos!$A:$A,$I2))</f>
        <v/>
      </c>
      <c r="C3648" s="134" t="inlineStr">
        <is>
          <t>11-004-1014-4082-32 32</t>
        </is>
      </c>
      <c r="D3648" s="5">
        <f>IF($I2="","",INDEX(Productos!$B:$B,$I2))</f>
        <v/>
      </c>
      <c r="E3648" s="5">
        <f>IF($I2="","",INDEX(Productos!$H:$H,$I2))</f>
        <v/>
      </c>
      <c r="F3648" s="5">
        <f>IF($I2="","",INDEX(Productos!$I:$I,$I2))</f>
        <v/>
      </c>
      <c r="G3648" s="135" t="n">
        <v>14</v>
      </c>
      <c r="H3648" s="5">
        <f>IF($I2="","",INDEX(Productos!$AG:$AG,$I2))</f>
        <v/>
      </c>
      <c r="I3648" s="136">
        <f>LET(_xlpm.r,Productos!$E$2:$E$2509,_xlpm.m,IFERROR(_xlfn.XMATCH(C3648,_xlpm.r),IFERROR(_xlfn.XMATCH(VALUE(C3648),_xlpm.r),0)),IF(_xlpm.m=0,"",_xlpm.m+1))</f>
        <v/>
      </c>
      <c r="J3648" s="137" t="inlineStr">
        <is>
          <t>Odoo</t>
        </is>
      </c>
    </row>
    <row r="3649">
      <c r="A3649" s="5" t="inlineStr">
        <is>
          <t>Odoo Universal Unique Brands › Bodega 25 › Bodega 25/General</t>
        </is>
      </c>
      <c r="B3649" s="5">
        <f>IF($I2="","",INDEX(Productos!$A:$A,$I2))</f>
        <v/>
      </c>
      <c r="C3649" s="134" t="inlineStr">
        <is>
          <t>11-004-1014-4082-32 34</t>
        </is>
      </c>
      <c r="D3649" s="5">
        <f>IF($I2="","",INDEX(Productos!$B:$B,$I2))</f>
        <v/>
      </c>
      <c r="E3649" s="5">
        <f>IF($I2="","",INDEX(Productos!$H:$H,$I2))</f>
        <v/>
      </c>
      <c r="F3649" s="5">
        <f>IF($I2="","",INDEX(Productos!$I:$I,$I2))</f>
        <v/>
      </c>
      <c r="G3649" s="135" t="n">
        <v>3</v>
      </c>
      <c r="H3649" s="5">
        <f>IF($I2="","",INDEX(Productos!$AG:$AG,$I2))</f>
        <v/>
      </c>
      <c r="I3649" s="136">
        <f>LET(_xlpm.r,Productos!$E$2:$E$2509,_xlpm.m,IFERROR(_xlfn.XMATCH(C3649,_xlpm.r),IFERROR(_xlfn.XMATCH(VALUE(C3649),_xlpm.r),0)),IF(_xlpm.m=0,"",_xlpm.m+1))</f>
        <v/>
      </c>
      <c r="J3649" s="137" t="inlineStr">
        <is>
          <t>Odoo</t>
        </is>
      </c>
    </row>
    <row r="3650">
      <c r="A3650" s="5" t="inlineStr">
        <is>
          <t>Odoo Universal Unique Brands › Bodega 25 › Bodega 25/General</t>
        </is>
      </c>
      <c r="B3650" s="5">
        <f>IF($I2="","",INDEX(Productos!$A:$A,$I2))</f>
        <v/>
      </c>
      <c r="C3650" s="134" t="inlineStr">
        <is>
          <t>11-004-1014-4082-33 32</t>
        </is>
      </c>
      <c r="D3650" s="5">
        <f>IF($I2="","",INDEX(Productos!$B:$B,$I2))</f>
        <v/>
      </c>
      <c r="E3650" s="5">
        <f>IF($I2="","",INDEX(Productos!$H:$H,$I2))</f>
        <v/>
      </c>
      <c r="F3650" s="5">
        <f>IF($I2="","",INDEX(Productos!$I:$I,$I2))</f>
        <v/>
      </c>
      <c r="G3650" s="135" t="n">
        <v>2</v>
      </c>
      <c r="H3650" s="5">
        <f>IF($I2="","",INDEX(Productos!$AG:$AG,$I2))</f>
        <v/>
      </c>
      <c r="I3650" s="136">
        <f>LET(_xlpm.r,Productos!$E$2:$E$2509,_xlpm.m,IFERROR(_xlfn.XMATCH(C3650,_xlpm.r),IFERROR(_xlfn.XMATCH(VALUE(C3650),_xlpm.r),0)),IF(_xlpm.m=0,"",_xlpm.m+1))</f>
        <v/>
      </c>
      <c r="J3650" s="137" t="inlineStr">
        <is>
          <t>Odoo</t>
        </is>
      </c>
    </row>
    <row r="3651">
      <c r="A3651" s="5" t="inlineStr">
        <is>
          <t>Odoo Universal Unique Brands › Bodega 25 › Bodega 25/General</t>
        </is>
      </c>
      <c r="B3651" s="5">
        <f>IF($I2="","",INDEX(Productos!$A:$A,$I2))</f>
        <v/>
      </c>
      <c r="C3651" s="134" t="inlineStr">
        <is>
          <t>11-004-1014-4082-34 32</t>
        </is>
      </c>
      <c r="D3651" s="5">
        <f>IF($I2="","",INDEX(Productos!$B:$B,$I2))</f>
        <v/>
      </c>
      <c r="E3651" s="5">
        <f>IF($I2="","",INDEX(Productos!$H:$H,$I2))</f>
        <v/>
      </c>
      <c r="F3651" s="5">
        <f>IF($I2="","",INDEX(Productos!$I:$I,$I2))</f>
        <v/>
      </c>
      <c r="G3651" s="135" t="n">
        <v>5</v>
      </c>
      <c r="H3651" s="5">
        <f>IF($I2="","",INDEX(Productos!$AG:$AG,$I2))</f>
        <v/>
      </c>
      <c r="I3651" s="136">
        <f>LET(_xlpm.r,Productos!$E$2:$E$2509,_xlpm.m,IFERROR(_xlfn.XMATCH(C3651,_xlpm.r),IFERROR(_xlfn.XMATCH(VALUE(C3651),_xlpm.r),0)),IF(_xlpm.m=0,"",_xlpm.m+1))</f>
        <v/>
      </c>
      <c r="J3651" s="137" t="inlineStr">
        <is>
          <t>Odoo</t>
        </is>
      </c>
    </row>
    <row r="3652">
      <c r="A3652" s="5" t="inlineStr">
        <is>
          <t>Odoo Universal Unique Brands › Bodega 25 › Bodega 25/General</t>
        </is>
      </c>
      <c r="B3652" s="5">
        <f>IF($I2="","",INDEX(Productos!$A:$A,$I2))</f>
        <v/>
      </c>
      <c r="C3652" s="134" t="inlineStr">
        <is>
          <t>11-004-1014-4082-34 34</t>
        </is>
      </c>
      <c r="D3652" s="5">
        <f>IF($I2="","",INDEX(Productos!$B:$B,$I2))</f>
        <v/>
      </c>
      <c r="E3652" s="5">
        <f>IF($I2="","",INDEX(Productos!$H:$H,$I2))</f>
        <v/>
      </c>
      <c r="F3652" s="5">
        <f>IF($I2="","",INDEX(Productos!$I:$I,$I2))</f>
        <v/>
      </c>
      <c r="G3652" s="135" t="n">
        <v>4</v>
      </c>
      <c r="H3652" s="5">
        <f>IF($I2="","",INDEX(Productos!$AG:$AG,$I2))</f>
        <v/>
      </c>
      <c r="I3652" s="136">
        <f>LET(_xlpm.r,Productos!$E$2:$E$2509,_xlpm.m,IFERROR(_xlfn.XMATCH(C3652,_xlpm.r),IFERROR(_xlfn.XMATCH(VALUE(C3652),_xlpm.r),0)),IF(_xlpm.m=0,"",_xlpm.m+1))</f>
        <v/>
      </c>
      <c r="J3652" s="137" t="inlineStr">
        <is>
          <t>Odoo</t>
        </is>
      </c>
    </row>
    <row r="3653">
      <c r="A3653" s="5" t="inlineStr">
        <is>
          <t>Odoo Universal Unique Brands › Bodega 25 › Bodega 25/General</t>
        </is>
      </c>
      <c r="B3653" s="5">
        <f>IF($I2="","",INDEX(Productos!$A:$A,$I2))</f>
        <v/>
      </c>
      <c r="C3653" s="134" t="inlineStr">
        <is>
          <t>11-004-1014-4082-36 32</t>
        </is>
      </c>
      <c r="D3653" s="5">
        <f>IF($I2="","",INDEX(Productos!$B:$B,$I2))</f>
        <v/>
      </c>
      <c r="E3653" s="5">
        <f>IF($I2="","",INDEX(Productos!$H:$H,$I2))</f>
        <v/>
      </c>
      <c r="F3653" s="5">
        <f>IF($I2="","",INDEX(Productos!$I:$I,$I2))</f>
        <v/>
      </c>
      <c r="G3653" s="135" t="n">
        <v>1</v>
      </c>
      <c r="H3653" s="5">
        <f>IF($I2="","",INDEX(Productos!$AG:$AG,$I2))</f>
        <v/>
      </c>
      <c r="I3653" s="136">
        <f>LET(_xlpm.r,Productos!$E$2:$E$2509,_xlpm.m,IFERROR(_xlfn.XMATCH(C3653,_xlpm.r),IFERROR(_xlfn.XMATCH(VALUE(C3653),_xlpm.r),0)),IF(_xlpm.m=0,"",_xlpm.m+1))</f>
        <v/>
      </c>
      <c r="J3653" s="137" t="inlineStr">
        <is>
          <t>Odoo</t>
        </is>
      </c>
    </row>
    <row r="3654">
      <c r="A3654" s="5" t="inlineStr">
        <is>
          <t>Odoo Universal Unique Brands › Bodega 25 › Bodega 25/General</t>
        </is>
      </c>
      <c r="B3654" s="5">
        <f>IF($I2="","",INDEX(Productos!$A:$A,$I2))</f>
        <v/>
      </c>
      <c r="C3654" s="134" t="inlineStr">
        <is>
          <t>11-004-1015-6001-28 32</t>
        </is>
      </c>
      <c r="D3654" s="5">
        <f>IF($I2="","",INDEX(Productos!$B:$B,$I2))</f>
        <v/>
      </c>
      <c r="E3654" s="5">
        <f>IF($I2="","",INDEX(Productos!$H:$H,$I2))</f>
        <v/>
      </c>
      <c r="F3654" s="5">
        <f>IF($I2="","",INDEX(Productos!$I:$I,$I2))</f>
        <v/>
      </c>
      <c r="G3654" s="135" t="n">
        <v>4</v>
      </c>
      <c r="H3654" s="5">
        <f>IF($I2="","",INDEX(Productos!$AG:$AG,$I2))</f>
        <v/>
      </c>
      <c r="I3654" s="136">
        <f>LET(_xlpm.r,Productos!$E$2:$E$2509,_xlpm.m,IFERROR(_xlfn.XMATCH(C3654,_xlpm.r),IFERROR(_xlfn.XMATCH(VALUE(C3654),_xlpm.r),0)),IF(_xlpm.m=0,"",_xlpm.m+1))</f>
        <v/>
      </c>
      <c r="J3654" s="137" t="inlineStr">
        <is>
          <t>Odoo</t>
        </is>
      </c>
    </row>
    <row r="3655">
      <c r="A3655" s="5" t="inlineStr">
        <is>
          <t>Odoo Universal Unique Brands › Bodega 25 › Bodega 25/General</t>
        </is>
      </c>
      <c r="B3655" s="5">
        <f>IF($I2="","",INDEX(Productos!$A:$A,$I2))</f>
        <v/>
      </c>
      <c r="C3655" s="134" t="inlineStr">
        <is>
          <t>11-004-1015-6001-29 32</t>
        </is>
      </c>
      <c r="D3655" s="5">
        <f>IF($I2="","",INDEX(Productos!$B:$B,$I2))</f>
        <v/>
      </c>
      <c r="E3655" s="5">
        <f>IF($I2="","",INDEX(Productos!$H:$H,$I2))</f>
        <v/>
      </c>
      <c r="F3655" s="5">
        <f>IF($I2="","",INDEX(Productos!$I:$I,$I2))</f>
        <v/>
      </c>
      <c r="G3655" s="135" t="n">
        <v>8</v>
      </c>
      <c r="H3655" s="5">
        <f>IF($I2="","",INDEX(Productos!$AG:$AG,$I2))</f>
        <v/>
      </c>
      <c r="I3655" s="136">
        <f>LET(_xlpm.r,Productos!$E$2:$E$2509,_xlpm.m,IFERROR(_xlfn.XMATCH(C3655,_xlpm.r),IFERROR(_xlfn.XMATCH(VALUE(C3655),_xlpm.r),0)),IF(_xlpm.m=0,"",_xlpm.m+1))</f>
        <v/>
      </c>
      <c r="J3655" s="137" t="inlineStr">
        <is>
          <t>Odoo</t>
        </is>
      </c>
    </row>
    <row r="3656">
      <c r="A3656" s="5" t="inlineStr">
        <is>
          <t>Odoo Universal Unique Brands › Bodega 25 › Bodega 25/General</t>
        </is>
      </c>
      <c r="B3656" s="5">
        <f>IF($I2="","",INDEX(Productos!$A:$A,$I2))</f>
        <v/>
      </c>
      <c r="C3656" s="134" t="inlineStr">
        <is>
          <t>11-004-1015-6001-30 32</t>
        </is>
      </c>
      <c r="D3656" s="5">
        <f>IF($I2="","",INDEX(Productos!$B:$B,$I2))</f>
        <v/>
      </c>
      <c r="E3656" s="5">
        <f>IF($I2="","",INDEX(Productos!$H:$H,$I2))</f>
        <v/>
      </c>
      <c r="F3656" s="5">
        <f>IF($I2="","",INDEX(Productos!$I:$I,$I2))</f>
        <v/>
      </c>
      <c r="G3656" s="135" t="n">
        <v>7</v>
      </c>
      <c r="H3656" s="5">
        <f>IF($I2="","",INDEX(Productos!$AG:$AG,$I2))</f>
        <v/>
      </c>
      <c r="I3656" s="136">
        <f>LET(_xlpm.r,Productos!$E$2:$E$2509,_xlpm.m,IFERROR(_xlfn.XMATCH(C3656,_xlpm.r),IFERROR(_xlfn.XMATCH(VALUE(C3656),_xlpm.r),0)),IF(_xlpm.m=0,"",_xlpm.m+1))</f>
        <v/>
      </c>
      <c r="J3656" s="137" t="inlineStr">
        <is>
          <t>Odoo</t>
        </is>
      </c>
    </row>
    <row r="3657">
      <c r="A3657" s="5" t="inlineStr">
        <is>
          <t>Odoo Universal Unique Brands › Bodega 25 › Bodega 25/General</t>
        </is>
      </c>
      <c r="B3657" s="5">
        <f>IF($I2="","",INDEX(Productos!$A:$A,$I2))</f>
        <v/>
      </c>
      <c r="C3657" s="134" t="inlineStr">
        <is>
          <t>11-004-1015-6001-31 32</t>
        </is>
      </c>
      <c r="D3657" s="5">
        <f>IF($I2="","",INDEX(Productos!$B:$B,$I2))</f>
        <v/>
      </c>
      <c r="E3657" s="5">
        <f>IF($I2="","",INDEX(Productos!$H:$H,$I2))</f>
        <v/>
      </c>
      <c r="F3657" s="5">
        <f>IF($I2="","",INDEX(Productos!$I:$I,$I2))</f>
        <v/>
      </c>
      <c r="G3657" s="135" t="n">
        <v>8</v>
      </c>
      <c r="H3657" s="5">
        <f>IF($I2="","",INDEX(Productos!$AG:$AG,$I2))</f>
        <v/>
      </c>
      <c r="I3657" s="136">
        <f>LET(_xlpm.r,Productos!$E$2:$E$2509,_xlpm.m,IFERROR(_xlfn.XMATCH(C3657,_xlpm.r),IFERROR(_xlfn.XMATCH(VALUE(C3657),_xlpm.r),0)),IF(_xlpm.m=0,"",_xlpm.m+1))</f>
        <v/>
      </c>
      <c r="J3657" s="137" t="inlineStr">
        <is>
          <t>Odoo</t>
        </is>
      </c>
    </row>
    <row r="3658">
      <c r="A3658" s="5" t="inlineStr">
        <is>
          <t>Odoo Universal Unique Brands › Bodega 25 › Bodega 25/General</t>
        </is>
      </c>
      <c r="B3658" s="5">
        <f>IF($I2="","",INDEX(Productos!$A:$A,$I2))</f>
        <v/>
      </c>
      <c r="C3658" s="134" t="inlineStr">
        <is>
          <t>11-004-1015-6001-32 32</t>
        </is>
      </c>
      <c r="D3658" s="5">
        <f>IF($I2="","",INDEX(Productos!$B:$B,$I2))</f>
        <v/>
      </c>
      <c r="E3658" s="5">
        <f>IF($I2="","",INDEX(Productos!$H:$H,$I2))</f>
        <v/>
      </c>
      <c r="F3658" s="5">
        <f>IF($I2="","",INDEX(Productos!$I:$I,$I2))</f>
        <v/>
      </c>
      <c r="G3658" s="135" t="n">
        <v>2</v>
      </c>
      <c r="H3658" s="5">
        <f>IF($I2="","",INDEX(Productos!$AG:$AG,$I2))</f>
        <v/>
      </c>
      <c r="I3658" s="136">
        <f>LET(_xlpm.r,Productos!$E$2:$E$2509,_xlpm.m,IFERROR(_xlfn.XMATCH(C3658,_xlpm.r),IFERROR(_xlfn.XMATCH(VALUE(C3658),_xlpm.r),0)),IF(_xlpm.m=0,"",_xlpm.m+1))</f>
        <v/>
      </c>
      <c r="J3658" s="137" t="inlineStr">
        <is>
          <t>Odoo</t>
        </is>
      </c>
    </row>
    <row r="3659">
      <c r="A3659" s="5" t="inlineStr">
        <is>
          <t>Odoo Universal Unique Brands › Bodega 25 › Bodega 25/General</t>
        </is>
      </c>
      <c r="B3659" s="5">
        <f>IF($I2="","",INDEX(Productos!$A:$A,$I2))</f>
        <v/>
      </c>
      <c r="C3659" s="134" t="inlineStr">
        <is>
          <t>11-004-1015-6001-32 34</t>
        </is>
      </c>
      <c r="D3659" s="5">
        <f>IF($I2="","",INDEX(Productos!$B:$B,$I2))</f>
        <v/>
      </c>
      <c r="E3659" s="5">
        <f>IF($I2="","",INDEX(Productos!$H:$H,$I2))</f>
        <v/>
      </c>
      <c r="F3659" s="5">
        <f>IF($I2="","",INDEX(Productos!$I:$I,$I2))</f>
        <v/>
      </c>
      <c r="G3659" s="135" t="n">
        <v>4</v>
      </c>
      <c r="H3659" s="5">
        <f>IF($I2="","",INDEX(Productos!$AG:$AG,$I2))</f>
        <v/>
      </c>
      <c r="I3659" s="136">
        <f>LET(_xlpm.r,Productos!$E$2:$E$2509,_xlpm.m,IFERROR(_xlfn.XMATCH(C3659,_xlpm.r),IFERROR(_xlfn.XMATCH(VALUE(C3659),_xlpm.r),0)),IF(_xlpm.m=0,"",_xlpm.m+1))</f>
        <v/>
      </c>
      <c r="J3659" s="137" t="inlineStr">
        <is>
          <t>Odoo</t>
        </is>
      </c>
    </row>
    <row r="3660">
      <c r="A3660" s="5" t="inlineStr">
        <is>
          <t>Odoo Universal Unique Brands › Bodega 25 › Bodega 25/General</t>
        </is>
      </c>
      <c r="B3660" s="5">
        <f>IF($I2="","",INDEX(Productos!$A:$A,$I2))</f>
        <v/>
      </c>
      <c r="C3660" s="134" t="inlineStr">
        <is>
          <t>11-004-1015-6001-33 32</t>
        </is>
      </c>
      <c r="D3660" s="5">
        <f>IF($I2="","",INDEX(Productos!$B:$B,$I2))</f>
        <v/>
      </c>
      <c r="E3660" s="5">
        <f>IF($I2="","",INDEX(Productos!$H:$H,$I2))</f>
        <v/>
      </c>
      <c r="F3660" s="5">
        <f>IF($I2="","",INDEX(Productos!$I:$I,$I2))</f>
        <v/>
      </c>
      <c r="G3660" s="135" t="n">
        <v>1</v>
      </c>
      <c r="H3660" s="5">
        <f>IF($I2="","",INDEX(Productos!$AG:$AG,$I2))</f>
        <v/>
      </c>
      <c r="I3660" s="136">
        <f>LET(_xlpm.r,Productos!$E$2:$E$2509,_xlpm.m,IFERROR(_xlfn.XMATCH(C3660,_xlpm.r),IFERROR(_xlfn.XMATCH(VALUE(C3660),_xlpm.r),0)),IF(_xlpm.m=0,"",_xlpm.m+1))</f>
        <v/>
      </c>
      <c r="J3660" s="137" t="inlineStr">
        <is>
          <t>Odoo</t>
        </is>
      </c>
    </row>
    <row r="3661">
      <c r="A3661" s="5" t="inlineStr">
        <is>
          <t>Odoo Universal Unique Brands › Bodega 25 › Bodega 25/General</t>
        </is>
      </c>
      <c r="B3661" s="5">
        <f>IF($I2="","",INDEX(Productos!$A:$A,$I2))</f>
        <v/>
      </c>
      <c r="C3661" s="134" t="inlineStr">
        <is>
          <t>11-004-1015-6001-34 32</t>
        </is>
      </c>
      <c r="D3661" s="5">
        <f>IF($I2="","",INDEX(Productos!$B:$B,$I2))</f>
        <v/>
      </c>
      <c r="E3661" s="5">
        <f>IF($I2="","",INDEX(Productos!$H:$H,$I2))</f>
        <v/>
      </c>
      <c r="F3661" s="5">
        <f>IF($I2="","",INDEX(Productos!$I:$I,$I2))</f>
        <v/>
      </c>
      <c r="G3661" s="135" t="n">
        <v>3</v>
      </c>
      <c r="H3661" s="5">
        <f>IF($I2="","",INDEX(Productos!$AG:$AG,$I2))</f>
        <v/>
      </c>
      <c r="I3661" s="136">
        <f>LET(_xlpm.r,Productos!$E$2:$E$2509,_xlpm.m,IFERROR(_xlfn.XMATCH(C3661,_xlpm.r),IFERROR(_xlfn.XMATCH(VALUE(C3661),_xlpm.r),0)),IF(_xlpm.m=0,"",_xlpm.m+1))</f>
        <v/>
      </c>
      <c r="J3661" s="137" t="inlineStr">
        <is>
          <t>Odoo</t>
        </is>
      </c>
    </row>
    <row r="3662">
      <c r="A3662" s="5" t="inlineStr">
        <is>
          <t>Odoo Universal Unique Brands › Bodega 25 › Bodega 25/General</t>
        </is>
      </c>
      <c r="B3662" s="5">
        <f>IF($I2="","",INDEX(Productos!$A:$A,$I2))</f>
        <v/>
      </c>
      <c r="C3662" s="134" t="inlineStr">
        <is>
          <t>11-004-1015-6001-34 34</t>
        </is>
      </c>
      <c r="D3662" s="5">
        <f>IF($I2="","",INDEX(Productos!$B:$B,$I2))</f>
        <v/>
      </c>
      <c r="E3662" s="5">
        <f>IF($I2="","",INDEX(Productos!$H:$H,$I2))</f>
        <v/>
      </c>
      <c r="F3662" s="5">
        <f>IF($I2="","",INDEX(Productos!$I:$I,$I2))</f>
        <v/>
      </c>
      <c r="G3662" s="135" t="n">
        <v>2</v>
      </c>
      <c r="H3662" s="5">
        <f>IF($I2="","",INDEX(Productos!$AG:$AG,$I2))</f>
        <v/>
      </c>
      <c r="I3662" s="136">
        <f>LET(_xlpm.r,Productos!$E$2:$E$2509,_xlpm.m,IFERROR(_xlfn.XMATCH(C3662,_xlpm.r),IFERROR(_xlfn.XMATCH(VALUE(C3662),_xlpm.r),0)),IF(_xlpm.m=0,"",_xlpm.m+1))</f>
        <v/>
      </c>
      <c r="J3662" s="137" t="inlineStr">
        <is>
          <t>Odoo</t>
        </is>
      </c>
    </row>
    <row r="3663">
      <c r="A3663" s="5" t="inlineStr">
        <is>
          <t>Odoo Universal Unique Brands › Bodega 25 › Bodega 25/General</t>
        </is>
      </c>
      <c r="B3663" s="5">
        <f>IF($I2="","",INDEX(Productos!$A:$A,$I2))</f>
        <v/>
      </c>
      <c r="C3663" s="134" t="inlineStr">
        <is>
          <t>11-004-1015-6001-34 36</t>
        </is>
      </c>
      <c r="D3663" s="5">
        <f>IF($I2="","",INDEX(Productos!$B:$B,$I2))</f>
        <v/>
      </c>
      <c r="E3663" s="5">
        <f>IF($I2="","",INDEX(Productos!$H:$H,$I2))</f>
        <v/>
      </c>
      <c r="F3663" s="5">
        <f>IF($I2="","",INDEX(Productos!$I:$I,$I2))</f>
        <v/>
      </c>
      <c r="G3663" s="135" t="n">
        <v>2</v>
      </c>
      <c r="H3663" s="5">
        <f>IF($I2="","",INDEX(Productos!$AG:$AG,$I2))</f>
        <v/>
      </c>
      <c r="I3663" s="136">
        <f>LET(_xlpm.r,Productos!$E$2:$E$2509,_xlpm.m,IFERROR(_xlfn.XMATCH(C3663,_xlpm.r),IFERROR(_xlfn.XMATCH(VALUE(C3663),_xlpm.r),0)),IF(_xlpm.m=0,"",_xlpm.m+1))</f>
        <v/>
      </c>
      <c r="J3663" s="137" t="inlineStr">
        <is>
          <t>Odoo</t>
        </is>
      </c>
    </row>
    <row r="3664">
      <c r="A3664" s="5" t="inlineStr">
        <is>
          <t>Odoo Universal Unique Brands › Bodega 25 › Bodega 25/General</t>
        </is>
      </c>
      <c r="B3664" s="5">
        <f>IF($I2="","",INDEX(Productos!$A:$A,$I2))</f>
        <v/>
      </c>
      <c r="C3664" s="134" t="inlineStr">
        <is>
          <t>11-004-1015-6001-36 32</t>
        </is>
      </c>
      <c r="D3664" s="5">
        <f>IF($I2="","",INDEX(Productos!$B:$B,$I2))</f>
        <v/>
      </c>
      <c r="E3664" s="5">
        <f>IF($I2="","",INDEX(Productos!$H:$H,$I2))</f>
        <v/>
      </c>
      <c r="F3664" s="5">
        <f>IF($I2="","",INDEX(Productos!$I:$I,$I2))</f>
        <v/>
      </c>
      <c r="G3664" s="135" t="n">
        <v>4</v>
      </c>
      <c r="H3664" s="5">
        <f>IF($I2="","",INDEX(Productos!$AG:$AG,$I2))</f>
        <v/>
      </c>
      <c r="I3664" s="136">
        <f>LET(_xlpm.r,Productos!$E$2:$E$2509,_xlpm.m,IFERROR(_xlfn.XMATCH(C3664,_xlpm.r),IFERROR(_xlfn.XMATCH(VALUE(C3664),_xlpm.r),0)),IF(_xlpm.m=0,"",_xlpm.m+1))</f>
        <v/>
      </c>
      <c r="J3664" s="137" t="inlineStr">
        <is>
          <t>Odoo</t>
        </is>
      </c>
    </row>
    <row r="3665">
      <c r="A3665" s="5" t="inlineStr">
        <is>
          <t>Odoo Universal Unique Brands › Bodega 25 › Bodega 25/General</t>
        </is>
      </c>
      <c r="B3665" s="5">
        <f>IF($I2="","",INDEX(Productos!$A:$A,$I2))</f>
        <v/>
      </c>
      <c r="C3665" s="134" t="inlineStr">
        <is>
          <t>11-004-1015-6001-36 34</t>
        </is>
      </c>
      <c r="D3665" s="5">
        <f>IF($I2="","",INDEX(Productos!$B:$B,$I2))</f>
        <v/>
      </c>
      <c r="E3665" s="5">
        <f>IF($I2="","",INDEX(Productos!$H:$H,$I2))</f>
        <v/>
      </c>
      <c r="F3665" s="5">
        <f>IF($I2="","",INDEX(Productos!$I:$I,$I2))</f>
        <v/>
      </c>
      <c r="G3665" s="135" t="n">
        <v>2</v>
      </c>
      <c r="H3665" s="5">
        <f>IF($I2="","",INDEX(Productos!$AG:$AG,$I2))</f>
        <v/>
      </c>
      <c r="I3665" s="136">
        <f>LET(_xlpm.r,Productos!$E$2:$E$2509,_xlpm.m,IFERROR(_xlfn.XMATCH(C3665,_xlpm.r),IFERROR(_xlfn.XMATCH(VALUE(C3665),_xlpm.r),0)),IF(_xlpm.m=0,"",_xlpm.m+1))</f>
        <v/>
      </c>
      <c r="J3665" s="137" t="inlineStr">
        <is>
          <t>Odoo</t>
        </is>
      </c>
    </row>
    <row r="3666">
      <c r="A3666" s="5" t="inlineStr">
        <is>
          <t>Odoo Universal Unique Brands › Bodega 25 › Bodega 25/General</t>
        </is>
      </c>
      <c r="B3666" s="5">
        <f>IF($I2="","",INDEX(Productos!$A:$A,$I2))</f>
        <v/>
      </c>
      <c r="C3666" s="134" t="inlineStr">
        <is>
          <t>11-004-1015-6001-36 36</t>
        </is>
      </c>
      <c r="D3666" s="5">
        <f>IF($I2="","",INDEX(Productos!$B:$B,$I2))</f>
        <v/>
      </c>
      <c r="E3666" s="5">
        <f>IF($I2="","",INDEX(Productos!$H:$H,$I2))</f>
        <v/>
      </c>
      <c r="F3666" s="5">
        <f>IF($I2="","",INDEX(Productos!$I:$I,$I2))</f>
        <v/>
      </c>
      <c r="G3666" s="135" t="n">
        <v>2</v>
      </c>
      <c r="H3666" s="5">
        <f>IF($I2="","",INDEX(Productos!$AG:$AG,$I2))</f>
        <v/>
      </c>
      <c r="I3666" s="136">
        <f>LET(_xlpm.r,Productos!$E$2:$E$2509,_xlpm.m,IFERROR(_xlfn.XMATCH(C3666,_xlpm.r),IFERROR(_xlfn.XMATCH(VALUE(C3666),_xlpm.r),0)),IF(_xlpm.m=0,"",_xlpm.m+1))</f>
        <v/>
      </c>
      <c r="J3666" s="137" t="inlineStr">
        <is>
          <t>Odoo</t>
        </is>
      </c>
    </row>
    <row r="3667">
      <c r="A3667" s="5" t="inlineStr">
        <is>
          <t>Odoo Universal Unique Brands › Bodega 25 › Bodega 25/General</t>
        </is>
      </c>
      <c r="B3667" s="5">
        <f>IF($I2="","",INDEX(Productos!$A:$A,$I2))</f>
        <v/>
      </c>
      <c r="C3667" s="134" t="inlineStr">
        <is>
          <t>11-004-1015-6001-38 32</t>
        </is>
      </c>
      <c r="D3667" s="5">
        <f>IF($I2="","",INDEX(Productos!$B:$B,$I2))</f>
        <v/>
      </c>
      <c r="E3667" s="5">
        <f>IF($I2="","",INDEX(Productos!$H:$H,$I2))</f>
        <v/>
      </c>
      <c r="F3667" s="5">
        <f>IF($I2="","",INDEX(Productos!$I:$I,$I2))</f>
        <v/>
      </c>
      <c r="G3667" s="135" t="n">
        <v>2</v>
      </c>
      <c r="H3667" s="5">
        <f>IF($I2="","",INDEX(Productos!$AG:$AG,$I2))</f>
        <v/>
      </c>
      <c r="I3667" s="136">
        <f>LET(_xlpm.r,Productos!$E$2:$E$2509,_xlpm.m,IFERROR(_xlfn.XMATCH(C3667,_xlpm.r),IFERROR(_xlfn.XMATCH(VALUE(C3667),_xlpm.r),0)),IF(_xlpm.m=0,"",_xlpm.m+1))</f>
        <v/>
      </c>
      <c r="J3667" s="137" t="inlineStr">
        <is>
          <t>Odoo</t>
        </is>
      </c>
    </row>
    <row r="3668">
      <c r="A3668" s="5" t="inlineStr">
        <is>
          <t>Odoo Universal Unique Brands › Bodega 25 › Bodega 25/General</t>
        </is>
      </c>
      <c r="B3668" s="5">
        <f>IF($I2="","",INDEX(Productos!$A:$A,$I2))</f>
        <v/>
      </c>
      <c r="C3668" s="134" t="inlineStr">
        <is>
          <t>11-004-1015-6002-29 32</t>
        </is>
      </c>
      <c r="D3668" s="5">
        <f>IF($I2="","",INDEX(Productos!$B:$B,$I2))</f>
        <v/>
      </c>
      <c r="E3668" s="5">
        <f>IF($I2="","",INDEX(Productos!$H:$H,$I2))</f>
        <v/>
      </c>
      <c r="F3668" s="5">
        <f>IF($I2="","",INDEX(Productos!$I:$I,$I2))</f>
        <v/>
      </c>
      <c r="G3668" s="135" t="n">
        <v>2</v>
      </c>
      <c r="H3668" s="5">
        <f>IF($I2="","",INDEX(Productos!$AG:$AG,$I2))</f>
        <v/>
      </c>
      <c r="I3668" s="136">
        <f>LET(_xlpm.r,Productos!$E$2:$E$2509,_xlpm.m,IFERROR(_xlfn.XMATCH(C3668,_xlpm.r),IFERROR(_xlfn.XMATCH(VALUE(C3668),_xlpm.r),0)),IF(_xlpm.m=0,"",_xlpm.m+1))</f>
        <v/>
      </c>
      <c r="J3668" s="137" t="inlineStr">
        <is>
          <t>Odoo</t>
        </is>
      </c>
    </row>
    <row r="3669">
      <c r="A3669" s="5" t="inlineStr">
        <is>
          <t>Odoo Universal Unique Brands › Bodega 25 › Bodega 25/General</t>
        </is>
      </c>
      <c r="B3669" s="5">
        <f>IF($I2="","",INDEX(Productos!$A:$A,$I2))</f>
        <v/>
      </c>
      <c r="C3669" s="134" t="inlineStr">
        <is>
          <t>11-004-1015-6002-30 32</t>
        </is>
      </c>
      <c r="D3669" s="5">
        <f>IF($I2="","",INDEX(Productos!$B:$B,$I2))</f>
        <v/>
      </c>
      <c r="E3669" s="5">
        <f>IF($I2="","",INDEX(Productos!$H:$H,$I2))</f>
        <v/>
      </c>
      <c r="F3669" s="5">
        <f>IF($I2="","",INDEX(Productos!$I:$I,$I2))</f>
        <v/>
      </c>
      <c r="G3669" s="135" t="n">
        <v>4</v>
      </c>
      <c r="H3669" s="5">
        <f>IF($I2="","",INDEX(Productos!$AG:$AG,$I2))</f>
        <v/>
      </c>
      <c r="I3669" s="136">
        <f>LET(_xlpm.r,Productos!$E$2:$E$2509,_xlpm.m,IFERROR(_xlfn.XMATCH(C3669,_xlpm.r),IFERROR(_xlfn.XMATCH(VALUE(C3669),_xlpm.r),0)),IF(_xlpm.m=0,"",_xlpm.m+1))</f>
        <v/>
      </c>
      <c r="J3669" s="137" t="inlineStr">
        <is>
          <t>Odoo</t>
        </is>
      </c>
    </row>
    <row r="3670">
      <c r="A3670" s="5" t="inlineStr">
        <is>
          <t>Odoo Universal Unique Brands › Bodega 25 › Bodega 25/General</t>
        </is>
      </c>
      <c r="B3670" s="5">
        <f>IF($I2="","",INDEX(Productos!$A:$A,$I2))</f>
        <v/>
      </c>
      <c r="C3670" s="134" t="inlineStr">
        <is>
          <t>11-004-1015-6002-31 32</t>
        </is>
      </c>
      <c r="D3670" s="5">
        <f>IF($I2="","",INDEX(Productos!$B:$B,$I2))</f>
        <v/>
      </c>
      <c r="E3670" s="5">
        <f>IF($I2="","",INDEX(Productos!$H:$H,$I2))</f>
        <v/>
      </c>
      <c r="F3670" s="5">
        <f>IF($I2="","",INDEX(Productos!$I:$I,$I2))</f>
        <v/>
      </c>
      <c r="G3670" s="135" t="n">
        <v>4</v>
      </c>
      <c r="H3670" s="5">
        <f>IF($I2="","",INDEX(Productos!$AG:$AG,$I2))</f>
        <v/>
      </c>
      <c r="I3670" s="136">
        <f>LET(_xlpm.r,Productos!$E$2:$E$2509,_xlpm.m,IFERROR(_xlfn.XMATCH(C3670,_xlpm.r),IFERROR(_xlfn.XMATCH(VALUE(C3670),_xlpm.r),0)),IF(_xlpm.m=0,"",_xlpm.m+1))</f>
        <v/>
      </c>
      <c r="J3670" s="137" t="inlineStr">
        <is>
          <t>Odoo</t>
        </is>
      </c>
    </row>
    <row r="3671">
      <c r="A3671" s="5" t="inlineStr">
        <is>
          <t>Odoo Universal Unique Brands › Bodega 25 › Bodega 25/General</t>
        </is>
      </c>
      <c r="B3671" s="5">
        <f>IF($I2="","",INDEX(Productos!$A:$A,$I2))</f>
        <v/>
      </c>
      <c r="C3671" s="134" t="inlineStr">
        <is>
          <t>11-004-1015-6002-32 32</t>
        </is>
      </c>
      <c r="D3671" s="5">
        <f>IF($I2="","",INDEX(Productos!$B:$B,$I2))</f>
        <v/>
      </c>
      <c r="E3671" s="5">
        <f>IF($I2="","",INDEX(Productos!$H:$H,$I2))</f>
        <v/>
      </c>
      <c r="F3671" s="5">
        <f>IF($I2="","",INDEX(Productos!$I:$I,$I2))</f>
        <v/>
      </c>
      <c r="G3671" s="135" t="n">
        <v>8</v>
      </c>
      <c r="H3671" s="5">
        <f>IF($I2="","",INDEX(Productos!$AG:$AG,$I2))</f>
        <v/>
      </c>
      <c r="I3671" s="136">
        <f>LET(_xlpm.r,Productos!$E$2:$E$2509,_xlpm.m,IFERROR(_xlfn.XMATCH(C3671,_xlpm.r),IFERROR(_xlfn.XMATCH(VALUE(C3671),_xlpm.r),0)),IF(_xlpm.m=0,"",_xlpm.m+1))</f>
        <v/>
      </c>
      <c r="J3671" s="137" t="inlineStr">
        <is>
          <t>Odoo</t>
        </is>
      </c>
    </row>
    <row r="3672">
      <c r="A3672" s="5" t="inlineStr">
        <is>
          <t>Odoo Universal Unique Brands › Bodega 25 › Bodega 25/General</t>
        </is>
      </c>
      <c r="B3672" s="5">
        <f>IF($I2="","",INDEX(Productos!$A:$A,$I2))</f>
        <v/>
      </c>
      <c r="C3672" s="134" t="inlineStr">
        <is>
          <t>11-004-1015-6002-32 34</t>
        </is>
      </c>
      <c r="D3672" s="5">
        <f>IF($I2="","",INDEX(Productos!$B:$B,$I2))</f>
        <v/>
      </c>
      <c r="E3672" s="5">
        <f>IF($I2="","",INDEX(Productos!$H:$H,$I2))</f>
        <v/>
      </c>
      <c r="F3672" s="5">
        <f>IF($I2="","",INDEX(Productos!$I:$I,$I2))</f>
        <v/>
      </c>
      <c r="G3672" s="135" t="n">
        <v>4</v>
      </c>
      <c r="H3672" s="5">
        <f>IF($I2="","",INDEX(Productos!$AG:$AG,$I2))</f>
        <v/>
      </c>
      <c r="I3672" s="136">
        <f>LET(_xlpm.r,Productos!$E$2:$E$2509,_xlpm.m,IFERROR(_xlfn.XMATCH(C3672,_xlpm.r),IFERROR(_xlfn.XMATCH(VALUE(C3672),_xlpm.r),0)),IF(_xlpm.m=0,"",_xlpm.m+1))</f>
        <v/>
      </c>
      <c r="J3672" s="137" t="inlineStr">
        <is>
          <t>Odoo</t>
        </is>
      </c>
    </row>
    <row r="3673">
      <c r="A3673" s="5" t="inlineStr">
        <is>
          <t>Odoo Universal Unique Brands › Bodega 25 › Bodega 25/General</t>
        </is>
      </c>
      <c r="B3673" s="5">
        <f>IF($I2="","",INDEX(Productos!$A:$A,$I2))</f>
        <v/>
      </c>
      <c r="C3673" s="134" t="inlineStr">
        <is>
          <t>11-004-1015-6002-33 32</t>
        </is>
      </c>
      <c r="D3673" s="5">
        <f>IF($I2="","",INDEX(Productos!$B:$B,$I2))</f>
        <v/>
      </c>
      <c r="E3673" s="5">
        <f>IF($I2="","",INDEX(Productos!$H:$H,$I2))</f>
        <v/>
      </c>
      <c r="F3673" s="5">
        <f>IF($I2="","",INDEX(Productos!$I:$I,$I2))</f>
        <v/>
      </c>
      <c r="G3673" s="135" t="n">
        <v>4</v>
      </c>
      <c r="H3673" s="5">
        <f>IF($I2="","",INDEX(Productos!$AG:$AG,$I2))</f>
        <v/>
      </c>
      <c r="I3673" s="136">
        <f>LET(_xlpm.r,Productos!$E$2:$E$2509,_xlpm.m,IFERROR(_xlfn.XMATCH(C3673,_xlpm.r),IFERROR(_xlfn.XMATCH(VALUE(C3673),_xlpm.r),0)),IF(_xlpm.m=0,"",_xlpm.m+1))</f>
        <v/>
      </c>
      <c r="J3673" s="137" t="inlineStr">
        <is>
          <t>Odoo</t>
        </is>
      </c>
    </row>
    <row r="3674">
      <c r="A3674" s="5" t="inlineStr">
        <is>
          <t>Odoo Universal Unique Brands › Bodega 25 › Bodega 25/General</t>
        </is>
      </c>
      <c r="B3674" s="5">
        <f>IF($I2="","",INDEX(Productos!$A:$A,$I2))</f>
        <v/>
      </c>
      <c r="C3674" s="134" t="inlineStr">
        <is>
          <t>11-004-1015-6002-34 32</t>
        </is>
      </c>
      <c r="D3674" s="5">
        <f>IF($I2="","",INDEX(Productos!$B:$B,$I2))</f>
        <v/>
      </c>
      <c r="E3674" s="5">
        <f>IF($I2="","",INDEX(Productos!$H:$H,$I2))</f>
        <v/>
      </c>
      <c r="F3674" s="5">
        <f>IF($I2="","",INDEX(Productos!$I:$I,$I2))</f>
        <v/>
      </c>
      <c r="G3674" s="135" t="n">
        <v>7</v>
      </c>
      <c r="H3674" s="5">
        <f>IF($I2="","",INDEX(Productos!$AG:$AG,$I2))</f>
        <v/>
      </c>
      <c r="I3674" s="136">
        <f>LET(_xlpm.r,Productos!$E$2:$E$2509,_xlpm.m,IFERROR(_xlfn.XMATCH(C3674,_xlpm.r),IFERROR(_xlfn.XMATCH(VALUE(C3674),_xlpm.r),0)),IF(_xlpm.m=0,"",_xlpm.m+1))</f>
        <v/>
      </c>
      <c r="J3674" s="137" t="inlineStr">
        <is>
          <t>Odoo</t>
        </is>
      </c>
    </row>
    <row r="3675">
      <c r="A3675" s="5" t="inlineStr">
        <is>
          <t>Odoo Universal Unique Brands › Bodega 25 › Bodega 25/General</t>
        </is>
      </c>
      <c r="B3675" s="5">
        <f>IF($I2="","",INDEX(Productos!$A:$A,$I2))</f>
        <v/>
      </c>
      <c r="C3675" s="134" t="inlineStr">
        <is>
          <t>11-004-1015-6002-34 34</t>
        </is>
      </c>
      <c r="D3675" s="5">
        <f>IF($I2="","",INDEX(Productos!$B:$B,$I2))</f>
        <v/>
      </c>
      <c r="E3675" s="5">
        <f>IF($I2="","",INDEX(Productos!$H:$H,$I2))</f>
        <v/>
      </c>
      <c r="F3675" s="5">
        <f>IF($I2="","",INDEX(Productos!$I:$I,$I2))</f>
        <v/>
      </c>
      <c r="G3675" s="135" t="n">
        <v>5</v>
      </c>
      <c r="H3675" s="5">
        <f>IF($I2="","",INDEX(Productos!$AG:$AG,$I2))</f>
        <v/>
      </c>
      <c r="I3675" s="136">
        <f>LET(_xlpm.r,Productos!$E$2:$E$2509,_xlpm.m,IFERROR(_xlfn.XMATCH(C3675,_xlpm.r),IFERROR(_xlfn.XMATCH(VALUE(C3675),_xlpm.r),0)),IF(_xlpm.m=0,"",_xlpm.m+1))</f>
        <v/>
      </c>
      <c r="J3675" s="137" t="inlineStr">
        <is>
          <t>Odoo</t>
        </is>
      </c>
    </row>
    <row r="3676">
      <c r="A3676" s="5" t="inlineStr">
        <is>
          <t>Odoo Universal Unique Brands › Bodega 25 › Bodega 25/General</t>
        </is>
      </c>
      <c r="B3676" s="5">
        <f>IF($I2="","",INDEX(Productos!$A:$A,$I2))</f>
        <v/>
      </c>
      <c r="C3676" s="134" t="inlineStr">
        <is>
          <t>11-004-1015-6002-36 32</t>
        </is>
      </c>
      <c r="D3676" s="5">
        <f>IF($I2="","",INDEX(Productos!$B:$B,$I2))</f>
        <v/>
      </c>
      <c r="E3676" s="5">
        <f>IF($I2="","",INDEX(Productos!$H:$H,$I2))</f>
        <v/>
      </c>
      <c r="F3676" s="5">
        <f>IF($I2="","",INDEX(Productos!$I:$I,$I2))</f>
        <v/>
      </c>
      <c r="G3676" s="135" t="n">
        <v>2</v>
      </c>
      <c r="H3676" s="5">
        <f>IF($I2="","",INDEX(Productos!$AG:$AG,$I2))</f>
        <v/>
      </c>
      <c r="I3676" s="136">
        <f>LET(_xlpm.r,Productos!$E$2:$E$2509,_xlpm.m,IFERROR(_xlfn.XMATCH(C3676,_xlpm.r),IFERROR(_xlfn.XMATCH(VALUE(C3676),_xlpm.r),0)),IF(_xlpm.m=0,"",_xlpm.m+1))</f>
        <v/>
      </c>
      <c r="J3676" s="137" t="inlineStr">
        <is>
          <t>Odoo</t>
        </is>
      </c>
    </row>
    <row r="3677">
      <c r="A3677" s="5" t="inlineStr">
        <is>
          <t>Odoo Universal Unique Brands › Bodega 25 › Bodega 25/General</t>
        </is>
      </c>
      <c r="B3677" s="5">
        <f>IF($I2="","",INDEX(Productos!$A:$A,$I2))</f>
        <v/>
      </c>
      <c r="C3677" s="134" t="inlineStr">
        <is>
          <t>11-004-1210-8003-29 32</t>
        </is>
      </c>
      <c r="D3677" s="5">
        <f>IF($I2="","",INDEX(Productos!$B:$B,$I2))</f>
        <v/>
      </c>
      <c r="E3677" s="5">
        <f>IF($I2="","",INDEX(Productos!$H:$H,$I2))</f>
        <v/>
      </c>
      <c r="F3677" s="5">
        <f>IF($I2="","",INDEX(Productos!$I:$I,$I2))</f>
        <v/>
      </c>
      <c r="G3677" s="135" t="n">
        <v>2</v>
      </c>
      <c r="H3677" s="5">
        <f>IF($I2="","",INDEX(Productos!$AG:$AG,$I2))</f>
        <v/>
      </c>
      <c r="I3677" s="136">
        <f>LET(_xlpm.r,Productos!$E$2:$E$2509,_xlpm.m,IFERROR(_xlfn.XMATCH(C3677,_xlpm.r),IFERROR(_xlfn.XMATCH(VALUE(C3677),_xlpm.r),0)),IF(_xlpm.m=0,"",_xlpm.m+1))</f>
        <v/>
      </c>
      <c r="J3677" s="137" t="inlineStr">
        <is>
          <t>Odoo</t>
        </is>
      </c>
    </row>
    <row r="3678">
      <c r="A3678" s="5" t="inlineStr">
        <is>
          <t>Odoo Universal Unique Brands › Bodega 25 › Bodega 25/General</t>
        </is>
      </c>
      <c r="B3678" s="5">
        <f>IF($I2="","",INDEX(Productos!$A:$A,$I2))</f>
        <v/>
      </c>
      <c r="C3678" s="134" t="inlineStr">
        <is>
          <t>11-004-1210-8003-30 32</t>
        </is>
      </c>
      <c r="D3678" s="5">
        <f>IF($I2="","",INDEX(Productos!$B:$B,$I2))</f>
        <v/>
      </c>
      <c r="E3678" s="5">
        <f>IF($I2="","",INDEX(Productos!$H:$H,$I2))</f>
        <v/>
      </c>
      <c r="F3678" s="5">
        <f>IF($I2="","",INDEX(Productos!$I:$I,$I2))</f>
        <v/>
      </c>
      <c r="G3678" s="135" t="n">
        <v>8</v>
      </c>
      <c r="H3678" s="5">
        <f>IF($I2="","",INDEX(Productos!$AG:$AG,$I2))</f>
        <v/>
      </c>
      <c r="I3678" s="136">
        <f>LET(_xlpm.r,Productos!$E$2:$E$2509,_xlpm.m,IFERROR(_xlfn.XMATCH(C3678,_xlpm.r),IFERROR(_xlfn.XMATCH(VALUE(C3678),_xlpm.r),0)),IF(_xlpm.m=0,"",_xlpm.m+1))</f>
        <v/>
      </c>
      <c r="J3678" s="137" t="inlineStr">
        <is>
          <t>Odoo</t>
        </is>
      </c>
    </row>
    <row r="3679">
      <c r="A3679" s="5" t="inlineStr">
        <is>
          <t>Odoo Universal Unique Brands › Bodega 25 › Bodega 25/General</t>
        </is>
      </c>
      <c r="B3679" s="5">
        <f>IF($I2="","",INDEX(Productos!$A:$A,$I2))</f>
        <v/>
      </c>
      <c r="C3679" s="134" t="inlineStr">
        <is>
          <t>11-004-1210-8003-31 32</t>
        </is>
      </c>
      <c r="D3679" s="5">
        <f>IF($I2="","",INDEX(Productos!$B:$B,$I2))</f>
        <v/>
      </c>
      <c r="E3679" s="5">
        <f>IF($I2="","",INDEX(Productos!$H:$H,$I2))</f>
        <v/>
      </c>
      <c r="F3679" s="5">
        <f>IF($I2="","",INDEX(Productos!$I:$I,$I2))</f>
        <v/>
      </c>
      <c r="G3679" s="135" t="n">
        <v>7</v>
      </c>
      <c r="H3679" s="5">
        <f>IF($I2="","",INDEX(Productos!$AG:$AG,$I2))</f>
        <v/>
      </c>
      <c r="I3679" s="136">
        <f>LET(_xlpm.r,Productos!$E$2:$E$2509,_xlpm.m,IFERROR(_xlfn.XMATCH(C3679,_xlpm.r),IFERROR(_xlfn.XMATCH(VALUE(C3679),_xlpm.r),0)),IF(_xlpm.m=0,"",_xlpm.m+1))</f>
        <v/>
      </c>
      <c r="J3679" s="137" t="inlineStr">
        <is>
          <t>Odoo</t>
        </is>
      </c>
    </row>
    <row r="3680">
      <c r="A3680" s="5" t="inlineStr">
        <is>
          <t>Odoo Universal Unique Brands › Bodega 25 › Bodega 25/General</t>
        </is>
      </c>
      <c r="B3680" s="5">
        <f>IF($I2="","",INDEX(Productos!$A:$A,$I2))</f>
        <v/>
      </c>
      <c r="C3680" s="134" t="inlineStr">
        <is>
          <t>11-004-1210-8003-32 32</t>
        </is>
      </c>
      <c r="D3680" s="5">
        <f>IF($I2="","",INDEX(Productos!$B:$B,$I2))</f>
        <v/>
      </c>
      <c r="E3680" s="5">
        <f>IF($I2="","",INDEX(Productos!$H:$H,$I2))</f>
        <v/>
      </c>
      <c r="F3680" s="5">
        <f>IF($I2="","",INDEX(Productos!$I:$I,$I2))</f>
        <v/>
      </c>
      <c r="G3680" s="135" t="n">
        <v>14</v>
      </c>
      <c r="H3680" s="5">
        <f>IF($I2="","",INDEX(Productos!$AG:$AG,$I2))</f>
        <v/>
      </c>
      <c r="I3680" s="136">
        <f>LET(_xlpm.r,Productos!$E$2:$E$2509,_xlpm.m,IFERROR(_xlfn.XMATCH(C3680,_xlpm.r),IFERROR(_xlfn.XMATCH(VALUE(C3680),_xlpm.r),0)),IF(_xlpm.m=0,"",_xlpm.m+1))</f>
        <v/>
      </c>
      <c r="J3680" s="137" t="inlineStr">
        <is>
          <t>Odoo</t>
        </is>
      </c>
    </row>
    <row r="3681">
      <c r="A3681" s="5" t="inlineStr">
        <is>
          <t>Odoo Universal Unique Brands › Bodega 25 › Bodega 25/General</t>
        </is>
      </c>
      <c r="B3681" s="5">
        <f>IF($I2="","",INDEX(Productos!$A:$A,$I2))</f>
        <v/>
      </c>
      <c r="C3681" s="134" t="inlineStr">
        <is>
          <t>11-004-1210-8003-32 34</t>
        </is>
      </c>
      <c r="D3681" s="5">
        <f>IF($I2="","",INDEX(Productos!$B:$B,$I2))</f>
        <v/>
      </c>
      <c r="E3681" s="5">
        <f>IF($I2="","",INDEX(Productos!$H:$H,$I2))</f>
        <v/>
      </c>
      <c r="F3681" s="5">
        <f>IF($I2="","",INDEX(Productos!$I:$I,$I2))</f>
        <v/>
      </c>
      <c r="G3681" s="135" t="n">
        <v>8</v>
      </c>
      <c r="H3681" s="5">
        <f>IF($I2="","",INDEX(Productos!$AG:$AG,$I2))</f>
        <v/>
      </c>
      <c r="I3681" s="136">
        <f>LET(_xlpm.r,Productos!$E$2:$E$2509,_xlpm.m,IFERROR(_xlfn.XMATCH(C3681,_xlpm.r),IFERROR(_xlfn.XMATCH(VALUE(C3681),_xlpm.r),0)),IF(_xlpm.m=0,"",_xlpm.m+1))</f>
        <v/>
      </c>
      <c r="J3681" s="137" t="inlineStr">
        <is>
          <t>Odoo</t>
        </is>
      </c>
    </row>
    <row r="3682">
      <c r="A3682" s="5" t="inlineStr">
        <is>
          <t>Odoo Universal Unique Brands › Bodega 25 › Bodega 25/General</t>
        </is>
      </c>
      <c r="B3682" s="5">
        <f>IF($I2="","",INDEX(Productos!$A:$A,$I2))</f>
        <v/>
      </c>
      <c r="C3682" s="134" t="inlineStr">
        <is>
          <t>11-004-1210-8003-34 32</t>
        </is>
      </c>
      <c r="D3682" s="5">
        <f>IF($I2="","",INDEX(Productos!$B:$B,$I2))</f>
        <v/>
      </c>
      <c r="E3682" s="5">
        <f>IF($I2="","",INDEX(Productos!$H:$H,$I2))</f>
        <v/>
      </c>
      <c r="F3682" s="5">
        <f>IF($I2="","",INDEX(Productos!$I:$I,$I2))</f>
        <v/>
      </c>
      <c r="G3682" s="135" t="n">
        <v>6</v>
      </c>
      <c r="H3682" s="5">
        <f>IF($I2="","",INDEX(Productos!$AG:$AG,$I2))</f>
        <v/>
      </c>
      <c r="I3682" s="136">
        <f>LET(_xlpm.r,Productos!$E$2:$E$2509,_xlpm.m,IFERROR(_xlfn.XMATCH(C3682,_xlpm.r),IFERROR(_xlfn.XMATCH(VALUE(C3682),_xlpm.r),0)),IF(_xlpm.m=0,"",_xlpm.m+1))</f>
        <v/>
      </c>
      <c r="J3682" s="137" t="inlineStr">
        <is>
          <t>Odoo</t>
        </is>
      </c>
    </row>
    <row r="3683">
      <c r="A3683" s="5" t="inlineStr">
        <is>
          <t>Odoo Universal Unique Brands › Bodega 25 › Bodega 25/General</t>
        </is>
      </c>
      <c r="B3683" s="5">
        <f>IF($I2="","",INDEX(Productos!$A:$A,$I2))</f>
        <v/>
      </c>
      <c r="C3683" s="134" t="inlineStr">
        <is>
          <t>11-004-1210-8003-34 34</t>
        </is>
      </c>
      <c r="D3683" s="5">
        <f>IF($I2="","",INDEX(Productos!$B:$B,$I2))</f>
        <v/>
      </c>
      <c r="E3683" s="5">
        <f>IF($I2="","",INDEX(Productos!$H:$H,$I2))</f>
        <v/>
      </c>
      <c r="F3683" s="5">
        <f>IF($I2="","",INDEX(Productos!$I:$I,$I2))</f>
        <v/>
      </c>
      <c r="G3683" s="135" t="n">
        <v>8</v>
      </c>
      <c r="H3683" s="5">
        <f>IF($I2="","",INDEX(Productos!$AG:$AG,$I2))</f>
        <v/>
      </c>
      <c r="I3683" s="136">
        <f>LET(_xlpm.r,Productos!$E$2:$E$2509,_xlpm.m,IFERROR(_xlfn.XMATCH(C3683,_xlpm.r),IFERROR(_xlfn.XMATCH(VALUE(C3683),_xlpm.r),0)),IF(_xlpm.m=0,"",_xlpm.m+1))</f>
        <v/>
      </c>
      <c r="J3683" s="137" t="inlineStr">
        <is>
          <t>Odoo</t>
        </is>
      </c>
    </row>
    <row r="3684">
      <c r="A3684" s="5" t="inlineStr">
        <is>
          <t>Odoo Universal Unique Brands › Bodega 25 › Bodega 25/General</t>
        </is>
      </c>
      <c r="B3684" s="5">
        <f>IF($I2="","",INDEX(Productos!$A:$A,$I2))</f>
        <v/>
      </c>
      <c r="C3684" s="134" t="inlineStr">
        <is>
          <t>11-004-1210-8006-30 32</t>
        </is>
      </c>
      <c r="D3684" s="5">
        <f>IF($I2="","",INDEX(Productos!$B:$B,$I2))</f>
        <v/>
      </c>
      <c r="E3684" s="5">
        <f>IF($I2="","",INDEX(Productos!$H:$H,$I2))</f>
        <v/>
      </c>
      <c r="F3684" s="5">
        <f>IF($I2="","",INDEX(Productos!$I:$I,$I2))</f>
        <v/>
      </c>
      <c r="G3684" s="135" t="n">
        <v>2</v>
      </c>
      <c r="H3684" s="5">
        <f>IF($I2="","",INDEX(Productos!$AG:$AG,$I2))</f>
        <v/>
      </c>
      <c r="I3684" s="136">
        <f>LET(_xlpm.r,Productos!$E$2:$E$2509,_xlpm.m,IFERROR(_xlfn.XMATCH(C3684,_xlpm.r),IFERROR(_xlfn.XMATCH(VALUE(C3684),_xlpm.r),0)),IF(_xlpm.m=0,"",_xlpm.m+1))</f>
        <v/>
      </c>
      <c r="J3684" s="137" t="inlineStr">
        <is>
          <t>Odoo</t>
        </is>
      </c>
    </row>
    <row r="3685">
      <c r="A3685" s="5" t="inlineStr">
        <is>
          <t>Odoo Universal Unique Brands › Bodega 25 › Bodega 25/General</t>
        </is>
      </c>
      <c r="B3685" s="5">
        <f>IF($I2="","",INDEX(Productos!$A:$A,$I2))</f>
        <v/>
      </c>
      <c r="C3685" s="134" t="inlineStr">
        <is>
          <t>11-004-1210-8006-31 32</t>
        </is>
      </c>
      <c r="D3685" s="5">
        <f>IF($I2="","",INDEX(Productos!$B:$B,$I2))</f>
        <v/>
      </c>
      <c r="E3685" s="5">
        <f>IF($I2="","",INDEX(Productos!$H:$H,$I2))</f>
        <v/>
      </c>
      <c r="F3685" s="5">
        <f>IF($I2="","",INDEX(Productos!$I:$I,$I2))</f>
        <v/>
      </c>
      <c r="G3685" s="135" t="n">
        <v>4</v>
      </c>
      <c r="H3685" s="5">
        <f>IF($I2="","",INDEX(Productos!$AG:$AG,$I2))</f>
        <v/>
      </c>
      <c r="I3685" s="136">
        <f>LET(_xlpm.r,Productos!$E$2:$E$2509,_xlpm.m,IFERROR(_xlfn.XMATCH(C3685,_xlpm.r),IFERROR(_xlfn.XMATCH(VALUE(C3685),_xlpm.r),0)),IF(_xlpm.m=0,"",_xlpm.m+1))</f>
        <v/>
      </c>
      <c r="J3685" s="137" t="inlineStr">
        <is>
          <t>Odoo</t>
        </is>
      </c>
    </row>
    <row r="3686">
      <c r="A3686" s="5" t="inlineStr">
        <is>
          <t>Odoo Universal Unique Brands › Bodega 25 › Bodega 25/General</t>
        </is>
      </c>
      <c r="B3686" s="5">
        <f>IF($I2="","",INDEX(Productos!$A:$A,$I2))</f>
        <v/>
      </c>
      <c r="C3686" s="134" t="inlineStr">
        <is>
          <t>11-004-1210-8006-32 32</t>
        </is>
      </c>
      <c r="D3686" s="5">
        <f>IF($I2="","",INDEX(Productos!$B:$B,$I2))</f>
        <v/>
      </c>
      <c r="E3686" s="5">
        <f>IF($I2="","",INDEX(Productos!$H:$H,$I2))</f>
        <v/>
      </c>
      <c r="F3686" s="5">
        <f>IF($I2="","",INDEX(Productos!$I:$I,$I2))</f>
        <v/>
      </c>
      <c r="G3686" s="135" t="n">
        <v>6</v>
      </c>
      <c r="H3686" s="5">
        <f>IF($I2="","",INDEX(Productos!$AG:$AG,$I2))</f>
        <v/>
      </c>
      <c r="I3686" s="136">
        <f>LET(_xlpm.r,Productos!$E$2:$E$2509,_xlpm.m,IFERROR(_xlfn.XMATCH(C3686,_xlpm.r),IFERROR(_xlfn.XMATCH(VALUE(C3686),_xlpm.r),0)),IF(_xlpm.m=0,"",_xlpm.m+1))</f>
        <v/>
      </c>
      <c r="J3686" s="137" t="inlineStr">
        <is>
          <t>Odoo</t>
        </is>
      </c>
    </row>
    <row r="3687">
      <c r="A3687" s="5" t="inlineStr">
        <is>
          <t>Odoo Universal Unique Brands › Bodega 25 › Bodega 25/General</t>
        </is>
      </c>
      <c r="B3687" s="5">
        <f>IF($I2="","",INDEX(Productos!$A:$A,$I2))</f>
        <v/>
      </c>
      <c r="C3687" s="134" t="inlineStr">
        <is>
          <t>11-004-1210-8006-32 34</t>
        </is>
      </c>
      <c r="D3687" s="5">
        <f>IF($I2="","",INDEX(Productos!$B:$B,$I2))</f>
        <v/>
      </c>
      <c r="E3687" s="5">
        <f>IF($I2="","",INDEX(Productos!$H:$H,$I2))</f>
        <v/>
      </c>
      <c r="F3687" s="5">
        <f>IF($I2="","",INDEX(Productos!$I:$I,$I2))</f>
        <v/>
      </c>
      <c r="G3687" s="135" t="n">
        <v>4</v>
      </c>
      <c r="H3687" s="5">
        <f>IF($I2="","",INDEX(Productos!$AG:$AG,$I2))</f>
        <v/>
      </c>
      <c r="I3687" s="136">
        <f>LET(_xlpm.r,Productos!$E$2:$E$2509,_xlpm.m,IFERROR(_xlfn.XMATCH(C3687,_xlpm.r),IFERROR(_xlfn.XMATCH(VALUE(C3687),_xlpm.r),0)),IF(_xlpm.m=0,"",_xlpm.m+1))</f>
        <v/>
      </c>
      <c r="J3687" s="137" t="inlineStr">
        <is>
          <t>Odoo</t>
        </is>
      </c>
    </row>
    <row r="3688">
      <c r="A3688" s="5" t="inlineStr">
        <is>
          <t>Odoo Universal Unique Brands › Bodega 25 › Bodega 25/General</t>
        </is>
      </c>
      <c r="B3688" s="5">
        <f>IF($I2="","",INDEX(Productos!$A:$A,$I2))</f>
        <v/>
      </c>
      <c r="C3688" s="134" t="inlineStr">
        <is>
          <t>11-004-1210-8006-33 32</t>
        </is>
      </c>
      <c r="D3688" s="5">
        <f>IF($I2="","",INDEX(Productos!$B:$B,$I2))</f>
        <v/>
      </c>
      <c r="E3688" s="5">
        <f>IF($I2="","",INDEX(Productos!$H:$H,$I2))</f>
        <v/>
      </c>
      <c r="F3688" s="5">
        <f>IF($I2="","",INDEX(Productos!$I:$I,$I2))</f>
        <v/>
      </c>
      <c r="G3688" s="135" t="n">
        <v>4</v>
      </c>
      <c r="H3688" s="5">
        <f>IF($I2="","",INDEX(Productos!$AG:$AG,$I2))</f>
        <v/>
      </c>
      <c r="I3688" s="136">
        <f>LET(_xlpm.r,Productos!$E$2:$E$2509,_xlpm.m,IFERROR(_xlfn.XMATCH(C3688,_xlpm.r),IFERROR(_xlfn.XMATCH(VALUE(C3688),_xlpm.r),0)),IF(_xlpm.m=0,"",_xlpm.m+1))</f>
        <v/>
      </c>
      <c r="J3688" s="137" t="inlineStr">
        <is>
          <t>Odoo</t>
        </is>
      </c>
    </row>
    <row r="3689">
      <c r="A3689" s="5" t="inlineStr">
        <is>
          <t>Odoo Universal Unique Brands › Bodega 25 › Bodega 25/General</t>
        </is>
      </c>
      <c r="B3689" s="5">
        <f>IF($I2="","",INDEX(Productos!$A:$A,$I2))</f>
        <v/>
      </c>
      <c r="C3689" s="134" t="inlineStr">
        <is>
          <t>11-004-1210-8006-34 32</t>
        </is>
      </c>
      <c r="D3689" s="5">
        <f>IF($I2="","",INDEX(Productos!$B:$B,$I2))</f>
        <v/>
      </c>
      <c r="E3689" s="5">
        <f>IF($I2="","",INDEX(Productos!$H:$H,$I2))</f>
        <v/>
      </c>
      <c r="F3689" s="5">
        <f>IF($I2="","",INDEX(Productos!$I:$I,$I2))</f>
        <v/>
      </c>
      <c r="G3689" s="135" t="n">
        <v>2</v>
      </c>
      <c r="H3689" s="5">
        <f>IF($I2="","",INDEX(Productos!$AG:$AG,$I2))</f>
        <v/>
      </c>
      <c r="I3689" s="136">
        <f>LET(_xlpm.r,Productos!$E$2:$E$2509,_xlpm.m,IFERROR(_xlfn.XMATCH(C3689,_xlpm.r),IFERROR(_xlfn.XMATCH(VALUE(C3689),_xlpm.r),0)),IF(_xlpm.m=0,"",_xlpm.m+1))</f>
        <v/>
      </c>
      <c r="J3689" s="137" t="inlineStr">
        <is>
          <t>Odoo</t>
        </is>
      </c>
    </row>
    <row r="3690">
      <c r="A3690" s="5" t="inlineStr">
        <is>
          <t>Odoo Universal Unique Brands › Bodega 25 › Bodega 25/General</t>
        </is>
      </c>
      <c r="B3690" s="5">
        <f>IF($I2="","",INDEX(Productos!$A:$A,$I2))</f>
        <v/>
      </c>
      <c r="C3690" s="134" t="inlineStr">
        <is>
          <t>11-004-1210-8006-34 34</t>
        </is>
      </c>
      <c r="D3690" s="5">
        <f>IF($I2="","",INDEX(Productos!$B:$B,$I2))</f>
        <v/>
      </c>
      <c r="E3690" s="5">
        <f>IF($I2="","",INDEX(Productos!$H:$H,$I2))</f>
        <v/>
      </c>
      <c r="F3690" s="5">
        <f>IF($I2="","",INDEX(Productos!$I:$I,$I2))</f>
        <v/>
      </c>
      <c r="G3690" s="135" t="n">
        <v>4</v>
      </c>
      <c r="H3690" s="5">
        <f>IF($I2="","",INDEX(Productos!$AG:$AG,$I2))</f>
        <v/>
      </c>
      <c r="I3690" s="136">
        <f>LET(_xlpm.r,Productos!$E$2:$E$2509,_xlpm.m,IFERROR(_xlfn.XMATCH(C3690,_xlpm.r),IFERROR(_xlfn.XMATCH(VALUE(C3690),_xlpm.r),0)),IF(_xlpm.m=0,"",_xlpm.m+1))</f>
        <v/>
      </c>
      <c r="J3690" s="137" t="inlineStr">
        <is>
          <t>Odoo</t>
        </is>
      </c>
    </row>
    <row r="3691">
      <c r="A3691" s="5" t="inlineStr">
        <is>
          <t>Odoo Universal Unique Brands › Bodega 25 › Bodega 25/General</t>
        </is>
      </c>
      <c r="B3691" s="5">
        <f>IF($I2="","",INDEX(Productos!$A:$A,$I2))</f>
        <v/>
      </c>
      <c r="C3691" s="134" t="inlineStr">
        <is>
          <t>11-004-1210-8006-36 32</t>
        </is>
      </c>
      <c r="D3691" s="5">
        <f>IF($I2="","",INDEX(Productos!$B:$B,$I2))</f>
        <v/>
      </c>
      <c r="E3691" s="5">
        <f>IF($I2="","",INDEX(Productos!$H:$H,$I2))</f>
        <v/>
      </c>
      <c r="F3691" s="5">
        <f>IF($I2="","",INDEX(Productos!$I:$I,$I2))</f>
        <v/>
      </c>
      <c r="G3691" s="135" t="n">
        <v>2</v>
      </c>
      <c r="H3691" s="5">
        <f>IF($I2="","",INDEX(Productos!$AG:$AG,$I2))</f>
        <v/>
      </c>
      <c r="I3691" s="136">
        <f>LET(_xlpm.r,Productos!$E$2:$E$2509,_xlpm.m,IFERROR(_xlfn.XMATCH(C3691,_xlpm.r),IFERROR(_xlfn.XMATCH(VALUE(C3691),_xlpm.r),0)),IF(_xlpm.m=0,"",_xlpm.m+1))</f>
        <v/>
      </c>
      <c r="J3691" s="137" t="inlineStr">
        <is>
          <t>Odoo</t>
        </is>
      </c>
    </row>
    <row r="3692">
      <c r="A3692" s="5" t="inlineStr">
        <is>
          <t>Odoo Universal Unique Brands › Bodega 25 › Bodega 25/General</t>
        </is>
      </c>
      <c r="B3692" s="5">
        <f>IF($I2="","",INDEX(Productos!$A:$A,$I2))</f>
        <v/>
      </c>
      <c r="C3692" s="134" t="inlineStr">
        <is>
          <t>11-004-1312-4039-29 32</t>
        </is>
      </c>
      <c r="D3692" s="5">
        <f>IF($I2="","",INDEX(Productos!$B:$B,$I2))</f>
        <v/>
      </c>
      <c r="E3692" s="5">
        <f>IF($I2="","",INDEX(Productos!$H:$H,$I2))</f>
        <v/>
      </c>
      <c r="F3692" s="5">
        <f>IF($I2="","",INDEX(Productos!$I:$I,$I2))</f>
        <v/>
      </c>
      <c r="G3692" s="135" t="n">
        <v>3</v>
      </c>
      <c r="H3692" s="5">
        <f>IF($I2="","",INDEX(Productos!$AG:$AG,$I2))</f>
        <v/>
      </c>
      <c r="I3692" s="136">
        <f>LET(_xlpm.r,Productos!$E$2:$E$2509,_xlpm.m,IFERROR(_xlfn.XMATCH(C3692,_xlpm.r),IFERROR(_xlfn.XMATCH(VALUE(C3692),_xlpm.r),0)),IF(_xlpm.m=0,"",_xlpm.m+1))</f>
        <v/>
      </c>
      <c r="J3692" s="137" t="inlineStr">
        <is>
          <t>Odoo</t>
        </is>
      </c>
    </row>
    <row r="3693">
      <c r="A3693" s="5" t="inlineStr">
        <is>
          <t>Odoo Universal Unique Brands › Bodega 25 › Bodega 25/General</t>
        </is>
      </c>
      <c r="B3693" s="5">
        <f>IF($I2="","",INDEX(Productos!$A:$A,$I2))</f>
        <v/>
      </c>
      <c r="C3693" s="134" t="inlineStr">
        <is>
          <t>11-004-1312-4039-30 32</t>
        </is>
      </c>
      <c r="D3693" s="5">
        <f>IF($I2="","",INDEX(Productos!$B:$B,$I2))</f>
        <v/>
      </c>
      <c r="E3693" s="5">
        <f>IF($I2="","",INDEX(Productos!$H:$H,$I2))</f>
        <v/>
      </c>
      <c r="F3693" s="5">
        <f>IF($I2="","",INDEX(Productos!$I:$I,$I2))</f>
        <v/>
      </c>
      <c r="G3693" s="135" t="n">
        <v>6</v>
      </c>
      <c r="H3693" s="5">
        <f>IF($I2="","",INDEX(Productos!$AG:$AG,$I2))</f>
        <v/>
      </c>
      <c r="I3693" s="136">
        <f>LET(_xlpm.r,Productos!$E$2:$E$2509,_xlpm.m,IFERROR(_xlfn.XMATCH(C3693,_xlpm.r),IFERROR(_xlfn.XMATCH(VALUE(C3693),_xlpm.r),0)),IF(_xlpm.m=0,"",_xlpm.m+1))</f>
        <v/>
      </c>
      <c r="J3693" s="137" t="inlineStr">
        <is>
          <t>Odoo</t>
        </is>
      </c>
    </row>
    <row r="3694">
      <c r="A3694" s="5" t="inlineStr">
        <is>
          <t>Odoo Universal Unique Brands › Bodega 25 › Bodega 25/General</t>
        </is>
      </c>
      <c r="B3694" s="5">
        <f>IF($I2="","",INDEX(Productos!$A:$A,$I2))</f>
        <v/>
      </c>
      <c r="C3694" s="134" t="inlineStr">
        <is>
          <t>11-004-1312-4039-31 32</t>
        </is>
      </c>
      <c r="D3694" s="5">
        <f>IF($I2="","",INDEX(Productos!$B:$B,$I2))</f>
        <v/>
      </c>
      <c r="E3694" s="5">
        <f>IF($I2="","",INDEX(Productos!$H:$H,$I2))</f>
        <v/>
      </c>
      <c r="F3694" s="5">
        <f>IF($I2="","",INDEX(Productos!$I:$I,$I2))</f>
        <v/>
      </c>
      <c r="G3694" s="135" t="n">
        <v>7</v>
      </c>
      <c r="H3694" s="5">
        <f>IF($I2="","",INDEX(Productos!$AG:$AG,$I2))</f>
        <v/>
      </c>
      <c r="I3694" s="136">
        <f>LET(_xlpm.r,Productos!$E$2:$E$2509,_xlpm.m,IFERROR(_xlfn.XMATCH(C3694,_xlpm.r),IFERROR(_xlfn.XMATCH(VALUE(C3694),_xlpm.r),0)),IF(_xlpm.m=0,"",_xlpm.m+1))</f>
        <v/>
      </c>
      <c r="J3694" s="137" t="inlineStr">
        <is>
          <t>Odoo</t>
        </is>
      </c>
    </row>
    <row r="3695">
      <c r="A3695" s="5" t="inlineStr">
        <is>
          <t>Odoo Universal Unique Brands › Bodega 25 › Bodega 25/General</t>
        </is>
      </c>
      <c r="B3695" s="5">
        <f>IF($I2="","",INDEX(Productos!$A:$A,$I2))</f>
        <v/>
      </c>
      <c r="C3695" s="134" t="inlineStr">
        <is>
          <t>11-004-1312-4039-32 32</t>
        </is>
      </c>
      <c r="D3695" s="5">
        <f>IF($I2="","",INDEX(Productos!$B:$B,$I2))</f>
        <v/>
      </c>
      <c r="E3695" s="5">
        <f>IF($I2="","",INDEX(Productos!$H:$H,$I2))</f>
        <v/>
      </c>
      <c r="F3695" s="5">
        <f>IF($I2="","",INDEX(Productos!$I:$I,$I2))</f>
        <v/>
      </c>
      <c r="G3695" s="135" t="n">
        <v>10</v>
      </c>
      <c r="H3695" s="5">
        <f>IF($I2="","",INDEX(Productos!$AG:$AG,$I2))</f>
        <v/>
      </c>
      <c r="I3695" s="136">
        <f>LET(_xlpm.r,Productos!$E$2:$E$2509,_xlpm.m,IFERROR(_xlfn.XMATCH(C3695,_xlpm.r),IFERROR(_xlfn.XMATCH(VALUE(C3695),_xlpm.r),0)),IF(_xlpm.m=0,"",_xlpm.m+1))</f>
        <v/>
      </c>
      <c r="J3695" s="137" t="inlineStr">
        <is>
          <t>Odoo</t>
        </is>
      </c>
    </row>
    <row r="3696">
      <c r="A3696" s="5" t="inlineStr">
        <is>
          <t>Odoo Universal Unique Brands › Bodega 25 › Bodega 25/General</t>
        </is>
      </c>
      <c r="B3696" s="5">
        <f>IF($I2="","",INDEX(Productos!$A:$A,$I2))</f>
        <v/>
      </c>
      <c r="C3696" s="134" t="inlineStr">
        <is>
          <t>11-004-1312-4039-32 34</t>
        </is>
      </c>
      <c r="D3696" s="5">
        <f>IF($I2="","",INDEX(Productos!$B:$B,$I2))</f>
        <v/>
      </c>
      <c r="E3696" s="5">
        <f>IF($I2="","",INDEX(Productos!$H:$H,$I2))</f>
        <v/>
      </c>
      <c r="F3696" s="5">
        <f>IF($I2="","",INDEX(Productos!$I:$I,$I2))</f>
        <v/>
      </c>
      <c r="G3696" s="135" t="n">
        <v>7</v>
      </c>
      <c r="H3696" s="5">
        <f>IF($I2="","",INDEX(Productos!$AG:$AG,$I2))</f>
        <v/>
      </c>
      <c r="I3696" s="136">
        <f>LET(_xlpm.r,Productos!$E$2:$E$2509,_xlpm.m,IFERROR(_xlfn.XMATCH(C3696,_xlpm.r),IFERROR(_xlfn.XMATCH(VALUE(C3696),_xlpm.r),0)),IF(_xlpm.m=0,"",_xlpm.m+1))</f>
        <v/>
      </c>
      <c r="J3696" s="137" t="inlineStr">
        <is>
          <t>Odoo</t>
        </is>
      </c>
    </row>
    <row r="3697">
      <c r="A3697" s="5" t="inlineStr">
        <is>
          <t>Odoo Universal Unique Brands › Bodega 25 › Bodega 25/General</t>
        </is>
      </c>
      <c r="B3697" s="5">
        <f>IF($I2="","",INDEX(Productos!$A:$A,$I2))</f>
        <v/>
      </c>
      <c r="C3697" s="134" t="inlineStr">
        <is>
          <t>11-004-1312-4039-33 32</t>
        </is>
      </c>
      <c r="D3697" s="5">
        <f>IF($I2="","",INDEX(Productos!$B:$B,$I2))</f>
        <v/>
      </c>
      <c r="E3697" s="5">
        <f>IF($I2="","",INDEX(Productos!$H:$H,$I2))</f>
        <v/>
      </c>
      <c r="F3697" s="5">
        <f>IF($I2="","",INDEX(Productos!$I:$I,$I2))</f>
        <v/>
      </c>
      <c r="G3697" s="135" t="n">
        <v>6</v>
      </c>
      <c r="H3697" s="5">
        <f>IF($I2="","",INDEX(Productos!$AG:$AG,$I2))</f>
        <v/>
      </c>
      <c r="I3697" s="136">
        <f>LET(_xlpm.r,Productos!$E$2:$E$2509,_xlpm.m,IFERROR(_xlfn.XMATCH(C3697,_xlpm.r),IFERROR(_xlfn.XMATCH(VALUE(C3697),_xlpm.r),0)),IF(_xlpm.m=0,"",_xlpm.m+1))</f>
        <v/>
      </c>
      <c r="J3697" s="137" t="inlineStr">
        <is>
          <t>Odoo</t>
        </is>
      </c>
    </row>
    <row r="3698">
      <c r="A3698" s="5" t="inlineStr">
        <is>
          <t>Odoo Universal Unique Brands › Bodega 25 › Bodega 25/General</t>
        </is>
      </c>
      <c r="B3698" s="5">
        <f>IF($I2="","",INDEX(Productos!$A:$A,$I2))</f>
        <v/>
      </c>
      <c r="C3698" s="134" t="inlineStr">
        <is>
          <t>11-004-1312-4039-34 32</t>
        </is>
      </c>
      <c r="D3698" s="5">
        <f>IF($I2="","",INDEX(Productos!$B:$B,$I2))</f>
        <v/>
      </c>
      <c r="E3698" s="5">
        <f>IF($I2="","",INDEX(Productos!$H:$H,$I2))</f>
        <v/>
      </c>
      <c r="F3698" s="5">
        <f>IF($I2="","",INDEX(Productos!$I:$I,$I2))</f>
        <v/>
      </c>
      <c r="G3698" s="135" t="n">
        <v>6</v>
      </c>
      <c r="H3698" s="5">
        <f>IF($I2="","",INDEX(Productos!$AG:$AG,$I2))</f>
        <v/>
      </c>
      <c r="I3698" s="136">
        <f>LET(_xlpm.r,Productos!$E$2:$E$2509,_xlpm.m,IFERROR(_xlfn.XMATCH(C3698,_xlpm.r),IFERROR(_xlfn.XMATCH(VALUE(C3698),_xlpm.r),0)),IF(_xlpm.m=0,"",_xlpm.m+1))</f>
        <v/>
      </c>
      <c r="J3698" s="137" t="inlineStr">
        <is>
          <t>Odoo</t>
        </is>
      </c>
    </row>
    <row r="3699">
      <c r="A3699" s="5" t="inlineStr">
        <is>
          <t>Odoo Universal Unique Brands › Bodega 25 › Bodega 25/General</t>
        </is>
      </c>
      <c r="B3699" s="5">
        <f>IF($I2="","",INDEX(Productos!$A:$A,$I2))</f>
        <v/>
      </c>
      <c r="C3699" s="134" t="inlineStr">
        <is>
          <t>11-004-1312-4039-34 34</t>
        </is>
      </c>
      <c r="D3699" s="5">
        <f>IF($I2="","",INDEX(Productos!$B:$B,$I2))</f>
        <v/>
      </c>
      <c r="E3699" s="5">
        <f>IF($I2="","",INDEX(Productos!$H:$H,$I2))</f>
        <v/>
      </c>
      <c r="F3699" s="5">
        <f>IF($I2="","",INDEX(Productos!$I:$I,$I2))</f>
        <v/>
      </c>
      <c r="G3699" s="135" t="n">
        <v>6</v>
      </c>
      <c r="H3699" s="5">
        <f>IF($I2="","",INDEX(Productos!$AG:$AG,$I2))</f>
        <v/>
      </c>
      <c r="I3699" s="136">
        <f>LET(_xlpm.r,Productos!$E$2:$E$2509,_xlpm.m,IFERROR(_xlfn.XMATCH(C3699,_xlpm.r),IFERROR(_xlfn.XMATCH(VALUE(C3699),_xlpm.r),0)),IF(_xlpm.m=0,"",_xlpm.m+1))</f>
        <v/>
      </c>
      <c r="J3699" s="137" t="inlineStr">
        <is>
          <t>Odoo</t>
        </is>
      </c>
    </row>
    <row r="3700">
      <c r="A3700" s="5" t="inlineStr">
        <is>
          <t>Odoo Universal Unique Brands › Bodega 25 › Bodega 25/General</t>
        </is>
      </c>
      <c r="B3700" s="5">
        <f>IF($I2="","",INDEX(Productos!$A:$A,$I2))</f>
        <v/>
      </c>
      <c r="C3700" s="134" t="inlineStr">
        <is>
          <t>11-004-1312-4039-34 36</t>
        </is>
      </c>
      <c r="D3700" s="5">
        <f>IF($I2="","",INDEX(Productos!$B:$B,$I2))</f>
        <v/>
      </c>
      <c r="E3700" s="5">
        <f>IF($I2="","",INDEX(Productos!$H:$H,$I2))</f>
        <v/>
      </c>
      <c r="F3700" s="5">
        <f>IF($I2="","",INDEX(Productos!$I:$I,$I2))</f>
        <v/>
      </c>
      <c r="G3700" s="135" t="n">
        <v>4</v>
      </c>
      <c r="H3700" s="5">
        <f>IF($I2="","",INDEX(Productos!$AG:$AG,$I2))</f>
        <v/>
      </c>
      <c r="I3700" s="136">
        <f>LET(_xlpm.r,Productos!$E$2:$E$2509,_xlpm.m,IFERROR(_xlfn.XMATCH(C3700,_xlpm.r),IFERROR(_xlfn.XMATCH(VALUE(C3700),_xlpm.r),0)),IF(_xlpm.m=0,"",_xlpm.m+1))</f>
        <v/>
      </c>
      <c r="J3700" s="137" t="inlineStr">
        <is>
          <t>Odoo</t>
        </is>
      </c>
    </row>
    <row r="3701">
      <c r="A3701" s="5" t="inlineStr">
        <is>
          <t>Odoo Universal Unique Brands › Bodega 25 › Bodega 25/General</t>
        </is>
      </c>
      <c r="B3701" s="5">
        <f>IF($I2="","",INDEX(Productos!$A:$A,$I2))</f>
        <v/>
      </c>
      <c r="C3701" s="134" t="inlineStr">
        <is>
          <t>11-004-1312-4039-36 32</t>
        </is>
      </c>
      <c r="D3701" s="5">
        <f>IF($I2="","",INDEX(Productos!$B:$B,$I2))</f>
        <v/>
      </c>
      <c r="E3701" s="5">
        <f>IF($I2="","",INDEX(Productos!$H:$H,$I2))</f>
        <v/>
      </c>
      <c r="F3701" s="5">
        <f>IF($I2="","",INDEX(Productos!$I:$I,$I2))</f>
        <v/>
      </c>
      <c r="G3701" s="135" t="n">
        <v>8</v>
      </c>
      <c r="H3701" s="5">
        <f>IF($I2="","",INDEX(Productos!$AG:$AG,$I2))</f>
        <v/>
      </c>
      <c r="I3701" s="136">
        <f>LET(_xlpm.r,Productos!$E$2:$E$2509,_xlpm.m,IFERROR(_xlfn.XMATCH(C3701,_xlpm.r),IFERROR(_xlfn.XMATCH(VALUE(C3701),_xlpm.r),0)),IF(_xlpm.m=0,"",_xlpm.m+1))</f>
        <v/>
      </c>
      <c r="J3701" s="137" t="inlineStr">
        <is>
          <t>Odoo</t>
        </is>
      </c>
    </row>
    <row r="3702">
      <c r="A3702" s="5" t="inlineStr">
        <is>
          <t>Odoo Universal Unique Brands › Bodega 25 › Bodega 25/General</t>
        </is>
      </c>
      <c r="B3702" s="5">
        <f>IF($I2="","",INDEX(Productos!$A:$A,$I2))</f>
        <v/>
      </c>
      <c r="C3702" s="134" t="inlineStr">
        <is>
          <t>11-004-1312-4039-36 34</t>
        </is>
      </c>
      <c r="D3702" s="5">
        <f>IF($I2="","",INDEX(Productos!$B:$B,$I2))</f>
        <v/>
      </c>
      <c r="E3702" s="5">
        <f>IF($I2="","",INDEX(Productos!$H:$H,$I2))</f>
        <v/>
      </c>
      <c r="F3702" s="5">
        <f>IF($I2="","",INDEX(Productos!$I:$I,$I2))</f>
        <v/>
      </c>
      <c r="G3702" s="135" t="n">
        <v>4</v>
      </c>
      <c r="H3702" s="5">
        <f>IF($I2="","",INDEX(Productos!$AG:$AG,$I2))</f>
        <v/>
      </c>
      <c r="I3702" s="136">
        <f>LET(_xlpm.r,Productos!$E$2:$E$2509,_xlpm.m,IFERROR(_xlfn.XMATCH(C3702,_xlpm.r),IFERROR(_xlfn.XMATCH(VALUE(C3702),_xlpm.r),0)),IF(_xlpm.m=0,"",_xlpm.m+1))</f>
        <v/>
      </c>
      <c r="J3702" s="137" t="inlineStr">
        <is>
          <t>Odoo</t>
        </is>
      </c>
    </row>
    <row r="3703">
      <c r="A3703" s="5" t="inlineStr">
        <is>
          <t>Odoo Universal Unique Brands › Bodega 25 › Bodega 25/General</t>
        </is>
      </c>
      <c r="B3703" s="5">
        <f>IF($I2="","",INDEX(Productos!$A:$A,$I2))</f>
        <v/>
      </c>
      <c r="C3703" s="134" t="inlineStr">
        <is>
          <t>11-004-1312-4039-36 36</t>
        </is>
      </c>
      <c r="D3703" s="5">
        <f>IF($I2="","",INDEX(Productos!$B:$B,$I2))</f>
        <v/>
      </c>
      <c r="E3703" s="5">
        <f>IF($I2="","",INDEX(Productos!$H:$H,$I2))</f>
        <v/>
      </c>
      <c r="F3703" s="5">
        <f>IF($I2="","",INDEX(Productos!$I:$I,$I2))</f>
        <v/>
      </c>
      <c r="G3703" s="135" t="n">
        <v>4</v>
      </c>
      <c r="H3703" s="5">
        <f>IF($I2="","",INDEX(Productos!$AG:$AG,$I2))</f>
        <v/>
      </c>
      <c r="I3703" s="136">
        <f>LET(_xlpm.r,Productos!$E$2:$E$2509,_xlpm.m,IFERROR(_xlfn.XMATCH(C3703,_xlpm.r),IFERROR(_xlfn.XMATCH(VALUE(C3703),_xlpm.r),0)),IF(_xlpm.m=0,"",_xlpm.m+1))</f>
        <v/>
      </c>
      <c r="J3703" s="137" t="inlineStr">
        <is>
          <t>Odoo</t>
        </is>
      </c>
    </row>
    <row r="3704">
      <c r="A3704" s="5" t="inlineStr">
        <is>
          <t>Odoo Universal Unique Brands › Bodega 25 › Bodega 25/General</t>
        </is>
      </c>
      <c r="B3704" s="5">
        <f>IF($I2="","",INDEX(Productos!$A:$A,$I2))</f>
        <v/>
      </c>
      <c r="C3704" s="134" t="inlineStr">
        <is>
          <t>11-004-1312-4039-38 32</t>
        </is>
      </c>
      <c r="D3704" s="5">
        <f>IF($I2="","",INDEX(Productos!$B:$B,$I2))</f>
        <v/>
      </c>
      <c r="E3704" s="5">
        <f>IF($I2="","",INDEX(Productos!$H:$H,$I2))</f>
        <v/>
      </c>
      <c r="F3704" s="5">
        <f>IF($I2="","",INDEX(Productos!$I:$I,$I2))</f>
        <v/>
      </c>
      <c r="G3704" s="135" t="n">
        <v>3</v>
      </c>
      <c r="H3704" s="5">
        <f>IF($I2="","",INDEX(Productos!$AG:$AG,$I2))</f>
        <v/>
      </c>
      <c r="I3704" s="136">
        <f>LET(_xlpm.r,Productos!$E$2:$E$2509,_xlpm.m,IFERROR(_xlfn.XMATCH(C3704,_xlpm.r),IFERROR(_xlfn.XMATCH(VALUE(C3704),_xlpm.r),0)),IF(_xlpm.m=0,"",_xlpm.m+1))</f>
        <v/>
      </c>
      <c r="J3704" s="137" t="inlineStr">
        <is>
          <t>Odoo</t>
        </is>
      </c>
    </row>
    <row r="3705">
      <c r="A3705" s="5" t="inlineStr">
        <is>
          <t>Odoo Universal Unique Brands › Bodega 25 › Bodega 25/General</t>
        </is>
      </c>
      <c r="B3705" s="5">
        <f>IF($I2="","",INDEX(Productos!$A:$A,$I2))</f>
        <v/>
      </c>
      <c r="C3705" s="134" t="inlineStr">
        <is>
          <t>11-004-1312-4039-40 32</t>
        </is>
      </c>
      <c r="D3705" s="5">
        <f>IF($I2="","",INDEX(Productos!$B:$B,$I2))</f>
        <v/>
      </c>
      <c r="E3705" s="5">
        <f>IF($I2="","",INDEX(Productos!$H:$H,$I2))</f>
        <v/>
      </c>
      <c r="F3705" s="5">
        <f>IF($I2="","",INDEX(Productos!$I:$I,$I2))</f>
        <v/>
      </c>
      <c r="G3705" s="135" t="n">
        <v>3</v>
      </c>
      <c r="H3705" s="5">
        <f>IF($I2="","",INDEX(Productos!$AG:$AG,$I2))</f>
        <v/>
      </c>
      <c r="I3705" s="136">
        <f>LET(_xlpm.r,Productos!$E$2:$E$2509,_xlpm.m,IFERROR(_xlfn.XMATCH(C3705,_xlpm.r),IFERROR(_xlfn.XMATCH(VALUE(C3705),_xlpm.r),0)),IF(_xlpm.m=0,"",_xlpm.m+1))</f>
        <v/>
      </c>
      <c r="J3705" s="137" t="inlineStr">
        <is>
          <t>Odoo</t>
        </is>
      </c>
    </row>
    <row r="3706">
      <c r="A3706" s="5" t="inlineStr">
        <is>
          <t>Odoo Universal Unique Brands › Bodega 25 › Bodega 25/General</t>
        </is>
      </c>
      <c r="B3706" s="5">
        <f>IF($I2="","",INDEX(Productos!$A:$A,$I2))</f>
        <v/>
      </c>
      <c r="C3706" s="134" t="inlineStr">
        <is>
          <t>11-004-1312-4040-28 32</t>
        </is>
      </c>
      <c r="D3706" s="5">
        <f>IF($I2="","",INDEX(Productos!$B:$B,$I2))</f>
        <v/>
      </c>
      <c r="E3706" s="5">
        <f>IF($I2="","",INDEX(Productos!$H:$H,$I2))</f>
        <v/>
      </c>
      <c r="F3706" s="5">
        <f>IF($I2="","",INDEX(Productos!$I:$I,$I2))</f>
        <v/>
      </c>
      <c r="G3706" s="135" t="n">
        <v>2</v>
      </c>
      <c r="H3706" s="5">
        <f>IF($I2="","",INDEX(Productos!$AG:$AG,$I2))</f>
        <v/>
      </c>
      <c r="I3706" s="136">
        <f>LET(_xlpm.r,Productos!$E$2:$E$2509,_xlpm.m,IFERROR(_xlfn.XMATCH(C3706,_xlpm.r),IFERROR(_xlfn.XMATCH(VALUE(C3706),_xlpm.r),0)),IF(_xlpm.m=0,"",_xlpm.m+1))</f>
        <v/>
      </c>
      <c r="J3706" s="137" t="inlineStr">
        <is>
          <t>Odoo</t>
        </is>
      </c>
    </row>
    <row r="3707">
      <c r="A3707" s="5" t="inlineStr">
        <is>
          <t>Odoo Universal Unique Brands › Bodega 25 › Bodega 25/General</t>
        </is>
      </c>
      <c r="B3707" s="5">
        <f>IF($I2="","",INDEX(Productos!$A:$A,$I2))</f>
        <v/>
      </c>
      <c r="C3707" s="134" t="inlineStr">
        <is>
          <t>11-004-1312-4040-29 32</t>
        </is>
      </c>
      <c r="D3707" s="5">
        <f>IF($I2="","",INDEX(Productos!$B:$B,$I2))</f>
        <v/>
      </c>
      <c r="E3707" s="5">
        <f>IF($I2="","",INDEX(Productos!$H:$H,$I2))</f>
        <v/>
      </c>
      <c r="F3707" s="5">
        <f>IF($I2="","",INDEX(Productos!$I:$I,$I2))</f>
        <v/>
      </c>
      <c r="G3707" s="135" t="n">
        <v>3</v>
      </c>
      <c r="H3707" s="5">
        <f>IF($I2="","",INDEX(Productos!$AG:$AG,$I2))</f>
        <v/>
      </c>
      <c r="I3707" s="136">
        <f>LET(_xlpm.r,Productos!$E$2:$E$2509,_xlpm.m,IFERROR(_xlfn.XMATCH(C3707,_xlpm.r),IFERROR(_xlfn.XMATCH(VALUE(C3707),_xlpm.r),0)),IF(_xlpm.m=0,"",_xlpm.m+1))</f>
        <v/>
      </c>
      <c r="J3707" s="137" t="inlineStr">
        <is>
          <t>Odoo</t>
        </is>
      </c>
    </row>
    <row r="3708">
      <c r="A3708" s="5" t="inlineStr">
        <is>
          <t>Odoo Universal Unique Brands › Bodega 25 › Bodega 25/General</t>
        </is>
      </c>
      <c r="B3708" s="5">
        <f>IF($I2="","",INDEX(Productos!$A:$A,$I2))</f>
        <v/>
      </c>
      <c r="C3708" s="134" t="inlineStr">
        <is>
          <t>11-004-1312-4040-30 32</t>
        </is>
      </c>
      <c r="D3708" s="5">
        <f>IF($I2="","",INDEX(Productos!$B:$B,$I2))</f>
        <v/>
      </c>
      <c r="E3708" s="5">
        <f>IF($I2="","",INDEX(Productos!$H:$H,$I2))</f>
        <v/>
      </c>
      <c r="F3708" s="5">
        <f>IF($I2="","",INDEX(Productos!$I:$I,$I2))</f>
        <v/>
      </c>
      <c r="G3708" s="135" t="n">
        <v>2</v>
      </c>
      <c r="H3708" s="5">
        <f>IF($I2="","",INDEX(Productos!$AG:$AG,$I2))</f>
        <v/>
      </c>
      <c r="I3708" s="136">
        <f>LET(_xlpm.r,Productos!$E$2:$E$2509,_xlpm.m,IFERROR(_xlfn.XMATCH(C3708,_xlpm.r),IFERROR(_xlfn.XMATCH(VALUE(C3708),_xlpm.r),0)),IF(_xlpm.m=0,"",_xlpm.m+1))</f>
        <v/>
      </c>
      <c r="J3708" s="137" t="inlineStr">
        <is>
          <t>Odoo</t>
        </is>
      </c>
    </row>
    <row r="3709">
      <c r="A3709" s="5" t="inlineStr">
        <is>
          <t>Odoo Universal Unique Brands › Bodega 25 › Bodega 25/General</t>
        </is>
      </c>
      <c r="B3709" s="5">
        <f>IF($I2="","",INDEX(Productos!$A:$A,$I2))</f>
        <v/>
      </c>
      <c r="C3709" s="134" t="inlineStr">
        <is>
          <t>11-004-1312-4040-31 32</t>
        </is>
      </c>
      <c r="D3709" s="5">
        <f>IF($I2="","",INDEX(Productos!$B:$B,$I2))</f>
        <v/>
      </c>
      <c r="E3709" s="5">
        <f>IF($I2="","",INDEX(Productos!$H:$H,$I2))</f>
        <v/>
      </c>
      <c r="F3709" s="5">
        <f>IF($I2="","",INDEX(Productos!$I:$I,$I2))</f>
        <v/>
      </c>
      <c r="G3709" s="135" t="n">
        <v>4</v>
      </c>
      <c r="H3709" s="5">
        <f>IF($I2="","",INDEX(Productos!$AG:$AG,$I2))</f>
        <v/>
      </c>
      <c r="I3709" s="136">
        <f>LET(_xlpm.r,Productos!$E$2:$E$2509,_xlpm.m,IFERROR(_xlfn.XMATCH(C3709,_xlpm.r),IFERROR(_xlfn.XMATCH(VALUE(C3709),_xlpm.r),0)),IF(_xlpm.m=0,"",_xlpm.m+1))</f>
        <v/>
      </c>
      <c r="J3709" s="137" t="inlineStr">
        <is>
          <t>Odoo</t>
        </is>
      </c>
    </row>
    <row r="3710">
      <c r="A3710" s="5" t="inlineStr">
        <is>
          <t>Odoo Universal Unique Brands › Bodega 25 › Bodega 25/General</t>
        </is>
      </c>
      <c r="B3710" s="5">
        <f>IF($I2="","",INDEX(Productos!$A:$A,$I2))</f>
        <v/>
      </c>
      <c r="C3710" s="134" t="inlineStr">
        <is>
          <t>11-004-1312-4040-32 32</t>
        </is>
      </c>
      <c r="D3710" s="5">
        <f>IF($I2="","",INDEX(Productos!$B:$B,$I2))</f>
        <v/>
      </c>
      <c r="E3710" s="5">
        <f>IF($I2="","",INDEX(Productos!$H:$H,$I2))</f>
        <v/>
      </c>
      <c r="F3710" s="5">
        <f>IF($I2="","",INDEX(Productos!$I:$I,$I2))</f>
        <v/>
      </c>
      <c r="G3710" s="135" t="n">
        <v>4</v>
      </c>
      <c r="H3710" s="5">
        <f>IF($I2="","",INDEX(Productos!$AG:$AG,$I2))</f>
        <v/>
      </c>
      <c r="I3710" s="136">
        <f>LET(_xlpm.r,Productos!$E$2:$E$2509,_xlpm.m,IFERROR(_xlfn.XMATCH(C3710,_xlpm.r),IFERROR(_xlfn.XMATCH(VALUE(C3710),_xlpm.r),0)),IF(_xlpm.m=0,"",_xlpm.m+1))</f>
        <v/>
      </c>
      <c r="J3710" s="137" t="inlineStr">
        <is>
          <t>Odoo</t>
        </is>
      </c>
    </row>
    <row r="3711">
      <c r="A3711" s="5" t="inlineStr">
        <is>
          <t>Odoo Universal Unique Brands › Bodega 25 › Bodega 25/General</t>
        </is>
      </c>
      <c r="B3711" s="5">
        <f>IF($I2="","",INDEX(Productos!$A:$A,$I2))</f>
        <v/>
      </c>
      <c r="C3711" s="134" t="inlineStr">
        <is>
          <t>11-004-1312-4040-32 34</t>
        </is>
      </c>
      <c r="D3711" s="5">
        <f>IF($I2="","",INDEX(Productos!$B:$B,$I2))</f>
        <v/>
      </c>
      <c r="E3711" s="5">
        <f>IF($I2="","",INDEX(Productos!$H:$H,$I2))</f>
        <v/>
      </c>
      <c r="F3711" s="5">
        <f>IF($I2="","",INDEX(Productos!$I:$I,$I2))</f>
        <v/>
      </c>
      <c r="G3711" s="135" t="n">
        <v>4</v>
      </c>
      <c r="H3711" s="5">
        <f>IF($I2="","",INDEX(Productos!$AG:$AG,$I2))</f>
        <v/>
      </c>
      <c r="I3711" s="136">
        <f>LET(_xlpm.r,Productos!$E$2:$E$2509,_xlpm.m,IFERROR(_xlfn.XMATCH(C3711,_xlpm.r),IFERROR(_xlfn.XMATCH(VALUE(C3711),_xlpm.r),0)),IF(_xlpm.m=0,"",_xlpm.m+1))</f>
        <v/>
      </c>
      <c r="J3711" s="137" t="inlineStr">
        <is>
          <t>Odoo</t>
        </is>
      </c>
    </row>
    <row r="3712">
      <c r="A3712" s="5" t="inlineStr">
        <is>
          <t>Odoo Universal Unique Brands › Bodega 25 › Bodega 25/General</t>
        </is>
      </c>
      <c r="B3712" s="5">
        <f>IF($I2="","",INDEX(Productos!$A:$A,$I2))</f>
        <v/>
      </c>
      <c r="C3712" s="134" t="inlineStr">
        <is>
          <t>11-004-1312-4040-33 32</t>
        </is>
      </c>
      <c r="D3712" s="5">
        <f>IF($I2="","",INDEX(Productos!$B:$B,$I2))</f>
        <v/>
      </c>
      <c r="E3712" s="5">
        <f>IF($I2="","",INDEX(Productos!$H:$H,$I2))</f>
        <v/>
      </c>
      <c r="F3712" s="5">
        <f>IF($I2="","",INDEX(Productos!$I:$I,$I2))</f>
        <v/>
      </c>
      <c r="G3712" s="135" t="n">
        <v>4</v>
      </c>
      <c r="H3712" s="5">
        <f>IF($I2="","",INDEX(Productos!$AG:$AG,$I2))</f>
        <v/>
      </c>
      <c r="I3712" s="136">
        <f>LET(_xlpm.r,Productos!$E$2:$E$2509,_xlpm.m,IFERROR(_xlfn.XMATCH(C3712,_xlpm.r),IFERROR(_xlfn.XMATCH(VALUE(C3712),_xlpm.r),0)),IF(_xlpm.m=0,"",_xlpm.m+1))</f>
        <v/>
      </c>
      <c r="J3712" s="137" t="inlineStr">
        <is>
          <t>Odoo</t>
        </is>
      </c>
    </row>
    <row r="3713">
      <c r="A3713" s="5" t="inlineStr">
        <is>
          <t>Odoo Universal Unique Brands › Bodega 25 › Bodega 25/General</t>
        </is>
      </c>
      <c r="B3713" s="5">
        <f>IF($I2="","",INDEX(Productos!$A:$A,$I2))</f>
        <v/>
      </c>
      <c r="C3713" s="134" t="inlineStr">
        <is>
          <t>11-004-1312-4040-34 32</t>
        </is>
      </c>
      <c r="D3713" s="5">
        <f>IF($I2="","",INDEX(Productos!$B:$B,$I2))</f>
        <v/>
      </c>
      <c r="E3713" s="5">
        <f>IF($I2="","",INDEX(Productos!$H:$H,$I2))</f>
        <v/>
      </c>
      <c r="F3713" s="5">
        <f>IF($I2="","",INDEX(Productos!$I:$I,$I2))</f>
        <v/>
      </c>
      <c r="G3713" s="135" t="n">
        <v>5</v>
      </c>
      <c r="H3713" s="5">
        <f>IF($I2="","",INDEX(Productos!$AG:$AG,$I2))</f>
        <v/>
      </c>
      <c r="I3713" s="136">
        <f>LET(_xlpm.r,Productos!$E$2:$E$2509,_xlpm.m,IFERROR(_xlfn.XMATCH(C3713,_xlpm.r),IFERROR(_xlfn.XMATCH(VALUE(C3713),_xlpm.r),0)),IF(_xlpm.m=0,"",_xlpm.m+1))</f>
        <v/>
      </c>
      <c r="J3713" s="137" t="inlineStr">
        <is>
          <t>Odoo</t>
        </is>
      </c>
    </row>
    <row r="3714">
      <c r="A3714" s="5" t="inlineStr">
        <is>
          <t>Odoo Universal Unique Brands › Bodega 25 › Bodega 25/General</t>
        </is>
      </c>
      <c r="B3714" s="5">
        <f>IF($I2="","",INDEX(Productos!$A:$A,$I2))</f>
        <v/>
      </c>
      <c r="C3714" s="134" t="inlineStr">
        <is>
          <t>11-004-1312-4040-34 34</t>
        </is>
      </c>
      <c r="D3714" s="5">
        <f>IF($I2="","",INDEX(Productos!$B:$B,$I2))</f>
        <v/>
      </c>
      <c r="E3714" s="5">
        <f>IF($I2="","",INDEX(Productos!$H:$H,$I2))</f>
        <v/>
      </c>
      <c r="F3714" s="5">
        <f>IF($I2="","",INDEX(Productos!$I:$I,$I2))</f>
        <v/>
      </c>
      <c r="G3714" s="135" t="n">
        <v>4</v>
      </c>
      <c r="H3714" s="5">
        <f>IF($I2="","",INDEX(Productos!$AG:$AG,$I2))</f>
        <v/>
      </c>
      <c r="I3714" s="136">
        <f>LET(_xlpm.r,Productos!$E$2:$E$2509,_xlpm.m,IFERROR(_xlfn.XMATCH(C3714,_xlpm.r),IFERROR(_xlfn.XMATCH(VALUE(C3714),_xlpm.r),0)),IF(_xlpm.m=0,"",_xlpm.m+1))</f>
        <v/>
      </c>
      <c r="J3714" s="137" t="inlineStr">
        <is>
          <t>Odoo</t>
        </is>
      </c>
    </row>
    <row r="3715">
      <c r="A3715" s="5" t="inlineStr">
        <is>
          <t>Odoo Universal Unique Brands › Bodega 25 › Bodega 25/General</t>
        </is>
      </c>
      <c r="B3715" s="5">
        <f>IF($I2="","",INDEX(Productos!$A:$A,$I2))</f>
        <v/>
      </c>
      <c r="C3715" s="134" t="inlineStr">
        <is>
          <t>11-004-1520-4074-30 32</t>
        </is>
      </c>
      <c r="D3715" s="5">
        <f>IF($I2="","",INDEX(Productos!$B:$B,$I2))</f>
        <v/>
      </c>
      <c r="E3715" s="5">
        <f>IF($I2="","",INDEX(Productos!$H:$H,$I2))</f>
        <v/>
      </c>
      <c r="F3715" s="5">
        <f>IF($I2="","",INDEX(Productos!$I:$I,$I2))</f>
        <v/>
      </c>
      <c r="G3715" s="135" t="n">
        <v>1</v>
      </c>
      <c r="H3715" s="5">
        <f>IF($I2="","",INDEX(Productos!$AG:$AG,$I2))</f>
        <v/>
      </c>
      <c r="I3715" s="136">
        <f>LET(_xlpm.r,Productos!$E$2:$E$2509,_xlpm.m,IFERROR(_xlfn.XMATCH(C3715,_xlpm.r),IFERROR(_xlfn.XMATCH(VALUE(C3715),_xlpm.r),0)),IF(_xlpm.m=0,"",_xlpm.m+1))</f>
        <v/>
      </c>
      <c r="J3715" s="137" t="inlineStr">
        <is>
          <t>Odoo</t>
        </is>
      </c>
    </row>
    <row r="3716">
      <c r="A3716" s="5" t="inlineStr">
        <is>
          <t>Odoo Universal Unique Brands › Bodega 25 › Bodega 25/General</t>
        </is>
      </c>
      <c r="B3716" s="5">
        <f>IF($I2="","",INDEX(Productos!$A:$A,$I2))</f>
        <v/>
      </c>
      <c r="C3716" s="134" t="inlineStr">
        <is>
          <t>11-004-1520-4074-31 32</t>
        </is>
      </c>
      <c r="D3716" s="5">
        <f>IF($I2="","",INDEX(Productos!$B:$B,$I2))</f>
        <v/>
      </c>
      <c r="E3716" s="5">
        <f>IF($I2="","",INDEX(Productos!$H:$H,$I2))</f>
        <v/>
      </c>
      <c r="F3716" s="5">
        <f>IF($I2="","",INDEX(Productos!$I:$I,$I2))</f>
        <v/>
      </c>
      <c r="G3716" s="135" t="n">
        <v>1</v>
      </c>
      <c r="H3716" s="5">
        <f>IF($I2="","",INDEX(Productos!$AG:$AG,$I2))</f>
        <v/>
      </c>
      <c r="I3716" s="136">
        <f>LET(_xlpm.r,Productos!$E$2:$E$2509,_xlpm.m,IFERROR(_xlfn.XMATCH(C3716,_xlpm.r),IFERROR(_xlfn.XMATCH(VALUE(C3716),_xlpm.r),0)),IF(_xlpm.m=0,"",_xlpm.m+1))</f>
        <v/>
      </c>
      <c r="J3716" s="137" t="inlineStr">
        <is>
          <t>Odoo</t>
        </is>
      </c>
    </row>
    <row r="3717">
      <c r="A3717" s="5" t="inlineStr">
        <is>
          <t>Odoo Universal Unique Brands › Bodega 25 › Bodega 25/General</t>
        </is>
      </c>
      <c r="B3717" s="5">
        <f>IF($I2="","",INDEX(Productos!$A:$A,$I2))</f>
        <v/>
      </c>
      <c r="C3717" s="134" t="inlineStr">
        <is>
          <t>11-004-1520-4074-32 32</t>
        </is>
      </c>
      <c r="D3717" s="5">
        <f>IF($I2="","",INDEX(Productos!$B:$B,$I2))</f>
        <v/>
      </c>
      <c r="E3717" s="5">
        <f>IF($I2="","",INDEX(Productos!$H:$H,$I2))</f>
        <v/>
      </c>
      <c r="F3717" s="5">
        <f>IF($I2="","",INDEX(Productos!$I:$I,$I2))</f>
        <v/>
      </c>
      <c r="G3717" s="135" t="n">
        <v>4</v>
      </c>
      <c r="H3717" s="5">
        <f>IF($I2="","",INDEX(Productos!$AG:$AG,$I2))</f>
        <v/>
      </c>
      <c r="I3717" s="136">
        <f>LET(_xlpm.r,Productos!$E$2:$E$2509,_xlpm.m,IFERROR(_xlfn.XMATCH(C3717,_xlpm.r),IFERROR(_xlfn.XMATCH(VALUE(C3717),_xlpm.r),0)),IF(_xlpm.m=0,"",_xlpm.m+1))</f>
        <v/>
      </c>
      <c r="J3717" s="137" t="inlineStr">
        <is>
          <t>Odoo</t>
        </is>
      </c>
    </row>
    <row r="3718">
      <c r="A3718" s="5" t="inlineStr">
        <is>
          <t>Odoo Universal Unique Brands › Bodega 25 › Bodega 25/General</t>
        </is>
      </c>
      <c r="B3718" s="5">
        <f>IF($I2="","",INDEX(Productos!$A:$A,$I2))</f>
        <v/>
      </c>
      <c r="C3718" s="134" t="inlineStr">
        <is>
          <t>11-004-1520-4074-33 32</t>
        </is>
      </c>
      <c r="D3718" s="5">
        <f>IF($I2="","",INDEX(Productos!$B:$B,$I2))</f>
        <v/>
      </c>
      <c r="E3718" s="5">
        <f>IF($I2="","",INDEX(Productos!$H:$H,$I2))</f>
        <v/>
      </c>
      <c r="F3718" s="5">
        <f>IF($I2="","",INDEX(Productos!$I:$I,$I2))</f>
        <v/>
      </c>
      <c r="G3718" s="135" t="n">
        <v>4</v>
      </c>
      <c r="H3718" s="5">
        <f>IF($I2="","",INDEX(Productos!$AG:$AG,$I2))</f>
        <v/>
      </c>
      <c r="I3718" s="136">
        <f>LET(_xlpm.r,Productos!$E$2:$E$2509,_xlpm.m,IFERROR(_xlfn.XMATCH(C3718,_xlpm.r),IFERROR(_xlfn.XMATCH(VALUE(C3718),_xlpm.r),0)),IF(_xlpm.m=0,"",_xlpm.m+1))</f>
        <v/>
      </c>
      <c r="J3718" s="137" t="inlineStr">
        <is>
          <t>Odoo</t>
        </is>
      </c>
    </row>
    <row r="3719">
      <c r="A3719" s="5" t="inlineStr">
        <is>
          <t>Odoo Universal Unique Brands › Bodega 25 › Bodega 25/General</t>
        </is>
      </c>
      <c r="B3719" s="5">
        <f>IF($I2="","",INDEX(Productos!$A:$A,$I2))</f>
        <v/>
      </c>
      <c r="C3719" s="134" t="inlineStr">
        <is>
          <t>11-004-1520-4074-34 32</t>
        </is>
      </c>
      <c r="D3719" s="5">
        <f>IF($I2="","",INDEX(Productos!$B:$B,$I2))</f>
        <v/>
      </c>
      <c r="E3719" s="5">
        <f>IF($I2="","",INDEX(Productos!$H:$H,$I2))</f>
        <v/>
      </c>
      <c r="F3719" s="5">
        <f>IF($I2="","",INDEX(Productos!$I:$I,$I2))</f>
        <v/>
      </c>
      <c r="G3719" s="135" t="n">
        <v>3</v>
      </c>
      <c r="H3719" s="5">
        <f>IF($I2="","",INDEX(Productos!$AG:$AG,$I2))</f>
        <v/>
      </c>
      <c r="I3719" s="136">
        <f>LET(_xlpm.r,Productos!$E$2:$E$2509,_xlpm.m,IFERROR(_xlfn.XMATCH(C3719,_xlpm.r),IFERROR(_xlfn.XMATCH(VALUE(C3719),_xlpm.r),0)),IF(_xlpm.m=0,"",_xlpm.m+1))</f>
        <v/>
      </c>
      <c r="J3719" s="137" t="inlineStr">
        <is>
          <t>Odoo</t>
        </is>
      </c>
    </row>
    <row r="3720">
      <c r="A3720" s="5" t="inlineStr">
        <is>
          <t>Odoo Universal Unique Brands › Bodega 25 › Bodega 25/General</t>
        </is>
      </c>
      <c r="B3720" s="5">
        <f>IF($I2="","",INDEX(Productos!$A:$A,$I2))</f>
        <v/>
      </c>
      <c r="C3720" s="134" t="inlineStr">
        <is>
          <t>11-004-1520-4074-34 34</t>
        </is>
      </c>
      <c r="D3720" s="5">
        <f>IF($I2="","",INDEX(Productos!$B:$B,$I2))</f>
        <v/>
      </c>
      <c r="E3720" s="5">
        <f>IF($I2="","",INDEX(Productos!$H:$H,$I2))</f>
        <v/>
      </c>
      <c r="F3720" s="5">
        <f>IF($I2="","",INDEX(Productos!$I:$I,$I2))</f>
        <v/>
      </c>
      <c r="G3720" s="135" t="n">
        <v>1</v>
      </c>
      <c r="H3720" s="5">
        <f>IF($I2="","",INDEX(Productos!$AG:$AG,$I2))</f>
        <v/>
      </c>
      <c r="I3720" s="136">
        <f>LET(_xlpm.r,Productos!$E$2:$E$2509,_xlpm.m,IFERROR(_xlfn.XMATCH(C3720,_xlpm.r),IFERROR(_xlfn.XMATCH(VALUE(C3720),_xlpm.r),0)),IF(_xlpm.m=0,"",_xlpm.m+1))</f>
        <v/>
      </c>
      <c r="J3720" s="137" t="inlineStr">
        <is>
          <t>Odoo</t>
        </is>
      </c>
    </row>
    <row r="3721">
      <c r="A3721" s="5" t="inlineStr">
        <is>
          <t>Odoo Universal Unique Brands › Bodega 25 › Bodega 25/General</t>
        </is>
      </c>
      <c r="B3721" s="5">
        <f>IF($I2="","",INDEX(Productos!$A:$A,$I2))</f>
        <v/>
      </c>
      <c r="C3721" s="134" t="inlineStr">
        <is>
          <t>11-004-1520-4074-36 32</t>
        </is>
      </c>
      <c r="D3721" s="5">
        <f>IF($I2="","",INDEX(Productos!$B:$B,$I2))</f>
        <v/>
      </c>
      <c r="E3721" s="5">
        <f>IF($I2="","",INDEX(Productos!$H:$H,$I2))</f>
        <v/>
      </c>
      <c r="F3721" s="5">
        <f>IF($I2="","",INDEX(Productos!$I:$I,$I2))</f>
        <v/>
      </c>
      <c r="G3721" s="135" t="n">
        <v>2</v>
      </c>
      <c r="H3721" s="5">
        <f>IF($I2="","",INDEX(Productos!$AG:$AG,$I2))</f>
        <v/>
      </c>
      <c r="I3721" s="136">
        <f>LET(_xlpm.r,Productos!$E$2:$E$2509,_xlpm.m,IFERROR(_xlfn.XMATCH(C3721,_xlpm.r),IFERROR(_xlfn.XMATCH(VALUE(C3721),_xlpm.r),0)),IF(_xlpm.m=0,"",_xlpm.m+1))</f>
        <v/>
      </c>
      <c r="J3721" s="137" t="inlineStr">
        <is>
          <t>Odoo</t>
        </is>
      </c>
    </row>
    <row r="3722">
      <c r="A3722" s="5" t="inlineStr">
        <is>
          <t>Odoo Universal Unique Brands › Bodega 25 › Bodega 25/General</t>
        </is>
      </c>
      <c r="B3722" s="5">
        <f>IF($I2="","",INDEX(Productos!$A:$A,$I2))</f>
        <v/>
      </c>
      <c r="C3722" s="134" t="inlineStr">
        <is>
          <t>11-004-1521-2000-29 32</t>
        </is>
      </c>
      <c r="D3722" s="5">
        <f>IF($I2="","",INDEX(Productos!$B:$B,$I2))</f>
        <v/>
      </c>
      <c r="E3722" s="5">
        <f>IF($I2="","",INDEX(Productos!$H:$H,$I2))</f>
        <v/>
      </c>
      <c r="F3722" s="5">
        <f>IF($I2="","",INDEX(Productos!$I:$I,$I2))</f>
        <v/>
      </c>
      <c r="G3722" s="135" t="n">
        <v>1</v>
      </c>
      <c r="H3722" s="5">
        <f>IF($I2="","",INDEX(Productos!$AG:$AG,$I2))</f>
        <v/>
      </c>
      <c r="I3722" s="136">
        <f>LET(_xlpm.r,Productos!$E$2:$E$2509,_xlpm.m,IFERROR(_xlfn.XMATCH(C3722,_xlpm.r),IFERROR(_xlfn.XMATCH(VALUE(C3722),_xlpm.r),0)),IF(_xlpm.m=0,"",_xlpm.m+1))</f>
        <v/>
      </c>
      <c r="J3722" s="137" t="inlineStr">
        <is>
          <t>Odoo</t>
        </is>
      </c>
    </row>
    <row r="3723">
      <c r="A3723" s="5" t="inlineStr">
        <is>
          <t>Odoo Universal Unique Brands › Bodega 25 › Bodega 25/General</t>
        </is>
      </c>
      <c r="B3723" s="5">
        <f>IF($I2="","",INDEX(Productos!$A:$A,$I2))</f>
        <v/>
      </c>
      <c r="C3723" s="134" t="inlineStr">
        <is>
          <t>11-004-1521-2000-30 32</t>
        </is>
      </c>
      <c r="D3723" s="5">
        <f>IF($I2="","",INDEX(Productos!$B:$B,$I2))</f>
        <v/>
      </c>
      <c r="E3723" s="5">
        <f>IF($I2="","",INDEX(Productos!$H:$H,$I2))</f>
        <v/>
      </c>
      <c r="F3723" s="5">
        <f>IF($I2="","",INDEX(Productos!$I:$I,$I2))</f>
        <v/>
      </c>
      <c r="G3723" s="135" t="n">
        <v>4</v>
      </c>
      <c r="H3723" s="5">
        <f>IF($I2="","",INDEX(Productos!$AG:$AG,$I2))</f>
        <v/>
      </c>
      <c r="I3723" s="136">
        <f>LET(_xlpm.r,Productos!$E$2:$E$2509,_xlpm.m,IFERROR(_xlfn.XMATCH(C3723,_xlpm.r),IFERROR(_xlfn.XMATCH(VALUE(C3723),_xlpm.r),0)),IF(_xlpm.m=0,"",_xlpm.m+1))</f>
        <v/>
      </c>
      <c r="J3723" s="137" t="inlineStr">
        <is>
          <t>Odoo</t>
        </is>
      </c>
    </row>
    <row r="3724">
      <c r="A3724" s="5" t="inlineStr">
        <is>
          <t>Odoo Universal Unique Brands › Bodega 25 › Bodega 25/General</t>
        </is>
      </c>
      <c r="B3724" s="5">
        <f>IF($I2="","",INDEX(Productos!$A:$A,$I2))</f>
        <v/>
      </c>
      <c r="C3724" s="134" t="inlineStr">
        <is>
          <t>11-004-1521-2000-31 32</t>
        </is>
      </c>
      <c r="D3724" s="5">
        <f>IF($I2="","",INDEX(Productos!$B:$B,$I2))</f>
        <v/>
      </c>
      <c r="E3724" s="5">
        <f>IF($I2="","",INDEX(Productos!$H:$H,$I2))</f>
        <v/>
      </c>
      <c r="F3724" s="5">
        <f>IF($I2="","",INDEX(Productos!$I:$I,$I2))</f>
        <v/>
      </c>
      <c r="G3724" s="135" t="n">
        <v>4</v>
      </c>
      <c r="H3724" s="5">
        <f>IF($I2="","",INDEX(Productos!$AG:$AG,$I2))</f>
        <v/>
      </c>
      <c r="I3724" s="136">
        <f>LET(_xlpm.r,Productos!$E$2:$E$2509,_xlpm.m,IFERROR(_xlfn.XMATCH(C3724,_xlpm.r),IFERROR(_xlfn.XMATCH(VALUE(C3724),_xlpm.r),0)),IF(_xlpm.m=0,"",_xlpm.m+1))</f>
        <v/>
      </c>
      <c r="J3724" s="137" t="inlineStr">
        <is>
          <t>Odoo</t>
        </is>
      </c>
    </row>
    <row r="3725">
      <c r="A3725" s="5" t="inlineStr">
        <is>
          <t>Odoo Universal Unique Brands › Bodega 25 › Bodega 25/General</t>
        </is>
      </c>
      <c r="B3725" s="5">
        <f>IF($I2="","",INDEX(Productos!$A:$A,$I2))</f>
        <v/>
      </c>
      <c r="C3725" s="134" t="inlineStr">
        <is>
          <t>11-004-1521-2000-32 32</t>
        </is>
      </c>
      <c r="D3725" s="5">
        <f>IF($I2="","",INDEX(Productos!$B:$B,$I2))</f>
        <v/>
      </c>
      <c r="E3725" s="5">
        <f>IF($I2="","",INDEX(Productos!$H:$H,$I2))</f>
        <v/>
      </c>
      <c r="F3725" s="5">
        <f>IF($I2="","",INDEX(Productos!$I:$I,$I2))</f>
        <v/>
      </c>
      <c r="G3725" s="135" t="n">
        <v>7</v>
      </c>
      <c r="H3725" s="5">
        <f>IF($I2="","",INDEX(Productos!$AG:$AG,$I2))</f>
        <v/>
      </c>
      <c r="I3725" s="136">
        <f>LET(_xlpm.r,Productos!$E$2:$E$2509,_xlpm.m,IFERROR(_xlfn.XMATCH(C3725,_xlpm.r),IFERROR(_xlfn.XMATCH(VALUE(C3725),_xlpm.r),0)),IF(_xlpm.m=0,"",_xlpm.m+1))</f>
        <v/>
      </c>
      <c r="J3725" s="137" t="inlineStr">
        <is>
          <t>Odoo</t>
        </is>
      </c>
    </row>
    <row r="3726">
      <c r="A3726" s="5" t="inlineStr">
        <is>
          <t>Odoo Universal Unique Brands › Bodega 25 › Bodega 25/General</t>
        </is>
      </c>
      <c r="B3726" s="5">
        <f>IF($I2="","",INDEX(Productos!$A:$A,$I2))</f>
        <v/>
      </c>
      <c r="C3726" s="134" t="inlineStr">
        <is>
          <t>11-004-1521-2000-32 34</t>
        </is>
      </c>
      <c r="D3726" s="5">
        <f>IF($I2="","",INDEX(Productos!$B:$B,$I2))</f>
        <v/>
      </c>
      <c r="E3726" s="5">
        <f>IF($I2="","",INDEX(Productos!$H:$H,$I2))</f>
        <v/>
      </c>
      <c r="F3726" s="5">
        <f>IF($I2="","",INDEX(Productos!$I:$I,$I2))</f>
        <v/>
      </c>
      <c r="G3726" s="135" t="n">
        <v>4</v>
      </c>
      <c r="H3726" s="5">
        <f>IF($I2="","",INDEX(Productos!$AG:$AG,$I2))</f>
        <v/>
      </c>
      <c r="I3726" s="136">
        <f>LET(_xlpm.r,Productos!$E$2:$E$2509,_xlpm.m,IFERROR(_xlfn.XMATCH(C3726,_xlpm.r),IFERROR(_xlfn.XMATCH(VALUE(C3726),_xlpm.r),0)),IF(_xlpm.m=0,"",_xlpm.m+1))</f>
        <v/>
      </c>
      <c r="J3726" s="137" t="inlineStr">
        <is>
          <t>Odoo</t>
        </is>
      </c>
    </row>
    <row r="3727">
      <c r="A3727" s="5" t="inlineStr">
        <is>
          <t>Odoo Universal Unique Brands › Bodega 25 › Bodega 25/General</t>
        </is>
      </c>
      <c r="B3727" s="5">
        <f>IF($I2="","",INDEX(Productos!$A:$A,$I2))</f>
        <v/>
      </c>
      <c r="C3727" s="134" t="inlineStr">
        <is>
          <t>11-004-1521-2000-33 32</t>
        </is>
      </c>
      <c r="D3727" s="5">
        <f>IF($I2="","",INDEX(Productos!$B:$B,$I2))</f>
        <v/>
      </c>
      <c r="E3727" s="5">
        <f>IF($I2="","",INDEX(Productos!$H:$H,$I2))</f>
        <v/>
      </c>
      <c r="F3727" s="5">
        <f>IF($I2="","",INDEX(Productos!$I:$I,$I2))</f>
        <v/>
      </c>
      <c r="G3727" s="135" t="n">
        <v>4</v>
      </c>
      <c r="H3727" s="5">
        <f>IF($I2="","",INDEX(Productos!$AG:$AG,$I2))</f>
        <v/>
      </c>
      <c r="I3727" s="136">
        <f>LET(_xlpm.r,Productos!$E$2:$E$2509,_xlpm.m,IFERROR(_xlfn.XMATCH(C3727,_xlpm.r),IFERROR(_xlfn.XMATCH(VALUE(C3727),_xlpm.r),0)),IF(_xlpm.m=0,"",_xlpm.m+1))</f>
        <v/>
      </c>
      <c r="J3727" s="137" t="inlineStr">
        <is>
          <t>Odoo</t>
        </is>
      </c>
    </row>
    <row r="3728">
      <c r="A3728" s="5" t="inlineStr">
        <is>
          <t>Odoo Universal Unique Brands › Bodega 25 › Bodega 25/General</t>
        </is>
      </c>
      <c r="B3728" s="5">
        <f>IF($I2="","",INDEX(Productos!$A:$A,$I2))</f>
        <v/>
      </c>
      <c r="C3728" s="134" t="inlineStr">
        <is>
          <t>11-004-1521-2000-34 32</t>
        </is>
      </c>
      <c r="D3728" s="5">
        <f>IF($I2="","",INDEX(Productos!$B:$B,$I2))</f>
        <v/>
      </c>
      <c r="E3728" s="5">
        <f>IF($I2="","",INDEX(Productos!$H:$H,$I2))</f>
        <v/>
      </c>
      <c r="F3728" s="5">
        <f>IF($I2="","",INDEX(Productos!$I:$I,$I2))</f>
        <v/>
      </c>
      <c r="G3728" s="135" t="n">
        <v>8</v>
      </c>
      <c r="H3728" s="5">
        <f>IF($I2="","",INDEX(Productos!$AG:$AG,$I2))</f>
        <v/>
      </c>
      <c r="I3728" s="136">
        <f>LET(_xlpm.r,Productos!$E$2:$E$2509,_xlpm.m,IFERROR(_xlfn.XMATCH(C3728,_xlpm.r),IFERROR(_xlfn.XMATCH(VALUE(C3728),_xlpm.r),0)),IF(_xlpm.m=0,"",_xlpm.m+1))</f>
        <v/>
      </c>
      <c r="J3728" s="137" t="inlineStr">
        <is>
          <t>Odoo</t>
        </is>
      </c>
    </row>
    <row r="3729">
      <c r="A3729" s="5" t="inlineStr">
        <is>
          <t>Odoo Universal Unique Brands › Bodega 25 › Bodega 25/General</t>
        </is>
      </c>
      <c r="B3729" s="5">
        <f>IF($I2="","",INDEX(Productos!$A:$A,$I2))</f>
        <v/>
      </c>
      <c r="C3729" s="134" t="inlineStr">
        <is>
          <t>11-004-1521-2000-34 34</t>
        </is>
      </c>
      <c r="D3729" s="5">
        <f>IF($I2="","",INDEX(Productos!$B:$B,$I2))</f>
        <v/>
      </c>
      <c r="E3729" s="5">
        <f>IF($I2="","",INDEX(Productos!$H:$H,$I2))</f>
        <v/>
      </c>
      <c r="F3729" s="5">
        <f>IF($I2="","",INDEX(Productos!$I:$I,$I2))</f>
        <v/>
      </c>
      <c r="G3729" s="135" t="n">
        <v>6</v>
      </c>
      <c r="H3729" s="5">
        <f>IF($I2="","",INDEX(Productos!$AG:$AG,$I2))</f>
        <v/>
      </c>
      <c r="I3729" s="136">
        <f>LET(_xlpm.r,Productos!$E$2:$E$2509,_xlpm.m,IFERROR(_xlfn.XMATCH(C3729,_xlpm.r),IFERROR(_xlfn.XMATCH(VALUE(C3729),_xlpm.r),0)),IF(_xlpm.m=0,"",_xlpm.m+1))</f>
        <v/>
      </c>
      <c r="J3729" s="137" t="inlineStr">
        <is>
          <t>Odoo</t>
        </is>
      </c>
    </row>
    <row r="3730">
      <c r="A3730" s="5" t="inlineStr">
        <is>
          <t>Odoo Universal Unique Brands › Bodega 25 › Bodega 25/General</t>
        </is>
      </c>
      <c r="B3730" s="5">
        <f>IF($I2="","",INDEX(Productos!$A:$A,$I2))</f>
        <v/>
      </c>
      <c r="C3730" s="134" t="inlineStr">
        <is>
          <t>11-004-1521-2000-36 32</t>
        </is>
      </c>
      <c r="D3730" s="5">
        <f>IF($I2="","",INDEX(Productos!$B:$B,$I2))</f>
        <v/>
      </c>
      <c r="E3730" s="5">
        <f>IF($I2="","",INDEX(Productos!$H:$H,$I2))</f>
        <v/>
      </c>
      <c r="F3730" s="5">
        <f>IF($I2="","",INDEX(Productos!$I:$I,$I2))</f>
        <v/>
      </c>
      <c r="G3730" s="135" t="n">
        <v>1</v>
      </c>
      <c r="H3730" s="5">
        <f>IF($I2="","",INDEX(Productos!$AG:$AG,$I2))</f>
        <v/>
      </c>
      <c r="I3730" s="136">
        <f>LET(_xlpm.r,Productos!$E$2:$E$2509,_xlpm.m,IFERROR(_xlfn.XMATCH(C3730,_xlpm.r),IFERROR(_xlfn.XMATCH(VALUE(C3730),_xlpm.r),0)),IF(_xlpm.m=0,"",_xlpm.m+1))</f>
        <v/>
      </c>
      <c r="J3730" s="137" t="inlineStr">
        <is>
          <t>Odoo</t>
        </is>
      </c>
    </row>
    <row r="3731">
      <c r="A3731" s="5" t="inlineStr">
        <is>
          <t>Odoo Universal Unique Brands › Bodega 25 › Bodega 25/General</t>
        </is>
      </c>
      <c r="B3731" s="5">
        <f>IF($I2="","",INDEX(Productos!$A:$A,$I2))</f>
        <v/>
      </c>
      <c r="C3731" s="134" t="inlineStr">
        <is>
          <t>11-004-1521-2000-36 34</t>
        </is>
      </c>
      <c r="D3731" s="5">
        <f>IF($I2="","",INDEX(Productos!$B:$B,$I2))</f>
        <v/>
      </c>
      <c r="E3731" s="5">
        <f>IF($I2="","",INDEX(Productos!$H:$H,$I2))</f>
        <v/>
      </c>
      <c r="F3731" s="5">
        <f>IF($I2="","",INDEX(Productos!$I:$I,$I2))</f>
        <v/>
      </c>
      <c r="G3731" s="135" t="n">
        <v>3</v>
      </c>
      <c r="H3731" s="5">
        <f>IF($I2="","",INDEX(Productos!$AG:$AG,$I2))</f>
        <v/>
      </c>
      <c r="I3731" s="136">
        <f>LET(_xlpm.r,Productos!$E$2:$E$2509,_xlpm.m,IFERROR(_xlfn.XMATCH(C3731,_xlpm.r),IFERROR(_xlfn.XMATCH(VALUE(C3731),_xlpm.r),0)),IF(_xlpm.m=0,"",_xlpm.m+1))</f>
        <v/>
      </c>
      <c r="J3731" s="137" t="inlineStr">
        <is>
          <t>Odoo</t>
        </is>
      </c>
    </row>
    <row r="3732">
      <c r="A3732" s="5" t="inlineStr">
        <is>
          <t>Odoo Universal Unique Brands › Bodega 25 › Bodega 25/General</t>
        </is>
      </c>
      <c r="B3732" s="5">
        <f>IF($I2="","",INDEX(Productos!$A:$A,$I2))</f>
        <v/>
      </c>
      <c r="C3732" s="134" t="inlineStr">
        <is>
          <t>11-054-0214-0817-2R</t>
        </is>
      </c>
      <c r="D3732" s="5">
        <f>IF($I2="","",INDEX(Productos!$B:$B,$I2))</f>
        <v/>
      </c>
      <c r="E3732" s="5">
        <f>IF($I2="","",INDEX(Productos!$H:$H,$I2))</f>
        <v/>
      </c>
      <c r="F3732" s="5">
        <f>IF($I2="","",INDEX(Productos!$I:$I,$I2))</f>
        <v/>
      </c>
      <c r="G3732" s="135" t="n">
        <v>4</v>
      </c>
      <c r="H3732" s="5">
        <f>IF($I2="","",INDEX(Productos!$AG:$AG,$I2))</f>
        <v/>
      </c>
      <c r="I3732" s="136">
        <f>LET(_xlpm.r,Productos!$E$2:$E$2509,_xlpm.m,IFERROR(_xlfn.XMATCH(C3732,_xlpm.r),IFERROR(_xlfn.XMATCH(VALUE(C3732),_xlpm.r),0)),IF(_xlpm.m=0,"",_xlpm.m+1))</f>
        <v/>
      </c>
      <c r="J3732" s="137" t="inlineStr">
        <is>
          <t>Odoo</t>
        </is>
      </c>
    </row>
    <row r="3733">
      <c r="A3733" s="5" t="inlineStr">
        <is>
          <t>Odoo Universal Unique Brands › Bodega 25 › Bodega 25/General</t>
        </is>
      </c>
      <c r="B3733" s="5">
        <f>IF($I2="","",INDEX(Productos!$A:$A,$I2))</f>
        <v/>
      </c>
      <c r="C3733" s="134" t="inlineStr">
        <is>
          <t>11-054-0214-0817-4R</t>
        </is>
      </c>
      <c r="D3733" s="5">
        <f>IF($I2="","",INDEX(Productos!$B:$B,$I2))</f>
        <v/>
      </c>
      <c r="E3733" s="5">
        <f>IF($I2="","",INDEX(Productos!$H:$H,$I2))</f>
        <v/>
      </c>
      <c r="F3733" s="5">
        <f>IF($I2="","",INDEX(Productos!$I:$I,$I2))</f>
        <v/>
      </c>
      <c r="G3733" s="135" t="n">
        <v>2</v>
      </c>
      <c r="H3733" s="5">
        <f>IF($I2="","",INDEX(Productos!$AG:$AG,$I2))</f>
        <v/>
      </c>
      <c r="I3733" s="136">
        <f>LET(_xlpm.r,Productos!$E$2:$E$2509,_xlpm.m,IFERROR(_xlfn.XMATCH(C3733,_xlpm.r),IFERROR(_xlfn.XMATCH(VALUE(C3733),_xlpm.r),0)),IF(_xlpm.m=0,"",_xlpm.m+1))</f>
        <v/>
      </c>
      <c r="J3733" s="137" t="inlineStr">
        <is>
          <t>Odoo</t>
        </is>
      </c>
    </row>
    <row r="3734">
      <c r="A3734" s="5" t="inlineStr">
        <is>
          <t>Odoo Universal Unique Brands › Bodega 25 › Bodega 25/General</t>
        </is>
      </c>
      <c r="B3734" s="5">
        <f>IF($I2="","",INDEX(Productos!$A:$A,$I2))</f>
        <v/>
      </c>
      <c r="C3734" s="134" t="inlineStr">
        <is>
          <t>11-054-0214-0817-6R</t>
        </is>
      </c>
      <c r="D3734" s="5">
        <f>IF($I2="","",INDEX(Productos!$B:$B,$I2))</f>
        <v/>
      </c>
      <c r="E3734" s="5">
        <f>IF($I2="","",INDEX(Productos!$H:$H,$I2))</f>
        <v/>
      </c>
      <c r="F3734" s="5">
        <f>IF($I2="","",INDEX(Productos!$I:$I,$I2))</f>
        <v/>
      </c>
      <c r="G3734" s="135" t="n">
        <v>4</v>
      </c>
      <c r="H3734" s="5">
        <f>IF($I2="","",INDEX(Productos!$AG:$AG,$I2))</f>
        <v/>
      </c>
      <c r="I3734" s="136">
        <f>LET(_xlpm.r,Productos!$E$2:$E$2509,_xlpm.m,IFERROR(_xlfn.XMATCH(C3734,_xlpm.r),IFERROR(_xlfn.XMATCH(VALUE(C3734),_xlpm.r),0)),IF(_xlpm.m=0,"",_xlpm.m+1))</f>
        <v/>
      </c>
      <c r="J3734" s="137" t="inlineStr">
        <is>
          <t>Odoo</t>
        </is>
      </c>
    </row>
    <row r="3735">
      <c r="A3735" s="5" t="inlineStr">
        <is>
          <t>Odoo Universal Unique Brands › Bodega 25 › Bodega 25/General</t>
        </is>
      </c>
      <c r="B3735" s="5">
        <f>IF($I2="","",INDEX(Productos!$A:$A,$I2))</f>
        <v/>
      </c>
      <c r="C3735" s="134" t="inlineStr">
        <is>
          <t>11-054-0214-0817-8R</t>
        </is>
      </c>
      <c r="D3735" s="5">
        <f>IF($I2="","",INDEX(Productos!$B:$B,$I2))</f>
        <v/>
      </c>
      <c r="E3735" s="5">
        <f>IF($I2="","",INDEX(Productos!$H:$H,$I2))</f>
        <v/>
      </c>
      <c r="F3735" s="5">
        <f>IF($I2="","",INDEX(Productos!$I:$I,$I2))</f>
        <v/>
      </c>
      <c r="G3735" s="135" t="n">
        <v>4</v>
      </c>
      <c r="H3735" s="5">
        <f>IF($I2="","",INDEX(Productos!$AG:$AG,$I2))</f>
        <v/>
      </c>
      <c r="I3735" s="136">
        <f>LET(_xlpm.r,Productos!$E$2:$E$2509,_xlpm.m,IFERROR(_xlfn.XMATCH(C3735,_xlpm.r),IFERROR(_xlfn.XMATCH(VALUE(C3735),_xlpm.r),0)),IF(_xlpm.m=0,"",_xlpm.m+1))</f>
        <v/>
      </c>
      <c r="J3735" s="137" t="inlineStr">
        <is>
          <t>Odoo</t>
        </is>
      </c>
    </row>
    <row r="3736">
      <c r="A3736" s="5" t="inlineStr">
        <is>
          <t>Odoo Universal Unique Brands › Bodega 25 › Bodega 25/General</t>
        </is>
      </c>
      <c r="B3736" s="5">
        <f>IF($I2="","",INDEX(Productos!$A:$A,$I2))</f>
        <v/>
      </c>
      <c r="C3736" s="134" t="inlineStr">
        <is>
          <t>11-054-0751-0204-0R</t>
        </is>
      </c>
      <c r="D3736" s="5">
        <f>IF($I2="","",INDEX(Productos!$B:$B,$I2))</f>
        <v/>
      </c>
      <c r="E3736" s="5">
        <f>IF($I2="","",INDEX(Productos!$H:$H,$I2))</f>
        <v/>
      </c>
      <c r="F3736" s="5">
        <f>IF($I2="","",INDEX(Productos!$I:$I,$I2))</f>
        <v/>
      </c>
      <c r="G3736" s="135" t="n">
        <v>4</v>
      </c>
      <c r="H3736" s="5">
        <f>IF($I2="","",INDEX(Productos!$AG:$AG,$I2))</f>
        <v/>
      </c>
      <c r="I3736" s="136">
        <f>LET(_xlpm.r,Productos!$E$2:$E$2509,_xlpm.m,IFERROR(_xlfn.XMATCH(C3736,_xlpm.r),IFERROR(_xlfn.XMATCH(VALUE(C3736),_xlpm.r),0)),IF(_xlpm.m=0,"",_xlpm.m+1))</f>
        <v/>
      </c>
      <c r="J3736" s="137" t="inlineStr">
        <is>
          <t>Odoo</t>
        </is>
      </c>
    </row>
    <row r="3737">
      <c r="A3737" s="5" t="inlineStr">
        <is>
          <t>Odoo Universal Unique Brands › Bodega 25 › Bodega 25/General</t>
        </is>
      </c>
      <c r="B3737" s="5">
        <f>IF($I2="","",INDEX(Productos!$A:$A,$I2))</f>
        <v/>
      </c>
      <c r="C3737" s="134" t="inlineStr">
        <is>
          <t>11-054-0751-0204-10R</t>
        </is>
      </c>
      <c r="D3737" s="5">
        <f>IF($I2="","",INDEX(Productos!$B:$B,$I2))</f>
        <v/>
      </c>
      <c r="E3737" s="5">
        <f>IF($I2="","",INDEX(Productos!$H:$H,$I2))</f>
        <v/>
      </c>
      <c r="F3737" s="5">
        <f>IF($I2="","",INDEX(Productos!$I:$I,$I2))</f>
        <v/>
      </c>
      <c r="G3737" s="135" t="n">
        <v>4</v>
      </c>
      <c r="H3737" s="5">
        <f>IF($I2="","",INDEX(Productos!$AG:$AG,$I2))</f>
        <v/>
      </c>
      <c r="I3737" s="136">
        <f>LET(_xlpm.r,Productos!$E$2:$E$2509,_xlpm.m,IFERROR(_xlfn.XMATCH(C3737,_xlpm.r),IFERROR(_xlfn.XMATCH(VALUE(C3737),_xlpm.r),0)),IF(_xlpm.m=0,"",_xlpm.m+1))</f>
        <v/>
      </c>
      <c r="J3737" s="137" t="inlineStr">
        <is>
          <t>Odoo</t>
        </is>
      </c>
    </row>
    <row r="3738">
      <c r="A3738" s="5" t="inlineStr">
        <is>
          <t>Odoo Universal Unique Brands › Bodega 25 › Bodega 25/General</t>
        </is>
      </c>
      <c r="B3738" s="5">
        <f>IF($I2="","",INDEX(Productos!$A:$A,$I2))</f>
        <v/>
      </c>
      <c r="C3738" s="134" t="inlineStr">
        <is>
          <t>11-054-0751-0204-2R</t>
        </is>
      </c>
      <c r="D3738" s="5">
        <f>IF($I2="","",INDEX(Productos!$B:$B,$I2))</f>
        <v/>
      </c>
      <c r="E3738" s="5">
        <f>IF($I2="","",INDEX(Productos!$H:$H,$I2))</f>
        <v/>
      </c>
      <c r="F3738" s="5">
        <f>IF($I2="","",INDEX(Productos!$I:$I,$I2))</f>
        <v/>
      </c>
      <c r="G3738" s="135" t="n">
        <v>4</v>
      </c>
      <c r="H3738" s="5">
        <f>IF($I2="","",INDEX(Productos!$AG:$AG,$I2))</f>
        <v/>
      </c>
      <c r="I3738" s="136">
        <f>LET(_xlpm.r,Productos!$E$2:$E$2509,_xlpm.m,IFERROR(_xlfn.XMATCH(C3738,_xlpm.r),IFERROR(_xlfn.XMATCH(VALUE(C3738),_xlpm.r),0)),IF(_xlpm.m=0,"",_xlpm.m+1))</f>
        <v/>
      </c>
      <c r="J3738" s="137" t="inlineStr">
        <is>
          <t>Odoo</t>
        </is>
      </c>
    </row>
    <row r="3739">
      <c r="A3739" s="5" t="inlineStr">
        <is>
          <t>Odoo Universal Unique Brands › Bodega 25 › Bodega 25/General</t>
        </is>
      </c>
      <c r="B3739" s="5">
        <f>IF($I2="","",INDEX(Productos!$A:$A,$I2))</f>
        <v/>
      </c>
      <c r="C3739" s="134" t="inlineStr">
        <is>
          <t>11-054-0751-0204-4R</t>
        </is>
      </c>
      <c r="D3739" s="5">
        <f>IF($I2="","",INDEX(Productos!$B:$B,$I2))</f>
        <v/>
      </c>
      <c r="E3739" s="5">
        <f>IF($I2="","",INDEX(Productos!$H:$H,$I2))</f>
        <v/>
      </c>
      <c r="F3739" s="5">
        <f>IF($I2="","",INDEX(Productos!$I:$I,$I2))</f>
        <v/>
      </c>
      <c r="G3739" s="135" t="n">
        <v>6</v>
      </c>
      <c r="H3739" s="5">
        <f>IF($I2="","",INDEX(Productos!$AG:$AG,$I2))</f>
        <v/>
      </c>
      <c r="I3739" s="136">
        <f>LET(_xlpm.r,Productos!$E$2:$E$2509,_xlpm.m,IFERROR(_xlfn.XMATCH(C3739,_xlpm.r),IFERROR(_xlfn.XMATCH(VALUE(C3739),_xlpm.r),0)),IF(_xlpm.m=0,"",_xlpm.m+1))</f>
        <v/>
      </c>
      <c r="J3739" s="137" t="inlineStr">
        <is>
          <t>Odoo</t>
        </is>
      </c>
    </row>
    <row r="3740">
      <c r="A3740" s="5" t="inlineStr">
        <is>
          <t>Odoo Universal Unique Brands › Bodega 25 › Bodega 25/General</t>
        </is>
      </c>
      <c r="B3740" s="5">
        <f>IF($I2="","",INDEX(Productos!$A:$A,$I2))</f>
        <v/>
      </c>
      <c r="C3740" s="134" t="inlineStr">
        <is>
          <t>11-054-0751-0204-6R</t>
        </is>
      </c>
      <c r="D3740" s="5">
        <f>IF($I2="","",INDEX(Productos!$B:$B,$I2))</f>
        <v/>
      </c>
      <c r="E3740" s="5">
        <f>IF($I2="","",INDEX(Productos!$H:$H,$I2))</f>
        <v/>
      </c>
      <c r="F3740" s="5">
        <f>IF($I2="","",INDEX(Productos!$I:$I,$I2))</f>
        <v/>
      </c>
      <c r="G3740" s="135" t="n">
        <v>4</v>
      </c>
      <c r="H3740" s="5">
        <f>IF($I2="","",INDEX(Productos!$AG:$AG,$I2))</f>
        <v/>
      </c>
      <c r="I3740" s="136">
        <f>LET(_xlpm.r,Productos!$E$2:$E$2509,_xlpm.m,IFERROR(_xlfn.XMATCH(C3740,_xlpm.r),IFERROR(_xlfn.XMATCH(VALUE(C3740),_xlpm.r),0)),IF(_xlpm.m=0,"",_xlpm.m+1))</f>
        <v/>
      </c>
      <c r="J3740" s="137" t="inlineStr">
        <is>
          <t>Odoo</t>
        </is>
      </c>
    </row>
    <row r="3741">
      <c r="A3741" s="5" t="inlineStr">
        <is>
          <t>Odoo Universal Unique Brands › Bodega 25 › Bodega 25/General</t>
        </is>
      </c>
      <c r="B3741" s="5">
        <f>IF($I2="","",INDEX(Productos!$A:$A,$I2))</f>
        <v/>
      </c>
      <c r="C3741" s="134" t="inlineStr">
        <is>
          <t>11-054-0751-0204-8R</t>
        </is>
      </c>
      <c r="D3741" s="5">
        <f>IF($I2="","",INDEX(Productos!$B:$B,$I2))</f>
        <v/>
      </c>
      <c r="E3741" s="5">
        <f>IF($I2="","",INDEX(Productos!$H:$H,$I2))</f>
        <v/>
      </c>
      <c r="F3741" s="5">
        <f>IF($I2="","",INDEX(Productos!$I:$I,$I2))</f>
        <v/>
      </c>
      <c r="G3741" s="135" t="n">
        <v>2</v>
      </c>
      <c r="H3741" s="5">
        <f>IF($I2="","",INDEX(Productos!$AG:$AG,$I2))</f>
        <v/>
      </c>
      <c r="I3741" s="136">
        <f>LET(_xlpm.r,Productos!$E$2:$E$2509,_xlpm.m,IFERROR(_xlfn.XMATCH(C3741,_xlpm.r),IFERROR(_xlfn.XMATCH(VALUE(C3741),_xlpm.r),0)),IF(_xlpm.m=0,"",_xlpm.m+1))</f>
        <v/>
      </c>
      <c r="J3741" s="137" t="inlineStr">
        <is>
          <t>Odoo</t>
        </is>
      </c>
    </row>
    <row r="3742">
      <c r="A3742" s="5" t="inlineStr">
        <is>
          <t>Odoo Universal Unique Brands › Bodega 25 › Bodega 25/General</t>
        </is>
      </c>
      <c r="B3742" s="5">
        <f>IF($I2="","",INDEX(Productos!$A:$A,$I2))</f>
        <v/>
      </c>
      <c r="C3742" s="134" t="inlineStr">
        <is>
          <t>11-054-0751-0205-2R</t>
        </is>
      </c>
      <c r="D3742" s="5">
        <f>IF($I2="","",INDEX(Productos!$B:$B,$I2))</f>
        <v/>
      </c>
      <c r="E3742" s="5">
        <f>IF($I2="","",INDEX(Productos!$H:$H,$I2))</f>
        <v/>
      </c>
      <c r="F3742" s="5">
        <f>IF($I2="","",INDEX(Productos!$I:$I,$I2))</f>
        <v/>
      </c>
      <c r="G3742" s="135" t="n">
        <v>2</v>
      </c>
      <c r="H3742" s="5">
        <f>IF($I2="","",INDEX(Productos!$AG:$AG,$I2))</f>
        <v/>
      </c>
      <c r="I3742" s="136">
        <f>LET(_xlpm.r,Productos!$E$2:$E$2509,_xlpm.m,IFERROR(_xlfn.XMATCH(C3742,_xlpm.r),IFERROR(_xlfn.XMATCH(VALUE(C3742),_xlpm.r),0)),IF(_xlpm.m=0,"",_xlpm.m+1))</f>
        <v/>
      </c>
      <c r="J3742" s="137" t="inlineStr">
        <is>
          <t>Odoo</t>
        </is>
      </c>
    </row>
    <row r="3743">
      <c r="A3743" s="5" t="inlineStr">
        <is>
          <t>Odoo Universal Unique Brands › Bodega 25 › Bodega 25/General</t>
        </is>
      </c>
      <c r="B3743" s="5">
        <f>IF($I2="","",INDEX(Productos!$A:$A,$I2))</f>
        <v/>
      </c>
      <c r="C3743" s="134" t="inlineStr">
        <is>
          <t>11-054-0751-0205-4R</t>
        </is>
      </c>
      <c r="D3743" s="5">
        <f>IF($I2="","",INDEX(Productos!$B:$B,$I2))</f>
        <v/>
      </c>
      <c r="E3743" s="5">
        <f>IF($I2="","",INDEX(Productos!$H:$H,$I2))</f>
        <v/>
      </c>
      <c r="F3743" s="5">
        <f>IF($I2="","",INDEX(Productos!$I:$I,$I2))</f>
        <v/>
      </c>
      <c r="G3743" s="135" t="n">
        <v>2</v>
      </c>
      <c r="H3743" s="5">
        <f>IF($I2="","",INDEX(Productos!$AG:$AG,$I2))</f>
        <v/>
      </c>
      <c r="I3743" s="136">
        <f>LET(_xlpm.r,Productos!$E$2:$E$2509,_xlpm.m,IFERROR(_xlfn.XMATCH(C3743,_xlpm.r),IFERROR(_xlfn.XMATCH(VALUE(C3743),_xlpm.r),0)),IF(_xlpm.m=0,"",_xlpm.m+1))</f>
        <v/>
      </c>
      <c r="J3743" s="137" t="inlineStr">
        <is>
          <t>Odoo</t>
        </is>
      </c>
    </row>
    <row r="3744">
      <c r="A3744" s="5" t="inlineStr">
        <is>
          <t>Odoo Universal Unique Brands › Bodega 25 › Bodega 25/General</t>
        </is>
      </c>
      <c r="B3744" s="5">
        <f>IF($I2="","",INDEX(Productos!$A:$A,$I2))</f>
        <v/>
      </c>
      <c r="C3744" s="134" t="inlineStr">
        <is>
          <t>11-054-0751-0205-6R</t>
        </is>
      </c>
      <c r="D3744" s="5">
        <f>IF($I2="","",INDEX(Productos!$B:$B,$I2))</f>
        <v/>
      </c>
      <c r="E3744" s="5">
        <f>IF($I2="","",INDEX(Productos!$H:$H,$I2))</f>
        <v/>
      </c>
      <c r="F3744" s="5">
        <f>IF($I2="","",INDEX(Productos!$I:$I,$I2))</f>
        <v/>
      </c>
      <c r="G3744" s="135" t="n">
        <v>2</v>
      </c>
      <c r="H3744" s="5">
        <f>IF($I2="","",INDEX(Productos!$AG:$AG,$I2))</f>
        <v/>
      </c>
      <c r="I3744" s="136">
        <f>LET(_xlpm.r,Productos!$E$2:$E$2509,_xlpm.m,IFERROR(_xlfn.XMATCH(C3744,_xlpm.r),IFERROR(_xlfn.XMATCH(VALUE(C3744),_xlpm.r),0)),IF(_xlpm.m=0,"",_xlpm.m+1))</f>
        <v/>
      </c>
      <c r="J3744" s="137" t="inlineStr">
        <is>
          <t>Odoo</t>
        </is>
      </c>
    </row>
    <row r="3745">
      <c r="A3745" s="5" t="inlineStr">
        <is>
          <t>Odoo Universal Unique Brands › Bodega 25 › Bodega 25/General</t>
        </is>
      </c>
      <c r="B3745" s="5">
        <f>IF($I2="","",INDEX(Productos!$A:$A,$I2))</f>
        <v/>
      </c>
      <c r="C3745" s="134" t="inlineStr">
        <is>
          <t>11-054-0751-0205-8R</t>
        </is>
      </c>
      <c r="D3745" s="5">
        <f>IF($I2="","",INDEX(Productos!$B:$B,$I2))</f>
        <v/>
      </c>
      <c r="E3745" s="5">
        <f>IF($I2="","",INDEX(Productos!$H:$H,$I2))</f>
        <v/>
      </c>
      <c r="F3745" s="5">
        <f>IF($I2="","",INDEX(Productos!$I:$I,$I2))</f>
        <v/>
      </c>
      <c r="G3745" s="135" t="n">
        <v>2</v>
      </c>
      <c r="H3745" s="5">
        <f>IF($I2="","",INDEX(Productos!$AG:$AG,$I2))</f>
        <v/>
      </c>
      <c r="I3745" s="136">
        <f>LET(_xlpm.r,Productos!$E$2:$E$2509,_xlpm.m,IFERROR(_xlfn.XMATCH(C3745,_xlpm.r),IFERROR(_xlfn.XMATCH(VALUE(C3745),_xlpm.r),0)),IF(_xlpm.m=0,"",_xlpm.m+1))</f>
        <v/>
      </c>
      <c r="J3745" s="137" t="inlineStr">
        <is>
          <t>Odoo</t>
        </is>
      </c>
    </row>
    <row r="3746">
      <c r="A3746" s="5" t="inlineStr">
        <is>
          <t>Odoo Universal Unique Brands › Bodega 25 › Bodega 25/General</t>
        </is>
      </c>
      <c r="B3746" s="5">
        <f>IF($I2="","",INDEX(Productos!$A:$A,$I2))</f>
        <v/>
      </c>
      <c r="C3746" s="134" t="inlineStr">
        <is>
          <t>11-054-0816-1320-0R</t>
        </is>
      </c>
      <c r="D3746" s="5">
        <f>IF($I2="","",INDEX(Productos!$B:$B,$I2))</f>
        <v/>
      </c>
      <c r="E3746" s="5">
        <f>IF($I2="","",INDEX(Productos!$H:$H,$I2))</f>
        <v/>
      </c>
      <c r="F3746" s="5">
        <f>IF($I2="","",INDEX(Productos!$I:$I,$I2))</f>
        <v/>
      </c>
      <c r="G3746" s="135" t="n">
        <v>2</v>
      </c>
      <c r="H3746" s="5">
        <f>IF($I2="","",INDEX(Productos!$AG:$AG,$I2))</f>
        <v/>
      </c>
      <c r="I3746" s="136">
        <f>LET(_xlpm.r,Productos!$E$2:$E$2509,_xlpm.m,IFERROR(_xlfn.XMATCH(C3746,_xlpm.r),IFERROR(_xlfn.XMATCH(VALUE(C3746),_xlpm.r),0)),IF(_xlpm.m=0,"",_xlpm.m+1))</f>
        <v/>
      </c>
      <c r="J3746" s="137" t="inlineStr">
        <is>
          <t>Odoo</t>
        </is>
      </c>
    </row>
    <row r="3747">
      <c r="A3747" s="5" t="inlineStr">
        <is>
          <t>Odoo Universal Unique Brands › Bodega 25 › Bodega 25/General</t>
        </is>
      </c>
      <c r="B3747" s="5">
        <f>IF($I2="","",INDEX(Productos!$A:$A,$I2))</f>
        <v/>
      </c>
      <c r="C3747" s="134" t="inlineStr">
        <is>
          <t>11-054-0816-1320-10L</t>
        </is>
      </c>
      <c r="D3747" s="5">
        <f>IF($I2="","",INDEX(Productos!$B:$B,$I2))</f>
        <v/>
      </c>
      <c r="E3747" s="5">
        <f>IF($I2="","",INDEX(Productos!$H:$H,$I2))</f>
        <v/>
      </c>
      <c r="F3747" s="5">
        <f>IF($I2="","",INDEX(Productos!$I:$I,$I2))</f>
        <v/>
      </c>
      <c r="G3747" s="135" t="n">
        <v>1</v>
      </c>
      <c r="H3747" s="5">
        <f>IF($I2="","",INDEX(Productos!$AG:$AG,$I2))</f>
        <v/>
      </c>
      <c r="I3747" s="136">
        <f>LET(_xlpm.r,Productos!$E$2:$E$2509,_xlpm.m,IFERROR(_xlfn.XMATCH(C3747,_xlpm.r),IFERROR(_xlfn.XMATCH(VALUE(C3747),_xlpm.r),0)),IF(_xlpm.m=0,"",_xlpm.m+1))</f>
        <v/>
      </c>
      <c r="J3747" s="137" t="inlineStr">
        <is>
          <t>Odoo</t>
        </is>
      </c>
    </row>
    <row r="3748">
      <c r="A3748" s="5" t="inlineStr">
        <is>
          <t>Odoo Universal Unique Brands › Bodega 25 › Bodega 25/General</t>
        </is>
      </c>
      <c r="B3748" s="5">
        <f>IF($I2="","",INDEX(Productos!$A:$A,$I2))</f>
        <v/>
      </c>
      <c r="C3748" s="134" t="inlineStr">
        <is>
          <t>11-054-0816-1320-10R</t>
        </is>
      </c>
      <c r="D3748" s="5">
        <f>IF($I2="","",INDEX(Productos!$B:$B,$I2))</f>
        <v/>
      </c>
      <c r="E3748" s="5">
        <f>IF($I2="","",INDEX(Productos!$H:$H,$I2))</f>
        <v/>
      </c>
      <c r="F3748" s="5">
        <f>IF($I2="","",INDEX(Productos!$I:$I,$I2))</f>
        <v/>
      </c>
      <c r="G3748" s="135" t="n">
        <v>2</v>
      </c>
      <c r="H3748" s="5">
        <f>IF($I2="","",INDEX(Productos!$AG:$AG,$I2))</f>
        <v/>
      </c>
      <c r="I3748" s="136">
        <f>LET(_xlpm.r,Productos!$E$2:$E$2509,_xlpm.m,IFERROR(_xlfn.XMATCH(C3748,_xlpm.r),IFERROR(_xlfn.XMATCH(VALUE(C3748),_xlpm.r),0)),IF(_xlpm.m=0,"",_xlpm.m+1))</f>
        <v/>
      </c>
      <c r="J3748" s="137" t="inlineStr">
        <is>
          <t>Odoo</t>
        </is>
      </c>
    </row>
    <row r="3749">
      <c r="A3749" s="5" t="inlineStr">
        <is>
          <t>Odoo Universal Unique Brands › Bodega 25 › Bodega 25/General</t>
        </is>
      </c>
      <c r="B3749" s="5">
        <f>IF($I2="","",INDEX(Productos!$A:$A,$I2))</f>
        <v/>
      </c>
      <c r="C3749" s="134" t="inlineStr">
        <is>
          <t>11-054-0816-1320-12R</t>
        </is>
      </c>
      <c r="D3749" s="5">
        <f>IF($I2="","",INDEX(Productos!$B:$B,$I2))</f>
        <v/>
      </c>
      <c r="E3749" s="5">
        <f>IF($I2="","",INDEX(Productos!$H:$H,$I2))</f>
        <v/>
      </c>
      <c r="F3749" s="5">
        <f>IF($I2="","",INDEX(Productos!$I:$I,$I2))</f>
        <v/>
      </c>
      <c r="G3749" s="135" t="n">
        <v>1</v>
      </c>
      <c r="H3749" s="5">
        <f>IF($I2="","",INDEX(Productos!$AG:$AG,$I2))</f>
        <v/>
      </c>
      <c r="I3749" s="136">
        <f>LET(_xlpm.r,Productos!$E$2:$E$2509,_xlpm.m,IFERROR(_xlfn.XMATCH(C3749,_xlpm.r),IFERROR(_xlfn.XMATCH(VALUE(C3749),_xlpm.r),0)),IF(_xlpm.m=0,"",_xlpm.m+1))</f>
        <v/>
      </c>
      <c r="J3749" s="137" t="inlineStr">
        <is>
          <t>Odoo</t>
        </is>
      </c>
    </row>
    <row r="3750">
      <c r="A3750" s="5" t="inlineStr">
        <is>
          <t>Odoo Universal Unique Brands › Bodega 25 › Bodega 25/General</t>
        </is>
      </c>
      <c r="B3750" s="5">
        <f>IF($I2="","",INDEX(Productos!$A:$A,$I2))</f>
        <v/>
      </c>
      <c r="C3750" s="134" t="inlineStr">
        <is>
          <t>11-054-0816-1320-2L</t>
        </is>
      </c>
      <c r="D3750" s="5">
        <f>IF($I2="","",INDEX(Productos!$B:$B,$I2))</f>
        <v/>
      </c>
      <c r="E3750" s="5">
        <f>IF($I2="","",INDEX(Productos!$H:$H,$I2))</f>
        <v/>
      </c>
      <c r="F3750" s="5">
        <f>IF($I2="","",INDEX(Productos!$I:$I,$I2))</f>
        <v/>
      </c>
      <c r="G3750" s="135" t="n">
        <v>1</v>
      </c>
      <c r="H3750" s="5">
        <f>IF($I2="","",INDEX(Productos!$AG:$AG,$I2))</f>
        <v/>
      </c>
      <c r="I3750" s="136">
        <f>LET(_xlpm.r,Productos!$E$2:$E$2509,_xlpm.m,IFERROR(_xlfn.XMATCH(C3750,_xlpm.r),IFERROR(_xlfn.XMATCH(VALUE(C3750),_xlpm.r),0)),IF(_xlpm.m=0,"",_xlpm.m+1))</f>
        <v/>
      </c>
      <c r="J3750" s="137" t="inlineStr">
        <is>
          <t>Odoo</t>
        </is>
      </c>
    </row>
    <row r="3751">
      <c r="A3751" s="5" t="inlineStr">
        <is>
          <t>Odoo Universal Unique Brands › Bodega 25 › Bodega 25/General</t>
        </is>
      </c>
      <c r="B3751" s="5">
        <f>IF($I2="","",INDEX(Productos!$A:$A,$I2))</f>
        <v/>
      </c>
      <c r="C3751" s="134" t="inlineStr">
        <is>
          <t>11-054-0816-1320-2R</t>
        </is>
      </c>
      <c r="D3751" s="5">
        <f>IF($I2="","",INDEX(Productos!$B:$B,$I2))</f>
        <v/>
      </c>
      <c r="E3751" s="5">
        <f>IF($I2="","",INDEX(Productos!$H:$H,$I2))</f>
        <v/>
      </c>
      <c r="F3751" s="5">
        <f>IF($I2="","",INDEX(Productos!$I:$I,$I2))</f>
        <v/>
      </c>
      <c r="G3751" s="135" t="n">
        <v>2</v>
      </c>
      <c r="H3751" s="5">
        <f>IF($I2="","",INDEX(Productos!$AG:$AG,$I2))</f>
        <v/>
      </c>
      <c r="I3751" s="136">
        <f>LET(_xlpm.r,Productos!$E$2:$E$2509,_xlpm.m,IFERROR(_xlfn.XMATCH(C3751,_xlpm.r),IFERROR(_xlfn.XMATCH(VALUE(C3751),_xlpm.r),0)),IF(_xlpm.m=0,"",_xlpm.m+1))</f>
        <v/>
      </c>
      <c r="J3751" s="137" t="inlineStr">
        <is>
          <t>Odoo</t>
        </is>
      </c>
    </row>
    <row r="3752">
      <c r="A3752" s="5" t="inlineStr">
        <is>
          <t>Odoo Universal Unique Brands › Bodega 25 › Bodega 25/General</t>
        </is>
      </c>
      <c r="B3752" s="5">
        <f>IF($I2="","",INDEX(Productos!$A:$A,$I2))</f>
        <v/>
      </c>
      <c r="C3752" s="134" t="inlineStr">
        <is>
          <t>11-054-0816-1320-4L</t>
        </is>
      </c>
      <c r="D3752" s="5">
        <f>IF($I2="","",INDEX(Productos!$B:$B,$I2))</f>
        <v/>
      </c>
      <c r="E3752" s="5">
        <f>IF($I2="","",INDEX(Productos!$H:$H,$I2))</f>
        <v/>
      </c>
      <c r="F3752" s="5">
        <f>IF($I2="","",INDEX(Productos!$I:$I,$I2))</f>
        <v/>
      </c>
      <c r="G3752" s="135" t="n">
        <v>1</v>
      </c>
      <c r="H3752" s="5">
        <f>IF($I2="","",INDEX(Productos!$AG:$AG,$I2))</f>
        <v/>
      </c>
      <c r="I3752" s="136">
        <f>LET(_xlpm.r,Productos!$E$2:$E$2509,_xlpm.m,IFERROR(_xlfn.XMATCH(C3752,_xlpm.r),IFERROR(_xlfn.XMATCH(VALUE(C3752),_xlpm.r),0)),IF(_xlpm.m=0,"",_xlpm.m+1))</f>
        <v/>
      </c>
      <c r="J3752" s="137" t="inlineStr">
        <is>
          <t>Odoo</t>
        </is>
      </c>
    </row>
    <row r="3753">
      <c r="A3753" s="5" t="inlineStr">
        <is>
          <t>Odoo Universal Unique Brands › Bodega 25 › Bodega 25/General</t>
        </is>
      </c>
      <c r="B3753" s="5">
        <f>IF($I2="","",INDEX(Productos!$A:$A,$I2))</f>
        <v/>
      </c>
      <c r="C3753" s="134" t="inlineStr">
        <is>
          <t>11-054-0816-1320-4R</t>
        </is>
      </c>
      <c r="D3753" s="5">
        <f>IF($I2="","",INDEX(Productos!$B:$B,$I2))</f>
        <v/>
      </c>
      <c r="E3753" s="5">
        <f>IF($I2="","",INDEX(Productos!$H:$H,$I2))</f>
        <v/>
      </c>
      <c r="F3753" s="5">
        <f>IF($I2="","",INDEX(Productos!$I:$I,$I2))</f>
        <v/>
      </c>
      <c r="G3753" s="135" t="n">
        <v>2</v>
      </c>
      <c r="H3753" s="5">
        <f>IF($I2="","",INDEX(Productos!$AG:$AG,$I2))</f>
        <v/>
      </c>
      <c r="I3753" s="136">
        <f>LET(_xlpm.r,Productos!$E$2:$E$2509,_xlpm.m,IFERROR(_xlfn.XMATCH(C3753,_xlpm.r),IFERROR(_xlfn.XMATCH(VALUE(C3753),_xlpm.r),0)),IF(_xlpm.m=0,"",_xlpm.m+1))</f>
        <v/>
      </c>
      <c r="J3753" s="137" t="inlineStr">
        <is>
          <t>Odoo</t>
        </is>
      </c>
    </row>
    <row r="3754">
      <c r="A3754" s="5" t="inlineStr">
        <is>
          <t>Odoo Universal Unique Brands › Bodega 25 › Bodega 25/General</t>
        </is>
      </c>
      <c r="B3754" s="5">
        <f>IF($I2="","",INDEX(Productos!$A:$A,$I2))</f>
        <v/>
      </c>
      <c r="C3754" s="134" t="inlineStr">
        <is>
          <t>11-054-0816-1320-6L</t>
        </is>
      </c>
      <c r="D3754" s="5">
        <f>IF($I2="","",INDEX(Productos!$B:$B,$I2))</f>
        <v/>
      </c>
      <c r="E3754" s="5">
        <f>IF($I2="","",INDEX(Productos!$H:$H,$I2))</f>
        <v/>
      </c>
      <c r="F3754" s="5">
        <f>IF($I2="","",INDEX(Productos!$I:$I,$I2))</f>
        <v/>
      </c>
      <c r="G3754" s="135" t="n">
        <v>1</v>
      </c>
      <c r="H3754" s="5">
        <f>IF($I2="","",INDEX(Productos!$AG:$AG,$I2))</f>
        <v/>
      </c>
      <c r="I3754" s="136">
        <f>LET(_xlpm.r,Productos!$E$2:$E$2509,_xlpm.m,IFERROR(_xlfn.XMATCH(C3754,_xlpm.r),IFERROR(_xlfn.XMATCH(VALUE(C3754),_xlpm.r),0)),IF(_xlpm.m=0,"",_xlpm.m+1))</f>
        <v/>
      </c>
      <c r="J3754" s="137" t="inlineStr">
        <is>
          <t>Odoo</t>
        </is>
      </c>
    </row>
    <row r="3755">
      <c r="A3755" s="5" t="inlineStr">
        <is>
          <t>Odoo Universal Unique Brands › Bodega 25 › Bodega 25/General</t>
        </is>
      </c>
      <c r="B3755" s="5">
        <f>IF($I2="","",INDEX(Productos!$A:$A,$I2))</f>
        <v/>
      </c>
      <c r="C3755" s="134" t="inlineStr">
        <is>
          <t>11-054-0816-1320-6R</t>
        </is>
      </c>
      <c r="D3755" s="5">
        <f>IF($I2="","",INDEX(Productos!$B:$B,$I2))</f>
        <v/>
      </c>
      <c r="E3755" s="5">
        <f>IF($I2="","",INDEX(Productos!$H:$H,$I2))</f>
        <v/>
      </c>
      <c r="F3755" s="5">
        <f>IF($I2="","",INDEX(Productos!$I:$I,$I2))</f>
        <v/>
      </c>
      <c r="G3755" s="135" t="n">
        <v>2</v>
      </c>
      <c r="H3755" s="5">
        <f>IF($I2="","",INDEX(Productos!$AG:$AG,$I2))</f>
        <v/>
      </c>
      <c r="I3755" s="136">
        <f>LET(_xlpm.r,Productos!$E$2:$E$2509,_xlpm.m,IFERROR(_xlfn.XMATCH(C3755,_xlpm.r),IFERROR(_xlfn.XMATCH(VALUE(C3755),_xlpm.r),0)),IF(_xlpm.m=0,"",_xlpm.m+1))</f>
        <v/>
      </c>
      <c r="J3755" s="137" t="inlineStr">
        <is>
          <t>Odoo</t>
        </is>
      </c>
    </row>
    <row r="3756">
      <c r="A3756" s="5" t="inlineStr">
        <is>
          <t>Odoo Universal Unique Brands › Bodega 25 › Bodega 25/General</t>
        </is>
      </c>
      <c r="B3756" s="5">
        <f>IF($I2="","",INDEX(Productos!$A:$A,$I2))</f>
        <v/>
      </c>
      <c r="C3756" s="134" t="inlineStr">
        <is>
          <t>11-054-0816-1320-8L</t>
        </is>
      </c>
      <c r="D3756" s="5">
        <f>IF($I2="","",INDEX(Productos!$B:$B,$I2))</f>
        <v/>
      </c>
      <c r="E3756" s="5">
        <f>IF($I2="","",INDEX(Productos!$H:$H,$I2))</f>
        <v/>
      </c>
      <c r="F3756" s="5">
        <f>IF($I2="","",INDEX(Productos!$I:$I,$I2))</f>
        <v/>
      </c>
      <c r="G3756" s="135" t="n">
        <v>1</v>
      </c>
      <c r="H3756" s="5">
        <f>IF($I2="","",INDEX(Productos!$AG:$AG,$I2))</f>
        <v/>
      </c>
      <c r="I3756" s="136">
        <f>LET(_xlpm.r,Productos!$E$2:$E$2509,_xlpm.m,IFERROR(_xlfn.XMATCH(C3756,_xlpm.r),IFERROR(_xlfn.XMATCH(VALUE(C3756),_xlpm.r),0)),IF(_xlpm.m=0,"",_xlpm.m+1))</f>
        <v/>
      </c>
      <c r="J3756" s="137" t="inlineStr">
        <is>
          <t>Odoo</t>
        </is>
      </c>
    </row>
    <row r="3757">
      <c r="A3757" s="5" t="inlineStr">
        <is>
          <t>Odoo Universal Unique Brands › Bodega 25 › Bodega 25/General</t>
        </is>
      </c>
      <c r="B3757" s="5">
        <f>IF($I2="","",INDEX(Productos!$A:$A,$I2))</f>
        <v/>
      </c>
      <c r="C3757" s="134" t="inlineStr">
        <is>
          <t>11-054-0816-1320-8R</t>
        </is>
      </c>
      <c r="D3757" s="5">
        <f>IF($I2="","",INDEX(Productos!$B:$B,$I2))</f>
        <v/>
      </c>
      <c r="E3757" s="5">
        <f>IF($I2="","",INDEX(Productos!$H:$H,$I2))</f>
        <v/>
      </c>
      <c r="F3757" s="5">
        <f>IF($I2="","",INDEX(Productos!$I:$I,$I2))</f>
        <v/>
      </c>
      <c r="G3757" s="135" t="n">
        <v>2</v>
      </c>
      <c r="H3757" s="5">
        <f>IF($I2="","",INDEX(Productos!$AG:$AG,$I2))</f>
        <v/>
      </c>
      <c r="I3757" s="136">
        <f>LET(_xlpm.r,Productos!$E$2:$E$2509,_xlpm.m,IFERROR(_xlfn.XMATCH(C3757,_xlpm.r),IFERROR(_xlfn.XMATCH(VALUE(C3757),_xlpm.r),0)),IF(_xlpm.m=0,"",_xlpm.m+1))</f>
        <v/>
      </c>
      <c r="J3757" s="137" t="inlineStr">
        <is>
          <t>Odoo</t>
        </is>
      </c>
    </row>
    <row r="3758">
      <c r="A3758" s="5" t="inlineStr">
        <is>
          <t>Odoo Universal Unique Brands › Bodega 25 › Bodega 25/General</t>
        </is>
      </c>
      <c r="B3758" s="5">
        <f>IF($I2="","",INDEX(Productos!$A:$A,$I2))</f>
        <v/>
      </c>
      <c r="C3758" s="134" t="inlineStr">
        <is>
          <t>11-054-0816-1322-0R</t>
        </is>
      </c>
      <c r="D3758" s="5">
        <f>IF($I2="","",INDEX(Productos!$B:$B,$I2))</f>
        <v/>
      </c>
      <c r="E3758" s="5">
        <f>IF($I2="","",INDEX(Productos!$H:$H,$I2))</f>
        <v/>
      </c>
      <c r="F3758" s="5">
        <f>IF($I2="","",INDEX(Productos!$I:$I,$I2))</f>
        <v/>
      </c>
      <c r="G3758" s="135" t="n">
        <v>2</v>
      </c>
      <c r="H3758" s="5">
        <f>IF($I2="","",INDEX(Productos!$AG:$AG,$I2))</f>
        <v/>
      </c>
      <c r="I3758" s="136">
        <f>LET(_xlpm.r,Productos!$E$2:$E$2509,_xlpm.m,IFERROR(_xlfn.XMATCH(C3758,_xlpm.r),IFERROR(_xlfn.XMATCH(VALUE(C3758),_xlpm.r),0)),IF(_xlpm.m=0,"",_xlpm.m+1))</f>
        <v/>
      </c>
      <c r="J3758" s="137" t="inlineStr">
        <is>
          <t>Odoo</t>
        </is>
      </c>
    </row>
    <row r="3759">
      <c r="A3759" s="5" t="inlineStr">
        <is>
          <t>Odoo Universal Unique Brands › Bodega 25 › Bodega 25/General</t>
        </is>
      </c>
      <c r="B3759" s="5">
        <f>IF($I2="","",INDEX(Productos!$A:$A,$I2))</f>
        <v/>
      </c>
      <c r="C3759" s="134" t="inlineStr">
        <is>
          <t>11-054-0816-1322-10R</t>
        </is>
      </c>
      <c r="D3759" s="5">
        <f>IF($I2="","",INDEX(Productos!$B:$B,$I2))</f>
        <v/>
      </c>
      <c r="E3759" s="5">
        <f>IF($I2="","",INDEX(Productos!$H:$H,$I2))</f>
        <v/>
      </c>
      <c r="F3759" s="5">
        <f>IF($I2="","",INDEX(Productos!$I:$I,$I2))</f>
        <v/>
      </c>
      <c r="G3759" s="135" t="n">
        <v>4</v>
      </c>
      <c r="H3759" s="5">
        <f>IF($I2="","",INDEX(Productos!$AG:$AG,$I2))</f>
        <v/>
      </c>
      <c r="I3759" s="136">
        <f>LET(_xlpm.r,Productos!$E$2:$E$2509,_xlpm.m,IFERROR(_xlfn.XMATCH(C3759,_xlpm.r),IFERROR(_xlfn.XMATCH(VALUE(C3759),_xlpm.r),0)),IF(_xlpm.m=0,"",_xlpm.m+1))</f>
        <v/>
      </c>
      <c r="J3759" s="137" t="inlineStr">
        <is>
          <t>Odoo</t>
        </is>
      </c>
    </row>
    <row r="3760">
      <c r="A3760" s="5" t="inlineStr">
        <is>
          <t>Odoo Universal Unique Brands › Bodega 25 › Bodega 25/General</t>
        </is>
      </c>
      <c r="B3760" s="5">
        <f>IF($I2="","",INDEX(Productos!$A:$A,$I2))</f>
        <v/>
      </c>
      <c r="C3760" s="134" t="inlineStr">
        <is>
          <t>11-054-0816-1322-2R</t>
        </is>
      </c>
      <c r="D3760" s="5">
        <f>IF($I2="","",INDEX(Productos!$B:$B,$I2))</f>
        <v/>
      </c>
      <c r="E3760" s="5">
        <f>IF($I2="","",INDEX(Productos!$H:$H,$I2))</f>
        <v/>
      </c>
      <c r="F3760" s="5">
        <f>IF($I2="","",INDEX(Productos!$I:$I,$I2))</f>
        <v/>
      </c>
      <c r="G3760" s="135" t="n">
        <v>3</v>
      </c>
      <c r="H3760" s="5">
        <f>IF($I2="","",INDEX(Productos!$AG:$AG,$I2))</f>
        <v/>
      </c>
      <c r="I3760" s="136">
        <f>LET(_xlpm.r,Productos!$E$2:$E$2509,_xlpm.m,IFERROR(_xlfn.XMATCH(C3760,_xlpm.r),IFERROR(_xlfn.XMATCH(VALUE(C3760),_xlpm.r),0)),IF(_xlpm.m=0,"",_xlpm.m+1))</f>
        <v/>
      </c>
      <c r="J3760" s="137" t="inlineStr">
        <is>
          <t>Odoo</t>
        </is>
      </c>
    </row>
    <row r="3761">
      <c r="A3761" s="5" t="inlineStr">
        <is>
          <t>Odoo Universal Unique Brands › Bodega 25 › Bodega 25/General</t>
        </is>
      </c>
      <c r="B3761" s="5">
        <f>IF($I2="","",INDEX(Productos!$A:$A,$I2))</f>
        <v/>
      </c>
      <c r="C3761" s="134" t="inlineStr">
        <is>
          <t>11-054-0816-1322-4R</t>
        </is>
      </c>
      <c r="D3761" s="5">
        <f>IF($I2="","",INDEX(Productos!$B:$B,$I2))</f>
        <v/>
      </c>
      <c r="E3761" s="5">
        <f>IF($I2="","",INDEX(Productos!$H:$H,$I2))</f>
        <v/>
      </c>
      <c r="F3761" s="5">
        <f>IF($I2="","",INDEX(Productos!$I:$I,$I2))</f>
        <v/>
      </c>
      <c r="G3761" s="135" t="n">
        <v>1</v>
      </c>
      <c r="H3761" s="5">
        <f>IF($I2="","",INDEX(Productos!$AG:$AG,$I2))</f>
        <v/>
      </c>
      <c r="I3761" s="136">
        <f>LET(_xlpm.r,Productos!$E$2:$E$2509,_xlpm.m,IFERROR(_xlfn.XMATCH(C3761,_xlpm.r),IFERROR(_xlfn.XMATCH(VALUE(C3761),_xlpm.r),0)),IF(_xlpm.m=0,"",_xlpm.m+1))</f>
        <v/>
      </c>
      <c r="J3761" s="137" t="inlineStr">
        <is>
          <t>Odoo</t>
        </is>
      </c>
    </row>
    <row r="3762">
      <c r="A3762" s="5" t="inlineStr">
        <is>
          <t>Odoo Universal Unique Brands › Bodega 25 › Bodega 25/General</t>
        </is>
      </c>
      <c r="B3762" s="5">
        <f>IF($I2="","",INDEX(Productos!$A:$A,$I2))</f>
        <v/>
      </c>
      <c r="C3762" s="134" t="inlineStr">
        <is>
          <t>11-054-0816-1322-6R</t>
        </is>
      </c>
      <c r="D3762" s="5">
        <f>IF($I2="","",INDEX(Productos!$B:$B,$I2))</f>
        <v/>
      </c>
      <c r="E3762" s="5">
        <f>IF($I2="","",INDEX(Productos!$H:$H,$I2))</f>
        <v/>
      </c>
      <c r="F3762" s="5">
        <f>IF($I2="","",INDEX(Productos!$I:$I,$I2))</f>
        <v/>
      </c>
      <c r="G3762" s="135" t="n">
        <v>8</v>
      </c>
      <c r="H3762" s="5">
        <f>IF($I2="","",INDEX(Productos!$AG:$AG,$I2))</f>
        <v/>
      </c>
      <c r="I3762" s="136">
        <f>LET(_xlpm.r,Productos!$E$2:$E$2509,_xlpm.m,IFERROR(_xlfn.XMATCH(C3762,_xlpm.r),IFERROR(_xlfn.XMATCH(VALUE(C3762),_xlpm.r),0)),IF(_xlpm.m=0,"",_xlpm.m+1))</f>
        <v/>
      </c>
      <c r="J3762" s="137" t="inlineStr">
        <is>
          <t>Odoo</t>
        </is>
      </c>
    </row>
    <row r="3763">
      <c r="A3763" s="5" t="inlineStr">
        <is>
          <t>Odoo Universal Unique Brands › Bodega 25 › Bodega 25/General</t>
        </is>
      </c>
      <c r="B3763" s="5">
        <f>IF($I2="","",INDEX(Productos!$A:$A,$I2))</f>
        <v/>
      </c>
      <c r="C3763" s="134" t="inlineStr">
        <is>
          <t>11-054-0816-1322-8R</t>
        </is>
      </c>
      <c r="D3763" s="5">
        <f>IF($I2="","",INDEX(Productos!$B:$B,$I2))</f>
        <v/>
      </c>
      <c r="E3763" s="5">
        <f>IF($I2="","",INDEX(Productos!$H:$H,$I2))</f>
        <v/>
      </c>
      <c r="F3763" s="5">
        <f>IF($I2="","",INDEX(Productos!$I:$I,$I2))</f>
        <v/>
      </c>
      <c r="G3763" s="135" t="n">
        <v>5</v>
      </c>
      <c r="H3763" s="5">
        <f>IF($I2="","",INDEX(Productos!$AG:$AG,$I2))</f>
        <v/>
      </c>
      <c r="I3763" s="136">
        <f>LET(_xlpm.r,Productos!$E$2:$E$2509,_xlpm.m,IFERROR(_xlfn.XMATCH(C3763,_xlpm.r),IFERROR(_xlfn.XMATCH(VALUE(C3763),_xlpm.r),0)),IF(_xlpm.m=0,"",_xlpm.m+1))</f>
        <v/>
      </c>
      <c r="J3763" s="137" t="inlineStr">
        <is>
          <t>Odoo</t>
        </is>
      </c>
    </row>
    <row r="3764">
      <c r="A3764" s="5" t="inlineStr">
        <is>
          <t>Odoo Universal Unique Brands › Bodega 25 › Bodega 25/General</t>
        </is>
      </c>
      <c r="B3764" s="5">
        <f>IF($I2="","",INDEX(Productos!$A:$A,$I2))</f>
        <v/>
      </c>
      <c r="C3764" s="134" t="inlineStr">
        <is>
          <t>11-054-0921-2407-0R</t>
        </is>
      </c>
      <c r="D3764" s="5">
        <f>IF($I2="","",INDEX(Productos!$B:$B,$I2))</f>
        <v/>
      </c>
      <c r="E3764" s="5">
        <f>IF($I2="","",INDEX(Productos!$H:$H,$I2))</f>
        <v/>
      </c>
      <c r="F3764" s="5">
        <f>IF($I2="","",INDEX(Productos!$I:$I,$I2))</f>
        <v/>
      </c>
      <c r="G3764" s="135" t="n">
        <v>2</v>
      </c>
      <c r="H3764" s="5">
        <f>IF($I2="","",INDEX(Productos!$AG:$AG,$I2))</f>
        <v/>
      </c>
      <c r="I3764" s="136">
        <f>LET(_xlpm.r,Productos!$E$2:$E$2509,_xlpm.m,IFERROR(_xlfn.XMATCH(C3764,_xlpm.r),IFERROR(_xlfn.XMATCH(VALUE(C3764),_xlpm.r),0)),IF(_xlpm.m=0,"",_xlpm.m+1))</f>
        <v/>
      </c>
      <c r="J3764" s="137" t="inlineStr">
        <is>
          <t>Odoo</t>
        </is>
      </c>
    </row>
    <row r="3765">
      <c r="A3765" s="5" t="inlineStr">
        <is>
          <t>Odoo Universal Unique Brands › Bodega 25 › Bodega 25/General</t>
        </is>
      </c>
      <c r="B3765" s="5">
        <f>IF($I2="","",INDEX(Productos!$A:$A,$I2))</f>
        <v/>
      </c>
      <c r="C3765" s="134" t="inlineStr">
        <is>
          <t>11-054-0921-2407-10L</t>
        </is>
      </c>
      <c r="D3765" s="5">
        <f>IF($I2="","",INDEX(Productos!$B:$B,$I2))</f>
        <v/>
      </c>
      <c r="E3765" s="5">
        <f>IF($I2="","",INDEX(Productos!$H:$H,$I2))</f>
        <v/>
      </c>
      <c r="F3765" s="5">
        <f>IF($I2="","",INDEX(Productos!$I:$I,$I2))</f>
        <v/>
      </c>
      <c r="G3765" s="135" t="n">
        <v>1</v>
      </c>
      <c r="H3765" s="5">
        <f>IF($I2="","",INDEX(Productos!$AG:$AG,$I2))</f>
        <v/>
      </c>
      <c r="I3765" s="136">
        <f>LET(_xlpm.r,Productos!$E$2:$E$2509,_xlpm.m,IFERROR(_xlfn.XMATCH(C3765,_xlpm.r),IFERROR(_xlfn.XMATCH(VALUE(C3765),_xlpm.r),0)),IF(_xlpm.m=0,"",_xlpm.m+1))</f>
        <v/>
      </c>
      <c r="J3765" s="137" t="inlineStr">
        <is>
          <t>Odoo</t>
        </is>
      </c>
    </row>
    <row r="3766">
      <c r="A3766" s="5" t="inlineStr">
        <is>
          <t>Odoo Universal Unique Brands › Bodega 25 › Bodega 25/General</t>
        </is>
      </c>
      <c r="B3766" s="5">
        <f>IF($I2="","",INDEX(Productos!$A:$A,$I2))</f>
        <v/>
      </c>
      <c r="C3766" s="134" t="inlineStr">
        <is>
          <t>11-054-0921-2407-10R</t>
        </is>
      </c>
      <c r="D3766" s="5">
        <f>IF($I2="","",INDEX(Productos!$B:$B,$I2))</f>
        <v/>
      </c>
      <c r="E3766" s="5">
        <f>IF($I2="","",INDEX(Productos!$H:$H,$I2))</f>
        <v/>
      </c>
      <c r="F3766" s="5">
        <f>IF($I2="","",INDEX(Productos!$I:$I,$I2))</f>
        <v/>
      </c>
      <c r="G3766" s="135" t="n">
        <v>2</v>
      </c>
      <c r="H3766" s="5">
        <f>IF($I2="","",INDEX(Productos!$AG:$AG,$I2))</f>
        <v/>
      </c>
      <c r="I3766" s="136">
        <f>LET(_xlpm.r,Productos!$E$2:$E$2509,_xlpm.m,IFERROR(_xlfn.XMATCH(C3766,_xlpm.r),IFERROR(_xlfn.XMATCH(VALUE(C3766),_xlpm.r),0)),IF(_xlpm.m=0,"",_xlpm.m+1))</f>
        <v/>
      </c>
      <c r="J3766" s="137" t="inlineStr">
        <is>
          <t>Odoo</t>
        </is>
      </c>
    </row>
    <row r="3767">
      <c r="A3767" s="5" t="inlineStr">
        <is>
          <t>Odoo Universal Unique Brands › Bodega 25 › Bodega 25/General</t>
        </is>
      </c>
      <c r="B3767" s="5">
        <f>IF($I2="","",INDEX(Productos!$A:$A,$I2))</f>
        <v/>
      </c>
      <c r="C3767" s="134" t="inlineStr">
        <is>
          <t>11-054-0921-2407-2R</t>
        </is>
      </c>
      <c r="D3767" s="5">
        <f>IF($I2="","",INDEX(Productos!$B:$B,$I2))</f>
        <v/>
      </c>
      <c r="E3767" s="5">
        <f>IF($I2="","",INDEX(Productos!$H:$H,$I2))</f>
        <v/>
      </c>
      <c r="F3767" s="5">
        <f>IF($I2="","",INDEX(Productos!$I:$I,$I2))</f>
        <v/>
      </c>
      <c r="G3767" s="135" t="n">
        <v>2</v>
      </c>
      <c r="H3767" s="5">
        <f>IF($I2="","",INDEX(Productos!$AG:$AG,$I2))</f>
        <v/>
      </c>
      <c r="I3767" s="136">
        <f>LET(_xlpm.r,Productos!$E$2:$E$2509,_xlpm.m,IFERROR(_xlfn.XMATCH(C3767,_xlpm.r),IFERROR(_xlfn.XMATCH(VALUE(C3767),_xlpm.r),0)),IF(_xlpm.m=0,"",_xlpm.m+1))</f>
        <v/>
      </c>
      <c r="J3767" s="137" t="inlineStr">
        <is>
          <t>Odoo</t>
        </is>
      </c>
    </row>
    <row r="3768">
      <c r="A3768" s="5" t="inlineStr">
        <is>
          <t>Odoo Universal Unique Brands › Bodega 25 › Bodega 25/General</t>
        </is>
      </c>
      <c r="B3768" s="5">
        <f>IF($I2="","",INDEX(Productos!$A:$A,$I2))</f>
        <v/>
      </c>
      <c r="C3768" s="134" t="inlineStr">
        <is>
          <t>11-054-0921-2407-4L</t>
        </is>
      </c>
      <c r="D3768" s="5">
        <f>IF($I2="","",INDEX(Productos!$B:$B,$I2))</f>
        <v/>
      </c>
      <c r="E3768" s="5">
        <f>IF($I2="","",INDEX(Productos!$H:$H,$I2))</f>
        <v/>
      </c>
      <c r="F3768" s="5">
        <f>IF($I2="","",INDEX(Productos!$I:$I,$I2))</f>
        <v/>
      </c>
      <c r="G3768" s="135" t="n">
        <v>1</v>
      </c>
      <c r="H3768" s="5">
        <f>IF($I2="","",INDEX(Productos!$AG:$AG,$I2))</f>
        <v/>
      </c>
      <c r="I3768" s="136">
        <f>LET(_xlpm.r,Productos!$E$2:$E$2509,_xlpm.m,IFERROR(_xlfn.XMATCH(C3768,_xlpm.r),IFERROR(_xlfn.XMATCH(VALUE(C3768),_xlpm.r),0)),IF(_xlpm.m=0,"",_xlpm.m+1))</f>
        <v/>
      </c>
      <c r="J3768" s="137" t="inlineStr">
        <is>
          <t>Odoo</t>
        </is>
      </c>
    </row>
    <row r="3769">
      <c r="A3769" s="5" t="inlineStr">
        <is>
          <t>Odoo Universal Unique Brands › Bodega 25 › Bodega 25/General</t>
        </is>
      </c>
      <c r="B3769" s="5">
        <f>IF($I2="","",INDEX(Productos!$A:$A,$I2))</f>
        <v/>
      </c>
      <c r="C3769" s="134" t="inlineStr">
        <is>
          <t>11-054-0921-2407-4R</t>
        </is>
      </c>
      <c r="D3769" s="5">
        <f>IF($I2="","",INDEX(Productos!$B:$B,$I2))</f>
        <v/>
      </c>
      <c r="E3769" s="5">
        <f>IF($I2="","",INDEX(Productos!$H:$H,$I2))</f>
        <v/>
      </c>
      <c r="F3769" s="5">
        <f>IF($I2="","",INDEX(Productos!$I:$I,$I2))</f>
        <v/>
      </c>
      <c r="G3769" s="135" t="n">
        <v>2</v>
      </c>
      <c r="H3769" s="5">
        <f>IF($I2="","",INDEX(Productos!$AG:$AG,$I2))</f>
        <v/>
      </c>
      <c r="I3769" s="136">
        <f>LET(_xlpm.r,Productos!$E$2:$E$2509,_xlpm.m,IFERROR(_xlfn.XMATCH(C3769,_xlpm.r),IFERROR(_xlfn.XMATCH(VALUE(C3769),_xlpm.r),0)),IF(_xlpm.m=0,"",_xlpm.m+1))</f>
        <v/>
      </c>
      <c r="J3769" s="137" t="inlineStr">
        <is>
          <t>Odoo</t>
        </is>
      </c>
    </row>
    <row r="3770">
      <c r="A3770" s="5" t="inlineStr">
        <is>
          <t>Odoo Universal Unique Brands › Bodega 25 › Bodega 25/General</t>
        </is>
      </c>
      <c r="B3770" s="5">
        <f>IF($I2="","",INDEX(Productos!$A:$A,$I2))</f>
        <v/>
      </c>
      <c r="C3770" s="134" t="inlineStr">
        <is>
          <t>11-054-0921-2407-6L</t>
        </is>
      </c>
      <c r="D3770" s="5">
        <f>IF($I2="","",INDEX(Productos!$B:$B,$I2))</f>
        <v/>
      </c>
      <c r="E3770" s="5">
        <f>IF($I2="","",INDEX(Productos!$H:$H,$I2))</f>
        <v/>
      </c>
      <c r="F3770" s="5">
        <f>IF($I2="","",INDEX(Productos!$I:$I,$I2))</f>
        <v/>
      </c>
      <c r="G3770" s="135" t="n">
        <v>1</v>
      </c>
      <c r="H3770" s="5">
        <f>IF($I2="","",INDEX(Productos!$AG:$AG,$I2))</f>
        <v/>
      </c>
      <c r="I3770" s="136">
        <f>LET(_xlpm.r,Productos!$E$2:$E$2509,_xlpm.m,IFERROR(_xlfn.XMATCH(C3770,_xlpm.r),IFERROR(_xlfn.XMATCH(VALUE(C3770),_xlpm.r),0)),IF(_xlpm.m=0,"",_xlpm.m+1))</f>
        <v/>
      </c>
      <c r="J3770" s="137" t="inlineStr">
        <is>
          <t>Odoo</t>
        </is>
      </c>
    </row>
    <row r="3771">
      <c r="A3771" s="5" t="inlineStr">
        <is>
          <t>Odoo Universal Unique Brands › Bodega 25 › Bodega 25/General</t>
        </is>
      </c>
      <c r="B3771" s="5">
        <f>IF($I2="","",INDEX(Productos!$A:$A,$I2))</f>
        <v/>
      </c>
      <c r="C3771" s="134" t="inlineStr">
        <is>
          <t>11-054-0921-2407-6R</t>
        </is>
      </c>
      <c r="D3771" s="5">
        <f>IF($I2="","",INDEX(Productos!$B:$B,$I2))</f>
        <v/>
      </c>
      <c r="E3771" s="5">
        <f>IF($I2="","",INDEX(Productos!$H:$H,$I2))</f>
        <v/>
      </c>
      <c r="F3771" s="5">
        <f>IF($I2="","",INDEX(Productos!$I:$I,$I2))</f>
        <v/>
      </c>
      <c r="G3771" s="135" t="n">
        <v>2</v>
      </c>
      <c r="H3771" s="5">
        <f>IF($I2="","",INDEX(Productos!$AG:$AG,$I2))</f>
        <v/>
      </c>
      <c r="I3771" s="136">
        <f>LET(_xlpm.r,Productos!$E$2:$E$2509,_xlpm.m,IFERROR(_xlfn.XMATCH(C3771,_xlpm.r),IFERROR(_xlfn.XMATCH(VALUE(C3771),_xlpm.r),0)),IF(_xlpm.m=0,"",_xlpm.m+1))</f>
        <v/>
      </c>
      <c r="J3771" s="137" t="inlineStr">
        <is>
          <t>Odoo</t>
        </is>
      </c>
    </row>
    <row r="3772">
      <c r="A3772" s="5" t="inlineStr">
        <is>
          <t>Odoo Universal Unique Brands › Bodega 25 › Bodega 25/General</t>
        </is>
      </c>
      <c r="B3772" s="5">
        <f>IF($I2="","",INDEX(Productos!$A:$A,$I2))</f>
        <v/>
      </c>
      <c r="C3772" s="134" t="inlineStr">
        <is>
          <t>11-054-0921-2407-8L</t>
        </is>
      </c>
      <c r="D3772" s="5">
        <f>IF($I2="","",INDEX(Productos!$B:$B,$I2))</f>
        <v/>
      </c>
      <c r="E3772" s="5">
        <f>IF($I2="","",INDEX(Productos!$H:$H,$I2))</f>
        <v/>
      </c>
      <c r="F3772" s="5">
        <f>IF($I2="","",INDEX(Productos!$I:$I,$I2))</f>
        <v/>
      </c>
      <c r="G3772" s="135" t="n">
        <v>1</v>
      </c>
      <c r="H3772" s="5">
        <f>IF($I2="","",INDEX(Productos!$AG:$AG,$I2))</f>
        <v/>
      </c>
      <c r="I3772" s="136">
        <f>LET(_xlpm.r,Productos!$E$2:$E$2509,_xlpm.m,IFERROR(_xlfn.XMATCH(C3772,_xlpm.r),IFERROR(_xlfn.XMATCH(VALUE(C3772),_xlpm.r),0)),IF(_xlpm.m=0,"",_xlpm.m+1))</f>
        <v/>
      </c>
      <c r="J3772" s="137" t="inlineStr">
        <is>
          <t>Odoo</t>
        </is>
      </c>
    </row>
    <row r="3773">
      <c r="A3773" s="5" t="inlineStr">
        <is>
          <t>Odoo Universal Unique Brands › Bodega 25 › Bodega 25/General</t>
        </is>
      </c>
      <c r="B3773" s="5">
        <f>IF($I2="","",INDEX(Productos!$A:$A,$I2))</f>
        <v/>
      </c>
      <c r="C3773" s="134" t="inlineStr">
        <is>
          <t>11-054-0921-2407-8R</t>
        </is>
      </c>
      <c r="D3773" s="5">
        <f>IF($I2="","",INDEX(Productos!$B:$B,$I2))</f>
        <v/>
      </c>
      <c r="E3773" s="5">
        <f>IF($I2="","",INDEX(Productos!$H:$H,$I2))</f>
        <v/>
      </c>
      <c r="F3773" s="5">
        <f>IF($I2="","",INDEX(Productos!$I:$I,$I2))</f>
        <v/>
      </c>
      <c r="G3773" s="135" t="n">
        <v>2</v>
      </c>
      <c r="H3773" s="5">
        <f>IF($I2="","",INDEX(Productos!$AG:$AG,$I2))</f>
        <v/>
      </c>
      <c r="I3773" s="136">
        <f>LET(_xlpm.r,Productos!$E$2:$E$2509,_xlpm.m,IFERROR(_xlfn.XMATCH(C3773,_xlpm.r),IFERROR(_xlfn.XMATCH(VALUE(C3773),_xlpm.r),0)),IF(_xlpm.m=0,"",_xlpm.m+1))</f>
        <v/>
      </c>
      <c r="J3773" s="137" t="inlineStr">
        <is>
          <t>Odoo</t>
        </is>
      </c>
    </row>
    <row r="3774">
      <c r="A3774" s="5" t="inlineStr">
        <is>
          <t>Odoo Universal Unique Brands › Bodega 25 › Bodega 25/General</t>
        </is>
      </c>
      <c r="B3774" s="5">
        <f>IF($I2="","",INDEX(Productos!$A:$A,$I2))</f>
        <v/>
      </c>
      <c r="C3774" s="134" t="inlineStr">
        <is>
          <t>11-054-0921-2414-10R</t>
        </is>
      </c>
      <c r="D3774" s="5">
        <f>IF($I2="","",INDEX(Productos!$B:$B,$I2))</f>
        <v/>
      </c>
      <c r="E3774" s="5">
        <f>IF($I2="","",INDEX(Productos!$H:$H,$I2))</f>
        <v/>
      </c>
      <c r="F3774" s="5">
        <f>IF($I2="","",INDEX(Productos!$I:$I,$I2))</f>
        <v/>
      </c>
      <c r="G3774" s="135" t="n">
        <v>2</v>
      </c>
      <c r="H3774" s="5">
        <f>IF($I2="","",INDEX(Productos!$AG:$AG,$I2))</f>
        <v/>
      </c>
      <c r="I3774" s="136">
        <f>LET(_xlpm.r,Productos!$E$2:$E$2509,_xlpm.m,IFERROR(_xlfn.XMATCH(C3774,_xlpm.r),IFERROR(_xlfn.XMATCH(VALUE(C3774),_xlpm.r),0)),IF(_xlpm.m=0,"",_xlpm.m+1))</f>
        <v/>
      </c>
      <c r="J3774" s="137" t="inlineStr">
        <is>
          <t>Odoo</t>
        </is>
      </c>
    </row>
    <row r="3775">
      <c r="A3775" s="5" t="inlineStr">
        <is>
          <t>Odoo Universal Unique Brands › Bodega 25 › Bodega 25/General</t>
        </is>
      </c>
      <c r="B3775" s="5">
        <f>IF($I2="","",INDEX(Productos!$A:$A,$I2))</f>
        <v/>
      </c>
      <c r="C3775" s="134" t="inlineStr">
        <is>
          <t>11-054-0921-2414-2R</t>
        </is>
      </c>
      <c r="D3775" s="5">
        <f>IF($I2="","",INDEX(Productos!$B:$B,$I2))</f>
        <v/>
      </c>
      <c r="E3775" s="5">
        <f>IF($I2="","",INDEX(Productos!$H:$H,$I2))</f>
        <v/>
      </c>
      <c r="F3775" s="5">
        <f>IF($I2="","",INDEX(Productos!$I:$I,$I2))</f>
        <v/>
      </c>
      <c r="G3775" s="135" t="n">
        <v>2</v>
      </c>
      <c r="H3775" s="5">
        <f>IF($I2="","",INDEX(Productos!$AG:$AG,$I2))</f>
        <v/>
      </c>
      <c r="I3775" s="136">
        <f>LET(_xlpm.r,Productos!$E$2:$E$2509,_xlpm.m,IFERROR(_xlfn.XMATCH(C3775,_xlpm.r),IFERROR(_xlfn.XMATCH(VALUE(C3775),_xlpm.r),0)),IF(_xlpm.m=0,"",_xlpm.m+1))</f>
        <v/>
      </c>
      <c r="J3775" s="137" t="inlineStr">
        <is>
          <t>Odoo</t>
        </is>
      </c>
    </row>
    <row r="3776">
      <c r="A3776" s="5" t="inlineStr">
        <is>
          <t>Odoo Universal Unique Brands › Bodega 25 › Bodega 25/General</t>
        </is>
      </c>
      <c r="B3776" s="5">
        <f>IF($I2="","",INDEX(Productos!$A:$A,$I2))</f>
        <v/>
      </c>
      <c r="C3776" s="134" t="inlineStr">
        <is>
          <t>11-054-0921-2414-6R</t>
        </is>
      </c>
      <c r="D3776" s="5">
        <f>IF($I2="","",INDEX(Productos!$B:$B,$I2))</f>
        <v/>
      </c>
      <c r="E3776" s="5">
        <f>IF($I2="","",INDEX(Productos!$H:$H,$I2))</f>
        <v/>
      </c>
      <c r="F3776" s="5">
        <f>IF($I2="","",INDEX(Productos!$I:$I,$I2))</f>
        <v/>
      </c>
      <c r="G3776" s="135" t="n">
        <v>2</v>
      </c>
      <c r="H3776" s="5">
        <f>IF($I2="","",INDEX(Productos!$AG:$AG,$I2))</f>
        <v/>
      </c>
      <c r="I3776" s="136">
        <f>LET(_xlpm.r,Productos!$E$2:$E$2509,_xlpm.m,IFERROR(_xlfn.XMATCH(C3776,_xlpm.r),IFERROR(_xlfn.XMATCH(VALUE(C3776),_xlpm.r),0)),IF(_xlpm.m=0,"",_xlpm.m+1))</f>
        <v/>
      </c>
      <c r="J3776" s="137" t="inlineStr">
        <is>
          <t>Odoo</t>
        </is>
      </c>
    </row>
    <row r="3777">
      <c r="A3777" s="5" t="inlineStr">
        <is>
          <t>Odoo Universal Unique Brands › Bodega 25 › Bodega 25/General</t>
        </is>
      </c>
      <c r="B3777" s="5">
        <f>IF($I2="","",INDEX(Productos!$A:$A,$I2))</f>
        <v/>
      </c>
      <c r="C3777" s="134" t="inlineStr">
        <is>
          <t>11-054-0921-2414-8R</t>
        </is>
      </c>
      <c r="D3777" s="5">
        <f>IF($I2="","",INDEX(Productos!$B:$B,$I2))</f>
        <v/>
      </c>
      <c r="E3777" s="5">
        <f>IF($I2="","",INDEX(Productos!$H:$H,$I2))</f>
        <v/>
      </c>
      <c r="F3777" s="5">
        <f>IF($I2="","",INDEX(Productos!$I:$I,$I2))</f>
        <v/>
      </c>
      <c r="G3777" s="135" t="n">
        <v>2</v>
      </c>
      <c r="H3777" s="5">
        <f>IF($I2="","",INDEX(Productos!$AG:$AG,$I2))</f>
        <v/>
      </c>
      <c r="I3777" s="136">
        <f>LET(_xlpm.r,Productos!$E$2:$E$2509,_xlpm.m,IFERROR(_xlfn.XMATCH(C3777,_xlpm.r),IFERROR(_xlfn.XMATCH(VALUE(C3777),_xlpm.r),0)),IF(_xlpm.m=0,"",_xlpm.m+1))</f>
        <v/>
      </c>
      <c r="J3777" s="137" t="inlineStr">
        <is>
          <t>Odoo</t>
        </is>
      </c>
    </row>
    <row r="3778">
      <c r="A3778" s="5" t="inlineStr">
        <is>
          <t>Odoo Universal Unique Brands › Bodega 25 › Bodega 25/General</t>
        </is>
      </c>
      <c r="B3778" s="5">
        <f>IF($I2="","",INDEX(Productos!$A:$A,$I2))</f>
        <v/>
      </c>
      <c r="C3778" s="134" t="inlineStr">
        <is>
          <t>11-097-0539-6620-L</t>
        </is>
      </c>
      <c r="D3778" s="5">
        <f>IF($I2="","",INDEX(Productos!$B:$B,$I2))</f>
        <v/>
      </c>
      <c r="E3778" s="5">
        <f>IF($I2="","",INDEX(Productos!$H:$H,$I2))</f>
        <v/>
      </c>
      <c r="F3778" s="5">
        <f>IF($I2="","",INDEX(Productos!$I:$I,$I2))</f>
        <v/>
      </c>
      <c r="G3778" s="135" t="n">
        <v>2</v>
      </c>
      <c r="H3778" s="5">
        <f>IF($I2="","",INDEX(Productos!$AG:$AG,$I2))</f>
        <v/>
      </c>
      <c r="I3778" s="136">
        <f>LET(_xlpm.r,Productos!$E$2:$E$2509,_xlpm.m,IFERROR(_xlfn.XMATCH(C3778,_xlpm.r),IFERROR(_xlfn.XMATCH(VALUE(C3778),_xlpm.r),0)),IF(_xlpm.m=0,"",_xlpm.m+1))</f>
        <v/>
      </c>
      <c r="J3778" s="137" t="inlineStr">
        <is>
          <t>Odoo</t>
        </is>
      </c>
    </row>
    <row r="3779">
      <c r="A3779" s="5" t="inlineStr">
        <is>
          <t>Odoo Universal Unique Brands › Bodega 25 › Bodega 25/General</t>
        </is>
      </c>
      <c r="B3779" s="5">
        <f>IF($I2="","",INDEX(Productos!$A:$A,$I2))</f>
        <v/>
      </c>
      <c r="C3779" s="134" t="inlineStr">
        <is>
          <t>11-097-0539-6620-M</t>
        </is>
      </c>
      <c r="D3779" s="5">
        <f>IF($I2="","",INDEX(Productos!$B:$B,$I2))</f>
        <v/>
      </c>
      <c r="E3779" s="5">
        <f>IF($I2="","",INDEX(Productos!$H:$H,$I2))</f>
        <v/>
      </c>
      <c r="F3779" s="5">
        <f>IF($I2="","",INDEX(Productos!$I:$I,$I2))</f>
        <v/>
      </c>
      <c r="G3779" s="135" t="n">
        <v>2</v>
      </c>
      <c r="H3779" s="5">
        <f>IF($I2="","",INDEX(Productos!$AG:$AG,$I2))</f>
        <v/>
      </c>
      <c r="I3779" s="136">
        <f>LET(_xlpm.r,Productos!$E$2:$E$2509,_xlpm.m,IFERROR(_xlfn.XMATCH(C3779,_xlpm.r),IFERROR(_xlfn.XMATCH(VALUE(C3779),_xlpm.r),0)),IF(_xlpm.m=0,"",_xlpm.m+1))</f>
        <v/>
      </c>
      <c r="J3779" s="137" t="inlineStr">
        <is>
          <t>Odoo</t>
        </is>
      </c>
    </row>
    <row r="3780">
      <c r="A3780" s="5" t="inlineStr">
        <is>
          <t>Odoo Universal Unique Brands › Bodega 25 › Bodega 25/General</t>
        </is>
      </c>
      <c r="B3780" s="5">
        <f>IF($I2="","",INDEX(Productos!$A:$A,$I2))</f>
        <v/>
      </c>
      <c r="C3780" s="134" t="inlineStr">
        <is>
          <t>11-097-0539-6620-S</t>
        </is>
      </c>
      <c r="D3780" s="5">
        <f>IF($I2="","",INDEX(Productos!$B:$B,$I2))</f>
        <v/>
      </c>
      <c r="E3780" s="5">
        <f>IF($I2="","",INDEX(Productos!$H:$H,$I2))</f>
        <v/>
      </c>
      <c r="F3780" s="5">
        <f>IF($I2="","",INDEX(Productos!$I:$I,$I2))</f>
        <v/>
      </c>
      <c r="G3780" s="135" t="n">
        <v>1</v>
      </c>
      <c r="H3780" s="5">
        <f>IF($I2="","",INDEX(Productos!$AG:$AG,$I2))</f>
        <v/>
      </c>
      <c r="I3780" s="136">
        <f>LET(_xlpm.r,Productos!$E$2:$E$2509,_xlpm.m,IFERROR(_xlfn.XMATCH(C3780,_xlpm.r),IFERROR(_xlfn.XMATCH(VALUE(C3780),_xlpm.r),0)),IF(_xlpm.m=0,"",_xlpm.m+1))</f>
        <v/>
      </c>
      <c r="J3780" s="137" t="inlineStr">
        <is>
          <t>Odoo</t>
        </is>
      </c>
    </row>
    <row r="3781">
      <c r="A3781" s="5" t="inlineStr">
        <is>
          <t>Odoo Universal Unique Brands › Bodega 25 › Bodega 25/General</t>
        </is>
      </c>
      <c r="B3781" s="5">
        <f>IF($I2="","",INDEX(Productos!$A:$A,$I2))</f>
        <v/>
      </c>
      <c r="C3781" s="134" t="inlineStr">
        <is>
          <t>11-097-0539-6620-XL</t>
        </is>
      </c>
      <c r="D3781" s="5">
        <f>IF($I2="","",INDEX(Productos!$B:$B,$I2))</f>
        <v/>
      </c>
      <c r="E3781" s="5">
        <f>IF($I2="","",INDEX(Productos!$H:$H,$I2))</f>
        <v/>
      </c>
      <c r="F3781" s="5">
        <f>IF($I2="","",INDEX(Productos!$I:$I,$I2))</f>
        <v/>
      </c>
      <c r="G3781" s="135" t="n">
        <v>1</v>
      </c>
      <c r="H3781" s="5">
        <f>IF($I2="","",INDEX(Productos!$AG:$AG,$I2))</f>
        <v/>
      </c>
      <c r="I3781" s="136">
        <f>LET(_xlpm.r,Productos!$E$2:$E$2509,_xlpm.m,IFERROR(_xlfn.XMATCH(C3781,_xlpm.r),IFERROR(_xlfn.XMATCH(VALUE(C3781),_xlpm.r),0)),IF(_xlpm.m=0,"",_xlpm.m+1))</f>
        <v/>
      </c>
      <c r="J3781" s="137" t="inlineStr">
        <is>
          <t>Odoo</t>
        </is>
      </c>
    </row>
    <row r="3782">
      <c r="A3782" s="5" t="inlineStr">
        <is>
          <t>Odoo Universal Unique Brands › Bodega 25 › Bodega 25/General</t>
        </is>
      </c>
      <c r="B3782" s="5">
        <f>IF($I2="","",INDEX(Productos!$A:$A,$I2))</f>
        <v/>
      </c>
      <c r="C3782" s="134" t="inlineStr">
        <is>
          <t>11-097-0539-6632-M</t>
        </is>
      </c>
      <c r="D3782" s="5">
        <f>IF($I2="","",INDEX(Productos!$B:$B,$I2))</f>
        <v/>
      </c>
      <c r="E3782" s="5">
        <f>IF($I2="","",INDEX(Productos!$H:$H,$I2))</f>
        <v/>
      </c>
      <c r="F3782" s="5">
        <f>IF($I2="","",INDEX(Productos!$I:$I,$I2))</f>
        <v/>
      </c>
      <c r="G3782" s="135" t="n">
        <v>2</v>
      </c>
      <c r="H3782" s="5">
        <f>IF($I2="","",INDEX(Productos!$AG:$AG,$I2))</f>
        <v/>
      </c>
      <c r="I3782" s="136">
        <f>LET(_xlpm.r,Productos!$E$2:$E$2509,_xlpm.m,IFERROR(_xlfn.XMATCH(C3782,_xlpm.r),IFERROR(_xlfn.XMATCH(VALUE(C3782),_xlpm.r),0)),IF(_xlpm.m=0,"",_xlpm.m+1))</f>
        <v/>
      </c>
      <c r="J3782" s="137" t="inlineStr">
        <is>
          <t>Odoo</t>
        </is>
      </c>
    </row>
    <row r="3783">
      <c r="A3783" s="5" t="inlineStr">
        <is>
          <t>Odoo Universal Unique Brands › Bodega 25 › Bodega 25/General</t>
        </is>
      </c>
      <c r="B3783" s="5">
        <f>IF($I2="","",INDEX(Productos!$A:$A,$I2))</f>
        <v/>
      </c>
      <c r="C3783" s="134" t="inlineStr">
        <is>
          <t>11-097-0539-6632-XL</t>
        </is>
      </c>
      <c r="D3783" s="5">
        <f>IF($I2="","",INDEX(Productos!$B:$B,$I2))</f>
        <v/>
      </c>
      <c r="E3783" s="5">
        <f>IF($I2="","",INDEX(Productos!$H:$H,$I2))</f>
        <v/>
      </c>
      <c r="F3783" s="5">
        <f>IF($I2="","",INDEX(Productos!$I:$I,$I2))</f>
        <v/>
      </c>
      <c r="G3783" s="135" t="n">
        <v>2</v>
      </c>
      <c r="H3783" s="5">
        <f>IF($I2="","",INDEX(Productos!$AG:$AG,$I2))</f>
        <v/>
      </c>
      <c r="I3783" s="136">
        <f>LET(_xlpm.r,Productos!$E$2:$E$2509,_xlpm.m,IFERROR(_xlfn.XMATCH(C3783,_xlpm.r),IFERROR(_xlfn.XMATCH(VALUE(C3783),_xlpm.r),0)),IF(_xlpm.m=0,"",_xlpm.m+1))</f>
        <v/>
      </c>
      <c r="J3783" s="137" t="inlineStr">
        <is>
          <t>Odoo</t>
        </is>
      </c>
    </row>
    <row r="3784">
      <c r="A3784" s="5" t="inlineStr">
        <is>
          <t>Odoo Universal Unique Brands › Bodega 25 › Bodega 25/General</t>
        </is>
      </c>
      <c r="B3784" s="5">
        <f>IF($I2="","",INDEX(Productos!$A:$A,$I2))</f>
        <v/>
      </c>
      <c r="C3784" s="134" t="inlineStr">
        <is>
          <t>11-097-0670-9160-L</t>
        </is>
      </c>
      <c r="D3784" s="5">
        <f>IF($I2="","",INDEX(Productos!$B:$B,$I2))</f>
        <v/>
      </c>
      <c r="E3784" s="5">
        <f>IF($I2="","",INDEX(Productos!$H:$H,$I2))</f>
        <v/>
      </c>
      <c r="F3784" s="5">
        <f>IF($I2="","",INDEX(Productos!$I:$I,$I2))</f>
        <v/>
      </c>
      <c r="G3784" s="135" t="n">
        <v>2</v>
      </c>
      <c r="H3784" s="5">
        <f>IF($I2="","",INDEX(Productos!$AG:$AG,$I2))</f>
        <v/>
      </c>
      <c r="I3784" s="136">
        <f>LET(_xlpm.r,Productos!$E$2:$E$2509,_xlpm.m,IFERROR(_xlfn.XMATCH(C3784,_xlpm.r),IFERROR(_xlfn.XMATCH(VALUE(C3784),_xlpm.r),0)),IF(_xlpm.m=0,"",_xlpm.m+1))</f>
        <v/>
      </c>
      <c r="J3784" s="137" t="inlineStr">
        <is>
          <t>Odoo</t>
        </is>
      </c>
    </row>
    <row r="3785">
      <c r="A3785" s="5" t="inlineStr">
        <is>
          <t>Odoo Universal Unique Brands › Bodega 25 › Bodega 25/General</t>
        </is>
      </c>
      <c r="B3785" s="5">
        <f>IF($I2="","",INDEX(Productos!$A:$A,$I2))</f>
        <v/>
      </c>
      <c r="C3785" s="134" t="inlineStr">
        <is>
          <t>11-097-0670-9160-M</t>
        </is>
      </c>
      <c r="D3785" s="5">
        <f>IF($I2="","",INDEX(Productos!$B:$B,$I2))</f>
        <v/>
      </c>
      <c r="E3785" s="5">
        <f>IF($I2="","",INDEX(Productos!$H:$H,$I2))</f>
        <v/>
      </c>
      <c r="F3785" s="5">
        <f>IF($I2="","",INDEX(Productos!$I:$I,$I2))</f>
        <v/>
      </c>
      <c r="G3785" s="135" t="n">
        <v>2</v>
      </c>
      <c r="H3785" s="5">
        <f>IF($I2="","",INDEX(Productos!$AG:$AG,$I2))</f>
        <v/>
      </c>
      <c r="I3785" s="136">
        <f>LET(_xlpm.r,Productos!$E$2:$E$2509,_xlpm.m,IFERROR(_xlfn.XMATCH(C3785,_xlpm.r),IFERROR(_xlfn.XMATCH(VALUE(C3785),_xlpm.r),0)),IF(_xlpm.m=0,"",_xlpm.m+1))</f>
        <v/>
      </c>
      <c r="J3785" s="137" t="inlineStr">
        <is>
          <t>Odoo</t>
        </is>
      </c>
    </row>
    <row r="3786">
      <c r="A3786" s="5" t="inlineStr">
        <is>
          <t>Odoo Universal Unique Brands › Bodega 25 › Bodega 25/General</t>
        </is>
      </c>
      <c r="B3786" s="5">
        <f>IF($I2="","",INDEX(Productos!$A:$A,$I2))</f>
        <v/>
      </c>
      <c r="C3786" s="134" t="inlineStr">
        <is>
          <t>11-097-0670-9160-S</t>
        </is>
      </c>
      <c r="D3786" s="5">
        <f>IF($I2="","",INDEX(Productos!$B:$B,$I2))</f>
        <v/>
      </c>
      <c r="E3786" s="5">
        <f>IF($I2="","",INDEX(Productos!$H:$H,$I2))</f>
        <v/>
      </c>
      <c r="F3786" s="5">
        <f>IF($I2="","",INDEX(Productos!$I:$I,$I2))</f>
        <v/>
      </c>
      <c r="G3786" s="135" t="n">
        <v>1</v>
      </c>
      <c r="H3786" s="5">
        <f>IF($I2="","",INDEX(Productos!$AG:$AG,$I2))</f>
        <v/>
      </c>
      <c r="I3786" s="136">
        <f>LET(_xlpm.r,Productos!$E$2:$E$2509,_xlpm.m,IFERROR(_xlfn.XMATCH(C3786,_xlpm.r),IFERROR(_xlfn.XMATCH(VALUE(C3786),_xlpm.r),0)),IF(_xlpm.m=0,"",_xlpm.m+1))</f>
        <v/>
      </c>
      <c r="J3786" s="137" t="inlineStr">
        <is>
          <t>Odoo</t>
        </is>
      </c>
    </row>
    <row r="3787">
      <c r="A3787" s="5" t="inlineStr">
        <is>
          <t>Odoo Universal Unique Brands › Bodega 25 › Bodega 25/General</t>
        </is>
      </c>
      <c r="B3787" s="5">
        <f>IF($I2="","",INDEX(Productos!$A:$A,$I2))</f>
        <v/>
      </c>
      <c r="C3787" s="134" t="inlineStr">
        <is>
          <t>11-097-0670-9160-XL</t>
        </is>
      </c>
      <c r="D3787" s="5">
        <f>IF($I2="","",INDEX(Productos!$B:$B,$I2))</f>
        <v/>
      </c>
      <c r="E3787" s="5">
        <f>IF($I2="","",INDEX(Productos!$H:$H,$I2))</f>
        <v/>
      </c>
      <c r="F3787" s="5">
        <f>IF($I2="","",INDEX(Productos!$I:$I,$I2))</f>
        <v/>
      </c>
      <c r="G3787" s="135" t="n">
        <v>1</v>
      </c>
      <c r="H3787" s="5">
        <f>IF($I2="","",INDEX(Productos!$AG:$AG,$I2))</f>
        <v/>
      </c>
      <c r="I3787" s="136">
        <f>LET(_xlpm.r,Productos!$E$2:$E$2509,_xlpm.m,IFERROR(_xlfn.XMATCH(C3787,_xlpm.r),IFERROR(_xlfn.XMATCH(VALUE(C3787),_xlpm.r),0)),IF(_xlpm.m=0,"",_xlpm.m+1))</f>
        <v/>
      </c>
      <c r="J3787" s="137" t="inlineStr">
        <is>
          <t>Odoo</t>
        </is>
      </c>
    </row>
    <row r="3788">
      <c r="A3788" s="5" t="inlineStr">
        <is>
          <t>Odoo Universal Unique Brands › Bodega 25 › Bodega 25/General</t>
        </is>
      </c>
      <c r="B3788" s="5">
        <f>IF($I2="","",INDEX(Productos!$A:$A,$I2))</f>
        <v/>
      </c>
      <c r="C3788" s="134" t="inlineStr">
        <is>
          <t>11-098-0202-7076-L</t>
        </is>
      </c>
      <c r="D3788" s="5">
        <f>IF($I2="","",INDEX(Productos!$B:$B,$I2))</f>
        <v/>
      </c>
      <c r="E3788" s="5">
        <f>IF($I2="","",INDEX(Productos!$H:$H,$I2))</f>
        <v/>
      </c>
      <c r="F3788" s="5">
        <f>IF($I2="","",INDEX(Productos!$I:$I,$I2))</f>
        <v/>
      </c>
      <c r="G3788" s="135" t="n">
        <v>1</v>
      </c>
      <c r="H3788" s="5">
        <f>IF($I2="","",INDEX(Productos!$AG:$AG,$I2))</f>
        <v/>
      </c>
      <c r="I3788" s="136">
        <f>LET(_xlpm.r,Productos!$E$2:$E$2509,_xlpm.m,IFERROR(_xlfn.XMATCH(C3788,_xlpm.r),IFERROR(_xlfn.XMATCH(VALUE(C3788),_xlpm.r),0)),IF(_xlpm.m=0,"",_xlpm.m+1))</f>
        <v/>
      </c>
      <c r="J3788" s="137" t="inlineStr">
        <is>
          <t>Odoo</t>
        </is>
      </c>
    </row>
    <row r="3789">
      <c r="A3789" s="5" t="inlineStr">
        <is>
          <t>Odoo Universal Unique Brands › Bodega 25 › Bodega 25/General</t>
        </is>
      </c>
      <c r="B3789" s="5">
        <f>IF($I2="","",INDEX(Productos!$A:$A,$I2))</f>
        <v/>
      </c>
      <c r="C3789" s="134" t="inlineStr">
        <is>
          <t>11-098-0202-7076-M</t>
        </is>
      </c>
      <c r="D3789" s="5">
        <f>IF($I2="","",INDEX(Productos!$B:$B,$I2))</f>
        <v/>
      </c>
      <c r="E3789" s="5">
        <f>IF($I2="","",INDEX(Productos!$H:$H,$I2))</f>
        <v/>
      </c>
      <c r="F3789" s="5">
        <f>IF($I2="","",INDEX(Productos!$I:$I,$I2))</f>
        <v/>
      </c>
      <c r="G3789" s="135" t="n">
        <v>2</v>
      </c>
      <c r="H3789" s="5">
        <f>IF($I2="","",INDEX(Productos!$AG:$AG,$I2))</f>
        <v/>
      </c>
      <c r="I3789" s="136">
        <f>LET(_xlpm.r,Productos!$E$2:$E$2509,_xlpm.m,IFERROR(_xlfn.XMATCH(C3789,_xlpm.r),IFERROR(_xlfn.XMATCH(VALUE(C3789),_xlpm.r),0)),IF(_xlpm.m=0,"",_xlpm.m+1))</f>
        <v/>
      </c>
      <c r="J3789" s="137" t="inlineStr">
        <is>
          <t>Odoo</t>
        </is>
      </c>
    </row>
    <row r="3790">
      <c r="A3790" s="5" t="inlineStr">
        <is>
          <t>Odoo Universal Unique Brands › Bodega 25 › Bodega 25/General</t>
        </is>
      </c>
      <c r="B3790" s="5">
        <f>IF($I2="","",INDEX(Productos!$A:$A,$I2))</f>
        <v/>
      </c>
      <c r="C3790" s="134" t="inlineStr">
        <is>
          <t>11-098-0202-7076-S</t>
        </is>
      </c>
      <c r="D3790" s="5">
        <f>IF($I2="","",INDEX(Productos!$B:$B,$I2))</f>
        <v/>
      </c>
      <c r="E3790" s="5">
        <f>IF($I2="","",INDEX(Productos!$H:$H,$I2))</f>
        <v/>
      </c>
      <c r="F3790" s="5">
        <f>IF($I2="","",INDEX(Productos!$I:$I,$I2))</f>
        <v/>
      </c>
      <c r="G3790" s="135" t="n">
        <v>2</v>
      </c>
      <c r="H3790" s="5">
        <f>IF($I2="","",INDEX(Productos!$AG:$AG,$I2))</f>
        <v/>
      </c>
      <c r="I3790" s="136">
        <f>LET(_xlpm.r,Productos!$E$2:$E$2509,_xlpm.m,IFERROR(_xlfn.XMATCH(C3790,_xlpm.r),IFERROR(_xlfn.XMATCH(VALUE(C3790),_xlpm.r),0)),IF(_xlpm.m=0,"",_xlpm.m+1))</f>
        <v/>
      </c>
      <c r="J3790" s="137" t="inlineStr">
        <is>
          <t>Odoo</t>
        </is>
      </c>
    </row>
    <row r="3791">
      <c r="A3791" s="5" t="inlineStr">
        <is>
          <t>Odoo Universal Unique Brands › Bodega 25 › Bodega 25/General</t>
        </is>
      </c>
      <c r="B3791" s="5">
        <f>IF($I2="","",INDEX(Productos!$A:$A,$I2))</f>
        <v/>
      </c>
      <c r="C3791" s="134" t="inlineStr">
        <is>
          <t>11-098-0539-0080-L</t>
        </is>
      </c>
      <c r="D3791" s="5">
        <f>IF($I2="","",INDEX(Productos!$B:$B,$I2))</f>
        <v/>
      </c>
      <c r="E3791" s="5">
        <f>IF($I2="","",INDEX(Productos!$H:$H,$I2))</f>
        <v/>
      </c>
      <c r="F3791" s="5">
        <f>IF($I2="","",INDEX(Productos!$I:$I,$I2))</f>
        <v/>
      </c>
      <c r="G3791" s="135" t="n">
        <v>1</v>
      </c>
      <c r="H3791" s="5">
        <f>IF($I2="","",INDEX(Productos!$AG:$AG,$I2))</f>
        <v/>
      </c>
      <c r="I3791" s="136">
        <f>LET(_xlpm.r,Productos!$E$2:$E$2509,_xlpm.m,IFERROR(_xlfn.XMATCH(C3791,_xlpm.r),IFERROR(_xlfn.XMATCH(VALUE(C3791),_xlpm.r),0)),IF(_xlpm.m=0,"",_xlpm.m+1))</f>
        <v/>
      </c>
      <c r="J3791" s="137" t="inlineStr">
        <is>
          <t>Odoo</t>
        </is>
      </c>
    </row>
    <row r="3792">
      <c r="A3792" s="5" t="inlineStr">
        <is>
          <t>Odoo Universal Unique Brands › Bodega 25 › Bodega 25/General</t>
        </is>
      </c>
      <c r="B3792" s="5">
        <f>IF($I2="","",INDEX(Productos!$A:$A,$I2))</f>
        <v/>
      </c>
      <c r="C3792" s="134" t="inlineStr">
        <is>
          <t>11-098-0539-0080-M</t>
        </is>
      </c>
      <c r="D3792" s="5">
        <f>IF($I2="","",INDEX(Productos!$B:$B,$I2))</f>
        <v/>
      </c>
      <c r="E3792" s="5">
        <f>IF($I2="","",INDEX(Productos!$H:$H,$I2))</f>
        <v/>
      </c>
      <c r="F3792" s="5">
        <f>IF($I2="","",INDEX(Productos!$I:$I,$I2))</f>
        <v/>
      </c>
      <c r="G3792" s="135" t="n">
        <v>2</v>
      </c>
      <c r="H3792" s="5">
        <f>IF($I2="","",INDEX(Productos!$AG:$AG,$I2))</f>
        <v/>
      </c>
      <c r="I3792" s="136">
        <f>LET(_xlpm.r,Productos!$E$2:$E$2509,_xlpm.m,IFERROR(_xlfn.XMATCH(C3792,_xlpm.r),IFERROR(_xlfn.XMATCH(VALUE(C3792),_xlpm.r),0)),IF(_xlpm.m=0,"",_xlpm.m+1))</f>
        <v/>
      </c>
      <c r="J3792" s="137" t="inlineStr">
        <is>
          <t>Odoo</t>
        </is>
      </c>
    </row>
    <row r="3793">
      <c r="A3793" s="5" t="inlineStr">
        <is>
          <t>Odoo Universal Unique Brands › Bodega 25 › Bodega 25/General</t>
        </is>
      </c>
      <c r="B3793" s="5">
        <f>IF($I2="","",INDEX(Productos!$A:$A,$I2))</f>
        <v/>
      </c>
      <c r="C3793" s="134" t="inlineStr">
        <is>
          <t>11-098-0539-0080-S</t>
        </is>
      </c>
      <c r="D3793" s="5">
        <f>IF($I2="","",INDEX(Productos!$B:$B,$I2))</f>
        <v/>
      </c>
      <c r="E3793" s="5">
        <f>IF($I2="","",INDEX(Productos!$H:$H,$I2))</f>
        <v/>
      </c>
      <c r="F3793" s="5">
        <f>IF($I2="","",INDEX(Productos!$I:$I,$I2))</f>
        <v/>
      </c>
      <c r="G3793" s="135" t="n">
        <v>2</v>
      </c>
      <c r="H3793" s="5">
        <f>IF($I2="","",INDEX(Productos!$AG:$AG,$I2))</f>
        <v/>
      </c>
      <c r="I3793" s="136">
        <f>LET(_xlpm.r,Productos!$E$2:$E$2509,_xlpm.m,IFERROR(_xlfn.XMATCH(C3793,_xlpm.r),IFERROR(_xlfn.XMATCH(VALUE(C3793),_xlpm.r),0)),IF(_xlpm.m=0,"",_xlpm.m+1))</f>
        <v/>
      </c>
      <c r="J3793" s="137" t="inlineStr">
        <is>
          <t>Odoo</t>
        </is>
      </c>
    </row>
    <row r="3794">
      <c r="A3794" s="5" t="inlineStr">
        <is>
          <t>Odoo Universal Unique Brands › Bodega 25 › Bodega 25/General</t>
        </is>
      </c>
      <c r="B3794" s="5">
        <f>IF($I2="","",INDEX(Productos!$A:$A,$I2))</f>
        <v/>
      </c>
      <c r="C3794" s="134" t="inlineStr">
        <is>
          <t>11-098-0539-0080-XL</t>
        </is>
      </c>
      <c r="D3794" s="5">
        <f>IF($I2="","",INDEX(Productos!$B:$B,$I2))</f>
        <v/>
      </c>
      <c r="E3794" s="5">
        <f>IF($I2="","",INDEX(Productos!$H:$H,$I2))</f>
        <v/>
      </c>
      <c r="F3794" s="5">
        <f>IF($I2="","",INDEX(Productos!$I:$I,$I2))</f>
        <v/>
      </c>
      <c r="G3794" s="135" t="n">
        <v>1</v>
      </c>
      <c r="H3794" s="5">
        <f>IF($I2="","",INDEX(Productos!$AG:$AG,$I2))</f>
        <v/>
      </c>
      <c r="I3794" s="136">
        <f>LET(_xlpm.r,Productos!$E$2:$E$2509,_xlpm.m,IFERROR(_xlfn.XMATCH(C3794,_xlpm.r),IFERROR(_xlfn.XMATCH(VALUE(C3794),_xlpm.r),0)),IF(_xlpm.m=0,"",_xlpm.m+1))</f>
        <v/>
      </c>
      <c r="J3794" s="137" t="inlineStr">
        <is>
          <t>Odoo</t>
        </is>
      </c>
    </row>
    <row r="3795">
      <c r="A3795" s="5" t="inlineStr">
        <is>
          <t>Odoo Universal Unique Brands › Bodega 25 › Bodega 25/General</t>
        </is>
      </c>
      <c r="B3795" s="5">
        <f>IF($I2="","",INDEX(Productos!$A:$A,$I2))</f>
        <v/>
      </c>
      <c r="C3795" s="134" t="inlineStr">
        <is>
          <t>11-098-0539-0080-XS</t>
        </is>
      </c>
      <c r="D3795" s="5">
        <f>IF($I2="","",INDEX(Productos!$B:$B,$I2))</f>
        <v/>
      </c>
      <c r="E3795" s="5">
        <f>IF($I2="","",INDEX(Productos!$H:$H,$I2))</f>
        <v/>
      </c>
      <c r="F3795" s="5">
        <f>IF($I2="","",INDEX(Productos!$I:$I,$I2))</f>
        <v/>
      </c>
      <c r="G3795" s="135" t="n">
        <v>1</v>
      </c>
      <c r="H3795" s="5">
        <f>IF($I2="","",INDEX(Productos!$AG:$AG,$I2))</f>
        <v/>
      </c>
      <c r="I3795" s="136">
        <f>LET(_xlpm.r,Productos!$E$2:$E$2509,_xlpm.m,IFERROR(_xlfn.XMATCH(C3795,_xlpm.r),IFERROR(_xlfn.XMATCH(VALUE(C3795),_xlpm.r),0)),IF(_xlpm.m=0,"",_xlpm.m+1))</f>
        <v/>
      </c>
      <c r="J3795" s="137" t="inlineStr">
        <is>
          <t>Odoo</t>
        </is>
      </c>
    </row>
    <row r="3796">
      <c r="A3796" s="5" t="inlineStr">
        <is>
          <t>Odoo Universal Unique Brands › Bodega 25 › Bodega 25/General</t>
        </is>
      </c>
      <c r="B3796" s="5">
        <f>IF($I2="","",INDEX(Productos!$A:$A,$I2))</f>
        <v/>
      </c>
      <c r="C3796" s="134" t="inlineStr">
        <is>
          <t>11-098-0539-0081-L</t>
        </is>
      </c>
      <c r="D3796" s="5">
        <f>IF($I2="","",INDEX(Productos!$B:$B,$I2))</f>
        <v/>
      </c>
      <c r="E3796" s="5">
        <f>IF($I2="","",INDEX(Productos!$H:$H,$I2))</f>
        <v/>
      </c>
      <c r="F3796" s="5">
        <f>IF($I2="","",INDEX(Productos!$I:$I,$I2))</f>
        <v/>
      </c>
      <c r="G3796" s="135" t="n">
        <v>1</v>
      </c>
      <c r="H3796" s="5">
        <f>IF($I2="","",INDEX(Productos!$AG:$AG,$I2))</f>
        <v/>
      </c>
      <c r="I3796" s="136">
        <f>LET(_xlpm.r,Productos!$E$2:$E$2509,_xlpm.m,IFERROR(_xlfn.XMATCH(C3796,_xlpm.r),IFERROR(_xlfn.XMATCH(VALUE(C3796),_xlpm.r),0)),IF(_xlpm.m=0,"",_xlpm.m+1))</f>
        <v/>
      </c>
      <c r="J3796" s="137" t="inlineStr">
        <is>
          <t>Odoo</t>
        </is>
      </c>
    </row>
    <row r="3797">
      <c r="A3797" s="5" t="inlineStr">
        <is>
          <t>Odoo Universal Unique Brands › Bodega 25 › Bodega 25/General</t>
        </is>
      </c>
      <c r="B3797" s="5">
        <f>IF($I2="","",INDEX(Productos!$A:$A,$I2))</f>
        <v/>
      </c>
      <c r="C3797" s="134" t="inlineStr">
        <is>
          <t>11-098-0539-0081-M</t>
        </is>
      </c>
      <c r="D3797" s="5">
        <f>IF($I2="","",INDEX(Productos!$B:$B,$I2))</f>
        <v/>
      </c>
      <c r="E3797" s="5">
        <f>IF($I2="","",INDEX(Productos!$H:$H,$I2))</f>
        <v/>
      </c>
      <c r="F3797" s="5">
        <f>IF($I2="","",INDEX(Productos!$I:$I,$I2))</f>
        <v/>
      </c>
      <c r="G3797" s="135" t="n">
        <v>2</v>
      </c>
      <c r="H3797" s="5">
        <f>IF($I2="","",INDEX(Productos!$AG:$AG,$I2))</f>
        <v/>
      </c>
      <c r="I3797" s="136">
        <f>LET(_xlpm.r,Productos!$E$2:$E$2509,_xlpm.m,IFERROR(_xlfn.XMATCH(C3797,_xlpm.r),IFERROR(_xlfn.XMATCH(VALUE(C3797),_xlpm.r),0)),IF(_xlpm.m=0,"",_xlpm.m+1))</f>
        <v/>
      </c>
      <c r="J3797" s="137" t="inlineStr">
        <is>
          <t>Odoo</t>
        </is>
      </c>
    </row>
    <row r="3798">
      <c r="A3798" s="5" t="inlineStr">
        <is>
          <t>Odoo Universal Unique Brands › Bodega 25 › Bodega 25/General</t>
        </is>
      </c>
      <c r="B3798" s="5">
        <f>IF($I2="","",INDEX(Productos!$A:$A,$I2))</f>
        <v/>
      </c>
      <c r="C3798" s="134" t="inlineStr">
        <is>
          <t>11-098-0539-0081-S</t>
        </is>
      </c>
      <c r="D3798" s="5">
        <f>IF($I2="","",INDEX(Productos!$B:$B,$I2))</f>
        <v/>
      </c>
      <c r="E3798" s="5">
        <f>IF($I2="","",INDEX(Productos!$H:$H,$I2))</f>
        <v/>
      </c>
      <c r="F3798" s="5">
        <f>IF($I2="","",INDEX(Productos!$I:$I,$I2))</f>
        <v/>
      </c>
      <c r="G3798" s="135" t="n">
        <v>2</v>
      </c>
      <c r="H3798" s="5">
        <f>IF($I2="","",INDEX(Productos!$AG:$AG,$I2))</f>
        <v/>
      </c>
      <c r="I3798" s="136">
        <f>LET(_xlpm.r,Productos!$E$2:$E$2509,_xlpm.m,IFERROR(_xlfn.XMATCH(C3798,_xlpm.r),IFERROR(_xlfn.XMATCH(VALUE(C3798),_xlpm.r),0)),IF(_xlpm.m=0,"",_xlpm.m+1))</f>
        <v/>
      </c>
      <c r="J3798" s="137" t="inlineStr">
        <is>
          <t>Odoo</t>
        </is>
      </c>
    </row>
    <row r="3799">
      <c r="A3799" s="5" t="inlineStr">
        <is>
          <t>Odoo Universal Unique Brands › Bodega 25 › Bodega 25/General</t>
        </is>
      </c>
      <c r="B3799" s="5">
        <f>IF($I2="","",INDEX(Productos!$A:$A,$I2))</f>
        <v/>
      </c>
      <c r="C3799" s="134" t="inlineStr">
        <is>
          <t>11-098-0539-0081-XS</t>
        </is>
      </c>
      <c r="D3799" s="5">
        <f>IF($I2="","",INDEX(Productos!$B:$B,$I2))</f>
        <v/>
      </c>
      <c r="E3799" s="5">
        <f>IF($I2="","",INDEX(Productos!$H:$H,$I2))</f>
        <v/>
      </c>
      <c r="F3799" s="5">
        <f>IF($I2="","",INDEX(Productos!$I:$I,$I2))</f>
        <v/>
      </c>
      <c r="G3799" s="135" t="n">
        <v>2</v>
      </c>
      <c r="H3799" s="5">
        <f>IF($I2="","",INDEX(Productos!$AG:$AG,$I2))</f>
        <v/>
      </c>
      <c r="I3799" s="136">
        <f>LET(_xlpm.r,Productos!$E$2:$E$2509,_xlpm.m,IFERROR(_xlfn.XMATCH(C3799,_xlpm.r),IFERROR(_xlfn.XMATCH(VALUE(C3799),_xlpm.r),0)),IF(_xlpm.m=0,"",_xlpm.m+1))</f>
        <v/>
      </c>
      <c r="J3799" s="137" t="inlineStr">
        <is>
          <t>Odoo</t>
        </is>
      </c>
    </row>
    <row r="3800">
      <c r="A3800" s="5" t="inlineStr">
        <is>
          <t>Odoo Universal Unique Brands › Bodega 25 › Bodega 25/General</t>
        </is>
      </c>
      <c r="B3800" s="5">
        <f>IF($I2="","",INDEX(Productos!$A:$A,$I2))</f>
        <v/>
      </c>
      <c r="C3800" s="134" t="inlineStr">
        <is>
          <t>11-098-0539-7107-L</t>
        </is>
      </c>
      <c r="D3800" s="5">
        <f>IF($I2="","",INDEX(Productos!$B:$B,$I2))</f>
        <v/>
      </c>
      <c r="E3800" s="5">
        <f>IF($I2="","",INDEX(Productos!$H:$H,$I2))</f>
        <v/>
      </c>
      <c r="F3800" s="5">
        <f>IF($I2="","",INDEX(Productos!$I:$I,$I2))</f>
        <v/>
      </c>
      <c r="G3800" s="135" t="n">
        <v>1</v>
      </c>
      <c r="H3800" s="5">
        <f>IF($I2="","",INDEX(Productos!$AG:$AG,$I2))</f>
        <v/>
      </c>
      <c r="I3800" s="136">
        <f>LET(_xlpm.r,Productos!$E$2:$E$2509,_xlpm.m,IFERROR(_xlfn.XMATCH(C3800,_xlpm.r),IFERROR(_xlfn.XMATCH(VALUE(C3800),_xlpm.r),0)),IF(_xlpm.m=0,"",_xlpm.m+1))</f>
        <v/>
      </c>
      <c r="J3800" s="137" t="inlineStr">
        <is>
          <t>Odoo</t>
        </is>
      </c>
    </row>
    <row r="3801">
      <c r="A3801" s="5" t="inlineStr">
        <is>
          <t>Odoo Universal Unique Brands › Bodega 25 › Bodega 25/General</t>
        </is>
      </c>
      <c r="B3801" s="5">
        <f>IF($I2="","",INDEX(Productos!$A:$A,$I2))</f>
        <v/>
      </c>
      <c r="C3801" s="134" t="inlineStr">
        <is>
          <t>11-098-0539-7107-M</t>
        </is>
      </c>
      <c r="D3801" s="5">
        <f>IF($I2="","",INDEX(Productos!$B:$B,$I2))</f>
        <v/>
      </c>
      <c r="E3801" s="5">
        <f>IF($I2="","",INDEX(Productos!$H:$H,$I2))</f>
        <v/>
      </c>
      <c r="F3801" s="5">
        <f>IF($I2="","",INDEX(Productos!$I:$I,$I2))</f>
        <v/>
      </c>
      <c r="G3801" s="135" t="n">
        <v>2</v>
      </c>
      <c r="H3801" s="5">
        <f>IF($I2="","",INDEX(Productos!$AG:$AG,$I2))</f>
        <v/>
      </c>
      <c r="I3801" s="136">
        <f>LET(_xlpm.r,Productos!$E$2:$E$2509,_xlpm.m,IFERROR(_xlfn.XMATCH(C3801,_xlpm.r),IFERROR(_xlfn.XMATCH(VALUE(C3801),_xlpm.r),0)),IF(_xlpm.m=0,"",_xlpm.m+1))</f>
        <v/>
      </c>
      <c r="J3801" s="137" t="inlineStr">
        <is>
          <t>Odoo</t>
        </is>
      </c>
    </row>
    <row r="3802">
      <c r="A3802" s="5" t="inlineStr">
        <is>
          <t>Odoo Universal Unique Brands › Bodega 25 › Bodega 25/General</t>
        </is>
      </c>
      <c r="B3802" s="5">
        <f>IF($I2="","",INDEX(Productos!$A:$A,$I2))</f>
        <v/>
      </c>
      <c r="C3802" s="134" t="inlineStr">
        <is>
          <t>11-098-0539-7107-S</t>
        </is>
      </c>
      <c r="D3802" s="5">
        <f>IF($I2="","",INDEX(Productos!$B:$B,$I2))</f>
        <v/>
      </c>
      <c r="E3802" s="5">
        <f>IF($I2="","",INDEX(Productos!$H:$H,$I2))</f>
        <v/>
      </c>
      <c r="F3802" s="5">
        <f>IF($I2="","",INDEX(Productos!$I:$I,$I2))</f>
        <v/>
      </c>
      <c r="G3802" s="135" t="n">
        <v>1</v>
      </c>
      <c r="H3802" s="5">
        <f>IF($I2="","",INDEX(Productos!$AG:$AG,$I2))</f>
        <v/>
      </c>
      <c r="I3802" s="136">
        <f>LET(_xlpm.r,Productos!$E$2:$E$2509,_xlpm.m,IFERROR(_xlfn.XMATCH(C3802,_xlpm.r),IFERROR(_xlfn.XMATCH(VALUE(C3802),_xlpm.r),0)),IF(_xlpm.m=0,"",_xlpm.m+1))</f>
        <v/>
      </c>
      <c r="J3802" s="137" t="inlineStr">
        <is>
          <t>Odoo</t>
        </is>
      </c>
    </row>
    <row r="3803">
      <c r="A3803" s="5" t="inlineStr">
        <is>
          <t>Odoo Universal Unique Brands › Bodega 25 › Bodega 25/General</t>
        </is>
      </c>
      <c r="B3803" s="5">
        <f>IF($I2="","",INDEX(Productos!$A:$A,$I2))</f>
        <v/>
      </c>
      <c r="C3803" s="134" t="inlineStr">
        <is>
          <t>11-098-0539-7107-XS</t>
        </is>
      </c>
      <c r="D3803" s="5">
        <f>IF($I2="","",INDEX(Productos!$B:$B,$I2))</f>
        <v/>
      </c>
      <c r="E3803" s="5">
        <f>IF($I2="","",INDEX(Productos!$H:$H,$I2))</f>
        <v/>
      </c>
      <c r="F3803" s="5">
        <f>IF($I2="","",INDEX(Productos!$I:$I,$I2))</f>
        <v/>
      </c>
      <c r="G3803" s="135" t="n">
        <v>1</v>
      </c>
      <c r="H3803" s="5">
        <f>IF($I2="","",INDEX(Productos!$AG:$AG,$I2))</f>
        <v/>
      </c>
      <c r="I3803" s="136">
        <f>LET(_xlpm.r,Productos!$E$2:$E$2509,_xlpm.m,IFERROR(_xlfn.XMATCH(C3803,_xlpm.r),IFERROR(_xlfn.XMATCH(VALUE(C3803),_xlpm.r),0)),IF(_xlpm.m=0,"",_xlpm.m+1))</f>
        <v/>
      </c>
      <c r="J3803" s="137" t="inlineStr">
        <is>
          <t>Odoo</t>
        </is>
      </c>
    </row>
    <row r="3804">
      <c r="A3804" s="5" t="inlineStr">
        <is>
          <t>Odoo Universal Unique Brands › Bodega 25 › Bodega 25/General</t>
        </is>
      </c>
      <c r="B3804" s="5">
        <f>IF($I2="","",INDEX(Productos!$A:$A,$I2))</f>
        <v/>
      </c>
      <c r="C3804" s="134" t="inlineStr">
        <is>
          <t>11-098-0539-7108-L</t>
        </is>
      </c>
      <c r="D3804" s="5">
        <f>IF($I2="","",INDEX(Productos!$B:$B,$I2))</f>
        <v/>
      </c>
      <c r="E3804" s="5">
        <f>IF($I2="","",INDEX(Productos!$H:$H,$I2))</f>
        <v/>
      </c>
      <c r="F3804" s="5">
        <f>IF($I2="","",INDEX(Productos!$I:$I,$I2))</f>
        <v/>
      </c>
      <c r="G3804" s="135" t="n">
        <v>1</v>
      </c>
      <c r="H3804" s="5">
        <f>IF($I2="","",INDEX(Productos!$AG:$AG,$I2))</f>
        <v/>
      </c>
      <c r="I3804" s="136">
        <f>LET(_xlpm.r,Productos!$E$2:$E$2509,_xlpm.m,IFERROR(_xlfn.XMATCH(C3804,_xlpm.r),IFERROR(_xlfn.XMATCH(VALUE(C3804),_xlpm.r),0)),IF(_xlpm.m=0,"",_xlpm.m+1))</f>
        <v/>
      </c>
      <c r="J3804" s="137" t="inlineStr">
        <is>
          <t>Odoo</t>
        </is>
      </c>
    </row>
    <row r="3805">
      <c r="A3805" s="5" t="inlineStr">
        <is>
          <t>Odoo Universal Unique Brands › Bodega 25 › Bodega 25/General</t>
        </is>
      </c>
      <c r="B3805" s="5">
        <f>IF($I2="","",INDEX(Productos!$A:$A,$I2))</f>
        <v/>
      </c>
      <c r="C3805" s="134" t="inlineStr">
        <is>
          <t>11-098-0539-7108-M</t>
        </is>
      </c>
      <c r="D3805" s="5">
        <f>IF($I2="","",INDEX(Productos!$B:$B,$I2))</f>
        <v/>
      </c>
      <c r="E3805" s="5">
        <f>IF($I2="","",INDEX(Productos!$H:$H,$I2))</f>
        <v/>
      </c>
      <c r="F3805" s="5">
        <f>IF($I2="","",INDEX(Productos!$I:$I,$I2))</f>
        <v/>
      </c>
      <c r="G3805" s="135" t="n">
        <v>2</v>
      </c>
      <c r="H3805" s="5">
        <f>IF($I2="","",INDEX(Productos!$AG:$AG,$I2))</f>
        <v/>
      </c>
      <c r="I3805" s="136">
        <f>LET(_xlpm.r,Productos!$E$2:$E$2509,_xlpm.m,IFERROR(_xlfn.XMATCH(C3805,_xlpm.r),IFERROR(_xlfn.XMATCH(VALUE(C3805),_xlpm.r),0)),IF(_xlpm.m=0,"",_xlpm.m+1))</f>
        <v/>
      </c>
      <c r="J3805" s="137" t="inlineStr">
        <is>
          <t>Odoo</t>
        </is>
      </c>
    </row>
    <row r="3806">
      <c r="A3806" s="5" t="inlineStr">
        <is>
          <t>Odoo Universal Unique Brands › Bodega 25 › Bodega 25/General</t>
        </is>
      </c>
      <c r="B3806" s="5">
        <f>IF($I2="","",INDEX(Productos!$A:$A,$I2))</f>
        <v/>
      </c>
      <c r="C3806" s="134" t="inlineStr">
        <is>
          <t>11-098-0539-7108-S</t>
        </is>
      </c>
      <c r="D3806" s="5">
        <f>IF($I2="","",INDEX(Productos!$B:$B,$I2))</f>
        <v/>
      </c>
      <c r="E3806" s="5">
        <f>IF($I2="","",INDEX(Productos!$H:$H,$I2))</f>
        <v/>
      </c>
      <c r="F3806" s="5">
        <f>IF($I2="","",INDEX(Productos!$I:$I,$I2))</f>
        <v/>
      </c>
      <c r="G3806" s="135" t="n">
        <v>2</v>
      </c>
      <c r="H3806" s="5">
        <f>IF($I2="","",INDEX(Productos!$AG:$AG,$I2))</f>
        <v/>
      </c>
      <c r="I3806" s="136">
        <f>LET(_xlpm.r,Productos!$E$2:$E$2509,_xlpm.m,IFERROR(_xlfn.XMATCH(C3806,_xlpm.r),IFERROR(_xlfn.XMATCH(VALUE(C3806),_xlpm.r),0)),IF(_xlpm.m=0,"",_xlpm.m+1))</f>
        <v/>
      </c>
      <c r="J3806" s="137" t="inlineStr">
        <is>
          <t>Odoo</t>
        </is>
      </c>
    </row>
    <row r="3807">
      <c r="A3807" s="5" t="inlineStr">
        <is>
          <t>Odoo Universal Unique Brands › Bodega 25 › Bodega 25/General</t>
        </is>
      </c>
      <c r="B3807" s="5">
        <f>IF($I2="","",INDEX(Productos!$A:$A,$I2))</f>
        <v/>
      </c>
      <c r="C3807" s="134" t="inlineStr">
        <is>
          <t>11-098-0539-7108-XS</t>
        </is>
      </c>
      <c r="D3807" s="5">
        <f>IF($I2="","",INDEX(Productos!$B:$B,$I2))</f>
        <v/>
      </c>
      <c r="E3807" s="5">
        <f>IF($I2="","",INDEX(Productos!$H:$H,$I2))</f>
        <v/>
      </c>
      <c r="F3807" s="5">
        <f>IF($I2="","",INDEX(Productos!$I:$I,$I2))</f>
        <v/>
      </c>
      <c r="G3807" s="135" t="n">
        <v>1</v>
      </c>
      <c r="H3807" s="5">
        <f>IF($I2="","",INDEX(Productos!$AG:$AG,$I2))</f>
        <v/>
      </c>
      <c r="I3807" s="136">
        <f>LET(_xlpm.r,Productos!$E$2:$E$2509,_xlpm.m,IFERROR(_xlfn.XMATCH(C3807,_xlpm.r),IFERROR(_xlfn.XMATCH(VALUE(C3807),_xlpm.r),0)),IF(_xlpm.m=0,"",_xlpm.m+1))</f>
        <v/>
      </c>
      <c r="J3807" s="137" t="inlineStr">
        <is>
          <t>Odoo</t>
        </is>
      </c>
    </row>
    <row r="3808">
      <c r="A3808" s="5" t="inlineStr">
        <is>
          <t>Odoo Universal Unique Brands › Bodega 25 › Bodega 25/General</t>
        </is>
      </c>
      <c r="B3808" s="5">
        <f>IF($I2="","",INDEX(Productos!$A:$A,$I2))</f>
        <v/>
      </c>
      <c r="C3808" s="134" t="inlineStr">
        <is>
          <t>11-098-0594-0075-M</t>
        </is>
      </c>
      <c r="D3808" s="5">
        <f>IF($I2="","",INDEX(Productos!$B:$B,$I2))</f>
        <v/>
      </c>
      <c r="E3808" s="5">
        <f>IF($I2="","",INDEX(Productos!$H:$H,$I2))</f>
        <v/>
      </c>
      <c r="F3808" s="5">
        <f>IF($I2="","",INDEX(Productos!$I:$I,$I2))</f>
        <v/>
      </c>
      <c r="G3808" s="135" t="n">
        <v>2</v>
      </c>
      <c r="H3808" s="5">
        <f>IF($I2="","",INDEX(Productos!$AG:$AG,$I2))</f>
        <v/>
      </c>
      <c r="I3808" s="136">
        <f>LET(_xlpm.r,Productos!$E$2:$E$2509,_xlpm.m,IFERROR(_xlfn.XMATCH(C3808,_xlpm.r),IFERROR(_xlfn.XMATCH(VALUE(C3808),_xlpm.r),0)),IF(_xlpm.m=0,"",_xlpm.m+1))</f>
        <v/>
      </c>
      <c r="J3808" s="137" t="inlineStr">
        <is>
          <t>Odoo</t>
        </is>
      </c>
    </row>
    <row r="3809">
      <c r="A3809" s="5" t="inlineStr">
        <is>
          <t>Odoo Universal Unique Brands › Bodega 25 › Bodega 25/General</t>
        </is>
      </c>
      <c r="B3809" s="5">
        <f>IF($I2="","",INDEX(Productos!$A:$A,$I2))</f>
        <v/>
      </c>
      <c r="C3809" s="134" t="inlineStr">
        <is>
          <t>11-098-0594-0075-S</t>
        </is>
      </c>
      <c r="D3809" s="5">
        <f>IF($I2="","",INDEX(Productos!$B:$B,$I2))</f>
        <v/>
      </c>
      <c r="E3809" s="5">
        <f>IF($I2="","",INDEX(Productos!$H:$H,$I2))</f>
        <v/>
      </c>
      <c r="F3809" s="5">
        <f>IF($I2="","",INDEX(Productos!$I:$I,$I2))</f>
        <v/>
      </c>
      <c r="G3809" s="135" t="n">
        <v>2</v>
      </c>
      <c r="H3809" s="5">
        <f>IF($I2="","",INDEX(Productos!$AG:$AG,$I2))</f>
        <v/>
      </c>
      <c r="I3809" s="136">
        <f>LET(_xlpm.r,Productos!$E$2:$E$2509,_xlpm.m,IFERROR(_xlfn.XMATCH(C3809,_xlpm.r),IFERROR(_xlfn.XMATCH(VALUE(C3809),_xlpm.r),0)),IF(_xlpm.m=0,"",_xlpm.m+1))</f>
        <v/>
      </c>
      <c r="J3809" s="137" t="inlineStr">
        <is>
          <t>Odoo</t>
        </is>
      </c>
    </row>
    <row r="3810">
      <c r="A3810" s="5" t="inlineStr">
        <is>
          <t>Odoo Universal Unique Brands › Bodega 25 › Bodega 25/General</t>
        </is>
      </c>
      <c r="B3810" s="5">
        <f>IF($I2="","",INDEX(Productos!$A:$A,$I2))</f>
        <v/>
      </c>
      <c r="C3810" s="134" t="inlineStr">
        <is>
          <t>SBCRAL-75409867</t>
        </is>
      </c>
      <c r="D3810" s="5">
        <f>IF($I2="","",INDEX(Productos!$B:$B,$I2))</f>
        <v/>
      </c>
      <c r="E3810" s="5">
        <f>IF($I2="","",INDEX(Productos!$H:$H,$I2))</f>
        <v/>
      </c>
      <c r="F3810" s="5">
        <f>IF($I2="","",INDEX(Productos!$I:$I,$I2))</f>
        <v/>
      </c>
      <c r="G3810" s="135" t="n">
        <v>2</v>
      </c>
      <c r="H3810" s="5">
        <f>IF($I2="","",INDEX(Productos!$AG:$AG,$I2))</f>
        <v/>
      </c>
      <c r="I3810" s="136">
        <f>LET(_xlpm.r,Productos!$E$2:$E$2509,_xlpm.m,IFERROR(_xlfn.XMATCH(C3810,_xlpm.r),IFERROR(_xlfn.XMATCH(VALUE(C3810),_xlpm.r),0)),IF(_xlpm.m=0,"",_xlpm.m+1))</f>
        <v/>
      </c>
      <c r="J3810" s="137" t="inlineStr">
        <is>
          <t>Odoo</t>
        </is>
      </c>
    </row>
    <row r="3811">
      <c r="A3811" s="5" t="inlineStr">
        <is>
          <t>Odoo Universal Unique Brands › Bodega 25 › Bodega 25/General</t>
        </is>
      </c>
      <c r="B3811" s="5">
        <f>IF($I2="","",INDEX(Productos!$A:$A,$I2))</f>
        <v/>
      </c>
      <c r="C3811" s="134" t="inlineStr">
        <is>
          <t>SBCRAL-75409874</t>
        </is>
      </c>
      <c r="D3811" s="5">
        <f>IF($I2="","",INDEX(Productos!$B:$B,$I2))</f>
        <v/>
      </c>
      <c r="E3811" s="5">
        <f>IF($I2="","",INDEX(Productos!$H:$H,$I2))</f>
        <v/>
      </c>
      <c r="F3811" s="5">
        <f>IF($I2="","",INDEX(Productos!$I:$I,$I2))</f>
        <v/>
      </c>
      <c r="G3811" s="135" t="n">
        <v>1</v>
      </c>
      <c r="H3811" s="5">
        <f>IF($I2="","",INDEX(Productos!$AG:$AG,$I2))</f>
        <v/>
      </c>
      <c r="I3811" s="136">
        <f>LET(_xlpm.r,Productos!$E$2:$E$2509,_xlpm.m,IFERROR(_xlfn.XMATCH(C3811,_xlpm.r),IFERROR(_xlfn.XMATCH(VALUE(C3811),_xlpm.r),0)),IF(_xlpm.m=0,"",_xlpm.m+1))</f>
        <v/>
      </c>
      <c r="J3811" s="137" t="inlineStr">
        <is>
          <t>Odoo</t>
        </is>
      </c>
    </row>
    <row r="3812">
      <c r="A3812" s="5" t="inlineStr">
        <is>
          <t>Odoo Universal Unique Brands › Bodega 25 › Bodega 25/General</t>
        </is>
      </c>
      <c r="B3812" s="5">
        <f>IF($I2="","",INDEX(Productos!$A:$A,$I2))</f>
        <v/>
      </c>
      <c r="C3812" s="134" t="inlineStr">
        <is>
          <t>SFDMTE-48400772</t>
        </is>
      </c>
      <c r="D3812" s="5">
        <f>IF($I2="","",INDEX(Productos!$B:$B,$I2))</f>
        <v/>
      </c>
      <c r="E3812" s="5">
        <f>IF($I2="","",INDEX(Productos!$H:$H,$I2))</f>
        <v/>
      </c>
      <c r="F3812" s="5">
        <f>IF($I2="","",INDEX(Productos!$I:$I,$I2))</f>
        <v/>
      </c>
      <c r="G3812" s="135" t="n">
        <v>1</v>
      </c>
      <c r="H3812" s="5">
        <f>IF($I2="","",INDEX(Productos!$AG:$AG,$I2))</f>
        <v/>
      </c>
      <c r="I3812" s="136">
        <f>LET(_xlpm.r,Productos!$E$2:$E$2509,_xlpm.m,IFERROR(_xlfn.XMATCH(C3812,_xlpm.r),IFERROR(_xlfn.XMATCH(VALUE(C3812),_xlpm.r),0)),IF(_xlpm.m=0,"",_xlpm.m+1))</f>
        <v/>
      </c>
      <c r="J3812" s="137" t="inlineStr">
        <is>
          <t>Odoo</t>
        </is>
      </c>
    </row>
    <row r="3813">
      <c r="A3813" s="5" t="inlineStr">
        <is>
          <t>Odoo Universal Unique Brands › Bodega 25 › Bodega 25/General</t>
        </is>
      </c>
      <c r="B3813" s="5">
        <f>IF($I2="","",INDEX(Productos!$A:$A,$I2))</f>
        <v/>
      </c>
      <c r="C3813" s="134" t="inlineStr">
        <is>
          <t>SFDMTE-48400773</t>
        </is>
      </c>
      <c r="D3813" s="5">
        <f>IF($I2="","",INDEX(Productos!$B:$B,$I2))</f>
        <v/>
      </c>
      <c r="E3813" s="5">
        <f>IF($I2="","",INDEX(Productos!$H:$H,$I2))</f>
        <v/>
      </c>
      <c r="F3813" s="5">
        <f>IF($I2="","",INDEX(Productos!$I:$I,$I2))</f>
        <v/>
      </c>
      <c r="G3813" s="135" t="n">
        <v>1</v>
      </c>
      <c r="H3813" s="5">
        <f>IF($I2="","",INDEX(Productos!$AG:$AG,$I2))</f>
        <v/>
      </c>
      <c r="I3813" s="136">
        <f>LET(_xlpm.r,Productos!$E$2:$E$2509,_xlpm.m,IFERROR(_xlfn.XMATCH(C3813,_xlpm.r),IFERROR(_xlfn.XMATCH(VALUE(C3813),_xlpm.r),0)),IF(_xlpm.m=0,"",_xlpm.m+1))</f>
        <v/>
      </c>
      <c r="J3813" s="137" t="inlineStr">
        <is>
          <t>Odoo</t>
        </is>
      </c>
    </row>
    <row r="3814">
      <c r="A3814" s="5" t="inlineStr">
        <is>
          <t>Odoo Universal Unique Brands › Bodega 25 › Bodega 25/General</t>
        </is>
      </c>
      <c r="B3814" s="5">
        <f>IF($I2="","",INDEX(Productos!$A:$A,$I2))</f>
        <v/>
      </c>
      <c r="C3814" s="134" t="inlineStr">
        <is>
          <t>SFELAM-48400771</t>
        </is>
      </c>
      <c r="D3814" s="5">
        <f>IF($I2="","",INDEX(Productos!$B:$B,$I2))</f>
        <v/>
      </c>
      <c r="E3814" s="5">
        <f>IF($I2="","",INDEX(Productos!$H:$H,$I2))</f>
        <v/>
      </c>
      <c r="F3814" s="5">
        <f>IF($I2="","",INDEX(Productos!$I:$I,$I2))</f>
        <v/>
      </c>
      <c r="G3814" s="135" t="n">
        <v>2</v>
      </c>
      <c r="H3814" s="5">
        <f>IF($I2="","",INDEX(Productos!$AG:$AG,$I2))</f>
        <v/>
      </c>
      <c r="I3814" s="136">
        <f>LET(_xlpm.r,Productos!$E$2:$E$2509,_xlpm.m,IFERROR(_xlfn.XMATCH(C3814,_xlpm.r),IFERROR(_xlfn.XMATCH(VALUE(C3814),_xlpm.r),0)),IF(_xlpm.m=0,"",_xlpm.m+1))</f>
        <v/>
      </c>
      <c r="J3814" s="137" t="inlineStr">
        <is>
          <t>Odoo</t>
        </is>
      </c>
    </row>
    <row r="3815">
      <c r="A3815" s="5" t="inlineStr">
        <is>
          <t>Odoo Universal Unique Brands › Bodega 25 › Bodega 25/General</t>
        </is>
      </c>
      <c r="B3815" s="5">
        <f>IF($I2="","",INDEX(Productos!$A:$A,$I2))</f>
        <v/>
      </c>
      <c r="C3815" s="134" t="inlineStr">
        <is>
          <t>SFELAM-48400772</t>
        </is>
      </c>
      <c r="D3815" s="5">
        <f>IF($I2="","",INDEX(Productos!$B:$B,$I2))</f>
        <v/>
      </c>
      <c r="E3815" s="5">
        <f>IF($I2="","",INDEX(Productos!$H:$H,$I2))</f>
        <v/>
      </c>
      <c r="F3815" s="5">
        <f>IF($I2="","",INDEX(Productos!$I:$I,$I2))</f>
        <v/>
      </c>
      <c r="G3815" s="135" t="n">
        <v>2</v>
      </c>
      <c r="H3815" s="5">
        <f>IF($I2="","",INDEX(Productos!$AG:$AG,$I2))</f>
        <v/>
      </c>
      <c r="I3815" s="136">
        <f>LET(_xlpm.r,Productos!$E$2:$E$2509,_xlpm.m,IFERROR(_xlfn.XMATCH(C3815,_xlpm.r),IFERROR(_xlfn.XMATCH(VALUE(C3815),_xlpm.r),0)),IF(_xlpm.m=0,"",_xlpm.m+1))</f>
        <v/>
      </c>
      <c r="J3815" s="137" t="inlineStr">
        <is>
          <t>Odoo</t>
        </is>
      </c>
    </row>
    <row r="3816">
      <c r="A3816" s="5" t="inlineStr">
        <is>
          <t>Odoo Universal Unique Brands › Bodega 25 › Bodega 25/General</t>
        </is>
      </c>
      <c r="B3816" s="5">
        <f>IF($I2="","",INDEX(Productos!$A:$A,$I2))</f>
        <v/>
      </c>
      <c r="C3816" s="134" t="inlineStr">
        <is>
          <t>SFELAM-48400773</t>
        </is>
      </c>
      <c r="D3816" s="5">
        <f>IF($I2="","",INDEX(Productos!$B:$B,$I2))</f>
        <v/>
      </c>
      <c r="E3816" s="5">
        <f>IF($I2="","",INDEX(Productos!$H:$H,$I2))</f>
        <v/>
      </c>
      <c r="F3816" s="5">
        <f>IF($I2="","",INDEX(Productos!$I:$I,$I2))</f>
        <v/>
      </c>
      <c r="G3816" s="135" t="n">
        <v>2</v>
      </c>
      <c r="H3816" s="5">
        <f>IF($I2="","",INDEX(Productos!$AG:$AG,$I2))</f>
        <v/>
      </c>
      <c r="I3816" s="136">
        <f>LET(_xlpm.r,Productos!$E$2:$E$2509,_xlpm.m,IFERROR(_xlfn.XMATCH(C3816,_xlpm.r),IFERROR(_xlfn.XMATCH(VALUE(C3816),_xlpm.r),0)),IF(_xlpm.m=0,"",_xlpm.m+1))</f>
        <v/>
      </c>
      <c r="J3816" s="137" t="inlineStr">
        <is>
          <t>Odoo</t>
        </is>
      </c>
    </row>
    <row r="3817">
      <c r="A3817" s="5" t="inlineStr">
        <is>
          <t>Odoo Universal Unique Brands › Bodega 25 › Bodega 25/General</t>
        </is>
      </c>
      <c r="B3817" s="5">
        <f>IF($I2="","",INDEX(Productos!$A:$A,$I2))</f>
        <v/>
      </c>
      <c r="C3817" s="134" t="inlineStr">
        <is>
          <t>SFELAM-48406173</t>
        </is>
      </c>
      <c r="D3817" s="5">
        <f>IF($I2="","",INDEX(Productos!$B:$B,$I2))</f>
        <v/>
      </c>
      <c r="E3817" s="5">
        <f>IF($I2="","",INDEX(Productos!$H:$H,$I2))</f>
        <v/>
      </c>
      <c r="F3817" s="5">
        <f>IF($I2="","",INDEX(Productos!$I:$I,$I2))</f>
        <v/>
      </c>
      <c r="G3817" s="135" t="n">
        <v>1</v>
      </c>
      <c r="H3817" s="5">
        <f>IF($I2="","",INDEX(Productos!$AG:$AG,$I2))</f>
        <v/>
      </c>
      <c r="I3817" s="136">
        <f>LET(_xlpm.r,Productos!$E$2:$E$2509,_xlpm.m,IFERROR(_xlfn.XMATCH(C3817,_xlpm.r),IFERROR(_xlfn.XMATCH(VALUE(C3817),_xlpm.r),0)),IF(_xlpm.m=0,"",_xlpm.m+1))</f>
        <v/>
      </c>
      <c r="J3817" s="137" t="inlineStr">
        <is>
          <t>Odoo</t>
        </is>
      </c>
    </row>
    <row r="3818">
      <c r="A3818" s="5" t="inlineStr">
        <is>
          <t>Odoo Universal Unique Brands › Bodega 25 › Bodega 25/General</t>
        </is>
      </c>
      <c r="B3818" s="5">
        <f>IF($I2="","",INDEX(Productos!$A:$A,$I2))</f>
        <v/>
      </c>
      <c r="C3818" s="134" t="inlineStr">
        <is>
          <t>SFEPTN-48400767</t>
        </is>
      </c>
      <c r="D3818" s="5">
        <f>IF($I2="","",INDEX(Productos!$B:$B,$I2))</f>
        <v/>
      </c>
      <c r="E3818" s="5">
        <f>IF($I2="","",INDEX(Productos!$H:$H,$I2))</f>
        <v/>
      </c>
      <c r="F3818" s="5">
        <f>IF($I2="","",INDEX(Productos!$I:$I,$I2))</f>
        <v/>
      </c>
      <c r="G3818" s="135" t="n">
        <v>2</v>
      </c>
      <c r="H3818" s="5">
        <f>IF($I2="","",INDEX(Productos!$AG:$AG,$I2))</f>
        <v/>
      </c>
      <c r="I3818" s="136">
        <f>LET(_xlpm.r,Productos!$E$2:$E$2509,_xlpm.m,IFERROR(_xlfn.XMATCH(C3818,_xlpm.r),IFERROR(_xlfn.XMATCH(VALUE(C3818),_xlpm.r),0)),IF(_xlpm.m=0,"",_xlpm.m+1))</f>
        <v/>
      </c>
      <c r="J3818" s="137" t="inlineStr">
        <is>
          <t>Odoo</t>
        </is>
      </c>
    </row>
    <row r="3819">
      <c r="A3819" s="5" t="inlineStr">
        <is>
          <t>Odoo Universal Unique Brands › Bodega 25 › Bodega 25/General</t>
        </is>
      </c>
      <c r="B3819" s="5">
        <f>IF($I2="","",INDEX(Productos!$A:$A,$I2))</f>
        <v/>
      </c>
      <c r="C3819" s="134" t="inlineStr">
        <is>
          <t>SFEPTN-48400770</t>
        </is>
      </c>
      <c r="D3819" s="5">
        <f>IF($I2="","",INDEX(Productos!$B:$B,$I2))</f>
        <v/>
      </c>
      <c r="E3819" s="5">
        <f>IF($I2="","",INDEX(Productos!$H:$H,$I2))</f>
        <v/>
      </c>
      <c r="F3819" s="5">
        <f>IF($I2="","",INDEX(Productos!$I:$I,$I2))</f>
        <v/>
      </c>
      <c r="G3819" s="135" t="n">
        <v>1</v>
      </c>
      <c r="H3819" s="5">
        <f>IF($I2="","",INDEX(Productos!$AG:$AG,$I2))</f>
        <v/>
      </c>
      <c r="I3819" s="136">
        <f>LET(_xlpm.r,Productos!$E$2:$E$2509,_xlpm.m,IFERROR(_xlfn.XMATCH(C3819,_xlpm.r),IFERROR(_xlfn.XMATCH(VALUE(C3819),_xlpm.r),0)),IF(_xlpm.m=0,"",_xlpm.m+1))</f>
        <v/>
      </c>
      <c r="J3819" s="137" t="inlineStr">
        <is>
          <t>Odoo</t>
        </is>
      </c>
    </row>
    <row r="3820">
      <c r="A3820" s="5" t="inlineStr">
        <is>
          <t>Odoo Universal Unique Brands › Bodega 25 › Bodega 25/General</t>
        </is>
      </c>
      <c r="B3820" s="5">
        <f>IF($I2="","",INDEX(Productos!$A:$A,$I2))</f>
        <v/>
      </c>
      <c r="C3820" s="134" t="inlineStr">
        <is>
          <t>SFEPTN-48400771</t>
        </is>
      </c>
      <c r="D3820" s="5">
        <f>IF($I2="","",INDEX(Productos!$B:$B,$I2))</f>
        <v/>
      </c>
      <c r="E3820" s="5">
        <f>IF($I2="","",INDEX(Productos!$H:$H,$I2))</f>
        <v/>
      </c>
      <c r="F3820" s="5">
        <f>IF($I2="","",INDEX(Productos!$I:$I,$I2))</f>
        <v/>
      </c>
      <c r="G3820" s="135" t="n">
        <v>1</v>
      </c>
      <c r="H3820" s="5">
        <f>IF($I2="","",INDEX(Productos!$AG:$AG,$I2))</f>
        <v/>
      </c>
      <c r="I3820" s="136">
        <f>LET(_xlpm.r,Productos!$E$2:$E$2509,_xlpm.m,IFERROR(_xlfn.XMATCH(C3820,_xlpm.r),IFERROR(_xlfn.XMATCH(VALUE(C3820),_xlpm.r),0)),IF(_xlpm.m=0,"",_xlpm.m+1))</f>
        <v/>
      </c>
      <c r="J3820" s="137" t="inlineStr">
        <is>
          <t>Odoo</t>
        </is>
      </c>
    </row>
    <row r="3821">
      <c r="A3821" s="5" t="inlineStr">
        <is>
          <t>Odoo Universal Unique Brands › Bodega 25 › Bodega 25/General</t>
        </is>
      </c>
      <c r="B3821" s="5">
        <f>IF($I2="","",INDEX(Productos!$A:$A,$I2))</f>
        <v/>
      </c>
      <c r="C3821" s="134" t="inlineStr">
        <is>
          <t>SFEPTN-48400772</t>
        </is>
      </c>
      <c r="D3821" s="5">
        <f>IF($I2="","",INDEX(Productos!$B:$B,$I2))</f>
        <v/>
      </c>
      <c r="E3821" s="5">
        <f>IF($I2="","",INDEX(Productos!$H:$H,$I2))</f>
        <v/>
      </c>
      <c r="F3821" s="5">
        <f>IF($I2="","",INDEX(Productos!$I:$I,$I2))</f>
        <v/>
      </c>
      <c r="G3821" s="135" t="n">
        <v>2</v>
      </c>
      <c r="H3821" s="5">
        <f>IF($I2="","",INDEX(Productos!$AG:$AG,$I2))</f>
        <v/>
      </c>
      <c r="I3821" s="136">
        <f>LET(_xlpm.r,Productos!$E$2:$E$2509,_xlpm.m,IFERROR(_xlfn.XMATCH(C3821,_xlpm.r),IFERROR(_xlfn.XMATCH(VALUE(C3821),_xlpm.r),0)),IF(_xlpm.m=0,"",_xlpm.m+1))</f>
        <v/>
      </c>
      <c r="J3821" s="137" t="inlineStr">
        <is>
          <t>Odoo</t>
        </is>
      </c>
    </row>
    <row r="3822">
      <c r="A3822" s="5" t="inlineStr">
        <is>
          <t>Odoo Universal Unique Brands › Bodega 25 › Bodega 25/General</t>
        </is>
      </c>
      <c r="B3822" s="5">
        <f>IF($I2="","",INDEX(Productos!$A:$A,$I2))</f>
        <v/>
      </c>
      <c r="C3822" s="134" t="inlineStr">
        <is>
          <t>SFEPTN-48400773</t>
        </is>
      </c>
      <c r="D3822" s="5">
        <f>IF($I2="","",INDEX(Productos!$B:$B,$I2))</f>
        <v/>
      </c>
      <c r="E3822" s="5">
        <f>IF($I2="","",INDEX(Productos!$H:$H,$I2))</f>
        <v/>
      </c>
      <c r="F3822" s="5">
        <f>IF($I2="","",INDEX(Productos!$I:$I,$I2))</f>
        <v/>
      </c>
      <c r="G3822" s="135" t="n">
        <v>2</v>
      </c>
      <c r="H3822" s="5">
        <f>IF($I2="","",INDEX(Productos!$AG:$AG,$I2))</f>
        <v/>
      </c>
      <c r="I3822" s="136">
        <f>LET(_xlpm.r,Productos!$E$2:$E$2509,_xlpm.m,IFERROR(_xlfn.XMATCH(C3822,_xlpm.r),IFERROR(_xlfn.XMATCH(VALUE(C3822),_xlpm.r),0)),IF(_xlpm.m=0,"",_xlpm.m+1))</f>
        <v/>
      </c>
      <c r="J3822" s="137" t="inlineStr">
        <is>
          <t>Odoo</t>
        </is>
      </c>
    </row>
    <row r="3823">
      <c r="A3823" s="5" t="inlineStr">
        <is>
          <t>Odoo Universal Unique Brands › Bodega 25 › Bodega 25/General</t>
        </is>
      </c>
      <c r="B3823" s="5">
        <f>IF($I2="","",INDEX(Productos!$A:$A,$I2))</f>
        <v/>
      </c>
      <c r="C3823" s="134" t="inlineStr">
        <is>
          <t>SFEPTN-48400774</t>
        </is>
      </c>
      <c r="D3823" s="5">
        <f>IF($I2="","",INDEX(Productos!$B:$B,$I2))</f>
        <v/>
      </c>
      <c r="E3823" s="5">
        <f>IF($I2="","",INDEX(Productos!$H:$H,$I2))</f>
        <v/>
      </c>
      <c r="F3823" s="5">
        <f>IF($I2="","",INDEX(Productos!$I:$I,$I2))</f>
        <v/>
      </c>
      <c r="G3823" s="135" t="n">
        <v>1</v>
      </c>
      <c r="H3823" s="5">
        <f>IF($I2="","",INDEX(Productos!$AG:$AG,$I2))</f>
        <v/>
      </c>
      <c r="I3823" s="136">
        <f>LET(_xlpm.r,Productos!$E$2:$E$2509,_xlpm.m,IFERROR(_xlfn.XMATCH(C3823,_xlpm.r),IFERROR(_xlfn.XMATCH(VALUE(C3823),_xlpm.r),0)),IF(_xlpm.m=0,"",_xlpm.m+1))</f>
        <v/>
      </c>
      <c r="J3823" s="137" t="inlineStr">
        <is>
          <t>Odoo</t>
        </is>
      </c>
    </row>
    <row r="3824">
      <c r="A3824" s="5" t="inlineStr">
        <is>
          <t>Odoo Universal Unique Brands › Bodega 25 › Bodega 25/General</t>
        </is>
      </c>
      <c r="B3824" s="5">
        <f>IF($I2="","",INDEX(Productos!$A:$A,$I2))</f>
        <v/>
      </c>
      <c r="C3824" s="134" t="inlineStr">
        <is>
          <t>SFEPTN-48403471</t>
        </is>
      </c>
      <c r="D3824" s="5">
        <f>IF($I2="","",INDEX(Productos!$B:$B,$I2))</f>
        <v/>
      </c>
      <c r="E3824" s="5">
        <f>IF($I2="","",INDEX(Productos!$H:$H,$I2))</f>
        <v/>
      </c>
      <c r="F3824" s="5">
        <f>IF($I2="","",INDEX(Productos!$I:$I,$I2))</f>
        <v/>
      </c>
      <c r="G3824" s="135" t="n">
        <v>1</v>
      </c>
      <c r="H3824" s="5">
        <f>IF($I2="","",INDEX(Productos!$AG:$AG,$I2))</f>
        <v/>
      </c>
      <c r="I3824" s="136">
        <f>LET(_xlpm.r,Productos!$E$2:$E$2509,_xlpm.m,IFERROR(_xlfn.XMATCH(C3824,_xlpm.r),IFERROR(_xlfn.XMATCH(VALUE(C3824),_xlpm.r),0)),IF(_xlpm.m=0,"",_xlpm.m+1))</f>
        <v/>
      </c>
      <c r="J3824" s="137" t="inlineStr">
        <is>
          <t>Odoo</t>
        </is>
      </c>
    </row>
    <row r="3825">
      <c r="A3825" s="5" t="inlineStr">
        <is>
          <t>Odoo Universal Unique Brands › Bodega 25 › Bodega 25/General</t>
        </is>
      </c>
      <c r="B3825" s="5">
        <f>IF($I2="","",INDEX(Productos!$A:$A,$I2))</f>
        <v/>
      </c>
      <c r="C3825" s="134" t="inlineStr">
        <is>
          <t>SFEPTN-48403472</t>
        </is>
      </c>
      <c r="D3825" s="5">
        <f>IF($I2="","",INDEX(Productos!$B:$B,$I2))</f>
        <v/>
      </c>
      <c r="E3825" s="5">
        <f>IF($I2="","",INDEX(Productos!$H:$H,$I2))</f>
        <v/>
      </c>
      <c r="F3825" s="5">
        <f>IF($I2="","",INDEX(Productos!$I:$I,$I2))</f>
        <v/>
      </c>
      <c r="G3825" s="135" t="n">
        <v>1</v>
      </c>
      <c r="H3825" s="5">
        <f>IF($I2="","",INDEX(Productos!$AG:$AG,$I2))</f>
        <v/>
      </c>
      <c r="I3825" s="136">
        <f>LET(_xlpm.r,Productos!$E$2:$E$2509,_xlpm.m,IFERROR(_xlfn.XMATCH(C3825,_xlpm.r),IFERROR(_xlfn.XMATCH(VALUE(C3825),_xlpm.r),0)),IF(_xlpm.m=0,"",_xlpm.m+1))</f>
        <v/>
      </c>
      <c r="J3825" s="137" t="inlineStr">
        <is>
          <t>Odoo</t>
        </is>
      </c>
    </row>
    <row r="3826">
      <c r="A3826" s="5" t="inlineStr">
        <is>
          <t>Odoo Universal Unique Brands › Bodega 25 › Bodega 25/General</t>
        </is>
      </c>
      <c r="B3826" s="5">
        <f>IF($I2="","",INDEX(Productos!$A:$A,$I2))</f>
        <v/>
      </c>
      <c r="C3826" s="134" t="inlineStr">
        <is>
          <t>SFEPTN-48403473</t>
        </is>
      </c>
      <c r="D3826" s="5">
        <f>IF($I2="","",INDEX(Productos!$B:$B,$I2))</f>
        <v/>
      </c>
      <c r="E3826" s="5">
        <f>IF($I2="","",INDEX(Productos!$H:$H,$I2))</f>
        <v/>
      </c>
      <c r="F3826" s="5">
        <f>IF($I2="","",INDEX(Productos!$I:$I,$I2))</f>
        <v/>
      </c>
      <c r="G3826" s="135" t="n">
        <v>1</v>
      </c>
      <c r="H3826" s="5">
        <f>IF($I2="","",INDEX(Productos!$AG:$AG,$I2))</f>
        <v/>
      </c>
      <c r="I3826" s="136">
        <f>LET(_xlpm.r,Productos!$E$2:$E$2509,_xlpm.m,IFERROR(_xlfn.XMATCH(C3826,_xlpm.r),IFERROR(_xlfn.XMATCH(VALUE(C3826),_xlpm.r),0)),IF(_xlpm.m=0,"",_xlpm.m+1))</f>
        <v/>
      </c>
      <c r="J3826" s="137" t="inlineStr">
        <is>
          <t>Odoo</t>
        </is>
      </c>
    </row>
    <row r="3827">
      <c r="A3827" s="5" t="inlineStr">
        <is>
          <t>Odoo Universal Unique Brands › Bodega 25 › Bodega 25/General</t>
        </is>
      </c>
      <c r="B3827" s="5">
        <f>IF($I2="","",INDEX(Productos!$A:$A,$I2))</f>
        <v/>
      </c>
      <c r="C3827" s="134" t="inlineStr">
        <is>
          <t>SFEPTN-48406170</t>
        </is>
      </c>
      <c r="D3827" s="5">
        <f>IF($I2="","",INDEX(Productos!$B:$B,$I2))</f>
        <v/>
      </c>
      <c r="E3827" s="5">
        <f>IF($I2="","",INDEX(Productos!$H:$H,$I2))</f>
        <v/>
      </c>
      <c r="F3827" s="5">
        <f>IF($I2="","",INDEX(Productos!$I:$I,$I2))</f>
        <v/>
      </c>
      <c r="G3827" s="135" t="n">
        <v>2</v>
      </c>
      <c r="H3827" s="5">
        <f>IF($I2="","",INDEX(Productos!$AG:$AG,$I2))</f>
        <v/>
      </c>
      <c r="I3827" s="136">
        <f>LET(_xlpm.r,Productos!$E$2:$E$2509,_xlpm.m,IFERROR(_xlfn.XMATCH(C3827,_xlpm.r),IFERROR(_xlfn.XMATCH(VALUE(C3827),_xlpm.r),0)),IF(_xlpm.m=0,"",_xlpm.m+1))</f>
        <v/>
      </c>
      <c r="J3827" s="137" t="inlineStr">
        <is>
          <t>Odoo</t>
        </is>
      </c>
    </row>
    <row r="3828">
      <c r="A3828" s="5" t="inlineStr">
        <is>
          <t>Odoo Universal Unique Brands › Bodega 25 › Bodega 25/General</t>
        </is>
      </c>
      <c r="B3828" s="5">
        <f>IF($I2="","",INDEX(Productos!$A:$A,$I2))</f>
        <v/>
      </c>
      <c r="C3828" s="134" t="inlineStr">
        <is>
          <t>SFEPTN-48406171</t>
        </is>
      </c>
      <c r="D3828" s="5">
        <f>IF($I2="","",INDEX(Productos!$B:$B,$I2))</f>
        <v/>
      </c>
      <c r="E3828" s="5">
        <f>IF($I2="","",INDEX(Productos!$H:$H,$I2))</f>
        <v/>
      </c>
      <c r="F3828" s="5">
        <f>IF($I2="","",INDEX(Productos!$I:$I,$I2))</f>
        <v/>
      </c>
      <c r="G3828" s="135" t="n">
        <v>2</v>
      </c>
      <c r="H3828" s="5">
        <f>IF($I2="","",INDEX(Productos!$AG:$AG,$I2))</f>
        <v/>
      </c>
      <c r="I3828" s="136">
        <f>LET(_xlpm.r,Productos!$E$2:$E$2509,_xlpm.m,IFERROR(_xlfn.XMATCH(C3828,_xlpm.r),IFERROR(_xlfn.XMATCH(VALUE(C3828),_xlpm.r),0)),IF(_xlpm.m=0,"",_xlpm.m+1))</f>
        <v/>
      </c>
      <c r="J3828" s="137" t="inlineStr">
        <is>
          <t>Odoo</t>
        </is>
      </c>
    </row>
    <row r="3829">
      <c r="A3829" s="5" t="inlineStr">
        <is>
          <t>Odoo Universal Unique Brands › Bodega 25 › Bodega 25/General</t>
        </is>
      </c>
      <c r="B3829" s="5">
        <f>IF($I2="","",INDEX(Productos!$A:$A,$I2))</f>
        <v/>
      </c>
      <c r="C3829" s="134" t="inlineStr">
        <is>
          <t>SFEPTN-48406172</t>
        </is>
      </c>
      <c r="D3829" s="5">
        <f>IF($I2="","",INDEX(Productos!$B:$B,$I2))</f>
        <v/>
      </c>
      <c r="E3829" s="5">
        <f>IF($I2="","",INDEX(Productos!$H:$H,$I2))</f>
        <v/>
      </c>
      <c r="F3829" s="5">
        <f>IF($I2="","",INDEX(Productos!$I:$I,$I2))</f>
        <v/>
      </c>
      <c r="G3829" s="135" t="n">
        <v>3</v>
      </c>
      <c r="H3829" s="5">
        <f>IF($I2="","",INDEX(Productos!$AG:$AG,$I2))</f>
        <v/>
      </c>
      <c r="I3829" s="136">
        <f>LET(_xlpm.r,Productos!$E$2:$E$2509,_xlpm.m,IFERROR(_xlfn.XMATCH(C3829,_xlpm.r),IFERROR(_xlfn.XMATCH(VALUE(C3829),_xlpm.r),0)),IF(_xlpm.m=0,"",_xlpm.m+1))</f>
        <v/>
      </c>
      <c r="J3829" s="137" t="inlineStr">
        <is>
          <t>Odoo</t>
        </is>
      </c>
    </row>
    <row r="3830">
      <c r="A3830" s="5" t="inlineStr">
        <is>
          <t>Odoo Universal Unique Brands › Bodega 25 › Bodega 25/General</t>
        </is>
      </c>
      <c r="B3830" s="5">
        <f>IF($I2="","",INDEX(Productos!$A:$A,$I2))</f>
        <v/>
      </c>
      <c r="C3830" s="134" t="inlineStr">
        <is>
          <t>SFEPTN-48406173</t>
        </is>
      </c>
      <c r="D3830" s="5">
        <f>IF($I2="","",INDEX(Productos!$B:$B,$I2))</f>
        <v/>
      </c>
      <c r="E3830" s="5">
        <f>IF($I2="","",INDEX(Productos!$H:$H,$I2))</f>
        <v/>
      </c>
      <c r="F3830" s="5">
        <f>IF($I2="","",INDEX(Productos!$I:$I,$I2))</f>
        <v/>
      </c>
      <c r="G3830" s="135" t="n">
        <v>1</v>
      </c>
      <c r="H3830" s="5">
        <f>IF($I2="","",INDEX(Productos!$AG:$AG,$I2))</f>
        <v/>
      </c>
      <c r="I3830" s="136">
        <f>LET(_xlpm.r,Productos!$E$2:$E$2509,_xlpm.m,IFERROR(_xlfn.XMATCH(C3830,_xlpm.r),IFERROR(_xlfn.XMATCH(VALUE(C3830),_xlpm.r),0)),IF(_xlpm.m=0,"",_xlpm.m+1))</f>
        <v/>
      </c>
      <c r="J3830" s="137" t="inlineStr">
        <is>
          <t>Odoo</t>
        </is>
      </c>
    </row>
    <row r="3831">
      <c r="A3831" s="5" t="inlineStr">
        <is>
          <t>Odoo Universal Unique Brands › Bodega 25 › Bodega 25/General</t>
        </is>
      </c>
      <c r="B3831" s="5">
        <f>IF($I2="","",INDEX(Productos!$A:$A,$I2))</f>
        <v/>
      </c>
      <c r="C3831" s="134" t="inlineStr">
        <is>
          <t>SFEPTN-48406174</t>
        </is>
      </c>
      <c r="D3831" s="5">
        <f>IF($I2="","",INDEX(Productos!$B:$B,$I2))</f>
        <v/>
      </c>
      <c r="E3831" s="5">
        <f>IF($I2="","",INDEX(Productos!$H:$H,$I2))</f>
        <v/>
      </c>
      <c r="F3831" s="5">
        <f>IF($I2="","",INDEX(Productos!$I:$I,$I2))</f>
        <v/>
      </c>
      <c r="G3831" s="135" t="n">
        <v>1</v>
      </c>
      <c r="H3831" s="5">
        <f>IF($I2="","",INDEX(Productos!$AG:$AG,$I2))</f>
        <v/>
      </c>
      <c r="I3831" s="136">
        <f>LET(_xlpm.r,Productos!$E$2:$E$2509,_xlpm.m,IFERROR(_xlfn.XMATCH(C3831,_xlpm.r),IFERROR(_xlfn.XMATCH(VALUE(C3831),_xlpm.r),0)),IF(_xlpm.m=0,"",_xlpm.m+1))</f>
        <v/>
      </c>
      <c r="J3831" s="137" t="inlineStr">
        <is>
          <t>Odoo</t>
        </is>
      </c>
    </row>
    <row r="3832">
      <c r="A3832" s="5" t="inlineStr">
        <is>
          <t>Odoo Universal Unique Brands › Bodega 25 › Bodega 25/General</t>
        </is>
      </c>
      <c r="B3832" s="5">
        <f>IF($I2="","",INDEX(Productos!$A:$A,$I2))</f>
        <v/>
      </c>
      <c r="C3832" s="134" t="inlineStr">
        <is>
          <t>SFEPTN-48407270</t>
        </is>
      </c>
      <c r="D3832" s="5">
        <f>IF($I2="","",INDEX(Productos!$B:$B,$I2))</f>
        <v/>
      </c>
      <c r="E3832" s="5">
        <f>IF($I2="","",INDEX(Productos!$H:$H,$I2))</f>
        <v/>
      </c>
      <c r="F3832" s="5">
        <f>IF($I2="","",INDEX(Productos!$I:$I,$I2))</f>
        <v/>
      </c>
      <c r="G3832" s="135" t="n">
        <v>1</v>
      </c>
      <c r="H3832" s="5">
        <f>IF($I2="","",INDEX(Productos!$AG:$AG,$I2))</f>
        <v/>
      </c>
      <c r="I3832" s="136">
        <f>LET(_xlpm.r,Productos!$E$2:$E$2509,_xlpm.m,IFERROR(_xlfn.XMATCH(C3832,_xlpm.r),IFERROR(_xlfn.XMATCH(VALUE(C3832),_xlpm.r),0)),IF(_xlpm.m=0,"",_xlpm.m+1))</f>
        <v/>
      </c>
      <c r="J3832" s="137" t="inlineStr">
        <is>
          <t>Odoo</t>
        </is>
      </c>
    </row>
    <row r="3833">
      <c r="A3833" s="5" t="inlineStr">
        <is>
          <t>Odoo Universal Unique Brands › Bodega 25 › Bodega 25/General</t>
        </is>
      </c>
      <c r="B3833" s="5">
        <f>IF($I2="","",INDEX(Productos!$A:$A,$I2))</f>
        <v/>
      </c>
      <c r="C3833" s="134" t="inlineStr">
        <is>
          <t>SFEPTN-48407271</t>
        </is>
      </c>
      <c r="D3833" s="5">
        <f>IF($I2="","",INDEX(Productos!$B:$B,$I2))</f>
        <v/>
      </c>
      <c r="E3833" s="5">
        <f>IF($I2="","",INDEX(Productos!$H:$H,$I2))</f>
        <v/>
      </c>
      <c r="F3833" s="5">
        <f>IF($I2="","",INDEX(Productos!$I:$I,$I2))</f>
        <v/>
      </c>
      <c r="G3833" s="135" t="n">
        <v>1</v>
      </c>
      <c r="H3833" s="5">
        <f>IF($I2="","",INDEX(Productos!$AG:$AG,$I2))</f>
        <v/>
      </c>
      <c r="I3833" s="136">
        <f>LET(_xlpm.r,Productos!$E$2:$E$2509,_xlpm.m,IFERROR(_xlfn.XMATCH(C3833,_xlpm.r),IFERROR(_xlfn.XMATCH(VALUE(C3833),_xlpm.r),0)),IF(_xlpm.m=0,"",_xlpm.m+1))</f>
        <v/>
      </c>
      <c r="J3833" s="137" t="inlineStr">
        <is>
          <t>Odoo</t>
        </is>
      </c>
    </row>
    <row r="3834">
      <c r="A3834" s="5" t="inlineStr">
        <is>
          <t>Odoo Universal Unique Brands › Bodega 25 › Bodega 25/General</t>
        </is>
      </c>
      <c r="B3834" s="5">
        <f>IF($I2="","",INDEX(Productos!$A:$A,$I2))</f>
        <v/>
      </c>
      <c r="C3834" s="134" t="inlineStr">
        <is>
          <t>SFEPTN-48407272</t>
        </is>
      </c>
      <c r="D3834" s="5">
        <f>IF($I2="","",INDEX(Productos!$B:$B,$I2))</f>
        <v/>
      </c>
      <c r="E3834" s="5">
        <f>IF($I2="","",INDEX(Productos!$H:$H,$I2))</f>
        <v/>
      </c>
      <c r="F3834" s="5">
        <f>IF($I2="","",INDEX(Productos!$I:$I,$I2))</f>
        <v/>
      </c>
      <c r="G3834" s="135" t="n">
        <v>1</v>
      </c>
      <c r="H3834" s="5">
        <f>IF($I2="","",INDEX(Productos!$AG:$AG,$I2))</f>
        <v/>
      </c>
      <c r="I3834" s="136">
        <f>LET(_xlpm.r,Productos!$E$2:$E$2509,_xlpm.m,IFERROR(_xlfn.XMATCH(C3834,_xlpm.r),IFERROR(_xlfn.XMATCH(VALUE(C3834),_xlpm.r),0)),IF(_xlpm.m=0,"",_xlpm.m+1))</f>
        <v/>
      </c>
      <c r="J3834" s="137" t="inlineStr">
        <is>
          <t>Odoo</t>
        </is>
      </c>
    </row>
    <row r="3835">
      <c r="A3835" s="5" t="inlineStr">
        <is>
          <t>Odoo Universal Unique Brands › Bodega 25 › Bodega 25/General</t>
        </is>
      </c>
      <c r="B3835" s="5">
        <f>IF($I2="","",INDEX(Productos!$A:$A,$I2))</f>
        <v/>
      </c>
      <c r="C3835" s="134" t="inlineStr">
        <is>
          <t>SFEPTN-48407273</t>
        </is>
      </c>
      <c r="D3835" s="5">
        <f>IF($I2="","",INDEX(Productos!$B:$B,$I2))</f>
        <v/>
      </c>
      <c r="E3835" s="5">
        <f>IF($I2="","",INDEX(Productos!$H:$H,$I2))</f>
        <v/>
      </c>
      <c r="F3835" s="5">
        <f>IF($I2="","",INDEX(Productos!$I:$I,$I2))</f>
        <v/>
      </c>
      <c r="G3835" s="135" t="n">
        <v>1</v>
      </c>
      <c r="H3835" s="5">
        <f>IF($I2="","",INDEX(Productos!$AG:$AG,$I2))</f>
        <v/>
      </c>
      <c r="I3835" s="136">
        <f>LET(_xlpm.r,Productos!$E$2:$E$2509,_xlpm.m,IFERROR(_xlfn.XMATCH(C3835,_xlpm.r),IFERROR(_xlfn.XMATCH(VALUE(C3835),_xlpm.r),0)),IF(_xlpm.m=0,"",_xlpm.m+1))</f>
        <v/>
      </c>
      <c r="J3835" s="137" t="inlineStr">
        <is>
          <t>Odoo</t>
        </is>
      </c>
    </row>
    <row r="3836">
      <c r="A3836" s="5" t="inlineStr">
        <is>
          <t>Odoo Universal Unique Brands › Bodega 25 › Bodega 25/General</t>
        </is>
      </c>
      <c r="B3836" s="5">
        <f>IF($I2="","",INDEX(Productos!$A:$A,$I2))</f>
        <v/>
      </c>
      <c r="C3836" s="134" t="inlineStr">
        <is>
          <t>SFEPTN-4840MO71</t>
        </is>
      </c>
      <c r="D3836" s="5">
        <f>IF($I2="","",INDEX(Productos!$B:$B,$I2))</f>
        <v/>
      </c>
      <c r="E3836" s="5">
        <f>IF($I2="","",INDEX(Productos!$H:$H,$I2))</f>
        <v/>
      </c>
      <c r="F3836" s="5">
        <f>IF($I2="","",INDEX(Productos!$I:$I,$I2))</f>
        <v/>
      </c>
      <c r="G3836" s="135" t="n">
        <v>1</v>
      </c>
      <c r="H3836" s="5">
        <f>IF($I2="","",INDEX(Productos!$AG:$AG,$I2))</f>
        <v/>
      </c>
      <c r="I3836" s="136">
        <f>LET(_xlpm.r,Productos!$E$2:$E$2509,_xlpm.m,IFERROR(_xlfn.XMATCH(C3836,_xlpm.r),IFERROR(_xlfn.XMATCH(VALUE(C3836),_xlpm.r),0)),IF(_xlpm.m=0,"",_xlpm.m+1))</f>
        <v/>
      </c>
      <c r="J3836" s="137" t="inlineStr">
        <is>
          <t>Odoo</t>
        </is>
      </c>
    </row>
    <row r="3837">
      <c r="A3837" s="5" t="inlineStr">
        <is>
          <t>Odoo Universal Unique Brands › Bodega 25 › Bodega 25/General</t>
        </is>
      </c>
      <c r="B3837" s="5">
        <f>IF($I2="","",INDEX(Productos!$A:$A,$I2))</f>
        <v/>
      </c>
      <c r="C3837" s="134" t="inlineStr">
        <is>
          <t>SFEPTN-4840MO72</t>
        </is>
      </c>
      <c r="D3837" s="5">
        <f>IF($I2="","",INDEX(Productos!$B:$B,$I2))</f>
        <v/>
      </c>
      <c r="E3837" s="5">
        <f>IF($I2="","",INDEX(Productos!$H:$H,$I2))</f>
        <v/>
      </c>
      <c r="F3837" s="5">
        <f>IF($I2="","",INDEX(Productos!$I:$I,$I2))</f>
        <v/>
      </c>
      <c r="G3837" s="135" t="n">
        <v>2</v>
      </c>
      <c r="H3837" s="5">
        <f>IF($I2="","",INDEX(Productos!$AG:$AG,$I2))</f>
        <v/>
      </c>
      <c r="I3837" s="136">
        <f>LET(_xlpm.r,Productos!$E$2:$E$2509,_xlpm.m,IFERROR(_xlfn.XMATCH(C3837,_xlpm.r),IFERROR(_xlfn.XMATCH(VALUE(C3837),_xlpm.r),0)),IF(_xlpm.m=0,"",_xlpm.m+1))</f>
        <v/>
      </c>
      <c r="J3837" s="137" t="inlineStr">
        <is>
          <t>Odoo</t>
        </is>
      </c>
    </row>
    <row r="3838">
      <c r="A3838" s="5" t="inlineStr">
        <is>
          <t>Odoo Universal Unique Brands › Bodega 25 › Bodega 25/General</t>
        </is>
      </c>
      <c r="B3838" s="5">
        <f>IF($I2="","",INDEX(Productos!$A:$A,$I2))</f>
        <v/>
      </c>
      <c r="C3838" s="134" t="inlineStr">
        <is>
          <t>SFG160-01400770</t>
        </is>
      </c>
      <c r="D3838" s="5">
        <f>IF($I2="","",INDEX(Productos!$B:$B,$I2))</f>
        <v/>
      </c>
      <c r="E3838" s="5">
        <f>IF($I2="","",INDEX(Productos!$H:$H,$I2))</f>
        <v/>
      </c>
      <c r="F3838" s="5">
        <f>IF($I2="","",INDEX(Productos!$I:$I,$I2))</f>
        <v/>
      </c>
      <c r="G3838" s="135" t="n">
        <v>3</v>
      </c>
      <c r="H3838" s="5">
        <f>IF($I2="","",INDEX(Productos!$AG:$AG,$I2))</f>
        <v/>
      </c>
      <c r="I3838" s="136">
        <f>LET(_xlpm.r,Productos!$E$2:$E$2509,_xlpm.m,IFERROR(_xlfn.XMATCH(C3838,_xlpm.r),IFERROR(_xlfn.XMATCH(VALUE(C3838),_xlpm.r),0)),IF(_xlpm.m=0,"",_xlpm.m+1))</f>
        <v/>
      </c>
      <c r="J3838" s="137" t="inlineStr">
        <is>
          <t>Odoo</t>
        </is>
      </c>
    </row>
    <row r="3839">
      <c r="A3839" s="5" t="inlineStr">
        <is>
          <t>Odoo Universal Unique Brands › Bodega 25 › Bodega 25/General</t>
        </is>
      </c>
      <c r="B3839" s="5">
        <f>IF($I2="","",INDEX(Productos!$A:$A,$I2))</f>
        <v/>
      </c>
      <c r="C3839" s="134" t="inlineStr">
        <is>
          <t>SFG160-01400771</t>
        </is>
      </c>
      <c r="D3839" s="5">
        <f>IF($I2="","",INDEX(Productos!$B:$B,$I2))</f>
        <v/>
      </c>
      <c r="E3839" s="5">
        <f>IF($I2="","",INDEX(Productos!$H:$H,$I2))</f>
        <v/>
      </c>
      <c r="F3839" s="5">
        <f>IF($I2="","",INDEX(Productos!$I:$I,$I2))</f>
        <v/>
      </c>
      <c r="G3839" s="135" t="n">
        <v>6</v>
      </c>
      <c r="H3839" s="5">
        <f>IF($I2="","",INDEX(Productos!$AG:$AG,$I2))</f>
        <v/>
      </c>
      <c r="I3839" s="136">
        <f>LET(_xlpm.r,Productos!$E$2:$E$2509,_xlpm.m,IFERROR(_xlfn.XMATCH(C3839,_xlpm.r),IFERROR(_xlfn.XMATCH(VALUE(C3839),_xlpm.r),0)),IF(_xlpm.m=0,"",_xlpm.m+1))</f>
        <v/>
      </c>
      <c r="J3839" s="137" t="inlineStr">
        <is>
          <t>Odoo</t>
        </is>
      </c>
    </row>
    <row r="3840">
      <c r="A3840" s="5" t="inlineStr">
        <is>
          <t>Odoo Universal Unique Brands › Bodega 25 › Bodega 25/General</t>
        </is>
      </c>
      <c r="B3840" s="5">
        <f>IF($I2="","",INDEX(Productos!$A:$A,$I2))</f>
        <v/>
      </c>
      <c r="C3840" s="134" t="inlineStr">
        <is>
          <t>SFG160-01400772</t>
        </is>
      </c>
      <c r="D3840" s="5">
        <f>IF($I2="","",INDEX(Productos!$B:$B,$I2))</f>
        <v/>
      </c>
      <c r="E3840" s="5">
        <f>IF($I2="","",INDEX(Productos!$H:$H,$I2))</f>
        <v/>
      </c>
      <c r="F3840" s="5">
        <f>IF($I2="","",INDEX(Productos!$I:$I,$I2))</f>
        <v/>
      </c>
      <c r="G3840" s="135" t="n">
        <v>5</v>
      </c>
      <c r="H3840" s="5">
        <f>IF($I2="","",INDEX(Productos!$AG:$AG,$I2))</f>
        <v/>
      </c>
      <c r="I3840" s="136">
        <f>LET(_xlpm.r,Productos!$E$2:$E$2509,_xlpm.m,IFERROR(_xlfn.XMATCH(C3840,_xlpm.r),IFERROR(_xlfn.XMATCH(VALUE(C3840),_xlpm.r),0)),IF(_xlpm.m=0,"",_xlpm.m+1))</f>
        <v/>
      </c>
      <c r="J3840" s="137" t="inlineStr">
        <is>
          <t>Odoo</t>
        </is>
      </c>
    </row>
    <row r="3841">
      <c r="A3841" s="5" t="inlineStr">
        <is>
          <t>Odoo Universal Unique Brands › Bodega 25 › Bodega 25/General</t>
        </is>
      </c>
      <c r="B3841" s="5">
        <f>IF($I2="","",INDEX(Productos!$A:$A,$I2))</f>
        <v/>
      </c>
      <c r="C3841" s="134" t="inlineStr">
        <is>
          <t>SFG160-01400773</t>
        </is>
      </c>
      <c r="D3841" s="5">
        <f>IF($I2="","",INDEX(Productos!$B:$B,$I2))</f>
        <v/>
      </c>
      <c r="E3841" s="5">
        <f>IF($I2="","",INDEX(Productos!$H:$H,$I2))</f>
        <v/>
      </c>
      <c r="F3841" s="5">
        <f>IF($I2="","",INDEX(Productos!$I:$I,$I2))</f>
        <v/>
      </c>
      <c r="G3841" s="135" t="n">
        <v>5</v>
      </c>
      <c r="H3841" s="5">
        <f>IF($I2="","",INDEX(Productos!$AG:$AG,$I2))</f>
        <v/>
      </c>
      <c r="I3841" s="136">
        <f>LET(_xlpm.r,Productos!$E$2:$E$2509,_xlpm.m,IFERROR(_xlfn.XMATCH(C3841,_xlpm.r),IFERROR(_xlfn.XMATCH(VALUE(C3841),_xlpm.r),0)),IF(_xlpm.m=0,"",_xlpm.m+1))</f>
        <v/>
      </c>
      <c r="J3841" s="137" t="inlineStr">
        <is>
          <t>Odoo</t>
        </is>
      </c>
    </row>
    <row r="3842">
      <c r="A3842" s="5" t="inlineStr">
        <is>
          <t>Odoo Universal Unique Brands › Bodega 25 › Bodega 25/General</t>
        </is>
      </c>
      <c r="B3842" s="5">
        <f>IF($I2="","",INDEX(Productos!$A:$A,$I2))</f>
        <v/>
      </c>
      <c r="C3842" s="134" t="inlineStr">
        <is>
          <t>SFG160-01400774</t>
        </is>
      </c>
      <c r="D3842" s="5">
        <f>IF($I2="","",INDEX(Productos!$B:$B,$I2))</f>
        <v/>
      </c>
      <c r="E3842" s="5">
        <f>IF($I2="","",INDEX(Productos!$H:$H,$I2))</f>
        <v/>
      </c>
      <c r="F3842" s="5">
        <f>IF($I2="","",INDEX(Productos!$I:$I,$I2))</f>
        <v/>
      </c>
      <c r="G3842" s="135" t="n">
        <v>1</v>
      </c>
      <c r="H3842" s="5">
        <f>IF($I2="","",INDEX(Productos!$AG:$AG,$I2))</f>
        <v/>
      </c>
      <c r="I3842" s="136">
        <f>LET(_xlpm.r,Productos!$E$2:$E$2509,_xlpm.m,IFERROR(_xlfn.XMATCH(C3842,_xlpm.r),IFERROR(_xlfn.XMATCH(VALUE(C3842),_xlpm.r),0)),IF(_xlpm.m=0,"",_xlpm.m+1))</f>
        <v/>
      </c>
      <c r="J3842" s="137" t="inlineStr">
        <is>
          <t>Odoo</t>
        </is>
      </c>
    </row>
    <row r="3843">
      <c r="A3843" s="5" t="inlineStr">
        <is>
          <t>Odoo Universal Unique Brands › Bodega 25 › Bodega 25/General</t>
        </is>
      </c>
      <c r="B3843" s="5">
        <f>IF($I2="","",INDEX(Productos!$A:$A,$I2))</f>
        <v/>
      </c>
      <c r="C3843" s="134" t="inlineStr">
        <is>
          <t>SFG160-01402270</t>
        </is>
      </c>
      <c r="D3843" s="5">
        <f>IF($I2="","",INDEX(Productos!$B:$B,$I2))</f>
        <v/>
      </c>
      <c r="E3843" s="5">
        <f>IF($I2="","",INDEX(Productos!$H:$H,$I2))</f>
        <v/>
      </c>
      <c r="F3843" s="5">
        <f>IF($I2="","",INDEX(Productos!$I:$I,$I2))</f>
        <v/>
      </c>
      <c r="G3843" s="135" t="n">
        <v>1</v>
      </c>
      <c r="H3843" s="5">
        <f>IF($I2="","",INDEX(Productos!$AG:$AG,$I2))</f>
        <v/>
      </c>
      <c r="I3843" s="136">
        <f>LET(_xlpm.r,Productos!$E$2:$E$2509,_xlpm.m,IFERROR(_xlfn.XMATCH(C3843,_xlpm.r),IFERROR(_xlfn.XMATCH(VALUE(C3843),_xlpm.r),0)),IF(_xlpm.m=0,"",_xlpm.m+1))</f>
        <v/>
      </c>
      <c r="J3843" s="137" t="inlineStr">
        <is>
          <t>Odoo</t>
        </is>
      </c>
    </row>
    <row r="3844">
      <c r="A3844" s="5" t="inlineStr">
        <is>
          <t>Odoo Universal Unique Brands › Bodega 25 › Bodega 25/General</t>
        </is>
      </c>
      <c r="B3844" s="5">
        <f>IF($I2="","",INDEX(Productos!$A:$A,$I2))</f>
        <v/>
      </c>
      <c r="C3844" s="134" t="inlineStr">
        <is>
          <t>SFG160-01402271</t>
        </is>
      </c>
      <c r="D3844" s="5">
        <f>IF($I2="","",INDEX(Productos!$B:$B,$I2))</f>
        <v/>
      </c>
      <c r="E3844" s="5">
        <f>IF($I2="","",INDEX(Productos!$H:$H,$I2))</f>
        <v/>
      </c>
      <c r="F3844" s="5">
        <f>IF($I2="","",INDEX(Productos!$I:$I,$I2))</f>
        <v/>
      </c>
      <c r="G3844" s="135" t="n">
        <v>3</v>
      </c>
      <c r="H3844" s="5">
        <f>IF($I2="","",INDEX(Productos!$AG:$AG,$I2))</f>
        <v/>
      </c>
      <c r="I3844" s="136">
        <f>LET(_xlpm.r,Productos!$E$2:$E$2509,_xlpm.m,IFERROR(_xlfn.XMATCH(C3844,_xlpm.r),IFERROR(_xlfn.XMATCH(VALUE(C3844),_xlpm.r),0)),IF(_xlpm.m=0,"",_xlpm.m+1))</f>
        <v/>
      </c>
      <c r="J3844" s="137" t="inlineStr">
        <is>
          <t>Odoo</t>
        </is>
      </c>
    </row>
    <row r="3845">
      <c r="A3845" s="5" t="inlineStr">
        <is>
          <t>Odoo Universal Unique Brands › Bodega 25 › Bodega 25/General</t>
        </is>
      </c>
      <c r="B3845" s="5">
        <f>IF($I2="","",INDEX(Productos!$A:$A,$I2))</f>
        <v/>
      </c>
      <c r="C3845" s="134" t="inlineStr">
        <is>
          <t>SFG160-01402272</t>
        </is>
      </c>
      <c r="D3845" s="5">
        <f>IF($I2="","",INDEX(Productos!$B:$B,$I2))</f>
        <v/>
      </c>
      <c r="E3845" s="5">
        <f>IF($I2="","",INDEX(Productos!$H:$H,$I2))</f>
        <v/>
      </c>
      <c r="F3845" s="5">
        <f>IF($I2="","",INDEX(Productos!$I:$I,$I2))</f>
        <v/>
      </c>
      <c r="G3845" s="135" t="n">
        <v>3</v>
      </c>
      <c r="H3845" s="5">
        <f>IF($I2="","",INDEX(Productos!$AG:$AG,$I2))</f>
        <v/>
      </c>
      <c r="I3845" s="136">
        <f>LET(_xlpm.r,Productos!$E$2:$E$2509,_xlpm.m,IFERROR(_xlfn.XMATCH(C3845,_xlpm.r),IFERROR(_xlfn.XMATCH(VALUE(C3845),_xlpm.r),0)),IF(_xlpm.m=0,"",_xlpm.m+1))</f>
        <v/>
      </c>
      <c r="J3845" s="137" t="inlineStr">
        <is>
          <t>Odoo</t>
        </is>
      </c>
    </row>
    <row r="3846">
      <c r="A3846" s="5" t="inlineStr">
        <is>
          <t>Odoo Universal Unique Brands › Bodega 25 › Bodega 25/General</t>
        </is>
      </c>
      <c r="B3846" s="5">
        <f>IF($I2="","",INDEX(Productos!$A:$A,$I2))</f>
        <v/>
      </c>
      <c r="C3846" s="134" t="inlineStr">
        <is>
          <t>SFG160-01402273</t>
        </is>
      </c>
      <c r="D3846" s="5">
        <f>IF($I2="","",INDEX(Productos!$B:$B,$I2))</f>
        <v/>
      </c>
      <c r="E3846" s="5">
        <f>IF($I2="","",INDEX(Productos!$H:$H,$I2))</f>
        <v/>
      </c>
      <c r="F3846" s="5">
        <f>IF($I2="","",INDEX(Productos!$I:$I,$I2))</f>
        <v/>
      </c>
      <c r="G3846" s="135" t="n">
        <v>3</v>
      </c>
      <c r="H3846" s="5">
        <f>IF($I2="","",INDEX(Productos!$AG:$AG,$I2))</f>
        <v/>
      </c>
      <c r="I3846" s="136">
        <f>LET(_xlpm.r,Productos!$E$2:$E$2509,_xlpm.m,IFERROR(_xlfn.XMATCH(C3846,_xlpm.r),IFERROR(_xlfn.XMATCH(VALUE(C3846),_xlpm.r),0)),IF(_xlpm.m=0,"",_xlpm.m+1))</f>
        <v/>
      </c>
      <c r="J3846" s="137" t="inlineStr">
        <is>
          <t>Odoo</t>
        </is>
      </c>
    </row>
    <row r="3847">
      <c r="A3847" s="5" t="inlineStr">
        <is>
          <t>Odoo Universal Unique Brands › Bodega 25 › Bodega 25/General</t>
        </is>
      </c>
      <c r="B3847" s="5">
        <f>IF($I2="","",INDEX(Productos!$A:$A,$I2))</f>
        <v/>
      </c>
      <c r="C3847" s="134" t="inlineStr">
        <is>
          <t>SFG160-01406171</t>
        </is>
      </c>
      <c r="D3847" s="5">
        <f>IF($I2="","",INDEX(Productos!$B:$B,$I2))</f>
        <v/>
      </c>
      <c r="E3847" s="5">
        <f>IF($I2="","",INDEX(Productos!$H:$H,$I2))</f>
        <v/>
      </c>
      <c r="F3847" s="5">
        <f>IF($I2="","",INDEX(Productos!$I:$I,$I2))</f>
        <v/>
      </c>
      <c r="G3847" s="135" t="n">
        <v>1</v>
      </c>
      <c r="H3847" s="5">
        <f>IF($I2="","",INDEX(Productos!$AG:$AG,$I2))</f>
        <v/>
      </c>
      <c r="I3847" s="136">
        <f>LET(_xlpm.r,Productos!$E$2:$E$2509,_xlpm.m,IFERROR(_xlfn.XMATCH(C3847,_xlpm.r),IFERROR(_xlfn.XMATCH(VALUE(C3847),_xlpm.r),0)),IF(_xlpm.m=0,"",_xlpm.m+1))</f>
        <v/>
      </c>
      <c r="J3847" s="137" t="inlineStr">
        <is>
          <t>Odoo</t>
        </is>
      </c>
    </row>
    <row r="3848">
      <c r="A3848" s="5" t="inlineStr">
        <is>
          <t>Odoo Universal Unique Brands › Bodega 25 › Bodega 25/General</t>
        </is>
      </c>
      <c r="B3848" s="5">
        <f>IF($I2="","",INDEX(Productos!$A:$A,$I2))</f>
        <v/>
      </c>
      <c r="C3848" s="134" t="inlineStr">
        <is>
          <t>SFG160-01406173</t>
        </is>
      </c>
      <c r="D3848" s="5">
        <f>IF($I2="","",INDEX(Productos!$B:$B,$I2))</f>
        <v/>
      </c>
      <c r="E3848" s="5">
        <f>IF($I2="","",INDEX(Productos!$H:$H,$I2))</f>
        <v/>
      </c>
      <c r="F3848" s="5">
        <f>IF($I2="","",INDEX(Productos!$I:$I,$I2))</f>
        <v/>
      </c>
      <c r="G3848" s="135" t="n">
        <v>1</v>
      </c>
      <c r="H3848" s="5">
        <f>IF($I2="","",INDEX(Productos!$AG:$AG,$I2))</f>
        <v/>
      </c>
      <c r="I3848" s="136">
        <f>LET(_xlpm.r,Productos!$E$2:$E$2509,_xlpm.m,IFERROR(_xlfn.XMATCH(C3848,_xlpm.r),IFERROR(_xlfn.XMATCH(VALUE(C3848),_xlpm.r),0)),IF(_xlpm.m=0,"",_xlpm.m+1))</f>
        <v/>
      </c>
      <c r="J3848" s="137" t="inlineStr">
        <is>
          <t>Odoo</t>
        </is>
      </c>
    </row>
    <row r="3849">
      <c r="A3849" s="5" t="inlineStr">
        <is>
          <t>Odoo Universal Unique Brands › Bodega 25 › Bodega 25/General</t>
        </is>
      </c>
      <c r="B3849" s="5">
        <f>IF($I2="","",INDEX(Productos!$A:$A,$I2))</f>
        <v/>
      </c>
      <c r="C3849" s="134" t="inlineStr">
        <is>
          <t>SFMZCL-01404873</t>
        </is>
      </c>
      <c r="D3849" s="5">
        <f>IF($I2="","",INDEX(Productos!$B:$B,$I2))</f>
        <v/>
      </c>
      <c r="E3849" s="5">
        <f>IF($I2="","",INDEX(Productos!$H:$H,$I2))</f>
        <v/>
      </c>
      <c r="F3849" s="5">
        <f>IF($I2="","",INDEX(Productos!$I:$I,$I2))</f>
        <v/>
      </c>
      <c r="G3849" s="135" t="n">
        <v>1</v>
      </c>
      <c r="H3849" s="5">
        <f>IF($I2="","",INDEX(Productos!$AG:$AG,$I2))</f>
        <v/>
      </c>
      <c r="I3849" s="136">
        <f>LET(_xlpm.r,Productos!$E$2:$E$2509,_xlpm.m,IFERROR(_xlfn.XMATCH(C3849,_xlpm.r),IFERROR(_xlfn.XMATCH(VALUE(C3849),_xlpm.r),0)),IF(_xlpm.m=0,"",_xlpm.m+1))</f>
        <v/>
      </c>
      <c r="J3849" s="137" t="inlineStr">
        <is>
          <t>Odoo</t>
        </is>
      </c>
    </row>
    <row r="3850">
      <c r="A3850" s="5" t="inlineStr">
        <is>
          <t>Odoo Universal Unique Brands › Bodega 25 › Bodega 25/General</t>
        </is>
      </c>
      <c r="B3850" s="5">
        <f>IF($I2="","",INDEX(Productos!$A:$A,$I2))</f>
        <v/>
      </c>
      <c r="C3850" s="134" t="inlineStr">
        <is>
          <t>SFPALC-01400770</t>
        </is>
      </c>
      <c r="D3850" s="5">
        <f>IF($I2="","",INDEX(Productos!$B:$B,$I2))</f>
        <v/>
      </c>
      <c r="E3850" s="5">
        <f>IF($I2="","",INDEX(Productos!$H:$H,$I2))</f>
        <v/>
      </c>
      <c r="F3850" s="5">
        <f>IF($I2="","",INDEX(Productos!$I:$I,$I2))</f>
        <v/>
      </c>
      <c r="G3850" s="135" t="n">
        <v>4</v>
      </c>
      <c r="H3850" s="5">
        <f>IF($I2="","",INDEX(Productos!$AG:$AG,$I2))</f>
        <v/>
      </c>
      <c r="I3850" s="136">
        <f>LET(_xlpm.r,Productos!$E$2:$E$2509,_xlpm.m,IFERROR(_xlfn.XMATCH(C3850,_xlpm.r),IFERROR(_xlfn.XMATCH(VALUE(C3850),_xlpm.r),0)),IF(_xlpm.m=0,"",_xlpm.m+1))</f>
        <v/>
      </c>
      <c r="J3850" s="137" t="inlineStr">
        <is>
          <t>Odoo</t>
        </is>
      </c>
    </row>
    <row r="3851">
      <c r="A3851" s="5" t="inlineStr">
        <is>
          <t>Odoo Universal Unique Brands › Bodega 25 › Bodega 25/General</t>
        </is>
      </c>
      <c r="B3851" s="5">
        <f>IF($I2="","",INDEX(Productos!$A:$A,$I2))</f>
        <v/>
      </c>
      <c r="C3851" s="134" t="inlineStr">
        <is>
          <t>SFPALC-01400771</t>
        </is>
      </c>
      <c r="D3851" s="5">
        <f>IF($I2="","",INDEX(Productos!$B:$B,$I2))</f>
        <v/>
      </c>
      <c r="E3851" s="5">
        <f>IF($I2="","",INDEX(Productos!$H:$H,$I2))</f>
        <v/>
      </c>
      <c r="F3851" s="5">
        <f>IF($I2="","",INDEX(Productos!$I:$I,$I2))</f>
        <v/>
      </c>
      <c r="G3851" s="135" t="n">
        <v>8</v>
      </c>
      <c r="H3851" s="5">
        <f>IF($I2="","",INDEX(Productos!$AG:$AG,$I2))</f>
        <v/>
      </c>
      <c r="I3851" s="136">
        <f>LET(_xlpm.r,Productos!$E$2:$E$2509,_xlpm.m,IFERROR(_xlfn.XMATCH(C3851,_xlpm.r),IFERROR(_xlfn.XMATCH(VALUE(C3851),_xlpm.r),0)),IF(_xlpm.m=0,"",_xlpm.m+1))</f>
        <v/>
      </c>
      <c r="J3851" s="137" t="inlineStr">
        <is>
          <t>Odoo</t>
        </is>
      </c>
    </row>
    <row r="3852">
      <c r="A3852" s="5" t="inlineStr">
        <is>
          <t>Odoo Universal Unique Brands › Bodega 25 › Bodega 25/General</t>
        </is>
      </c>
      <c r="B3852" s="5">
        <f>IF($I2="","",INDEX(Productos!$A:$A,$I2))</f>
        <v/>
      </c>
      <c r="C3852" s="134" t="inlineStr">
        <is>
          <t>SFPALC-01400772</t>
        </is>
      </c>
      <c r="D3852" s="5">
        <f>IF($I2="","",INDEX(Productos!$B:$B,$I2))</f>
        <v/>
      </c>
      <c r="E3852" s="5">
        <f>IF($I2="","",INDEX(Productos!$H:$H,$I2))</f>
        <v/>
      </c>
      <c r="F3852" s="5">
        <f>IF($I2="","",INDEX(Productos!$I:$I,$I2))</f>
        <v/>
      </c>
      <c r="G3852" s="135" t="n">
        <v>8</v>
      </c>
      <c r="H3852" s="5">
        <f>IF($I2="","",INDEX(Productos!$AG:$AG,$I2))</f>
        <v/>
      </c>
      <c r="I3852" s="136">
        <f>LET(_xlpm.r,Productos!$E$2:$E$2509,_xlpm.m,IFERROR(_xlfn.XMATCH(C3852,_xlpm.r),IFERROR(_xlfn.XMATCH(VALUE(C3852),_xlpm.r),0)),IF(_xlpm.m=0,"",_xlpm.m+1))</f>
        <v/>
      </c>
      <c r="J3852" s="137" t="inlineStr">
        <is>
          <t>Odoo</t>
        </is>
      </c>
    </row>
    <row r="3853">
      <c r="A3853" s="5" t="inlineStr">
        <is>
          <t>Odoo Universal Unique Brands › Bodega 25 › Bodega 25/General</t>
        </is>
      </c>
      <c r="B3853" s="5">
        <f>IF($I2="","",INDEX(Productos!$A:$A,$I2))</f>
        <v/>
      </c>
      <c r="C3853" s="134" t="inlineStr">
        <is>
          <t>SFPALC-01400773</t>
        </is>
      </c>
      <c r="D3853" s="5">
        <f>IF($I2="","",INDEX(Productos!$B:$B,$I2))</f>
        <v/>
      </c>
      <c r="E3853" s="5">
        <f>IF($I2="","",INDEX(Productos!$H:$H,$I2))</f>
        <v/>
      </c>
      <c r="F3853" s="5">
        <f>IF($I2="","",INDEX(Productos!$I:$I,$I2))</f>
        <v/>
      </c>
      <c r="G3853" s="135" t="n">
        <v>20</v>
      </c>
      <c r="H3853" s="5">
        <f>IF($I2="","",INDEX(Productos!$AG:$AG,$I2))</f>
        <v/>
      </c>
      <c r="I3853" s="136">
        <f>LET(_xlpm.r,Productos!$E$2:$E$2509,_xlpm.m,IFERROR(_xlfn.XMATCH(C3853,_xlpm.r),IFERROR(_xlfn.XMATCH(VALUE(C3853),_xlpm.r),0)),IF(_xlpm.m=0,"",_xlpm.m+1))</f>
        <v/>
      </c>
      <c r="J3853" s="137" t="inlineStr">
        <is>
          <t>Odoo</t>
        </is>
      </c>
    </row>
    <row r="3854">
      <c r="A3854" s="5" t="inlineStr">
        <is>
          <t>Odoo Universal Unique Brands › Bodega 25 › Bodega 25/General</t>
        </is>
      </c>
      <c r="B3854" s="5">
        <f>IF($I2="","",INDEX(Productos!$A:$A,$I2))</f>
        <v/>
      </c>
      <c r="C3854" s="134" t="inlineStr">
        <is>
          <t>SFPALC-01400774</t>
        </is>
      </c>
      <c r="D3854" s="5">
        <f>IF($I2="","",INDEX(Productos!$B:$B,$I2))</f>
        <v/>
      </c>
      <c r="E3854" s="5">
        <f>IF($I2="","",INDEX(Productos!$H:$H,$I2))</f>
        <v/>
      </c>
      <c r="F3854" s="5">
        <f>IF($I2="","",INDEX(Productos!$I:$I,$I2))</f>
        <v/>
      </c>
      <c r="G3854" s="135" t="n">
        <v>2</v>
      </c>
      <c r="H3854" s="5">
        <f>IF($I2="","",INDEX(Productos!$AG:$AG,$I2))</f>
        <v/>
      </c>
      <c r="I3854" s="136">
        <f>LET(_xlpm.r,Productos!$E$2:$E$2509,_xlpm.m,IFERROR(_xlfn.XMATCH(C3854,_xlpm.r),IFERROR(_xlfn.XMATCH(VALUE(C3854),_xlpm.r),0)),IF(_xlpm.m=0,"",_xlpm.m+1))</f>
        <v/>
      </c>
      <c r="J3854" s="137" t="inlineStr">
        <is>
          <t>Odoo</t>
        </is>
      </c>
    </row>
    <row r="3855">
      <c r="A3855" s="5" t="inlineStr">
        <is>
          <t>Odoo Universal Unique Brands › Bodega 25 › Bodega 25/General</t>
        </is>
      </c>
      <c r="B3855" s="5">
        <f>IF($I2="","",INDEX(Productos!$A:$A,$I2))</f>
        <v/>
      </c>
      <c r="C3855" s="134" t="inlineStr">
        <is>
          <t>SFPALC-01400775</t>
        </is>
      </c>
      <c r="D3855" s="5">
        <f>IF($I2="","",INDEX(Productos!$B:$B,$I2))</f>
        <v/>
      </c>
      <c r="E3855" s="5">
        <f>IF($I2="","",INDEX(Productos!$H:$H,$I2))</f>
        <v/>
      </c>
      <c r="F3855" s="5">
        <f>IF($I2="","",INDEX(Productos!$I:$I,$I2))</f>
        <v/>
      </c>
      <c r="G3855" s="135" t="n">
        <v>1</v>
      </c>
      <c r="H3855" s="5">
        <f>IF($I2="","",INDEX(Productos!$AG:$AG,$I2))</f>
        <v/>
      </c>
      <c r="I3855" s="136">
        <f>LET(_xlpm.r,Productos!$E$2:$E$2509,_xlpm.m,IFERROR(_xlfn.XMATCH(C3855,_xlpm.r),IFERROR(_xlfn.XMATCH(VALUE(C3855),_xlpm.r),0)),IF(_xlpm.m=0,"",_xlpm.m+1))</f>
        <v/>
      </c>
      <c r="J3855" s="137" t="inlineStr">
        <is>
          <t>Odoo</t>
        </is>
      </c>
    </row>
    <row r="3856">
      <c r="A3856" s="5" t="inlineStr">
        <is>
          <t>Odoo Universal Unique Brands › Bodega 25 › Bodega 25/General</t>
        </is>
      </c>
      <c r="B3856" s="5">
        <f>IF($I2="","",INDEX(Productos!$A:$A,$I2))</f>
        <v/>
      </c>
      <c r="C3856" s="134" t="inlineStr">
        <is>
          <t>SFPALC-01406167</t>
        </is>
      </c>
      <c r="D3856" s="5">
        <f>IF($I2="","",INDEX(Productos!$B:$B,$I2))</f>
        <v/>
      </c>
      <c r="E3856" s="5">
        <f>IF($I2="","",INDEX(Productos!$H:$H,$I2))</f>
        <v/>
      </c>
      <c r="F3856" s="5">
        <f>IF($I2="","",INDEX(Productos!$I:$I,$I2))</f>
        <v/>
      </c>
      <c r="G3856" s="135" t="n">
        <v>1</v>
      </c>
      <c r="H3856" s="5">
        <f>IF($I2="","",INDEX(Productos!$AG:$AG,$I2))</f>
        <v/>
      </c>
      <c r="I3856" s="136">
        <f>LET(_xlpm.r,Productos!$E$2:$E$2509,_xlpm.m,IFERROR(_xlfn.XMATCH(C3856,_xlpm.r),IFERROR(_xlfn.XMATCH(VALUE(C3856),_xlpm.r),0)),IF(_xlpm.m=0,"",_xlpm.m+1))</f>
        <v/>
      </c>
      <c r="J3856" s="137" t="inlineStr">
        <is>
          <t>Odoo</t>
        </is>
      </c>
    </row>
    <row r="3857">
      <c r="A3857" s="5" t="inlineStr">
        <is>
          <t>Odoo Universal Unique Brands › Bodega 25 › Bodega 25/General</t>
        </is>
      </c>
      <c r="B3857" s="5">
        <f>IF($I2="","",INDEX(Productos!$A:$A,$I2))</f>
        <v/>
      </c>
      <c r="C3857" s="134" t="inlineStr">
        <is>
          <t>SFPALC-01406171</t>
        </is>
      </c>
      <c r="D3857" s="5">
        <f>IF($I2="","",INDEX(Productos!$B:$B,$I2))</f>
        <v/>
      </c>
      <c r="E3857" s="5">
        <f>IF($I2="","",INDEX(Productos!$H:$H,$I2))</f>
        <v/>
      </c>
      <c r="F3857" s="5">
        <f>IF($I2="","",INDEX(Productos!$I:$I,$I2))</f>
        <v/>
      </c>
      <c r="G3857" s="135" t="n">
        <v>4</v>
      </c>
      <c r="H3857" s="5">
        <f>IF($I2="","",INDEX(Productos!$AG:$AG,$I2))</f>
        <v/>
      </c>
      <c r="I3857" s="136">
        <f>LET(_xlpm.r,Productos!$E$2:$E$2509,_xlpm.m,IFERROR(_xlfn.XMATCH(C3857,_xlpm.r),IFERROR(_xlfn.XMATCH(VALUE(C3857),_xlpm.r),0)),IF(_xlpm.m=0,"",_xlpm.m+1))</f>
        <v/>
      </c>
      <c r="J3857" s="137" t="inlineStr">
        <is>
          <t>Odoo</t>
        </is>
      </c>
    </row>
    <row r="3858">
      <c r="A3858" s="5" t="inlineStr">
        <is>
          <t>Odoo Universal Unique Brands › Bodega 25 › Bodega 25/General</t>
        </is>
      </c>
      <c r="B3858" s="5">
        <f>IF($I2="","",INDEX(Productos!$A:$A,$I2))</f>
        <v/>
      </c>
      <c r="C3858" s="134" t="inlineStr">
        <is>
          <t>SFPALC-01406172</t>
        </is>
      </c>
      <c r="D3858" s="5">
        <f>IF($I2="","",INDEX(Productos!$B:$B,$I2))</f>
        <v/>
      </c>
      <c r="E3858" s="5">
        <f>IF($I2="","",INDEX(Productos!$H:$H,$I2))</f>
        <v/>
      </c>
      <c r="F3858" s="5">
        <f>IF($I2="","",INDEX(Productos!$I:$I,$I2))</f>
        <v/>
      </c>
      <c r="G3858" s="135" t="n">
        <v>4</v>
      </c>
      <c r="H3858" s="5">
        <f>IF($I2="","",INDEX(Productos!$AG:$AG,$I2))</f>
        <v/>
      </c>
      <c r="I3858" s="136">
        <f>LET(_xlpm.r,Productos!$E$2:$E$2509,_xlpm.m,IFERROR(_xlfn.XMATCH(C3858,_xlpm.r),IFERROR(_xlfn.XMATCH(VALUE(C3858),_xlpm.r),0)),IF(_xlpm.m=0,"",_xlpm.m+1))</f>
        <v/>
      </c>
      <c r="J3858" s="137" t="inlineStr">
        <is>
          <t>Odoo</t>
        </is>
      </c>
    </row>
    <row r="3859">
      <c r="A3859" s="5" t="inlineStr">
        <is>
          <t>Odoo Universal Unique Brands › Bodega 25 › Bodega 25/General</t>
        </is>
      </c>
      <c r="B3859" s="5">
        <f>IF($I2="","",INDEX(Productos!$A:$A,$I2))</f>
        <v/>
      </c>
      <c r="C3859" s="134" t="inlineStr">
        <is>
          <t>SFPALC-01407270</t>
        </is>
      </c>
      <c r="D3859" s="5">
        <f>IF($I2="","",INDEX(Productos!$B:$B,$I2))</f>
        <v/>
      </c>
      <c r="E3859" s="5">
        <f>IF($I2="","",INDEX(Productos!$H:$H,$I2))</f>
        <v/>
      </c>
      <c r="F3859" s="5">
        <f>IF($I2="","",INDEX(Productos!$I:$I,$I2))</f>
        <v/>
      </c>
      <c r="G3859" s="135" t="n">
        <v>1</v>
      </c>
      <c r="H3859" s="5">
        <f>IF($I2="","",INDEX(Productos!$AG:$AG,$I2))</f>
        <v/>
      </c>
      <c r="I3859" s="136">
        <f>LET(_xlpm.r,Productos!$E$2:$E$2509,_xlpm.m,IFERROR(_xlfn.XMATCH(C3859,_xlpm.r),IFERROR(_xlfn.XMATCH(VALUE(C3859),_xlpm.r),0)),IF(_xlpm.m=0,"",_xlpm.m+1))</f>
        <v/>
      </c>
      <c r="J3859" s="137" t="inlineStr">
        <is>
          <t>Odoo</t>
        </is>
      </c>
    </row>
    <row r="3860">
      <c r="A3860" s="5" t="inlineStr">
        <is>
          <t>Odoo Universal Unique Brands › Bodega 25 › Bodega 25/General</t>
        </is>
      </c>
      <c r="B3860" s="5">
        <f>IF($I2="","",INDEX(Productos!$A:$A,$I2))</f>
        <v/>
      </c>
      <c r="C3860" s="134" t="inlineStr">
        <is>
          <t>SFPALC-01407273</t>
        </is>
      </c>
      <c r="D3860" s="5">
        <f>IF($I2="","",INDEX(Productos!$B:$B,$I2))</f>
        <v/>
      </c>
      <c r="E3860" s="5">
        <f>IF($I2="","",INDEX(Productos!$H:$H,$I2))</f>
        <v/>
      </c>
      <c r="F3860" s="5">
        <f>IF($I2="","",INDEX(Productos!$I:$I,$I2))</f>
        <v/>
      </c>
      <c r="G3860" s="135" t="n">
        <v>1</v>
      </c>
      <c r="H3860" s="5">
        <f>IF($I2="","",INDEX(Productos!$AG:$AG,$I2))</f>
        <v/>
      </c>
      <c r="I3860" s="136">
        <f>LET(_xlpm.r,Productos!$E$2:$E$2509,_xlpm.m,IFERROR(_xlfn.XMATCH(C3860,_xlpm.r),IFERROR(_xlfn.XMATCH(VALUE(C3860),_xlpm.r),0)),IF(_xlpm.m=0,"",_xlpm.m+1))</f>
        <v/>
      </c>
      <c r="J3860" s="137" t="inlineStr">
        <is>
          <t>Odoo</t>
        </is>
      </c>
    </row>
    <row r="3861">
      <c r="A3861" s="5" t="inlineStr">
        <is>
          <t>Odoo Universal Unique Brands › Bodega 25 › Bodega 25/General</t>
        </is>
      </c>
      <c r="B3861" s="5">
        <f>IF($I2="","",INDEX(Productos!$A:$A,$I2))</f>
        <v/>
      </c>
      <c r="C3861" s="134" t="inlineStr">
        <is>
          <t>SFPALC-48400774</t>
        </is>
      </c>
      <c r="D3861" s="5">
        <f>IF($I2="","",INDEX(Productos!$B:$B,$I2))</f>
        <v/>
      </c>
      <c r="E3861" s="5">
        <f>IF($I2="","",INDEX(Productos!$H:$H,$I2))</f>
        <v/>
      </c>
      <c r="F3861" s="5">
        <f>IF($I2="","",INDEX(Productos!$I:$I,$I2))</f>
        <v/>
      </c>
      <c r="G3861" s="135" t="n">
        <v>3</v>
      </c>
      <c r="H3861" s="5">
        <f>IF($I2="","",INDEX(Productos!$AG:$AG,$I2))</f>
        <v/>
      </c>
      <c r="I3861" s="136">
        <f>LET(_xlpm.r,Productos!$E$2:$E$2509,_xlpm.m,IFERROR(_xlfn.XMATCH(C3861,_xlpm.r),IFERROR(_xlfn.XMATCH(VALUE(C3861),_xlpm.r),0)),IF(_xlpm.m=0,"",_xlpm.m+1))</f>
        <v/>
      </c>
      <c r="J3861" s="137" t="inlineStr">
        <is>
          <t>Odoo</t>
        </is>
      </c>
    </row>
    <row r="3862">
      <c r="A3862" s="5" t="inlineStr">
        <is>
          <t>Odoo Universal Unique Brands › Bodega 25 › Bodega 25/General</t>
        </is>
      </c>
      <c r="B3862" s="5">
        <f>IF($I2="","",INDEX(Productos!$A:$A,$I2))</f>
        <v/>
      </c>
      <c r="C3862" s="134" t="inlineStr">
        <is>
          <t>SFPALC-48400775</t>
        </is>
      </c>
      <c r="D3862" s="5">
        <f>IF($I2="","",INDEX(Productos!$B:$B,$I2))</f>
        <v/>
      </c>
      <c r="E3862" s="5">
        <f>IF($I2="","",INDEX(Productos!$H:$H,$I2))</f>
        <v/>
      </c>
      <c r="F3862" s="5">
        <f>IF($I2="","",INDEX(Productos!$I:$I,$I2))</f>
        <v/>
      </c>
      <c r="G3862" s="135" t="n">
        <v>2</v>
      </c>
      <c r="H3862" s="5">
        <f>IF($I2="","",INDEX(Productos!$AG:$AG,$I2))</f>
        <v/>
      </c>
      <c r="I3862" s="136">
        <f>LET(_xlpm.r,Productos!$E$2:$E$2509,_xlpm.m,IFERROR(_xlfn.XMATCH(C3862,_xlpm.r),IFERROR(_xlfn.XMATCH(VALUE(C3862),_xlpm.r),0)),IF(_xlpm.m=0,"",_xlpm.m+1))</f>
        <v/>
      </c>
      <c r="J3862" s="137" t="inlineStr">
        <is>
          <t>Odoo</t>
        </is>
      </c>
    </row>
    <row r="3863">
      <c r="A3863" s="5" t="inlineStr">
        <is>
          <t>Odoo Universal Unique Brands › Bodega 25 › Bodega 25/General</t>
        </is>
      </c>
      <c r="B3863" s="5">
        <f>IF($I2="","",INDEX(Productos!$A:$A,$I2))</f>
        <v/>
      </c>
      <c r="C3863" s="134" t="inlineStr">
        <is>
          <t>SFPRES-01400770</t>
        </is>
      </c>
      <c r="D3863" s="5">
        <f>IF($I2="","",INDEX(Productos!$B:$B,$I2))</f>
        <v/>
      </c>
      <c r="E3863" s="5">
        <f>IF($I2="","",INDEX(Productos!$H:$H,$I2))</f>
        <v/>
      </c>
      <c r="F3863" s="5">
        <f>IF($I2="","",INDEX(Productos!$I:$I,$I2))</f>
        <v/>
      </c>
      <c r="G3863" s="135" t="n">
        <v>1</v>
      </c>
      <c r="H3863" s="5">
        <f>IF($I2="","",INDEX(Productos!$AG:$AG,$I2))</f>
        <v/>
      </c>
      <c r="I3863" s="136">
        <f>LET(_xlpm.r,Productos!$E$2:$E$2509,_xlpm.m,IFERROR(_xlfn.XMATCH(C3863,_xlpm.r),IFERROR(_xlfn.XMATCH(VALUE(C3863),_xlpm.r),0)),IF(_xlpm.m=0,"",_xlpm.m+1))</f>
        <v/>
      </c>
      <c r="J3863" s="137" t="inlineStr">
        <is>
          <t>Odoo</t>
        </is>
      </c>
    </row>
    <row r="3864">
      <c r="A3864" s="5" t="inlineStr">
        <is>
          <t>Odoo Universal Unique Brands › Bodega 25 › Bodega 25/General</t>
        </is>
      </c>
      <c r="B3864" s="5">
        <f>IF($I2="","",INDEX(Productos!$A:$A,$I2))</f>
        <v/>
      </c>
      <c r="C3864" s="134" t="inlineStr">
        <is>
          <t>SFPRES-01400771</t>
        </is>
      </c>
      <c r="D3864" s="5">
        <f>IF($I2="","",INDEX(Productos!$B:$B,$I2))</f>
        <v/>
      </c>
      <c r="E3864" s="5">
        <f>IF($I2="","",INDEX(Productos!$H:$H,$I2))</f>
        <v/>
      </c>
      <c r="F3864" s="5">
        <f>IF($I2="","",INDEX(Productos!$I:$I,$I2))</f>
        <v/>
      </c>
      <c r="G3864" s="135" t="n">
        <v>2</v>
      </c>
      <c r="H3864" s="5">
        <f>IF($I2="","",INDEX(Productos!$AG:$AG,$I2))</f>
        <v/>
      </c>
      <c r="I3864" s="136">
        <f>LET(_xlpm.r,Productos!$E$2:$E$2509,_xlpm.m,IFERROR(_xlfn.XMATCH(C3864,_xlpm.r),IFERROR(_xlfn.XMATCH(VALUE(C3864),_xlpm.r),0)),IF(_xlpm.m=0,"",_xlpm.m+1))</f>
        <v/>
      </c>
      <c r="J3864" s="137" t="inlineStr">
        <is>
          <t>Odoo</t>
        </is>
      </c>
    </row>
    <row r="3865">
      <c r="A3865" s="5" t="inlineStr">
        <is>
          <t>Odoo Universal Unique Brands › Bodega 25 › Bodega 25/General</t>
        </is>
      </c>
      <c r="B3865" s="5">
        <f>IF($I2="","",INDEX(Productos!$A:$A,$I2))</f>
        <v/>
      </c>
      <c r="C3865" s="134" t="inlineStr">
        <is>
          <t>SFPRES-01400772</t>
        </is>
      </c>
      <c r="D3865" s="5">
        <f>IF($I2="","",INDEX(Productos!$B:$B,$I2))</f>
        <v/>
      </c>
      <c r="E3865" s="5">
        <f>IF($I2="","",INDEX(Productos!$H:$H,$I2))</f>
        <v/>
      </c>
      <c r="F3865" s="5">
        <f>IF($I2="","",INDEX(Productos!$I:$I,$I2))</f>
        <v/>
      </c>
      <c r="G3865" s="135" t="n">
        <v>2</v>
      </c>
      <c r="H3865" s="5">
        <f>IF($I2="","",INDEX(Productos!$AG:$AG,$I2))</f>
        <v/>
      </c>
      <c r="I3865" s="136">
        <f>LET(_xlpm.r,Productos!$E$2:$E$2509,_xlpm.m,IFERROR(_xlfn.XMATCH(C3865,_xlpm.r),IFERROR(_xlfn.XMATCH(VALUE(C3865),_xlpm.r),0)),IF(_xlpm.m=0,"",_xlpm.m+1))</f>
        <v/>
      </c>
      <c r="J3865" s="137" t="inlineStr">
        <is>
          <t>Odoo</t>
        </is>
      </c>
    </row>
    <row r="3866">
      <c r="A3866" s="5" t="inlineStr">
        <is>
          <t>Odoo Universal Unique Brands › Bodega 25 › Bodega 25/General</t>
        </is>
      </c>
      <c r="B3866" s="5">
        <f>IF($I2="","",INDEX(Productos!$A:$A,$I2))</f>
        <v/>
      </c>
      <c r="C3866" s="134" t="inlineStr">
        <is>
          <t>SFPRES-01400773</t>
        </is>
      </c>
      <c r="D3866" s="5">
        <f>IF($I2="","",INDEX(Productos!$B:$B,$I2))</f>
        <v/>
      </c>
      <c r="E3866" s="5">
        <f>IF($I2="","",INDEX(Productos!$H:$H,$I2))</f>
        <v/>
      </c>
      <c r="F3866" s="5">
        <f>IF($I2="","",INDEX(Productos!$I:$I,$I2))</f>
        <v/>
      </c>
      <c r="G3866" s="135" t="n">
        <v>2</v>
      </c>
      <c r="H3866" s="5">
        <f>IF($I2="","",INDEX(Productos!$AG:$AG,$I2))</f>
        <v/>
      </c>
      <c r="I3866" s="136">
        <f>LET(_xlpm.r,Productos!$E$2:$E$2509,_xlpm.m,IFERROR(_xlfn.XMATCH(C3866,_xlpm.r),IFERROR(_xlfn.XMATCH(VALUE(C3866),_xlpm.r),0)),IF(_xlpm.m=0,"",_xlpm.m+1))</f>
        <v/>
      </c>
      <c r="J3866" s="137" t="inlineStr">
        <is>
          <t>Odoo</t>
        </is>
      </c>
    </row>
    <row r="3867">
      <c r="A3867" s="5" t="inlineStr">
        <is>
          <t>Odoo Universal Unique Brands › Bodega 25 › Bodega 25/General</t>
        </is>
      </c>
      <c r="B3867" s="5">
        <f>IF($I2="","",INDEX(Productos!$A:$A,$I2))</f>
        <v/>
      </c>
      <c r="C3867" s="134" t="inlineStr">
        <is>
          <t>SFPRES-48406171</t>
        </is>
      </c>
      <c r="D3867" s="5">
        <f>IF($I2="","",INDEX(Productos!$B:$B,$I2))</f>
        <v/>
      </c>
      <c r="E3867" s="5">
        <f>IF($I2="","",INDEX(Productos!$H:$H,$I2))</f>
        <v/>
      </c>
      <c r="F3867" s="5">
        <f>IF($I2="","",INDEX(Productos!$I:$I,$I2))</f>
        <v/>
      </c>
      <c r="G3867" s="135" t="n">
        <v>1</v>
      </c>
      <c r="H3867" s="5">
        <f>IF($I2="","",INDEX(Productos!$AG:$AG,$I2))</f>
        <v/>
      </c>
      <c r="I3867" s="136">
        <f>LET(_xlpm.r,Productos!$E$2:$E$2509,_xlpm.m,IFERROR(_xlfn.XMATCH(C3867,_xlpm.r),IFERROR(_xlfn.XMATCH(VALUE(C3867),_xlpm.r),0)),IF(_xlpm.m=0,"",_xlpm.m+1))</f>
        <v/>
      </c>
      <c r="J3867" s="137" t="inlineStr">
        <is>
          <t>Odoo</t>
        </is>
      </c>
    </row>
    <row r="3868">
      <c r="A3868" s="5" t="inlineStr">
        <is>
          <t>Odoo Universal Unique Brands › Bodega 25 › Bodega 25/General</t>
        </is>
      </c>
      <c r="B3868" s="5">
        <f>IF($I2="","",INDEX(Productos!$A:$A,$I2))</f>
        <v/>
      </c>
      <c r="C3868" s="134" t="inlineStr">
        <is>
          <t>SFPRES-48406172</t>
        </is>
      </c>
      <c r="D3868" s="5">
        <f>IF($I2="","",INDEX(Productos!$B:$B,$I2))</f>
        <v/>
      </c>
      <c r="E3868" s="5">
        <f>IF($I2="","",INDEX(Productos!$H:$H,$I2))</f>
        <v/>
      </c>
      <c r="F3868" s="5">
        <f>IF($I2="","",INDEX(Productos!$I:$I,$I2))</f>
        <v/>
      </c>
      <c r="G3868" s="135" t="n">
        <v>1</v>
      </c>
      <c r="H3868" s="5">
        <f>IF($I2="","",INDEX(Productos!$AG:$AG,$I2))</f>
        <v/>
      </c>
      <c r="I3868" s="136">
        <f>LET(_xlpm.r,Productos!$E$2:$E$2509,_xlpm.m,IFERROR(_xlfn.XMATCH(C3868,_xlpm.r),IFERROR(_xlfn.XMATCH(VALUE(C3868),_xlpm.r),0)),IF(_xlpm.m=0,"",_xlpm.m+1))</f>
        <v/>
      </c>
      <c r="J3868" s="137" t="inlineStr">
        <is>
          <t>Odoo</t>
        </is>
      </c>
    </row>
    <row r="3869">
      <c r="A3869" s="5" t="inlineStr">
        <is>
          <t>Odoo Universal Unique Brands › Bodega 25 › Bodega 25/General</t>
        </is>
      </c>
      <c r="B3869" s="5">
        <f>IF($I2="","",INDEX(Productos!$A:$A,$I2))</f>
        <v/>
      </c>
      <c r="C3869" s="134" t="inlineStr">
        <is>
          <t>SFRNCH-01400773</t>
        </is>
      </c>
      <c r="D3869" s="5">
        <f>IF($I2="","",INDEX(Productos!$B:$B,$I2))</f>
        <v/>
      </c>
      <c r="E3869" s="5">
        <f>IF($I2="","",INDEX(Productos!$H:$H,$I2))</f>
        <v/>
      </c>
      <c r="F3869" s="5">
        <f>IF($I2="","",INDEX(Productos!$I:$I,$I2))</f>
        <v/>
      </c>
      <c r="G3869" s="135" t="n">
        <v>6</v>
      </c>
      <c r="H3869" s="5">
        <f>IF($I2="","",INDEX(Productos!$AG:$AG,$I2))</f>
        <v/>
      </c>
      <c r="I3869" s="136">
        <f>LET(_xlpm.r,Productos!$E$2:$E$2509,_xlpm.m,IFERROR(_xlfn.XMATCH(C3869,_xlpm.r),IFERROR(_xlfn.XMATCH(VALUE(C3869),_xlpm.r),0)),IF(_xlpm.m=0,"",_xlpm.m+1))</f>
        <v/>
      </c>
      <c r="J3869" s="137" t="inlineStr">
        <is>
          <t>Odoo</t>
        </is>
      </c>
    </row>
    <row r="3870">
      <c r="A3870" s="5" t="inlineStr">
        <is>
          <t>Odoo Universal Unique Brands › Bodega 25 › Bodega 25/General</t>
        </is>
      </c>
      <c r="B3870" s="5">
        <f>IF($I2="","",INDEX(Productos!$A:$A,$I2))</f>
        <v/>
      </c>
      <c r="C3870" s="134" t="inlineStr">
        <is>
          <t>SFRNCH-01400774</t>
        </is>
      </c>
      <c r="D3870" s="5">
        <f>IF($I2="","",INDEX(Productos!$B:$B,$I2))</f>
        <v/>
      </c>
      <c r="E3870" s="5">
        <f>IF($I2="","",INDEX(Productos!$H:$H,$I2))</f>
        <v/>
      </c>
      <c r="F3870" s="5">
        <f>IF($I2="","",INDEX(Productos!$I:$I,$I2))</f>
        <v/>
      </c>
      <c r="G3870" s="135" t="n">
        <v>2</v>
      </c>
      <c r="H3870" s="5">
        <f>IF($I2="","",INDEX(Productos!$AG:$AG,$I2))</f>
        <v/>
      </c>
      <c r="I3870" s="136">
        <f>LET(_xlpm.r,Productos!$E$2:$E$2509,_xlpm.m,IFERROR(_xlfn.XMATCH(C3870,_xlpm.r),IFERROR(_xlfn.XMATCH(VALUE(C3870),_xlpm.r),0)),IF(_xlpm.m=0,"",_xlpm.m+1))</f>
        <v/>
      </c>
      <c r="J3870" s="137" t="inlineStr">
        <is>
          <t>Odoo</t>
        </is>
      </c>
    </row>
    <row r="3871">
      <c r="A3871" s="5" t="inlineStr">
        <is>
          <t>Odoo Universal Unique Brands › Bodega 25 › Bodega 25/General</t>
        </is>
      </c>
      <c r="B3871" s="5">
        <f>IF($I2="","",INDEX(Productos!$A:$A,$I2))</f>
        <v/>
      </c>
      <c r="C3871" s="134" t="inlineStr">
        <is>
          <t>SFRNCH-01400775</t>
        </is>
      </c>
      <c r="D3871" s="5">
        <f>IF($I2="","",INDEX(Productos!$B:$B,$I2))</f>
        <v/>
      </c>
      <c r="E3871" s="5">
        <f>IF($I2="","",INDEX(Productos!$H:$H,$I2))</f>
        <v/>
      </c>
      <c r="F3871" s="5">
        <f>IF($I2="","",INDEX(Productos!$I:$I,$I2))</f>
        <v/>
      </c>
      <c r="G3871" s="135" t="n">
        <v>2</v>
      </c>
      <c r="H3871" s="5">
        <f>IF($I2="","",INDEX(Productos!$AG:$AG,$I2))</f>
        <v/>
      </c>
      <c r="I3871" s="136">
        <f>LET(_xlpm.r,Productos!$E$2:$E$2509,_xlpm.m,IFERROR(_xlfn.XMATCH(C3871,_xlpm.r),IFERROR(_xlfn.XMATCH(VALUE(C3871),_xlpm.r),0)),IF(_xlpm.m=0,"",_xlpm.m+1))</f>
        <v/>
      </c>
      <c r="J3871" s="137" t="inlineStr">
        <is>
          <t>Odoo</t>
        </is>
      </c>
    </row>
    <row r="3872">
      <c r="A3872" s="5" t="inlineStr">
        <is>
          <t>Odoo Universal Unique Brands › Bodega 25 › Bodega 25/General</t>
        </is>
      </c>
      <c r="B3872" s="5">
        <f>IF($I2="","",INDEX(Productos!$A:$A,$I2))</f>
        <v/>
      </c>
      <c r="C3872" s="134" t="inlineStr">
        <is>
          <t>SFRNCH-01402273</t>
        </is>
      </c>
      <c r="D3872" s="5">
        <f>IF($I2="","",INDEX(Productos!$B:$B,$I2))</f>
        <v/>
      </c>
      <c r="E3872" s="5">
        <f>IF($I2="","",INDEX(Productos!$H:$H,$I2))</f>
        <v/>
      </c>
      <c r="F3872" s="5">
        <f>IF($I2="","",INDEX(Productos!$I:$I,$I2))</f>
        <v/>
      </c>
      <c r="G3872" s="135" t="n">
        <v>2</v>
      </c>
      <c r="H3872" s="5">
        <f>IF($I2="","",INDEX(Productos!$AG:$AG,$I2))</f>
        <v/>
      </c>
      <c r="I3872" s="136">
        <f>LET(_xlpm.r,Productos!$E$2:$E$2509,_xlpm.m,IFERROR(_xlfn.XMATCH(C3872,_xlpm.r),IFERROR(_xlfn.XMATCH(VALUE(C3872),_xlpm.r),0)),IF(_xlpm.m=0,"",_xlpm.m+1))</f>
        <v/>
      </c>
      <c r="J3872" s="137" t="inlineStr">
        <is>
          <t>Odoo</t>
        </is>
      </c>
    </row>
    <row r="3873">
      <c r="A3873" s="5" t="inlineStr">
        <is>
          <t>Odoo Universal Unique Brands › Bodega 25 › Bodega 25/General</t>
        </is>
      </c>
      <c r="B3873" s="5">
        <f>IF($I2="","",INDEX(Productos!$A:$A,$I2))</f>
        <v/>
      </c>
      <c r="C3873" s="134" t="inlineStr">
        <is>
          <t>SFRNCH-01403570</t>
        </is>
      </c>
      <c r="D3873" s="5">
        <f>IF($I2="","",INDEX(Productos!$B:$B,$I2))</f>
        <v/>
      </c>
      <c r="E3873" s="5">
        <f>IF($I2="","",INDEX(Productos!$H:$H,$I2))</f>
        <v/>
      </c>
      <c r="F3873" s="5">
        <f>IF($I2="","",INDEX(Productos!$I:$I,$I2))</f>
        <v/>
      </c>
      <c r="G3873" s="135" t="n">
        <v>1</v>
      </c>
      <c r="H3873" s="5">
        <f>IF($I2="","",INDEX(Productos!$AG:$AG,$I2))</f>
        <v/>
      </c>
      <c r="I3873" s="136">
        <f>LET(_xlpm.r,Productos!$E$2:$E$2509,_xlpm.m,IFERROR(_xlfn.XMATCH(C3873,_xlpm.r),IFERROR(_xlfn.XMATCH(VALUE(C3873),_xlpm.r),0)),IF(_xlpm.m=0,"",_xlpm.m+1))</f>
        <v/>
      </c>
      <c r="J3873" s="137" t="inlineStr">
        <is>
          <t>Odoo</t>
        </is>
      </c>
    </row>
    <row r="3874">
      <c r="A3874" s="5" t="inlineStr">
        <is>
          <t>Odoo Universal Unique Brands › Bodega 25 › Bodega 25/General</t>
        </is>
      </c>
      <c r="B3874" s="5">
        <f>IF($I2="","",INDEX(Productos!$A:$A,$I2))</f>
        <v/>
      </c>
      <c r="C3874" s="134" t="inlineStr">
        <is>
          <t>SFRNCH-01403571</t>
        </is>
      </c>
      <c r="D3874" s="5">
        <f>IF($I2="","",INDEX(Productos!$B:$B,$I2))</f>
        <v/>
      </c>
      <c r="E3874" s="5">
        <f>IF($I2="","",INDEX(Productos!$H:$H,$I2))</f>
        <v/>
      </c>
      <c r="F3874" s="5">
        <f>IF($I2="","",INDEX(Productos!$I:$I,$I2))</f>
        <v/>
      </c>
      <c r="G3874" s="135" t="n">
        <v>1</v>
      </c>
      <c r="H3874" s="5">
        <f>IF($I2="","",INDEX(Productos!$AG:$AG,$I2))</f>
        <v/>
      </c>
      <c r="I3874" s="136">
        <f>LET(_xlpm.r,Productos!$E$2:$E$2509,_xlpm.m,IFERROR(_xlfn.XMATCH(C3874,_xlpm.r),IFERROR(_xlfn.XMATCH(VALUE(C3874),_xlpm.r),0)),IF(_xlpm.m=0,"",_xlpm.m+1))</f>
        <v/>
      </c>
      <c r="J3874" s="137" t="inlineStr">
        <is>
          <t>Odoo</t>
        </is>
      </c>
    </row>
    <row r="3875">
      <c r="A3875" s="5" t="inlineStr">
        <is>
          <t>Odoo Universal Unique Brands › Bodega 25 › Bodega 25/General</t>
        </is>
      </c>
      <c r="B3875" s="5">
        <f>IF($I2="","",INDEX(Productos!$A:$A,$I2))</f>
        <v/>
      </c>
      <c r="C3875" s="134" t="inlineStr">
        <is>
          <t>SFRNCH-01403572</t>
        </is>
      </c>
      <c r="D3875" s="5">
        <f>IF($I2="","",INDEX(Productos!$B:$B,$I2))</f>
        <v/>
      </c>
      <c r="E3875" s="5">
        <f>IF($I2="","",INDEX(Productos!$H:$H,$I2))</f>
        <v/>
      </c>
      <c r="F3875" s="5">
        <f>IF($I2="","",INDEX(Productos!$I:$I,$I2))</f>
        <v/>
      </c>
      <c r="G3875" s="135" t="n">
        <v>1</v>
      </c>
      <c r="H3875" s="5">
        <f>IF($I2="","",INDEX(Productos!$AG:$AG,$I2))</f>
        <v/>
      </c>
      <c r="I3875" s="136">
        <f>LET(_xlpm.r,Productos!$E$2:$E$2509,_xlpm.m,IFERROR(_xlfn.XMATCH(C3875,_xlpm.r),IFERROR(_xlfn.XMATCH(VALUE(C3875),_xlpm.r),0)),IF(_xlpm.m=0,"",_xlpm.m+1))</f>
        <v/>
      </c>
      <c r="J3875" s="137" t="inlineStr">
        <is>
          <t>Odoo</t>
        </is>
      </c>
    </row>
    <row r="3876">
      <c r="A3876" s="5" t="inlineStr">
        <is>
          <t>Odoo Universal Unique Brands › Bodega 25 › Bodega 25/General</t>
        </is>
      </c>
      <c r="B3876" s="5">
        <f>IF($I2="","",INDEX(Productos!$A:$A,$I2))</f>
        <v/>
      </c>
      <c r="C3876" s="134" t="inlineStr">
        <is>
          <t>SFRNCH-01403573</t>
        </is>
      </c>
      <c r="D3876" s="5">
        <f>IF($I2="","",INDEX(Productos!$B:$B,$I2))</f>
        <v/>
      </c>
      <c r="E3876" s="5">
        <f>IF($I2="","",INDEX(Productos!$H:$H,$I2))</f>
        <v/>
      </c>
      <c r="F3876" s="5">
        <f>IF($I2="","",INDEX(Productos!$I:$I,$I2))</f>
        <v/>
      </c>
      <c r="G3876" s="135" t="n">
        <v>1</v>
      </c>
      <c r="H3876" s="5">
        <f>IF($I2="","",INDEX(Productos!$AG:$AG,$I2))</f>
        <v/>
      </c>
      <c r="I3876" s="136">
        <f>LET(_xlpm.r,Productos!$E$2:$E$2509,_xlpm.m,IFERROR(_xlfn.XMATCH(C3876,_xlpm.r),IFERROR(_xlfn.XMATCH(VALUE(C3876),_xlpm.r),0)),IF(_xlpm.m=0,"",_xlpm.m+1))</f>
        <v/>
      </c>
      <c r="J3876" s="137" t="inlineStr">
        <is>
          <t>Odoo</t>
        </is>
      </c>
    </row>
    <row r="3877">
      <c r="A3877" s="5" t="inlineStr">
        <is>
          <t>Odoo Universal Unique Brands › Bodega 25 › Bodega 25/General</t>
        </is>
      </c>
      <c r="B3877" s="5">
        <f>IF($I2="","",INDEX(Productos!$A:$A,$I2))</f>
        <v/>
      </c>
      <c r="C3877" s="134" t="inlineStr">
        <is>
          <t>SFSHAS-01400767</t>
        </is>
      </c>
      <c r="D3877" s="5">
        <f>IF($I2="","",INDEX(Productos!$B:$B,$I2))</f>
        <v/>
      </c>
      <c r="E3877" s="5">
        <f>IF($I2="","",INDEX(Productos!$H:$H,$I2))</f>
        <v/>
      </c>
      <c r="F3877" s="5">
        <f>IF($I2="","",INDEX(Productos!$I:$I,$I2))</f>
        <v/>
      </c>
      <c r="G3877" s="135" t="n">
        <v>2</v>
      </c>
      <c r="H3877" s="5">
        <f>IF($I2="","",INDEX(Productos!$AG:$AG,$I2))</f>
        <v/>
      </c>
      <c r="I3877" s="136">
        <f>LET(_xlpm.r,Productos!$E$2:$E$2509,_xlpm.m,IFERROR(_xlfn.XMATCH(C3877,_xlpm.r),IFERROR(_xlfn.XMATCH(VALUE(C3877),_xlpm.r),0)),IF(_xlpm.m=0,"",_xlpm.m+1))</f>
        <v/>
      </c>
      <c r="J3877" s="137" t="inlineStr">
        <is>
          <t>Odoo</t>
        </is>
      </c>
    </row>
    <row r="3878">
      <c r="A3878" s="5" t="inlineStr">
        <is>
          <t>Odoo Universal Unique Brands › Bodega 25 › Bodega 25/General</t>
        </is>
      </c>
      <c r="B3878" s="5">
        <f>IF($I2="","",INDEX(Productos!$A:$A,$I2))</f>
        <v/>
      </c>
      <c r="C3878" s="134" t="inlineStr">
        <is>
          <t>SFSHAS-01400770</t>
        </is>
      </c>
      <c r="D3878" s="5">
        <f>IF($I2="","",INDEX(Productos!$B:$B,$I2))</f>
        <v/>
      </c>
      <c r="E3878" s="5">
        <f>IF($I2="","",INDEX(Productos!$H:$H,$I2))</f>
        <v/>
      </c>
      <c r="F3878" s="5">
        <f>IF($I2="","",INDEX(Productos!$I:$I,$I2))</f>
        <v/>
      </c>
      <c r="G3878" s="135" t="n">
        <v>3</v>
      </c>
      <c r="H3878" s="5">
        <f>IF($I2="","",INDEX(Productos!$AG:$AG,$I2))</f>
        <v/>
      </c>
      <c r="I3878" s="136">
        <f>LET(_xlpm.r,Productos!$E$2:$E$2509,_xlpm.m,IFERROR(_xlfn.XMATCH(C3878,_xlpm.r),IFERROR(_xlfn.XMATCH(VALUE(C3878),_xlpm.r),0)),IF(_xlpm.m=0,"",_xlpm.m+1))</f>
        <v/>
      </c>
      <c r="J3878" s="137" t="inlineStr">
        <is>
          <t>Odoo</t>
        </is>
      </c>
    </row>
    <row r="3879">
      <c r="A3879" s="5" t="inlineStr">
        <is>
          <t>Odoo Universal Unique Brands › Bodega 25 › Bodega 25/General</t>
        </is>
      </c>
      <c r="B3879" s="5">
        <f>IF($I2="","",INDEX(Productos!$A:$A,$I2))</f>
        <v/>
      </c>
      <c r="C3879" s="134" t="inlineStr">
        <is>
          <t>SFSHAS-01400771</t>
        </is>
      </c>
      <c r="D3879" s="5">
        <f>IF($I2="","",INDEX(Productos!$B:$B,$I2))</f>
        <v/>
      </c>
      <c r="E3879" s="5">
        <f>IF($I2="","",INDEX(Productos!$H:$H,$I2))</f>
        <v/>
      </c>
      <c r="F3879" s="5">
        <f>IF($I2="","",INDEX(Productos!$I:$I,$I2))</f>
        <v/>
      </c>
      <c r="G3879" s="135" t="n">
        <v>4</v>
      </c>
      <c r="H3879" s="5">
        <f>IF($I2="","",INDEX(Productos!$AG:$AG,$I2))</f>
        <v/>
      </c>
      <c r="I3879" s="136">
        <f>LET(_xlpm.r,Productos!$E$2:$E$2509,_xlpm.m,IFERROR(_xlfn.XMATCH(C3879,_xlpm.r),IFERROR(_xlfn.XMATCH(VALUE(C3879),_xlpm.r),0)),IF(_xlpm.m=0,"",_xlpm.m+1))</f>
        <v/>
      </c>
      <c r="J3879" s="137" t="inlineStr">
        <is>
          <t>Odoo</t>
        </is>
      </c>
    </row>
    <row r="3880">
      <c r="A3880" s="5" t="inlineStr">
        <is>
          <t>Odoo Universal Unique Brands › Bodega 25 › Bodega 25/General</t>
        </is>
      </c>
      <c r="B3880" s="5">
        <f>IF($I2="","",INDEX(Productos!$A:$A,$I2))</f>
        <v/>
      </c>
      <c r="C3880" s="134" t="inlineStr">
        <is>
          <t>SFSHAS-01400772</t>
        </is>
      </c>
      <c r="D3880" s="5">
        <f>IF($I2="","",INDEX(Productos!$B:$B,$I2))</f>
        <v/>
      </c>
      <c r="E3880" s="5">
        <f>IF($I2="","",INDEX(Productos!$H:$H,$I2))</f>
        <v/>
      </c>
      <c r="F3880" s="5">
        <f>IF($I2="","",INDEX(Productos!$I:$I,$I2))</f>
        <v/>
      </c>
      <c r="G3880" s="135" t="n">
        <v>4</v>
      </c>
      <c r="H3880" s="5">
        <f>IF($I2="","",INDEX(Productos!$AG:$AG,$I2))</f>
        <v/>
      </c>
      <c r="I3880" s="136">
        <f>LET(_xlpm.r,Productos!$E$2:$E$2509,_xlpm.m,IFERROR(_xlfn.XMATCH(C3880,_xlpm.r),IFERROR(_xlfn.XMATCH(VALUE(C3880),_xlpm.r),0)),IF(_xlpm.m=0,"",_xlpm.m+1))</f>
        <v/>
      </c>
      <c r="J3880" s="137" t="inlineStr">
        <is>
          <t>Odoo</t>
        </is>
      </c>
    </row>
    <row r="3881">
      <c r="A3881" s="5" t="inlineStr">
        <is>
          <t>Odoo Universal Unique Brands › Bodega 25 › Bodega 25/General</t>
        </is>
      </c>
      <c r="B3881" s="5">
        <f>IF($I2="","",INDEX(Productos!$A:$A,$I2))</f>
        <v/>
      </c>
      <c r="C3881" s="134" t="inlineStr">
        <is>
          <t>SFSHAS-01400773</t>
        </is>
      </c>
      <c r="D3881" s="5">
        <f>IF($I2="","",INDEX(Productos!$B:$B,$I2))</f>
        <v/>
      </c>
      <c r="E3881" s="5">
        <f>IF($I2="","",INDEX(Productos!$H:$H,$I2))</f>
        <v/>
      </c>
      <c r="F3881" s="5">
        <f>IF($I2="","",INDEX(Productos!$I:$I,$I2))</f>
        <v/>
      </c>
      <c r="G3881" s="135" t="n">
        <v>4</v>
      </c>
      <c r="H3881" s="5">
        <f>IF($I2="","",INDEX(Productos!$AG:$AG,$I2))</f>
        <v/>
      </c>
      <c r="I3881" s="136">
        <f>LET(_xlpm.r,Productos!$E$2:$E$2509,_xlpm.m,IFERROR(_xlfn.XMATCH(C3881,_xlpm.r),IFERROR(_xlfn.XMATCH(VALUE(C3881),_xlpm.r),0)),IF(_xlpm.m=0,"",_xlpm.m+1))</f>
        <v/>
      </c>
      <c r="J3881" s="137" t="inlineStr">
        <is>
          <t>Odoo</t>
        </is>
      </c>
    </row>
    <row r="3882">
      <c r="A3882" s="5" t="inlineStr">
        <is>
          <t>Odoo Universal Unique Brands › Bodega 25 › Bodega 25/General</t>
        </is>
      </c>
      <c r="B3882" s="5">
        <f>IF($I2="","",INDEX(Productos!$A:$A,$I2))</f>
        <v/>
      </c>
      <c r="C3882" s="134" t="inlineStr">
        <is>
          <t>SFSHAS-01400774</t>
        </is>
      </c>
      <c r="D3882" s="5">
        <f>IF($I2="","",INDEX(Productos!$B:$B,$I2))</f>
        <v/>
      </c>
      <c r="E3882" s="5">
        <f>IF($I2="","",INDEX(Productos!$H:$H,$I2))</f>
        <v/>
      </c>
      <c r="F3882" s="5">
        <f>IF($I2="","",INDEX(Productos!$I:$I,$I2))</f>
        <v/>
      </c>
      <c r="G3882" s="135" t="n">
        <v>2</v>
      </c>
      <c r="H3882" s="5">
        <f>IF($I2="","",INDEX(Productos!$AG:$AG,$I2))</f>
        <v/>
      </c>
      <c r="I3882" s="136">
        <f>LET(_xlpm.r,Productos!$E$2:$E$2509,_xlpm.m,IFERROR(_xlfn.XMATCH(C3882,_xlpm.r),IFERROR(_xlfn.XMATCH(VALUE(C3882),_xlpm.r),0)),IF(_xlpm.m=0,"",_xlpm.m+1))</f>
        <v/>
      </c>
      <c r="J3882" s="137" t="inlineStr">
        <is>
          <t>Odoo</t>
        </is>
      </c>
    </row>
    <row r="3883">
      <c r="A3883" s="5" t="inlineStr">
        <is>
          <t>Odoo Universal Unique Brands › Bodega 25 › Bodega 25/General</t>
        </is>
      </c>
      <c r="B3883" s="5">
        <f>IF($I2="","",INDEX(Productos!$A:$A,$I2))</f>
        <v/>
      </c>
      <c r="C3883" s="134" t="inlineStr">
        <is>
          <t>SFSHAS-75400767</t>
        </is>
      </c>
      <c r="D3883" s="5">
        <f>IF($I2="","",INDEX(Productos!$B:$B,$I2))</f>
        <v/>
      </c>
      <c r="E3883" s="5">
        <f>IF($I2="","",INDEX(Productos!$H:$H,$I2))</f>
        <v/>
      </c>
      <c r="F3883" s="5">
        <f>IF($I2="","",INDEX(Productos!$I:$I,$I2))</f>
        <v/>
      </c>
      <c r="G3883" s="135" t="n">
        <v>1</v>
      </c>
      <c r="H3883" s="5">
        <f>IF($I2="","",INDEX(Productos!$AG:$AG,$I2))</f>
        <v/>
      </c>
      <c r="I3883" s="136">
        <f>LET(_xlpm.r,Productos!$E$2:$E$2509,_xlpm.m,IFERROR(_xlfn.XMATCH(C3883,_xlpm.r),IFERROR(_xlfn.XMATCH(VALUE(C3883),_xlpm.r),0)),IF(_xlpm.m=0,"",_xlpm.m+1))</f>
        <v/>
      </c>
      <c r="J3883" s="137" t="inlineStr">
        <is>
          <t>Odoo</t>
        </is>
      </c>
    </row>
    <row r="3884">
      <c r="A3884" s="5" t="inlineStr">
        <is>
          <t>Odoo Universal Unique Brands › Bodega 25 › Bodega 25/General</t>
        </is>
      </c>
      <c r="B3884" s="5">
        <f>IF($I2="","",INDEX(Productos!$A:$A,$I2))</f>
        <v/>
      </c>
      <c r="C3884" s="134" t="inlineStr">
        <is>
          <t>SFSHAS-75400770</t>
        </is>
      </c>
      <c r="D3884" s="5">
        <f>IF($I2="","",INDEX(Productos!$B:$B,$I2))</f>
        <v/>
      </c>
      <c r="E3884" s="5">
        <f>IF($I2="","",INDEX(Productos!$H:$H,$I2))</f>
        <v/>
      </c>
      <c r="F3884" s="5">
        <f>IF($I2="","",INDEX(Productos!$I:$I,$I2))</f>
        <v/>
      </c>
      <c r="G3884" s="135" t="n">
        <v>2</v>
      </c>
      <c r="H3884" s="5">
        <f>IF($I2="","",INDEX(Productos!$AG:$AG,$I2))</f>
        <v/>
      </c>
      <c r="I3884" s="136">
        <f>LET(_xlpm.r,Productos!$E$2:$E$2509,_xlpm.m,IFERROR(_xlfn.XMATCH(C3884,_xlpm.r),IFERROR(_xlfn.XMATCH(VALUE(C3884),_xlpm.r),0)),IF(_xlpm.m=0,"",_xlpm.m+1))</f>
        <v/>
      </c>
      <c r="J3884" s="137" t="inlineStr">
        <is>
          <t>Odoo</t>
        </is>
      </c>
    </row>
    <row r="3885">
      <c r="A3885" s="5" t="inlineStr">
        <is>
          <t>Odoo Universal Unique Brands › Bodega 25 › Bodega 25/General</t>
        </is>
      </c>
      <c r="B3885" s="5">
        <f>IF($I2="","",INDEX(Productos!$A:$A,$I2))</f>
        <v/>
      </c>
      <c r="C3885" s="134" t="inlineStr">
        <is>
          <t>SFSHAS-75400771</t>
        </is>
      </c>
      <c r="D3885" s="5">
        <f>IF($I2="","",INDEX(Productos!$B:$B,$I2))</f>
        <v/>
      </c>
      <c r="E3885" s="5">
        <f>IF($I2="","",INDEX(Productos!$H:$H,$I2))</f>
        <v/>
      </c>
      <c r="F3885" s="5">
        <f>IF($I2="","",INDEX(Productos!$I:$I,$I2))</f>
        <v/>
      </c>
      <c r="G3885" s="135" t="n">
        <v>2</v>
      </c>
      <c r="H3885" s="5">
        <f>IF($I2="","",INDEX(Productos!$AG:$AG,$I2))</f>
        <v/>
      </c>
      <c r="I3885" s="136">
        <f>LET(_xlpm.r,Productos!$E$2:$E$2509,_xlpm.m,IFERROR(_xlfn.XMATCH(C3885,_xlpm.r),IFERROR(_xlfn.XMATCH(VALUE(C3885),_xlpm.r),0)),IF(_xlpm.m=0,"",_xlpm.m+1))</f>
        <v/>
      </c>
      <c r="J3885" s="137" t="inlineStr">
        <is>
          <t>Odoo</t>
        </is>
      </c>
    </row>
    <row r="3886">
      <c r="A3886" s="5" t="inlineStr">
        <is>
          <t>Odoo Universal Unique Brands › Bodega 25 › Bodega 25/General</t>
        </is>
      </c>
      <c r="B3886" s="5">
        <f>IF($I2="","",INDEX(Productos!$A:$A,$I2))</f>
        <v/>
      </c>
      <c r="C3886" s="134" t="inlineStr">
        <is>
          <t>SFSHAS-75400772</t>
        </is>
      </c>
      <c r="D3886" s="5">
        <f>IF($I2="","",INDEX(Productos!$B:$B,$I2))</f>
        <v/>
      </c>
      <c r="E3886" s="5">
        <f>IF($I2="","",INDEX(Productos!$H:$H,$I2))</f>
        <v/>
      </c>
      <c r="F3886" s="5">
        <f>IF($I2="","",INDEX(Productos!$I:$I,$I2))</f>
        <v/>
      </c>
      <c r="G3886" s="135" t="n">
        <v>2</v>
      </c>
      <c r="H3886" s="5">
        <f>IF($I2="","",INDEX(Productos!$AG:$AG,$I2))</f>
        <v/>
      </c>
      <c r="I3886" s="136">
        <f>LET(_xlpm.r,Productos!$E$2:$E$2509,_xlpm.m,IFERROR(_xlfn.XMATCH(C3886,_xlpm.r),IFERROR(_xlfn.XMATCH(VALUE(C3886),_xlpm.r),0)),IF(_xlpm.m=0,"",_xlpm.m+1))</f>
        <v/>
      </c>
      <c r="J3886" s="137" t="inlineStr">
        <is>
          <t>Odoo</t>
        </is>
      </c>
    </row>
    <row r="3887">
      <c r="A3887" s="5" t="inlineStr">
        <is>
          <t>Odoo Universal Unique Brands › Bodega 25 › Bodega 25/General</t>
        </is>
      </c>
      <c r="B3887" s="5">
        <f>IF($I2="","",INDEX(Productos!$A:$A,$I2))</f>
        <v/>
      </c>
      <c r="C3887" s="134" t="inlineStr">
        <is>
          <t>SFSHAS-75400773</t>
        </is>
      </c>
      <c r="D3887" s="5">
        <f>IF($I2="","",INDEX(Productos!$B:$B,$I2))</f>
        <v/>
      </c>
      <c r="E3887" s="5">
        <f>IF($I2="","",INDEX(Productos!$H:$H,$I2))</f>
        <v/>
      </c>
      <c r="F3887" s="5">
        <f>IF($I2="","",INDEX(Productos!$I:$I,$I2))</f>
        <v/>
      </c>
      <c r="G3887" s="135" t="n">
        <v>3</v>
      </c>
      <c r="H3887" s="5">
        <f>IF($I2="","",INDEX(Productos!$AG:$AG,$I2))</f>
        <v/>
      </c>
      <c r="I3887" s="136">
        <f>LET(_xlpm.r,Productos!$E$2:$E$2509,_xlpm.m,IFERROR(_xlfn.XMATCH(C3887,_xlpm.r),IFERROR(_xlfn.XMATCH(VALUE(C3887),_xlpm.r),0)),IF(_xlpm.m=0,"",_xlpm.m+1))</f>
        <v/>
      </c>
      <c r="J3887" s="137" t="inlineStr">
        <is>
          <t>Odoo</t>
        </is>
      </c>
    </row>
    <row r="3888">
      <c r="A3888" s="5" t="inlineStr">
        <is>
          <t>Odoo Universal Unique Brands › Bodega 25 › Bodega 25/General</t>
        </is>
      </c>
      <c r="B3888" s="5">
        <f>IF($I2="","",INDEX(Productos!$A:$A,$I2))</f>
        <v/>
      </c>
      <c r="C3888" s="134" t="inlineStr">
        <is>
          <t>SFSHAS-75400774</t>
        </is>
      </c>
      <c r="D3888" s="5">
        <f>IF($I2="","",INDEX(Productos!$B:$B,$I2))</f>
        <v/>
      </c>
      <c r="E3888" s="5">
        <f>IF($I2="","",INDEX(Productos!$H:$H,$I2))</f>
        <v/>
      </c>
      <c r="F3888" s="5">
        <f>IF($I2="","",INDEX(Productos!$I:$I,$I2))</f>
        <v/>
      </c>
      <c r="G3888" s="135" t="n">
        <v>1</v>
      </c>
      <c r="H3888" s="5">
        <f>IF($I2="","",INDEX(Productos!$AG:$AG,$I2))</f>
        <v/>
      </c>
      <c r="I3888" s="136">
        <f>LET(_xlpm.r,Productos!$E$2:$E$2509,_xlpm.m,IFERROR(_xlfn.XMATCH(C3888,_xlpm.r),IFERROR(_xlfn.XMATCH(VALUE(C3888),_xlpm.r),0)),IF(_xlpm.m=0,"",_xlpm.m+1))</f>
        <v/>
      </c>
      <c r="J3888" s="137" t="inlineStr">
        <is>
          <t>Odoo</t>
        </is>
      </c>
    </row>
    <row r="3889">
      <c r="A3889" s="5" t="inlineStr">
        <is>
          <t>Odoo Universal Unique Brands › Bodega 25 › Bodega 25/General</t>
        </is>
      </c>
      <c r="B3889" s="5">
        <f>IF($I2="","",INDEX(Productos!$A:$A,$I2))</f>
        <v/>
      </c>
      <c r="C3889" s="134" t="inlineStr">
        <is>
          <t>SFSHAS-75403470</t>
        </is>
      </c>
      <c r="D3889" s="5">
        <f>IF($I2="","",INDEX(Productos!$B:$B,$I2))</f>
        <v/>
      </c>
      <c r="E3889" s="5">
        <f>IF($I2="","",INDEX(Productos!$H:$H,$I2))</f>
        <v/>
      </c>
      <c r="F3889" s="5">
        <f>IF($I2="","",INDEX(Productos!$I:$I,$I2))</f>
        <v/>
      </c>
      <c r="G3889" s="135" t="n">
        <v>2</v>
      </c>
      <c r="H3889" s="5">
        <f>IF($I2="","",INDEX(Productos!$AG:$AG,$I2))</f>
        <v/>
      </c>
      <c r="I3889" s="136">
        <f>LET(_xlpm.r,Productos!$E$2:$E$2509,_xlpm.m,IFERROR(_xlfn.XMATCH(C3889,_xlpm.r),IFERROR(_xlfn.XMATCH(VALUE(C3889),_xlpm.r),0)),IF(_xlpm.m=0,"",_xlpm.m+1))</f>
        <v/>
      </c>
      <c r="J3889" s="137" t="inlineStr">
        <is>
          <t>Odoo</t>
        </is>
      </c>
    </row>
    <row r="3890">
      <c r="A3890" s="5" t="inlineStr">
        <is>
          <t>Odoo Universal Unique Brands › Bodega 25 › Bodega 25/General</t>
        </is>
      </c>
      <c r="B3890" s="5">
        <f>IF($I2="","",INDEX(Productos!$A:$A,$I2))</f>
        <v/>
      </c>
      <c r="C3890" s="134" t="inlineStr">
        <is>
          <t>SFSHAS-75403471</t>
        </is>
      </c>
      <c r="D3890" s="5">
        <f>IF($I2="","",INDEX(Productos!$B:$B,$I2))</f>
        <v/>
      </c>
      <c r="E3890" s="5">
        <f>IF($I2="","",INDEX(Productos!$H:$H,$I2))</f>
        <v/>
      </c>
      <c r="F3890" s="5">
        <f>IF($I2="","",INDEX(Productos!$I:$I,$I2))</f>
        <v/>
      </c>
      <c r="G3890" s="135" t="n">
        <v>6</v>
      </c>
      <c r="H3890" s="5">
        <f>IF($I2="","",INDEX(Productos!$AG:$AG,$I2))</f>
        <v/>
      </c>
      <c r="I3890" s="136">
        <f>LET(_xlpm.r,Productos!$E$2:$E$2509,_xlpm.m,IFERROR(_xlfn.XMATCH(C3890,_xlpm.r),IFERROR(_xlfn.XMATCH(VALUE(C3890),_xlpm.r),0)),IF(_xlpm.m=0,"",_xlpm.m+1))</f>
        <v/>
      </c>
      <c r="J3890" s="137" t="inlineStr">
        <is>
          <t>Odoo</t>
        </is>
      </c>
    </row>
    <row r="3891">
      <c r="A3891" s="5" t="inlineStr">
        <is>
          <t>Odoo Universal Unique Brands › Bodega 25 › Bodega 25/General</t>
        </is>
      </c>
      <c r="B3891" s="5">
        <f>IF($I2="","",INDEX(Productos!$A:$A,$I2))</f>
        <v/>
      </c>
      <c r="C3891" s="134" t="inlineStr">
        <is>
          <t>SFSHAS-75403472</t>
        </is>
      </c>
      <c r="D3891" s="5">
        <f>IF($I2="","",INDEX(Productos!$B:$B,$I2))</f>
        <v/>
      </c>
      <c r="E3891" s="5">
        <f>IF($I2="","",INDEX(Productos!$H:$H,$I2))</f>
        <v/>
      </c>
      <c r="F3891" s="5">
        <f>IF($I2="","",INDEX(Productos!$I:$I,$I2))</f>
        <v/>
      </c>
      <c r="G3891" s="135" t="n">
        <v>1</v>
      </c>
      <c r="H3891" s="5">
        <f>IF($I2="","",INDEX(Productos!$AG:$AG,$I2))</f>
        <v/>
      </c>
      <c r="I3891" s="136">
        <f>LET(_xlpm.r,Productos!$E$2:$E$2509,_xlpm.m,IFERROR(_xlfn.XMATCH(C3891,_xlpm.r),IFERROR(_xlfn.XMATCH(VALUE(C3891),_xlpm.r),0)),IF(_xlpm.m=0,"",_xlpm.m+1))</f>
        <v/>
      </c>
      <c r="J3891" s="137" t="inlineStr">
        <is>
          <t>Odoo</t>
        </is>
      </c>
    </row>
    <row r="3892">
      <c r="A3892" s="5" t="inlineStr">
        <is>
          <t>Odoo Universal Unique Brands › Bodega 25 › Bodega 25/General</t>
        </is>
      </c>
      <c r="B3892" s="5">
        <f>IF($I2="","",INDEX(Productos!$A:$A,$I2))</f>
        <v/>
      </c>
      <c r="C3892" s="134" t="inlineStr">
        <is>
          <t>SFSHAS-75403473</t>
        </is>
      </c>
      <c r="D3892" s="5">
        <f>IF($I2="","",INDEX(Productos!$B:$B,$I2))</f>
        <v/>
      </c>
      <c r="E3892" s="5">
        <f>IF($I2="","",INDEX(Productos!$H:$H,$I2))</f>
        <v/>
      </c>
      <c r="F3892" s="5">
        <f>IF($I2="","",INDEX(Productos!$I:$I,$I2))</f>
        <v/>
      </c>
      <c r="G3892" s="135" t="n">
        <v>2</v>
      </c>
      <c r="H3892" s="5">
        <f>IF($I2="","",INDEX(Productos!$AG:$AG,$I2))</f>
        <v/>
      </c>
      <c r="I3892" s="136">
        <f>LET(_xlpm.r,Productos!$E$2:$E$2509,_xlpm.m,IFERROR(_xlfn.XMATCH(C3892,_xlpm.r),IFERROR(_xlfn.XMATCH(VALUE(C3892),_xlpm.r),0)),IF(_xlpm.m=0,"",_xlpm.m+1))</f>
        <v/>
      </c>
      <c r="J3892" s="137" t="inlineStr">
        <is>
          <t>Odoo</t>
        </is>
      </c>
    </row>
    <row r="3893">
      <c r="A3893" s="5" t="inlineStr">
        <is>
          <t>Odoo Universal Unique Brands › Bodega 25 › Bodega 25/General</t>
        </is>
      </c>
      <c r="B3893" s="5">
        <f>IF($I2="","",INDEX(Productos!$A:$A,$I2))</f>
        <v/>
      </c>
      <c r="C3893" s="134" t="inlineStr">
        <is>
          <t>SFSHAS-75406167</t>
        </is>
      </c>
      <c r="D3893" s="5">
        <f>IF($I2="","",INDEX(Productos!$B:$B,$I2))</f>
        <v/>
      </c>
      <c r="E3893" s="5">
        <f>IF($I2="","",INDEX(Productos!$H:$H,$I2))</f>
        <v/>
      </c>
      <c r="F3893" s="5">
        <f>IF($I2="","",INDEX(Productos!$I:$I,$I2))</f>
        <v/>
      </c>
      <c r="G3893" s="135" t="n">
        <v>1</v>
      </c>
      <c r="H3893" s="5">
        <f>IF($I2="","",INDEX(Productos!$AG:$AG,$I2))</f>
        <v/>
      </c>
      <c r="I3893" s="136">
        <f>LET(_xlpm.r,Productos!$E$2:$E$2509,_xlpm.m,IFERROR(_xlfn.XMATCH(C3893,_xlpm.r),IFERROR(_xlfn.XMATCH(VALUE(C3893),_xlpm.r),0)),IF(_xlpm.m=0,"",_xlpm.m+1))</f>
        <v/>
      </c>
      <c r="J3893" s="137" t="inlineStr">
        <is>
          <t>Odoo</t>
        </is>
      </c>
    </row>
    <row r="3894">
      <c r="A3894" s="5" t="inlineStr">
        <is>
          <t>Odoo Universal Unique Brands › Bodega 25 › Bodega 25/General</t>
        </is>
      </c>
      <c r="B3894" s="5">
        <f>IF($I2="","",INDEX(Productos!$A:$A,$I2))</f>
        <v/>
      </c>
      <c r="C3894" s="134" t="inlineStr">
        <is>
          <t>SFSHAS-75406170</t>
        </is>
      </c>
      <c r="D3894" s="5">
        <f>IF($I2="","",INDEX(Productos!$B:$B,$I2))</f>
        <v/>
      </c>
      <c r="E3894" s="5">
        <f>IF($I2="","",INDEX(Productos!$H:$H,$I2))</f>
        <v/>
      </c>
      <c r="F3894" s="5">
        <f>IF($I2="","",INDEX(Productos!$I:$I,$I2))</f>
        <v/>
      </c>
      <c r="G3894" s="135" t="n">
        <v>2</v>
      </c>
      <c r="H3894" s="5">
        <f>IF($I2="","",INDEX(Productos!$AG:$AG,$I2))</f>
        <v/>
      </c>
      <c r="I3894" s="136">
        <f>LET(_xlpm.r,Productos!$E$2:$E$2509,_xlpm.m,IFERROR(_xlfn.XMATCH(C3894,_xlpm.r),IFERROR(_xlfn.XMATCH(VALUE(C3894),_xlpm.r),0)),IF(_xlpm.m=0,"",_xlpm.m+1))</f>
        <v/>
      </c>
      <c r="J3894" s="137" t="inlineStr">
        <is>
          <t>Odoo</t>
        </is>
      </c>
    </row>
    <row r="3895">
      <c r="A3895" s="5" t="inlineStr">
        <is>
          <t>Odoo Universal Unique Brands › Bodega 25 › Bodega 25/General</t>
        </is>
      </c>
      <c r="B3895" s="5">
        <f>IF($I2="","",INDEX(Productos!$A:$A,$I2))</f>
        <v/>
      </c>
      <c r="C3895" s="134" t="inlineStr">
        <is>
          <t>SFSHAS-75406171</t>
        </is>
      </c>
      <c r="D3895" s="5">
        <f>IF($I2="","",INDEX(Productos!$B:$B,$I2))</f>
        <v/>
      </c>
      <c r="E3895" s="5">
        <f>IF($I2="","",INDEX(Productos!$H:$H,$I2))</f>
        <v/>
      </c>
      <c r="F3895" s="5">
        <f>IF($I2="","",INDEX(Productos!$I:$I,$I2))</f>
        <v/>
      </c>
      <c r="G3895" s="135" t="n">
        <v>1</v>
      </c>
      <c r="H3895" s="5">
        <f>IF($I2="","",INDEX(Productos!$AG:$AG,$I2))</f>
        <v/>
      </c>
      <c r="I3895" s="136">
        <f>LET(_xlpm.r,Productos!$E$2:$E$2509,_xlpm.m,IFERROR(_xlfn.XMATCH(C3895,_xlpm.r),IFERROR(_xlfn.XMATCH(VALUE(C3895),_xlpm.r),0)),IF(_xlpm.m=0,"",_xlpm.m+1))</f>
        <v/>
      </c>
      <c r="J3895" s="137" t="inlineStr">
        <is>
          <t>Odoo</t>
        </is>
      </c>
    </row>
    <row r="3896">
      <c r="A3896" s="5" t="inlineStr">
        <is>
          <t>Odoo Universal Unique Brands › Bodega 25 › Bodega 25/General</t>
        </is>
      </c>
      <c r="B3896" s="5">
        <f>IF($I2="","",INDEX(Productos!$A:$A,$I2))</f>
        <v/>
      </c>
      <c r="C3896" s="134" t="inlineStr">
        <is>
          <t>SFSHAS-75406173</t>
        </is>
      </c>
      <c r="D3896" s="5">
        <f>IF($I2="","",INDEX(Productos!$B:$B,$I2))</f>
        <v/>
      </c>
      <c r="E3896" s="5">
        <f>IF($I2="","",INDEX(Productos!$H:$H,$I2))</f>
        <v/>
      </c>
      <c r="F3896" s="5">
        <f>IF($I2="","",INDEX(Productos!$I:$I,$I2))</f>
        <v/>
      </c>
      <c r="G3896" s="135" t="n">
        <v>3</v>
      </c>
      <c r="H3896" s="5">
        <f>IF($I2="","",INDEX(Productos!$AG:$AG,$I2))</f>
        <v/>
      </c>
      <c r="I3896" s="136">
        <f>LET(_xlpm.r,Productos!$E$2:$E$2509,_xlpm.m,IFERROR(_xlfn.XMATCH(C3896,_xlpm.r),IFERROR(_xlfn.XMATCH(VALUE(C3896),_xlpm.r),0)),IF(_xlpm.m=0,"",_xlpm.m+1))</f>
        <v/>
      </c>
      <c r="J3896" s="137" t="inlineStr">
        <is>
          <t>Odoo</t>
        </is>
      </c>
    </row>
    <row r="3897">
      <c r="A3897" s="5" t="inlineStr">
        <is>
          <t>Odoo Universal Unique Brands › Bodega 25 › Bodega 25/General</t>
        </is>
      </c>
      <c r="B3897" s="5">
        <f>IF($I2="","",INDEX(Productos!$A:$A,$I2))</f>
        <v/>
      </c>
      <c r="C3897" s="134" t="inlineStr">
        <is>
          <t>SFSHAS-75406174</t>
        </is>
      </c>
      <c r="D3897" s="5">
        <f>IF($I2="","",INDEX(Productos!$B:$B,$I2))</f>
        <v/>
      </c>
      <c r="E3897" s="5">
        <f>IF($I2="","",INDEX(Productos!$H:$H,$I2))</f>
        <v/>
      </c>
      <c r="F3897" s="5">
        <f>IF($I2="","",INDEX(Productos!$I:$I,$I2))</f>
        <v/>
      </c>
      <c r="G3897" s="135" t="n">
        <v>1</v>
      </c>
      <c r="H3897" s="5">
        <f>IF($I2="","",INDEX(Productos!$AG:$AG,$I2))</f>
        <v/>
      </c>
      <c r="I3897" s="136">
        <f>LET(_xlpm.r,Productos!$E$2:$E$2509,_xlpm.m,IFERROR(_xlfn.XMATCH(C3897,_xlpm.r),IFERROR(_xlfn.XMATCH(VALUE(C3897),_xlpm.r),0)),IF(_xlpm.m=0,"",_xlpm.m+1))</f>
        <v/>
      </c>
      <c r="J3897" s="137" t="inlineStr">
        <is>
          <t>Odoo</t>
        </is>
      </c>
    </row>
    <row r="3898">
      <c r="A3898" s="5" t="inlineStr">
        <is>
          <t>Odoo Universal Unique Brands › Bodega 25 › Bodega 25/General</t>
        </is>
      </c>
      <c r="B3898" s="5">
        <f>IF($I2="","",INDEX(Productos!$A:$A,$I2))</f>
        <v/>
      </c>
      <c r="C3898" s="134" t="inlineStr">
        <is>
          <t>SFSKYL-72400767</t>
        </is>
      </c>
      <c r="D3898" s="5">
        <f>IF($I2="","",INDEX(Productos!$B:$B,$I2))</f>
        <v/>
      </c>
      <c r="E3898" s="5">
        <f>IF($I2="","",INDEX(Productos!$H:$H,$I2))</f>
        <v/>
      </c>
      <c r="F3898" s="5">
        <f>IF($I2="","",INDEX(Productos!$I:$I,$I2))</f>
        <v/>
      </c>
      <c r="G3898" s="135" t="n">
        <v>2</v>
      </c>
      <c r="H3898" s="5">
        <f>IF($I2="","",INDEX(Productos!$AG:$AG,$I2))</f>
        <v/>
      </c>
      <c r="I3898" s="136">
        <f>LET(_xlpm.r,Productos!$E$2:$E$2509,_xlpm.m,IFERROR(_xlfn.XMATCH(C3898,_xlpm.r),IFERROR(_xlfn.XMATCH(VALUE(C3898),_xlpm.r),0)),IF(_xlpm.m=0,"",_xlpm.m+1))</f>
        <v/>
      </c>
      <c r="J3898" s="137" t="inlineStr">
        <is>
          <t>Odoo</t>
        </is>
      </c>
    </row>
    <row r="3899">
      <c r="A3899" s="5" t="inlineStr">
        <is>
          <t>Odoo Universal Unique Brands › Bodega 25 › Bodega 25/General</t>
        </is>
      </c>
      <c r="B3899" s="5">
        <f>IF($I2="","",INDEX(Productos!$A:$A,$I2))</f>
        <v/>
      </c>
      <c r="C3899" s="134" t="inlineStr">
        <is>
          <t>SFSKYL-72400770</t>
        </is>
      </c>
      <c r="D3899" s="5">
        <f>IF($I2="","",INDEX(Productos!$B:$B,$I2))</f>
        <v/>
      </c>
      <c r="E3899" s="5">
        <f>IF($I2="","",INDEX(Productos!$H:$H,$I2))</f>
        <v/>
      </c>
      <c r="F3899" s="5">
        <f>IF($I2="","",INDEX(Productos!$I:$I,$I2))</f>
        <v/>
      </c>
      <c r="G3899" s="135" t="n">
        <v>1</v>
      </c>
      <c r="H3899" s="5">
        <f>IF($I2="","",INDEX(Productos!$AG:$AG,$I2))</f>
        <v/>
      </c>
      <c r="I3899" s="136">
        <f>LET(_xlpm.r,Productos!$E$2:$E$2509,_xlpm.m,IFERROR(_xlfn.XMATCH(C3899,_xlpm.r),IFERROR(_xlfn.XMATCH(VALUE(C3899),_xlpm.r),0)),IF(_xlpm.m=0,"",_xlpm.m+1))</f>
        <v/>
      </c>
      <c r="J3899" s="137" t="inlineStr">
        <is>
          <t>Odoo</t>
        </is>
      </c>
    </row>
    <row r="3900">
      <c r="A3900" s="5" t="inlineStr">
        <is>
          <t>Odoo Universal Unique Brands › Bodega 25 › Bodega 25/General</t>
        </is>
      </c>
      <c r="B3900" s="5">
        <f>IF($I2="","",INDEX(Productos!$A:$A,$I2))</f>
        <v/>
      </c>
      <c r="C3900" s="134" t="inlineStr">
        <is>
          <t>SFSKYL-72400774</t>
        </is>
      </c>
      <c r="D3900" s="5">
        <f>IF($I2="","",INDEX(Productos!$B:$B,$I2))</f>
        <v/>
      </c>
      <c r="E3900" s="5">
        <f>IF($I2="","",INDEX(Productos!$H:$H,$I2))</f>
        <v/>
      </c>
      <c r="F3900" s="5">
        <f>IF($I2="","",INDEX(Productos!$I:$I,$I2))</f>
        <v/>
      </c>
      <c r="G3900" s="135" t="n">
        <v>1</v>
      </c>
      <c r="H3900" s="5">
        <f>IF($I2="","",INDEX(Productos!$AG:$AG,$I2))</f>
        <v/>
      </c>
      <c r="I3900" s="136">
        <f>LET(_xlpm.r,Productos!$E$2:$E$2509,_xlpm.m,IFERROR(_xlfn.XMATCH(C3900,_xlpm.r),IFERROR(_xlfn.XMATCH(VALUE(C3900),_xlpm.r),0)),IF(_xlpm.m=0,"",_xlpm.m+1))</f>
        <v/>
      </c>
      <c r="J3900" s="137" t="inlineStr">
        <is>
          <t>Odoo</t>
        </is>
      </c>
    </row>
    <row r="3901">
      <c r="A3901" s="5" t="inlineStr">
        <is>
          <t>Odoo Universal Unique Brands › Bodega 25 › Bodega 25/General</t>
        </is>
      </c>
      <c r="B3901" s="5">
        <f>IF($I2="","",INDEX(Productos!$A:$A,$I2))</f>
        <v/>
      </c>
      <c r="C3901" s="134" t="inlineStr">
        <is>
          <t>SFSKYL-72404970</t>
        </is>
      </c>
      <c r="D3901" s="5">
        <f>IF($I2="","",INDEX(Productos!$B:$B,$I2))</f>
        <v/>
      </c>
      <c r="E3901" s="5">
        <f>IF($I2="","",INDEX(Productos!$H:$H,$I2))</f>
        <v/>
      </c>
      <c r="F3901" s="5">
        <f>IF($I2="","",INDEX(Productos!$I:$I,$I2))</f>
        <v/>
      </c>
      <c r="G3901" s="135" t="n">
        <v>1</v>
      </c>
      <c r="H3901" s="5">
        <f>IF($I2="","",INDEX(Productos!$AG:$AG,$I2))</f>
        <v/>
      </c>
      <c r="I3901" s="136">
        <f>LET(_xlpm.r,Productos!$E$2:$E$2509,_xlpm.m,IFERROR(_xlfn.XMATCH(C3901,_xlpm.r),IFERROR(_xlfn.XMATCH(VALUE(C3901),_xlpm.r),0)),IF(_xlpm.m=0,"",_xlpm.m+1))</f>
        <v/>
      </c>
      <c r="J3901" s="137" t="inlineStr">
        <is>
          <t>Odoo</t>
        </is>
      </c>
    </row>
    <row r="3902">
      <c r="A3902" s="5" t="inlineStr">
        <is>
          <t>Odoo Universal Unique Brands › Bodega 25 › Bodega 25/General</t>
        </is>
      </c>
      <c r="B3902" s="5">
        <f>IF($I2="","",INDEX(Productos!$A:$A,$I2))</f>
        <v/>
      </c>
      <c r="C3902" s="134" t="inlineStr">
        <is>
          <t>SFSKYL-72404974</t>
        </is>
      </c>
      <c r="D3902" s="5">
        <f>IF($I2="","",INDEX(Productos!$B:$B,$I2))</f>
        <v/>
      </c>
      <c r="E3902" s="5">
        <f>IF($I2="","",INDEX(Productos!$H:$H,$I2))</f>
        <v/>
      </c>
      <c r="F3902" s="5">
        <f>IF($I2="","",INDEX(Productos!$I:$I,$I2))</f>
        <v/>
      </c>
      <c r="G3902" s="135" t="n">
        <v>1</v>
      </c>
      <c r="H3902" s="5">
        <f>IF($I2="","",INDEX(Productos!$AG:$AG,$I2))</f>
        <v/>
      </c>
      <c r="I3902" s="136">
        <f>LET(_xlpm.r,Productos!$E$2:$E$2509,_xlpm.m,IFERROR(_xlfn.XMATCH(C3902,_xlpm.r),IFERROR(_xlfn.XMATCH(VALUE(C3902),_xlpm.r),0)),IF(_xlpm.m=0,"",_xlpm.m+1))</f>
        <v/>
      </c>
      <c r="J3902" s="137" t="inlineStr">
        <is>
          <t>Odoo</t>
        </is>
      </c>
    </row>
    <row r="3903">
      <c r="A3903" s="5" t="inlineStr">
        <is>
          <t>Odoo Universal Unique Brands › Bodega 25 › Bodega 25/General</t>
        </is>
      </c>
      <c r="B3903" s="5">
        <f>IF($I2="","",INDEX(Productos!$A:$A,$I2))</f>
        <v/>
      </c>
      <c r="C3903" s="134" t="inlineStr">
        <is>
          <t>SSBLJR-733681AL</t>
        </is>
      </c>
      <c r="D3903" s="5">
        <f>IF($I2="","",INDEX(Productos!$B:$B,$I2))</f>
        <v/>
      </c>
      <c r="E3903" s="5">
        <f>IF($I2="","",INDEX(Productos!$H:$H,$I2))</f>
        <v/>
      </c>
      <c r="F3903" s="5">
        <f>IF($I2="","",INDEX(Productos!$I:$I,$I2))</f>
        <v/>
      </c>
      <c r="G3903" s="135" t="n">
        <v>24</v>
      </c>
      <c r="H3903" s="5">
        <f>IF($I2="","",INDEX(Productos!$AG:$AG,$I2))</f>
        <v/>
      </c>
      <c r="I3903" s="136">
        <f>LET(_xlpm.r,Productos!$E$2:$E$2509,_xlpm.m,IFERROR(_xlfn.XMATCH(C3903,_xlpm.r),IFERROR(_xlfn.XMATCH(VALUE(C3903),_xlpm.r),0)),IF(_xlpm.m=0,"",_xlpm.m+1))</f>
        <v/>
      </c>
      <c r="J3903" s="137" t="inlineStr">
        <is>
          <t>Odoo</t>
        </is>
      </c>
    </row>
    <row r="3904">
      <c r="A3904" s="5" t="inlineStr">
        <is>
          <t>Odoo Universal Unique Brands › Bodega 25 › Bodega 25/General</t>
        </is>
      </c>
      <c r="B3904" s="5">
        <f>IF($I2="","",INDEX(Productos!$A:$A,$I2))</f>
        <v/>
      </c>
      <c r="C3904" s="134" t="inlineStr">
        <is>
          <t>SSROJR-B23481AL</t>
        </is>
      </c>
      <c r="D3904" s="5">
        <f>IF($I2="","",INDEX(Productos!$B:$B,$I2))</f>
        <v/>
      </c>
      <c r="E3904" s="5">
        <f>IF($I2="","",INDEX(Productos!$H:$H,$I2))</f>
        <v/>
      </c>
      <c r="F3904" s="5">
        <f>IF($I2="","",INDEX(Productos!$I:$I,$I2))</f>
        <v/>
      </c>
      <c r="G3904" s="135" t="n">
        <v>7</v>
      </c>
      <c r="H3904" s="5">
        <f>IF($I2="","",INDEX(Productos!$AG:$AG,$I2))</f>
        <v/>
      </c>
      <c r="I3904" s="136">
        <f>LET(_xlpm.r,Productos!$E$2:$E$2509,_xlpm.m,IFERROR(_xlfn.XMATCH(C3904,_xlpm.r),IFERROR(_xlfn.XMATCH(VALUE(C3904),_xlpm.r),0)),IF(_xlpm.m=0,"",_xlpm.m+1))</f>
        <v/>
      </c>
      <c r="J3904" s="137" t="inlineStr">
        <is>
          <t>Odoo</t>
        </is>
      </c>
    </row>
    <row r="3905">
      <c r="A3905" s="5" t="inlineStr">
        <is>
          <t>Odoo Universal Unique Brands › Bodega 25 › Bodega 25/General</t>
        </is>
      </c>
      <c r="B3905" s="5">
        <f>IF($I2="","",INDEX(Productos!$A:$A,$I2))</f>
        <v/>
      </c>
      <c r="C3905" s="134" t="inlineStr">
        <is>
          <t>SSSTGJ-703681AL</t>
        </is>
      </c>
      <c r="D3905" s="5">
        <f>IF($I2="","",INDEX(Productos!$B:$B,$I2))</f>
        <v/>
      </c>
      <c r="E3905" s="5">
        <f>IF($I2="","",INDEX(Productos!$H:$H,$I2))</f>
        <v/>
      </c>
      <c r="F3905" s="5">
        <f>IF($I2="","",INDEX(Productos!$I:$I,$I2))</f>
        <v/>
      </c>
      <c r="G3905" s="135" t="n">
        <v>10</v>
      </c>
      <c r="H3905" s="5">
        <f>IF($I2="","",INDEX(Productos!$AG:$AG,$I2))</f>
        <v/>
      </c>
      <c r="I3905" s="136">
        <f>LET(_xlpm.r,Productos!$E$2:$E$2509,_xlpm.m,IFERROR(_xlfn.XMATCH(C3905,_xlpm.r),IFERROR(_xlfn.XMATCH(VALUE(C3905),_xlpm.r),0)),IF(_xlpm.m=0,"",_xlpm.m+1))</f>
        <v/>
      </c>
      <c r="J3905" s="137" t="inlineStr">
        <is>
          <t>Odoo</t>
        </is>
      </c>
    </row>
    <row r="3906">
      <c r="A3906" s="5" t="inlineStr">
        <is>
          <t>Odoo Universal Unique Brands › Bodega 25 › Bodega 25/General</t>
        </is>
      </c>
      <c r="B3906" s="5">
        <f>IF($I2="","",INDEX(Productos!$A:$A,$I2))</f>
        <v/>
      </c>
      <c r="C3906" s="134" t="inlineStr">
        <is>
          <t>STS21</t>
        </is>
      </c>
      <c r="D3906" s="5">
        <f>IF($I2="","",INDEX(Productos!$B:$B,$I2))</f>
        <v/>
      </c>
      <c r="E3906" s="5">
        <f>IF($I2="","",INDEX(Productos!$H:$H,$I2))</f>
        <v/>
      </c>
      <c r="F3906" s="5">
        <f>IF($I2="","",INDEX(Productos!$I:$I,$I2))</f>
        <v/>
      </c>
      <c r="G3906" s="135" t="n">
        <v>4</v>
      </c>
      <c r="H3906" s="5">
        <f>IF($I2="","",INDEX(Productos!$AG:$AG,$I2))</f>
        <v/>
      </c>
      <c r="I3906" s="136">
        <f>LET(_xlpm.r,Productos!$E$2:$E$2509,_xlpm.m,IFERROR(_xlfn.XMATCH(C3906,_xlpm.r),IFERROR(_xlfn.XMATCH(VALUE(C3906),_xlpm.r),0)),IF(_xlpm.m=0,"",_xlpm.m+1))</f>
        <v/>
      </c>
      <c r="J3906" s="137" t="inlineStr">
        <is>
          <t>Odoo</t>
        </is>
      </c>
    </row>
    <row r="3907">
      <c r="A3907" s="5" t="inlineStr">
        <is>
          <t>Odoo Universal Unique Brands › Bodega 25 › Bodega 25/General</t>
        </is>
      </c>
      <c r="B3907" s="5">
        <f>IF($I2="","",INDEX(Productos!$A:$A,$I2))</f>
        <v/>
      </c>
      <c r="C3907" s="134" t="inlineStr">
        <is>
          <t>TSATCM-104061L0</t>
        </is>
      </c>
      <c r="D3907" s="5">
        <f>IF($I2="","",INDEX(Productos!$B:$B,$I2))</f>
        <v/>
      </c>
      <c r="E3907" s="5">
        <f>IF($I2="","",INDEX(Productos!$H:$H,$I2))</f>
        <v/>
      </c>
      <c r="F3907" s="5">
        <f>IF($I2="","",INDEX(Productos!$I:$I,$I2))</f>
        <v/>
      </c>
      <c r="G3907" s="135" t="n">
        <v>1</v>
      </c>
      <c r="H3907" s="5">
        <f>IF($I2="","",INDEX(Productos!$AG:$AG,$I2))</f>
        <v/>
      </c>
      <c r="I3907" s="136">
        <f>LET(_xlpm.r,Productos!$E$2:$E$2509,_xlpm.m,IFERROR(_xlfn.XMATCH(C3907,_xlpm.r),IFERROR(_xlfn.XMATCH(VALUE(C3907),_xlpm.r),0)),IF(_xlpm.m=0,"",_xlpm.m+1))</f>
        <v/>
      </c>
      <c r="J3907" s="137" t="inlineStr">
        <is>
          <t>Odoo</t>
        </is>
      </c>
    </row>
    <row r="3908">
      <c r="A3908" s="5" t="inlineStr">
        <is>
          <t>Odoo Universal Unique Brands › Bodega 25 › Bodega 25/General</t>
        </is>
      </c>
      <c r="B3908" s="5">
        <f>IF($I2="","",INDEX(Productos!$A:$A,$I2))</f>
        <v/>
      </c>
      <c r="C3908" s="134" t="inlineStr">
        <is>
          <t>TSATCM-104061M0</t>
        </is>
      </c>
      <c r="D3908" s="5">
        <f>IF($I2="","",INDEX(Productos!$B:$B,$I2))</f>
        <v/>
      </c>
      <c r="E3908" s="5">
        <f>IF($I2="","",INDEX(Productos!$H:$H,$I2))</f>
        <v/>
      </c>
      <c r="F3908" s="5">
        <f>IF($I2="","",INDEX(Productos!$I:$I,$I2))</f>
        <v/>
      </c>
      <c r="G3908" s="135" t="n">
        <v>1</v>
      </c>
      <c r="H3908" s="5">
        <f>IF($I2="","",INDEX(Productos!$AG:$AG,$I2))</f>
        <v/>
      </c>
      <c r="I3908" s="136">
        <f>LET(_xlpm.r,Productos!$E$2:$E$2509,_xlpm.m,IFERROR(_xlfn.XMATCH(C3908,_xlpm.r),IFERROR(_xlfn.XMATCH(VALUE(C3908),_xlpm.r),0)),IF(_xlpm.m=0,"",_xlpm.m+1))</f>
        <v/>
      </c>
      <c r="J3908" s="137" t="inlineStr">
        <is>
          <t>Odoo</t>
        </is>
      </c>
    </row>
    <row r="3909">
      <c r="A3909" s="5" t="inlineStr">
        <is>
          <t>Odoo Universal Unique Brands › Bodega 25 › Bodega 25/General</t>
        </is>
      </c>
      <c r="B3909" s="5">
        <f>IF($I2="","",INDEX(Productos!$A:$A,$I2))</f>
        <v/>
      </c>
      <c r="C3909" s="134" t="inlineStr">
        <is>
          <t>TSATCM-104081L0</t>
        </is>
      </c>
      <c r="D3909" s="5">
        <f>IF($I2="","",INDEX(Productos!$B:$B,$I2))</f>
        <v/>
      </c>
      <c r="E3909" s="5">
        <f>IF($I2="","",INDEX(Productos!$H:$H,$I2))</f>
        <v/>
      </c>
      <c r="F3909" s="5">
        <f>IF($I2="","",INDEX(Productos!$I:$I,$I2))</f>
        <v/>
      </c>
      <c r="G3909" s="135" t="n">
        <v>2</v>
      </c>
      <c r="H3909" s="5">
        <f>IF($I2="","",INDEX(Productos!$AG:$AG,$I2))</f>
        <v/>
      </c>
      <c r="I3909" s="136">
        <f>LET(_xlpm.r,Productos!$E$2:$E$2509,_xlpm.m,IFERROR(_xlfn.XMATCH(C3909,_xlpm.r),IFERROR(_xlfn.XMATCH(VALUE(C3909),_xlpm.r),0)),IF(_xlpm.m=0,"",_xlpm.m+1))</f>
        <v/>
      </c>
      <c r="J3909" s="137" t="inlineStr">
        <is>
          <t>Odoo</t>
        </is>
      </c>
    </row>
    <row r="3910">
      <c r="A3910" s="5" t="inlineStr">
        <is>
          <t>Odoo Universal Unique Brands › Bodega 25 › Bodega 25/General</t>
        </is>
      </c>
      <c r="B3910" s="5">
        <f>IF($I2="","",INDEX(Productos!$A:$A,$I2))</f>
        <v/>
      </c>
      <c r="C3910" s="134" t="inlineStr">
        <is>
          <t>TSATCM-104081M0</t>
        </is>
      </c>
      <c r="D3910" s="5">
        <f>IF($I2="","",INDEX(Productos!$B:$B,$I2))</f>
        <v/>
      </c>
      <c r="E3910" s="5">
        <f>IF($I2="","",INDEX(Productos!$H:$H,$I2))</f>
        <v/>
      </c>
      <c r="F3910" s="5">
        <f>IF($I2="","",INDEX(Productos!$I:$I,$I2))</f>
        <v/>
      </c>
      <c r="G3910" s="135" t="n">
        <v>1</v>
      </c>
      <c r="H3910" s="5">
        <f>IF($I2="","",INDEX(Productos!$AG:$AG,$I2))</f>
        <v/>
      </c>
      <c r="I3910" s="136">
        <f>LET(_xlpm.r,Productos!$E$2:$E$2509,_xlpm.m,IFERROR(_xlfn.XMATCH(C3910,_xlpm.r),IFERROR(_xlfn.XMATCH(VALUE(C3910),_xlpm.r),0)),IF(_xlpm.m=0,"",_xlpm.m+1))</f>
        <v/>
      </c>
      <c r="J3910" s="137" t="inlineStr">
        <is>
          <t>Odoo</t>
        </is>
      </c>
    </row>
    <row r="3911">
      <c r="A3911" s="5" t="inlineStr">
        <is>
          <t>Odoo Universal Unique Brands › Bodega 25 › Bodega 25/General</t>
        </is>
      </c>
      <c r="B3911" s="5">
        <f>IF($I2="","",INDEX(Productos!$A:$A,$I2))</f>
        <v/>
      </c>
      <c r="C3911" s="134" t="inlineStr">
        <is>
          <t>TWDYLN-143407S0</t>
        </is>
      </c>
      <c r="D3911" s="5">
        <f>IF($I2="","",INDEX(Productos!$B:$B,$I2))</f>
        <v/>
      </c>
      <c r="E3911" s="5">
        <f>IF($I2="","",INDEX(Productos!$H:$H,$I2))</f>
        <v/>
      </c>
      <c r="F3911" s="5">
        <f>IF($I2="","",INDEX(Productos!$I:$I,$I2))</f>
        <v/>
      </c>
      <c r="G3911" s="135" t="n">
        <v>1</v>
      </c>
      <c r="H3911" s="5">
        <f>IF($I2="","",INDEX(Productos!$AG:$AG,$I2))</f>
        <v/>
      </c>
      <c r="I3911" s="136">
        <f>LET(_xlpm.r,Productos!$E$2:$E$2509,_xlpm.m,IFERROR(_xlfn.XMATCH(C3911,_xlpm.r),IFERROR(_xlfn.XMATCH(VALUE(C3911),_xlpm.r),0)),IF(_xlpm.m=0,"",_xlpm.m+1))</f>
        <v/>
      </c>
      <c r="J3911" s="137" t="inlineStr">
        <is>
          <t>Odoo</t>
        </is>
      </c>
    </row>
    <row r="3912">
      <c r="A3912" s="5" t="inlineStr">
        <is>
          <t>Odoo Universal Unique Brands › Bodega 25 › Bodega 25/General</t>
        </is>
      </c>
      <c r="B3912" s="5">
        <f>IF($I2="","",INDEX(Productos!$A:$A,$I2))</f>
        <v/>
      </c>
      <c r="C3912" s="134" t="inlineStr">
        <is>
          <t>TWFLKL-FT34P5L0</t>
        </is>
      </c>
      <c r="D3912" s="5">
        <f>IF($I2="","",INDEX(Productos!$B:$B,$I2))</f>
        <v/>
      </c>
      <c r="E3912" s="5">
        <f>IF($I2="","",INDEX(Productos!$H:$H,$I2))</f>
        <v/>
      </c>
      <c r="F3912" s="5">
        <f>IF($I2="","",INDEX(Productos!$I:$I,$I2))</f>
        <v/>
      </c>
      <c r="G3912" s="135" t="n">
        <v>2</v>
      </c>
      <c r="H3912" s="5">
        <f>IF($I2="","",INDEX(Productos!$AG:$AG,$I2))</f>
        <v/>
      </c>
      <c r="I3912" s="136">
        <f>LET(_xlpm.r,Productos!$E$2:$E$2509,_xlpm.m,IFERROR(_xlfn.XMATCH(C3912,_xlpm.r),IFERROR(_xlfn.XMATCH(VALUE(C3912),_xlpm.r),0)),IF(_xlpm.m=0,"",_xlpm.m+1))</f>
        <v/>
      </c>
      <c r="J3912" s="137" t="inlineStr">
        <is>
          <t>Odoo</t>
        </is>
      </c>
    </row>
    <row r="3913">
      <c r="A3913" s="5" t="inlineStr">
        <is>
          <t>Odoo Universal Unique Brands › Bodega 25 › Bodega 25/General</t>
        </is>
      </c>
      <c r="B3913" s="5">
        <f>IF($I2="","",INDEX(Productos!$A:$A,$I2))</f>
        <v/>
      </c>
      <c r="C3913" s="134" t="inlineStr">
        <is>
          <t>TWFLKL-FT34P5M0</t>
        </is>
      </c>
      <c r="D3913" s="5">
        <f>IF($I2="","",INDEX(Productos!$B:$B,$I2))</f>
        <v/>
      </c>
      <c r="E3913" s="5">
        <f>IF($I2="","",INDEX(Productos!$H:$H,$I2))</f>
        <v/>
      </c>
      <c r="F3913" s="5">
        <f>IF($I2="","",INDEX(Productos!$I:$I,$I2))</f>
        <v/>
      </c>
      <c r="G3913" s="135" t="n">
        <v>2</v>
      </c>
      <c r="H3913" s="5">
        <f>IF($I2="","",INDEX(Productos!$AG:$AG,$I2))</f>
        <v/>
      </c>
      <c r="I3913" s="136">
        <f>LET(_xlpm.r,Productos!$E$2:$E$2509,_xlpm.m,IFERROR(_xlfn.XMATCH(C3913,_xlpm.r),IFERROR(_xlfn.XMATCH(VALUE(C3913),_xlpm.r),0)),IF(_xlpm.m=0,"",_xlpm.m+1))</f>
        <v/>
      </c>
      <c r="J3913" s="137" t="inlineStr">
        <is>
          <t>Odoo</t>
        </is>
      </c>
    </row>
    <row r="3914">
      <c r="A3914" s="5" t="inlineStr">
        <is>
          <t>Odoo Universal Unique Brands › Bodega 25 › Bodega 25/General</t>
        </is>
      </c>
      <c r="B3914" s="5">
        <f>IF($I2="","",INDEX(Productos!$A:$A,$I2))</f>
        <v/>
      </c>
      <c r="C3914" s="134" t="inlineStr">
        <is>
          <t>TWFLKL-FT34P5XL</t>
        </is>
      </c>
      <c r="D3914" s="5">
        <f>IF($I2="","",INDEX(Productos!$B:$B,$I2))</f>
        <v/>
      </c>
      <c r="E3914" s="5">
        <f>IF($I2="","",INDEX(Productos!$H:$H,$I2))</f>
        <v/>
      </c>
      <c r="F3914" s="5">
        <f>IF($I2="","",INDEX(Productos!$I:$I,$I2))</f>
        <v/>
      </c>
      <c r="G3914" s="135" t="n">
        <v>1</v>
      </c>
      <c r="H3914" s="5">
        <f>IF($I2="","",INDEX(Productos!$AG:$AG,$I2))</f>
        <v/>
      </c>
      <c r="I3914" s="136">
        <f>LET(_xlpm.r,Productos!$E$2:$E$2509,_xlpm.m,IFERROR(_xlfn.XMATCH(C3914,_xlpm.r),IFERROR(_xlfn.XMATCH(VALUE(C3914),_xlpm.r),0)),IF(_xlpm.m=0,"",_xlpm.m+1))</f>
        <v/>
      </c>
      <c r="J3914" s="137" t="inlineStr">
        <is>
          <t>Odoo</t>
        </is>
      </c>
    </row>
    <row r="3915">
      <c r="A3915" s="5" t="inlineStr">
        <is>
          <t>Odoo Universal Unique Brands › Bodega 25 › Bodega 25/General</t>
        </is>
      </c>
      <c r="B3915" s="5">
        <f>IF($I2="","",INDEX(Productos!$A:$A,$I2))</f>
        <v/>
      </c>
      <c r="C3915" s="134" t="inlineStr">
        <is>
          <t>TWHDRKB104074L0</t>
        </is>
      </c>
      <c r="D3915" s="5">
        <f>IF($I2="","",INDEX(Productos!$B:$B,$I2))</f>
        <v/>
      </c>
      <c r="E3915" s="5">
        <f>IF($I2="","",INDEX(Productos!$H:$H,$I2))</f>
        <v/>
      </c>
      <c r="F3915" s="5">
        <f>IF($I2="","",INDEX(Productos!$I:$I,$I2))</f>
        <v/>
      </c>
      <c r="G3915" s="135" t="n">
        <v>2</v>
      </c>
      <c r="H3915" s="5">
        <f>IF($I2="","",INDEX(Productos!$AG:$AG,$I2))</f>
        <v/>
      </c>
      <c r="I3915" s="136">
        <f>LET(_xlpm.r,Productos!$E$2:$E$2509,_xlpm.m,IFERROR(_xlfn.XMATCH(C3915,_xlpm.r),IFERROR(_xlfn.XMATCH(VALUE(C3915),_xlpm.r),0)),IF(_xlpm.m=0,"",_xlpm.m+1))</f>
        <v/>
      </c>
      <c r="J3915" s="137" t="inlineStr">
        <is>
          <t>Odoo</t>
        </is>
      </c>
    </row>
    <row r="3916">
      <c r="A3916" s="5" t="inlineStr">
        <is>
          <t>Odoo Universal Unique Brands › Bodega 25 › Bodega 25/General</t>
        </is>
      </c>
      <c r="B3916" s="5">
        <f>IF($I2="","",INDEX(Productos!$A:$A,$I2))</f>
        <v/>
      </c>
      <c r="C3916" s="134" t="inlineStr">
        <is>
          <t>TWHDRKB104074M0</t>
        </is>
      </c>
      <c r="D3916" s="5">
        <f>IF($I2="","",INDEX(Productos!$B:$B,$I2))</f>
        <v/>
      </c>
      <c r="E3916" s="5">
        <f>IF($I2="","",INDEX(Productos!$H:$H,$I2))</f>
        <v/>
      </c>
      <c r="F3916" s="5">
        <f>IF($I2="","",INDEX(Productos!$I:$I,$I2))</f>
        <v/>
      </c>
      <c r="G3916" s="135" t="n">
        <v>2</v>
      </c>
      <c r="H3916" s="5">
        <f>IF($I2="","",INDEX(Productos!$AG:$AG,$I2))</f>
        <v/>
      </c>
      <c r="I3916" s="136">
        <f>LET(_xlpm.r,Productos!$E$2:$E$2509,_xlpm.m,IFERROR(_xlfn.XMATCH(C3916,_xlpm.r),IFERROR(_xlfn.XMATCH(VALUE(C3916),_xlpm.r),0)),IF(_xlpm.m=0,"",_xlpm.m+1))</f>
        <v/>
      </c>
      <c r="J3916" s="137" t="inlineStr">
        <is>
          <t>Odoo</t>
        </is>
      </c>
    </row>
    <row r="3917">
      <c r="A3917" s="5" t="inlineStr">
        <is>
          <t>Odoo Universal Unique Brands › Bodega 25 › Bodega 25/General</t>
        </is>
      </c>
      <c r="B3917" s="5">
        <f>IF($I2="","",INDEX(Productos!$A:$A,$I2))</f>
        <v/>
      </c>
      <c r="C3917" s="134" t="inlineStr">
        <is>
          <t>TWHDRKB104074S0</t>
        </is>
      </c>
      <c r="D3917" s="5">
        <f>IF($I2="","",INDEX(Productos!$B:$B,$I2))</f>
        <v/>
      </c>
      <c r="E3917" s="5">
        <f>IF($I2="","",INDEX(Productos!$H:$H,$I2))</f>
        <v/>
      </c>
      <c r="F3917" s="5">
        <f>IF($I2="","",INDEX(Productos!$I:$I,$I2))</f>
        <v/>
      </c>
      <c r="G3917" s="135" t="n">
        <v>1</v>
      </c>
      <c r="H3917" s="5">
        <f>IF($I2="","",INDEX(Productos!$AG:$AG,$I2))</f>
        <v/>
      </c>
      <c r="I3917" s="136">
        <f>LET(_xlpm.r,Productos!$E$2:$E$2509,_xlpm.m,IFERROR(_xlfn.XMATCH(C3917,_xlpm.r),IFERROR(_xlfn.XMATCH(VALUE(C3917),_xlpm.r),0)),IF(_xlpm.m=0,"",_xlpm.m+1))</f>
        <v/>
      </c>
      <c r="J3917" s="137" t="inlineStr">
        <is>
          <t>Odoo</t>
        </is>
      </c>
    </row>
    <row r="3918">
      <c r="A3918" s="5" t="inlineStr">
        <is>
          <t>Odoo Universal Unique Brands › Bodega 25 › Bodega 25/General</t>
        </is>
      </c>
      <c r="B3918" s="5">
        <f>IF($I2="","",INDEX(Productos!$A:$A,$I2))</f>
        <v/>
      </c>
      <c r="C3918" s="134" t="inlineStr">
        <is>
          <t>TWHDRKB104074XL</t>
        </is>
      </c>
      <c r="D3918" s="5">
        <f>IF($I2="","",INDEX(Productos!$B:$B,$I2))</f>
        <v/>
      </c>
      <c r="E3918" s="5">
        <f>IF($I2="","",INDEX(Productos!$H:$H,$I2))</f>
        <v/>
      </c>
      <c r="F3918" s="5">
        <f>IF($I2="","",INDEX(Productos!$I:$I,$I2))</f>
        <v/>
      </c>
      <c r="G3918" s="135" t="n">
        <v>1</v>
      </c>
      <c r="H3918" s="5">
        <f>IF($I2="","",INDEX(Productos!$AG:$AG,$I2))</f>
        <v/>
      </c>
      <c r="I3918" s="136">
        <f>LET(_xlpm.r,Productos!$E$2:$E$2509,_xlpm.m,IFERROR(_xlfn.XMATCH(C3918,_xlpm.r),IFERROR(_xlfn.XMATCH(VALUE(C3918),_xlpm.r),0)),IF(_xlpm.m=0,"",_xlpm.m+1))</f>
        <v/>
      </c>
      <c r="J3918" s="137" t="inlineStr">
        <is>
          <t>Odoo</t>
        </is>
      </c>
    </row>
    <row r="3919">
      <c r="A3919" s="5" t="inlineStr">
        <is>
          <t>Odoo Universal Unique Brands › Bodega 25 › Bodega 25/General</t>
        </is>
      </c>
      <c r="B3919" s="5">
        <f>IF($I2="","",INDEX(Productos!$A:$A,$I2))</f>
        <v/>
      </c>
      <c r="C3919" s="134" t="inlineStr">
        <is>
          <t>XWESWD-974048L0</t>
        </is>
      </c>
      <c r="D3919" s="5">
        <f>IF($I2="","",INDEX(Productos!$B:$B,$I2))</f>
        <v/>
      </c>
      <c r="E3919" s="5">
        <f>IF($I2="","",INDEX(Productos!$H:$H,$I2))</f>
        <v/>
      </c>
      <c r="F3919" s="5">
        <f>IF($I2="","",INDEX(Productos!$I:$I,$I2))</f>
        <v/>
      </c>
      <c r="G3919" s="135" t="n">
        <v>2</v>
      </c>
      <c r="H3919" s="5">
        <f>IF($I2="","",INDEX(Productos!$AG:$AG,$I2))</f>
        <v/>
      </c>
      <c r="I3919" s="136">
        <f>LET(_xlpm.r,Productos!$E$2:$E$2509,_xlpm.m,IFERROR(_xlfn.XMATCH(C3919,_xlpm.r),IFERROR(_xlfn.XMATCH(VALUE(C3919),_xlpm.r),0)),IF(_xlpm.m=0,"",_xlpm.m+1))</f>
        <v/>
      </c>
      <c r="J3919" s="137" t="inlineStr">
        <is>
          <t>Odoo</t>
        </is>
      </c>
    </row>
    <row r="3920">
      <c r="A3920" s="5" t="inlineStr">
        <is>
          <t>Odoo Universal Unique Brands › Bodega 25 › Bodega 25/General</t>
        </is>
      </c>
      <c r="B3920" s="5">
        <f>IF($I2="","",INDEX(Productos!$A:$A,$I2))</f>
        <v/>
      </c>
      <c r="C3920" s="134" t="inlineStr">
        <is>
          <t>XWESWD-974048M0</t>
        </is>
      </c>
      <c r="D3920" s="5">
        <f>IF($I2="","",INDEX(Productos!$B:$B,$I2))</f>
        <v/>
      </c>
      <c r="E3920" s="5">
        <f>IF($I2="","",INDEX(Productos!$H:$H,$I2))</f>
        <v/>
      </c>
      <c r="F3920" s="5">
        <f>IF($I2="","",INDEX(Productos!$I:$I,$I2))</f>
        <v/>
      </c>
      <c r="G3920" s="135" t="n">
        <v>2</v>
      </c>
      <c r="H3920" s="5">
        <f>IF($I2="","",INDEX(Productos!$AG:$AG,$I2))</f>
        <v/>
      </c>
      <c r="I3920" s="136">
        <f>LET(_xlpm.r,Productos!$E$2:$E$2509,_xlpm.m,IFERROR(_xlfn.XMATCH(C3920,_xlpm.r),IFERROR(_xlfn.XMATCH(VALUE(C3920),_xlpm.r),0)),IF(_xlpm.m=0,"",_xlpm.m+1))</f>
        <v/>
      </c>
      <c r="J3920" s="137" t="inlineStr">
        <is>
          <t>Odoo</t>
        </is>
      </c>
    </row>
    <row r="3921">
      <c r="A3921" s="5" t="inlineStr">
        <is>
          <t>Odoo Universal Unique Brands › Bodega 25 › Bodega 25/General</t>
        </is>
      </c>
      <c r="B3921" s="5">
        <f>IF($I2="","",INDEX(Productos!$A:$A,$I2))</f>
        <v/>
      </c>
      <c r="C3921" s="134" t="inlineStr">
        <is>
          <t>XWESWD-974048S0</t>
        </is>
      </c>
      <c r="D3921" s="5">
        <f>IF($I2="","",INDEX(Productos!$B:$B,$I2))</f>
        <v/>
      </c>
      <c r="E3921" s="5">
        <f>IF($I2="","",INDEX(Productos!$H:$H,$I2))</f>
        <v/>
      </c>
      <c r="F3921" s="5">
        <f>IF($I2="","",INDEX(Productos!$I:$I,$I2))</f>
        <v/>
      </c>
      <c r="G3921" s="135" t="n">
        <v>1</v>
      </c>
      <c r="H3921" s="5">
        <f>IF($I2="","",INDEX(Productos!$AG:$AG,$I2))</f>
        <v/>
      </c>
      <c r="I3921" s="136">
        <f>LET(_xlpm.r,Productos!$E$2:$E$2509,_xlpm.m,IFERROR(_xlfn.XMATCH(C3921,_xlpm.r),IFERROR(_xlfn.XMATCH(VALUE(C3921),_xlpm.r),0)),IF(_xlpm.m=0,"",_xlpm.m+1))</f>
        <v/>
      </c>
      <c r="J3921" s="137" t="inlineStr">
        <is>
          <t>Odoo</t>
        </is>
      </c>
    </row>
    <row r="3922">
      <c r="A3922" s="5" t="inlineStr">
        <is>
          <t>Odoo Universal Unique Brands › Bodega 25 › Bodega 25/General</t>
        </is>
      </c>
      <c r="B3922" s="5">
        <f>IF($I2="","",INDEX(Productos!$A:$A,$I2))</f>
        <v/>
      </c>
      <c r="C3922" s="134" t="inlineStr">
        <is>
          <t>XWESWD-974048XL</t>
        </is>
      </c>
      <c r="D3922" s="5">
        <f>IF($I2="","",INDEX(Productos!$B:$B,$I2))</f>
        <v/>
      </c>
      <c r="E3922" s="5">
        <f>IF($I2="","",INDEX(Productos!$H:$H,$I2))</f>
        <v/>
      </c>
      <c r="F3922" s="5">
        <f>IF($I2="","",INDEX(Productos!$I:$I,$I2))</f>
        <v/>
      </c>
      <c r="G3922" s="135" t="n">
        <v>1</v>
      </c>
      <c r="H3922" s="5">
        <f>IF($I2="","",INDEX(Productos!$AG:$AG,$I2))</f>
        <v/>
      </c>
      <c r="I3922" s="136">
        <f>LET(_xlpm.r,Productos!$E$2:$E$2509,_xlpm.m,IFERROR(_xlfn.XMATCH(C3922,_xlpm.r),IFERROR(_xlfn.XMATCH(VALUE(C3922),_xlpm.r),0)),IF(_xlpm.m=0,"",_xlpm.m+1))</f>
        <v/>
      </c>
      <c r="J3922" s="137" t="inlineStr">
        <is>
          <t>Odoo</t>
        </is>
      </c>
    </row>
    <row r="3923">
      <c r="A3923" s="5" t="inlineStr">
        <is>
          <t>Odoo Universal Unique Brands › Bodega 25 › Bodega 25/General</t>
        </is>
      </c>
      <c r="B3923" s="5">
        <f>IF($I2="","",INDEX(Productos!$A:$A,$I2))</f>
        <v/>
      </c>
      <c r="C3923" s="134" t="inlineStr">
        <is>
          <t>XWESWD-974074L0</t>
        </is>
      </c>
      <c r="D3923" s="5">
        <f>IF($I2="","",INDEX(Productos!$B:$B,$I2))</f>
        <v/>
      </c>
      <c r="E3923" s="5">
        <f>IF($I2="","",INDEX(Productos!$H:$H,$I2))</f>
        <v/>
      </c>
      <c r="F3923" s="5">
        <f>IF($I2="","",INDEX(Productos!$I:$I,$I2))</f>
        <v/>
      </c>
      <c r="G3923" s="135" t="n">
        <v>2</v>
      </c>
      <c r="H3923" s="5">
        <f>IF($I2="","",INDEX(Productos!$AG:$AG,$I2))</f>
        <v/>
      </c>
      <c r="I3923" s="136">
        <f>LET(_xlpm.r,Productos!$E$2:$E$2509,_xlpm.m,IFERROR(_xlfn.XMATCH(C3923,_xlpm.r),IFERROR(_xlfn.XMATCH(VALUE(C3923),_xlpm.r),0)),IF(_xlpm.m=0,"",_xlpm.m+1))</f>
        <v/>
      </c>
      <c r="J3923" s="137" t="inlineStr">
        <is>
          <t>Odoo</t>
        </is>
      </c>
    </row>
    <row r="3924">
      <c r="A3924" s="5" t="inlineStr">
        <is>
          <t>Odoo Universal Unique Brands › Bodega 25 › Bodega 25/General</t>
        </is>
      </c>
      <c r="B3924" s="5">
        <f>IF($I2="","",INDEX(Productos!$A:$A,$I2))</f>
        <v/>
      </c>
      <c r="C3924" s="134" t="inlineStr">
        <is>
          <t>XWESWD-974074M0</t>
        </is>
      </c>
      <c r="D3924" s="5">
        <f>IF($I2="","",INDEX(Productos!$B:$B,$I2))</f>
        <v/>
      </c>
      <c r="E3924" s="5">
        <f>IF($I2="","",INDEX(Productos!$H:$H,$I2))</f>
        <v/>
      </c>
      <c r="F3924" s="5">
        <f>IF($I2="","",INDEX(Productos!$I:$I,$I2))</f>
        <v/>
      </c>
      <c r="G3924" s="135" t="n">
        <v>2</v>
      </c>
      <c r="H3924" s="5">
        <f>IF($I2="","",INDEX(Productos!$AG:$AG,$I2))</f>
        <v/>
      </c>
      <c r="I3924" s="136">
        <f>LET(_xlpm.r,Productos!$E$2:$E$2509,_xlpm.m,IFERROR(_xlfn.XMATCH(C3924,_xlpm.r),IFERROR(_xlfn.XMATCH(VALUE(C3924),_xlpm.r),0)),IF(_xlpm.m=0,"",_xlpm.m+1))</f>
        <v/>
      </c>
      <c r="J3924" s="137" t="inlineStr">
        <is>
          <t>Odoo</t>
        </is>
      </c>
    </row>
    <row r="3925">
      <c r="A3925" s="5" t="inlineStr">
        <is>
          <t>Odoo Universal Unique Brands › Bodega 25 › Bodega 25/General</t>
        </is>
      </c>
      <c r="B3925" s="5">
        <f>IF($I2="","",INDEX(Productos!$A:$A,$I2))</f>
        <v/>
      </c>
      <c r="C3925" s="134" t="inlineStr">
        <is>
          <t>XWESWD-974074S0</t>
        </is>
      </c>
      <c r="D3925" s="5">
        <f>IF($I2="","",INDEX(Productos!$B:$B,$I2))</f>
        <v/>
      </c>
      <c r="E3925" s="5">
        <f>IF($I2="","",INDEX(Productos!$H:$H,$I2))</f>
        <v/>
      </c>
      <c r="F3925" s="5">
        <f>IF($I2="","",INDEX(Productos!$I:$I,$I2))</f>
        <v/>
      </c>
      <c r="G3925" s="135" t="n">
        <v>1</v>
      </c>
      <c r="H3925" s="5">
        <f>IF($I2="","",INDEX(Productos!$AG:$AG,$I2))</f>
        <v/>
      </c>
      <c r="I3925" s="136">
        <f>LET(_xlpm.r,Productos!$E$2:$E$2509,_xlpm.m,IFERROR(_xlfn.XMATCH(C3925,_xlpm.r),IFERROR(_xlfn.XMATCH(VALUE(C3925),_xlpm.r),0)),IF(_xlpm.m=0,"",_xlpm.m+1))</f>
        <v/>
      </c>
      <c r="J3925" s="137" t="inlineStr">
        <is>
          <t>Odoo</t>
        </is>
      </c>
    </row>
    <row r="3926">
      <c r="A3926" s="5" t="inlineStr">
        <is>
          <t>Odoo Universal Unique Brands › Bodega 25 › Bodega 25/General</t>
        </is>
      </c>
      <c r="B3926" s="5">
        <f>IF($I2="","",INDEX(Productos!$A:$A,$I2))</f>
        <v/>
      </c>
      <c r="C3926" s="134" t="inlineStr">
        <is>
          <t>XWESWD-974074XL</t>
        </is>
      </c>
      <c r="D3926" s="5">
        <f>IF($I2="","",INDEX(Productos!$B:$B,$I2))</f>
        <v/>
      </c>
      <c r="E3926" s="5">
        <f>IF($I2="","",INDEX(Productos!$H:$H,$I2))</f>
        <v/>
      </c>
      <c r="F3926" s="5">
        <f>IF($I2="","",INDEX(Productos!$I:$I,$I2))</f>
        <v/>
      </c>
      <c r="G3926" s="135" t="n">
        <v>1</v>
      </c>
      <c r="H3926" s="5">
        <f>IF($I2="","",INDEX(Productos!$AG:$AG,$I2))</f>
        <v/>
      </c>
      <c r="I3926" s="136">
        <f>LET(_xlpm.r,Productos!$E$2:$E$2509,_xlpm.m,IFERROR(_xlfn.XMATCH(C3926,_xlpm.r),IFERROR(_xlfn.XMATCH(VALUE(C3926),_xlpm.r),0)),IF(_xlpm.m=0,"",_xlpm.m+1))</f>
        <v/>
      </c>
      <c r="J3926" s="137" t="inlineStr">
        <is>
          <t>Odoo</t>
        </is>
      </c>
    </row>
    <row r="3927">
      <c r="A3927" s="5" t="inlineStr">
        <is>
          <t>Odoo Universal Unique Brands › Bodega 25 › Bodega 25/General</t>
        </is>
      </c>
      <c r="B3927" s="5">
        <f>IF($I2="","",INDEX(Productos!$A:$A,$I2))</f>
        <v/>
      </c>
      <c r="C3927" s="134" t="inlineStr">
        <is>
          <t>XWGDCR-9142DMS0</t>
        </is>
      </c>
      <c r="D3927" s="5">
        <f>IF($I2="","",INDEX(Productos!$B:$B,$I2))</f>
        <v/>
      </c>
      <c r="E3927" s="5">
        <f>IF($I2="","",INDEX(Productos!$H:$H,$I2))</f>
        <v/>
      </c>
      <c r="F3927" s="5">
        <f>IF($I2="","",INDEX(Productos!$I:$I,$I2))</f>
        <v/>
      </c>
      <c r="G3927" s="135" t="n">
        <v>1</v>
      </c>
      <c r="H3927" s="5">
        <f>IF($I2="","",INDEX(Productos!$AG:$AG,$I2))</f>
        <v/>
      </c>
      <c r="I3927" s="136">
        <f>LET(_xlpm.r,Productos!$E$2:$E$2509,_xlpm.m,IFERROR(_xlfn.XMATCH(C3927,_xlpm.r),IFERROR(_xlfn.XMATCH(VALUE(C3927),_xlpm.r),0)),IF(_xlpm.m=0,"",_xlpm.m+1))</f>
        <v/>
      </c>
      <c r="J3927" s="137" t="inlineStr">
        <is>
          <t>Odoo</t>
        </is>
      </c>
    </row>
    <row r="3928">
      <c r="A3928" s="5" t="inlineStr">
        <is>
          <t>Odoo Universal Unique Brands › Bodega 25 › Bodega 25/General</t>
        </is>
      </c>
      <c r="B3928" s="5">
        <f>IF($I2="","",INDEX(Productos!$A:$A,$I2))</f>
        <v/>
      </c>
      <c r="C3928" s="134" t="inlineStr">
        <is>
          <t>XWNGSKS104048L0</t>
        </is>
      </c>
      <c r="D3928" s="5">
        <f>IF($I2="","",INDEX(Productos!$B:$B,$I2))</f>
        <v/>
      </c>
      <c r="E3928" s="5">
        <f>IF($I2="","",INDEX(Productos!$H:$H,$I2))</f>
        <v/>
      </c>
      <c r="F3928" s="5">
        <f>IF($I2="","",INDEX(Productos!$I:$I,$I2))</f>
        <v/>
      </c>
      <c r="G3928" s="135" t="n">
        <v>2</v>
      </c>
      <c r="H3928" s="5">
        <f>IF($I2="","",INDEX(Productos!$AG:$AG,$I2))</f>
        <v/>
      </c>
      <c r="I3928" s="136">
        <f>LET(_xlpm.r,Productos!$E$2:$E$2509,_xlpm.m,IFERROR(_xlfn.XMATCH(C3928,_xlpm.r),IFERROR(_xlfn.XMATCH(VALUE(C3928),_xlpm.r),0)),IF(_xlpm.m=0,"",_xlpm.m+1))</f>
        <v/>
      </c>
      <c r="J3928" s="137" t="inlineStr">
        <is>
          <t>Odoo</t>
        </is>
      </c>
    </row>
    <row r="3929">
      <c r="A3929" s="5" t="inlineStr">
        <is>
          <t>Odoo Universal Unique Brands › Bodega 25 › Bodega 25/General</t>
        </is>
      </c>
      <c r="B3929" s="5">
        <f>IF($I2="","",INDEX(Productos!$A:$A,$I2))</f>
        <v/>
      </c>
      <c r="C3929" s="134" t="inlineStr">
        <is>
          <t>XWNGSKS104048M0</t>
        </is>
      </c>
      <c r="D3929" s="5">
        <f>IF($I2="","",INDEX(Productos!$B:$B,$I2))</f>
        <v/>
      </c>
      <c r="E3929" s="5">
        <f>IF($I2="","",INDEX(Productos!$H:$H,$I2))</f>
        <v/>
      </c>
      <c r="F3929" s="5">
        <f>IF($I2="","",INDEX(Productos!$I:$I,$I2))</f>
        <v/>
      </c>
      <c r="G3929" s="135" t="n">
        <v>2</v>
      </c>
      <c r="H3929" s="5">
        <f>IF($I2="","",INDEX(Productos!$AG:$AG,$I2))</f>
        <v/>
      </c>
      <c r="I3929" s="136">
        <f>LET(_xlpm.r,Productos!$E$2:$E$2509,_xlpm.m,IFERROR(_xlfn.XMATCH(C3929,_xlpm.r),IFERROR(_xlfn.XMATCH(VALUE(C3929),_xlpm.r),0)),IF(_xlpm.m=0,"",_xlpm.m+1))</f>
        <v/>
      </c>
      <c r="J3929" s="137" t="inlineStr">
        <is>
          <t>Odoo</t>
        </is>
      </c>
    </row>
    <row r="3930">
      <c r="A3930" s="5" t="inlineStr">
        <is>
          <t>Odoo Universal Unique Brands › Bodega 25 › Bodega 25/General</t>
        </is>
      </c>
      <c r="B3930" s="5">
        <f>IF($I2="","",INDEX(Productos!$A:$A,$I2))</f>
        <v/>
      </c>
      <c r="C3930" s="134" t="inlineStr">
        <is>
          <t>XWNGSKS104074M0</t>
        </is>
      </c>
      <c r="D3930" s="5">
        <f>IF($I2="","",INDEX(Productos!$B:$B,$I2))</f>
        <v/>
      </c>
      <c r="E3930" s="5">
        <f>IF($I2="","",INDEX(Productos!$H:$H,$I2))</f>
        <v/>
      </c>
      <c r="F3930" s="5">
        <f>IF($I2="","",INDEX(Productos!$I:$I,$I2))</f>
        <v/>
      </c>
      <c r="G3930" s="135" t="n">
        <v>2</v>
      </c>
      <c r="H3930" s="5">
        <f>IF($I2="","",INDEX(Productos!$AG:$AG,$I2))</f>
        <v/>
      </c>
      <c r="I3930" s="136">
        <f>LET(_xlpm.r,Productos!$E$2:$E$2509,_xlpm.m,IFERROR(_xlfn.XMATCH(C3930,_xlpm.r),IFERROR(_xlfn.XMATCH(VALUE(C3930),_xlpm.r),0)),IF(_xlpm.m=0,"",_xlpm.m+1))</f>
        <v/>
      </c>
      <c r="J3930" s="137" t="inlineStr">
        <is>
          <t>Odoo</t>
        </is>
      </c>
    </row>
    <row r="3931">
      <c r="A3931" s="5" t="inlineStr">
        <is>
          <t>Odoo Universal Unique Brands › Bodega 25 › Bodega 25/General</t>
        </is>
      </c>
      <c r="B3931" s="5">
        <f>IF($I2="","",INDEX(Productos!$A:$A,$I2))</f>
        <v/>
      </c>
      <c r="C3931" s="134" t="inlineStr">
        <is>
          <t>XWNGSKS104074S0</t>
        </is>
      </c>
      <c r="D3931" s="5">
        <f>IF($I2="","",INDEX(Productos!$B:$B,$I2))</f>
        <v/>
      </c>
      <c r="E3931" s="5">
        <f>IF($I2="","",INDEX(Productos!$H:$H,$I2))</f>
        <v/>
      </c>
      <c r="F3931" s="5">
        <f>IF($I2="","",INDEX(Productos!$I:$I,$I2))</f>
        <v/>
      </c>
      <c r="G3931" s="135" t="n">
        <v>1</v>
      </c>
      <c r="H3931" s="5">
        <f>IF($I2="","",INDEX(Productos!$AG:$AG,$I2))</f>
        <v/>
      </c>
      <c r="I3931" s="136">
        <f>LET(_xlpm.r,Productos!$E$2:$E$2509,_xlpm.m,IFERROR(_xlfn.XMATCH(C3931,_xlpm.r),IFERROR(_xlfn.XMATCH(VALUE(C3931),_xlpm.r),0)),IF(_xlpm.m=0,"",_xlpm.m+1))</f>
        <v/>
      </c>
      <c r="J3931" s="137" t="inlineStr">
        <is>
          <t>Odoo</t>
        </is>
      </c>
    </row>
    <row r="3932">
      <c r="A3932" s="5" t="inlineStr">
        <is>
          <t>Odoo Universal Unique Brands › Bodega 25 › Bodega 25/General</t>
        </is>
      </c>
      <c r="B3932" s="5">
        <f>IF($I2="","",INDEX(Productos!$A:$A,$I2))</f>
        <v/>
      </c>
      <c r="C3932" s="134" t="inlineStr">
        <is>
          <t>XWNGSKS104078L0</t>
        </is>
      </c>
      <c r="D3932" s="5">
        <f>IF($I2="","",INDEX(Productos!$B:$B,$I2))</f>
        <v/>
      </c>
      <c r="E3932" s="5">
        <f>IF($I2="","",INDEX(Productos!$H:$H,$I2))</f>
        <v/>
      </c>
      <c r="F3932" s="5">
        <f>IF($I2="","",INDEX(Productos!$I:$I,$I2))</f>
        <v/>
      </c>
      <c r="G3932" s="135" t="n">
        <v>2</v>
      </c>
      <c r="H3932" s="5">
        <f>IF($I2="","",INDEX(Productos!$AG:$AG,$I2))</f>
        <v/>
      </c>
      <c r="I3932" s="136">
        <f>LET(_xlpm.r,Productos!$E$2:$E$2509,_xlpm.m,IFERROR(_xlfn.XMATCH(C3932,_xlpm.r),IFERROR(_xlfn.XMATCH(VALUE(C3932),_xlpm.r),0)),IF(_xlpm.m=0,"",_xlpm.m+1))</f>
        <v/>
      </c>
      <c r="J3932" s="137" t="inlineStr">
        <is>
          <t>Odoo</t>
        </is>
      </c>
    </row>
    <row r="3933">
      <c r="A3933" s="5" t="inlineStr">
        <is>
          <t>Odoo Universal Unique Brands › Bodega 25 › Bodega 25/General</t>
        </is>
      </c>
      <c r="B3933" s="5">
        <f>IF($I2="","",INDEX(Productos!$A:$A,$I2))</f>
        <v/>
      </c>
      <c r="C3933" s="134" t="inlineStr">
        <is>
          <t>XWNGSKS104078M0</t>
        </is>
      </c>
      <c r="D3933" s="5">
        <f>IF($I2="","",INDEX(Productos!$B:$B,$I2))</f>
        <v/>
      </c>
      <c r="E3933" s="5">
        <f>IF($I2="","",INDEX(Productos!$H:$H,$I2))</f>
        <v/>
      </c>
      <c r="F3933" s="5">
        <f>IF($I2="","",INDEX(Productos!$I:$I,$I2))</f>
        <v/>
      </c>
      <c r="G3933" s="135" t="n">
        <v>2</v>
      </c>
      <c r="H3933" s="5">
        <f>IF($I2="","",INDEX(Productos!$AG:$AG,$I2))</f>
        <v/>
      </c>
      <c r="I3933" s="136">
        <f>LET(_xlpm.r,Productos!$E$2:$E$2509,_xlpm.m,IFERROR(_xlfn.XMATCH(C3933,_xlpm.r),IFERROR(_xlfn.XMATCH(VALUE(C3933),_xlpm.r),0)),IF(_xlpm.m=0,"",_xlpm.m+1))</f>
        <v/>
      </c>
      <c r="J3933" s="137" t="inlineStr">
        <is>
          <t>Odoo</t>
        </is>
      </c>
    </row>
    <row r="3934">
      <c r="A3934" s="5" t="inlineStr">
        <is>
          <t>Odoo Universal Unique Brands › Bodega 25 › Bodega 25/General</t>
        </is>
      </c>
      <c r="B3934" s="5">
        <f>IF($I2="","",INDEX(Productos!$A:$A,$I2))</f>
        <v/>
      </c>
      <c r="C3934" s="134" t="inlineStr">
        <is>
          <t>XWNGSKS104078S0</t>
        </is>
      </c>
      <c r="D3934" s="5">
        <f>IF($I2="","",INDEX(Productos!$B:$B,$I2))</f>
        <v/>
      </c>
      <c r="E3934" s="5">
        <f>IF($I2="","",INDEX(Productos!$H:$H,$I2))</f>
        <v/>
      </c>
      <c r="F3934" s="5">
        <f>IF($I2="","",INDEX(Productos!$I:$I,$I2))</f>
        <v/>
      </c>
      <c r="G3934" s="135" t="n">
        <v>1</v>
      </c>
      <c r="H3934" s="5">
        <f>IF($I2="","",INDEX(Productos!$AG:$AG,$I2))</f>
        <v/>
      </c>
      <c r="I3934" s="136">
        <f>LET(_xlpm.r,Productos!$E$2:$E$2509,_xlpm.m,IFERROR(_xlfn.XMATCH(C3934,_xlpm.r),IFERROR(_xlfn.XMATCH(VALUE(C3934),_xlpm.r),0)),IF(_xlpm.m=0,"",_xlpm.m+1))</f>
        <v/>
      </c>
      <c r="J3934" s="137" t="inlineStr">
        <is>
          <t>Odoo</t>
        </is>
      </c>
    </row>
    <row r="3935">
      <c r="A3935" s="5" t="inlineStr">
        <is>
          <t>Odoo Universal Unique Brands › Bodega 25 › Bodega 25/General</t>
        </is>
      </c>
      <c r="B3935" s="5">
        <f>IF($I2="","",INDEX(Productos!$A:$A,$I2))</f>
        <v/>
      </c>
      <c r="C3935" s="134" t="inlineStr">
        <is>
          <t>XWNGSKS104078XL</t>
        </is>
      </c>
      <c r="D3935" s="5">
        <f>IF($I2="","",INDEX(Productos!$B:$B,$I2))</f>
        <v/>
      </c>
      <c r="E3935" s="5">
        <f>IF($I2="","",INDEX(Productos!$H:$H,$I2))</f>
        <v/>
      </c>
      <c r="F3935" s="5">
        <f>IF($I2="","",INDEX(Productos!$I:$I,$I2))</f>
        <v/>
      </c>
      <c r="G3935" s="135" t="n">
        <v>1</v>
      </c>
      <c r="H3935" s="5">
        <f>IF($I2="","",INDEX(Productos!$AG:$AG,$I2))</f>
        <v/>
      </c>
      <c r="I3935" s="136">
        <f>LET(_xlpm.r,Productos!$E$2:$E$2509,_xlpm.m,IFERROR(_xlfn.XMATCH(C3935,_xlpm.r),IFERROR(_xlfn.XMATCH(VALUE(C3935),_xlpm.r),0)),IF(_xlpm.m=0,"",_xlpm.m+1))</f>
        <v/>
      </c>
      <c r="J3935" s="137" t="inlineStr">
        <is>
          <t>Odoo</t>
        </is>
      </c>
    </row>
    <row r="3936">
      <c r="A3936" s="5" t="inlineStr">
        <is>
          <t>Odoo Universal Unique Brands › Stetson Americas › Stetson Americas/Stock</t>
        </is>
      </c>
      <c r="B3936" s="5">
        <f>IF($I2="","",INDEX(Productos!$A:$A,$I2))</f>
        <v/>
      </c>
      <c r="C3936" s="134" t="inlineStr">
        <is>
          <t>SFEPTN-4840MO71</t>
        </is>
      </c>
      <c r="D3936" s="5">
        <f>IF($I2="","",INDEX(Productos!$B:$B,$I2))</f>
        <v/>
      </c>
      <c r="E3936" s="5">
        <f>IF($I2="","",INDEX(Productos!$H:$H,$I2))</f>
        <v/>
      </c>
      <c r="F3936" s="5">
        <f>IF($I2="","",INDEX(Productos!$I:$I,$I2))</f>
        <v/>
      </c>
      <c r="G3936" s="135" t="n">
        <v>1</v>
      </c>
      <c r="H3936" s="5">
        <f>IF($I2="","",INDEX(Productos!$AG:$AG,$I2))</f>
        <v/>
      </c>
      <c r="I3936" s="136">
        <f>LET(_xlpm.r,Productos!$E$2:$E$2509,_xlpm.m,IFERROR(_xlfn.XMATCH(C3936,_xlpm.r),IFERROR(_xlfn.XMATCH(VALUE(C3936),_xlpm.r),0)),IF(_xlpm.m=0,"",_xlpm.m+1))</f>
        <v/>
      </c>
      <c r="J3936" s="137" t="inlineStr">
        <is>
          <t>Odoo</t>
        </is>
      </c>
    </row>
    <row r="3937">
      <c r="A3937" s="5" t="inlineStr">
        <is>
          <t>Odoo Universal Unique Brands › Stetson Americas › Stetson Americas/Stock</t>
        </is>
      </c>
      <c r="B3937" s="5">
        <f>IF($I2="","",INDEX(Productos!$A:$A,$I2))</f>
        <v/>
      </c>
      <c r="C3937" s="134" t="inlineStr">
        <is>
          <t>SFEPTN-4840MO72</t>
        </is>
      </c>
      <c r="D3937" s="5">
        <f>IF($I2="","",INDEX(Productos!$B:$B,$I2))</f>
        <v/>
      </c>
      <c r="E3937" s="5">
        <f>IF($I2="","",INDEX(Productos!$H:$H,$I2))</f>
        <v/>
      </c>
      <c r="F3937" s="5">
        <f>IF($I2="","",INDEX(Productos!$I:$I,$I2))</f>
        <v/>
      </c>
      <c r="G3937" s="135" t="n">
        <v>1</v>
      </c>
      <c r="H3937" s="5">
        <f>IF($I2="","",INDEX(Productos!$AG:$AG,$I2))</f>
        <v/>
      </c>
      <c r="I3937" s="136">
        <f>LET(_xlpm.r,Productos!$E$2:$E$2509,_xlpm.m,IFERROR(_xlfn.XMATCH(C3937,_xlpm.r),IFERROR(_xlfn.XMATCH(VALUE(C3937),_xlpm.r),0)),IF(_xlpm.m=0,"",_xlpm.m+1))</f>
        <v/>
      </c>
      <c r="J3937" s="137" t="inlineStr">
        <is>
          <t>Odoo</t>
        </is>
      </c>
    </row>
    <row r="3938">
      <c r="A3938" s="5" t="inlineStr">
        <is>
          <t>Odoo Universal Unique Brands › Stetson Americas › Stetson Americas/Stock</t>
        </is>
      </c>
      <c r="B3938" s="5">
        <f>IF($I2="","",INDEX(Productos!$A:$A,$I2))</f>
        <v/>
      </c>
      <c r="C3938" s="134" t="inlineStr">
        <is>
          <t>SFEPTN-4840MO73</t>
        </is>
      </c>
      <c r="D3938" s="5">
        <f>IF($I2="","",INDEX(Productos!$B:$B,$I2))</f>
        <v/>
      </c>
      <c r="E3938" s="5">
        <f>IF($I2="","",INDEX(Productos!$H:$H,$I2))</f>
        <v/>
      </c>
      <c r="F3938" s="5">
        <f>IF($I2="","",INDEX(Productos!$I:$I,$I2))</f>
        <v/>
      </c>
      <c r="G3938" s="135" t="n">
        <v>1</v>
      </c>
      <c r="H3938" s="5">
        <f>IF($I2="","",INDEX(Productos!$AG:$AG,$I2))</f>
        <v/>
      </c>
      <c r="I3938" s="136">
        <f>LET(_xlpm.r,Productos!$E$2:$E$2509,_xlpm.m,IFERROR(_xlfn.XMATCH(C3938,_xlpm.r),IFERROR(_xlfn.XMATCH(VALUE(C3938),_xlpm.r),0)),IF(_xlpm.m=0,"",_xlpm.m+1))</f>
        <v/>
      </c>
      <c r="J3938" s="137" t="inlineStr">
        <is>
          <t>Odoo</t>
        </is>
      </c>
    </row>
    <row r="3939">
      <c r="A3939" s="5" t="inlineStr">
        <is>
          <t>Odoo Universal Unique Brands › Stetson Americas › Stetson Americas/Stock</t>
        </is>
      </c>
      <c r="B3939" s="5">
        <f>IF($I2="","",INDEX(Productos!$A:$A,$I2))</f>
        <v/>
      </c>
      <c r="C3939" s="134" t="inlineStr">
        <is>
          <t>SFEPTN-4840MO74</t>
        </is>
      </c>
      <c r="D3939" s="5">
        <f>IF($I2="","",INDEX(Productos!$B:$B,$I2))</f>
        <v/>
      </c>
      <c r="E3939" s="5">
        <f>IF($I2="","",INDEX(Productos!$H:$H,$I2))</f>
        <v/>
      </c>
      <c r="F3939" s="5">
        <f>IF($I2="","",INDEX(Productos!$I:$I,$I2))</f>
        <v/>
      </c>
      <c r="G3939" s="135" t="n">
        <v>1</v>
      </c>
      <c r="H3939" s="5">
        <f>IF($I2="","",INDEX(Productos!$AG:$AG,$I2))</f>
        <v/>
      </c>
      <c r="I3939" s="136">
        <f>LET(_xlpm.r,Productos!$E$2:$E$2509,_xlpm.m,IFERROR(_xlfn.XMATCH(C3939,_xlpm.r),IFERROR(_xlfn.XMATCH(VALUE(C3939),_xlpm.r),0)),IF(_xlpm.m=0,"",_xlpm.m+1))</f>
        <v/>
      </c>
      <c r="J3939" s="137" t="inlineStr">
        <is>
          <t>Odoo</t>
        </is>
      </c>
    </row>
    <row r="3940">
      <c r="A3940" s="5" t="inlineStr">
        <is>
          <t>Odoo Universal Unique Brands › Stetson Americas › Stetson Americas/Stock</t>
        </is>
      </c>
      <c r="B3940" s="5">
        <f>IF($I2="","",INDEX(Productos!$A:$A,$I2))</f>
        <v/>
      </c>
      <c r="C3940" s="134" t="inlineStr">
        <is>
          <t>SFGUDL-48400775</t>
        </is>
      </c>
      <c r="D3940" s="5">
        <f>IF($I2="","",INDEX(Productos!$B:$B,$I2))</f>
        <v/>
      </c>
      <c r="E3940" s="5">
        <f>IF($I2="","",INDEX(Productos!$H:$H,$I2))</f>
        <v/>
      </c>
      <c r="F3940" s="5">
        <f>IF($I2="","",INDEX(Productos!$I:$I,$I2))</f>
        <v/>
      </c>
      <c r="G3940" s="135" t="n">
        <v>1</v>
      </c>
      <c r="H3940" s="5">
        <f>IF($I2="","",INDEX(Productos!$AG:$AG,$I2))</f>
        <v/>
      </c>
      <c r="I3940" s="136">
        <f>LET(_xlpm.r,Productos!$E$2:$E$2509,_xlpm.m,IFERROR(_xlfn.XMATCH(C3940,_xlpm.r),IFERROR(_xlfn.XMATCH(VALUE(C3940),_xlpm.r),0)),IF(_xlpm.m=0,"",_xlpm.m+1))</f>
        <v/>
      </c>
      <c r="J3940" s="137" t="inlineStr">
        <is>
          <t>Odoo</t>
        </is>
      </c>
    </row>
    <row r="3941">
      <c r="A3941" s="5" t="inlineStr">
        <is>
          <t>Odoo Universal Unique Brands › Stetson Americas › Stetson Americas/Stock</t>
        </is>
      </c>
      <c r="B3941" s="5">
        <f>IF($I2="","",INDEX(Productos!$A:$A,$I2))</f>
        <v/>
      </c>
      <c r="C3941" s="134" t="inlineStr">
        <is>
          <t>SFPALC-01406167</t>
        </is>
      </c>
      <c r="D3941" s="5">
        <f>IF($I2="","",INDEX(Productos!$B:$B,$I2))</f>
        <v/>
      </c>
      <c r="E3941" s="5">
        <f>IF($I2="","",INDEX(Productos!$H:$H,$I2))</f>
        <v/>
      </c>
      <c r="F3941" s="5">
        <f>IF($I2="","",INDEX(Productos!$I:$I,$I2))</f>
        <v/>
      </c>
      <c r="G3941" s="135" t="n">
        <v>1</v>
      </c>
      <c r="H3941" s="5">
        <f>IF($I2="","",INDEX(Productos!$AG:$AG,$I2))</f>
        <v/>
      </c>
      <c r="I3941" s="136">
        <f>LET(_xlpm.r,Productos!$E$2:$E$2509,_xlpm.m,IFERROR(_xlfn.XMATCH(C3941,_xlpm.r),IFERROR(_xlfn.XMATCH(VALUE(C3941),_xlpm.r),0)),IF(_xlpm.m=0,"",_xlpm.m+1))</f>
        <v/>
      </c>
      <c r="J3941" s="137" t="inlineStr">
        <is>
          <t>Odoo</t>
        </is>
      </c>
    </row>
    <row r="3942">
      <c r="A3942" s="5" t="inlineStr">
        <is>
          <t>Odoo Universal Unique Brands › Stetson Americas › Stetson Americas/Stock</t>
        </is>
      </c>
      <c r="B3942" s="5">
        <f>IF($I2="","",INDEX(Productos!$A:$A,$I2))</f>
        <v/>
      </c>
      <c r="C3942" s="134" t="inlineStr">
        <is>
          <t>SFPALC-01406171</t>
        </is>
      </c>
      <c r="D3942" s="5">
        <f>IF($I2="","",INDEX(Productos!$B:$B,$I2))</f>
        <v/>
      </c>
      <c r="E3942" s="5">
        <f>IF($I2="","",INDEX(Productos!$H:$H,$I2))</f>
        <v/>
      </c>
      <c r="F3942" s="5">
        <f>IF($I2="","",INDEX(Productos!$I:$I,$I2))</f>
        <v/>
      </c>
      <c r="G3942" s="135" t="n">
        <v>2</v>
      </c>
      <c r="H3942" s="5">
        <f>IF($I2="","",INDEX(Productos!$AG:$AG,$I2))</f>
        <v/>
      </c>
      <c r="I3942" s="136">
        <f>LET(_xlpm.r,Productos!$E$2:$E$2509,_xlpm.m,IFERROR(_xlfn.XMATCH(C3942,_xlpm.r),IFERROR(_xlfn.XMATCH(VALUE(C3942),_xlpm.r),0)),IF(_xlpm.m=0,"",_xlpm.m+1))</f>
        <v/>
      </c>
      <c r="J3942" s="137" t="inlineStr">
        <is>
          <t>Odoo</t>
        </is>
      </c>
    </row>
    <row r="3943">
      <c r="A3943" s="5" t="inlineStr">
        <is>
          <t>Odoo Universal Unique Brands › Stetson Americas › Stetson Americas/Stock</t>
        </is>
      </c>
      <c r="B3943" s="5">
        <f>IF($I2="","",INDEX(Productos!$A:$A,$I2))</f>
        <v/>
      </c>
      <c r="C3943" s="134" t="inlineStr">
        <is>
          <t>SFPALC-01406172</t>
        </is>
      </c>
      <c r="D3943" s="5">
        <f>IF($I2="","",INDEX(Productos!$B:$B,$I2))</f>
        <v/>
      </c>
      <c r="E3943" s="5">
        <f>IF($I2="","",INDEX(Productos!$H:$H,$I2))</f>
        <v/>
      </c>
      <c r="F3943" s="5">
        <f>IF($I2="","",INDEX(Productos!$I:$I,$I2))</f>
        <v/>
      </c>
      <c r="G3943" s="135" t="n">
        <v>2</v>
      </c>
      <c r="H3943" s="5">
        <f>IF($I2="","",INDEX(Productos!$AG:$AG,$I2))</f>
        <v/>
      </c>
      <c r="I3943" s="136">
        <f>LET(_xlpm.r,Productos!$E$2:$E$2509,_xlpm.m,IFERROR(_xlfn.XMATCH(C3943,_xlpm.r),IFERROR(_xlfn.XMATCH(VALUE(C3943),_xlpm.r),0)),IF(_xlpm.m=0,"",_xlpm.m+1))</f>
        <v/>
      </c>
      <c r="J3943" s="137" t="inlineStr">
        <is>
          <t>Odoo</t>
        </is>
      </c>
    </row>
    <row r="3944">
      <c r="A3944" s="5" t="inlineStr">
        <is>
          <t>Odoo Universal Unique Brands › Stetson Americas › Stetson Americas/Stock</t>
        </is>
      </c>
      <c r="B3944" s="5">
        <f>IF($I2="","",INDEX(Productos!$A:$A,$I2))</f>
        <v/>
      </c>
      <c r="C3944" s="134" t="inlineStr">
        <is>
          <t>SFPALC-01406174</t>
        </is>
      </c>
      <c r="D3944" s="5">
        <f>IF($I2="","",INDEX(Productos!$B:$B,$I2))</f>
        <v/>
      </c>
      <c r="E3944" s="5">
        <f>IF($I2="","",INDEX(Productos!$H:$H,$I2))</f>
        <v/>
      </c>
      <c r="F3944" s="5">
        <f>IF($I2="","",INDEX(Productos!$I:$I,$I2))</f>
        <v/>
      </c>
      <c r="G3944" s="135" t="n">
        <v>1</v>
      </c>
      <c r="H3944" s="5">
        <f>IF($I2="","",INDEX(Productos!$AG:$AG,$I2))</f>
        <v/>
      </c>
      <c r="I3944" s="136">
        <f>LET(_xlpm.r,Productos!$E$2:$E$2509,_xlpm.m,IFERROR(_xlfn.XMATCH(C3944,_xlpm.r),IFERROR(_xlfn.XMATCH(VALUE(C3944),_xlpm.r),0)),IF(_xlpm.m=0,"",_xlpm.m+1))</f>
        <v/>
      </c>
      <c r="J3944" s="137" t="inlineStr">
        <is>
          <t>Odoo</t>
        </is>
      </c>
    </row>
    <row r="3945">
      <c r="A3945" s="5" t="inlineStr">
        <is>
          <t>Odoo Universal Unique Brands › Stetson Americas › Stetson Americas/Stock</t>
        </is>
      </c>
      <c r="B3945" s="5">
        <f>IF($I2="","",INDEX(Productos!$A:$A,$I2))</f>
        <v/>
      </c>
      <c r="C3945" s="134" t="inlineStr">
        <is>
          <t>SFPRES-48406170</t>
        </is>
      </c>
      <c r="D3945" s="5">
        <f>IF($I2="","",INDEX(Productos!$B:$B,$I2))</f>
        <v/>
      </c>
      <c r="E3945" s="5">
        <f>IF($I2="","",INDEX(Productos!$H:$H,$I2))</f>
        <v/>
      </c>
      <c r="F3945" s="5">
        <f>IF($I2="","",INDEX(Productos!$I:$I,$I2))</f>
        <v/>
      </c>
      <c r="G3945" s="135" t="n">
        <v>1</v>
      </c>
      <c r="H3945" s="5">
        <f>IF($I2="","",INDEX(Productos!$AG:$AG,$I2))</f>
        <v/>
      </c>
      <c r="I3945" s="136">
        <f>LET(_xlpm.r,Productos!$E$2:$E$2509,_xlpm.m,IFERROR(_xlfn.XMATCH(C3945,_xlpm.r),IFERROR(_xlfn.XMATCH(VALUE(C3945),_xlpm.r),0)),IF(_xlpm.m=0,"",_xlpm.m+1))</f>
        <v/>
      </c>
      <c r="J3945" s="137" t="inlineStr">
        <is>
          <t>Odoo</t>
        </is>
      </c>
    </row>
    <row r="3946">
      <c r="A3946" s="5" t="inlineStr">
        <is>
          <t>Odoo Universal Unique Brands › Stetson Americas › Stetson Americas/Stock</t>
        </is>
      </c>
      <c r="B3946" s="5">
        <f>IF($I2="","",INDEX(Productos!$A:$A,$I2))</f>
        <v/>
      </c>
      <c r="C3946" s="134" t="inlineStr">
        <is>
          <t>SFPRES-48406171</t>
        </is>
      </c>
      <c r="D3946" s="5">
        <f>IF($I2="","",INDEX(Productos!$B:$B,$I2))</f>
        <v/>
      </c>
      <c r="E3946" s="5">
        <f>IF($I2="","",INDEX(Productos!$H:$H,$I2))</f>
        <v/>
      </c>
      <c r="F3946" s="5">
        <f>IF($I2="","",INDEX(Productos!$I:$I,$I2))</f>
        <v/>
      </c>
      <c r="G3946" s="135" t="n">
        <v>1</v>
      </c>
      <c r="H3946" s="5">
        <f>IF($I2="","",INDEX(Productos!$AG:$AG,$I2))</f>
        <v/>
      </c>
      <c r="I3946" s="136">
        <f>LET(_xlpm.r,Productos!$E$2:$E$2509,_xlpm.m,IFERROR(_xlfn.XMATCH(C3946,_xlpm.r),IFERROR(_xlfn.XMATCH(VALUE(C3946),_xlpm.r),0)),IF(_xlpm.m=0,"",_xlpm.m+1))</f>
        <v/>
      </c>
      <c r="J3946" s="137" t="inlineStr">
        <is>
          <t>Odoo</t>
        </is>
      </c>
    </row>
    <row r="3947">
      <c r="A3947" s="5" t="inlineStr">
        <is>
          <t>Odoo Universal Unique Brands › Stetson Americas › Stetson Americas/Stock</t>
        </is>
      </c>
      <c r="B3947" s="5">
        <f>IF($I2="","",INDEX(Productos!$A:$A,$I2))</f>
        <v/>
      </c>
      <c r="C3947" s="134" t="inlineStr">
        <is>
          <t>SFPRES-48406172</t>
        </is>
      </c>
      <c r="D3947" s="5">
        <f>IF($I2="","",INDEX(Productos!$B:$B,$I2))</f>
        <v/>
      </c>
      <c r="E3947" s="5">
        <f>IF($I2="","",INDEX(Productos!$H:$H,$I2))</f>
        <v/>
      </c>
      <c r="F3947" s="5">
        <f>IF($I2="","",INDEX(Productos!$I:$I,$I2))</f>
        <v/>
      </c>
      <c r="G3947" s="135" t="n">
        <v>1</v>
      </c>
      <c r="H3947" s="5">
        <f>IF($I2="","",INDEX(Productos!$AG:$AG,$I2))</f>
        <v/>
      </c>
      <c r="I3947" s="136">
        <f>LET(_xlpm.r,Productos!$E$2:$E$2509,_xlpm.m,IFERROR(_xlfn.XMATCH(C3947,_xlpm.r),IFERROR(_xlfn.XMATCH(VALUE(C3947),_xlpm.r),0)),IF(_xlpm.m=0,"",_xlpm.m+1))</f>
        <v/>
      </c>
      <c r="J3947" s="137" t="inlineStr">
        <is>
          <t>Odoo</t>
        </is>
      </c>
    </row>
    <row r="3948">
      <c r="A3948" s="5" t="inlineStr">
        <is>
          <t>Odoo Universal Unique Brands › Stetson Americas › Stetson Americas/Stock</t>
        </is>
      </c>
      <c r="B3948" s="5">
        <f>IF($I2="","",INDEX(Productos!$A:$A,$I2))</f>
        <v/>
      </c>
      <c r="C3948" s="134" t="inlineStr">
        <is>
          <t>SFPRES-48406173</t>
        </is>
      </c>
      <c r="D3948" s="5">
        <f>IF($I2="","",INDEX(Productos!$B:$B,$I2))</f>
        <v/>
      </c>
      <c r="E3948" s="5">
        <f>IF($I2="","",INDEX(Productos!$H:$H,$I2))</f>
        <v/>
      </c>
      <c r="F3948" s="5">
        <f>IF($I2="","",INDEX(Productos!$I:$I,$I2))</f>
        <v/>
      </c>
      <c r="G3948" s="135" t="n">
        <v>1</v>
      </c>
      <c r="H3948" s="5">
        <f>IF($I2="","",INDEX(Productos!$AG:$AG,$I2))</f>
        <v/>
      </c>
      <c r="I3948" s="136">
        <f>LET(_xlpm.r,Productos!$E$2:$E$2509,_xlpm.m,IFERROR(_xlfn.XMATCH(C3948,_xlpm.r),IFERROR(_xlfn.XMATCH(VALUE(C3948),_xlpm.r),0)),IF(_xlpm.m=0,"",_xlpm.m+1))</f>
        <v/>
      </c>
      <c r="J3948" s="137" t="inlineStr">
        <is>
          <t>Odoo</t>
        </is>
      </c>
    </row>
    <row r="3949">
      <c r="A3949" s="5" t="inlineStr">
        <is>
          <t>Odoo Universal Unique Brands › Stetson Americas › Stetson Americas/Stock</t>
        </is>
      </c>
      <c r="B3949" s="5">
        <f>IF($I2="","",INDEX(Productos!$A:$A,$I2))</f>
        <v/>
      </c>
      <c r="C3949" s="134" t="inlineStr">
        <is>
          <t>SFRNCH-01402270</t>
        </is>
      </c>
      <c r="D3949" s="5">
        <f>IF($I2="","",INDEX(Productos!$B:$B,$I2))</f>
        <v/>
      </c>
      <c r="E3949" s="5">
        <f>IF($I2="","",INDEX(Productos!$H:$H,$I2))</f>
        <v/>
      </c>
      <c r="F3949" s="5">
        <f>IF($I2="","",INDEX(Productos!$I:$I,$I2))</f>
        <v/>
      </c>
      <c r="G3949" s="135" t="n">
        <v>1</v>
      </c>
      <c r="H3949" s="5">
        <f>IF($I2="","",INDEX(Productos!$AG:$AG,$I2))</f>
        <v/>
      </c>
      <c r="I3949" s="136">
        <f>LET(_xlpm.r,Productos!$E$2:$E$2509,_xlpm.m,IFERROR(_xlfn.XMATCH(C3949,_xlpm.r),IFERROR(_xlfn.XMATCH(VALUE(C3949),_xlpm.r),0)),IF(_xlpm.m=0,"",_xlpm.m+1))</f>
        <v/>
      </c>
      <c r="J3949" s="137" t="inlineStr">
        <is>
          <t>Odoo</t>
        </is>
      </c>
    </row>
    <row r="3950">
      <c r="A3950" s="5" t="inlineStr">
        <is>
          <t>Odoo Universal Unique Brands › Stetson Americas › Stetson Americas/Stock</t>
        </is>
      </c>
      <c r="B3950" s="5">
        <f>IF($I2="","",INDEX(Productos!$A:$A,$I2))</f>
        <v/>
      </c>
      <c r="C3950" s="134" t="inlineStr">
        <is>
          <t>SFRNCH-01402273</t>
        </is>
      </c>
      <c r="D3950" s="5">
        <f>IF($I2="","",INDEX(Productos!$B:$B,$I2))</f>
        <v/>
      </c>
      <c r="E3950" s="5">
        <f>IF($I2="","",INDEX(Productos!$H:$H,$I2))</f>
        <v/>
      </c>
      <c r="F3950" s="5">
        <f>IF($I2="","",INDEX(Productos!$I:$I,$I2))</f>
        <v/>
      </c>
      <c r="G3950" s="135" t="n">
        <v>1</v>
      </c>
      <c r="H3950" s="5">
        <f>IF($I2="","",INDEX(Productos!$AG:$AG,$I2))</f>
        <v/>
      </c>
      <c r="I3950" s="136">
        <f>LET(_xlpm.r,Productos!$E$2:$E$2509,_xlpm.m,IFERROR(_xlfn.XMATCH(C3950,_xlpm.r),IFERROR(_xlfn.XMATCH(VALUE(C3950),_xlpm.r),0)),IF(_xlpm.m=0,"",_xlpm.m+1))</f>
        <v/>
      </c>
      <c r="J3950" s="137" t="inlineStr">
        <is>
          <t>Odoo</t>
        </is>
      </c>
    </row>
    <row r="3951">
      <c r="A3951" s="5" t="inlineStr">
        <is>
          <t>Odoo Universal Unique Brands › Stetson Americas › Stetson Americas/Stock</t>
        </is>
      </c>
      <c r="B3951" s="5">
        <f>IF($I2="","",INDEX(Productos!$A:$A,$I2))</f>
        <v/>
      </c>
      <c r="C3951" s="134" t="inlineStr">
        <is>
          <t>SFRNCH-01403570</t>
        </is>
      </c>
      <c r="D3951" s="5">
        <f>IF($I2="","",INDEX(Productos!$B:$B,$I2))</f>
        <v/>
      </c>
      <c r="E3951" s="5">
        <f>IF($I2="","",INDEX(Productos!$H:$H,$I2))</f>
        <v/>
      </c>
      <c r="F3951" s="5">
        <f>IF($I2="","",INDEX(Productos!$I:$I,$I2))</f>
        <v/>
      </c>
      <c r="G3951" s="135" t="n">
        <v>1</v>
      </c>
      <c r="H3951" s="5">
        <f>IF($I2="","",INDEX(Productos!$AG:$AG,$I2))</f>
        <v/>
      </c>
      <c r="I3951" s="136">
        <f>LET(_xlpm.r,Productos!$E$2:$E$2509,_xlpm.m,IFERROR(_xlfn.XMATCH(C3951,_xlpm.r),IFERROR(_xlfn.XMATCH(VALUE(C3951),_xlpm.r),0)),IF(_xlpm.m=0,"",_xlpm.m+1))</f>
        <v/>
      </c>
      <c r="J3951" s="137" t="inlineStr">
        <is>
          <t>Odoo</t>
        </is>
      </c>
    </row>
    <row r="3952">
      <c r="A3952" s="5" t="inlineStr">
        <is>
          <t>Odoo Universal Unique Brands › Stetson Americas › Stetson Americas/Stock</t>
        </is>
      </c>
      <c r="B3952" s="5">
        <f>IF($I2="","",INDEX(Productos!$A:$A,$I2))</f>
        <v/>
      </c>
      <c r="C3952" s="134" t="inlineStr">
        <is>
          <t>SFRNCH-01403571</t>
        </is>
      </c>
      <c r="D3952" s="5">
        <f>IF($I2="","",INDEX(Productos!$B:$B,$I2))</f>
        <v/>
      </c>
      <c r="E3952" s="5">
        <f>IF($I2="","",INDEX(Productos!$H:$H,$I2))</f>
        <v/>
      </c>
      <c r="F3952" s="5">
        <f>IF($I2="","",INDEX(Productos!$I:$I,$I2))</f>
        <v/>
      </c>
      <c r="G3952" s="135" t="n">
        <v>1</v>
      </c>
      <c r="H3952" s="5">
        <f>IF($I2="","",INDEX(Productos!$AG:$AG,$I2))</f>
        <v/>
      </c>
      <c r="I3952" s="136">
        <f>LET(_xlpm.r,Productos!$E$2:$E$2509,_xlpm.m,IFERROR(_xlfn.XMATCH(C3952,_xlpm.r),IFERROR(_xlfn.XMATCH(VALUE(C3952),_xlpm.r),0)),IF(_xlpm.m=0,"",_xlpm.m+1))</f>
        <v/>
      </c>
      <c r="J3952" s="137" t="inlineStr">
        <is>
          <t>Odoo</t>
        </is>
      </c>
    </row>
    <row r="3953">
      <c r="A3953" s="5" t="inlineStr">
        <is>
          <t>Odoo Universal Unique Brands › Stetson Americas › Stetson Americas/Stock</t>
        </is>
      </c>
      <c r="B3953" s="5">
        <f>IF($I2="","",INDEX(Productos!$A:$A,$I2))</f>
        <v/>
      </c>
      <c r="C3953" s="134" t="inlineStr">
        <is>
          <t>SFRNCH-01403572</t>
        </is>
      </c>
      <c r="D3953" s="5">
        <f>IF($I2="","",INDEX(Productos!$B:$B,$I2))</f>
        <v/>
      </c>
      <c r="E3953" s="5">
        <f>IF($I2="","",INDEX(Productos!$H:$H,$I2))</f>
        <v/>
      </c>
      <c r="F3953" s="5">
        <f>IF($I2="","",INDEX(Productos!$I:$I,$I2))</f>
        <v/>
      </c>
      <c r="G3953" s="135" t="n">
        <v>1</v>
      </c>
      <c r="H3953" s="5">
        <f>IF($I2="","",INDEX(Productos!$AG:$AG,$I2))</f>
        <v/>
      </c>
      <c r="I3953" s="136">
        <f>LET(_xlpm.r,Productos!$E$2:$E$2509,_xlpm.m,IFERROR(_xlfn.XMATCH(C3953,_xlpm.r),IFERROR(_xlfn.XMATCH(VALUE(C3953),_xlpm.r),0)),IF(_xlpm.m=0,"",_xlpm.m+1))</f>
        <v/>
      </c>
      <c r="J3953" s="137" t="inlineStr">
        <is>
          <t>Odoo</t>
        </is>
      </c>
    </row>
    <row r="3954">
      <c r="A3954" s="5" t="inlineStr">
        <is>
          <t>Odoo Universal Unique Brands › Stetson Americas › Stetson Americas/Stock</t>
        </is>
      </c>
      <c r="B3954" s="5">
        <f>IF($I2="","",INDEX(Productos!$A:$A,$I2))</f>
        <v/>
      </c>
      <c r="C3954" s="134" t="inlineStr">
        <is>
          <t>SFRNCH-01403573</t>
        </is>
      </c>
      <c r="D3954" s="5">
        <f>IF($I2="","",INDEX(Productos!$B:$B,$I2))</f>
        <v/>
      </c>
      <c r="E3954" s="5">
        <f>IF($I2="","",INDEX(Productos!$H:$H,$I2))</f>
        <v/>
      </c>
      <c r="F3954" s="5">
        <f>IF($I2="","",INDEX(Productos!$I:$I,$I2))</f>
        <v/>
      </c>
      <c r="G3954" s="135" t="n">
        <v>1</v>
      </c>
      <c r="H3954" s="5">
        <f>IF($I2="","",INDEX(Productos!$AG:$AG,$I2))</f>
        <v/>
      </c>
      <c r="I3954" s="136">
        <f>LET(_xlpm.r,Productos!$E$2:$E$2509,_xlpm.m,IFERROR(_xlfn.XMATCH(C3954,_xlpm.r),IFERROR(_xlfn.XMATCH(VALUE(C3954),_xlpm.r),0)),IF(_xlpm.m=0,"",_xlpm.m+1))</f>
        <v/>
      </c>
      <c r="J3954" s="137" t="inlineStr">
        <is>
          <t>Odoo</t>
        </is>
      </c>
    </row>
    <row r="3955">
      <c r="A3955" s="5" t="inlineStr">
        <is>
          <t>Odoo Universal Unique Brands › Stetson Americas › Stetson Americas/Stock</t>
        </is>
      </c>
      <c r="B3955" s="5">
        <f>IF($I2="","",INDEX(Productos!$A:$A,$I2))</f>
        <v/>
      </c>
      <c r="C3955" s="134" t="inlineStr">
        <is>
          <t>SSANGSN28408171</t>
        </is>
      </c>
      <c r="D3955" s="5">
        <f>IF($I2="","",INDEX(Productos!$B:$B,$I2))</f>
        <v/>
      </c>
      <c r="E3955" s="5">
        <f>IF($I2="","",INDEX(Productos!$H:$H,$I2))</f>
        <v/>
      </c>
      <c r="F3955" s="5">
        <f>IF($I2="","",INDEX(Productos!$I:$I,$I2))</f>
        <v/>
      </c>
      <c r="G3955" s="135" t="n">
        <v>1</v>
      </c>
      <c r="H3955" s="5">
        <f>IF($I2="","",INDEX(Productos!$AG:$AG,$I2))</f>
        <v/>
      </c>
      <c r="I3955" s="136">
        <f>LET(_xlpm.r,Productos!$E$2:$E$2509,_xlpm.m,IFERROR(_xlfn.XMATCH(C3955,_xlpm.r),IFERROR(_xlfn.XMATCH(VALUE(C3955),_xlpm.r),0)),IF(_xlpm.m=0,"",_xlpm.m+1))</f>
        <v/>
      </c>
      <c r="J3955" s="137" t="inlineStr">
        <is>
          <t>Odoo</t>
        </is>
      </c>
    </row>
    <row r="3956">
      <c r="A3956" s="5" t="inlineStr">
        <is>
          <t>Odoo Universal Unique Brands › Stetson Americas › Stetson Americas/Stock</t>
        </is>
      </c>
      <c r="B3956" s="5">
        <f>IF($I2="","",INDEX(Productos!$A:$A,$I2))</f>
        <v/>
      </c>
      <c r="C3956" s="134" t="inlineStr">
        <is>
          <t>SSANGSN28408172</t>
        </is>
      </c>
      <c r="D3956" s="5">
        <f>IF($I2="","",INDEX(Productos!$B:$B,$I2))</f>
        <v/>
      </c>
      <c r="E3956" s="5">
        <f>IF($I2="","",INDEX(Productos!$H:$H,$I2))</f>
        <v/>
      </c>
      <c r="F3956" s="5">
        <f>IF($I2="","",INDEX(Productos!$I:$I,$I2))</f>
        <v/>
      </c>
      <c r="G3956" s="135" t="n">
        <v>1</v>
      </c>
      <c r="H3956" s="5">
        <f>IF($I2="","",INDEX(Productos!$AG:$AG,$I2))</f>
        <v/>
      </c>
      <c r="I3956" s="136">
        <f>LET(_xlpm.r,Productos!$E$2:$E$2509,_xlpm.m,IFERROR(_xlfn.XMATCH(C3956,_xlpm.r),IFERROR(_xlfn.XMATCH(VALUE(C3956),_xlpm.r),0)),IF(_xlpm.m=0,"",_xlpm.m+1))</f>
        <v/>
      </c>
      <c r="J3956" s="137" t="inlineStr">
        <is>
          <t>Odoo</t>
        </is>
      </c>
    </row>
    <row r="3957">
      <c r="A3957" s="5" t="inlineStr">
        <is>
          <t>Odoo Universal Unique Brands › Stetson Americas › Stetson Americas/Stock</t>
        </is>
      </c>
      <c r="B3957" s="5">
        <f>IF($I2="","",INDEX(Productos!$A:$A,$I2))</f>
        <v/>
      </c>
      <c r="C3957" s="134" t="inlineStr">
        <is>
          <t>SSMDCM-66408173</t>
        </is>
      </c>
      <c r="D3957" s="5">
        <f>IF($I2="","",INDEX(Productos!$B:$B,$I2))</f>
        <v/>
      </c>
      <c r="E3957" s="5">
        <f>IF($I2="","",INDEX(Productos!$H:$H,$I2))</f>
        <v/>
      </c>
      <c r="F3957" s="5">
        <f>IF($I2="","",INDEX(Productos!$I:$I,$I2))</f>
        <v/>
      </c>
      <c r="G3957" s="135" t="n">
        <v>1</v>
      </c>
      <c r="H3957" s="5">
        <f>IF($I2="","",INDEX(Productos!$AG:$AG,$I2))</f>
        <v/>
      </c>
      <c r="I3957" s="136">
        <f>LET(_xlpm.r,Productos!$E$2:$E$2509,_xlpm.m,IFERROR(_xlfn.XMATCH(C3957,_xlpm.r),IFERROR(_xlfn.XMATCH(VALUE(C3957),_xlpm.r),0)),IF(_xlpm.m=0,"",_xlpm.m+1))</f>
        <v/>
      </c>
      <c r="J3957" s="137" t="inlineStr">
        <is>
          <t>Odoo</t>
        </is>
      </c>
    </row>
    <row r="3958">
      <c r="A3958" s="5" t="inlineStr">
        <is>
          <t>Odoo Universal Unique Brands › Stetson Americas › Stetson Americas/Stock</t>
        </is>
      </c>
      <c r="B3958" s="5">
        <f>IF($I2="","",INDEX(Productos!$A:$A,$I2))</f>
        <v/>
      </c>
      <c r="C3958" s="134" t="inlineStr">
        <is>
          <t>TSATCM-104061L0</t>
        </is>
      </c>
      <c r="D3958" s="5">
        <f>IF($I2="","",INDEX(Productos!$B:$B,$I2))</f>
        <v/>
      </c>
      <c r="E3958" s="5">
        <f>IF($I2="","",INDEX(Productos!$H:$H,$I2))</f>
        <v/>
      </c>
      <c r="F3958" s="5">
        <f>IF($I2="","",INDEX(Productos!$I:$I,$I2))</f>
        <v/>
      </c>
      <c r="G3958" s="135" t="n">
        <v>1</v>
      </c>
      <c r="H3958" s="5">
        <f>IF($I2="","",INDEX(Productos!$AG:$AG,$I2))</f>
        <v/>
      </c>
      <c r="I3958" s="136">
        <f>LET(_xlpm.r,Productos!$E$2:$E$2509,_xlpm.m,IFERROR(_xlfn.XMATCH(C3958,_xlpm.r),IFERROR(_xlfn.XMATCH(VALUE(C3958),_xlpm.r),0)),IF(_xlpm.m=0,"",_xlpm.m+1))</f>
        <v/>
      </c>
      <c r="J3958" s="137" t="inlineStr">
        <is>
          <t>Odoo</t>
        </is>
      </c>
    </row>
    <row r="3959">
      <c r="A3959" s="5" t="inlineStr">
        <is>
          <t>Odoo Universal Unique Brands › Stetson Americas › Stetson Americas/Stock</t>
        </is>
      </c>
      <c r="B3959" s="5">
        <f>IF($I2="","",INDEX(Productos!$A:$A,$I2))</f>
        <v/>
      </c>
      <c r="C3959" s="134" t="inlineStr">
        <is>
          <t>TSATCM-104061M0</t>
        </is>
      </c>
      <c r="D3959" s="5">
        <f>IF($I2="","",INDEX(Productos!$B:$B,$I2))</f>
        <v/>
      </c>
      <c r="E3959" s="5">
        <f>IF($I2="","",INDEX(Productos!$H:$H,$I2))</f>
        <v/>
      </c>
      <c r="F3959" s="5">
        <f>IF($I2="","",INDEX(Productos!$I:$I,$I2))</f>
        <v/>
      </c>
      <c r="G3959" s="135" t="n">
        <v>1</v>
      </c>
      <c r="H3959" s="5">
        <f>IF($I2="","",INDEX(Productos!$AG:$AG,$I2))</f>
        <v/>
      </c>
      <c r="I3959" s="136">
        <f>LET(_xlpm.r,Productos!$E$2:$E$2509,_xlpm.m,IFERROR(_xlfn.XMATCH(C3959,_xlpm.r),IFERROR(_xlfn.XMATCH(VALUE(C3959),_xlpm.r),0)),IF(_xlpm.m=0,"",_xlpm.m+1))</f>
        <v/>
      </c>
      <c r="J3959" s="137" t="inlineStr">
        <is>
          <t>Odoo</t>
        </is>
      </c>
    </row>
    <row r="3960">
      <c r="A3960" s="5" t="inlineStr">
        <is>
          <t>Odoo Universal Unique Brands › Stetson Americas › Stetson Americas/Stock</t>
        </is>
      </c>
      <c r="B3960" s="5">
        <f>IF($I2="","",INDEX(Productos!$A:$A,$I2))</f>
        <v/>
      </c>
      <c r="C3960" s="134" t="inlineStr">
        <is>
          <t>TSATCM-104061S0</t>
        </is>
      </c>
      <c r="D3960" s="5">
        <f>IF($I2="","",INDEX(Productos!$B:$B,$I2))</f>
        <v/>
      </c>
      <c r="E3960" s="5">
        <f>IF($I2="","",INDEX(Productos!$H:$H,$I2))</f>
        <v/>
      </c>
      <c r="F3960" s="5">
        <f>IF($I2="","",INDEX(Productos!$I:$I,$I2))</f>
        <v/>
      </c>
      <c r="G3960" s="135" t="n">
        <v>1</v>
      </c>
      <c r="H3960" s="5">
        <f>IF($I2="","",INDEX(Productos!$AG:$AG,$I2))</f>
        <v/>
      </c>
      <c r="I3960" s="136">
        <f>LET(_xlpm.r,Productos!$E$2:$E$2509,_xlpm.m,IFERROR(_xlfn.XMATCH(C3960,_xlpm.r),IFERROR(_xlfn.XMATCH(VALUE(C3960),_xlpm.r),0)),IF(_xlpm.m=0,"",_xlpm.m+1))</f>
        <v/>
      </c>
      <c r="J3960" s="137" t="inlineStr">
        <is>
          <t>Odoo</t>
        </is>
      </c>
    </row>
    <row r="3961">
      <c r="A3961" s="5" t="inlineStr">
        <is>
          <t>Odoo Universal Unique Brands › Stetson Americas › Stetson Americas/Stock</t>
        </is>
      </c>
      <c r="B3961" s="5">
        <f>IF($I2="","",INDEX(Productos!$A:$A,$I2))</f>
        <v/>
      </c>
      <c r="C3961" s="134" t="inlineStr">
        <is>
          <t>TSATCM-104061XL</t>
        </is>
      </c>
      <c r="D3961" s="5">
        <f>IF($I2="","",INDEX(Productos!$B:$B,$I2))</f>
        <v/>
      </c>
      <c r="E3961" s="5">
        <f>IF($I2="","",INDEX(Productos!$H:$H,$I2))</f>
        <v/>
      </c>
      <c r="F3961" s="5">
        <f>IF($I2="","",INDEX(Productos!$I:$I,$I2))</f>
        <v/>
      </c>
      <c r="G3961" s="135" t="n">
        <v>1</v>
      </c>
      <c r="H3961" s="5">
        <f>IF($I2="","",INDEX(Productos!$AG:$AG,$I2))</f>
        <v/>
      </c>
      <c r="I3961" s="136">
        <f>LET(_xlpm.r,Productos!$E$2:$E$2509,_xlpm.m,IFERROR(_xlfn.XMATCH(C3961,_xlpm.r),IFERROR(_xlfn.XMATCH(VALUE(C3961),_xlpm.r),0)),IF(_xlpm.m=0,"",_xlpm.m+1))</f>
        <v/>
      </c>
      <c r="J3961" s="137" t="inlineStr">
        <is>
          <t>Odoo</t>
        </is>
      </c>
    </row>
    <row r="3962">
      <c r="A3962" s="5" t="inlineStr">
        <is>
          <t>Odoo Universal Unique Brands › Stetson Americas › Stetson Americas/Stock</t>
        </is>
      </c>
      <c r="B3962" s="5">
        <f>IF($I2="","",INDEX(Productos!$A:$A,$I2))</f>
        <v/>
      </c>
      <c r="C3962" s="134" t="inlineStr">
        <is>
          <t>TSATCM-104081M0</t>
        </is>
      </c>
      <c r="D3962" s="5">
        <f>IF($I2="","",INDEX(Productos!$B:$B,$I2))</f>
        <v/>
      </c>
      <c r="E3962" s="5">
        <f>IF($I2="","",INDEX(Productos!$H:$H,$I2))</f>
        <v/>
      </c>
      <c r="F3962" s="5">
        <f>IF($I2="","",INDEX(Productos!$I:$I,$I2))</f>
        <v/>
      </c>
      <c r="G3962" s="135" t="n">
        <v>1</v>
      </c>
      <c r="H3962" s="5">
        <f>IF($I2="","",INDEX(Productos!$AG:$AG,$I2))</f>
        <v/>
      </c>
      <c r="I3962" s="136">
        <f>LET(_xlpm.r,Productos!$E$2:$E$2509,_xlpm.m,IFERROR(_xlfn.XMATCH(C3962,_xlpm.r),IFERROR(_xlfn.XMATCH(VALUE(C3962),_xlpm.r),0)),IF(_xlpm.m=0,"",_xlpm.m+1))</f>
        <v/>
      </c>
      <c r="J3962" s="137" t="inlineStr">
        <is>
          <t>Odoo</t>
        </is>
      </c>
    </row>
    <row r="3963">
      <c r="A3963" s="5" t="inlineStr">
        <is>
          <t>Odoo Universal Unique Brands › Stetson Americas › Stetson Americas/Stock</t>
        </is>
      </c>
      <c r="B3963" s="5">
        <f>IF($I2="","",INDEX(Productos!$A:$A,$I2))</f>
        <v/>
      </c>
      <c r="C3963" s="134" t="inlineStr">
        <is>
          <t>TSATCM-104081XL</t>
        </is>
      </c>
      <c r="D3963" s="5">
        <f>IF($I2="","",INDEX(Productos!$B:$B,$I2))</f>
        <v/>
      </c>
      <c r="E3963" s="5">
        <f>IF($I2="","",INDEX(Productos!$H:$H,$I2))</f>
        <v/>
      </c>
      <c r="F3963" s="5">
        <f>IF($I2="","",INDEX(Productos!$I:$I,$I2))</f>
        <v/>
      </c>
      <c r="G3963" s="135" t="n">
        <v>1</v>
      </c>
      <c r="H3963" s="5">
        <f>IF($I2="","",INDEX(Productos!$AG:$AG,$I2))</f>
        <v/>
      </c>
      <c r="I3963" s="136">
        <f>LET(_xlpm.r,Productos!$E$2:$E$2509,_xlpm.m,IFERROR(_xlfn.XMATCH(C3963,_xlpm.r),IFERROR(_xlfn.XMATCH(VALUE(C3963),_xlpm.r),0)),IF(_xlpm.m=0,"",_xlpm.m+1))</f>
        <v/>
      </c>
      <c r="J3963" s="137" t="inlineStr">
        <is>
          <t>Odoo</t>
        </is>
      </c>
    </row>
    <row r="3964">
      <c r="A3964" s="5" t="inlineStr">
        <is>
          <t>Odoo Universal Unique Brands › Stetson Americas › Stetson Americas/Stock</t>
        </is>
      </c>
      <c r="B3964" s="5">
        <f>IF($I2="","",INDEX(Productos!$A:$A,$I2))</f>
        <v/>
      </c>
      <c r="C3964" s="134" t="inlineStr">
        <is>
          <t>XWESWD-974048L0</t>
        </is>
      </c>
      <c r="D3964" s="5">
        <f>IF($I2="","",INDEX(Productos!$B:$B,$I2))</f>
        <v/>
      </c>
      <c r="E3964" s="5">
        <f>IF($I2="","",INDEX(Productos!$H:$H,$I2))</f>
        <v/>
      </c>
      <c r="F3964" s="5">
        <f>IF($I2="","",INDEX(Productos!$I:$I,$I2))</f>
        <v/>
      </c>
      <c r="G3964" s="135" t="n">
        <v>1</v>
      </c>
      <c r="H3964" s="5">
        <f>IF($I2="","",INDEX(Productos!$AG:$AG,$I2))</f>
        <v/>
      </c>
      <c r="I3964" s="136">
        <f>LET(_xlpm.r,Productos!$E$2:$E$2509,_xlpm.m,IFERROR(_xlfn.XMATCH(C3964,_xlpm.r),IFERROR(_xlfn.XMATCH(VALUE(C3964),_xlpm.r),0)),IF(_xlpm.m=0,"",_xlpm.m+1))</f>
        <v/>
      </c>
      <c r="J3964" s="137" t="inlineStr">
        <is>
          <t>Odoo</t>
        </is>
      </c>
    </row>
    <row r="3965">
      <c r="A3965" s="5" t="inlineStr">
        <is>
          <t>Odoo Universal Unique Brands › Stetson Americas › Stetson Americas/Stock</t>
        </is>
      </c>
      <c r="B3965" s="5">
        <f>IF($I2="","",INDEX(Productos!$A:$A,$I2))</f>
        <v/>
      </c>
      <c r="C3965" s="134" t="inlineStr">
        <is>
          <t>XWESWD-974048M0</t>
        </is>
      </c>
      <c r="D3965" s="5">
        <f>IF($I2="","",INDEX(Productos!$B:$B,$I2))</f>
        <v/>
      </c>
      <c r="E3965" s="5">
        <f>IF($I2="","",INDEX(Productos!$H:$H,$I2))</f>
        <v/>
      </c>
      <c r="F3965" s="5">
        <f>IF($I2="","",INDEX(Productos!$I:$I,$I2))</f>
        <v/>
      </c>
      <c r="G3965" s="135" t="n">
        <v>1</v>
      </c>
      <c r="H3965" s="5">
        <f>IF($I2="","",INDEX(Productos!$AG:$AG,$I2))</f>
        <v/>
      </c>
      <c r="I3965" s="136">
        <f>LET(_xlpm.r,Productos!$E$2:$E$2509,_xlpm.m,IFERROR(_xlfn.XMATCH(C3965,_xlpm.r),IFERROR(_xlfn.XMATCH(VALUE(C3965),_xlpm.r),0)),IF(_xlpm.m=0,"",_xlpm.m+1))</f>
        <v/>
      </c>
      <c r="J3965" s="137" t="inlineStr">
        <is>
          <t>Odoo</t>
        </is>
      </c>
    </row>
    <row r="3966">
      <c r="A3966" s="5" t="inlineStr">
        <is>
          <t>Odoo Universal Unique Brands › Stetson Americas › Stetson Americas/Stock</t>
        </is>
      </c>
      <c r="B3966" s="5">
        <f>IF($I2="","",INDEX(Productos!$A:$A,$I2))</f>
        <v/>
      </c>
      <c r="C3966" s="134" t="inlineStr">
        <is>
          <t>XWESWD-974048S0</t>
        </is>
      </c>
      <c r="D3966" s="5">
        <f>IF($I2="","",INDEX(Productos!$B:$B,$I2))</f>
        <v/>
      </c>
      <c r="E3966" s="5">
        <f>IF($I2="","",INDEX(Productos!$H:$H,$I2))</f>
        <v/>
      </c>
      <c r="F3966" s="5">
        <f>IF($I2="","",INDEX(Productos!$I:$I,$I2))</f>
        <v/>
      </c>
      <c r="G3966" s="135" t="n">
        <v>1</v>
      </c>
      <c r="H3966" s="5">
        <f>IF($I2="","",INDEX(Productos!$AG:$AG,$I2))</f>
        <v/>
      </c>
      <c r="I3966" s="136">
        <f>LET(_xlpm.r,Productos!$E$2:$E$2509,_xlpm.m,IFERROR(_xlfn.XMATCH(C3966,_xlpm.r),IFERROR(_xlfn.XMATCH(VALUE(C3966),_xlpm.r),0)),IF(_xlpm.m=0,"",_xlpm.m+1))</f>
        <v/>
      </c>
      <c r="J3966" s="137" t="inlineStr">
        <is>
          <t>Odoo</t>
        </is>
      </c>
    </row>
    <row r="3967">
      <c r="A3967" s="5" t="inlineStr">
        <is>
          <t>Odoo Universal Unique Brands › Stetson Americas › Stetson Americas/Stock</t>
        </is>
      </c>
      <c r="B3967" s="5">
        <f>IF($I2="","",INDEX(Productos!$A:$A,$I2))</f>
        <v/>
      </c>
      <c r="C3967" s="134" t="inlineStr">
        <is>
          <t>XWESWD-974048XL</t>
        </is>
      </c>
      <c r="D3967" s="5">
        <f>IF($I2="","",INDEX(Productos!$B:$B,$I2))</f>
        <v/>
      </c>
      <c r="E3967" s="5">
        <f>IF($I2="","",INDEX(Productos!$H:$H,$I2))</f>
        <v/>
      </c>
      <c r="F3967" s="5">
        <f>IF($I2="","",INDEX(Productos!$I:$I,$I2))</f>
        <v/>
      </c>
      <c r="G3967" s="135" t="n">
        <v>1</v>
      </c>
      <c r="H3967" s="5">
        <f>IF($I2="","",INDEX(Productos!$AG:$AG,$I2))</f>
        <v/>
      </c>
      <c r="I3967" s="136">
        <f>LET(_xlpm.r,Productos!$E$2:$E$2509,_xlpm.m,IFERROR(_xlfn.XMATCH(C3967,_xlpm.r),IFERROR(_xlfn.XMATCH(VALUE(C3967),_xlpm.r),0)),IF(_xlpm.m=0,"",_xlpm.m+1))</f>
        <v/>
      </c>
      <c r="J3967" s="137" t="inlineStr">
        <is>
          <t>Odoo</t>
        </is>
      </c>
    </row>
    <row r="3968">
      <c r="A3968" s="5" t="inlineStr">
        <is>
          <t>Odoo Universal Unique Brands › Stetson Americas › Stetson Americas/Stock</t>
        </is>
      </c>
      <c r="B3968" s="5">
        <f>IF($I2="","",INDEX(Productos!$A:$A,$I2))</f>
        <v/>
      </c>
      <c r="C3968" s="134" t="inlineStr">
        <is>
          <t>XWESWD-974074L0</t>
        </is>
      </c>
      <c r="D3968" s="5">
        <f>IF($I2="","",INDEX(Productos!$B:$B,$I2))</f>
        <v/>
      </c>
      <c r="E3968" s="5">
        <f>IF($I2="","",INDEX(Productos!$H:$H,$I2))</f>
        <v/>
      </c>
      <c r="F3968" s="5">
        <f>IF($I2="","",INDEX(Productos!$I:$I,$I2))</f>
        <v/>
      </c>
      <c r="G3968" s="135" t="n">
        <v>1</v>
      </c>
      <c r="H3968" s="5">
        <f>IF($I2="","",INDEX(Productos!$AG:$AG,$I2))</f>
        <v/>
      </c>
      <c r="I3968" s="136">
        <f>LET(_xlpm.r,Productos!$E$2:$E$2509,_xlpm.m,IFERROR(_xlfn.XMATCH(C3968,_xlpm.r),IFERROR(_xlfn.XMATCH(VALUE(C3968),_xlpm.r),0)),IF(_xlpm.m=0,"",_xlpm.m+1))</f>
        <v/>
      </c>
      <c r="J3968" s="137" t="inlineStr">
        <is>
          <t>Odoo</t>
        </is>
      </c>
    </row>
    <row r="3969">
      <c r="A3969" s="5" t="inlineStr">
        <is>
          <t>Odoo Universal Unique Brands › Stetson Americas › Stetson Americas/Stock</t>
        </is>
      </c>
      <c r="B3969" s="5">
        <f>IF($I2="","",INDEX(Productos!$A:$A,$I2))</f>
        <v/>
      </c>
      <c r="C3969" s="134" t="inlineStr">
        <is>
          <t>XWESWD-974074M0</t>
        </is>
      </c>
      <c r="D3969" s="5">
        <f>IF($I2="","",INDEX(Productos!$B:$B,$I2))</f>
        <v/>
      </c>
      <c r="E3969" s="5">
        <f>IF($I2="","",INDEX(Productos!$H:$H,$I2))</f>
        <v/>
      </c>
      <c r="F3969" s="5">
        <f>IF($I2="","",INDEX(Productos!$I:$I,$I2))</f>
        <v/>
      </c>
      <c r="G3969" s="135" t="n">
        <v>1</v>
      </c>
      <c r="H3969" s="5">
        <f>IF($I2="","",INDEX(Productos!$AG:$AG,$I2))</f>
        <v/>
      </c>
      <c r="I3969" s="136">
        <f>LET(_xlpm.r,Productos!$E$2:$E$2509,_xlpm.m,IFERROR(_xlfn.XMATCH(C3969,_xlpm.r),IFERROR(_xlfn.XMATCH(VALUE(C3969),_xlpm.r),0)),IF(_xlpm.m=0,"",_xlpm.m+1))</f>
        <v/>
      </c>
      <c r="J3969" s="137" t="inlineStr">
        <is>
          <t>Odoo</t>
        </is>
      </c>
    </row>
    <row r="3970">
      <c r="A3970" s="5" t="inlineStr">
        <is>
          <t>Odoo Universal Unique Brands › Stetson Americas › Stetson Americas/Stock</t>
        </is>
      </c>
      <c r="B3970" s="5">
        <f>IF($I2="","",INDEX(Productos!$A:$A,$I2))</f>
        <v/>
      </c>
      <c r="C3970" s="134" t="inlineStr">
        <is>
          <t>XWESWD-974074S0</t>
        </is>
      </c>
      <c r="D3970" s="5">
        <f>IF($I2="","",INDEX(Productos!$B:$B,$I2))</f>
        <v/>
      </c>
      <c r="E3970" s="5">
        <f>IF($I2="","",INDEX(Productos!$H:$H,$I2))</f>
        <v/>
      </c>
      <c r="F3970" s="5">
        <f>IF($I2="","",INDEX(Productos!$I:$I,$I2))</f>
        <v/>
      </c>
      <c r="G3970" s="135" t="n">
        <v>1</v>
      </c>
      <c r="H3970" s="5">
        <f>IF($I2="","",INDEX(Productos!$AG:$AG,$I2))</f>
        <v/>
      </c>
      <c r="I3970" s="136">
        <f>LET(_xlpm.r,Productos!$E$2:$E$2509,_xlpm.m,IFERROR(_xlfn.XMATCH(C3970,_xlpm.r),IFERROR(_xlfn.XMATCH(VALUE(C3970),_xlpm.r),0)),IF(_xlpm.m=0,"",_xlpm.m+1))</f>
        <v/>
      </c>
      <c r="J3970" s="137" t="inlineStr">
        <is>
          <t>Odoo</t>
        </is>
      </c>
    </row>
    <row r="3971">
      <c r="A3971" s="5" t="inlineStr">
        <is>
          <t>Odoo Universal Unique Brands › Stetson Americas › Stetson Americas/Stock</t>
        </is>
      </c>
      <c r="B3971" s="5">
        <f>IF($I2="","",INDEX(Productos!$A:$A,$I2))</f>
        <v/>
      </c>
      <c r="C3971" s="134" t="inlineStr">
        <is>
          <t>XWESWD-974074XL</t>
        </is>
      </c>
      <c r="D3971" s="5">
        <f>IF($I2="","",INDEX(Productos!$B:$B,$I2))</f>
        <v/>
      </c>
      <c r="E3971" s="5">
        <f>IF($I2="","",INDEX(Productos!$H:$H,$I2))</f>
        <v/>
      </c>
      <c r="F3971" s="5">
        <f>IF($I2="","",INDEX(Productos!$I:$I,$I2))</f>
        <v/>
      </c>
      <c r="G3971" s="135" t="n">
        <v>1</v>
      </c>
      <c r="H3971" s="5">
        <f>IF($I2="","",INDEX(Productos!$AG:$AG,$I2))</f>
        <v/>
      </c>
      <c r="I3971" s="136">
        <f>LET(_xlpm.r,Productos!$E$2:$E$2509,_xlpm.m,IFERROR(_xlfn.XMATCH(C3971,_xlpm.r),IFERROR(_xlfn.XMATCH(VALUE(C3971),_xlpm.r),0)),IF(_xlpm.m=0,"",_xlpm.m+1))</f>
        <v/>
      </c>
      <c r="J3971" s="137" t="inlineStr">
        <is>
          <t>Odoo</t>
        </is>
      </c>
    </row>
  </sheetData>
  <autoFilter ref="A1:J3971"/>
  <pageMargins left="0.7" right="0.7" top="0.75" bottom="0.75" header="0" footer="0"/>
  <pageSetup orientation="landscape"/>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6"/>
  <sheetViews>
    <sheetView workbookViewId="0">
      <pane ySplit="5" topLeftCell="A6" activePane="bottomLeft" state="frozen"/>
      <selection pane="bottomLeft" activeCell="B7" sqref="B7"/>
    </sheetView>
  </sheetViews>
  <sheetFormatPr baseColWidth="8" defaultColWidth="12.63" defaultRowHeight="15" customHeight="1"/>
  <cols>
    <col width="42.5" customWidth="1" style="176" min="1" max="1"/>
    <col width="27.75" customWidth="1" style="176" min="2" max="2"/>
    <col width="20.38" customWidth="1" style="176" min="3" max="3"/>
    <col width="31.5" customWidth="1" style="176" min="4" max="4"/>
    <col width="14.75" customWidth="1" style="176" min="5" max="5"/>
    <col width="20.38" customWidth="1" style="176" min="6" max="6"/>
    <col width="59.25" customWidth="1" style="176" min="7" max="7"/>
    <col width="16.63" customWidth="1" style="176" min="8" max="9"/>
  </cols>
  <sheetData>
    <row r="1" ht="12.75" customHeight="1" s="176">
      <c r="A1" s="140" t="inlineStr">
        <is>
          <t>Bodega 25 — Existencias en almacén</t>
        </is>
      </c>
    </row>
    <row r="2" ht="12.75" customHeight="1" s="176">
      <c r="A2" s="141" t="inlineStr">
        <is>
          <t>Racks físicos y ubicaciones asignadas a Bodega 25 en Criterios › 9 (columna K), más cualquier ubicación con «B25» o «Bodega 25» en el nombre (NetSuite y Odoo). Racks físicos = piezas contadas en Escaneos. Solo piezas &gt; 0.</t>
        </is>
      </c>
    </row>
    <row r="3" ht="12.75" customHeight="1" s="176">
      <c r="A3" s="142" t="inlineStr">
        <is>
          <t>Bodega:</t>
        </is>
      </c>
      <c r="B3" s="143" t="inlineStr">
        <is>
          <t>Bodega 25</t>
        </is>
      </c>
      <c r="D3" s="142" t="inlineStr">
        <is>
          <t>Piezas totales:</t>
        </is>
      </c>
      <c r="E3" s="144">
        <f>IF(ISNUMBER(I6),SUM(I6:I4477),0)</f>
        <v/>
      </c>
      <c r="F3" s="145" t="inlineStr">
        <is>
          <t>Renglones:</t>
        </is>
      </c>
      <c r="G3" s="144">
        <f>IF(ISNUMBER(I6),COUNT(I6:I4477),0)</f>
        <v/>
      </c>
    </row>
    <row r="4" ht="12.75" customHeight="1" s="176"/>
    <row r="5" ht="12.75" customHeight="1" s="176">
      <c r="A5" s="146" t="inlineStr">
        <is>
          <t>Ubicación</t>
        </is>
      </c>
      <c r="B5" s="146" t="inlineStr">
        <is>
          <t>Sistema / Tipo</t>
        </is>
      </c>
      <c r="C5" s="146" t="inlineStr">
        <is>
          <t>UPC</t>
        </is>
      </c>
      <c r="D5" s="146" t="inlineStr">
        <is>
          <t>SKU</t>
        </is>
      </c>
      <c r="E5" s="146" t="inlineStr">
        <is>
          <t>Id_Interno</t>
        </is>
      </c>
      <c r="F5" s="146" t="inlineStr">
        <is>
          <t>Marca</t>
        </is>
      </c>
      <c r="G5" s="146" t="inlineStr">
        <is>
          <t>Descripción</t>
        </is>
      </c>
      <c r="H5" s="146" t="inlineStr">
        <is>
          <t>Talla</t>
        </is>
      </c>
      <c r="I5" s="146" t="inlineStr">
        <is>
          <t>Piezas en almacén</t>
        </is>
      </c>
    </row>
    <row r="6">
      <c r="A6">
        <f>IFERROR(__xludf.DUMMYFUNCTION("ARRAYFORMULA(LET(bod,$B$3,cu,Criterios!$G$6:$G$200,ct,Criterios!$H$6:$H$200,cb,Criterios!$K$6:$K$200,asig,LAMBDA(u,LET(x,XLOOKUP(u,cu,cb,"""")&amp;"""",IF(x&lt;&gt;"""",x,IF((ISNUMBER(SEARCH(""Bodega 25"",u))+ISNUMBER(SEARCH(""B25 "",u&amp;"" "")))&gt;0,""Bodega 25"",IF(I"&amp;"SNUMBER(SEARCH(""G1522"",u)),""Bodega 43"",""""))))),pE,Productos!$E$2:$E$2509,pA,Productos!$A$2:$A$2509&amp;"""",s,'Stock por Ubicación'!$A$2:$J$3971,su,INDEX(s,0,1),sq,INDEX(s,0,7),sp,INDEX(s,0,9),selSis,(su&lt;&gt;"""")*ISNUMBER(sq)*(sq&gt;0)*(asig(su)=bod)*ISNUMB"&amp;"ER(sp)*(sp&gt;=2)*(sp&lt;=ROWS(pE)+1)*(INDEX(s,0,5)&lt;&gt;"""")&gt;0,a,IFERROR(FILTER(CHOOSECOLS(s,1,10,2,3,4,5,6,7),selSis),""""),tu,Table_2[Ubicación / Rack],ts,Table_2[SKU]&amp;"""",tupc,Table_2[UPC CODE]&amp;"""",tp,Table_2[Piezas Contadas],canon_sku,IF(ISNUMBER(SEARCH(""-"&amp;"2XL"",ts)),SUBSTITUTE(ts,""-2XL"",""-XXL""),IF(ISNUMBER(SEARCH(""-3XL"",ts)),SUBSTITUTE(ts,""-3XL"",""-XXXL""),IF(ts="""",XLOOKUP(tupc,pA,pE,""""),ts))),selRack,(tu&lt;&gt;"""")*(canon_sku&lt;&gt;"""")*((XLOOKUP(tu,cu,ct,"""")&amp;"""")=""Rack físico"")*(asig(tu)=bod)*IS"&amp;"NUMBER(XMATCH(canon_sku,pE))&gt;0,pr,IFERROR(UNIQUE(FILTER(HSTACK(tu,canon_sku),selRack)),""""),b,IF(INDEX(pr,1,1)="""","""",LET(ru,INDEX(pr,0,1),sk,INDEX(pr,0,2),pz,MAP(ru,sk,LAMBDA(r_u,s_k,LET(sk_alt,SUBSTITUTE(s_k,""-XXL"",""-2XL""),sk_upc,XLOOKUP(s_k,pE,"&amp;"pA,""""),SUMIFS(tp,tu,r_u,ts,s_k)+IF(sk_alt&lt;&gt;s_k,SUMIFS(tp,tu,r_u,ts,sk_alt),0)+IF(sk_upc&lt;&gt;"""",SUMIFS(tp,tu,r_u,tupc,sk_upc,ts,""""),0)))),rw,HSTACK(ru,IF(pz=pz,""Rack físico (escaneo)""),XLOOKUP(sk,pE,Productos!$A$2:$A$2509,""""),sk,XLOOKUP(sk,pE,Produc"&amp;"tos!$B$2:$B$2502,""""),XLOOKUP(sk,pE,Productos!$H$2:$H$2509,""""),XLOOKUP(sk,pE,Productos!$I$2:$I$2509,""""),pz),IFERROR(FILTER(rw,pz&gt;0),""""))),todo,IF(INDEX(a,1,1)="""",b,IF(INDEX(b,1,1)="""",a,VSTACK(a,b))),IF(INDEX(todo,1,1)="""",""Sin existencias en "&amp;"esta bodega"",LET(tl,XLOOKUP(INDEX(todo,0,4),pE,Productos!$F$2:$F$2509,"""")&amp;"""",o,HSTACK(CHOOSECOLS(todo,1,2,3,4,5,6,7),tl,CHOOSECOLS(todo,8)),x,SORT(o,1,TRUE,4,TRUE),IF(x="""","""",x)))))"),"B25 CEDIS")</f>
        <v/>
      </c>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I6"/>
  <sheetViews>
    <sheetView workbookViewId="0">
      <pane ySplit="5" topLeftCell="A6" activePane="bottomLeft" state="frozen"/>
      <selection pane="bottomLeft" activeCell="B7" sqref="B7"/>
    </sheetView>
  </sheetViews>
  <sheetFormatPr baseColWidth="8" defaultColWidth="12.63" defaultRowHeight="15" customHeight="1"/>
  <cols>
    <col width="42.5" customWidth="1" style="176" min="1" max="1"/>
    <col width="27.75" customWidth="1" style="176" min="2" max="2"/>
    <col width="20.38" customWidth="1" style="176" min="3" max="3"/>
    <col width="31.5" customWidth="1" style="176" min="4" max="4"/>
    <col width="14.75" customWidth="1" style="176" min="5" max="5"/>
    <col width="20.38" customWidth="1" style="176" min="6" max="6"/>
    <col width="59.25" customWidth="1" style="176" min="7" max="7"/>
    <col width="16.63" customWidth="1" style="176" min="8" max="9"/>
    <col width="10.63" customWidth="1" style="176" min="10" max="26"/>
  </cols>
  <sheetData>
    <row r="1" ht="12.75" customHeight="1" s="176">
      <c r="A1" s="140" t="inlineStr">
        <is>
          <t>Bodega 43 — Existencias en almacén</t>
        </is>
      </c>
    </row>
    <row r="2" ht="12.75" customHeight="1" s="176">
      <c r="A2" s="141" t="inlineStr">
        <is>
          <t>Ubicaciones asignadas a Bodega 43 en Criterios › 9 (columna K), más cualquier ubicación con «G1522» en el nombre. Los racks físicos asignados a Bodega 43 aparecen aquí con sus piezas contadas en Escaneos. Solo piezas &gt; 0.</t>
        </is>
      </c>
    </row>
    <row r="3" ht="12.75" customHeight="1" s="176">
      <c r="A3" s="142" t="inlineStr">
        <is>
          <t>Bodega:</t>
        </is>
      </c>
      <c r="B3" s="143" t="inlineStr">
        <is>
          <t>Bodega 43</t>
        </is>
      </c>
      <c r="D3" s="142" t="inlineStr">
        <is>
          <t>Piezas totales:</t>
        </is>
      </c>
      <c r="E3" s="144">
        <f>IF(ISNUMBER(I6),SUM(I6:I4477),0)</f>
        <v/>
      </c>
      <c r="F3" s="145" t="inlineStr">
        <is>
          <t>Renglones:</t>
        </is>
      </c>
      <c r="G3" s="144">
        <f>IF(ISNUMBER(I6),COUNT(I6:I4477),0)</f>
        <v/>
      </c>
    </row>
    <row r="4" ht="12.75" customHeight="1" s="176"/>
    <row r="5" ht="12.75" customHeight="1" s="176">
      <c r="A5" s="146" t="inlineStr">
        <is>
          <t>Ubicación</t>
        </is>
      </c>
      <c r="B5" s="146" t="inlineStr">
        <is>
          <t>Sistema / Tipo</t>
        </is>
      </c>
      <c r="C5" s="146" t="inlineStr">
        <is>
          <t>UPC</t>
        </is>
      </c>
      <c r="D5" s="146" t="inlineStr">
        <is>
          <t>SKU</t>
        </is>
      </c>
      <c r="E5" s="146" t="inlineStr">
        <is>
          <t>Id_Interno</t>
        </is>
      </c>
      <c r="F5" s="146" t="inlineStr">
        <is>
          <t>Marca</t>
        </is>
      </c>
      <c r="G5" s="146" t="inlineStr">
        <is>
          <t>Descripción</t>
        </is>
      </c>
      <c r="H5" s="146" t="inlineStr">
        <is>
          <t>Talla</t>
        </is>
      </c>
      <c r="I5" s="146" t="inlineStr">
        <is>
          <t>Piezas en almacén</t>
        </is>
      </c>
    </row>
    <row r="6">
      <c r="A6">
        <f>IFERROR(__xludf.DUMMYFUNCTION("ARRAYFORMULA(LET(bod,$B$3,cu,Criterios!$G$6:$G$200,ct,Criterios!$H$6:$H$200,cb,Criterios!$K$6:$K$200,asig,LAMBDA(u,LET(x,XLOOKUP(u,cu,cb,"""")&amp;"""",IF(x&lt;&gt;"""",x,IF((ISNUMBER(SEARCH(""Bodega 25"",u))+ISNUMBER(SEARCH(""B25 "",u&amp;"" "")))&gt;0,""Bodega 25"",IF(I"&amp;"SNUMBER(SEARCH(""G1522"",u)),""Bodega 43"",""""))))),pE,Productos!$E$2:$E$2509,s,'Stock por Ubicación'!$A$2:$J$3971,su,INDEX(s,0,1),sq,INDEX(s,0,7),selSis,(su&lt;&gt;"""")*ISNUMBER(sq)*(sq&gt;0)*(asig(su)=bod)&gt;0,a,IFERROR(FILTER(CHOOSECOLS(s,1,10,2,3,4,5,6,7),sel"&amp;"Sis),""""),tu,Table_2[Ubicación / Rack],ts,Table_2[SKU],tp,Table_2[Piezas Contadas],selRack,(tu&lt;&gt;"""")*(ts&lt;&gt;"""")*((XLOOKUP(tu,cu,ct,"""")&amp;"""")=""Rack físico"")*(asig(tu)=bod)*ISNUMBER(XMATCH(ts,pE))&gt;0,pr,IFERROR(UNIQUE(FILTER(HSTACK(tu,ts),selRack)),"""&amp;"""),b,IF(INDEX(pr,1,1)="""","""",LET(ru,INDEX(pr,0,1),sk,INDEX(pr,0,2),pz,MAP(ru,sk,LAMBDA(r_u,s_k,SUMIFS(tp,tu,r_u,ts,s_k))),rw,HSTACK(ru,IF(pz=pz,""Rack físico (escaneo)""),XLOOKUP(sk,pE,Productos!$A$2:$A$2509,""""),sk,XLOOKUP(sk,pE,Productos!$B$2:$B$2509"&amp;"02,""""),XLOOKUP(sk,pE,Productos!$H$2:$H$2509,""""),XLOOKUP(sk,pE,Productos!$I$2:$I$2509,""""),pz),IFERROR(FILTER(rw,pz&gt;0),""""))),todo,IF(INDEX(a,1,1)="""",b,IF(INDEX(b,1,1)="""",a,VSTACK(a,b))),IF(INDEX(todo,1,1)="""",""Sin existencias en esta bodega"","&amp;"LET(sku_col,INDEX(todo,0,4)&amp;"""",marca_col,INDEX(todo,0,6)&amp;"""",marca_final,IF(marca_col&lt;&gt;"""",marca_col,IF(OR(LEFT(sku_col,3)=""100"",LEFT(sku_col,2)=""AR"",LEFT(sku_col,1)=""A""),""Ariat"",IF(OR(LEFT(sku_col,2)=""CL"",LEFT(sku_col,3)=""CAP""),""CAPSLAB"&amp;""",IF(LEFT(sku_col,2)=""HS"",""Happy Socks"",IF(OR(LEFT(sku_col,3)=""11-"",LEFT(sku_col,3)=""12-"",LEFT(sku_col,3)=""ST-"",LEFT(sku_col,3)=""SF-""),""Stetson"",IF(OR(LEFT(sku_col,2)=""MW"",LEFT(sku_col,2)=""WG""),""Western Brothers"",IF(LEFT(sku_col,3)="""&amp;"C47"",""Wrangler"",""Ariat""))))))),p_talla,XLOOKUP(sku_col,pE,Productos!$F$2:$F$2509,"""")&amp;"""",raw_talla,IFERROR(REGEXEXTRACT(sku_col,""[^-]+$""),""""),talla_final,IF(p_talla&lt;&gt;"""",p_talla,IF(raw_talla=""MEDR"",""M"",IF(raw_talla=""LGR"",""L"",IF(raw_ta"&amp;"lla=""SMLR"",""S"",IF(raw_talla=""XLR"",""XL"",IF(raw_talla=""XSR"",""XS"",IF(raw_talla=""XXLR"",""XXL"",IF(raw_talla=""2XL"",""XXL"",IF(raw_talla=""3XL"",""XXXL"",IF(raw_talla=""SMLN"",""S"",raw_talla)))))))))),out_grid,HSTACK(CHOOSECOLS(todo,1,2,3,4,5),"&amp;"marca_final,CHOOSECOLS(todo,7),talla_final,CHOOSECOLS(todo,8)),sorted_grid,SORT(out_grid,1,TRUE,4,TRUE),IF(sorted_grid="""","""",sorted_grid)))))"),"Almacenes G1522")</f>
        <v/>
      </c>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ColWidth="12.63" defaultRowHeight="15" customHeight="1"/>
  <cols>
    <col width="62" customWidth="1" style="176" min="1" max="1"/>
    <col width="24" customWidth="1" style="176" min="2" max="6"/>
    <col width="8.880000000000001" customWidth="1" style="176" min="7" max="26"/>
  </cols>
  <sheetData>
    <row r="1" ht="12.75" customHeight="1" s="176">
      <c r="A1" s="140" t="inlineStr">
        <is>
          <t>Integración de plataformas → Productos (Catálogo Estándar)</t>
        </is>
      </c>
      <c r="B1" s="5" t="n"/>
      <c r="C1" s="5" t="n"/>
      <c r="D1" s="5" t="n"/>
      <c r="E1" s="5" t="n"/>
      <c r="F1" s="5" t="n"/>
    </row>
    <row r="2" ht="45" customHeight="1" s="176">
      <c r="A2" s="149" t="inlineStr">
        <is>
          <t>Generado 01/10/2026. Fuente: Catalogo_Estandar_Stetson_WB_Odoo_2026-10-01_v2.xlsx (Shopify Stetson México, Shopify Western Brothers, Odoo Universal Unique Brands). Destino: hoja Productos de HojaProductos_Prelimpieza.xlsx, con la estructura y listas de su hoja Criterios.</t>
        </is>
      </c>
    </row>
    <row r="3" ht="12.75" customHeight="1" s="176">
      <c r="A3" s="5" t="n"/>
      <c r="B3" s="5" t="n"/>
      <c r="C3" s="5" t="n"/>
      <c r="D3" s="5" t="n"/>
      <c r="E3" s="5" t="n"/>
      <c r="F3" s="5" t="n"/>
    </row>
    <row r="4" ht="12.75" customHeight="1" s="176">
      <c r="A4" s="150" t="inlineStr">
        <is>
          <t>Resultado por plataforma (variantes del archivo de plataformas)</t>
        </is>
      </c>
      <c r="B4" s="5" t="n"/>
      <c r="C4" s="5" t="n"/>
      <c r="D4" s="5" t="n"/>
      <c r="E4" s="5" t="n"/>
      <c r="F4" s="5" t="n"/>
    </row>
    <row r="5" ht="12.75" customHeight="1" s="176">
      <c r="A5" s="48" t="inlineStr">
        <is>
          <t>Plataforma</t>
        </is>
      </c>
      <c r="B5" s="48" t="inlineStr">
        <is>
          <t>Variantes en la fuente</t>
        </is>
      </c>
      <c r="C5" s="48" t="inlineStr">
        <is>
          <t>Coincidieron y complementaron un artículo existente</t>
        </is>
      </c>
      <c r="D5" s="48" t="inlineStr">
        <is>
          <t>Alta como artículo nuevo</t>
        </is>
      </c>
      <c r="E5" s="48" t="inlineStr">
        <is>
          <t>A hoja Duplicados (artículo distinto)</t>
        </is>
      </c>
      <c r="F5" s="48" t="inlineStr">
        <is>
          <t>No integradas (servicios / conceptos)</t>
        </is>
      </c>
    </row>
    <row r="6" ht="12.75" customHeight="1" s="176">
      <c r="A6" s="151" t="inlineStr">
        <is>
          <t>Shopify Stetson México</t>
        </is>
      </c>
      <c r="B6" s="152">
        <f>SUM(C6:F6)</f>
        <v/>
      </c>
      <c r="C6" s="152" t="n">
        <v>2412</v>
      </c>
      <c r="D6" s="152" t="n">
        <v>47</v>
      </c>
      <c r="E6" s="152" t="n">
        <v>4</v>
      </c>
      <c r="F6" s="152" t="n">
        <v>6</v>
      </c>
    </row>
    <row r="7" ht="12.75" customHeight="1" s="176">
      <c r="A7" s="151" t="inlineStr">
        <is>
          <t>Shopify Western Brothers</t>
        </is>
      </c>
      <c r="B7" s="152">
        <f>SUM(C7:F7)</f>
        <v/>
      </c>
      <c r="C7" s="152" t="n">
        <v>2493</v>
      </c>
      <c r="D7" s="152" t="n">
        <v>18</v>
      </c>
      <c r="E7" s="152" t="n">
        <v>2</v>
      </c>
      <c r="F7" s="152" t="n">
        <v>1</v>
      </c>
    </row>
    <row r="8" ht="12.75" customHeight="1" s="176">
      <c r="A8" s="151" t="inlineStr">
        <is>
          <t>Odoo Universal Unique Brands</t>
        </is>
      </c>
      <c r="B8" s="152">
        <f>SUM(C8:F8)</f>
        <v/>
      </c>
      <c r="C8" s="152" t="n">
        <v>1396</v>
      </c>
      <c r="D8" s="152" t="n">
        <v>360</v>
      </c>
      <c r="E8" s="152" t="n">
        <v>0</v>
      </c>
      <c r="F8" s="152" t="n">
        <v>15</v>
      </c>
    </row>
    <row r="9" ht="12.75" customHeight="1" s="176">
      <c r="A9" s="153" t="inlineStr">
        <is>
          <t>Total</t>
        </is>
      </c>
      <c r="B9" s="154">
        <f>SUM(B6:B8)</f>
        <v/>
      </c>
      <c r="C9" s="154">
        <f>SUM(C6:C8)</f>
        <v/>
      </c>
      <c r="D9" s="154">
        <f>SUM(D6:D8)</f>
        <v/>
      </c>
      <c r="E9" s="154">
        <f>SUM(E6:E8)</f>
        <v/>
      </c>
      <c r="F9" s="154">
        <f>SUM(F6:F8)</f>
        <v/>
      </c>
    </row>
    <row r="10" ht="12.75" customHeight="1" s="176">
      <c r="A10" s="5" t="n"/>
      <c r="B10" s="5" t="n"/>
      <c r="C10" s="5" t="n"/>
      <c r="D10" s="5" t="n"/>
      <c r="E10" s="5" t="n"/>
      <c r="F10" s="5" t="n"/>
    </row>
    <row r="11" ht="12.75" customHeight="1" s="176">
      <c r="A11" s="150" t="inlineStr">
        <is>
          <t>Estado de la hoja Productos (se recalcula sola)</t>
        </is>
      </c>
      <c r="B11" s="5" t="n"/>
      <c r="C11" s="5" t="n"/>
      <c r="D11" s="5" t="n"/>
      <c r="E11" s="5" t="n"/>
      <c r="F11" s="5" t="n"/>
    </row>
    <row r="12" ht="12.75" customHeight="1" s="176">
      <c r="A12" s="48" t="inlineStr">
        <is>
          <t>Concepto</t>
        </is>
      </c>
      <c r="B12" s="48" t="inlineStr">
        <is>
          <t>Filas</t>
        </is>
      </c>
      <c r="C12" s="5" t="n"/>
      <c r="D12" s="5" t="n"/>
      <c r="E12" s="5" t="n"/>
      <c r="F12" s="5" t="n"/>
    </row>
    <row r="13" ht="12.75" customHeight="1" s="176">
      <c r="A13" s="151" t="inlineStr">
        <is>
          <t>Filas en Productos</t>
        </is>
      </c>
      <c r="B13" s="152">
        <f>COUNTIF(Productos!AA:AA,"?*")</f>
        <v/>
      </c>
      <c r="C13" s="5" t="n"/>
      <c r="D13" s="5" t="n"/>
      <c r="E13" s="5" t="n"/>
      <c r="F13" s="5" t="n"/>
    </row>
    <row r="14" ht="12.75" customHeight="1" s="176">
      <c r="A14" s="151" t="inlineStr">
        <is>
          <t>Artículos con ubicación en alguna plataforma</t>
        </is>
      </c>
      <c r="B14" s="152">
        <f>COUNTA(Productos!AN:AN)-1</f>
        <v/>
      </c>
      <c r="C14" s="5" t="n"/>
      <c r="D14" s="5" t="n"/>
      <c r="E14" s="5" t="n"/>
      <c r="F14" s="5" t="n"/>
    </row>
    <row r="15" ht="12.75" customHeight="1" s="176">
      <c r="A15" s="151" t="inlineStr">
        <is>
          <t xml:space="preserve">   … en Shopify Stetson México</t>
        </is>
      </c>
      <c r="B15" s="152">
        <f>COUNTIF(Productos!AN:AN,"*Shopify Stetson México*")</f>
        <v/>
      </c>
      <c r="C15" s="5" t="n"/>
      <c r="D15" s="5" t="n"/>
      <c r="E15" s="5" t="n"/>
      <c r="F15" s="5" t="n"/>
    </row>
    <row r="16" ht="12.75" customHeight="1" s="176">
      <c r="A16" s="151" t="inlineStr">
        <is>
          <t xml:space="preserve">   … en Shopify Western Brothers</t>
        </is>
      </c>
      <c r="B16" s="152">
        <f>COUNTIF(Productos!AN:AN,"*Shopify Western Brothers*")</f>
        <v/>
      </c>
      <c r="C16" s="5" t="n"/>
      <c r="D16" s="5" t="n"/>
      <c r="E16" s="5" t="n"/>
      <c r="F16" s="5" t="n"/>
    </row>
    <row r="17" ht="12.75" customHeight="1" s="176">
      <c r="A17" s="151" t="inlineStr">
        <is>
          <t xml:space="preserve">   … en Odoo Universal Unique Brands</t>
        </is>
      </c>
      <c r="B17" s="152">
        <f>COUNTIF(Productos!AN:AN,"*Odoo Universal Unique Brands*")</f>
        <v/>
      </c>
      <c r="C17" s="5" t="n"/>
      <c r="D17" s="5" t="n"/>
      <c r="E17" s="5" t="n"/>
      <c r="F17" s="5" t="n"/>
    </row>
    <row r="18" ht="12.75" customHeight="1" s="176">
      <c r="A18" s="151" t="inlineStr">
        <is>
          <t>Filas existentes complementadas con datos de plataformas</t>
        </is>
      </c>
      <c r="B18" s="152">
        <f>COUNTIF(Productos!AH:AH,"*complementado desde*")</f>
        <v/>
      </c>
      <c r="C18" s="5" t="n"/>
      <c r="D18" s="5" t="n"/>
      <c r="E18" s="5" t="n"/>
      <c r="F18" s="5" t="n"/>
    </row>
    <row r="19" ht="12.75" customHeight="1" s="176">
      <c r="A19" s="151" t="inlineStr">
        <is>
          <t>Filas nuevas dadas de alta desde plataformas</t>
        </is>
      </c>
      <c r="B19" s="152">
        <f>COUNTIF(Productos!AG:AG,"Nuevo – Shopify*")+COUNTIF(Productos!AG:AG,"Nuevo – Odoo*")</f>
        <v/>
      </c>
      <c r="C19" s="5" t="n"/>
      <c r="D19" s="5" t="n"/>
      <c r="E19" s="5" t="n"/>
      <c r="F19" s="5" t="n"/>
    </row>
    <row r="20" ht="12.75" customHeight="1" s="176">
      <c r="A20" s="151" t="inlineStr">
        <is>
          <t>Filas en la hoja Duplicados (Productos + plataforma)</t>
        </is>
      </c>
      <c r="B20" s="152">
        <f>COUNTA('Revisión Duplicados'!A:A)-1</f>
        <v/>
      </c>
      <c r="C20" s="5" t="n"/>
      <c r="D20" s="5" t="n"/>
      <c r="E20" s="5" t="n"/>
      <c r="F20" s="5" t="n"/>
    </row>
    <row r="21" ht="12.75" customHeight="1" s="176">
      <c r="A21" s="151" t="inlineStr">
        <is>
          <t>Artículos con código de barras mal asignado en la plataforma (corregir allá)</t>
        </is>
      </c>
      <c r="B21" s="152">
        <f>COUNTIF(Productos!AH:AH,"*corregir el código en*")</f>
        <v/>
      </c>
      <c r="C21" s="5" t="n"/>
      <c r="D21" s="5" t="n"/>
      <c r="E21" s="5" t="n"/>
      <c r="F21" s="5" t="n"/>
    </row>
    <row r="22" ht="12.75" customHeight="1" s="176">
      <c r="A22" s="5" t="n"/>
      <c r="B22" s="5" t="n"/>
      <c r="C22" s="5" t="n"/>
      <c r="D22" s="5" t="n"/>
      <c r="E22" s="5" t="n"/>
      <c r="F22" s="5" t="n"/>
    </row>
    <row r="23" ht="12.75" customHeight="1" s="176">
      <c r="A23" s="150" t="inlineStr">
        <is>
          <t>Campos complementados en filas existentes (celdas vacías o con valor fuera de Criterios)</t>
        </is>
      </c>
      <c r="B23" s="5" t="n"/>
      <c r="C23" s="5" t="n"/>
      <c r="D23" s="5" t="n"/>
      <c r="E23" s="5" t="n"/>
      <c r="F23" s="5" t="n"/>
    </row>
    <row r="24" ht="12.75" customHeight="1" s="176">
      <c r="A24" s="48" t="inlineStr">
        <is>
          <t>Campo</t>
        </is>
      </c>
      <c r="B24" s="48" t="inlineStr">
        <is>
          <t>Shopify Stetson México</t>
        </is>
      </c>
      <c r="C24" s="48" t="inlineStr">
        <is>
          <t>Shopify Western Brothers</t>
        </is>
      </c>
      <c r="D24" s="48" t="inlineStr">
        <is>
          <t>Odoo Universal Unique Brands</t>
        </is>
      </c>
      <c r="E24" s="48" t="inlineStr">
        <is>
          <t>Total</t>
        </is>
      </c>
      <c r="F24" s="5" t="n"/>
    </row>
    <row r="25" ht="12.75" customHeight="1" s="176">
      <c r="A25" s="151" t="inlineStr">
        <is>
          <t>WB Silueta</t>
        </is>
      </c>
      <c r="B25" s="152" t="n">
        <v>1428</v>
      </c>
      <c r="C25" s="152" t="n">
        <v>1559</v>
      </c>
      <c r="D25" s="152" t="n">
        <v>18</v>
      </c>
      <c r="E25" s="152">
        <f>SUM(B25:D25)</f>
        <v/>
      </c>
      <c r="F25" s="5" t="n"/>
    </row>
    <row r="26" ht="12.75" customHeight="1" s="176">
      <c r="A26" s="151" t="inlineStr">
        <is>
          <t>WB Fit</t>
        </is>
      </c>
      <c r="B26" s="152" t="n">
        <v>1652</v>
      </c>
      <c r="C26" s="152" t="n">
        <v>939</v>
      </c>
      <c r="D26" s="152" t="n">
        <v>25</v>
      </c>
      <c r="E26" s="152">
        <f>SUM(B26:D26)</f>
        <v/>
      </c>
      <c r="F26" s="5" t="n"/>
    </row>
    <row r="27" ht="12.75" customHeight="1" s="176">
      <c r="A27" s="151" t="inlineStr">
        <is>
          <t>Enlace de imagen</t>
        </is>
      </c>
      <c r="B27" s="152" t="n">
        <v>234</v>
      </c>
      <c r="C27" s="152" t="n">
        <v>31</v>
      </c>
      <c r="D27" s="152" t="n">
        <v>231</v>
      </c>
      <c r="E27" s="152">
        <f>SUM(B27:D27)</f>
        <v/>
      </c>
      <c r="F27" s="5" t="n"/>
    </row>
    <row r="28" ht="12.75" customHeight="1" s="176">
      <c r="A28" s="151" t="inlineStr">
        <is>
          <t>WB Talla de EE. UU.</t>
        </is>
      </c>
      <c r="B28" s="152" t="n">
        <v>0</v>
      </c>
      <c r="C28" s="152" t="n">
        <v>7</v>
      </c>
      <c r="D28" s="152" t="n">
        <v>321</v>
      </c>
      <c r="E28" s="152">
        <f>SUM(B28:D28)</f>
        <v/>
      </c>
      <c r="F28" s="5" t="n"/>
    </row>
    <row r="29" ht="12.75" customHeight="1" s="176">
      <c r="A29" s="151" t="inlineStr">
        <is>
          <t>WB Talla</t>
        </is>
      </c>
      <c r="B29" s="152" t="n">
        <v>0</v>
      </c>
      <c r="C29" s="152" t="n">
        <v>0</v>
      </c>
      <c r="D29" s="152" t="n">
        <v>229</v>
      </c>
      <c r="E29" s="152">
        <f>SUM(B29:D29)</f>
        <v/>
      </c>
      <c r="F29" s="5" t="n"/>
    </row>
    <row r="30" ht="12.75" customHeight="1" s="176">
      <c r="A30" s="151" t="inlineStr">
        <is>
          <t>WB Color</t>
        </is>
      </c>
      <c r="B30" s="152" t="n">
        <v>120</v>
      </c>
      <c r="C30" s="152" t="n">
        <v>29</v>
      </c>
      <c r="D30" s="152" t="n">
        <v>20</v>
      </c>
      <c r="E30" s="152">
        <f>SUM(B30:D30)</f>
        <v/>
      </c>
      <c r="F30" s="5" t="n"/>
    </row>
    <row r="31" ht="12.75" customHeight="1" s="176">
      <c r="A31" s="151" t="inlineStr">
        <is>
          <t>WB Descripción larga</t>
        </is>
      </c>
      <c r="B31" s="152" t="n">
        <v>60</v>
      </c>
      <c r="C31" s="152" t="n">
        <v>7</v>
      </c>
      <c r="D31" s="152" t="n">
        <v>85</v>
      </c>
      <c r="E31" s="152">
        <f>SUM(B31:D31)</f>
        <v/>
      </c>
      <c r="F31" s="5" t="n"/>
    </row>
    <row r="32" ht="12.75" customHeight="1" s="176">
      <c r="A32" s="151" t="inlineStr">
        <is>
          <t>WB Género</t>
        </is>
      </c>
      <c r="B32" s="152" t="n">
        <v>0</v>
      </c>
      <c r="C32" s="152" t="n">
        <v>0</v>
      </c>
      <c r="D32" s="152" t="n">
        <v>150</v>
      </c>
      <c r="E32" s="152">
        <f>SUM(B32:D32)</f>
        <v/>
      </c>
      <c r="F32" s="5" t="n"/>
    </row>
    <row r="33" ht="12.75" customHeight="1" s="176">
      <c r="A33" s="151" t="inlineStr">
        <is>
          <t>WB Temporada</t>
        </is>
      </c>
      <c r="B33" s="152" t="n">
        <v>40</v>
      </c>
      <c r="C33" s="152" t="n">
        <v>0</v>
      </c>
      <c r="D33" s="152" t="n">
        <v>29</v>
      </c>
      <c r="E33" s="152">
        <f>SUM(B33:D33)</f>
        <v/>
      </c>
      <c r="F33" s="5" t="n"/>
    </row>
    <row r="34" ht="12.75" customHeight="1" s="176">
      <c r="A34" s="151" t="inlineStr">
        <is>
          <t>WB Licencia</t>
        </is>
      </c>
      <c r="B34" s="152" t="n">
        <v>0</v>
      </c>
      <c r="C34" s="152" t="n">
        <v>0</v>
      </c>
      <c r="D34" s="152" t="n">
        <v>38</v>
      </c>
      <c r="E34" s="152">
        <f>SUM(B34:D34)</f>
        <v/>
      </c>
      <c r="F34" s="5" t="n"/>
    </row>
    <row r="35" ht="12.75" customHeight="1" s="176">
      <c r="A35" s="151" t="inlineStr">
        <is>
          <t>WB N.º de estilo</t>
        </is>
      </c>
      <c r="B35" s="152" t="n">
        <v>0</v>
      </c>
      <c r="C35" s="152" t="n">
        <v>0</v>
      </c>
      <c r="D35" s="152" t="n">
        <v>35</v>
      </c>
      <c r="E35" s="152">
        <f>SUM(B35:D35)</f>
        <v/>
      </c>
      <c r="F35" s="5" t="n"/>
    </row>
    <row r="36" ht="12.75" customHeight="1" s="176">
      <c r="A36" s="151" t="inlineStr">
        <is>
          <t>WB Ciclo de vida</t>
        </is>
      </c>
      <c r="B36" s="152" t="n">
        <v>0</v>
      </c>
      <c r="C36" s="152" t="n">
        <v>0</v>
      </c>
      <c r="D36" s="152" t="n">
        <v>25</v>
      </c>
      <c r="E36" s="152">
        <f>SUM(B36:D36)</f>
        <v/>
      </c>
      <c r="F36" s="5" t="n"/>
    </row>
    <row r="37" ht="12.75" customHeight="1" s="176">
      <c r="A37" s="151" t="inlineStr">
        <is>
          <t>WB País de origen</t>
        </is>
      </c>
      <c r="B37" s="152" t="n">
        <v>0</v>
      </c>
      <c r="C37" s="152" t="n">
        <v>0</v>
      </c>
      <c r="D37" s="152" t="n">
        <v>14</v>
      </c>
      <c r="E37" s="152">
        <f>SUM(B37:D37)</f>
        <v/>
      </c>
      <c r="F37" s="5" t="n"/>
    </row>
    <row r="38" ht="12.75" customHeight="1" s="176">
      <c r="A38" s="151" t="inlineStr">
        <is>
          <t>WB Descripcion</t>
        </is>
      </c>
      <c r="B38" s="152" t="n">
        <v>0</v>
      </c>
      <c r="C38" s="152" t="n">
        <v>0</v>
      </c>
      <c r="D38" s="152" t="n">
        <v>13</v>
      </c>
      <c r="E38" s="152">
        <f>SUM(B38:D38)</f>
        <v/>
      </c>
      <c r="F38" s="5" t="n"/>
    </row>
    <row r="39" ht="12.75" customHeight="1" s="176">
      <c r="A39" s="151" t="inlineStr">
        <is>
          <t>WB Categoría</t>
        </is>
      </c>
      <c r="B39" s="152" t="n">
        <v>0</v>
      </c>
      <c r="C39" s="152" t="n">
        <v>0</v>
      </c>
      <c r="D39" s="152" t="n">
        <v>3</v>
      </c>
      <c r="E39" s="152">
        <f>SUM(B39:D39)</f>
        <v/>
      </c>
      <c r="F39" s="5" t="n"/>
    </row>
    <row r="40" ht="12.75" customHeight="1" s="176">
      <c r="A40" s="151" t="inlineStr">
        <is>
          <t>WB División</t>
        </is>
      </c>
      <c r="B40" s="152" t="n">
        <v>0</v>
      </c>
      <c r="C40" s="152" t="n">
        <v>0</v>
      </c>
      <c r="D40" s="152" t="n">
        <v>2</v>
      </c>
      <c r="E40" s="152">
        <f>SUM(B40:D40)</f>
        <v/>
      </c>
      <c r="F40" s="5" t="n"/>
    </row>
    <row r="41" ht="12.75" customHeight="1" s="176">
      <c r="A41" s="151" t="inlineStr">
        <is>
          <t>WB SKU</t>
        </is>
      </c>
      <c r="B41" s="152" t="n">
        <v>0</v>
      </c>
      <c r="C41" s="152" t="n">
        <v>0</v>
      </c>
      <c r="D41" s="152" t="n">
        <v>1</v>
      </c>
      <c r="E41" s="152">
        <f>SUM(B41:D41)</f>
        <v/>
      </c>
      <c r="F41" s="5" t="n"/>
    </row>
    <row r="42" ht="12.75" customHeight="1" s="176">
      <c r="A42" s="151" t="inlineStr">
        <is>
          <t>Código de barras</t>
        </is>
      </c>
      <c r="B42" s="152" t="n">
        <v>0</v>
      </c>
      <c r="C42" s="152" t="n">
        <v>0</v>
      </c>
      <c r="D42" s="152" t="n">
        <v>1</v>
      </c>
      <c r="E42" s="152">
        <f>SUM(B42:D42)</f>
        <v/>
      </c>
      <c r="F42" s="5" t="n"/>
    </row>
    <row r="43" ht="12.75" customHeight="1" s="176">
      <c r="A43" s="5" t="n"/>
      <c r="B43" s="5" t="n"/>
      <c r="C43" s="5" t="n"/>
      <c r="D43" s="5" t="n"/>
      <c r="E43" s="5" t="n"/>
      <c r="F43" s="5" t="n"/>
    </row>
    <row r="44" ht="12.75" customHeight="1" s="176">
      <c r="A44" s="150" t="inlineStr">
        <is>
          <t>Reglas aplicadas</t>
        </is>
      </c>
      <c r="B44" s="5" t="n"/>
      <c r="C44" s="5" t="n"/>
      <c r="D44" s="5" t="n"/>
      <c r="E44" s="5" t="n"/>
      <c r="F44" s="5" t="n"/>
    </row>
    <row r="45" ht="30" customHeight="1" s="176">
      <c r="A45" s="149" t="inlineStr">
        <is>
          <t>• Búsqueda: primero por código de barras (ignorando ceros a la izquierda); si no coincide, por SKU. Si el nombre del artículo en la plataforma es un código (p. ej. «WG218-W068BK») y no trae SKU, se usa como SKU.</t>
        </is>
      </c>
    </row>
    <row r="46" ht="45" customHeight="1" s="176">
      <c r="A46" s="149" t="inlineStr">
        <is>
          <t>• Si el código de barras de la plataforma apunta a otro artículo pero el SKU apunta al correcto, se usa el SKU y se anota en «Notas de enriquecimiento / revisión» que el código está mal en la plataforma (camisas Reflection Geo en Shopify Stetson, ya corregidas en Productos el 30/09).</t>
        </is>
      </c>
    </row>
    <row r="47" ht="45" customHeight="1" s="176">
      <c r="A47" s="149" t="inlineStr">
        <is>
          <t>• Duplicados: sólo cuando el mismo código de barras o SKU corresponde a artículos completamente distintos (otra división, otra marca y categoría, u otro estilo con descripción sin relación). Se sacaron ambas filas —la de Productos y la de la plataforma— a la hoja Duplicados, agrupadas, para decidir cuál se queda.</t>
        </is>
      </c>
    </row>
    <row r="48" ht="45" customHeight="1" s="176">
      <c r="A48" s="149" t="inlineStr">
        <is>
          <t>• Complemento: se llenan celdas vacías de Productos y se reemplazan valores fuera de Criterios (p. ej. Silueta «Manga larga» → «No Aplica»). Un valor válido de Productos nunca se sobrescribe; si la plataforma trae otro valor, se anota en «Notas de enriquecimiento / revisión».</t>
        </is>
      </c>
    </row>
    <row r="49" ht="30" customHeight="1" s="176">
      <c r="A49" s="149" t="inlineStr">
        <is>
          <t>• Descripción y descripción larga: sólo se reemplazan si la de Productos es un marcador (p. ej. «WG BAG») o una línea corta y la plataforma trae una versión mucho más completa.</t>
        </is>
      </c>
    </row>
    <row r="50" ht="30" customHeight="1" s="176">
      <c r="A50" s="149" t="inlineStr">
        <is>
          <t>• Tallas: «WB Talla de EE. UU.» sólo se completa si la «WB Talla» de Productos coincide con la de la plataforma, para no mezclar pares de tallas.</t>
        </is>
      </c>
    </row>
    <row r="51" ht="45" customHeight="1" s="176">
      <c r="A51" s="149" t="inlineStr">
        <is>
          <t>• Precio de venta (sólo celdas vacías y filas nuevas): Shopify Stetson México ÷ 1.16, porque sus precios incluyen IVA (en 2,041 de 2,395 artículos comparables la relación con NetSuite es exactamente 1.16). Western Brothers y Odoo sin ajuste (relación 1.00 dominante).</t>
        </is>
      </c>
    </row>
    <row r="52" ht="30" customHeight="1" s="176">
      <c r="A52" s="149" t="inlineStr">
        <is>
          <t>• Precio de compra: no se tomó de plataformas para artículos existentes (los costos de Odoo no son comparables con NetSuite: 188 de 708 difieren ~25×). En filas nuevas se conserva el costo que trae la plataforma.</t>
        </is>
      </c>
    </row>
    <row r="53" ht="30" customHeight="1" s="176">
      <c r="A53" s="149" t="inlineStr">
        <is>
          <t>• Filas nuevas: valores validados contra Criterios (listas, catálogo de tallas, División según Categoría, Unidad PRS para calzado). Lo que no cuadra se deja vacío y se anota, como pide la Ruta de llenado (paso 10).</t>
        </is>
      </c>
    </row>
    <row r="54" ht="30" customHeight="1" s="176">
      <c r="A54" s="149" t="inlineStr">
        <is>
          <t>• Ubicación: «Plataforma + Marca/tienda» en la columna AN; existencias por plataforma en AO–AQ y detalle por almacén en AR. Las tres ubicaciones se agregaron a Criterios › 9. Ubicaciones (tipo Shopify / Odoo, sin validación de stock NetSuite).</t>
        </is>
      </c>
    </row>
    <row r="55" ht="30" customHeight="1" s="176">
      <c r="A55" s="149" t="inlineStr">
        <is>
          <t>• Estatus de Validación y Detalle de Discrepancias: misma fórmula de antes, ahora apuntando a la hoja Criterios de este archivo (antes apuntaba a Ciclico_1522_investigado.xlsx). «Precio compra/venta vigente» quedó como valor fijo (ver nota en AL1).</t>
        </is>
      </c>
    </row>
    <row r="56" ht="12.75" customHeight="1" s="176">
      <c r="A56" s="5" t="n"/>
      <c r="B56" s="5" t="n"/>
      <c r="C56" s="5" t="n"/>
      <c r="D56" s="5" t="n"/>
      <c r="E56" s="5" t="n"/>
      <c r="F56" s="5" t="n"/>
    </row>
    <row r="57" ht="12.75" customHeight="1" s="176">
      <c r="A57" s="150" t="inlineStr">
        <is>
          <t>Variantes no integradas (servicios / conceptos no inventariables)</t>
        </is>
      </c>
      <c r="B57" s="5" t="n"/>
      <c r="C57" s="5" t="n"/>
      <c r="D57" s="5" t="n"/>
      <c r="E57" s="5" t="n"/>
      <c r="F57" s="5" t="n"/>
    </row>
    <row r="58" ht="12.75" customHeight="1" s="176">
      <c r="A58" s="48" t="inlineStr">
        <is>
          <t>Plataforma</t>
        </is>
      </c>
      <c r="B58" s="48" t="inlineStr">
        <is>
          <t>Código de barras</t>
        </is>
      </c>
      <c r="C58" s="48" t="inlineStr">
        <is>
          <t>SKU</t>
        </is>
      </c>
      <c r="D58" s="48" t="inlineStr">
        <is>
          <t>Descripción</t>
        </is>
      </c>
      <c r="E58" s="48" t="inlineStr">
        <is>
          <t>Motivo</t>
        </is>
      </c>
      <c r="F58" s="5" t="n"/>
    </row>
    <row r="59" ht="12.75" customHeight="1" s="176">
      <c r="A59" s="151" t="inlineStr">
        <is>
          <t>Shopify Stetson México</t>
        </is>
      </c>
      <c r="B59" s="151" t="inlineStr">
        <is>
          <t>100001</t>
        </is>
      </c>
      <c r="C59" s="151" t="inlineStr">
        <is>
          <t>100001</t>
        </is>
      </c>
      <c r="D59" s="151" t="inlineStr">
        <is>
          <t>Servicio Hat Doctor</t>
        </is>
      </c>
      <c r="E59" s="151" t="inlineStr">
        <is>
          <t>Servicio / concepto no inventariable</t>
        </is>
      </c>
      <c r="F59" s="5" t="n"/>
    </row>
    <row r="60" ht="12.75" customHeight="1" s="176">
      <c r="A60" s="151" t="inlineStr">
        <is>
          <t>Shopify Stetson México</t>
        </is>
      </c>
      <c r="B60" s="151" t="inlineStr">
        <is>
          <t>100001</t>
        </is>
      </c>
      <c r="C60" s="151" t="inlineStr">
        <is>
          <t>100001</t>
        </is>
      </c>
      <c r="D60" s="151" t="inlineStr">
        <is>
          <t>Servicio Hat Doctor</t>
        </is>
      </c>
      <c r="E60" s="151" t="inlineStr">
        <is>
          <t>Servicio / concepto no inventariable</t>
        </is>
      </c>
      <c r="F60" s="5" t="n"/>
    </row>
    <row r="61" ht="12.75" customHeight="1" s="176">
      <c r="A61" s="151" t="inlineStr">
        <is>
          <t>Shopify Stetson México</t>
        </is>
      </c>
      <c r="B61" s="151" t="inlineStr">
        <is>
          <t>100001</t>
        </is>
      </c>
      <c r="C61" s="151" t="inlineStr">
        <is>
          <t>100001</t>
        </is>
      </c>
      <c r="D61" s="151" t="inlineStr">
        <is>
          <t>Servicio Hat Doctor</t>
        </is>
      </c>
      <c r="E61" s="151" t="inlineStr">
        <is>
          <t>Servicio / concepto no inventariable</t>
        </is>
      </c>
      <c r="F61" s="5" t="n"/>
    </row>
    <row r="62" ht="12.75" customHeight="1" s="176">
      <c r="A62" s="151" t="inlineStr">
        <is>
          <t>Shopify Stetson México</t>
        </is>
      </c>
      <c r="B62" s="151" t="inlineStr">
        <is>
          <t>100001</t>
        </is>
      </c>
      <c r="C62" s="151" t="inlineStr">
        <is>
          <t>100001</t>
        </is>
      </c>
      <c r="D62" s="151" t="inlineStr">
        <is>
          <t>Servicio Hat Doctor</t>
        </is>
      </c>
      <c r="E62" s="151" t="inlineStr">
        <is>
          <t>Servicio / concepto no inventariable</t>
        </is>
      </c>
      <c r="F62" s="5" t="n"/>
    </row>
    <row r="63" ht="12.75" customHeight="1" s="176">
      <c r="A63" s="151" t="inlineStr">
        <is>
          <t>Shopify Stetson México</t>
        </is>
      </c>
      <c r="B63" s="151" t="inlineStr">
        <is>
          <t>999999</t>
        </is>
      </c>
      <c r="C63" s="151" t="inlineStr">
        <is>
          <t>ENVIO</t>
        </is>
      </c>
      <c r="D63" s="151" t="inlineStr">
        <is>
          <t>Servicio de envio asegurado</t>
        </is>
      </c>
      <c r="E63" s="151" t="inlineStr">
        <is>
          <t>Servicio / concepto no inventariable</t>
        </is>
      </c>
      <c r="F63" s="5" t="n"/>
    </row>
    <row r="64" ht="12.75" customHeight="1" s="176">
      <c r="A64" s="151" t="inlineStr">
        <is>
          <t>Shopify Stetson México</t>
        </is>
      </c>
      <c r="B64" s="151" t="inlineStr">
        <is>
          <t>999999</t>
        </is>
      </c>
      <c r="C64" s="151" t="inlineStr">
        <is>
          <t>ENVIO</t>
        </is>
      </c>
      <c r="D64" s="151" t="inlineStr">
        <is>
          <t>Servicio de envio asegurado</t>
        </is>
      </c>
      <c r="E64" s="151" t="inlineStr">
        <is>
          <t>Servicio / concepto no inventariable</t>
        </is>
      </c>
      <c r="F64" s="5" t="n"/>
    </row>
    <row r="65" ht="12.75" customHeight="1" s="176">
      <c r="A65" s="151" t="inlineStr">
        <is>
          <t>Shopify Western Brothers</t>
        </is>
      </c>
      <c r="B65" s="151" t="inlineStr">
        <is>
          <t>100001</t>
        </is>
      </c>
      <c r="C65" s="151" t="inlineStr">
        <is>
          <t>100001</t>
        </is>
      </c>
      <c r="D65" s="151" t="inlineStr">
        <is>
          <t>Servicio Hat Doctor</t>
        </is>
      </c>
      <c r="E65" s="151" t="inlineStr">
        <is>
          <t>Servicio / concepto no inventariable</t>
        </is>
      </c>
      <c r="F65" s="5" t="n"/>
    </row>
    <row r="66" ht="12.75" customHeight="1" s="176">
      <c r="A66" s="151" t="inlineStr">
        <is>
          <t>Odoo Universal Unique Brands</t>
        </is>
      </c>
      <c r="B66" s="151" t="n"/>
      <c r="C66" s="151" t="n"/>
      <c r="D66" s="151" t="inlineStr">
        <is>
          <t>Tarifas de reservación</t>
        </is>
      </c>
      <c r="E66" s="151" t="inlineStr">
        <is>
          <t>Servicio / concepto no inventariable</t>
        </is>
      </c>
      <c r="F66" s="5" t="n"/>
    </row>
    <row r="67" ht="12.75" customHeight="1" s="176">
      <c r="A67" s="151" t="inlineStr">
        <is>
          <t>Odoo Universal Unique Brands</t>
        </is>
      </c>
      <c r="B67" s="151" t="n"/>
      <c r="C67" s="151" t="n"/>
      <c r="D67" s="151" t="inlineStr">
        <is>
          <t>Envío</t>
        </is>
      </c>
      <c r="E67" s="151" t="inlineStr">
        <is>
          <t>Servicio / concepto no inventariable</t>
        </is>
      </c>
      <c r="F67" s="5" t="n"/>
    </row>
    <row r="68" ht="12.75" customHeight="1" s="176">
      <c r="A68" s="151" t="inlineStr">
        <is>
          <t>Odoo Universal Unique Brands</t>
        </is>
      </c>
      <c r="B68" s="151" t="n"/>
      <c r="C68" s="151" t="n"/>
      <c r="D68" s="151" t="inlineStr">
        <is>
          <t>Descuento</t>
        </is>
      </c>
      <c r="E68" s="151" t="inlineStr">
        <is>
          <t>Servicio / concepto no inventariable</t>
        </is>
      </c>
      <c r="F68" s="5" t="n"/>
    </row>
    <row r="69" ht="12.75" customHeight="1" s="176">
      <c r="A69" s="151" t="inlineStr">
        <is>
          <t>Odoo Universal Unique Brands</t>
        </is>
      </c>
      <c r="B69" s="151" t="n"/>
      <c r="C69" s="151" t="n"/>
      <c r="D69" s="151" t="inlineStr">
        <is>
          <t>Embalaje</t>
        </is>
      </c>
      <c r="E69" s="151" t="inlineStr">
        <is>
          <t>Servicio / concepto no inventariable</t>
        </is>
      </c>
      <c r="F69" s="5" t="n"/>
    </row>
    <row r="70" ht="12.75" customHeight="1" s="176">
      <c r="A70" s="151" t="inlineStr">
        <is>
          <t>Odoo Universal Unique Brands</t>
        </is>
      </c>
      <c r="B70" s="151" t="n"/>
      <c r="C70" s="151" t="n"/>
      <c r="D70" s="151" t="inlineStr">
        <is>
          <t>Envío ecommerce</t>
        </is>
      </c>
      <c r="E70" s="151" t="inlineStr">
        <is>
          <t>Servicio / concepto no inventariable</t>
        </is>
      </c>
      <c r="F70" s="5" t="n"/>
    </row>
    <row r="71" ht="12.75" customHeight="1" s="176">
      <c r="A71" s="151" t="inlineStr">
        <is>
          <t>Odoo Universal Unique Brands</t>
        </is>
      </c>
      <c r="B71" s="151" t="n"/>
      <c r="C71" s="151" t="n"/>
      <c r="D71" s="151" t="inlineStr">
        <is>
          <t>Envío Pagado x Nosotros</t>
        </is>
      </c>
      <c r="E71" s="151" t="inlineStr">
        <is>
          <t>Servicio / concepto no inventariable</t>
        </is>
      </c>
      <c r="F71" s="5" t="n"/>
    </row>
    <row r="72" ht="12.75" customHeight="1" s="176">
      <c r="A72" s="151" t="inlineStr">
        <is>
          <t>Odoo Universal Unique Brands</t>
        </is>
      </c>
      <c r="B72" s="151" t="n"/>
      <c r="C72" s="151" t="n"/>
      <c r="D72" s="151" t="inlineStr">
        <is>
          <t>Envío Pagado x Cliente</t>
        </is>
      </c>
      <c r="E72" s="151" t="inlineStr">
        <is>
          <t>Servicio / concepto no inventariable</t>
        </is>
      </c>
      <c r="F72" s="5" t="n"/>
    </row>
    <row r="73" ht="12.75" customHeight="1" s="176">
      <c r="A73" s="151" t="inlineStr">
        <is>
          <t>Odoo Universal Unique Brands</t>
        </is>
      </c>
      <c r="B73" s="151" t="n"/>
      <c r="C73" s="151" t="n"/>
      <c r="D73" s="151" t="inlineStr">
        <is>
          <t>Envía</t>
        </is>
      </c>
      <c r="E73" s="151" t="inlineStr">
        <is>
          <t>Servicio / concepto no inventariable</t>
        </is>
      </c>
      <c r="F73" s="5" t="n"/>
    </row>
    <row r="74" ht="12.75" customHeight="1" s="176">
      <c r="A74" s="151" t="inlineStr">
        <is>
          <t>Odoo Universal Unique Brands</t>
        </is>
      </c>
      <c r="B74" s="151" t="n"/>
      <c r="C74" s="151" t="inlineStr">
        <is>
          <t>TIPS</t>
        </is>
      </c>
      <c r="D74" s="151" t="inlineStr">
        <is>
          <t>Propinas</t>
        </is>
      </c>
      <c r="E74" s="151" t="inlineStr">
        <is>
          <t>Servicio / concepto no inventariable</t>
        </is>
      </c>
      <c r="F74" s="5" t="n"/>
    </row>
    <row r="75" ht="12.75" customHeight="1" s="176">
      <c r="A75" s="151" t="inlineStr">
        <is>
          <t>Odoo Universal Unique Brands</t>
        </is>
      </c>
      <c r="B75" s="151" t="n"/>
      <c r="C75" s="151" t="n"/>
      <c r="D75" s="151" t="inlineStr">
        <is>
          <t>Anticipo (PdV)</t>
        </is>
      </c>
      <c r="E75" s="151" t="inlineStr">
        <is>
          <t>Servicio / concepto no inventariable</t>
        </is>
      </c>
      <c r="F75" s="5" t="n"/>
    </row>
    <row r="76" ht="12.75" customHeight="1" s="176">
      <c r="A76" s="151" t="inlineStr">
        <is>
          <t>Odoo Universal Unique Brands</t>
        </is>
      </c>
      <c r="B76" s="151" t="n"/>
      <c r="C76" s="151" t="n"/>
      <c r="D76" s="151" t="inlineStr">
        <is>
          <t>Pagar el adeudo</t>
        </is>
      </c>
      <c r="E76" s="151" t="inlineStr">
        <is>
          <t>Servicio / concepto no inventariable</t>
        </is>
      </c>
      <c r="F76" s="5" t="n"/>
    </row>
    <row r="77" ht="12.75" customHeight="1" s="176">
      <c r="A77" s="151" t="inlineStr">
        <is>
          <t>Odoo Universal Unique Brands</t>
        </is>
      </c>
      <c r="B77" s="151" t="n"/>
      <c r="C77" s="151" t="n"/>
      <c r="D77" s="151" t="inlineStr">
        <is>
          <t>Depósito</t>
        </is>
      </c>
      <c r="E77" s="151" t="inlineStr">
        <is>
          <t>Servicio / concepto no inventariable</t>
        </is>
      </c>
      <c r="F77" s="5" t="n"/>
    </row>
    <row r="78" ht="12.75" customHeight="1" s="176">
      <c r="A78" s="151" t="inlineStr">
        <is>
          <t>Odoo Universal Unique Brands</t>
        </is>
      </c>
      <c r="B78" s="151" t="n"/>
      <c r="C78" s="151" t="n"/>
      <c r="D78" s="151" t="inlineStr">
        <is>
          <t>Liquidar factura</t>
        </is>
      </c>
      <c r="E78" s="151" t="inlineStr">
        <is>
          <t>Servicio / concepto no inventariable</t>
        </is>
      </c>
      <c r="F78" s="5" t="n"/>
    </row>
    <row r="79" ht="12.75" customHeight="1" s="176">
      <c r="A79" s="151" t="inlineStr">
        <is>
          <t>Odoo Universal Unique Brands</t>
        </is>
      </c>
      <c r="B79" s="151" t="n"/>
      <c r="C79" s="151" t="n"/>
      <c r="D79" s="151" t="inlineStr">
        <is>
          <t>GESTION DE EVENTOS</t>
        </is>
      </c>
      <c r="E79" s="151" t="inlineStr">
        <is>
          <t>Servicio / concepto no inventariable</t>
        </is>
      </c>
      <c r="F79" s="5" t="n"/>
    </row>
    <row r="80" ht="12.75" customHeight="1" s="176">
      <c r="A80" s="151" t="inlineStr">
        <is>
          <t>Odoo Universal Unique Brands</t>
        </is>
      </c>
      <c r="B80" s="151" t="n"/>
      <c r="C80" s="151" t="n"/>
      <c r="D80" s="151" t="inlineStr">
        <is>
          <t>DEVOLUCIONES Y DESCUENTOS</t>
        </is>
      </c>
      <c r="E80" s="151" t="inlineStr">
        <is>
          <t>Servicio / concepto no inventariable</t>
        </is>
      </c>
      <c r="F80" s="5" t="n"/>
    </row>
    <row r="81" ht="12.75" customHeight="1" s="176"/>
    <row r="82" ht="12.75" customHeight="1" s="176"/>
    <row r="83" ht="12.75" customHeight="1" s="176"/>
    <row r="84" ht="12.75" customHeight="1" s="176"/>
    <row r="85" ht="12.75" customHeight="1" s="176"/>
    <row r="86" ht="12.75" customHeight="1" s="176"/>
    <row r="87" ht="12.75" customHeight="1" s="176"/>
    <row r="88" ht="12.75" customHeight="1" s="176"/>
    <row r="89" ht="12.75" customHeight="1" s="176"/>
    <row r="90" ht="12.75" customHeight="1" s="176"/>
    <row r="91" ht="12.75" customHeight="1" s="176"/>
    <row r="92" ht="12.75" customHeight="1" s="176"/>
    <row r="93" ht="12.75" customHeight="1" s="176"/>
    <row r="94" ht="12.75" customHeight="1" s="176"/>
    <row r="95" ht="12.75" customHeight="1" s="176"/>
    <row r="96" ht="12.75" customHeight="1" s="176"/>
    <row r="97" ht="12.75" customHeight="1" s="176"/>
    <row r="98" ht="12.75" customHeight="1" s="176"/>
    <row r="99" ht="12.75" customHeight="1" s="176"/>
    <row r="100" ht="12.75" customHeight="1" s="176"/>
    <row r="101" ht="12.75" customHeight="1" s="176"/>
    <row r="102" ht="12.75" customHeight="1" s="176"/>
    <row r="103" ht="12.75" customHeight="1" s="176"/>
    <row r="104" ht="12.75" customHeight="1" s="176"/>
    <row r="105" ht="12.75" customHeight="1" s="176"/>
    <row r="106" ht="12.75" customHeight="1" s="176"/>
    <row r="107" ht="12.75" customHeight="1" s="176"/>
    <row r="108" ht="12.75" customHeight="1" s="176"/>
    <row r="109" ht="12.75" customHeight="1" s="176"/>
    <row r="110" ht="12.75" customHeight="1" s="176"/>
    <row r="111" ht="12.75" customHeight="1" s="176"/>
    <row r="112" ht="12.75" customHeight="1" s="176"/>
    <row r="113" ht="12.75" customHeight="1" s="176"/>
    <row r="114" ht="12.75" customHeight="1" s="176"/>
    <row r="115" ht="12.75" customHeight="1" s="176"/>
    <row r="116" ht="12.75" customHeight="1" s="176"/>
    <row r="117" ht="12.75" customHeight="1" s="176"/>
    <row r="118" ht="12.75" customHeight="1" s="176"/>
    <row r="119" ht="12.75" customHeight="1" s="176"/>
    <row r="120" ht="12.75" customHeight="1" s="176"/>
    <row r="121" ht="12.75" customHeight="1" s="176"/>
    <row r="122" ht="12.75" customHeight="1" s="176"/>
    <row r="123" ht="12.75" customHeight="1" s="176"/>
    <row r="124" ht="12.75" customHeight="1" s="176"/>
    <row r="125" ht="12.75" customHeight="1" s="176"/>
    <row r="126" ht="12.75" customHeight="1" s="176"/>
    <row r="127" ht="12.75" customHeight="1" s="176"/>
    <row r="128" ht="12.75" customHeight="1" s="176"/>
    <row r="129" ht="12.75" customHeight="1" s="176"/>
    <row r="130" ht="12.75" customHeight="1" s="176"/>
    <row r="131" ht="12.75" customHeight="1" s="176"/>
    <row r="132" ht="12.75" customHeight="1" s="176"/>
    <row r="133" ht="12.75" customHeight="1" s="176"/>
    <row r="134" ht="12.75" customHeight="1" s="176"/>
    <row r="135" ht="12.75" customHeight="1" s="176"/>
    <row r="136" ht="12.75" customHeight="1" s="176"/>
    <row r="137" ht="12.75" customHeight="1" s="176"/>
    <row r="138" ht="12.75" customHeight="1" s="176"/>
    <row r="139" ht="12.75" customHeight="1" s="176"/>
    <row r="140" ht="12.75" customHeight="1" s="176"/>
    <row r="141" ht="12.75" customHeight="1" s="176"/>
    <row r="142" ht="12.75" customHeight="1" s="176"/>
    <row r="143" ht="12.75" customHeight="1" s="176"/>
    <row r="144" ht="12.75" customHeight="1" s="176"/>
    <row r="145" ht="12.75" customHeight="1" s="176"/>
    <row r="146" ht="12.75" customHeight="1" s="176"/>
    <row r="147" ht="12.75" customHeight="1" s="176"/>
    <row r="148" ht="12.75" customHeight="1" s="176"/>
    <row r="149" ht="12.75" customHeight="1" s="176"/>
    <row r="150" ht="12.75" customHeight="1" s="176"/>
    <row r="151" ht="12.75" customHeight="1" s="176"/>
    <row r="152" ht="12.75" customHeight="1" s="176"/>
    <row r="153" ht="12.75" customHeight="1" s="176"/>
    <row r="154" ht="12.75" customHeight="1" s="176"/>
    <row r="155" ht="12.75" customHeight="1" s="176"/>
    <row r="156" ht="12.75" customHeight="1" s="176"/>
    <row r="157" ht="12.75" customHeight="1" s="176"/>
    <row r="158" ht="12.75" customHeight="1" s="176"/>
    <row r="159" ht="12.75" customHeight="1" s="176"/>
    <row r="160" ht="12.75" customHeight="1" s="176"/>
    <row r="161" ht="12.75" customHeight="1" s="176"/>
    <row r="162" ht="12.75" customHeight="1" s="176"/>
    <row r="163" ht="12.75" customHeight="1" s="176"/>
    <row r="164" ht="12.75" customHeight="1" s="176"/>
    <row r="165" ht="12.75" customHeight="1" s="176"/>
    <row r="166" ht="12.75" customHeight="1" s="176"/>
    <row r="167" ht="12.75" customHeight="1" s="176"/>
    <row r="168" ht="12.75" customHeight="1" s="176"/>
    <row r="169" ht="12.75" customHeight="1" s="176"/>
    <row r="170" ht="12.75" customHeight="1" s="176"/>
    <row r="171" ht="12.75" customHeight="1" s="176"/>
    <row r="172" ht="12.75" customHeight="1" s="176"/>
    <row r="173" ht="12.75" customHeight="1" s="176"/>
    <row r="174" ht="12.75" customHeight="1" s="176"/>
    <row r="175" ht="12.75" customHeight="1" s="176"/>
    <row r="176" ht="12.75" customHeight="1" s="176"/>
    <row r="177" ht="12.75" customHeight="1" s="176"/>
    <row r="178" ht="12.75" customHeight="1" s="176"/>
    <row r="179" ht="12.75" customHeight="1" s="176"/>
    <row r="180" ht="12.75" customHeight="1" s="176"/>
    <row r="181" ht="12.75" customHeight="1" s="176"/>
    <row r="182" ht="12.75" customHeight="1" s="176"/>
    <row r="183" ht="12.75" customHeight="1" s="176"/>
    <row r="184" ht="12.75" customHeight="1" s="176"/>
    <row r="185" ht="12.75" customHeight="1" s="176"/>
    <row r="186" ht="12.75" customHeight="1" s="176"/>
    <row r="187" ht="12.75" customHeight="1" s="176"/>
    <row r="188" ht="12.75" customHeight="1" s="176"/>
    <row r="189" ht="12.75" customHeight="1" s="176"/>
    <row r="190" ht="12.75" customHeight="1" s="176"/>
    <row r="191" ht="12.75" customHeight="1" s="176"/>
    <row r="192" ht="12.75" customHeight="1" s="176"/>
    <row r="193" ht="12.75" customHeight="1" s="176"/>
    <row r="194" ht="12.75" customHeight="1" s="176"/>
    <row r="195" ht="12.75" customHeight="1" s="176"/>
    <row r="196" ht="12.75" customHeight="1" s="176"/>
    <row r="197" ht="12.75" customHeight="1" s="176"/>
    <row r="198" ht="12.75" customHeight="1" s="176"/>
    <row r="199" ht="12.75" customHeight="1" s="176"/>
    <row r="200" ht="12.75" customHeight="1" s="176"/>
    <row r="201" ht="12.75" customHeight="1" s="176"/>
    <row r="202" ht="12.75" customHeight="1" s="176"/>
    <row r="203" ht="12.75" customHeight="1" s="176"/>
    <row r="204" ht="12.75" customHeight="1" s="176"/>
    <row r="205" ht="12.75" customHeight="1" s="176"/>
    <row r="206" ht="12.75" customHeight="1" s="176"/>
    <row r="207" ht="12.75" customHeight="1" s="176"/>
    <row r="208" ht="12.75" customHeight="1" s="176"/>
    <row r="209" ht="12.75" customHeight="1" s="176"/>
    <row r="210" ht="12.75" customHeight="1" s="176"/>
    <row r="211" ht="12.75" customHeight="1" s="176"/>
    <row r="212" ht="12.75" customHeight="1" s="176"/>
    <row r="213" ht="12.75" customHeight="1" s="176"/>
    <row r="214" ht="12.75" customHeight="1" s="176"/>
    <row r="215" ht="12.75" customHeight="1" s="176"/>
    <row r="216" ht="12.75" customHeight="1" s="176"/>
    <row r="217" ht="12.75" customHeight="1" s="176"/>
    <row r="218" ht="12.75" customHeight="1" s="176"/>
    <row r="219" ht="12.75" customHeight="1" s="176"/>
    <row r="220" ht="12.75" customHeight="1" s="176"/>
    <row r="221" ht="12.75" customHeight="1" s="176"/>
    <row r="222" ht="12.75" customHeight="1" s="176"/>
    <row r="223" ht="12.75" customHeight="1" s="176"/>
    <row r="224" ht="12.75" customHeight="1" s="176"/>
    <row r="225" ht="12.75" customHeight="1" s="176"/>
    <row r="226" ht="12.75" customHeight="1" s="176"/>
    <row r="227" ht="12.75" customHeight="1" s="176"/>
    <row r="228" ht="12.75" customHeight="1" s="176"/>
    <row r="229" ht="12.75" customHeight="1" s="176"/>
    <row r="230" ht="12.75" customHeight="1" s="176"/>
    <row r="231" ht="12.75" customHeight="1" s="176"/>
    <row r="232" ht="12.75" customHeight="1" s="176"/>
    <row r="233" ht="12.75" customHeight="1" s="176"/>
    <row r="234" ht="12.75" customHeight="1" s="176"/>
    <row r="235" ht="12.75" customHeight="1" s="176"/>
    <row r="236" ht="12.75" customHeight="1" s="176"/>
    <row r="237" ht="12.75" customHeight="1" s="176"/>
    <row r="238" ht="12.75" customHeight="1" s="176"/>
    <row r="239" ht="12.75" customHeight="1" s="176"/>
    <row r="240" ht="12.75" customHeight="1" s="176"/>
    <row r="241" ht="12.75" customHeight="1" s="176"/>
    <row r="242" ht="12.75" customHeight="1" s="176"/>
    <row r="243" ht="12.75" customHeight="1" s="176"/>
    <row r="244" ht="12.75" customHeight="1" s="176"/>
    <row r="245" ht="12.75" customHeight="1" s="176"/>
    <row r="246" ht="12.75" customHeight="1" s="176"/>
    <row r="247" ht="12.75" customHeight="1" s="176"/>
    <row r="248" ht="12.75" customHeight="1" s="176"/>
    <row r="249" ht="12.75" customHeight="1" s="176"/>
    <row r="250" ht="12.75" customHeight="1" s="176"/>
    <row r="251" ht="12.75" customHeight="1" s="176"/>
    <row r="252" ht="12.75" customHeight="1" s="176"/>
    <row r="253" ht="12.75" customHeight="1" s="176"/>
    <row r="254" ht="12.75" customHeight="1" s="176"/>
    <row r="255" ht="12.75" customHeight="1" s="176"/>
    <row r="256" ht="12.75" customHeight="1" s="176"/>
    <row r="257" ht="12.75" customHeight="1" s="176"/>
    <row r="258" ht="12.75" customHeight="1" s="176"/>
    <row r="259" ht="12.75" customHeight="1" s="176"/>
    <row r="260" ht="12.75" customHeight="1" s="176"/>
    <row r="261" ht="12.75" customHeight="1" s="176"/>
    <row r="262" ht="12.75" customHeight="1" s="176"/>
    <row r="263" ht="12.75" customHeight="1" s="176"/>
    <row r="264" ht="12.75" customHeight="1" s="176"/>
    <row r="265" ht="12.75" customHeight="1" s="176"/>
    <row r="266" ht="12.75" customHeight="1" s="176"/>
    <row r="267" ht="12.75" customHeight="1" s="176"/>
    <row r="268" ht="12.75" customHeight="1" s="176"/>
    <row r="269" ht="12.75" customHeight="1" s="176"/>
    <row r="270" ht="12.75" customHeight="1" s="176"/>
    <row r="271" ht="12.75" customHeight="1" s="176"/>
    <row r="272" ht="12.75" customHeight="1" s="176"/>
    <row r="273" ht="12.75" customHeight="1" s="176"/>
    <row r="274" ht="12.75" customHeight="1" s="176"/>
    <row r="275" ht="12.75" customHeight="1" s="176"/>
    <row r="276" ht="12.75" customHeight="1" s="176"/>
    <row r="277" ht="12.75" customHeight="1" s="176"/>
    <row r="278" ht="12.75" customHeight="1" s="176"/>
    <row r="279" ht="12.75" customHeight="1" s="176"/>
    <row r="280" ht="12.75" customHeight="1" s="176"/>
    <row r="281" ht="12.75" customHeight="1" s="176"/>
    <row r="282" ht="12.75" customHeight="1" s="176"/>
    <row r="283" ht="12.75" customHeight="1" s="176"/>
    <row r="284" ht="12.75" customHeight="1" s="176"/>
    <row r="285" ht="12.75" customHeight="1" s="176"/>
    <row r="286" ht="12.75" customHeight="1" s="176"/>
    <row r="287" ht="12.75" customHeight="1" s="176"/>
    <row r="288" ht="12.75" customHeight="1" s="176"/>
    <row r="289" ht="12.75" customHeight="1" s="176"/>
    <row r="290" ht="12.75" customHeight="1" s="176"/>
    <row r="291" ht="12.75" customHeight="1" s="176"/>
    <row r="292" ht="12.75" customHeight="1" s="176"/>
    <row r="293" ht="12.75" customHeight="1" s="176"/>
    <row r="294" ht="12.75" customHeight="1" s="176"/>
    <row r="295" ht="12.75" customHeight="1" s="176"/>
    <row r="296" ht="12.75" customHeight="1" s="176"/>
    <row r="297" ht="12.75" customHeight="1" s="176"/>
    <row r="298" ht="12.75" customHeight="1" s="176"/>
    <row r="299" ht="12.75" customHeight="1" s="176"/>
    <row r="300" ht="12.75" customHeight="1" s="176"/>
    <row r="301" ht="12.75" customHeight="1" s="176"/>
    <row r="302" ht="12.75" customHeight="1" s="176"/>
    <row r="303" ht="12.75" customHeight="1" s="176"/>
    <row r="304" ht="12.75" customHeight="1" s="176"/>
    <row r="305" ht="12.75" customHeight="1" s="176"/>
    <row r="306" ht="12.75" customHeight="1" s="176"/>
    <row r="307" ht="12.75" customHeight="1" s="176"/>
    <row r="308" ht="12.75" customHeight="1" s="176"/>
    <row r="309" ht="12.75" customHeight="1" s="176"/>
    <row r="310" ht="12.75" customHeight="1" s="176"/>
    <row r="311" ht="12.75" customHeight="1" s="176"/>
    <row r="312" ht="12.75" customHeight="1" s="176"/>
    <row r="313" ht="12.75" customHeight="1" s="176"/>
    <row r="314" ht="12.75" customHeight="1" s="176"/>
    <row r="315" ht="12.75" customHeight="1" s="176"/>
    <row r="316" ht="12.75" customHeight="1" s="176"/>
    <row r="317" ht="12.75" customHeight="1" s="176"/>
    <row r="318" ht="12.75" customHeight="1" s="176"/>
    <row r="319" ht="12.75" customHeight="1" s="176"/>
    <row r="320" ht="12.75" customHeight="1" s="176"/>
    <row r="321" ht="12.75" customHeight="1" s="176"/>
    <row r="322" ht="12.75" customHeight="1" s="176"/>
    <row r="323" ht="12.75" customHeight="1" s="176"/>
    <row r="324" ht="12.75" customHeight="1" s="176"/>
    <row r="325" ht="12.75" customHeight="1" s="176"/>
    <row r="326" ht="12.75" customHeight="1" s="176"/>
    <row r="327" ht="12.75" customHeight="1" s="176"/>
    <row r="328" ht="12.75" customHeight="1" s="176"/>
    <row r="329" ht="12.75" customHeight="1" s="176"/>
    <row r="330" ht="12.75" customHeight="1" s="176"/>
    <row r="331" ht="12.75" customHeight="1" s="176"/>
    <row r="332" ht="12.75" customHeight="1" s="176"/>
    <row r="333" ht="12.75" customHeight="1" s="176"/>
    <row r="334" ht="12.75" customHeight="1" s="176"/>
    <row r="335" ht="12.75" customHeight="1" s="176"/>
    <row r="336" ht="12.75" customHeight="1" s="176"/>
    <row r="337" ht="12.75" customHeight="1" s="176"/>
    <row r="338" ht="12.75" customHeight="1" s="176"/>
    <row r="339" ht="12.75" customHeight="1" s="176"/>
    <row r="340" ht="12.75" customHeight="1" s="176"/>
    <row r="341" ht="12.75" customHeight="1" s="176"/>
    <row r="342" ht="12.75" customHeight="1" s="176"/>
    <row r="343" ht="12.75" customHeight="1" s="176"/>
    <row r="344" ht="12.75" customHeight="1" s="176"/>
    <row r="345" ht="12.75" customHeight="1" s="176"/>
    <row r="346" ht="12.75" customHeight="1" s="176"/>
    <row r="347" ht="12.75" customHeight="1" s="176"/>
    <row r="348" ht="12.75" customHeight="1" s="176"/>
    <row r="349" ht="12.75" customHeight="1" s="176"/>
    <row r="350" ht="12.75" customHeight="1" s="176"/>
    <row r="351" ht="12.75" customHeight="1" s="176"/>
    <row r="352" ht="12.75" customHeight="1" s="176"/>
    <row r="353" ht="12.75" customHeight="1" s="176"/>
    <row r="354" ht="12.75" customHeight="1" s="176"/>
    <row r="355" ht="12.75" customHeight="1" s="176"/>
    <row r="356" ht="12.75" customHeight="1" s="176"/>
    <row r="357" ht="12.75" customHeight="1" s="176"/>
    <row r="358" ht="12.75" customHeight="1" s="176"/>
    <row r="359" ht="12.75" customHeight="1" s="176"/>
    <row r="360" ht="12.75" customHeight="1" s="176"/>
    <row r="361" ht="12.75" customHeight="1" s="176"/>
    <row r="362" ht="12.75" customHeight="1" s="176"/>
    <row r="363" ht="12.75" customHeight="1" s="176"/>
    <row r="364" ht="12.75" customHeight="1" s="176"/>
    <row r="365" ht="12.75" customHeight="1" s="176"/>
    <row r="366" ht="12.75" customHeight="1" s="176"/>
    <row r="367" ht="12.75" customHeight="1" s="176"/>
    <row r="368" ht="12.75" customHeight="1" s="176"/>
    <row r="369" ht="12.75" customHeight="1" s="176"/>
    <row r="370" ht="12.75" customHeight="1" s="176"/>
    <row r="371" ht="12.75" customHeight="1" s="176"/>
    <row r="372" ht="12.75" customHeight="1" s="176"/>
    <row r="373" ht="12.75" customHeight="1" s="176"/>
    <row r="374" ht="12.75" customHeight="1" s="176"/>
    <row r="375" ht="12.75" customHeight="1" s="176"/>
    <row r="376" ht="12.75" customHeight="1" s="176"/>
    <row r="377" ht="12.75" customHeight="1" s="176"/>
    <row r="378" ht="12.75" customHeight="1" s="176"/>
    <row r="379" ht="12.75" customHeight="1" s="176"/>
    <row r="380" ht="12.75" customHeight="1" s="176"/>
    <row r="381" ht="12.75" customHeight="1" s="176"/>
    <row r="382" ht="12.75" customHeight="1" s="176"/>
    <row r="383" ht="12.75" customHeight="1" s="176"/>
    <row r="384" ht="12.75" customHeight="1" s="176"/>
    <row r="385" ht="12.75" customHeight="1" s="176"/>
    <row r="386" ht="12.75" customHeight="1" s="176"/>
    <row r="387" ht="12.75" customHeight="1" s="176"/>
    <row r="388" ht="12.75" customHeight="1" s="176"/>
    <row r="389" ht="12.75" customHeight="1" s="176"/>
    <row r="390" ht="12.75" customHeight="1" s="176"/>
    <row r="391" ht="12.75" customHeight="1" s="176"/>
    <row r="392" ht="12.75" customHeight="1" s="176"/>
    <row r="393" ht="12.75" customHeight="1" s="176"/>
    <row r="394" ht="12.75" customHeight="1" s="176"/>
    <row r="395" ht="12.75" customHeight="1" s="176"/>
    <row r="396" ht="12.75" customHeight="1" s="176"/>
    <row r="397" ht="12.75" customHeight="1" s="176"/>
    <row r="398" ht="12.75" customHeight="1" s="176"/>
    <row r="399" ht="12.75" customHeight="1" s="176"/>
    <row r="400" ht="12.75" customHeight="1" s="176"/>
    <row r="401" ht="12.75" customHeight="1" s="176"/>
    <row r="402" ht="12.75" customHeight="1" s="176"/>
    <row r="403" ht="12.75" customHeight="1" s="176"/>
    <row r="404" ht="12.75" customHeight="1" s="176"/>
    <row r="405" ht="12.75" customHeight="1" s="176"/>
    <row r="406" ht="12.75" customHeight="1" s="176"/>
    <row r="407" ht="12.75" customHeight="1" s="176"/>
    <row r="408" ht="12.75" customHeight="1" s="176"/>
    <row r="409" ht="12.75" customHeight="1" s="176"/>
    <row r="410" ht="12.75" customHeight="1" s="176"/>
    <row r="411" ht="12.75" customHeight="1" s="176"/>
    <row r="412" ht="12.75" customHeight="1" s="176"/>
    <row r="413" ht="12.75" customHeight="1" s="176"/>
    <row r="414" ht="12.75" customHeight="1" s="176"/>
    <row r="415" ht="12.75" customHeight="1" s="176"/>
    <row r="416" ht="12.75" customHeight="1" s="176"/>
    <row r="417" ht="12.75" customHeight="1" s="176"/>
    <row r="418" ht="12.75" customHeight="1" s="176"/>
    <row r="419" ht="12.75" customHeight="1" s="176"/>
    <row r="420" ht="12.75" customHeight="1" s="176"/>
    <row r="421" ht="12.75" customHeight="1" s="176"/>
    <row r="422" ht="12.75" customHeight="1" s="176"/>
    <row r="423" ht="12.75" customHeight="1" s="176"/>
    <row r="424" ht="12.75" customHeight="1" s="176"/>
    <row r="425" ht="12.75" customHeight="1" s="176"/>
    <row r="426" ht="12.75" customHeight="1" s="176"/>
    <row r="427" ht="12.75" customHeight="1" s="176"/>
    <row r="428" ht="12.75" customHeight="1" s="176"/>
    <row r="429" ht="12.75" customHeight="1" s="176"/>
    <row r="430" ht="12.75" customHeight="1" s="176"/>
    <row r="431" ht="12.75" customHeight="1" s="176"/>
    <row r="432" ht="12.75" customHeight="1" s="176"/>
    <row r="433" ht="12.75" customHeight="1" s="176"/>
    <row r="434" ht="12.75" customHeight="1" s="176"/>
    <row r="435" ht="12.75" customHeight="1" s="176"/>
    <row r="436" ht="12.75" customHeight="1" s="176"/>
    <row r="437" ht="12.75" customHeight="1" s="176"/>
    <row r="438" ht="12.75" customHeight="1" s="176"/>
    <row r="439" ht="12.75" customHeight="1" s="176"/>
    <row r="440" ht="12.75" customHeight="1" s="176"/>
    <row r="441" ht="12.75" customHeight="1" s="176"/>
    <row r="442" ht="12.75" customHeight="1" s="176"/>
    <row r="443" ht="12.75" customHeight="1" s="176"/>
    <row r="444" ht="12.75" customHeight="1" s="176"/>
    <row r="445" ht="12.75" customHeight="1" s="176"/>
    <row r="446" ht="12.75" customHeight="1" s="176"/>
    <row r="447" ht="12.75" customHeight="1" s="176"/>
    <row r="448" ht="12.75" customHeight="1" s="176"/>
    <row r="449" ht="12.75" customHeight="1" s="176"/>
    <row r="450" ht="12.75" customHeight="1" s="176"/>
    <row r="451" ht="12.75" customHeight="1" s="176"/>
    <row r="452" ht="12.75" customHeight="1" s="176"/>
    <row r="453" ht="12.75" customHeight="1" s="176"/>
    <row r="454" ht="12.75" customHeight="1" s="176"/>
    <row r="455" ht="12.75" customHeight="1" s="176"/>
    <row r="456" ht="12.75" customHeight="1" s="176"/>
    <row r="457" ht="12.75" customHeight="1" s="176"/>
    <row r="458" ht="12.75" customHeight="1" s="176"/>
    <row r="459" ht="12.75" customHeight="1" s="176"/>
    <row r="460" ht="12.75" customHeight="1" s="176"/>
    <row r="461" ht="12.75" customHeight="1" s="176"/>
    <row r="462" ht="12.75" customHeight="1" s="176"/>
    <row r="463" ht="12.75" customHeight="1" s="176"/>
    <row r="464" ht="12.75" customHeight="1" s="176"/>
    <row r="465" ht="12.75" customHeight="1" s="176"/>
    <row r="466" ht="12.75" customHeight="1" s="176"/>
    <row r="467" ht="12.75" customHeight="1" s="176"/>
    <row r="468" ht="12.75" customHeight="1" s="176"/>
    <row r="469" ht="12.75" customHeight="1" s="176"/>
    <row r="470" ht="12.75" customHeight="1" s="176"/>
    <row r="471" ht="12.75" customHeight="1" s="176"/>
    <row r="472" ht="12.75" customHeight="1" s="176"/>
    <row r="473" ht="12.75" customHeight="1" s="176"/>
    <row r="474" ht="12.75" customHeight="1" s="176"/>
    <row r="475" ht="12.75" customHeight="1" s="176"/>
    <row r="476" ht="12.75" customHeight="1" s="176"/>
    <row r="477" ht="12.75" customHeight="1" s="176"/>
    <row r="478" ht="12.75" customHeight="1" s="176"/>
    <row r="479" ht="12.75" customHeight="1" s="176"/>
    <row r="480" ht="12.75" customHeight="1" s="176"/>
    <row r="481" ht="12.75" customHeight="1" s="176"/>
    <row r="482" ht="12.75" customHeight="1" s="176"/>
    <row r="483" ht="12.75" customHeight="1" s="176"/>
    <row r="484" ht="12.75" customHeight="1" s="176"/>
    <row r="485" ht="12.75" customHeight="1" s="176"/>
    <row r="486" ht="12.75" customHeight="1" s="176"/>
    <row r="487" ht="12.75" customHeight="1" s="176"/>
    <row r="488" ht="12.75" customHeight="1" s="176"/>
    <row r="489" ht="12.75" customHeight="1" s="176"/>
    <row r="490" ht="12.75" customHeight="1" s="176"/>
    <row r="491" ht="12.75" customHeight="1" s="176"/>
    <row r="492" ht="12.75" customHeight="1" s="176"/>
    <row r="493" ht="12.75" customHeight="1" s="176"/>
    <row r="494" ht="12.75" customHeight="1" s="176"/>
    <row r="495" ht="12.75" customHeight="1" s="176"/>
    <row r="496" ht="12.75" customHeight="1" s="176"/>
    <row r="497" ht="12.75" customHeight="1" s="176"/>
    <row r="498" ht="12.75" customHeight="1" s="176"/>
    <row r="499" ht="12.75" customHeight="1" s="176"/>
    <row r="500" ht="12.75" customHeight="1" s="176"/>
    <row r="501" ht="12.75" customHeight="1" s="176"/>
    <row r="502" ht="12.75" customHeight="1" s="176"/>
    <row r="503" ht="12.75" customHeight="1" s="176"/>
    <row r="504" ht="12.75" customHeight="1" s="176"/>
    <row r="505" ht="12.75" customHeight="1" s="176"/>
    <row r="506" ht="12.75" customHeight="1" s="176"/>
    <row r="507" ht="12.75" customHeight="1" s="176"/>
    <row r="508" ht="12.75" customHeight="1" s="176"/>
    <row r="509" ht="12.75" customHeight="1" s="176"/>
    <row r="510" ht="12.75" customHeight="1" s="176"/>
    <row r="511" ht="12.75" customHeight="1" s="176"/>
    <row r="512" ht="12.75" customHeight="1" s="176"/>
    <row r="513" ht="12.75" customHeight="1" s="176"/>
    <row r="514" ht="12.75" customHeight="1" s="176"/>
    <row r="515" ht="12.75" customHeight="1" s="176"/>
    <row r="516" ht="12.75" customHeight="1" s="176"/>
    <row r="517" ht="12.75" customHeight="1" s="176"/>
    <row r="518" ht="12.75" customHeight="1" s="176"/>
    <row r="519" ht="12.75" customHeight="1" s="176"/>
    <row r="520" ht="12.75" customHeight="1" s="176"/>
    <row r="521" ht="12.75" customHeight="1" s="176"/>
    <row r="522" ht="12.75" customHeight="1" s="176"/>
    <row r="523" ht="12.75" customHeight="1" s="176"/>
    <row r="524" ht="12.75" customHeight="1" s="176"/>
    <row r="525" ht="12.75" customHeight="1" s="176"/>
    <row r="526" ht="12.75" customHeight="1" s="176"/>
    <row r="527" ht="12.75" customHeight="1" s="176"/>
    <row r="528" ht="12.75" customHeight="1" s="176"/>
    <row r="529" ht="12.75" customHeight="1" s="176"/>
    <row r="530" ht="12.75" customHeight="1" s="176"/>
    <row r="531" ht="12.75" customHeight="1" s="176"/>
    <row r="532" ht="12.75" customHeight="1" s="176"/>
    <row r="533" ht="12.75" customHeight="1" s="176"/>
    <row r="534" ht="12.75" customHeight="1" s="176"/>
    <row r="535" ht="12.75" customHeight="1" s="176"/>
    <row r="536" ht="12.75" customHeight="1" s="176"/>
    <row r="537" ht="12.75" customHeight="1" s="176"/>
    <row r="538" ht="12.75" customHeight="1" s="176"/>
    <row r="539" ht="12.75" customHeight="1" s="176"/>
    <row r="540" ht="12.75" customHeight="1" s="176"/>
    <row r="541" ht="12.75" customHeight="1" s="176"/>
    <row r="542" ht="12.75" customHeight="1" s="176"/>
    <row r="543" ht="12.75" customHeight="1" s="176"/>
    <row r="544" ht="12.75" customHeight="1" s="176"/>
    <row r="545" ht="12.75" customHeight="1" s="176"/>
    <row r="546" ht="12.75" customHeight="1" s="176"/>
    <row r="547" ht="12.75" customHeight="1" s="176"/>
    <row r="548" ht="12.75" customHeight="1" s="176"/>
    <row r="549" ht="12.75" customHeight="1" s="176"/>
    <row r="550" ht="12.75" customHeight="1" s="176"/>
    <row r="551" ht="12.75" customHeight="1" s="176"/>
    <row r="552" ht="12.75" customHeight="1" s="176"/>
    <row r="553" ht="12.75" customHeight="1" s="176"/>
    <row r="554" ht="12.75" customHeight="1" s="176"/>
    <row r="555" ht="12.75" customHeight="1" s="176"/>
    <row r="556" ht="12.75" customHeight="1" s="176"/>
    <row r="557" ht="12.75" customHeight="1" s="176"/>
    <row r="558" ht="12.75" customHeight="1" s="176"/>
    <row r="559" ht="12.75" customHeight="1" s="176"/>
    <row r="560" ht="12.75" customHeight="1" s="176"/>
    <row r="561" ht="12.75" customHeight="1" s="176"/>
    <row r="562" ht="12.75" customHeight="1" s="176"/>
    <row r="563" ht="12.75" customHeight="1" s="176"/>
    <row r="564" ht="12.75" customHeight="1" s="176"/>
    <row r="565" ht="12.75" customHeight="1" s="176"/>
    <row r="566" ht="12.75" customHeight="1" s="176"/>
    <row r="567" ht="12.75" customHeight="1" s="176"/>
    <row r="568" ht="12.75" customHeight="1" s="176"/>
    <row r="569" ht="12.75" customHeight="1" s="176"/>
    <row r="570" ht="12.75" customHeight="1" s="176"/>
    <row r="571" ht="12.75" customHeight="1" s="176"/>
    <row r="572" ht="12.75" customHeight="1" s="176"/>
    <row r="573" ht="12.75" customHeight="1" s="176"/>
    <row r="574" ht="12.75" customHeight="1" s="176"/>
    <row r="575" ht="12.75" customHeight="1" s="176"/>
    <row r="576" ht="12.75" customHeight="1" s="176"/>
    <row r="577" ht="12.75" customHeight="1" s="176"/>
    <row r="578" ht="12.75" customHeight="1" s="176"/>
    <row r="579" ht="12.75" customHeight="1" s="176"/>
    <row r="580" ht="12.75" customHeight="1" s="176"/>
    <row r="581" ht="12.75" customHeight="1" s="176"/>
    <row r="582" ht="12.75" customHeight="1" s="176"/>
    <row r="583" ht="12.75" customHeight="1" s="176"/>
    <row r="584" ht="12.75" customHeight="1" s="176"/>
    <row r="585" ht="12.75" customHeight="1" s="176"/>
    <row r="586" ht="12.75" customHeight="1" s="176"/>
    <row r="587" ht="12.75" customHeight="1" s="176"/>
    <row r="588" ht="12.75" customHeight="1" s="176"/>
    <row r="589" ht="12.75" customHeight="1" s="176"/>
    <row r="590" ht="12.75" customHeight="1" s="176"/>
    <row r="591" ht="12.75" customHeight="1" s="176"/>
    <row r="592" ht="12.75" customHeight="1" s="176"/>
    <row r="593" ht="12.75" customHeight="1" s="176"/>
    <row r="594" ht="12.75" customHeight="1" s="176"/>
    <row r="595" ht="12.75" customHeight="1" s="176"/>
    <row r="596" ht="12.75" customHeight="1" s="176"/>
    <row r="597" ht="12.75" customHeight="1" s="176"/>
    <row r="598" ht="12.75" customHeight="1" s="176"/>
    <row r="599" ht="12.75" customHeight="1" s="176"/>
    <row r="600" ht="12.75" customHeight="1" s="176"/>
    <row r="601" ht="12.75" customHeight="1" s="176"/>
    <row r="602" ht="12.75" customHeight="1" s="176"/>
    <row r="603" ht="12.75" customHeight="1" s="176"/>
    <row r="604" ht="12.75" customHeight="1" s="176"/>
    <row r="605" ht="12.75" customHeight="1" s="176"/>
    <row r="606" ht="12.75" customHeight="1" s="176"/>
    <row r="607" ht="12.75" customHeight="1" s="176"/>
    <row r="608" ht="12.75" customHeight="1" s="176"/>
    <row r="609" ht="12.75" customHeight="1" s="176"/>
    <row r="610" ht="12.75" customHeight="1" s="176"/>
    <row r="611" ht="12.75" customHeight="1" s="176"/>
    <row r="612" ht="12.75" customHeight="1" s="176"/>
    <row r="613" ht="12.75" customHeight="1" s="176"/>
    <row r="614" ht="12.75" customHeight="1" s="176"/>
    <row r="615" ht="12.75" customHeight="1" s="176"/>
    <row r="616" ht="12.75" customHeight="1" s="176"/>
    <row r="617" ht="12.75" customHeight="1" s="176"/>
    <row r="618" ht="12.75" customHeight="1" s="176"/>
    <row r="619" ht="12.75" customHeight="1" s="176"/>
    <row r="620" ht="12.75" customHeight="1" s="176"/>
    <row r="621" ht="12.75" customHeight="1" s="176"/>
    <row r="622" ht="12.75" customHeight="1" s="176"/>
    <row r="623" ht="12.75" customHeight="1" s="176"/>
    <row r="624" ht="12.75" customHeight="1" s="176"/>
    <row r="625" ht="12.75" customHeight="1" s="176"/>
    <row r="626" ht="12.75" customHeight="1" s="176"/>
    <row r="627" ht="12.75" customHeight="1" s="176"/>
    <row r="628" ht="12.75" customHeight="1" s="176"/>
    <row r="629" ht="12.75" customHeight="1" s="176"/>
    <row r="630" ht="12.75" customHeight="1" s="176"/>
    <row r="631" ht="12.75" customHeight="1" s="176"/>
    <row r="632" ht="12.75" customHeight="1" s="176"/>
    <row r="633" ht="12.75" customHeight="1" s="176"/>
    <row r="634" ht="12.75" customHeight="1" s="176"/>
    <row r="635" ht="12.75" customHeight="1" s="176"/>
    <row r="636" ht="12.75" customHeight="1" s="176"/>
    <row r="637" ht="12.75" customHeight="1" s="176"/>
    <row r="638" ht="12.75" customHeight="1" s="176"/>
    <row r="639" ht="12.75" customHeight="1" s="176"/>
    <row r="640" ht="12.75" customHeight="1" s="176"/>
    <row r="641" ht="12.75" customHeight="1" s="176"/>
    <row r="642" ht="12.75" customHeight="1" s="176"/>
    <row r="643" ht="12.75" customHeight="1" s="176"/>
    <row r="644" ht="12.75" customHeight="1" s="176"/>
    <row r="645" ht="12.75" customHeight="1" s="176"/>
    <row r="646" ht="12.75" customHeight="1" s="176"/>
    <row r="647" ht="12.75" customHeight="1" s="176"/>
    <row r="648" ht="12.75" customHeight="1" s="176"/>
    <row r="649" ht="12.75" customHeight="1" s="176"/>
    <row r="650" ht="12.75" customHeight="1" s="176"/>
    <row r="651" ht="12.75" customHeight="1" s="176"/>
    <row r="652" ht="12.75" customHeight="1" s="176"/>
    <row r="653" ht="12.75" customHeight="1" s="176"/>
    <row r="654" ht="12.75" customHeight="1" s="176"/>
    <row r="655" ht="12.75" customHeight="1" s="176"/>
    <row r="656" ht="12.75" customHeight="1" s="176"/>
    <row r="657" ht="12.75" customHeight="1" s="176"/>
    <row r="658" ht="12.75" customHeight="1" s="176"/>
    <row r="659" ht="12.75" customHeight="1" s="176"/>
    <row r="660" ht="12.75" customHeight="1" s="176"/>
    <row r="661" ht="12.75" customHeight="1" s="176"/>
    <row r="662" ht="12.75" customHeight="1" s="176"/>
    <row r="663" ht="12.75" customHeight="1" s="176"/>
    <row r="664" ht="12.75" customHeight="1" s="176"/>
    <row r="665" ht="12.75" customHeight="1" s="176"/>
    <row r="666" ht="12.75" customHeight="1" s="176"/>
    <row r="667" ht="12.75" customHeight="1" s="176"/>
    <row r="668" ht="12.75" customHeight="1" s="176"/>
    <row r="669" ht="12.75" customHeight="1" s="176"/>
    <row r="670" ht="12.75" customHeight="1" s="176"/>
    <row r="671" ht="12.75" customHeight="1" s="176"/>
    <row r="672" ht="12.75" customHeight="1" s="176"/>
    <row r="673" ht="12.75" customHeight="1" s="176"/>
    <row r="674" ht="12.75" customHeight="1" s="176"/>
    <row r="675" ht="12.75" customHeight="1" s="176"/>
    <row r="676" ht="12.75" customHeight="1" s="176"/>
    <row r="677" ht="12.75" customHeight="1" s="176"/>
    <row r="678" ht="12.75" customHeight="1" s="176"/>
    <row r="679" ht="12.75" customHeight="1" s="176"/>
    <row r="680" ht="12.75" customHeight="1" s="176"/>
    <row r="681" ht="12.75" customHeight="1" s="176"/>
    <row r="682" ht="12.75" customHeight="1" s="176"/>
    <row r="683" ht="12.75" customHeight="1" s="176"/>
    <row r="684" ht="12.75" customHeight="1" s="176"/>
    <row r="685" ht="12.75" customHeight="1" s="176"/>
    <row r="686" ht="12.75" customHeight="1" s="176"/>
    <row r="687" ht="12.75" customHeight="1" s="176"/>
    <row r="688" ht="12.75" customHeight="1" s="176"/>
    <row r="689" ht="12.75" customHeight="1" s="176"/>
    <row r="690" ht="12.75" customHeight="1" s="176"/>
    <row r="691" ht="12.75" customHeight="1" s="176"/>
    <row r="692" ht="12.75" customHeight="1" s="176"/>
    <row r="693" ht="12.75" customHeight="1" s="176"/>
    <row r="694" ht="12.75" customHeight="1" s="176"/>
    <row r="695" ht="12.75" customHeight="1" s="176"/>
    <row r="696" ht="12.75" customHeight="1" s="176"/>
    <row r="697" ht="12.75" customHeight="1" s="176"/>
    <row r="698" ht="12.75" customHeight="1" s="176"/>
    <row r="699" ht="12.75" customHeight="1" s="176"/>
    <row r="700" ht="12.75" customHeight="1" s="176"/>
    <row r="701" ht="12.75" customHeight="1" s="176"/>
    <row r="702" ht="12.75" customHeight="1" s="176"/>
    <row r="703" ht="12.75" customHeight="1" s="176"/>
    <row r="704" ht="12.75" customHeight="1" s="176"/>
    <row r="705" ht="12.75" customHeight="1" s="176"/>
    <row r="706" ht="12.75" customHeight="1" s="176"/>
    <row r="707" ht="12.75" customHeight="1" s="176"/>
    <row r="708" ht="12.75" customHeight="1" s="176"/>
    <row r="709" ht="12.75" customHeight="1" s="176"/>
    <row r="710" ht="12.75" customHeight="1" s="176"/>
    <row r="711" ht="12.75" customHeight="1" s="176"/>
    <row r="712" ht="12.75" customHeight="1" s="176"/>
    <row r="713" ht="12.75" customHeight="1" s="176"/>
    <row r="714" ht="12.75" customHeight="1" s="176"/>
    <row r="715" ht="12.75" customHeight="1" s="176"/>
    <row r="716" ht="12.75" customHeight="1" s="176"/>
    <row r="717" ht="12.75" customHeight="1" s="176"/>
    <row r="718" ht="12.75" customHeight="1" s="176"/>
    <row r="719" ht="12.75" customHeight="1" s="176"/>
    <row r="720" ht="12.75" customHeight="1" s="176"/>
    <row r="721" ht="12.75" customHeight="1" s="176"/>
    <row r="722" ht="12.75" customHeight="1" s="176"/>
    <row r="723" ht="12.75" customHeight="1" s="176"/>
    <row r="724" ht="12.75" customHeight="1" s="176"/>
    <row r="725" ht="12.75" customHeight="1" s="176"/>
    <row r="726" ht="12.75" customHeight="1" s="176"/>
    <row r="727" ht="12.75" customHeight="1" s="176"/>
    <row r="728" ht="12.75" customHeight="1" s="176"/>
    <row r="729" ht="12.75" customHeight="1" s="176"/>
    <row r="730" ht="12.75" customHeight="1" s="176"/>
    <row r="731" ht="12.75" customHeight="1" s="176"/>
    <row r="732" ht="12.75" customHeight="1" s="176"/>
    <row r="733" ht="12.75" customHeight="1" s="176"/>
    <row r="734" ht="12.75" customHeight="1" s="176"/>
    <row r="735" ht="12.75" customHeight="1" s="176"/>
    <row r="736" ht="12.75" customHeight="1" s="176"/>
    <row r="737" ht="12.75" customHeight="1" s="176"/>
    <row r="738" ht="12.75" customHeight="1" s="176"/>
    <row r="739" ht="12.75" customHeight="1" s="176"/>
    <row r="740" ht="12.75" customHeight="1" s="176"/>
    <row r="741" ht="12.75" customHeight="1" s="176"/>
    <row r="742" ht="12.75" customHeight="1" s="176"/>
    <row r="743" ht="12.75" customHeight="1" s="176"/>
    <row r="744" ht="12.75" customHeight="1" s="176"/>
    <row r="745" ht="12.75" customHeight="1" s="176"/>
    <row r="746" ht="12.75" customHeight="1" s="176"/>
    <row r="747" ht="12.75" customHeight="1" s="176"/>
    <row r="748" ht="12.75" customHeight="1" s="176"/>
    <row r="749" ht="12.75" customHeight="1" s="176"/>
    <row r="750" ht="12.75" customHeight="1" s="176"/>
    <row r="751" ht="12.75" customHeight="1" s="176"/>
    <row r="752" ht="12.75" customHeight="1" s="176"/>
    <row r="753" ht="12.75" customHeight="1" s="176"/>
    <row r="754" ht="12.75" customHeight="1" s="176"/>
    <row r="755" ht="12.75" customHeight="1" s="176"/>
    <row r="756" ht="12.75" customHeight="1" s="176"/>
    <row r="757" ht="12.75" customHeight="1" s="176"/>
    <row r="758" ht="12.75" customHeight="1" s="176"/>
    <row r="759" ht="12.75" customHeight="1" s="176"/>
    <row r="760" ht="12.75" customHeight="1" s="176"/>
    <row r="761" ht="12.75" customHeight="1" s="176"/>
    <row r="762" ht="12.75" customHeight="1" s="176"/>
    <row r="763" ht="12.75" customHeight="1" s="176"/>
    <row r="764" ht="12.75" customHeight="1" s="176"/>
    <row r="765" ht="12.75" customHeight="1" s="176"/>
    <row r="766" ht="12.75" customHeight="1" s="176"/>
    <row r="767" ht="12.75" customHeight="1" s="176"/>
    <row r="768" ht="12.75" customHeight="1" s="176"/>
    <row r="769" ht="12.75" customHeight="1" s="176"/>
    <row r="770" ht="12.75" customHeight="1" s="176"/>
    <row r="771" ht="12.75" customHeight="1" s="176"/>
    <row r="772" ht="12.75" customHeight="1" s="176"/>
    <row r="773" ht="12.75" customHeight="1" s="176"/>
    <row r="774" ht="12.75" customHeight="1" s="176"/>
    <row r="775" ht="12.75" customHeight="1" s="176"/>
    <row r="776" ht="12.75" customHeight="1" s="176"/>
    <row r="777" ht="12.75" customHeight="1" s="176"/>
    <row r="778" ht="12.75" customHeight="1" s="176"/>
    <row r="779" ht="12.75" customHeight="1" s="176"/>
    <row r="780" ht="12.75" customHeight="1" s="176"/>
    <row r="781" ht="12.75" customHeight="1" s="176"/>
    <row r="782" ht="12.75" customHeight="1" s="176"/>
    <row r="783" ht="12.75" customHeight="1" s="176"/>
    <row r="784" ht="12.75" customHeight="1" s="176"/>
    <row r="785" ht="12.75" customHeight="1" s="176"/>
    <row r="786" ht="12.75" customHeight="1" s="176"/>
    <row r="787" ht="12.75" customHeight="1" s="176"/>
    <row r="788" ht="12.75" customHeight="1" s="176"/>
    <row r="789" ht="12.75" customHeight="1" s="176"/>
    <row r="790" ht="12.75" customHeight="1" s="176"/>
    <row r="791" ht="12.75" customHeight="1" s="176"/>
    <row r="792" ht="12.75" customHeight="1" s="176"/>
    <row r="793" ht="12.75" customHeight="1" s="176"/>
    <row r="794" ht="12.75" customHeight="1" s="176"/>
    <row r="795" ht="12.75" customHeight="1" s="176"/>
    <row r="796" ht="12.75" customHeight="1" s="176"/>
    <row r="797" ht="12.75" customHeight="1" s="176"/>
    <row r="798" ht="12.75" customHeight="1" s="176"/>
    <row r="799" ht="12.75" customHeight="1" s="176"/>
    <row r="800" ht="12.75" customHeight="1" s="176"/>
    <row r="801" ht="12.75" customHeight="1" s="176"/>
    <row r="802" ht="12.75" customHeight="1" s="176"/>
    <row r="803" ht="12.75" customHeight="1" s="176"/>
    <row r="804" ht="12.75" customHeight="1" s="176"/>
    <row r="805" ht="12.75" customHeight="1" s="176"/>
    <row r="806" ht="12.75" customHeight="1" s="176"/>
    <row r="807" ht="12.75" customHeight="1" s="176"/>
    <row r="808" ht="12.75" customHeight="1" s="176"/>
    <row r="809" ht="12.75" customHeight="1" s="176"/>
    <row r="810" ht="12.75" customHeight="1" s="176"/>
    <row r="811" ht="12.75" customHeight="1" s="176"/>
    <row r="812" ht="12.75" customHeight="1" s="176"/>
    <row r="813" ht="12.75" customHeight="1" s="176"/>
    <row r="814" ht="12.75" customHeight="1" s="176"/>
    <row r="815" ht="12.75" customHeight="1" s="176"/>
    <row r="816" ht="12.75" customHeight="1" s="176"/>
    <row r="817" ht="12.75" customHeight="1" s="176"/>
    <row r="818" ht="12.75" customHeight="1" s="176"/>
    <row r="819" ht="12.75" customHeight="1" s="176"/>
    <row r="820" ht="12.75" customHeight="1" s="176"/>
    <row r="821" ht="12.75" customHeight="1" s="176"/>
    <row r="822" ht="12.75" customHeight="1" s="176"/>
    <row r="823" ht="12.75" customHeight="1" s="176"/>
    <row r="824" ht="12.75" customHeight="1" s="176"/>
    <row r="825" ht="12.75" customHeight="1" s="176"/>
    <row r="826" ht="12.75" customHeight="1" s="176"/>
    <row r="827" ht="12.75" customHeight="1" s="176"/>
    <row r="828" ht="12.75" customHeight="1" s="176"/>
    <row r="829" ht="12.75" customHeight="1" s="176"/>
    <row r="830" ht="12.75" customHeight="1" s="176"/>
    <row r="831" ht="12.75" customHeight="1" s="176"/>
    <row r="832" ht="12.75" customHeight="1" s="176"/>
    <row r="833" ht="12.75" customHeight="1" s="176"/>
    <row r="834" ht="12.75" customHeight="1" s="176"/>
    <row r="835" ht="12.75" customHeight="1" s="176"/>
    <row r="836" ht="12.75" customHeight="1" s="176"/>
    <row r="837" ht="12.75" customHeight="1" s="176"/>
    <row r="838" ht="12.75" customHeight="1" s="176"/>
    <row r="839" ht="12.75" customHeight="1" s="176"/>
    <row r="840" ht="12.75" customHeight="1" s="176"/>
    <row r="841" ht="12.75" customHeight="1" s="176"/>
    <row r="842" ht="12.75" customHeight="1" s="176"/>
    <row r="843" ht="12.75" customHeight="1" s="176"/>
    <row r="844" ht="12.75" customHeight="1" s="176"/>
    <row r="845" ht="12.75" customHeight="1" s="176"/>
    <row r="846" ht="12.75" customHeight="1" s="176"/>
    <row r="847" ht="12.75" customHeight="1" s="176"/>
    <row r="848" ht="12.75" customHeight="1" s="176"/>
    <row r="849" ht="12.75" customHeight="1" s="176"/>
    <row r="850" ht="12.75" customHeight="1" s="176"/>
    <row r="851" ht="12.75" customHeight="1" s="176"/>
    <row r="852" ht="12.75" customHeight="1" s="176"/>
    <row r="853" ht="12.75" customHeight="1" s="176"/>
    <row r="854" ht="12.75" customHeight="1" s="176"/>
    <row r="855" ht="12.75" customHeight="1" s="176"/>
    <row r="856" ht="12.75" customHeight="1" s="176"/>
    <row r="857" ht="12.75" customHeight="1" s="176"/>
    <row r="858" ht="12.75" customHeight="1" s="176"/>
    <row r="859" ht="12.75" customHeight="1" s="176"/>
    <row r="860" ht="12.75" customHeight="1" s="176"/>
    <row r="861" ht="12.75" customHeight="1" s="176"/>
    <row r="862" ht="12.75" customHeight="1" s="176"/>
    <row r="863" ht="12.75" customHeight="1" s="176"/>
    <row r="864" ht="12.75" customHeight="1" s="176"/>
    <row r="865" ht="12.75" customHeight="1" s="176"/>
    <row r="866" ht="12.75" customHeight="1" s="176"/>
    <row r="867" ht="12.75" customHeight="1" s="176"/>
    <row r="868" ht="12.75" customHeight="1" s="176"/>
    <row r="869" ht="12.75" customHeight="1" s="176"/>
    <row r="870" ht="12.75" customHeight="1" s="176"/>
    <row r="871" ht="12.75" customHeight="1" s="176"/>
    <row r="872" ht="12.75" customHeight="1" s="176"/>
    <row r="873" ht="12.75" customHeight="1" s="176"/>
    <row r="874" ht="12.75" customHeight="1" s="176"/>
    <row r="875" ht="12.75" customHeight="1" s="176"/>
    <row r="876" ht="12.75" customHeight="1" s="176"/>
    <row r="877" ht="12.75" customHeight="1" s="176"/>
    <row r="878" ht="12.75" customHeight="1" s="176"/>
    <row r="879" ht="12.75" customHeight="1" s="176"/>
    <row r="880" ht="12.75" customHeight="1" s="176"/>
    <row r="881" ht="12.75" customHeight="1" s="176"/>
    <row r="882" ht="12.75" customHeight="1" s="176"/>
    <row r="883" ht="12.75" customHeight="1" s="176"/>
    <row r="884" ht="12.75" customHeight="1" s="176"/>
    <row r="885" ht="12.75" customHeight="1" s="176"/>
    <row r="886" ht="12.75" customHeight="1" s="176"/>
    <row r="887" ht="12.75" customHeight="1" s="176"/>
    <row r="888" ht="12.75" customHeight="1" s="176"/>
    <row r="889" ht="12.75" customHeight="1" s="176"/>
    <row r="890" ht="12.75" customHeight="1" s="176"/>
    <row r="891" ht="12.75" customHeight="1" s="176"/>
    <row r="892" ht="12.75" customHeight="1" s="176"/>
    <row r="893" ht="12.75" customHeight="1" s="176"/>
    <row r="894" ht="12.75" customHeight="1" s="176"/>
    <row r="895" ht="12.75" customHeight="1" s="176"/>
    <row r="896" ht="12.75" customHeight="1" s="176"/>
    <row r="897" ht="12.75" customHeight="1" s="176"/>
    <row r="898" ht="12.75" customHeight="1" s="176"/>
    <row r="899" ht="12.75" customHeight="1" s="176"/>
    <row r="900" ht="12.75" customHeight="1" s="176"/>
    <row r="901" ht="12.75" customHeight="1" s="176"/>
    <row r="902" ht="12.75" customHeight="1" s="176"/>
    <row r="903" ht="12.75" customHeight="1" s="176"/>
    <row r="904" ht="12.75" customHeight="1" s="176"/>
    <row r="905" ht="12.75" customHeight="1" s="176"/>
    <row r="906" ht="12.75" customHeight="1" s="176"/>
    <row r="907" ht="12.75" customHeight="1" s="176"/>
    <row r="908" ht="12.75" customHeight="1" s="176"/>
    <row r="909" ht="12.75" customHeight="1" s="176"/>
    <row r="910" ht="12.75" customHeight="1" s="176"/>
    <row r="911" ht="12.75" customHeight="1" s="176"/>
    <row r="912" ht="12.75" customHeight="1" s="176"/>
    <row r="913" ht="12.75" customHeight="1" s="176"/>
    <row r="914" ht="12.75" customHeight="1" s="176"/>
    <row r="915" ht="12.75" customHeight="1" s="176"/>
    <row r="916" ht="12.75" customHeight="1" s="176"/>
    <row r="917" ht="12.75" customHeight="1" s="176"/>
    <row r="918" ht="12.75" customHeight="1" s="176"/>
    <row r="919" ht="12.75" customHeight="1" s="176"/>
    <row r="920" ht="12.75" customHeight="1" s="176"/>
    <row r="921" ht="12.75" customHeight="1" s="176"/>
    <row r="922" ht="12.75" customHeight="1" s="176"/>
    <row r="923" ht="12.75" customHeight="1" s="176"/>
    <row r="924" ht="12.75" customHeight="1" s="176"/>
    <row r="925" ht="12.75" customHeight="1" s="176"/>
    <row r="926" ht="12.75" customHeight="1" s="176"/>
    <row r="927" ht="12.75" customHeight="1" s="176"/>
    <row r="928" ht="12.75" customHeight="1" s="176"/>
    <row r="929" ht="12.75" customHeight="1" s="176"/>
    <row r="930" ht="12.75" customHeight="1" s="176"/>
    <row r="931" ht="12.75" customHeight="1" s="176"/>
    <row r="932" ht="12.75" customHeight="1" s="176"/>
    <row r="933" ht="12.75" customHeight="1" s="176"/>
    <row r="934" ht="12.75" customHeight="1" s="176"/>
    <row r="935" ht="12.75" customHeight="1" s="176"/>
    <row r="936" ht="12.75" customHeight="1" s="176"/>
    <row r="937" ht="12.75" customHeight="1" s="176"/>
    <row r="938" ht="12.75" customHeight="1" s="176"/>
    <row r="939" ht="12.75" customHeight="1" s="176"/>
    <row r="940" ht="12.75" customHeight="1" s="176"/>
    <row r="941" ht="12.75" customHeight="1" s="176"/>
    <row r="942" ht="12.75" customHeight="1" s="176"/>
    <row r="943" ht="12.75" customHeight="1" s="176"/>
    <row r="944" ht="12.75" customHeight="1" s="176"/>
    <row r="945" ht="12.75" customHeight="1" s="176"/>
    <row r="946" ht="12.75" customHeight="1" s="176"/>
    <row r="947" ht="12.75" customHeight="1" s="176"/>
    <row r="948" ht="12.75" customHeight="1" s="176"/>
    <row r="949" ht="12.75" customHeight="1" s="176"/>
    <row r="950" ht="12.75" customHeight="1" s="176"/>
    <row r="951" ht="12.75" customHeight="1" s="176"/>
    <row r="952" ht="12.75" customHeight="1" s="176"/>
    <row r="953" ht="12.75" customHeight="1" s="176"/>
    <row r="954" ht="12.75" customHeight="1" s="176"/>
    <row r="955" ht="12.75" customHeight="1" s="176"/>
    <row r="956" ht="12.75" customHeight="1" s="176"/>
    <row r="957" ht="12.75" customHeight="1" s="176"/>
    <row r="958" ht="12.75" customHeight="1" s="176"/>
    <row r="959" ht="12.75" customHeight="1" s="176"/>
    <row r="960" ht="12.75" customHeight="1" s="176"/>
    <row r="961" ht="12.75" customHeight="1" s="176"/>
    <row r="962" ht="12.75" customHeight="1" s="176"/>
    <row r="963" ht="12.75" customHeight="1" s="176"/>
    <row r="964" ht="12.75" customHeight="1" s="176"/>
    <row r="965" ht="12.75" customHeight="1" s="176"/>
    <row r="966" ht="12.75" customHeight="1" s="176"/>
    <row r="967" ht="12.75" customHeight="1" s="176"/>
    <row r="968" ht="12.75" customHeight="1" s="176"/>
    <row r="969" ht="12.75" customHeight="1" s="176"/>
    <row r="970" ht="12.75" customHeight="1" s="176"/>
    <row r="971" ht="12.75" customHeight="1" s="176"/>
    <row r="972" ht="12.75" customHeight="1" s="176"/>
    <row r="973" ht="12.75" customHeight="1" s="176"/>
    <row r="974" ht="12.75" customHeight="1" s="176"/>
    <row r="975" ht="12.75" customHeight="1" s="176"/>
    <row r="976" ht="12.75" customHeight="1" s="176"/>
    <row r="977" ht="12.75" customHeight="1" s="176"/>
    <row r="978" ht="12.75" customHeight="1" s="176"/>
    <row r="979" ht="12.75" customHeight="1" s="176"/>
    <row r="980" ht="12.75" customHeight="1" s="176"/>
    <row r="981" ht="12.75" customHeight="1" s="176"/>
    <row r="982" ht="12.75" customHeight="1" s="176"/>
    <row r="983" ht="12.75" customHeight="1" s="176"/>
    <row r="984" ht="12.75" customHeight="1" s="176"/>
    <row r="985" ht="12.75" customHeight="1" s="176"/>
    <row r="986" ht="12.75" customHeight="1" s="176"/>
    <row r="987" ht="12.75" customHeight="1" s="176"/>
    <row r="988" ht="12.75" customHeight="1" s="176"/>
    <row r="989" ht="12.75" customHeight="1" s="176"/>
    <row r="990" ht="12.75" customHeight="1" s="176"/>
    <row r="991" ht="12.75" customHeight="1" s="176"/>
    <row r="992" ht="12.75" customHeight="1" s="176"/>
    <row r="993" ht="12.75" customHeight="1" s="176"/>
    <row r="994" ht="12.75" customHeight="1" s="176"/>
    <row r="995" ht="12.75" customHeight="1" s="176"/>
    <row r="996" ht="12.75" customHeight="1" s="176"/>
    <row r="997" ht="12.75" customHeight="1" s="176"/>
    <row r="998" ht="12.75" customHeight="1" s="176"/>
    <row r="999" ht="12.75" customHeight="1" s="176"/>
    <row r="1000" ht="12.75" customHeight="1" s="176"/>
  </sheetData>
  <mergeCells count="12">
    <mergeCell ref="A2:F2"/>
    <mergeCell ref="A51:F51"/>
    <mergeCell ref="A52:F52"/>
    <mergeCell ref="A47:F47"/>
    <mergeCell ref="A54:F54"/>
    <mergeCell ref="A46:F46"/>
    <mergeCell ref="A49:F49"/>
    <mergeCell ref="A45:F45"/>
    <mergeCell ref="A50:F50"/>
    <mergeCell ref="A48:F48"/>
    <mergeCell ref="A53:F53"/>
    <mergeCell ref="A55:F55"/>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homologar_ciclico_g1522</dc:creator>
  <dcterms:created xmlns:dcterms="http://purl.org/dc/terms/" xmlns:xsi="http://www.w3.org/2001/XMLSchema-instance" xsi:type="dcterms:W3CDTF">2026-10-06T16:21:23Z</dcterms:created>
  <dcterms:modified xmlns:dcterms="http://purl.org/dc/terms/" xmlns:xsi="http://www.w3.org/2001/XMLSchema-instance" xsi:type="dcterms:W3CDTF">2026-10-06T16:42:51Z</dcterms:modified>
</cp:coreProperties>
</file>